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D835263-7CDC-4338-99D6-495305AFC381}" xr6:coauthVersionLast="37" xr6:coauthVersionMax="37" xr10:uidLastSave="{00000000-0000-0000-0000-000000000000}"/>
  <bookViews>
    <workbookView xWindow="480" yWindow="165" windowWidth="11340" windowHeight="8775" firstSheet="21" activeTab="21" xr2:uid="{00000000-000D-0000-FFFF-FFFF00000000}"/>
  </bookViews>
  <sheets>
    <sheet name="расчет тарифов " sheetId="56" state="hidden" r:id="rId1"/>
    <sheet name="объемы черн" sheetId="59" state="hidden" r:id="rId2"/>
    <sheet name="потери" sheetId="106" state="hidden" r:id="rId3"/>
    <sheet name="приборы учета" sheetId="107" state="hidden" r:id="rId4"/>
    <sheet name="ф1.1. п5 МУ" sheetId="79" state="hidden" r:id="rId5"/>
    <sheet name="ф.1 п.5 МУ 1746э" sheetId="88" state="hidden" r:id="rId6"/>
    <sheet name="ТН" sheetId="85" state="hidden" r:id="rId7"/>
    <sheet name="факт шаблон стоки" sheetId="91" state="hidden" r:id="rId8"/>
    <sheet name="факт шаблон вода" sheetId="89" state="hidden" r:id="rId9"/>
    <sheet name="А" sheetId="90" state="hidden" r:id="rId10"/>
    <sheet name="водный налог вып" sheetId="84" state="hidden" r:id="rId11"/>
    <sheet name="ВП объемы" sheetId="80" state="hidden" r:id="rId12"/>
    <sheet name="А 2017" sheetId="94" state="hidden" r:id="rId13"/>
    <sheet name="Текущий ремонт" sheetId="129" state="hidden" r:id="rId14"/>
    <sheet name="Чистая прибыль с транспортир." sheetId="128" state="hidden" r:id="rId15"/>
    <sheet name="Прил. 1 План ФХД с транспортир." sheetId="127" state="hidden" r:id="rId16"/>
    <sheet name="Прил. 1 План ФХД трансп. стоков" sheetId="133" state="hidden" r:id="rId17"/>
    <sheet name="Прил. 1 План ФХД трансп. воды" sheetId="132" state="hidden" r:id="rId18"/>
    <sheet name="Прил. 1 План ФХД стоки" sheetId="126" state="hidden" r:id="rId19"/>
    <sheet name="Прил. 1 План ФХД вода " sheetId="125" state="hidden" r:id="rId20"/>
    <sheet name="Расчет товарной выручки 2021" sheetId="124" state="hidden" r:id="rId21"/>
    <sheet name="ФАКТ.СЕБЕСТ.СТОКИ 9 мес. 2021" sheetId="123" r:id="rId22"/>
    <sheet name="ПОЛНАЯ СЕБЕСТОИМОСТЬ СТОКИ 2021" sheetId="122" state="hidden" r:id="rId23"/>
    <sheet name="ФАКТ.СЕБЕСТ.ВОДА 9 мес. 2021" sheetId="121" r:id="rId24"/>
    <sheet name="ПОЛНАЯ СЕБЕСТОИМОСТЬ ВОДА 2021" sheetId="120" state="hidden" r:id="rId25"/>
    <sheet name="Расчет товарной выручки 2019" sheetId="134" state="hidden" r:id="rId26"/>
    <sheet name="объемы" sheetId="3" state="hidden" r:id="rId27"/>
    <sheet name="вода" sheetId="7" state="hidden" r:id="rId28"/>
    <sheet name="стоки" sheetId="8" state="hidden" r:id="rId29"/>
    <sheet name="вода 2019-2021 коррект" sheetId="61" state="hidden" r:id="rId30"/>
    <sheet name="тех вода 2019-2021" sheetId="64" state="hidden" r:id="rId31"/>
    <sheet name="стоки 2019-2021" sheetId="65" state="hidden" r:id="rId32"/>
    <sheet name="очистка 2019-2021" sheetId="66" state="hidden" r:id="rId33"/>
    <sheet name="цех вода" sheetId="5" state="hidden" r:id="rId34"/>
    <sheet name="цех стоки" sheetId="6" state="hidden" r:id="rId35"/>
    <sheet name="ХР" sheetId="11" state="hidden" r:id="rId36"/>
    <sheet name="электр 2017-2018" sheetId="72" state="hidden" r:id="rId37"/>
    <sheet name="электр" sheetId="9" state="hidden" r:id="rId38"/>
    <sheet name="ЭЭ вода" sheetId="95" state="hidden" r:id="rId39"/>
    <sheet name="ЭЭ стоки" sheetId="98" state="hidden" r:id="rId40"/>
    <sheet name="Аморт" sheetId="10" state="hidden" r:id="rId41"/>
    <sheet name="Лист2" sheetId="33" state="hidden" r:id="rId42"/>
    <sheet name="хим реагенты" sheetId="96" state="hidden" r:id="rId43"/>
    <sheet name="ЗП" sheetId="17" state="hidden" r:id="rId44"/>
    <sheet name="ЗП среднемес" sheetId="68" state="hidden" r:id="rId45"/>
    <sheet name="рем программа" sheetId="111" state="hidden" r:id="rId46"/>
    <sheet name="ремонты" sheetId="97" state="hidden" r:id="rId47"/>
    <sheet name="ОХР " sheetId="19" state="hidden" r:id="rId48"/>
    <sheet name="Тепловая энергия (3 подъем)" sheetId="100" state="hidden" r:id="rId49"/>
    <sheet name="Транспортировка КЭМЗ" sheetId="103" state="hidden" r:id="rId50"/>
    <sheet name="ЗП с факт 3 кв. 2015" sheetId="71" state="hidden" r:id="rId51"/>
    <sheet name="ср. разряд" sheetId="112" state="hidden" r:id="rId52"/>
    <sheet name="Аренда земли" sheetId="102" state="hidden" r:id="rId53"/>
    <sheet name="3 подъем зпл" sheetId="101" state="hidden" r:id="rId54"/>
    <sheet name="транс" sheetId="69" state="hidden" r:id="rId55"/>
    <sheet name=" текРемвода 2016" sheetId="57" state="hidden" r:id="rId56"/>
    <sheet name="  текРемстоки 2016" sheetId="58" state="hidden" r:id="rId57"/>
    <sheet name="Кап Рем" sheetId="62" state="hidden" r:id="rId58"/>
    <sheet name="кап влож" sheetId="70" state="hidden" r:id="rId59"/>
    <sheet name="выпадающие расходы" sheetId="117" state="hidden" r:id="rId60"/>
    <sheet name="Н 2019-2024" sheetId="104" state="hidden" r:id="rId61"/>
    <sheet name="вод.налог" sheetId="32" state="hidden" r:id="rId62"/>
    <sheet name="имущество" sheetId="105" state="hidden" r:id="rId63"/>
    <sheet name="налог на имущ" sheetId="67" state="hidden" r:id="rId64"/>
    <sheet name="Резерв ДЗ" sheetId="63" state="hidden" r:id="rId65"/>
    <sheet name="Выпадающ15-16" sheetId="36" state="hidden" r:id="rId66"/>
    <sheet name="Ремонт стоки 2016" sheetId="54" state="hidden" r:id="rId67"/>
    <sheet name="Ремонт вода 2016" sheetId="52" state="hidden" r:id="rId68"/>
    <sheet name="Выпадающ" sheetId="60" state="hidden" r:id="rId69"/>
    <sheet name="Ремонт вода 2015" sheetId="34" state="hidden" r:id="rId70"/>
    <sheet name="Ремонт стоки 2015" sheetId="35" state="hidden" r:id="rId71"/>
    <sheet name="платежка с ИП" sheetId="21" state="hidden" r:id="rId72"/>
    <sheet name="рез к 2017" sheetId="73" state="hidden" r:id="rId73"/>
    <sheet name="НВОС" sheetId="92" state="hidden" r:id="rId74"/>
    <sheet name="рез к 2018-2024 (кор) " sheetId="118" state="hidden" r:id="rId75"/>
    <sheet name="А 2018" sheetId="119" state="hidden" r:id="rId76"/>
    <sheet name="Расчет товарной выручки 2018" sheetId="114" state="hidden" r:id="rId77"/>
    <sheet name="рез к 2017-2023" sheetId="116" state="hidden" r:id="rId78"/>
    <sheet name="распределение ОХР" sheetId="99" state="hidden" r:id="rId79"/>
    <sheet name="2017 к" sheetId="74" state="hidden" r:id="rId80"/>
    <sheet name="2018 к" sheetId="86" state="hidden" r:id="rId81"/>
    <sheet name="имушество 2017 к." sheetId="75" state="hidden" r:id="rId82"/>
    <sheet name="Лист4" sheetId="76" state="hidden" r:id="rId83"/>
    <sheet name="2017 к смета" sheetId="77" state="hidden" r:id="rId84"/>
    <sheet name="2018 к смета" sheetId="87" state="hidden" r:id="rId85"/>
    <sheet name="амортизация 2017 год" sheetId="109" state="hidden" r:id="rId86"/>
    <sheet name="Насосная стация 2 подъем" sheetId="110" state="hidden" r:id="rId87"/>
    <sheet name="снятие ИП" sheetId="108" state="hidden" r:id="rId88"/>
    <sheet name="ИП" sheetId="78" state="hidden" r:id="rId89"/>
    <sheet name="хим. реагенты" sheetId="81" state="hidden" r:id="rId90"/>
    <sheet name="ээ 2015" sheetId="82" state="hidden" r:id="rId91"/>
    <sheet name="ремонт" sheetId="83" state="hidden" r:id="rId92"/>
    <sheet name="Лист3" sheetId="113" state="hidden" r:id="rId93"/>
    <sheet name="Лист5" sheetId="115" state="hidden" r:id="rId94"/>
    <sheet name="Лист1" sheetId="93" state="hidden" r:id="rId95"/>
  </sheets>
  <externalReferences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</externalReferences>
  <definedNames>
    <definedName name="_4Excel_BuiltIn_Print_Area_59_67_1" localSheetId="75">#REF!</definedName>
    <definedName name="_4Excel_BuiltIn_Print_Area_59_67_1" localSheetId="59">#REF!</definedName>
    <definedName name="_4Excel_BuiltIn_Print_Area_59_67_1" localSheetId="50">#REF!</definedName>
    <definedName name="_4Excel_BuiltIn_Print_Area_59_67_1" localSheetId="32">#REF!</definedName>
    <definedName name="_4Excel_BuiltIn_Print_Area_59_67_1" localSheetId="15">#REF!</definedName>
    <definedName name="_4Excel_BuiltIn_Print_Area_59_67_1" localSheetId="17">#REF!</definedName>
    <definedName name="_4Excel_BuiltIn_Print_Area_59_67_1" localSheetId="16">#REF!</definedName>
    <definedName name="_4Excel_BuiltIn_Print_Area_59_67_1" localSheetId="76">#REF!</definedName>
    <definedName name="_4Excel_BuiltIn_Print_Area_59_67_1" localSheetId="25">#REF!</definedName>
    <definedName name="_4Excel_BuiltIn_Print_Area_59_67_1" localSheetId="20">#REF!</definedName>
    <definedName name="_4Excel_BuiltIn_Print_Area_59_67_1" localSheetId="77">#REF!</definedName>
    <definedName name="_4Excel_BuiltIn_Print_Area_59_67_1" localSheetId="74">#REF!</definedName>
    <definedName name="_4Excel_BuiltIn_Print_Area_59_67_1" localSheetId="31">#REF!</definedName>
    <definedName name="_4Excel_BuiltIn_Print_Area_59_67_1" localSheetId="30">#REF!</definedName>
    <definedName name="_4Excel_BuiltIn_Print_Area_59_67_1" localSheetId="14">#REF!</definedName>
    <definedName name="_4Excel_BuiltIn_Print_Area_59_67_1" localSheetId="36">#REF!</definedName>
    <definedName name="_4Excel_BuiltIn_Print_Area_59_67_1">#REF!</definedName>
    <definedName name="_8Excel_BuiltIn_Print_Area_59_74_1" localSheetId="75">#REF!</definedName>
    <definedName name="_8Excel_BuiltIn_Print_Area_59_74_1" localSheetId="59">#REF!</definedName>
    <definedName name="_8Excel_BuiltIn_Print_Area_59_74_1" localSheetId="50">#REF!</definedName>
    <definedName name="_8Excel_BuiltIn_Print_Area_59_74_1" localSheetId="32">#REF!</definedName>
    <definedName name="_8Excel_BuiltIn_Print_Area_59_74_1" localSheetId="15">#REF!</definedName>
    <definedName name="_8Excel_BuiltIn_Print_Area_59_74_1" localSheetId="17">#REF!</definedName>
    <definedName name="_8Excel_BuiltIn_Print_Area_59_74_1" localSheetId="16">#REF!</definedName>
    <definedName name="_8Excel_BuiltIn_Print_Area_59_74_1" localSheetId="76">#REF!</definedName>
    <definedName name="_8Excel_BuiltIn_Print_Area_59_74_1" localSheetId="25">#REF!</definedName>
    <definedName name="_8Excel_BuiltIn_Print_Area_59_74_1" localSheetId="20">#REF!</definedName>
    <definedName name="_8Excel_BuiltIn_Print_Area_59_74_1" localSheetId="77">#REF!</definedName>
    <definedName name="_8Excel_BuiltIn_Print_Area_59_74_1" localSheetId="74">#REF!</definedName>
    <definedName name="_8Excel_BuiltIn_Print_Area_59_74_1" localSheetId="31">#REF!</definedName>
    <definedName name="_8Excel_BuiltIn_Print_Area_59_74_1" localSheetId="30">#REF!</definedName>
    <definedName name="_8Excel_BuiltIn_Print_Area_59_74_1" localSheetId="14">#REF!</definedName>
    <definedName name="_8Excel_BuiltIn_Print_Area_59_74_1" localSheetId="36">#REF!</definedName>
    <definedName name="_8Excel_BuiltIn_Print_Area_59_74_1">#REF!</definedName>
    <definedName name="_Pi1" localSheetId="75">'А 2018'!_Pi1</definedName>
    <definedName name="_Pi1" localSheetId="59">#N/A</definedName>
    <definedName name="_Pi1" localSheetId="50">'ЗП с факт 3 кв. 2015'!_Pi1</definedName>
    <definedName name="_Pi1" localSheetId="24">#N/A</definedName>
    <definedName name="_Pi1" localSheetId="22">#N/A</definedName>
    <definedName name="_Pi1" localSheetId="19">#N/A</definedName>
    <definedName name="_Pi1" localSheetId="15">#N/A</definedName>
    <definedName name="_Pi1" localSheetId="18">#N/A</definedName>
    <definedName name="_Pi1" localSheetId="17">#N/A</definedName>
    <definedName name="_Pi1" localSheetId="16">#N/A</definedName>
    <definedName name="_Pi1" localSheetId="76">#N/A</definedName>
    <definedName name="_Pi1" localSheetId="25">#N/A</definedName>
    <definedName name="_Pi1" localSheetId="20">#N/A</definedName>
    <definedName name="_Pi1" localSheetId="77">'рез к 2017-2023'!_Pi1</definedName>
    <definedName name="_Pi1" localSheetId="74">'рез к 2018-2024 (кор) '!_Pi1</definedName>
    <definedName name="_Pi1" localSheetId="13">#N/A</definedName>
    <definedName name="_Pi1" localSheetId="23">#N/A</definedName>
    <definedName name="_Pi1" localSheetId="21">#N/A</definedName>
    <definedName name="_Pi1" localSheetId="14">#N/A</definedName>
    <definedName name="_Pi1">_Pi1</definedName>
    <definedName name="_Pi2" localSheetId="75">'А 2018'!_Pi2</definedName>
    <definedName name="_Pi2" localSheetId="59">#N/A</definedName>
    <definedName name="_Pi2" localSheetId="50">'ЗП с факт 3 кв. 2015'!_Pi2</definedName>
    <definedName name="_Pi2" localSheetId="24">#N/A</definedName>
    <definedName name="_Pi2" localSheetId="22">#N/A</definedName>
    <definedName name="_Pi2" localSheetId="19">#N/A</definedName>
    <definedName name="_Pi2" localSheetId="15">#N/A</definedName>
    <definedName name="_Pi2" localSheetId="18">#N/A</definedName>
    <definedName name="_Pi2" localSheetId="17">#N/A</definedName>
    <definedName name="_Pi2" localSheetId="16">#N/A</definedName>
    <definedName name="_Pi2" localSheetId="76">#N/A</definedName>
    <definedName name="_Pi2" localSheetId="25">#N/A</definedName>
    <definedName name="_Pi2" localSheetId="20">#N/A</definedName>
    <definedName name="_Pi2" localSheetId="77">'рез к 2017-2023'!_Pi2</definedName>
    <definedName name="_Pi2" localSheetId="74">'рез к 2018-2024 (кор) '!_Pi2</definedName>
    <definedName name="_Pi2" localSheetId="13">#N/A</definedName>
    <definedName name="_Pi2" localSheetId="23">#N/A</definedName>
    <definedName name="_Pi2" localSheetId="21">#N/A</definedName>
    <definedName name="_Pi2" localSheetId="14">#N/A</definedName>
    <definedName name="_Pi2">_Pi2</definedName>
    <definedName name="_Pi3" localSheetId="75">'А 2018'!_Pi3</definedName>
    <definedName name="_Pi3" localSheetId="59">#N/A</definedName>
    <definedName name="_Pi3" localSheetId="50">'ЗП с факт 3 кв. 2015'!_Pi3</definedName>
    <definedName name="_Pi3" localSheetId="24">#N/A</definedName>
    <definedName name="_Pi3" localSheetId="22">#N/A</definedName>
    <definedName name="_Pi3" localSheetId="19">#N/A</definedName>
    <definedName name="_Pi3" localSheetId="15">#N/A</definedName>
    <definedName name="_Pi3" localSheetId="18">#N/A</definedName>
    <definedName name="_Pi3" localSheetId="17">#N/A</definedName>
    <definedName name="_Pi3" localSheetId="16">#N/A</definedName>
    <definedName name="_Pi3" localSheetId="76">#N/A</definedName>
    <definedName name="_Pi3" localSheetId="25">#N/A</definedName>
    <definedName name="_Pi3" localSheetId="20">#N/A</definedName>
    <definedName name="_Pi3" localSheetId="77">'рез к 2017-2023'!_Pi3</definedName>
    <definedName name="_Pi3" localSheetId="74">'рез к 2018-2024 (кор) '!_Pi3</definedName>
    <definedName name="_Pi3" localSheetId="13">#N/A</definedName>
    <definedName name="_Pi3" localSheetId="23">#N/A</definedName>
    <definedName name="_Pi3" localSheetId="21">#N/A</definedName>
    <definedName name="_Pi3" localSheetId="14">#N/A</definedName>
    <definedName name="_Pi3">_Pi3</definedName>
    <definedName name="_Pi4" localSheetId="75">'А 2018'!_Pi4</definedName>
    <definedName name="_Pi4" localSheetId="59">#N/A</definedName>
    <definedName name="_Pi4" localSheetId="50">'ЗП с факт 3 кв. 2015'!_Pi4</definedName>
    <definedName name="_Pi4" localSheetId="24">#N/A</definedName>
    <definedName name="_Pi4" localSheetId="22">#N/A</definedName>
    <definedName name="_Pi4" localSheetId="19">#N/A</definedName>
    <definedName name="_Pi4" localSheetId="15">#N/A</definedName>
    <definedName name="_Pi4" localSheetId="18">#N/A</definedName>
    <definedName name="_Pi4" localSheetId="17">#N/A</definedName>
    <definedName name="_Pi4" localSheetId="16">#N/A</definedName>
    <definedName name="_Pi4" localSheetId="76">#N/A</definedName>
    <definedName name="_Pi4" localSheetId="25">#N/A</definedName>
    <definedName name="_Pi4" localSheetId="20">#N/A</definedName>
    <definedName name="_Pi4" localSheetId="77">'рез к 2017-2023'!_Pi4</definedName>
    <definedName name="_Pi4" localSheetId="74">'рез к 2018-2024 (кор) '!_Pi4</definedName>
    <definedName name="_Pi4" localSheetId="13">#N/A</definedName>
    <definedName name="_Pi4" localSheetId="23">#N/A</definedName>
    <definedName name="_Pi4" localSheetId="21">#N/A</definedName>
    <definedName name="_Pi4" localSheetId="14">#N/A</definedName>
    <definedName name="_Pi4">_Pi4</definedName>
    <definedName name="_Pi5" localSheetId="75">'А 2018'!_Pi5</definedName>
    <definedName name="_Pi5" localSheetId="59">#N/A</definedName>
    <definedName name="_Pi5" localSheetId="50">'ЗП с факт 3 кв. 2015'!_Pi5</definedName>
    <definedName name="_Pi5" localSheetId="24">#N/A</definedName>
    <definedName name="_Pi5" localSheetId="22">#N/A</definedName>
    <definedName name="_Pi5" localSheetId="19">#N/A</definedName>
    <definedName name="_Pi5" localSheetId="15">#N/A</definedName>
    <definedName name="_Pi5" localSheetId="18">#N/A</definedName>
    <definedName name="_Pi5" localSheetId="17">#N/A</definedName>
    <definedName name="_Pi5" localSheetId="16">#N/A</definedName>
    <definedName name="_Pi5" localSheetId="76">#N/A</definedName>
    <definedName name="_Pi5" localSheetId="25">#N/A</definedName>
    <definedName name="_Pi5" localSheetId="20">#N/A</definedName>
    <definedName name="_Pi5" localSheetId="77">'рез к 2017-2023'!_Pi5</definedName>
    <definedName name="_Pi5" localSheetId="74">'рез к 2018-2024 (кор) '!_Pi5</definedName>
    <definedName name="_Pi5" localSheetId="13">#N/A</definedName>
    <definedName name="_Pi5" localSheetId="23">#N/A</definedName>
    <definedName name="_Pi5" localSheetId="21">#N/A</definedName>
    <definedName name="_Pi5" localSheetId="14">#N/A</definedName>
    <definedName name="_Pi5">_Pi5</definedName>
    <definedName name="asds" localSheetId="75">'А 2018'!asds</definedName>
    <definedName name="asds" localSheetId="59">#N/A</definedName>
    <definedName name="asds" localSheetId="50">'ЗП с факт 3 кв. 2015'!asds</definedName>
    <definedName name="asds" localSheetId="24">#N/A</definedName>
    <definedName name="asds" localSheetId="22">#N/A</definedName>
    <definedName name="asds" localSheetId="19">#N/A</definedName>
    <definedName name="asds" localSheetId="15">#N/A</definedName>
    <definedName name="asds" localSheetId="18">#N/A</definedName>
    <definedName name="asds" localSheetId="17">#N/A</definedName>
    <definedName name="asds" localSheetId="16">#N/A</definedName>
    <definedName name="asds" localSheetId="76">#N/A</definedName>
    <definedName name="asds" localSheetId="25">#N/A</definedName>
    <definedName name="asds" localSheetId="20">#N/A</definedName>
    <definedName name="asds" localSheetId="77">'рез к 2017-2023'!asds</definedName>
    <definedName name="asds" localSheetId="74">'рез к 2018-2024 (кор) '!asds</definedName>
    <definedName name="asds" localSheetId="13">#N/A</definedName>
    <definedName name="asds" localSheetId="23">#N/A</definedName>
    <definedName name="asds" localSheetId="21">#N/A</definedName>
    <definedName name="asds" localSheetId="14">#N/A</definedName>
    <definedName name="asds">asds</definedName>
    <definedName name="asds_10" localSheetId="75">'А 2018'!asds</definedName>
    <definedName name="asds_10" localSheetId="59">'выпадающие расходы'!asds</definedName>
    <definedName name="asds_10" localSheetId="50">'ЗП с факт 3 кв. 2015'!asds</definedName>
    <definedName name="asds_10" localSheetId="24">'ПОЛНАЯ СЕБЕСТОИМОСТЬ ВОДА 2021'!asds</definedName>
    <definedName name="asds_10" localSheetId="22">'ПОЛНАЯ СЕБЕСТОИМОСТЬ СТОКИ 2021'!asds</definedName>
    <definedName name="asds_10" localSheetId="19">'Прил. 1 План ФХД вода '!asds</definedName>
    <definedName name="asds_10" localSheetId="15">'Прил. 1 План ФХД с транспортир.'!asds</definedName>
    <definedName name="asds_10" localSheetId="18">'Прил. 1 План ФХД стоки'!asds</definedName>
    <definedName name="asds_10" localSheetId="17">'Прил. 1 План ФХД трансп. воды'!asds</definedName>
    <definedName name="asds_10" localSheetId="16">'Прил. 1 План ФХД трансп. стоков'!asds</definedName>
    <definedName name="asds_10" localSheetId="76">'Расчет товарной выручки 2018'!asds</definedName>
    <definedName name="asds_10" localSheetId="25">'Расчет товарной выручки 2019'!asds</definedName>
    <definedName name="asds_10" localSheetId="20">'Расчет товарной выручки 2021'!asds</definedName>
    <definedName name="asds_10" localSheetId="77">'рез к 2017-2023'!asds</definedName>
    <definedName name="asds_10" localSheetId="74">'рез к 2018-2024 (кор) '!asds</definedName>
    <definedName name="asds_10" localSheetId="13">'Текущий ремонт'!asds</definedName>
    <definedName name="asds_10" localSheetId="23">'ФАКТ.СЕБЕСТ.ВОДА 9 мес. 2021'!asds</definedName>
    <definedName name="asds_10" localSheetId="21">'ФАКТ.СЕБЕСТ.СТОКИ 9 мес. 2021'!asds</definedName>
    <definedName name="asds_10" localSheetId="14">'Чистая прибыль с транспортир.'!asds</definedName>
    <definedName name="asds_10">[0]!asds</definedName>
    <definedName name="asds_14" localSheetId="75">'А 2018'!asds</definedName>
    <definedName name="asds_14" localSheetId="59">'выпадающие расходы'!asds</definedName>
    <definedName name="asds_14" localSheetId="50">'ЗП с факт 3 кв. 2015'!asds</definedName>
    <definedName name="asds_14" localSheetId="24">'ПОЛНАЯ СЕБЕСТОИМОСТЬ ВОДА 2021'!asds</definedName>
    <definedName name="asds_14" localSheetId="22">'ПОЛНАЯ СЕБЕСТОИМОСТЬ СТОКИ 2021'!asds</definedName>
    <definedName name="asds_14" localSheetId="19">'Прил. 1 План ФХД вода '!asds</definedName>
    <definedName name="asds_14" localSheetId="15">'Прил. 1 План ФХД с транспортир.'!asds</definedName>
    <definedName name="asds_14" localSheetId="18">'Прил. 1 План ФХД стоки'!asds</definedName>
    <definedName name="asds_14" localSheetId="17">'Прил. 1 План ФХД трансп. воды'!asds</definedName>
    <definedName name="asds_14" localSheetId="16">'Прил. 1 План ФХД трансп. стоков'!asds</definedName>
    <definedName name="asds_14" localSheetId="76">'Расчет товарной выручки 2018'!asds</definedName>
    <definedName name="asds_14" localSheetId="25">'Расчет товарной выручки 2019'!asds</definedName>
    <definedName name="asds_14" localSheetId="20">'Расчет товарной выручки 2021'!asds</definedName>
    <definedName name="asds_14" localSheetId="77">'рез к 2017-2023'!asds</definedName>
    <definedName name="asds_14" localSheetId="74">'рез к 2018-2024 (кор) '!asds</definedName>
    <definedName name="asds_14" localSheetId="13">'Текущий ремонт'!asds</definedName>
    <definedName name="asds_14" localSheetId="23">'ФАКТ.СЕБЕСТ.ВОДА 9 мес. 2021'!asds</definedName>
    <definedName name="asds_14" localSheetId="21">'ФАКТ.СЕБЕСТ.СТОКИ 9 мес. 2021'!asds</definedName>
    <definedName name="asds_14" localSheetId="14">'Чистая прибыль с транспортир.'!asds</definedName>
    <definedName name="asds_14">[0]!asds</definedName>
    <definedName name="asds_15" localSheetId="75">'А 2018'!asds</definedName>
    <definedName name="asds_15" localSheetId="59">'выпадающие расходы'!asds</definedName>
    <definedName name="asds_15" localSheetId="50">'ЗП с факт 3 кв. 2015'!asds</definedName>
    <definedName name="asds_15" localSheetId="24">'ПОЛНАЯ СЕБЕСТОИМОСТЬ ВОДА 2021'!asds</definedName>
    <definedName name="asds_15" localSheetId="22">'ПОЛНАЯ СЕБЕСТОИМОСТЬ СТОКИ 2021'!asds</definedName>
    <definedName name="asds_15" localSheetId="19">'Прил. 1 План ФХД вода '!asds</definedName>
    <definedName name="asds_15" localSheetId="15">'Прил. 1 План ФХД с транспортир.'!asds</definedName>
    <definedName name="asds_15" localSheetId="18">'Прил. 1 План ФХД стоки'!asds</definedName>
    <definedName name="asds_15" localSheetId="17">'Прил. 1 План ФХД трансп. воды'!asds</definedName>
    <definedName name="asds_15" localSheetId="16">'Прил. 1 План ФХД трансп. стоков'!asds</definedName>
    <definedName name="asds_15" localSheetId="76">'Расчет товарной выручки 2018'!asds</definedName>
    <definedName name="asds_15" localSheetId="25">'Расчет товарной выручки 2019'!asds</definedName>
    <definedName name="asds_15" localSheetId="20">'Расчет товарной выручки 2021'!asds</definedName>
    <definedName name="asds_15" localSheetId="77">'рез к 2017-2023'!asds</definedName>
    <definedName name="asds_15" localSheetId="74">'рез к 2018-2024 (кор) '!asds</definedName>
    <definedName name="asds_15" localSheetId="13">'Текущий ремонт'!asds</definedName>
    <definedName name="asds_15" localSheetId="23">'ФАКТ.СЕБЕСТ.ВОДА 9 мес. 2021'!asds</definedName>
    <definedName name="asds_15" localSheetId="21">'ФАКТ.СЕБЕСТ.СТОКИ 9 мес. 2021'!asds</definedName>
    <definedName name="asds_15" localSheetId="14">'Чистая прибыль с транспортир.'!asds</definedName>
    <definedName name="asds_15">[0]!asds</definedName>
    <definedName name="asds_16" localSheetId="75">'А 2018'!asds</definedName>
    <definedName name="asds_16" localSheetId="59">'выпадающие расходы'!asds</definedName>
    <definedName name="asds_16" localSheetId="50">'ЗП с факт 3 кв. 2015'!asds</definedName>
    <definedName name="asds_16" localSheetId="24">'ПОЛНАЯ СЕБЕСТОИМОСТЬ ВОДА 2021'!asds</definedName>
    <definedName name="asds_16" localSheetId="22">'ПОЛНАЯ СЕБЕСТОИМОСТЬ СТОКИ 2021'!asds</definedName>
    <definedName name="asds_16" localSheetId="19">'Прил. 1 План ФХД вода '!asds</definedName>
    <definedName name="asds_16" localSheetId="15">'Прил. 1 План ФХД с транспортир.'!asds</definedName>
    <definedName name="asds_16" localSheetId="18">'Прил. 1 План ФХД стоки'!asds</definedName>
    <definedName name="asds_16" localSheetId="17">'Прил. 1 План ФХД трансп. воды'!asds</definedName>
    <definedName name="asds_16" localSheetId="16">'Прил. 1 План ФХД трансп. стоков'!asds</definedName>
    <definedName name="asds_16" localSheetId="76">'Расчет товарной выручки 2018'!asds</definedName>
    <definedName name="asds_16" localSheetId="25">'Расчет товарной выручки 2019'!asds</definedName>
    <definedName name="asds_16" localSheetId="20">'Расчет товарной выручки 2021'!asds</definedName>
    <definedName name="asds_16" localSheetId="77">'рез к 2017-2023'!asds</definedName>
    <definedName name="asds_16" localSheetId="74">'рез к 2018-2024 (кор) '!asds</definedName>
    <definedName name="asds_16" localSheetId="13">'Текущий ремонт'!asds</definedName>
    <definedName name="asds_16" localSheetId="23">'ФАКТ.СЕБЕСТ.ВОДА 9 мес. 2021'!asds</definedName>
    <definedName name="asds_16" localSheetId="21">'ФАКТ.СЕБЕСТ.СТОКИ 9 мес. 2021'!asds</definedName>
    <definedName name="asds_16" localSheetId="14">'Чистая прибыль с транспортир.'!asds</definedName>
    <definedName name="asds_16">[0]!asds</definedName>
    <definedName name="asds_2" localSheetId="75">'А 2018'!asds</definedName>
    <definedName name="asds_2" localSheetId="59">'выпадающие расходы'!asds</definedName>
    <definedName name="asds_2" localSheetId="50">'ЗП с факт 3 кв. 2015'!asds</definedName>
    <definedName name="asds_2" localSheetId="24">'ПОЛНАЯ СЕБЕСТОИМОСТЬ ВОДА 2021'!asds</definedName>
    <definedName name="asds_2" localSheetId="22">'ПОЛНАЯ СЕБЕСТОИМОСТЬ СТОКИ 2021'!asds</definedName>
    <definedName name="asds_2" localSheetId="19">'Прил. 1 План ФХД вода '!asds</definedName>
    <definedName name="asds_2" localSheetId="15">'Прил. 1 План ФХД с транспортир.'!asds</definedName>
    <definedName name="asds_2" localSheetId="18">'Прил. 1 План ФХД стоки'!asds</definedName>
    <definedName name="asds_2" localSheetId="17">'Прил. 1 План ФХД трансп. воды'!asds</definedName>
    <definedName name="asds_2" localSheetId="16">'Прил. 1 План ФХД трансп. стоков'!asds</definedName>
    <definedName name="asds_2" localSheetId="76">'Расчет товарной выручки 2018'!asds</definedName>
    <definedName name="asds_2" localSheetId="25">'Расчет товарной выручки 2019'!asds</definedName>
    <definedName name="asds_2" localSheetId="20">'Расчет товарной выручки 2021'!asds</definedName>
    <definedName name="asds_2" localSheetId="77">'рез к 2017-2023'!asds</definedName>
    <definedName name="asds_2" localSheetId="74">'рез к 2018-2024 (кор) '!asds</definedName>
    <definedName name="asds_2" localSheetId="13">'Текущий ремонт'!asds</definedName>
    <definedName name="asds_2" localSheetId="23">'ФАКТ.СЕБЕСТ.ВОДА 9 мес. 2021'!asds</definedName>
    <definedName name="asds_2" localSheetId="21">'ФАКТ.СЕБЕСТ.СТОКИ 9 мес. 2021'!asds</definedName>
    <definedName name="asds_2" localSheetId="14">'Чистая прибыль с транспортир.'!asds</definedName>
    <definedName name="asds_2">[0]!asds</definedName>
    <definedName name="CY" localSheetId="75">[1]Титул!$M$2</definedName>
    <definedName name="CY" localSheetId="59">[2]Титул!$M$2</definedName>
    <definedName name="CY" localSheetId="24">[3]Титул!$M$2</definedName>
    <definedName name="CY" localSheetId="22">[3]Титул!$M$2</definedName>
    <definedName name="CY" localSheetId="19">[3]Титул!$M$2</definedName>
    <definedName name="CY" localSheetId="15">[3]Титул!$M$2</definedName>
    <definedName name="CY" localSheetId="18">[3]Титул!$M$2</definedName>
    <definedName name="CY" localSheetId="17">[3]Титул!$M$2</definedName>
    <definedName name="CY" localSheetId="16">[3]Титул!$M$2</definedName>
    <definedName name="CY" localSheetId="76">[2]Титул!$M$2</definedName>
    <definedName name="CY" localSheetId="25">[3]Титул!$M$2</definedName>
    <definedName name="CY" localSheetId="20">[2]Титул!$M$2</definedName>
    <definedName name="CY" localSheetId="77">[2]Титул!$M$2</definedName>
    <definedName name="CY" localSheetId="74">[2]Титул!$M$2</definedName>
    <definedName name="CY" localSheetId="13">[3]Титул!$M$2</definedName>
    <definedName name="CY" localSheetId="23">[3]Титул!$M$2</definedName>
    <definedName name="CY" localSheetId="21">[3]Титул!$M$2</definedName>
    <definedName name="CY" localSheetId="14">[3]Титул!$M$2</definedName>
    <definedName name="CY">[3]Титул!$M$2</definedName>
    <definedName name="CY_10">[4]Титул!$M$2</definedName>
    <definedName name="CY_14">[4]Титул!$M$2</definedName>
    <definedName name="CY_15">[4]Титул!$M$2</definedName>
    <definedName name="CY_16">[4]Титул!$M$2</definedName>
    <definedName name="CY_2">[4]Титул!$M$2</definedName>
    <definedName name="CY_74" localSheetId="75">[5]Список!$J$2</definedName>
    <definedName name="CY_74" localSheetId="59">[6]Список!$J$2</definedName>
    <definedName name="CY_74" localSheetId="24">[7]Список!$J$2</definedName>
    <definedName name="CY_74" localSheetId="22">[7]Список!$J$2</definedName>
    <definedName name="CY_74" localSheetId="19">[7]Список!$J$2</definedName>
    <definedName name="CY_74" localSheetId="15">[7]Список!$J$2</definedName>
    <definedName name="CY_74" localSheetId="18">[7]Список!$J$2</definedName>
    <definedName name="CY_74" localSheetId="17">[7]Список!$J$2</definedName>
    <definedName name="CY_74" localSheetId="16">[7]Список!$J$2</definedName>
    <definedName name="CY_74" localSheetId="76">[6]Список!$J$2</definedName>
    <definedName name="CY_74" localSheetId="25">[7]Список!$J$2</definedName>
    <definedName name="CY_74" localSheetId="20">[6]Список!$J$2</definedName>
    <definedName name="CY_74" localSheetId="77">[6]Список!$J$2</definedName>
    <definedName name="CY_74" localSheetId="74">[6]Список!$J$2</definedName>
    <definedName name="CY_74" localSheetId="13">[7]Список!$J$2</definedName>
    <definedName name="CY_74" localSheetId="23">[7]Список!$J$2</definedName>
    <definedName name="CY_74" localSheetId="21">[7]Список!$J$2</definedName>
    <definedName name="CY_74" localSheetId="14">[7]Список!$J$2</definedName>
    <definedName name="CY_74">[7]Список!$J$2</definedName>
    <definedName name="CY_75" localSheetId="75">[5]Список!$J$2</definedName>
    <definedName name="CY_75" localSheetId="59">[6]Список!$J$2</definedName>
    <definedName name="CY_75" localSheetId="24">[7]Список!$J$2</definedName>
    <definedName name="CY_75" localSheetId="22">[7]Список!$J$2</definedName>
    <definedName name="CY_75" localSheetId="19">[7]Список!$J$2</definedName>
    <definedName name="CY_75" localSheetId="15">[7]Список!$J$2</definedName>
    <definedName name="CY_75" localSheetId="18">[7]Список!$J$2</definedName>
    <definedName name="CY_75" localSheetId="17">[7]Список!$J$2</definedName>
    <definedName name="CY_75" localSheetId="16">[7]Список!$J$2</definedName>
    <definedName name="CY_75" localSheetId="76">[6]Список!$J$2</definedName>
    <definedName name="CY_75" localSheetId="25">[7]Список!$J$2</definedName>
    <definedName name="CY_75" localSheetId="20">[6]Список!$J$2</definedName>
    <definedName name="CY_75" localSheetId="77">[6]Список!$J$2</definedName>
    <definedName name="CY_75" localSheetId="74">[6]Список!$J$2</definedName>
    <definedName name="CY_75" localSheetId="13">[7]Список!$J$2</definedName>
    <definedName name="CY_75" localSheetId="23">[7]Список!$J$2</definedName>
    <definedName name="CY_75" localSheetId="21">[7]Список!$J$2</definedName>
    <definedName name="CY_75" localSheetId="14">[7]Список!$J$2</definedName>
    <definedName name="CY_75">[7]Список!$J$2</definedName>
    <definedName name="dfhf" localSheetId="75">[5]Список!$J$2</definedName>
    <definedName name="dfhf" localSheetId="59">[6]Список!$J$2</definedName>
    <definedName name="dfhf" localSheetId="24">[7]Список!$J$2</definedName>
    <definedName name="dfhf" localSheetId="22">[7]Список!$J$2</definedName>
    <definedName name="dfhf" localSheetId="19">[7]Список!$J$2</definedName>
    <definedName name="dfhf" localSheetId="15">[7]Список!$J$2</definedName>
    <definedName name="dfhf" localSheetId="18">[7]Список!$J$2</definedName>
    <definedName name="dfhf" localSheetId="17">[7]Список!$J$2</definedName>
    <definedName name="dfhf" localSheetId="16">[7]Список!$J$2</definedName>
    <definedName name="dfhf" localSheetId="76">[6]Список!$J$2</definedName>
    <definedName name="dfhf" localSheetId="25">[7]Список!$J$2</definedName>
    <definedName name="dfhf" localSheetId="20">[6]Список!$J$2</definedName>
    <definedName name="dfhf" localSheetId="77">[6]Список!$J$2</definedName>
    <definedName name="dfhf" localSheetId="74">[6]Список!$J$2</definedName>
    <definedName name="dfhf" localSheetId="13">[7]Список!$J$2</definedName>
    <definedName name="dfhf" localSheetId="23">[7]Список!$J$2</definedName>
    <definedName name="dfhf" localSheetId="21">[7]Список!$J$2</definedName>
    <definedName name="dfhf" localSheetId="14">[7]Список!$J$2</definedName>
    <definedName name="dfhf">[7]Список!$J$2</definedName>
    <definedName name="end_chart" localSheetId="75">'А 2018'!end_chart</definedName>
    <definedName name="end_chart" localSheetId="59">#N/A</definedName>
    <definedName name="end_chart" localSheetId="50">'ЗП с факт 3 кв. 2015'!end_chart</definedName>
    <definedName name="end_chart" localSheetId="24">#N/A</definedName>
    <definedName name="end_chart" localSheetId="22">#N/A</definedName>
    <definedName name="end_chart" localSheetId="19">#N/A</definedName>
    <definedName name="end_chart" localSheetId="15">#N/A</definedName>
    <definedName name="end_chart" localSheetId="18">#N/A</definedName>
    <definedName name="end_chart" localSheetId="17">#N/A</definedName>
    <definedName name="end_chart" localSheetId="16">#N/A</definedName>
    <definedName name="end_chart" localSheetId="76">#N/A</definedName>
    <definedName name="end_chart" localSheetId="25">#N/A</definedName>
    <definedName name="end_chart" localSheetId="20">#N/A</definedName>
    <definedName name="end_chart" localSheetId="77">'рез к 2017-2023'!end_chart</definedName>
    <definedName name="end_chart" localSheetId="74">'рез к 2018-2024 (кор) '!end_chart</definedName>
    <definedName name="end_chart" localSheetId="13">#N/A</definedName>
    <definedName name="end_chart" localSheetId="23">#N/A</definedName>
    <definedName name="end_chart" localSheetId="21">#N/A</definedName>
    <definedName name="end_chart" localSheetId="14">#N/A</definedName>
    <definedName name="end_chart">end_chart</definedName>
    <definedName name="end_chart_10" localSheetId="75">'А 2018'!end_chart</definedName>
    <definedName name="end_chart_10" localSheetId="59">'выпадающие расходы'!end_chart</definedName>
    <definedName name="end_chart_10" localSheetId="50">'ЗП с факт 3 кв. 2015'!end_chart</definedName>
    <definedName name="end_chart_10" localSheetId="24">'ПОЛНАЯ СЕБЕСТОИМОСТЬ ВОДА 2021'!end_chart</definedName>
    <definedName name="end_chart_10" localSheetId="22">'ПОЛНАЯ СЕБЕСТОИМОСТЬ СТОКИ 2021'!end_chart</definedName>
    <definedName name="end_chart_10" localSheetId="19">'Прил. 1 План ФХД вода '!end_chart</definedName>
    <definedName name="end_chart_10" localSheetId="15">'Прил. 1 План ФХД с транспортир.'!end_chart</definedName>
    <definedName name="end_chart_10" localSheetId="18">'Прил. 1 План ФХД стоки'!end_chart</definedName>
    <definedName name="end_chart_10" localSheetId="17">'Прил. 1 План ФХД трансп. воды'!end_chart</definedName>
    <definedName name="end_chart_10" localSheetId="16">'Прил. 1 План ФХД трансп. стоков'!end_chart</definedName>
    <definedName name="end_chart_10" localSheetId="76">'Расчет товарной выручки 2018'!end_chart</definedName>
    <definedName name="end_chart_10" localSheetId="25">'Расчет товарной выручки 2019'!end_chart</definedName>
    <definedName name="end_chart_10" localSheetId="20">'Расчет товарной выручки 2021'!end_chart</definedName>
    <definedName name="end_chart_10" localSheetId="77">'рез к 2017-2023'!end_chart</definedName>
    <definedName name="end_chart_10" localSheetId="74">'рез к 2018-2024 (кор) '!end_chart</definedName>
    <definedName name="end_chart_10" localSheetId="13">'Текущий ремонт'!end_chart</definedName>
    <definedName name="end_chart_10" localSheetId="23">'ФАКТ.СЕБЕСТ.ВОДА 9 мес. 2021'!end_chart</definedName>
    <definedName name="end_chart_10" localSheetId="21">'ФАКТ.СЕБЕСТ.СТОКИ 9 мес. 2021'!end_chart</definedName>
    <definedName name="end_chart_10" localSheetId="14">'Чистая прибыль с транспортир.'!end_chart</definedName>
    <definedName name="end_chart_10">[0]!end_chart</definedName>
    <definedName name="end_chart_14" localSheetId="75">'А 2018'!end_chart</definedName>
    <definedName name="end_chart_14" localSheetId="59">'выпадающие расходы'!end_chart</definedName>
    <definedName name="end_chart_14" localSheetId="50">'ЗП с факт 3 кв. 2015'!end_chart</definedName>
    <definedName name="end_chart_14" localSheetId="24">'ПОЛНАЯ СЕБЕСТОИМОСТЬ ВОДА 2021'!end_chart</definedName>
    <definedName name="end_chart_14" localSheetId="22">'ПОЛНАЯ СЕБЕСТОИМОСТЬ СТОКИ 2021'!end_chart</definedName>
    <definedName name="end_chart_14" localSheetId="19">'Прил. 1 План ФХД вода '!end_chart</definedName>
    <definedName name="end_chart_14" localSheetId="15">'Прил. 1 План ФХД с транспортир.'!end_chart</definedName>
    <definedName name="end_chart_14" localSheetId="18">'Прил. 1 План ФХД стоки'!end_chart</definedName>
    <definedName name="end_chart_14" localSheetId="17">'Прил. 1 План ФХД трансп. воды'!end_chart</definedName>
    <definedName name="end_chart_14" localSheetId="16">'Прил. 1 План ФХД трансп. стоков'!end_chart</definedName>
    <definedName name="end_chart_14" localSheetId="76">'Расчет товарной выручки 2018'!end_chart</definedName>
    <definedName name="end_chart_14" localSheetId="25">'Расчет товарной выручки 2019'!end_chart</definedName>
    <definedName name="end_chart_14" localSheetId="20">'Расчет товарной выручки 2021'!end_chart</definedName>
    <definedName name="end_chart_14" localSheetId="77">'рез к 2017-2023'!end_chart</definedName>
    <definedName name="end_chart_14" localSheetId="74">'рез к 2018-2024 (кор) '!end_chart</definedName>
    <definedName name="end_chart_14" localSheetId="13">'Текущий ремонт'!end_chart</definedName>
    <definedName name="end_chart_14" localSheetId="23">'ФАКТ.СЕБЕСТ.ВОДА 9 мес. 2021'!end_chart</definedName>
    <definedName name="end_chart_14" localSheetId="21">'ФАКТ.СЕБЕСТ.СТОКИ 9 мес. 2021'!end_chart</definedName>
    <definedName name="end_chart_14" localSheetId="14">'Чистая прибыль с транспортир.'!end_chart</definedName>
    <definedName name="end_chart_14">[0]!end_chart</definedName>
    <definedName name="end_chart_15" localSheetId="75">'А 2018'!end_chart</definedName>
    <definedName name="end_chart_15" localSheetId="59">'выпадающие расходы'!end_chart</definedName>
    <definedName name="end_chart_15" localSheetId="50">'ЗП с факт 3 кв. 2015'!end_chart</definedName>
    <definedName name="end_chart_15" localSheetId="24">'ПОЛНАЯ СЕБЕСТОИМОСТЬ ВОДА 2021'!end_chart</definedName>
    <definedName name="end_chart_15" localSheetId="22">'ПОЛНАЯ СЕБЕСТОИМОСТЬ СТОКИ 2021'!end_chart</definedName>
    <definedName name="end_chart_15" localSheetId="19">'Прил. 1 План ФХД вода '!end_chart</definedName>
    <definedName name="end_chart_15" localSheetId="15">'Прил. 1 План ФХД с транспортир.'!end_chart</definedName>
    <definedName name="end_chart_15" localSheetId="18">'Прил. 1 План ФХД стоки'!end_chart</definedName>
    <definedName name="end_chart_15" localSheetId="17">'Прил. 1 План ФХД трансп. воды'!end_chart</definedName>
    <definedName name="end_chart_15" localSheetId="16">'Прил. 1 План ФХД трансп. стоков'!end_chart</definedName>
    <definedName name="end_chart_15" localSheetId="76">'Расчет товарной выручки 2018'!end_chart</definedName>
    <definedName name="end_chart_15" localSheetId="25">'Расчет товарной выручки 2019'!end_chart</definedName>
    <definedName name="end_chart_15" localSheetId="20">'Расчет товарной выручки 2021'!end_chart</definedName>
    <definedName name="end_chart_15" localSheetId="77">'рез к 2017-2023'!end_chart</definedName>
    <definedName name="end_chart_15" localSheetId="74">'рез к 2018-2024 (кор) '!end_chart</definedName>
    <definedName name="end_chart_15" localSheetId="13">'Текущий ремонт'!end_chart</definedName>
    <definedName name="end_chart_15" localSheetId="23">'ФАКТ.СЕБЕСТ.ВОДА 9 мес. 2021'!end_chart</definedName>
    <definedName name="end_chart_15" localSheetId="21">'ФАКТ.СЕБЕСТ.СТОКИ 9 мес. 2021'!end_chart</definedName>
    <definedName name="end_chart_15" localSheetId="14">'Чистая прибыль с транспортир.'!end_chart</definedName>
    <definedName name="end_chart_15">[0]!end_chart</definedName>
    <definedName name="end_chart_16" localSheetId="75">'А 2018'!end_chart</definedName>
    <definedName name="end_chart_16" localSheetId="59">'выпадающие расходы'!end_chart</definedName>
    <definedName name="end_chart_16" localSheetId="50">'ЗП с факт 3 кв. 2015'!end_chart</definedName>
    <definedName name="end_chart_16" localSheetId="24">'ПОЛНАЯ СЕБЕСТОИМОСТЬ ВОДА 2021'!end_chart</definedName>
    <definedName name="end_chart_16" localSheetId="22">'ПОЛНАЯ СЕБЕСТОИМОСТЬ СТОКИ 2021'!end_chart</definedName>
    <definedName name="end_chart_16" localSheetId="19">'Прил. 1 План ФХД вода '!end_chart</definedName>
    <definedName name="end_chart_16" localSheetId="15">'Прил. 1 План ФХД с транспортир.'!end_chart</definedName>
    <definedName name="end_chart_16" localSheetId="18">'Прил. 1 План ФХД стоки'!end_chart</definedName>
    <definedName name="end_chart_16" localSheetId="17">'Прил. 1 План ФХД трансп. воды'!end_chart</definedName>
    <definedName name="end_chart_16" localSheetId="16">'Прил. 1 План ФХД трансп. стоков'!end_chart</definedName>
    <definedName name="end_chart_16" localSheetId="76">'Расчет товарной выручки 2018'!end_chart</definedName>
    <definedName name="end_chart_16" localSheetId="25">'Расчет товарной выручки 2019'!end_chart</definedName>
    <definedName name="end_chart_16" localSheetId="20">'Расчет товарной выручки 2021'!end_chart</definedName>
    <definedName name="end_chart_16" localSheetId="77">'рез к 2017-2023'!end_chart</definedName>
    <definedName name="end_chart_16" localSheetId="74">'рез к 2018-2024 (кор) '!end_chart</definedName>
    <definedName name="end_chart_16" localSheetId="13">'Текущий ремонт'!end_chart</definedName>
    <definedName name="end_chart_16" localSheetId="23">'ФАКТ.СЕБЕСТ.ВОДА 9 мес. 2021'!end_chart</definedName>
    <definedName name="end_chart_16" localSheetId="21">'ФАКТ.СЕБЕСТ.СТОКИ 9 мес. 2021'!end_chart</definedName>
    <definedName name="end_chart_16" localSheetId="14">'Чистая прибыль с транспортир.'!end_chart</definedName>
    <definedName name="end_chart_16">[0]!end_chart</definedName>
    <definedName name="end_chart_2" localSheetId="75">'А 2018'!end_chart</definedName>
    <definedName name="end_chart_2" localSheetId="59">'выпадающие расходы'!end_chart</definedName>
    <definedName name="end_chart_2" localSheetId="50">'ЗП с факт 3 кв. 2015'!end_chart</definedName>
    <definedName name="end_chart_2" localSheetId="24">'ПОЛНАЯ СЕБЕСТОИМОСТЬ ВОДА 2021'!end_chart</definedName>
    <definedName name="end_chart_2" localSheetId="22">'ПОЛНАЯ СЕБЕСТОИМОСТЬ СТОКИ 2021'!end_chart</definedName>
    <definedName name="end_chart_2" localSheetId="19">'Прил. 1 План ФХД вода '!end_chart</definedName>
    <definedName name="end_chart_2" localSheetId="15">'Прил. 1 План ФХД с транспортир.'!end_chart</definedName>
    <definedName name="end_chart_2" localSheetId="18">'Прил. 1 План ФХД стоки'!end_chart</definedName>
    <definedName name="end_chart_2" localSheetId="17">'Прил. 1 План ФХД трансп. воды'!end_chart</definedName>
    <definedName name="end_chart_2" localSheetId="16">'Прил. 1 План ФХД трансп. стоков'!end_chart</definedName>
    <definedName name="end_chart_2" localSheetId="76">'Расчет товарной выручки 2018'!end_chart</definedName>
    <definedName name="end_chart_2" localSheetId="25">'Расчет товарной выручки 2019'!end_chart</definedName>
    <definedName name="end_chart_2" localSheetId="20">'Расчет товарной выручки 2021'!end_chart</definedName>
    <definedName name="end_chart_2" localSheetId="77">'рез к 2017-2023'!end_chart</definedName>
    <definedName name="end_chart_2" localSheetId="74">'рез к 2018-2024 (кор) '!end_chart</definedName>
    <definedName name="end_chart_2" localSheetId="13">'Текущий ремонт'!end_chart</definedName>
    <definedName name="end_chart_2" localSheetId="23">'ФАКТ.СЕБЕСТ.ВОДА 9 мес. 2021'!end_chart</definedName>
    <definedName name="end_chart_2" localSheetId="21">'ФАКТ.СЕБЕСТ.СТОКИ 9 мес. 2021'!end_chart</definedName>
    <definedName name="end_chart_2" localSheetId="14">'Чистая прибыль с транспортир.'!end_chart</definedName>
    <definedName name="end_chart_2">[0]!end_chart</definedName>
    <definedName name="end_tabl" localSheetId="75">'А 2018'!end_tabl</definedName>
    <definedName name="end_tabl" localSheetId="59">#N/A</definedName>
    <definedName name="end_tabl" localSheetId="50">'ЗП с факт 3 кв. 2015'!end_tabl</definedName>
    <definedName name="end_tabl" localSheetId="24">#N/A</definedName>
    <definedName name="end_tabl" localSheetId="22">#N/A</definedName>
    <definedName name="end_tabl" localSheetId="19">#N/A</definedName>
    <definedName name="end_tabl" localSheetId="15">#N/A</definedName>
    <definedName name="end_tabl" localSheetId="18">#N/A</definedName>
    <definedName name="end_tabl" localSheetId="17">#N/A</definedName>
    <definedName name="end_tabl" localSheetId="16">#N/A</definedName>
    <definedName name="end_tabl" localSheetId="76">#N/A</definedName>
    <definedName name="end_tabl" localSheetId="25">#N/A</definedName>
    <definedName name="end_tabl" localSheetId="20">#N/A</definedName>
    <definedName name="end_tabl" localSheetId="77">'рез к 2017-2023'!end_tabl</definedName>
    <definedName name="end_tabl" localSheetId="74">'рез к 2018-2024 (кор) '!end_tabl</definedName>
    <definedName name="end_tabl" localSheetId="13">#N/A</definedName>
    <definedName name="end_tabl" localSheetId="23">#N/A</definedName>
    <definedName name="end_tabl" localSheetId="21">#N/A</definedName>
    <definedName name="end_tabl" localSheetId="14">#N/A</definedName>
    <definedName name="end_tabl">end_tabl</definedName>
    <definedName name="end_tabl_10" localSheetId="75">'А 2018'!end_tabl</definedName>
    <definedName name="end_tabl_10" localSheetId="59">'выпадающие расходы'!end_tabl</definedName>
    <definedName name="end_tabl_10" localSheetId="50">'ЗП с факт 3 кв. 2015'!end_tabl</definedName>
    <definedName name="end_tabl_10" localSheetId="24">'ПОЛНАЯ СЕБЕСТОИМОСТЬ ВОДА 2021'!end_tabl</definedName>
    <definedName name="end_tabl_10" localSheetId="22">'ПОЛНАЯ СЕБЕСТОИМОСТЬ СТОКИ 2021'!end_tabl</definedName>
    <definedName name="end_tabl_10" localSheetId="19">'Прил. 1 План ФХД вода '!end_tabl</definedName>
    <definedName name="end_tabl_10" localSheetId="15">'Прил. 1 План ФХД с транспортир.'!end_tabl</definedName>
    <definedName name="end_tabl_10" localSheetId="18">'Прил. 1 План ФХД стоки'!end_tabl</definedName>
    <definedName name="end_tabl_10" localSheetId="17">'Прил. 1 План ФХД трансп. воды'!end_tabl</definedName>
    <definedName name="end_tabl_10" localSheetId="16">'Прил. 1 План ФХД трансп. стоков'!end_tabl</definedName>
    <definedName name="end_tabl_10" localSheetId="76">'Расчет товарной выручки 2018'!end_tabl</definedName>
    <definedName name="end_tabl_10" localSheetId="25">'Расчет товарной выручки 2019'!end_tabl</definedName>
    <definedName name="end_tabl_10" localSheetId="20">'Расчет товарной выручки 2021'!end_tabl</definedName>
    <definedName name="end_tabl_10" localSheetId="77">'рез к 2017-2023'!end_tabl</definedName>
    <definedName name="end_tabl_10" localSheetId="74">'рез к 2018-2024 (кор) '!end_tabl</definedName>
    <definedName name="end_tabl_10" localSheetId="13">'Текущий ремонт'!end_tabl</definedName>
    <definedName name="end_tabl_10" localSheetId="23">'ФАКТ.СЕБЕСТ.ВОДА 9 мес. 2021'!end_tabl</definedName>
    <definedName name="end_tabl_10" localSheetId="21">'ФАКТ.СЕБЕСТ.СТОКИ 9 мес. 2021'!end_tabl</definedName>
    <definedName name="end_tabl_10" localSheetId="14">'Чистая прибыль с транспортир.'!end_tabl</definedName>
    <definedName name="end_tabl_10">[0]!end_tabl</definedName>
    <definedName name="end_tabl_14" localSheetId="75">'А 2018'!end_tabl</definedName>
    <definedName name="end_tabl_14" localSheetId="59">'выпадающие расходы'!end_tabl</definedName>
    <definedName name="end_tabl_14" localSheetId="50">'ЗП с факт 3 кв. 2015'!end_tabl</definedName>
    <definedName name="end_tabl_14" localSheetId="24">'ПОЛНАЯ СЕБЕСТОИМОСТЬ ВОДА 2021'!end_tabl</definedName>
    <definedName name="end_tabl_14" localSheetId="22">'ПОЛНАЯ СЕБЕСТОИМОСТЬ СТОКИ 2021'!end_tabl</definedName>
    <definedName name="end_tabl_14" localSheetId="19">'Прил. 1 План ФХД вода '!end_tabl</definedName>
    <definedName name="end_tabl_14" localSheetId="15">'Прил. 1 План ФХД с транспортир.'!end_tabl</definedName>
    <definedName name="end_tabl_14" localSheetId="18">'Прил. 1 План ФХД стоки'!end_tabl</definedName>
    <definedName name="end_tabl_14" localSheetId="17">'Прил. 1 План ФХД трансп. воды'!end_tabl</definedName>
    <definedName name="end_tabl_14" localSheetId="16">'Прил. 1 План ФХД трансп. стоков'!end_tabl</definedName>
    <definedName name="end_tabl_14" localSheetId="76">'Расчет товарной выручки 2018'!end_tabl</definedName>
    <definedName name="end_tabl_14" localSheetId="25">'Расчет товарной выручки 2019'!end_tabl</definedName>
    <definedName name="end_tabl_14" localSheetId="20">'Расчет товарной выручки 2021'!end_tabl</definedName>
    <definedName name="end_tabl_14" localSheetId="77">'рез к 2017-2023'!end_tabl</definedName>
    <definedName name="end_tabl_14" localSheetId="74">'рез к 2018-2024 (кор) '!end_tabl</definedName>
    <definedName name="end_tabl_14" localSheetId="13">'Текущий ремонт'!end_tabl</definedName>
    <definedName name="end_tabl_14" localSheetId="23">'ФАКТ.СЕБЕСТ.ВОДА 9 мес. 2021'!end_tabl</definedName>
    <definedName name="end_tabl_14" localSheetId="21">'ФАКТ.СЕБЕСТ.СТОКИ 9 мес. 2021'!end_tabl</definedName>
    <definedName name="end_tabl_14" localSheetId="14">'Чистая прибыль с транспортир.'!end_tabl</definedName>
    <definedName name="end_tabl_14">[0]!end_tabl</definedName>
    <definedName name="end_tabl_15" localSheetId="75">'А 2018'!end_tabl</definedName>
    <definedName name="end_tabl_15" localSheetId="59">'выпадающие расходы'!end_tabl</definedName>
    <definedName name="end_tabl_15" localSheetId="50">'ЗП с факт 3 кв. 2015'!end_tabl</definedName>
    <definedName name="end_tabl_15" localSheetId="24">'ПОЛНАЯ СЕБЕСТОИМОСТЬ ВОДА 2021'!end_tabl</definedName>
    <definedName name="end_tabl_15" localSheetId="22">'ПОЛНАЯ СЕБЕСТОИМОСТЬ СТОКИ 2021'!end_tabl</definedName>
    <definedName name="end_tabl_15" localSheetId="19">'Прил. 1 План ФХД вода '!end_tabl</definedName>
    <definedName name="end_tabl_15" localSheetId="15">'Прил. 1 План ФХД с транспортир.'!end_tabl</definedName>
    <definedName name="end_tabl_15" localSheetId="18">'Прил. 1 План ФХД стоки'!end_tabl</definedName>
    <definedName name="end_tabl_15" localSheetId="17">'Прил. 1 План ФХД трансп. воды'!end_tabl</definedName>
    <definedName name="end_tabl_15" localSheetId="16">'Прил. 1 План ФХД трансп. стоков'!end_tabl</definedName>
    <definedName name="end_tabl_15" localSheetId="76">'Расчет товарной выручки 2018'!end_tabl</definedName>
    <definedName name="end_tabl_15" localSheetId="25">'Расчет товарной выручки 2019'!end_tabl</definedName>
    <definedName name="end_tabl_15" localSheetId="20">'Расчет товарной выручки 2021'!end_tabl</definedName>
    <definedName name="end_tabl_15" localSheetId="77">'рез к 2017-2023'!end_tabl</definedName>
    <definedName name="end_tabl_15" localSheetId="74">'рез к 2018-2024 (кор) '!end_tabl</definedName>
    <definedName name="end_tabl_15" localSheetId="13">'Текущий ремонт'!end_tabl</definedName>
    <definedName name="end_tabl_15" localSheetId="23">'ФАКТ.СЕБЕСТ.ВОДА 9 мес. 2021'!end_tabl</definedName>
    <definedName name="end_tabl_15" localSheetId="21">'ФАКТ.СЕБЕСТ.СТОКИ 9 мес. 2021'!end_tabl</definedName>
    <definedName name="end_tabl_15" localSheetId="14">'Чистая прибыль с транспортир.'!end_tabl</definedName>
    <definedName name="end_tabl_15">[0]!end_tabl</definedName>
    <definedName name="end_tabl_16" localSheetId="75">'А 2018'!end_tabl</definedName>
    <definedName name="end_tabl_16" localSheetId="59">'выпадающие расходы'!end_tabl</definedName>
    <definedName name="end_tabl_16" localSheetId="50">'ЗП с факт 3 кв. 2015'!end_tabl</definedName>
    <definedName name="end_tabl_16" localSheetId="24">'ПОЛНАЯ СЕБЕСТОИМОСТЬ ВОДА 2021'!end_tabl</definedName>
    <definedName name="end_tabl_16" localSheetId="22">'ПОЛНАЯ СЕБЕСТОИМОСТЬ СТОКИ 2021'!end_tabl</definedName>
    <definedName name="end_tabl_16" localSheetId="19">'Прил. 1 План ФХД вода '!end_tabl</definedName>
    <definedName name="end_tabl_16" localSheetId="15">'Прил. 1 План ФХД с транспортир.'!end_tabl</definedName>
    <definedName name="end_tabl_16" localSheetId="18">'Прил. 1 План ФХД стоки'!end_tabl</definedName>
    <definedName name="end_tabl_16" localSheetId="17">'Прил. 1 План ФХД трансп. воды'!end_tabl</definedName>
    <definedName name="end_tabl_16" localSheetId="16">'Прил. 1 План ФХД трансп. стоков'!end_tabl</definedName>
    <definedName name="end_tabl_16" localSheetId="76">'Расчет товарной выручки 2018'!end_tabl</definedName>
    <definedName name="end_tabl_16" localSheetId="25">'Расчет товарной выручки 2019'!end_tabl</definedName>
    <definedName name="end_tabl_16" localSheetId="20">'Расчет товарной выручки 2021'!end_tabl</definedName>
    <definedName name="end_tabl_16" localSheetId="77">'рез к 2017-2023'!end_tabl</definedName>
    <definedName name="end_tabl_16" localSheetId="74">'рез к 2018-2024 (кор) '!end_tabl</definedName>
    <definedName name="end_tabl_16" localSheetId="13">'Текущий ремонт'!end_tabl</definedName>
    <definedName name="end_tabl_16" localSheetId="23">'ФАКТ.СЕБЕСТ.ВОДА 9 мес. 2021'!end_tabl</definedName>
    <definedName name="end_tabl_16" localSheetId="21">'ФАКТ.СЕБЕСТ.СТОКИ 9 мес. 2021'!end_tabl</definedName>
    <definedName name="end_tabl_16" localSheetId="14">'Чистая прибыль с транспортир.'!end_tabl</definedName>
    <definedName name="end_tabl_16">[0]!end_tabl</definedName>
    <definedName name="end_tabl_2" localSheetId="75">'А 2018'!end_tabl</definedName>
    <definedName name="end_tabl_2" localSheetId="59">'выпадающие расходы'!end_tabl</definedName>
    <definedName name="end_tabl_2" localSheetId="50">'ЗП с факт 3 кв. 2015'!end_tabl</definedName>
    <definedName name="end_tabl_2" localSheetId="24">'ПОЛНАЯ СЕБЕСТОИМОСТЬ ВОДА 2021'!end_tabl</definedName>
    <definedName name="end_tabl_2" localSheetId="22">'ПОЛНАЯ СЕБЕСТОИМОСТЬ СТОКИ 2021'!end_tabl</definedName>
    <definedName name="end_tabl_2" localSheetId="19">'Прил. 1 План ФХД вода '!end_tabl</definedName>
    <definedName name="end_tabl_2" localSheetId="15">'Прил. 1 План ФХД с транспортир.'!end_tabl</definedName>
    <definedName name="end_tabl_2" localSheetId="18">'Прил. 1 План ФХД стоки'!end_tabl</definedName>
    <definedName name="end_tabl_2" localSheetId="17">'Прил. 1 План ФХД трансп. воды'!end_tabl</definedName>
    <definedName name="end_tabl_2" localSheetId="16">'Прил. 1 План ФХД трансп. стоков'!end_tabl</definedName>
    <definedName name="end_tabl_2" localSheetId="76">'Расчет товарной выручки 2018'!end_tabl</definedName>
    <definedName name="end_tabl_2" localSheetId="25">'Расчет товарной выручки 2019'!end_tabl</definedName>
    <definedName name="end_tabl_2" localSheetId="20">'Расчет товарной выручки 2021'!end_tabl</definedName>
    <definedName name="end_tabl_2" localSheetId="77">'рез к 2017-2023'!end_tabl</definedName>
    <definedName name="end_tabl_2" localSheetId="74">'рез к 2018-2024 (кор) '!end_tabl</definedName>
    <definedName name="end_tabl_2" localSheetId="13">'Текущий ремонт'!end_tabl</definedName>
    <definedName name="end_tabl_2" localSheetId="23">'ФАКТ.СЕБЕСТ.ВОДА 9 мес. 2021'!end_tabl</definedName>
    <definedName name="end_tabl_2" localSheetId="21">'ФАКТ.СЕБЕСТ.СТОКИ 9 мес. 2021'!end_tabl</definedName>
    <definedName name="end_tabl_2" localSheetId="14">'Чистая прибыль с транспортир.'!end_tabl</definedName>
    <definedName name="end_tabl_2">[0]!end_tabl</definedName>
    <definedName name="Excel_BuiltIn__FilterDatabase" localSheetId="75">#REF!</definedName>
    <definedName name="Excel_BuiltIn__FilterDatabase" localSheetId="59">#REF!</definedName>
    <definedName name="Excel_BuiltIn__FilterDatabase" localSheetId="50">#REF!</definedName>
    <definedName name="Excel_BuiltIn__FilterDatabase" localSheetId="32">#REF!</definedName>
    <definedName name="Excel_BuiltIn__FilterDatabase" localSheetId="15">#REF!</definedName>
    <definedName name="Excel_BuiltIn__FilterDatabase" localSheetId="17">#REF!</definedName>
    <definedName name="Excel_BuiltIn__FilterDatabase" localSheetId="16">#REF!</definedName>
    <definedName name="Excel_BuiltIn__FilterDatabase" localSheetId="76">#REF!</definedName>
    <definedName name="Excel_BuiltIn__FilterDatabase" localSheetId="25">#REF!</definedName>
    <definedName name="Excel_BuiltIn__FilterDatabase" localSheetId="20">#REF!</definedName>
    <definedName name="Excel_BuiltIn__FilterDatabase" localSheetId="77">#REF!</definedName>
    <definedName name="Excel_BuiltIn__FilterDatabase" localSheetId="74">#REF!</definedName>
    <definedName name="Excel_BuiltIn__FilterDatabase" localSheetId="31">#REF!</definedName>
    <definedName name="Excel_BuiltIn__FilterDatabase" localSheetId="30">#REF!</definedName>
    <definedName name="Excel_BuiltIn__FilterDatabase" localSheetId="14">#REF!</definedName>
    <definedName name="Excel_BuiltIn__FilterDatabase" localSheetId="36">#REF!</definedName>
    <definedName name="Excel_BuiltIn__FilterDatabase">#REF!</definedName>
    <definedName name="Excel_BuiltIn_Print_Area_15" localSheetId="75">'[8]распределение январь по бухг.'!#REF!</definedName>
    <definedName name="Excel_BuiltIn_Print_Area_15" localSheetId="59">'[9]распределение январь по бухг.'!#REF!</definedName>
    <definedName name="Excel_BuiltIn_Print_Area_15" localSheetId="50">'[10]распределение январь по бухг.'!#REF!</definedName>
    <definedName name="Excel_BuiltIn_Print_Area_15" localSheetId="32">'[10]распределение январь по бухг.'!#REF!</definedName>
    <definedName name="Excel_BuiltIn_Print_Area_15" localSheetId="24">'[10]распределение январь по бухг.'!#REF!</definedName>
    <definedName name="Excel_BuiltIn_Print_Area_15" localSheetId="22">'[10]распределение январь по бухг.'!#REF!</definedName>
    <definedName name="Excel_BuiltIn_Print_Area_15" localSheetId="19">'[10]распределение январь по бухг.'!#REF!</definedName>
    <definedName name="Excel_BuiltIn_Print_Area_15" localSheetId="15">'[10]распределение январь по бухг.'!#REF!</definedName>
    <definedName name="Excel_BuiltIn_Print_Area_15" localSheetId="18">'[10]распределение январь по бухг.'!#REF!</definedName>
    <definedName name="Excel_BuiltIn_Print_Area_15" localSheetId="17">'[10]распределение январь по бухг.'!#REF!</definedName>
    <definedName name="Excel_BuiltIn_Print_Area_15" localSheetId="16">'[10]распределение январь по бухг.'!#REF!</definedName>
    <definedName name="Excel_BuiltIn_Print_Area_15" localSheetId="76">'[9]распределение январь по бухг.'!#REF!</definedName>
    <definedName name="Excel_BuiltIn_Print_Area_15" localSheetId="25">'[10]распределение январь по бухг.'!#REF!</definedName>
    <definedName name="Excel_BuiltIn_Print_Area_15" localSheetId="20">'[9]распределение январь по бухг.'!#REF!</definedName>
    <definedName name="Excel_BuiltIn_Print_Area_15" localSheetId="77">'[9]распределение январь по бухг.'!#REF!</definedName>
    <definedName name="Excel_BuiltIn_Print_Area_15" localSheetId="74">'[9]распределение январь по бухг.'!#REF!</definedName>
    <definedName name="Excel_BuiltIn_Print_Area_15" localSheetId="31">'[10]распределение январь по бухг.'!#REF!</definedName>
    <definedName name="Excel_BuiltIn_Print_Area_15" localSheetId="13">'[10]распределение январь по бухг.'!#REF!</definedName>
    <definedName name="Excel_BuiltIn_Print_Area_15" localSheetId="30">'[10]распределение январь по бухг.'!#REF!</definedName>
    <definedName name="Excel_BuiltIn_Print_Area_15" localSheetId="23">'[10]распределение январь по бухг.'!#REF!</definedName>
    <definedName name="Excel_BuiltIn_Print_Area_15" localSheetId="21">'[10]распределение январь по бухг.'!#REF!</definedName>
    <definedName name="Excel_BuiltIn_Print_Area_15" localSheetId="14">'[10]распределение январь по бухг.'!#REF!</definedName>
    <definedName name="Excel_BuiltIn_Print_Area_15" localSheetId="36">'[10]распределение январь по бухг.'!#REF!</definedName>
    <definedName name="Excel_BuiltIn_Print_Area_15">'[10]распределение январь по бухг.'!#REF!</definedName>
    <definedName name="Excel_BuiltIn_Print_Area_21" localSheetId="75">[8]расшифровка!#REF!</definedName>
    <definedName name="Excel_BuiltIn_Print_Area_21" localSheetId="59">[9]расшифровка!#REF!</definedName>
    <definedName name="Excel_BuiltIn_Print_Area_21" localSheetId="50">[10]расшифровка!#REF!</definedName>
    <definedName name="Excel_BuiltIn_Print_Area_21" localSheetId="32">[10]расшифровка!#REF!</definedName>
    <definedName name="Excel_BuiltIn_Print_Area_21" localSheetId="24">[10]расшифровка!#REF!</definedName>
    <definedName name="Excel_BuiltIn_Print_Area_21" localSheetId="22">[10]расшифровка!#REF!</definedName>
    <definedName name="Excel_BuiltIn_Print_Area_21" localSheetId="19">[10]расшифровка!#REF!</definedName>
    <definedName name="Excel_BuiltIn_Print_Area_21" localSheetId="15">[10]расшифровка!#REF!</definedName>
    <definedName name="Excel_BuiltIn_Print_Area_21" localSheetId="18">[10]расшифровка!#REF!</definedName>
    <definedName name="Excel_BuiltIn_Print_Area_21" localSheetId="17">[10]расшифровка!#REF!</definedName>
    <definedName name="Excel_BuiltIn_Print_Area_21" localSheetId="16">[10]расшифровка!#REF!</definedName>
    <definedName name="Excel_BuiltIn_Print_Area_21" localSheetId="76">[9]расшифровка!#REF!</definedName>
    <definedName name="Excel_BuiltIn_Print_Area_21" localSheetId="25">[10]расшифровка!#REF!</definedName>
    <definedName name="Excel_BuiltIn_Print_Area_21" localSheetId="20">[9]расшифровка!#REF!</definedName>
    <definedName name="Excel_BuiltIn_Print_Area_21" localSheetId="77">[9]расшифровка!#REF!</definedName>
    <definedName name="Excel_BuiltIn_Print_Area_21" localSheetId="74">[9]расшифровка!#REF!</definedName>
    <definedName name="Excel_BuiltIn_Print_Area_21" localSheetId="31">[10]расшифровка!#REF!</definedName>
    <definedName name="Excel_BuiltIn_Print_Area_21" localSheetId="13">[10]расшифровка!#REF!</definedName>
    <definedName name="Excel_BuiltIn_Print_Area_21" localSheetId="30">[10]расшифровка!#REF!</definedName>
    <definedName name="Excel_BuiltIn_Print_Area_21" localSheetId="23">[10]расшифровка!#REF!</definedName>
    <definedName name="Excel_BuiltIn_Print_Area_21" localSheetId="21">[10]расшифровка!#REF!</definedName>
    <definedName name="Excel_BuiltIn_Print_Area_21" localSheetId="14">[10]расшифровка!#REF!</definedName>
    <definedName name="Excel_BuiltIn_Print_Area_21" localSheetId="36">[10]расшифровка!#REF!</definedName>
    <definedName name="Excel_BuiltIn_Print_Area_21">[10]расшифровка!#REF!</definedName>
    <definedName name="Excel_BuiltIn_Print_Area_22" localSheetId="75">'[8]ЗП и резервы'!#REF!</definedName>
    <definedName name="Excel_BuiltIn_Print_Area_22" localSheetId="59">'[9]ЗП и резервы'!#REF!</definedName>
    <definedName name="Excel_BuiltIn_Print_Area_22" localSheetId="50">'[10]ЗП и резервы'!#REF!</definedName>
    <definedName name="Excel_BuiltIn_Print_Area_22" localSheetId="32">'[10]ЗП и резервы'!#REF!</definedName>
    <definedName name="Excel_BuiltIn_Print_Area_22" localSheetId="24">'[10]ЗП и резервы'!#REF!</definedName>
    <definedName name="Excel_BuiltIn_Print_Area_22" localSheetId="22">'[10]ЗП и резервы'!#REF!</definedName>
    <definedName name="Excel_BuiltIn_Print_Area_22" localSheetId="19">'[10]ЗП и резервы'!#REF!</definedName>
    <definedName name="Excel_BuiltIn_Print_Area_22" localSheetId="15">'[10]ЗП и резервы'!#REF!</definedName>
    <definedName name="Excel_BuiltIn_Print_Area_22" localSheetId="18">'[10]ЗП и резервы'!#REF!</definedName>
    <definedName name="Excel_BuiltIn_Print_Area_22" localSheetId="17">'[10]ЗП и резервы'!#REF!</definedName>
    <definedName name="Excel_BuiltIn_Print_Area_22" localSheetId="16">'[10]ЗП и резервы'!#REF!</definedName>
    <definedName name="Excel_BuiltIn_Print_Area_22" localSheetId="76">'[9]ЗП и резервы'!#REF!</definedName>
    <definedName name="Excel_BuiltIn_Print_Area_22" localSheetId="25">'[10]ЗП и резервы'!#REF!</definedName>
    <definedName name="Excel_BuiltIn_Print_Area_22" localSheetId="20">'[9]ЗП и резервы'!#REF!</definedName>
    <definedName name="Excel_BuiltIn_Print_Area_22" localSheetId="77">'[9]ЗП и резервы'!#REF!</definedName>
    <definedName name="Excel_BuiltIn_Print_Area_22" localSheetId="74">'[9]ЗП и резервы'!#REF!</definedName>
    <definedName name="Excel_BuiltIn_Print_Area_22" localSheetId="31">'[10]ЗП и резервы'!#REF!</definedName>
    <definedName name="Excel_BuiltIn_Print_Area_22" localSheetId="13">'[10]ЗП и резервы'!#REF!</definedName>
    <definedName name="Excel_BuiltIn_Print_Area_22" localSheetId="30">'[10]ЗП и резервы'!#REF!</definedName>
    <definedName name="Excel_BuiltIn_Print_Area_22" localSheetId="23">'[10]ЗП и резервы'!#REF!</definedName>
    <definedName name="Excel_BuiltIn_Print_Area_22" localSheetId="21">'[10]ЗП и резервы'!#REF!</definedName>
    <definedName name="Excel_BuiltIn_Print_Area_22" localSheetId="14">'[10]ЗП и резервы'!#REF!</definedName>
    <definedName name="Excel_BuiltIn_Print_Area_22" localSheetId="36">'[10]ЗП и резервы'!#REF!</definedName>
    <definedName name="Excel_BuiltIn_Print_Area_22">'[10]ЗП и резервы'!#REF!</definedName>
    <definedName name="Excel_BuiltIn_Print_Area_4" localSheetId="75">[11]Прибыль1!#REF!</definedName>
    <definedName name="Excel_BuiltIn_Print_Area_4" localSheetId="59">[12]Прибыль1!#REF!</definedName>
    <definedName name="Excel_BuiltIn_Print_Area_4" localSheetId="50">[13]Прибыль1!#REF!</definedName>
    <definedName name="Excel_BuiltIn_Print_Area_4" localSheetId="32">[13]Прибыль1!#REF!</definedName>
    <definedName name="Excel_BuiltIn_Print_Area_4" localSheetId="24">[13]Прибыль1!#REF!</definedName>
    <definedName name="Excel_BuiltIn_Print_Area_4" localSheetId="22">[13]Прибыль1!#REF!</definedName>
    <definedName name="Excel_BuiltIn_Print_Area_4" localSheetId="19">[13]Прибыль1!#REF!</definedName>
    <definedName name="Excel_BuiltIn_Print_Area_4" localSheetId="15">[13]Прибыль1!#REF!</definedName>
    <definedName name="Excel_BuiltIn_Print_Area_4" localSheetId="18">[13]Прибыль1!#REF!</definedName>
    <definedName name="Excel_BuiltIn_Print_Area_4" localSheetId="17">[13]Прибыль1!#REF!</definedName>
    <definedName name="Excel_BuiltIn_Print_Area_4" localSheetId="16">[13]Прибыль1!#REF!</definedName>
    <definedName name="Excel_BuiltIn_Print_Area_4" localSheetId="76">[12]Прибыль1!#REF!</definedName>
    <definedName name="Excel_BuiltIn_Print_Area_4" localSheetId="25">[13]Прибыль1!#REF!</definedName>
    <definedName name="Excel_BuiltIn_Print_Area_4" localSheetId="20">[12]Прибыль1!#REF!</definedName>
    <definedName name="Excel_BuiltIn_Print_Area_4" localSheetId="77">[12]Прибыль1!#REF!</definedName>
    <definedName name="Excel_BuiltIn_Print_Area_4" localSheetId="74">[12]Прибыль1!#REF!</definedName>
    <definedName name="Excel_BuiltIn_Print_Area_4" localSheetId="31">[13]Прибыль1!#REF!</definedName>
    <definedName name="Excel_BuiltIn_Print_Area_4" localSheetId="13">[13]Прибыль1!#REF!</definedName>
    <definedName name="Excel_BuiltIn_Print_Area_4" localSheetId="30">[13]Прибыль1!#REF!</definedName>
    <definedName name="Excel_BuiltIn_Print_Area_4" localSheetId="23">[13]Прибыль1!#REF!</definedName>
    <definedName name="Excel_BuiltIn_Print_Area_4" localSheetId="21">[13]Прибыль1!#REF!</definedName>
    <definedName name="Excel_BuiltIn_Print_Area_4" localSheetId="14">[13]Прибыль1!#REF!</definedName>
    <definedName name="Excel_BuiltIn_Print_Area_4" localSheetId="36">[13]Прибыль1!#REF!</definedName>
    <definedName name="Excel_BuiltIn_Print_Area_4">[13]Прибыль1!#REF!</definedName>
    <definedName name="Excel_BuiltIn_Print_Area_5" localSheetId="75">#REF!</definedName>
    <definedName name="Excel_BuiltIn_Print_Area_5" localSheetId="59">#REF!</definedName>
    <definedName name="Excel_BuiltIn_Print_Area_5" localSheetId="50">#REF!</definedName>
    <definedName name="Excel_BuiltIn_Print_Area_5" localSheetId="32">#REF!</definedName>
    <definedName name="Excel_BuiltIn_Print_Area_5" localSheetId="15">#REF!</definedName>
    <definedName name="Excel_BuiltIn_Print_Area_5" localSheetId="17">#REF!</definedName>
    <definedName name="Excel_BuiltIn_Print_Area_5" localSheetId="16">#REF!</definedName>
    <definedName name="Excel_BuiltIn_Print_Area_5" localSheetId="76">#REF!</definedName>
    <definedName name="Excel_BuiltIn_Print_Area_5" localSheetId="25">#REF!</definedName>
    <definedName name="Excel_BuiltIn_Print_Area_5" localSheetId="20">#REF!</definedName>
    <definedName name="Excel_BuiltIn_Print_Area_5" localSheetId="77">#REF!</definedName>
    <definedName name="Excel_BuiltIn_Print_Area_5" localSheetId="74">#REF!</definedName>
    <definedName name="Excel_BuiltIn_Print_Area_5" localSheetId="31">#REF!</definedName>
    <definedName name="Excel_BuiltIn_Print_Area_5" localSheetId="30">#REF!</definedName>
    <definedName name="Excel_BuiltIn_Print_Area_5" localSheetId="14">#REF!</definedName>
    <definedName name="Excel_BuiltIn_Print_Area_5" localSheetId="36">#REF!</definedName>
    <definedName name="Excel_BuiltIn_Print_Area_5">#REF!</definedName>
    <definedName name="Excel_BuiltIn_Print_Area_59" localSheetId="75">#REF!</definedName>
    <definedName name="Excel_BuiltIn_Print_Area_59" localSheetId="59">#REF!</definedName>
    <definedName name="Excel_BuiltIn_Print_Area_59" localSheetId="50">#REF!</definedName>
    <definedName name="Excel_BuiltIn_Print_Area_59" localSheetId="32">#REF!</definedName>
    <definedName name="Excel_BuiltIn_Print_Area_59" localSheetId="15">#REF!</definedName>
    <definedName name="Excel_BuiltIn_Print_Area_59" localSheetId="17">#REF!</definedName>
    <definedName name="Excel_BuiltIn_Print_Area_59" localSheetId="16">#REF!</definedName>
    <definedName name="Excel_BuiltIn_Print_Area_59" localSheetId="76">#REF!</definedName>
    <definedName name="Excel_BuiltIn_Print_Area_59" localSheetId="25">#REF!</definedName>
    <definedName name="Excel_BuiltIn_Print_Area_59" localSheetId="20">#REF!</definedName>
    <definedName name="Excel_BuiltIn_Print_Area_59" localSheetId="77">#REF!</definedName>
    <definedName name="Excel_BuiltIn_Print_Area_59" localSheetId="74">#REF!</definedName>
    <definedName name="Excel_BuiltIn_Print_Area_59" localSheetId="31">#REF!</definedName>
    <definedName name="Excel_BuiltIn_Print_Area_59" localSheetId="30">#REF!</definedName>
    <definedName name="Excel_BuiltIn_Print_Area_59" localSheetId="14">#REF!</definedName>
    <definedName name="Excel_BuiltIn_Print_Area_59" localSheetId="36">#REF!</definedName>
    <definedName name="Excel_BuiltIn_Print_Area_59">#REF!</definedName>
    <definedName name="Excel_BuiltIn_Print_Area_59_1" localSheetId="75">#REF!</definedName>
    <definedName name="Excel_BuiltIn_Print_Area_59_1" localSheetId="59">#REF!</definedName>
    <definedName name="Excel_BuiltIn_Print_Area_59_1" localSheetId="50">#REF!</definedName>
    <definedName name="Excel_BuiltIn_Print_Area_59_1" localSheetId="32">#REF!</definedName>
    <definedName name="Excel_BuiltIn_Print_Area_59_1" localSheetId="15">#REF!</definedName>
    <definedName name="Excel_BuiltIn_Print_Area_59_1" localSheetId="17">#REF!</definedName>
    <definedName name="Excel_BuiltIn_Print_Area_59_1" localSheetId="16">#REF!</definedName>
    <definedName name="Excel_BuiltIn_Print_Area_59_1" localSheetId="76">#REF!</definedName>
    <definedName name="Excel_BuiltIn_Print_Area_59_1" localSheetId="25">#REF!</definedName>
    <definedName name="Excel_BuiltIn_Print_Area_59_1" localSheetId="20">#REF!</definedName>
    <definedName name="Excel_BuiltIn_Print_Area_59_1" localSheetId="77">#REF!</definedName>
    <definedName name="Excel_BuiltIn_Print_Area_59_1" localSheetId="74">#REF!</definedName>
    <definedName name="Excel_BuiltIn_Print_Area_59_1" localSheetId="31">#REF!</definedName>
    <definedName name="Excel_BuiltIn_Print_Area_59_1" localSheetId="30">#REF!</definedName>
    <definedName name="Excel_BuiltIn_Print_Area_59_1" localSheetId="14">#REF!</definedName>
    <definedName name="Excel_BuiltIn_Print_Area_59_1" localSheetId="36">#REF!</definedName>
    <definedName name="Excel_BuiltIn_Print_Area_59_1">#REF!</definedName>
    <definedName name="Excel_BuiltIn_Print_Area_59_10" localSheetId="75">#REF!</definedName>
    <definedName name="Excel_BuiltIn_Print_Area_59_10" localSheetId="59">#REF!</definedName>
    <definedName name="Excel_BuiltIn_Print_Area_59_10" localSheetId="32">#REF!</definedName>
    <definedName name="Excel_BuiltIn_Print_Area_59_10" localSheetId="15">#REF!</definedName>
    <definedName name="Excel_BuiltIn_Print_Area_59_10" localSheetId="17">#REF!</definedName>
    <definedName name="Excel_BuiltIn_Print_Area_59_10" localSheetId="16">#REF!</definedName>
    <definedName name="Excel_BuiltIn_Print_Area_59_10" localSheetId="76">#REF!</definedName>
    <definedName name="Excel_BuiltIn_Print_Area_59_10" localSheetId="25">#REF!</definedName>
    <definedName name="Excel_BuiltIn_Print_Area_59_10" localSheetId="20">#REF!</definedName>
    <definedName name="Excel_BuiltIn_Print_Area_59_10" localSheetId="77">#REF!</definedName>
    <definedName name="Excel_BuiltIn_Print_Area_59_10" localSheetId="74">#REF!</definedName>
    <definedName name="Excel_BuiltIn_Print_Area_59_10" localSheetId="31">#REF!</definedName>
    <definedName name="Excel_BuiltIn_Print_Area_59_10" localSheetId="30">#REF!</definedName>
    <definedName name="Excel_BuiltIn_Print_Area_59_10" localSheetId="14">#REF!</definedName>
    <definedName name="Excel_BuiltIn_Print_Area_59_10" localSheetId="36">#REF!</definedName>
    <definedName name="Excel_BuiltIn_Print_Area_59_10">#REF!</definedName>
    <definedName name="Excel_BuiltIn_Print_Area_59_11" localSheetId="75">#REF!</definedName>
    <definedName name="Excel_BuiltIn_Print_Area_59_11" localSheetId="59">#REF!</definedName>
    <definedName name="Excel_BuiltIn_Print_Area_59_11" localSheetId="32">#REF!</definedName>
    <definedName name="Excel_BuiltIn_Print_Area_59_11" localSheetId="15">#REF!</definedName>
    <definedName name="Excel_BuiltIn_Print_Area_59_11" localSheetId="17">#REF!</definedName>
    <definedName name="Excel_BuiltIn_Print_Area_59_11" localSheetId="16">#REF!</definedName>
    <definedName name="Excel_BuiltIn_Print_Area_59_11" localSheetId="76">#REF!</definedName>
    <definedName name="Excel_BuiltIn_Print_Area_59_11" localSheetId="25">#REF!</definedName>
    <definedName name="Excel_BuiltIn_Print_Area_59_11" localSheetId="20">#REF!</definedName>
    <definedName name="Excel_BuiltIn_Print_Area_59_11" localSheetId="77">#REF!</definedName>
    <definedName name="Excel_BuiltIn_Print_Area_59_11" localSheetId="74">#REF!</definedName>
    <definedName name="Excel_BuiltIn_Print_Area_59_11" localSheetId="31">#REF!</definedName>
    <definedName name="Excel_BuiltIn_Print_Area_59_11" localSheetId="30">#REF!</definedName>
    <definedName name="Excel_BuiltIn_Print_Area_59_11" localSheetId="14">#REF!</definedName>
    <definedName name="Excel_BuiltIn_Print_Area_59_11" localSheetId="36">#REF!</definedName>
    <definedName name="Excel_BuiltIn_Print_Area_59_11">#REF!</definedName>
    <definedName name="Excel_BuiltIn_Print_Area_59_13" localSheetId="75">#REF!</definedName>
    <definedName name="Excel_BuiltIn_Print_Area_59_13" localSheetId="59">#REF!</definedName>
    <definedName name="Excel_BuiltIn_Print_Area_59_13" localSheetId="32">#REF!</definedName>
    <definedName name="Excel_BuiltIn_Print_Area_59_13" localSheetId="15">#REF!</definedName>
    <definedName name="Excel_BuiltIn_Print_Area_59_13" localSheetId="17">#REF!</definedName>
    <definedName name="Excel_BuiltIn_Print_Area_59_13" localSheetId="16">#REF!</definedName>
    <definedName name="Excel_BuiltIn_Print_Area_59_13" localSheetId="76">#REF!</definedName>
    <definedName name="Excel_BuiltIn_Print_Area_59_13" localSheetId="25">#REF!</definedName>
    <definedName name="Excel_BuiltIn_Print_Area_59_13" localSheetId="20">#REF!</definedName>
    <definedName name="Excel_BuiltIn_Print_Area_59_13" localSheetId="77">#REF!</definedName>
    <definedName name="Excel_BuiltIn_Print_Area_59_13" localSheetId="74">#REF!</definedName>
    <definedName name="Excel_BuiltIn_Print_Area_59_13" localSheetId="31">#REF!</definedName>
    <definedName name="Excel_BuiltIn_Print_Area_59_13" localSheetId="30">#REF!</definedName>
    <definedName name="Excel_BuiltIn_Print_Area_59_13" localSheetId="14">#REF!</definedName>
    <definedName name="Excel_BuiltIn_Print_Area_59_13" localSheetId="36">#REF!</definedName>
    <definedName name="Excel_BuiltIn_Print_Area_59_13">#REF!</definedName>
    <definedName name="Excel_BuiltIn_Print_Area_59_14" localSheetId="75">#REF!</definedName>
    <definedName name="Excel_BuiltIn_Print_Area_59_14" localSheetId="59">#REF!</definedName>
    <definedName name="Excel_BuiltIn_Print_Area_59_14" localSheetId="32">#REF!</definedName>
    <definedName name="Excel_BuiltIn_Print_Area_59_14" localSheetId="15">#REF!</definedName>
    <definedName name="Excel_BuiltIn_Print_Area_59_14" localSheetId="17">#REF!</definedName>
    <definedName name="Excel_BuiltIn_Print_Area_59_14" localSheetId="16">#REF!</definedName>
    <definedName name="Excel_BuiltIn_Print_Area_59_14" localSheetId="76">#REF!</definedName>
    <definedName name="Excel_BuiltIn_Print_Area_59_14" localSheetId="25">#REF!</definedName>
    <definedName name="Excel_BuiltIn_Print_Area_59_14" localSheetId="20">#REF!</definedName>
    <definedName name="Excel_BuiltIn_Print_Area_59_14" localSheetId="77">#REF!</definedName>
    <definedName name="Excel_BuiltIn_Print_Area_59_14" localSheetId="74">#REF!</definedName>
    <definedName name="Excel_BuiltIn_Print_Area_59_14" localSheetId="31">#REF!</definedName>
    <definedName name="Excel_BuiltIn_Print_Area_59_14" localSheetId="30">#REF!</definedName>
    <definedName name="Excel_BuiltIn_Print_Area_59_14" localSheetId="14">#REF!</definedName>
    <definedName name="Excel_BuiltIn_Print_Area_59_14" localSheetId="36">#REF!</definedName>
    <definedName name="Excel_BuiltIn_Print_Area_59_14">#REF!</definedName>
    <definedName name="Excel_BuiltIn_Print_Area_59_15" localSheetId="75">#REF!</definedName>
    <definedName name="Excel_BuiltIn_Print_Area_59_15" localSheetId="59">#REF!</definedName>
    <definedName name="Excel_BuiltIn_Print_Area_59_15" localSheetId="32">#REF!</definedName>
    <definedName name="Excel_BuiltIn_Print_Area_59_15" localSheetId="15">#REF!</definedName>
    <definedName name="Excel_BuiltIn_Print_Area_59_15" localSheetId="17">#REF!</definedName>
    <definedName name="Excel_BuiltIn_Print_Area_59_15" localSheetId="16">#REF!</definedName>
    <definedName name="Excel_BuiltIn_Print_Area_59_15" localSheetId="76">#REF!</definedName>
    <definedName name="Excel_BuiltIn_Print_Area_59_15" localSheetId="25">#REF!</definedName>
    <definedName name="Excel_BuiltIn_Print_Area_59_15" localSheetId="20">#REF!</definedName>
    <definedName name="Excel_BuiltIn_Print_Area_59_15" localSheetId="77">#REF!</definedName>
    <definedName name="Excel_BuiltIn_Print_Area_59_15" localSheetId="74">#REF!</definedName>
    <definedName name="Excel_BuiltIn_Print_Area_59_15" localSheetId="31">#REF!</definedName>
    <definedName name="Excel_BuiltIn_Print_Area_59_15" localSheetId="30">#REF!</definedName>
    <definedName name="Excel_BuiltIn_Print_Area_59_15" localSheetId="14">#REF!</definedName>
    <definedName name="Excel_BuiltIn_Print_Area_59_15" localSheetId="36">#REF!</definedName>
    <definedName name="Excel_BuiltIn_Print_Area_59_15">#REF!</definedName>
    <definedName name="Excel_BuiltIn_Print_Area_59_16" localSheetId="75">#REF!</definedName>
    <definedName name="Excel_BuiltIn_Print_Area_59_16" localSheetId="59">#REF!</definedName>
    <definedName name="Excel_BuiltIn_Print_Area_59_16" localSheetId="32">#REF!</definedName>
    <definedName name="Excel_BuiltIn_Print_Area_59_16" localSheetId="15">#REF!</definedName>
    <definedName name="Excel_BuiltIn_Print_Area_59_16" localSheetId="17">#REF!</definedName>
    <definedName name="Excel_BuiltIn_Print_Area_59_16" localSheetId="16">#REF!</definedName>
    <definedName name="Excel_BuiltIn_Print_Area_59_16" localSheetId="76">#REF!</definedName>
    <definedName name="Excel_BuiltIn_Print_Area_59_16" localSheetId="25">#REF!</definedName>
    <definedName name="Excel_BuiltIn_Print_Area_59_16" localSheetId="20">#REF!</definedName>
    <definedName name="Excel_BuiltIn_Print_Area_59_16" localSheetId="77">#REF!</definedName>
    <definedName name="Excel_BuiltIn_Print_Area_59_16" localSheetId="74">#REF!</definedName>
    <definedName name="Excel_BuiltIn_Print_Area_59_16" localSheetId="31">#REF!</definedName>
    <definedName name="Excel_BuiltIn_Print_Area_59_16" localSheetId="30">#REF!</definedName>
    <definedName name="Excel_BuiltIn_Print_Area_59_16" localSheetId="14">#REF!</definedName>
    <definedName name="Excel_BuiltIn_Print_Area_59_16" localSheetId="36">#REF!</definedName>
    <definedName name="Excel_BuiltIn_Print_Area_59_16">#REF!</definedName>
    <definedName name="Excel_BuiltIn_Print_Area_59_2" localSheetId="75">#REF!</definedName>
    <definedName name="Excel_BuiltIn_Print_Area_59_2" localSheetId="59">#REF!</definedName>
    <definedName name="Excel_BuiltIn_Print_Area_59_2" localSheetId="32">#REF!</definedName>
    <definedName name="Excel_BuiltIn_Print_Area_59_2" localSheetId="15">#REF!</definedName>
    <definedName name="Excel_BuiltIn_Print_Area_59_2" localSheetId="17">#REF!</definedName>
    <definedName name="Excel_BuiltIn_Print_Area_59_2" localSheetId="16">#REF!</definedName>
    <definedName name="Excel_BuiltIn_Print_Area_59_2" localSheetId="76">#REF!</definedName>
    <definedName name="Excel_BuiltIn_Print_Area_59_2" localSheetId="25">#REF!</definedName>
    <definedName name="Excel_BuiltIn_Print_Area_59_2" localSheetId="20">#REF!</definedName>
    <definedName name="Excel_BuiltIn_Print_Area_59_2" localSheetId="77">#REF!</definedName>
    <definedName name="Excel_BuiltIn_Print_Area_59_2" localSheetId="74">#REF!</definedName>
    <definedName name="Excel_BuiltIn_Print_Area_59_2" localSheetId="31">#REF!</definedName>
    <definedName name="Excel_BuiltIn_Print_Area_59_2" localSheetId="30">#REF!</definedName>
    <definedName name="Excel_BuiltIn_Print_Area_59_2" localSheetId="14">#REF!</definedName>
    <definedName name="Excel_BuiltIn_Print_Area_59_2" localSheetId="36">#REF!</definedName>
    <definedName name="Excel_BuiltIn_Print_Area_59_2">#REF!</definedName>
    <definedName name="Excel_BuiltIn_Print_Area_59_22" localSheetId="75">#REF!</definedName>
    <definedName name="Excel_BuiltIn_Print_Area_59_22" localSheetId="59">#REF!</definedName>
    <definedName name="Excel_BuiltIn_Print_Area_59_22" localSheetId="32">#REF!</definedName>
    <definedName name="Excel_BuiltIn_Print_Area_59_22" localSheetId="15">#REF!</definedName>
    <definedName name="Excel_BuiltIn_Print_Area_59_22" localSheetId="17">#REF!</definedName>
    <definedName name="Excel_BuiltIn_Print_Area_59_22" localSheetId="16">#REF!</definedName>
    <definedName name="Excel_BuiltIn_Print_Area_59_22" localSheetId="76">#REF!</definedName>
    <definedName name="Excel_BuiltIn_Print_Area_59_22" localSheetId="25">#REF!</definedName>
    <definedName name="Excel_BuiltIn_Print_Area_59_22" localSheetId="20">#REF!</definedName>
    <definedName name="Excel_BuiltIn_Print_Area_59_22" localSheetId="77">#REF!</definedName>
    <definedName name="Excel_BuiltIn_Print_Area_59_22" localSheetId="74">#REF!</definedName>
    <definedName name="Excel_BuiltIn_Print_Area_59_22" localSheetId="31">#REF!</definedName>
    <definedName name="Excel_BuiltIn_Print_Area_59_22" localSheetId="30">#REF!</definedName>
    <definedName name="Excel_BuiltIn_Print_Area_59_22" localSheetId="14">#REF!</definedName>
    <definedName name="Excel_BuiltIn_Print_Area_59_22" localSheetId="36">#REF!</definedName>
    <definedName name="Excel_BuiltIn_Print_Area_59_22">#REF!</definedName>
    <definedName name="Excel_BuiltIn_Print_Area_59_25" localSheetId="75">#REF!</definedName>
    <definedName name="Excel_BuiltIn_Print_Area_59_25" localSheetId="59">#REF!</definedName>
    <definedName name="Excel_BuiltIn_Print_Area_59_25" localSheetId="32">#REF!</definedName>
    <definedName name="Excel_BuiltIn_Print_Area_59_25" localSheetId="15">#REF!</definedName>
    <definedName name="Excel_BuiltIn_Print_Area_59_25" localSheetId="17">#REF!</definedName>
    <definedName name="Excel_BuiltIn_Print_Area_59_25" localSheetId="16">#REF!</definedName>
    <definedName name="Excel_BuiltIn_Print_Area_59_25" localSheetId="76">#REF!</definedName>
    <definedName name="Excel_BuiltIn_Print_Area_59_25" localSheetId="25">#REF!</definedName>
    <definedName name="Excel_BuiltIn_Print_Area_59_25" localSheetId="20">#REF!</definedName>
    <definedName name="Excel_BuiltIn_Print_Area_59_25" localSheetId="77">#REF!</definedName>
    <definedName name="Excel_BuiltIn_Print_Area_59_25" localSheetId="74">#REF!</definedName>
    <definedName name="Excel_BuiltIn_Print_Area_59_25" localSheetId="31">#REF!</definedName>
    <definedName name="Excel_BuiltIn_Print_Area_59_25" localSheetId="30">#REF!</definedName>
    <definedName name="Excel_BuiltIn_Print_Area_59_25" localSheetId="14">#REF!</definedName>
    <definedName name="Excel_BuiltIn_Print_Area_59_25" localSheetId="36">#REF!</definedName>
    <definedName name="Excel_BuiltIn_Print_Area_59_25">#REF!</definedName>
    <definedName name="Excel_BuiltIn_Print_Area_59_3" localSheetId="75">#REF!</definedName>
    <definedName name="Excel_BuiltIn_Print_Area_59_3" localSheetId="59">#REF!</definedName>
    <definedName name="Excel_BuiltIn_Print_Area_59_3" localSheetId="32">#REF!</definedName>
    <definedName name="Excel_BuiltIn_Print_Area_59_3" localSheetId="15">#REF!</definedName>
    <definedName name="Excel_BuiltIn_Print_Area_59_3" localSheetId="17">#REF!</definedName>
    <definedName name="Excel_BuiltIn_Print_Area_59_3" localSheetId="16">#REF!</definedName>
    <definedName name="Excel_BuiltIn_Print_Area_59_3" localSheetId="76">#REF!</definedName>
    <definedName name="Excel_BuiltIn_Print_Area_59_3" localSheetId="25">#REF!</definedName>
    <definedName name="Excel_BuiltIn_Print_Area_59_3" localSheetId="20">#REF!</definedName>
    <definedName name="Excel_BuiltIn_Print_Area_59_3" localSheetId="77">#REF!</definedName>
    <definedName name="Excel_BuiltIn_Print_Area_59_3" localSheetId="74">#REF!</definedName>
    <definedName name="Excel_BuiltIn_Print_Area_59_3" localSheetId="31">#REF!</definedName>
    <definedName name="Excel_BuiltIn_Print_Area_59_3" localSheetId="30">#REF!</definedName>
    <definedName name="Excel_BuiltIn_Print_Area_59_3" localSheetId="14">#REF!</definedName>
    <definedName name="Excel_BuiltIn_Print_Area_59_3" localSheetId="36">#REF!</definedName>
    <definedName name="Excel_BuiltIn_Print_Area_59_3">#REF!</definedName>
    <definedName name="Excel_BuiltIn_Print_Area_59_4" localSheetId="75">#REF!</definedName>
    <definedName name="Excel_BuiltIn_Print_Area_59_4" localSheetId="59">#REF!</definedName>
    <definedName name="Excel_BuiltIn_Print_Area_59_4" localSheetId="32">#REF!</definedName>
    <definedName name="Excel_BuiltIn_Print_Area_59_4" localSheetId="15">#REF!</definedName>
    <definedName name="Excel_BuiltIn_Print_Area_59_4" localSheetId="17">#REF!</definedName>
    <definedName name="Excel_BuiltIn_Print_Area_59_4" localSheetId="16">#REF!</definedName>
    <definedName name="Excel_BuiltIn_Print_Area_59_4" localSheetId="76">#REF!</definedName>
    <definedName name="Excel_BuiltIn_Print_Area_59_4" localSheetId="25">#REF!</definedName>
    <definedName name="Excel_BuiltIn_Print_Area_59_4" localSheetId="20">#REF!</definedName>
    <definedName name="Excel_BuiltIn_Print_Area_59_4" localSheetId="77">#REF!</definedName>
    <definedName name="Excel_BuiltIn_Print_Area_59_4" localSheetId="74">#REF!</definedName>
    <definedName name="Excel_BuiltIn_Print_Area_59_4" localSheetId="31">#REF!</definedName>
    <definedName name="Excel_BuiltIn_Print_Area_59_4" localSheetId="30">#REF!</definedName>
    <definedName name="Excel_BuiltIn_Print_Area_59_4" localSheetId="14">#REF!</definedName>
    <definedName name="Excel_BuiltIn_Print_Area_59_4" localSheetId="36">#REF!</definedName>
    <definedName name="Excel_BuiltIn_Print_Area_59_4">#REF!</definedName>
    <definedName name="Excel_BuiltIn_Print_Area_59_56" localSheetId="75">#REF!</definedName>
    <definedName name="Excel_BuiltIn_Print_Area_59_56" localSheetId="59">#REF!</definedName>
    <definedName name="Excel_BuiltIn_Print_Area_59_56" localSheetId="32">#REF!</definedName>
    <definedName name="Excel_BuiltIn_Print_Area_59_56" localSheetId="15">#REF!</definedName>
    <definedName name="Excel_BuiltIn_Print_Area_59_56" localSheetId="17">#REF!</definedName>
    <definedName name="Excel_BuiltIn_Print_Area_59_56" localSheetId="16">#REF!</definedName>
    <definedName name="Excel_BuiltIn_Print_Area_59_56" localSheetId="76">#REF!</definedName>
    <definedName name="Excel_BuiltIn_Print_Area_59_56" localSheetId="25">#REF!</definedName>
    <definedName name="Excel_BuiltIn_Print_Area_59_56" localSheetId="20">#REF!</definedName>
    <definedName name="Excel_BuiltIn_Print_Area_59_56" localSheetId="77">#REF!</definedName>
    <definedName name="Excel_BuiltIn_Print_Area_59_56" localSheetId="74">#REF!</definedName>
    <definedName name="Excel_BuiltIn_Print_Area_59_56" localSheetId="31">#REF!</definedName>
    <definedName name="Excel_BuiltIn_Print_Area_59_56" localSheetId="30">#REF!</definedName>
    <definedName name="Excel_BuiltIn_Print_Area_59_56" localSheetId="14">#REF!</definedName>
    <definedName name="Excel_BuiltIn_Print_Area_59_56" localSheetId="36">#REF!</definedName>
    <definedName name="Excel_BuiltIn_Print_Area_59_56">#REF!</definedName>
    <definedName name="Excel_BuiltIn_Print_Area_59_6" localSheetId="75">#REF!</definedName>
    <definedName name="Excel_BuiltIn_Print_Area_59_6" localSheetId="59">#REF!</definedName>
    <definedName name="Excel_BuiltIn_Print_Area_59_6" localSheetId="32">#REF!</definedName>
    <definedName name="Excel_BuiltIn_Print_Area_59_6" localSheetId="15">#REF!</definedName>
    <definedName name="Excel_BuiltIn_Print_Area_59_6" localSheetId="17">#REF!</definedName>
    <definedName name="Excel_BuiltIn_Print_Area_59_6" localSheetId="16">#REF!</definedName>
    <definedName name="Excel_BuiltIn_Print_Area_59_6" localSheetId="76">#REF!</definedName>
    <definedName name="Excel_BuiltIn_Print_Area_59_6" localSheetId="25">#REF!</definedName>
    <definedName name="Excel_BuiltIn_Print_Area_59_6" localSheetId="20">#REF!</definedName>
    <definedName name="Excel_BuiltIn_Print_Area_59_6" localSheetId="77">#REF!</definedName>
    <definedName name="Excel_BuiltIn_Print_Area_59_6" localSheetId="74">#REF!</definedName>
    <definedName name="Excel_BuiltIn_Print_Area_59_6" localSheetId="31">#REF!</definedName>
    <definedName name="Excel_BuiltIn_Print_Area_59_6" localSheetId="30">#REF!</definedName>
    <definedName name="Excel_BuiltIn_Print_Area_59_6" localSheetId="14">#REF!</definedName>
    <definedName name="Excel_BuiltIn_Print_Area_59_6" localSheetId="36">#REF!</definedName>
    <definedName name="Excel_BuiltIn_Print_Area_59_6">#REF!</definedName>
    <definedName name="Excel_BuiltIn_Print_Area_59_66" localSheetId="75">#REF!</definedName>
    <definedName name="Excel_BuiltIn_Print_Area_59_66" localSheetId="59">#REF!</definedName>
    <definedName name="Excel_BuiltIn_Print_Area_59_66" localSheetId="32">#REF!</definedName>
    <definedName name="Excel_BuiltIn_Print_Area_59_66" localSheetId="15">#REF!</definedName>
    <definedName name="Excel_BuiltIn_Print_Area_59_66" localSheetId="17">#REF!</definedName>
    <definedName name="Excel_BuiltIn_Print_Area_59_66" localSheetId="16">#REF!</definedName>
    <definedName name="Excel_BuiltIn_Print_Area_59_66" localSheetId="76">#REF!</definedName>
    <definedName name="Excel_BuiltIn_Print_Area_59_66" localSheetId="25">#REF!</definedName>
    <definedName name="Excel_BuiltIn_Print_Area_59_66" localSheetId="20">#REF!</definedName>
    <definedName name="Excel_BuiltIn_Print_Area_59_66" localSheetId="77">#REF!</definedName>
    <definedName name="Excel_BuiltIn_Print_Area_59_66" localSheetId="74">#REF!</definedName>
    <definedName name="Excel_BuiltIn_Print_Area_59_66" localSheetId="31">#REF!</definedName>
    <definedName name="Excel_BuiltIn_Print_Area_59_66" localSheetId="30">#REF!</definedName>
    <definedName name="Excel_BuiltIn_Print_Area_59_66" localSheetId="14">#REF!</definedName>
    <definedName name="Excel_BuiltIn_Print_Area_59_66" localSheetId="36">#REF!</definedName>
    <definedName name="Excel_BuiltIn_Print_Area_59_66">#REF!</definedName>
    <definedName name="Excel_BuiltIn_Print_Area_59_67" localSheetId="75">#REF!</definedName>
    <definedName name="Excel_BuiltIn_Print_Area_59_67" localSheetId="59">#REF!</definedName>
    <definedName name="Excel_BuiltIn_Print_Area_59_67" localSheetId="32">#REF!</definedName>
    <definedName name="Excel_BuiltIn_Print_Area_59_67" localSheetId="15">#REF!</definedName>
    <definedName name="Excel_BuiltIn_Print_Area_59_67" localSheetId="17">#REF!</definedName>
    <definedName name="Excel_BuiltIn_Print_Area_59_67" localSheetId="16">#REF!</definedName>
    <definedName name="Excel_BuiltIn_Print_Area_59_67" localSheetId="76">#REF!</definedName>
    <definedName name="Excel_BuiltIn_Print_Area_59_67" localSheetId="25">#REF!</definedName>
    <definedName name="Excel_BuiltIn_Print_Area_59_67" localSheetId="20">#REF!</definedName>
    <definedName name="Excel_BuiltIn_Print_Area_59_67" localSheetId="77">#REF!</definedName>
    <definedName name="Excel_BuiltIn_Print_Area_59_67" localSheetId="74">#REF!</definedName>
    <definedName name="Excel_BuiltIn_Print_Area_59_67" localSheetId="31">#REF!</definedName>
    <definedName name="Excel_BuiltIn_Print_Area_59_67" localSheetId="30">#REF!</definedName>
    <definedName name="Excel_BuiltIn_Print_Area_59_67" localSheetId="14">#REF!</definedName>
    <definedName name="Excel_BuiltIn_Print_Area_59_67" localSheetId="36">#REF!</definedName>
    <definedName name="Excel_BuiltIn_Print_Area_59_67">#REF!</definedName>
    <definedName name="Excel_BuiltIn_Print_Area_59_67_1" localSheetId="75">#REF!</definedName>
    <definedName name="Excel_BuiltIn_Print_Area_59_67_1" localSheetId="59">#REF!</definedName>
    <definedName name="Excel_BuiltIn_Print_Area_59_67_1" localSheetId="32">#REF!</definedName>
    <definedName name="Excel_BuiltIn_Print_Area_59_67_1" localSheetId="15">#REF!</definedName>
    <definedName name="Excel_BuiltIn_Print_Area_59_67_1" localSheetId="17">#REF!</definedName>
    <definedName name="Excel_BuiltIn_Print_Area_59_67_1" localSheetId="16">#REF!</definedName>
    <definedName name="Excel_BuiltIn_Print_Area_59_67_1" localSheetId="76">#REF!</definedName>
    <definedName name="Excel_BuiltIn_Print_Area_59_67_1" localSheetId="25">#REF!</definedName>
    <definedName name="Excel_BuiltIn_Print_Area_59_67_1" localSheetId="20">#REF!</definedName>
    <definedName name="Excel_BuiltIn_Print_Area_59_67_1" localSheetId="77">#REF!</definedName>
    <definedName name="Excel_BuiltIn_Print_Area_59_67_1" localSheetId="74">#REF!</definedName>
    <definedName name="Excel_BuiltIn_Print_Area_59_67_1" localSheetId="31">#REF!</definedName>
    <definedName name="Excel_BuiltIn_Print_Area_59_67_1" localSheetId="30">#REF!</definedName>
    <definedName name="Excel_BuiltIn_Print_Area_59_67_1" localSheetId="14">#REF!</definedName>
    <definedName name="Excel_BuiltIn_Print_Area_59_67_1" localSheetId="36">#REF!</definedName>
    <definedName name="Excel_BuiltIn_Print_Area_59_67_1">#REF!</definedName>
    <definedName name="Excel_BuiltIn_Print_Area_59_67_10" localSheetId="75">#REF!</definedName>
    <definedName name="Excel_BuiltIn_Print_Area_59_67_10" localSheetId="59">#REF!</definedName>
    <definedName name="Excel_BuiltIn_Print_Area_59_67_10" localSheetId="32">#REF!</definedName>
    <definedName name="Excel_BuiltIn_Print_Area_59_67_10" localSheetId="15">#REF!</definedName>
    <definedName name="Excel_BuiltIn_Print_Area_59_67_10" localSheetId="17">#REF!</definedName>
    <definedName name="Excel_BuiltIn_Print_Area_59_67_10" localSheetId="16">#REF!</definedName>
    <definedName name="Excel_BuiltIn_Print_Area_59_67_10" localSheetId="76">#REF!</definedName>
    <definedName name="Excel_BuiltIn_Print_Area_59_67_10" localSheetId="25">#REF!</definedName>
    <definedName name="Excel_BuiltIn_Print_Area_59_67_10" localSheetId="20">#REF!</definedName>
    <definedName name="Excel_BuiltIn_Print_Area_59_67_10" localSheetId="77">#REF!</definedName>
    <definedName name="Excel_BuiltIn_Print_Area_59_67_10" localSheetId="74">#REF!</definedName>
    <definedName name="Excel_BuiltIn_Print_Area_59_67_10" localSheetId="31">#REF!</definedName>
    <definedName name="Excel_BuiltIn_Print_Area_59_67_10" localSheetId="30">#REF!</definedName>
    <definedName name="Excel_BuiltIn_Print_Area_59_67_10" localSheetId="14">#REF!</definedName>
    <definedName name="Excel_BuiltIn_Print_Area_59_67_10" localSheetId="36">#REF!</definedName>
    <definedName name="Excel_BuiltIn_Print_Area_59_67_10">#REF!</definedName>
    <definedName name="Excel_BuiltIn_Print_Area_59_67_11" localSheetId="75">#REF!</definedName>
    <definedName name="Excel_BuiltIn_Print_Area_59_67_11" localSheetId="59">#REF!</definedName>
    <definedName name="Excel_BuiltIn_Print_Area_59_67_11" localSheetId="32">#REF!</definedName>
    <definedName name="Excel_BuiltIn_Print_Area_59_67_11" localSheetId="15">#REF!</definedName>
    <definedName name="Excel_BuiltIn_Print_Area_59_67_11" localSheetId="17">#REF!</definedName>
    <definedName name="Excel_BuiltIn_Print_Area_59_67_11" localSheetId="16">#REF!</definedName>
    <definedName name="Excel_BuiltIn_Print_Area_59_67_11" localSheetId="76">#REF!</definedName>
    <definedName name="Excel_BuiltIn_Print_Area_59_67_11" localSheetId="25">#REF!</definedName>
    <definedName name="Excel_BuiltIn_Print_Area_59_67_11" localSheetId="20">#REF!</definedName>
    <definedName name="Excel_BuiltIn_Print_Area_59_67_11" localSheetId="77">#REF!</definedName>
    <definedName name="Excel_BuiltIn_Print_Area_59_67_11" localSheetId="74">#REF!</definedName>
    <definedName name="Excel_BuiltIn_Print_Area_59_67_11" localSheetId="31">#REF!</definedName>
    <definedName name="Excel_BuiltIn_Print_Area_59_67_11" localSheetId="30">#REF!</definedName>
    <definedName name="Excel_BuiltIn_Print_Area_59_67_11" localSheetId="14">#REF!</definedName>
    <definedName name="Excel_BuiltIn_Print_Area_59_67_11" localSheetId="36">#REF!</definedName>
    <definedName name="Excel_BuiltIn_Print_Area_59_67_11">#REF!</definedName>
    <definedName name="Excel_BuiltIn_Print_Area_59_67_13" localSheetId="75">#REF!</definedName>
    <definedName name="Excel_BuiltIn_Print_Area_59_67_13" localSheetId="59">#REF!</definedName>
    <definedName name="Excel_BuiltIn_Print_Area_59_67_13" localSheetId="32">#REF!</definedName>
    <definedName name="Excel_BuiltIn_Print_Area_59_67_13" localSheetId="15">#REF!</definedName>
    <definedName name="Excel_BuiltIn_Print_Area_59_67_13" localSheetId="17">#REF!</definedName>
    <definedName name="Excel_BuiltIn_Print_Area_59_67_13" localSheetId="16">#REF!</definedName>
    <definedName name="Excel_BuiltIn_Print_Area_59_67_13" localSheetId="76">#REF!</definedName>
    <definedName name="Excel_BuiltIn_Print_Area_59_67_13" localSheetId="25">#REF!</definedName>
    <definedName name="Excel_BuiltIn_Print_Area_59_67_13" localSheetId="20">#REF!</definedName>
    <definedName name="Excel_BuiltIn_Print_Area_59_67_13" localSheetId="77">#REF!</definedName>
    <definedName name="Excel_BuiltIn_Print_Area_59_67_13" localSheetId="74">#REF!</definedName>
    <definedName name="Excel_BuiltIn_Print_Area_59_67_13" localSheetId="31">#REF!</definedName>
    <definedName name="Excel_BuiltIn_Print_Area_59_67_13" localSheetId="30">#REF!</definedName>
    <definedName name="Excel_BuiltIn_Print_Area_59_67_13" localSheetId="14">#REF!</definedName>
    <definedName name="Excel_BuiltIn_Print_Area_59_67_13" localSheetId="36">#REF!</definedName>
    <definedName name="Excel_BuiltIn_Print_Area_59_67_13">#REF!</definedName>
    <definedName name="Excel_BuiltIn_Print_Area_59_67_14" localSheetId="75">#REF!</definedName>
    <definedName name="Excel_BuiltIn_Print_Area_59_67_14" localSheetId="59">#REF!</definedName>
    <definedName name="Excel_BuiltIn_Print_Area_59_67_14" localSheetId="32">#REF!</definedName>
    <definedName name="Excel_BuiltIn_Print_Area_59_67_14" localSheetId="15">#REF!</definedName>
    <definedName name="Excel_BuiltIn_Print_Area_59_67_14" localSheetId="17">#REF!</definedName>
    <definedName name="Excel_BuiltIn_Print_Area_59_67_14" localSheetId="16">#REF!</definedName>
    <definedName name="Excel_BuiltIn_Print_Area_59_67_14" localSheetId="76">#REF!</definedName>
    <definedName name="Excel_BuiltIn_Print_Area_59_67_14" localSheetId="25">#REF!</definedName>
    <definedName name="Excel_BuiltIn_Print_Area_59_67_14" localSheetId="20">#REF!</definedName>
    <definedName name="Excel_BuiltIn_Print_Area_59_67_14" localSheetId="77">#REF!</definedName>
    <definedName name="Excel_BuiltIn_Print_Area_59_67_14" localSheetId="74">#REF!</definedName>
    <definedName name="Excel_BuiltIn_Print_Area_59_67_14" localSheetId="31">#REF!</definedName>
    <definedName name="Excel_BuiltIn_Print_Area_59_67_14" localSheetId="30">#REF!</definedName>
    <definedName name="Excel_BuiltIn_Print_Area_59_67_14" localSheetId="14">#REF!</definedName>
    <definedName name="Excel_BuiltIn_Print_Area_59_67_14" localSheetId="36">#REF!</definedName>
    <definedName name="Excel_BuiltIn_Print_Area_59_67_14">#REF!</definedName>
    <definedName name="Excel_BuiltIn_Print_Area_59_67_15" localSheetId="75">#REF!</definedName>
    <definedName name="Excel_BuiltIn_Print_Area_59_67_15" localSheetId="59">#REF!</definedName>
    <definedName name="Excel_BuiltIn_Print_Area_59_67_15" localSheetId="32">#REF!</definedName>
    <definedName name="Excel_BuiltIn_Print_Area_59_67_15" localSheetId="15">#REF!</definedName>
    <definedName name="Excel_BuiltIn_Print_Area_59_67_15" localSheetId="17">#REF!</definedName>
    <definedName name="Excel_BuiltIn_Print_Area_59_67_15" localSheetId="16">#REF!</definedName>
    <definedName name="Excel_BuiltIn_Print_Area_59_67_15" localSheetId="76">#REF!</definedName>
    <definedName name="Excel_BuiltIn_Print_Area_59_67_15" localSheetId="25">#REF!</definedName>
    <definedName name="Excel_BuiltIn_Print_Area_59_67_15" localSheetId="20">#REF!</definedName>
    <definedName name="Excel_BuiltIn_Print_Area_59_67_15" localSheetId="77">#REF!</definedName>
    <definedName name="Excel_BuiltIn_Print_Area_59_67_15" localSheetId="74">#REF!</definedName>
    <definedName name="Excel_BuiltIn_Print_Area_59_67_15" localSheetId="31">#REF!</definedName>
    <definedName name="Excel_BuiltIn_Print_Area_59_67_15" localSheetId="30">#REF!</definedName>
    <definedName name="Excel_BuiltIn_Print_Area_59_67_15" localSheetId="14">#REF!</definedName>
    <definedName name="Excel_BuiltIn_Print_Area_59_67_15" localSheetId="36">#REF!</definedName>
    <definedName name="Excel_BuiltIn_Print_Area_59_67_15">#REF!</definedName>
    <definedName name="Excel_BuiltIn_Print_Area_59_67_16" localSheetId="75">#REF!</definedName>
    <definedName name="Excel_BuiltIn_Print_Area_59_67_16" localSheetId="59">#REF!</definedName>
    <definedName name="Excel_BuiltIn_Print_Area_59_67_16" localSheetId="32">#REF!</definedName>
    <definedName name="Excel_BuiltIn_Print_Area_59_67_16" localSheetId="15">#REF!</definedName>
    <definedName name="Excel_BuiltIn_Print_Area_59_67_16" localSheetId="17">#REF!</definedName>
    <definedName name="Excel_BuiltIn_Print_Area_59_67_16" localSheetId="16">#REF!</definedName>
    <definedName name="Excel_BuiltIn_Print_Area_59_67_16" localSheetId="76">#REF!</definedName>
    <definedName name="Excel_BuiltIn_Print_Area_59_67_16" localSheetId="25">#REF!</definedName>
    <definedName name="Excel_BuiltIn_Print_Area_59_67_16" localSheetId="20">#REF!</definedName>
    <definedName name="Excel_BuiltIn_Print_Area_59_67_16" localSheetId="77">#REF!</definedName>
    <definedName name="Excel_BuiltIn_Print_Area_59_67_16" localSheetId="74">#REF!</definedName>
    <definedName name="Excel_BuiltIn_Print_Area_59_67_16" localSheetId="31">#REF!</definedName>
    <definedName name="Excel_BuiltIn_Print_Area_59_67_16" localSheetId="30">#REF!</definedName>
    <definedName name="Excel_BuiltIn_Print_Area_59_67_16" localSheetId="14">#REF!</definedName>
    <definedName name="Excel_BuiltIn_Print_Area_59_67_16" localSheetId="36">#REF!</definedName>
    <definedName name="Excel_BuiltIn_Print_Area_59_67_16">#REF!</definedName>
    <definedName name="Excel_BuiltIn_Print_Area_59_67_2" localSheetId="75">#REF!</definedName>
    <definedName name="Excel_BuiltIn_Print_Area_59_67_2" localSheetId="59">#REF!</definedName>
    <definedName name="Excel_BuiltIn_Print_Area_59_67_2" localSheetId="32">#REF!</definedName>
    <definedName name="Excel_BuiltIn_Print_Area_59_67_2" localSheetId="15">#REF!</definedName>
    <definedName name="Excel_BuiltIn_Print_Area_59_67_2" localSheetId="17">#REF!</definedName>
    <definedName name="Excel_BuiltIn_Print_Area_59_67_2" localSheetId="16">#REF!</definedName>
    <definedName name="Excel_BuiltIn_Print_Area_59_67_2" localSheetId="76">#REF!</definedName>
    <definedName name="Excel_BuiltIn_Print_Area_59_67_2" localSheetId="25">#REF!</definedName>
    <definedName name="Excel_BuiltIn_Print_Area_59_67_2" localSheetId="20">#REF!</definedName>
    <definedName name="Excel_BuiltIn_Print_Area_59_67_2" localSheetId="77">#REF!</definedName>
    <definedName name="Excel_BuiltIn_Print_Area_59_67_2" localSheetId="74">#REF!</definedName>
    <definedName name="Excel_BuiltIn_Print_Area_59_67_2" localSheetId="31">#REF!</definedName>
    <definedName name="Excel_BuiltIn_Print_Area_59_67_2" localSheetId="30">#REF!</definedName>
    <definedName name="Excel_BuiltIn_Print_Area_59_67_2" localSheetId="14">#REF!</definedName>
    <definedName name="Excel_BuiltIn_Print_Area_59_67_2" localSheetId="36">#REF!</definedName>
    <definedName name="Excel_BuiltIn_Print_Area_59_67_2">#REF!</definedName>
    <definedName name="Excel_BuiltIn_Print_Area_59_67_22" localSheetId="75">#REF!</definedName>
    <definedName name="Excel_BuiltIn_Print_Area_59_67_22" localSheetId="59">#REF!</definedName>
    <definedName name="Excel_BuiltIn_Print_Area_59_67_22" localSheetId="32">#REF!</definedName>
    <definedName name="Excel_BuiltIn_Print_Area_59_67_22" localSheetId="15">#REF!</definedName>
    <definedName name="Excel_BuiltIn_Print_Area_59_67_22" localSheetId="17">#REF!</definedName>
    <definedName name="Excel_BuiltIn_Print_Area_59_67_22" localSheetId="16">#REF!</definedName>
    <definedName name="Excel_BuiltIn_Print_Area_59_67_22" localSheetId="76">#REF!</definedName>
    <definedName name="Excel_BuiltIn_Print_Area_59_67_22" localSheetId="25">#REF!</definedName>
    <definedName name="Excel_BuiltIn_Print_Area_59_67_22" localSheetId="20">#REF!</definedName>
    <definedName name="Excel_BuiltIn_Print_Area_59_67_22" localSheetId="77">#REF!</definedName>
    <definedName name="Excel_BuiltIn_Print_Area_59_67_22" localSheetId="74">#REF!</definedName>
    <definedName name="Excel_BuiltIn_Print_Area_59_67_22" localSheetId="31">#REF!</definedName>
    <definedName name="Excel_BuiltIn_Print_Area_59_67_22" localSheetId="30">#REF!</definedName>
    <definedName name="Excel_BuiltIn_Print_Area_59_67_22" localSheetId="14">#REF!</definedName>
    <definedName name="Excel_BuiltIn_Print_Area_59_67_22" localSheetId="36">#REF!</definedName>
    <definedName name="Excel_BuiltIn_Print_Area_59_67_22">#REF!</definedName>
    <definedName name="Excel_BuiltIn_Print_Area_59_67_25" localSheetId="75">#REF!</definedName>
    <definedName name="Excel_BuiltIn_Print_Area_59_67_25" localSheetId="59">#REF!</definedName>
    <definedName name="Excel_BuiltIn_Print_Area_59_67_25" localSheetId="32">#REF!</definedName>
    <definedName name="Excel_BuiltIn_Print_Area_59_67_25" localSheetId="15">#REF!</definedName>
    <definedName name="Excel_BuiltIn_Print_Area_59_67_25" localSheetId="17">#REF!</definedName>
    <definedName name="Excel_BuiltIn_Print_Area_59_67_25" localSheetId="16">#REF!</definedName>
    <definedName name="Excel_BuiltIn_Print_Area_59_67_25" localSheetId="76">#REF!</definedName>
    <definedName name="Excel_BuiltIn_Print_Area_59_67_25" localSheetId="25">#REF!</definedName>
    <definedName name="Excel_BuiltIn_Print_Area_59_67_25" localSheetId="20">#REF!</definedName>
    <definedName name="Excel_BuiltIn_Print_Area_59_67_25" localSheetId="77">#REF!</definedName>
    <definedName name="Excel_BuiltIn_Print_Area_59_67_25" localSheetId="74">#REF!</definedName>
    <definedName name="Excel_BuiltIn_Print_Area_59_67_25" localSheetId="31">#REF!</definedName>
    <definedName name="Excel_BuiltIn_Print_Area_59_67_25" localSheetId="30">#REF!</definedName>
    <definedName name="Excel_BuiltIn_Print_Area_59_67_25" localSheetId="14">#REF!</definedName>
    <definedName name="Excel_BuiltIn_Print_Area_59_67_25" localSheetId="36">#REF!</definedName>
    <definedName name="Excel_BuiltIn_Print_Area_59_67_25">#REF!</definedName>
    <definedName name="Excel_BuiltIn_Print_Area_59_67_3" localSheetId="75">#REF!</definedName>
    <definedName name="Excel_BuiltIn_Print_Area_59_67_3" localSheetId="59">#REF!</definedName>
    <definedName name="Excel_BuiltIn_Print_Area_59_67_3" localSheetId="32">#REF!</definedName>
    <definedName name="Excel_BuiltIn_Print_Area_59_67_3" localSheetId="15">#REF!</definedName>
    <definedName name="Excel_BuiltIn_Print_Area_59_67_3" localSheetId="17">#REF!</definedName>
    <definedName name="Excel_BuiltIn_Print_Area_59_67_3" localSheetId="16">#REF!</definedName>
    <definedName name="Excel_BuiltIn_Print_Area_59_67_3" localSheetId="76">#REF!</definedName>
    <definedName name="Excel_BuiltIn_Print_Area_59_67_3" localSheetId="25">#REF!</definedName>
    <definedName name="Excel_BuiltIn_Print_Area_59_67_3" localSheetId="20">#REF!</definedName>
    <definedName name="Excel_BuiltIn_Print_Area_59_67_3" localSheetId="77">#REF!</definedName>
    <definedName name="Excel_BuiltIn_Print_Area_59_67_3" localSheetId="74">#REF!</definedName>
    <definedName name="Excel_BuiltIn_Print_Area_59_67_3" localSheetId="31">#REF!</definedName>
    <definedName name="Excel_BuiltIn_Print_Area_59_67_3" localSheetId="30">#REF!</definedName>
    <definedName name="Excel_BuiltIn_Print_Area_59_67_3" localSheetId="14">#REF!</definedName>
    <definedName name="Excel_BuiltIn_Print_Area_59_67_3" localSheetId="36">#REF!</definedName>
    <definedName name="Excel_BuiltIn_Print_Area_59_67_3">#REF!</definedName>
    <definedName name="Excel_BuiltIn_Print_Area_59_67_4" localSheetId="75">#REF!</definedName>
    <definedName name="Excel_BuiltIn_Print_Area_59_67_4" localSheetId="59">#REF!</definedName>
    <definedName name="Excel_BuiltIn_Print_Area_59_67_4" localSheetId="32">#REF!</definedName>
    <definedName name="Excel_BuiltIn_Print_Area_59_67_4" localSheetId="15">#REF!</definedName>
    <definedName name="Excel_BuiltIn_Print_Area_59_67_4" localSheetId="17">#REF!</definedName>
    <definedName name="Excel_BuiltIn_Print_Area_59_67_4" localSheetId="16">#REF!</definedName>
    <definedName name="Excel_BuiltIn_Print_Area_59_67_4" localSheetId="76">#REF!</definedName>
    <definedName name="Excel_BuiltIn_Print_Area_59_67_4" localSheetId="25">#REF!</definedName>
    <definedName name="Excel_BuiltIn_Print_Area_59_67_4" localSheetId="20">#REF!</definedName>
    <definedName name="Excel_BuiltIn_Print_Area_59_67_4" localSheetId="77">#REF!</definedName>
    <definedName name="Excel_BuiltIn_Print_Area_59_67_4" localSheetId="74">#REF!</definedName>
    <definedName name="Excel_BuiltIn_Print_Area_59_67_4" localSheetId="31">#REF!</definedName>
    <definedName name="Excel_BuiltIn_Print_Area_59_67_4" localSheetId="30">#REF!</definedName>
    <definedName name="Excel_BuiltIn_Print_Area_59_67_4" localSheetId="14">#REF!</definedName>
    <definedName name="Excel_BuiltIn_Print_Area_59_67_4" localSheetId="36">#REF!</definedName>
    <definedName name="Excel_BuiltIn_Print_Area_59_67_4">#REF!</definedName>
    <definedName name="Excel_BuiltIn_Print_Area_59_67_56" localSheetId="75">#REF!</definedName>
    <definedName name="Excel_BuiltIn_Print_Area_59_67_56" localSheetId="59">#REF!</definedName>
    <definedName name="Excel_BuiltIn_Print_Area_59_67_56" localSheetId="32">#REF!</definedName>
    <definedName name="Excel_BuiltIn_Print_Area_59_67_56" localSheetId="15">#REF!</definedName>
    <definedName name="Excel_BuiltIn_Print_Area_59_67_56" localSheetId="17">#REF!</definedName>
    <definedName name="Excel_BuiltIn_Print_Area_59_67_56" localSheetId="16">#REF!</definedName>
    <definedName name="Excel_BuiltIn_Print_Area_59_67_56" localSheetId="76">#REF!</definedName>
    <definedName name="Excel_BuiltIn_Print_Area_59_67_56" localSheetId="25">#REF!</definedName>
    <definedName name="Excel_BuiltIn_Print_Area_59_67_56" localSheetId="20">#REF!</definedName>
    <definedName name="Excel_BuiltIn_Print_Area_59_67_56" localSheetId="77">#REF!</definedName>
    <definedName name="Excel_BuiltIn_Print_Area_59_67_56" localSheetId="74">#REF!</definedName>
    <definedName name="Excel_BuiltIn_Print_Area_59_67_56" localSheetId="31">#REF!</definedName>
    <definedName name="Excel_BuiltIn_Print_Area_59_67_56" localSheetId="30">#REF!</definedName>
    <definedName name="Excel_BuiltIn_Print_Area_59_67_56" localSheetId="14">#REF!</definedName>
    <definedName name="Excel_BuiltIn_Print_Area_59_67_56" localSheetId="36">#REF!</definedName>
    <definedName name="Excel_BuiltIn_Print_Area_59_67_56">#REF!</definedName>
    <definedName name="Excel_BuiltIn_Print_Area_59_67_6" localSheetId="75">#REF!</definedName>
    <definedName name="Excel_BuiltIn_Print_Area_59_67_6" localSheetId="59">#REF!</definedName>
    <definedName name="Excel_BuiltIn_Print_Area_59_67_6" localSheetId="32">#REF!</definedName>
    <definedName name="Excel_BuiltIn_Print_Area_59_67_6" localSheetId="15">#REF!</definedName>
    <definedName name="Excel_BuiltIn_Print_Area_59_67_6" localSheetId="17">#REF!</definedName>
    <definedName name="Excel_BuiltIn_Print_Area_59_67_6" localSheetId="16">#REF!</definedName>
    <definedName name="Excel_BuiltIn_Print_Area_59_67_6" localSheetId="76">#REF!</definedName>
    <definedName name="Excel_BuiltIn_Print_Area_59_67_6" localSheetId="25">#REF!</definedName>
    <definedName name="Excel_BuiltIn_Print_Area_59_67_6" localSheetId="20">#REF!</definedName>
    <definedName name="Excel_BuiltIn_Print_Area_59_67_6" localSheetId="77">#REF!</definedName>
    <definedName name="Excel_BuiltIn_Print_Area_59_67_6" localSheetId="74">#REF!</definedName>
    <definedName name="Excel_BuiltIn_Print_Area_59_67_6" localSheetId="31">#REF!</definedName>
    <definedName name="Excel_BuiltIn_Print_Area_59_67_6" localSheetId="30">#REF!</definedName>
    <definedName name="Excel_BuiltIn_Print_Area_59_67_6" localSheetId="14">#REF!</definedName>
    <definedName name="Excel_BuiltIn_Print_Area_59_67_6" localSheetId="36">#REF!</definedName>
    <definedName name="Excel_BuiltIn_Print_Area_59_67_6">#REF!</definedName>
    <definedName name="Excel_BuiltIn_Print_Area_59_67_66" localSheetId="75">#REF!</definedName>
    <definedName name="Excel_BuiltIn_Print_Area_59_67_66" localSheetId="59">#REF!</definedName>
    <definedName name="Excel_BuiltIn_Print_Area_59_67_66" localSheetId="32">#REF!</definedName>
    <definedName name="Excel_BuiltIn_Print_Area_59_67_66" localSheetId="15">#REF!</definedName>
    <definedName name="Excel_BuiltIn_Print_Area_59_67_66" localSheetId="17">#REF!</definedName>
    <definedName name="Excel_BuiltIn_Print_Area_59_67_66" localSheetId="16">#REF!</definedName>
    <definedName name="Excel_BuiltIn_Print_Area_59_67_66" localSheetId="76">#REF!</definedName>
    <definedName name="Excel_BuiltIn_Print_Area_59_67_66" localSheetId="25">#REF!</definedName>
    <definedName name="Excel_BuiltIn_Print_Area_59_67_66" localSheetId="20">#REF!</definedName>
    <definedName name="Excel_BuiltIn_Print_Area_59_67_66" localSheetId="77">#REF!</definedName>
    <definedName name="Excel_BuiltIn_Print_Area_59_67_66" localSheetId="74">#REF!</definedName>
    <definedName name="Excel_BuiltIn_Print_Area_59_67_66" localSheetId="31">#REF!</definedName>
    <definedName name="Excel_BuiltIn_Print_Area_59_67_66" localSheetId="30">#REF!</definedName>
    <definedName name="Excel_BuiltIn_Print_Area_59_67_66" localSheetId="14">#REF!</definedName>
    <definedName name="Excel_BuiltIn_Print_Area_59_67_66" localSheetId="36">#REF!</definedName>
    <definedName name="Excel_BuiltIn_Print_Area_59_67_66">#REF!</definedName>
    <definedName name="Excel_BuiltIn_Print_Area_59_67_67" localSheetId="75">#REF!</definedName>
    <definedName name="Excel_BuiltIn_Print_Area_59_67_67" localSheetId="59">#REF!</definedName>
    <definedName name="Excel_BuiltIn_Print_Area_59_67_67" localSheetId="32">#REF!</definedName>
    <definedName name="Excel_BuiltIn_Print_Area_59_67_67" localSheetId="15">#REF!</definedName>
    <definedName name="Excel_BuiltIn_Print_Area_59_67_67" localSheetId="17">#REF!</definedName>
    <definedName name="Excel_BuiltIn_Print_Area_59_67_67" localSheetId="16">#REF!</definedName>
    <definedName name="Excel_BuiltIn_Print_Area_59_67_67" localSheetId="76">#REF!</definedName>
    <definedName name="Excel_BuiltIn_Print_Area_59_67_67" localSheetId="25">#REF!</definedName>
    <definedName name="Excel_BuiltIn_Print_Area_59_67_67" localSheetId="20">#REF!</definedName>
    <definedName name="Excel_BuiltIn_Print_Area_59_67_67" localSheetId="77">#REF!</definedName>
    <definedName name="Excel_BuiltIn_Print_Area_59_67_67" localSheetId="74">#REF!</definedName>
    <definedName name="Excel_BuiltIn_Print_Area_59_67_67" localSheetId="31">#REF!</definedName>
    <definedName name="Excel_BuiltIn_Print_Area_59_67_67" localSheetId="30">#REF!</definedName>
    <definedName name="Excel_BuiltIn_Print_Area_59_67_67" localSheetId="14">#REF!</definedName>
    <definedName name="Excel_BuiltIn_Print_Area_59_67_67" localSheetId="36">#REF!</definedName>
    <definedName name="Excel_BuiltIn_Print_Area_59_67_67">#REF!</definedName>
    <definedName name="Excel_BuiltIn_Print_Area_59_67_70" localSheetId="75">#REF!</definedName>
    <definedName name="Excel_BuiltIn_Print_Area_59_67_70" localSheetId="59">#REF!</definedName>
    <definedName name="Excel_BuiltIn_Print_Area_59_67_70" localSheetId="32">#REF!</definedName>
    <definedName name="Excel_BuiltIn_Print_Area_59_67_70" localSheetId="15">#REF!</definedName>
    <definedName name="Excel_BuiltIn_Print_Area_59_67_70" localSheetId="17">#REF!</definedName>
    <definedName name="Excel_BuiltIn_Print_Area_59_67_70" localSheetId="16">#REF!</definedName>
    <definedName name="Excel_BuiltIn_Print_Area_59_67_70" localSheetId="76">#REF!</definedName>
    <definedName name="Excel_BuiltIn_Print_Area_59_67_70" localSheetId="25">#REF!</definedName>
    <definedName name="Excel_BuiltIn_Print_Area_59_67_70" localSheetId="20">#REF!</definedName>
    <definedName name="Excel_BuiltIn_Print_Area_59_67_70" localSheetId="77">#REF!</definedName>
    <definedName name="Excel_BuiltIn_Print_Area_59_67_70" localSheetId="74">#REF!</definedName>
    <definedName name="Excel_BuiltIn_Print_Area_59_67_70" localSheetId="31">#REF!</definedName>
    <definedName name="Excel_BuiltIn_Print_Area_59_67_70" localSheetId="30">#REF!</definedName>
    <definedName name="Excel_BuiltIn_Print_Area_59_67_70" localSheetId="14">#REF!</definedName>
    <definedName name="Excel_BuiltIn_Print_Area_59_67_70" localSheetId="36">#REF!</definedName>
    <definedName name="Excel_BuiltIn_Print_Area_59_67_70">#REF!</definedName>
    <definedName name="Excel_BuiltIn_Print_Area_59_67_71" localSheetId="75">#REF!</definedName>
    <definedName name="Excel_BuiltIn_Print_Area_59_67_71" localSheetId="59">#REF!</definedName>
    <definedName name="Excel_BuiltIn_Print_Area_59_67_71" localSheetId="32">#REF!</definedName>
    <definedName name="Excel_BuiltIn_Print_Area_59_67_71" localSheetId="15">#REF!</definedName>
    <definedName name="Excel_BuiltIn_Print_Area_59_67_71" localSheetId="17">#REF!</definedName>
    <definedName name="Excel_BuiltIn_Print_Area_59_67_71" localSheetId="16">#REF!</definedName>
    <definedName name="Excel_BuiltIn_Print_Area_59_67_71" localSheetId="76">#REF!</definedName>
    <definedName name="Excel_BuiltIn_Print_Area_59_67_71" localSheetId="25">#REF!</definedName>
    <definedName name="Excel_BuiltIn_Print_Area_59_67_71" localSheetId="20">#REF!</definedName>
    <definedName name="Excel_BuiltIn_Print_Area_59_67_71" localSheetId="77">#REF!</definedName>
    <definedName name="Excel_BuiltIn_Print_Area_59_67_71" localSheetId="74">#REF!</definedName>
    <definedName name="Excel_BuiltIn_Print_Area_59_67_71" localSheetId="31">#REF!</definedName>
    <definedName name="Excel_BuiltIn_Print_Area_59_67_71" localSheetId="30">#REF!</definedName>
    <definedName name="Excel_BuiltIn_Print_Area_59_67_71" localSheetId="14">#REF!</definedName>
    <definedName name="Excel_BuiltIn_Print_Area_59_67_71" localSheetId="36">#REF!</definedName>
    <definedName name="Excel_BuiltIn_Print_Area_59_67_71">#REF!</definedName>
    <definedName name="Excel_BuiltIn_Print_Area_59_67_72" localSheetId="75">#REF!</definedName>
    <definedName name="Excel_BuiltIn_Print_Area_59_67_72" localSheetId="59">#REF!</definedName>
    <definedName name="Excel_BuiltIn_Print_Area_59_67_72" localSheetId="32">#REF!</definedName>
    <definedName name="Excel_BuiltIn_Print_Area_59_67_72" localSheetId="15">#REF!</definedName>
    <definedName name="Excel_BuiltIn_Print_Area_59_67_72" localSheetId="17">#REF!</definedName>
    <definedName name="Excel_BuiltIn_Print_Area_59_67_72" localSheetId="16">#REF!</definedName>
    <definedName name="Excel_BuiltIn_Print_Area_59_67_72" localSheetId="76">#REF!</definedName>
    <definedName name="Excel_BuiltIn_Print_Area_59_67_72" localSheetId="25">#REF!</definedName>
    <definedName name="Excel_BuiltIn_Print_Area_59_67_72" localSheetId="20">#REF!</definedName>
    <definedName name="Excel_BuiltIn_Print_Area_59_67_72" localSheetId="77">#REF!</definedName>
    <definedName name="Excel_BuiltIn_Print_Area_59_67_72" localSheetId="74">#REF!</definedName>
    <definedName name="Excel_BuiltIn_Print_Area_59_67_72" localSheetId="31">#REF!</definedName>
    <definedName name="Excel_BuiltIn_Print_Area_59_67_72" localSheetId="30">#REF!</definedName>
    <definedName name="Excel_BuiltIn_Print_Area_59_67_72" localSheetId="14">#REF!</definedName>
    <definedName name="Excel_BuiltIn_Print_Area_59_67_72" localSheetId="36">#REF!</definedName>
    <definedName name="Excel_BuiltIn_Print_Area_59_67_72">#REF!</definedName>
    <definedName name="Excel_BuiltIn_Print_Area_59_67_74" localSheetId="75">#REF!</definedName>
    <definedName name="Excel_BuiltIn_Print_Area_59_67_74" localSheetId="59">#REF!</definedName>
    <definedName name="Excel_BuiltIn_Print_Area_59_67_74" localSheetId="32">#REF!</definedName>
    <definedName name="Excel_BuiltIn_Print_Area_59_67_74" localSheetId="15">#REF!</definedName>
    <definedName name="Excel_BuiltIn_Print_Area_59_67_74" localSheetId="17">#REF!</definedName>
    <definedName name="Excel_BuiltIn_Print_Area_59_67_74" localSheetId="16">#REF!</definedName>
    <definedName name="Excel_BuiltIn_Print_Area_59_67_74" localSheetId="76">#REF!</definedName>
    <definedName name="Excel_BuiltIn_Print_Area_59_67_74" localSheetId="25">#REF!</definedName>
    <definedName name="Excel_BuiltIn_Print_Area_59_67_74" localSheetId="20">#REF!</definedName>
    <definedName name="Excel_BuiltIn_Print_Area_59_67_74" localSheetId="77">#REF!</definedName>
    <definedName name="Excel_BuiltIn_Print_Area_59_67_74" localSheetId="74">#REF!</definedName>
    <definedName name="Excel_BuiltIn_Print_Area_59_67_74" localSheetId="31">#REF!</definedName>
    <definedName name="Excel_BuiltIn_Print_Area_59_67_74" localSheetId="30">#REF!</definedName>
    <definedName name="Excel_BuiltIn_Print_Area_59_67_74" localSheetId="14">#REF!</definedName>
    <definedName name="Excel_BuiltIn_Print_Area_59_67_74" localSheetId="36">#REF!</definedName>
    <definedName name="Excel_BuiltIn_Print_Area_59_67_74">#REF!</definedName>
    <definedName name="Excel_BuiltIn_Print_Area_59_67_9" localSheetId="75">#REF!</definedName>
    <definedName name="Excel_BuiltIn_Print_Area_59_67_9" localSheetId="59">#REF!</definedName>
    <definedName name="Excel_BuiltIn_Print_Area_59_67_9" localSheetId="32">#REF!</definedName>
    <definedName name="Excel_BuiltIn_Print_Area_59_67_9" localSheetId="15">#REF!</definedName>
    <definedName name="Excel_BuiltIn_Print_Area_59_67_9" localSheetId="17">#REF!</definedName>
    <definedName name="Excel_BuiltIn_Print_Area_59_67_9" localSheetId="16">#REF!</definedName>
    <definedName name="Excel_BuiltIn_Print_Area_59_67_9" localSheetId="76">#REF!</definedName>
    <definedName name="Excel_BuiltIn_Print_Area_59_67_9" localSheetId="25">#REF!</definedName>
    <definedName name="Excel_BuiltIn_Print_Area_59_67_9" localSheetId="20">#REF!</definedName>
    <definedName name="Excel_BuiltIn_Print_Area_59_67_9" localSheetId="77">#REF!</definedName>
    <definedName name="Excel_BuiltIn_Print_Area_59_67_9" localSheetId="74">#REF!</definedName>
    <definedName name="Excel_BuiltIn_Print_Area_59_67_9" localSheetId="31">#REF!</definedName>
    <definedName name="Excel_BuiltIn_Print_Area_59_67_9" localSheetId="30">#REF!</definedName>
    <definedName name="Excel_BuiltIn_Print_Area_59_67_9" localSheetId="14">#REF!</definedName>
    <definedName name="Excel_BuiltIn_Print_Area_59_67_9" localSheetId="36">#REF!</definedName>
    <definedName name="Excel_BuiltIn_Print_Area_59_67_9">#REF!</definedName>
    <definedName name="Excel_BuiltIn_Print_Area_59_70" localSheetId="75">#REF!</definedName>
    <definedName name="Excel_BuiltIn_Print_Area_59_70" localSheetId="59">#REF!</definedName>
    <definedName name="Excel_BuiltIn_Print_Area_59_70" localSheetId="32">#REF!</definedName>
    <definedName name="Excel_BuiltIn_Print_Area_59_70" localSheetId="15">#REF!</definedName>
    <definedName name="Excel_BuiltIn_Print_Area_59_70" localSheetId="17">#REF!</definedName>
    <definedName name="Excel_BuiltIn_Print_Area_59_70" localSheetId="16">#REF!</definedName>
    <definedName name="Excel_BuiltIn_Print_Area_59_70" localSheetId="76">#REF!</definedName>
    <definedName name="Excel_BuiltIn_Print_Area_59_70" localSheetId="25">#REF!</definedName>
    <definedName name="Excel_BuiltIn_Print_Area_59_70" localSheetId="20">#REF!</definedName>
    <definedName name="Excel_BuiltIn_Print_Area_59_70" localSheetId="77">#REF!</definedName>
    <definedName name="Excel_BuiltIn_Print_Area_59_70" localSheetId="74">#REF!</definedName>
    <definedName name="Excel_BuiltIn_Print_Area_59_70" localSheetId="31">#REF!</definedName>
    <definedName name="Excel_BuiltIn_Print_Area_59_70" localSheetId="30">#REF!</definedName>
    <definedName name="Excel_BuiltIn_Print_Area_59_70" localSheetId="14">#REF!</definedName>
    <definedName name="Excel_BuiltIn_Print_Area_59_70" localSheetId="36">#REF!</definedName>
    <definedName name="Excel_BuiltIn_Print_Area_59_70">#REF!</definedName>
    <definedName name="Excel_BuiltIn_Print_Area_59_71" localSheetId="75">#REF!</definedName>
    <definedName name="Excel_BuiltIn_Print_Area_59_71" localSheetId="59">#REF!</definedName>
    <definedName name="Excel_BuiltIn_Print_Area_59_71" localSheetId="32">#REF!</definedName>
    <definedName name="Excel_BuiltIn_Print_Area_59_71" localSheetId="15">#REF!</definedName>
    <definedName name="Excel_BuiltIn_Print_Area_59_71" localSheetId="17">#REF!</definedName>
    <definedName name="Excel_BuiltIn_Print_Area_59_71" localSheetId="16">#REF!</definedName>
    <definedName name="Excel_BuiltIn_Print_Area_59_71" localSheetId="76">#REF!</definedName>
    <definedName name="Excel_BuiltIn_Print_Area_59_71" localSheetId="25">#REF!</definedName>
    <definedName name="Excel_BuiltIn_Print_Area_59_71" localSheetId="20">#REF!</definedName>
    <definedName name="Excel_BuiltIn_Print_Area_59_71" localSheetId="77">#REF!</definedName>
    <definedName name="Excel_BuiltIn_Print_Area_59_71" localSheetId="74">#REF!</definedName>
    <definedName name="Excel_BuiltIn_Print_Area_59_71" localSheetId="31">#REF!</definedName>
    <definedName name="Excel_BuiltIn_Print_Area_59_71" localSheetId="30">#REF!</definedName>
    <definedName name="Excel_BuiltIn_Print_Area_59_71" localSheetId="14">#REF!</definedName>
    <definedName name="Excel_BuiltIn_Print_Area_59_71" localSheetId="36">#REF!</definedName>
    <definedName name="Excel_BuiltIn_Print_Area_59_71">#REF!</definedName>
    <definedName name="Excel_BuiltIn_Print_Area_59_72" localSheetId="75">#REF!</definedName>
    <definedName name="Excel_BuiltIn_Print_Area_59_72" localSheetId="59">#REF!</definedName>
    <definedName name="Excel_BuiltIn_Print_Area_59_72" localSheetId="32">#REF!</definedName>
    <definedName name="Excel_BuiltIn_Print_Area_59_72" localSheetId="15">#REF!</definedName>
    <definedName name="Excel_BuiltIn_Print_Area_59_72" localSheetId="17">#REF!</definedName>
    <definedName name="Excel_BuiltIn_Print_Area_59_72" localSheetId="16">#REF!</definedName>
    <definedName name="Excel_BuiltIn_Print_Area_59_72" localSheetId="76">#REF!</definedName>
    <definedName name="Excel_BuiltIn_Print_Area_59_72" localSheetId="25">#REF!</definedName>
    <definedName name="Excel_BuiltIn_Print_Area_59_72" localSheetId="20">#REF!</definedName>
    <definedName name="Excel_BuiltIn_Print_Area_59_72" localSheetId="77">#REF!</definedName>
    <definedName name="Excel_BuiltIn_Print_Area_59_72" localSheetId="74">#REF!</definedName>
    <definedName name="Excel_BuiltIn_Print_Area_59_72" localSheetId="31">#REF!</definedName>
    <definedName name="Excel_BuiltIn_Print_Area_59_72" localSheetId="30">#REF!</definedName>
    <definedName name="Excel_BuiltIn_Print_Area_59_72" localSheetId="14">#REF!</definedName>
    <definedName name="Excel_BuiltIn_Print_Area_59_72" localSheetId="36">#REF!</definedName>
    <definedName name="Excel_BuiltIn_Print_Area_59_72">#REF!</definedName>
    <definedName name="Excel_BuiltIn_Print_Area_59_74" localSheetId="75">#REF!</definedName>
    <definedName name="Excel_BuiltIn_Print_Area_59_74" localSheetId="59">#REF!</definedName>
    <definedName name="Excel_BuiltIn_Print_Area_59_74" localSheetId="32">#REF!</definedName>
    <definedName name="Excel_BuiltIn_Print_Area_59_74" localSheetId="15">#REF!</definedName>
    <definedName name="Excel_BuiltIn_Print_Area_59_74" localSheetId="17">#REF!</definedName>
    <definedName name="Excel_BuiltIn_Print_Area_59_74" localSheetId="16">#REF!</definedName>
    <definedName name="Excel_BuiltIn_Print_Area_59_74" localSheetId="76">#REF!</definedName>
    <definedName name="Excel_BuiltIn_Print_Area_59_74" localSheetId="25">#REF!</definedName>
    <definedName name="Excel_BuiltIn_Print_Area_59_74" localSheetId="20">#REF!</definedName>
    <definedName name="Excel_BuiltIn_Print_Area_59_74" localSheetId="77">#REF!</definedName>
    <definedName name="Excel_BuiltIn_Print_Area_59_74" localSheetId="74">#REF!</definedName>
    <definedName name="Excel_BuiltIn_Print_Area_59_74" localSheetId="31">#REF!</definedName>
    <definedName name="Excel_BuiltIn_Print_Area_59_74" localSheetId="30">#REF!</definedName>
    <definedName name="Excel_BuiltIn_Print_Area_59_74" localSheetId="14">#REF!</definedName>
    <definedName name="Excel_BuiltIn_Print_Area_59_74" localSheetId="36">#REF!</definedName>
    <definedName name="Excel_BuiltIn_Print_Area_59_74">#REF!</definedName>
    <definedName name="Excel_BuiltIn_Print_Area_59_74_1" localSheetId="75">#REF!</definedName>
    <definedName name="Excel_BuiltIn_Print_Area_59_74_1" localSheetId="59">#REF!</definedName>
    <definedName name="Excel_BuiltIn_Print_Area_59_74_1" localSheetId="32">#REF!</definedName>
    <definedName name="Excel_BuiltIn_Print_Area_59_74_1" localSheetId="15">#REF!</definedName>
    <definedName name="Excel_BuiltIn_Print_Area_59_74_1" localSheetId="17">#REF!</definedName>
    <definedName name="Excel_BuiltIn_Print_Area_59_74_1" localSheetId="16">#REF!</definedName>
    <definedName name="Excel_BuiltIn_Print_Area_59_74_1" localSheetId="76">#REF!</definedName>
    <definedName name="Excel_BuiltIn_Print_Area_59_74_1" localSheetId="25">#REF!</definedName>
    <definedName name="Excel_BuiltIn_Print_Area_59_74_1" localSheetId="20">#REF!</definedName>
    <definedName name="Excel_BuiltIn_Print_Area_59_74_1" localSheetId="77">#REF!</definedName>
    <definedName name="Excel_BuiltIn_Print_Area_59_74_1" localSheetId="74">#REF!</definedName>
    <definedName name="Excel_BuiltIn_Print_Area_59_74_1" localSheetId="31">#REF!</definedName>
    <definedName name="Excel_BuiltIn_Print_Area_59_74_1" localSheetId="30">#REF!</definedName>
    <definedName name="Excel_BuiltIn_Print_Area_59_74_1" localSheetId="14">#REF!</definedName>
    <definedName name="Excel_BuiltIn_Print_Area_59_74_1" localSheetId="36">#REF!</definedName>
    <definedName name="Excel_BuiltIn_Print_Area_59_74_1">#REF!</definedName>
    <definedName name="Excel_BuiltIn_Print_Area_59_74_10" localSheetId="75">#REF!</definedName>
    <definedName name="Excel_BuiltIn_Print_Area_59_74_10" localSheetId="59">#REF!</definedName>
    <definedName name="Excel_BuiltIn_Print_Area_59_74_10" localSheetId="32">#REF!</definedName>
    <definedName name="Excel_BuiltIn_Print_Area_59_74_10" localSheetId="15">#REF!</definedName>
    <definedName name="Excel_BuiltIn_Print_Area_59_74_10" localSheetId="17">#REF!</definedName>
    <definedName name="Excel_BuiltIn_Print_Area_59_74_10" localSheetId="16">#REF!</definedName>
    <definedName name="Excel_BuiltIn_Print_Area_59_74_10" localSheetId="76">#REF!</definedName>
    <definedName name="Excel_BuiltIn_Print_Area_59_74_10" localSheetId="25">#REF!</definedName>
    <definedName name="Excel_BuiltIn_Print_Area_59_74_10" localSheetId="20">#REF!</definedName>
    <definedName name="Excel_BuiltIn_Print_Area_59_74_10" localSheetId="77">#REF!</definedName>
    <definedName name="Excel_BuiltIn_Print_Area_59_74_10" localSheetId="74">#REF!</definedName>
    <definedName name="Excel_BuiltIn_Print_Area_59_74_10" localSheetId="31">#REF!</definedName>
    <definedName name="Excel_BuiltIn_Print_Area_59_74_10" localSheetId="30">#REF!</definedName>
    <definedName name="Excel_BuiltIn_Print_Area_59_74_10" localSheetId="14">#REF!</definedName>
    <definedName name="Excel_BuiltIn_Print_Area_59_74_10" localSheetId="36">#REF!</definedName>
    <definedName name="Excel_BuiltIn_Print_Area_59_74_10">#REF!</definedName>
    <definedName name="Excel_BuiltIn_Print_Area_59_74_11" localSheetId="75">#REF!</definedName>
    <definedName name="Excel_BuiltIn_Print_Area_59_74_11" localSheetId="59">#REF!</definedName>
    <definedName name="Excel_BuiltIn_Print_Area_59_74_11" localSheetId="32">#REF!</definedName>
    <definedName name="Excel_BuiltIn_Print_Area_59_74_11" localSheetId="15">#REF!</definedName>
    <definedName name="Excel_BuiltIn_Print_Area_59_74_11" localSheetId="17">#REF!</definedName>
    <definedName name="Excel_BuiltIn_Print_Area_59_74_11" localSheetId="16">#REF!</definedName>
    <definedName name="Excel_BuiltIn_Print_Area_59_74_11" localSheetId="76">#REF!</definedName>
    <definedName name="Excel_BuiltIn_Print_Area_59_74_11" localSheetId="25">#REF!</definedName>
    <definedName name="Excel_BuiltIn_Print_Area_59_74_11" localSheetId="20">#REF!</definedName>
    <definedName name="Excel_BuiltIn_Print_Area_59_74_11" localSheetId="77">#REF!</definedName>
    <definedName name="Excel_BuiltIn_Print_Area_59_74_11" localSheetId="74">#REF!</definedName>
    <definedName name="Excel_BuiltIn_Print_Area_59_74_11" localSheetId="31">#REF!</definedName>
    <definedName name="Excel_BuiltIn_Print_Area_59_74_11" localSheetId="30">#REF!</definedName>
    <definedName name="Excel_BuiltIn_Print_Area_59_74_11" localSheetId="14">#REF!</definedName>
    <definedName name="Excel_BuiltIn_Print_Area_59_74_11" localSheetId="36">#REF!</definedName>
    <definedName name="Excel_BuiltIn_Print_Area_59_74_11">#REF!</definedName>
    <definedName name="Excel_BuiltIn_Print_Area_59_74_13" localSheetId="75">#REF!</definedName>
    <definedName name="Excel_BuiltIn_Print_Area_59_74_13" localSheetId="59">#REF!</definedName>
    <definedName name="Excel_BuiltIn_Print_Area_59_74_13" localSheetId="32">#REF!</definedName>
    <definedName name="Excel_BuiltIn_Print_Area_59_74_13" localSheetId="15">#REF!</definedName>
    <definedName name="Excel_BuiltIn_Print_Area_59_74_13" localSheetId="17">#REF!</definedName>
    <definedName name="Excel_BuiltIn_Print_Area_59_74_13" localSheetId="16">#REF!</definedName>
    <definedName name="Excel_BuiltIn_Print_Area_59_74_13" localSheetId="76">#REF!</definedName>
    <definedName name="Excel_BuiltIn_Print_Area_59_74_13" localSheetId="25">#REF!</definedName>
    <definedName name="Excel_BuiltIn_Print_Area_59_74_13" localSheetId="20">#REF!</definedName>
    <definedName name="Excel_BuiltIn_Print_Area_59_74_13" localSheetId="77">#REF!</definedName>
    <definedName name="Excel_BuiltIn_Print_Area_59_74_13" localSheetId="74">#REF!</definedName>
    <definedName name="Excel_BuiltIn_Print_Area_59_74_13" localSheetId="31">#REF!</definedName>
    <definedName name="Excel_BuiltIn_Print_Area_59_74_13" localSheetId="30">#REF!</definedName>
    <definedName name="Excel_BuiltIn_Print_Area_59_74_13" localSheetId="14">#REF!</definedName>
    <definedName name="Excel_BuiltIn_Print_Area_59_74_13" localSheetId="36">#REF!</definedName>
    <definedName name="Excel_BuiltIn_Print_Area_59_74_13">#REF!</definedName>
    <definedName name="Excel_BuiltIn_Print_Area_59_74_14" localSheetId="75">#REF!</definedName>
    <definedName name="Excel_BuiltIn_Print_Area_59_74_14" localSheetId="59">#REF!</definedName>
    <definedName name="Excel_BuiltIn_Print_Area_59_74_14" localSheetId="32">#REF!</definedName>
    <definedName name="Excel_BuiltIn_Print_Area_59_74_14" localSheetId="15">#REF!</definedName>
    <definedName name="Excel_BuiltIn_Print_Area_59_74_14" localSheetId="17">#REF!</definedName>
    <definedName name="Excel_BuiltIn_Print_Area_59_74_14" localSheetId="16">#REF!</definedName>
    <definedName name="Excel_BuiltIn_Print_Area_59_74_14" localSheetId="76">#REF!</definedName>
    <definedName name="Excel_BuiltIn_Print_Area_59_74_14" localSheetId="25">#REF!</definedName>
    <definedName name="Excel_BuiltIn_Print_Area_59_74_14" localSheetId="20">#REF!</definedName>
    <definedName name="Excel_BuiltIn_Print_Area_59_74_14" localSheetId="77">#REF!</definedName>
    <definedName name="Excel_BuiltIn_Print_Area_59_74_14" localSheetId="74">#REF!</definedName>
    <definedName name="Excel_BuiltIn_Print_Area_59_74_14" localSheetId="31">#REF!</definedName>
    <definedName name="Excel_BuiltIn_Print_Area_59_74_14" localSheetId="30">#REF!</definedName>
    <definedName name="Excel_BuiltIn_Print_Area_59_74_14" localSheetId="14">#REF!</definedName>
    <definedName name="Excel_BuiltIn_Print_Area_59_74_14" localSheetId="36">#REF!</definedName>
    <definedName name="Excel_BuiltIn_Print_Area_59_74_14">#REF!</definedName>
    <definedName name="Excel_BuiltIn_Print_Area_59_74_15" localSheetId="75">#REF!</definedName>
    <definedName name="Excel_BuiltIn_Print_Area_59_74_15" localSheetId="59">#REF!</definedName>
    <definedName name="Excel_BuiltIn_Print_Area_59_74_15" localSheetId="32">#REF!</definedName>
    <definedName name="Excel_BuiltIn_Print_Area_59_74_15" localSheetId="15">#REF!</definedName>
    <definedName name="Excel_BuiltIn_Print_Area_59_74_15" localSheetId="17">#REF!</definedName>
    <definedName name="Excel_BuiltIn_Print_Area_59_74_15" localSheetId="16">#REF!</definedName>
    <definedName name="Excel_BuiltIn_Print_Area_59_74_15" localSheetId="76">#REF!</definedName>
    <definedName name="Excel_BuiltIn_Print_Area_59_74_15" localSheetId="25">#REF!</definedName>
    <definedName name="Excel_BuiltIn_Print_Area_59_74_15" localSheetId="20">#REF!</definedName>
    <definedName name="Excel_BuiltIn_Print_Area_59_74_15" localSheetId="77">#REF!</definedName>
    <definedName name="Excel_BuiltIn_Print_Area_59_74_15" localSheetId="74">#REF!</definedName>
    <definedName name="Excel_BuiltIn_Print_Area_59_74_15" localSheetId="31">#REF!</definedName>
    <definedName name="Excel_BuiltIn_Print_Area_59_74_15" localSheetId="30">#REF!</definedName>
    <definedName name="Excel_BuiltIn_Print_Area_59_74_15" localSheetId="14">#REF!</definedName>
    <definedName name="Excel_BuiltIn_Print_Area_59_74_15" localSheetId="36">#REF!</definedName>
    <definedName name="Excel_BuiltIn_Print_Area_59_74_15">#REF!</definedName>
    <definedName name="Excel_BuiltIn_Print_Area_59_74_16" localSheetId="75">#REF!</definedName>
    <definedName name="Excel_BuiltIn_Print_Area_59_74_16" localSheetId="59">#REF!</definedName>
    <definedName name="Excel_BuiltIn_Print_Area_59_74_16" localSheetId="32">#REF!</definedName>
    <definedName name="Excel_BuiltIn_Print_Area_59_74_16" localSheetId="15">#REF!</definedName>
    <definedName name="Excel_BuiltIn_Print_Area_59_74_16" localSheetId="17">#REF!</definedName>
    <definedName name="Excel_BuiltIn_Print_Area_59_74_16" localSheetId="16">#REF!</definedName>
    <definedName name="Excel_BuiltIn_Print_Area_59_74_16" localSheetId="76">#REF!</definedName>
    <definedName name="Excel_BuiltIn_Print_Area_59_74_16" localSheetId="25">#REF!</definedName>
    <definedName name="Excel_BuiltIn_Print_Area_59_74_16" localSheetId="20">#REF!</definedName>
    <definedName name="Excel_BuiltIn_Print_Area_59_74_16" localSheetId="77">#REF!</definedName>
    <definedName name="Excel_BuiltIn_Print_Area_59_74_16" localSheetId="74">#REF!</definedName>
    <definedName name="Excel_BuiltIn_Print_Area_59_74_16" localSheetId="31">#REF!</definedName>
    <definedName name="Excel_BuiltIn_Print_Area_59_74_16" localSheetId="30">#REF!</definedName>
    <definedName name="Excel_BuiltIn_Print_Area_59_74_16" localSheetId="14">#REF!</definedName>
    <definedName name="Excel_BuiltIn_Print_Area_59_74_16" localSheetId="36">#REF!</definedName>
    <definedName name="Excel_BuiltIn_Print_Area_59_74_16">#REF!</definedName>
    <definedName name="Excel_BuiltIn_Print_Area_59_74_2" localSheetId="75">#REF!</definedName>
    <definedName name="Excel_BuiltIn_Print_Area_59_74_2" localSheetId="59">#REF!</definedName>
    <definedName name="Excel_BuiltIn_Print_Area_59_74_2" localSheetId="32">#REF!</definedName>
    <definedName name="Excel_BuiltIn_Print_Area_59_74_2" localSheetId="15">#REF!</definedName>
    <definedName name="Excel_BuiltIn_Print_Area_59_74_2" localSheetId="17">#REF!</definedName>
    <definedName name="Excel_BuiltIn_Print_Area_59_74_2" localSheetId="16">#REF!</definedName>
    <definedName name="Excel_BuiltIn_Print_Area_59_74_2" localSheetId="76">#REF!</definedName>
    <definedName name="Excel_BuiltIn_Print_Area_59_74_2" localSheetId="25">#REF!</definedName>
    <definedName name="Excel_BuiltIn_Print_Area_59_74_2" localSheetId="20">#REF!</definedName>
    <definedName name="Excel_BuiltIn_Print_Area_59_74_2" localSheetId="77">#REF!</definedName>
    <definedName name="Excel_BuiltIn_Print_Area_59_74_2" localSheetId="74">#REF!</definedName>
    <definedName name="Excel_BuiltIn_Print_Area_59_74_2" localSheetId="31">#REF!</definedName>
    <definedName name="Excel_BuiltIn_Print_Area_59_74_2" localSheetId="30">#REF!</definedName>
    <definedName name="Excel_BuiltIn_Print_Area_59_74_2" localSheetId="14">#REF!</definedName>
    <definedName name="Excel_BuiltIn_Print_Area_59_74_2" localSheetId="36">#REF!</definedName>
    <definedName name="Excel_BuiltIn_Print_Area_59_74_2">#REF!</definedName>
    <definedName name="Excel_BuiltIn_Print_Area_59_74_22" localSheetId="75">#REF!</definedName>
    <definedName name="Excel_BuiltIn_Print_Area_59_74_22" localSheetId="59">#REF!</definedName>
    <definedName name="Excel_BuiltIn_Print_Area_59_74_22" localSheetId="32">#REF!</definedName>
    <definedName name="Excel_BuiltIn_Print_Area_59_74_22" localSheetId="15">#REF!</definedName>
    <definedName name="Excel_BuiltIn_Print_Area_59_74_22" localSheetId="17">#REF!</definedName>
    <definedName name="Excel_BuiltIn_Print_Area_59_74_22" localSheetId="16">#REF!</definedName>
    <definedName name="Excel_BuiltIn_Print_Area_59_74_22" localSheetId="76">#REF!</definedName>
    <definedName name="Excel_BuiltIn_Print_Area_59_74_22" localSheetId="25">#REF!</definedName>
    <definedName name="Excel_BuiltIn_Print_Area_59_74_22" localSheetId="20">#REF!</definedName>
    <definedName name="Excel_BuiltIn_Print_Area_59_74_22" localSheetId="77">#REF!</definedName>
    <definedName name="Excel_BuiltIn_Print_Area_59_74_22" localSheetId="74">#REF!</definedName>
    <definedName name="Excel_BuiltIn_Print_Area_59_74_22" localSheetId="31">#REF!</definedName>
    <definedName name="Excel_BuiltIn_Print_Area_59_74_22" localSheetId="30">#REF!</definedName>
    <definedName name="Excel_BuiltIn_Print_Area_59_74_22" localSheetId="14">#REF!</definedName>
    <definedName name="Excel_BuiltIn_Print_Area_59_74_22" localSheetId="36">#REF!</definedName>
    <definedName name="Excel_BuiltIn_Print_Area_59_74_22">#REF!</definedName>
    <definedName name="Excel_BuiltIn_Print_Area_59_74_25" localSheetId="75">#REF!</definedName>
    <definedName name="Excel_BuiltIn_Print_Area_59_74_25" localSheetId="59">#REF!</definedName>
    <definedName name="Excel_BuiltIn_Print_Area_59_74_25" localSheetId="32">#REF!</definedName>
    <definedName name="Excel_BuiltIn_Print_Area_59_74_25" localSheetId="15">#REF!</definedName>
    <definedName name="Excel_BuiltIn_Print_Area_59_74_25" localSheetId="17">#REF!</definedName>
    <definedName name="Excel_BuiltIn_Print_Area_59_74_25" localSheetId="16">#REF!</definedName>
    <definedName name="Excel_BuiltIn_Print_Area_59_74_25" localSheetId="76">#REF!</definedName>
    <definedName name="Excel_BuiltIn_Print_Area_59_74_25" localSheetId="25">#REF!</definedName>
    <definedName name="Excel_BuiltIn_Print_Area_59_74_25" localSheetId="20">#REF!</definedName>
    <definedName name="Excel_BuiltIn_Print_Area_59_74_25" localSheetId="77">#REF!</definedName>
    <definedName name="Excel_BuiltIn_Print_Area_59_74_25" localSheetId="74">#REF!</definedName>
    <definedName name="Excel_BuiltIn_Print_Area_59_74_25" localSheetId="31">#REF!</definedName>
    <definedName name="Excel_BuiltIn_Print_Area_59_74_25" localSheetId="30">#REF!</definedName>
    <definedName name="Excel_BuiltIn_Print_Area_59_74_25" localSheetId="14">#REF!</definedName>
    <definedName name="Excel_BuiltIn_Print_Area_59_74_25" localSheetId="36">#REF!</definedName>
    <definedName name="Excel_BuiltIn_Print_Area_59_74_25">#REF!</definedName>
    <definedName name="Excel_BuiltIn_Print_Area_59_74_3" localSheetId="75">#REF!</definedName>
    <definedName name="Excel_BuiltIn_Print_Area_59_74_3" localSheetId="59">#REF!</definedName>
    <definedName name="Excel_BuiltIn_Print_Area_59_74_3" localSheetId="32">#REF!</definedName>
    <definedName name="Excel_BuiltIn_Print_Area_59_74_3" localSheetId="15">#REF!</definedName>
    <definedName name="Excel_BuiltIn_Print_Area_59_74_3" localSheetId="17">#REF!</definedName>
    <definedName name="Excel_BuiltIn_Print_Area_59_74_3" localSheetId="16">#REF!</definedName>
    <definedName name="Excel_BuiltIn_Print_Area_59_74_3" localSheetId="76">#REF!</definedName>
    <definedName name="Excel_BuiltIn_Print_Area_59_74_3" localSheetId="25">#REF!</definedName>
    <definedName name="Excel_BuiltIn_Print_Area_59_74_3" localSheetId="20">#REF!</definedName>
    <definedName name="Excel_BuiltIn_Print_Area_59_74_3" localSheetId="77">#REF!</definedName>
    <definedName name="Excel_BuiltIn_Print_Area_59_74_3" localSheetId="74">#REF!</definedName>
    <definedName name="Excel_BuiltIn_Print_Area_59_74_3" localSheetId="31">#REF!</definedName>
    <definedName name="Excel_BuiltIn_Print_Area_59_74_3" localSheetId="30">#REF!</definedName>
    <definedName name="Excel_BuiltIn_Print_Area_59_74_3" localSheetId="14">#REF!</definedName>
    <definedName name="Excel_BuiltIn_Print_Area_59_74_3" localSheetId="36">#REF!</definedName>
    <definedName name="Excel_BuiltIn_Print_Area_59_74_3">#REF!</definedName>
    <definedName name="Excel_BuiltIn_Print_Area_59_74_4" localSheetId="75">#REF!</definedName>
    <definedName name="Excel_BuiltIn_Print_Area_59_74_4" localSheetId="59">#REF!</definedName>
    <definedName name="Excel_BuiltIn_Print_Area_59_74_4" localSheetId="32">#REF!</definedName>
    <definedName name="Excel_BuiltIn_Print_Area_59_74_4" localSheetId="15">#REF!</definedName>
    <definedName name="Excel_BuiltIn_Print_Area_59_74_4" localSheetId="17">#REF!</definedName>
    <definedName name="Excel_BuiltIn_Print_Area_59_74_4" localSheetId="16">#REF!</definedName>
    <definedName name="Excel_BuiltIn_Print_Area_59_74_4" localSheetId="76">#REF!</definedName>
    <definedName name="Excel_BuiltIn_Print_Area_59_74_4" localSheetId="25">#REF!</definedName>
    <definedName name="Excel_BuiltIn_Print_Area_59_74_4" localSheetId="20">#REF!</definedName>
    <definedName name="Excel_BuiltIn_Print_Area_59_74_4" localSheetId="77">#REF!</definedName>
    <definedName name="Excel_BuiltIn_Print_Area_59_74_4" localSheetId="74">#REF!</definedName>
    <definedName name="Excel_BuiltIn_Print_Area_59_74_4" localSheetId="31">#REF!</definedName>
    <definedName name="Excel_BuiltIn_Print_Area_59_74_4" localSheetId="30">#REF!</definedName>
    <definedName name="Excel_BuiltIn_Print_Area_59_74_4" localSheetId="14">#REF!</definedName>
    <definedName name="Excel_BuiltIn_Print_Area_59_74_4" localSheetId="36">#REF!</definedName>
    <definedName name="Excel_BuiltIn_Print_Area_59_74_4">#REF!</definedName>
    <definedName name="Excel_BuiltIn_Print_Area_59_74_56" localSheetId="75">#REF!</definedName>
    <definedName name="Excel_BuiltIn_Print_Area_59_74_56" localSheetId="59">#REF!</definedName>
    <definedName name="Excel_BuiltIn_Print_Area_59_74_56" localSheetId="32">#REF!</definedName>
    <definedName name="Excel_BuiltIn_Print_Area_59_74_56" localSheetId="15">#REF!</definedName>
    <definedName name="Excel_BuiltIn_Print_Area_59_74_56" localSheetId="17">#REF!</definedName>
    <definedName name="Excel_BuiltIn_Print_Area_59_74_56" localSheetId="16">#REF!</definedName>
    <definedName name="Excel_BuiltIn_Print_Area_59_74_56" localSheetId="76">#REF!</definedName>
    <definedName name="Excel_BuiltIn_Print_Area_59_74_56" localSheetId="25">#REF!</definedName>
    <definedName name="Excel_BuiltIn_Print_Area_59_74_56" localSheetId="20">#REF!</definedName>
    <definedName name="Excel_BuiltIn_Print_Area_59_74_56" localSheetId="77">#REF!</definedName>
    <definedName name="Excel_BuiltIn_Print_Area_59_74_56" localSheetId="74">#REF!</definedName>
    <definedName name="Excel_BuiltIn_Print_Area_59_74_56" localSheetId="31">#REF!</definedName>
    <definedName name="Excel_BuiltIn_Print_Area_59_74_56" localSheetId="30">#REF!</definedName>
    <definedName name="Excel_BuiltIn_Print_Area_59_74_56" localSheetId="14">#REF!</definedName>
    <definedName name="Excel_BuiltIn_Print_Area_59_74_56" localSheetId="36">#REF!</definedName>
    <definedName name="Excel_BuiltIn_Print_Area_59_74_56">#REF!</definedName>
    <definedName name="Excel_BuiltIn_Print_Area_59_74_6" localSheetId="75">#REF!</definedName>
    <definedName name="Excel_BuiltIn_Print_Area_59_74_6" localSheetId="59">#REF!</definedName>
    <definedName name="Excel_BuiltIn_Print_Area_59_74_6" localSheetId="32">#REF!</definedName>
    <definedName name="Excel_BuiltIn_Print_Area_59_74_6" localSheetId="15">#REF!</definedName>
    <definedName name="Excel_BuiltIn_Print_Area_59_74_6" localSheetId="17">#REF!</definedName>
    <definedName name="Excel_BuiltIn_Print_Area_59_74_6" localSheetId="16">#REF!</definedName>
    <definedName name="Excel_BuiltIn_Print_Area_59_74_6" localSheetId="76">#REF!</definedName>
    <definedName name="Excel_BuiltIn_Print_Area_59_74_6" localSheetId="25">#REF!</definedName>
    <definedName name="Excel_BuiltIn_Print_Area_59_74_6" localSheetId="20">#REF!</definedName>
    <definedName name="Excel_BuiltIn_Print_Area_59_74_6" localSheetId="77">#REF!</definedName>
    <definedName name="Excel_BuiltIn_Print_Area_59_74_6" localSheetId="74">#REF!</definedName>
    <definedName name="Excel_BuiltIn_Print_Area_59_74_6" localSheetId="31">#REF!</definedName>
    <definedName name="Excel_BuiltIn_Print_Area_59_74_6" localSheetId="30">#REF!</definedName>
    <definedName name="Excel_BuiltIn_Print_Area_59_74_6" localSheetId="14">#REF!</definedName>
    <definedName name="Excel_BuiltIn_Print_Area_59_74_6" localSheetId="36">#REF!</definedName>
    <definedName name="Excel_BuiltIn_Print_Area_59_74_6">#REF!</definedName>
    <definedName name="Excel_BuiltIn_Print_Area_59_74_66" localSheetId="75">#REF!</definedName>
    <definedName name="Excel_BuiltIn_Print_Area_59_74_66" localSheetId="59">#REF!</definedName>
    <definedName name="Excel_BuiltIn_Print_Area_59_74_66" localSheetId="32">#REF!</definedName>
    <definedName name="Excel_BuiltIn_Print_Area_59_74_66" localSheetId="15">#REF!</definedName>
    <definedName name="Excel_BuiltIn_Print_Area_59_74_66" localSheetId="17">#REF!</definedName>
    <definedName name="Excel_BuiltIn_Print_Area_59_74_66" localSheetId="16">#REF!</definedName>
    <definedName name="Excel_BuiltIn_Print_Area_59_74_66" localSheetId="76">#REF!</definedName>
    <definedName name="Excel_BuiltIn_Print_Area_59_74_66" localSheetId="25">#REF!</definedName>
    <definedName name="Excel_BuiltIn_Print_Area_59_74_66" localSheetId="20">#REF!</definedName>
    <definedName name="Excel_BuiltIn_Print_Area_59_74_66" localSheetId="77">#REF!</definedName>
    <definedName name="Excel_BuiltIn_Print_Area_59_74_66" localSheetId="74">#REF!</definedName>
    <definedName name="Excel_BuiltIn_Print_Area_59_74_66" localSheetId="31">#REF!</definedName>
    <definedName name="Excel_BuiltIn_Print_Area_59_74_66" localSheetId="30">#REF!</definedName>
    <definedName name="Excel_BuiltIn_Print_Area_59_74_66" localSheetId="14">#REF!</definedName>
    <definedName name="Excel_BuiltIn_Print_Area_59_74_66" localSheetId="36">#REF!</definedName>
    <definedName name="Excel_BuiltIn_Print_Area_59_74_66">#REF!</definedName>
    <definedName name="Excel_BuiltIn_Print_Area_59_74_67" localSheetId="75">#REF!</definedName>
    <definedName name="Excel_BuiltIn_Print_Area_59_74_67" localSheetId="59">#REF!</definedName>
    <definedName name="Excel_BuiltIn_Print_Area_59_74_67" localSheetId="32">#REF!</definedName>
    <definedName name="Excel_BuiltIn_Print_Area_59_74_67" localSheetId="15">#REF!</definedName>
    <definedName name="Excel_BuiltIn_Print_Area_59_74_67" localSheetId="17">#REF!</definedName>
    <definedName name="Excel_BuiltIn_Print_Area_59_74_67" localSheetId="16">#REF!</definedName>
    <definedName name="Excel_BuiltIn_Print_Area_59_74_67" localSheetId="76">#REF!</definedName>
    <definedName name="Excel_BuiltIn_Print_Area_59_74_67" localSheetId="25">#REF!</definedName>
    <definedName name="Excel_BuiltIn_Print_Area_59_74_67" localSheetId="20">#REF!</definedName>
    <definedName name="Excel_BuiltIn_Print_Area_59_74_67" localSheetId="77">#REF!</definedName>
    <definedName name="Excel_BuiltIn_Print_Area_59_74_67" localSheetId="74">#REF!</definedName>
    <definedName name="Excel_BuiltIn_Print_Area_59_74_67" localSheetId="31">#REF!</definedName>
    <definedName name="Excel_BuiltIn_Print_Area_59_74_67" localSheetId="30">#REF!</definedName>
    <definedName name="Excel_BuiltIn_Print_Area_59_74_67" localSheetId="14">#REF!</definedName>
    <definedName name="Excel_BuiltIn_Print_Area_59_74_67" localSheetId="36">#REF!</definedName>
    <definedName name="Excel_BuiltIn_Print_Area_59_74_67">#REF!</definedName>
    <definedName name="Excel_BuiltIn_Print_Area_59_74_70" localSheetId="75">#REF!</definedName>
    <definedName name="Excel_BuiltIn_Print_Area_59_74_70" localSheetId="59">#REF!</definedName>
    <definedName name="Excel_BuiltIn_Print_Area_59_74_70" localSheetId="32">#REF!</definedName>
    <definedName name="Excel_BuiltIn_Print_Area_59_74_70" localSheetId="15">#REF!</definedName>
    <definedName name="Excel_BuiltIn_Print_Area_59_74_70" localSheetId="17">#REF!</definedName>
    <definedName name="Excel_BuiltIn_Print_Area_59_74_70" localSheetId="16">#REF!</definedName>
    <definedName name="Excel_BuiltIn_Print_Area_59_74_70" localSheetId="76">#REF!</definedName>
    <definedName name="Excel_BuiltIn_Print_Area_59_74_70" localSheetId="25">#REF!</definedName>
    <definedName name="Excel_BuiltIn_Print_Area_59_74_70" localSheetId="20">#REF!</definedName>
    <definedName name="Excel_BuiltIn_Print_Area_59_74_70" localSheetId="77">#REF!</definedName>
    <definedName name="Excel_BuiltIn_Print_Area_59_74_70" localSheetId="74">#REF!</definedName>
    <definedName name="Excel_BuiltIn_Print_Area_59_74_70" localSheetId="31">#REF!</definedName>
    <definedName name="Excel_BuiltIn_Print_Area_59_74_70" localSheetId="30">#REF!</definedName>
    <definedName name="Excel_BuiltIn_Print_Area_59_74_70" localSheetId="14">#REF!</definedName>
    <definedName name="Excel_BuiltIn_Print_Area_59_74_70" localSheetId="36">#REF!</definedName>
    <definedName name="Excel_BuiltIn_Print_Area_59_74_70">#REF!</definedName>
    <definedName name="Excel_BuiltIn_Print_Area_59_74_71" localSheetId="75">#REF!</definedName>
    <definedName name="Excel_BuiltIn_Print_Area_59_74_71" localSheetId="59">#REF!</definedName>
    <definedName name="Excel_BuiltIn_Print_Area_59_74_71" localSheetId="32">#REF!</definedName>
    <definedName name="Excel_BuiltIn_Print_Area_59_74_71" localSheetId="15">#REF!</definedName>
    <definedName name="Excel_BuiltIn_Print_Area_59_74_71" localSheetId="17">#REF!</definedName>
    <definedName name="Excel_BuiltIn_Print_Area_59_74_71" localSheetId="16">#REF!</definedName>
    <definedName name="Excel_BuiltIn_Print_Area_59_74_71" localSheetId="76">#REF!</definedName>
    <definedName name="Excel_BuiltIn_Print_Area_59_74_71" localSheetId="25">#REF!</definedName>
    <definedName name="Excel_BuiltIn_Print_Area_59_74_71" localSheetId="20">#REF!</definedName>
    <definedName name="Excel_BuiltIn_Print_Area_59_74_71" localSheetId="77">#REF!</definedName>
    <definedName name="Excel_BuiltIn_Print_Area_59_74_71" localSheetId="74">#REF!</definedName>
    <definedName name="Excel_BuiltIn_Print_Area_59_74_71" localSheetId="31">#REF!</definedName>
    <definedName name="Excel_BuiltIn_Print_Area_59_74_71" localSheetId="30">#REF!</definedName>
    <definedName name="Excel_BuiltIn_Print_Area_59_74_71" localSheetId="14">#REF!</definedName>
    <definedName name="Excel_BuiltIn_Print_Area_59_74_71" localSheetId="36">#REF!</definedName>
    <definedName name="Excel_BuiltIn_Print_Area_59_74_71">#REF!</definedName>
    <definedName name="Excel_BuiltIn_Print_Area_59_74_72" localSheetId="75">#REF!</definedName>
    <definedName name="Excel_BuiltIn_Print_Area_59_74_72" localSheetId="59">#REF!</definedName>
    <definedName name="Excel_BuiltIn_Print_Area_59_74_72" localSheetId="32">#REF!</definedName>
    <definedName name="Excel_BuiltIn_Print_Area_59_74_72" localSheetId="15">#REF!</definedName>
    <definedName name="Excel_BuiltIn_Print_Area_59_74_72" localSheetId="17">#REF!</definedName>
    <definedName name="Excel_BuiltIn_Print_Area_59_74_72" localSheetId="16">#REF!</definedName>
    <definedName name="Excel_BuiltIn_Print_Area_59_74_72" localSheetId="76">#REF!</definedName>
    <definedName name="Excel_BuiltIn_Print_Area_59_74_72" localSheetId="25">#REF!</definedName>
    <definedName name="Excel_BuiltIn_Print_Area_59_74_72" localSheetId="20">#REF!</definedName>
    <definedName name="Excel_BuiltIn_Print_Area_59_74_72" localSheetId="77">#REF!</definedName>
    <definedName name="Excel_BuiltIn_Print_Area_59_74_72" localSheetId="74">#REF!</definedName>
    <definedName name="Excel_BuiltIn_Print_Area_59_74_72" localSheetId="31">#REF!</definedName>
    <definedName name="Excel_BuiltIn_Print_Area_59_74_72" localSheetId="30">#REF!</definedName>
    <definedName name="Excel_BuiltIn_Print_Area_59_74_72" localSheetId="14">#REF!</definedName>
    <definedName name="Excel_BuiltIn_Print_Area_59_74_72" localSheetId="36">#REF!</definedName>
    <definedName name="Excel_BuiltIn_Print_Area_59_74_72">#REF!</definedName>
    <definedName name="Excel_BuiltIn_Print_Area_59_74_74" localSheetId="75">#REF!</definedName>
    <definedName name="Excel_BuiltIn_Print_Area_59_74_74" localSheetId="59">#REF!</definedName>
    <definedName name="Excel_BuiltIn_Print_Area_59_74_74" localSheetId="32">#REF!</definedName>
    <definedName name="Excel_BuiltIn_Print_Area_59_74_74" localSheetId="15">#REF!</definedName>
    <definedName name="Excel_BuiltIn_Print_Area_59_74_74" localSheetId="17">#REF!</definedName>
    <definedName name="Excel_BuiltIn_Print_Area_59_74_74" localSheetId="16">#REF!</definedName>
    <definedName name="Excel_BuiltIn_Print_Area_59_74_74" localSheetId="76">#REF!</definedName>
    <definedName name="Excel_BuiltIn_Print_Area_59_74_74" localSheetId="25">#REF!</definedName>
    <definedName name="Excel_BuiltIn_Print_Area_59_74_74" localSheetId="20">#REF!</definedName>
    <definedName name="Excel_BuiltIn_Print_Area_59_74_74" localSheetId="77">#REF!</definedName>
    <definedName name="Excel_BuiltIn_Print_Area_59_74_74" localSheetId="74">#REF!</definedName>
    <definedName name="Excel_BuiltIn_Print_Area_59_74_74" localSheetId="31">#REF!</definedName>
    <definedName name="Excel_BuiltIn_Print_Area_59_74_74" localSheetId="30">#REF!</definedName>
    <definedName name="Excel_BuiltIn_Print_Area_59_74_74" localSheetId="14">#REF!</definedName>
    <definedName name="Excel_BuiltIn_Print_Area_59_74_74" localSheetId="36">#REF!</definedName>
    <definedName name="Excel_BuiltIn_Print_Area_59_74_74">#REF!</definedName>
    <definedName name="Excel_BuiltIn_Print_Area_59_74_9" localSheetId="75">#REF!</definedName>
    <definedName name="Excel_BuiltIn_Print_Area_59_74_9" localSheetId="59">#REF!</definedName>
    <definedName name="Excel_BuiltIn_Print_Area_59_74_9" localSheetId="32">#REF!</definedName>
    <definedName name="Excel_BuiltIn_Print_Area_59_74_9" localSheetId="15">#REF!</definedName>
    <definedName name="Excel_BuiltIn_Print_Area_59_74_9" localSheetId="17">#REF!</definedName>
    <definedName name="Excel_BuiltIn_Print_Area_59_74_9" localSheetId="16">#REF!</definedName>
    <definedName name="Excel_BuiltIn_Print_Area_59_74_9" localSheetId="76">#REF!</definedName>
    <definedName name="Excel_BuiltIn_Print_Area_59_74_9" localSheetId="25">#REF!</definedName>
    <definedName name="Excel_BuiltIn_Print_Area_59_74_9" localSheetId="20">#REF!</definedName>
    <definedName name="Excel_BuiltIn_Print_Area_59_74_9" localSheetId="77">#REF!</definedName>
    <definedName name="Excel_BuiltIn_Print_Area_59_74_9" localSheetId="74">#REF!</definedName>
    <definedName name="Excel_BuiltIn_Print_Area_59_74_9" localSheetId="31">#REF!</definedName>
    <definedName name="Excel_BuiltIn_Print_Area_59_74_9" localSheetId="30">#REF!</definedName>
    <definedName name="Excel_BuiltIn_Print_Area_59_74_9" localSheetId="14">#REF!</definedName>
    <definedName name="Excel_BuiltIn_Print_Area_59_74_9" localSheetId="36">#REF!</definedName>
    <definedName name="Excel_BuiltIn_Print_Area_59_74_9">#REF!</definedName>
    <definedName name="Excel_BuiltIn_Print_Area_59_9" localSheetId="75">#REF!</definedName>
    <definedName name="Excel_BuiltIn_Print_Area_59_9" localSheetId="59">#REF!</definedName>
    <definedName name="Excel_BuiltIn_Print_Area_59_9" localSheetId="32">#REF!</definedName>
    <definedName name="Excel_BuiltIn_Print_Area_59_9" localSheetId="15">#REF!</definedName>
    <definedName name="Excel_BuiltIn_Print_Area_59_9" localSheetId="17">#REF!</definedName>
    <definedName name="Excel_BuiltIn_Print_Area_59_9" localSheetId="16">#REF!</definedName>
    <definedName name="Excel_BuiltIn_Print_Area_59_9" localSheetId="76">#REF!</definedName>
    <definedName name="Excel_BuiltIn_Print_Area_59_9" localSheetId="25">#REF!</definedName>
    <definedName name="Excel_BuiltIn_Print_Area_59_9" localSheetId="20">#REF!</definedName>
    <definedName name="Excel_BuiltIn_Print_Area_59_9" localSheetId="77">#REF!</definedName>
    <definedName name="Excel_BuiltIn_Print_Area_59_9" localSheetId="74">#REF!</definedName>
    <definedName name="Excel_BuiltIn_Print_Area_59_9" localSheetId="31">#REF!</definedName>
    <definedName name="Excel_BuiltIn_Print_Area_59_9" localSheetId="30">#REF!</definedName>
    <definedName name="Excel_BuiltIn_Print_Area_59_9" localSheetId="14">#REF!</definedName>
    <definedName name="Excel_BuiltIn_Print_Area_59_9" localSheetId="36">#REF!</definedName>
    <definedName name="Excel_BuiltIn_Print_Area_59_9">#REF!</definedName>
    <definedName name="ff" localSheetId="75">'А 2018'!ff</definedName>
    <definedName name="ff" localSheetId="59">#N/A</definedName>
    <definedName name="ff" localSheetId="50">'ЗП с факт 3 кв. 2015'!ff</definedName>
    <definedName name="ff" localSheetId="24">#N/A</definedName>
    <definedName name="ff" localSheetId="22">#N/A</definedName>
    <definedName name="ff" localSheetId="19">#N/A</definedName>
    <definedName name="ff" localSheetId="15">#N/A</definedName>
    <definedName name="ff" localSheetId="18">#N/A</definedName>
    <definedName name="ff" localSheetId="17">#N/A</definedName>
    <definedName name="ff" localSheetId="16">#N/A</definedName>
    <definedName name="ff" localSheetId="76">#N/A</definedName>
    <definedName name="ff" localSheetId="25">#N/A</definedName>
    <definedName name="ff" localSheetId="20">#N/A</definedName>
    <definedName name="ff" localSheetId="77">'рез к 2017-2023'!ff</definedName>
    <definedName name="ff" localSheetId="74">'рез к 2018-2024 (кор) '!ff</definedName>
    <definedName name="ff" localSheetId="13">#N/A</definedName>
    <definedName name="ff" localSheetId="23">#N/A</definedName>
    <definedName name="ff" localSheetId="21">#N/A</definedName>
    <definedName name="ff" localSheetId="14">#N/A</definedName>
    <definedName name="ff">ff</definedName>
    <definedName name="ff_10" localSheetId="75">'А 2018'!ff</definedName>
    <definedName name="ff_10" localSheetId="59">'выпадающие расходы'!ff</definedName>
    <definedName name="ff_10" localSheetId="50">'ЗП с факт 3 кв. 2015'!ff</definedName>
    <definedName name="ff_10" localSheetId="24">'ПОЛНАЯ СЕБЕСТОИМОСТЬ ВОДА 2021'!ff</definedName>
    <definedName name="ff_10" localSheetId="22">'ПОЛНАЯ СЕБЕСТОИМОСТЬ СТОКИ 2021'!ff</definedName>
    <definedName name="ff_10" localSheetId="19">'Прил. 1 План ФХД вода '!ff</definedName>
    <definedName name="ff_10" localSheetId="15">'Прил. 1 План ФХД с транспортир.'!ff</definedName>
    <definedName name="ff_10" localSheetId="18">'Прил. 1 План ФХД стоки'!ff</definedName>
    <definedName name="ff_10" localSheetId="17">'Прил. 1 План ФХД трансп. воды'!ff</definedName>
    <definedName name="ff_10" localSheetId="16">'Прил. 1 План ФХД трансп. стоков'!ff</definedName>
    <definedName name="ff_10" localSheetId="76">'Расчет товарной выручки 2018'!ff</definedName>
    <definedName name="ff_10" localSheetId="25">'Расчет товарной выручки 2019'!ff</definedName>
    <definedName name="ff_10" localSheetId="20">'Расчет товарной выручки 2021'!ff</definedName>
    <definedName name="ff_10" localSheetId="77">'рез к 2017-2023'!ff</definedName>
    <definedName name="ff_10" localSheetId="74">'рез к 2018-2024 (кор) '!ff</definedName>
    <definedName name="ff_10" localSheetId="13">'Текущий ремонт'!ff</definedName>
    <definedName name="ff_10" localSheetId="23">'ФАКТ.СЕБЕСТ.ВОДА 9 мес. 2021'!ff</definedName>
    <definedName name="ff_10" localSheetId="21">'ФАКТ.СЕБЕСТ.СТОКИ 9 мес. 2021'!ff</definedName>
    <definedName name="ff_10" localSheetId="14">'Чистая прибыль с транспортир.'!ff</definedName>
    <definedName name="ff_10">[0]!ff</definedName>
    <definedName name="ff_14" localSheetId="75">'А 2018'!ff</definedName>
    <definedName name="ff_14" localSheetId="59">'выпадающие расходы'!ff</definedName>
    <definedName name="ff_14" localSheetId="50">'ЗП с факт 3 кв. 2015'!ff</definedName>
    <definedName name="ff_14" localSheetId="24">'ПОЛНАЯ СЕБЕСТОИМОСТЬ ВОДА 2021'!ff</definedName>
    <definedName name="ff_14" localSheetId="22">'ПОЛНАЯ СЕБЕСТОИМОСТЬ СТОКИ 2021'!ff</definedName>
    <definedName name="ff_14" localSheetId="19">'Прил. 1 План ФХД вода '!ff</definedName>
    <definedName name="ff_14" localSheetId="15">'Прил. 1 План ФХД с транспортир.'!ff</definedName>
    <definedName name="ff_14" localSheetId="18">'Прил. 1 План ФХД стоки'!ff</definedName>
    <definedName name="ff_14" localSheetId="17">'Прил. 1 План ФХД трансп. воды'!ff</definedName>
    <definedName name="ff_14" localSheetId="16">'Прил. 1 План ФХД трансп. стоков'!ff</definedName>
    <definedName name="ff_14" localSheetId="76">'Расчет товарной выручки 2018'!ff</definedName>
    <definedName name="ff_14" localSheetId="25">'Расчет товарной выручки 2019'!ff</definedName>
    <definedName name="ff_14" localSheetId="20">'Расчет товарной выручки 2021'!ff</definedName>
    <definedName name="ff_14" localSheetId="77">'рез к 2017-2023'!ff</definedName>
    <definedName name="ff_14" localSheetId="74">'рез к 2018-2024 (кор) '!ff</definedName>
    <definedName name="ff_14" localSheetId="13">'Текущий ремонт'!ff</definedName>
    <definedName name="ff_14" localSheetId="23">'ФАКТ.СЕБЕСТ.ВОДА 9 мес. 2021'!ff</definedName>
    <definedName name="ff_14" localSheetId="21">'ФАКТ.СЕБЕСТ.СТОКИ 9 мес. 2021'!ff</definedName>
    <definedName name="ff_14" localSheetId="14">'Чистая прибыль с транспортир.'!ff</definedName>
    <definedName name="ff_14">[0]!ff</definedName>
    <definedName name="ff_15" localSheetId="75">'А 2018'!ff</definedName>
    <definedName name="ff_15" localSheetId="59">'выпадающие расходы'!ff</definedName>
    <definedName name="ff_15" localSheetId="50">'ЗП с факт 3 кв. 2015'!ff</definedName>
    <definedName name="ff_15" localSheetId="24">'ПОЛНАЯ СЕБЕСТОИМОСТЬ ВОДА 2021'!ff</definedName>
    <definedName name="ff_15" localSheetId="22">'ПОЛНАЯ СЕБЕСТОИМОСТЬ СТОКИ 2021'!ff</definedName>
    <definedName name="ff_15" localSheetId="19">'Прил. 1 План ФХД вода '!ff</definedName>
    <definedName name="ff_15" localSheetId="15">'Прил. 1 План ФХД с транспортир.'!ff</definedName>
    <definedName name="ff_15" localSheetId="18">'Прил. 1 План ФХД стоки'!ff</definedName>
    <definedName name="ff_15" localSheetId="17">'Прил. 1 План ФХД трансп. воды'!ff</definedName>
    <definedName name="ff_15" localSheetId="16">'Прил. 1 План ФХД трансп. стоков'!ff</definedName>
    <definedName name="ff_15" localSheetId="76">'Расчет товарной выручки 2018'!ff</definedName>
    <definedName name="ff_15" localSheetId="25">'Расчет товарной выручки 2019'!ff</definedName>
    <definedName name="ff_15" localSheetId="20">'Расчет товарной выручки 2021'!ff</definedName>
    <definedName name="ff_15" localSheetId="77">'рез к 2017-2023'!ff</definedName>
    <definedName name="ff_15" localSheetId="74">'рез к 2018-2024 (кор) '!ff</definedName>
    <definedName name="ff_15" localSheetId="13">'Текущий ремонт'!ff</definedName>
    <definedName name="ff_15" localSheetId="23">'ФАКТ.СЕБЕСТ.ВОДА 9 мес. 2021'!ff</definedName>
    <definedName name="ff_15" localSheetId="21">'ФАКТ.СЕБЕСТ.СТОКИ 9 мес. 2021'!ff</definedName>
    <definedName name="ff_15" localSheetId="14">'Чистая прибыль с транспортир.'!ff</definedName>
    <definedName name="ff_15">[0]!ff</definedName>
    <definedName name="ff_16" localSheetId="75">'А 2018'!ff</definedName>
    <definedName name="ff_16" localSheetId="59">'выпадающие расходы'!ff</definedName>
    <definedName name="ff_16" localSheetId="50">'ЗП с факт 3 кв. 2015'!ff</definedName>
    <definedName name="ff_16" localSheetId="24">'ПОЛНАЯ СЕБЕСТОИМОСТЬ ВОДА 2021'!ff</definedName>
    <definedName name="ff_16" localSheetId="22">'ПОЛНАЯ СЕБЕСТОИМОСТЬ СТОКИ 2021'!ff</definedName>
    <definedName name="ff_16" localSheetId="19">'Прил. 1 План ФХД вода '!ff</definedName>
    <definedName name="ff_16" localSheetId="15">'Прил. 1 План ФХД с транспортир.'!ff</definedName>
    <definedName name="ff_16" localSheetId="18">'Прил. 1 План ФХД стоки'!ff</definedName>
    <definedName name="ff_16" localSheetId="17">'Прил. 1 План ФХД трансп. воды'!ff</definedName>
    <definedName name="ff_16" localSheetId="16">'Прил. 1 План ФХД трансп. стоков'!ff</definedName>
    <definedName name="ff_16" localSheetId="76">'Расчет товарной выручки 2018'!ff</definedName>
    <definedName name="ff_16" localSheetId="25">'Расчет товарной выручки 2019'!ff</definedName>
    <definedName name="ff_16" localSheetId="20">'Расчет товарной выручки 2021'!ff</definedName>
    <definedName name="ff_16" localSheetId="77">'рез к 2017-2023'!ff</definedName>
    <definedName name="ff_16" localSheetId="74">'рез к 2018-2024 (кор) '!ff</definedName>
    <definedName name="ff_16" localSheetId="13">'Текущий ремонт'!ff</definedName>
    <definedName name="ff_16" localSheetId="23">'ФАКТ.СЕБЕСТ.ВОДА 9 мес. 2021'!ff</definedName>
    <definedName name="ff_16" localSheetId="21">'ФАКТ.СЕБЕСТ.СТОКИ 9 мес. 2021'!ff</definedName>
    <definedName name="ff_16" localSheetId="14">'Чистая прибыль с транспортир.'!ff</definedName>
    <definedName name="ff_16">[0]!ff</definedName>
    <definedName name="ff_2" localSheetId="75">'А 2018'!ff</definedName>
    <definedName name="ff_2" localSheetId="59">'выпадающие расходы'!ff</definedName>
    <definedName name="ff_2" localSheetId="50">'ЗП с факт 3 кв. 2015'!ff</definedName>
    <definedName name="ff_2" localSheetId="24">'ПОЛНАЯ СЕБЕСТОИМОСТЬ ВОДА 2021'!ff</definedName>
    <definedName name="ff_2" localSheetId="22">'ПОЛНАЯ СЕБЕСТОИМОСТЬ СТОКИ 2021'!ff</definedName>
    <definedName name="ff_2" localSheetId="19">'Прил. 1 План ФХД вода '!ff</definedName>
    <definedName name="ff_2" localSheetId="15">'Прил. 1 План ФХД с транспортир.'!ff</definedName>
    <definedName name="ff_2" localSheetId="18">'Прил. 1 План ФХД стоки'!ff</definedName>
    <definedName name="ff_2" localSheetId="17">'Прил. 1 План ФХД трансп. воды'!ff</definedName>
    <definedName name="ff_2" localSheetId="16">'Прил. 1 План ФХД трансп. стоков'!ff</definedName>
    <definedName name="ff_2" localSheetId="76">'Расчет товарной выручки 2018'!ff</definedName>
    <definedName name="ff_2" localSheetId="25">'Расчет товарной выручки 2019'!ff</definedName>
    <definedName name="ff_2" localSheetId="20">'Расчет товарной выручки 2021'!ff</definedName>
    <definedName name="ff_2" localSheetId="77">'рез к 2017-2023'!ff</definedName>
    <definedName name="ff_2" localSheetId="74">'рез к 2018-2024 (кор) '!ff</definedName>
    <definedName name="ff_2" localSheetId="13">'Текущий ремонт'!ff</definedName>
    <definedName name="ff_2" localSheetId="23">'ФАКТ.СЕБЕСТ.ВОДА 9 мес. 2021'!ff</definedName>
    <definedName name="ff_2" localSheetId="21">'ФАКТ.СЕБЕСТ.СТОКИ 9 мес. 2021'!ff</definedName>
    <definedName name="ff_2" localSheetId="14">'Чистая прибыль с транспортир.'!ff</definedName>
    <definedName name="ff_2">[0]!ff</definedName>
    <definedName name="fsF" localSheetId="75">[5]Список!$J$2</definedName>
    <definedName name="fsF" localSheetId="59">[6]Список!$J$2</definedName>
    <definedName name="fsF" localSheetId="24">[7]Список!$J$2</definedName>
    <definedName name="fsF" localSheetId="22">[7]Список!$J$2</definedName>
    <definedName name="fsF" localSheetId="19">[7]Список!$J$2</definedName>
    <definedName name="fsF" localSheetId="15">[7]Список!$J$2</definedName>
    <definedName name="fsF" localSheetId="18">[7]Список!$J$2</definedName>
    <definedName name="fsF" localSheetId="17">[7]Список!$J$2</definedName>
    <definedName name="fsF" localSheetId="16">[7]Список!$J$2</definedName>
    <definedName name="fsF" localSheetId="76">[6]Список!$J$2</definedName>
    <definedName name="fsF" localSheetId="25">[7]Список!$J$2</definedName>
    <definedName name="fsF" localSheetId="20">[6]Список!$J$2</definedName>
    <definedName name="fsF" localSheetId="77">[6]Список!$J$2</definedName>
    <definedName name="fsF" localSheetId="74">[6]Список!$J$2</definedName>
    <definedName name="fsF" localSheetId="13">[7]Список!$J$2</definedName>
    <definedName name="fsF" localSheetId="23">[7]Список!$J$2</definedName>
    <definedName name="fsF" localSheetId="21">[7]Список!$J$2</definedName>
    <definedName name="fsF" localSheetId="14">[7]Список!$J$2</definedName>
    <definedName name="fsF">[7]Список!$J$2</definedName>
    <definedName name="ggg" localSheetId="75">'А 2018'!ggg</definedName>
    <definedName name="ggg" localSheetId="59">#N/A</definedName>
    <definedName name="ggg" localSheetId="50">'ЗП с факт 3 кв. 2015'!ggg</definedName>
    <definedName name="ggg" localSheetId="24">#N/A</definedName>
    <definedName name="ggg" localSheetId="22">#N/A</definedName>
    <definedName name="ggg" localSheetId="19">#N/A</definedName>
    <definedName name="ggg" localSheetId="15">#N/A</definedName>
    <definedName name="ggg" localSheetId="18">#N/A</definedName>
    <definedName name="ggg" localSheetId="17">#N/A</definedName>
    <definedName name="ggg" localSheetId="16">#N/A</definedName>
    <definedName name="ggg" localSheetId="76">#N/A</definedName>
    <definedName name="ggg" localSheetId="25">#N/A</definedName>
    <definedName name="ggg" localSheetId="20">#N/A</definedName>
    <definedName name="ggg" localSheetId="77">'рез к 2017-2023'!ggg</definedName>
    <definedName name="ggg" localSheetId="74">'рез к 2018-2024 (кор) '!ggg</definedName>
    <definedName name="ggg" localSheetId="13">#N/A</definedName>
    <definedName name="ggg" localSheetId="23">#N/A</definedName>
    <definedName name="ggg" localSheetId="21">#N/A</definedName>
    <definedName name="ggg" localSheetId="14">#N/A</definedName>
    <definedName name="ggg">ggg</definedName>
    <definedName name="ggg_10" localSheetId="75">'А 2018'!ggg</definedName>
    <definedName name="ggg_10" localSheetId="59">'выпадающие расходы'!ggg</definedName>
    <definedName name="ggg_10" localSheetId="50">'ЗП с факт 3 кв. 2015'!ggg</definedName>
    <definedName name="ggg_10" localSheetId="24">'ПОЛНАЯ СЕБЕСТОИМОСТЬ ВОДА 2021'!ggg</definedName>
    <definedName name="ggg_10" localSheetId="22">'ПОЛНАЯ СЕБЕСТОИМОСТЬ СТОКИ 2021'!ggg</definedName>
    <definedName name="ggg_10" localSheetId="19">'Прил. 1 План ФХД вода '!ggg</definedName>
    <definedName name="ggg_10" localSheetId="15">'Прил. 1 План ФХД с транспортир.'!ggg</definedName>
    <definedName name="ggg_10" localSheetId="18">'Прил. 1 План ФХД стоки'!ggg</definedName>
    <definedName name="ggg_10" localSheetId="17">'Прил. 1 План ФХД трансп. воды'!ggg</definedName>
    <definedName name="ggg_10" localSheetId="16">'Прил. 1 План ФХД трансп. стоков'!ggg</definedName>
    <definedName name="ggg_10" localSheetId="76">'Расчет товарной выручки 2018'!ggg</definedName>
    <definedName name="ggg_10" localSheetId="25">'Расчет товарной выручки 2019'!ggg</definedName>
    <definedName name="ggg_10" localSheetId="20">'Расчет товарной выручки 2021'!ggg</definedName>
    <definedName name="ggg_10" localSheetId="77">'рез к 2017-2023'!ggg</definedName>
    <definedName name="ggg_10" localSheetId="74">'рез к 2018-2024 (кор) '!ggg</definedName>
    <definedName name="ggg_10" localSheetId="13">'Текущий ремонт'!ggg</definedName>
    <definedName name="ggg_10" localSheetId="23">'ФАКТ.СЕБЕСТ.ВОДА 9 мес. 2021'!ggg</definedName>
    <definedName name="ggg_10" localSheetId="21">'ФАКТ.СЕБЕСТ.СТОКИ 9 мес. 2021'!ggg</definedName>
    <definedName name="ggg_10" localSheetId="14">'Чистая прибыль с транспортир.'!ggg</definedName>
    <definedName name="ggg_10">[0]!ggg</definedName>
    <definedName name="ggg_14" localSheetId="75">'А 2018'!ggg</definedName>
    <definedName name="ggg_14" localSheetId="59">'выпадающие расходы'!ggg</definedName>
    <definedName name="ggg_14" localSheetId="50">'ЗП с факт 3 кв. 2015'!ggg</definedName>
    <definedName name="ggg_14" localSheetId="24">'ПОЛНАЯ СЕБЕСТОИМОСТЬ ВОДА 2021'!ggg</definedName>
    <definedName name="ggg_14" localSheetId="22">'ПОЛНАЯ СЕБЕСТОИМОСТЬ СТОКИ 2021'!ggg</definedName>
    <definedName name="ggg_14" localSheetId="19">'Прил. 1 План ФХД вода '!ggg</definedName>
    <definedName name="ggg_14" localSheetId="15">'Прил. 1 План ФХД с транспортир.'!ggg</definedName>
    <definedName name="ggg_14" localSheetId="18">'Прил. 1 План ФХД стоки'!ggg</definedName>
    <definedName name="ggg_14" localSheetId="17">'Прил. 1 План ФХД трансп. воды'!ggg</definedName>
    <definedName name="ggg_14" localSheetId="16">'Прил. 1 План ФХД трансп. стоков'!ggg</definedName>
    <definedName name="ggg_14" localSheetId="76">'Расчет товарной выручки 2018'!ggg</definedName>
    <definedName name="ggg_14" localSheetId="25">'Расчет товарной выручки 2019'!ggg</definedName>
    <definedName name="ggg_14" localSheetId="20">'Расчет товарной выручки 2021'!ggg</definedName>
    <definedName name="ggg_14" localSheetId="77">'рез к 2017-2023'!ggg</definedName>
    <definedName name="ggg_14" localSheetId="74">'рез к 2018-2024 (кор) '!ggg</definedName>
    <definedName name="ggg_14" localSheetId="13">'Текущий ремонт'!ggg</definedName>
    <definedName name="ggg_14" localSheetId="23">'ФАКТ.СЕБЕСТ.ВОДА 9 мес. 2021'!ggg</definedName>
    <definedName name="ggg_14" localSheetId="21">'ФАКТ.СЕБЕСТ.СТОКИ 9 мес. 2021'!ggg</definedName>
    <definedName name="ggg_14" localSheetId="14">'Чистая прибыль с транспортир.'!ggg</definedName>
    <definedName name="ggg_14">[0]!ggg</definedName>
    <definedName name="ggg_15" localSheetId="75">'А 2018'!ggg</definedName>
    <definedName name="ggg_15" localSheetId="59">'выпадающие расходы'!ggg</definedName>
    <definedName name="ggg_15" localSheetId="50">'ЗП с факт 3 кв. 2015'!ggg</definedName>
    <definedName name="ggg_15" localSheetId="24">'ПОЛНАЯ СЕБЕСТОИМОСТЬ ВОДА 2021'!ggg</definedName>
    <definedName name="ggg_15" localSheetId="22">'ПОЛНАЯ СЕБЕСТОИМОСТЬ СТОКИ 2021'!ggg</definedName>
    <definedName name="ggg_15" localSheetId="19">'Прил. 1 План ФХД вода '!ggg</definedName>
    <definedName name="ggg_15" localSheetId="15">'Прил. 1 План ФХД с транспортир.'!ggg</definedName>
    <definedName name="ggg_15" localSheetId="18">'Прил. 1 План ФХД стоки'!ggg</definedName>
    <definedName name="ggg_15" localSheetId="17">'Прил. 1 План ФХД трансп. воды'!ggg</definedName>
    <definedName name="ggg_15" localSheetId="16">'Прил. 1 План ФХД трансп. стоков'!ggg</definedName>
    <definedName name="ggg_15" localSheetId="76">'Расчет товарной выручки 2018'!ggg</definedName>
    <definedName name="ggg_15" localSheetId="25">'Расчет товарной выручки 2019'!ggg</definedName>
    <definedName name="ggg_15" localSheetId="20">'Расчет товарной выручки 2021'!ggg</definedName>
    <definedName name="ggg_15" localSheetId="77">'рез к 2017-2023'!ggg</definedName>
    <definedName name="ggg_15" localSheetId="74">'рез к 2018-2024 (кор) '!ggg</definedName>
    <definedName name="ggg_15" localSheetId="13">'Текущий ремонт'!ggg</definedName>
    <definedName name="ggg_15" localSheetId="23">'ФАКТ.СЕБЕСТ.ВОДА 9 мес. 2021'!ggg</definedName>
    <definedName name="ggg_15" localSheetId="21">'ФАКТ.СЕБЕСТ.СТОКИ 9 мес. 2021'!ggg</definedName>
    <definedName name="ggg_15" localSheetId="14">'Чистая прибыль с транспортир.'!ggg</definedName>
    <definedName name="ggg_15">[0]!ggg</definedName>
    <definedName name="ggg_16" localSheetId="75">'А 2018'!ggg</definedName>
    <definedName name="ggg_16" localSheetId="59">'выпадающие расходы'!ggg</definedName>
    <definedName name="ggg_16" localSheetId="50">'ЗП с факт 3 кв. 2015'!ggg</definedName>
    <definedName name="ggg_16" localSheetId="24">'ПОЛНАЯ СЕБЕСТОИМОСТЬ ВОДА 2021'!ggg</definedName>
    <definedName name="ggg_16" localSheetId="22">'ПОЛНАЯ СЕБЕСТОИМОСТЬ СТОКИ 2021'!ggg</definedName>
    <definedName name="ggg_16" localSheetId="19">'Прил. 1 План ФХД вода '!ggg</definedName>
    <definedName name="ggg_16" localSheetId="15">'Прил. 1 План ФХД с транспортир.'!ggg</definedName>
    <definedName name="ggg_16" localSheetId="18">'Прил. 1 План ФХД стоки'!ggg</definedName>
    <definedName name="ggg_16" localSheetId="17">'Прил. 1 План ФХД трансп. воды'!ggg</definedName>
    <definedName name="ggg_16" localSheetId="16">'Прил. 1 План ФХД трансп. стоков'!ggg</definedName>
    <definedName name="ggg_16" localSheetId="76">'Расчет товарной выручки 2018'!ggg</definedName>
    <definedName name="ggg_16" localSheetId="25">'Расчет товарной выручки 2019'!ggg</definedName>
    <definedName name="ggg_16" localSheetId="20">'Расчет товарной выручки 2021'!ggg</definedName>
    <definedName name="ggg_16" localSheetId="77">'рез к 2017-2023'!ggg</definedName>
    <definedName name="ggg_16" localSheetId="74">'рез к 2018-2024 (кор) '!ggg</definedName>
    <definedName name="ggg_16" localSheetId="13">'Текущий ремонт'!ggg</definedName>
    <definedName name="ggg_16" localSheetId="23">'ФАКТ.СЕБЕСТ.ВОДА 9 мес. 2021'!ggg</definedName>
    <definedName name="ggg_16" localSheetId="21">'ФАКТ.СЕБЕСТ.СТОКИ 9 мес. 2021'!ggg</definedName>
    <definedName name="ggg_16" localSheetId="14">'Чистая прибыль с транспортир.'!ggg</definedName>
    <definedName name="ggg_16">[0]!ggg</definedName>
    <definedName name="ggg_2" localSheetId="75">'А 2018'!ggg</definedName>
    <definedName name="ggg_2" localSheetId="59">'выпадающие расходы'!ggg</definedName>
    <definedName name="ggg_2" localSheetId="50">'ЗП с факт 3 кв. 2015'!ggg</definedName>
    <definedName name="ggg_2" localSheetId="24">'ПОЛНАЯ СЕБЕСТОИМОСТЬ ВОДА 2021'!ggg</definedName>
    <definedName name="ggg_2" localSheetId="22">'ПОЛНАЯ СЕБЕСТОИМОСТЬ СТОКИ 2021'!ggg</definedName>
    <definedName name="ggg_2" localSheetId="19">'Прил. 1 План ФХД вода '!ggg</definedName>
    <definedName name="ggg_2" localSheetId="15">'Прил. 1 План ФХД с транспортир.'!ggg</definedName>
    <definedName name="ggg_2" localSheetId="18">'Прил. 1 План ФХД стоки'!ggg</definedName>
    <definedName name="ggg_2" localSheetId="17">'Прил. 1 План ФХД трансп. воды'!ggg</definedName>
    <definedName name="ggg_2" localSheetId="16">'Прил. 1 План ФХД трансп. стоков'!ggg</definedName>
    <definedName name="ggg_2" localSheetId="76">'Расчет товарной выручки 2018'!ggg</definedName>
    <definedName name="ggg_2" localSheetId="25">'Расчет товарной выручки 2019'!ggg</definedName>
    <definedName name="ggg_2" localSheetId="20">'Расчет товарной выручки 2021'!ggg</definedName>
    <definedName name="ggg_2" localSheetId="77">'рез к 2017-2023'!ggg</definedName>
    <definedName name="ggg_2" localSheetId="74">'рез к 2018-2024 (кор) '!ggg</definedName>
    <definedName name="ggg_2" localSheetId="13">'Текущий ремонт'!ggg</definedName>
    <definedName name="ggg_2" localSheetId="23">'ФАКТ.СЕБЕСТ.ВОДА 9 мес. 2021'!ggg</definedName>
    <definedName name="ggg_2" localSheetId="21">'ФАКТ.СЕБЕСТ.СТОКИ 9 мес. 2021'!ggg</definedName>
    <definedName name="ggg_2" localSheetId="14">'Чистая прибыль с транспортир.'!ggg</definedName>
    <definedName name="ggg_2">[0]!ggg</definedName>
    <definedName name="kind_of_activity">[14]TEHSHEET!$B$19:$B$23</definedName>
    <definedName name="Pi1_1" localSheetId="75">'А 2018'!_Pi1</definedName>
    <definedName name="Pi1_1" localSheetId="59">'выпадающие расходы'!_Pi1</definedName>
    <definedName name="Pi1_1" localSheetId="50">'ЗП с факт 3 кв. 2015'!_Pi1</definedName>
    <definedName name="Pi1_1" localSheetId="24">'ПОЛНАЯ СЕБЕСТОИМОСТЬ ВОДА 2021'!_Pi1</definedName>
    <definedName name="Pi1_1" localSheetId="22">'ПОЛНАЯ СЕБЕСТОИМОСТЬ СТОКИ 2021'!_Pi1</definedName>
    <definedName name="Pi1_1" localSheetId="19">'Прил. 1 План ФХД вода '!_Pi1</definedName>
    <definedName name="Pi1_1" localSheetId="15">'Прил. 1 План ФХД с транспортир.'!_Pi1</definedName>
    <definedName name="Pi1_1" localSheetId="18">'Прил. 1 План ФХД стоки'!_Pi1</definedName>
    <definedName name="Pi1_1" localSheetId="17">'Прил. 1 План ФХД трансп. воды'!_Pi1</definedName>
    <definedName name="Pi1_1" localSheetId="16">'Прил. 1 План ФХД трансп. стоков'!_Pi1</definedName>
    <definedName name="Pi1_1" localSheetId="76">'Расчет товарной выручки 2018'!_Pi1</definedName>
    <definedName name="Pi1_1" localSheetId="25">'Расчет товарной выручки 2019'!_Pi1</definedName>
    <definedName name="Pi1_1" localSheetId="20">'Расчет товарной выручки 2021'!_Pi1</definedName>
    <definedName name="Pi1_1" localSheetId="77">'рез к 2017-2023'!_Pi1</definedName>
    <definedName name="Pi1_1" localSheetId="74">'рез к 2018-2024 (кор) '!_Pi1</definedName>
    <definedName name="Pi1_1" localSheetId="13">'Текущий ремонт'!_Pi1</definedName>
    <definedName name="Pi1_1" localSheetId="23">'ФАКТ.СЕБЕСТ.ВОДА 9 мес. 2021'!_Pi1</definedName>
    <definedName name="Pi1_1" localSheetId="21">'ФАКТ.СЕБЕСТ.СТОКИ 9 мес. 2021'!_Pi1</definedName>
    <definedName name="Pi1_1" localSheetId="14">'Чистая прибыль с транспортир.'!_Pi1</definedName>
    <definedName name="Pi1_1">[0]!_Pi1</definedName>
    <definedName name="Pi1_10" localSheetId="75">'А 2018'!_Pi1</definedName>
    <definedName name="Pi1_10" localSheetId="59">'выпадающие расходы'!_Pi1</definedName>
    <definedName name="Pi1_10" localSheetId="50">'ЗП с факт 3 кв. 2015'!_Pi1</definedName>
    <definedName name="Pi1_10" localSheetId="24">'ПОЛНАЯ СЕБЕСТОИМОСТЬ ВОДА 2021'!_Pi1</definedName>
    <definedName name="Pi1_10" localSheetId="22">'ПОЛНАЯ СЕБЕСТОИМОСТЬ СТОКИ 2021'!_Pi1</definedName>
    <definedName name="Pi1_10" localSheetId="19">'Прил. 1 План ФХД вода '!_Pi1</definedName>
    <definedName name="Pi1_10" localSheetId="15">'Прил. 1 План ФХД с транспортир.'!_Pi1</definedName>
    <definedName name="Pi1_10" localSheetId="18">'Прил. 1 План ФХД стоки'!_Pi1</definedName>
    <definedName name="Pi1_10" localSheetId="17">'Прил. 1 План ФХД трансп. воды'!_Pi1</definedName>
    <definedName name="Pi1_10" localSheetId="16">'Прил. 1 План ФХД трансп. стоков'!_Pi1</definedName>
    <definedName name="Pi1_10" localSheetId="76">'Расчет товарной выручки 2018'!_Pi1</definedName>
    <definedName name="Pi1_10" localSheetId="25">'Расчет товарной выручки 2019'!_Pi1</definedName>
    <definedName name="Pi1_10" localSheetId="20">'Расчет товарной выручки 2021'!_Pi1</definedName>
    <definedName name="Pi1_10" localSheetId="77">'рез к 2017-2023'!_Pi1</definedName>
    <definedName name="Pi1_10" localSheetId="74">'рез к 2018-2024 (кор) '!_Pi1</definedName>
    <definedName name="Pi1_10" localSheetId="13">'Текущий ремонт'!_Pi1</definedName>
    <definedName name="Pi1_10" localSheetId="23">'ФАКТ.СЕБЕСТ.ВОДА 9 мес. 2021'!_Pi1</definedName>
    <definedName name="Pi1_10" localSheetId="21">'ФАКТ.СЕБЕСТ.СТОКИ 9 мес. 2021'!_Pi1</definedName>
    <definedName name="Pi1_10" localSheetId="14">'Чистая прибыль с транспортир.'!_Pi1</definedName>
    <definedName name="Pi1_10">[0]!_Pi1</definedName>
    <definedName name="Pi1_11" localSheetId="75">'А 2018'!_Pi1</definedName>
    <definedName name="Pi1_11" localSheetId="59">'выпадающие расходы'!_Pi1</definedName>
    <definedName name="Pi1_11" localSheetId="50">'ЗП с факт 3 кв. 2015'!_Pi1</definedName>
    <definedName name="Pi1_11" localSheetId="24">'ПОЛНАЯ СЕБЕСТОИМОСТЬ ВОДА 2021'!_Pi1</definedName>
    <definedName name="Pi1_11" localSheetId="22">'ПОЛНАЯ СЕБЕСТОИМОСТЬ СТОКИ 2021'!_Pi1</definedName>
    <definedName name="Pi1_11" localSheetId="19">'Прил. 1 План ФХД вода '!_Pi1</definedName>
    <definedName name="Pi1_11" localSheetId="15">'Прил. 1 План ФХД с транспортир.'!_Pi1</definedName>
    <definedName name="Pi1_11" localSheetId="18">'Прил. 1 План ФХД стоки'!_Pi1</definedName>
    <definedName name="Pi1_11" localSheetId="17">'Прил. 1 План ФХД трансп. воды'!_Pi1</definedName>
    <definedName name="Pi1_11" localSheetId="16">'Прил. 1 План ФХД трансп. стоков'!_Pi1</definedName>
    <definedName name="Pi1_11" localSheetId="76">'Расчет товарной выручки 2018'!_Pi1</definedName>
    <definedName name="Pi1_11" localSheetId="25">'Расчет товарной выручки 2019'!_Pi1</definedName>
    <definedName name="Pi1_11" localSheetId="20">'Расчет товарной выручки 2021'!_Pi1</definedName>
    <definedName name="Pi1_11" localSheetId="77">'рез к 2017-2023'!_Pi1</definedName>
    <definedName name="Pi1_11" localSheetId="74">'рез к 2018-2024 (кор) '!_Pi1</definedName>
    <definedName name="Pi1_11" localSheetId="13">'Текущий ремонт'!_Pi1</definedName>
    <definedName name="Pi1_11" localSheetId="23">'ФАКТ.СЕБЕСТ.ВОДА 9 мес. 2021'!_Pi1</definedName>
    <definedName name="Pi1_11" localSheetId="21">'ФАКТ.СЕБЕСТ.СТОКИ 9 мес. 2021'!_Pi1</definedName>
    <definedName name="Pi1_11" localSheetId="14">'Чистая прибыль с транспортир.'!_Pi1</definedName>
    <definedName name="Pi1_11">[0]!_Pi1</definedName>
    <definedName name="Pi1_13" localSheetId="75">'А 2018'!_Pi1</definedName>
    <definedName name="Pi1_13" localSheetId="59">'выпадающие расходы'!_Pi1</definedName>
    <definedName name="Pi1_13" localSheetId="50">'ЗП с факт 3 кв. 2015'!_Pi1</definedName>
    <definedName name="Pi1_13" localSheetId="24">'ПОЛНАЯ СЕБЕСТОИМОСТЬ ВОДА 2021'!_Pi1</definedName>
    <definedName name="Pi1_13" localSheetId="22">'ПОЛНАЯ СЕБЕСТОИМОСТЬ СТОКИ 2021'!_Pi1</definedName>
    <definedName name="Pi1_13" localSheetId="19">'Прил. 1 План ФХД вода '!_Pi1</definedName>
    <definedName name="Pi1_13" localSheetId="15">'Прил. 1 План ФХД с транспортир.'!_Pi1</definedName>
    <definedName name="Pi1_13" localSheetId="18">'Прил. 1 План ФХД стоки'!_Pi1</definedName>
    <definedName name="Pi1_13" localSheetId="17">'Прил. 1 План ФХД трансп. воды'!_Pi1</definedName>
    <definedName name="Pi1_13" localSheetId="16">'Прил. 1 План ФХД трансп. стоков'!_Pi1</definedName>
    <definedName name="Pi1_13" localSheetId="76">'Расчет товарной выручки 2018'!_Pi1</definedName>
    <definedName name="Pi1_13" localSheetId="25">'Расчет товарной выручки 2019'!_Pi1</definedName>
    <definedName name="Pi1_13" localSheetId="20">'Расчет товарной выручки 2021'!_Pi1</definedName>
    <definedName name="Pi1_13" localSheetId="77">'рез к 2017-2023'!_Pi1</definedName>
    <definedName name="Pi1_13" localSheetId="74">'рез к 2018-2024 (кор) '!_Pi1</definedName>
    <definedName name="Pi1_13" localSheetId="13">'Текущий ремонт'!_Pi1</definedName>
    <definedName name="Pi1_13" localSheetId="23">'ФАКТ.СЕБЕСТ.ВОДА 9 мес. 2021'!_Pi1</definedName>
    <definedName name="Pi1_13" localSheetId="21">'ФАКТ.СЕБЕСТ.СТОКИ 9 мес. 2021'!_Pi1</definedName>
    <definedName name="Pi1_13" localSheetId="14">'Чистая прибыль с транспортир.'!_Pi1</definedName>
    <definedName name="Pi1_13">[0]!_Pi1</definedName>
    <definedName name="Pi1_14" localSheetId="75">'А 2018'!_Pi1</definedName>
    <definedName name="Pi1_14" localSheetId="59">'выпадающие расходы'!_Pi1</definedName>
    <definedName name="Pi1_14" localSheetId="50">'ЗП с факт 3 кв. 2015'!_Pi1</definedName>
    <definedName name="Pi1_14" localSheetId="24">'ПОЛНАЯ СЕБЕСТОИМОСТЬ ВОДА 2021'!_Pi1</definedName>
    <definedName name="Pi1_14" localSheetId="22">'ПОЛНАЯ СЕБЕСТОИМОСТЬ СТОКИ 2021'!_Pi1</definedName>
    <definedName name="Pi1_14" localSheetId="19">'Прил. 1 План ФХД вода '!_Pi1</definedName>
    <definedName name="Pi1_14" localSheetId="15">'Прил. 1 План ФХД с транспортир.'!_Pi1</definedName>
    <definedName name="Pi1_14" localSheetId="18">'Прил. 1 План ФХД стоки'!_Pi1</definedName>
    <definedName name="Pi1_14" localSheetId="17">'Прил. 1 План ФХД трансп. воды'!_Pi1</definedName>
    <definedName name="Pi1_14" localSheetId="16">'Прил. 1 План ФХД трансп. стоков'!_Pi1</definedName>
    <definedName name="Pi1_14" localSheetId="76">'Расчет товарной выручки 2018'!_Pi1</definedName>
    <definedName name="Pi1_14" localSheetId="25">'Расчет товарной выручки 2019'!_Pi1</definedName>
    <definedName name="Pi1_14" localSheetId="20">'Расчет товарной выручки 2021'!_Pi1</definedName>
    <definedName name="Pi1_14" localSheetId="77">'рез к 2017-2023'!_Pi1</definedName>
    <definedName name="Pi1_14" localSheetId="74">'рез к 2018-2024 (кор) '!_Pi1</definedName>
    <definedName name="Pi1_14" localSheetId="13">'Текущий ремонт'!_Pi1</definedName>
    <definedName name="Pi1_14" localSheetId="23">'ФАКТ.СЕБЕСТ.ВОДА 9 мес. 2021'!_Pi1</definedName>
    <definedName name="Pi1_14" localSheetId="21">'ФАКТ.СЕБЕСТ.СТОКИ 9 мес. 2021'!_Pi1</definedName>
    <definedName name="Pi1_14" localSheetId="14">'Чистая прибыль с транспортир.'!_Pi1</definedName>
    <definedName name="Pi1_14">[0]!_Pi1</definedName>
    <definedName name="Pi1_15" localSheetId="75">'А 2018'!_Pi1</definedName>
    <definedName name="Pi1_15" localSheetId="59">'выпадающие расходы'!_Pi1</definedName>
    <definedName name="Pi1_15" localSheetId="50">'ЗП с факт 3 кв. 2015'!_Pi1</definedName>
    <definedName name="Pi1_15" localSheetId="24">'ПОЛНАЯ СЕБЕСТОИМОСТЬ ВОДА 2021'!_Pi1</definedName>
    <definedName name="Pi1_15" localSheetId="22">'ПОЛНАЯ СЕБЕСТОИМОСТЬ СТОКИ 2021'!_Pi1</definedName>
    <definedName name="Pi1_15" localSheetId="19">'Прил. 1 План ФХД вода '!_Pi1</definedName>
    <definedName name="Pi1_15" localSheetId="15">'Прил. 1 План ФХД с транспортир.'!_Pi1</definedName>
    <definedName name="Pi1_15" localSheetId="18">'Прил. 1 План ФХД стоки'!_Pi1</definedName>
    <definedName name="Pi1_15" localSheetId="17">'Прил. 1 План ФХД трансп. воды'!_Pi1</definedName>
    <definedName name="Pi1_15" localSheetId="16">'Прил. 1 План ФХД трансп. стоков'!_Pi1</definedName>
    <definedName name="Pi1_15" localSheetId="76">'Расчет товарной выручки 2018'!_Pi1</definedName>
    <definedName name="Pi1_15" localSheetId="25">'Расчет товарной выручки 2019'!_Pi1</definedName>
    <definedName name="Pi1_15" localSheetId="20">'Расчет товарной выручки 2021'!_Pi1</definedName>
    <definedName name="Pi1_15" localSheetId="77">'рез к 2017-2023'!_Pi1</definedName>
    <definedName name="Pi1_15" localSheetId="74">'рез к 2018-2024 (кор) '!_Pi1</definedName>
    <definedName name="Pi1_15" localSheetId="13">'Текущий ремонт'!_Pi1</definedName>
    <definedName name="Pi1_15" localSheetId="23">'ФАКТ.СЕБЕСТ.ВОДА 9 мес. 2021'!_Pi1</definedName>
    <definedName name="Pi1_15" localSheetId="21">'ФАКТ.СЕБЕСТ.СТОКИ 9 мес. 2021'!_Pi1</definedName>
    <definedName name="Pi1_15" localSheetId="14">'Чистая прибыль с транспортир.'!_Pi1</definedName>
    <definedName name="Pi1_15">_Pi1</definedName>
    <definedName name="Pi1_16" localSheetId="75">'А 2018'!_Pi1</definedName>
    <definedName name="Pi1_16" localSheetId="59">'выпадающие расходы'!_Pi1</definedName>
    <definedName name="Pi1_16" localSheetId="50">'ЗП с факт 3 кв. 2015'!_Pi1</definedName>
    <definedName name="Pi1_16" localSheetId="24">'ПОЛНАЯ СЕБЕСТОИМОСТЬ ВОДА 2021'!_Pi1</definedName>
    <definedName name="Pi1_16" localSheetId="22">'ПОЛНАЯ СЕБЕСТОИМОСТЬ СТОКИ 2021'!_Pi1</definedName>
    <definedName name="Pi1_16" localSheetId="19">'Прил. 1 План ФХД вода '!_Pi1</definedName>
    <definedName name="Pi1_16" localSheetId="15">'Прил. 1 План ФХД с транспортир.'!_Pi1</definedName>
    <definedName name="Pi1_16" localSheetId="18">'Прил. 1 План ФХД стоки'!_Pi1</definedName>
    <definedName name="Pi1_16" localSheetId="17">'Прил. 1 План ФХД трансп. воды'!_Pi1</definedName>
    <definedName name="Pi1_16" localSheetId="16">'Прил. 1 План ФХД трансп. стоков'!_Pi1</definedName>
    <definedName name="Pi1_16" localSheetId="76">'Расчет товарной выручки 2018'!_Pi1</definedName>
    <definedName name="Pi1_16" localSheetId="25">'Расчет товарной выручки 2019'!_Pi1</definedName>
    <definedName name="Pi1_16" localSheetId="20">'Расчет товарной выручки 2021'!_Pi1</definedName>
    <definedName name="Pi1_16" localSheetId="77">'рез к 2017-2023'!_Pi1</definedName>
    <definedName name="Pi1_16" localSheetId="74">'рез к 2018-2024 (кор) '!_Pi1</definedName>
    <definedName name="Pi1_16" localSheetId="13">'Текущий ремонт'!_Pi1</definedName>
    <definedName name="Pi1_16" localSheetId="23">'ФАКТ.СЕБЕСТ.ВОДА 9 мес. 2021'!_Pi1</definedName>
    <definedName name="Pi1_16" localSheetId="21">'ФАКТ.СЕБЕСТ.СТОКИ 9 мес. 2021'!_Pi1</definedName>
    <definedName name="Pi1_16" localSheetId="14">'Чистая прибыль с транспортир.'!_Pi1</definedName>
    <definedName name="Pi1_16">[0]!_Pi1</definedName>
    <definedName name="Pi1_2" localSheetId="75">'А 2018'!_Pi1</definedName>
    <definedName name="Pi1_2" localSheetId="59">'выпадающие расходы'!_Pi1</definedName>
    <definedName name="Pi1_2" localSheetId="50">'ЗП с факт 3 кв. 2015'!_Pi1</definedName>
    <definedName name="Pi1_2" localSheetId="24">'ПОЛНАЯ СЕБЕСТОИМОСТЬ ВОДА 2021'!_Pi1</definedName>
    <definedName name="Pi1_2" localSheetId="22">'ПОЛНАЯ СЕБЕСТОИМОСТЬ СТОКИ 2021'!_Pi1</definedName>
    <definedName name="Pi1_2" localSheetId="19">'Прил. 1 План ФХД вода '!_Pi1</definedName>
    <definedName name="Pi1_2" localSheetId="15">'Прил. 1 План ФХД с транспортир.'!_Pi1</definedName>
    <definedName name="Pi1_2" localSheetId="18">'Прил. 1 План ФХД стоки'!_Pi1</definedName>
    <definedName name="Pi1_2" localSheetId="17">'Прил. 1 План ФХД трансп. воды'!_Pi1</definedName>
    <definedName name="Pi1_2" localSheetId="16">'Прил. 1 План ФХД трансп. стоков'!_Pi1</definedName>
    <definedName name="Pi1_2" localSheetId="76">'Расчет товарной выручки 2018'!_Pi1</definedName>
    <definedName name="Pi1_2" localSheetId="25">'Расчет товарной выручки 2019'!_Pi1</definedName>
    <definedName name="Pi1_2" localSheetId="20">'Расчет товарной выручки 2021'!_Pi1</definedName>
    <definedName name="Pi1_2" localSheetId="77">'рез к 2017-2023'!_Pi1</definedName>
    <definedName name="Pi1_2" localSheetId="74">'рез к 2018-2024 (кор) '!_Pi1</definedName>
    <definedName name="Pi1_2" localSheetId="13">'Текущий ремонт'!_Pi1</definedName>
    <definedName name="Pi1_2" localSheetId="23">'ФАКТ.СЕБЕСТ.ВОДА 9 мес. 2021'!_Pi1</definedName>
    <definedName name="Pi1_2" localSheetId="21">'ФАКТ.СЕБЕСТ.СТОКИ 9 мес. 2021'!_Pi1</definedName>
    <definedName name="Pi1_2" localSheetId="14">'Чистая прибыль с транспортир.'!_Pi1</definedName>
    <definedName name="Pi1_2">[0]!_Pi1</definedName>
    <definedName name="Pi1_22" localSheetId="75">'А 2018'!_Pi1</definedName>
    <definedName name="Pi1_22" localSheetId="59">'выпадающие расходы'!_Pi1</definedName>
    <definedName name="Pi1_22" localSheetId="50">'ЗП с факт 3 кв. 2015'!_Pi1</definedName>
    <definedName name="Pi1_22" localSheetId="24">'ПОЛНАЯ СЕБЕСТОИМОСТЬ ВОДА 2021'!_Pi1</definedName>
    <definedName name="Pi1_22" localSheetId="22">'ПОЛНАЯ СЕБЕСТОИМОСТЬ СТОКИ 2021'!_Pi1</definedName>
    <definedName name="Pi1_22" localSheetId="19">'Прил. 1 План ФХД вода '!_Pi1</definedName>
    <definedName name="Pi1_22" localSheetId="15">'Прил. 1 План ФХД с транспортир.'!_Pi1</definedName>
    <definedName name="Pi1_22" localSheetId="18">'Прил. 1 План ФХД стоки'!_Pi1</definedName>
    <definedName name="Pi1_22" localSheetId="17">'Прил. 1 План ФХД трансп. воды'!_Pi1</definedName>
    <definedName name="Pi1_22" localSheetId="16">'Прил. 1 План ФХД трансп. стоков'!_Pi1</definedName>
    <definedName name="Pi1_22" localSheetId="76">'Расчет товарной выручки 2018'!_Pi1</definedName>
    <definedName name="Pi1_22" localSheetId="25">'Расчет товарной выручки 2019'!_Pi1</definedName>
    <definedName name="Pi1_22" localSheetId="20">'Расчет товарной выручки 2021'!_Pi1</definedName>
    <definedName name="Pi1_22" localSheetId="77">'рез к 2017-2023'!_Pi1</definedName>
    <definedName name="Pi1_22" localSheetId="74">'рез к 2018-2024 (кор) '!_Pi1</definedName>
    <definedName name="Pi1_22" localSheetId="13">'Текущий ремонт'!_Pi1</definedName>
    <definedName name="Pi1_22" localSheetId="23">'ФАКТ.СЕБЕСТ.ВОДА 9 мес. 2021'!_Pi1</definedName>
    <definedName name="Pi1_22" localSheetId="21">'ФАКТ.СЕБЕСТ.СТОКИ 9 мес. 2021'!_Pi1</definedName>
    <definedName name="Pi1_22" localSheetId="14">'Чистая прибыль с транспортир.'!_Pi1</definedName>
    <definedName name="Pi1_22">_Pi1</definedName>
    <definedName name="Pi1_3" localSheetId="75">'А 2018'!_Pi1</definedName>
    <definedName name="Pi1_3" localSheetId="59">'выпадающие расходы'!_Pi1</definedName>
    <definedName name="Pi1_3" localSheetId="50">'ЗП с факт 3 кв. 2015'!_Pi1</definedName>
    <definedName name="Pi1_3" localSheetId="24">'ПОЛНАЯ СЕБЕСТОИМОСТЬ ВОДА 2021'!_Pi1</definedName>
    <definedName name="Pi1_3" localSheetId="22">'ПОЛНАЯ СЕБЕСТОИМОСТЬ СТОКИ 2021'!_Pi1</definedName>
    <definedName name="Pi1_3" localSheetId="19">'Прил. 1 План ФХД вода '!_Pi1</definedName>
    <definedName name="Pi1_3" localSheetId="15">'Прил. 1 План ФХД с транспортир.'!_Pi1</definedName>
    <definedName name="Pi1_3" localSheetId="18">'Прил. 1 План ФХД стоки'!_Pi1</definedName>
    <definedName name="Pi1_3" localSheetId="17">'Прил. 1 План ФХД трансп. воды'!_Pi1</definedName>
    <definedName name="Pi1_3" localSheetId="16">'Прил. 1 План ФХД трансп. стоков'!_Pi1</definedName>
    <definedName name="Pi1_3" localSheetId="76">'Расчет товарной выручки 2018'!_Pi1</definedName>
    <definedName name="Pi1_3" localSheetId="25">'Расчет товарной выручки 2019'!_Pi1</definedName>
    <definedName name="Pi1_3" localSheetId="20">'Расчет товарной выручки 2021'!_Pi1</definedName>
    <definedName name="Pi1_3" localSheetId="77">'рез к 2017-2023'!_Pi1</definedName>
    <definedName name="Pi1_3" localSheetId="74">'рез к 2018-2024 (кор) '!_Pi1</definedName>
    <definedName name="Pi1_3" localSheetId="13">'Текущий ремонт'!_Pi1</definedName>
    <definedName name="Pi1_3" localSheetId="23">'ФАКТ.СЕБЕСТ.ВОДА 9 мес. 2021'!_Pi1</definedName>
    <definedName name="Pi1_3" localSheetId="21">'ФАКТ.СЕБЕСТ.СТОКИ 9 мес. 2021'!_Pi1</definedName>
    <definedName name="Pi1_3" localSheetId="14">'Чистая прибыль с транспортир.'!_Pi1</definedName>
    <definedName name="Pi1_3">[0]!_Pi1</definedName>
    <definedName name="Pi1_4" localSheetId="75">'А 2018'!_Pi1</definedName>
    <definedName name="Pi1_4" localSheetId="59">'выпадающие расходы'!_Pi1</definedName>
    <definedName name="Pi1_4" localSheetId="50">'ЗП с факт 3 кв. 2015'!_Pi1</definedName>
    <definedName name="Pi1_4" localSheetId="24">'ПОЛНАЯ СЕБЕСТОИМОСТЬ ВОДА 2021'!_Pi1</definedName>
    <definedName name="Pi1_4" localSheetId="22">'ПОЛНАЯ СЕБЕСТОИМОСТЬ СТОКИ 2021'!_Pi1</definedName>
    <definedName name="Pi1_4" localSheetId="19">'Прил. 1 План ФХД вода '!_Pi1</definedName>
    <definedName name="Pi1_4" localSheetId="15">'Прил. 1 План ФХД с транспортир.'!_Pi1</definedName>
    <definedName name="Pi1_4" localSheetId="18">'Прил. 1 План ФХД стоки'!_Pi1</definedName>
    <definedName name="Pi1_4" localSheetId="17">'Прил. 1 План ФХД трансп. воды'!_Pi1</definedName>
    <definedName name="Pi1_4" localSheetId="16">'Прил. 1 План ФХД трансп. стоков'!_Pi1</definedName>
    <definedName name="Pi1_4" localSheetId="76">'Расчет товарной выручки 2018'!_Pi1</definedName>
    <definedName name="Pi1_4" localSheetId="25">'Расчет товарной выручки 2019'!_Pi1</definedName>
    <definedName name="Pi1_4" localSheetId="20">'Расчет товарной выручки 2021'!_Pi1</definedName>
    <definedName name="Pi1_4" localSheetId="77">'рез к 2017-2023'!_Pi1</definedName>
    <definedName name="Pi1_4" localSheetId="74">'рез к 2018-2024 (кор) '!_Pi1</definedName>
    <definedName name="Pi1_4" localSheetId="13">'Текущий ремонт'!_Pi1</definedName>
    <definedName name="Pi1_4" localSheetId="23">'ФАКТ.СЕБЕСТ.ВОДА 9 мес. 2021'!_Pi1</definedName>
    <definedName name="Pi1_4" localSheetId="21">'ФАКТ.СЕБЕСТ.СТОКИ 9 мес. 2021'!_Pi1</definedName>
    <definedName name="Pi1_4" localSheetId="14">'Чистая прибыль с транспортир.'!_Pi1</definedName>
    <definedName name="Pi1_4">_Pi1</definedName>
    <definedName name="Pi1_67" localSheetId="75">'А 2018'!_Pi1</definedName>
    <definedName name="Pi1_67" localSheetId="59">'выпадающие расходы'!_Pi1</definedName>
    <definedName name="Pi1_67" localSheetId="50">'ЗП с факт 3 кв. 2015'!_Pi1</definedName>
    <definedName name="Pi1_67" localSheetId="24">'ПОЛНАЯ СЕБЕСТОИМОСТЬ ВОДА 2021'!_Pi1</definedName>
    <definedName name="Pi1_67" localSheetId="22">'ПОЛНАЯ СЕБЕСТОИМОСТЬ СТОКИ 2021'!_Pi1</definedName>
    <definedName name="Pi1_67" localSheetId="19">'Прил. 1 План ФХД вода '!_Pi1</definedName>
    <definedName name="Pi1_67" localSheetId="15">'Прил. 1 План ФХД с транспортир.'!_Pi1</definedName>
    <definedName name="Pi1_67" localSheetId="18">'Прил. 1 План ФХД стоки'!_Pi1</definedName>
    <definedName name="Pi1_67" localSheetId="17">'Прил. 1 План ФХД трансп. воды'!_Pi1</definedName>
    <definedName name="Pi1_67" localSheetId="16">'Прил. 1 План ФХД трансп. стоков'!_Pi1</definedName>
    <definedName name="Pi1_67" localSheetId="76">'Расчет товарной выручки 2018'!_Pi1</definedName>
    <definedName name="Pi1_67" localSheetId="25">'Расчет товарной выручки 2019'!_Pi1</definedName>
    <definedName name="Pi1_67" localSheetId="20">'Расчет товарной выручки 2021'!_Pi1</definedName>
    <definedName name="Pi1_67" localSheetId="77">'рез к 2017-2023'!_Pi1</definedName>
    <definedName name="Pi1_67" localSheetId="74">'рез к 2018-2024 (кор) '!_Pi1</definedName>
    <definedName name="Pi1_67" localSheetId="13">'Текущий ремонт'!_Pi1</definedName>
    <definedName name="Pi1_67" localSheetId="23">'ФАКТ.СЕБЕСТ.ВОДА 9 мес. 2021'!_Pi1</definedName>
    <definedName name="Pi1_67" localSheetId="21">'ФАКТ.СЕБЕСТ.СТОКИ 9 мес. 2021'!_Pi1</definedName>
    <definedName name="Pi1_67" localSheetId="14">'Чистая прибыль с транспортир.'!_Pi1</definedName>
    <definedName name="Pi1_67">_Pi1</definedName>
    <definedName name="Pi1_70" localSheetId="75">'А 2018'!_Pi1</definedName>
    <definedName name="Pi1_70" localSheetId="59">'выпадающие расходы'!_Pi1</definedName>
    <definedName name="Pi1_70" localSheetId="50">'ЗП с факт 3 кв. 2015'!_Pi1</definedName>
    <definedName name="Pi1_70" localSheetId="24">'ПОЛНАЯ СЕБЕСТОИМОСТЬ ВОДА 2021'!_Pi1</definedName>
    <definedName name="Pi1_70" localSheetId="22">'ПОЛНАЯ СЕБЕСТОИМОСТЬ СТОКИ 2021'!_Pi1</definedName>
    <definedName name="Pi1_70" localSheetId="19">'Прил. 1 План ФХД вода '!_Pi1</definedName>
    <definedName name="Pi1_70" localSheetId="15">'Прил. 1 План ФХД с транспортир.'!_Pi1</definedName>
    <definedName name="Pi1_70" localSheetId="18">'Прил. 1 План ФХД стоки'!_Pi1</definedName>
    <definedName name="Pi1_70" localSheetId="17">'Прил. 1 План ФХД трансп. воды'!_Pi1</definedName>
    <definedName name="Pi1_70" localSheetId="16">'Прил. 1 План ФХД трансп. стоков'!_Pi1</definedName>
    <definedName name="Pi1_70" localSheetId="76">'Расчет товарной выручки 2018'!_Pi1</definedName>
    <definedName name="Pi1_70" localSheetId="25">'Расчет товарной выручки 2019'!_Pi1</definedName>
    <definedName name="Pi1_70" localSheetId="20">'Расчет товарной выручки 2021'!_Pi1</definedName>
    <definedName name="Pi1_70" localSheetId="77">'рез к 2017-2023'!_Pi1</definedName>
    <definedName name="Pi1_70" localSheetId="74">'рез к 2018-2024 (кор) '!_Pi1</definedName>
    <definedName name="Pi1_70" localSheetId="13">'Текущий ремонт'!_Pi1</definedName>
    <definedName name="Pi1_70" localSheetId="23">'ФАКТ.СЕБЕСТ.ВОДА 9 мес. 2021'!_Pi1</definedName>
    <definedName name="Pi1_70" localSheetId="21">'ФАКТ.СЕБЕСТ.СТОКИ 9 мес. 2021'!_Pi1</definedName>
    <definedName name="Pi1_70" localSheetId="14">'Чистая прибыль с транспортир.'!_Pi1</definedName>
    <definedName name="Pi1_70">_Pi1</definedName>
    <definedName name="Pi1_71" localSheetId="75">'А 2018'!_Pi1</definedName>
    <definedName name="Pi1_71" localSheetId="59">'выпадающие расходы'!_Pi1</definedName>
    <definedName name="Pi1_71" localSheetId="50">'ЗП с факт 3 кв. 2015'!_Pi1</definedName>
    <definedName name="Pi1_71" localSheetId="24">'ПОЛНАЯ СЕБЕСТОИМОСТЬ ВОДА 2021'!_Pi1</definedName>
    <definedName name="Pi1_71" localSheetId="22">'ПОЛНАЯ СЕБЕСТОИМОСТЬ СТОКИ 2021'!_Pi1</definedName>
    <definedName name="Pi1_71" localSheetId="19">'Прил. 1 План ФХД вода '!_Pi1</definedName>
    <definedName name="Pi1_71" localSheetId="15">'Прил. 1 План ФХД с транспортир.'!_Pi1</definedName>
    <definedName name="Pi1_71" localSheetId="18">'Прил. 1 План ФХД стоки'!_Pi1</definedName>
    <definedName name="Pi1_71" localSheetId="17">'Прил. 1 План ФХД трансп. воды'!_Pi1</definedName>
    <definedName name="Pi1_71" localSheetId="16">'Прил. 1 План ФХД трансп. стоков'!_Pi1</definedName>
    <definedName name="Pi1_71" localSheetId="76">'Расчет товарной выручки 2018'!_Pi1</definedName>
    <definedName name="Pi1_71" localSheetId="25">'Расчет товарной выручки 2019'!_Pi1</definedName>
    <definedName name="Pi1_71" localSheetId="20">'Расчет товарной выручки 2021'!_Pi1</definedName>
    <definedName name="Pi1_71" localSheetId="77">'рез к 2017-2023'!_Pi1</definedName>
    <definedName name="Pi1_71" localSheetId="74">'рез к 2018-2024 (кор) '!_Pi1</definedName>
    <definedName name="Pi1_71" localSheetId="13">'Текущий ремонт'!_Pi1</definedName>
    <definedName name="Pi1_71" localSheetId="23">'ФАКТ.СЕБЕСТ.ВОДА 9 мес. 2021'!_Pi1</definedName>
    <definedName name="Pi1_71" localSheetId="21">'ФАКТ.СЕБЕСТ.СТОКИ 9 мес. 2021'!_Pi1</definedName>
    <definedName name="Pi1_71" localSheetId="14">'Чистая прибыль с транспортир.'!_Pi1</definedName>
    <definedName name="Pi1_71">_Pi1</definedName>
    <definedName name="Pi1_72" localSheetId="75">'А 2018'!_Pi1</definedName>
    <definedName name="Pi1_72" localSheetId="59">'выпадающие расходы'!_Pi1</definedName>
    <definedName name="Pi1_72" localSheetId="50">'ЗП с факт 3 кв. 2015'!_Pi1</definedName>
    <definedName name="Pi1_72" localSheetId="24">'ПОЛНАЯ СЕБЕСТОИМОСТЬ ВОДА 2021'!_Pi1</definedName>
    <definedName name="Pi1_72" localSheetId="22">'ПОЛНАЯ СЕБЕСТОИМОСТЬ СТОКИ 2021'!_Pi1</definedName>
    <definedName name="Pi1_72" localSheetId="19">'Прил. 1 План ФХД вода '!_Pi1</definedName>
    <definedName name="Pi1_72" localSheetId="15">'Прил. 1 План ФХД с транспортир.'!_Pi1</definedName>
    <definedName name="Pi1_72" localSheetId="18">'Прил. 1 План ФХД стоки'!_Pi1</definedName>
    <definedName name="Pi1_72" localSheetId="17">'Прил. 1 План ФХД трансп. воды'!_Pi1</definedName>
    <definedName name="Pi1_72" localSheetId="16">'Прил. 1 План ФХД трансп. стоков'!_Pi1</definedName>
    <definedName name="Pi1_72" localSheetId="76">'Расчет товарной выручки 2018'!_Pi1</definedName>
    <definedName name="Pi1_72" localSheetId="25">'Расчет товарной выручки 2019'!_Pi1</definedName>
    <definedName name="Pi1_72" localSheetId="20">'Расчет товарной выручки 2021'!_Pi1</definedName>
    <definedName name="Pi1_72" localSheetId="77">'рез к 2017-2023'!_Pi1</definedName>
    <definedName name="Pi1_72" localSheetId="74">'рез к 2018-2024 (кор) '!_Pi1</definedName>
    <definedName name="Pi1_72" localSheetId="13">'Текущий ремонт'!_Pi1</definedName>
    <definedName name="Pi1_72" localSheetId="23">'ФАКТ.СЕБЕСТ.ВОДА 9 мес. 2021'!_Pi1</definedName>
    <definedName name="Pi1_72" localSheetId="21">'ФАКТ.СЕБЕСТ.СТОКИ 9 мес. 2021'!_Pi1</definedName>
    <definedName name="Pi1_72" localSheetId="14">'Чистая прибыль с транспортир.'!_Pi1</definedName>
    <definedName name="Pi1_72">_Pi1</definedName>
    <definedName name="Pi1_74" localSheetId="75">'А 2018'!_Pi1</definedName>
    <definedName name="Pi1_74" localSheetId="59">'выпадающие расходы'!_Pi1</definedName>
    <definedName name="Pi1_74" localSheetId="50">'ЗП с факт 3 кв. 2015'!_Pi1</definedName>
    <definedName name="Pi1_74" localSheetId="24">'ПОЛНАЯ СЕБЕСТОИМОСТЬ ВОДА 2021'!_Pi1</definedName>
    <definedName name="Pi1_74" localSheetId="22">'ПОЛНАЯ СЕБЕСТОИМОСТЬ СТОКИ 2021'!_Pi1</definedName>
    <definedName name="Pi1_74" localSheetId="19">'Прил. 1 План ФХД вода '!_Pi1</definedName>
    <definedName name="Pi1_74" localSheetId="15">'Прил. 1 План ФХД с транспортир.'!_Pi1</definedName>
    <definedName name="Pi1_74" localSheetId="18">'Прил. 1 План ФХД стоки'!_Pi1</definedName>
    <definedName name="Pi1_74" localSheetId="17">'Прил. 1 План ФХД трансп. воды'!_Pi1</definedName>
    <definedName name="Pi1_74" localSheetId="16">'Прил. 1 План ФХД трансп. стоков'!_Pi1</definedName>
    <definedName name="Pi1_74" localSheetId="76">'Расчет товарной выручки 2018'!_Pi1</definedName>
    <definedName name="Pi1_74" localSheetId="25">'Расчет товарной выручки 2019'!_Pi1</definedName>
    <definedName name="Pi1_74" localSheetId="20">'Расчет товарной выручки 2021'!_Pi1</definedName>
    <definedName name="Pi1_74" localSheetId="77">'рез к 2017-2023'!_Pi1</definedName>
    <definedName name="Pi1_74" localSheetId="74">'рез к 2018-2024 (кор) '!_Pi1</definedName>
    <definedName name="Pi1_74" localSheetId="13">'Текущий ремонт'!_Pi1</definedName>
    <definedName name="Pi1_74" localSheetId="23">'ФАКТ.СЕБЕСТ.ВОДА 9 мес. 2021'!_Pi1</definedName>
    <definedName name="Pi1_74" localSheetId="21">'ФАКТ.СЕБЕСТ.СТОКИ 9 мес. 2021'!_Pi1</definedName>
    <definedName name="Pi1_74" localSheetId="14">'Чистая прибыль с транспортир.'!_Pi1</definedName>
    <definedName name="Pi1_74">_Pi1</definedName>
    <definedName name="Pi1_9" localSheetId="75">'А 2018'!_Pi1</definedName>
    <definedName name="Pi1_9" localSheetId="59">'выпадающие расходы'!_Pi1</definedName>
    <definedName name="Pi1_9" localSheetId="50">'ЗП с факт 3 кв. 2015'!_Pi1</definedName>
    <definedName name="Pi1_9" localSheetId="24">'ПОЛНАЯ СЕБЕСТОИМОСТЬ ВОДА 2021'!_Pi1</definedName>
    <definedName name="Pi1_9" localSheetId="22">'ПОЛНАЯ СЕБЕСТОИМОСТЬ СТОКИ 2021'!_Pi1</definedName>
    <definedName name="Pi1_9" localSheetId="19">'Прил. 1 План ФХД вода '!_Pi1</definedName>
    <definedName name="Pi1_9" localSheetId="15">'Прил. 1 План ФХД с транспортир.'!_Pi1</definedName>
    <definedName name="Pi1_9" localSheetId="18">'Прил. 1 План ФХД стоки'!_Pi1</definedName>
    <definedName name="Pi1_9" localSheetId="17">'Прил. 1 План ФХД трансп. воды'!_Pi1</definedName>
    <definedName name="Pi1_9" localSheetId="16">'Прил. 1 План ФХД трансп. стоков'!_Pi1</definedName>
    <definedName name="Pi1_9" localSheetId="76">'Расчет товарной выручки 2018'!_Pi1</definedName>
    <definedName name="Pi1_9" localSheetId="25">'Расчет товарной выручки 2019'!_Pi1</definedName>
    <definedName name="Pi1_9" localSheetId="20">'Расчет товарной выручки 2021'!_Pi1</definedName>
    <definedName name="Pi1_9" localSheetId="77">'рез к 2017-2023'!_Pi1</definedName>
    <definedName name="Pi1_9" localSheetId="74">'рез к 2018-2024 (кор) '!_Pi1</definedName>
    <definedName name="Pi1_9" localSheetId="13">'Текущий ремонт'!_Pi1</definedName>
    <definedName name="Pi1_9" localSheetId="23">'ФАКТ.СЕБЕСТ.ВОДА 9 мес. 2021'!_Pi1</definedName>
    <definedName name="Pi1_9" localSheetId="21">'ФАКТ.СЕБЕСТ.СТОКИ 9 мес. 2021'!_Pi1</definedName>
    <definedName name="Pi1_9" localSheetId="14">'Чистая прибыль с транспортир.'!_Pi1</definedName>
    <definedName name="Pi1_9">_Pi1</definedName>
    <definedName name="Pi2_1" localSheetId="75">'А 2018'!_Pi2</definedName>
    <definedName name="Pi2_1" localSheetId="59">'выпадающие расходы'!_Pi2</definedName>
    <definedName name="Pi2_1" localSheetId="50">'ЗП с факт 3 кв. 2015'!_Pi2</definedName>
    <definedName name="Pi2_1" localSheetId="24">'ПОЛНАЯ СЕБЕСТОИМОСТЬ ВОДА 2021'!_Pi2</definedName>
    <definedName name="Pi2_1" localSheetId="22">'ПОЛНАЯ СЕБЕСТОИМОСТЬ СТОКИ 2021'!_Pi2</definedName>
    <definedName name="Pi2_1" localSheetId="19">'Прил. 1 План ФХД вода '!_Pi2</definedName>
    <definedName name="Pi2_1" localSheetId="15">'Прил. 1 План ФХД с транспортир.'!_Pi2</definedName>
    <definedName name="Pi2_1" localSheetId="18">'Прил. 1 План ФХД стоки'!_Pi2</definedName>
    <definedName name="Pi2_1" localSheetId="17">'Прил. 1 План ФХД трансп. воды'!_Pi2</definedName>
    <definedName name="Pi2_1" localSheetId="16">'Прил. 1 План ФХД трансп. стоков'!_Pi2</definedName>
    <definedName name="Pi2_1" localSheetId="76">'Расчет товарной выручки 2018'!_Pi2</definedName>
    <definedName name="Pi2_1" localSheetId="25">'Расчет товарной выручки 2019'!_Pi2</definedName>
    <definedName name="Pi2_1" localSheetId="20">'Расчет товарной выручки 2021'!_Pi2</definedName>
    <definedName name="Pi2_1" localSheetId="77">'рез к 2017-2023'!_Pi2</definedName>
    <definedName name="Pi2_1" localSheetId="74">'рез к 2018-2024 (кор) '!_Pi2</definedName>
    <definedName name="Pi2_1" localSheetId="13">'Текущий ремонт'!_Pi2</definedName>
    <definedName name="Pi2_1" localSheetId="23">'ФАКТ.СЕБЕСТ.ВОДА 9 мес. 2021'!_Pi2</definedName>
    <definedName name="Pi2_1" localSheetId="21">'ФАКТ.СЕБЕСТ.СТОКИ 9 мес. 2021'!_Pi2</definedName>
    <definedName name="Pi2_1" localSheetId="14">'Чистая прибыль с транспортир.'!_Pi2</definedName>
    <definedName name="Pi2_1">[0]!_Pi2</definedName>
    <definedName name="Pi2_10" localSheetId="75">'А 2018'!_Pi2</definedName>
    <definedName name="Pi2_10" localSheetId="59">'выпадающие расходы'!_Pi2</definedName>
    <definedName name="Pi2_10" localSheetId="50">'ЗП с факт 3 кв. 2015'!_Pi2</definedName>
    <definedName name="Pi2_10" localSheetId="24">'ПОЛНАЯ СЕБЕСТОИМОСТЬ ВОДА 2021'!_Pi2</definedName>
    <definedName name="Pi2_10" localSheetId="22">'ПОЛНАЯ СЕБЕСТОИМОСТЬ СТОКИ 2021'!_Pi2</definedName>
    <definedName name="Pi2_10" localSheetId="19">'Прил. 1 План ФХД вода '!_Pi2</definedName>
    <definedName name="Pi2_10" localSheetId="15">'Прил. 1 План ФХД с транспортир.'!_Pi2</definedName>
    <definedName name="Pi2_10" localSheetId="18">'Прил. 1 План ФХД стоки'!_Pi2</definedName>
    <definedName name="Pi2_10" localSheetId="17">'Прил. 1 План ФХД трансп. воды'!_Pi2</definedName>
    <definedName name="Pi2_10" localSheetId="16">'Прил. 1 План ФХД трансп. стоков'!_Pi2</definedName>
    <definedName name="Pi2_10" localSheetId="76">'Расчет товарной выручки 2018'!_Pi2</definedName>
    <definedName name="Pi2_10" localSheetId="25">'Расчет товарной выручки 2019'!_Pi2</definedName>
    <definedName name="Pi2_10" localSheetId="20">'Расчет товарной выручки 2021'!_Pi2</definedName>
    <definedName name="Pi2_10" localSheetId="77">'рез к 2017-2023'!_Pi2</definedName>
    <definedName name="Pi2_10" localSheetId="74">'рез к 2018-2024 (кор) '!_Pi2</definedName>
    <definedName name="Pi2_10" localSheetId="13">'Текущий ремонт'!_Pi2</definedName>
    <definedName name="Pi2_10" localSheetId="23">'ФАКТ.СЕБЕСТ.ВОДА 9 мес. 2021'!_Pi2</definedName>
    <definedName name="Pi2_10" localSheetId="21">'ФАКТ.СЕБЕСТ.СТОКИ 9 мес. 2021'!_Pi2</definedName>
    <definedName name="Pi2_10" localSheetId="14">'Чистая прибыль с транспортир.'!_Pi2</definedName>
    <definedName name="Pi2_10">[0]!_Pi2</definedName>
    <definedName name="Pi2_11" localSheetId="75">'А 2018'!_Pi2</definedName>
    <definedName name="Pi2_11" localSheetId="59">'выпадающие расходы'!_Pi2</definedName>
    <definedName name="Pi2_11" localSheetId="50">'ЗП с факт 3 кв. 2015'!_Pi2</definedName>
    <definedName name="Pi2_11" localSheetId="24">'ПОЛНАЯ СЕБЕСТОИМОСТЬ ВОДА 2021'!_Pi2</definedName>
    <definedName name="Pi2_11" localSheetId="22">'ПОЛНАЯ СЕБЕСТОИМОСТЬ СТОКИ 2021'!_Pi2</definedName>
    <definedName name="Pi2_11" localSheetId="19">'Прил. 1 План ФХД вода '!_Pi2</definedName>
    <definedName name="Pi2_11" localSheetId="15">'Прил. 1 План ФХД с транспортир.'!_Pi2</definedName>
    <definedName name="Pi2_11" localSheetId="18">'Прил. 1 План ФХД стоки'!_Pi2</definedName>
    <definedName name="Pi2_11" localSheetId="17">'Прил. 1 План ФХД трансп. воды'!_Pi2</definedName>
    <definedName name="Pi2_11" localSheetId="16">'Прил. 1 План ФХД трансп. стоков'!_Pi2</definedName>
    <definedName name="Pi2_11" localSheetId="76">'Расчет товарной выручки 2018'!_Pi2</definedName>
    <definedName name="Pi2_11" localSheetId="25">'Расчет товарной выручки 2019'!_Pi2</definedName>
    <definedName name="Pi2_11" localSheetId="20">'Расчет товарной выручки 2021'!_Pi2</definedName>
    <definedName name="Pi2_11" localSheetId="77">'рез к 2017-2023'!_Pi2</definedName>
    <definedName name="Pi2_11" localSheetId="74">'рез к 2018-2024 (кор) '!_Pi2</definedName>
    <definedName name="Pi2_11" localSheetId="13">'Текущий ремонт'!_Pi2</definedName>
    <definedName name="Pi2_11" localSheetId="23">'ФАКТ.СЕБЕСТ.ВОДА 9 мес. 2021'!_Pi2</definedName>
    <definedName name="Pi2_11" localSheetId="21">'ФАКТ.СЕБЕСТ.СТОКИ 9 мес. 2021'!_Pi2</definedName>
    <definedName name="Pi2_11" localSheetId="14">'Чистая прибыль с транспортир.'!_Pi2</definedName>
    <definedName name="Pi2_11">[0]!_Pi2</definedName>
    <definedName name="Pi2_13" localSheetId="75">'А 2018'!_Pi2</definedName>
    <definedName name="Pi2_13" localSheetId="59">'выпадающие расходы'!_Pi2</definedName>
    <definedName name="Pi2_13" localSheetId="50">'ЗП с факт 3 кв. 2015'!_Pi2</definedName>
    <definedName name="Pi2_13" localSheetId="24">'ПОЛНАЯ СЕБЕСТОИМОСТЬ ВОДА 2021'!_Pi2</definedName>
    <definedName name="Pi2_13" localSheetId="22">'ПОЛНАЯ СЕБЕСТОИМОСТЬ СТОКИ 2021'!_Pi2</definedName>
    <definedName name="Pi2_13" localSheetId="19">'Прил. 1 План ФХД вода '!_Pi2</definedName>
    <definedName name="Pi2_13" localSheetId="15">'Прил. 1 План ФХД с транспортир.'!_Pi2</definedName>
    <definedName name="Pi2_13" localSheetId="18">'Прил. 1 План ФХД стоки'!_Pi2</definedName>
    <definedName name="Pi2_13" localSheetId="17">'Прил. 1 План ФХД трансп. воды'!_Pi2</definedName>
    <definedName name="Pi2_13" localSheetId="16">'Прил. 1 План ФХД трансп. стоков'!_Pi2</definedName>
    <definedName name="Pi2_13" localSheetId="76">'Расчет товарной выручки 2018'!_Pi2</definedName>
    <definedName name="Pi2_13" localSheetId="25">'Расчет товарной выручки 2019'!_Pi2</definedName>
    <definedName name="Pi2_13" localSheetId="20">'Расчет товарной выручки 2021'!_Pi2</definedName>
    <definedName name="Pi2_13" localSheetId="77">'рез к 2017-2023'!_Pi2</definedName>
    <definedName name="Pi2_13" localSheetId="74">'рез к 2018-2024 (кор) '!_Pi2</definedName>
    <definedName name="Pi2_13" localSheetId="13">'Текущий ремонт'!_Pi2</definedName>
    <definedName name="Pi2_13" localSheetId="23">'ФАКТ.СЕБЕСТ.ВОДА 9 мес. 2021'!_Pi2</definedName>
    <definedName name="Pi2_13" localSheetId="21">'ФАКТ.СЕБЕСТ.СТОКИ 9 мес. 2021'!_Pi2</definedName>
    <definedName name="Pi2_13" localSheetId="14">'Чистая прибыль с транспортир.'!_Pi2</definedName>
    <definedName name="Pi2_13">[0]!_Pi2</definedName>
    <definedName name="Pi2_14" localSheetId="75">'А 2018'!_Pi2</definedName>
    <definedName name="Pi2_14" localSheetId="59">'выпадающие расходы'!_Pi2</definedName>
    <definedName name="Pi2_14" localSheetId="50">'ЗП с факт 3 кв. 2015'!_Pi2</definedName>
    <definedName name="Pi2_14" localSheetId="24">'ПОЛНАЯ СЕБЕСТОИМОСТЬ ВОДА 2021'!_Pi2</definedName>
    <definedName name="Pi2_14" localSheetId="22">'ПОЛНАЯ СЕБЕСТОИМОСТЬ СТОКИ 2021'!_Pi2</definedName>
    <definedName name="Pi2_14" localSheetId="19">'Прил. 1 План ФХД вода '!_Pi2</definedName>
    <definedName name="Pi2_14" localSheetId="15">'Прил. 1 План ФХД с транспортир.'!_Pi2</definedName>
    <definedName name="Pi2_14" localSheetId="18">'Прил. 1 План ФХД стоки'!_Pi2</definedName>
    <definedName name="Pi2_14" localSheetId="17">'Прил. 1 План ФХД трансп. воды'!_Pi2</definedName>
    <definedName name="Pi2_14" localSheetId="16">'Прил. 1 План ФХД трансп. стоков'!_Pi2</definedName>
    <definedName name="Pi2_14" localSheetId="76">'Расчет товарной выручки 2018'!_Pi2</definedName>
    <definedName name="Pi2_14" localSheetId="25">'Расчет товарной выручки 2019'!_Pi2</definedName>
    <definedName name="Pi2_14" localSheetId="20">'Расчет товарной выручки 2021'!_Pi2</definedName>
    <definedName name="Pi2_14" localSheetId="77">'рез к 2017-2023'!_Pi2</definedName>
    <definedName name="Pi2_14" localSheetId="74">'рез к 2018-2024 (кор) '!_Pi2</definedName>
    <definedName name="Pi2_14" localSheetId="13">'Текущий ремонт'!_Pi2</definedName>
    <definedName name="Pi2_14" localSheetId="23">'ФАКТ.СЕБЕСТ.ВОДА 9 мес. 2021'!_Pi2</definedName>
    <definedName name="Pi2_14" localSheetId="21">'ФАКТ.СЕБЕСТ.СТОКИ 9 мес. 2021'!_Pi2</definedName>
    <definedName name="Pi2_14" localSheetId="14">'Чистая прибыль с транспортир.'!_Pi2</definedName>
    <definedName name="Pi2_14">[0]!_Pi2</definedName>
    <definedName name="Pi2_15" localSheetId="75">'А 2018'!_Pi2</definedName>
    <definedName name="Pi2_15" localSheetId="59">'выпадающие расходы'!_Pi2</definedName>
    <definedName name="Pi2_15" localSheetId="50">'ЗП с факт 3 кв. 2015'!_Pi2</definedName>
    <definedName name="Pi2_15" localSheetId="24">'ПОЛНАЯ СЕБЕСТОИМОСТЬ ВОДА 2021'!_Pi2</definedName>
    <definedName name="Pi2_15" localSheetId="22">'ПОЛНАЯ СЕБЕСТОИМОСТЬ СТОКИ 2021'!_Pi2</definedName>
    <definedName name="Pi2_15" localSheetId="19">'Прил. 1 План ФХД вода '!_Pi2</definedName>
    <definedName name="Pi2_15" localSheetId="15">'Прил. 1 План ФХД с транспортир.'!_Pi2</definedName>
    <definedName name="Pi2_15" localSheetId="18">'Прил. 1 План ФХД стоки'!_Pi2</definedName>
    <definedName name="Pi2_15" localSheetId="17">'Прил. 1 План ФХД трансп. воды'!_Pi2</definedName>
    <definedName name="Pi2_15" localSheetId="16">'Прил. 1 План ФХД трансп. стоков'!_Pi2</definedName>
    <definedName name="Pi2_15" localSheetId="76">'Расчет товарной выручки 2018'!_Pi2</definedName>
    <definedName name="Pi2_15" localSheetId="25">'Расчет товарной выручки 2019'!_Pi2</definedName>
    <definedName name="Pi2_15" localSheetId="20">'Расчет товарной выручки 2021'!_Pi2</definedName>
    <definedName name="Pi2_15" localSheetId="77">'рез к 2017-2023'!_Pi2</definedName>
    <definedName name="Pi2_15" localSheetId="74">'рез к 2018-2024 (кор) '!_Pi2</definedName>
    <definedName name="Pi2_15" localSheetId="13">'Текущий ремонт'!_Pi2</definedName>
    <definedName name="Pi2_15" localSheetId="23">'ФАКТ.СЕБЕСТ.ВОДА 9 мес. 2021'!_Pi2</definedName>
    <definedName name="Pi2_15" localSheetId="21">'ФАКТ.СЕБЕСТ.СТОКИ 9 мес. 2021'!_Pi2</definedName>
    <definedName name="Pi2_15" localSheetId="14">'Чистая прибыль с транспортир.'!_Pi2</definedName>
    <definedName name="Pi2_15">_Pi2</definedName>
    <definedName name="Pi2_16" localSheetId="75">'А 2018'!_Pi2</definedName>
    <definedName name="Pi2_16" localSheetId="59">'выпадающие расходы'!_Pi2</definedName>
    <definedName name="Pi2_16" localSheetId="50">'ЗП с факт 3 кв. 2015'!_Pi2</definedName>
    <definedName name="Pi2_16" localSheetId="24">'ПОЛНАЯ СЕБЕСТОИМОСТЬ ВОДА 2021'!_Pi2</definedName>
    <definedName name="Pi2_16" localSheetId="22">'ПОЛНАЯ СЕБЕСТОИМОСТЬ СТОКИ 2021'!_Pi2</definedName>
    <definedName name="Pi2_16" localSheetId="19">'Прил. 1 План ФХД вода '!_Pi2</definedName>
    <definedName name="Pi2_16" localSheetId="15">'Прил. 1 План ФХД с транспортир.'!_Pi2</definedName>
    <definedName name="Pi2_16" localSheetId="18">'Прил. 1 План ФХД стоки'!_Pi2</definedName>
    <definedName name="Pi2_16" localSheetId="17">'Прил. 1 План ФХД трансп. воды'!_Pi2</definedName>
    <definedName name="Pi2_16" localSheetId="16">'Прил. 1 План ФХД трансп. стоков'!_Pi2</definedName>
    <definedName name="Pi2_16" localSheetId="76">'Расчет товарной выручки 2018'!_Pi2</definedName>
    <definedName name="Pi2_16" localSheetId="25">'Расчет товарной выручки 2019'!_Pi2</definedName>
    <definedName name="Pi2_16" localSheetId="20">'Расчет товарной выручки 2021'!_Pi2</definedName>
    <definedName name="Pi2_16" localSheetId="77">'рез к 2017-2023'!_Pi2</definedName>
    <definedName name="Pi2_16" localSheetId="74">'рез к 2018-2024 (кор) '!_Pi2</definedName>
    <definedName name="Pi2_16" localSheetId="13">'Текущий ремонт'!_Pi2</definedName>
    <definedName name="Pi2_16" localSheetId="23">'ФАКТ.СЕБЕСТ.ВОДА 9 мес. 2021'!_Pi2</definedName>
    <definedName name="Pi2_16" localSheetId="21">'ФАКТ.СЕБЕСТ.СТОКИ 9 мес. 2021'!_Pi2</definedName>
    <definedName name="Pi2_16" localSheetId="14">'Чистая прибыль с транспортир.'!_Pi2</definedName>
    <definedName name="Pi2_16">[0]!_Pi2</definedName>
    <definedName name="Pi2_2" localSheetId="75">'А 2018'!_Pi2</definedName>
    <definedName name="Pi2_2" localSheetId="59">'выпадающие расходы'!_Pi2</definedName>
    <definedName name="Pi2_2" localSheetId="50">'ЗП с факт 3 кв. 2015'!_Pi2</definedName>
    <definedName name="Pi2_2" localSheetId="24">'ПОЛНАЯ СЕБЕСТОИМОСТЬ ВОДА 2021'!_Pi2</definedName>
    <definedName name="Pi2_2" localSheetId="22">'ПОЛНАЯ СЕБЕСТОИМОСТЬ СТОКИ 2021'!_Pi2</definedName>
    <definedName name="Pi2_2" localSheetId="19">'Прил. 1 План ФХД вода '!_Pi2</definedName>
    <definedName name="Pi2_2" localSheetId="15">'Прил. 1 План ФХД с транспортир.'!_Pi2</definedName>
    <definedName name="Pi2_2" localSheetId="18">'Прил. 1 План ФХД стоки'!_Pi2</definedName>
    <definedName name="Pi2_2" localSheetId="17">'Прил. 1 План ФХД трансп. воды'!_Pi2</definedName>
    <definedName name="Pi2_2" localSheetId="16">'Прил. 1 План ФХД трансп. стоков'!_Pi2</definedName>
    <definedName name="Pi2_2" localSheetId="76">'Расчет товарной выручки 2018'!_Pi2</definedName>
    <definedName name="Pi2_2" localSheetId="25">'Расчет товарной выручки 2019'!_Pi2</definedName>
    <definedName name="Pi2_2" localSheetId="20">'Расчет товарной выручки 2021'!_Pi2</definedName>
    <definedName name="Pi2_2" localSheetId="77">'рез к 2017-2023'!_Pi2</definedName>
    <definedName name="Pi2_2" localSheetId="74">'рез к 2018-2024 (кор) '!_Pi2</definedName>
    <definedName name="Pi2_2" localSheetId="13">'Текущий ремонт'!_Pi2</definedName>
    <definedName name="Pi2_2" localSheetId="23">'ФАКТ.СЕБЕСТ.ВОДА 9 мес. 2021'!_Pi2</definedName>
    <definedName name="Pi2_2" localSheetId="21">'ФАКТ.СЕБЕСТ.СТОКИ 9 мес. 2021'!_Pi2</definedName>
    <definedName name="Pi2_2" localSheetId="14">'Чистая прибыль с транспортир.'!_Pi2</definedName>
    <definedName name="Pi2_2">[0]!_Pi2</definedName>
    <definedName name="Pi2_22" localSheetId="75">'А 2018'!_Pi2</definedName>
    <definedName name="Pi2_22" localSheetId="59">'выпадающие расходы'!_Pi2</definedName>
    <definedName name="Pi2_22" localSheetId="50">'ЗП с факт 3 кв. 2015'!_Pi2</definedName>
    <definedName name="Pi2_22" localSheetId="24">'ПОЛНАЯ СЕБЕСТОИМОСТЬ ВОДА 2021'!_Pi2</definedName>
    <definedName name="Pi2_22" localSheetId="22">'ПОЛНАЯ СЕБЕСТОИМОСТЬ СТОКИ 2021'!_Pi2</definedName>
    <definedName name="Pi2_22" localSheetId="19">'Прил. 1 План ФХД вода '!_Pi2</definedName>
    <definedName name="Pi2_22" localSheetId="15">'Прил. 1 План ФХД с транспортир.'!_Pi2</definedName>
    <definedName name="Pi2_22" localSheetId="18">'Прил. 1 План ФХД стоки'!_Pi2</definedName>
    <definedName name="Pi2_22" localSheetId="17">'Прил. 1 План ФХД трансп. воды'!_Pi2</definedName>
    <definedName name="Pi2_22" localSheetId="16">'Прил. 1 План ФХД трансп. стоков'!_Pi2</definedName>
    <definedName name="Pi2_22" localSheetId="76">'Расчет товарной выручки 2018'!_Pi2</definedName>
    <definedName name="Pi2_22" localSheetId="25">'Расчет товарной выручки 2019'!_Pi2</definedName>
    <definedName name="Pi2_22" localSheetId="20">'Расчет товарной выручки 2021'!_Pi2</definedName>
    <definedName name="Pi2_22" localSheetId="77">'рез к 2017-2023'!_Pi2</definedName>
    <definedName name="Pi2_22" localSheetId="74">'рез к 2018-2024 (кор) '!_Pi2</definedName>
    <definedName name="Pi2_22" localSheetId="13">'Текущий ремонт'!_Pi2</definedName>
    <definedName name="Pi2_22" localSheetId="23">'ФАКТ.СЕБЕСТ.ВОДА 9 мес. 2021'!_Pi2</definedName>
    <definedName name="Pi2_22" localSheetId="21">'ФАКТ.СЕБЕСТ.СТОКИ 9 мес. 2021'!_Pi2</definedName>
    <definedName name="Pi2_22" localSheetId="14">'Чистая прибыль с транспортир.'!_Pi2</definedName>
    <definedName name="Pi2_22">_Pi2</definedName>
    <definedName name="Pi2_3" localSheetId="75">'А 2018'!_Pi2</definedName>
    <definedName name="Pi2_3" localSheetId="59">'выпадающие расходы'!_Pi2</definedName>
    <definedName name="Pi2_3" localSheetId="50">'ЗП с факт 3 кв. 2015'!_Pi2</definedName>
    <definedName name="Pi2_3" localSheetId="24">'ПОЛНАЯ СЕБЕСТОИМОСТЬ ВОДА 2021'!_Pi2</definedName>
    <definedName name="Pi2_3" localSheetId="22">'ПОЛНАЯ СЕБЕСТОИМОСТЬ СТОКИ 2021'!_Pi2</definedName>
    <definedName name="Pi2_3" localSheetId="19">'Прил. 1 План ФХД вода '!_Pi2</definedName>
    <definedName name="Pi2_3" localSheetId="15">'Прил. 1 План ФХД с транспортир.'!_Pi2</definedName>
    <definedName name="Pi2_3" localSheetId="18">'Прил. 1 План ФХД стоки'!_Pi2</definedName>
    <definedName name="Pi2_3" localSheetId="17">'Прил. 1 План ФХД трансп. воды'!_Pi2</definedName>
    <definedName name="Pi2_3" localSheetId="16">'Прил. 1 План ФХД трансп. стоков'!_Pi2</definedName>
    <definedName name="Pi2_3" localSheetId="76">'Расчет товарной выручки 2018'!_Pi2</definedName>
    <definedName name="Pi2_3" localSheetId="25">'Расчет товарной выручки 2019'!_Pi2</definedName>
    <definedName name="Pi2_3" localSheetId="20">'Расчет товарной выручки 2021'!_Pi2</definedName>
    <definedName name="Pi2_3" localSheetId="77">'рез к 2017-2023'!_Pi2</definedName>
    <definedName name="Pi2_3" localSheetId="74">'рез к 2018-2024 (кор) '!_Pi2</definedName>
    <definedName name="Pi2_3" localSheetId="13">'Текущий ремонт'!_Pi2</definedName>
    <definedName name="Pi2_3" localSheetId="23">'ФАКТ.СЕБЕСТ.ВОДА 9 мес. 2021'!_Pi2</definedName>
    <definedName name="Pi2_3" localSheetId="21">'ФАКТ.СЕБЕСТ.СТОКИ 9 мес. 2021'!_Pi2</definedName>
    <definedName name="Pi2_3" localSheetId="14">'Чистая прибыль с транспортир.'!_Pi2</definedName>
    <definedName name="Pi2_3">[0]!_Pi2</definedName>
    <definedName name="Pi2_4" localSheetId="75">'А 2018'!_Pi2</definedName>
    <definedName name="Pi2_4" localSheetId="59">'выпадающие расходы'!_Pi2</definedName>
    <definedName name="Pi2_4" localSheetId="50">'ЗП с факт 3 кв. 2015'!_Pi2</definedName>
    <definedName name="Pi2_4" localSheetId="24">'ПОЛНАЯ СЕБЕСТОИМОСТЬ ВОДА 2021'!_Pi2</definedName>
    <definedName name="Pi2_4" localSheetId="22">'ПОЛНАЯ СЕБЕСТОИМОСТЬ СТОКИ 2021'!_Pi2</definedName>
    <definedName name="Pi2_4" localSheetId="19">'Прил. 1 План ФХД вода '!_Pi2</definedName>
    <definedName name="Pi2_4" localSheetId="15">'Прил. 1 План ФХД с транспортир.'!_Pi2</definedName>
    <definedName name="Pi2_4" localSheetId="18">'Прил. 1 План ФХД стоки'!_Pi2</definedName>
    <definedName name="Pi2_4" localSheetId="17">'Прил. 1 План ФХД трансп. воды'!_Pi2</definedName>
    <definedName name="Pi2_4" localSheetId="16">'Прил. 1 План ФХД трансп. стоков'!_Pi2</definedName>
    <definedName name="Pi2_4" localSheetId="76">'Расчет товарной выручки 2018'!_Pi2</definedName>
    <definedName name="Pi2_4" localSheetId="25">'Расчет товарной выручки 2019'!_Pi2</definedName>
    <definedName name="Pi2_4" localSheetId="20">'Расчет товарной выручки 2021'!_Pi2</definedName>
    <definedName name="Pi2_4" localSheetId="77">'рез к 2017-2023'!_Pi2</definedName>
    <definedName name="Pi2_4" localSheetId="74">'рез к 2018-2024 (кор) '!_Pi2</definedName>
    <definedName name="Pi2_4" localSheetId="13">'Текущий ремонт'!_Pi2</definedName>
    <definedName name="Pi2_4" localSheetId="23">'ФАКТ.СЕБЕСТ.ВОДА 9 мес. 2021'!_Pi2</definedName>
    <definedName name="Pi2_4" localSheetId="21">'ФАКТ.СЕБЕСТ.СТОКИ 9 мес. 2021'!_Pi2</definedName>
    <definedName name="Pi2_4" localSheetId="14">'Чистая прибыль с транспортир.'!_Pi2</definedName>
    <definedName name="Pi2_4">_Pi2</definedName>
    <definedName name="Pi2_67" localSheetId="75">'А 2018'!_Pi2</definedName>
    <definedName name="Pi2_67" localSheetId="59">'выпадающие расходы'!_Pi2</definedName>
    <definedName name="Pi2_67" localSheetId="50">'ЗП с факт 3 кв. 2015'!_Pi2</definedName>
    <definedName name="Pi2_67" localSheetId="24">'ПОЛНАЯ СЕБЕСТОИМОСТЬ ВОДА 2021'!_Pi2</definedName>
    <definedName name="Pi2_67" localSheetId="22">'ПОЛНАЯ СЕБЕСТОИМОСТЬ СТОКИ 2021'!_Pi2</definedName>
    <definedName name="Pi2_67" localSheetId="19">'Прил. 1 План ФХД вода '!_Pi2</definedName>
    <definedName name="Pi2_67" localSheetId="15">'Прил. 1 План ФХД с транспортир.'!_Pi2</definedName>
    <definedName name="Pi2_67" localSheetId="18">'Прил. 1 План ФХД стоки'!_Pi2</definedName>
    <definedName name="Pi2_67" localSheetId="17">'Прил. 1 План ФХД трансп. воды'!_Pi2</definedName>
    <definedName name="Pi2_67" localSheetId="16">'Прил. 1 План ФХД трансп. стоков'!_Pi2</definedName>
    <definedName name="Pi2_67" localSheetId="76">'Расчет товарной выручки 2018'!_Pi2</definedName>
    <definedName name="Pi2_67" localSheetId="25">'Расчет товарной выручки 2019'!_Pi2</definedName>
    <definedName name="Pi2_67" localSheetId="20">'Расчет товарной выручки 2021'!_Pi2</definedName>
    <definedName name="Pi2_67" localSheetId="77">'рез к 2017-2023'!_Pi2</definedName>
    <definedName name="Pi2_67" localSheetId="74">'рез к 2018-2024 (кор) '!_Pi2</definedName>
    <definedName name="Pi2_67" localSheetId="13">'Текущий ремонт'!_Pi2</definedName>
    <definedName name="Pi2_67" localSheetId="23">'ФАКТ.СЕБЕСТ.ВОДА 9 мес. 2021'!_Pi2</definedName>
    <definedName name="Pi2_67" localSheetId="21">'ФАКТ.СЕБЕСТ.СТОКИ 9 мес. 2021'!_Pi2</definedName>
    <definedName name="Pi2_67" localSheetId="14">'Чистая прибыль с транспортир.'!_Pi2</definedName>
    <definedName name="Pi2_67">_Pi2</definedName>
    <definedName name="Pi2_70" localSheetId="75">'А 2018'!_Pi2</definedName>
    <definedName name="Pi2_70" localSheetId="59">'выпадающие расходы'!_Pi2</definedName>
    <definedName name="Pi2_70" localSheetId="50">'ЗП с факт 3 кв. 2015'!_Pi2</definedName>
    <definedName name="Pi2_70" localSheetId="24">'ПОЛНАЯ СЕБЕСТОИМОСТЬ ВОДА 2021'!_Pi2</definedName>
    <definedName name="Pi2_70" localSheetId="22">'ПОЛНАЯ СЕБЕСТОИМОСТЬ СТОКИ 2021'!_Pi2</definedName>
    <definedName name="Pi2_70" localSheetId="19">'Прил. 1 План ФХД вода '!_Pi2</definedName>
    <definedName name="Pi2_70" localSheetId="15">'Прил. 1 План ФХД с транспортир.'!_Pi2</definedName>
    <definedName name="Pi2_70" localSheetId="18">'Прил. 1 План ФХД стоки'!_Pi2</definedName>
    <definedName name="Pi2_70" localSheetId="17">'Прил. 1 План ФХД трансп. воды'!_Pi2</definedName>
    <definedName name="Pi2_70" localSheetId="16">'Прил. 1 План ФХД трансп. стоков'!_Pi2</definedName>
    <definedName name="Pi2_70" localSheetId="76">'Расчет товарной выручки 2018'!_Pi2</definedName>
    <definedName name="Pi2_70" localSheetId="25">'Расчет товарной выручки 2019'!_Pi2</definedName>
    <definedName name="Pi2_70" localSheetId="20">'Расчет товарной выручки 2021'!_Pi2</definedName>
    <definedName name="Pi2_70" localSheetId="77">'рез к 2017-2023'!_Pi2</definedName>
    <definedName name="Pi2_70" localSheetId="74">'рез к 2018-2024 (кор) '!_Pi2</definedName>
    <definedName name="Pi2_70" localSheetId="13">'Текущий ремонт'!_Pi2</definedName>
    <definedName name="Pi2_70" localSheetId="23">'ФАКТ.СЕБЕСТ.ВОДА 9 мес. 2021'!_Pi2</definedName>
    <definedName name="Pi2_70" localSheetId="21">'ФАКТ.СЕБЕСТ.СТОКИ 9 мес. 2021'!_Pi2</definedName>
    <definedName name="Pi2_70" localSheetId="14">'Чистая прибыль с транспортир.'!_Pi2</definedName>
    <definedName name="Pi2_70">_Pi2</definedName>
    <definedName name="Pi2_71" localSheetId="75">'А 2018'!_Pi2</definedName>
    <definedName name="Pi2_71" localSheetId="59">'выпадающие расходы'!_Pi2</definedName>
    <definedName name="Pi2_71" localSheetId="50">'ЗП с факт 3 кв. 2015'!_Pi2</definedName>
    <definedName name="Pi2_71" localSheetId="24">'ПОЛНАЯ СЕБЕСТОИМОСТЬ ВОДА 2021'!_Pi2</definedName>
    <definedName name="Pi2_71" localSheetId="22">'ПОЛНАЯ СЕБЕСТОИМОСТЬ СТОКИ 2021'!_Pi2</definedName>
    <definedName name="Pi2_71" localSheetId="19">'Прил. 1 План ФХД вода '!_Pi2</definedName>
    <definedName name="Pi2_71" localSheetId="15">'Прил. 1 План ФХД с транспортир.'!_Pi2</definedName>
    <definedName name="Pi2_71" localSheetId="18">'Прил. 1 План ФХД стоки'!_Pi2</definedName>
    <definedName name="Pi2_71" localSheetId="17">'Прил. 1 План ФХД трансп. воды'!_Pi2</definedName>
    <definedName name="Pi2_71" localSheetId="16">'Прил. 1 План ФХД трансп. стоков'!_Pi2</definedName>
    <definedName name="Pi2_71" localSheetId="76">'Расчет товарной выручки 2018'!_Pi2</definedName>
    <definedName name="Pi2_71" localSheetId="25">'Расчет товарной выручки 2019'!_Pi2</definedName>
    <definedName name="Pi2_71" localSheetId="20">'Расчет товарной выручки 2021'!_Pi2</definedName>
    <definedName name="Pi2_71" localSheetId="77">'рез к 2017-2023'!_Pi2</definedName>
    <definedName name="Pi2_71" localSheetId="74">'рез к 2018-2024 (кор) '!_Pi2</definedName>
    <definedName name="Pi2_71" localSheetId="13">'Текущий ремонт'!_Pi2</definedName>
    <definedName name="Pi2_71" localSheetId="23">'ФАКТ.СЕБЕСТ.ВОДА 9 мес. 2021'!_Pi2</definedName>
    <definedName name="Pi2_71" localSheetId="21">'ФАКТ.СЕБЕСТ.СТОКИ 9 мес. 2021'!_Pi2</definedName>
    <definedName name="Pi2_71" localSheetId="14">'Чистая прибыль с транспортир.'!_Pi2</definedName>
    <definedName name="Pi2_71">_Pi2</definedName>
    <definedName name="Pi2_72" localSheetId="75">'А 2018'!_Pi2</definedName>
    <definedName name="Pi2_72" localSheetId="59">'выпадающие расходы'!_Pi2</definedName>
    <definedName name="Pi2_72" localSheetId="50">'ЗП с факт 3 кв. 2015'!_Pi2</definedName>
    <definedName name="Pi2_72" localSheetId="24">'ПОЛНАЯ СЕБЕСТОИМОСТЬ ВОДА 2021'!_Pi2</definedName>
    <definedName name="Pi2_72" localSheetId="22">'ПОЛНАЯ СЕБЕСТОИМОСТЬ СТОКИ 2021'!_Pi2</definedName>
    <definedName name="Pi2_72" localSheetId="19">'Прил. 1 План ФХД вода '!_Pi2</definedName>
    <definedName name="Pi2_72" localSheetId="15">'Прил. 1 План ФХД с транспортир.'!_Pi2</definedName>
    <definedName name="Pi2_72" localSheetId="18">'Прил. 1 План ФХД стоки'!_Pi2</definedName>
    <definedName name="Pi2_72" localSheetId="17">'Прил. 1 План ФХД трансп. воды'!_Pi2</definedName>
    <definedName name="Pi2_72" localSheetId="16">'Прил. 1 План ФХД трансп. стоков'!_Pi2</definedName>
    <definedName name="Pi2_72" localSheetId="76">'Расчет товарной выручки 2018'!_Pi2</definedName>
    <definedName name="Pi2_72" localSheetId="25">'Расчет товарной выручки 2019'!_Pi2</definedName>
    <definedName name="Pi2_72" localSheetId="20">'Расчет товарной выручки 2021'!_Pi2</definedName>
    <definedName name="Pi2_72" localSheetId="77">'рез к 2017-2023'!_Pi2</definedName>
    <definedName name="Pi2_72" localSheetId="74">'рез к 2018-2024 (кор) '!_Pi2</definedName>
    <definedName name="Pi2_72" localSheetId="13">'Текущий ремонт'!_Pi2</definedName>
    <definedName name="Pi2_72" localSheetId="23">'ФАКТ.СЕБЕСТ.ВОДА 9 мес. 2021'!_Pi2</definedName>
    <definedName name="Pi2_72" localSheetId="21">'ФАКТ.СЕБЕСТ.СТОКИ 9 мес. 2021'!_Pi2</definedName>
    <definedName name="Pi2_72" localSheetId="14">'Чистая прибыль с транспортир.'!_Pi2</definedName>
    <definedName name="Pi2_72">_Pi2</definedName>
    <definedName name="Pi2_74" localSheetId="75">'А 2018'!_Pi2</definedName>
    <definedName name="Pi2_74" localSheetId="59">'выпадающие расходы'!_Pi2</definedName>
    <definedName name="Pi2_74" localSheetId="50">'ЗП с факт 3 кв. 2015'!_Pi2</definedName>
    <definedName name="Pi2_74" localSheetId="24">'ПОЛНАЯ СЕБЕСТОИМОСТЬ ВОДА 2021'!_Pi2</definedName>
    <definedName name="Pi2_74" localSheetId="22">'ПОЛНАЯ СЕБЕСТОИМОСТЬ СТОКИ 2021'!_Pi2</definedName>
    <definedName name="Pi2_74" localSheetId="19">'Прил. 1 План ФХД вода '!_Pi2</definedName>
    <definedName name="Pi2_74" localSheetId="15">'Прил. 1 План ФХД с транспортир.'!_Pi2</definedName>
    <definedName name="Pi2_74" localSheetId="18">'Прил. 1 План ФХД стоки'!_Pi2</definedName>
    <definedName name="Pi2_74" localSheetId="17">'Прил. 1 План ФХД трансп. воды'!_Pi2</definedName>
    <definedName name="Pi2_74" localSheetId="16">'Прил. 1 План ФХД трансп. стоков'!_Pi2</definedName>
    <definedName name="Pi2_74" localSheetId="76">'Расчет товарной выручки 2018'!_Pi2</definedName>
    <definedName name="Pi2_74" localSheetId="25">'Расчет товарной выручки 2019'!_Pi2</definedName>
    <definedName name="Pi2_74" localSheetId="20">'Расчет товарной выручки 2021'!_Pi2</definedName>
    <definedName name="Pi2_74" localSheetId="77">'рез к 2017-2023'!_Pi2</definedName>
    <definedName name="Pi2_74" localSheetId="74">'рез к 2018-2024 (кор) '!_Pi2</definedName>
    <definedName name="Pi2_74" localSheetId="13">'Текущий ремонт'!_Pi2</definedName>
    <definedName name="Pi2_74" localSheetId="23">'ФАКТ.СЕБЕСТ.ВОДА 9 мес. 2021'!_Pi2</definedName>
    <definedName name="Pi2_74" localSheetId="21">'ФАКТ.СЕБЕСТ.СТОКИ 9 мес. 2021'!_Pi2</definedName>
    <definedName name="Pi2_74" localSheetId="14">'Чистая прибыль с транспортир.'!_Pi2</definedName>
    <definedName name="Pi2_74">_Pi2</definedName>
    <definedName name="Pi2_9" localSheetId="75">'А 2018'!_Pi2</definedName>
    <definedName name="Pi2_9" localSheetId="59">'выпадающие расходы'!_Pi2</definedName>
    <definedName name="Pi2_9" localSheetId="50">'ЗП с факт 3 кв. 2015'!_Pi2</definedName>
    <definedName name="Pi2_9" localSheetId="24">'ПОЛНАЯ СЕБЕСТОИМОСТЬ ВОДА 2021'!_Pi2</definedName>
    <definedName name="Pi2_9" localSheetId="22">'ПОЛНАЯ СЕБЕСТОИМОСТЬ СТОКИ 2021'!_Pi2</definedName>
    <definedName name="Pi2_9" localSheetId="19">'Прил. 1 План ФХД вода '!_Pi2</definedName>
    <definedName name="Pi2_9" localSheetId="15">'Прил. 1 План ФХД с транспортир.'!_Pi2</definedName>
    <definedName name="Pi2_9" localSheetId="18">'Прил. 1 План ФХД стоки'!_Pi2</definedName>
    <definedName name="Pi2_9" localSheetId="17">'Прил. 1 План ФХД трансп. воды'!_Pi2</definedName>
    <definedName name="Pi2_9" localSheetId="16">'Прил. 1 План ФХД трансп. стоков'!_Pi2</definedName>
    <definedName name="Pi2_9" localSheetId="76">'Расчет товарной выручки 2018'!_Pi2</definedName>
    <definedName name="Pi2_9" localSheetId="25">'Расчет товарной выручки 2019'!_Pi2</definedName>
    <definedName name="Pi2_9" localSheetId="20">'Расчет товарной выручки 2021'!_Pi2</definedName>
    <definedName name="Pi2_9" localSheetId="77">'рез к 2017-2023'!_Pi2</definedName>
    <definedName name="Pi2_9" localSheetId="74">'рез к 2018-2024 (кор) '!_Pi2</definedName>
    <definedName name="Pi2_9" localSheetId="13">'Текущий ремонт'!_Pi2</definedName>
    <definedName name="Pi2_9" localSheetId="23">'ФАКТ.СЕБЕСТ.ВОДА 9 мес. 2021'!_Pi2</definedName>
    <definedName name="Pi2_9" localSheetId="21">'ФАКТ.СЕБЕСТ.СТОКИ 9 мес. 2021'!_Pi2</definedName>
    <definedName name="Pi2_9" localSheetId="14">'Чистая прибыль с транспортир.'!_Pi2</definedName>
    <definedName name="Pi2_9">_Pi2</definedName>
    <definedName name="Pi3_1" localSheetId="75">'А 2018'!_Pi3</definedName>
    <definedName name="Pi3_1" localSheetId="59">'выпадающие расходы'!_Pi3</definedName>
    <definedName name="Pi3_1" localSheetId="50">'ЗП с факт 3 кв. 2015'!_Pi3</definedName>
    <definedName name="Pi3_1" localSheetId="24">'ПОЛНАЯ СЕБЕСТОИМОСТЬ ВОДА 2021'!_Pi3</definedName>
    <definedName name="Pi3_1" localSheetId="22">'ПОЛНАЯ СЕБЕСТОИМОСТЬ СТОКИ 2021'!_Pi3</definedName>
    <definedName name="Pi3_1" localSheetId="19">'Прил. 1 План ФХД вода '!_Pi3</definedName>
    <definedName name="Pi3_1" localSheetId="15">'Прил. 1 План ФХД с транспортир.'!_Pi3</definedName>
    <definedName name="Pi3_1" localSheetId="18">'Прил. 1 План ФХД стоки'!_Pi3</definedName>
    <definedName name="Pi3_1" localSheetId="17">'Прил. 1 План ФХД трансп. воды'!_Pi3</definedName>
    <definedName name="Pi3_1" localSheetId="16">'Прил. 1 План ФХД трансп. стоков'!_Pi3</definedName>
    <definedName name="Pi3_1" localSheetId="76">'Расчет товарной выручки 2018'!_Pi3</definedName>
    <definedName name="Pi3_1" localSheetId="25">'Расчет товарной выручки 2019'!_Pi3</definedName>
    <definedName name="Pi3_1" localSheetId="20">'Расчет товарной выручки 2021'!_Pi3</definedName>
    <definedName name="Pi3_1" localSheetId="77">'рез к 2017-2023'!_Pi3</definedName>
    <definedName name="Pi3_1" localSheetId="74">'рез к 2018-2024 (кор) '!_Pi3</definedName>
    <definedName name="Pi3_1" localSheetId="13">'Текущий ремонт'!_Pi3</definedName>
    <definedName name="Pi3_1" localSheetId="23">'ФАКТ.СЕБЕСТ.ВОДА 9 мес. 2021'!_Pi3</definedName>
    <definedName name="Pi3_1" localSheetId="21">'ФАКТ.СЕБЕСТ.СТОКИ 9 мес. 2021'!_Pi3</definedName>
    <definedName name="Pi3_1" localSheetId="14">'Чистая прибыль с транспортир.'!_Pi3</definedName>
    <definedName name="Pi3_1">[0]!_Pi3</definedName>
    <definedName name="Pi3_10" localSheetId="75">'А 2018'!_Pi3</definedName>
    <definedName name="Pi3_10" localSheetId="59">'выпадающие расходы'!_Pi3</definedName>
    <definedName name="Pi3_10" localSheetId="50">'ЗП с факт 3 кв. 2015'!_Pi3</definedName>
    <definedName name="Pi3_10" localSheetId="24">'ПОЛНАЯ СЕБЕСТОИМОСТЬ ВОДА 2021'!_Pi3</definedName>
    <definedName name="Pi3_10" localSheetId="22">'ПОЛНАЯ СЕБЕСТОИМОСТЬ СТОКИ 2021'!_Pi3</definedName>
    <definedName name="Pi3_10" localSheetId="19">'Прил. 1 План ФХД вода '!_Pi3</definedName>
    <definedName name="Pi3_10" localSheetId="15">'Прил. 1 План ФХД с транспортир.'!_Pi3</definedName>
    <definedName name="Pi3_10" localSheetId="18">'Прил. 1 План ФХД стоки'!_Pi3</definedName>
    <definedName name="Pi3_10" localSheetId="17">'Прил. 1 План ФХД трансп. воды'!_Pi3</definedName>
    <definedName name="Pi3_10" localSheetId="16">'Прил. 1 План ФХД трансп. стоков'!_Pi3</definedName>
    <definedName name="Pi3_10" localSheetId="76">'Расчет товарной выручки 2018'!_Pi3</definedName>
    <definedName name="Pi3_10" localSheetId="25">'Расчет товарной выручки 2019'!_Pi3</definedName>
    <definedName name="Pi3_10" localSheetId="20">'Расчет товарной выручки 2021'!_Pi3</definedName>
    <definedName name="Pi3_10" localSheetId="77">'рез к 2017-2023'!_Pi3</definedName>
    <definedName name="Pi3_10" localSheetId="74">'рез к 2018-2024 (кор) '!_Pi3</definedName>
    <definedName name="Pi3_10" localSheetId="13">'Текущий ремонт'!_Pi3</definedName>
    <definedName name="Pi3_10" localSheetId="23">'ФАКТ.СЕБЕСТ.ВОДА 9 мес. 2021'!_Pi3</definedName>
    <definedName name="Pi3_10" localSheetId="21">'ФАКТ.СЕБЕСТ.СТОКИ 9 мес. 2021'!_Pi3</definedName>
    <definedName name="Pi3_10" localSheetId="14">'Чистая прибыль с транспортир.'!_Pi3</definedName>
    <definedName name="Pi3_10">[0]!_Pi3</definedName>
    <definedName name="Pi3_11" localSheetId="75">'А 2018'!_Pi3</definedName>
    <definedName name="Pi3_11" localSheetId="59">'выпадающие расходы'!_Pi3</definedName>
    <definedName name="Pi3_11" localSheetId="50">'ЗП с факт 3 кв. 2015'!_Pi3</definedName>
    <definedName name="Pi3_11" localSheetId="24">'ПОЛНАЯ СЕБЕСТОИМОСТЬ ВОДА 2021'!_Pi3</definedName>
    <definedName name="Pi3_11" localSheetId="22">'ПОЛНАЯ СЕБЕСТОИМОСТЬ СТОКИ 2021'!_Pi3</definedName>
    <definedName name="Pi3_11" localSheetId="19">'Прил. 1 План ФХД вода '!_Pi3</definedName>
    <definedName name="Pi3_11" localSheetId="15">'Прил. 1 План ФХД с транспортир.'!_Pi3</definedName>
    <definedName name="Pi3_11" localSheetId="18">'Прил. 1 План ФХД стоки'!_Pi3</definedName>
    <definedName name="Pi3_11" localSheetId="17">'Прил. 1 План ФХД трансп. воды'!_Pi3</definedName>
    <definedName name="Pi3_11" localSheetId="16">'Прил. 1 План ФХД трансп. стоков'!_Pi3</definedName>
    <definedName name="Pi3_11" localSheetId="76">'Расчет товарной выручки 2018'!_Pi3</definedName>
    <definedName name="Pi3_11" localSheetId="25">'Расчет товарной выручки 2019'!_Pi3</definedName>
    <definedName name="Pi3_11" localSheetId="20">'Расчет товарной выручки 2021'!_Pi3</definedName>
    <definedName name="Pi3_11" localSheetId="77">'рез к 2017-2023'!_Pi3</definedName>
    <definedName name="Pi3_11" localSheetId="74">'рез к 2018-2024 (кор) '!_Pi3</definedName>
    <definedName name="Pi3_11" localSheetId="13">'Текущий ремонт'!_Pi3</definedName>
    <definedName name="Pi3_11" localSheetId="23">'ФАКТ.СЕБЕСТ.ВОДА 9 мес. 2021'!_Pi3</definedName>
    <definedName name="Pi3_11" localSheetId="21">'ФАКТ.СЕБЕСТ.СТОКИ 9 мес. 2021'!_Pi3</definedName>
    <definedName name="Pi3_11" localSheetId="14">'Чистая прибыль с транспортир.'!_Pi3</definedName>
    <definedName name="Pi3_11">[0]!_Pi3</definedName>
    <definedName name="Pi3_13" localSheetId="75">'А 2018'!_Pi3</definedName>
    <definedName name="Pi3_13" localSheetId="59">'выпадающие расходы'!_Pi3</definedName>
    <definedName name="Pi3_13" localSheetId="50">'ЗП с факт 3 кв. 2015'!_Pi3</definedName>
    <definedName name="Pi3_13" localSheetId="24">'ПОЛНАЯ СЕБЕСТОИМОСТЬ ВОДА 2021'!_Pi3</definedName>
    <definedName name="Pi3_13" localSheetId="22">'ПОЛНАЯ СЕБЕСТОИМОСТЬ СТОКИ 2021'!_Pi3</definedName>
    <definedName name="Pi3_13" localSheetId="19">'Прил. 1 План ФХД вода '!_Pi3</definedName>
    <definedName name="Pi3_13" localSheetId="15">'Прил. 1 План ФХД с транспортир.'!_Pi3</definedName>
    <definedName name="Pi3_13" localSheetId="18">'Прил. 1 План ФХД стоки'!_Pi3</definedName>
    <definedName name="Pi3_13" localSheetId="17">'Прил. 1 План ФХД трансп. воды'!_Pi3</definedName>
    <definedName name="Pi3_13" localSheetId="16">'Прил. 1 План ФХД трансп. стоков'!_Pi3</definedName>
    <definedName name="Pi3_13" localSheetId="76">'Расчет товарной выручки 2018'!_Pi3</definedName>
    <definedName name="Pi3_13" localSheetId="25">'Расчет товарной выручки 2019'!_Pi3</definedName>
    <definedName name="Pi3_13" localSheetId="20">'Расчет товарной выручки 2021'!_Pi3</definedName>
    <definedName name="Pi3_13" localSheetId="77">'рез к 2017-2023'!_Pi3</definedName>
    <definedName name="Pi3_13" localSheetId="74">'рез к 2018-2024 (кор) '!_Pi3</definedName>
    <definedName name="Pi3_13" localSheetId="13">'Текущий ремонт'!_Pi3</definedName>
    <definedName name="Pi3_13" localSheetId="23">'ФАКТ.СЕБЕСТ.ВОДА 9 мес. 2021'!_Pi3</definedName>
    <definedName name="Pi3_13" localSheetId="21">'ФАКТ.СЕБЕСТ.СТОКИ 9 мес. 2021'!_Pi3</definedName>
    <definedName name="Pi3_13" localSheetId="14">'Чистая прибыль с транспортир.'!_Pi3</definedName>
    <definedName name="Pi3_13">[0]!_Pi3</definedName>
    <definedName name="Pi3_14" localSheetId="75">'А 2018'!_Pi3</definedName>
    <definedName name="Pi3_14" localSheetId="59">'выпадающие расходы'!_Pi3</definedName>
    <definedName name="Pi3_14" localSheetId="50">'ЗП с факт 3 кв. 2015'!_Pi3</definedName>
    <definedName name="Pi3_14" localSheetId="24">'ПОЛНАЯ СЕБЕСТОИМОСТЬ ВОДА 2021'!_Pi3</definedName>
    <definedName name="Pi3_14" localSheetId="22">'ПОЛНАЯ СЕБЕСТОИМОСТЬ СТОКИ 2021'!_Pi3</definedName>
    <definedName name="Pi3_14" localSheetId="19">'Прил. 1 План ФХД вода '!_Pi3</definedName>
    <definedName name="Pi3_14" localSheetId="15">'Прил. 1 План ФХД с транспортир.'!_Pi3</definedName>
    <definedName name="Pi3_14" localSheetId="18">'Прил. 1 План ФХД стоки'!_Pi3</definedName>
    <definedName name="Pi3_14" localSheetId="17">'Прил. 1 План ФХД трансп. воды'!_Pi3</definedName>
    <definedName name="Pi3_14" localSheetId="16">'Прил. 1 План ФХД трансп. стоков'!_Pi3</definedName>
    <definedName name="Pi3_14" localSheetId="76">'Расчет товарной выручки 2018'!_Pi3</definedName>
    <definedName name="Pi3_14" localSheetId="25">'Расчет товарной выручки 2019'!_Pi3</definedName>
    <definedName name="Pi3_14" localSheetId="20">'Расчет товарной выручки 2021'!_Pi3</definedName>
    <definedName name="Pi3_14" localSheetId="77">'рез к 2017-2023'!_Pi3</definedName>
    <definedName name="Pi3_14" localSheetId="74">'рез к 2018-2024 (кор) '!_Pi3</definedName>
    <definedName name="Pi3_14" localSheetId="13">'Текущий ремонт'!_Pi3</definedName>
    <definedName name="Pi3_14" localSheetId="23">'ФАКТ.СЕБЕСТ.ВОДА 9 мес. 2021'!_Pi3</definedName>
    <definedName name="Pi3_14" localSheetId="21">'ФАКТ.СЕБЕСТ.СТОКИ 9 мес. 2021'!_Pi3</definedName>
    <definedName name="Pi3_14" localSheetId="14">'Чистая прибыль с транспортир.'!_Pi3</definedName>
    <definedName name="Pi3_14">[0]!_Pi3</definedName>
    <definedName name="Pi3_15" localSheetId="75">'А 2018'!_Pi3</definedName>
    <definedName name="Pi3_15" localSheetId="59">'выпадающие расходы'!_Pi3</definedName>
    <definedName name="Pi3_15" localSheetId="50">'ЗП с факт 3 кв. 2015'!_Pi3</definedName>
    <definedName name="Pi3_15" localSheetId="24">'ПОЛНАЯ СЕБЕСТОИМОСТЬ ВОДА 2021'!_Pi3</definedName>
    <definedName name="Pi3_15" localSheetId="22">'ПОЛНАЯ СЕБЕСТОИМОСТЬ СТОКИ 2021'!_Pi3</definedName>
    <definedName name="Pi3_15" localSheetId="19">'Прил. 1 План ФХД вода '!_Pi3</definedName>
    <definedName name="Pi3_15" localSheetId="15">'Прил. 1 План ФХД с транспортир.'!_Pi3</definedName>
    <definedName name="Pi3_15" localSheetId="18">'Прил. 1 План ФХД стоки'!_Pi3</definedName>
    <definedName name="Pi3_15" localSheetId="17">'Прил. 1 План ФХД трансп. воды'!_Pi3</definedName>
    <definedName name="Pi3_15" localSheetId="16">'Прил. 1 План ФХД трансп. стоков'!_Pi3</definedName>
    <definedName name="Pi3_15" localSheetId="76">'Расчет товарной выручки 2018'!_Pi3</definedName>
    <definedName name="Pi3_15" localSheetId="25">'Расчет товарной выручки 2019'!_Pi3</definedName>
    <definedName name="Pi3_15" localSheetId="20">'Расчет товарной выручки 2021'!_Pi3</definedName>
    <definedName name="Pi3_15" localSheetId="77">'рез к 2017-2023'!_Pi3</definedName>
    <definedName name="Pi3_15" localSheetId="74">'рез к 2018-2024 (кор) '!_Pi3</definedName>
    <definedName name="Pi3_15" localSheetId="13">'Текущий ремонт'!_Pi3</definedName>
    <definedName name="Pi3_15" localSheetId="23">'ФАКТ.СЕБЕСТ.ВОДА 9 мес. 2021'!_Pi3</definedName>
    <definedName name="Pi3_15" localSheetId="21">'ФАКТ.СЕБЕСТ.СТОКИ 9 мес. 2021'!_Pi3</definedName>
    <definedName name="Pi3_15" localSheetId="14">'Чистая прибыль с транспортир.'!_Pi3</definedName>
    <definedName name="Pi3_15">_Pi3</definedName>
    <definedName name="Pi3_16" localSheetId="75">'А 2018'!_Pi3</definedName>
    <definedName name="Pi3_16" localSheetId="59">'выпадающие расходы'!_Pi3</definedName>
    <definedName name="Pi3_16" localSheetId="50">'ЗП с факт 3 кв. 2015'!_Pi3</definedName>
    <definedName name="Pi3_16" localSheetId="24">'ПОЛНАЯ СЕБЕСТОИМОСТЬ ВОДА 2021'!_Pi3</definedName>
    <definedName name="Pi3_16" localSheetId="22">'ПОЛНАЯ СЕБЕСТОИМОСТЬ СТОКИ 2021'!_Pi3</definedName>
    <definedName name="Pi3_16" localSheetId="19">'Прил. 1 План ФХД вода '!_Pi3</definedName>
    <definedName name="Pi3_16" localSheetId="15">'Прил. 1 План ФХД с транспортир.'!_Pi3</definedName>
    <definedName name="Pi3_16" localSheetId="18">'Прил. 1 План ФХД стоки'!_Pi3</definedName>
    <definedName name="Pi3_16" localSheetId="17">'Прил. 1 План ФХД трансп. воды'!_Pi3</definedName>
    <definedName name="Pi3_16" localSheetId="16">'Прил. 1 План ФХД трансп. стоков'!_Pi3</definedName>
    <definedName name="Pi3_16" localSheetId="76">'Расчет товарной выручки 2018'!_Pi3</definedName>
    <definedName name="Pi3_16" localSheetId="25">'Расчет товарной выручки 2019'!_Pi3</definedName>
    <definedName name="Pi3_16" localSheetId="20">'Расчет товарной выручки 2021'!_Pi3</definedName>
    <definedName name="Pi3_16" localSheetId="77">'рез к 2017-2023'!_Pi3</definedName>
    <definedName name="Pi3_16" localSheetId="74">'рез к 2018-2024 (кор) '!_Pi3</definedName>
    <definedName name="Pi3_16" localSheetId="13">'Текущий ремонт'!_Pi3</definedName>
    <definedName name="Pi3_16" localSheetId="23">'ФАКТ.СЕБЕСТ.ВОДА 9 мес. 2021'!_Pi3</definedName>
    <definedName name="Pi3_16" localSheetId="21">'ФАКТ.СЕБЕСТ.СТОКИ 9 мес. 2021'!_Pi3</definedName>
    <definedName name="Pi3_16" localSheetId="14">'Чистая прибыль с транспортир.'!_Pi3</definedName>
    <definedName name="Pi3_16">[0]!_Pi3</definedName>
    <definedName name="Pi3_2" localSheetId="75">'А 2018'!_Pi3</definedName>
    <definedName name="Pi3_2" localSheetId="59">'выпадающие расходы'!_Pi3</definedName>
    <definedName name="Pi3_2" localSheetId="50">'ЗП с факт 3 кв. 2015'!_Pi3</definedName>
    <definedName name="Pi3_2" localSheetId="24">'ПОЛНАЯ СЕБЕСТОИМОСТЬ ВОДА 2021'!_Pi3</definedName>
    <definedName name="Pi3_2" localSheetId="22">'ПОЛНАЯ СЕБЕСТОИМОСТЬ СТОКИ 2021'!_Pi3</definedName>
    <definedName name="Pi3_2" localSheetId="19">'Прил. 1 План ФХД вода '!_Pi3</definedName>
    <definedName name="Pi3_2" localSheetId="15">'Прил. 1 План ФХД с транспортир.'!_Pi3</definedName>
    <definedName name="Pi3_2" localSheetId="18">'Прил. 1 План ФХД стоки'!_Pi3</definedName>
    <definedName name="Pi3_2" localSheetId="17">'Прил. 1 План ФХД трансп. воды'!_Pi3</definedName>
    <definedName name="Pi3_2" localSheetId="16">'Прил. 1 План ФХД трансп. стоков'!_Pi3</definedName>
    <definedName name="Pi3_2" localSheetId="76">'Расчет товарной выручки 2018'!_Pi3</definedName>
    <definedName name="Pi3_2" localSheetId="25">'Расчет товарной выручки 2019'!_Pi3</definedName>
    <definedName name="Pi3_2" localSheetId="20">'Расчет товарной выручки 2021'!_Pi3</definedName>
    <definedName name="Pi3_2" localSheetId="77">'рез к 2017-2023'!_Pi3</definedName>
    <definedName name="Pi3_2" localSheetId="74">'рез к 2018-2024 (кор) '!_Pi3</definedName>
    <definedName name="Pi3_2" localSheetId="13">'Текущий ремонт'!_Pi3</definedName>
    <definedName name="Pi3_2" localSheetId="23">'ФАКТ.СЕБЕСТ.ВОДА 9 мес. 2021'!_Pi3</definedName>
    <definedName name="Pi3_2" localSheetId="21">'ФАКТ.СЕБЕСТ.СТОКИ 9 мес. 2021'!_Pi3</definedName>
    <definedName name="Pi3_2" localSheetId="14">'Чистая прибыль с транспортир.'!_Pi3</definedName>
    <definedName name="Pi3_2">[0]!_Pi3</definedName>
    <definedName name="Pi3_22" localSheetId="75">'А 2018'!_Pi3</definedName>
    <definedName name="Pi3_22" localSheetId="59">'выпадающие расходы'!_Pi3</definedName>
    <definedName name="Pi3_22" localSheetId="50">'ЗП с факт 3 кв. 2015'!_Pi3</definedName>
    <definedName name="Pi3_22" localSheetId="24">'ПОЛНАЯ СЕБЕСТОИМОСТЬ ВОДА 2021'!_Pi3</definedName>
    <definedName name="Pi3_22" localSheetId="22">'ПОЛНАЯ СЕБЕСТОИМОСТЬ СТОКИ 2021'!_Pi3</definedName>
    <definedName name="Pi3_22" localSheetId="19">'Прил. 1 План ФХД вода '!_Pi3</definedName>
    <definedName name="Pi3_22" localSheetId="15">'Прил. 1 План ФХД с транспортир.'!_Pi3</definedName>
    <definedName name="Pi3_22" localSheetId="18">'Прил. 1 План ФХД стоки'!_Pi3</definedName>
    <definedName name="Pi3_22" localSheetId="17">'Прил. 1 План ФХД трансп. воды'!_Pi3</definedName>
    <definedName name="Pi3_22" localSheetId="16">'Прил. 1 План ФХД трансп. стоков'!_Pi3</definedName>
    <definedName name="Pi3_22" localSheetId="76">'Расчет товарной выручки 2018'!_Pi3</definedName>
    <definedName name="Pi3_22" localSheetId="25">'Расчет товарной выручки 2019'!_Pi3</definedName>
    <definedName name="Pi3_22" localSheetId="20">'Расчет товарной выручки 2021'!_Pi3</definedName>
    <definedName name="Pi3_22" localSheetId="77">'рез к 2017-2023'!_Pi3</definedName>
    <definedName name="Pi3_22" localSheetId="74">'рез к 2018-2024 (кор) '!_Pi3</definedName>
    <definedName name="Pi3_22" localSheetId="13">'Текущий ремонт'!_Pi3</definedName>
    <definedName name="Pi3_22" localSheetId="23">'ФАКТ.СЕБЕСТ.ВОДА 9 мес. 2021'!_Pi3</definedName>
    <definedName name="Pi3_22" localSheetId="21">'ФАКТ.СЕБЕСТ.СТОКИ 9 мес. 2021'!_Pi3</definedName>
    <definedName name="Pi3_22" localSheetId="14">'Чистая прибыль с транспортир.'!_Pi3</definedName>
    <definedName name="Pi3_22">_Pi3</definedName>
    <definedName name="Pi3_3" localSheetId="75">'А 2018'!_Pi3</definedName>
    <definedName name="Pi3_3" localSheetId="59">'выпадающие расходы'!_Pi3</definedName>
    <definedName name="Pi3_3" localSheetId="50">'ЗП с факт 3 кв. 2015'!_Pi3</definedName>
    <definedName name="Pi3_3" localSheetId="24">'ПОЛНАЯ СЕБЕСТОИМОСТЬ ВОДА 2021'!_Pi3</definedName>
    <definedName name="Pi3_3" localSheetId="22">'ПОЛНАЯ СЕБЕСТОИМОСТЬ СТОКИ 2021'!_Pi3</definedName>
    <definedName name="Pi3_3" localSheetId="19">'Прил. 1 План ФХД вода '!_Pi3</definedName>
    <definedName name="Pi3_3" localSheetId="15">'Прил. 1 План ФХД с транспортир.'!_Pi3</definedName>
    <definedName name="Pi3_3" localSheetId="18">'Прил. 1 План ФХД стоки'!_Pi3</definedName>
    <definedName name="Pi3_3" localSheetId="17">'Прил. 1 План ФХД трансп. воды'!_Pi3</definedName>
    <definedName name="Pi3_3" localSheetId="16">'Прил. 1 План ФХД трансп. стоков'!_Pi3</definedName>
    <definedName name="Pi3_3" localSheetId="76">'Расчет товарной выручки 2018'!_Pi3</definedName>
    <definedName name="Pi3_3" localSheetId="25">'Расчет товарной выручки 2019'!_Pi3</definedName>
    <definedName name="Pi3_3" localSheetId="20">'Расчет товарной выручки 2021'!_Pi3</definedName>
    <definedName name="Pi3_3" localSheetId="77">'рез к 2017-2023'!_Pi3</definedName>
    <definedName name="Pi3_3" localSheetId="74">'рез к 2018-2024 (кор) '!_Pi3</definedName>
    <definedName name="Pi3_3" localSheetId="13">'Текущий ремонт'!_Pi3</definedName>
    <definedName name="Pi3_3" localSheetId="23">'ФАКТ.СЕБЕСТ.ВОДА 9 мес. 2021'!_Pi3</definedName>
    <definedName name="Pi3_3" localSheetId="21">'ФАКТ.СЕБЕСТ.СТОКИ 9 мес. 2021'!_Pi3</definedName>
    <definedName name="Pi3_3" localSheetId="14">'Чистая прибыль с транспортир.'!_Pi3</definedName>
    <definedName name="Pi3_3">[0]!_Pi3</definedName>
    <definedName name="Pi3_4" localSheetId="75">'А 2018'!_Pi3</definedName>
    <definedName name="Pi3_4" localSheetId="59">'выпадающие расходы'!_Pi3</definedName>
    <definedName name="Pi3_4" localSheetId="50">'ЗП с факт 3 кв. 2015'!_Pi3</definedName>
    <definedName name="Pi3_4" localSheetId="24">'ПОЛНАЯ СЕБЕСТОИМОСТЬ ВОДА 2021'!_Pi3</definedName>
    <definedName name="Pi3_4" localSheetId="22">'ПОЛНАЯ СЕБЕСТОИМОСТЬ СТОКИ 2021'!_Pi3</definedName>
    <definedName name="Pi3_4" localSheetId="19">'Прил. 1 План ФХД вода '!_Pi3</definedName>
    <definedName name="Pi3_4" localSheetId="15">'Прил. 1 План ФХД с транспортир.'!_Pi3</definedName>
    <definedName name="Pi3_4" localSheetId="18">'Прил. 1 План ФХД стоки'!_Pi3</definedName>
    <definedName name="Pi3_4" localSheetId="17">'Прил. 1 План ФХД трансп. воды'!_Pi3</definedName>
    <definedName name="Pi3_4" localSheetId="16">'Прил. 1 План ФХД трансп. стоков'!_Pi3</definedName>
    <definedName name="Pi3_4" localSheetId="76">'Расчет товарной выручки 2018'!_Pi3</definedName>
    <definedName name="Pi3_4" localSheetId="25">'Расчет товарной выручки 2019'!_Pi3</definedName>
    <definedName name="Pi3_4" localSheetId="20">'Расчет товарной выручки 2021'!_Pi3</definedName>
    <definedName name="Pi3_4" localSheetId="77">'рез к 2017-2023'!_Pi3</definedName>
    <definedName name="Pi3_4" localSheetId="74">'рез к 2018-2024 (кор) '!_Pi3</definedName>
    <definedName name="Pi3_4" localSheetId="13">'Текущий ремонт'!_Pi3</definedName>
    <definedName name="Pi3_4" localSheetId="23">'ФАКТ.СЕБЕСТ.ВОДА 9 мес. 2021'!_Pi3</definedName>
    <definedName name="Pi3_4" localSheetId="21">'ФАКТ.СЕБЕСТ.СТОКИ 9 мес. 2021'!_Pi3</definedName>
    <definedName name="Pi3_4" localSheetId="14">'Чистая прибыль с транспортир.'!_Pi3</definedName>
    <definedName name="Pi3_4">_Pi3</definedName>
    <definedName name="Pi3_67" localSheetId="75">'А 2018'!_Pi3</definedName>
    <definedName name="Pi3_67" localSheetId="59">'выпадающие расходы'!_Pi3</definedName>
    <definedName name="Pi3_67" localSheetId="50">'ЗП с факт 3 кв. 2015'!_Pi3</definedName>
    <definedName name="Pi3_67" localSheetId="24">'ПОЛНАЯ СЕБЕСТОИМОСТЬ ВОДА 2021'!_Pi3</definedName>
    <definedName name="Pi3_67" localSheetId="22">'ПОЛНАЯ СЕБЕСТОИМОСТЬ СТОКИ 2021'!_Pi3</definedName>
    <definedName name="Pi3_67" localSheetId="19">'Прил. 1 План ФХД вода '!_Pi3</definedName>
    <definedName name="Pi3_67" localSheetId="15">'Прил. 1 План ФХД с транспортир.'!_Pi3</definedName>
    <definedName name="Pi3_67" localSheetId="18">'Прил. 1 План ФХД стоки'!_Pi3</definedName>
    <definedName name="Pi3_67" localSheetId="17">'Прил. 1 План ФХД трансп. воды'!_Pi3</definedName>
    <definedName name="Pi3_67" localSheetId="16">'Прил. 1 План ФХД трансп. стоков'!_Pi3</definedName>
    <definedName name="Pi3_67" localSheetId="76">'Расчет товарной выручки 2018'!_Pi3</definedName>
    <definedName name="Pi3_67" localSheetId="25">'Расчет товарной выручки 2019'!_Pi3</definedName>
    <definedName name="Pi3_67" localSheetId="20">'Расчет товарной выручки 2021'!_Pi3</definedName>
    <definedName name="Pi3_67" localSheetId="77">'рез к 2017-2023'!_Pi3</definedName>
    <definedName name="Pi3_67" localSheetId="74">'рез к 2018-2024 (кор) '!_Pi3</definedName>
    <definedName name="Pi3_67" localSheetId="13">'Текущий ремонт'!_Pi3</definedName>
    <definedName name="Pi3_67" localSheetId="23">'ФАКТ.СЕБЕСТ.ВОДА 9 мес. 2021'!_Pi3</definedName>
    <definedName name="Pi3_67" localSheetId="21">'ФАКТ.СЕБЕСТ.СТОКИ 9 мес. 2021'!_Pi3</definedName>
    <definedName name="Pi3_67" localSheetId="14">'Чистая прибыль с транспортир.'!_Pi3</definedName>
    <definedName name="Pi3_67">_Pi3</definedName>
    <definedName name="Pi3_70" localSheetId="75">'А 2018'!_Pi3</definedName>
    <definedName name="Pi3_70" localSheetId="59">'выпадающие расходы'!_Pi3</definedName>
    <definedName name="Pi3_70" localSheetId="50">'ЗП с факт 3 кв. 2015'!_Pi3</definedName>
    <definedName name="Pi3_70" localSheetId="24">'ПОЛНАЯ СЕБЕСТОИМОСТЬ ВОДА 2021'!_Pi3</definedName>
    <definedName name="Pi3_70" localSheetId="22">'ПОЛНАЯ СЕБЕСТОИМОСТЬ СТОКИ 2021'!_Pi3</definedName>
    <definedName name="Pi3_70" localSheetId="19">'Прил. 1 План ФХД вода '!_Pi3</definedName>
    <definedName name="Pi3_70" localSheetId="15">'Прил. 1 План ФХД с транспортир.'!_Pi3</definedName>
    <definedName name="Pi3_70" localSheetId="18">'Прил. 1 План ФХД стоки'!_Pi3</definedName>
    <definedName name="Pi3_70" localSheetId="17">'Прил. 1 План ФХД трансп. воды'!_Pi3</definedName>
    <definedName name="Pi3_70" localSheetId="16">'Прил. 1 План ФХД трансп. стоков'!_Pi3</definedName>
    <definedName name="Pi3_70" localSheetId="76">'Расчет товарной выручки 2018'!_Pi3</definedName>
    <definedName name="Pi3_70" localSheetId="25">'Расчет товарной выручки 2019'!_Pi3</definedName>
    <definedName name="Pi3_70" localSheetId="20">'Расчет товарной выручки 2021'!_Pi3</definedName>
    <definedName name="Pi3_70" localSheetId="77">'рез к 2017-2023'!_Pi3</definedName>
    <definedName name="Pi3_70" localSheetId="74">'рез к 2018-2024 (кор) '!_Pi3</definedName>
    <definedName name="Pi3_70" localSheetId="13">'Текущий ремонт'!_Pi3</definedName>
    <definedName name="Pi3_70" localSheetId="23">'ФАКТ.СЕБЕСТ.ВОДА 9 мес. 2021'!_Pi3</definedName>
    <definedName name="Pi3_70" localSheetId="21">'ФАКТ.СЕБЕСТ.СТОКИ 9 мес. 2021'!_Pi3</definedName>
    <definedName name="Pi3_70" localSheetId="14">'Чистая прибыль с транспортир.'!_Pi3</definedName>
    <definedName name="Pi3_70">_Pi3</definedName>
    <definedName name="Pi3_71" localSheetId="75">'А 2018'!_Pi3</definedName>
    <definedName name="Pi3_71" localSheetId="59">'выпадающие расходы'!_Pi3</definedName>
    <definedName name="Pi3_71" localSheetId="50">'ЗП с факт 3 кв. 2015'!_Pi3</definedName>
    <definedName name="Pi3_71" localSheetId="24">'ПОЛНАЯ СЕБЕСТОИМОСТЬ ВОДА 2021'!_Pi3</definedName>
    <definedName name="Pi3_71" localSheetId="22">'ПОЛНАЯ СЕБЕСТОИМОСТЬ СТОКИ 2021'!_Pi3</definedName>
    <definedName name="Pi3_71" localSheetId="19">'Прил. 1 План ФХД вода '!_Pi3</definedName>
    <definedName name="Pi3_71" localSheetId="15">'Прил. 1 План ФХД с транспортир.'!_Pi3</definedName>
    <definedName name="Pi3_71" localSheetId="18">'Прил. 1 План ФХД стоки'!_Pi3</definedName>
    <definedName name="Pi3_71" localSheetId="17">'Прил. 1 План ФХД трансп. воды'!_Pi3</definedName>
    <definedName name="Pi3_71" localSheetId="16">'Прил. 1 План ФХД трансп. стоков'!_Pi3</definedName>
    <definedName name="Pi3_71" localSheetId="76">'Расчет товарной выручки 2018'!_Pi3</definedName>
    <definedName name="Pi3_71" localSheetId="25">'Расчет товарной выручки 2019'!_Pi3</definedName>
    <definedName name="Pi3_71" localSheetId="20">'Расчет товарной выручки 2021'!_Pi3</definedName>
    <definedName name="Pi3_71" localSheetId="77">'рез к 2017-2023'!_Pi3</definedName>
    <definedName name="Pi3_71" localSheetId="74">'рез к 2018-2024 (кор) '!_Pi3</definedName>
    <definedName name="Pi3_71" localSheetId="13">'Текущий ремонт'!_Pi3</definedName>
    <definedName name="Pi3_71" localSheetId="23">'ФАКТ.СЕБЕСТ.ВОДА 9 мес. 2021'!_Pi3</definedName>
    <definedName name="Pi3_71" localSheetId="21">'ФАКТ.СЕБЕСТ.СТОКИ 9 мес. 2021'!_Pi3</definedName>
    <definedName name="Pi3_71" localSheetId="14">'Чистая прибыль с транспортир.'!_Pi3</definedName>
    <definedName name="Pi3_71">_Pi3</definedName>
    <definedName name="Pi3_72" localSheetId="75">'А 2018'!_Pi3</definedName>
    <definedName name="Pi3_72" localSheetId="59">'выпадающие расходы'!_Pi3</definedName>
    <definedName name="Pi3_72" localSheetId="50">'ЗП с факт 3 кв. 2015'!_Pi3</definedName>
    <definedName name="Pi3_72" localSheetId="24">'ПОЛНАЯ СЕБЕСТОИМОСТЬ ВОДА 2021'!_Pi3</definedName>
    <definedName name="Pi3_72" localSheetId="22">'ПОЛНАЯ СЕБЕСТОИМОСТЬ СТОКИ 2021'!_Pi3</definedName>
    <definedName name="Pi3_72" localSheetId="19">'Прил. 1 План ФХД вода '!_Pi3</definedName>
    <definedName name="Pi3_72" localSheetId="15">'Прил. 1 План ФХД с транспортир.'!_Pi3</definedName>
    <definedName name="Pi3_72" localSheetId="18">'Прил. 1 План ФХД стоки'!_Pi3</definedName>
    <definedName name="Pi3_72" localSheetId="17">'Прил. 1 План ФХД трансп. воды'!_Pi3</definedName>
    <definedName name="Pi3_72" localSheetId="16">'Прил. 1 План ФХД трансп. стоков'!_Pi3</definedName>
    <definedName name="Pi3_72" localSheetId="76">'Расчет товарной выручки 2018'!_Pi3</definedName>
    <definedName name="Pi3_72" localSheetId="25">'Расчет товарной выручки 2019'!_Pi3</definedName>
    <definedName name="Pi3_72" localSheetId="20">'Расчет товарной выручки 2021'!_Pi3</definedName>
    <definedName name="Pi3_72" localSheetId="77">'рез к 2017-2023'!_Pi3</definedName>
    <definedName name="Pi3_72" localSheetId="74">'рез к 2018-2024 (кор) '!_Pi3</definedName>
    <definedName name="Pi3_72" localSheetId="13">'Текущий ремонт'!_Pi3</definedName>
    <definedName name="Pi3_72" localSheetId="23">'ФАКТ.СЕБЕСТ.ВОДА 9 мес. 2021'!_Pi3</definedName>
    <definedName name="Pi3_72" localSheetId="21">'ФАКТ.СЕБЕСТ.СТОКИ 9 мес. 2021'!_Pi3</definedName>
    <definedName name="Pi3_72" localSheetId="14">'Чистая прибыль с транспортир.'!_Pi3</definedName>
    <definedName name="Pi3_72">_Pi3</definedName>
    <definedName name="Pi3_74" localSheetId="75">'А 2018'!_Pi3</definedName>
    <definedName name="Pi3_74" localSheetId="59">'выпадающие расходы'!_Pi3</definedName>
    <definedName name="Pi3_74" localSheetId="50">'ЗП с факт 3 кв. 2015'!_Pi3</definedName>
    <definedName name="Pi3_74" localSheetId="24">'ПОЛНАЯ СЕБЕСТОИМОСТЬ ВОДА 2021'!_Pi3</definedName>
    <definedName name="Pi3_74" localSheetId="22">'ПОЛНАЯ СЕБЕСТОИМОСТЬ СТОКИ 2021'!_Pi3</definedName>
    <definedName name="Pi3_74" localSheetId="19">'Прил. 1 План ФХД вода '!_Pi3</definedName>
    <definedName name="Pi3_74" localSheetId="15">'Прил. 1 План ФХД с транспортир.'!_Pi3</definedName>
    <definedName name="Pi3_74" localSheetId="18">'Прил. 1 План ФХД стоки'!_Pi3</definedName>
    <definedName name="Pi3_74" localSheetId="17">'Прил. 1 План ФХД трансп. воды'!_Pi3</definedName>
    <definedName name="Pi3_74" localSheetId="16">'Прил. 1 План ФХД трансп. стоков'!_Pi3</definedName>
    <definedName name="Pi3_74" localSheetId="76">'Расчет товарной выручки 2018'!_Pi3</definedName>
    <definedName name="Pi3_74" localSheetId="25">'Расчет товарной выручки 2019'!_Pi3</definedName>
    <definedName name="Pi3_74" localSheetId="20">'Расчет товарной выручки 2021'!_Pi3</definedName>
    <definedName name="Pi3_74" localSheetId="77">'рез к 2017-2023'!_Pi3</definedName>
    <definedName name="Pi3_74" localSheetId="74">'рез к 2018-2024 (кор) '!_Pi3</definedName>
    <definedName name="Pi3_74" localSheetId="13">'Текущий ремонт'!_Pi3</definedName>
    <definedName name="Pi3_74" localSheetId="23">'ФАКТ.СЕБЕСТ.ВОДА 9 мес. 2021'!_Pi3</definedName>
    <definedName name="Pi3_74" localSheetId="21">'ФАКТ.СЕБЕСТ.СТОКИ 9 мес. 2021'!_Pi3</definedName>
    <definedName name="Pi3_74" localSheetId="14">'Чистая прибыль с транспортир.'!_Pi3</definedName>
    <definedName name="Pi3_74">_Pi3</definedName>
    <definedName name="Pi3_9" localSheetId="75">'А 2018'!_Pi3</definedName>
    <definedName name="Pi3_9" localSheetId="59">'выпадающие расходы'!_Pi3</definedName>
    <definedName name="Pi3_9" localSheetId="50">'ЗП с факт 3 кв. 2015'!_Pi3</definedName>
    <definedName name="Pi3_9" localSheetId="24">'ПОЛНАЯ СЕБЕСТОИМОСТЬ ВОДА 2021'!_Pi3</definedName>
    <definedName name="Pi3_9" localSheetId="22">'ПОЛНАЯ СЕБЕСТОИМОСТЬ СТОКИ 2021'!_Pi3</definedName>
    <definedName name="Pi3_9" localSheetId="19">'Прил. 1 План ФХД вода '!_Pi3</definedName>
    <definedName name="Pi3_9" localSheetId="15">'Прил. 1 План ФХД с транспортир.'!_Pi3</definedName>
    <definedName name="Pi3_9" localSheetId="18">'Прил. 1 План ФХД стоки'!_Pi3</definedName>
    <definedName name="Pi3_9" localSheetId="17">'Прил. 1 План ФХД трансп. воды'!_Pi3</definedName>
    <definedName name="Pi3_9" localSheetId="16">'Прил. 1 План ФХД трансп. стоков'!_Pi3</definedName>
    <definedName name="Pi3_9" localSheetId="76">'Расчет товарной выручки 2018'!_Pi3</definedName>
    <definedName name="Pi3_9" localSheetId="25">'Расчет товарной выручки 2019'!_Pi3</definedName>
    <definedName name="Pi3_9" localSheetId="20">'Расчет товарной выручки 2021'!_Pi3</definedName>
    <definedName name="Pi3_9" localSheetId="77">'рез к 2017-2023'!_Pi3</definedName>
    <definedName name="Pi3_9" localSheetId="74">'рез к 2018-2024 (кор) '!_Pi3</definedName>
    <definedName name="Pi3_9" localSheetId="13">'Текущий ремонт'!_Pi3</definedName>
    <definedName name="Pi3_9" localSheetId="23">'ФАКТ.СЕБЕСТ.ВОДА 9 мес. 2021'!_Pi3</definedName>
    <definedName name="Pi3_9" localSheetId="21">'ФАКТ.СЕБЕСТ.СТОКИ 9 мес. 2021'!_Pi3</definedName>
    <definedName name="Pi3_9" localSheetId="14">'Чистая прибыль с транспортир.'!_Pi3</definedName>
    <definedName name="Pi3_9">_Pi3</definedName>
    <definedName name="Pi4_1" localSheetId="75">'А 2018'!_Pi4</definedName>
    <definedName name="Pi4_1" localSheetId="59">'выпадающие расходы'!_Pi4</definedName>
    <definedName name="Pi4_1" localSheetId="50">'ЗП с факт 3 кв. 2015'!_Pi4</definedName>
    <definedName name="Pi4_1" localSheetId="24">'ПОЛНАЯ СЕБЕСТОИМОСТЬ ВОДА 2021'!_Pi4</definedName>
    <definedName name="Pi4_1" localSheetId="22">'ПОЛНАЯ СЕБЕСТОИМОСТЬ СТОКИ 2021'!_Pi4</definedName>
    <definedName name="Pi4_1" localSheetId="19">'Прил. 1 План ФХД вода '!_Pi4</definedName>
    <definedName name="Pi4_1" localSheetId="15">'Прил. 1 План ФХД с транспортир.'!_Pi4</definedName>
    <definedName name="Pi4_1" localSheetId="18">'Прил. 1 План ФХД стоки'!_Pi4</definedName>
    <definedName name="Pi4_1" localSheetId="17">'Прил. 1 План ФХД трансп. воды'!_Pi4</definedName>
    <definedName name="Pi4_1" localSheetId="16">'Прил. 1 План ФХД трансп. стоков'!_Pi4</definedName>
    <definedName name="Pi4_1" localSheetId="76">'Расчет товарной выручки 2018'!_Pi4</definedName>
    <definedName name="Pi4_1" localSheetId="25">'Расчет товарной выручки 2019'!_Pi4</definedName>
    <definedName name="Pi4_1" localSheetId="20">'Расчет товарной выручки 2021'!_Pi4</definedName>
    <definedName name="Pi4_1" localSheetId="77">'рез к 2017-2023'!_Pi4</definedName>
    <definedName name="Pi4_1" localSheetId="74">'рез к 2018-2024 (кор) '!_Pi4</definedName>
    <definedName name="Pi4_1" localSheetId="13">'Текущий ремонт'!_Pi4</definedName>
    <definedName name="Pi4_1" localSheetId="23">'ФАКТ.СЕБЕСТ.ВОДА 9 мес. 2021'!_Pi4</definedName>
    <definedName name="Pi4_1" localSheetId="21">'ФАКТ.СЕБЕСТ.СТОКИ 9 мес. 2021'!_Pi4</definedName>
    <definedName name="Pi4_1" localSheetId="14">'Чистая прибыль с транспортир.'!_Pi4</definedName>
    <definedName name="Pi4_1">[0]!_Pi4</definedName>
    <definedName name="Pi4_10" localSheetId="75">'А 2018'!_Pi4</definedName>
    <definedName name="Pi4_10" localSheetId="59">'выпадающие расходы'!_Pi4</definedName>
    <definedName name="Pi4_10" localSheetId="50">'ЗП с факт 3 кв. 2015'!_Pi4</definedName>
    <definedName name="Pi4_10" localSheetId="24">'ПОЛНАЯ СЕБЕСТОИМОСТЬ ВОДА 2021'!_Pi4</definedName>
    <definedName name="Pi4_10" localSheetId="22">'ПОЛНАЯ СЕБЕСТОИМОСТЬ СТОКИ 2021'!_Pi4</definedName>
    <definedName name="Pi4_10" localSheetId="19">'Прил. 1 План ФХД вода '!_Pi4</definedName>
    <definedName name="Pi4_10" localSheetId="15">'Прил. 1 План ФХД с транспортир.'!_Pi4</definedName>
    <definedName name="Pi4_10" localSheetId="18">'Прил. 1 План ФХД стоки'!_Pi4</definedName>
    <definedName name="Pi4_10" localSheetId="17">'Прил. 1 План ФХД трансп. воды'!_Pi4</definedName>
    <definedName name="Pi4_10" localSheetId="16">'Прил. 1 План ФХД трансп. стоков'!_Pi4</definedName>
    <definedName name="Pi4_10" localSheetId="76">'Расчет товарной выручки 2018'!_Pi4</definedName>
    <definedName name="Pi4_10" localSheetId="25">'Расчет товарной выручки 2019'!_Pi4</definedName>
    <definedName name="Pi4_10" localSheetId="20">'Расчет товарной выручки 2021'!_Pi4</definedName>
    <definedName name="Pi4_10" localSheetId="77">'рез к 2017-2023'!_Pi4</definedName>
    <definedName name="Pi4_10" localSheetId="74">'рез к 2018-2024 (кор) '!_Pi4</definedName>
    <definedName name="Pi4_10" localSheetId="13">'Текущий ремонт'!_Pi4</definedName>
    <definedName name="Pi4_10" localSheetId="23">'ФАКТ.СЕБЕСТ.ВОДА 9 мес. 2021'!_Pi4</definedName>
    <definedName name="Pi4_10" localSheetId="21">'ФАКТ.СЕБЕСТ.СТОКИ 9 мес. 2021'!_Pi4</definedName>
    <definedName name="Pi4_10" localSheetId="14">'Чистая прибыль с транспортир.'!_Pi4</definedName>
    <definedName name="Pi4_10">[0]!_Pi4</definedName>
    <definedName name="Pi4_11" localSheetId="75">'А 2018'!_Pi4</definedName>
    <definedName name="Pi4_11" localSheetId="59">'выпадающие расходы'!_Pi4</definedName>
    <definedName name="Pi4_11" localSheetId="50">'ЗП с факт 3 кв. 2015'!_Pi4</definedName>
    <definedName name="Pi4_11" localSheetId="24">'ПОЛНАЯ СЕБЕСТОИМОСТЬ ВОДА 2021'!_Pi4</definedName>
    <definedName name="Pi4_11" localSheetId="22">'ПОЛНАЯ СЕБЕСТОИМОСТЬ СТОКИ 2021'!_Pi4</definedName>
    <definedName name="Pi4_11" localSheetId="19">'Прил. 1 План ФХД вода '!_Pi4</definedName>
    <definedName name="Pi4_11" localSheetId="15">'Прил. 1 План ФХД с транспортир.'!_Pi4</definedName>
    <definedName name="Pi4_11" localSheetId="18">'Прил. 1 План ФХД стоки'!_Pi4</definedName>
    <definedName name="Pi4_11" localSheetId="17">'Прил. 1 План ФХД трансп. воды'!_Pi4</definedName>
    <definedName name="Pi4_11" localSheetId="16">'Прил. 1 План ФХД трансп. стоков'!_Pi4</definedName>
    <definedName name="Pi4_11" localSheetId="76">'Расчет товарной выручки 2018'!_Pi4</definedName>
    <definedName name="Pi4_11" localSheetId="25">'Расчет товарной выручки 2019'!_Pi4</definedName>
    <definedName name="Pi4_11" localSheetId="20">'Расчет товарной выручки 2021'!_Pi4</definedName>
    <definedName name="Pi4_11" localSheetId="77">'рез к 2017-2023'!_Pi4</definedName>
    <definedName name="Pi4_11" localSheetId="74">'рез к 2018-2024 (кор) '!_Pi4</definedName>
    <definedName name="Pi4_11" localSheetId="13">'Текущий ремонт'!_Pi4</definedName>
    <definedName name="Pi4_11" localSheetId="23">'ФАКТ.СЕБЕСТ.ВОДА 9 мес. 2021'!_Pi4</definedName>
    <definedName name="Pi4_11" localSheetId="21">'ФАКТ.СЕБЕСТ.СТОКИ 9 мес. 2021'!_Pi4</definedName>
    <definedName name="Pi4_11" localSheetId="14">'Чистая прибыль с транспортир.'!_Pi4</definedName>
    <definedName name="Pi4_11">[0]!_Pi4</definedName>
    <definedName name="Pi4_13" localSheetId="75">'А 2018'!_Pi4</definedName>
    <definedName name="Pi4_13" localSheetId="59">'выпадающие расходы'!_Pi4</definedName>
    <definedName name="Pi4_13" localSheetId="50">'ЗП с факт 3 кв. 2015'!_Pi4</definedName>
    <definedName name="Pi4_13" localSheetId="24">'ПОЛНАЯ СЕБЕСТОИМОСТЬ ВОДА 2021'!_Pi4</definedName>
    <definedName name="Pi4_13" localSheetId="22">'ПОЛНАЯ СЕБЕСТОИМОСТЬ СТОКИ 2021'!_Pi4</definedName>
    <definedName name="Pi4_13" localSheetId="19">'Прил. 1 План ФХД вода '!_Pi4</definedName>
    <definedName name="Pi4_13" localSheetId="15">'Прил. 1 План ФХД с транспортир.'!_Pi4</definedName>
    <definedName name="Pi4_13" localSheetId="18">'Прил. 1 План ФХД стоки'!_Pi4</definedName>
    <definedName name="Pi4_13" localSheetId="17">'Прил. 1 План ФХД трансп. воды'!_Pi4</definedName>
    <definedName name="Pi4_13" localSheetId="16">'Прил. 1 План ФХД трансп. стоков'!_Pi4</definedName>
    <definedName name="Pi4_13" localSheetId="76">'Расчет товарной выручки 2018'!_Pi4</definedName>
    <definedName name="Pi4_13" localSheetId="25">'Расчет товарной выручки 2019'!_Pi4</definedName>
    <definedName name="Pi4_13" localSheetId="20">'Расчет товарной выручки 2021'!_Pi4</definedName>
    <definedName name="Pi4_13" localSheetId="77">'рез к 2017-2023'!_Pi4</definedName>
    <definedName name="Pi4_13" localSheetId="74">'рез к 2018-2024 (кор) '!_Pi4</definedName>
    <definedName name="Pi4_13" localSheetId="13">'Текущий ремонт'!_Pi4</definedName>
    <definedName name="Pi4_13" localSheetId="23">'ФАКТ.СЕБЕСТ.ВОДА 9 мес. 2021'!_Pi4</definedName>
    <definedName name="Pi4_13" localSheetId="21">'ФАКТ.СЕБЕСТ.СТОКИ 9 мес. 2021'!_Pi4</definedName>
    <definedName name="Pi4_13" localSheetId="14">'Чистая прибыль с транспортир.'!_Pi4</definedName>
    <definedName name="Pi4_13">[0]!_Pi4</definedName>
    <definedName name="Pi4_14" localSheetId="75">'А 2018'!_Pi4</definedName>
    <definedName name="Pi4_14" localSheetId="59">'выпадающие расходы'!_Pi4</definedName>
    <definedName name="Pi4_14" localSheetId="50">'ЗП с факт 3 кв. 2015'!_Pi4</definedName>
    <definedName name="Pi4_14" localSheetId="24">'ПОЛНАЯ СЕБЕСТОИМОСТЬ ВОДА 2021'!_Pi4</definedName>
    <definedName name="Pi4_14" localSheetId="22">'ПОЛНАЯ СЕБЕСТОИМОСТЬ СТОКИ 2021'!_Pi4</definedName>
    <definedName name="Pi4_14" localSheetId="19">'Прил. 1 План ФХД вода '!_Pi4</definedName>
    <definedName name="Pi4_14" localSheetId="15">'Прил. 1 План ФХД с транспортир.'!_Pi4</definedName>
    <definedName name="Pi4_14" localSheetId="18">'Прил. 1 План ФХД стоки'!_Pi4</definedName>
    <definedName name="Pi4_14" localSheetId="17">'Прил. 1 План ФХД трансп. воды'!_Pi4</definedName>
    <definedName name="Pi4_14" localSheetId="16">'Прил. 1 План ФХД трансп. стоков'!_Pi4</definedName>
    <definedName name="Pi4_14" localSheetId="76">'Расчет товарной выручки 2018'!_Pi4</definedName>
    <definedName name="Pi4_14" localSheetId="25">'Расчет товарной выручки 2019'!_Pi4</definedName>
    <definedName name="Pi4_14" localSheetId="20">'Расчет товарной выручки 2021'!_Pi4</definedName>
    <definedName name="Pi4_14" localSheetId="77">'рез к 2017-2023'!_Pi4</definedName>
    <definedName name="Pi4_14" localSheetId="74">'рез к 2018-2024 (кор) '!_Pi4</definedName>
    <definedName name="Pi4_14" localSheetId="13">'Текущий ремонт'!_Pi4</definedName>
    <definedName name="Pi4_14" localSheetId="23">'ФАКТ.СЕБЕСТ.ВОДА 9 мес. 2021'!_Pi4</definedName>
    <definedName name="Pi4_14" localSheetId="21">'ФАКТ.СЕБЕСТ.СТОКИ 9 мес. 2021'!_Pi4</definedName>
    <definedName name="Pi4_14" localSheetId="14">'Чистая прибыль с транспортир.'!_Pi4</definedName>
    <definedName name="Pi4_14">[0]!_Pi4</definedName>
    <definedName name="Pi4_15" localSheetId="75">'А 2018'!_Pi4</definedName>
    <definedName name="Pi4_15" localSheetId="59">'выпадающие расходы'!_Pi4</definedName>
    <definedName name="Pi4_15" localSheetId="50">'ЗП с факт 3 кв. 2015'!_Pi4</definedName>
    <definedName name="Pi4_15" localSheetId="24">'ПОЛНАЯ СЕБЕСТОИМОСТЬ ВОДА 2021'!_Pi4</definedName>
    <definedName name="Pi4_15" localSheetId="22">'ПОЛНАЯ СЕБЕСТОИМОСТЬ СТОКИ 2021'!_Pi4</definedName>
    <definedName name="Pi4_15" localSheetId="19">'Прил. 1 План ФХД вода '!_Pi4</definedName>
    <definedName name="Pi4_15" localSheetId="15">'Прил. 1 План ФХД с транспортир.'!_Pi4</definedName>
    <definedName name="Pi4_15" localSheetId="18">'Прил. 1 План ФХД стоки'!_Pi4</definedName>
    <definedName name="Pi4_15" localSheetId="17">'Прил. 1 План ФХД трансп. воды'!_Pi4</definedName>
    <definedName name="Pi4_15" localSheetId="16">'Прил. 1 План ФХД трансп. стоков'!_Pi4</definedName>
    <definedName name="Pi4_15" localSheetId="76">'Расчет товарной выручки 2018'!_Pi4</definedName>
    <definedName name="Pi4_15" localSheetId="25">'Расчет товарной выручки 2019'!_Pi4</definedName>
    <definedName name="Pi4_15" localSheetId="20">'Расчет товарной выручки 2021'!_Pi4</definedName>
    <definedName name="Pi4_15" localSheetId="77">'рез к 2017-2023'!_Pi4</definedName>
    <definedName name="Pi4_15" localSheetId="74">'рез к 2018-2024 (кор) '!_Pi4</definedName>
    <definedName name="Pi4_15" localSheetId="13">'Текущий ремонт'!_Pi4</definedName>
    <definedName name="Pi4_15" localSheetId="23">'ФАКТ.СЕБЕСТ.ВОДА 9 мес. 2021'!_Pi4</definedName>
    <definedName name="Pi4_15" localSheetId="21">'ФАКТ.СЕБЕСТ.СТОКИ 9 мес. 2021'!_Pi4</definedName>
    <definedName name="Pi4_15" localSheetId="14">'Чистая прибыль с транспортир.'!_Pi4</definedName>
    <definedName name="Pi4_15">_Pi4</definedName>
    <definedName name="Pi4_16" localSheetId="75">'А 2018'!_Pi4</definedName>
    <definedName name="Pi4_16" localSheetId="59">'выпадающие расходы'!_Pi4</definedName>
    <definedName name="Pi4_16" localSheetId="50">'ЗП с факт 3 кв. 2015'!_Pi4</definedName>
    <definedName name="Pi4_16" localSheetId="24">'ПОЛНАЯ СЕБЕСТОИМОСТЬ ВОДА 2021'!_Pi4</definedName>
    <definedName name="Pi4_16" localSheetId="22">'ПОЛНАЯ СЕБЕСТОИМОСТЬ СТОКИ 2021'!_Pi4</definedName>
    <definedName name="Pi4_16" localSheetId="19">'Прил. 1 План ФХД вода '!_Pi4</definedName>
    <definedName name="Pi4_16" localSheetId="15">'Прил. 1 План ФХД с транспортир.'!_Pi4</definedName>
    <definedName name="Pi4_16" localSheetId="18">'Прил. 1 План ФХД стоки'!_Pi4</definedName>
    <definedName name="Pi4_16" localSheetId="17">'Прил. 1 План ФХД трансп. воды'!_Pi4</definedName>
    <definedName name="Pi4_16" localSheetId="16">'Прил. 1 План ФХД трансп. стоков'!_Pi4</definedName>
    <definedName name="Pi4_16" localSheetId="76">'Расчет товарной выручки 2018'!_Pi4</definedName>
    <definedName name="Pi4_16" localSheetId="25">'Расчет товарной выручки 2019'!_Pi4</definedName>
    <definedName name="Pi4_16" localSheetId="20">'Расчет товарной выручки 2021'!_Pi4</definedName>
    <definedName name="Pi4_16" localSheetId="77">'рез к 2017-2023'!_Pi4</definedName>
    <definedName name="Pi4_16" localSheetId="74">'рез к 2018-2024 (кор) '!_Pi4</definedName>
    <definedName name="Pi4_16" localSheetId="13">'Текущий ремонт'!_Pi4</definedName>
    <definedName name="Pi4_16" localSheetId="23">'ФАКТ.СЕБЕСТ.ВОДА 9 мес. 2021'!_Pi4</definedName>
    <definedName name="Pi4_16" localSheetId="21">'ФАКТ.СЕБЕСТ.СТОКИ 9 мес. 2021'!_Pi4</definedName>
    <definedName name="Pi4_16" localSheetId="14">'Чистая прибыль с транспортир.'!_Pi4</definedName>
    <definedName name="Pi4_16">[0]!_Pi4</definedName>
    <definedName name="Pi4_2" localSheetId="75">'А 2018'!_Pi4</definedName>
    <definedName name="Pi4_2" localSheetId="59">'выпадающие расходы'!_Pi4</definedName>
    <definedName name="Pi4_2" localSheetId="50">'ЗП с факт 3 кв. 2015'!_Pi4</definedName>
    <definedName name="Pi4_2" localSheetId="24">'ПОЛНАЯ СЕБЕСТОИМОСТЬ ВОДА 2021'!_Pi4</definedName>
    <definedName name="Pi4_2" localSheetId="22">'ПОЛНАЯ СЕБЕСТОИМОСТЬ СТОКИ 2021'!_Pi4</definedName>
    <definedName name="Pi4_2" localSheetId="19">'Прил. 1 План ФХД вода '!_Pi4</definedName>
    <definedName name="Pi4_2" localSheetId="15">'Прил. 1 План ФХД с транспортир.'!_Pi4</definedName>
    <definedName name="Pi4_2" localSheetId="18">'Прил. 1 План ФХД стоки'!_Pi4</definedName>
    <definedName name="Pi4_2" localSheetId="17">'Прил. 1 План ФХД трансп. воды'!_Pi4</definedName>
    <definedName name="Pi4_2" localSheetId="16">'Прил. 1 План ФХД трансп. стоков'!_Pi4</definedName>
    <definedName name="Pi4_2" localSheetId="76">'Расчет товарной выручки 2018'!_Pi4</definedName>
    <definedName name="Pi4_2" localSheetId="25">'Расчет товарной выручки 2019'!_Pi4</definedName>
    <definedName name="Pi4_2" localSheetId="20">'Расчет товарной выручки 2021'!_Pi4</definedName>
    <definedName name="Pi4_2" localSheetId="77">'рез к 2017-2023'!_Pi4</definedName>
    <definedName name="Pi4_2" localSheetId="74">'рез к 2018-2024 (кор) '!_Pi4</definedName>
    <definedName name="Pi4_2" localSheetId="13">'Текущий ремонт'!_Pi4</definedName>
    <definedName name="Pi4_2" localSheetId="23">'ФАКТ.СЕБЕСТ.ВОДА 9 мес. 2021'!_Pi4</definedName>
    <definedName name="Pi4_2" localSheetId="21">'ФАКТ.СЕБЕСТ.СТОКИ 9 мес. 2021'!_Pi4</definedName>
    <definedName name="Pi4_2" localSheetId="14">'Чистая прибыль с транспортир.'!_Pi4</definedName>
    <definedName name="Pi4_2">[0]!_Pi4</definedName>
    <definedName name="Pi4_22" localSheetId="75">'А 2018'!_Pi4</definedName>
    <definedName name="Pi4_22" localSheetId="59">'выпадающие расходы'!_Pi4</definedName>
    <definedName name="Pi4_22" localSheetId="50">'ЗП с факт 3 кв. 2015'!_Pi4</definedName>
    <definedName name="Pi4_22" localSheetId="24">'ПОЛНАЯ СЕБЕСТОИМОСТЬ ВОДА 2021'!_Pi4</definedName>
    <definedName name="Pi4_22" localSheetId="22">'ПОЛНАЯ СЕБЕСТОИМОСТЬ СТОКИ 2021'!_Pi4</definedName>
    <definedName name="Pi4_22" localSheetId="19">'Прил. 1 План ФХД вода '!_Pi4</definedName>
    <definedName name="Pi4_22" localSheetId="15">'Прил. 1 План ФХД с транспортир.'!_Pi4</definedName>
    <definedName name="Pi4_22" localSheetId="18">'Прил. 1 План ФХД стоки'!_Pi4</definedName>
    <definedName name="Pi4_22" localSheetId="17">'Прил. 1 План ФХД трансп. воды'!_Pi4</definedName>
    <definedName name="Pi4_22" localSheetId="16">'Прил. 1 План ФХД трансп. стоков'!_Pi4</definedName>
    <definedName name="Pi4_22" localSheetId="76">'Расчет товарной выручки 2018'!_Pi4</definedName>
    <definedName name="Pi4_22" localSheetId="25">'Расчет товарной выручки 2019'!_Pi4</definedName>
    <definedName name="Pi4_22" localSheetId="20">'Расчет товарной выручки 2021'!_Pi4</definedName>
    <definedName name="Pi4_22" localSheetId="77">'рез к 2017-2023'!_Pi4</definedName>
    <definedName name="Pi4_22" localSheetId="74">'рез к 2018-2024 (кор) '!_Pi4</definedName>
    <definedName name="Pi4_22" localSheetId="13">'Текущий ремонт'!_Pi4</definedName>
    <definedName name="Pi4_22" localSheetId="23">'ФАКТ.СЕБЕСТ.ВОДА 9 мес. 2021'!_Pi4</definedName>
    <definedName name="Pi4_22" localSheetId="21">'ФАКТ.СЕБЕСТ.СТОКИ 9 мес. 2021'!_Pi4</definedName>
    <definedName name="Pi4_22" localSheetId="14">'Чистая прибыль с транспортир.'!_Pi4</definedName>
    <definedName name="Pi4_22">_Pi4</definedName>
    <definedName name="Pi4_3" localSheetId="75">'А 2018'!_Pi4</definedName>
    <definedName name="Pi4_3" localSheetId="59">'выпадающие расходы'!_Pi4</definedName>
    <definedName name="Pi4_3" localSheetId="50">'ЗП с факт 3 кв. 2015'!_Pi4</definedName>
    <definedName name="Pi4_3" localSheetId="24">'ПОЛНАЯ СЕБЕСТОИМОСТЬ ВОДА 2021'!_Pi4</definedName>
    <definedName name="Pi4_3" localSheetId="22">'ПОЛНАЯ СЕБЕСТОИМОСТЬ СТОКИ 2021'!_Pi4</definedName>
    <definedName name="Pi4_3" localSheetId="19">'Прил. 1 План ФХД вода '!_Pi4</definedName>
    <definedName name="Pi4_3" localSheetId="15">'Прил. 1 План ФХД с транспортир.'!_Pi4</definedName>
    <definedName name="Pi4_3" localSheetId="18">'Прил. 1 План ФХД стоки'!_Pi4</definedName>
    <definedName name="Pi4_3" localSheetId="17">'Прил. 1 План ФХД трансп. воды'!_Pi4</definedName>
    <definedName name="Pi4_3" localSheetId="16">'Прил. 1 План ФХД трансп. стоков'!_Pi4</definedName>
    <definedName name="Pi4_3" localSheetId="76">'Расчет товарной выручки 2018'!_Pi4</definedName>
    <definedName name="Pi4_3" localSheetId="25">'Расчет товарной выручки 2019'!_Pi4</definedName>
    <definedName name="Pi4_3" localSheetId="20">'Расчет товарной выручки 2021'!_Pi4</definedName>
    <definedName name="Pi4_3" localSheetId="77">'рез к 2017-2023'!_Pi4</definedName>
    <definedName name="Pi4_3" localSheetId="74">'рез к 2018-2024 (кор) '!_Pi4</definedName>
    <definedName name="Pi4_3" localSheetId="13">'Текущий ремонт'!_Pi4</definedName>
    <definedName name="Pi4_3" localSheetId="23">'ФАКТ.СЕБЕСТ.ВОДА 9 мес. 2021'!_Pi4</definedName>
    <definedName name="Pi4_3" localSheetId="21">'ФАКТ.СЕБЕСТ.СТОКИ 9 мес. 2021'!_Pi4</definedName>
    <definedName name="Pi4_3" localSheetId="14">'Чистая прибыль с транспортир.'!_Pi4</definedName>
    <definedName name="Pi4_3">[0]!_Pi4</definedName>
    <definedName name="Pi4_4" localSheetId="75">'А 2018'!_Pi4</definedName>
    <definedName name="Pi4_4" localSheetId="59">'выпадающие расходы'!_Pi4</definedName>
    <definedName name="Pi4_4" localSheetId="50">'ЗП с факт 3 кв. 2015'!_Pi4</definedName>
    <definedName name="Pi4_4" localSheetId="24">'ПОЛНАЯ СЕБЕСТОИМОСТЬ ВОДА 2021'!_Pi4</definedName>
    <definedName name="Pi4_4" localSheetId="22">'ПОЛНАЯ СЕБЕСТОИМОСТЬ СТОКИ 2021'!_Pi4</definedName>
    <definedName name="Pi4_4" localSheetId="19">'Прил. 1 План ФХД вода '!_Pi4</definedName>
    <definedName name="Pi4_4" localSheetId="15">'Прил. 1 План ФХД с транспортир.'!_Pi4</definedName>
    <definedName name="Pi4_4" localSheetId="18">'Прил. 1 План ФХД стоки'!_Pi4</definedName>
    <definedName name="Pi4_4" localSheetId="17">'Прил. 1 План ФХД трансп. воды'!_Pi4</definedName>
    <definedName name="Pi4_4" localSheetId="16">'Прил. 1 План ФХД трансп. стоков'!_Pi4</definedName>
    <definedName name="Pi4_4" localSheetId="76">'Расчет товарной выручки 2018'!_Pi4</definedName>
    <definedName name="Pi4_4" localSheetId="25">'Расчет товарной выручки 2019'!_Pi4</definedName>
    <definedName name="Pi4_4" localSheetId="20">'Расчет товарной выручки 2021'!_Pi4</definedName>
    <definedName name="Pi4_4" localSheetId="77">'рез к 2017-2023'!_Pi4</definedName>
    <definedName name="Pi4_4" localSheetId="74">'рез к 2018-2024 (кор) '!_Pi4</definedName>
    <definedName name="Pi4_4" localSheetId="13">'Текущий ремонт'!_Pi4</definedName>
    <definedName name="Pi4_4" localSheetId="23">'ФАКТ.СЕБЕСТ.ВОДА 9 мес. 2021'!_Pi4</definedName>
    <definedName name="Pi4_4" localSheetId="21">'ФАКТ.СЕБЕСТ.СТОКИ 9 мес. 2021'!_Pi4</definedName>
    <definedName name="Pi4_4" localSheetId="14">'Чистая прибыль с транспортир.'!_Pi4</definedName>
    <definedName name="Pi4_4">_Pi4</definedName>
    <definedName name="Pi4_67" localSheetId="75">'А 2018'!_Pi4</definedName>
    <definedName name="Pi4_67" localSheetId="59">'выпадающие расходы'!_Pi4</definedName>
    <definedName name="Pi4_67" localSheetId="50">'ЗП с факт 3 кв. 2015'!_Pi4</definedName>
    <definedName name="Pi4_67" localSheetId="24">'ПОЛНАЯ СЕБЕСТОИМОСТЬ ВОДА 2021'!_Pi4</definedName>
    <definedName name="Pi4_67" localSheetId="22">'ПОЛНАЯ СЕБЕСТОИМОСТЬ СТОКИ 2021'!_Pi4</definedName>
    <definedName name="Pi4_67" localSheetId="19">'Прил. 1 План ФХД вода '!_Pi4</definedName>
    <definedName name="Pi4_67" localSheetId="15">'Прил. 1 План ФХД с транспортир.'!_Pi4</definedName>
    <definedName name="Pi4_67" localSheetId="18">'Прил. 1 План ФХД стоки'!_Pi4</definedName>
    <definedName name="Pi4_67" localSheetId="17">'Прил. 1 План ФХД трансп. воды'!_Pi4</definedName>
    <definedName name="Pi4_67" localSheetId="16">'Прил. 1 План ФХД трансп. стоков'!_Pi4</definedName>
    <definedName name="Pi4_67" localSheetId="76">'Расчет товарной выручки 2018'!_Pi4</definedName>
    <definedName name="Pi4_67" localSheetId="25">'Расчет товарной выручки 2019'!_Pi4</definedName>
    <definedName name="Pi4_67" localSheetId="20">'Расчет товарной выручки 2021'!_Pi4</definedName>
    <definedName name="Pi4_67" localSheetId="77">'рез к 2017-2023'!_Pi4</definedName>
    <definedName name="Pi4_67" localSheetId="74">'рез к 2018-2024 (кор) '!_Pi4</definedName>
    <definedName name="Pi4_67" localSheetId="13">'Текущий ремонт'!_Pi4</definedName>
    <definedName name="Pi4_67" localSheetId="23">'ФАКТ.СЕБЕСТ.ВОДА 9 мес. 2021'!_Pi4</definedName>
    <definedName name="Pi4_67" localSheetId="21">'ФАКТ.СЕБЕСТ.СТОКИ 9 мес. 2021'!_Pi4</definedName>
    <definedName name="Pi4_67" localSheetId="14">'Чистая прибыль с транспортир.'!_Pi4</definedName>
    <definedName name="Pi4_67">_Pi4</definedName>
    <definedName name="Pi4_70" localSheetId="75">'А 2018'!_Pi4</definedName>
    <definedName name="Pi4_70" localSheetId="59">'выпадающие расходы'!_Pi4</definedName>
    <definedName name="Pi4_70" localSheetId="50">'ЗП с факт 3 кв. 2015'!_Pi4</definedName>
    <definedName name="Pi4_70" localSheetId="24">'ПОЛНАЯ СЕБЕСТОИМОСТЬ ВОДА 2021'!_Pi4</definedName>
    <definedName name="Pi4_70" localSheetId="22">'ПОЛНАЯ СЕБЕСТОИМОСТЬ СТОКИ 2021'!_Pi4</definedName>
    <definedName name="Pi4_70" localSheetId="19">'Прил. 1 План ФХД вода '!_Pi4</definedName>
    <definedName name="Pi4_70" localSheetId="15">'Прил. 1 План ФХД с транспортир.'!_Pi4</definedName>
    <definedName name="Pi4_70" localSheetId="18">'Прил. 1 План ФХД стоки'!_Pi4</definedName>
    <definedName name="Pi4_70" localSheetId="17">'Прил. 1 План ФХД трансп. воды'!_Pi4</definedName>
    <definedName name="Pi4_70" localSheetId="16">'Прил. 1 План ФХД трансп. стоков'!_Pi4</definedName>
    <definedName name="Pi4_70" localSheetId="76">'Расчет товарной выручки 2018'!_Pi4</definedName>
    <definedName name="Pi4_70" localSheetId="25">'Расчет товарной выручки 2019'!_Pi4</definedName>
    <definedName name="Pi4_70" localSheetId="20">'Расчет товарной выручки 2021'!_Pi4</definedName>
    <definedName name="Pi4_70" localSheetId="77">'рез к 2017-2023'!_Pi4</definedName>
    <definedName name="Pi4_70" localSheetId="74">'рез к 2018-2024 (кор) '!_Pi4</definedName>
    <definedName name="Pi4_70" localSheetId="13">'Текущий ремонт'!_Pi4</definedName>
    <definedName name="Pi4_70" localSheetId="23">'ФАКТ.СЕБЕСТ.ВОДА 9 мес. 2021'!_Pi4</definedName>
    <definedName name="Pi4_70" localSheetId="21">'ФАКТ.СЕБЕСТ.СТОКИ 9 мес. 2021'!_Pi4</definedName>
    <definedName name="Pi4_70" localSheetId="14">'Чистая прибыль с транспортир.'!_Pi4</definedName>
    <definedName name="Pi4_70">_Pi4</definedName>
    <definedName name="Pi4_71" localSheetId="75">'А 2018'!_Pi4</definedName>
    <definedName name="Pi4_71" localSheetId="59">'выпадающие расходы'!_Pi4</definedName>
    <definedName name="Pi4_71" localSheetId="50">'ЗП с факт 3 кв. 2015'!_Pi4</definedName>
    <definedName name="Pi4_71" localSheetId="24">'ПОЛНАЯ СЕБЕСТОИМОСТЬ ВОДА 2021'!_Pi4</definedName>
    <definedName name="Pi4_71" localSheetId="22">'ПОЛНАЯ СЕБЕСТОИМОСТЬ СТОКИ 2021'!_Pi4</definedName>
    <definedName name="Pi4_71" localSheetId="19">'Прил. 1 План ФХД вода '!_Pi4</definedName>
    <definedName name="Pi4_71" localSheetId="15">'Прил. 1 План ФХД с транспортир.'!_Pi4</definedName>
    <definedName name="Pi4_71" localSheetId="18">'Прил. 1 План ФХД стоки'!_Pi4</definedName>
    <definedName name="Pi4_71" localSheetId="17">'Прил. 1 План ФХД трансп. воды'!_Pi4</definedName>
    <definedName name="Pi4_71" localSheetId="16">'Прил. 1 План ФХД трансп. стоков'!_Pi4</definedName>
    <definedName name="Pi4_71" localSheetId="76">'Расчет товарной выручки 2018'!_Pi4</definedName>
    <definedName name="Pi4_71" localSheetId="25">'Расчет товарной выручки 2019'!_Pi4</definedName>
    <definedName name="Pi4_71" localSheetId="20">'Расчет товарной выручки 2021'!_Pi4</definedName>
    <definedName name="Pi4_71" localSheetId="77">'рез к 2017-2023'!_Pi4</definedName>
    <definedName name="Pi4_71" localSheetId="74">'рез к 2018-2024 (кор) '!_Pi4</definedName>
    <definedName name="Pi4_71" localSheetId="13">'Текущий ремонт'!_Pi4</definedName>
    <definedName name="Pi4_71" localSheetId="23">'ФАКТ.СЕБЕСТ.ВОДА 9 мес. 2021'!_Pi4</definedName>
    <definedName name="Pi4_71" localSheetId="21">'ФАКТ.СЕБЕСТ.СТОКИ 9 мес. 2021'!_Pi4</definedName>
    <definedName name="Pi4_71" localSheetId="14">'Чистая прибыль с транспортир.'!_Pi4</definedName>
    <definedName name="Pi4_71">_Pi4</definedName>
    <definedName name="Pi4_72" localSheetId="75">'А 2018'!_Pi4</definedName>
    <definedName name="Pi4_72" localSheetId="59">'выпадающие расходы'!_Pi4</definedName>
    <definedName name="Pi4_72" localSheetId="50">'ЗП с факт 3 кв. 2015'!_Pi4</definedName>
    <definedName name="Pi4_72" localSheetId="24">'ПОЛНАЯ СЕБЕСТОИМОСТЬ ВОДА 2021'!_Pi4</definedName>
    <definedName name="Pi4_72" localSheetId="22">'ПОЛНАЯ СЕБЕСТОИМОСТЬ СТОКИ 2021'!_Pi4</definedName>
    <definedName name="Pi4_72" localSheetId="19">'Прил. 1 План ФХД вода '!_Pi4</definedName>
    <definedName name="Pi4_72" localSheetId="15">'Прил. 1 План ФХД с транспортир.'!_Pi4</definedName>
    <definedName name="Pi4_72" localSheetId="18">'Прил. 1 План ФХД стоки'!_Pi4</definedName>
    <definedName name="Pi4_72" localSheetId="17">'Прил. 1 План ФХД трансп. воды'!_Pi4</definedName>
    <definedName name="Pi4_72" localSheetId="16">'Прил. 1 План ФХД трансп. стоков'!_Pi4</definedName>
    <definedName name="Pi4_72" localSheetId="76">'Расчет товарной выручки 2018'!_Pi4</definedName>
    <definedName name="Pi4_72" localSheetId="25">'Расчет товарной выручки 2019'!_Pi4</definedName>
    <definedName name="Pi4_72" localSheetId="20">'Расчет товарной выручки 2021'!_Pi4</definedName>
    <definedName name="Pi4_72" localSheetId="77">'рез к 2017-2023'!_Pi4</definedName>
    <definedName name="Pi4_72" localSheetId="74">'рез к 2018-2024 (кор) '!_Pi4</definedName>
    <definedName name="Pi4_72" localSheetId="13">'Текущий ремонт'!_Pi4</definedName>
    <definedName name="Pi4_72" localSheetId="23">'ФАКТ.СЕБЕСТ.ВОДА 9 мес. 2021'!_Pi4</definedName>
    <definedName name="Pi4_72" localSheetId="21">'ФАКТ.СЕБЕСТ.СТОКИ 9 мес. 2021'!_Pi4</definedName>
    <definedName name="Pi4_72" localSheetId="14">'Чистая прибыль с транспортир.'!_Pi4</definedName>
    <definedName name="Pi4_72">_Pi4</definedName>
    <definedName name="Pi4_74" localSheetId="75">'А 2018'!_Pi4</definedName>
    <definedName name="Pi4_74" localSheetId="59">'выпадающие расходы'!_Pi4</definedName>
    <definedName name="Pi4_74" localSheetId="50">'ЗП с факт 3 кв. 2015'!_Pi4</definedName>
    <definedName name="Pi4_74" localSheetId="24">'ПОЛНАЯ СЕБЕСТОИМОСТЬ ВОДА 2021'!_Pi4</definedName>
    <definedName name="Pi4_74" localSheetId="22">'ПОЛНАЯ СЕБЕСТОИМОСТЬ СТОКИ 2021'!_Pi4</definedName>
    <definedName name="Pi4_74" localSheetId="19">'Прил. 1 План ФХД вода '!_Pi4</definedName>
    <definedName name="Pi4_74" localSheetId="15">'Прил. 1 План ФХД с транспортир.'!_Pi4</definedName>
    <definedName name="Pi4_74" localSheetId="18">'Прил. 1 План ФХД стоки'!_Pi4</definedName>
    <definedName name="Pi4_74" localSheetId="17">'Прил. 1 План ФХД трансп. воды'!_Pi4</definedName>
    <definedName name="Pi4_74" localSheetId="16">'Прил. 1 План ФХД трансп. стоков'!_Pi4</definedName>
    <definedName name="Pi4_74" localSheetId="76">'Расчет товарной выручки 2018'!_Pi4</definedName>
    <definedName name="Pi4_74" localSheetId="25">'Расчет товарной выручки 2019'!_Pi4</definedName>
    <definedName name="Pi4_74" localSheetId="20">'Расчет товарной выручки 2021'!_Pi4</definedName>
    <definedName name="Pi4_74" localSheetId="77">'рез к 2017-2023'!_Pi4</definedName>
    <definedName name="Pi4_74" localSheetId="74">'рез к 2018-2024 (кор) '!_Pi4</definedName>
    <definedName name="Pi4_74" localSheetId="13">'Текущий ремонт'!_Pi4</definedName>
    <definedName name="Pi4_74" localSheetId="23">'ФАКТ.СЕБЕСТ.ВОДА 9 мес. 2021'!_Pi4</definedName>
    <definedName name="Pi4_74" localSheetId="21">'ФАКТ.СЕБЕСТ.СТОКИ 9 мес. 2021'!_Pi4</definedName>
    <definedName name="Pi4_74" localSheetId="14">'Чистая прибыль с транспортир.'!_Pi4</definedName>
    <definedName name="Pi4_74">_Pi4</definedName>
    <definedName name="Pi4_9" localSheetId="75">'А 2018'!_Pi4</definedName>
    <definedName name="Pi4_9" localSheetId="59">'выпадающие расходы'!_Pi4</definedName>
    <definedName name="Pi4_9" localSheetId="50">'ЗП с факт 3 кв. 2015'!_Pi4</definedName>
    <definedName name="Pi4_9" localSheetId="24">'ПОЛНАЯ СЕБЕСТОИМОСТЬ ВОДА 2021'!_Pi4</definedName>
    <definedName name="Pi4_9" localSheetId="22">'ПОЛНАЯ СЕБЕСТОИМОСТЬ СТОКИ 2021'!_Pi4</definedName>
    <definedName name="Pi4_9" localSheetId="19">'Прил. 1 План ФХД вода '!_Pi4</definedName>
    <definedName name="Pi4_9" localSheetId="15">'Прил. 1 План ФХД с транспортир.'!_Pi4</definedName>
    <definedName name="Pi4_9" localSheetId="18">'Прил. 1 План ФХД стоки'!_Pi4</definedName>
    <definedName name="Pi4_9" localSheetId="17">'Прил. 1 План ФХД трансп. воды'!_Pi4</definedName>
    <definedName name="Pi4_9" localSheetId="16">'Прил. 1 План ФХД трансп. стоков'!_Pi4</definedName>
    <definedName name="Pi4_9" localSheetId="76">'Расчет товарной выручки 2018'!_Pi4</definedName>
    <definedName name="Pi4_9" localSheetId="25">'Расчет товарной выручки 2019'!_Pi4</definedName>
    <definedName name="Pi4_9" localSheetId="20">'Расчет товарной выручки 2021'!_Pi4</definedName>
    <definedName name="Pi4_9" localSheetId="77">'рез к 2017-2023'!_Pi4</definedName>
    <definedName name="Pi4_9" localSheetId="74">'рез к 2018-2024 (кор) '!_Pi4</definedName>
    <definedName name="Pi4_9" localSheetId="13">'Текущий ремонт'!_Pi4</definedName>
    <definedName name="Pi4_9" localSheetId="23">'ФАКТ.СЕБЕСТ.ВОДА 9 мес. 2021'!_Pi4</definedName>
    <definedName name="Pi4_9" localSheetId="21">'ФАКТ.СЕБЕСТ.СТОКИ 9 мес. 2021'!_Pi4</definedName>
    <definedName name="Pi4_9" localSheetId="14">'Чистая прибыль с транспортир.'!_Pi4</definedName>
    <definedName name="Pi4_9">_Pi4</definedName>
    <definedName name="Pi5_1" localSheetId="75">'А 2018'!_Pi5</definedName>
    <definedName name="Pi5_1" localSheetId="59">'выпадающие расходы'!_Pi5</definedName>
    <definedName name="Pi5_1" localSheetId="50">'ЗП с факт 3 кв. 2015'!_Pi5</definedName>
    <definedName name="Pi5_1" localSheetId="24">'ПОЛНАЯ СЕБЕСТОИМОСТЬ ВОДА 2021'!_Pi5</definedName>
    <definedName name="Pi5_1" localSheetId="22">'ПОЛНАЯ СЕБЕСТОИМОСТЬ СТОКИ 2021'!_Pi5</definedName>
    <definedName name="Pi5_1" localSheetId="19">'Прил. 1 План ФХД вода '!_Pi5</definedName>
    <definedName name="Pi5_1" localSheetId="15">'Прил. 1 План ФХД с транспортир.'!_Pi5</definedName>
    <definedName name="Pi5_1" localSheetId="18">'Прил. 1 План ФХД стоки'!_Pi5</definedName>
    <definedName name="Pi5_1" localSheetId="17">'Прил. 1 План ФХД трансп. воды'!_Pi5</definedName>
    <definedName name="Pi5_1" localSheetId="16">'Прил. 1 План ФХД трансп. стоков'!_Pi5</definedName>
    <definedName name="Pi5_1" localSheetId="76">'Расчет товарной выручки 2018'!_Pi5</definedName>
    <definedName name="Pi5_1" localSheetId="25">'Расчет товарной выручки 2019'!_Pi5</definedName>
    <definedName name="Pi5_1" localSheetId="20">'Расчет товарной выручки 2021'!_Pi5</definedName>
    <definedName name="Pi5_1" localSheetId="77">'рез к 2017-2023'!_Pi5</definedName>
    <definedName name="Pi5_1" localSheetId="74">'рез к 2018-2024 (кор) '!_Pi5</definedName>
    <definedName name="Pi5_1" localSheetId="13">'Текущий ремонт'!_Pi5</definedName>
    <definedName name="Pi5_1" localSheetId="23">'ФАКТ.СЕБЕСТ.ВОДА 9 мес. 2021'!_Pi5</definedName>
    <definedName name="Pi5_1" localSheetId="21">'ФАКТ.СЕБЕСТ.СТОКИ 9 мес. 2021'!_Pi5</definedName>
    <definedName name="Pi5_1" localSheetId="14">'Чистая прибыль с транспортир.'!_Pi5</definedName>
    <definedName name="Pi5_1">[0]!_Pi5</definedName>
    <definedName name="Pi5_10" localSheetId="75">'А 2018'!_Pi5</definedName>
    <definedName name="Pi5_10" localSheetId="59">'выпадающие расходы'!_Pi5</definedName>
    <definedName name="Pi5_10" localSheetId="50">'ЗП с факт 3 кв. 2015'!_Pi5</definedName>
    <definedName name="Pi5_10" localSheetId="24">'ПОЛНАЯ СЕБЕСТОИМОСТЬ ВОДА 2021'!_Pi5</definedName>
    <definedName name="Pi5_10" localSheetId="22">'ПОЛНАЯ СЕБЕСТОИМОСТЬ СТОКИ 2021'!_Pi5</definedName>
    <definedName name="Pi5_10" localSheetId="19">'Прил. 1 План ФХД вода '!_Pi5</definedName>
    <definedName name="Pi5_10" localSheetId="15">'Прил. 1 План ФХД с транспортир.'!_Pi5</definedName>
    <definedName name="Pi5_10" localSheetId="18">'Прил. 1 План ФХД стоки'!_Pi5</definedName>
    <definedName name="Pi5_10" localSheetId="17">'Прил. 1 План ФХД трансп. воды'!_Pi5</definedName>
    <definedName name="Pi5_10" localSheetId="16">'Прил. 1 План ФХД трансп. стоков'!_Pi5</definedName>
    <definedName name="Pi5_10" localSheetId="76">'Расчет товарной выручки 2018'!_Pi5</definedName>
    <definedName name="Pi5_10" localSheetId="25">'Расчет товарной выручки 2019'!_Pi5</definedName>
    <definedName name="Pi5_10" localSheetId="20">'Расчет товарной выручки 2021'!_Pi5</definedName>
    <definedName name="Pi5_10" localSheetId="77">'рез к 2017-2023'!_Pi5</definedName>
    <definedName name="Pi5_10" localSheetId="74">'рез к 2018-2024 (кор) '!_Pi5</definedName>
    <definedName name="Pi5_10" localSheetId="13">'Текущий ремонт'!_Pi5</definedName>
    <definedName name="Pi5_10" localSheetId="23">'ФАКТ.СЕБЕСТ.ВОДА 9 мес. 2021'!_Pi5</definedName>
    <definedName name="Pi5_10" localSheetId="21">'ФАКТ.СЕБЕСТ.СТОКИ 9 мес. 2021'!_Pi5</definedName>
    <definedName name="Pi5_10" localSheetId="14">'Чистая прибыль с транспортир.'!_Pi5</definedName>
    <definedName name="Pi5_10">[0]!_Pi5</definedName>
    <definedName name="Pi5_11" localSheetId="75">'А 2018'!_Pi5</definedName>
    <definedName name="Pi5_11" localSheetId="59">'выпадающие расходы'!_Pi5</definedName>
    <definedName name="Pi5_11" localSheetId="50">'ЗП с факт 3 кв. 2015'!_Pi5</definedName>
    <definedName name="Pi5_11" localSheetId="24">'ПОЛНАЯ СЕБЕСТОИМОСТЬ ВОДА 2021'!_Pi5</definedName>
    <definedName name="Pi5_11" localSheetId="22">'ПОЛНАЯ СЕБЕСТОИМОСТЬ СТОКИ 2021'!_Pi5</definedName>
    <definedName name="Pi5_11" localSheetId="19">'Прил. 1 План ФХД вода '!_Pi5</definedName>
    <definedName name="Pi5_11" localSheetId="15">'Прил. 1 План ФХД с транспортир.'!_Pi5</definedName>
    <definedName name="Pi5_11" localSheetId="18">'Прил. 1 План ФХД стоки'!_Pi5</definedName>
    <definedName name="Pi5_11" localSheetId="17">'Прил. 1 План ФХД трансп. воды'!_Pi5</definedName>
    <definedName name="Pi5_11" localSheetId="16">'Прил. 1 План ФХД трансп. стоков'!_Pi5</definedName>
    <definedName name="Pi5_11" localSheetId="76">'Расчет товарной выручки 2018'!_Pi5</definedName>
    <definedName name="Pi5_11" localSheetId="25">'Расчет товарной выручки 2019'!_Pi5</definedName>
    <definedName name="Pi5_11" localSheetId="20">'Расчет товарной выручки 2021'!_Pi5</definedName>
    <definedName name="Pi5_11" localSheetId="77">'рез к 2017-2023'!_Pi5</definedName>
    <definedName name="Pi5_11" localSheetId="74">'рез к 2018-2024 (кор) '!_Pi5</definedName>
    <definedName name="Pi5_11" localSheetId="13">'Текущий ремонт'!_Pi5</definedName>
    <definedName name="Pi5_11" localSheetId="23">'ФАКТ.СЕБЕСТ.ВОДА 9 мес. 2021'!_Pi5</definedName>
    <definedName name="Pi5_11" localSheetId="21">'ФАКТ.СЕБЕСТ.СТОКИ 9 мес. 2021'!_Pi5</definedName>
    <definedName name="Pi5_11" localSheetId="14">'Чистая прибыль с транспортир.'!_Pi5</definedName>
    <definedName name="Pi5_11">[0]!_Pi5</definedName>
    <definedName name="Pi5_13" localSheetId="75">'А 2018'!_Pi5</definedName>
    <definedName name="Pi5_13" localSheetId="59">'выпадающие расходы'!_Pi5</definedName>
    <definedName name="Pi5_13" localSheetId="50">'ЗП с факт 3 кв. 2015'!_Pi5</definedName>
    <definedName name="Pi5_13" localSheetId="24">'ПОЛНАЯ СЕБЕСТОИМОСТЬ ВОДА 2021'!_Pi5</definedName>
    <definedName name="Pi5_13" localSheetId="22">'ПОЛНАЯ СЕБЕСТОИМОСТЬ СТОКИ 2021'!_Pi5</definedName>
    <definedName name="Pi5_13" localSheetId="19">'Прил. 1 План ФХД вода '!_Pi5</definedName>
    <definedName name="Pi5_13" localSheetId="15">'Прил. 1 План ФХД с транспортир.'!_Pi5</definedName>
    <definedName name="Pi5_13" localSheetId="18">'Прил. 1 План ФХД стоки'!_Pi5</definedName>
    <definedName name="Pi5_13" localSheetId="17">'Прил. 1 План ФХД трансп. воды'!_Pi5</definedName>
    <definedName name="Pi5_13" localSheetId="16">'Прил. 1 План ФХД трансп. стоков'!_Pi5</definedName>
    <definedName name="Pi5_13" localSheetId="76">'Расчет товарной выручки 2018'!_Pi5</definedName>
    <definedName name="Pi5_13" localSheetId="25">'Расчет товарной выручки 2019'!_Pi5</definedName>
    <definedName name="Pi5_13" localSheetId="20">'Расчет товарной выручки 2021'!_Pi5</definedName>
    <definedName name="Pi5_13" localSheetId="77">'рез к 2017-2023'!_Pi5</definedName>
    <definedName name="Pi5_13" localSheetId="74">'рез к 2018-2024 (кор) '!_Pi5</definedName>
    <definedName name="Pi5_13" localSheetId="13">'Текущий ремонт'!_Pi5</definedName>
    <definedName name="Pi5_13" localSheetId="23">'ФАКТ.СЕБЕСТ.ВОДА 9 мес. 2021'!_Pi5</definedName>
    <definedName name="Pi5_13" localSheetId="21">'ФАКТ.СЕБЕСТ.СТОКИ 9 мес. 2021'!_Pi5</definedName>
    <definedName name="Pi5_13" localSheetId="14">'Чистая прибыль с транспортир.'!_Pi5</definedName>
    <definedName name="Pi5_13">[0]!_Pi5</definedName>
    <definedName name="Pi5_14" localSheetId="75">'А 2018'!_Pi5</definedName>
    <definedName name="Pi5_14" localSheetId="59">'выпадающие расходы'!_Pi5</definedName>
    <definedName name="Pi5_14" localSheetId="50">'ЗП с факт 3 кв. 2015'!_Pi5</definedName>
    <definedName name="Pi5_14" localSheetId="24">'ПОЛНАЯ СЕБЕСТОИМОСТЬ ВОДА 2021'!_Pi5</definedName>
    <definedName name="Pi5_14" localSheetId="22">'ПОЛНАЯ СЕБЕСТОИМОСТЬ СТОКИ 2021'!_Pi5</definedName>
    <definedName name="Pi5_14" localSheetId="19">'Прил. 1 План ФХД вода '!_Pi5</definedName>
    <definedName name="Pi5_14" localSheetId="15">'Прил. 1 План ФХД с транспортир.'!_Pi5</definedName>
    <definedName name="Pi5_14" localSheetId="18">'Прил. 1 План ФХД стоки'!_Pi5</definedName>
    <definedName name="Pi5_14" localSheetId="17">'Прил. 1 План ФХД трансп. воды'!_Pi5</definedName>
    <definedName name="Pi5_14" localSheetId="16">'Прил. 1 План ФХД трансп. стоков'!_Pi5</definedName>
    <definedName name="Pi5_14" localSheetId="76">'Расчет товарной выручки 2018'!_Pi5</definedName>
    <definedName name="Pi5_14" localSheetId="25">'Расчет товарной выручки 2019'!_Pi5</definedName>
    <definedName name="Pi5_14" localSheetId="20">'Расчет товарной выручки 2021'!_Pi5</definedName>
    <definedName name="Pi5_14" localSheetId="77">'рез к 2017-2023'!_Pi5</definedName>
    <definedName name="Pi5_14" localSheetId="74">'рез к 2018-2024 (кор) '!_Pi5</definedName>
    <definedName name="Pi5_14" localSheetId="13">'Текущий ремонт'!_Pi5</definedName>
    <definedName name="Pi5_14" localSheetId="23">'ФАКТ.СЕБЕСТ.ВОДА 9 мес. 2021'!_Pi5</definedName>
    <definedName name="Pi5_14" localSheetId="21">'ФАКТ.СЕБЕСТ.СТОКИ 9 мес. 2021'!_Pi5</definedName>
    <definedName name="Pi5_14" localSheetId="14">'Чистая прибыль с транспортир.'!_Pi5</definedName>
    <definedName name="Pi5_14">[0]!_Pi5</definedName>
    <definedName name="Pi5_15" localSheetId="75">'А 2018'!_Pi5</definedName>
    <definedName name="Pi5_15" localSheetId="59">'выпадающие расходы'!_Pi5</definedName>
    <definedName name="Pi5_15" localSheetId="50">'ЗП с факт 3 кв. 2015'!_Pi5</definedName>
    <definedName name="Pi5_15" localSheetId="24">'ПОЛНАЯ СЕБЕСТОИМОСТЬ ВОДА 2021'!_Pi5</definedName>
    <definedName name="Pi5_15" localSheetId="22">'ПОЛНАЯ СЕБЕСТОИМОСТЬ СТОКИ 2021'!_Pi5</definedName>
    <definedName name="Pi5_15" localSheetId="19">'Прил. 1 План ФХД вода '!_Pi5</definedName>
    <definedName name="Pi5_15" localSheetId="15">'Прил. 1 План ФХД с транспортир.'!_Pi5</definedName>
    <definedName name="Pi5_15" localSheetId="18">'Прил. 1 План ФХД стоки'!_Pi5</definedName>
    <definedName name="Pi5_15" localSheetId="17">'Прил. 1 План ФХД трансп. воды'!_Pi5</definedName>
    <definedName name="Pi5_15" localSheetId="16">'Прил. 1 План ФХД трансп. стоков'!_Pi5</definedName>
    <definedName name="Pi5_15" localSheetId="76">'Расчет товарной выручки 2018'!_Pi5</definedName>
    <definedName name="Pi5_15" localSheetId="25">'Расчет товарной выручки 2019'!_Pi5</definedName>
    <definedName name="Pi5_15" localSheetId="20">'Расчет товарной выручки 2021'!_Pi5</definedName>
    <definedName name="Pi5_15" localSheetId="77">'рез к 2017-2023'!_Pi5</definedName>
    <definedName name="Pi5_15" localSheetId="74">'рез к 2018-2024 (кор) '!_Pi5</definedName>
    <definedName name="Pi5_15" localSheetId="13">'Текущий ремонт'!_Pi5</definedName>
    <definedName name="Pi5_15" localSheetId="23">'ФАКТ.СЕБЕСТ.ВОДА 9 мес. 2021'!_Pi5</definedName>
    <definedName name="Pi5_15" localSheetId="21">'ФАКТ.СЕБЕСТ.СТОКИ 9 мес. 2021'!_Pi5</definedName>
    <definedName name="Pi5_15" localSheetId="14">'Чистая прибыль с транспортир.'!_Pi5</definedName>
    <definedName name="Pi5_15">_Pi5</definedName>
    <definedName name="Pi5_16" localSheetId="75">'А 2018'!_Pi5</definedName>
    <definedName name="Pi5_16" localSheetId="59">'выпадающие расходы'!_Pi5</definedName>
    <definedName name="Pi5_16" localSheetId="50">'ЗП с факт 3 кв. 2015'!_Pi5</definedName>
    <definedName name="Pi5_16" localSheetId="24">'ПОЛНАЯ СЕБЕСТОИМОСТЬ ВОДА 2021'!_Pi5</definedName>
    <definedName name="Pi5_16" localSheetId="22">'ПОЛНАЯ СЕБЕСТОИМОСТЬ СТОКИ 2021'!_Pi5</definedName>
    <definedName name="Pi5_16" localSheetId="19">'Прил. 1 План ФХД вода '!_Pi5</definedName>
    <definedName name="Pi5_16" localSheetId="15">'Прил. 1 План ФХД с транспортир.'!_Pi5</definedName>
    <definedName name="Pi5_16" localSheetId="18">'Прил. 1 План ФХД стоки'!_Pi5</definedName>
    <definedName name="Pi5_16" localSheetId="17">'Прил. 1 План ФХД трансп. воды'!_Pi5</definedName>
    <definedName name="Pi5_16" localSheetId="16">'Прил. 1 План ФХД трансп. стоков'!_Pi5</definedName>
    <definedName name="Pi5_16" localSheetId="76">'Расчет товарной выручки 2018'!_Pi5</definedName>
    <definedName name="Pi5_16" localSheetId="25">'Расчет товарной выручки 2019'!_Pi5</definedName>
    <definedName name="Pi5_16" localSheetId="20">'Расчет товарной выручки 2021'!_Pi5</definedName>
    <definedName name="Pi5_16" localSheetId="77">'рез к 2017-2023'!_Pi5</definedName>
    <definedName name="Pi5_16" localSheetId="74">'рез к 2018-2024 (кор) '!_Pi5</definedName>
    <definedName name="Pi5_16" localSheetId="13">'Текущий ремонт'!_Pi5</definedName>
    <definedName name="Pi5_16" localSheetId="23">'ФАКТ.СЕБЕСТ.ВОДА 9 мес. 2021'!_Pi5</definedName>
    <definedName name="Pi5_16" localSheetId="21">'ФАКТ.СЕБЕСТ.СТОКИ 9 мес. 2021'!_Pi5</definedName>
    <definedName name="Pi5_16" localSheetId="14">'Чистая прибыль с транспортир.'!_Pi5</definedName>
    <definedName name="Pi5_16">[0]!_Pi5</definedName>
    <definedName name="Pi5_2" localSheetId="75">'А 2018'!_Pi5</definedName>
    <definedName name="Pi5_2" localSheetId="59">'выпадающие расходы'!_Pi5</definedName>
    <definedName name="Pi5_2" localSheetId="50">'ЗП с факт 3 кв. 2015'!_Pi5</definedName>
    <definedName name="Pi5_2" localSheetId="24">'ПОЛНАЯ СЕБЕСТОИМОСТЬ ВОДА 2021'!_Pi5</definedName>
    <definedName name="Pi5_2" localSheetId="22">'ПОЛНАЯ СЕБЕСТОИМОСТЬ СТОКИ 2021'!_Pi5</definedName>
    <definedName name="Pi5_2" localSheetId="19">'Прил. 1 План ФХД вода '!_Pi5</definedName>
    <definedName name="Pi5_2" localSheetId="15">'Прил. 1 План ФХД с транспортир.'!_Pi5</definedName>
    <definedName name="Pi5_2" localSheetId="18">'Прил. 1 План ФХД стоки'!_Pi5</definedName>
    <definedName name="Pi5_2" localSheetId="17">'Прил. 1 План ФХД трансп. воды'!_Pi5</definedName>
    <definedName name="Pi5_2" localSheetId="16">'Прил. 1 План ФХД трансп. стоков'!_Pi5</definedName>
    <definedName name="Pi5_2" localSheetId="76">'Расчет товарной выручки 2018'!_Pi5</definedName>
    <definedName name="Pi5_2" localSheetId="25">'Расчет товарной выручки 2019'!_Pi5</definedName>
    <definedName name="Pi5_2" localSheetId="20">'Расчет товарной выручки 2021'!_Pi5</definedName>
    <definedName name="Pi5_2" localSheetId="77">'рез к 2017-2023'!_Pi5</definedName>
    <definedName name="Pi5_2" localSheetId="74">'рез к 2018-2024 (кор) '!_Pi5</definedName>
    <definedName name="Pi5_2" localSheetId="13">'Текущий ремонт'!_Pi5</definedName>
    <definedName name="Pi5_2" localSheetId="23">'ФАКТ.СЕБЕСТ.ВОДА 9 мес. 2021'!_Pi5</definedName>
    <definedName name="Pi5_2" localSheetId="21">'ФАКТ.СЕБЕСТ.СТОКИ 9 мес. 2021'!_Pi5</definedName>
    <definedName name="Pi5_2" localSheetId="14">'Чистая прибыль с транспортир.'!_Pi5</definedName>
    <definedName name="Pi5_2">[0]!_Pi5</definedName>
    <definedName name="Pi5_22" localSheetId="75">'А 2018'!_Pi5</definedName>
    <definedName name="Pi5_22" localSheetId="59">'выпадающие расходы'!_Pi5</definedName>
    <definedName name="Pi5_22" localSheetId="50">'ЗП с факт 3 кв. 2015'!_Pi5</definedName>
    <definedName name="Pi5_22" localSheetId="24">'ПОЛНАЯ СЕБЕСТОИМОСТЬ ВОДА 2021'!_Pi5</definedName>
    <definedName name="Pi5_22" localSheetId="22">'ПОЛНАЯ СЕБЕСТОИМОСТЬ СТОКИ 2021'!_Pi5</definedName>
    <definedName name="Pi5_22" localSheetId="19">'Прил. 1 План ФХД вода '!_Pi5</definedName>
    <definedName name="Pi5_22" localSheetId="15">'Прил. 1 План ФХД с транспортир.'!_Pi5</definedName>
    <definedName name="Pi5_22" localSheetId="18">'Прил. 1 План ФХД стоки'!_Pi5</definedName>
    <definedName name="Pi5_22" localSheetId="17">'Прил. 1 План ФХД трансп. воды'!_Pi5</definedName>
    <definedName name="Pi5_22" localSheetId="16">'Прил. 1 План ФХД трансп. стоков'!_Pi5</definedName>
    <definedName name="Pi5_22" localSheetId="76">'Расчет товарной выручки 2018'!_Pi5</definedName>
    <definedName name="Pi5_22" localSheetId="25">'Расчет товарной выручки 2019'!_Pi5</definedName>
    <definedName name="Pi5_22" localSheetId="20">'Расчет товарной выручки 2021'!_Pi5</definedName>
    <definedName name="Pi5_22" localSheetId="77">'рез к 2017-2023'!_Pi5</definedName>
    <definedName name="Pi5_22" localSheetId="74">'рез к 2018-2024 (кор) '!_Pi5</definedName>
    <definedName name="Pi5_22" localSheetId="13">'Текущий ремонт'!_Pi5</definedName>
    <definedName name="Pi5_22" localSheetId="23">'ФАКТ.СЕБЕСТ.ВОДА 9 мес. 2021'!_Pi5</definedName>
    <definedName name="Pi5_22" localSheetId="21">'ФАКТ.СЕБЕСТ.СТОКИ 9 мес. 2021'!_Pi5</definedName>
    <definedName name="Pi5_22" localSheetId="14">'Чистая прибыль с транспортир.'!_Pi5</definedName>
    <definedName name="Pi5_22">_Pi5</definedName>
    <definedName name="Pi5_3" localSheetId="75">'А 2018'!_Pi5</definedName>
    <definedName name="Pi5_3" localSheetId="59">'выпадающие расходы'!_Pi5</definedName>
    <definedName name="Pi5_3" localSheetId="50">'ЗП с факт 3 кв. 2015'!_Pi5</definedName>
    <definedName name="Pi5_3" localSheetId="24">'ПОЛНАЯ СЕБЕСТОИМОСТЬ ВОДА 2021'!_Pi5</definedName>
    <definedName name="Pi5_3" localSheetId="22">'ПОЛНАЯ СЕБЕСТОИМОСТЬ СТОКИ 2021'!_Pi5</definedName>
    <definedName name="Pi5_3" localSheetId="19">'Прил. 1 План ФХД вода '!_Pi5</definedName>
    <definedName name="Pi5_3" localSheetId="15">'Прил. 1 План ФХД с транспортир.'!_Pi5</definedName>
    <definedName name="Pi5_3" localSheetId="18">'Прил. 1 План ФХД стоки'!_Pi5</definedName>
    <definedName name="Pi5_3" localSheetId="17">'Прил. 1 План ФХД трансп. воды'!_Pi5</definedName>
    <definedName name="Pi5_3" localSheetId="16">'Прил. 1 План ФХД трансп. стоков'!_Pi5</definedName>
    <definedName name="Pi5_3" localSheetId="76">'Расчет товарной выручки 2018'!_Pi5</definedName>
    <definedName name="Pi5_3" localSheetId="25">'Расчет товарной выручки 2019'!_Pi5</definedName>
    <definedName name="Pi5_3" localSheetId="20">'Расчет товарной выручки 2021'!_Pi5</definedName>
    <definedName name="Pi5_3" localSheetId="77">'рез к 2017-2023'!_Pi5</definedName>
    <definedName name="Pi5_3" localSheetId="74">'рез к 2018-2024 (кор) '!_Pi5</definedName>
    <definedName name="Pi5_3" localSheetId="13">'Текущий ремонт'!_Pi5</definedName>
    <definedName name="Pi5_3" localSheetId="23">'ФАКТ.СЕБЕСТ.ВОДА 9 мес. 2021'!_Pi5</definedName>
    <definedName name="Pi5_3" localSheetId="21">'ФАКТ.СЕБЕСТ.СТОКИ 9 мес. 2021'!_Pi5</definedName>
    <definedName name="Pi5_3" localSheetId="14">'Чистая прибыль с транспортир.'!_Pi5</definedName>
    <definedName name="Pi5_3">[0]!_Pi5</definedName>
    <definedName name="Pi5_4" localSheetId="75">'А 2018'!_Pi5</definedName>
    <definedName name="Pi5_4" localSheetId="59">'выпадающие расходы'!_Pi5</definedName>
    <definedName name="Pi5_4" localSheetId="50">'ЗП с факт 3 кв. 2015'!_Pi5</definedName>
    <definedName name="Pi5_4" localSheetId="24">'ПОЛНАЯ СЕБЕСТОИМОСТЬ ВОДА 2021'!_Pi5</definedName>
    <definedName name="Pi5_4" localSheetId="22">'ПОЛНАЯ СЕБЕСТОИМОСТЬ СТОКИ 2021'!_Pi5</definedName>
    <definedName name="Pi5_4" localSheetId="19">'Прил. 1 План ФХД вода '!_Pi5</definedName>
    <definedName name="Pi5_4" localSheetId="15">'Прил. 1 План ФХД с транспортир.'!_Pi5</definedName>
    <definedName name="Pi5_4" localSheetId="18">'Прил. 1 План ФХД стоки'!_Pi5</definedName>
    <definedName name="Pi5_4" localSheetId="17">'Прил. 1 План ФХД трансп. воды'!_Pi5</definedName>
    <definedName name="Pi5_4" localSheetId="16">'Прил. 1 План ФХД трансп. стоков'!_Pi5</definedName>
    <definedName name="Pi5_4" localSheetId="76">'Расчет товарной выручки 2018'!_Pi5</definedName>
    <definedName name="Pi5_4" localSheetId="25">'Расчет товарной выручки 2019'!_Pi5</definedName>
    <definedName name="Pi5_4" localSheetId="20">'Расчет товарной выручки 2021'!_Pi5</definedName>
    <definedName name="Pi5_4" localSheetId="77">'рез к 2017-2023'!_Pi5</definedName>
    <definedName name="Pi5_4" localSheetId="74">'рез к 2018-2024 (кор) '!_Pi5</definedName>
    <definedName name="Pi5_4" localSheetId="13">'Текущий ремонт'!_Pi5</definedName>
    <definedName name="Pi5_4" localSheetId="23">'ФАКТ.СЕБЕСТ.ВОДА 9 мес. 2021'!_Pi5</definedName>
    <definedName name="Pi5_4" localSheetId="21">'ФАКТ.СЕБЕСТ.СТОКИ 9 мес. 2021'!_Pi5</definedName>
    <definedName name="Pi5_4" localSheetId="14">'Чистая прибыль с транспортир.'!_Pi5</definedName>
    <definedName name="Pi5_4">_Pi5</definedName>
    <definedName name="Pi5_67" localSheetId="75">'А 2018'!_Pi5</definedName>
    <definedName name="Pi5_67" localSheetId="59">'выпадающие расходы'!_Pi5</definedName>
    <definedName name="Pi5_67" localSheetId="50">'ЗП с факт 3 кв. 2015'!_Pi5</definedName>
    <definedName name="Pi5_67" localSheetId="24">'ПОЛНАЯ СЕБЕСТОИМОСТЬ ВОДА 2021'!_Pi5</definedName>
    <definedName name="Pi5_67" localSheetId="22">'ПОЛНАЯ СЕБЕСТОИМОСТЬ СТОКИ 2021'!_Pi5</definedName>
    <definedName name="Pi5_67" localSheetId="19">'Прил. 1 План ФХД вода '!_Pi5</definedName>
    <definedName name="Pi5_67" localSheetId="15">'Прил. 1 План ФХД с транспортир.'!_Pi5</definedName>
    <definedName name="Pi5_67" localSheetId="18">'Прил. 1 План ФХД стоки'!_Pi5</definedName>
    <definedName name="Pi5_67" localSheetId="17">'Прил. 1 План ФХД трансп. воды'!_Pi5</definedName>
    <definedName name="Pi5_67" localSheetId="16">'Прил. 1 План ФХД трансп. стоков'!_Pi5</definedName>
    <definedName name="Pi5_67" localSheetId="76">'Расчет товарной выручки 2018'!_Pi5</definedName>
    <definedName name="Pi5_67" localSheetId="25">'Расчет товарной выручки 2019'!_Pi5</definedName>
    <definedName name="Pi5_67" localSheetId="20">'Расчет товарной выручки 2021'!_Pi5</definedName>
    <definedName name="Pi5_67" localSheetId="77">'рез к 2017-2023'!_Pi5</definedName>
    <definedName name="Pi5_67" localSheetId="74">'рез к 2018-2024 (кор) '!_Pi5</definedName>
    <definedName name="Pi5_67" localSheetId="13">'Текущий ремонт'!_Pi5</definedName>
    <definedName name="Pi5_67" localSheetId="23">'ФАКТ.СЕБЕСТ.ВОДА 9 мес. 2021'!_Pi5</definedName>
    <definedName name="Pi5_67" localSheetId="21">'ФАКТ.СЕБЕСТ.СТОКИ 9 мес. 2021'!_Pi5</definedName>
    <definedName name="Pi5_67" localSheetId="14">'Чистая прибыль с транспортир.'!_Pi5</definedName>
    <definedName name="Pi5_67">_Pi5</definedName>
    <definedName name="Pi5_70" localSheetId="75">'А 2018'!_Pi5</definedName>
    <definedName name="Pi5_70" localSheetId="59">'выпадающие расходы'!_Pi5</definedName>
    <definedName name="Pi5_70" localSheetId="50">'ЗП с факт 3 кв. 2015'!_Pi5</definedName>
    <definedName name="Pi5_70" localSheetId="24">'ПОЛНАЯ СЕБЕСТОИМОСТЬ ВОДА 2021'!_Pi5</definedName>
    <definedName name="Pi5_70" localSheetId="22">'ПОЛНАЯ СЕБЕСТОИМОСТЬ СТОКИ 2021'!_Pi5</definedName>
    <definedName name="Pi5_70" localSheetId="19">'Прил. 1 План ФХД вода '!_Pi5</definedName>
    <definedName name="Pi5_70" localSheetId="15">'Прил. 1 План ФХД с транспортир.'!_Pi5</definedName>
    <definedName name="Pi5_70" localSheetId="18">'Прил. 1 План ФХД стоки'!_Pi5</definedName>
    <definedName name="Pi5_70" localSheetId="17">'Прил. 1 План ФХД трансп. воды'!_Pi5</definedName>
    <definedName name="Pi5_70" localSheetId="16">'Прил. 1 План ФХД трансп. стоков'!_Pi5</definedName>
    <definedName name="Pi5_70" localSheetId="76">'Расчет товарной выручки 2018'!_Pi5</definedName>
    <definedName name="Pi5_70" localSheetId="25">'Расчет товарной выручки 2019'!_Pi5</definedName>
    <definedName name="Pi5_70" localSheetId="20">'Расчет товарной выручки 2021'!_Pi5</definedName>
    <definedName name="Pi5_70" localSheetId="77">'рез к 2017-2023'!_Pi5</definedName>
    <definedName name="Pi5_70" localSheetId="74">'рез к 2018-2024 (кор) '!_Pi5</definedName>
    <definedName name="Pi5_70" localSheetId="13">'Текущий ремонт'!_Pi5</definedName>
    <definedName name="Pi5_70" localSheetId="23">'ФАКТ.СЕБЕСТ.ВОДА 9 мес. 2021'!_Pi5</definedName>
    <definedName name="Pi5_70" localSheetId="21">'ФАКТ.СЕБЕСТ.СТОКИ 9 мес. 2021'!_Pi5</definedName>
    <definedName name="Pi5_70" localSheetId="14">'Чистая прибыль с транспортир.'!_Pi5</definedName>
    <definedName name="Pi5_70">_Pi5</definedName>
    <definedName name="Pi5_71" localSheetId="75">'А 2018'!_Pi5</definedName>
    <definedName name="Pi5_71" localSheetId="59">'выпадающие расходы'!_Pi5</definedName>
    <definedName name="Pi5_71" localSheetId="50">'ЗП с факт 3 кв. 2015'!_Pi5</definedName>
    <definedName name="Pi5_71" localSheetId="24">'ПОЛНАЯ СЕБЕСТОИМОСТЬ ВОДА 2021'!_Pi5</definedName>
    <definedName name="Pi5_71" localSheetId="22">'ПОЛНАЯ СЕБЕСТОИМОСТЬ СТОКИ 2021'!_Pi5</definedName>
    <definedName name="Pi5_71" localSheetId="19">'Прил. 1 План ФХД вода '!_Pi5</definedName>
    <definedName name="Pi5_71" localSheetId="15">'Прил. 1 План ФХД с транспортир.'!_Pi5</definedName>
    <definedName name="Pi5_71" localSheetId="18">'Прил. 1 План ФХД стоки'!_Pi5</definedName>
    <definedName name="Pi5_71" localSheetId="17">'Прил. 1 План ФХД трансп. воды'!_Pi5</definedName>
    <definedName name="Pi5_71" localSheetId="16">'Прил. 1 План ФХД трансп. стоков'!_Pi5</definedName>
    <definedName name="Pi5_71" localSheetId="76">'Расчет товарной выручки 2018'!_Pi5</definedName>
    <definedName name="Pi5_71" localSheetId="25">'Расчет товарной выручки 2019'!_Pi5</definedName>
    <definedName name="Pi5_71" localSheetId="20">'Расчет товарной выручки 2021'!_Pi5</definedName>
    <definedName name="Pi5_71" localSheetId="77">'рез к 2017-2023'!_Pi5</definedName>
    <definedName name="Pi5_71" localSheetId="74">'рез к 2018-2024 (кор) '!_Pi5</definedName>
    <definedName name="Pi5_71" localSheetId="13">'Текущий ремонт'!_Pi5</definedName>
    <definedName name="Pi5_71" localSheetId="23">'ФАКТ.СЕБЕСТ.ВОДА 9 мес. 2021'!_Pi5</definedName>
    <definedName name="Pi5_71" localSheetId="21">'ФАКТ.СЕБЕСТ.СТОКИ 9 мес. 2021'!_Pi5</definedName>
    <definedName name="Pi5_71" localSheetId="14">'Чистая прибыль с транспортир.'!_Pi5</definedName>
    <definedName name="Pi5_71">_Pi5</definedName>
    <definedName name="Pi5_72" localSheetId="75">'А 2018'!_Pi5</definedName>
    <definedName name="Pi5_72" localSheetId="59">'выпадающие расходы'!_Pi5</definedName>
    <definedName name="Pi5_72" localSheetId="50">'ЗП с факт 3 кв. 2015'!_Pi5</definedName>
    <definedName name="Pi5_72" localSheetId="24">'ПОЛНАЯ СЕБЕСТОИМОСТЬ ВОДА 2021'!_Pi5</definedName>
    <definedName name="Pi5_72" localSheetId="22">'ПОЛНАЯ СЕБЕСТОИМОСТЬ СТОКИ 2021'!_Pi5</definedName>
    <definedName name="Pi5_72" localSheetId="19">'Прил. 1 План ФХД вода '!_Pi5</definedName>
    <definedName name="Pi5_72" localSheetId="15">'Прил. 1 План ФХД с транспортир.'!_Pi5</definedName>
    <definedName name="Pi5_72" localSheetId="18">'Прил. 1 План ФХД стоки'!_Pi5</definedName>
    <definedName name="Pi5_72" localSheetId="17">'Прил. 1 План ФХД трансп. воды'!_Pi5</definedName>
    <definedName name="Pi5_72" localSheetId="16">'Прил. 1 План ФХД трансп. стоков'!_Pi5</definedName>
    <definedName name="Pi5_72" localSheetId="76">'Расчет товарной выручки 2018'!_Pi5</definedName>
    <definedName name="Pi5_72" localSheetId="25">'Расчет товарной выручки 2019'!_Pi5</definedName>
    <definedName name="Pi5_72" localSheetId="20">'Расчет товарной выручки 2021'!_Pi5</definedName>
    <definedName name="Pi5_72" localSheetId="77">'рез к 2017-2023'!_Pi5</definedName>
    <definedName name="Pi5_72" localSheetId="74">'рез к 2018-2024 (кор) '!_Pi5</definedName>
    <definedName name="Pi5_72" localSheetId="13">'Текущий ремонт'!_Pi5</definedName>
    <definedName name="Pi5_72" localSheetId="23">'ФАКТ.СЕБЕСТ.ВОДА 9 мес. 2021'!_Pi5</definedName>
    <definedName name="Pi5_72" localSheetId="21">'ФАКТ.СЕБЕСТ.СТОКИ 9 мес. 2021'!_Pi5</definedName>
    <definedName name="Pi5_72" localSheetId="14">'Чистая прибыль с транспортир.'!_Pi5</definedName>
    <definedName name="Pi5_72">_Pi5</definedName>
    <definedName name="Pi5_74" localSheetId="75">'А 2018'!_Pi5</definedName>
    <definedName name="Pi5_74" localSheetId="59">'выпадающие расходы'!_Pi5</definedName>
    <definedName name="Pi5_74" localSheetId="50">'ЗП с факт 3 кв. 2015'!_Pi5</definedName>
    <definedName name="Pi5_74" localSheetId="24">'ПОЛНАЯ СЕБЕСТОИМОСТЬ ВОДА 2021'!_Pi5</definedName>
    <definedName name="Pi5_74" localSheetId="22">'ПОЛНАЯ СЕБЕСТОИМОСТЬ СТОКИ 2021'!_Pi5</definedName>
    <definedName name="Pi5_74" localSheetId="19">'Прил. 1 План ФХД вода '!_Pi5</definedName>
    <definedName name="Pi5_74" localSheetId="15">'Прил. 1 План ФХД с транспортир.'!_Pi5</definedName>
    <definedName name="Pi5_74" localSheetId="18">'Прил. 1 План ФХД стоки'!_Pi5</definedName>
    <definedName name="Pi5_74" localSheetId="17">'Прил. 1 План ФХД трансп. воды'!_Pi5</definedName>
    <definedName name="Pi5_74" localSheetId="16">'Прил. 1 План ФХД трансп. стоков'!_Pi5</definedName>
    <definedName name="Pi5_74" localSheetId="76">'Расчет товарной выручки 2018'!_Pi5</definedName>
    <definedName name="Pi5_74" localSheetId="25">'Расчет товарной выручки 2019'!_Pi5</definedName>
    <definedName name="Pi5_74" localSheetId="20">'Расчет товарной выручки 2021'!_Pi5</definedName>
    <definedName name="Pi5_74" localSheetId="77">'рез к 2017-2023'!_Pi5</definedName>
    <definedName name="Pi5_74" localSheetId="74">'рез к 2018-2024 (кор) '!_Pi5</definedName>
    <definedName name="Pi5_74" localSheetId="13">'Текущий ремонт'!_Pi5</definedName>
    <definedName name="Pi5_74" localSheetId="23">'ФАКТ.СЕБЕСТ.ВОДА 9 мес. 2021'!_Pi5</definedName>
    <definedName name="Pi5_74" localSheetId="21">'ФАКТ.СЕБЕСТ.СТОКИ 9 мес. 2021'!_Pi5</definedName>
    <definedName name="Pi5_74" localSheetId="14">'Чистая прибыль с транспортир.'!_Pi5</definedName>
    <definedName name="Pi5_74">_Pi5</definedName>
    <definedName name="Pi5_9" localSheetId="75">'А 2018'!_Pi5</definedName>
    <definedName name="Pi5_9" localSheetId="59">'выпадающие расходы'!_Pi5</definedName>
    <definedName name="Pi5_9" localSheetId="50">'ЗП с факт 3 кв. 2015'!_Pi5</definedName>
    <definedName name="Pi5_9" localSheetId="24">'ПОЛНАЯ СЕБЕСТОИМОСТЬ ВОДА 2021'!_Pi5</definedName>
    <definedName name="Pi5_9" localSheetId="22">'ПОЛНАЯ СЕБЕСТОИМОСТЬ СТОКИ 2021'!_Pi5</definedName>
    <definedName name="Pi5_9" localSheetId="19">'Прил. 1 План ФХД вода '!_Pi5</definedName>
    <definedName name="Pi5_9" localSheetId="15">'Прил. 1 План ФХД с транспортир.'!_Pi5</definedName>
    <definedName name="Pi5_9" localSheetId="18">'Прил. 1 План ФХД стоки'!_Pi5</definedName>
    <definedName name="Pi5_9" localSheetId="17">'Прил. 1 План ФХД трансп. воды'!_Pi5</definedName>
    <definedName name="Pi5_9" localSheetId="16">'Прил. 1 План ФХД трансп. стоков'!_Pi5</definedName>
    <definedName name="Pi5_9" localSheetId="76">'Расчет товарной выручки 2018'!_Pi5</definedName>
    <definedName name="Pi5_9" localSheetId="25">'Расчет товарной выручки 2019'!_Pi5</definedName>
    <definedName name="Pi5_9" localSheetId="20">'Расчет товарной выручки 2021'!_Pi5</definedName>
    <definedName name="Pi5_9" localSheetId="77">'рез к 2017-2023'!_Pi5</definedName>
    <definedName name="Pi5_9" localSheetId="74">'рез к 2018-2024 (кор) '!_Pi5</definedName>
    <definedName name="Pi5_9" localSheetId="13">'Текущий ремонт'!_Pi5</definedName>
    <definedName name="Pi5_9" localSheetId="23">'ФАКТ.СЕБЕСТ.ВОДА 9 мес. 2021'!_Pi5</definedName>
    <definedName name="Pi5_9" localSheetId="21">'ФАКТ.СЕБЕСТ.СТОКИ 9 мес. 2021'!_Pi5</definedName>
    <definedName name="Pi5_9" localSheetId="14">'Чистая прибыль с транспортир.'!_Pi5</definedName>
    <definedName name="Pi5_9">_Pi5</definedName>
    <definedName name="TEMPLATE_SPHERE" localSheetId="75">[15]TECHSHEET!$G$2</definedName>
    <definedName name="TEMPLATE_SPHERE" localSheetId="59">[16]TECHSHEET!$G$2</definedName>
    <definedName name="TEMPLATE_SPHERE" localSheetId="24">[15]TECHSHEET!$G$2</definedName>
    <definedName name="TEMPLATE_SPHERE" localSheetId="22">[15]TECHSHEET!$G$2</definedName>
    <definedName name="TEMPLATE_SPHERE" localSheetId="19">[15]TECHSHEET!$G$2</definedName>
    <definedName name="TEMPLATE_SPHERE" localSheetId="15">[15]TECHSHEET!$G$2</definedName>
    <definedName name="TEMPLATE_SPHERE" localSheetId="18">[15]TECHSHEET!$G$2</definedName>
    <definedName name="TEMPLATE_SPHERE" localSheetId="17">[15]TECHSHEET!$G$2</definedName>
    <definedName name="TEMPLATE_SPHERE" localSheetId="16">[15]TECHSHEET!$G$2</definedName>
    <definedName name="TEMPLATE_SPHERE" localSheetId="76">[16]TECHSHEET!$G$2</definedName>
    <definedName name="TEMPLATE_SPHERE" localSheetId="25">[15]TECHSHEET!$G$2</definedName>
    <definedName name="TEMPLATE_SPHERE" localSheetId="20">[16]TECHSHEET!$G$2</definedName>
    <definedName name="TEMPLATE_SPHERE" localSheetId="77">[16]TECHSHEET!$G$2</definedName>
    <definedName name="TEMPLATE_SPHERE" localSheetId="74">[16]TECHSHEET!$G$2</definedName>
    <definedName name="TEMPLATE_SPHERE" localSheetId="13">[15]TECHSHEET!$G$2</definedName>
    <definedName name="TEMPLATE_SPHERE" localSheetId="23">[15]TECHSHEET!$G$2</definedName>
    <definedName name="TEMPLATE_SPHERE" localSheetId="21">[15]TECHSHEET!$G$2</definedName>
    <definedName name="TEMPLATE_SPHERE" localSheetId="14">[15]TECHSHEET!$G$2</definedName>
    <definedName name="TEMPLATE_SPHERE">[17]TECHSHEET!$G$2</definedName>
    <definedName name="TEMPLATE_SPHERE_CODE" localSheetId="75">[15]TECHSHEET!$G$37</definedName>
    <definedName name="TEMPLATE_SPHERE_CODE" localSheetId="59">[16]TECHSHEET!$G$37</definedName>
    <definedName name="TEMPLATE_SPHERE_CODE" localSheetId="24">[15]TECHSHEET!$G$37</definedName>
    <definedName name="TEMPLATE_SPHERE_CODE" localSheetId="22">[15]TECHSHEET!$G$37</definedName>
    <definedName name="TEMPLATE_SPHERE_CODE" localSheetId="19">[15]TECHSHEET!$G$37</definedName>
    <definedName name="TEMPLATE_SPHERE_CODE" localSheetId="15">[15]TECHSHEET!$G$37</definedName>
    <definedName name="TEMPLATE_SPHERE_CODE" localSheetId="18">[15]TECHSHEET!$G$37</definedName>
    <definedName name="TEMPLATE_SPHERE_CODE" localSheetId="17">[15]TECHSHEET!$G$37</definedName>
    <definedName name="TEMPLATE_SPHERE_CODE" localSheetId="16">[15]TECHSHEET!$G$37</definedName>
    <definedName name="TEMPLATE_SPHERE_CODE" localSheetId="76">[16]TECHSHEET!$G$37</definedName>
    <definedName name="TEMPLATE_SPHERE_CODE" localSheetId="25">[15]TECHSHEET!$G$37</definedName>
    <definedName name="TEMPLATE_SPHERE_CODE" localSheetId="20">[16]TECHSHEET!$G$37</definedName>
    <definedName name="TEMPLATE_SPHERE_CODE" localSheetId="77">[16]TECHSHEET!$G$37</definedName>
    <definedName name="TEMPLATE_SPHERE_CODE" localSheetId="74">[16]TECHSHEET!$G$37</definedName>
    <definedName name="TEMPLATE_SPHERE_CODE" localSheetId="13">[15]TECHSHEET!$G$37</definedName>
    <definedName name="TEMPLATE_SPHERE_CODE" localSheetId="23">[15]TECHSHEET!$G$37</definedName>
    <definedName name="TEMPLATE_SPHERE_CODE" localSheetId="21">[15]TECHSHEET!$G$37</definedName>
    <definedName name="TEMPLATE_SPHERE_CODE" localSheetId="14">[15]TECHSHEET!$G$37</definedName>
    <definedName name="TEMPLATE_SPHERE_CODE">[17]TECHSHEET!$G$37</definedName>
    <definedName name="аа" localSheetId="75">'А 2018'!аа</definedName>
    <definedName name="аа" localSheetId="59">#N/A</definedName>
    <definedName name="аа" localSheetId="50">'ЗП с факт 3 кв. 2015'!аа</definedName>
    <definedName name="аа" localSheetId="24">#N/A</definedName>
    <definedName name="аа" localSheetId="22">#N/A</definedName>
    <definedName name="аа" localSheetId="19">#N/A</definedName>
    <definedName name="аа" localSheetId="15">#N/A</definedName>
    <definedName name="аа" localSheetId="18">#N/A</definedName>
    <definedName name="аа" localSheetId="17">#N/A</definedName>
    <definedName name="аа" localSheetId="16">#N/A</definedName>
    <definedName name="аа" localSheetId="76">#N/A</definedName>
    <definedName name="аа" localSheetId="25">#N/A</definedName>
    <definedName name="аа" localSheetId="20">#N/A</definedName>
    <definedName name="аа" localSheetId="77">'рез к 2017-2023'!аа</definedName>
    <definedName name="аа" localSheetId="74">'рез к 2018-2024 (кор) '!аа</definedName>
    <definedName name="аа" localSheetId="13">#N/A</definedName>
    <definedName name="аа" localSheetId="23">#N/A</definedName>
    <definedName name="аа" localSheetId="21">#N/A</definedName>
    <definedName name="аа" localSheetId="14">#N/A</definedName>
    <definedName name="аа">аа</definedName>
    <definedName name="аа_10" localSheetId="75">'А 2018'!аа</definedName>
    <definedName name="аа_10" localSheetId="59">'выпадающие расходы'!аа</definedName>
    <definedName name="аа_10" localSheetId="50">'ЗП с факт 3 кв. 2015'!аа</definedName>
    <definedName name="аа_10" localSheetId="24">'ПОЛНАЯ СЕБЕСТОИМОСТЬ ВОДА 2021'!аа</definedName>
    <definedName name="аа_10" localSheetId="22">'ПОЛНАЯ СЕБЕСТОИМОСТЬ СТОКИ 2021'!аа</definedName>
    <definedName name="аа_10" localSheetId="19">'Прил. 1 План ФХД вода '!аа</definedName>
    <definedName name="аа_10" localSheetId="15">'Прил. 1 План ФХД с транспортир.'!аа</definedName>
    <definedName name="аа_10" localSheetId="18">'Прил. 1 План ФХД стоки'!аа</definedName>
    <definedName name="аа_10" localSheetId="17">'Прил. 1 План ФХД трансп. воды'!аа</definedName>
    <definedName name="аа_10" localSheetId="16">'Прил. 1 План ФХД трансп. стоков'!аа</definedName>
    <definedName name="аа_10" localSheetId="76">'Расчет товарной выручки 2018'!аа</definedName>
    <definedName name="аа_10" localSheetId="25">'Расчет товарной выручки 2019'!аа</definedName>
    <definedName name="аа_10" localSheetId="20">'Расчет товарной выручки 2021'!аа</definedName>
    <definedName name="аа_10" localSheetId="77">'рез к 2017-2023'!аа</definedName>
    <definedName name="аа_10" localSheetId="74">'рез к 2018-2024 (кор) '!аа</definedName>
    <definedName name="аа_10" localSheetId="13">'Текущий ремонт'!аа</definedName>
    <definedName name="аа_10" localSheetId="23">'ФАКТ.СЕБЕСТ.ВОДА 9 мес. 2021'!аа</definedName>
    <definedName name="аа_10" localSheetId="21">'ФАКТ.СЕБЕСТ.СТОКИ 9 мес. 2021'!аа</definedName>
    <definedName name="аа_10" localSheetId="14">'Чистая прибыль с транспортир.'!аа</definedName>
    <definedName name="аа_10">[0]!аа</definedName>
    <definedName name="аа_14" localSheetId="75">'А 2018'!аа</definedName>
    <definedName name="аа_14" localSheetId="59">'выпадающие расходы'!аа</definedName>
    <definedName name="аа_14" localSheetId="50">'ЗП с факт 3 кв. 2015'!аа</definedName>
    <definedName name="аа_14" localSheetId="24">'ПОЛНАЯ СЕБЕСТОИМОСТЬ ВОДА 2021'!аа</definedName>
    <definedName name="аа_14" localSheetId="22">'ПОЛНАЯ СЕБЕСТОИМОСТЬ СТОКИ 2021'!аа</definedName>
    <definedName name="аа_14" localSheetId="19">'Прил. 1 План ФХД вода '!аа</definedName>
    <definedName name="аа_14" localSheetId="15">'Прил. 1 План ФХД с транспортир.'!аа</definedName>
    <definedName name="аа_14" localSheetId="18">'Прил. 1 План ФХД стоки'!аа</definedName>
    <definedName name="аа_14" localSheetId="17">'Прил. 1 План ФХД трансп. воды'!аа</definedName>
    <definedName name="аа_14" localSheetId="16">'Прил. 1 План ФХД трансп. стоков'!аа</definedName>
    <definedName name="аа_14" localSheetId="76">'Расчет товарной выручки 2018'!аа</definedName>
    <definedName name="аа_14" localSheetId="25">'Расчет товарной выручки 2019'!аа</definedName>
    <definedName name="аа_14" localSheetId="20">'Расчет товарной выручки 2021'!аа</definedName>
    <definedName name="аа_14" localSheetId="77">'рез к 2017-2023'!аа</definedName>
    <definedName name="аа_14" localSheetId="74">'рез к 2018-2024 (кор) '!аа</definedName>
    <definedName name="аа_14" localSheetId="13">'Текущий ремонт'!аа</definedName>
    <definedName name="аа_14" localSheetId="23">'ФАКТ.СЕБЕСТ.ВОДА 9 мес. 2021'!аа</definedName>
    <definedName name="аа_14" localSheetId="21">'ФАКТ.СЕБЕСТ.СТОКИ 9 мес. 2021'!аа</definedName>
    <definedName name="аа_14" localSheetId="14">'Чистая прибыль с транспортир.'!аа</definedName>
    <definedName name="аа_14">[0]!аа</definedName>
    <definedName name="аа_15" localSheetId="75">'А 2018'!аа</definedName>
    <definedName name="аа_15" localSheetId="59">'выпадающие расходы'!аа</definedName>
    <definedName name="аа_15" localSheetId="50">'ЗП с факт 3 кв. 2015'!аа</definedName>
    <definedName name="аа_15" localSheetId="24">'ПОЛНАЯ СЕБЕСТОИМОСТЬ ВОДА 2021'!аа</definedName>
    <definedName name="аа_15" localSheetId="22">'ПОЛНАЯ СЕБЕСТОИМОСТЬ СТОКИ 2021'!аа</definedName>
    <definedName name="аа_15" localSheetId="19">'Прил. 1 План ФХД вода '!аа</definedName>
    <definedName name="аа_15" localSheetId="15">'Прил. 1 План ФХД с транспортир.'!аа</definedName>
    <definedName name="аа_15" localSheetId="18">'Прил. 1 План ФХД стоки'!аа</definedName>
    <definedName name="аа_15" localSheetId="17">'Прил. 1 План ФХД трансп. воды'!аа</definedName>
    <definedName name="аа_15" localSheetId="16">'Прил. 1 План ФХД трансп. стоков'!аа</definedName>
    <definedName name="аа_15" localSheetId="76">'Расчет товарной выручки 2018'!аа</definedName>
    <definedName name="аа_15" localSheetId="25">'Расчет товарной выручки 2019'!аа</definedName>
    <definedName name="аа_15" localSheetId="20">'Расчет товарной выручки 2021'!аа</definedName>
    <definedName name="аа_15" localSheetId="77">'рез к 2017-2023'!аа</definedName>
    <definedName name="аа_15" localSheetId="74">'рез к 2018-2024 (кор) '!аа</definedName>
    <definedName name="аа_15" localSheetId="13">'Текущий ремонт'!аа</definedName>
    <definedName name="аа_15" localSheetId="23">'ФАКТ.СЕБЕСТ.ВОДА 9 мес. 2021'!аа</definedName>
    <definedName name="аа_15" localSheetId="21">'ФАКТ.СЕБЕСТ.СТОКИ 9 мес. 2021'!аа</definedName>
    <definedName name="аа_15" localSheetId="14">'Чистая прибыль с транспортир.'!аа</definedName>
    <definedName name="аа_15">[0]!аа</definedName>
    <definedName name="аа_16" localSheetId="75">'А 2018'!аа</definedName>
    <definedName name="аа_16" localSheetId="59">'выпадающие расходы'!аа</definedName>
    <definedName name="аа_16" localSheetId="50">'ЗП с факт 3 кв. 2015'!аа</definedName>
    <definedName name="аа_16" localSheetId="24">'ПОЛНАЯ СЕБЕСТОИМОСТЬ ВОДА 2021'!аа</definedName>
    <definedName name="аа_16" localSheetId="22">'ПОЛНАЯ СЕБЕСТОИМОСТЬ СТОКИ 2021'!аа</definedName>
    <definedName name="аа_16" localSheetId="19">'Прил. 1 План ФХД вода '!аа</definedName>
    <definedName name="аа_16" localSheetId="15">'Прил. 1 План ФХД с транспортир.'!аа</definedName>
    <definedName name="аа_16" localSheetId="18">'Прил. 1 План ФХД стоки'!аа</definedName>
    <definedName name="аа_16" localSheetId="17">'Прил. 1 План ФХД трансп. воды'!аа</definedName>
    <definedName name="аа_16" localSheetId="16">'Прил. 1 План ФХД трансп. стоков'!аа</definedName>
    <definedName name="аа_16" localSheetId="76">'Расчет товарной выручки 2018'!аа</definedName>
    <definedName name="аа_16" localSheetId="25">'Расчет товарной выручки 2019'!аа</definedName>
    <definedName name="аа_16" localSheetId="20">'Расчет товарной выручки 2021'!аа</definedName>
    <definedName name="аа_16" localSheetId="77">'рез к 2017-2023'!аа</definedName>
    <definedName name="аа_16" localSheetId="74">'рез к 2018-2024 (кор) '!аа</definedName>
    <definedName name="аа_16" localSheetId="13">'Текущий ремонт'!аа</definedName>
    <definedName name="аа_16" localSheetId="23">'ФАКТ.СЕБЕСТ.ВОДА 9 мес. 2021'!аа</definedName>
    <definedName name="аа_16" localSheetId="21">'ФАКТ.СЕБЕСТ.СТОКИ 9 мес. 2021'!аа</definedName>
    <definedName name="аа_16" localSheetId="14">'Чистая прибыль с транспортир.'!аа</definedName>
    <definedName name="аа_16">[0]!аа</definedName>
    <definedName name="аа_2" localSheetId="75">'А 2018'!аа</definedName>
    <definedName name="аа_2" localSheetId="59">'выпадающие расходы'!аа</definedName>
    <definedName name="аа_2" localSheetId="50">'ЗП с факт 3 кв. 2015'!аа</definedName>
    <definedName name="аа_2" localSheetId="24">'ПОЛНАЯ СЕБЕСТОИМОСТЬ ВОДА 2021'!аа</definedName>
    <definedName name="аа_2" localSheetId="22">'ПОЛНАЯ СЕБЕСТОИМОСТЬ СТОКИ 2021'!аа</definedName>
    <definedName name="аа_2" localSheetId="19">'Прил. 1 План ФХД вода '!аа</definedName>
    <definedName name="аа_2" localSheetId="15">'Прил. 1 План ФХД с транспортир.'!аа</definedName>
    <definedName name="аа_2" localSheetId="18">'Прил. 1 План ФХД стоки'!аа</definedName>
    <definedName name="аа_2" localSheetId="17">'Прил. 1 План ФХД трансп. воды'!аа</definedName>
    <definedName name="аа_2" localSheetId="16">'Прил. 1 План ФХД трансп. стоков'!аа</definedName>
    <definedName name="аа_2" localSheetId="76">'Расчет товарной выручки 2018'!аа</definedName>
    <definedName name="аа_2" localSheetId="25">'Расчет товарной выручки 2019'!аа</definedName>
    <definedName name="аа_2" localSheetId="20">'Расчет товарной выручки 2021'!аа</definedName>
    <definedName name="аа_2" localSheetId="77">'рез к 2017-2023'!аа</definedName>
    <definedName name="аа_2" localSheetId="74">'рез к 2018-2024 (кор) '!аа</definedName>
    <definedName name="аа_2" localSheetId="13">'Текущий ремонт'!аа</definedName>
    <definedName name="аа_2" localSheetId="23">'ФАКТ.СЕБЕСТ.ВОДА 9 мес. 2021'!аа</definedName>
    <definedName name="аа_2" localSheetId="21">'ФАКТ.СЕБЕСТ.СТОКИ 9 мес. 2021'!аа</definedName>
    <definedName name="аа_2" localSheetId="14">'Чистая прибыль с транспортир.'!аа</definedName>
    <definedName name="аа_2">[0]!аа</definedName>
    <definedName name="апапа" localSheetId="75">'А 2018'!_Pi4</definedName>
    <definedName name="апапа" localSheetId="59">'выпадающие расходы'!_Pi4</definedName>
    <definedName name="апапа" localSheetId="50">'ЗП с факт 3 кв. 2015'!_Pi4</definedName>
    <definedName name="апапа" localSheetId="24">'ПОЛНАЯ СЕБЕСТОИМОСТЬ ВОДА 2021'!_Pi4</definedName>
    <definedName name="апапа" localSheetId="22">'ПОЛНАЯ СЕБЕСТОИМОСТЬ СТОКИ 2021'!_Pi4</definedName>
    <definedName name="апапа" localSheetId="19">'Прил. 1 План ФХД вода '!_Pi4</definedName>
    <definedName name="апапа" localSheetId="15">'Прил. 1 План ФХД с транспортир.'!_Pi4</definedName>
    <definedName name="апапа" localSheetId="18">'Прил. 1 План ФХД стоки'!_Pi4</definedName>
    <definedName name="апапа" localSheetId="17">'Прил. 1 План ФХД трансп. воды'!_Pi4</definedName>
    <definedName name="апапа" localSheetId="16">'Прил. 1 План ФХД трансп. стоков'!_Pi4</definedName>
    <definedName name="апапа" localSheetId="76">'Расчет товарной выручки 2018'!_Pi4</definedName>
    <definedName name="апапа" localSheetId="25">'Расчет товарной выручки 2019'!_Pi4</definedName>
    <definedName name="апапа" localSheetId="20">'Расчет товарной выручки 2021'!_Pi4</definedName>
    <definedName name="апапа" localSheetId="77">'рез к 2017-2023'!_Pi4</definedName>
    <definedName name="апапа" localSheetId="74">'рез к 2018-2024 (кор) '!_Pi4</definedName>
    <definedName name="апапа" localSheetId="13">'Текущий ремонт'!_Pi4</definedName>
    <definedName name="апапа" localSheetId="23">'ФАКТ.СЕБЕСТ.ВОДА 9 мес. 2021'!_Pi4</definedName>
    <definedName name="апапа" localSheetId="21">'ФАКТ.СЕБЕСТ.СТОКИ 9 мес. 2021'!_Pi4</definedName>
    <definedName name="апапа" localSheetId="14">'Чистая прибыль с транспортир.'!_Pi4</definedName>
    <definedName name="апапа">[0]!_Pi4</definedName>
    <definedName name="апапа_1" localSheetId="75">'А 2018'!_Pi4</definedName>
    <definedName name="апапа_1" localSheetId="59">'выпадающие расходы'!_Pi4</definedName>
    <definedName name="апапа_1" localSheetId="50">'ЗП с факт 3 кв. 2015'!_Pi4</definedName>
    <definedName name="апапа_1" localSheetId="24">'ПОЛНАЯ СЕБЕСТОИМОСТЬ ВОДА 2021'!_Pi4</definedName>
    <definedName name="апапа_1" localSheetId="22">'ПОЛНАЯ СЕБЕСТОИМОСТЬ СТОКИ 2021'!_Pi4</definedName>
    <definedName name="апапа_1" localSheetId="19">'Прил. 1 План ФХД вода '!_Pi4</definedName>
    <definedName name="апапа_1" localSheetId="15">'Прил. 1 План ФХД с транспортир.'!_Pi4</definedName>
    <definedName name="апапа_1" localSheetId="18">'Прил. 1 План ФХД стоки'!_Pi4</definedName>
    <definedName name="апапа_1" localSheetId="17">'Прил. 1 План ФХД трансп. воды'!_Pi4</definedName>
    <definedName name="апапа_1" localSheetId="16">'Прил. 1 План ФХД трансп. стоков'!_Pi4</definedName>
    <definedName name="апапа_1" localSheetId="76">'Расчет товарной выручки 2018'!_Pi4</definedName>
    <definedName name="апапа_1" localSheetId="25">'Расчет товарной выручки 2019'!_Pi4</definedName>
    <definedName name="апапа_1" localSheetId="20">'Расчет товарной выручки 2021'!_Pi4</definedName>
    <definedName name="апапа_1" localSheetId="77">'рез к 2017-2023'!_Pi4</definedName>
    <definedName name="апапа_1" localSheetId="74">'рез к 2018-2024 (кор) '!_Pi4</definedName>
    <definedName name="апапа_1" localSheetId="13">'Текущий ремонт'!_Pi4</definedName>
    <definedName name="апапа_1" localSheetId="23">'ФАКТ.СЕБЕСТ.ВОДА 9 мес. 2021'!_Pi4</definedName>
    <definedName name="апапа_1" localSheetId="21">'ФАКТ.СЕБЕСТ.СТОКИ 9 мес. 2021'!_Pi4</definedName>
    <definedName name="апапа_1" localSheetId="14">'Чистая прибыль с транспортир.'!_Pi4</definedName>
    <definedName name="апапа_1">[0]!_Pi4</definedName>
    <definedName name="апапа_13" localSheetId="75">'А 2018'!_Pi4</definedName>
    <definedName name="апапа_13" localSheetId="59">'выпадающие расходы'!_Pi4</definedName>
    <definedName name="апапа_13" localSheetId="50">'ЗП с факт 3 кв. 2015'!_Pi4</definedName>
    <definedName name="апапа_13" localSheetId="24">'ПОЛНАЯ СЕБЕСТОИМОСТЬ ВОДА 2021'!_Pi4</definedName>
    <definedName name="апапа_13" localSheetId="22">'ПОЛНАЯ СЕБЕСТОИМОСТЬ СТОКИ 2021'!_Pi4</definedName>
    <definedName name="апапа_13" localSheetId="19">'Прил. 1 План ФХД вода '!_Pi4</definedName>
    <definedName name="апапа_13" localSheetId="15">'Прил. 1 План ФХД с транспортир.'!_Pi4</definedName>
    <definedName name="апапа_13" localSheetId="18">'Прил. 1 План ФХД стоки'!_Pi4</definedName>
    <definedName name="апапа_13" localSheetId="17">'Прил. 1 План ФХД трансп. воды'!_Pi4</definedName>
    <definedName name="апапа_13" localSheetId="16">'Прил. 1 План ФХД трансп. стоков'!_Pi4</definedName>
    <definedName name="апапа_13" localSheetId="76">'Расчет товарной выручки 2018'!_Pi4</definedName>
    <definedName name="апапа_13" localSheetId="25">'Расчет товарной выручки 2019'!_Pi4</definedName>
    <definedName name="апапа_13" localSheetId="20">'Расчет товарной выручки 2021'!_Pi4</definedName>
    <definedName name="апапа_13" localSheetId="77">'рез к 2017-2023'!_Pi4</definedName>
    <definedName name="апапа_13" localSheetId="74">'рез к 2018-2024 (кор) '!_Pi4</definedName>
    <definedName name="апапа_13" localSheetId="13">'Текущий ремонт'!_Pi4</definedName>
    <definedName name="апапа_13" localSheetId="23">'ФАКТ.СЕБЕСТ.ВОДА 9 мес. 2021'!_Pi4</definedName>
    <definedName name="апапа_13" localSheetId="21">'ФАКТ.СЕБЕСТ.СТОКИ 9 мес. 2021'!_Pi4</definedName>
    <definedName name="апапа_13" localSheetId="14">'Чистая прибыль с транспортир.'!_Pi4</definedName>
    <definedName name="апапа_13">[0]!_Pi4</definedName>
    <definedName name="апапа_2" localSheetId="75">'А 2018'!_Pi4</definedName>
    <definedName name="апапа_2" localSheetId="59">'выпадающие расходы'!_Pi4</definedName>
    <definedName name="апапа_2" localSheetId="50">'ЗП с факт 3 кв. 2015'!_Pi4</definedName>
    <definedName name="апапа_2" localSheetId="24">'ПОЛНАЯ СЕБЕСТОИМОСТЬ ВОДА 2021'!_Pi4</definedName>
    <definedName name="апапа_2" localSheetId="22">'ПОЛНАЯ СЕБЕСТОИМОСТЬ СТОКИ 2021'!_Pi4</definedName>
    <definedName name="апапа_2" localSheetId="19">'Прил. 1 План ФХД вода '!_Pi4</definedName>
    <definedName name="апапа_2" localSheetId="15">'Прил. 1 План ФХД с транспортир.'!_Pi4</definedName>
    <definedName name="апапа_2" localSheetId="18">'Прил. 1 План ФХД стоки'!_Pi4</definedName>
    <definedName name="апапа_2" localSheetId="17">'Прил. 1 План ФХД трансп. воды'!_Pi4</definedName>
    <definedName name="апапа_2" localSheetId="16">'Прил. 1 План ФХД трансп. стоков'!_Pi4</definedName>
    <definedName name="апапа_2" localSheetId="76">'Расчет товарной выручки 2018'!_Pi4</definedName>
    <definedName name="апапа_2" localSheetId="25">'Расчет товарной выручки 2019'!_Pi4</definedName>
    <definedName name="апапа_2" localSheetId="20">'Расчет товарной выручки 2021'!_Pi4</definedName>
    <definedName name="апапа_2" localSheetId="77">'рез к 2017-2023'!_Pi4</definedName>
    <definedName name="апапа_2" localSheetId="74">'рез к 2018-2024 (кор) '!_Pi4</definedName>
    <definedName name="апапа_2" localSheetId="13">'Текущий ремонт'!_Pi4</definedName>
    <definedName name="апапа_2" localSheetId="23">'ФАКТ.СЕБЕСТ.ВОДА 9 мес. 2021'!_Pi4</definedName>
    <definedName name="апапа_2" localSheetId="21">'ФАКТ.СЕБЕСТ.СТОКИ 9 мес. 2021'!_Pi4</definedName>
    <definedName name="апапа_2" localSheetId="14">'Чистая прибыль с транспортир.'!_Pi4</definedName>
    <definedName name="апапа_2">[0]!_Pi4</definedName>
    <definedName name="апквуцыыыыы">#N/A</definedName>
    <definedName name="б" localSheetId="75">'А 2018'!б</definedName>
    <definedName name="б" localSheetId="59">#N/A</definedName>
    <definedName name="б" localSheetId="50">'ЗП с факт 3 кв. 2015'!б</definedName>
    <definedName name="б" localSheetId="24">#N/A</definedName>
    <definedName name="б" localSheetId="22">#N/A</definedName>
    <definedName name="б" localSheetId="19">#N/A</definedName>
    <definedName name="б" localSheetId="15">#N/A</definedName>
    <definedName name="б" localSheetId="18">#N/A</definedName>
    <definedName name="б" localSheetId="17">#N/A</definedName>
    <definedName name="б" localSheetId="16">#N/A</definedName>
    <definedName name="б" localSheetId="76">#N/A</definedName>
    <definedName name="б" localSheetId="25">#N/A</definedName>
    <definedName name="б" localSheetId="20">#N/A</definedName>
    <definedName name="б" localSheetId="77">'рез к 2017-2023'!б</definedName>
    <definedName name="б" localSheetId="74">'рез к 2018-2024 (кор) '!б</definedName>
    <definedName name="б" localSheetId="13">#N/A</definedName>
    <definedName name="б" localSheetId="23">#N/A</definedName>
    <definedName name="б" localSheetId="21">#N/A</definedName>
    <definedName name="б" localSheetId="14">#N/A</definedName>
    <definedName name="б">б</definedName>
    <definedName name="б_10" localSheetId="75">'А 2018'!б</definedName>
    <definedName name="б_10" localSheetId="59">'выпадающие расходы'!б</definedName>
    <definedName name="б_10" localSheetId="50">'ЗП с факт 3 кв. 2015'!б</definedName>
    <definedName name="б_10" localSheetId="24">'ПОЛНАЯ СЕБЕСТОИМОСТЬ ВОДА 2021'!б</definedName>
    <definedName name="б_10" localSheetId="22">'ПОЛНАЯ СЕБЕСТОИМОСТЬ СТОКИ 2021'!б</definedName>
    <definedName name="б_10" localSheetId="19">'Прил. 1 План ФХД вода '!б</definedName>
    <definedName name="б_10" localSheetId="15">'Прил. 1 План ФХД с транспортир.'!б</definedName>
    <definedName name="б_10" localSheetId="18">'Прил. 1 План ФХД стоки'!б</definedName>
    <definedName name="б_10" localSheetId="17">'Прил. 1 План ФХД трансп. воды'!б</definedName>
    <definedName name="б_10" localSheetId="16">'Прил. 1 План ФХД трансп. стоков'!б</definedName>
    <definedName name="б_10" localSheetId="76">'Расчет товарной выручки 2018'!б</definedName>
    <definedName name="б_10" localSheetId="25">'Расчет товарной выручки 2019'!б</definedName>
    <definedName name="б_10" localSheetId="20">'Расчет товарной выручки 2021'!б</definedName>
    <definedName name="б_10" localSheetId="77">'рез к 2017-2023'!б</definedName>
    <definedName name="б_10" localSheetId="74">'рез к 2018-2024 (кор) '!б</definedName>
    <definedName name="б_10" localSheetId="13">'Текущий ремонт'!б</definedName>
    <definedName name="б_10" localSheetId="23">'ФАКТ.СЕБЕСТ.ВОДА 9 мес. 2021'!б</definedName>
    <definedName name="б_10" localSheetId="21">'ФАКТ.СЕБЕСТ.СТОКИ 9 мес. 2021'!б</definedName>
    <definedName name="б_10" localSheetId="14">'Чистая прибыль с транспортир.'!б</definedName>
    <definedName name="б_10">[0]!б</definedName>
    <definedName name="б_14" localSheetId="75">'А 2018'!б</definedName>
    <definedName name="б_14" localSheetId="59">'выпадающие расходы'!б</definedName>
    <definedName name="б_14" localSheetId="50">'ЗП с факт 3 кв. 2015'!б</definedName>
    <definedName name="б_14" localSheetId="24">'ПОЛНАЯ СЕБЕСТОИМОСТЬ ВОДА 2021'!б</definedName>
    <definedName name="б_14" localSheetId="22">'ПОЛНАЯ СЕБЕСТОИМОСТЬ СТОКИ 2021'!б</definedName>
    <definedName name="б_14" localSheetId="19">'Прил. 1 План ФХД вода '!б</definedName>
    <definedName name="б_14" localSheetId="15">'Прил. 1 План ФХД с транспортир.'!б</definedName>
    <definedName name="б_14" localSheetId="18">'Прил. 1 План ФХД стоки'!б</definedName>
    <definedName name="б_14" localSheetId="17">'Прил. 1 План ФХД трансп. воды'!б</definedName>
    <definedName name="б_14" localSheetId="16">'Прил. 1 План ФХД трансп. стоков'!б</definedName>
    <definedName name="б_14" localSheetId="76">'Расчет товарной выручки 2018'!б</definedName>
    <definedName name="б_14" localSheetId="25">'Расчет товарной выручки 2019'!б</definedName>
    <definedName name="б_14" localSheetId="20">'Расчет товарной выручки 2021'!б</definedName>
    <definedName name="б_14" localSheetId="77">'рез к 2017-2023'!б</definedName>
    <definedName name="б_14" localSheetId="74">'рез к 2018-2024 (кор) '!б</definedName>
    <definedName name="б_14" localSheetId="13">'Текущий ремонт'!б</definedName>
    <definedName name="б_14" localSheetId="23">'ФАКТ.СЕБЕСТ.ВОДА 9 мес. 2021'!б</definedName>
    <definedName name="б_14" localSheetId="21">'ФАКТ.СЕБЕСТ.СТОКИ 9 мес. 2021'!б</definedName>
    <definedName name="б_14" localSheetId="14">'Чистая прибыль с транспортир.'!б</definedName>
    <definedName name="б_14">[0]!б</definedName>
    <definedName name="б_15" localSheetId="75">'А 2018'!б</definedName>
    <definedName name="б_15" localSheetId="59">'выпадающие расходы'!б</definedName>
    <definedName name="б_15" localSheetId="50">'ЗП с факт 3 кв. 2015'!б</definedName>
    <definedName name="б_15" localSheetId="24">'ПОЛНАЯ СЕБЕСТОИМОСТЬ ВОДА 2021'!б</definedName>
    <definedName name="б_15" localSheetId="22">'ПОЛНАЯ СЕБЕСТОИМОСТЬ СТОКИ 2021'!б</definedName>
    <definedName name="б_15" localSheetId="19">'Прил. 1 План ФХД вода '!б</definedName>
    <definedName name="б_15" localSheetId="15">'Прил. 1 План ФХД с транспортир.'!б</definedName>
    <definedName name="б_15" localSheetId="18">'Прил. 1 План ФХД стоки'!б</definedName>
    <definedName name="б_15" localSheetId="17">'Прил. 1 План ФХД трансп. воды'!б</definedName>
    <definedName name="б_15" localSheetId="16">'Прил. 1 План ФХД трансп. стоков'!б</definedName>
    <definedName name="б_15" localSheetId="76">'Расчет товарной выручки 2018'!б</definedName>
    <definedName name="б_15" localSheetId="25">'Расчет товарной выручки 2019'!б</definedName>
    <definedName name="б_15" localSheetId="20">'Расчет товарной выручки 2021'!б</definedName>
    <definedName name="б_15" localSheetId="77">'рез к 2017-2023'!б</definedName>
    <definedName name="б_15" localSheetId="74">'рез к 2018-2024 (кор) '!б</definedName>
    <definedName name="б_15" localSheetId="13">'Текущий ремонт'!б</definedName>
    <definedName name="б_15" localSheetId="23">'ФАКТ.СЕБЕСТ.ВОДА 9 мес. 2021'!б</definedName>
    <definedName name="б_15" localSheetId="21">'ФАКТ.СЕБЕСТ.СТОКИ 9 мес. 2021'!б</definedName>
    <definedName name="б_15" localSheetId="14">'Чистая прибыль с транспортир.'!б</definedName>
    <definedName name="б_15">[0]!б</definedName>
    <definedName name="б_16" localSheetId="75">'А 2018'!б</definedName>
    <definedName name="б_16" localSheetId="59">'выпадающие расходы'!б</definedName>
    <definedName name="б_16" localSheetId="50">'ЗП с факт 3 кв. 2015'!б</definedName>
    <definedName name="б_16" localSheetId="24">'ПОЛНАЯ СЕБЕСТОИМОСТЬ ВОДА 2021'!б</definedName>
    <definedName name="б_16" localSheetId="22">'ПОЛНАЯ СЕБЕСТОИМОСТЬ СТОКИ 2021'!б</definedName>
    <definedName name="б_16" localSheetId="19">'Прил. 1 План ФХД вода '!б</definedName>
    <definedName name="б_16" localSheetId="15">'Прил. 1 План ФХД с транспортир.'!б</definedName>
    <definedName name="б_16" localSheetId="18">'Прил. 1 План ФХД стоки'!б</definedName>
    <definedName name="б_16" localSheetId="17">'Прил. 1 План ФХД трансп. воды'!б</definedName>
    <definedName name="б_16" localSheetId="16">'Прил. 1 План ФХД трансп. стоков'!б</definedName>
    <definedName name="б_16" localSheetId="76">'Расчет товарной выручки 2018'!б</definedName>
    <definedName name="б_16" localSheetId="25">'Расчет товарной выручки 2019'!б</definedName>
    <definedName name="б_16" localSheetId="20">'Расчет товарной выручки 2021'!б</definedName>
    <definedName name="б_16" localSheetId="77">'рез к 2017-2023'!б</definedName>
    <definedName name="б_16" localSheetId="74">'рез к 2018-2024 (кор) '!б</definedName>
    <definedName name="б_16" localSheetId="13">'Текущий ремонт'!б</definedName>
    <definedName name="б_16" localSheetId="23">'ФАКТ.СЕБЕСТ.ВОДА 9 мес. 2021'!б</definedName>
    <definedName name="б_16" localSheetId="21">'ФАКТ.СЕБЕСТ.СТОКИ 9 мес. 2021'!б</definedName>
    <definedName name="б_16" localSheetId="14">'Чистая прибыль с транспортир.'!б</definedName>
    <definedName name="б_16">[0]!б</definedName>
    <definedName name="б_2" localSheetId="75">'А 2018'!б</definedName>
    <definedName name="б_2" localSheetId="59">'выпадающие расходы'!б</definedName>
    <definedName name="б_2" localSheetId="50">'ЗП с факт 3 кв. 2015'!б</definedName>
    <definedName name="б_2" localSheetId="24">'ПОЛНАЯ СЕБЕСТОИМОСТЬ ВОДА 2021'!б</definedName>
    <definedName name="б_2" localSheetId="22">'ПОЛНАЯ СЕБЕСТОИМОСТЬ СТОКИ 2021'!б</definedName>
    <definedName name="б_2" localSheetId="19">'Прил. 1 План ФХД вода '!б</definedName>
    <definedName name="б_2" localSheetId="15">'Прил. 1 План ФХД с транспортир.'!б</definedName>
    <definedName name="б_2" localSheetId="18">'Прил. 1 План ФХД стоки'!б</definedName>
    <definedName name="б_2" localSheetId="17">'Прил. 1 План ФХД трансп. воды'!б</definedName>
    <definedName name="б_2" localSheetId="16">'Прил. 1 План ФХД трансп. стоков'!б</definedName>
    <definedName name="б_2" localSheetId="76">'Расчет товарной выручки 2018'!б</definedName>
    <definedName name="б_2" localSheetId="25">'Расчет товарной выручки 2019'!б</definedName>
    <definedName name="б_2" localSheetId="20">'Расчет товарной выручки 2021'!б</definedName>
    <definedName name="б_2" localSheetId="77">'рез к 2017-2023'!б</definedName>
    <definedName name="б_2" localSheetId="74">'рез к 2018-2024 (кор) '!б</definedName>
    <definedName name="б_2" localSheetId="13">'Текущий ремонт'!б</definedName>
    <definedName name="б_2" localSheetId="23">'ФАКТ.СЕБЕСТ.ВОДА 9 мес. 2021'!б</definedName>
    <definedName name="б_2" localSheetId="21">'ФАКТ.СЕБЕСТ.СТОКИ 9 мес. 2021'!б</definedName>
    <definedName name="б_2" localSheetId="14">'Чистая прибыль с транспортир.'!б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75">'А 2018'!в</definedName>
    <definedName name="в" localSheetId="59">#N/A</definedName>
    <definedName name="в" localSheetId="50">'ЗП с факт 3 кв. 2015'!в</definedName>
    <definedName name="в" localSheetId="24">#N/A</definedName>
    <definedName name="в" localSheetId="22">#N/A</definedName>
    <definedName name="в" localSheetId="19">#N/A</definedName>
    <definedName name="в" localSheetId="15">#N/A</definedName>
    <definedName name="в" localSheetId="18">#N/A</definedName>
    <definedName name="в" localSheetId="17">#N/A</definedName>
    <definedName name="в" localSheetId="16">#N/A</definedName>
    <definedName name="в" localSheetId="76">#N/A</definedName>
    <definedName name="в" localSheetId="25">#N/A</definedName>
    <definedName name="в" localSheetId="20">#N/A</definedName>
    <definedName name="в" localSheetId="77">'рез к 2017-2023'!в</definedName>
    <definedName name="в" localSheetId="74">'рез к 2018-2024 (кор) '!в</definedName>
    <definedName name="в" localSheetId="13">#N/A</definedName>
    <definedName name="в" localSheetId="23">#N/A</definedName>
    <definedName name="в" localSheetId="21">#N/A</definedName>
    <definedName name="в" localSheetId="14">#N/A</definedName>
    <definedName name="в">в</definedName>
    <definedName name="в_10" localSheetId="75">'А 2018'!в</definedName>
    <definedName name="в_10" localSheetId="59">'выпадающие расходы'!в</definedName>
    <definedName name="в_10" localSheetId="50">'ЗП с факт 3 кв. 2015'!в</definedName>
    <definedName name="в_10" localSheetId="24">'ПОЛНАЯ СЕБЕСТОИМОСТЬ ВОДА 2021'!в</definedName>
    <definedName name="в_10" localSheetId="22">'ПОЛНАЯ СЕБЕСТОИМОСТЬ СТОКИ 2021'!в</definedName>
    <definedName name="в_10" localSheetId="19">'Прил. 1 План ФХД вода '!в</definedName>
    <definedName name="в_10" localSheetId="15">'Прил. 1 План ФХД с транспортир.'!в</definedName>
    <definedName name="в_10" localSheetId="18">'Прил. 1 План ФХД стоки'!в</definedName>
    <definedName name="в_10" localSheetId="17">'Прил. 1 План ФХД трансп. воды'!в</definedName>
    <definedName name="в_10" localSheetId="16">'Прил. 1 План ФХД трансп. стоков'!в</definedName>
    <definedName name="в_10" localSheetId="76">'Расчет товарной выручки 2018'!в</definedName>
    <definedName name="в_10" localSheetId="25">'Расчет товарной выручки 2019'!в</definedName>
    <definedName name="в_10" localSheetId="20">'Расчет товарной выручки 2021'!в</definedName>
    <definedName name="в_10" localSheetId="77">'рез к 2017-2023'!в</definedName>
    <definedName name="в_10" localSheetId="74">'рез к 2018-2024 (кор) '!в</definedName>
    <definedName name="в_10" localSheetId="13">'Текущий ремонт'!в</definedName>
    <definedName name="в_10" localSheetId="23">'ФАКТ.СЕБЕСТ.ВОДА 9 мес. 2021'!в</definedName>
    <definedName name="в_10" localSheetId="21">'ФАКТ.СЕБЕСТ.СТОКИ 9 мес. 2021'!в</definedName>
    <definedName name="в_10" localSheetId="14">'Чистая прибыль с транспортир.'!в</definedName>
    <definedName name="в_10">[0]!в</definedName>
    <definedName name="в_14" localSheetId="75">'А 2018'!в</definedName>
    <definedName name="в_14" localSheetId="59">'выпадающие расходы'!в</definedName>
    <definedName name="в_14" localSheetId="50">'ЗП с факт 3 кв. 2015'!в</definedName>
    <definedName name="в_14" localSheetId="24">'ПОЛНАЯ СЕБЕСТОИМОСТЬ ВОДА 2021'!в</definedName>
    <definedName name="в_14" localSheetId="22">'ПОЛНАЯ СЕБЕСТОИМОСТЬ СТОКИ 2021'!в</definedName>
    <definedName name="в_14" localSheetId="19">'Прил. 1 План ФХД вода '!в</definedName>
    <definedName name="в_14" localSheetId="15">'Прил. 1 План ФХД с транспортир.'!в</definedName>
    <definedName name="в_14" localSheetId="18">'Прил. 1 План ФХД стоки'!в</definedName>
    <definedName name="в_14" localSheetId="17">'Прил. 1 План ФХД трансп. воды'!в</definedName>
    <definedName name="в_14" localSheetId="16">'Прил. 1 План ФХД трансп. стоков'!в</definedName>
    <definedName name="в_14" localSheetId="76">'Расчет товарной выручки 2018'!в</definedName>
    <definedName name="в_14" localSheetId="25">'Расчет товарной выручки 2019'!в</definedName>
    <definedName name="в_14" localSheetId="20">'Расчет товарной выручки 2021'!в</definedName>
    <definedName name="в_14" localSheetId="77">'рез к 2017-2023'!в</definedName>
    <definedName name="в_14" localSheetId="74">'рез к 2018-2024 (кор) '!в</definedName>
    <definedName name="в_14" localSheetId="13">'Текущий ремонт'!в</definedName>
    <definedName name="в_14" localSheetId="23">'ФАКТ.СЕБЕСТ.ВОДА 9 мес. 2021'!в</definedName>
    <definedName name="в_14" localSheetId="21">'ФАКТ.СЕБЕСТ.СТОКИ 9 мес. 2021'!в</definedName>
    <definedName name="в_14" localSheetId="14">'Чистая прибыль с транспортир.'!в</definedName>
    <definedName name="в_14">[0]!в</definedName>
    <definedName name="в_15" localSheetId="75">'А 2018'!в</definedName>
    <definedName name="в_15" localSheetId="59">'выпадающие расходы'!в</definedName>
    <definedName name="в_15" localSheetId="50">'ЗП с факт 3 кв. 2015'!в</definedName>
    <definedName name="в_15" localSheetId="24">'ПОЛНАЯ СЕБЕСТОИМОСТЬ ВОДА 2021'!в</definedName>
    <definedName name="в_15" localSheetId="22">'ПОЛНАЯ СЕБЕСТОИМОСТЬ СТОКИ 2021'!в</definedName>
    <definedName name="в_15" localSheetId="19">'Прил. 1 План ФХД вода '!в</definedName>
    <definedName name="в_15" localSheetId="15">'Прил. 1 План ФХД с транспортир.'!в</definedName>
    <definedName name="в_15" localSheetId="18">'Прил. 1 План ФХД стоки'!в</definedName>
    <definedName name="в_15" localSheetId="17">'Прил. 1 План ФХД трансп. воды'!в</definedName>
    <definedName name="в_15" localSheetId="16">'Прил. 1 План ФХД трансп. стоков'!в</definedName>
    <definedName name="в_15" localSheetId="76">'Расчет товарной выручки 2018'!в</definedName>
    <definedName name="в_15" localSheetId="25">'Расчет товарной выручки 2019'!в</definedName>
    <definedName name="в_15" localSheetId="20">'Расчет товарной выручки 2021'!в</definedName>
    <definedName name="в_15" localSheetId="77">'рез к 2017-2023'!в</definedName>
    <definedName name="в_15" localSheetId="74">'рез к 2018-2024 (кор) '!в</definedName>
    <definedName name="в_15" localSheetId="13">'Текущий ремонт'!в</definedName>
    <definedName name="в_15" localSheetId="23">'ФАКТ.СЕБЕСТ.ВОДА 9 мес. 2021'!в</definedName>
    <definedName name="в_15" localSheetId="21">'ФАКТ.СЕБЕСТ.СТОКИ 9 мес. 2021'!в</definedName>
    <definedName name="в_15" localSheetId="14">'Чистая прибыль с транспортир.'!в</definedName>
    <definedName name="в_15">[0]!в</definedName>
    <definedName name="в_16" localSheetId="75">'А 2018'!в</definedName>
    <definedName name="в_16" localSheetId="59">'выпадающие расходы'!в</definedName>
    <definedName name="в_16" localSheetId="50">'ЗП с факт 3 кв. 2015'!в</definedName>
    <definedName name="в_16" localSheetId="24">'ПОЛНАЯ СЕБЕСТОИМОСТЬ ВОДА 2021'!в</definedName>
    <definedName name="в_16" localSheetId="22">'ПОЛНАЯ СЕБЕСТОИМОСТЬ СТОКИ 2021'!в</definedName>
    <definedName name="в_16" localSheetId="19">'Прил. 1 План ФХД вода '!в</definedName>
    <definedName name="в_16" localSheetId="15">'Прил. 1 План ФХД с транспортир.'!в</definedName>
    <definedName name="в_16" localSheetId="18">'Прил. 1 План ФХД стоки'!в</definedName>
    <definedName name="в_16" localSheetId="17">'Прил. 1 План ФХД трансп. воды'!в</definedName>
    <definedName name="в_16" localSheetId="16">'Прил. 1 План ФХД трансп. стоков'!в</definedName>
    <definedName name="в_16" localSheetId="76">'Расчет товарной выручки 2018'!в</definedName>
    <definedName name="в_16" localSheetId="25">'Расчет товарной выручки 2019'!в</definedName>
    <definedName name="в_16" localSheetId="20">'Расчет товарной выручки 2021'!в</definedName>
    <definedName name="в_16" localSheetId="77">'рез к 2017-2023'!в</definedName>
    <definedName name="в_16" localSheetId="74">'рез к 2018-2024 (кор) '!в</definedName>
    <definedName name="в_16" localSheetId="13">'Текущий ремонт'!в</definedName>
    <definedName name="в_16" localSheetId="23">'ФАКТ.СЕБЕСТ.ВОДА 9 мес. 2021'!в</definedName>
    <definedName name="в_16" localSheetId="21">'ФАКТ.СЕБЕСТ.СТОКИ 9 мес. 2021'!в</definedName>
    <definedName name="в_16" localSheetId="14">'Чистая прибыль с транспортир.'!в</definedName>
    <definedName name="в_16">[0]!в</definedName>
    <definedName name="в_2" localSheetId="75">'А 2018'!в</definedName>
    <definedName name="в_2" localSheetId="59">'выпадающие расходы'!в</definedName>
    <definedName name="в_2" localSheetId="50">'ЗП с факт 3 кв. 2015'!в</definedName>
    <definedName name="в_2" localSheetId="24">'ПОЛНАЯ СЕБЕСТОИМОСТЬ ВОДА 2021'!в</definedName>
    <definedName name="в_2" localSheetId="22">'ПОЛНАЯ СЕБЕСТОИМОСТЬ СТОКИ 2021'!в</definedName>
    <definedName name="в_2" localSheetId="19">'Прил. 1 План ФХД вода '!в</definedName>
    <definedName name="в_2" localSheetId="15">'Прил. 1 План ФХД с транспортир.'!в</definedName>
    <definedName name="в_2" localSheetId="18">'Прил. 1 План ФХД стоки'!в</definedName>
    <definedName name="в_2" localSheetId="17">'Прил. 1 План ФХД трансп. воды'!в</definedName>
    <definedName name="в_2" localSheetId="16">'Прил. 1 План ФХД трансп. стоков'!в</definedName>
    <definedName name="в_2" localSheetId="76">'Расчет товарной выручки 2018'!в</definedName>
    <definedName name="в_2" localSheetId="25">'Расчет товарной выручки 2019'!в</definedName>
    <definedName name="в_2" localSheetId="20">'Расчет товарной выручки 2021'!в</definedName>
    <definedName name="в_2" localSheetId="77">'рез к 2017-2023'!в</definedName>
    <definedName name="в_2" localSheetId="74">'рез к 2018-2024 (кор) '!в</definedName>
    <definedName name="в_2" localSheetId="13">'Текущий ремонт'!в</definedName>
    <definedName name="в_2" localSheetId="23">'ФАКТ.СЕБЕСТ.ВОДА 9 мес. 2021'!в</definedName>
    <definedName name="в_2" localSheetId="21">'ФАКТ.СЕБЕСТ.СТОКИ 9 мес. 2021'!в</definedName>
    <definedName name="в_2" localSheetId="14">'Чистая прибыль с транспортир.'!в</definedName>
    <definedName name="в_2">[0]!в</definedName>
    <definedName name="вааитььбблдшщщ">#N/A</definedName>
    <definedName name="вапроолдджюююююю">#N/A</definedName>
    <definedName name="выкапфвап" localSheetId="59">#REF!</definedName>
    <definedName name="выкапфвап" localSheetId="19">#REF!</definedName>
    <definedName name="выкапфвап" localSheetId="15">#REF!</definedName>
    <definedName name="выкапфвап" localSheetId="18">#REF!</definedName>
    <definedName name="выкапфвап" localSheetId="17">#REF!</definedName>
    <definedName name="выкапфвап" localSheetId="16">#REF!</definedName>
    <definedName name="выкапфвап" localSheetId="76">#REF!</definedName>
    <definedName name="выкапфвап" localSheetId="25">#REF!</definedName>
    <definedName name="выкапфвап" localSheetId="20">#REF!</definedName>
    <definedName name="выкапфвап" localSheetId="77">#REF!</definedName>
    <definedName name="выкапфвап" localSheetId="74">#REF!</definedName>
    <definedName name="выкапфвап" localSheetId="13">#REF!</definedName>
    <definedName name="выкапфвап" localSheetId="14">#REF!</definedName>
    <definedName name="выкапфвап">#REF!</definedName>
    <definedName name="гггггг" localSheetId="75">'[8]распределение январь по бухг.'!#REF!</definedName>
    <definedName name="гггггг" localSheetId="59">'[9]распределение январь по бухг.'!#REF!</definedName>
    <definedName name="гггггг" localSheetId="50">'[10]распределение январь по бухг.'!#REF!</definedName>
    <definedName name="гггггг" localSheetId="32">'[10]распределение январь по бухг.'!#REF!</definedName>
    <definedName name="гггггг" localSheetId="24">'[10]распределение январь по бухг.'!#REF!</definedName>
    <definedName name="гггггг" localSheetId="22">'[10]распределение январь по бухг.'!#REF!</definedName>
    <definedName name="гггггг" localSheetId="19">'[10]распределение январь по бухг.'!#REF!</definedName>
    <definedName name="гггггг" localSheetId="15">'[10]распределение январь по бухг.'!#REF!</definedName>
    <definedName name="гггггг" localSheetId="18">'[10]распределение январь по бухг.'!#REF!</definedName>
    <definedName name="гггггг" localSheetId="17">'[10]распределение январь по бухг.'!#REF!</definedName>
    <definedName name="гггггг" localSheetId="16">'[10]распределение январь по бухг.'!#REF!</definedName>
    <definedName name="гггггг" localSheetId="76">'[9]распределение январь по бухг.'!#REF!</definedName>
    <definedName name="гггггг" localSheetId="25">'[10]распределение январь по бухг.'!#REF!</definedName>
    <definedName name="гггггг" localSheetId="20">'[9]распределение январь по бухг.'!#REF!</definedName>
    <definedName name="гггггг" localSheetId="77">'[9]распределение январь по бухг.'!#REF!</definedName>
    <definedName name="гггггг" localSheetId="74">'[9]распределение январь по бухг.'!#REF!</definedName>
    <definedName name="гггггг" localSheetId="31">'[10]распределение январь по бухг.'!#REF!</definedName>
    <definedName name="гггггг" localSheetId="13">'[10]распределение январь по бухг.'!#REF!</definedName>
    <definedName name="гггггг" localSheetId="30">'[10]распределение январь по бухг.'!#REF!</definedName>
    <definedName name="гггггг" localSheetId="23">'[10]распределение январь по бухг.'!#REF!</definedName>
    <definedName name="гггггг" localSheetId="21">'[10]распределение январь по бухг.'!#REF!</definedName>
    <definedName name="гггггг" localSheetId="14">'[10]распределение январь по бухг.'!#REF!</definedName>
    <definedName name="гггггг" localSheetId="36">'[10]распределение январь по бухг.'!#REF!</definedName>
    <definedName name="гггггг">'[10]распределение январь по бухг.'!#REF!</definedName>
    <definedName name="гггггггггггггггггг" localSheetId="75">[8]расшифровка!#REF!</definedName>
    <definedName name="гггггггггггггггггг" localSheetId="59">[9]расшифровка!#REF!</definedName>
    <definedName name="гггггггггггггггггг" localSheetId="50">[10]расшифровка!#REF!</definedName>
    <definedName name="гггггггггггггггггг" localSheetId="32">[10]расшифровка!#REF!</definedName>
    <definedName name="гггггггггггггггггг" localSheetId="24">[10]расшифровка!#REF!</definedName>
    <definedName name="гггггггггггггггггг" localSheetId="22">[10]расшифровка!#REF!</definedName>
    <definedName name="гггггггггггггггггг" localSheetId="19">[10]расшифровка!#REF!</definedName>
    <definedName name="гггггггггггггггггг" localSheetId="15">[10]расшифровка!#REF!</definedName>
    <definedName name="гггггггггггггггггг" localSheetId="18">[10]расшифровка!#REF!</definedName>
    <definedName name="гггггггггггггггггг" localSheetId="17">[10]расшифровка!#REF!</definedName>
    <definedName name="гггггггггггггггггг" localSheetId="16">[10]расшифровка!#REF!</definedName>
    <definedName name="гггггггггггггггггг" localSheetId="76">[9]расшифровка!#REF!</definedName>
    <definedName name="гггггггггггггггггг" localSheetId="25">[10]расшифровка!#REF!</definedName>
    <definedName name="гггггггггггггггггг" localSheetId="20">[9]расшифровка!#REF!</definedName>
    <definedName name="гггггггггггггггггг" localSheetId="77">[9]расшифровка!#REF!</definedName>
    <definedName name="гггггггггггггггггг" localSheetId="74">[9]расшифровка!#REF!</definedName>
    <definedName name="гггггггггггггггггг" localSheetId="31">[10]расшифровка!#REF!</definedName>
    <definedName name="гггггггггггггггггг" localSheetId="13">[10]расшифровка!#REF!</definedName>
    <definedName name="гггггггггггггггггг" localSheetId="30">[10]расшифровка!#REF!</definedName>
    <definedName name="гггггггггггггггггг" localSheetId="23">[10]расшифровка!#REF!</definedName>
    <definedName name="гггггггггггггггггг" localSheetId="21">[10]расшифровка!#REF!</definedName>
    <definedName name="гггггггггггггггггг" localSheetId="14">[10]расшифровка!#REF!</definedName>
    <definedName name="гггггггггггггггггг" localSheetId="36">[10]расшифровка!#REF!</definedName>
    <definedName name="гггггггггггггггггг">[10]расшифровка!#REF!</definedName>
    <definedName name="дапвеункее">#N/A</definedName>
    <definedName name="дголь" localSheetId="75">'А 2018'!_Pi3</definedName>
    <definedName name="дголь" localSheetId="59">'выпадающие расходы'!_Pi3</definedName>
    <definedName name="дголь" localSheetId="50">'ЗП с факт 3 кв. 2015'!_Pi3</definedName>
    <definedName name="дголь" localSheetId="24">'ПОЛНАЯ СЕБЕСТОИМОСТЬ ВОДА 2021'!_Pi3</definedName>
    <definedName name="дголь" localSheetId="22">'ПОЛНАЯ СЕБЕСТОИМОСТЬ СТОКИ 2021'!_Pi3</definedName>
    <definedName name="дголь" localSheetId="19">'Прил. 1 План ФХД вода '!_Pi3</definedName>
    <definedName name="дголь" localSheetId="15">'Прил. 1 План ФХД с транспортир.'!_Pi3</definedName>
    <definedName name="дголь" localSheetId="18">'Прил. 1 План ФХД стоки'!_Pi3</definedName>
    <definedName name="дголь" localSheetId="17">'Прил. 1 План ФХД трансп. воды'!_Pi3</definedName>
    <definedName name="дголь" localSheetId="16">'Прил. 1 План ФХД трансп. стоков'!_Pi3</definedName>
    <definedName name="дголь" localSheetId="76">'Расчет товарной выручки 2018'!_Pi3</definedName>
    <definedName name="дголь" localSheetId="25">'Расчет товарной выручки 2019'!_Pi3</definedName>
    <definedName name="дголь" localSheetId="20">'Расчет товарной выручки 2021'!_Pi3</definedName>
    <definedName name="дголь" localSheetId="77">'рез к 2017-2023'!_Pi3</definedName>
    <definedName name="дголь" localSheetId="74">'рез к 2018-2024 (кор) '!_Pi3</definedName>
    <definedName name="дголь" localSheetId="13">'Текущий ремонт'!_Pi3</definedName>
    <definedName name="дголь" localSheetId="23">'ФАКТ.СЕБЕСТ.ВОДА 9 мес. 2021'!_Pi3</definedName>
    <definedName name="дголь" localSheetId="21">'ФАКТ.СЕБЕСТ.СТОКИ 9 мес. 2021'!_Pi3</definedName>
    <definedName name="дголь" localSheetId="14">'Чистая прибыль с транспортир.'!_Pi3</definedName>
    <definedName name="дголь">[0]!_Pi3</definedName>
    <definedName name="дголь_13" localSheetId="75">'А 2018'!_Pi3</definedName>
    <definedName name="дголь_13" localSheetId="59">'выпадающие расходы'!_Pi3</definedName>
    <definedName name="дголь_13" localSheetId="50">'ЗП с факт 3 кв. 2015'!_Pi3</definedName>
    <definedName name="дголь_13" localSheetId="24">'ПОЛНАЯ СЕБЕСТОИМОСТЬ ВОДА 2021'!_Pi3</definedName>
    <definedName name="дголь_13" localSheetId="22">'ПОЛНАЯ СЕБЕСТОИМОСТЬ СТОКИ 2021'!_Pi3</definedName>
    <definedName name="дголь_13" localSheetId="19">'Прил. 1 План ФХД вода '!_Pi3</definedName>
    <definedName name="дголь_13" localSheetId="15">'Прил. 1 План ФХД с транспортир.'!_Pi3</definedName>
    <definedName name="дголь_13" localSheetId="18">'Прил. 1 План ФХД стоки'!_Pi3</definedName>
    <definedName name="дголь_13" localSheetId="17">'Прил. 1 План ФХД трансп. воды'!_Pi3</definedName>
    <definedName name="дголь_13" localSheetId="16">'Прил. 1 План ФХД трансп. стоков'!_Pi3</definedName>
    <definedName name="дголь_13" localSheetId="76">'Расчет товарной выручки 2018'!_Pi3</definedName>
    <definedName name="дголь_13" localSheetId="25">'Расчет товарной выручки 2019'!_Pi3</definedName>
    <definedName name="дголь_13" localSheetId="20">'Расчет товарной выручки 2021'!_Pi3</definedName>
    <definedName name="дголь_13" localSheetId="77">'рез к 2017-2023'!_Pi3</definedName>
    <definedName name="дголь_13" localSheetId="74">'рез к 2018-2024 (кор) '!_Pi3</definedName>
    <definedName name="дголь_13" localSheetId="13">'Текущий ремонт'!_Pi3</definedName>
    <definedName name="дголь_13" localSheetId="23">'ФАКТ.СЕБЕСТ.ВОДА 9 мес. 2021'!_Pi3</definedName>
    <definedName name="дголь_13" localSheetId="21">'ФАКТ.СЕБЕСТ.СТОКИ 9 мес. 2021'!_Pi3</definedName>
    <definedName name="дголь_13" localSheetId="14">'Чистая прибыль с транспортир.'!_Pi3</definedName>
    <definedName name="дголь_13">[0]!_Pi3</definedName>
    <definedName name="ддллоогггггггггггг">#N/A</definedName>
    <definedName name="длгоор" localSheetId="75">'А 2018'!_Pi5</definedName>
    <definedName name="длгоор" localSheetId="59">'выпадающие расходы'!_Pi5</definedName>
    <definedName name="длгоор" localSheetId="50">'ЗП с факт 3 кв. 2015'!_Pi5</definedName>
    <definedName name="длгоор" localSheetId="24">'ПОЛНАЯ СЕБЕСТОИМОСТЬ ВОДА 2021'!_Pi5</definedName>
    <definedName name="длгоор" localSheetId="22">'ПОЛНАЯ СЕБЕСТОИМОСТЬ СТОКИ 2021'!_Pi5</definedName>
    <definedName name="длгоор" localSheetId="19">'Прил. 1 План ФХД вода '!_Pi5</definedName>
    <definedName name="длгоор" localSheetId="15">'Прил. 1 План ФХД с транспортир.'!_Pi5</definedName>
    <definedName name="длгоор" localSheetId="18">'Прил. 1 План ФХД стоки'!_Pi5</definedName>
    <definedName name="длгоор" localSheetId="17">'Прил. 1 План ФХД трансп. воды'!_Pi5</definedName>
    <definedName name="длгоор" localSheetId="16">'Прил. 1 План ФХД трансп. стоков'!_Pi5</definedName>
    <definedName name="длгоор" localSheetId="76">'Расчет товарной выручки 2018'!_Pi5</definedName>
    <definedName name="длгоор" localSheetId="25">'Расчет товарной выручки 2019'!_Pi5</definedName>
    <definedName name="длгоор" localSheetId="20">'Расчет товарной выручки 2021'!_Pi5</definedName>
    <definedName name="длгоор" localSheetId="77">'рез к 2017-2023'!_Pi5</definedName>
    <definedName name="длгоор" localSheetId="74">'рез к 2018-2024 (кор) '!_Pi5</definedName>
    <definedName name="длгоор" localSheetId="13">'Текущий ремонт'!_Pi5</definedName>
    <definedName name="длгоор" localSheetId="23">'ФАКТ.СЕБЕСТ.ВОДА 9 мес. 2021'!_Pi5</definedName>
    <definedName name="длгоор" localSheetId="21">'ФАКТ.СЕБЕСТ.СТОКИ 9 мес. 2021'!_Pi5</definedName>
    <definedName name="длгоор" localSheetId="14">'Чистая прибыль с транспортир.'!_Pi5</definedName>
    <definedName name="длгоор">[0]!_Pi5</definedName>
    <definedName name="длгоор_13" localSheetId="75">'А 2018'!_Pi5</definedName>
    <definedName name="длгоор_13" localSheetId="59">'выпадающие расходы'!_Pi5</definedName>
    <definedName name="длгоор_13" localSheetId="50">'ЗП с факт 3 кв. 2015'!_Pi5</definedName>
    <definedName name="длгоор_13" localSheetId="24">'ПОЛНАЯ СЕБЕСТОИМОСТЬ ВОДА 2021'!_Pi5</definedName>
    <definedName name="длгоор_13" localSheetId="22">'ПОЛНАЯ СЕБЕСТОИМОСТЬ СТОКИ 2021'!_Pi5</definedName>
    <definedName name="длгоор_13" localSheetId="19">'Прил. 1 План ФХД вода '!_Pi5</definedName>
    <definedName name="длгоор_13" localSheetId="15">'Прил. 1 План ФХД с транспортир.'!_Pi5</definedName>
    <definedName name="длгоор_13" localSheetId="18">'Прил. 1 План ФХД стоки'!_Pi5</definedName>
    <definedName name="длгоор_13" localSheetId="17">'Прил. 1 План ФХД трансп. воды'!_Pi5</definedName>
    <definedName name="длгоор_13" localSheetId="16">'Прил. 1 План ФХД трансп. стоков'!_Pi5</definedName>
    <definedName name="длгоор_13" localSheetId="76">'Расчет товарной выручки 2018'!_Pi5</definedName>
    <definedName name="длгоор_13" localSheetId="25">'Расчет товарной выручки 2019'!_Pi5</definedName>
    <definedName name="длгоор_13" localSheetId="20">'Расчет товарной выручки 2021'!_Pi5</definedName>
    <definedName name="длгоор_13" localSheetId="77">'рез к 2017-2023'!_Pi5</definedName>
    <definedName name="длгоор_13" localSheetId="74">'рез к 2018-2024 (кор) '!_Pi5</definedName>
    <definedName name="длгоор_13" localSheetId="13">'Текущий ремонт'!_Pi5</definedName>
    <definedName name="длгоор_13" localSheetId="23">'ФАКТ.СЕБЕСТ.ВОДА 9 мес. 2021'!_Pi5</definedName>
    <definedName name="длгоор_13" localSheetId="21">'ФАКТ.СЕБЕСТ.СТОКИ 9 мес. 2021'!_Pi5</definedName>
    <definedName name="длгоор_13" localSheetId="14">'Чистая прибыль с транспортир.'!_Pi5</definedName>
    <definedName name="длгоор_13">[0]!_Pi5</definedName>
    <definedName name="длгоор_2" localSheetId="75">'А 2018'!_Pi5</definedName>
    <definedName name="длгоор_2" localSheetId="59">'выпадающие расходы'!_Pi5</definedName>
    <definedName name="длгоор_2" localSheetId="50">'ЗП с факт 3 кв. 2015'!_Pi5</definedName>
    <definedName name="длгоор_2" localSheetId="24">'ПОЛНАЯ СЕБЕСТОИМОСТЬ ВОДА 2021'!_Pi5</definedName>
    <definedName name="длгоор_2" localSheetId="22">'ПОЛНАЯ СЕБЕСТОИМОСТЬ СТОКИ 2021'!_Pi5</definedName>
    <definedName name="длгоор_2" localSheetId="19">'Прил. 1 План ФХД вода '!_Pi5</definedName>
    <definedName name="длгоор_2" localSheetId="15">'Прил. 1 План ФХД с транспортир.'!_Pi5</definedName>
    <definedName name="длгоор_2" localSheetId="18">'Прил. 1 План ФХД стоки'!_Pi5</definedName>
    <definedName name="длгоор_2" localSheetId="17">'Прил. 1 План ФХД трансп. воды'!_Pi5</definedName>
    <definedName name="длгоор_2" localSheetId="16">'Прил. 1 План ФХД трансп. стоков'!_Pi5</definedName>
    <definedName name="длгоор_2" localSheetId="76">'Расчет товарной выручки 2018'!_Pi5</definedName>
    <definedName name="длгоор_2" localSheetId="25">'Расчет товарной выручки 2019'!_Pi5</definedName>
    <definedName name="длгоор_2" localSheetId="20">'Расчет товарной выручки 2021'!_Pi5</definedName>
    <definedName name="длгоор_2" localSheetId="77">'рез к 2017-2023'!_Pi5</definedName>
    <definedName name="длгоор_2" localSheetId="74">'рез к 2018-2024 (кор) '!_Pi5</definedName>
    <definedName name="длгоор_2" localSheetId="13">'Текущий ремонт'!_Pi5</definedName>
    <definedName name="длгоор_2" localSheetId="23">'ФАКТ.СЕБЕСТ.ВОДА 9 мес. 2021'!_Pi5</definedName>
    <definedName name="длгоор_2" localSheetId="21">'ФАКТ.СЕБЕСТ.СТОКИ 9 мес. 2021'!_Pi5</definedName>
    <definedName name="длгоор_2" localSheetId="14">'Чистая прибыль с транспортир.'!_Pi5</definedName>
    <definedName name="длгоор_2">[0]!_Pi5</definedName>
    <definedName name="дллллл" localSheetId="75">'А 2018'!_Pi3</definedName>
    <definedName name="дллллл" localSheetId="59">'выпадающие расходы'!_Pi3</definedName>
    <definedName name="дллллл" localSheetId="50">'ЗП с факт 3 кв. 2015'!_Pi3</definedName>
    <definedName name="дллллл" localSheetId="24">'ПОЛНАЯ СЕБЕСТОИМОСТЬ ВОДА 2021'!_Pi3</definedName>
    <definedName name="дллллл" localSheetId="22">'ПОЛНАЯ СЕБЕСТОИМОСТЬ СТОКИ 2021'!_Pi3</definedName>
    <definedName name="дллллл" localSheetId="19">'Прил. 1 План ФХД вода '!_Pi3</definedName>
    <definedName name="дллллл" localSheetId="15">'Прил. 1 План ФХД с транспортир.'!_Pi3</definedName>
    <definedName name="дллллл" localSheetId="18">'Прил. 1 План ФХД стоки'!_Pi3</definedName>
    <definedName name="дллллл" localSheetId="17">'Прил. 1 План ФХД трансп. воды'!_Pi3</definedName>
    <definedName name="дллллл" localSheetId="16">'Прил. 1 План ФХД трансп. стоков'!_Pi3</definedName>
    <definedName name="дллллл" localSheetId="76">'Расчет товарной выручки 2018'!_Pi3</definedName>
    <definedName name="дллллл" localSheetId="25">'Расчет товарной выручки 2019'!_Pi3</definedName>
    <definedName name="дллллл" localSheetId="20">'Расчет товарной выручки 2021'!_Pi3</definedName>
    <definedName name="дллллл" localSheetId="77">'рез к 2017-2023'!_Pi3</definedName>
    <definedName name="дллллл" localSheetId="74">'рез к 2018-2024 (кор) '!_Pi3</definedName>
    <definedName name="дллллл" localSheetId="13">'Текущий ремонт'!_Pi3</definedName>
    <definedName name="дллллл" localSheetId="23">'ФАКТ.СЕБЕСТ.ВОДА 9 мес. 2021'!_Pi3</definedName>
    <definedName name="дллллл" localSheetId="21">'ФАКТ.СЕБЕСТ.СТОКИ 9 мес. 2021'!_Pi3</definedName>
    <definedName name="дллллл" localSheetId="14">'Чистая прибыль с транспортир.'!_Pi3</definedName>
    <definedName name="дллллл">[0]!_Pi3</definedName>
    <definedName name="дллллл_13" localSheetId="75">'А 2018'!_Pi3</definedName>
    <definedName name="дллллл_13" localSheetId="59">'выпадающие расходы'!_Pi3</definedName>
    <definedName name="дллллл_13" localSheetId="50">'ЗП с факт 3 кв. 2015'!_Pi3</definedName>
    <definedName name="дллллл_13" localSheetId="24">'ПОЛНАЯ СЕБЕСТОИМОСТЬ ВОДА 2021'!_Pi3</definedName>
    <definedName name="дллллл_13" localSheetId="22">'ПОЛНАЯ СЕБЕСТОИМОСТЬ СТОКИ 2021'!_Pi3</definedName>
    <definedName name="дллллл_13" localSheetId="19">'Прил. 1 План ФХД вода '!_Pi3</definedName>
    <definedName name="дллллл_13" localSheetId="15">'Прил. 1 План ФХД с транспортир.'!_Pi3</definedName>
    <definedName name="дллллл_13" localSheetId="18">'Прил. 1 План ФХД стоки'!_Pi3</definedName>
    <definedName name="дллллл_13" localSheetId="17">'Прил. 1 План ФХД трансп. воды'!_Pi3</definedName>
    <definedName name="дллллл_13" localSheetId="16">'Прил. 1 План ФХД трансп. стоков'!_Pi3</definedName>
    <definedName name="дллллл_13" localSheetId="76">'Расчет товарной выручки 2018'!_Pi3</definedName>
    <definedName name="дллллл_13" localSheetId="25">'Расчет товарной выручки 2019'!_Pi3</definedName>
    <definedName name="дллллл_13" localSheetId="20">'Расчет товарной выручки 2021'!_Pi3</definedName>
    <definedName name="дллллл_13" localSheetId="77">'рез к 2017-2023'!_Pi3</definedName>
    <definedName name="дллллл_13" localSheetId="74">'рез к 2018-2024 (кор) '!_Pi3</definedName>
    <definedName name="дллллл_13" localSheetId="13">'Текущий ремонт'!_Pi3</definedName>
    <definedName name="дллллл_13" localSheetId="23">'ФАКТ.СЕБЕСТ.ВОДА 9 мес. 2021'!_Pi3</definedName>
    <definedName name="дллллл_13" localSheetId="21">'ФАКТ.СЕБЕСТ.СТОКИ 9 мес. 2021'!_Pi3</definedName>
    <definedName name="дллллл_13" localSheetId="14">'Чистая прибыль с транспортир.'!_Pi3</definedName>
    <definedName name="дллллл_13">[0]!_Pi3</definedName>
    <definedName name="дллллл_2" localSheetId="75">'А 2018'!_Pi3</definedName>
    <definedName name="дллллл_2" localSheetId="59">'выпадающие расходы'!_Pi3</definedName>
    <definedName name="дллллл_2" localSheetId="50">'ЗП с факт 3 кв. 2015'!_Pi3</definedName>
    <definedName name="дллллл_2" localSheetId="24">'ПОЛНАЯ СЕБЕСТОИМОСТЬ ВОДА 2021'!_Pi3</definedName>
    <definedName name="дллллл_2" localSheetId="22">'ПОЛНАЯ СЕБЕСТОИМОСТЬ СТОКИ 2021'!_Pi3</definedName>
    <definedName name="дллллл_2" localSheetId="19">'Прил. 1 План ФХД вода '!_Pi3</definedName>
    <definedName name="дллллл_2" localSheetId="15">'Прил. 1 План ФХД с транспортир.'!_Pi3</definedName>
    <definedName name="дллллл_2" localSheetId="18">'Прил. 1 План ФХД стоки'!_Pi3</definedName>
    <definedName name="дллллл_2" localSheetId="17">'Прил. 1 План ФХД трансп. воды'!_Pi3</definedName>
    <definedName name="дллллл_2" localSheetId="16">'Прил. 1 План ФХД трансп. стоков'!_Pi3</definedName>
    <definedName name="дллллл_2" localSheetId="76">'Расчет товарной выручки 2018'!_Pi3</definedName>
    <definedName name="дллллл_2" localSheetId="25">'Расчет товарной выручки 2019'!_Pi3</definedName>
    <definedName name="дллллл_2" localSheetId="20">'Расчет товарной выручки 2021'!_Pi3</definedName>
    <definedName name="дллллл_2" localSheetId="77">'рез к 2017-2023'!_Pi3</definedName>
    <definedName name="дллллл_2" localSheetId="74">'рез к 2018-2024 (кор) '!_Pi3</definedName>
    <definedName name="дллллл_2" localSheetId="13">'Текущий ремонт'!_Pi3</definedName>
    <definedName name="дллллл_2" localSheetId="23">'ФАКТ.СЕБЕСТ.ВОДА 9 мес. 2021'!_Pi3</definedName>
    <definedName name="дллллл_2" localSheetId="21">'ФАКТ.СЕБЕСТ.СТОКИ 9 мес. 2021'!_Pi3</definedName>
    <definedName name="дллллл_2" localSheetId="14">'Чистая прибыль с транспортир.'!_Pi3</definedName>
    <definedName name="дллллл_2">[0]!_Pi3</definedName>
    <definedName name="длллоо" localSheetId="75">#REF!</definedName>
    <definedName name="длллоо" localSheetId="59">#REF!</definedName>
    <definedName name="длллоо" localSheetId="50">#REF!</definedName>
    <definedName name="длллоо" localSheetId="32">#REF!</definedName>
    <definedName name="длллоо" localSheetId="15">#REF!</definedName>
    <definedName name="длллоо" localSheetId="17">#REF!</definedName>
    <definedName name="длллоо" localSheetId="16">#REF!</definedName>
    <definedName name="длллоо" localSheetId="76">#REF!</definedName>
    <definedName name="длллоо" localSheetId="25">#REF!</definedName>
    <definedName name="длллоо" localSheetId="20">#REF!</definedName>
    <definedName name="длллоо" localSheetId="77">#REF!</definedName>
    <definedName name="длллоо" localSheetId="74">#REF!</definedName>
    <definedName name="длллоо" localSheetId="31">#REF!</definedName>
    <definedName name="длллоо" localSheetId="30">#REF!</definedName>
    <definedName name="длллоо" localSheetId="14">#REF!</definedName>
    <definedName name="длллоо" localSheetId="36">#REF!</definedName>
    <definedName name="длллоо">#REF!</definedName>
    <definedName name="длллоо_13" localSheetId="75">#REF!</definedName>
    <definedName name="длллоо_13" localSheetId="59">#REF!</definedName>
    <definedName name="длллоо_13" localSheetId="50">#REF!</definedName>
    <definedName name="длллоо_13" localSheetId="32">#REF!</definedName>
    <definedName name="длллоо_13" localSheetId="15">#REF!</definedName>
    <definedName name="длллоо_13" localSheetId="17">#REF!</definedName>
    <definedName name="длллоо_13" localSheetId="16">#REF!</definedName>
    <definedName name="длллоо_13" localSheetId="76">#REF!</definedName>
    <definedName name="длллоо_13" localSheetId="25">#REF!</definedName>
    <definedName name="длллоо_13" localSheetId="20">#REF!</definedName>
    <definedName name="длллоо_13" localSheetId="77">#REF!</definedName>
    <definedName name="длллоо_13" localSheetId="74">#REF!</definedName>
    <definedName name="длллоо_13" localSheetId="31">#REF!</definedName>
    <definedName name="длллоо_13" localSheetId="30">#REF!</definedName>
    <definedName name="длллоо_13" localSheetId="14">#REF!</definedName>
    <definedName name="длллоо_13" localSheetId="36">#REF!</definedName>
    <definedName name="длллоо_13">#REF!</definedName>
    <definedName name="_xlnm.Print_Titles" localSheetId="29">'вода 2019-2021 коррект'!$4:$6</definedName>
    <definedName name="_xlnm.Print_Titles" localSheetId="31">'стоки 2019-2021'!$3:$5</definedName>
    <definedName name="имя" localSheetId="75">'А 2018'!_Pi2</definedName>
    <definedName name="имя" localSheetId="59">'выпадающие расходы'!_Pi2</definedName>
    <definedName name="имя" localSheetId="50">'ЗП с факт 3 кв. 2015'!_Pi2</definedName>
    <definedName name="имя" localSheetId="24">'ПОЛНАЯ СЕБЕСТОИМОСТЬ ВОДА 2021'!_Pi2</definedName>
    <definedName name="имя" localSheetId="22">'ПОЛНАЯ СЕБЕСТОИМОСТЬ СТОКИ 2021'!_Pi2</definedName>
    <definedName name="имя" localSheetId="19">'Прил. 1 План ФХД вода '!_Pi2</definedName>
    <definedName name="имя" localSheetId="15">'Прил. 1 План ФХД с транспортир.'!_Pi2</definedName>
    <definedName name="имя" localSheetId="18">'Прил. 1 План ФХД стоки'!_Pi2</definedName>
    <definedName name="имя" localSheetId="17">'Прил. 1 План ФХД трансп. воды'!_Pi2</definedName>
    <definedName name="имя" localSheetId="16">'Прил. 1 План ФХД трансп. стоков'!_Pi2</definedName>
    <definedName name="имя" localSheetId="76">'Расчет товарной выручки 2018'!_Pi2</definedName>
    <definedName name="имя" localSheetId="25">'Расчет товарной выручки 2019'!_Pi2</definedName>
    <definedName name="имя" localSheetId="20">'Расчет товарной выручки 2021'!_Pi2</definedName>
    <definedName name="имя" localSheetId="77">'рез к 2017-2023'!_Pi2</definedName>
    <definedName name="имя" localSheetId="74">'рез к 2018-2024 (кор) '!_Pi2</definedName>
    <definedName name="имя" localSheetId="13">'Текущий ремонт'!_Pi2</definedName>
    <definedName name="имя" localSheetId="23">'ФАКТ.СЕБЕСТ.ВОДА 9 мес. 2021'!_Pi2</definedName>
    <definedName name="имя" localSheetId="21">'ФАКТ.СЕБЕСТ.СТОКИ 9 мес. 2021'!_Pi2</definedName>
    <definedName name="имя" localSheetId="14">'Чистая прибыль с транспортир.'!_Pi2</definedName>
    <definedName name="имя">[0]!_Pi2</definedName>
    <definedName name="имя1" localSheetId="75">'А 2018'!_Pi2</definedName>
    <definedName name="имя1" localSheetId="59">'выпадающие расходы'!_Pi2</definedName>
    <definedName name="имя1" localSheetId="50">'ЗП с факт 3 кв. 2015'!_Pi2</definedName>
    <definedName name="имя1" localSheetId="24">'ПОЛНАЯ СЕБЕСТОИМОСТЬ ВОДА 2021'!_Pi2</definedName>
    <definedName name="имя1" localSheetId="22">'ПОЛНАЯ СЕБЕСТОИМОСТЬ СТОКИ 2021'!_Pi2</definedName>
    <definedName name="имя1" localSheetId="19">'Прил. 1 План ФХД вода '!_Pi2</definedName>
    <definedName name="имя1" localSheetId="15">'Прил. 1 План ФХД с транспортир.'!_Pi2</definedName>
    <definedName name="имя1" localSheetId="18">'Прил. 1 План ФХД стоки'!_Pi2</definedName>
    <definedName name="имя1" localSheetId="17">'Прил. 1 План ФХД трансп. воды'!_Pi2</definedName>
    <definedName name="имя1" localSheetId="16">'Прил. 1 План ФХД трансп. стоков'!_Pi2</definedName>
    <definedName name="имя1" localSheetId="76">'Расчет товарной выручки 2018'!_Pi2</definedName>
    <definedName name="имя1" localSheetId="25">'Расчет товарной выручки 2019'!_Pi2</definedName>
    <definedName name="имя1" localSheetId="20">'Расчет товарной выручки 2021'!_Pi2</definedName>
    <definedName name="имя1" localSheetId="77">'рез к 2017-2023'!_Pi2</definedName>
    <definedName name="имя1" localSheetId="74">'рез к 2018-2024 (кор) '!_Pi2</definedName>
    <definedName name="имя1" localSheetId="13">'Текущий ремонт'!_Pi2</definedName>
    <definedName name="имя1" localSheetId="23">'ФАКТ.СЕБЕСТ.ВОДА 9 мес. 2021'!_Pi2</definedName>
    <definedName name="имя1" localSheetId="21">'ФАКТ.СЕБЕСТ.СТОКИ 9 мес. 2021'!_Pi2</definedName>
    <definedName name="имя1" localSheetId="14">'Чистая прибыль с транспортир.'!_Pi2</definedName>
    <definedName name="имя1">_Pi2</definedName>
    <definedName name="ипрнотьлгггг">#N/A</definedName>
    <definedName name="испаекроггш">#N/A</definedName>
    <definedName name="итроннгггг">[18]Нормат!$J$23</definedName>
    <definedName name="итрооогнгггг" localSheetId="75">#REF!</definedName>
    <definedName name="итрооогнгггг" localSheetId="59">#REF!</definedName>
    <definedName name="итрооогнгггг" localSheetId="50">#REF!</definedName>
    <definedName name="итрооогнгггг" localSheetId="32">#REF!</definedName>
    <definedName name="итрооогнгггг" localSheetId="15">#REF!</definedName>
    <definedName name="итрооогнгггг" localSheetId="17">#REF!</definedName>
    <definedName name="итрооогнгггг" localSheetId="16">#REF!</definedName>
    <definedName name="итрооогнгггг" localSheetId="76">#REF!</definedName>
    <definedName name="итрооогнгггг" localSheetId="25">#REF!</definedName>
    <definedName name="итрооогнгггг" localSheetId="20">#REF!</definedName>
    <definedName name="итрооогнгггг" localSheetId="77">#REF!</definedName>
    <definedName name="итрооогнгггг" localSheetId="74">#REF!</definedName>
    <definedName name="итрооогнгггг" localSheetId="31">#REF!</definedName>
    <definedName name="итрооогнгггг" localSheetId="30">#REF!</definedName>
    <definedName name="итрооогнгггг" localSheetId="14">#REF!</definedName>
    <definedName name="итрооогнгггг" localSheetId="36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[18]Нормат!$J$12</definedName>
    <definedName name="йцуукен">#N/A</definedName>
    <definedName name="коррект" localSheetId="75">'А 2018'!коррект</definedName>
    <definedName name="коррект" localSheetId="59">#N/A</definedName>
    <definedName name="коррект" localSheetId="50">'ЗП с факт 3 кв. 2015'!коррект</definedName>
    <definedName name="коррект" localSheetId="24">#N/A</definedName>
    <definedName name="коррект" localSheetId="22">#N/A</definedName>
    <definedName name="коррект" localSheetId="19">#N/A</definedName>
    <definedName name="коррект" localSheetId="15">#N/A</definedName>
    <definedName name="коррект" localSheetId="18">#N/A</definedName>
    <definedName name="коррект" localSheetId="17">#N/A</definedName>
    <definedName name="коррект" localSheetId="16">#N/A</definedName>
    <definedName name="коррект" localSheetId="76">#N/A</definedName>
    <definedName name="коррект" localSheetId="25">#N/A</definedName>
    <definedName name="коррект" localSheetId="20">#N/A</definedName>
    <definedName name="коррект" localSheetId="77">'рез к 2017-2023'!коррект</definedName>
    <definedName name="коррект" localSheetId="74">'рез к 2018-2024 (кор) '!коррект</definedName>
    <definedName name="коррект" localSheetId="13">#N/A</definedName>
    <definedName name="коррект" localSheetId="23">#N/A</definedName>
    <definedName name="коррект" localSheetId="21">#N/A</definedName>
    <definedName name="коррект" localSheetId="14">#N/A</definedName>
    <definedName name="коррект">коррект</definedName>
    <definedName name="коррект_10" localSheetId="75">'А 2018'!коррект</definedName>
    <definedName name="коррект_10" localSheetId="59">'выпадающие расходы'!коррект</definedName>
    <definedName name="коррект_10" localSheetId="50">'ЗП с факт 3 кв. 2015'!коррект</definedName>
    <definedName name="коррект_10" localSheetId="24">'ПОЛНАЯ СЕБЕСТОИМОСТЬ ВОДА 2021'!коррект</definedName>
    <definedName name="коррект_10" localSheetId="22">'ПОЛНАЯ СЕБЕСТОИМОСТЬ СТОКИ 2021'!коррект</definedName>
    <definedName name="коррект_10" localSheetId="19">'Прил. 1 План ФХД вода '!коррект</definedName>
    <definedName name="коррект_10" localSheetId="15">'Прил. 1 План ФХД с транспортир.'!коррект</definedName>
    <definedName name="коррект_10" localSheetId="18">'Прил. 1 План ФХД стоки'!коррект</definedName>
    <definedName name="коррект_10" localSheetId="17">'Прил. 1 План ФХД трансп. воды'!коррект</definedName>
    <definedName name="коррект_10" localSheetId="16">'Прил. 1 План ФХД трансп. стоков'!коррект</definedName>
    <definedName name="коррект_10" localSheetId="76">'Расчет товарной выручки 2018'!коррект</definedName>
    <definedName name="коррект_10" localSheetId="25">'Расчет товарной выручки 2019'!коррект</definedName>
    <definedName name="коррект_10" localSheetId="20">'Расчет товарной выручки 2021'!коррект</definedName>
    <definedName name="коррект_10" localSheetId="77">'рез к 2017-2023'!коррект</definedName>
    <definedName name="коррект_10" localSheetId="74">'рез к 2018-2024 (кор) '!коррект</definedName>
    <definedName name="коррект_10" localSheetId="13">'Текущий ремонт'!коррект</definedName>
    <definedName name="коррект_10" localSheetId="23">'ФАКТ.СЕБЕСТ.ВОДА 9 мес. 2021'!коррект</definedName>
    <definedName name="коррект_10" localSheetId="21">'ФАКТ.СЕБЕСТ.СТОКИ 9 мес. 2021'!коррект</definedName>
    <definedName name="коррект_10" localSheetId="14">'Чистая прибыль с транспортир.'!коррект</definedName>
    <definedName name="коррект_10">[0]!коррект</definedName>
    <definedName name="коррект_14" localSheetId="75">'А 2018'!коррект</definedName>
    <definedName name="коррект_14" localSheetId="59">'выпадающие расходы'!коррект</definedName>
    <definedName name="коррект_14" localSheetId="50">'ЗП с факт 3 кв. 2015'!коррект</definedName>
    <definedName name="коррект_14" localSheetId="24">'ПОЛНАЯ СЕБЕСТОИМОСТЬ ВОДА 2021'!коррект</definedName>
    <definedName name="коррект_14" localSheetId="22">'ПОЛНАЯ СЕБЕСТОИМОСТЬ СТОКИ 2021'!коррект</definedName>
    <definedName name="коррект_14" localSheetId="19">'Прил. 1 План ФХД вода '!коррект</definedName>
    <definedName name="коррект_14" localSheetId="15">'Прил. 1 План ФХД с транспортир.'!коррект</definedName>
    <definedName name="коррект_14" localSheetId="18">'Прил. 1 План ФХД стоки'!коррект</definedName>
    <definedName name="коррект_14" localSheetId="17">'Прил. 1 План ФХД трансп. воды'!коррект</definedName>
    <definedName name="коррект_14" localSheetId="16">'Прил. 1 План ФХД трансп. стоков'!коррект</definedName>
    <definedName name="коррект_14" localSheetId="76">'Расчет товарной выручки 2018'!коррект</definedName>
    <definedName name="коррект_14" localSheetId="25">'Расчет товарной выручки 2019'!коррект</definedName>
    <definedName name="коррект_14" localSheetId="20">'Расчет товарной выручки 2021'!коррект</definedName>
    <definedName name="коррект_14" localSheetId="77">'рез к 2017-2023'!коррект</definedName>
    <definedName name="коррект_14" localSheetId="74">'рез к 2018-2024 (кор) '!коррект</definedName>
    <definedName name="коррект_14" localSheetId="13">'Текущий ремонт'!коррект</definedName>
    <definedName name="коррект_14" localSheetId="23">'ФАКТ.СЕБЕСТ.ВОДА 9 мес. 2021'!коррект</definedName>
    <definedName name="коррект_14" localSheetId="21">'ФАКТ.СЕБЕСТ.СТОКИ 9 мес. 2021'!коррект</definedName>
    <definedName name="коррект_14" localSheetId="14">'Чистая прибыль с транспортир.'!коррект</definedName>
    <definedName name="коррект_14">[0]!коррект</definedName>
    <definedName name="коррект_15" localSheetId="75">'А 2018'!коррект</definedName>
    <definedName name="коррект_15" localSheetId="59">'выпадающие расходы'!коррект</definedName>
    <definedName name="коррект_15" localSheetId="50">'ЗП с факт 3 кв. 2015'!коррект</definedName>
    <definedName name="коррект_15" localSheetId="24">'ПОЛНАЯ СЕБЕСТОИМОСТЬ ВОДА 2021'!коррект</definedName>
    <definedName name="коррект_15" localSheetId="22">'ПОЛНАЯ СЕБЕСТОИМОСТЬ СТОКИ 2021'!коррект</definedName>
    <definedName name="коррект_15" localSheetId="19">'Прил. 1 План ФХД вода '!коррект</definedName>
    <definedName name="коррект_15" localSheetId="15">'Прил. 1 План ФХД с транспортир.'!коррект</definedName>
    <definedName name="коррект_15" localSheetId="18">'Прил. 1 План ФХД стоки'!коррект</definedName>
    <definedName name="коррект_15" localSheetId="17">'Прил. 1 План ФХД трансп. воды'!коррект</definedName>
    <definedName name="коррект_15" localSheetId="16">'Прил. 1 План ФХД трансп. стоков'!коррект</definedName>
    <definedName name="коррект_15" localSheetId="76">'Расчет товарной выручки 2018'!коррект</definedName>
    <definedName name="коррект_15" localSheetId="25">'Расчет товарной выручки 2019'!коррект</definedName>
    <definedName name="коррект_15" localSheetId="20">'Расчет товарной выручки 2021'!коррект</definedName>
    <definedName name="коррект_15" localSheetId="77">'рез к 2017-2023'!коррект</definedName>
    <definedName name="коррект_15" localSheetId="74">'рез к 2018-2024 (кор) '!коррект</definedName>
    <definedName name="коррект_15" localSheetId="13">'Текущий ремонт'!коррект</definedName>
    <definedName name="коррект_15" localSheetId="23">'ФАКТ.СЕБЕСТ.ВОДА 9 мес. 2021'!коррект</definedName>
    <definedName name="коррект_15" localSheetId="21">'ФАКТ.СЕБЕСТ.СТОКИ 9 мес. 2021'!коррект</definedName>
    <definedName name="коррект_15" localSheetId="14">'Чистая прибыль с транспортир.'!коррект</definedName>
    <definedName name="коррект_15">[0]!коррект</definedName>
    <definedName name="коррект_16" localSheetId="75">'А 2018'!коррект</definedName>
    <definedName name="коррект_16" localSheetId="59">'выпадающие расходы'!коррект</definedName>
    <definedName name="коррект_16" localSheetId="50">'ЗП с факт 3 кв. 2015'!коррект</definedName>
    <definedName name="коррект_16" localSheetId="24">'ПОЛНАЯ СЕБЕСТОИМОСТЬ ВОДА 2021'!коррект</definedName>
    <definedName name="коррект_16" localSheetId="22">'ПОЛНАЯ СЕБЕСТОИМОСТЬ СТОКИ 2021'!коррект</definedName>
    <definedName name="коррект_16" localSheetId="19">'Прил. 1 План ФХД вода '!коррект</definedName>
    <definedName name="коррект_16" localSheetId="15">'Прил. 1 План ФХД с транспортир.'!коррект</definedName>
    <definedName name="коррект_16" localSheetId="18">'Прил. 1 План ФХД стоки'!коррект</definedName>
    <definedName name="коррект_16" localSheetId="17">'Прил. 1 План ФХД трансп. воды'!коррект</definedName>
    <definedName name="коррект_16" localSheetId="16">'Прил. 1 План ФХД трансп. стоков'!коррект</definedName>
    <definedName name="коррект_16" localSheetId="76">'Расчет товарной выручки 2018'!коррект</definedName>
    <definedName name="коррект_16" localSheetId="25">'Расчет товарной выручки 2019'!коррект</definedName>
    <definedName name="коррект_16" localSheetId="20">'Расчет товарной выручки 2021'!коррект</definedName>
    <definedName name="коррект_16" localSheetId="77">'рез к 2017-2023'!коррект</definedName>
    <definedName name="коррект_16" localSheetId="74">'рез к 2018-2024 (кор) '!коррект</definedName>
    <definedName name="коррект_16" localSheetId="13">'Текущий ремонт'!коррект</definedName>
    <definedName name="коррект_16" localSheetId="23">'ФАКТ.СЕБЕСТ.ВОДА 9 мес. 2021'!коррект</definedName>
    <definedName name="коррект_16" localSheetId="21">'ФАКТ.СЕБЕСТ.СТОКИ 9 мес. 2021'!коррект</definedName>
    <definedName name="коррект_16" localSheetId="14">'Чистая прибыль с транспортир.'!коррект</definedName>
    <definedName name="коррект_16">[0]!коррект</definedName>
    <definedName name="коррект_2" localSheetId="75">'А 2018'!коррект</definedName>
    <definedName name="коррект_2" localSheetId="59">'выпадающие расходы'!коррект</definedName>
    <definedName name="коррект_2" localSheetId="50">'ЗП с факт 3 кв. 2015'!коррект</definedName>
    <definedName name="коррект_2" localSheetId="24">'ПОЛНАЯ СЕБЕСТОИМОСТЬ ВОДА 2021'!коррект</definedName>
    <definedName name="коррект_2" localSheetId="22">'ПОЛНАЯ СЕБЕСТОИМОСТЬ СТОКИ 2021'!коррект</definedName>
    <definedName name="коррект_2" localSheetId="19">'Прил. 1 План ФХД вода '!коррект</definedName>
    <definedName name="коррект_2" localSheetId="15">'Прил. 1 План ФХД с транспортир.'!коррект</definedName>
    <definedName name="коррект_2" localSheetId="18">'Прил. 1 План ФХД стоки'!коррект</definedName>
    <definedName name="коррект_2" localSheetId="17">'Прил. 1 План ФХД трансп. воды'!коррект</definedName>
    <definedName name="коррект_2" localSheetId="16">'Прил. 1 План ФХД трансп. стоков'!коррект</definedName>
    <definedName name="коррект_2" localSheetId="76">'Расчет товарной выручки 2018'!коррект</definedName>
    <definedName name="коррект_2" localSheetId="25">'Расчет товарной выручки 2019'!коррект</definedName>
    <definedName name="коррект_2" localSheetId="20">'Расчет товарной выручки 2021'!коррект</definedName>
    <definedName name="коррект_2" localSheetId="77">'рез к 2017-2023'!коррект</definedName>
    <definedName name="коррект_2" localSheetId="74">'рез к 2018-2024 (кор) '!коррект</definedName>
    <definedName name="коррект_2" localSheetId="13">'Текущий ремонт'!коррект</definedName>
    <definedName name="коррект_2" localSheetId="23">'ФАКТ.СЕБЕСТ.ВОДА 9 мес. 2021'!коррект</definedName>
    <definedName name="коррект_2" localSheetId="21">'ФАКТ.СЕБЕСТ.СТОКИ 9 мес. 2021'!коррект</definedName>
    <definedName name="коррект_2" localSheetId="14">'Чистая прибыль с транспортир.'!коррект</definedName>
    <definedName name="коррект_2">[0]!коррект</definedName>
    <definedName name="кууееерототтт">#N/A</definedName>
    <definedName name="лист" localSheetId="75">'А 2018'!лист</definedName>
    <definedName name="лист" localSheetId="59">#N/A</definedName>
    <definedName name="лист" localSheetId="50">'ЗП с факт 3 кв. 2015'!лист</definedName>
    <definedName name="лист" localSheetId="24">#N/A</definedName>
    <definedName name="лист" localSheetId="22">#N/A</definedName>
    <definedName name="лист" localSheetId="19">#N/A</definedName>
    <definedName name="лист" localSheetId="15">#N/A</definedName>
    <definedName name="лист" localSheetId="18">#N/A</definedName>
    <definedName name="лист" localSheetId="17">#N/A</definedName>
    <definedName name="лист" localSheetId="16">#N/A</definedName>
    <definedName name="лист" localSheetId="76">#N/A</definedName>
    <definedName name="лист" localSheetId="25">#N/A</definedName>
    <definedName name="лист" localSheetId="20">#N/A</definedName>
    <definedName name="лист" localSheetId="77">'рез к 2017-2023'!лист</definedName>
    <definedName name="лист" localSheetId="74">'рез к 2018-2024 (кор) '!лист</definedName>
    <definedName name="лист" localSheetId="13">#N/A</definedName>
    <definedName name="лист" localSheetId="23">#N/A</definedName>
    <definedName name="лист" localSheetId="21">#N/A</definedName>
    <definedName name="лист" localSheetId="14">#N/A</definedName>
    <definedName name="лист">лист</definedName>
    <definedName name="лист_10" localSheetId="75">'А 2018'!лист</definedName>
    <definedName name="лист_10" localSheetId="59">'выпадающие расходы'!лист</definedName>
    <definedName name="лист_10" localSheetId="50">'ЗП с факт 3 кв. 2015'!лист</definedName>
    <definedName name="лист_10" localSheetId="24">'ПОЛНАЯ СЕБЕСТОИМОСТЬ ВОДА 2021'!лист</definedName>
    <definedName name="лист_10" localSheetId="22">'ПОЛНАЯ СЕБЕСТОИМОСТЬ СТОКИ 2021'!лист</definedName>
    <definedName name="лист_10" localSheetId="19">'Прил. 1 План ФХД вода '!лист</definedName>
    <definedName name="лист_10" localSheetId="15">'Прил. 1 План ФХД с транспортир.'!лист</definedName>
    <definedName name="лист_10" localSheetId="18">'Прил. 1 План ФХД стоки'!лист</definedName>
    <definedName name="лист_10" localSheetId="17">'Прил. 1 План ФХД трансп. воды'!лист</definedName>
    <definedName name="лист_10" localSheetId="16">'Прил. 1 План ФХД трансп. стоков'!лист</definedName>
    <definedName name="лист_10" localSheetId="76">'Расчет товарной выручки 2018'!лист</definedName>
    <definedName name="лист_10" localSheetId="25">'Расчет товарной выручки 2019'!лист</definedName>
    <definedName name="лист_10" localSheetId="20">'Расчет товарной выручки 2021'!лист</definedName>
    <definedName name="лист_10" localSheetId="77">'рез к 2017-2023'!лист</definedName>
    <definedName name="лист_10" localSheetId="74">'рез к 2018-2024 (кор) '!лист</definedName>
    <definedName name="лист_10" localSheetId="13">'Текущий ремонт'!лист</definedName>
    <definedName name="лист_10" localSheetId="23">'ФАКТ.СЕБЕСТ.ВОДА 9 мес. 2021'!лист</definedName>
    <definedName name="лист_10" localSheetId="21">'ФАКТ.СЕБЕСТ.СТОКИ 9 мес. 2021'!лист</definedName>
    <definedName name="лист_10" localSheetId="14">'Чистая прибыль с транспортир.'!лист</definedName>
    <definedName name="лист_10">[0]!лист</definedName>
    <definedName name="лист_14" localSheetId="75">'А 2018'!лист</definedName>
    <definedName name="лист_14" localSheetId="59">'выпадающие расходы'!лист</definedName>
    <definedName name="лист_14" localSheetId="50">'ЗП с факт 3 кв. 2015'!лист</definedName>
    <definedName name="лист_14" localSheetId="24">'ПОЛНАЯ СЕБЕСТОИМОСТЬ ВОДА 2021'!лист</definedName>
    <definedName name="лист_14" localSheetId="22">'ПОЛНАЯ СЕБЕСТОИМОСТЬ СТОКИ 2021'!лист</definedName>
    <definedName name="лист_14" localSheetId="19">'Прил. 1 План ФХД вода '!лист</definedName>
    <definedName name="лист_14" localSheetId="15">'Прил. 1 План ФХД с транспортир.'!лист</definedName>
    <definedName name="лист_14" localSheetId="18">'Прил. 1 План ФХД стоки'!лист</definedName>
    <definedName name="лист_14" localSheetId="17">'Прил. 1 План ФХД трансп. воды'!лист</definedName>
    <definedName name="лист_14" localSheetId="16">'Прил. 1 План ФХД трансп. стоков'!лист</definedName>
    <definedName name="лист_14" localSheetId="76">'Расчет товарной выручки 2018'!лист</definedName>
    <definedName name="лист_14" localSheetId="25">'Расчет товарной выручки 2019'!лист</definedName>
    <definedName name="лист_14" localSheetId="20">'Расчет товарной выручки 2021'!лист</definedName>
    <definedName name="лист_14" localSheetId="77">'рез к 2017-2023'!лист</definedName>
    <definedName name="лист_14" localSheetId="74">'рез к 2018-2024 (кор) '!лист</definedName>
    <definedName name="лист_14" localSheetId="13">'Текущий ремонт'!лист</definedName>
    <definedName name="лист_14" localSheetId="23">'ФАКТ.СЕБЕСТ.ВОДА 9 мес. 2021'!лист</definedName>
    <definedName name="лист_14" localSheetId="21">'ФАКТ.СЕБЕСТ.СТОКИ 9 мес. 2021'!лист</definedName>
    <definedName name="лист_14" localSheetId="14">'Чистая прибыль с транспортир.'!лист</definedName>
    <definedName name="лист_14">[0]!лист</definedName>
    <definedName name="лист_15" localSheetId="75">'А 2018'!лист</definedName>
    <definedName name="лист_15" localSheetId="59">'выпадающие расходы'!лист</definedName>
    <definedName name="лист_15" localSheetId="50">'ЗП с факт 3 кв. 2015'!лист</definedName>
    <definedName name="лист_15" localSheetId="24">'ПОЛНАЯ СЕБЕСТОИМОСТЬ ВОДА 2021'!лист</definedName>
    <definedName name="лист_15" localSheetId="22">'ПОЛНАЯ СЕБЕСТОИМОСТЬ СТОКИ 2021'!лист</definedName>
    <definedName name="лист_15" localSheetId="19">'Прил. 1 План ФХД вода '!лист</definedName>
    <definedName name="лист_15" localSheetId="15">'Прил. 1 План ФХД с транспортир.'!лист</definedName>
    <definedName name="лист_15" localSheetId="18">'Прил. 1 План ФХД стоки'!лист</definedName>
    <definedName name="лист_15" localSheetId="17">'Прил. 1 План ФХД трансп. воды'!лист</definedName>
    <definedName name="лист_15" localSheetId="16">'Прил. 1 План ФХД трансп. стоков'!лист</definedName>
    <definedName name="лист_15" localSheetId="76">'Расчет товарной выручки 2018'!лист</definedName>
    <definedName name="лист_15" localSheetId="25">'Расчет товарной выручки 2019'!лист</definedName>
    <definedName name="лист_15" localSheetId="20">'Расчет товарной выручки 2021'!лист</definedName>
    <definedName name="лист_15" localSheetId="77">'рез к 2017-2023'!лист</definedName>
    <definedName name="лист_15" localSheetId="74">'рез к 2018-2024 (кор) '!лист</definedName>
    <definedName name="лист_15" localSheetId="13">'Текущий ремонт'!лист</definedName>
    <definedName name="лист_15" localSheetId="23">'ФАКТ.СЕБЕСТ.ВОДА 9 мес. 2021'!лист</definedName>
    <definedName name="лист_15" localSheetId="21">'ФАКТ.СЕБЕСТ.СТОКИ 9 мес. 2021'!лист</definedName>
    <definedName name="лист_15" localSheetId="14">'Чистая прибыль с транспортир.'!лист</definedName>
    <definedName name="лист_15">[0]!лист</definedName>
    <definedName name="лист_16" localSheetId="75">'А 2018'!лист</definedName>
    <definedName name="лист_16" localSheetId="59">'выпадающие расходы'!лист</definedName>
    <definedName name="лист_16" localSheetId="50">'ЗП с факт 3 кв. 2015'!лист</definedName>
    <definedName name="лист_16" localSheetId="24">'ПОЛНАЯ СЕБЕСТОИМОСТЬ ВОДА 2021'!лист</definedName>
    <definedName name="лист_16" localSheetId="22">'ПОЛНАЯ СЕБЕСТОИМОСТЬ СТОКИ 2021'!лист</definedName>
    <definedName name="лист_16" localSheetId="19">'Прил. 1 План ФХД вода '!лист</definedName>
    <definedName name="лист_16" localSheetId="15">'Прил. 1 План ФХД с транспортир.'!лист</definedName>
    <definedName name="лист_16" localSheetId="18">'Прил. 1 План ФХД стоки'!лист</definedName>
    <definedName name="лист_16" localSheetId="17">'Прил. 1 План ФХД трансп. воды'!лист</definedName>
    <definedName name="лист_16" localSheetId="16">'Прил. 1 План ФХД трансп. стоков'!лист</definedName>
    <definedName name="лист_16" localSheetId="76">'Расчет товарной выручки 2018'!лист</definedName>
    <definedName name="лист_16" localSheetId="25">'Расчет товарной выручки 2019'!лист</definedName>
    <definedName name="лист_16" localSheetId="20">'Расчет товарной выручки 2021'!лист</definedName>
    <definedName name="лист_16" localSheetId="77">'рез к 2017-2023'!лист</definedName>
    <definedName name="лист_16" localSheetId="74">'рез к 2018-2024 (кор) '!лист</definedName>
    <definedName name="лист_16" localSheetId="13">'Текущий ремонт'!лист</definedName>
    <definedName name="лист_16" localSheetId="23">'ФАКТ.СЕБЕСТ.ВОДА 9 мес. 2021'!лист</definedName>
    <definedName name="лист_16" localSheetId="21">'ФАКТ.СЕБЕСТ.СТОКИ 9 мес. 2021'!лист</definedName>
    <definedName name="лист_16" localSheetId="14">'Чистая прибыль с транспортир.'!лист</definedName>
    <definedName name="лист_16">[0]!лист</definedName>
    <definedName name="лист_2" localSheetId="75">'А 2018'!лист</definedName>
    <definedName name="лист_2" localSheetId="59">'выпадающие расходы'!лист</definedName>
    <definedName name="лист_2" localSheetId="50">'ЗП с факт 3 кв. 2015'!лист</definedName>
    <definedName name="лист_2" localSheetId="24">'ПОЛНАЯ СЕБЕСТОИМОСТЬ ВОДА 2021'!лист</definedName>
    <definedName name="лист_2" localSheetId="22">'ПОЛНАЯ СЕБЕСТОИМОСТЬ СТОКИ 2021'!лист</definedName>
    <definedName name="лист_2" localSheetId="19">'Прил. 1 План ФХД вода '!лист</definedName>
    <definedName name="лист_2" localSheetId="15">'Прил. 1 План ФХД с транспортир.'!лист</definedName>
    <definedName name="лист_2" localSheetId="18">'Прил. 1 План ФХД стоки'!лист</definedName>
    <definedName name="лист_2" localSheetId="17">'Прил. 1 План ФХД трансп. воды'!лист</definedName>
    <definedName name="лист_2" localSheetId="16">'Прил. 1 План ФХД трансп. стоков'!лист</definedName>
    <definedName name="лист_2" localSheetId="76">'Расчет товарной выручки 2018'!лист</definedName>
    <definedName name="лист_2" localSheetId="25">'Расчет товарной выручки 2019'!лист</definedName>
    <definedName name="лист_2" localSheetId="20">'Расчет товарной выручки 2021'!лист</definedName>
    <definedName name="лист_2" localSheetId="77">'рез к 2017-2023'!лист</definedName>
    <definedName name="лист_2" localSheetId="74">'рез к 2018-2024 (кор) '!лист</definedName>
    <definedName name="лист_2" localSheetId="13">'Текущий ремонт'!лист</definedName>
    <definedName name="лист_2" localSheetId="23">'ФАКТ.СЕБЕСТ.ВОДА 9 мес. 2021'!лист</definedName>
    <definedName name="лист_2" localSheetId="21">'ФАКТ.СЕБЕСТ.СТОКИ 9 мес. 2021'!лист</definedName>
    <definedName name="лист_2" localSheetId="14">'Чистая прибыль с транспортир.'!лист</definedName>
    <definedName name="лист_2">[0]!лист</definedName>
    <definedName name="лоекнукеущшбь">[19]Нормат!$J$23</definedName>
    <definedName name="лпоапкпвввввв">[20]Нормат!$J$23</definedName>
    <definedName name="мааппенннннннннннн">#N/A</definedName>
    <definedName name="маиттььббллл">#N/A</definedName>
    <definedName name="мапеенроооо" localSheetId="75">#REF!</definedName>
    <definedName name="мапеенроооо" localSheetId="59">#REF!</definedName>
    <definedName name="мапеенроооо" localSheetId="50">#REF!</definedName>
    <definedName name="мапеенроооо" localSheetId="32">#REF!</definedName>
    <definedName name="мапеенроооо" localSheetId="15">#REF!</definedName>
    <definedName name="мапеенроооо" localSheetId="17">#REF!</definedName>
    <definedName name="мапеенроооо" localSheetId="16">#REF!</definedName>
    <definedName name="мапеенроооо" localSheetId="76">#REF!</definedName>
    <definedName name="мапеенроооо" localSheetId="25">#REF!</definedName>
    <definedName name="мапеенроооо" localSheetId="20">#REF!</definedName>
    <definedName name="мапеенроооо" localSheetId="77">#REF!</definedName>
    <definedName name="мапеенроооо" localSheetId="74">#REF!</definedName>
    <definedName name="мапеенроооо" localSheetId="31">#REF!</definedName>
    <definedName name="мапеенроооо" localSheetId="30">#REF!</definedName>
    <definedName name="мапеенроооо" localSheetId="14">#REF!</definedName>
    <definedName name="мапеенроооо" localSheetId="36">#REF!</definedName>
    <definedName name="мапеенроооо">#REF!</definedName>
    <definedName name="мапппппппппп" localSheetId="75">#REF!</definedName>
    <definedName name="мапппппппппп" localSheetId="59">#REF!</definedName>
    <definedName name="мапппппппппп" localSheetId="50">#REF!</definedName>
    <definedName name="мапппппппппп" localSheetId="32">#REF!</definedName>
    <definedName name="мапппппппппп" localSheetId="15">#REF!</definedName>
    <definedName name="мапппппппппп" localSheetId="17">#REF!</definedName>
    <definedName name="мапппппппппп" localSheetId="16">#REF!</definedName>
    <definedName name="мапппппппппп" localSheetId="76">#REF!</definedName>
    <definedName name="мапппппппппп" localSheetId="25">#REF!</definedName>
    <definedName name="мапппппппппп" localSheetId="20">#REF!</definedName>
    <definedName name="мапппппппппп" localSheetId="77">#REF!</definedName>
    <definedName name="мапппппппппп" localSheetId="74">#REF!</definedName>
    <definedName name="мапппппппппп" localSheetId="31">#REF!</definedName>
    <definedName name="мапппппппппп" localSheetId="30">#REF!</definedName>
    <definedName name="мапппппппппп" localSheetId="14">#REF!</definedName>
    <definedName name="мапппппппппп" localSheetId="36">#REF!</definedName>
    <definedName name="мапппппппппп">#REF!</definedName>
    <definedName name="мипакенроггггг">#N/A</definedName>
    <definedName name="НАЛ" localSheetId="75">'А 2018'!НАЛ</definedName>
    <definedName name="НАЛ" localSheetId="59">#N/A</definedName>
    <definedName name="НАЛ" localSheetId="50">'ЗП с факт 3 кв. 2015'!НАЛ</definedName>
    <definedName name="НАЛ" localSheetId="24">#N/A</definedName>
    <definedName name="НАЛ" localSheetId="22">#N/A</definedName>
    <definedName name="НАЛ" localSheetId="19">#N/A</definedName>
    <definedName name="НАЛ" localSheetId="15">#N/A</definedName>
    <definedName name="НАЛ" localSheetId="18">#N/A</definedName>
    <definedName name="НАЛ" localSheetId="17">#N/A</definedName>
    <definedName name="НАЛ" localSheetId="16">#N/A</definedName>
    <definedName name="НАЛ" localSheetId="76">#N/A</definedName>
    <definedName name="НАЛ" localSheetId="25">#N/A</definedName>
    <definedName name="НАЛ" localSheetId="20">#N/A</definedName>
    <definedName name="НАЛ" localSheetId="77">'рез к 2017-2023'!НАЛ</definedName>
    <definedName name="НАЛ" localSheetId="74">'рез к 2018-2024 (кор) '!НАЛ</definedName>
    <definedName name="НАЛ" localSheetId="13">#N/A</definedName>
    <definedName name="НАЛ" localSheetId="23">#N/A</definedName>
    <definedName name="НАЛ" localSheetId="21">#N/A</definedName>
    <definedName name="НАЛ" localSheetId="14">#N/A</definedName>
    <definedName name="НАЛ">НАЛ</definedName>
    <definedName name="НАЛ_10" localSheetId="75">'А 2018'!НАЛ</definedName>
    <definedName name="НАЛ_10" localSheetId="59">'выпадающие расходы'!НАЛ</definedName>
    <definedName name="НАЛ_10" localSheetId="50">'ЗП с факт 3 кв. 2015'!НАЛ</definedName>
    <definedName name="НАЛ_10" localSheetId="24">'ПОЛНАЯ СЕБЕСТОИМОСТЬ ВОДА 2021'!НАЛ</definedName>
    <definedName name="НАЛ_10" localSheetId="22">'ПОЛНАЯ СЕБЕСТОИМОСТЬ СТОКИ 2021'!НАЛ</definedName>
    <definedName name="НАЛ_10" localSheetId="19">'Прил. 1 План ФХД вода '!НАЛ</definedName>
    <definedName name="НАЛ_10" localSheetId="15">'Прил. 1 План ФХД с транспортир.'!НАЛ</definedName>
    <definedName name="НАЛ_10" localSheetId="18">'Прил. 1 План ФХД стоки'!НАЛ</definedName>
    <definedName name="НАЛ_10" localSheetId="17">'Прил. 1 План ФХД трансп. воды'!НАЛ</definedName>
    <definedName name="НАЛ_10" localSheetId="16">'Прил. 1 План ФХД трансп. стоков'!НАЛ</definedName>
    <definedName name="НАЛ_10" localSheetId="76">'Расчет товарной выручки 2018'!НАЛ</definedName>
    <definedName name="НАЛ_10" localSheetId="25">'Расчет товарной выручки 2019'!НАЛ</definedName>
    <definedName name="НАЛ_10" localSheetId="20">'Расчет товарной выручки 2021'!НАЛ</definedName>
    <definedName name="НАЛ_10" localSheetId="77">'рез к 2017-2023'!НАЛ</definedName>
    <definedName name="НАЛ_10" localSheetId="74">'рез к 2018-2024 (кор) '!НАЛ</definedName>
    <definedName name="НАЛ_10" localSheetId="13">'Текущий ремонт'!НАЛ</definedName>
    <definedName name="НАЛ_10" localSheetId="23">'ФАКТ.СЕБЕСТ.ВОДА 9 мес. 2021'!НАЛ</definedName>
    <definedName name="НАЛ_10" localSheetId="21">'ФАКТ.СЕБЕСТ.СТОКИ 9 мес. 2021'!НАЛ</definedName>
    <definedName name="НАЛ_10" localSheetId="14">'Чистая прибыль с транспортир.'!НАЛ</definedName>
    <definedName name="НАЛ_10">[0]!НАЛ</definedName>
    <definedName name="НАЛ_14" localSheetId="75">'А 2018'!НАЛ</definedName>
    <definedName name="НАЛ_14" localSheetId="59">'выпадающие расходы'!НАЛ</definedName>
    <definedName name="НАЛ_14" localSheetId="50">'ЗП с факт 3 кв. 2015'!НАЛ</definedName>
    <definedName name="НАЛ_14" localSheetId="24">'ПОЛНАЯ СЕБЕСТОИМОСТЬ ВОДА 2021'!НАЛ</definedName>
    <definedName name="НАЛ_14" localSheetId="22">'ПОЛНАЯ СЕБЕСТОИМОСТЬ СТОКИ 2021'!НАЛ</definedName>
    <definedName name="НАЛ_14" localSheetId="19">'Прил. 1 План ФХД вода '!НАЛ</definedName>
    <definedName name="НАЛ_14" localSheetId="15">'Прил. 1 План ФХД с транспортир.'!НАЛ</definedName>
    <definedName name="НАЛ_14" localSheetId="18">'Прил. 1 План ФХД стоки'!НАЛ</definedName>
    <definedName name="НАЛ_14" localSheetId="17">'Прил. 1 План ФХД трансп. воды'!НАЛ</definedName>
    <definedName name="НАЛ_14" localSheetId="16">'Прил. 1 План ФХД трансп. стоков'!НАЛ</definedName>
    <definedName name="НАЛ_14" localSheetId="76">'Расчет товарной выручки 2018'!НАЛ</definedName>
    <definedName name="НАЛ_14" localSheetId="25">'Расчет товарной выручки 2019'!НАЛ</definedName>
    <definedName name="НАЛ_14" localSheetId="20">'Расчет товарной выручки 2021'!НАЛ</definedName>
    <definedName name="НАЛ_14" localSheetId="77">'рез к 2017-2023'!НАЛ</definedName>
    <definedName name="НАЛ_14" localSheetId="74">'рез к 2018-2024 (кор) '!НАЛ</definedName>
    <definedName name="НАЛ_14" localSheetId="13">'Текущий ремонт'!НАЛ</definedName>
    <definedName name="НАЛ_14" localSheetId="23">'ФАКТ.СЕБЕСТ.ВОДА 9 мес. 2021'!НАЛ</definedName>
    <definedName name="НАЛ_14" localSheetId="21">'ФАКТ.СЕБЕСТ.СТОКИ 9 мес. 2021'!НАЛ</definedName>
    <definedName name="НАЛ_14" localSheetId="14">'Чистая прибыль с транспортир.'!НАЛ</definedName>
    <definedName name="НАЛ_14">[0]!НАЛ</definedName>
    <definedName name="НАЛ_15" localSheetId="75">'А 2018'!НАЛ</definedName>
    <definedName name="НАЛ_15" localSheetId="59">'выпадающие расходы'!НАЛ</definedName>
    <definedName name="НАЛ_15" localSheetId="50">'ЗП с факт 3 кв. 2015'!НАЛ</definedName>
    <definedName name="НАЛ_15" localSheetId="24">'ПОЛНАЯ СЕБЕСТОИМОСТЬ ВОДА 2021'!НАЛ</definedName>
    <definedName name="НАЛ_15" localSheetId="22">'ПОЛНАЯ СЕБЕСТОИМОСТЬ СТОКИ 2021'!НАЛ</definedName>
    <definedName name="НАЛ_15" localSheetId="19">'Прил. 1 План ФХД вода '!НАЛ</definedName>
    <definedName name="НАЛ_15" localSheetId="15">'Прил. 1 План ФХД с транспортир.'!НАЛ</definedName>
    <definedName name="НАЛ_15" localSheetId="18">'Прил. 1 План ФХД стоки'!НАЛ</definedName>
    <definedName name="НАЛ_15" localSheetId="17">'Прил. 1 План ФХД трансп. воды'!НАЛ</definedName>
    <definedName name="НАЛ_15" localSheetId="16">'Прил. 1 План ФХД трансп. стоков'!НАЛ</definedName>
    <definedName name="НАЛ_15" localSheetId="76">'Расчет товарной выручки 2018'!НАЛ</definedName>
    <definedName name="НАЛ_15" localSheetId="25">'Расчет товарной выручки 2019'!НАЛ</definedName>
    <definedName name="НАЛ_15" localSheetId="20">'Расчет товарной выручки 2021'!НАЛ</definedName>
    <definedName name="НАЛ_15" localSheetId="77">'рез к 2017-2023'!НАЛ</definedName>
    <definedName name="НАЛ_15" localSheetId="74">'рез к 2018-2024 (кор) '!НАЛ</definedName>
    <definedName name="НАЛ_15" localSheetId="13">'Текущий ремонт'!НАЛ</definedName>
    <definedName name="НАЛ_15" localSheetId="23">'ФАКТ.СЕБЕСТ.ВОДА 9 мес. 2021'!НАЛ</definedName>
    <definedName name="НАЛ_15" localSheetId="21">'ФАКТ.СЕБЕСТ.СТОКИ 9 мес. 2021'!НАЛ</definedName>
    <definedName name="НАЛ_15" localSheetId="14">'Чистая прибыль с транспортир.'!НАЛ</definedName>
    <definedName name="НАЛ_15">[0]!НАЛ</definedName>
    <definedName name="НАЛ_16" localSheetId="75">'А 2018'!НАЛ</definedName>
    <definedName name="НАЛ_16" localSheetId="59">'выпадающие расходы'!НАЛ</definedName>
    <definedName name="НАЛ_16" localSheetId="50">'ЗП с факт 3 кв. 2015'!НАЛ</definedName>
    <definedName name="НАЛ_16" localSheetId="24">'ПОЛНАЯ СЕБЕСТОИМОСТЬ ВОДА 2021'!НАЛ</definedName>
    <definedName name="НАЛ_16" localSheetId="22">'ПОЛНАЯ СЕБЕСТОИМОСТЬ СТОКИ 2021'!НАЛ</definedName>
    <definedName name="НАЛ_16" localSheetId="19">'Прил. 1 План ФХД вода '!НАЛ</definedName>
    <definedName name="НАЛ_16" localSheetId="15">'Прил. 1 План ФХД с транспортир.'!НАЛ</definedName>
    <definedName name="НАЛ_16" localSheetId="18">'Прил. 1 План ФХД стоки'!НАЛ</definedName>
    <definedName name="НАЛ_16" localSheetId="17">'Прил. 1 План ФХД трансп. воды'!НАЛ</definedName>
    <definedName name="НАЛ_16" localSheetId="16">'Прил. 1 План ФХД трансп. стоков'!НАЛ</definedName>
    <definedName name="НАЛ_16" localSheetId="76">'Расчет товарной выручки 2018'!НАЛ</definedName>
    <definedName name="НАЛ_16" localSheetId="25">'Расчет товарной выручки 2019'!НАЛ</definedName>
    <definedName name="НАЛ_16" localSheetId="20">'Расчет товарной выручки 2021'!НАЛ</definedName>
    <definedName name="НАЛ_16" localSheetId="77">'рез к 2017-2023'!НАЛ</definedName>
    <definedName name="НАЛ_16" localSheetId="74">'рез к 2018-2024 (кор) '!НАЛ</definedName>
    <definedName name="НАЛ_16" localSheetId="13">'Текущий ремонт'!НАЛ</definedName>
    <definedName name="НАЛ_16" localSheetId="23">'ФАКТ.СЕБЕСТ.ВОДА 9 мес. 2021'!НАЛ</definedName>
    <definedName name="НАЛ_16" localSheetId="21">'ФАКТ.СЕБЕСТ.СТОКИ 9 мес. 2021'!НАЛ</definedName>
    <definedName name="НАЛ_16" localSheetId="14">'Чистая прибыль с транспортир.'!НАЛ</definedName>
    <definedName name="НАЛ_16">[0]!НАЛ</definedName>
    <definedName name="НАЛ_2" localSheetId="75">'А 2018'!НАЛ</definedName>
    <definedName name="НАЛ_2" localSheetId="59">'выпадающие расходы'!НАЛ</definedName>
    <definedName name="НАЛ_2" localSheetId="50">'ЗП с факт 3 кв. 2015'!НАЛ</definedName>
    <definedName name="НАЛ_2" localSheetId="24">'ПОЛНАЯ СЕБЕСТОИМОСТЬ ВОДА 2021'!НАЛ</definedName>
    <definedName name="НАЛ_2" localSheetId="22">'ПОЛНАЯ СЕБЕСТОИМОСТЬ СТОКИ 2021'!НАЛ</definedName>
    <definedName name="НАЛ_2" localSheetId="19">'Прил. 1 План ФХД вода '!НАЛ</definedName>
    <definedName name="НАЛ_2" localSheetId="15">'Прил. 1 План ФХД с транспортир.'!НАЛ</definedName>
    <definedName name="НАЛ_2" localSheetId="18">'Прил. 1 План ФХД стоки'!НАЛ</definedName>
    <definedName name="НАЛ_2" localSheetId="17">'Прил. 1 План ФХД трансп. воды'!НАЛ</definedName>
    <definedName name="НАЛ_2" localSheetId="16">'Прил. 1 План ФХД трансп. стоков'!НАЛ</definedName>
    <definedName name="НАЛ_2" localSheetId="76">'Расчет товарной выручки 2018'!НАЛ</definedName>
    <definedName name="НАЛ_2" localSheetId="25">'Расчет товарной выручки 2019'!НАЛ</definedName>
    <definedName name="НАЛ_2" localSheetId="20">'Расчет товарной выручки 2021'!НАЛ</definedName>
    <definedName name="НАЛ_2" localSheetId="77">'рез к 2017-2023'!НАЛ</definedName>
    <definedName name="НАЛ_2" localSheetId="74">'рез к 2018-2024 (кор) '!НАЛ</definedName>
    <definedName name="НАЛ_2" localSheetId="13">'Текущий ремонт'!НАЛ</definedName>
    <definedName name="НАЛ_2" localSheetId="23">'ФАКТ.СЕБЕСТ.ВОДА 9 мес. 2021'!НАЛ</definedName>
    <definedName name="НАЛ_2" localSheetId="21">'ФАКТ.СЕБЕСТ.СТОКИ 9 мес. 2021'!НАЛ</definedName>
    <definedName name="НАЛ_2" localSheetId="14">'Чистая прибыль с транспортир.'!НАЛ</definedName>
    <definedName name="НАЛ_2">[0]!НАЛ</definedName>
    <definedName name="НАЛИЧКА" localSheetId="75">'А 2018'!НАЛИЧКА</definedName>
    <definedName name="НАЛИЧКА" localSheetId="59">#N/A</definedName>
    <definedName name="НАЛИЧКА" localSheetId="50">'ЗП с факт 3 кв. 2015'!НАЛИЧКА</definedName>
    <definedName name="НАЛИЧКА" localSheetId="24">#N/A</definedName>
    <definedName name="НАЛИЧКА" localSheetId="22">#N/A</definedName>
    <definedName name="НАЛИЧКА" localSheetId="19">#N/A</definedName>
    <definedName name="НАЛИЧКА" localSheetId="15">#N/A</definedName>
    <definedName name="НАЛИЧКА" localSheetId="18">#N/A</definedName>
    <definedName name="НАЛИЧКА" localSheetId="17">#N/A</definedName>
    <definedName name="НАЛИЧКА" localSheetId="16">#N/A</definedName>
    <definedName name="НАЛИЧКА" localSheetId="76">#N/A</definedName>
    <definedName name="НАЛИЧКА" localSheetId="25">#N/A</definedName>
    <definedName name="НАЛИЧКА" localSheetId="20">#N/A</definedName>
    <definedName name="НАЛИЧКА" localSheetId="77">'рез к 2017-2023'!НАЛИЧКА</definedName>
    <definedName name="НАЛИЧКА" localSheetId="74">'рез к 2018-2024 (кор) '!НАЛИЧКА</definedName>
    <definedName name="НАЛИЧКА" localSheetId="13">#N/A</definedName>
    <definedName name="НАЛИЧКА" localSheetId="23">#N/A</definedName>
    <definedName name="НАЛИЧКА" localSheetId="21">#N/A</definedName>
    <definedName name="НАЛИЧКА" localSheetId="14">#N/A</definedName>
    <definedName name="НАЛИЧКА">НАЛИЧКА</definedName>
    <definedName name="НАЛИЧКА_10" localSheetId="75">'А 2018'!НАЛИЧКА</definedName>
    <definedName name="НАЛИЧКА_10" localSheetId="59">'выпадающие расходы'!НАЛИЧКА</definedName>
    <definedName name="НАЛИЧКА_10" localSheetId="50">'ЗП с факт 3 кв. 2015'!НАЛИЧКА</definedName>
    <definedName name="НАЛИЧКА_10" localSheetId="24">'ПОЛНАЯ СЕБЕСТОИМОСТЬ ВОДА 2021'!НАЛИЧКА</definedName>
    <definedName name="НАЛИЧКА_10" localSheetId="22">'ПОЛНАЯ СЕБЕСТОИМОСТЬ СТОКИ 2021'!НАЛИЧКА</definedName>
    <definedName name="НАЛИЧКА_10" localSheetId="19">'Прил. 1 План ФХД вода '!НАЛИЧКА</definedName>
    <definedName name="НАЛИЧКА_10" localSheetId="15">'Прил. 1 План ФХД с транспортир.'!НАЛИЧКА</definedName>
    <definedName name="НАЛИЧКА_10" localSheetId="18">'Прил. 1 План ФХД стоки'!НАЛИЧКА</definedName>
    <definedName name="НАЛИЧКА_10" localSheetId="17">'Прил. 1 План ФХД трансп. воды'!НАЛИЧКА</definedName>
    <definedName name="НАЛИЧКА_10" localSheetId="16">'Прил. 1 План ФХД трансп. стоков'!НАЛИЧКА</definedName>
    <definedName name="НАЛИЧКА_10" localSheetId="76">'Расчет товарной выручки 2018'!НАЛИЧКА</definedName>
    <definedName name="НАЛИЧКА_10" localSheetId="25">'Расчет товарной выручки 2019'!НАЛИЧКА</definedName>
    <definedName name="НАЛИЧКА_10" localSheetId="20">'Расчет товарной выручки 2021'!НАЛИЧКА</definedName>
    <definedName name="НАЛИЧКА_10" localSheetId="77">'рез к 2017-2023'!НАЛИЧКА</definedName>
    <definedName name="НАЛИЧКА_10" localSheetId="74">'рез к 2018-2024 (кор) '!НАЛИЧКА</definedName>
    <definedName name="НАЛИЧКА_10" localSheetId="13">'Текущий ремонт'!НАЛИЧКА</definedName>
    <definedName name="НАЛИЧКА_10" localSheetId="23">'ФАКТ.СЕБЕСТ.ВОДА 9 мес. 2021'!НАЛИЧКА</definedName>
    <definedName name="НАЛИЧКА_10" localSheetId="21">'ФАКТ.СЕБЕСТ.СТОКИ 9 мес. 2021'!НАЛИЧКА</definedName>
    <definedName name="НАЛИЧКА_10" localSheetId="14">'Чистая прибыль с транспортир.'!НАЛИЧКА</definedName>
    <definedName name="НАЛИЧКА_10">[0]!НАЛИЧКА</definedName>
    <definedName name="НАЛИЧКА_14" localSheetId="75">'А 2018'!НАЛИЧКА</definedName>
    <definedName name="НАЛИЧКА_14" localSheetId="59">'выпадающие расходы'!НАЛИЧКА</definedName>
    <definedName name="НАЛИЧКА_14" localSheetId="50">'ЗП с факт 3 кв. 2015'!НАЛИЧКА</definedName>
    <definedName name="НАЛИЧКА_14" localSheetId="24">'ПОЛНАЯ СЕБЕСТОИМОСТЬ ВОДА 2021'!НАЛИЧКА</definedName>
    <definedName name="НАЛИЧКА_14" localSheetId="22">'ПОЛНАЯ СЕБЕСТОИМОСТЬ СТОКИ 2021'!НАЛИЧКА</definedName>
    <definedName name="НАЛИЧКА_14" localSheetId="19">'Прил. 1 План ФХД вода '!НАЛИЧКА</definedName>
    <definedName name="НАЛИЧКА_14" localSheetId="15">'Прил. 1 План ФХД с транспортир.'!НАЛИЧКА</definedName>
    <definedName name="НАЛИЧКА_14" localSheetId="18">'Прил. 1 План ФХД стоки'!НАЛИЧКА</definedName>
    <definedName name="НАЛИЧКА_14" localSheetId="17">'Прил. 1 План ФХД трансп. воды'!НАЛИЧКА</definedName>
    <definedName name="НАЛИЧКА_14" localSheetId="16">'Прил. 1 План ФХД трансп. стоков'!НАЛИЧКА</definedName>
    <definedName name="НАЛИЧКА_14" localSheetId="76">'Расчет товарной выручки 2018'!НАЛИЧКА</definedName>
    <definedName name="НАЛИЧКА_14" localSheetId="25">'Расчет товарной выручки 2019'!НАЛИЧКА</definedName>
    <definedName name="НАЛИЧКА_14" localSheetId="20">'Расчет товарной выручки 2021'!НАЛИЧКА</definedName>
    <definedName name="НАЛИЧКА_14" localSheetId="77">'рез к 2017-2023'!НАЛИЧКА</definedName>
    <definedName name="НАЛИЧКА_14" localSheetId="74">'рез к 2018-2024 (кор) '!НАЛИЧКА</definedName>
    <definedName name="НАЛИЧКА_14" localSheetId="13">'Текущий ремонт'!НАЛИЧКА</definedName>
    <definedName name="НАЛИЧКА_14" localSheetId="23">'ФАКТ.СЕБЕСТ.ВОДА 9 мес. 2021'!НАЛИЧКА</definedName>
    <definedName name="НАЛИЧКА_14" localSheetId="21">'ФАКТ.СЕБЕСТ.СТОКИ 9 мес. 2021'!НАЛИЧКА</definedName>
    <definedName name="НАЛИЧКА_14" localSheetId="14">'Чистая прибыль с транспортир.'!НАЛИЧКА</definedName>
    <definedName name="НАЛИЧКА_14">[0]!НАЛИЧКА</definedName>
    <definedName name="НАЛИЧКА_15" localSheetId="75">'А 2018'!НАЛИЧКА</definedName>
    <definedName name="НАЛИЧКА_15" localSheetId="59">'выпадающие расходы'!НАЛИЧКА</definedName>
    <definedName name="НАЛИЧКА_15" localSheetId="50">'ЗП с факт 3 кв. 2015'!НАЛИЧКА</definedName>
    <definedName name="НАЛИЧКА_15" localSheetId="24">'ПОЛНАЯ СЕБЕСТОИМОСТЬ ВОДА 2021'!НАЛИЧКА</definedName>
    <definedName name="НАЛИЧКА_15" localSheetId="22">'ПОЛНАЯ СЕБЕСТОИМОСТЬ СТОКИ 2021'!НАЛИЧКА</definedName>
    <definedName name="НАЛИЧКА_15" localSheetId="19">'Прил. 1 План ФХД вода '!НАЛИЧКА</definedName>
    <definedName name="НАЛИЧКА_15" localSheetId="15">'Прил. 1 План ФХД с транспортир.'!НАЛИЧКА</definedName>
    <definedName name="НАЛИЧКА_15" localSheetId="18">'Прил. 1 План ФХД стоки'!НАЛИЧКА</definedName>
    <definedName name="НАЛИЧКА_15" localSheetId="17">'Прил. 1 План ФХД трансп. воды'!НАЛИЧКА</definedName>
    <definedName name="НАЛИЧКА_15" localSheetId="16">'Прил. 1 План ФХД трансп. стоков'!НАЛИЧКА</definedName>
    <definedName name="НАЛИЧКА_15" localSheetId="76">'Расчет товарной выручки 2018'!НАЛИЧКА</definedName>
    <definedName name="НАЛИЧКА_15" localSheetId="25">'Расчет товарной выручки 2019'!НАЛИЧКА</definedName>
    <definedName name="НАЛИЧКА_15" localSheetId="20">'Расчет товарной выручки 2021'!НАЛИЧКА</definedName>
    <definedName name="НАЛИЧКА_15" localSheetId="77">'рез к 2017-2023'!НАЛИЧКА</definedName>
    <definedName name="НАЛИЧКА_15" localSheetId="74">'рез к 2018-2024 (кор) '!НАЛИЧКА</definedName>
    <definedName name="НАЛИЧКА_15" localSheetId="13">'Текущий ремонт'!НАЛИЧКА</definedName>
    <definedName name="НАЛИЧКА_15" localSheetId="23">'ФАКТ.СЕБЕСТ.ВОДА 9 мес. 2021'!НАЛИЧКА</definedName>
    <definedName name="НАЛИЧКА_15" localSheetId="21">'ФАКТ.СЕБЕСТ.СТОКИ 9 мес. 2021'!НАЛИЧКА</definedName>
    <definedName name="НАЛИЧКА_15" localSheetId="14">'Чистая прибыль с транспортир.'!НАЛИЧКА</definedName>
    <definedName name="НАЛИЧКА_15">[0]!НАЛИЧКА</definedName>
    <definedName name="НАЛИЧКА_16" localSheetId="75">'А 2018'!НАЛИЧКА</definedName>
    <definedName name="НАЛИЧКА_16" localSheetId="59">'выпадающие расходы'!НАЛИЧКА</definedName>
    <definedName name="НАЛИЧКА_16" localSheetId="50">'ЗП с факт 3 кв. 2015'!НАЛИЧКА</definedName>
    <definedName name="НАЛИЧКА_16" localSheetId="24">'ПОЛНАЯ СЕБЕСТОИМОСТЬ ВОДА 2021'!НАЛИЧКА</definedName>
    <definedName name="НАЛИЧКА_16" localSheetId="22">'ПОЛНАЯ СЕБЕСТОИМОСТЬ СТОКИ 2021'!НАЛИЧКА</definedName>
    <definedName name="НАЛИЧКА_16" localSheetId="19">'Прил. 1 План ФХД вода '!НАЛИЧКА</definedName>
    <definedName name="НАЛИЧКА_16" localSheetId="15">'Прил. 1 План ФХД с транспортир.'!НАЛИЧКА</definedName>
    <definedName name="НАЛИЧКА_16" localSheetId="18">'Прил. 1 План ФХД стоки'!НАЛИЧКА</definedName>
    <definedName name="НАЛИЧКА_16" localSheetId="17">'Прил. 1 План ФХД трансп. воды'!НАЛИЧКА</definedName>
    <definedName name="НАЛИЧКА_16" localSheetId="16">'Прил. 1 План ФХД трансп. стоков'!НАЛИЧКА</definedName>
    <definedName name="НАЛИЧКА_16" localSheetId="76">'Расчет товарной выручки 2018'!НАЛИЧКА</definedName>
    <definedName name="НАЛИЧКА_16" localSheetId="25">'Расчет товарной выручки 2019'!НАЛИЧКА</definedName>
    <definedName name="НАЛИЧКА_16" localSheetId="20">'Расчет товарной выручки 2021'!НАЛИЧКА</definedName>
    <definedName name="НАЛИЧКА_16" localSheetId="77">'рез к 2017-2023'!НАЛИЧКА</definedName>
    <definedName name="НАЛИЧКА_16" localSheetId="74">'рез к 2018-2024 (кор) '!НАЛИЧКА</definedName>
    <definedName name="НАЛИЧКА_16" localSheetId="13">'Текущий ремонт'!НАЛИЧКА</definedName>
    <definedName name="НАЛИЧКА_16" localSheetId="23">'ФАКТ.СЕБЕСТ.ВОДА 9 мес. 2021'!НАЛИЧКА</definedName>
    <definedName name="НАЛИЧКА_16" localSheetId="21">'ФАКТ.СЕБЕСТ.СТОКИ 9 мес. 2021'!НАЛИЧКА</definedName>
    <definedName name="НАЛИЧКА_16" localSheetId="14">'Чистая прибыль с транспортир.'!НАЛИЧКА</definedName>
    <definedName name="НАЛИЧКА_16">[0]!НАЛИЧКА</definedName>
    <definedName name="НАЛИЧКА_2" localSheetId="75">'А 2018'!НАЛИЧКА</definedName>
    <definedName name="НАЛИЧКА_2" localSheetId="59">'выпадающие расходы'!НАЛИЧКА</definedName>
    <definedName name="НАЛИЧКА_2" localSheetId="50">'ЗП с факт 3 кв. 2015'!НАЛИЧКА</definedName>
    <definedName name="НАЛИЧКА_2" localSheetId="24">'ПОЛНАЯ СЕБЕСТОИМОСТЬ ВОДА 2021'!НАЛИЧКА</definedName>
    <definedName name="НАЛИЧКА_2" localSheetId="22">'ПОЛНАЯ СЕБЕСТОИМОСТЬ СТОКИ 2021'!НАЛИЧКА</definedName>
    <definedName name="НАЛИЧКА_2" localSheetId="19">'Прил. 1 План ФХД вода '!НАЛИЧКА</definedName>
    <definedName name="НАЛИЧКА_2" localSheetId="15">'Прил. 1 План ФХД с транспортир.'!НАЛИЧКА</definedName>
    <definedName name="НАЛИЧКА_2" localSheetId="18">'Прил. 1 План ФХД стоки'!НАЛИЧКА</definedName>
    <definedName name="НАЛИЧКА_2" localSheetId="17">'Прил. 1 План ФХД трансп. воды'!НАЛИЧКА</definedName>
    <definedName name="НАЛИЧКА_2" localSheetId="16">'Прил. 1 План ФХД трансп. стоков'!НАЛИЧКА</definedName>
    <definedName name="НАЛИЧКА_2" localSheetId="76">'Расчет товарной выручки 2018'!НАЛИЧКА</definedName>
    <definedName name="НАЛИЧКА_2" localSheetId="25">'Расчет товарной выручки 2019'!НАЛИЧКА</definedName>
    <definedName name="НАЛИЧКА_2" localSheetId="20">'Расчет товарной выручки 2021'!НАЛИЧКА</definedName>
    <definedName name="НАЛИЧКА_2" localSheetId="77">'рез к 2017-2023'!НАЛИЧКА</definedName>
    <definedName name="НАЛИЧКА_2" localSheetId="74">'рез к 2018-2024 (кор) '!НАЛИЧКА</definedName>
    <definedName name="НАЛИЧКА_2" localSheetId="13">'Текущий ремонт'!НАЛИЧКА</definedName>
    <definedName name="НАЛИЧКА_2" localSheetId="23">'ФАКТ.СЕБЕСТ.ВОДА 9 мес. 2021'!НАЛИЧКА</definedName>
    <definedName name="НАЛИЧКА_2" localSheetId="21">'ФАКТ.СЕБЕСТ.СТОКИ 9 мес. 2021'!НАЛИЧКА</definedName>
    <definedName name="НАЛИЧКА_2" localSheetId="14">'Чистая прибыль с транспортир.'!НАЛИЧКА</definedName>
    <definedName name="НАЛИЧКА_2">[0]!НАЛИЧКА</definedName>
    <definedName name="_xlnm.Print_Area" localSheetId="56">'  текРемстоки 2016'!$A$1:$K$92</definedName>
    <definedName name="_xlnm.Print_Area" localSheetId="55">' текРемвода 2016'!$A$1:$L$197</definedName>
    <definedName name="_xlnm.Print_Area" localSheetId="80">'2018 к'!$A$1:$G$39</definedName>
    <definedName name="_xlnm.Print_Area" localSheetId="84">'2018 к смета'!$A$2:$M$30</definedName>
    <definedName name="_xlnm.Print_Area" localSheetId="40">Аморт!$A$2:$BQ$23</definedName>
    <definedName name="_xlnm.Print_Area" localSheetId="52">'Аренда земли'!$A$1:$AC$25</definedName>
    <definedName name="_xlnm.Print_Area" localSheetId="61">вод.налог!$A$2:$BI$77</definedName>
    <definedName name="_xlnm.Print_Area" localSheetId="27">вода!$A$130:$DF$180</definedName>
    <definedName name="_xlnm.Print_Area" localSheetId="29">'вода 2019-2021 коррект'!$A$2:$BF$57</definedName>
    <definedName name="_xlnm.Print_Area" localSheetId="65">'Выпадающ15-16'!$A$1:$I$25</definedName>
    <definedName name="_xlnm.Print_Area" localSheetId="59">'выпадающие расходы'!$A$26:$F$60</definedName>
    <definedName name="_xlnm.Print_Area" localSheetId="43">ЗП!$A$2:$DX$48</definedName>
    <definedName name="_xlnm.Print_Area" localSheetId="50">'ЗП с факт 3 кв. 2015'!$A$2:$CB$40</definedName>
    <definedName name="_xlnm.Print_Area" localSheetId="44">'ЗП среднемес'!$A$74:$T$86</definedName>
    <definedName name="_xlnm.Print_Area" localSheetId="62">имущество!$A$1:$X$42</definedName>
    <definedName name="_xlnm.Print_Area" localSheetId="60">'Н 2019-2024'!$A$2:$Y$44</definedName>
    <definedName name="_xlnm.Print_Area" localSheetId="73">НВОС!$A$4:$Q$45</definedName>
    <definedName name="_xlnm.Print_Area" localSheetId="26">объемы!$A$2:$BV$85</definedName>
    <definedName name="_xlnm.Print_Area" localSheetId="1">'объемы черн'!$A$33:$AG$62</definedName>
    <definedName name="_xlnm.Print_Area" localSheetId="47">'ОХР '!$A$2:$EA$68</definedName>
    <definedName name="_xlnm.Print_Area" localSheetId="32">'очистка 2019-2021'!$A$2:$AO$64</definedName>
    <definedName name="_xlnm.Print_Area" localSheetId="71">'платежка с ИП'!$A$1:$P$32</definedName>
    <definedName name="_xlnm.Print_Area" localSheetId="24">'ПОЛНАЯ СЕБЕСТОИМОСТЬ ВОДА 2021'!$A$4:$P$158</definedName>
    <definedName name="_xlnm.Print_Area" localSheetId="22">'ПОЛНАЯ СЕБЕСТОИМОСТЬ СТОКИ 2021'!$A$151:$D$184</definedName>
    <definedName name="_xlnm.Print_Area" localSheetId="19">'Прил. 1 План ФХД вода '!$A$1:$AF$74</definedName>
    <definedName name="_xlnm.Print_Area" localSheetId="15">'Прил. 1 План ФХД с транспортир.'!$A$1:$I$69</definedName>
    <definedName name="_xlnm.Print_Area" localSheetId="18">'Прил. 1 План ФХД стоки'!$A$1:$AG$65</definedName>
    <definedName name="_xlnm.Print_Area" localSheetId="17">'Прил. 1 План ФХД трансп. воды'!$A$1:$I$46</definedName>
    <definedName name="_xlnm.Print_Area" localSheetId="16">'Прил. 1 План ФХД трансп. стоков'!$A$1:$I$43</definedName>
    <definedName name="_xlnm.Print_Area" localSheetId="0">'расчет тарифов '!$A$1:$X$124</definedName>
    <definedName name="_xlnm.Print_Area" localSheetId="76">'Расчет товарной выручки 2018'!$A$1:$G$68</definedName>
    <definedName name="_xlnm.Print_Area" localSheetId="25">'Расчет товарной выручки 2019'!$A$1:$G$68</definedName>
    <definedName name="_xlnm.Print_Area" localSheetId="20">'Расчет товарной выручки 2021'!$A$1:$G$68</definedName>
    <definedName name="_xlnm.Print_Area" localSheetId="72">'рез к 2017'!$A$1:$F$49</definedName>
    <definedName name="_xlnm.Print_Area" localSheetId="77">'рез к 2017-2023'!$A$54:$F$118</definedName>
    <definedName name="_xlnm.Print_Area" localSheetId="74">'рез к 2018-2024 (кор) '!$A$54:$F$118</definedName>
    <definedName name="_xlnm.Print_Area" localSheetId="45">'рем программа'!$A$1:$P$40</definedName>
    <definedName name="_xlnm.Print_Area" localSheetId="67">'Ремонт вода 2016'!$A$163:$L$191</definedName>
    <definedName name="_xlnm.Print_Area" localSheetId="70">'Ремонт стоки 2015'!$A$2:$N$19</definedName>
    <definedName name="_xlnm.Print_Area" localSheetId="66">'Ремонт стоки 2016'!$A$62:$K$88</definedName>
    <definedName name="_xlnm.Print_Area" localSheetId="46">ремонты!$A$1:$M$62</definedName>
    <definedName name="_xlnm.Print_Area" localSheetId="28">стоки!$A$80:$DB$129</definedName>
    <definedName name="_xlnm.Print_Area" localSheetId="31">'стоки 2019-2021'!$A$1:$AQ$55</definedName>
    <definedName name="_xlnm.Print_Area" localSheetId="13">'Текущий ремонт'!$A$1:$I$25</definedName>
    <definedName name="_xlnm.Print_Area" localSheetId="48">'Тепловая энергия (3 подъем)'!$A$3:$X$18</definedName>
    <definedName name="_xlnm.Print_Area" localSheetId="30">'тех вода 2019-2021'!$A$2:$AO$52</definedName>
    <definedName name="_xlnm.Print_Area" localSheetId="54">транс!$A$292:$E$339</definedName>
    <definedName name="_xlnm.Print_Area" localSheetId="49">'Транспортировка КЭМЗ'!$A$2:$M$16</definedName>
    <definedName name="_xlnm.Print_Area" localSheetId="23">'ФАКТ.СЕБЕСТ.ВОДА 9 мес. 2021'!$A$1:$AW$89</definedName>
    <definedName name="_xlnm.Print_Area" localSheetId="21">'ФАКТ.СЕБЕСТ.СТОКИ 9 мес. 2021'!$A$1:$S$74</definedName>
    <definedName name="_xlnm.Print_Area" localSheetId="42">'хим реагенты'!$A$2:$T$71</definedName>
    <definedName name="_xlnm.Print_Area" localSheetId="35">ХР!$A$1:$BL$66</definedName>
    <definedName name="_xlnm.Print_Area" localSheetId="33">'цех вода'!$A$2:$BF$60</definedName>
    <definedName name="_xlnm.Print_Area" localSheetId="34">'цех стоки'!$A$2:$BA$59</definedName>
    <definedName name="_xlnm.Print_Area" localSheetId="14">'Чистая прибыль с транспортир.'!$A$1:$T$50</definedName>
    <definedName name="_xlnm.Print_Area" localSheetId="37">электр!$A$38:$BG$62</definedName>
    <definedName name="_xlnm.Print_Area" localSheetId="36">'электр 2017-2018'!$A$1:$CS$63</definedName>
    <definedName name="_xlnm.Print_Area" localSheetId="38">'ЭЭ вода'!$A$1:$AM$55</definedName>
    <definedName name="_xlnm.Print_Area" localSheetId="39">'ЭЭ стоки'!$A$2:$AL$47</definedName>
    <definedName name="Объемы2" localSheetId="75">#REF!</definedName>
    <definedName name="Объемы2" localSheetId="59">#REF!</definedName>
    <definedName name="Объемы2" localSheetId="50">#REF!</definedName>
    <definedName name="Объемы2" localSheetId="32">#REF!</definedName>
    <definedName name="Объемы2" localSheetId="15">#REF!</definedName>
    <definedName name="Объемы2" localSheetId="17">#REF!</definedName>
    <definedName name="Объемы2" localSheetId="16">#REF!</definedName>
    <definedName name="Объемы2" localSheetId="76">#REF!</definedName>
    <definedName name="Объемы2" localSheetId="25">#REF!</definedName>
    <definedName name="Объемы2" localSheetId="20">#REF!</definedName>
    <definedName name="Объемы2" localSheetId="77">#REF!</definedName>
    <definedName name="Объемы2" localSheetId="74">#REF!</definedName>
    <definedName name="Объемы2" localSheetId="31">#REF!</definedName>
    <definedName name="Объемы2" localSheetId="30">#REF!</definedName>
    <definedName name="Объемы2" localSheetId="14">#REF!</definedName>
    <definedName name="Объемы2" localSheetId="36">#REF!</definedName>
    <definedName name="Объемы2">#REF!</definedName>
    <definedName name="Объемы2_13" localSheetId="75">#REF!</definedName>
    <definedName name="Объемы2_13" localSheetId="59">#REF!</definedName>
    <definedName name="Объемы2_13" localSheetId="50">#REF!</definedName>
    <definedName name="Объемы2_13" localSheetId="32">#REF!</definedName>
    <definedName name="Объемы2_13" localSheetId="15">#REF!</definedName>
    <definedName name="Объемы2_13" localSheetId="17">#REF!</definedName>
    <definedName name="Объемы2_13" localSheetId="16">#REF!</definedName>
    <definedName name="Объемы2_13" localSheetId="76">#REF!</definedName>
    <definedName name="Объемы2_13" localSheetId="25">#REF!</definedName>
    <definedName name="Объемы2_13" localSheetId="20">#REF!</definedName>
    <definedName name="Объемы2_13" localSheetId="77">#REF!</definedName>
    <definedName name="Объемы2_13" localSheetId="74">#REF!</definedName>
    <definedName name="Объемы2_13" localSheetId="31">#REF!</definedName>
    <definedName name="Объемы2_13" localSheetId="30">#REF!</definedName>
    <definedName name="Объемы2_13" localSheetId="14">#REF!</definedName>
    <definedName name="Объемы2_13" localSheetId="36">#REF!</definedName>
    <definedName name="Объемы2_13">#REF!</definedName>
    <definedName name="Объемы2_2" localSheetId="75">#REF!</definedName>
    <definedName name="Объемы2_2" localSheetId="59">#REF!</definedName>
    <definedName name="Объемы2_2" localSheetId="50">#REF!</definedName>
    <definedName name="Объемы2_2" localSheetId="32">#REF!</definedName>
    <definedName name="Объемы2_2" localSheetId="15">#REF!</definedName>
    <definedName name="Объемы2_2" localSheetId="17">#REF!</definedName>
    <definedName name="Объемы2_2" localSheetId="16">#REF!</definedName>
    <definedName name="Объемы2_2" localSheetId="76">#REF!</definedName>
    <definedName name="Объемы2_2" localSheetId="25">#REF!</definedName>
    <definedName name="Объемы2_2" localSheetId="20">#REF!</definedName>
    <definedName name="Объемы2_2" localSheetId="77">#REF!</definedName>
    <definedName name="Объемы2_2" localSheetId="74">#REF!</definedName>
    <definedName name="Объемы2_2" localSheetId="31">#REF!</definedName>
    <definedName name="Объемы2_2" localSheetId="30">#REF!</definedName>
    <definedName name="Объемы2_2" localSheetId="14">#REF!</definedName>
    <definedName name="Объемы2_2" localSheetId="36">#REF!</definedName>
    <definedName name="Объемы2_2">#REF!</definedName>
    <definedName name="олггшщзжжхх">#N/A</definedName>
    <definedName name="пае" localSheetId="75">'А 2018'!пае</definedName>
    <definedName name="пае" localSheetId="59">#N/A</definedName>
    <definedName name="пае" localSheetId="50">'ЗП с факт 3 кв. 2015'!пае</definedName>
    <definedName name="пае" localSheetId="24">#N/A</definedName>
    <definedName name="пае" localSheetId="22">#N/A</definedName>
    <definedName name="пае" localSheetId="19">#N/A</definedName>
    <definedName name="пае" localSheetId="15">#N/A</definedName>
    <definedName name="пае" localSheetId="18">#N/A</definedName>
    <definedName name="пае" localSheetId="17">#N/A</definedName>
    <definedName name="пае" localSheetId="16">#N/A</definedName>
    <definedName name="пае" localSheetId="76">#N/A</definedName>
    <definedName name="пае" localSheetId="25">#N/A</definedName>
    <definedName name="пае" localSheetId="20">#N/A</definedName>
    <definedName name="пае" localSheetId="77">'рез к 2017-2023'!пае</definedName>
    <definedName name="пае" localSheetId="74">'рез к 2018-2024 (кор) '!пае</definedName>
    <definedName name="пае" localSheetId="13">#N/A</definedName>
    <definedName name="пае" localSheetId="23">#N/A</definedName>
    <definedName name="пае" localSheetId="21">#N/A</definedName>
    <definedName name="пае" localSheetId="14">#N/A</definedName>
    <definedName name="пае">пае</definedName>
    <definedName name="пае_10" localSheetId="75">'А 2018'!пае</definedName>
    <definedName name="пае_10" localSheetId="59">'выпадающие расходы'!пае</definedName>
    <definedName name="пае_10" localSheetId="50">'ЗП с факт 3 кв. 2015'!пае</definedName>
    <definedName name="пае_10" localSheetId="24">'ПОЛНАЯ СЕБЕСТОИМОСТЬ ВОДА 2021'!пае</definedName>
    <definedName name="пае_10" localSheetId="22">'ПОЛНАЯ СЕБЕСТОИМОСТЬ СТОКИ 2021'!пае</definedName>
    <definedName name="пае_10" localSheetId="19">'Прил. 1 План ФХД вода '!пае</definedName>
    <definedName name="пае_10" localSheetId="15">'Прил. 1 План ФХД с транспортир.'!пае</definedName>
    <definedName name="пае_10" localSheetId="18">'Прил. 1 План ФХД стоки'!пае</definedName>
    <definedName name="пае_10" localSheetId="17">'Прил. 1 План ФХД трансп. воды'!пае</definedName>
    <definedName name="пае_10" localSheetId="16">'Прил. 1 План ФХД трансп. стоков'!пае</definedName>
    <definedName name="пае_10" localSheetId="76">'Расчет товарной выручки 2018'!пае</definedName>
    <definedName name="пае_10" localSheetId="25">'Расчет товарной выручки 2019'!пае</definedName>
    <definedName name="пае_10" localSheetId="20">'Расчет товарной выручки 2021'!пае</definedName>
    <definedName name="пае_10" localSheetId="77">'рез к 2017-2023'!пае</definedName>
    <definedName name="пае_10" localSheetId="74">'рез к 2018-2024 (кор) '!пае</definedName>
    <definedName name="пае_10" localSheetId="13">'Текущий ремонт'!пае</definedName>
    <definedName name="пае_10" localSheetId="23">'ФАКТ.СЕБЕСТ.ВОДА 9 мес. 2021'!пае</definedName>
    <definedName name="пае_10" localSheetId="21">'ФАКТ.СЕБЕСТ.СТОКИ 9 мес. 2021'!пае</definedName>
    <definedName name="пае_10" localSheetId="14">'Чистая прибыль с транспортир.'!пае</definedName>
    <definedName name="пае_10">[0]!пае</definedName>
    <definedName name="пае_14" localSheetId="75">'А 2018'!пае</definedName>
    <definedName name="пае_14" localSheetId="59">'выпадающие расходы'!пае</definedName>
    <definedName name="пае_14" localSheetId="50">'ЗП с факт 3 кв. 2015'!пае</definedName>
    <definedName name="пае_14" localSheetId="24">'ПОЛНАЯ СЕБЕСТОИМОСТЬ ВОДА 2021'!пае</definedName>
    <definedName name="пае_14" localSheetId="22">'ПОЛНАЯ СЕБЕСТОИМОСТЬ СТОКИ 2021'!пае</definedName>
    <definedName name="пае_14" localSheetId="19">'Прил. 1 План ФХД вода '!пае</definedName>
    <definedName name="пае_14" localSheetId="15">'Прил. 1 План ФХД с транспортир.'!пае</definedName>
    <definedName name="пае_14" localSheetId="18">'Прил. 1 План ФХД стоки'!пае</definedName>
    <definedName name="пае_14" localSheetId="17">'Прил. 1 План ФХД трансп. воды'!пае</definedName>
    <definedName name="пае_14" localSheetId="16">'Прил. 1 План ФХД трансп. стоков'!пае</definedName>
    <definedName name="пае_14" localSheetId="76">'Расчет товарной выручки 2018'!пае</definedName>
    <definedName name="пае_14" localSheetId="25">'Расчет товарной выручки 2019'!пае</definedName>
    <definedName name="пае_14" localSheetId="20">'Расчет товарной выручки 2021'!пае</definedName>
    <definedName name="пае_14" localSheetId="77">'рез к 2017-2023'!пае</definedName>
    <definedName name="пае_14" localSheetId="74">'рез к 2018-2024 (кор) '!пае</definedName>
    <definedName name="пае_14" localSheetId="13">'Текущий ремонт'!пае</definedName>
    <definedName name="пае_14" localSheetId="23">'ФАКТ.СЕБЕСТ.ВОДА 9 мес. 2021'!пае</definedName>
    <definedName name="пае_14" localSheetId="21">'ФАКТ.СЕБЕСТ.СТОКИ 9 мес. 2021'!пае</definedName>
    <definedName name="пае_14" localSheetId="14">'Чистая прибыль с транспортир.'!пае</definedName>
    <definedName name="пае_14">[0]!пае</definedName>
    <definedName name="пае_15" localSheetId="75">'А 2018'!пае</definedName>
    <definedName name="пае_15" localSheetId="59">'выпадающие расходы'!пае</definedName>
    <definedName name="пае_15" localSheetId="50">'ЗП с факт 3 кв. 2015'!пае</definedName>
    <definedName name="пае_15" localSheetId="24">'ПОЛНАЯ СЕБЕСТОИМОСТЬ ВОДА 2021'!пае</definedName>
    <definedName name="пае_15" localSheetId="22">'ПОЛНАЯ СЕБЕСТОИМОСТЬ СТОКИ 2021'!пае</definedName>
    <definedName name="пае_15" localSheetId="19">'Прил. 1 План ФХД вода '!пае</definedName>
    <definedName name="пае_15" localSheetId="15">'Прил. 1 План ФХД с транспортир.'!пае</definedName>
    <definedName name="пае_15" localSheetId="18">'Прил. 1 План ФХД стоки'!пае</definedName>
    <definedName name="пае_15" localSheetId="17">'Прил. 1 План ФХД трансп. воды'!пае</definedName>
    <definedName name="пае_15" localSheetId="16">'Прил. 1 План ФХД трансп. стоков'!пае</definedName>
    <definedName name="пае_15" localSheetId="76">'Расчет товарной выручки 2018'!пае</definedName>
    <definedName name="пае_15" localSheetId="25">'Расчет товарной выручки 2019'!пае</definedName>
    <definedName name="пае_15" localSheetId="20">'Расчет товарной выручки 2021'!пае</definedName>
    <definedName name="пае_15" localSheetId="77">'рез к 2017-2023'!пае</definedName>
    <definedName name="пае_15" localSheetId="74">'рез к 2018-2024 (кор) '!пае</definedName>
    <definedName name="пае_15" localSheetId="13">'Текущий ремонт'!пае</definedName>
    <definedName name="пае_15" localSheetId="23">'ФАКТ.СЕБЕСТ.ВОДА 9 мес. 2021'!пае</definedName>
    <definedName name="пае_15" localSheetId="21">'ФАКТ.СЕБЕСТ.СТОКИ 9 мес. 2021'!пае</definedName>
    <definedName name="пае_15" localSheetId="14">'Чистая прибыль с транспортир.'!пае</definedName>
    <definedName name="пае_15">[0]!пае</definedName>
    <definedName name="пае_16" localSheetId="75">'А 2018'!пае</definedName>
    <definedName name="пае_16" localSheetId="59">'выпадающие расходы'!пае</definedName>
    <definedName name="пае_16" localSheetId="50">'ЗП с факт 3 кв. 2015'!пае</definedName>
    <definedName name="пае_16" localSheetId="24">'ПОЛНАЯ СЕБЕСТОИМОСТЬ ВОДА 2021'!пае</definedName>
    <definedName name="пае_16" localSheetId="22">'ПОЛНАЯ СЕБЕСТОИМОСТЬ СТОКИ 2021'!пае</definedName>
    <definedName name="пае_16" localSheetId="19">'Прил. 1 План ФХД вода '!пае</definedName>
    <definedName name="пае_16" localSheetId="15">'Прил. 1 План ФХД с транспортир.'!пае</definedName>
    <definedName name="пае_16" localSheetId="18">'Прил. 1 План ФХД стоки'!пае</definedName>
    <definedName name="пае_16" localSheetId="17">'Прил. 1 План ФХД трансп. воды'!пае</definedName>
    <definedName name="пае_16" localSheetId="16">'Прил. 1 План ФХД трансп. стоков'!пае</definedName>
    <definedName name="пае_16" localSheetId="76">'Расчет товарной выручки 2018'!пае</definedName>
    <definedName name="пае_16" localSheetId="25">'Расчет товарной выручки 2019'!пае</definedName>
    <definedName name="пае_16" localSheetId="20">'Расчет товарной выручки 2021'!пае</definedName>
    <definedName name="пае_16" localSheetId="77">'рез к 2017-2023'!пае</definedName>
    <definedName name="пае_16" localSheetId="74">'рез к 2018-2024 (кор) '!пае</definedName>
    <definedName name="пае_16" localSheetId="13">'Текущий ремонт'!пае</definedName>
    <definedName name="пае_16" localSheetId="23">'ФАКТ.СЕБЕСТ.ВОДА 9 мес. 2021'!пае</definedName>
    <definedName name="пае_16" localSheetId="21">'ФАКТ.СЕБЕСТ.СТОКИ 9 мес. 2021'!пае</definedName>
    <definedName name="пае_16" localSheetId="14">'Чистая прибыль с транспортир.'!пае</definedName>
    <definedName name="пае_16">[0]!пае</definedName>
    <definedName name="пае_2" localSheetId="75">'А 2018'!пае</definedName>
    <definedName name="пае_2" localSheetId="59">'выпадающие расходы'!пае</definedName>
    <definedName name="пае_2" localSheetId="50">'ЗП с факт 3 кв. 2015'!пае</definedName>
    <definedName name="пае_2" localSheetId="24">'ПОЛНАЯ СЕБЕСТОИМОСТЬ ВОДА 2021'!пае</definedName>
    <definedName name="пае_2" localSheetId="22">'ПОЛНАЯ СЕБЕСТОИМОСТЬ СТОКИ 2021'!пае</definedName>
    <definedName name="пае_2" localSheetId="19">'Прил. 1 План ФХД вода '!пае</definedName>
    <definedName name="пае_2" localSheetId="15">'Прил. 1 План ФХД с транспортир.'!пае</definedName>
    <definedName name="пае_2" localSheetId="18">'Прил. 1 План ФХД стоки'!пае</definedName>
    <definedName name="пае_2" localSheetId="17">'Прил. 1 План ФХД трансп. воды'!пае</definedName>
    <definedName name="пае_2" localSheetId="16">'Прил. 1 План ФХД трансп. стоков'!пае</definedName>
    <definedName name="пае_2" localSheetId="76">'Расчет товарной выручки 2018'!пае</definedName>
    <definedName name="пае_2" localSheetId="25">'Расчет товарной выручки 2019'!пае</definedName>
    <definedName name="пае_2" localSheetId="20">'Расчет товарной выручки 2021'!пае</definedName>
    <definedName name="пае_2" localSheetId="77">'рез к 2017-2023'!пае</definedName>
    <definedName name="пае_2" localSheetId="74">'рез к 2018-2024 (кор) '!пае</definedName>
    <definedName name="пае_2" localSheetId="13">'Текущий ремонт'!пае</definedName>
    <definedName name="пае_2" localSheetId="23">'ФАКТ.СЕБЕСТ.ВОДА 9 мес. 2021'!пае</definedName>
    <definedName name="пае_2" localSheetId="21">'ФАКТ.СЕБЕСТ.СТОКИ 9 мес. 2021'!пае</definedName>
    <definedName name="пае_2" localSheetId="14">'Чистая прибыль с транспортир.'!пае</definedName>
    <definedName name="пае_2">[0]!пае</definedName>
    <definedName name="пимрн" localSheetId="75">'А 2018'!_Pi2</definedName>
    <definedName name="пимрн" localSheetId="59">'выпадающие расходы'!_Pi2</definedName>
    <definedName name="пимрн" localSheetId="50">'ЗП с факт 3 кв. 2015'!_Pi2</definedName>
    <definedName name="пимрн" localSheetId="24">'ПОЛНАЯ СЕБЕСТОИМОСТЬ ВОДА 2021'!_Pi2</definedName>
    <definedName name="пимрн" localSheetId="22">'ПОЛНАЯ СЕБЕСТОИМОСТЬ СТОКИ 2021'!_Pi2</definedName>
    <definedName name="пимрн" localSheetId="19">'Прил. 1 План ФХД вода '!_Pi2</definedName>
    <definedName name="пимрн" localSheetId="15">'Прил. 1 План ФХД с транспортир.'!_Pi2</definedName>
    <definedName name="пимрн" localSheetId="18">'Прил. 1 План ФХД стоки'!_Pi2</definedName>
    <definedName name="пимрн" localSheetId="17">'Прил. 1 План ФХД трансп. воды'!_Pi2</definedName>
    <definedName name="пимрн" localSheetId="16">'Прил. 1 План ФХД трансп. стоков'!_Pi2</definedName>
    <definedName name="пимрн" localSheetId="76">'Расчет товарной выручки 2018'!_Pi2</definedName>
    <definedName name="пимрн" localSheetId="25">'Расчет товарной выручки 2019'!_Pi2</definedName>
    <definedName name="пимрн" localSheetId="20">'Расчет товарной выручки 2021'!_Pi2</definedName>
    <definedName name="пимрн" localSheetId="77">'рез к 2017-2023'!_Pi2</definedName>
    <definedName name="пимрн" localSheetId="74">'рез к 2018-2024 (кор) '!_Pi2</definedName>
    <definedName name="пимрн" localSheetId="13">'Текущий ремонт'!_Pi2</definedName>
    <definedName name="пимрн" localSheetId="23">'ФАКТ.СЕБЕСТ.ВОДА 9 мес. 2021'!_Pi2</definedName>
    <definedName name="пимрн" localSheetId="21">'ФАКТ.СЕБЕСТ.СТОКИ 9 мес. 2021'!_Pi2</definedName>
    <definedName name="пимрн" localSheetId="14">'Чистая прибыль с транспортир.'!_Pi2</definedName>
    <definedName name="пимрн">[0]!_Pi2</definedName>
    <definedName name="пимрн_1" localSheetId="75">'А 2018'!_Pi2</definedName>
    <definedName name="пимрн_1" localSheetId="59">'выпадающие расходы'!_Pi2</definedName>
    <definedName name="пимрн_1" localSheetId="50">'ЗП с факт 3 кв. 2015'!_Pi2</definedName>
    <definedName name="пимрн_1" localSheetId="24">'ПОЛНАЯ СЕБЕСТОИМОСТЬ ВОДА 2021'!_Pi2</definedName>
    <definedName name="пимрн_1" localSheetId="22">'ПОЛНАЯ СЕБЕСТОИМОСТЬ СТОКИ 2021'!_Pi2</definedName>
    <definedName name="пимрн_1" localSheetId="19">'Прил. 1 План ФХД вода '!_Pi2</definedName>
    <definedName name="пимрн_1" localSheetId="15">'Прил. 1 План ФХД с транспортир.'!_Pi2</definedName>
    <definedName name="пимрн_1" localSheetId="18">'Прил. 1 План ФХД стоки'!_Pi2</definedName>
    <definedName name="пимрн_1" localSheetId="17">'Прил. 1 План ФХД трансп. воды'!_Pi2</definedName>
    <definedName name="пимрн_1" localSheetId="16">'Прил. 1 План ФХД трансп. стоков'!_Pi2</definedName>
    <definedName name="пимрн_1" localSheetId="76">'Расчет товарной выручки 2018'!_Pi2</definedName>
    <definedName name="пимрн_1" localSheetId="25">'Расчет товарной выручки 2019'!_Pi2</definedName>
    <definedName name="пимрн_1" localSheetId="20">'Расчет товарной выручки 2021'!_Pi2</definedName>
    <definedName name="пимрн_1" localSheetId="77">'рез к 2017-2023'!_Pi2</definedName>
    <definedName name="пимрн_1" localSheetId="74">'рез к 2018-2024 (кор) '!_Pi2</definedName>
    <definedName name="пимрн_1" localSheetId="13">'Текущий ремонт'!_Pi2</definedName>
    <definedName name="пимрн_1" localSheetId="23">'ФАКТ.СЕБЕСТ.ВОДА 9 мес. 2021'!_Pi2</definedName>
    <definedName name="пимрн_1" localSheetId="21">'ФАКТ.СЕБЕСТ.СТОКИ 9 мес. 2021'!_Pi2</definedName>
    <definedName name="пимрн_1" localSheetId="14">'Чистая прибыль с транспортир.'!_Pi2</definedName>
    <definedName name="пимрн_1">[0]!_Pi2</definedName>
    <definedName name="пимрн_13" localSheetId="75">'А 2018'!_Pi2</definedName>
    <definedName name="пимрн_13" localSheetId="59">'выпадающие расходы'!_Pi2</definedName>
    <definedName name="пимрн_13" localSheetId="50">'ЗП с факт 3 кв. 2015'!_Pi2</definedName>
    <definedName name="пимрн_13" localSheetId="24">'ПОЛНАЯ СЕБЕСТОИМОСТЬ ВОДА 2021'!_Pi2</definedName>
    <definedName name="пимрн_13" localSheetId="22">'ПОЛНАЯ СЕБЕСТОИМОСТЬ СТОКИ 2021'!_Pi2</definedName>
    <definedName name="пимрн_13" localSheetId="19">'Прил. 1 План ФХД вода '!_Pi2</definedName>
    <definedName name="пимрн_13" localSheetId="15">'Прил. 1 План ФХД с транспортир.'!_Pi2</definedName>
    <definedName name="пимрн_13" localSheetId="18">'Прил. 1 План ФХД стоки'!_Pi2</definedName>
    <definedName name="пимрн_13" localSheetId="17">'Прил. 1 План ФХД трансп. воды'!_Pi2</definedName>
    <definedName name="пимрн_13" localSheetId="16">'Прил. 1 План ФХД трансп. стоков'!_Pi2</definedName>
    <definedName name="пимрн_13" localSheetId="76">'Расчет товарной выручки 2018'!_Pi2</definedName>
    <definedName name="пимрн_13" localSheetId="25">'Расчет товарной выручки 2019'!_Pi2</definedName>
    <definedName name="пимрн_13" localSheetId="20">'Расчет товарной выручки 2021'!_Pi2</definedName>
    <definedName name="пимрн_13" localSheetId="77">'рез к 2017-2023'!_Pi2</definedName>
    <definedName name="пимрн_13" localSheetId="74">'рез к 2018-2024 (кор) '!_Pi2</definedName>
    <definedName name="пимрн_13" localSheetId="13">'Текущий ремонт'!_Pi2</definedName>
    <definedName name="пимрн_13" localSheetId="23">'ФАКТ.СЕБЕСТ.ВОДА 9 мес. 2021'!_Pi2</definedName>
    <definedName name="пимрн_13" localSheetId="21">'ФАКТ.СЕБЕСТ.СТОКИ 9 мес. 2021'!_Pi2</definedName>
    <definedName name="пимрн_13" localSheetId="14">'Чистая прибыль с транспортир.'!_Pi2</definedName>
    <definedName name="пимрн_13">[0]!_Pi2</definedName>
    <definedName name="пимрн_2" localSheetId="75">'А 2018'!_Pi2</definedName>
    <definedName name="пимрн_2" localSheetId="59">'выпадающие расходы'!_Pi2</definedName>
    <definedName name="пимрн_2" localSheetId="50">'ЗП с факт 3 кв. 2015'!_Pi2</definedName>
    <definedName name="пимрн_2" localSheetId="24">'ПОЛНАЯ СЕБЕСТОИМОСТЬ ВОДА 2021'!_Pi2</definedName>
    <definedName name="пимрн_2" localSheetId="22">'ПОЛНАЯ СЕБЕСТОИМОСТЬ СТОКИ 2021'!_Pi2</definedName>
    <definedName name="пимрн_2" localSheetId="19">'Прил. 1 План ФХД вода '!_Pi2</definedName>
    <definedName name="пимрн_2" localSheetId="15">'Прил. 1 План ФХД с транспортир.'!_Pi2</definedName>
    <definedName name="пимрн_2" localSheetId="18">'Прил. 1 План ФХД стоки'!_Pi2</definedName>
    <definedName name="пимрн_2" localSheetId="17">'Прил. 1 План ФХД трансп. воды'!_Pi2</definedName>
    <definedName name="пимрн_2" localSheetId="16">'Прил. 1 План ФХД трансп. стоков'!_Pi2</definedName>
    <definedName name="пимрн_2" localSheetId="76">'Расчет товарной выручки 2018'!_Pi2</definedName>
    <definedName name="пимрн_2" localSheetId="25">'Расчет товарной выручки 2019'!_Pi2</definedName>
    <definedName name="пимрн_2" localSheetId="20">'Расчет товарной выручки 2021'!_Pi2</definedName>
    <definedName name="пимрн_2" localSheetId="77">'рез к 2017-2023'!_Pi2</definedName>
    <definedName name="пимрн_2" localSheetId="74">'рез к 2018-2024 (кор) '!_Pi2</definedName>
    <definedName name="пимрн_2" localSheetId="13">'Текущий ремонт'!_Pi2</definedName>
    <definedName name="пимрн_2" localSheetId="23">'ФАКТ.СЕБЕСТ.ВОДА 9 мес. 2021'!_Pi2</definedName>
    <definedName name="пимрн_2" localSheetId="21">'ФАКТ.СЕБЕСТ.СТОКИ 9 мес. 2021'!_Pi2</definedName>
    <definedName name="пимрн_2" localSheetId="14">'Чистая прибыль с транспортир.'!_Pi2</definedName>
    <definedName name="пимрн_2">[0]!_Pi2</definedName>
    <definedName name="про" localSheetId="75">'А 2018'!про</definedName>
    <definedName name="про" localSheetId="59">#N/A</definedName>
    <definedName name="про" localSheetId="50">'ЗП с факт 3 кв. 2015'!про</definedName>
    <definedName name="про" localSheetId="24">#N/A</definedName>
    <definedName name="про" localSheetId="22">#N/A</definedName>
    <definedName name="про" localSheetId="19">#N/A</definedName>
    <definedName name="про" localSheetId="15">#N/A</definedName>
    <definedName name="про" localSheetId="18">#N/A</definedName>
    <definedName name="про" localSheetId="17">#N/A</definedName>
    <definedName name="про" localSheetId="16">#N/A</definedName>
    <definedName name="про" localSheetId="76">#N/A</definedName>
    <definedName name="про" localSheetId="25">#N/A</definedName>
    <definedName name="про" localSheetId="20">#N/A</definedName>
    <definedName name="про" localSheetId="77">'рез к 2017-2023'!про</definedName>
    <definedName name="про" localSheetId="74">'рез к 2018-2024 (кор) '!про</definedName>
    <definedName name="про" localSheetId="13">#N/A</definedName>
    <definedName name="про" localSheetId="23">#N/A</definedName>
    <definedName name="про" localSheetId="21">#N/A</definedName>
    <definedName name="про" localSheetId="14">#N/A</definedName>
    <definedName name="про">про</definedName>
    <definedName name="про_10" localSheetId="75">'А 2018'!про</definedName>
    <definedName name="про_10" localSheetId="59">'выпадающие расходы'!про</definedName>
    <definedName name="про_10" localSheetId="50">'ЗП с факт 3 кв. 2015'!про</definedName>
    <definedName name="про_10" localSheetId="24">'ПОЛНАЯ СЕБЕСТОИМОСТЬ ВОДА 2021'!про</definedName>
    <definedName name="про_10" localSheetId="22">'ПОЛНАЯ СЕБЕСТОИМОСТЬ СТОКИ 2021'!про</definedName>
    <definedName name="про_10" localSheetId="19">'Прил. 1 План ФХД вода '!про</definedName>
    <definedName name="про_10" localSheetId="15">'Прил. 1 План ФХД с транспортир.'!про</definedName>
    <definedName name="про_10" localSheetId="18">'Прил. 1 План ФХД стоки'!про</definedName>
    <definedName name="про_10" localSheetId="17">'Прил. 1 План ФХД трансп. воды'!про</definedName>
    <definedName name="про_10" localSheetId="16">'Прил. 1 План ФХД трансп. стоков'!про</definedName>
    <definedName name="про_10" localSheetId="76">'Расчет товарной выручки 2018'!про</definedName>
    <definedName name="про_10" localSheetId="25">'Расчет товарной выручки 2019'!про</definedName>
    <definedName name="про_10" localSheetId="20">'Расчет товарной выручки 2021'!про</definedName>
    <definedName name="про_10" localSheetId="77">'рез к 2017-2023'!про</definedName>
    <definedName name="про_10" localSheetId="74">'рез к 2018-2024 (кор) '!про</definedName>
    <definedName name="про_10" localSheetId="13">'Текущий ремонт'!про</definedName>
    <definedName name="про_10" localSheetId="23">'ФАКТ.СЕБЕСТ.ВОДА 9 мес. 2021'!про</definedName>
    <definedName name="про_10" localSheetId="21">'ФАКТ.СЕБЕСТ.СТОКИ 9 мес. 2021'!про</definedName>
    <definedName name="про_10" localSheetId="14">'Чистая прибыль с транспортир.'!про</definedName>
    <definedName name="про_10">[0]!про</definedName>
    <definedName name="про_14" localSheetId="75">'А 2018'!про</definedName>
    <definedName name="про_14" localSheetId="59">'выпадающие расходы'!про</definedName>
    <definedName name="про_14" localSheetId="50">'ЗП с факт 3 кв. 2015'!про</definedName>
    <definedName name="про_14" localSheetId="24">'ПОЛНАЯ СЕБЕСТОИМОСТЬ ВОДА 2021'!про</definedName>
    <definedName name="про_14" localSheetId="22">'ПОЛНАЯ СЕБЕСТОИМОСТЬ СТОКИ 2021'!про</definedName>
    <definedName name="про_14" localSheetId="19">'Прил. 1 План ФХД вода '!про</definedName>
    <definedName name="про_14" localSheetId="15">'Прил. 1 План ФХД с транспортир.'!про</definedName>
    <definedName name="про_14" localSheetId="18">'Прил. 1 План ФХД стоки'!про</definedName>
    <definedName name="про_14" localSheetId="17">'Прил. 1 План ФХД трансп. воды'!про</definedName>
    <definedName name="про_14" localSheetId="16">'Прил. 1 План ФХД трансп. стоков'!про</definedName>
    <definedName name="про_14" localSheetId="76">'Расчет товарной выручки 2018'!про</definedName>
    <definedName name="про_14" localSheetId="25">'Расчет товарной выручки 2019'!про</definedName>
    <definedName name="про_14" localSheetId="20">'Расчет товарной выручки 2021'!про</definedName>
    <definedName name="про_14" localSheetId="77">'рез к 2017-2023'!про</definedName>
    <definedName name="про_14" localSheetId="74">'рез к 2018-2024 (кор) '!про</definedName>
    <definedName name="про_14" localSheetId="13">'Текущий ремонт'!про</definedName>
    <definedName name="про_14" localSheetId="23">'ФАКТ.СЕБЕСТ.ВОДА 9 мес. 2021'!про</definedName>
    <definedName name="про_14" localSheetId="21">'ФАКТ.СЕБЕСТ.СТОКИ 9 мес. 2021'!про</definedName>
    <definedName name="про_14" localSheetId="14">'Чистая прибыль с транспортир.'!про</definedName>
    <definedName name="про_14">[0]!про</definedName>
    <definedName name="про_15" localSheetId="75">'А 2018'!про</definedName>
    <definedName name="про_15" localSheetId="59">'выпадающие расходы'!про</definedName>
    <definedName name="про_15" localSheetId="50">'ЗП с факт 3 кв. 2015'!про</definedName>
    <definedName name="про_15" localSheetId="24">'ПОЛНАЯ СЕБЕСТОИМОСТЬ ВОДА 2021'!про</definedName>
    <definedName name="про_15" localSheetId="22">'ПОЛНАЯ СЕБЕСТОИМОСТЬ СТОКИ 2021'!про</definedName>
    <definedName name="про_15" localSheetId="19">'Прил. 1 План ФХД вода '!про</definedName>
    <definedName name="про_15" localSheetId="15">'Прил. 1 План ФХД с транспортир.'!про</definedName>
    <definedName name="про_15" localSheetId="18">'Прил. 1 План ФХД стоки'!про</definedName>
    <definedName name="про_15" localSheetId="17">'Прил. 1 План ФХД трансп. воды'!про</definedName>
    <definedName name="про_15" localSheetId="16">'Прил. 1 План ФХД трансп. стоков'!про</definedName>
    <definedName name="про_15" localSheetId="76">'Расчет товарной выручки 2018'!про</definedName>
    <definedName name="про_15" localSheetId="25">'Расчет товарной выручки 2019'!про</definedName>
    <definedName name="про_15" localSheetId="20">'Расчет товарной выручки 2021'!про</definedName>
    <definedName name="про_15" localSheetId="77">'рез к 2017-2023'!про</definedName>
    <definedName name="про_15" localSheetId="74">'рез к 2018-2024 (кор) '!про</definedName>
    <definedName name="про_15" localSheetId="13">'Текущий ремонт'!про</definedName>
    <definedName name="про_15" localSheetId="23">'ФАКТ.СЕБЕСТ.ВОДА 9 мес. 2021'!про</definedName>
    <definedName name="про_15" localSheetId="21">'ФАКТ.СЕБЕСТ.СТОКИ 9 мес. 2021'!про</definedName>
    <definedName name="про_15" localSheetId="14">'Чистая прибыль с транспортир.'!про</definedName>
    <definedName name="про_15">[0]!про</definedName>
    <definedName name="про_16" localSheetId="75">'А 2018'!про</definedName>
    <definedName name="про_16" localSheetId="59">'выпадающие расходы'!про</definedName>
    <definedName name="про_16" localSheetId="50">'ЗП с факт 3 кв. 2015'!про</definedName>
    <definedName name="про_16" localSheetId="24">'ПОЛНАЯ СЕБЕСТОИМОСТЬ ВОДА 2021'!про</definedName>
    <definedName name="про_16" localSheetId="22">'ПОЛНАЯ СЕБЕСТОИМОСТЬ СТОКИ 2021'!про</definedName>
    <definedName name="про_16" localSheetId="19">'Прил. 1 План ФХД вода '!про</definedName>
    <definedName name="про_16" localSheetId="15">'Прил. 1 План ФХД с транспортир.'!про</definedName>
    <definedName name="про_16" localSheetId="18">'Прил. 1 План ФХД стоки'!про</definedName>
    <definedName name="про_16" localSheetId="17">'Прил. 1 План ФХД трансп. воды'!про</definedName>
    <definedName name="про_16" localSheetId="16">'Прил. 1 План ФХД трансп. стоков'!про</definedName>
    <definedName name="про_16" localSheetId="76">'Расчет товарной выручки 2018'!про</definedName>
    <definedName name="про_16" localSheetId="25">'Расчет товарной выручки 2019'!про</definedName>
    <definedName name="про_16" localSheetId="20">'Расчет товарной выручки 2021'!про</definedName>
    <definedName name="про_16" localSheetId="77">'рез к 2017-2023'!про</definedName>
    <definedName name="про_16" localSheetId="74">'рез к 2018-2024 (кор) '!про</definedName>
    <definedName name="про_16" localSheetId="13">'Текущий ремонт'!про</definedName>
    <definedName name="про_16" localSheetId="23">'ФАКТ.СЕБЕСТ.ВОДА 9 мес. 2021'!про</definedName>
    <definedName name="про_16" localSheetId="21">'ФАКТ.СЕБЕСТ.СТОКИ 9 мес. 2021'!про</definedName>
    <definedName name="про_16" localSheetId="14">'Чистая прибыль с транспортир.'!про</definedName>
    <definedName name="про_16">[0]!про</definedName>
    <definedName name="про_2" localSheetId="75">'А 2018'!про</definedName>
    <definedName name="про_2" localSheetId="59">'выпадающие расходы'!про</definedName>
    <definedName name="про_2" localSheetId="50">'ЗП с факт 3 кв. 2015'!про</definedName>
    <definedName name="про_2" localSheetId="24">'ПОЛНАЯ СЕБЕСТОИМОСТЬ ВОДА 2021'!про</definedName>
    <definedName name="про_2" localSheetId="22">'ПОЛНАЯ СЕБЕСТОИМОСТЬ СТОКИ 2021'!про</definedName>
    <definedName name="про_2" localSheetId="19">'Прил. 1 План ФХД вода '!про</definedName>
    <definedName name="про_2" localSheetId="15">'Прил. 1 План ФХД с транспортир.'!про</definedName>
    <definedName name="про_2" localSheetId="18">'Прил. 1 План ФХД стоки'!про</definedName>
    <definedName name="про_2" localSheetId="17">'Прил. 1 План ФХД трансп. воды'!про</definedName>
    <definedName name="про_2" localSheetId="16">'Прил. 1 План ФХД трансп. стоков'!про</definedName>
    <definedName name="про_2" localSheetId="76">'Расчет товарной выручки 2018'!про</definedName>
    <definedName name="про_2" localSheetId="25">'Расчет товарной выручки 2019'!про</definedName>
    <definedName name="про_2" localSheetId="20">'Расчет товарной выручки 2021'!про</definedName>
    <definedName name="про_2" localSheetId="77">'рез к 2017-2023'!про</definedName>
    <definedName name="про_2" localSheetId="74">'рез к 2018-2024 (кор) '!про</definedName>
    <definedName name="про_2" localSheetId="13">'Текущий ремонт'!про</definedName>
    <definedName name="про_2" localSheetId="23">'ФАКТ.СЕБЕСТ.ВОДА 9 мес. 2021'!про</definedName>
    <definedName name="про_2" localSheetId="21">'ФАКТ.СЕБЕСТ.СТОКИ 9 мес. 2021'!про</definedName>
    <definedName name="про_2" localSheetId="14">'Чистая прибыль с транспортир.'!про</definedName>
    <definedName name="про_2">[0]!про</definedName>
    <definedName name="р7" localSheetId="75">'А 2018'!р7</definedName>
    <definedName name="р7" localSheetId="59">#N/A</definedName>
    <definedName name="р7" localSheetId="50">'ЗП с факт 3 кв. 2015'!р7</definedName>
    <definedName name="р7" localSheetId="24">#N/A</definedName>
    <definedName name="р7" localSheetId="22">#N/A</definedName>
    <definedName name="р7" localSheetId="19">#N/A</definedName>
    <definedName name="р7" localSheetId="15">#N/A</definedName>
    <definedName name="р7" localSheetId="18">#N/A</definedName>
    <definedName name="р7" localSheetId="17">#N/A</definedName>
    <definedName name="р7" localSheetId="16">#N/A</definedName>
    <definedName name="р7" localSheetId="76">#N/A</definedName>
    <definedName name="р7" localSheetId="25">#N/A</definedName>
    <definedName name="р7" localSheetId="20">#N/A</definedName>
    <definedName name="р7" localSheetId="77">'рез к 2017-2023'!р7</definedName>
    <definedName name="р7" localSheetId="74">'рез к 2018-2024 (кор) '!р7</definedName>
    <definedName name="р7" localSheetId="13">#N/A</definedName>
    <definedName name="р7" localSheetId="23">#N/A</definedName>
    <definedName name="р7" localSheetId="21">#N/A</definedName>
    <definedName name="р7" localSheetId="14">#N/A</definedName>
    <definedName name="р7">р7</definedName>
    <definedName name="р7_10" localSheetId="75">'А 2018'!р7</definedName>
    <definedName name="р7_10" localSheetId="59">'выпадающие расходы'!р7</definedName>
    <definedName name="р7_10" localSheetId="50">'ЗП с факт 3 кв. 2015'!р7</definedName>
    <definedName name="р7_10" localSheetId="24">'ПОЛНАЯ СЕБЕСТОИМОСТЬ ВОДА 2021'!р7</definedName>
    <definedName name="р7_10" localSheetId="22">'ПОЛНАЯ СЕБЕСТОИМОСТЬ СТОКИ 2021'!р7</definedName>
    <definedName name="р7_10" localSheetId="19">'Прил. 1 План ФХД вода '!р7</definedName>
    <definedName name="р7_10" localSheetId="15">'Прил. 1 План ФХД с транспортир.'!р7</definedName>
    <definedName name="р7_10" localSheetId="18">'Прил. 1 План ФХД стоки'!р7</definedName>
    <definedName name="р7_10" localSheetId="17">'Прил. 1 План ФХД трансп. воды'!р7</definedName>
    <definedName name="р7_10" localSheetId="16">'Прил. 1 План ФХД трансп. стоков'!р7</definedName>
    <definedName name="р7_10" localSheetId="76">'Расчет товарной выручки 2018'!р7</definedName>
    <definedName name="р7_10" localSheetId="25">'Расчет товарной выручки 2019'!р7</definedName>
    <definedName name="р7_10" localSheetId="20">'Расчет товарной выручки 2021'!р7</definedName>
    <definedName name="р7_10" localSheetId="77">'рез к 2017-2023'!р7</definedName>
    <definedName name="р7_10" localSheetId="74">'рез к 2018-2024 (кор) '!р7</definedName>
    <definedName name="р7_10" localSheetId="13">'Текущий ремонт'!р7</definedName>
    <definedName name="р7_10" localSheetId="23">'ФАКТ.СЕБЕСТ.ВОДА 9 мес. 2021'!р7</definedName>
    <definedName name="р7_10" localSheetId="21">'ФАКТ.СЕБЕСТ.СТОКИ 9 мес. 2021'!р7</definedName>
    <definedName name="р7_10" localSheetId="14">'Чистая прибыль с транспортир.'!р7</definedName>
    <definedName name="р7_10">[0]!р7</definedName>
    <definedName name="р7_14" localSheetId="75">'А 2018'!р7</definedName>
    <definedName name="р7_14" localSheetId="59">'выпадающие расходы'!р7</definedName>
    <definedName name="р7_14" localSheetId="50">'ЗП с факт 3 кв. 2015'!р7</definedName>
    <definedName name="р7_14" localSheetId="24">'ПОЛНАЯ СЕБЕСТОИМОСТЬ ВОДА 2021'!р7</definedName>
    <definedName name="р7_14" localSheetId="22">'ПОЛНАЯ СЕБЕСТОИМОСТЬ СТОКИ 2021'!р7</definedName>
    <definedName name="р7_14" localSheetId="19">'Прил. 1 План ФХД вода '!р7</definedName>
    <definedName name="р7_14" localSheetId="15">'Прил. 1 План ФХД с транспортир.'!р7</definedName>
    <definedName name="р7_14" localSheetId="18">'Прил. 1 План ФХД стоки'!р7</definedName>
    <definedName name="р7_14" localSheetId="17">'Прил. 1 План ФХД трансп. воды'!р7</definedName>
    <definedName name="р7_14" localSheetId="16">'Прил. 1 План ФХД трансп. стоков'!р7</definedName>
    <definedName name="р7_14" localSheetId="76">'Расчет товарной выручки 2018'!р7</definedName>
    <definedName name="р7_14" localSheetId="25">'Расчет товарной выручки 2019'!р7</definedName>
    <definedName name="р7_14" localSheetId="20">'Расчет товарной выручки 2021'!р7</definedName>
    <definedName name="р7_14" localSheetId="77">'рез к 2017-2023'!р7</definedName>
    <definedName name="р7_14" localSheetId="74">'рез к 2018-2024 (кор) '!р7</definedName>
    <definedName name="р7_14" localSheetId="13">'Текущий ремонт'!р7</definedName>
    <definedName name="р7_14" localSheetId="23">'ФАКТ.СЕБЕСТ.ВОДА 9 мес. 2021'!р7</definedName>
    <definedName name="р7_14" localSheetId="21">'ФАКТ.СЕБЕСТ.СТОКИ 9 мес. 2021'!р7</definedName>
    <definedName name="р7_14" localSheetId="14">'Чистая прибыль с транспортир.'!р7</definedName>
    <definedName name="р7_14">[0]!р7</definedName>
    <definedName name="р7_15" localSheetId="75">'А 2018'!р7</definedName>
    <definedName name="р7_15" localSheetId="59">'выпадающие расходы'!р7</definedName>
    <definedName name="р7_15" localSheetId="50">'ЗП с факт 3 кв. 2015'!р7</definedName>
    <definedName name="р7_15" localSheetId="24">'ПОЛНАЯ СЕБЕСТОИМОСТЬ ВОДА 2021'!р7</definedName>
    <definedName name="р7_15" localSheetId="22">'ПОЛНАЯ СЕБЕСТОИМОСТЬ СТОКИ 2021'!р7</definedName>
    <definedName name="р7_15" localSheetId="19">'Прил. 1 План ФХД вода '!р7</definedName>
    <definedName name="р7_15" localSheetId="15">'Прил. 1 План ФХД с транспортир.'!р7</definedName>
    <definedName name="р7_15" localSheetId="18">'Прил. 1 План ФХД стоки'!р7</definedName>
    <definedName name="р7_15" localSheetId="17">'Прил. 1 План ФХД трансп. воды'!р7</definedName>
    <definedName name="р7_15" localSheetId="16">'Прил. 1 План ФХД трансп. стоков'!р7</definedName>
    <definedName name="р7_15" localSheetId="76">'Расчет товарной выручки 2018'!р7</definedName>
    <definedName name="р7_15" localSheetId="25">'Расчет товарной выручки 2019'!р7</definedName>
    <definedName name="р7_15" localSheetId="20">'Расчет товарной выручки 2021'!р7</definedName>
    <definedName name="р7_15" localSheetId="77">'рез к 2017-2023'!р7</definedName>
    <definedName name="р7_15" localSheetId="74">'рез к 2018-2024 (кор) '!р7</definedName>
    <definedName name="р7_15" localSheetId="13">'Текущий ремонт'!р7</definedName>
    <definedName name="р7_15" localSheetId="23">'ФАКТ.СЕБЕСТ.ВОДА 9 мес. 2021'!р7</definedName>
    <definedName name="р7_15" localSheetId="21">'ФАКТ.СЕБЕСТ.СТОКИ 9 мес. 2021'!р7</definedName>
    <definedName name="р7_15" localSheetId="14">'Чистая прибыль с транспортир.'!р7</definedName>
    <definedName name="р7_15">[0]!р7</definedName>
    <definedName name="р7_16" localSheetId="75">'А 2018'!р7</definedName>
    <definedName name="р7_16" localSheetId="59">'выпадающие расходы'!р7</definedName>
    <definedName name="р7_16" localSheetId="50">'ЗП с факт 3 кв. 2015'!р7</definedName>
    <definedName name="р7_16" localSheetId="24">'ПОЛНАЯ СЕБЕСТОИМОСТЬ ВОДА 2021'!р7</definedName>
    <definedName name="р7_16" localSheetId="22">'ПОЛНАЯ СЕБЕСТОИМОСТЬ СТОКИ 2021'!р7</definedName>
    <definedName name="р7_16" localSheetId="19">'Прил. 1 План ФХД вода '!р7</definedName>
    <definedName name="р7_16" localSheetId="15">'Прил. 1 План ФХД с транспортир.'!р7</definedName>
    <definedName name="р7_16" localSheetId="18">'Прил. 1 План ФХД стоки'!р7</definedName>
    <definedName name="р7_16" localSheetId="17">'Прил. 1 План ФХД трансп. воды'!р7</definedName>
    <definedName name="р7_16" localSheetId="16">'Прил. 1 План ФХД трансп. стоков'!р7</definedName>
    <definedName name="р7_16" localSheetId="76">'Расчет товарной выручки 2018'!р7</definedName>
    <definedName name="р7_16" localSheetId="25">'Расчет товарной выручки 2019'!р7</definedName>
    <definedName name="р7_16" localSheetId="20">'Расчет товарной выручки 2021'!р7</definedName>
    <definedName name="р7_16" localSheetId="77">'рез к 2017-2023'!р7</definedName>
    <definedName name="р7_16" localSheetId="74">'рез к 2018-2024 (кор) '!р7</definedName>
    <definedName name="р7_16" localSheetId="13">'Текущий ремонт'!р7</definedName>
    <definedName name="р7_16" localSheetId="23">'ФАКТ.СЕБЕСТ.ВОДА 9 мес. 2021'!р7</definedName>
    <definedName name="р7_16" localSheetId="21">'ФАКТ.СЕБЕСТ.СТОКИ 9 мес. 2021'!р7</definedName>
    <definedName name="р7_16" localSheetId="14">'Чистая прибыль с транспортир.'!р7</definedName>
    <definedName name="р7_16">[0]!р7</definedName>
    <definedName name="р7_2" localSheetId="75">'А 2018'!р7</definedName>
    <definedName name="р7_2" localSheetId="59">'выпадающие расходы'!р7</definedName>
    <definedName name="р7_2" localSheetId="50">'ЗП с факт 3 кв. 2015'!р7</definedName>
    <definedName name="р7_2" localSheetId="24">'ПОЛНАЯ СЕБЕСТОИМОСТЬ ВОДА 2021'!р7</definedName>
    <definedName name="р7_2" localSheetId="22">'ПОЛНАЯ СЕБЕСТОИМОСТЬ СТОКИ 2021'!р7</definedName>
    <definedName name="р7_2" localSheetId="19">'Прил. 1 План ФХД вода '!р7</definedName>
    <definedName name="р7_2" localSheetId="15">'Прил. 1 План ФХД с транспортир.'!р7</definedName>
    <definedName name="р7_2" localSheetId="18">'Прил. 1 План ФХД стоки'!р7</definedName>
    <definedName name="р7_2" localSheetId="17">'Прил. 1 План ФХД трансп. воды'!р7</definedName>
    <definedName name="р7_2" localSheetId="16">'Прил. 1 План ФХД трансп. стоков'!р7</definedName>
    <definedName name="р7_2" localSheetId="76">'Расчет товарной выручки 2018'!р7</definedName>
    <definedName name="р7_2" localSheetId="25">'Расчет товарной выручки 2019'!р7</definedName>
    <definedName name="р7_2" localSheetId="20">'Расчет товарной выручки 2021'!р7</definedName>
    <definedName name="р7_2" localSheetId="77">'рез к 2017-2023'!р7</definedName>
    <definedName name="р7_2" localSheetId="74">'рез к 2018-2024 (кор) '!р7</definedName>
    <definedName name="р7_2" localSheetId="13">'Текущий ремонт'!р7</definedName>
    <definedName name="р7_2" localSheetId="23">'ФАКТ.СЕБЕСТ.ВОДА 9 мес. 2021'!р7</definedName>
    <definedName name="р7_2" localSheetId="21">'ФАКТ.СЕБЕСТ.СТОКИ 9 мес. 2021'!р7</definedName>
    <definedName name="р7_2" localSheetId="14">'Чистая прибыль с транспортир.'!р7</definedName>
    <definedName name="р7_2">[0]!р7</definedName>
    <definedName name="р71" localSheetId="75">'А 2018'!р71</definedName>
    <definedName name="р71" localSheetId="59">#N/A</definedName>
    <definedName name="р71" localSheetId="50">'ЗП с факт 3 кв. 2015'!р71</definedName>
    <definedName name="р71" localSheetId="24">#N/A</definedName>
    <definedName name="р71" localSheetId="22">#N/A</definedName>
    <definedName name="р71" localSheetId="19">#N/A</definedName>
    <definedName name="р71" localSheetId="15">#N/A</definedName>
    <definedName name="р71" localSheetId="18">#N/A</definedName>
    <definedName name="р71" localSheetId="17">#N/A</definedName>
    <definedName name="р71" localSheetId="16">#N/A</definedName>
    <definedName name="р71" localSheetId="76">#N/A</definedName>
    <definedName name="р71" localSheetId="25">#N/A</definedName>
    <definedName name="р71" localSheetId="20">#N/A</definedName>
    <definedName name="р71" localSheetId="77">'рез к 2017-2023'!р71</definedName>
    <definedName name="р71" localSheetId="74">'рез к 2018-2024 (кор) '!р71</definedName>
    <definedName name="р71" localSheetId="13">#N/A</definedName>
    <definedName name="р71" localSheetId="23">#N/A</definedName>
    <definedName name="р71" localSheetId="21">#N/A</definedName>
    <definedName name="р71" localSheetId="14">#N/A</definedName>
    <definedName name="р71">р71</definedName>
    <definedName name="р71_10" localSheetId="75">'А 2018'!р71</definedName>
    <definedName name="р71_10" localSheetId="59">'выпадающие расходы'!р71</definedName>
    <definedName name="р71_10" localSheetId="50">'ЗП с факт 3 кв. 2015'!р71</definedName>
    <definedName name="р71_10" localSheetId="24">'ПОЛНАЯ СЕБЕСТОИМОСТЬ ВОДА 2021'!р71</definedName>
    <definedName name="р71_10" localSheetId="22">'ПОЛНАЯ СЕБЕСТОИМОСТЬ СТОКИ 2021'!р71</definedName>
    <definedName name="р71_10" localSheetId="19">'Прил. 1 План ФХД вода '!р71</definedName>
    <definedName name="р71_10" localSheetId="15">'Прил. 1 План ФХД с транспортир.'!р71</definedName>
    <definedName name="р71_10" localSheetId="18">'Прил. 1 План ФХД стоки'!р71</definedName>
    <definedName name="р71_10" localSheetId="17">'Прил. 1 План ФХД трансп. воды'!р71</definedName>
    <definedName name="р71_10" localSheetId="16">'Прил. 1 План ФХД трансп. стоков'!р71</definedName>
    <definedName name="р71_10" localSheetId="76">'Расчет товарной выручки 2018'!р71</definedName>
    <definedName name="р71_10" localSheetId="25">'Расчет товарной выручки 2019'!р71</definedName>
    <definedName name="р71_10" localSheetId="20">'Расчет товарной выручки 2021'!р71</definedName>
    <definedName name="р71_10" localSheetId="77">'рез к 2017-2023'!р71</definedName>
    <definedName name="р71_10" localSheetId="74">'рез к 2018-2024 (кор) '!р71</definedName>
    <definedName name="р71_10" localSheetId="13">'Текущий ремонт'!р71</definedName>
    <definedName name="р71_10" localSheetId="23">'ФАКТ.СЕБЕСТ.ВОДА 9 мес. 2021'!р71</definedName>
    <definedName name="р71_10" localSheetId="21">'ФАКТ.СЕБЕСТ.СТОКИ 9 мес. 2021'!р71</definedName>
    <definedName name="р71_10" localSheetId="14">'Чистая прибыль с транспортир.'!р71</definedName>
    <definedName name="р71_10">[0]!р71</definedName>
    <definedName name="р71_14" localSheetId="75">'А 2018'!р71</definedName>
    <definedName name="р71_14" localSheetId="59">'выпадающие расходы'!р71</definedName>
    <definedName name="р71_14" localSheetId="50">'ЗП с факт 3 кв. 2015'!р71</definedName>
    <definedName name="р71_14" localSheetId="24">'ПОЛНАЯ СЕБЕСТОИМОСТЬ ВОДА 2021'!р71</definedName>
    <definedName name="р71_14" localSheetId="22">'ПОЛНАЯ СЕБЕСТОИМОСТЬ СТОКИ 2021'!р71</definedName>
    <definedName name="р71_14" localSheetId="19">'Прил. 1 План ФХД вода '!р71</definedName>
    <definedName name="р71_14" localSheetId="15">'Прил. 1 План ФХД с транспортир.'!р71</definedName>
    <definedName name="р71_14" localSheetId="18">'Прил. 1 План ФХД стоки'!р71</definedName>
    <definedName name="р71_14" localSheetId="17">'Прил. 1 План ФХД трансп. воды'!р71</definedName>
    <definedName name="р71_14" localSheetId="16">'Прил. 1 План ФХД трансп. стоков'!р71</definedName>
    <definedName name="р71_14" localSheetId="76">'Расчет товарной выручки 2018'!р71</definedName>
    <definedName name="р71_14" localSheetId="25">'Расчет товарной выручки 2019'!р71</definedName>
    <definedName name="р71_14" localSheetId="20">'Расчет товарной выручки 2021'!р71</definedName>
    <definedName name="р71_14" localSheetId="77">'рез к 2017-2023'!р71</definedName>
    <definedName name="р71_14" localSheetId="74">'рез к 2018-2024 (кор) '!р71</definedName>
    <definedName name="р71_14" localSheetId="13">'Текущий ремонт'!р71</definedName>
    <definedName name="р71_14" localSheetId="23">'ФАКТ.СЕБЕСТ.ВОДА 9 мес. 2021'!р71</definedName>
    <definedName name="р71_14" localSheetId="21">'ФАКТ.СЕБЕСТ.СТОКИ 9 мес. 2021'!р71</definedName>
    <definedName name="р71_14" localSheetId="14">'Чистая прибыль с транспортир.'!р71</definedName>
    <definedName name="р71_14">[0]!р71</definedName>
    <definedName name="р71_15" localSheetId="75">'А 2018'!р71</definedName>
    <definedName name="р71_15" localSheetId="59">'выпадающие расходы'!р71</definedName>
    <definedName name="р71_15" localSheetId="50">'ЗП с факт 3 кв. 2015'!р71</definedName>
    <definedName name="р71_15" localSheetId="24">'ПОЛНАЯ СЕБЕСТОИМОСТЬ ВОДА 2021'!р71</definedName>
    <definedName name="р71_15" localSheetId="22">'ПОЛНАЯ СЕБЕСТОИМОСТЬ СТОКИ 2021'!р71</definedName>
    <definedName name="р71_15" localSheetId="19">'Прил. 1 План ФХД вода '!р71</definedName>
    <definedName name="р71_15" localSheetId="15">'Прил. 1 План ФХД с транспортир.'!р71</definedName>
    <definedName name="р71_15" localSheetId="18">'Прил. 1 План ФХД стоки'!р71</definedName>
    <definedName name="р71_15" localSheetId="17">'Прил. 1 План ФХД трансп. воды'!р71</definedName>
    <definedName name="р71_15" localSheetId="16">'Прил. 1 План ФХД трансп. стоков'!р71</definedName>
    <definedName name="р71_15" localSheetId="76">'Расчет товарной выручки 2018'!р71</definedName>
    <definedName name="р71_15" localSheetId="25">'Расчет товарной выручки 2019'!р71</definedName>
    <definedName name="р71_15" localSheetId="20">'Расчет товарной выручки 2021'!р71</definedName>
    <definedName name="р71_15" localSheetId="77">'рез к 2017-2023'!р71</definedName>
    <definedName name="р71_15" localSheetId="74">'рез к 2018-2024 (кор) '!р71</definedName>
    <definedName name="р71_15" localSheetId="13">'Текущий ремонт'!р71</definedName>
    <definedName name="р71_15" localSheetId="23">'ФАКТ.СЕБЕСТ.ВОДА 9 мес. 2021'!р71</definedName>
    <definedName name="р71_15" localSheetId="21">'ФАКТ.СЕБЕСТ.СТОКИ 9 мес. 2021'!р71</definedName>
    <definedName name="р71_15" localSheetId="14">'Чистая прибыль с транспортир.'!р71</definedName>
    <definedName name="р71_15">[0]!р71</definedName>
    <definedName name="р71_16" localSheetId="75">'А 2018'!р71</definedName>
    <definedName name="р71_16" localSheetId="59">'выпадающие расходы'!р71</definedName>
    <definedName name="р71_16" localSheetId="50">'ЗП с факт 3 кв. 2015'!р71</definedName>
    <definedName name="р71_16" localSheetId="24">'ПОЛНАЯ СЕБЕСТОИМОСТЬ ВОДА 2021'!р71</definedName>
    <definedName name="р71_16" localSheetId="22">'ПОЛНАЯ СЕБЕСТОИМОСТЬ СТОКИ 2021'!р71</definedName>
    <definedName name="р71_16" localSheetId="19">'Прил. 1 План ФХД вода '!р71</definedName>
    <definedName name="р71_16" localSheetId="15">'Прил. 1 План ФХД с транспортир.'!р71</definedName>
    <definedName name="р71_16" localSheetId="18">'Прил. 1 План ФХД стоки'!р71</definedName>
    <definedName name="р71_16" localSheetId="17">'Прил. 1 План ФХД трансп. воды'!р71</definedName>
    <definedName name="р71_16" localSheetId="16">'Прил. 1 План ФХД трансп. стоков'!р71</definedName>
    <definedName name="р71_16" localSheetId="76">'Расчет товарной выручки 2018'!р71</definedName>
    <definedName name="р71_16" localSheetId="25">'Расчет товарной выручки 2019'!р71</definedName>
    <definedName name="р71_16" localSheetId="20">'Расчет товарной выручки 2021'!р71</definedName>
    <definedName name="р71_16" localSheetId="77">'рез к 2017-2023'!р71</definedName>
    <definedName name="р71_16" localSheetId="74">'рез к 2018-2024 (кор) '!р71</definedName>
    <definedName name="р71_16" localSheetId="13">'Текущий ремонт'!р71</definedName>
    <definedName name="р71_16" localSheetId="23">'ФАКТ.СЕБЕСТ.ВОДА 9 мес. 2021'!р71</definedName>
    <definedName name="р71_16" localSheetId="21">'ФАКТ.СЕБЕСТ.СТОКИ 9 мес. 2021'!р71</definedName>
    <definedName name="р71_16" localSheetId="14">'Чистая прибыль с транспортир.'!р71</definedName>
    <definedName name="р71_16">[0]!р71</definedName>
    <definedName name="р71_2" localSheetId="75">'А 2018'!р71</definedName>
    <definedName name="р71_2" localSheetId="59">'выпадающие расходы'!р71</definedName>
    <definedName name="р71_2" localSheetId="50">'ЗП с факт 3 кв. 2015'!р71</definedName>
    <definedName name="р71_2" localSheetId="24">'ПОЛНАЯ СЕБЕСТОИМОСТЬ ВОДА 2021'!р71</definedName>
    <definedName name="р71_2" localSheetId="22">'ПОЛНАЯ СЕБЕСТОИМОСТЬ СТОКИ 2021'!р71</definedName>
    <definedName name="р71_2" localSheetId="19">'Прил. 1 План ФХД вода '!р71</definedName>
    <definedName name="р71_2" localSheetId="15">'Прил. 1 План ФХД с транспортир.'!р71</definedName>
    <definedName name="р71_2" localSheetId="18">'Прил. 1 План ФХД стоки'!р71</definedName>
    <definedName name="р71_2" localSheetId="17">'Прил. 1 План ФХД трансп. воды'!р71</definedName>
    <definedName name="р71_2" localSheetId="16">'Прил. 1 План ФХД трансп. стоков'!р71</definedName>
    <definedName name="р71_2" localSheetId="76">'Расчет товарной выручки 2018'!р71</definedName>
    <definedName name="р71_2" localSheetId="25">'Расчет товарной выручки 2019'!р71</definedName>
    <definedName name="р71_2" localSheetId="20">'Расчет товарной выручки 2021'!р71</definedName>
    <definedName name="р71_2" localSheetId="77">'рез к 2017-2023'!р71</definedName>
    <definedName name="р71_2" localSheetId="74">'рез к 2018-2024 (кор) '!р71</definedName>
    <definedName name="р71_2" localSheetId="13">'Текущий ремонт'!р71</definedName>
    <definedName name="р71_2" localSheetId="23">'ФАКТ.СЕБЕСТ.ВОДА 9 мес. 2021'!р71</definedName>
    <definedName name="р71_2" localSheetId="21">'ФАКТ.СЕБЕСТ.СТОКИ 9 мес. 2021'!р71</definedName>
    <definedName name="р71_2" localSheetId="14">'Чистая прибыль с транспортир.'!р71</definedName>
    <definedName name="р71_2">[0]!р71</definedName>
    <definedName name="ра71" localSheetId="75">'А 2018'!ра71</definedName>
    <definedName name="ра71" localSheetId="59">#N/A</definedName>
    <definedName name="ра71" localSheetId="50">'ЗП с факт 3 кв. 2015'!ра71</definedName>
    <definedName name="ра71" localSheetId="24">#N/A</definedName>
    <definedName name="ра71" localSheetId="22">#N/A</definedName>
    <definedName name="ра71" localSheetId="19">#N/A</definedName>
    <definedName name="ра71" localSheetId="15">#N/A</definedName>
    <definedName name="ра71" localSheetId="18">#N/A</definedName>
    <definedName name="ра71" localSheetId="17">#N/A</definedName>
    <definedName name="ра71" localSheetId="16">#N/A</definedName>
    <definedName name="ра71" localSheetId="76">#N/A</definedName>
    <definedName name="ра71" localSheetId="25">#N/A</definedName>
    <definedName name="ра71" localSheetId="20">#N/A</definedName>
    <definedName name="ра71" localSheetId="77">'рез к 2017-2023'!ра71</definedName>
    <definedName name="ра71" localSheetId="74">'рез к 2018-2024 (кор) '!ра71</definedName>
    <definedName name="ра71" localSheetId="13">#N/A</definedName>
    <definedName name="ра71" localSheetId="23">#N/A</definedName>
    <definedName name="ра71" localSheetId="21">#N/A</definedName>
    <definedName name="ра71" localSheetId="14">#N/A</definedName>
    <definedName name="ра71">ра71</definedName>
    <definedName name="ра71_10" localSheetId="75">'А 2018'!ра71</definedName>
    <definedName name="ра71_10" localSheetId="59">'выпадающие расходы'!ра71</definedName>
    <definedName name="ра71_10" localSheetId="50">'ЗП с факт 3 кв. 2015'!ра71</definedName>
    <definedName name="ра71_10" localSheetId="24">'ПОЛНАЯ СЕБЕСТОИМОСТЬ ВОДА 2021'!ра71</definedName>
    <definedName name="ра71_10" localSheetId="22">'ПОЛНАЯ СЕБЕСТОИМОСТЬ СТОКИ 2021'!ра71</definedName>
    <definedName name="ра71_10" localSheetId="19">'Прил. 1 План ФХД вода '!ра71</definedName>
    <definedName name="ра71_10" localSheetId="15">'Прил. 1 План ФХД с транспортир.'!ра71</definedName>
    <definedName name="ра71_10" localSheetId="18">'Прил. 1 План ФХД стоки'!ра71</definedName>
    <definedName name="ра71_10" localSheetId="17">'Прил. 1 План ФХД трансп. воды'!ра71</definedName>
    <definedName name="ра71_10" localSheetId="16">'Прил. 1 План ФХД трансп. стоков'!ра71</definedName>
    <definedName name="ра71_10" localSheetId="76">'Расчет товарной выручки 2018'!ра71</definedName>
    <definedName name="ра71_10" localSheetId="25">'Расчет товарной выручки 2019'!ра71</definedName>
    <definedName name="ра71_10" localSheetId="20">'Расчет товарной выручки 2021'!ра71</definedName>
    <definedName name="ра71_10" localSheetId="77">'рез к 2017-2023'!ра71</definedName>
    <definedName name="ра71_10" localSheetId="74">'рез к 2018-2024 (кор) '!ра71</definedName>
    <definedName name="ра71_10" localSheetId="13">'Текущий ремонт'!ра71</definedName>
    <definedName name="ра71_10" localSheetId="23">'ФАКТ.СЕБЕСТ.ВОДА 9 мес. 2021'!ра71</definedName>
    <definedName name="ра71_10" localSheetId="21">'ФАКТ.СЕБЕСТ.СТОКИ 9 мес. 2021'!ра71</definedName>
    <definedName name="ра71_10" localSheetId="14">'Чистая прибыль с транспортир.'!ра71</definedName>
    <definedName name="ра71_10">[0]!ра71</definedName>
    <definedName name="ра71_14" localSheetId="75">'А 2018'!ра71</definedName>
    <definedName name="ра71_14" localSheetId="59">'выпадающие расходы'!ра71</definedName>
    <definedName name="ра71_14" localSheetId="50">'ЗП с факт 3 кв. 2015'!ра71</definedName>
    <definedName name="ра71_14" localSheetId="24">'ПОЛНАЯ СЕБЕСТОИМОСТЬ ВОДА 2021'!ра71</definedName>
    <definedName name="ра71_14" localSheetId="22">'ПОЛНАЯ СЕБЕСТОИМОСТЬ СТОКИ 2021'!ра71</definedName>
    <definedName name="ра71_14" localSheetId="19">'Прил. 1 План ФХД вода '!ра71</definedName>
    <definedName name="ра71_14" localSheetId="15">'Прил. 1 План ФХД с транспортир.'!ра71</definedName>
    <definedName name="ра71_14" localSheetId="18">'Прил. 1 План ФХД стоки'!ра71</definedName>
    <definedName name="ра71_14" localSheetId="17">'Прил. 1 План ФХД трансп. воды'!ра71</definedName>
    <definedName name="ра71_14" localSheetId="16">'Прил. 1 План ФХД трансп. стоков'!ра71</definedName>
    <definedName name="ра71_14" localSheetId="76">'Расчет товарной выручки 2018'!ра71</definedName>
    <definedName name="ра71_14" localSheetId="25">'Расчет товарной выручки 2019'!ра71</definedName>
    <definedName name="ра71_14" localSheetId="20">'Расчет товарной выручки 2021'!ра71</definedName>
    <definedName name="ра71_14" localSheetId="77">'рез к 2017-2023'!ра71</definedName>
    <definedName name="ра71_14" localSheetId="74">'рез к 2018-2024 (кор) '!ра71</definedName>
    <definedName name="ра71_14" localSheetId="13">'Текущий ремонт'!ра71</definedName>
    <definedName name="ра71_14" localSheetId="23">'ФАКТ.СЕБЕСТ.ВОДА 9 мес. 2021'!ра71</definedName>
    <definedName name="ра71_14" localSheetId="21">'ФАКТ.СЕБЕСТ.СТОКИ 9 мес. 2021'!ра71</definedName>
    <definedName name="ра71_14" localSheetId="14">'Чистая прибыль с транспортир.'!ра71</definedName>
    <definedName name="ра71_14">[0]!ра71</definedName>
    <definedName name="ра71_15" localSheetId="75">'А 2018'!ра71</definedName>
    <definedName name="ра71_15" localSheetId="59">'выпадающие расходы'!ра71</definedName>
    <definedName name="ра71_15" localSheetId="50">'ЗП с факт 3 кв. 2015'!ра71</definedName>
    <definedName name="ра71_15" localSheetId="24">'ПОЛНАЯ СЕБЕСТОИМОСТЬ ВОДА 2021'!ра71</definedName>
    <definedName name="ра71_15" localSheetId="22">'ПОЛНАЯ СЕБЕСТОИМОСТЬ СТОКИ 2021'!ра71</definedName>
    <definedName name="ра71_15" localSheetId="19">'Прил. 1 План ФХД вода '!ра71</definedName>
    <definedName name="ра71_15" localSheetId="15">'Прил. 1 План ФХД с транспортир.'!ра71</definedName>
    <definedName name="ра71_15" localSheetId="18">'Прил. 1 План ФХД стоки'!ра71</definedName>
    <definedName name="ра71_15" localSheetId="17">'Прил. 1 План ФХД трансп. воды'!ра71</definedName>
    <definedName name="ра71_15" localSheetId="16">'Прил. 1 План ФХД трансп. стоков'!ра71</definedName>
    <definedName name="ра71_15" localSheetId="76">'Расчет товарной выручки 2018'!ра71</definedName>
    <definedName name="ра71_15" localSheetId="25">'Расчет товарной выручки 2019'!ра71</definedName>
    <definedName name="ра71_15" localSheetId="20">'Расчет товарной выручки 2021'!ра71</definedName>
    <definedName name="ра71_15" localSheetId="77">'рез к 2017-2023'!ра71</definedName>
    <definedName name="ра71_15" localSheetId="74">'рез к 2018-2024 (кор) '!ра71</definedName>
    <definedName name="ра71_15" localSheetId="13">'Текущий ремонт'!ра71</definedName>
    <definedName name="ра71_15" localSheetId="23">'ФАКТ.СЕБЕСТ.ВОДА 9 мес. 2021'!ра71</definedName>
    <definedName name="ра71_15" localSheetId="21">'ФАКТ.СЕБЕСТ.СТОКИ 9 мес. 2021'!ра71</definedName>
    <definedName name="ра71_15" localSheetId="14">'Чистая прибыль с транспортир.'!ра71</definedName>
    <definedName name="ра71_15">[0]!ра71</definedName>
    <definedName name="ра71_16" localSheetId="75">'А 2018'!ра71</definedName>
    <definedName name="ра71_16" localSheetId="59">'выпадающие расходы'!ра71</definedName>
    <definedName name="ра71_16" localSheetId="50">'ЗП с факт 3 кв. 2015'!ра71</definedName>
    <definedName name="ра71_16" localSheetId="24">'ПОЛНАЯ СЕБЕСТОИМОСТЬ ВОДА 2021'!ра71</definedName>
    <definedName name="ра71_16" localSheetId="22">'ПОЛНАЯ СЕБЕСТОИМОСТЬ СТОКИ 2021'!ра71</definedName>
    <definedName name="ра71_16" localSheetId="19">'Прил. 1 План ФХД вода '!ра71</definedName>
    <definedName name="ра71_16" localSheetId="15">'Прил. 1 План ФХД с транспортир.'!ра71</definedName>
    <definedName name="ра71_16" localSheetId="18">'Прил. 1 План ФХД стоки'!ра71</definedName>
    <definedName name="ра71_16" localSheetId="17">'Прил. 1 План ФХД трансп. воды'!ра71</definedName>
    <definedName name="ра71_16" localSheetId="16">'Прил. 1 План ФХД трансп. стоков'!ра71</definedName>
    <definedName name="ра71_16" localSheetId="76">'Расчет товарной выручки 2018'!ра71</definedName>
    <definedName name="ра71_16" localSheetId="25">'Расчет товарной выручки 2019'!ра71</definedName>
    <definedName name="ра71_16" localSheetId="20">'Расчет товарной выручки 2021'!ра71</definedName>
    <definedName name="ра71_16" localSheetId="77">'рез к 2017-2023'!ра71</definedName>
    <definedName name="ра71_16" localSheetId="74">'рез к 2018-2024 (кор) '!ра71</definedName>
    <definedName name="ра71_16" localSheetId="13">'Текущий ремонт'!ра71</definedName>
    <definedName name="ра71_16" localSheetId="23">'ФАКТ.СЕБЕСТ.ВОДА 9 мес. 2021'!ра71</definedName>
    <definedName name="ра71_16" localSheetId="21">'ФАКТ.СЕБЕСТ.СТОКИ 9 мес. 2021'!ра71</definedName>
    <definedName name="ра71_16" localSheetId="14">'Чистая прибыль с транспортир.'!ра71</definedName>
    <definedName name="ра71_16">[0]!ра71</definedName>
    <definedName name="ра71_2" localSheetId="75">'А 2018'!ра71</definedName>
    <definedName name="ра71_2" localSheetId="59">'выпадающие расходы'!ра71</definedName>
    <definedName name="ра71_2" localSheetId="50">'ЗП с факт 3 кв. 2015'!ра71</definedName>
    <definedName name="ра71_2" localSheetId="24">'ПОЛНАЯ СЕБЕСТОИМОСТЬ ВОДА 2021'!ра71</definedName>
    <definedName name="ра71_2" localSheetId="22">'ПОЛНАЯ СЕБЕСТОИМОСТЬ СТОКИ 2021'!ра71</definedName>
    <definedName name="ра71_2" localSheetId="19">'Прил. 1 План ФХД вода '!ра71</definedName>
    <definedName name="ра71_2" localSheetId="15">'Прил. 1 План ФХД с транспортир.'!ра71</definedName>
    <definedName name="ра71_2" localSheetId="18">'Прил. 1 План ФХД стоки'!ра71</definedName>
    <definedName name="ра71_2" localSheetId="17">'Прил. 1 План ФХД трансп. воды'!ра71</definedName>
    <definedName name="ра71_2" localSheetId="16">'Прил. 1 План ФХД трансп. стоков'!ра71</definedName>
    <definedName name="ра71_2" localSheetId="76">'Расчет товарной выручки 2018'!ра71</definedName>
    <definedName name="ра71_2" localSheetId="25">'Расчет товарной выручки 2019'!ра71</definedName>
    <definedName name="ра71_2" localSheetId="20">'Расчет товарной выручки 2021'!ра71</definedName>
    <definedName name="ра71_2" localSheetId="77">'рез к 2017-2023'!ра71</definedName>
    <definedName name="ра71_2" localSheetId="74">'рез к 2018-2024 (кор) '!ра71</definedName>
    <definedName name="ра71_2" localSheetId="13">'Текущий ремонт'!ра71</definedName>
    <definedName name="ра71_2" localSheetId="23">'ФАКТ.СЕБЕСТ.ВОДА 9 мес. 2021'!ра71</definedName>
    <definedName name="ра71_2" localSheetId="21">'ФАКТ.СЕБЕСТ.СТОКИ 9 мес. 2021'!ра71</definedName>
    <definedName name="ра71_2" localSheetId="14">'Чистая прибыль с транспортир.'!ра71</definedName>
    <definedName name="ра71_2">[0]!ра71</definedName>
    <definedName name="РТВ" localSheetId="75">[21]Нормат!$J$12</definedName>
    <definedName name="РТВ" localSheetId="59">[22]Нормат!$J$12</definedName>
    <definedName name="РТВ" localSheetId="24">[23]Нормат!$J$12</definedName>
    <definedName name="РТВ" localSheetId="22">[23]Нормат!$J$12</definedName>
    <definedName name="РТВ" localSheetId="19">[23]Нормат!$J$12</definedName>
    <definedName name="РТВ" localSheetId="15">[23]Нормат!$J$12</definedName>
    <definedName name="РТВ" localSheetId="18">[23]Нормат!$J$12</definedName>
    <definedName name="РТВ" localSheetId="17">[23]Нормат!$J$12</definedName>
    <definedName name="РТВ" localSheetId="16">[23]Нормат!$J$12</definedName>
    <definedName name="РТВ" localSheetId="76">[22]Нормат!$J$12</definedName>
    <definedName name="РТВ" localSheetId="25">[23]Нормат!$J$12</definedName>
    <definedName name="РТВ" localSheetId="20">[22]Нормат!$J$12</definedName>
    <definedName name="РТВ" localSheetId="77">[22]Нормат!$J$12</definedName>
    <definedName name="РТВ" localSheetId="74">[22]Нормат!$J$12</definedName>
    <definedName name="РТВ" localSheetId="13">[23]Нормат!$J$12</definedName>
    <definedName name="РТВ" localSheetId="23">[23]Нормат!$J$12</definedName>
    <definedName name="РТВ" localSheetId="21">[23]Нормат!$J$12</definedName>
    <definedName name="РТВ" localSheetId="14">[23]Нормат!$J$12</definedName>
    <definedName name="РТВ">[23]Нормат!$J$12</definedName>
    <definedName name="РТВ_10">[18]Нормат!$J$12</definedName>
    <definedName name="РТВ_12">[24]Нормат!$J$12</definedName>
    <definedName name="РТВ_13">[24]Нормат!$J$12</definedName>
    <definedName name="РТВ_14">[18]Нормат!$J$12</definedName>
    <definedName name="РТВ_15">[18]Нормат!$J$12</definedName>
    <definedName name="РТВ_16">[18]Нормат!$J$12</definedName>
    <definedName name="РТВ_2">[18]Нормат!$J$12</definedName>
    <definedName name="РТВ_201" localSheetId="75">[21]Нормат!$J$23</definedName>
    <definedName name="РТВ_201" localSheetId="59">[22]Нормат!$J$23</definedName>
    <definedName name="РТВ_201" localSheetId="24">[23]Нормат!$J$23</definedName>
    <definedName name="РТВ_201" localSheetId="22">[23]Нормат!$J$23</definedName>
    <definedName name="РТВ_201" localSheetId="19">[23]Нормат!$J$23</definedName>
    <definedName name="РТВ_201" localSheetId="15">[23]Нормат!$J$23</definedName>
    <definedName name="РТВ_201" localSheetId="18">[23]Нормат!$J$23</definedName>
    <definedName name="РТВ_201" localSheetId="17">[23]Нормат!$J$23</definedName>
    <definedName name="РТВ_201" localSheetId="16">[23]Нормат!$J$23</definedName>
    <definedName name="РТВ_201" localSheetId="76">[22]Нормат!$J$23</definedName>
    <definedName name="РТВ_201" localSheetId="25">[23]Нормат!$J$23</definedName>
    <definedName name="РТВ_201" localSheetId="20">[22]Нормат!$J$23</definedName>
    <definedName name="РТВ_201" localSheetId="77">[22]Нормат!$J$23</definedName>
    <definedName name="РТВ_201" localSheetId="74">[22]Нормат!$J$23</definedName>
    <definedName name="РТВ_201" localSheetId="13">[23]Нормат!$J$23</definedName>
    <definedName name="РТВ_201" localSheetId="23">[23]Нормат!$J$23</definedName>
    <definedName name="РТВ_201" localSheetId="21">[23]Нормат!$J$23</definedName>
    <definedName name="РТВ_201" localSheetId="14">[23]Нормат!$J$23</definedName>
    <definedName name="РТВ_201">[23]Нормат!$J$23</definedName>
    <definedName name="РТВ_201_10">[18]Нормат!$J$23</definedName>
    <definedName name="РТВ_201_12">[24]Нормат!$J$23</definedName>
    <definedName name="РТВ_201_13">[24]Нормат!$J$23</definedName>
    <definedName name="РТВ_201_14">[18]Нормат!$J$23</definedName>
    <definedName name="РТВ_201_15">[18]Нормат!$J$23</definedName>
    <definedName name="РТВ_201_16">[18]Нормат!$J$23</definedName>
    <definedName name="РТВ_201_2">[18]Нормат!$J$23</definedName>
    <definedName name="РТВ_201_24" localSheetId="75">[25]Нормат!$J$23</definedName>
    <definedName name="РТВ_201_24" localSheetId="59">[26]Нормат!$J$23</definedName>
    <definedName name="РТВ_201_24" localSheetId="24">[27]Нормат!$J$23</definedName>
    <definedName name="РТВ_201_24" localSheetId="22">[27]Нормат!$J$23</definedName>
    <definedName name="РТВ_201_24" localSheetId="19">[27]Нормат!$J$23</definedName>
    <definedName name="РТВ_201_24" localSheetId="15">[27]Нормат!$J$23</definedName>
    <definedName name="РТВ_201_24" localSheetId="18">[27]Нормат!$J$23</definedName>
    <definedName name="РТВ_201_24" localSheetId="17">[27]Нормат!$J$23</definedName>
    <definedName name="РТВ_201_24" localSheetId="16">[27]Нормат!$J$23</definedName>
    <definedName name="РТВ_201_24" localSheetId="76">[26]Нормат!$J$23</definedName>
    <definedName name="РТВ_201_24" localSheetId="25">[27]Нормат!$J$23</definedName>
    <definedName name="РТВ_201_24" localSheetId="20">[26]Нормат!$J$23</definedName>
    <definedName name="РТВ_201_24" localSheetId="77">[26]Нормат!$J$23</definedName>
    <definedName name="РТВ_201_24" localSheetId="74">[26]Нормат!$J$23</definedName>
    <definedName name="РТВ_201_24" localSheetId="13">[27]Нормат!$J$23</definedName>
    <definedName name="РТВ_201_24" localSheetId="23">[27]Нормат!$J$23</definedName>
    <definedName name="РТВ_201_24" localSheetId="21">[27]Нормат!$J$23</definedName>
    <definedName name="РТВ_201_24" localSheetId="14">[27]Нормат!$J$23</definedName>
    <definedName name="РТВ_201_24">[27]Нормат!$J$23</definedName>
    <definedName name="РТВ_201_25" localSheetId="75">[28]Нормат!$J$23</definedName>
    <definedName name="РТВ_201_25" localSheetId="59">[29]Нормат!$J$23</definedName>
    <definedName name="РТВ_201_25" localSheetId="24">[30]Нормат!$J$23</definedName>
    <definedName name="РТВ_201_25" localSheetId="22">[30]Нормат!$J$23</definedName>
    <definedName name="РТВ_201_25" localSheetId="19">[30]Нормат!$J$23</definedName>
    <definedName name="РТВ_201_25" localSheetId="15">[30]Нормат!$J$23</definedName>
    <definedName name="РТВ_201_25" localSheetId="18">[30]Нормат!$J$23</definedName>
    <definedName name="РТВ_201_25" localSheetId="17">[30]Нормат!$J$23</definedName>
    <definedName name="РТВ_201_25" localSheetId="16">[30]Нормат!$J$23</definedName>
    <definedName name="РТВ_201_25" localSheetId="76">[29]Нормат!$J$23</definedName>
    <definedName name="РТВ_201_25" localSheetId="25">[30]Нормат!$J$23</definedName>
    <definedName name="РТВ_201_25" localSheetId="20">[29]Нормат!$J$23</definedName>
    <definedName name="РТВ_201_25" localSheetId="77">[29]Нормат!$J$23</definedName>
    <definedName name="РТВ_201_25" localSheetId="74">[29]Нормат!$J$23</definedName>
    <definedName name="РТВ_201_25" localSheetId="13">[30]Нормат!$J$23</definedName>
    <definedName name="РТВ_201_25" localSheetId="23">[30]Нормат!$J$23</definedName>
    <definedName name="РТВ_201_25" localSheetId="21">[30]Нормат!$J$23</definedName>
    <definedName name="РТВ_201_25" localSheetId="14">[30]Нормат!$J$23</definedName>
    <definedName name="РТВ_201_25">[30]Нормат!$J$23</definedName>
    <definedName name="РТВ_201_3" localSheetId="75">[31]Нормат!$J$23</definedName>
    <definedName name="РТВ_201_3" localSheetId="59">[32]Нормат!$J$23</definedName>
    <definedName name="РТВ_201_3" localSheetId="24">[33]Нормат!$J$23</definedName>
    <definedName name="РТВ_201_3" localSheetId="22">[33]Нормат!$J$23</definedName>
    <definedName name="РТВ_201_3" localSheetId="19">[33]Нормат!$J$23</definedName>
    <definedName name="РТВ_201_3" localSheetId="15">[33]Нормат!$J$23</definedName>
    <definedName name="РТВ_201_3" localSheetId="18">[33]Нормат!$J$23</definedName>
    <definedName name="РТВ_201_3" localSheetId="17">[33]Нормат!$J$23</definedName>
    <definedName name="РТВ_201_3" localSheetId="16">[33]Нормат!$J$23</definedName>
    <definedName name="РТВ_201_3" localSheetId="76">[32]Нормат!$J$23</definedName>
    <definedName name="РТВ_201_3" localSheetId="25">[33]Нормат!$J$23</definedName>
    <definedName name="РТВ_201_3" localSheetId="20">[32]Нормат!$J$23</definedName>
    <definedName name="РТВ_201_3" localSheetId="77">[32]Нормат!$J$23</definedName>
    <definedName name="РТВ_201_3" localSheetId="74">[32]Нормат!$J$23</definedName>
    <definedName name="РТВ_201_3" localSheetId="13">[33]Нормат!$J$23</definedName>
    <definedName name="РТВ_201_3" localSheetId="23">[33]Нормат!$J$23</definedName>
    <definedName name="РТВ_201_3" localSheetId="21">[33]Нормат!$J$23</definedName>
    <definedName name="РТВ_201_3" localSheetId="14">[33]Нормат!$J$23</definedName>
    <definedName name="РТВ_201_3">[33]Нормат!$J$23</definedName>
    <definedName name="РТВ_201_4">[20]Нормат!$J$23</definedName>
    <definedName name="РТВ_201_5">[19]Нормат!$J$23</definedName>
    <definedName name="РТВ_201_59" localSheetId="75">[34]Нормат!$J$23</definedName>
    <definedName name="РТВ_201_59" localSheetId="59">[35]Нормат!$J$23</definedName>
    <definedName name="РТВ_201_59" localSheetId="24">[36]Нормат!$J$23</definedName>
    <definedName name="РТВ_201_59" localSheetId="22">[36]Нормат!$J$23</definedName>
    <definedName name="РТВ_201_59" localSheetId="19">[36]Нормат!$J$23</definedName>
    <definedName name="РТВ_201_59" localSheetId="15">[36]Нормат!$J$23</definedName>
    <definedName name="РТВ_201_59" localSheetId="18">[36]Нормат!$J$23</definedName>
    <definedName name="РТВ_201_59" localSheetId="17">[36]Нормат!$J$23</definedName>
    <definedName name="РТВ_201_59" localSheetId="16">[36]Нормат!$J$23</definedName>
    <definedName name="РТВ_201_59" localSheetId="76">[35]Нормат!$J$23</definedName>
    <definedName name="РТВ_201_59" localSheetId="25">[36]Нормат!$J$23</definedName>
    <definedName name="РТВ_201_59" localSheetId="20">[35]Нормат!$J$23</definedName>
    <definedName name="РТВ_201_59" localSheetId="77">[35]Нормат!$J$23</definedName>
    <definedName name="РТВ_201_59" localSheetId="74">[35]Нормат!$J$23</definedName>
    <definedName name="РТВ_201_59" localSheetId="13">[36]Нормат!$J$23</definedName>
    <definedName name="РТВ_201_59" localSheetId="23">[36]Нормат!$J$23</definedName>
    <definedName name="РТВ_201_59" localSheetId="21">[36]Нормат!$J$23</definedName>
    <definedName name="РТВ_201_59" localSheetId="14">[36]Нормат!$J$23</definedName>
    <definedName name="РТВ_201_59">[36]Нормат!$J$23</definedName>
    <definedName name="РТВ_201_59_10">[37]Нормат!$J$23</definedName>
    <definedName name="РТВ_201_59_14">[37]Нормат!$J$23</definedName>
    <definedName name="РТВ_201_59_15">[37]Нормат!$J$23</definedName>
    <definedName name="РТВ_201_59_16">[37]Нормат!$J$23</definedName>
    <definedName name="РТВ_201_59_2">[37]Нормат!$J$23</definedName>
    <definedName name="РТВ_201_6" localSheetId="75">[38]Нормат!$J$23</definedName>
    <definedName name="РТВ_201_6" localSheetId="59">[39]Нормат!$J$23</definedName>
    <definedName name="РТВ_201_6" localSheetId="24">[40]Нормат!$J$23</definedName>
    <definedName name="РТВ_201_6" localSheetId="22">[40]Нормат!$J$23</definedName>
    <definedName name="РТВ_201_6" localSheetId="19">[40]Нормат!$J$23</definedName>
    <definedName name="РТВ_201_6" localSheetId="15">[40]Нормат!$J$23</definedName>
    <definedName name="РТВ_201_6" localSheetId="18">[40]Нормат!$J$23</definedName>
    <definedName name="РТВ_201_6" localSheetId="17">[40]Нормат!$J$23</definedName>
    <definedName name="РТВ_201_6" localSheetId="16">[40]Нормат!$J$23</definedName>
    <definedName name="РТВ_201_6" localSheetId="76">[39]Нормат!$J$23</definedName>
    <definedName name="РТВ_201_6" localSheetId="25">[40]Нормат!$J$23</definedName>
    <definedName name="РТВ_201_6" localSheetId="20">[39]Нормат!$J$23</definedName>
    <definedName name="РТВ_201_6" localSheetId="77">[39]Нормат!$J$23</definedName>
    <definedName name="РТВ_201_6" localSheetId="74">[39]Нормат!$J$23</definedName>
    <definedName name="РТВ_201_6" localSheetId="13">[40]Нормат!$J$23</definedName>
    <definedName name="РТВ_201_6" localSheetId="23">[40]Нормат!$J$23</definedName>
    <definedName name="РТВ_201_6" localSheetId="21">[40]Нормат!$J$23</definedName>
    <definedName name="РТВ_201_6" localSheetId="14">[40]Нормат!$J$23</definedName>
    <definedName name="РТВ_201_6">[40]Нормат!$J$23</definedName>
    <definedName name="РТВ_201_60" localSheetId="75">[34]Нормат!$J$23</definedName>
    <definedName name="РТВ_201_60" localSheetId="59">[35]Нормат!$J$23</definedName>
    <definedName name="РТВ_201_60" localSheetId="24">[36]Нормат!$J$23</definedName>
    <definedName name="РТВ_201_60" localSheetId="22">[36]Нормат!$J$23</definedName>
    <definedName name="РТВ_201_60" localSheetId="19">[36]Нормат!$J$23</definedName>
    <definedName name="РТВ_201_60" localSheetId="15">[36]Нормат!$J$23</definedName>
    <definedName name="РТВ_201_60" localSheetId="18">[36]Нормат!$J$23</definedName>
    <definedName name="РТВ_201_60" localSheetId="17">[36]Нормат!$J$23</definedName>
    <definedName name="РТВ_201_60" localSheetId="16">[36]Нормат!$J$23</definedName>
    <definedName name="РТВ_201_60" localSheetId="76">[35]Нормат!$J$23</definedName>
    <definedName name="РТВ_201_60" localSheetId="25">[36]Нормат!$J$23</definedName>
    <definedName name="РТВ_201_60" localSheetId="20">[35]Нормат!$J$23</definedName>
    <definedName name="РТВ_201_60" localSheetId="77">[35]Нормат!$J$23</definedName>
    <definedName name="РТВ_201_60" localSheetId="74">[35]Нормат!$J$23</definedName>
    <definedName name="РТВ_201_60" localSheetId="13">[36]Нормат!$J$23</definedName>
    <definedName name="РТВ_201_60" localSheetId="23">[36]Нормат!$J$23</definedName>
    <definedName name="РТВ_201_60" localSheetId="21">[36]Нормат!$J$23</definedName>
    <definedName name="РТВ_201_60" localSheetId="14">[36]Нормат!$J$23</definedName>
    <definedName name="РТВ_201_60">[36]Нормат!$J$23</definedName>
    <definedName name="РТВ_201_60_10">[37]Нормат!$J$23</definedName>
    <definedName name="РТВ_201_60_14">[37]Нормат!$J$23</definedName>
    <definedName name="РТВ_201_60_15">[37]Нормат!$J$23</definedName>
    <definedName name="РТВ_201_60_16">[37]Нормат!$J$23</definedName>
    <definedName name="РТВ_201_60_2">[37]Нормат!$J$23</definedName>
    <definedName name="РТВ_201_7">[19]Нормат!$J$23</definedName>
    <definedName name="РТВ_201_72" localSheetId="75">[21]Нормат!$J$23</definedName>
    <definedName name="РТВ_201_72" localSheetId="59">[22]Нормат!$J$23</definedName>
    <definedName name="РТВ_201_72" localSheetId="24">[23]Нормат!$J$23</definedName>
    <definedName name="РТВ_201_72" localSheetId="22">[23]Нормат!$J$23</definedName>
    <definedName name="РТВ_201_72" localSheetId="19">[23]Нормат!$J$23</definedName>
    <definedName name="РТВ_201_72" localSheetId="15">[23]Нормат!$J$23</definedName>
    <definedName name="РТВ_201_72" localSheetId="18">[23]Нормат!$J$23</definedName>
    <definedName name="РТВ_201_72" localSheetId="17">[23]Нормат!$J$23</definedName>
    <definedName name="РТВ_201_72" localSheetId="16">[23]Нормат!$J$23</definedName>
    <definedName name="РТВ_201_72" localSheetId="76">[22]Нормат!$J$23</definedName>
    <definedName name="РТВ_201_72" localSheetId="25">[23]Нормат!$J$23</definedName>
    <definedName name="РТВ_201_72" localSheetId="20">[22]Нормат!$J$23</definedName>
    <definedName name="РТВ_201_72" localSheetId="77">[22]Нормат!$J$23</definedName>
    <definedName name="РТВ_201_72" localSheetId="74">[22]Нормат!$J$23</definedName>
    <definedName name="РТВ_201_72" localSheetId="13">[23]Нормат!$J$23</definedName>
    <definedName name="РТВ_201_72" localSheetId="23">[23]Нормат!$J$23</definedName>
    <definedName name="РТВ_201_72" localSheetId="21">[23]Нормат!$J$23</definedName>
    <definedName name="РТВ_201_72" localSheetId="14">[23]Нормат!$J$23</definedName>
    <definedName name="РТВ_201_72">[23]Нормат!$J$23</definedName>
    <definedName name="РТВ_201_72_10">[18]Нормат!$J$23</definedName>
    <definedName name="РТВ_201_72_14">[18]Нормат!$J$23</definedName>
    <definedName name="РТВ_201_72_15">[18]Нормат!$J$23</definedName>
    <definedName name="РТВ_201_72_16">[18]Нормат!$J$23</definedName>
    <definedName name="РТВ_201_72_2">[18]Нормат!$J$23</definedName>
    <definedName name="РТВ_201_8">[19]Нормат!$J$23</definedName>
    <definedName name="РТВ_201_9">[19]Нормат!$J$23</definedName>
    <definedName name="РТВ_24" localSheetId="75">[25]Нормат!$J$12</definedName>
    <definedName name="РТВ_24" localSheetId="59">[26]Нормат!$J$12</definedName>
    <definedName name="РТВ_24" localSheetId="24">[27]Нормат!$J$12</definedName>
    <definedName name="РТВ_24" localSheetId="22">[27]Нормат!$J$12</definedName>
    <definedName name="РТВ_24" localSheetId="19">[27]Нормат!$J$12</definedName>
    <definedName name="РТВ_24" localSheetId="15">[27]Нормат!$J$12</definedName>
    <definedName name="РТВ_24" localSheetId="18">[27]Нормат!$J$12</definedName>
    <definedName name="РТВ_24" localSheetId="17">[27]Нормат!$J$12</definedName>
    <definedName name="РТВ_24" localSheetId="16">[27]Нормат!$J$12</definedName>
    <definedName name="РТВ_24" localSheetId="76">[26]Нормат!$J$12</definedName>
    <definedName name="РТВ_24" localSheetId="25">[27]Нормат!$J$12</definedName>
    <definedName name="РТВ_24" localSheetId="20">[26]Нормат!$J$12</definedName>
    <definedName name="РТВ_24" localSheetId="77">[26]Нормат!$J$12</definedName>
    <definedName name="РТВ_24" localSheetId="74">[26]Нормат!$J$12</definedName>
    <definedName name="РТВ_24" localSheetId="13">[27]Нормат!$J$12</definedName>
    <definedName name="РТВ_24" localSheetId="23">[27]Нормат!$J$12</definedName>
    <definedName name="РТВ_24" localSheetId="21">[27]Нормат!$J$12</definedName>
    <definedName name="РТВ_24" localSheetId="14">[27]Нормат!$J$12</definedName>
    <definedName name="РТВ_24">[27]Нормат!$J$12</definedName>
    <definedName name="РТВ_25" localSheetId="75">[28]Нормат!$J$12</definedName>
    <definedName name="РТВ_25" localSheetId="59">[29]Нормат!$J$12</definedName>
    <definedName name="РТВ_25" localSheetId="24">[30]Нормат!$J$12</definedName>
    <definedName name="РТВ_25" localSheetId="22">[30]Нормат!$J$12</definedName>
    <definedName name="РТВ_25" localSheetId="19">[30]Нормат!$J$12</definedName>
    <definedName name="РТВ_25" localSheetId="15">[30]Нормат!$J$12</definedName>
    <definedName name="РТВ_25" localSheetId="18">[30]Нормат!$J$12</definedName>
    <definedName name="РТВ_25" localSheetId="17">[30]Нормат!$J$12</definedName>
    <definedName name="РТВ_25" localSheetId="16">[30]Нормат!$J$12</definedName>
    <definedName name="РТВ_25" localSheetId="76">[29]Нормат!$J$12</definedName>
    <definedName name="РТВ_25" localSheetId="25">[30]Нормат!$J$12</definedName>
    <definedName name="РТВ_25" localSheetId="20">[29]Нормат!$J$12</definedName>
    <definedName name="РТВ_25" localSheetId="77">[29]Нормат!$J$12</definedName>
    <definedName name="РТВ_25" localSheetId="74">[29]Нормат!$J$12</definedName>
    <definedName name="РТВ_25" localSheetId="13">[30]Нормат!$J$12</definedName>
    <definedName name="РТВ_25" localSheetId="23">[30]Нормат!$J$12</definedName>
    <definedName name="РТВ_25" localSheetId="21">[30]Нормат!$J$12</definedName>
    <definedName name="РТВ_25" localSheetId="14">[30]Нормат!$J$12</definedName>
    <definedName name="РТВ_25">[30]Нормат!$J$12</definedName>
    <definedName name="РТВ_3" localSheetId="75">[31]Нормат!$J$12</definedName>
    <definedName name="РТВ_3" localSheetId="59">[32]Нормат!$J$12</definedName>
    <definedName name="РТВ_3" localSheetId="24">[33]Нормат!$J$12</definedName>
    <definedName name="РТВ_3" localSheetId="22">[33]Нормат!$J$12</definedName>
    <definedName name="РТВ_3" localSheetId="19">[33]Нормат!$J$12</definedName>
    <definedName name="РТВ_3" localSheetId="15">[33]Нормат!$J$12</definedName>
    <definedName name="РТВ_3" localSheetId="18">[33]Нормат!$J$12</definedName>
    <definedName name="РТВ_3" localSheetId="17">[33]Нормат!$J$12</definedName>
    <definedName name="РТВ_3" localSheetId="16">[33]Нормат!$J$12</definedName>
    <definedName name="РТВ_3" localSheetId="76">[32]Нормат!$J$12</definedName>
    <definedName name="РТВ_3" localSheetId="25">[33]Нормат!$J$12</definedName>
    <definedName name="РТВ_3" localSheetId="20">[32]Нормат!$J$12</definedName>
    <definedName name="РТВ_3" localSheetId="77">[32]Нормат!$J$12</definedName>
    <definedName name="РТВ_3" localSheetId="74">[32]Нормат!$J$12</definedName>
    <definedName name="РТВ_3" localSheetId="13">[33]Нормат!$J$12</definedName>
    <definedName name="РТВ_3" localSheetId="23">[33]Нормат!$J$12</definedName>
    <definedName name="РТВ_3" localSheetId="21">[33]Нормат!$J$12</definedName>
    <definedName name="РТВ_3" localSheetId="14">[33]Нормат!$J$12</definedName>
    <definedName name="РТВ_3">[33]Нормат!$J$12</definedName>
    <definedName name="РТВ_4">[20]Нормат!$J$12</definedName>
    <definedName name="РТВ_5">[19]Нормат!$J$12</definedName>
    <definedName name="РТВ_59" localSheetId="75">[34]Нормат!$J$12</definedName>
    <definedName name="РТВ_59" localSheetId="59">[35]Нормат!$J$12</definedName>
    <definedName name="РТВ_59" localSheetId="24">[36]Нормат!$J$12</definedName>
    <definedName name="РТВ_59" localSheetId="22">[36]Нормат!$J$12</definedName>
    <definedName name="РТВ_59" localSheetId="19">[36]Нормат!$J$12</definedName>
    <definedName name="РТВ_59" localSheetId="15">[36]Нормат!$J$12</definedName>
    <definedName name="РТВ_59" localSheetId="18">[36]Нормат!$J$12</definedName>
    <definedName name="РТВ_59" localSheetId="17">[36]Нормат!$J$12</definedName>
    <definedName name="РТВ_59" localSheetId="16">[36]Нормат!$J$12</definedName>
    <definedName name="РТВ_59" localSheetId="76">[35]Нормат!$J$12</definedName>
    <definedName name="РТВ_59" localSheetId="25">[36]Нормат!$J$12</definedName>
    <definedName name="РТВ_59" localSheetId="20">[35]Нормат!$J$12</definedName>
    <definedName name="РТВ_59" localSheetId="77">[35]Нормат!$J$12</definedName>
    <definedName name="РТВ_59" localSheetId="74">[35]Нормат!$J$12</definedName>
    <definedName name="РТВ_59" localSheetId="13">[36]Нормат!$J$12</definedName>
    <definedName name="РТВ_59" localSheetId="23">[36]Нормат!$J$12</definedName>
    <definedName name="РТВ_59" localSheetId="21">[36]Нормат!$J$12</definedName>
    <definedName name="РТВ_59" localSheetId="14">[36]Нормат!$J$12</definedName>
    <definedName name="РТВ_59">[36]Нормат!$J$12</definedName>
    <definedName name="РТВ_59_10">[37]Нормат!$J$12</definedName>
    <definedName name="РТВ_59_14">[37]Нормат!$J$12</definedName>
    <definedName name="РТВ_59_15">[37]Нормат!$J$12</definedName>
    <definedName name="РТВ_59_16">[37]Нормат!$J$12</definedName>
    <definedName name="РТВ_59_2">[37]Нормат!$J$12</definedName>
    <definedName name="РТВ_6" localSheetId="75">[38]Нормат!$J$12</definedName>
    <definedName name="РТВ_6" localSheetId="59">[39]Нормат!$J$12</definedName>
    <definedName name="РТВ_6" localSheetId="24">[40]Нормат!$J$12</definedName>
    <definedName name="РТВ_6" localSheetId="22">[40]Нормат!$J$12</definedName>
    <definedName name="РТВ_6" localSheetId="19">[40]Нормат!$J$12</definedName>
    <definedName name="РТВ_6" localSheetId="15">[40]Нормат!$J$12</definedName>
    <definedName name="РТВ_6" localSheetId="18">[40]Нормат!$J$12</definedName>
    <definedName name="РТВ_6" localSheetId="17">[40]Нормат!$J$12</definedName>
    <definedName name="РТВ_6" localSheetId="16">[40]Нормат!$J$12</definedName>
    <definedName name="РТВ_6" localSheetId="76">[39]Нормат!$J$12</definedName>
    <definedName name="РТВ_6" localSheetId="25">[40]Нормат!$J$12</definedName>
    <definedName name="РТВ_6" localSheetId="20">[39]Нормат!$J$12</definedName>
    <definedName name="РТВ_6" localSheetId="77">[39]Нормат!$J$12</definedName>
    <definedName name="РТВ_6" localSheetId="74">[39]Нормат!$J$12</definedName>
    <definedName name="РТВ_6" localSheetId="13">[40]Нормат!$J$12</definedName>
    <definedName name="РТВ_6" localSheetId="23">[40]Нормат!$J$12</definedName>
    <definedName name="РТВ_6" localSheetId="21">[40]Нормат!$J$12</definedName>
    <definedName name="РТВ_6" localSheetId="14">[40]Нормат!$J$12</definedName>
    <definedName name="РТВ_6">[40]Нормат!$J$12</definedName>
    <definedName name="РТВ_60" localSheetId="75">[34]Нормат!$J$12</definedName>
    <definedName name="РТВ_60" localSheetId="59">[35]Нормат!$J$12</definedName>
    <definedName name="РТВ_60" localSheetId="24">[36]Нормат!$J$12</definedName>
    <definedName name="РТВ_60" localSheetId="22">[36]Нормат!$J$12</definedName>
    <definedName name="РТВ_60" localSheetId="19">[36]Нормат!$J$12</definedName>
    <definedName name="РТВ_60" localSheetId="15">[36]Нормат!$J$12</definedName>
    <definedName name="РТВ_60" localSheetId="18">[36]Нормат!$J$12</definedName>
    <definedName name="РТВ_60" localSheetId="17">[36]Нормат!$J$12</definedName>
    <definedName name="РТВ_60" localSheetId="16">[36]Нормат!$J$12</definedName>
    <definedName name="РТВ_60" localSheetId="76">[35]Нормат!$J$12</definedName>
    <definedName name="РТВ_60" localSheetId="25">[36]Нормат!$J$12</definedName>
    <definedName name="РТВ_60" localSheetId="20">[35]Нормат!$J$12</definedName>
    <definedName name="РТВ_60" localSheetId="77">[35]Нормат!$J$12</definedName>
    <definedName name="РТВ_60" localSheetId="74">[35]Нормат!$J$12</definedName>
    <definedName name="РТВ_60" localSheetId="13">[36]Нормат!$J$12</definedName>
    <definedName name="РТВ_60" localSheetId="23">[36]Нормат!$J$12</definedName>
    <definedName name="РТВ_60" localSheetId="21">[36]Нормат!$J$12</definedName>
    <definedName name="РТВ_60" localSheetId="14">[36]Нормат!$J$12</definedName>
    <definedName name="РТВ_60">[36]Нормат!$J$12</definedName>
    <definedName name="РТВ_60_10">[37]Нормат!$J$12</definedName>
    <definedName name="РТВ_60_14">[37]Нормат!$J$12</definedName>
    <definedName name="РТВ_60_15">[37]Нормат!$J$12</definedName>
    <definedName name="РТВ_60_16">[37]Нормат!$J$12</definedName>
    <definedName name="РТВ_60_2">[37]Нормат!$J$12</definedName>
    <definedName name="РТВ_7">[19]Нормат!$J$12</definedName>
    <definedName name="РТВ_72" localSheetId="75">[21]Нормат!$J$12</definedName>
    <definedName name="РТВ_72" localSheetId="59">[22]Нормат!$J$12</definedName>
    <definedName name="РТВ_72" localSheetId="24">[23]Нормат!$J$12</definedName>
    <definedName name="РТВ_72" localSheetId="22">[23]Нормат!$J$12</definedName>
    <definedName name="РТВ_72" localSheetId="19">[23]Нормат!$J$12</definedName>
    <definedName name="РТВ_72" localSheetId="15">[23]Нормат!$J$12</definedName>
    <definedName name="РТВ_72" localSheetId="18">[23]Нормат!$J$12</definedName>
    <definedName name="РТВ_72" localSheetId="17">[23]Нормат!$J$12</definedName>
    <definedName name="РТВ_72" localSheetId="16">[23]Нормат!$J$12</definedName>
    <definedName name="РТВ_72" localSheetId="76">[22]Нормат!$J$12</definedName>
    <definedName name="РТВ_72" localSheetId="25">[23]Нормат!$J$12</definedName>
    <definedName name="РТВ_72" localSheetId="20">[22]Нормат!$J$12</definedName>
    <definedName name="РТВ_72" localSheetId="77">[22]Нормат!$J$12</definedName>
    <definedName name="РТВ_72" localSheetId="74">[22]Нормат!$J$12</definedName>
    <definedName name="РТВ_72" localSheetId="13">[23]Нормат!$J$12</definedName>
    <definedName name="РТВ_72" localSheetId="23">[23]Нормат!$J$12</definedName>
    <definedName name="РТВ_72" localSheetId="21">[23]Нормат!$J$12</definedName>
    <definedName name="РТВ_72" localSheetId="14">[23]Нормат!$J$12</definedName>
    <definedName name="РТВ_72">[23]Нормат!$J$12</definedName>
    <definedName name="РТВ_72_10">[18]Нормат!$J$12</definedName>
    <definedName name="РТВ_72_14">[18]Нормат!$J$12</definedName>
    <definedName name="РТВ_72_15">[18]Нормат!$J$12</definedName>
    <definedName name="РТВ_72_16">[18]Нормат!$J$12</definedName>
    <definedName name="РТВ_72_2">[18]Нормат!$J$12</definedName>
    <definedName name="РТВ_8">[19]Нормат!$J$12</definedName>
    <definedName name="РТВ_9">[19]Нормат!$J$12</definedName>
    <definedName name="смитронгглллльббб" localSheetId="75">#REF!</definedName>
    <definedName name="смитронгглллльббб" localSheetId="59">#REF!</definedName>
    <definedName name="смитронгглллльббб" localSheetId="50">#REF!</definedName>
    <definedName name="смитронгглллльббб" localSheetId="32">#REF!</definedName>
    <definedName name="смитронгглллльббб" localSheetId="15">#REF!</definedName>
    <definedName name="смитронгглллльббб" localSheetId="17">#REF!</definedName>
    <definedName name="смитронгглллльббб" localSheetId="16">#REF!</definedName>
    <definedName name="смитронгглллльббб" localSheetId="76">#REF!</definedName>
    <definedName name="смитронгглллльббб" localSheetId="25">#REF!</definedName>
    <definedName name="смитронгглллльббб" localSheetId="20">#REF!</definedName>
    <definedName name="смитронгглллльббб" localSheetId="77">#REF!</definedName>
    <definedName name="смитронгглллльббб" localSheetId="74">#REF!</definedName>
    <definedName name="смитронгглллльббб" localSheetId="31">#REF!</definedName>
    <definedName name="смитронгглллльббб" localSheetId="30">#REF!</definedName>
    <definedName name="смитронгглллльббб" localSheetId="14">#REF!</definedName>
    <definedName name="смитронгглллльббб" localSheetId="36">#REF!</definedName>
    <definedName name="смитронгглллльббб">#REF!</definedName>
    <definedName name="сммаапеенннннн">#N/A</definedName>
    <definedName name="спсп" localSheetId="75">'А 2018'!_Pi1</definedName>
    <definedName name="спсп" localSheetId="59">'выпадающие расходы'!_Pi1</definedName>
    <definedName name="спсп" localSheetId="50">'ЗП с факт 3 кв. 2015'!_Pi1</definedName>
    <definedName name="спсп" localSheetId="24">'ПОЛНАЯ СЕБЕСТОИМОСТЬ ВОДА 2021'!_Pi1</definedName>
    <definedName name="спсп" localSheetId="22">'ПОЛНАЯ СЕБЕСТОИМОСТЬ СТОКИ 2021'!_Pi1</definedName>
    <definedName name="спсп" localSheetId="19">'Прил. 1 План ФХД вода '!_Pi1</definedName>
    <definedName name="спсп" localSheetId="15">'Прил. 1 План ФХД с транспортир.'!_Pi1</definedName>
    <definedName name="спсп" localSheetId="18">'Прил. 1 План ФХД стоки'!_Pi1</definedName>
    <definedName name="спсп" localSheetId="17">'Прил. 1 План ФХД трансп. воды'!_Pi1</definedName>
    <definedName name="спсп" localSheetId="16">'Прил. 1 План ФХД трансп. стоков'!_Pi1</definedName>
    <definedName name="спсп" localSheetId="76">'Расчет товарной выручки 2018'!_Pi1</definedName>
    <definedName name="спсп" localSheetId="25">'Расчет товарной выручки 2019'!_Pi1</definedName>
    <definedName name="спсп" localSheetId="20">'Расчет товарной выручки 2021'!_Pi1</definedName>
    <definedName name="спсп" localSheetId="77">'рез к 2017-2023'!_Pi1</definedName>
    <definedName name="спсп" localSheetId="74">'рез к 2018-2024 (кор) '!_Pi1</definedName>
    <definedName name="спсп" localSheetId="13">'Текущий ремонт'!_Pi1</definedName>
    <definedName name="спсп" localSheetId="23">'ФАКТ.СЕБЕСТ.ВОДА 9 мес. 2021'!_Pi1</definedName>
    <definedName name="спсп" localSheetId="21">'ФАКТ.СЕБЕСТ.СТОКИ 9 мес. 2021'!_Pi1</definedName>
    <definedName name="спсп" localSheetId="14">'Чистая прибыль с транспортир.'!_Pi1</definedName>
    <definedName name="спсп">[0]!_Pi1</definedName>
    <definedName name="спсп_1" localSheetId="75">'А 2018'!_Pi1</definedName>
    <definedName name="спсп_1" localSheetId="59">'выпадающие расходы'!_Pi1</definedName>
    <definedName name="спсп_1" localSheetId="50">'ЗП с факт 3 кв. 2015'!_Pi1</definedName>
    <definedName name="спсп_1" localSheetId="24">'ПОЛНАЯ СЕБЕСТОИМОСТЬ ВОДА 2021'!_Pi1</definedName>
    <definedName name="спсп_1" localSheetId="22">'ПОЛНАЯ СЕБЕСТОИМОСТЬ СТОКИ 2021'!_Pi1</definedName>
    <definedName name="спсп_1" localSheetId="19">'Прил. 1 План ФХД вода '!_Pi1</definedName>
    <definedName name="спсп_1" localSheetId="15">'Прил. 1 План ФХД с транспортир.'!_Pi1</definedName>
    <definedName name="спсп_1" localSheetId="18">'Прил. 1 План ФХД стоки'!_Pi1</definedName>
    <definedName name="спсп_1" localSheetId="17">'Прил. 1 План ФХД трансп. воды'!_Pi1</definedName>
    <definedName name="спсп_1" localSheetId="16">'Прил. 1 План ФХД трансп. стоков'!_Pi1</definedName>
    <definedName name="спсп_1" localSheetId="76">'Расчет товарной выручки 2018'!_Pi1</definedName>
    <definedName name="спсп_1" localSheetId="25">'Расчет товарной выручки 2019'!_Pi1</definedName>
    <definedName name="спсп_1" localSheetId="20">'Расчет товарной выручки 2021'!_Pi1</definedName>
    <definedName name="спсп_1" localSheetId="77">'рез к 2017-2023'!_Pi1</definedName>
    <definedName name="спсп_1" localSheetId="74">'рез к 2018-2024 (кор) '!_Pi1</definedName>
    <definedName name="спсп_1" localSheetId="13">'Текущий ремонт'!_Pi1</definedName>
    <definedName name="спсп_1" localSheetId="23">'ФАКТ.СЕБЕСТ.ВОДА 9 мес. 2021'!_Pi1</definedName>
    <definedName name="спсп_1" localSheetId="21">'ФАКТ.СЕБЕСТ.СТОКИ 9 мес. 2021'!_Pi1</definedName>
    <definedName name="спсп_1" localSheetId="14">'Чистая прибыль с транспортир.'!_Pi1</definedName>
    <definedName name="спсп_1">[0]!_Pi1</definedName>
    <definedName name="спсп_13" localSheetId="75">'А 2018'!_Pi1</definedName>
    <definedName name="спсп_13" localSheetId="59">'выпадающие расходы'!_Pi1</definedName>
    <definedName name="спсп_13" localSheetId="50">'ЗП с факт 3 кв. 2015'!_Pi1</definedName>
    <definedName name="спсп_13" localSheetId="24">'ПОЛНАЯ СЕБЕСТОИМОСТЬ ВОДА 2021'!_Pi1</definedName>
    <definedName name="спсп_13" localSheetId="22">'ПОЛНАЯ СЕБЕСТОИМОСТЬ СТОКИ 2021'!_Pi1</definedName>
    <definedName name="спсп_13" localSheetId="19">'Прил. 1 План ФХД вода '!_Pi1</definedName>
    <definedName name="спсп_13" localSheetId="15">'Прил. 1 План ФХД с транспортир.'!_Pi1</definedName>
    <definedName name="спсп_13" localSheetId="18">'Прил. 1 План ФХД стоки'!_Pi1</definedName>
    <definedName name="спсп_13" localSheetId="17">'Прил. 1 План ФХД трансп. воды'!_Pi1</definedName>
    <definedName name="спсп_13" localSheetId="16">'Прил. 1 План ФХД трансп. стоков'!_Pi1</definedName>
    <definedName name="спсп_13" localSheetId="76">'Расчет товарной выручки 2018'!_Pi1</definedName>
    <definedName name="спсп_13" localSheetId="25">'Расчет товарной выручки 2019'!_Pi1</definedName>
    <definedName name="спсп_13" localSheetId="20">'Расчет товарной выручки 2021'!_Pi1</definedName>
    <definedName name="спсп_13" localSheetId="77">'рез к 2017-2023'!_Pi1</definedName>
    <definedName name="спсп_13" localSheetId="74">'рез к 2018-2024 (кор) '!_Pi1</definedName>
    <definedName name="спсп_13" localSheetId="13">'Текущий ремонт'!_Pi1</definedName>
    <definedName name="спсп_13" localSheetId="23">'ФАКТ.СЕБЕСТ.ВОДА 9 мес. 2021'!_Pi1</definedName>
    <definedName name="спсп_13" localSheetId="21">'ФАКТ.СЕБЕСТ.СТОКИ 9 мес. 2021'!_Pi1</definedName>
    <definedName name="спсп_13" localSheetId="14">'Чистая прибыль с транспортир.'!_Pi1</definedName>
    <definedName name="спсп_13">[0]!_Pi1</definedName>
    <definedName name="спсп_2" localSheetId="75">'А 2018'!_Pi1</definedName>
    <definedName name="спсп_2" localSheetId="59">'выпадающие расходы'!_Pi1</definedName>
    <definedName name="спсп_2" localSheetId="50">'ЗП с факт 3 кв. 2015'!_Pi1</definedName>
    <definedName name="спсп_2" localSheetId="24">'ПОЛНАЯ СЕБЕСТОИМОСТЬ ВОДА 2021'!_Pi1</definedName>
    <definedName name="спсп_2" localSheetId="22">'ПОЛНАЯ СЕБЕСТОИМОСТЬ СТОКИ 2021'!_Pi1</definedName>
    <definedName name="спсп_2" localSheetId="19">'Прил. 1 План ФХД вода '!_Pi1</definedName>
    <definedName name="спсп_2" localSheetId="15">'Прил. 1 План ФХД с транспортир.'!_Pi1</definedName>
    <definedName name="спсп_2" localSheetId="18">'Прил. 1 План ФХД стоки'!_Pi1</definedName>
    <definedName name="спсп_2" localSheetId="17">'Прил. 1 План ФХД трансп. воды'!_Pi1</definedName>
    <definedName name="спсп_2" localSheetId="16">'Прил. 1 План ФХД трансп. стоков'!_Pi1</definedName>
    <definedName name="спсп_2" localSheetId="76">'Расчет товарной выручки 2018'!_Pi1</definedName>
    <definedName name="спсп_2" localSheetId="25">'Расчет товарной выручки 2019'!_Pi1</definedName>
    <definedName name="спсп_2" localSheetId="20">'Расчет товарной выручки 2021'!_Pi1</definedName>
    <definedName name="спсп_2" localSheetId="77">'рез к 2017-2023'!_Pi1</definedName>
    <definedName name="спсп_2" localSheetId="74">'рез к 2018-2024 (кор) '!_Pi1</definedName>
    <definedName name="спсп_2" localSheetId="13">'Текущий ремонт'!_Pi1</definedName>
    <definedName name="спсп_2" localSheetId="23">'ФАКТ.СЕБЕСТ.ВОДА 9 мес. 2021'!_Pi1</definedName>
    <definedName name="спсп_2" localSheetId="21">'ФАКТ.СЕБЕСТ.СТОКИ 9 мес. 2021'!_Pi1</definedName>
    <definedName name="спсп_2" localSheetId="14">'Чистая прибыль с транспортир.'!_Pi1</definedName>
    <definedName name="спсп_2">[0]!_Pi1</definedName>
    <definedName name="тарифы" localSheetId="75">'А 2018'!_Pi3</definedName>
    <definedName name="тарифы" localSheetId="59">'выпадающие расходы'!_Pi3</definedName>
    <definedName name="тарифы" localSheetId="50">'ЗП с факт 3 кв. 2015'!_Pi3</definedName>
    <definedName name="тарифы" localSheetId="24">'ПОЛНАЯ СЕБЕСТОИМОСТЬ ВОДА 2021'!_Pi3</definedName>
    <definedName name="тарифы" localSheetId="22">'ПОЛНАЯ СЕБЕСТОИМОСТЬ СТОКИ 2021'!_Pi3</definedName>
    <definedName name="тарифы" localSheetId="19">'Прил. 1 План ФХД вода '!_Pi3</definedName>
    <definedName name="тарифы" localSheetId="15">'Прил. 1 План ФХД с транспортир.'!_Pi3</definedName>
    <definedName name="тарифы" localSheetId="18">'Прил. 1 План ФХД стоки'!_Pi3</definedName>
    <definedName name="тарифы" localSheetId="17">'Прил. 1 План ФХД трансп. воды'!_Pi3</definedName>
    <definedName name="тарифы" localSheetId="16">'Прил. 1 План ФХД трансп. стоков'!_Pi3</definedName>
    <definedName name="тарифы" localSheetId="76">'Расчет товарной выручки 2018'!_Pi3</definedName>
    <definedName name="тарифы" localSheetId="25">'Расчет товарной выручки 2019'!_Pi3</definedName>
    <definedName name="тарифы" localSheetId="20">'Расчет товарной выручки 2021'!_Pi3</definedName>
    <definedName name="тарифы" localSheetId="77">'рез к 2017-2023'!_Pi3</definedName>
    <definedName name="тарифы" localSheetId="74">'рез к 2018-2024 (кор) '!_Pi3</definedName>
    <definedName name="тарифы" localSheetId="13">'Текущий ремонт'!_Pi3</definedName>
    <definedName name="тарифы" localSheetId="23">'ФАКТ.СЕБЕСТ.ВОДА 9 мес. 2021'!_Pi3</definedName>
    <definedName name="тарифы" localSheetId="21">'ФАКТ.СЕБЕСТ.СТОКИ 9 мес. 2021'!_Pi3</definedName>
    <definedName name="тарифы" localSheetId="14">'Чистая прибыль с транспортир.'!_Pi3</definedName>
    <definedName name="тарифы">[0]!_Pi3</definedName>
    <definedName name="тарифы_1" localSheetId="75">'А 2018'!_Pi3</definedName>
    <definedName name="тарифы_1" localSheetId="59">'выпадающие расходы'!_Pi3</definedName>
    <definedName name="тарифы_1" localSheetId="50">'ЗП с факт 3 кв. 2015'!_Pi3</definedName>
    <definedName name="тарифы_1" localSheetId="24">'ПОЛНАЯ СЕБЕСТОИМОСТЬ ВОДА 2021'!_Pi3</definedName>
    <definedName name="тарифы_1" localSheetId="22">'ПОЛНАЯ СЕБЕСТОИМОСТЬ СТОКИ 2021'!_Pi3</definedName>
    <definedName name="тарифы_1" localSheetId="19">'Прил. 1 План ФХД вода '!_Pi3</definedName>
    <definedName name="тарифы_1" localSheetId="15">'Прил. 1 План ФХД с транспортир.'!_Pi3</definedName>
    <definedName name="тарифы_1" localSheetId="18">'Прил. 1 План ФХД стоки'!_Pi3</definedName>
    <definedName name="тарифы_1" localSheetId="17">'Прил. 1 План ФХД трансп. воды'!_Pi3</definedName>
    <definedName name="тарифы_1" localSheetId="16">'Прил. 1 План ФХД трансп. стоков'!_Pi3</definedName>
    <definedName name="тарифы_1" localSheetId="76">'Расчет товарной выручки 2018'!_Pi3</definedName>
    <definedName name="тарифы_1" localSheetId="25">'Расчет товарной выручки 2019'!_Pi3</definedName>
    <definedName name="тарифы_1" localSheetId="20">'Расчет товарной выручки 2021'!_Pi3</definedName>
    <definedName name="тарифы_1" localSheetId="77">'рез к 2017-2023'!_Pi3</definedName>
    <definedName name="тарифы_1" localSheetId="74">'рез к 2018-2024 (кор) '!_Pi3</definedName>
    <definedName name="тарифы_1" localSheetId="13">'Текущий ремонт'!_Pi3</definedName>
    <definedName name="тарифы_1" localSheetId="23">'ФАКТ.СЕБЕСТ.ВОДА 9 мес. 2021'!_Pi3</definedName>
    <definedName name="тарифы_1" localSheetId="21">'ФАКТ.СЕБЕСТ.СТОКИ 9 мес. 2021'!_Pi3</definedName>
    <definedName name="тарифы_1" localSheetId="14">'Чистая прибыль с транспортир.'!_Pi3</definedName>
    <definedName name="тарифы_1">[0]!_Pi3</definedName>
    <definedName name="тарифы_13" localSheetId="75">'А 2018'!_Pi3</definedName>
    <definedName name="тарифы_13" localSheetId="59">'выпадающие расходы'!_Pi3</definedName>
    <definedName name="тарифы_13" localSheetId="50">'ЗП с факт 3 кв. 2015'!_Pi3</definedName>
    <definedName name="тарифы_13" localSheetId="24">'ПОЛНАЯ СЕБЕСТОИМОСТЬ ВОДА 2021'!_Pi3</definedName>
    <definedName name="тарифы_13" localSheetId="22">'ПОЛНАЯ СЕБЕСТОИМОСТЬ СТОКИ 2021'!_Pi3</definedName>
    <definedName name="тарифы_13" localSheetId="19">'Прил. 1 План ФХД вода '!_Pi3</definedName>
    <definedName name="тарифы_13" localSheetId="15">'Прил. 1 План ФХД с транспортир.'!_Pi3</definedName>
    <definedName name="тарифы_13" localSheetId="18">'Прил. 1 План ФХД стоки'!_Pi3</definedName>
    <definedName name="тарифы_13" localSheetId="17">'Прил. 1 План ФХД трансп. воды'!_Pi3</definedName>
    <definedName name="тарифы_13" localSheetId="16">'Прил. 1 План ФХД трансп. стоков'!_Pi3</definedName>
    <definedName name="тарифы_13" localSheetId="76">'Расчет товарной выручки 2018'!_Pi3</definedName>
    <definedName name="тарифы_13" localSheetId="25">'Расчет товарной выручки 2019'!_Pi3</definedName>
    <definedName name="тарифы_13" localSheetId="20">'Расчет товарной выручки 2021'!_Pi3</definedName>
    <definedName name="тарифы_13" localSheetId="77">'рез к 2017-2023'!_Pi3</definedName>
    <definedName name="тарифы_13" localSheetId="74">'рез к 2018-2024 (кор) '!_Pi3</definedName>
    <definedName name="тарифы_13" localSheetId="13">'Текущий ремонт'!_Pi3</definedName>
    <definedName name="тарифы_13" localSheetId="23">'ФАКТ.СЕБЕСТ.ВОДА 9 мес. 2021'!_Pi3</definedName>
    <definedName name="тарифы_13" localSheetId="21">'ФАКТ.СЕБЕСТ.СТОКИ 9 мес. 2021'!_Pi3</definedName>
    <definedName name="тарифы_13" localSheetId="14">'Чистая прибыль с транспортир.'!_Pi3</definedName>
    <definedName name="тарифы_13">[0]!_Pi3</definedName>
    <definedName name="тарифы_2" localSheetId="75">'А 2018'!_Pi3</definedName>
    <definedName name="тарифы_2" localSheetId="59">'выпадающие расходы'!_Pi3</definedName>
    <definedName name="тарифы_2" localSheetId="50">'ЗП с факт 3 кв. 2015'!_Pi3</definedName>
    <definedName name="тарифы_2" localSheetId="24">'ПОЛНАЯ СЕБЕСТОИМОСТЬ ВОДА 2021'!_Pi3</definedName>
    <definedName name="тарифы_2" localSheetId="22">'ПОЛНАЯ СЕБЕСТОИМОСТЬ СТОКИ 2021'!_Pi3</definedName>
    <definedName name="тарифы_2" localSheetId="19">'Прил. 1 План ФХД вода '!_Pi3</definedName>
    <definedName name="тарифы_2" localSheetId="15">'Прил. 1 План ФХД с транспортир.'!_Pi3</definedName>
    <definedName name="тарифы_2" localSheetId="18">'Прил. 1 План ФХД стоки'!_Pi3</definedName>
    <definedName name="тарифы_2" localSheetId="17">'Прил. 1 План ФХД трансп. воды'!_Pi3</definedName>
    <definedName name="тарифы_2" localSheetId="16">'Прил. 1 План ФХД трансп. стоков'!_Pi3</definedName>
    <definedName name="тарифы_2" localSheetId="76">'Расчет товарной выручки 2018'!_Pi3</definedName>
    <definedName name="тарифы_2" localSheetId="25">'Расчет товарной выручки 2019'!_Pi3</definedName>
    <definedName name="тарифы_2" localSheetId="20">'Расчет товарной выручки 2021'!_Pi3</definedName>
    <definedName name="тарифы_2" localSheetId="77">'рез к 2017-2023'!_Pi3</definedName>
    <definedName name="тарифы_2" localSheetId="74">'рез к 2018-2024 (кор) '!_Pi3</definedName>
    <definedName name="тарифы_2" localSheetId="13">'Текущий ремонт'!_Pi3</definedName>
    <definedName name="тарифы_2" localSheetId="23">'ФАКТ.СЕБЕСТ.ВОДА 9 мес. 2021'!_Pi3</definedName>
    <definedName name="тарифы_2" localSheetId="21">'ФАКТ.СЕБЕСТ.СТОКИ 9 мес. 2021'!_Pi3</definedName>
    <definedName name="тарифы_2" localSheetId="14">'Чистая прибыль с транспортир.'!_Pi3</definedName>
    <definedName name="тарифы_2">[0]!_Pi3</definedName>
    <definedName name="тир" localSheetId="75">'[8]распределение январь по бухг.'!#REF!</definedName>
    <definedName name="тир" localSheetId="59">'[9]распределение январь по бухг.'!#REF!</definedName>
    <definedName name="тир" localSheetId="50">'[10]распределение январь по бухг.'!#REF!</definedName>
    <definedName name="тир" localSheetId="32">'[10]распределение январь по бухг.'!#REF!</definedName>
    <definedName name="тир" localSheetId="24">'[10]распределение январь по бухг.'!#REF!</definedName>
    <definedName name="тир" localSheetId="22">'[10]распределение январь по бухг.'!#REF!</definedName>
    <definedName name="тир" localSheetId="19">'[10]распределение январь по бухг.'!#REF!</definedName>
    <definedName name="тир" localSheetId="15">'[10]распределение январь по бухг.'!#REF!</definedName>
    <definedName name="тир" localSheetId="18">'[10]распределение январь по бухг.'!#REF!</definedName>
    <definedName name="тир" localSheetId="17">'[10]распределение январь по бухг.'!#REF!</definedName>
    <definedName name="тир" localSheetId="16">'[10]распределение январь по бухг.'!#REF!</definedName>
    <definedName name="тир" localSheetId="76">'[9]распределение январь по бухг.'!#REF!</definedName>
    <definedName name="тир" localSheetId="25">'[10]распределение январь по бухг.'!#REF!</definedName>
    <definedName name="тир" localSheetId="20">'[9]распределение январь по бухг.'!#REF!</definedName>
    <definedName name="тир" localSheetId="77">'[9]распределение январь по бухг.'!#REF!</definedName>
    <definedName name="тир" localSheetId="74">'[9]распределение январь по бухг.'!#REF!</definedName>
    <definedName name="тир" localSheetId="31">'[10]распределение январь по бухг.'!#REF!</definedName>
    <definedName name="тир" localSheetId="13">'[10]распределение январь по бухг.'!#REF!</definedName>
    <definedName name="тир" localSheetId="30">'[10]распределение январь по бухг.'!#REF!</definedName>
    <definedName name="тир" localSheetId="23">'[10]распределение январь по бухг.'!#REF!</definedName>
    <definedName name="тир" localSheetId="21">'[10]распределение январь по бухг.'!#REF!</definedName>
    <definedName name="тир" localSheetId="14">'[10]распределение январь по бухг.'!#REF!</definedName>
    <definedName name="тир" localSheetId="36">'[10]распределение январь по бухг.'!#REF!</definedName>
    <definedName name="тир">'[10]распределение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[19]Нормат!$J$23</definedName>
    <definedName name="тпп" localSheetId="75">#REF!</definedName>
    <definedName name="тпп" localSheetId="59">#REF!</definedName>
    <definedName name="тпп" localSheetId="50">#REF!</definedName>
    <definedName name="тпп" localSheetId="32">#REF!</definedName>
    <definedName name="тпп" localSheetId="15">#REF!</definedName>
    <definedName name="тпп" localSheetId="17">#REF!</definedName>
    <definedName name="тпп" localSheetId="16">#REF!</definedName>
    <definedName name="тпп" localSheetId="76">#REF!</definedName>
    <definedName name="тпп" localSheetId="25">#REF!</definedName>
    <definedName name="тпп" localSheetId="20">#REF!</definedName>
    <definedName name="тпп" localSheetId="77">#REF!</definedName>
    <definedName name="тпп" localSheetId="74">#REF!</definedName>
    <definedName name="тпп" localSheetId="31">#REF!</definedName>
    <definedName name="тпп" localSheetId="30">#REF!</definedName>
    <definedName name="тпп" localSheetId="14">#REF!</definedName>
    <definedName name="тпп" localSheetId="36">#REF!</definedName>
    <definedName name="тпп">#REF!</definedName>
    <definedName name="тпп_1" localSheetId="75">#REF!</definedName>
    <definedName name="тпп_1" localSheetId="59">#REF!</definedName>
    <definedName name="тпп_1" localSheetId="50">#REF!</definedName>
    <definedName name="тпп_1" localSheetId="32">#REF!</definedName>
    <definedName name="тпп_1" localSheetId="15">#REF!</definedName>
    <definedName name="тпп_1" localSheetId="17">#REF!</definedName>
    <definedName name="тпп_1" localSheetId="16">#REF!</definedName>
    <definedName name="тпп_1" localSheetId="76">#REF!</definedName>
    <definedName name="тпп_1" localSheetId="25">#REF!</definedName>
    <definedName name="тпп_1" localSheetId="20">#REF!</definedName>
    <definedName name="тпп_1" localSheetId="77">#REF!</definedName>
    <definedName name="тпп_1" localSheetId="74">#REF!</definedName>
    <definedName name="тпп_1" localSheetId="31">#REF!</definedName>
    <definedName name="тпп_1" localSheetId="30">#REF!</definedName>
    <definedName name="тпп_1" localSheetId="14">#REF!</definedName>
    <definedName name="тпп_1" localSheetId="36">#REF!</definedName>
    <definedName name="тпп_1">#REF!</definedName>
    <definedName name="тпп_13" localSheetId="75">#REF!</definedName>
    <definedName name="тпп_13" localSheetId="59">#REF!</definedName>
    <definedName name="тпп_13" localSheetId="50">#REF!</definedName>
    <definedName name="тпп_13" localSheetId="32">#REF!</definedName>
    <definedName name="тпп_13" localSheetId="15">#REF!</definedName>
    <definedName name="тпп_13" localSheetId="17">#REF!</definedName>
    <definedName name="тпп_13" localSheetId="16">#REF!</definedName>
    <definedName name="тпп_13" localSheetId="76">#REF!</definedName>
    <definedName name="тпп_13" localSheetId="25">#REF!</definedName>
    <definedName name="тпп_13" localSheetId="20">#REF!</definedName>
    <definedName name="тпп_13" localSheetId="77">#REF!</definedName>
    <definedName name="тпп_13" localSheetId="74">#REF!</definedName>
    <definedName name="тпп_13" localSheetId="31">#REF!</definedName>
    <definedName name="тпп_13" localSheetId="30">#REF!</definedName>
    <definedName name="тпп_13" localSheetId="14">#REF!</definedName>
    <definedName name="тпп_13" localSheetId="36">#REF!</definedName>
    <definedName name="тпп_13">#REF!</definedName>
    <definedName name="тпп_2" localSheetId="75">#REF!</definedName>
    <definedName name="тпп_2" localSheetId="59">#REF!</definedName>
    <definedName name="тпп_2" localSheetId="32">#REF!</definedName>
    <definedName name="тпп_2" localSheetId="15">#REF!</definedName>
    <definedName name="тпп_2" localSheetId="17">#REF!</definedName>
    <definedName name="тпп_2" localSheetId="16">#REF!</definedName>
    <definedName name="тпп_2" localSheetId="76">#REF!</definedName>
    <definedName name="тпп_2" localSheetId="25">#REF!</definedName>
    <definedName name="тпп_2" localSheetId="20">#REF!</definedName>
    <definedName name="тпп_2" localSheetId="77">#REF!</definedName>
    <definedName name="тпп_2" localSheetId="74">#REF!</definedName>
    <definedName name="тпп_2" localSheetId="31">#REF!</definedName>
    <definedName name="тпп_2" localSheetId="30">#REF!</definedName>
    <definedName name="тпп_2" localSheetId="14">#REF!</definedName>
    <definedName name="тпп_2" localSheetId="36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75">'А 2018'!ц</definedName>
    <definedName name="ц" localSheetId="59">#N/A</definedName>
    <definedName name="ц" localSheetId="50">'ЗП с факт 3 кв. 2015'!ц</definedName>
    <definedName name="ц" localSheetId="24">#N/A</definedName>
    <definedName name="ц" localSheetId="22">#N/A</definedName>
    <definedName name="ц" localSheetId="19">#N/A</definedName>
    <definedName name="ц" localSheetId="15">#N/A</definedName>
    <definedName name="ц" localSheetId="18">#N/A</definedName>
    <definedName name="ц" localSheetId="17">#N/A</definedName>
    <definedName name="ц" localSheetId="16">#N/A</definedName>
    <definedName name="ц" localSheetId="76">#N/A</definedName>
    <definedName name="ц" localSheetId="25">#N/A</definedName>
    <definedName name="ц" localSheetId="20">#N/A</definedName>
    <definedName name="ц" localSheetId="77">'рез к 2017-2023'!ц</definedName>
    <definedName name="ц" localSheetId="74">'рез к 2018-2024 (кор) '!ц</definedName>
    <definedName name="ц" localSheetId="13">#N/A</definedName>
    <definedName name="ц" localSheetId="23">#N/A</definedName>
    <definedName name="ц" localSheetId="21">#N/A</definedName>
    <definedName name="ц" localSheetId="14">#N/A</definedName>
    <definedName name="ц">ц</definedName>
    <definedName name="ц_10" localSheetId="75">'А 2018'!ц</definedName>
    <definedName name="ц_10" localSheetId="59">'выпадающие расходы'!ц</definedName>
    <definedName name="ц_10" localSheetId="50">'ЗП с факт 3 кв. 2015'!ц</definedName>
    <definedName name="ц_10" localSheetId="24">'ПОЛНАЯ СЕБЕСТОИМОСТЬ ВОДА 2021'!ц</definedName>
    <definedName name="ц_10" localSheetId="22">'ПОЛНАЯ СЕБЕСТОИМОСТЬ СТОКИ 2021'!ц</definedName>
    <definedName name="ц_10" localSheetId="19">'Прил. 1 План ФХД вода '!ц</definedName>
    <definedName name="ц_10" localSheetId="15">'Прил. 1 План ФХД с транспортир.'!ц</definedName>
    <definedName name="ц_10" localSheetId="18">'Прил. 1 План ФХД стоки'!ц</definedName>
    <definedName name="ц_10" localSheetId="17">'Прил. 1 План ФХД трансп. воды'!ц</definedName>
    <definedName name="ц_10" localSheetId="16">'Прил. 1 План ФХД трансп. стоков'!ц</definedName>
    <definedName name="ц_10" localSheetId="76">'Расчет товарной выручки 2018'!ц</definedName>
    <definedName name="ц_10" localSheetId="25">'Расчет товарной выручки 2019'!ц</definedName>
    <definedName name="ц_10" localSheetId="20">'Расчет товарной выручки 2021'!ц</definedName>
    <definedName name="ц_10" localSheetId="77">'рез к 2017-2023'!ц</definedName>
    <definedName name="ц_10" localSheetId="74">'рез к 2018-2024 (кор) '!ц</definedName>
    <definedName name="ц_10" localSheetId="13">'Текущий ремонт'!ц</definedName>
    <definedName name="ц_10" localSheetId="23">'ФАКТ.СЕБЕСТ.ВОДА 9 мес. 2021'!ц</definedName>
    <definedName name="ц_10" localSheetId="21">'ФАКТ.СЕБЕСТ.СТОКИ 9 мес. 2021'!ц</definedName>
    <definedName name="ц_10" localSheetId="14">'Чистая прибыль с транспортир.'!ц</definedName>
    <definedName name="ц_10">[0]!ц</definedName>
    <definedName name="ц_14" localSheetId="75">'А 2018'!ц</definedName>
    <definedName name="ц_14" localSheetId="59">'выпадающие расходы'!ц</definedName>
    <definedName name="ц_14" localSheetId="50">'ЗП с факт 3 кв. 2015'!ц</definedName>
    <definedName name="ц_14" localSheetId="24">'ПОЛНАЯ СЕБЕСТОИМОСТЬ ВОДА 2021'!ц</definedName>
    <definedName name="ц_14" localSheetId="22">'ПОЛНАЯ СЕБЕСТОИМОСТЬ СТОКИ 2021'!ц</definedName>
    <definedName name="ц_14" localSheetId="19">'Прил. 1 План ФХД вода '!ц</definedName>
    <definedName name="ц_14" localSheetId="15">'Прил. 1 План ФХД с транспортир.'!ц</definedName>
    <definedName name="ц_14" localSheetId="18">'Прил. 1 План ФХД стоки'!ц</definedName>
    <definedName name="ц_14" localSheetId="17">'Прил. 1 План ФХД трансп. воды'!ц</definedName>
    <definedName name="ц_14" localSheetId="16">'Прил. 1 План ФХД трансп. стоков'!ц</definedName>
    <definedName name="ц_14" localSheetId="76">'Расчет товарной выручки 2018'!ц</definedName>
    <definedName name="ц_14" localSheetId="25">'Расчет товарной выручки 2019'!ц</definedName>
    <definedName name="ц_14" localSheetId="20">'Расчет товарной выручки 2021'!ц</definedName>
    <definedName name="ц_14" localSheetId="77">'рез к 2017-2023'!ц</definedName>
    <definedName name="ц_14" localSheetId="74">'рез к 2018-2024 (кор) '!ц</definedName>
    <definedName name="ц_14" localSheetId="13">'Текущий ремонт'!ц</definedName>
    <definedName name="ц_14" localSheetId="23">'ФАКТ.СЕБЕСТ.ВОДА 9 мес. 2021'!ц</definedName>
    <definedName name="ц_14" localSheetId="21">'ФАКТ.СЕБЕСТ.СТОКИ 9 мес. 2021'!ц</definedName>
    <definedName name="ц_14" localSheetId="14">'Чистая прибыль с транспортир.'!ц</definedName>
    <definedName name="ц_14">[0]!ц</definedName>
    <definedName name="ц_15" localSheetId="75">'А 2018'!ц</definedName>
    <definedName name="ц_15" localSheetId="59">'выпадающие расходы'!ц</definedName>
    <definedName name="ц_15" localSheetId="50">'ЗП с факт 3 кв. 2015'!ц</definedName>
    <definedName name="ц_15" localSheetId="24">'ПОЛНАЯ СЕБЕСТОИМОСТЬ ВОДА 2021'!ц</definedName>
    <definedName name="ц_15" localSheetId="22">'ПОЛНАЯ СЕБЕСТОИМОСТЬ СТОКИ 2021'!ц</definedName>
    <definedName name="ц_15" localSheetId="19">'Прил. 1 План ФХД вода '!ц</definedName>
    <definedName name="ц_15" localSheetId="15">'Прил. 1 План ФХД с транспортир.'!ц</definedName>
    <definedName name="ц_15" localSheetId="18">'Прил. 1 План ФХД стоки'!ц</definedName>
    <definedName name="ц_15" localSheetId="17">'Прил. 1 План ФХД трансп. воды'!ц</definedName>
    <definedName name="ц_15" localSheetId="16">'Прил. 1 План ФХД трансп. стоков'!ц</definedName>
    <definedName name="ц_15" localSheetId="76">'Расчет товарной выручки 2018'!ц</definedName>
    <definedName name="ц_15" localSheetId="25">'Расчет товарной выручки 2019'!ц</definedName>
    <definedName name="ц_15" localSheetId="20">'Расчет товарной выручки 2021'!ц</definedName>
    <definedName name="ц_15" localSheetId="77">'рез к 2017-2023'!ц</definedName>
    <definedName name="ц_15" localSheetId="74">'рез к 2018-2024 (кор) '!ц</definedName>
    <definedName name="ц_15" localSheetId="13">'Текущий ремонт'!ц</definedName>
    <definedName name="ц_15" localSheetId="23">'ФАКТ.СЕБЕСТ.ВОДА 9 мес. 2021'!ц</definedName>
    <definedName name="ц_15" localSheetId="21">'ФАКТ.СЕБЕСТ.СТОКИ 9 мес. 2021'!ц</definedName>
    <definedName name="ц_15" localSheetId="14">'Чистая прибыль с транспортир.'!ц</definedName>
    <definedName name="ц_15">[0]!ц</definedName>
    <definedName name="ц_16" localSheetId="75">'А 2018'!ц</definedName>
    <definedName name="ц_16" localSheetId="59">'выпадающие расходы'!ц</definedName>
    <definedName name="ц_16" localSheetId="50">'ЗП с факт 3 кв. 2015'!ц</definedName>
    <definedName name="ц_16" localSheetId="24">'ПОЛНАЯ СЕБЕСТОИМОСТЬ ВОДА 2021'!ц</definedName>
    <definedName name="ц_16" localSheetId="22">'ПОЛНАЯ СЕБЕСТОИМОСТЬ СТОКИ 2021'!ц</definedName>
    <definedName name="ц_16" localSheetId="19">'Прил. 1 План ФХД вода '!ц</definedName>
    <definedName name="ц_16" localSheetId="15">'Прил. 1 План ФХД с транспортир.'!ц</definedName>
    <definedName name="ц_16" localSheetId="18">'Прил. 1 План ФХД стоки'!ц</definedName>
    <definedName name="ц_16" localSheetId="17">'Прил. 1 План ФХД трансп. воды'!ц</definedName>
    <definedName name="ц_16" localSheetId="16">'Прил. 1 План ФХД трансп. стоков'!ц</definedName>
    <definedName name="ц_16" localSheetId="76">'Расчет товарной выручки 2018'!ц</definedName>
    <definedName name="ц_16" localSheetId="25">'Расчет товарной выручки 2019'!ц</definedName>
    <definedName name="ц_16" localSheetId="20">'Расчет товарной выручки 2021'!ц</definedName>
    <definedName name="ц_16" localSheetId="77">'рез к 2017-2023'!ц</definedName>
    <definedName name="ц_16" localSheetId="74">'рез к 2018-2024 (кор) '!ц</definedName>
    <definedName name="ц_16" localSheetId="13">'Текущий ремонт'!ц</definedName>
    <definedName name="ц_16" localSheetId="23">'ФАКТ.СЕБЕСТ.ВОДА 9 мес. 2021'!ц</definedName>
    <definedName name="ц_16" localSheetId="21">'ФАКТ.СЕБЕСТ.СТОКИ 9 мес. 2021'!ц</definedName>
    <definedName name="ц_16" localSheetId="14">'Чистая прибыль с транспортир.'!ц</definedName>
    <definedName name="ц_16">[0]!ц</definedName>
    <definedName name="ц_2" localSheetId="75">'А 2018'!ц</definedName>
    <definedName name="ц_2" localSheetId="59">'выпадающие расходы'!ц</definedName>
    <definedName name="ц_2" localSheetId="50">'ЗП с факт 3 кв. 2015'!ц</definedName>
    <definedName name="ц_2" localSheetId="24">'ПОЛНАЯ СЕБЕСТОИМОСТЬ ВОДА 2021'!ц</definedName>
    <definedName name="ц_2" localSheetId="22">'ПОЛНАЯ СЕБЕСТОИМОСТЬ СТОКИ 2021'!ц</definedName>
    <definedName name="ц_2" localSheetId="19">'Прил. 1 План ФХД вода '!ц</definedName>
    <definedName name="ц_2" localSheetId="15">'Прил. 1 План ФХД с транспортир.'!ц</definedName>
    <definedName name="ц_2" localSheetId="18">'Прил. 1 План ФХД стоки'!ц</definedName>
    <definedName name="ц_2" localSheetId="17">'Прил. 1 План ФХД трансп. воды'!ц</definedName>
    <definedName name="ц_2" localSheetId="16">'Прил. 1 План ФХД трансп. стоков'!ц</definedName>
    <definedName name="ц_2" localSheetId="76">'Расчет товарной выручки 2018'!ц</definedName>
    <definedName name="ц_2" localSheetId="25">'Расчет товарной выручки 2019'!ц</definedName>
    <definedName name="ц_2" localSheetId="20">'Расчет товарной выручки 2021'!ц</definedName>
    <definedName name="ц_2" localSheetId="77">'рез к 2017-2023'!ц</definedName>
    <definedName name="ц_2" localSheetId="74">'рез к 2018-2024 (кор) '!ц</definedName>
    <definedName name="ц_2" localSheetId="13">'Текущий ремонт'!ц</definedName>
    <definedName name="ц_2" localSheetId="23">'ФАКТ.СЕБЕСТ.ВОДА 9 мес. 2021'!ц</definedName>
    <definedName name="ц_2" localSheetId="21">'ФАКТ.СЕБЕСТ.СТОКИ 9 мес. 2021'!ц</definedName>
    <definedName name="ц_2" localSheetId="14">'Чистая прибыль с транспортир.'!ц</definedName>
    <definedName name="ц_2">[0]!ц</definedName>
    <definedName name="цу" localSheetId="59">#REF!</definedName>
    <definedName name="цу" localSheetId="19">#REF!</definedName>
    <definedName name="цу" localSheetId="15">#REF!</definedName>
    <definedName name="цу" localSheetId="18">#REF!</definedName>
    <definedName name="цу" localSheetId="17">#REF!</definedName>
    <definedName name="цу" localSheetId="16">#REF!</definedName>
    <definedName name="цу" localSheetId="76">#REF!</definedName>
    <definedName name="цу" localSheetId="25">#REF!</definedName>
    <definedName name="цу" localSheetId="20">#REF!</definedName>
    <definedName name="цу" localSheetId="77">#REF!</definedName>
    <definedName name="цу" localSheetId="74">#REF!</definedName>
    <definedName name="цу" localSheetId="13">#REF!</definedName>
    <definedName name="цу" localSheetId="14">#REF!</definedName>
    <definedName name="цу">#REF!</definedName>
    <definedName name="чсваакеппрроо">#N/A</definedName>
    <definedName name="чяыйфцуккееенен" localSheetId="75">[11]Прибыль1!#REF!</definedName>
    <definedName name="чяыйфцуккееенен" localSheetId="59">[12]Прибыль1!#REF!</definedName>
    <definedName name="чяыйфцуккееенен" localSheetId="50">[13]Прибыль1!#REF!</definedName>
    <definedName name="чяыйфцуккееенен" localSheetId="32">[13]Прибыль1!#REF!</definedName>
    <definedName name="чяыйфцуккееенен" localSheetId="24">[13]Прибыль1!#REF!</definedName>
    <definedName name="чяыйфцуккееенен" localSheetId="22">[13]Прибыль1!#REF!</definedName>
    <definedName name="чяыйфцуккееенен" localSheetId="19">[13]Прибыль1!#REF!</definedName>
    <definedName name="чяыйфцуккееенен" localSheetId="15">[13]Прибыль1!#REF!</definedName>
    <definedName name="чяыйфцуккееенен" localSheetId="18">[13]Прибыль1!#REF!</definedName>
    <definedName name="чяыйфцуккееенен" localSheetId="17">[13]Прибыль1!#REF!</definedName>
    <definedName name="чяыйфцуккееенен" localSheetId="16">[13]Прибыль1!#REF!</definedName>
    <definedName name="чяыйфцуккееенен" localSheetId="76">[12]Прибыль1!#REF!</definedName>
    <definedName name="чяыйфцуккееенен" localSheetId="25">[13]Прибыль1!#REF!</definedName>
    <definedName name="чяыйфцуккееенен" localSheetId="20">[12]Прибыль1!#REF!</definedName>
    <definedName name="чяыйфцуккееенен" localSheetId="77">[12]Прибыль1!#REF!</definedName>
    <definedName name="чяыйфцуккееенен" localSheetId="74">[12]Прибыль1!#REF!</definedName>
    <definedName name="чяыйфцуккееенен" localSheetId="31">[13]Прибыль1!#REF!</definedName>
    <definedName name="чяыйфцуккееенен" localSheetId="13">[13]Прибыль1!#REF!</definedName>
    <definedName name="чяыйфцуккееенен" localSheetId="30">[13]Прибыль1!#REF!</definedName>
    <definedName name="чяыйфцуккееенен" localSheetId="23">[13]Прибыль1!#REF!</definedName>
    <definedName name="чяыйфцуккееенен" localSheetId="21">[13]Прибыль1!#REF!</definedName>
    <definedName name="чяыйфцуккееенен" localSheetId="14">[13]Прибыль1!#REF!</definedName>
    <definedName name="чяыйфцуккееенен" localSheetId="36">[13]Прибыль1!#REF!</definedName>
    <definedName name="чяыйфцуккееенен">[13]Прибыль1!#REF!</definedName>
    <definedName name="ш" localSheetId="75">'А 2018'!про</definedName>
    <definedName name="ш" localSheetId="59">'выпадающие расходы'!про</definedName>
    <definedName name="ш" localSheetId="50">'ЗП с факт 3 кв. 2015'!про</definedName>
    <definedName name="ш" localSheetId="24">'ПОЛНАЯ СЕБЕСТОИМОСТЬ ВОДА 2021'!про</definedName>
    <definedName name="ш" localSheetId="22">'ПОЛНАЯ СЕБЕСТОИМОСТЬ СТОКИ 2021'!про</definedName>
    <definedName name="ш" localSheetId="19">'Прил. 1 План ФХД вода '!про</definedName>
    <definedName name="ш" localSheetId="15">'Прил. 1 План ФХД с транспортир.'!про</definedName>
    <definedName name="ш" localSheetId="18">'Прил. 1 План ФХД стоки'!про</definedName>
    <definedName name="ш" localSheetId="17">'Прил. 1 План ФХД трансп. воды'!про</definedName>
    <definedName name="ш" localSheetId="16">'Прил. 1 План ФХД трансп. стоков'!про</definedName>
    <definedName name="ш" localSheetId="76">'Расчет товарной выручки 2018'!про</definedName>
    <definedName name="ш" localSheetId="25">'Расчет товарной выручки 2019'!про</definedName>
    <definedName name="ш" localSheetId="20">'Расчет товарной выручки 2021'!про</definedName>
    <definedName name="ш" localSheetId="77">'рез к 2017-2023'!про</definedName>
    <definedName name="ш" localSheetId="74">'рез к 2018-2024 (кор) '!про</definedName>
    <definedName name="ш" localSheetId="13">'Текущий ремонт'!про</definedName>
    <definedName name="ш" localSheetId="23">'ФАКТ.СЕБЕСТ.ВОДА 9 мес. 2021'!про</definedName>
    <definedName name="ш" localSheetId="21">'ФАКТ.СЕБЕСТ.СТОКИ 9 мес. 2021'!про</definedName>
    <definedName name="ш" localSheetId="14">'Чистая прибыль с транспортир.'!про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79021"/>
  <fileRecoveryPr autoRecover="0"/>
</workbook>
</file>

<file path=xl/calcChain.xml><?xml version="1.0" encoding="utf-8"?>
<calcChain xmlns="http://schemas.openxmlformats.org/spreadsheetml/2006/main">
  <c r="GC18" i="121" l="1"/>
  <c r="FJ23" i="123" l="1"/>
  <c r="BT85" i="122" l="1"/>
  <c r="BT45" i="122"/>
  <c r="BT66" i="122"/>
  <c r="BT25" i="122"/>
  <c r="BT60" i="122"/>
  <c r="BT97" i="122"/>
  <c r="BT110" i="120"/>
  <c r="BT90" i="120"/>
  <c r="BT58" i="120"/>
  <c r="BT126" i="120"/>
  <c r="BQ85" i="122" l="1"/>
  <c r="BQ45" i="122"/>
  <c r="BQ66" i="122"/>
  <c r="BQ55" i="122"/>
  <c r="BQ97" i="122"/>
  <c r="BQ110" i="120" l="1"/>
  <c r="BQ113" i="120"/>
  <c r="BQ111" i="120"/>
  <c r="BQ93" i="120"/>
  <c r="BQ90" i="120"/>
  <c r="BQ58" i="120"/>
  <c r="BQ76" i="120"/>
  <c r="BQ126" i="120" l="1"/>
  <c r="BQ97" i="120"/>
  <c r="AY85" i="122" l="1"/>
  <c r="AY45" i="122"/>
  <c r="AY66" i="122"/>
  <c r="AY56" i="122"/>
  <c r="AY110" i="120"/>
  <c r="AY113" i="120"/>
  <c r="AY100" i="120"/>
  <c r="AY90" i="120"/>
  <c r="AY97" i="120"/>
  <c r="AY126" i="120"/>
  <c r="AA45" i="122" l="1"/>
  <c r="AV140" i="120" l="1"/>
  <c r="AV81" i="120"/>
  <c r="AV126" i="120"/>
  <c r="AV85" i="122" l="1"/>
  <c r="AV97" i="122"/>
  <c r="AV45" i="122"/>
  <c r="AV66" i="122"/>
  <c r="AV39" i="122"/>
  <c r="AV97" i="120" l="1"/>
  <c r="AV121" i="120"/>
  <c r="AV136" i="120"/>
  <c r="AV95" i="120"/>
  <c r="AV88" i="120"/>
  <c r="AS110" i="120" l="1"/>
  <c r="AS91" i="122" l="1"/>
  <c r="AS85" i="122"/>
  <c r="AS66" i="122"/>
  <c r="AS76" i="120" l="1"/>
  <c r="AS87" i="120"/>
  <c r="AS136" i="120"/>
  <c r="AA56" i="122" l="1"/>
  <c r="AA85" i="122" l="1"/>
  <c r="AA66" i="122"/>
  <c r="AA110" i="120" l="1"/>
  <c r="AA95" i="120" l="1"/>
  <c r="AA80" i="120"/>
  <c r="AA126" i="120"/>
  <c r="X85" i="122" l="1"/>
  <c r="X76" i="122"/>
  <c r="X66" i="122"/>
  <c r="X25" i="122"/>
  <c r="X76" i="120" l="1"/>
  <c r="X96" i="120"/>
  <c r="X110" i="120"/>
  <c r="X100" i="120"/>
  <c r="X121" i="120"/>
  <c r="X90" i="120"/>
  <c r="X58" i="120"/>
  <c r="X126" i="120"/>
  <c r="V121" i="122" l="1"/>
  <c r="U85" i="122"/>
  <c r="U57" i="122"/>
  <c r="U66" i="122"/>
  <c r="U65" i="122" s="1"/>
  <c r="U110" i="120"/>
  <c r="U121" i="120"/>
  <c r="U120" i="120"/>
  <c r="U58" i="120"/>
  <c r="U90" i="120"/>
  <c r="U126" i="120"/>
  <c r="AG31" i="121"/>
  <c r="F121" i="122"/>
  <c r="L138" i="120"/>
  <c r="F107" i="122"/>
  <c r="F138" i="120"/>
  <c r="F155" i="120"/>
  <c r="L89" i="122"/>
  <c r="L71" i="122"/>
  <c r="L66" i="122"/>
  <c r="L56" i="122"/>
  <c r="L110" i="120"/>
  <c r="L121" i="120"/>
  <c r="L100" i="120"/>
  <c r="L74" i="120"/>
  <c r="L90" i="120"/>
  <c r="L58" i="120"/>
  <c r="L76" i="120"/>
  <c r="L126" i="120"/>
  <c r="I110" i="120"/>
  <c r="I151" i="120"/>
  <c r="I107" i="122"/>
  <c r="I87" i="122"/>
  <c r="I85" i="122"/>
  <c r="I78" i="122"/>
  <c r="I45" i="122"/>
  <c r="I66" i="122"/>
  <c r="I47" i="122"/>
  <c r="I27" i="122"/>
  <c r="I97" i="122"/>
  <c r="I99" i="122"/>
  <c r="I103" i="122"/>
  <c r="I51" i="122"/>
  <c r="J35" i="120"/>
  <c r="I134" i="120"/>
  <c r="I64" i="120"/>
  <c r="I35" i="120"/>
  <c r="I113" i="120"/>
  <c r="I121" i="120"/>
  <c r="I100" i="120"/>
  <c r="I104" i="120"/>
  <c r="I74" i="120"/>
  <c r="I90" i="120"/>
  <c r="I91" i="120"/>
  <c r="I58" i="120"/>
  <c r="I76" i="120"/>
  <c r="I60" i="120"/>
  <c r="I73" i="120"/>
  <c r="I132" i="120"/>
  <c r="I128" i="120"/>
  <c r="F87" i="122"/>
  <c r="F76" i="120"/>
  <c r="F88" i="120"/>
  <c r="F109" i="122"/>
  <c r="F85" i="122"/>
  <c r="F88" i="122"/>
  <c r="F76" i="122"/>
  <c r="F45" i="122"/>
  <c r="F66" i="122"/>
  <c r="F61" i="122"/>
  <c r="F97" i="122"/>
  <c r="F110" i="120"/>
  <c r="F113" i="120"/>
  <c r="F90" i="120"/>
  <c r="F58" i="120"/>
  <c r="F126" i="120"/>
  <c r="J52" i="123"/>
  <c r="I52" i="123"/>
  <c r="S52" i="123"/>
  <c r="R52" i="123"/>
  <c r="AB52" i="123"/>
  <c r="AA52" i="123"/>
  <c r="AW52" i="123"/>
  <c r="AV52" i="123"/>
  <c r="BF52" i="123"/>
  <c r="BE52" i="123"/>
  <c r="BO52" i="123"/>
  <c r="BN52" i="123"/>
  <c r="CV52" i="123"/>
  <c r="CU52" i="123"/>
  <c r="DE52" i="123"/>
  <c r="DD52" i="123"/>
  <c r="DN52" i="123"/>
  <c r="DM52" i="123"/>
  <c r="EU52" i="123"/>
  <c r="ET52" i="123"/>
  <c r="FD52" i="123"/>
  <c r="FC52" i="123"/>
  <c r="FL52" i="123"/>
  <c r="ES70" i="123"/>
  <c r="ES65" i="123"/>
  <c r="FT65" i="123" s="1"/>
  <c r="ES64" i="123"/>
  <c r="ES60" i="123"/>
  <c r="ES59" i="123"/>
  <c r="ES58" i="123"/>
  <c r="FT58" i="123" s="1"/>
  <c r="ES57" i="123"/>
  <c r="ES56" i="123"/>
  <c r="ES55" i="123"/>
  <c r="ES54" i="123"/>
  <c r="FT54" i="123" s="1"/>
  <c r="ES53" i="123"/>
  <c r="ES51" i="123"/>
  <c r="ES50" i="123"/>
  <c r="ES49" i="123"/>
  <c r="EU48" i="123"/>
  <c r="ET48" i="123"/>
  <c r="ES47" i="123"/>
  <c r="ES46" i="123"/>
  <c r="FT46" i="123" s="1"/>
  <c r="ES45" i="123"/>
  <c r="ES44" i="123"/>
  <c r="EU43" i="123"/>
  <c r="ET43" i="123"/>
  <c r="EU42" i="123"/>
  <c r="ET42" i="123"/>
  <c r="ES41" i="123"/>
  <c r="ES40" i="123"/>
  <c r="ES39" i="123"/>
  <c r="ES38" i="123"/>
  <c r="ES37" i="123"/>
  <c r="ES36" i="123"/>
  <c r="FT36" i="123" s="1"/>
  <c r="ES35" i="123"/>
  <c r="FB70" i="123"/>
  <c r="FB65" i="123"/>
  <c r="FB64" i="123"/>
  <c r="FT64" i="123" s="1"/>
  <c r="FB60" i="123"/>
  <c r="FB59" i="123"/>
  <c r="FB58" i="123"/>
  <c r="FB57" i="123"/>
  <c r="FB56" i="123"/>
  <c r="FB55" i="123"/>
  <c r="FB54" i="123"/>
  <c r="FB53" i="123"/>
  <c r="FB51" i="123"/>
  <c r="FB50" i="123"/>
  <c r="FB49" i="123"/>
  <c r="FD48" i="123"/>
  <c r="FC48" i="123"/>
  <c r="FB47" i="123"/>
  <c r="FB46" i="123"/>
  <c r="FB45" i="123"/>
  <c r="FB44" i="123"/>
  <c r="FD43" i="123"/>
  <c r="FC43" i="123"/>
  <c r="FD42" i="123"/>
  <c r="FC42" i="123"/>
  <c r="FB41" i="123"/>
  <c r="FB40" i="123"/>
  <c r="FB39" i="123"/>
  <c r="FB38" i="123"/>
  <c r="FB37" i="123"/>
  <c r="FB36" i="123"/>
  <c r="FB35" i="123"/>
  <c r="FK70" i="123"/>
  <c r="FK65" i="123"/>
  <c r="FK64" i="123"/>
  <c r="FK60" i="123"/>
  <c r="FT60" i="123" s="1"/>
  <c r="FK59" i="123"/>
  <c r="FK58" i="123"/>
  <c r="FK57" i="123"/>
  <c r="FK56" i="123"/>
  <c r="FK55" i="123"/>
  <c r="FK54" i="123"/>
  <c r="FK53" i="123"/>
  <c r="FM52" i="123"/>
  <c r="FK51" i="123"/>
  <c r="FK50" i="123"/>
  <c r="FK49" i="123"/>
  <c r="FM48" i="123"/>
  <c r="FL48" i="123"/>
  <c r="FK47" i="123"/>
  <c r="FK46" i="123"/>
  <c r="FK45" i="123"/>
  <c r="FK44" i="123"/>
  <c r="FM43" i="123"/>
  <c r="FL43" i="123"/>
  <c r="FM42" i="123"/>
  <c r="FL42" i="123"/>
  <c r="FK41" i="123"/>
  <c r="FK40" i="123"/>
  <c r="FK39" i="123"/>
  <c r="FK38" i="123"/>
  <c r="FK37" i="123"/>
  <c r="FK36" i="123"/>
  <c r="FK35" i="123"/>
  <c r="FK85" i="121"/>
  <c r="FK80" i="121"/>
  <c r="FK79" i="121"/>
  <c r="FK75" i="121"/>
  <c r="FT75" i="121" s="1"/>
  <c r="FK74" i="121"/>
  <c r="FK73" i="121"/>
  <c r="FK72" i="121"/>
  <c r="FK71" i="121"/>
  <c r="FT71" i="121" s="1"/>
  <c r="FK70" i="121"/>
  <c r="FK69" i="121"/>
  <c r="FK68" i="121"/>
  <c r="FM67" i="121"/>
  <c r="FL67" i="121"/>
  <c r="FK66" i="121"/>
  <c r="FK65" i="121"/>
  <c r="FK64" i="121"/>
  <c r="FT64" i="121" s="1"/>
  <c r="FK63" i="121"/>
  <c r="FK62" i="121"/>
  <c r="FM61" i="121"/>
  <c r="FL61" i="121"/>
  <c r="FK60" i="121"/>
  <c r="FK59" i="121"/>
  <c r="FK58" i="121"/>
  <c r="FK57" i="121"/>
  <c r="FT57" i="121" s="1"/>
  <c r="FM56" i="121"/>
  <c r="FL56" i="121"/>
  <c r="FM55" i="121"/>
  <c r="FL55" i="121"/>
  <c r="FK54" i="121"/>
  <c r="FK53" i="121"/>
  <c r="FK52" i="121"/>
  <c r="FK51" i="121"/>
  <c r="FT51" i="121" s="1"/>
  <c r="FK50" i="121"/>
  <c r="FK49" i="121"/>
  <c r="FK48" i="121"/>
  <c r="FK16" i="123"/>
  <c r="FK15" i="123"/>
  <c r="FK14" i="123"/>
  <c r="FL13" i="123"/>
  <c r="FK13" i="123" s="1"/>
  <c r="FK12" i="123"/>
  <c r="FT12" i="123" s="1"/>
  <c r="FK11" i="123"/>
  <c r="FK10" i="123"/>
  <c r="FM9" i="123"/>
  <c r="FM62" i="123" s="1"/>
  <c r="FL9" i="123"/>
  <c r="FK8" i="123"/>
  <c r="FK24" i="121"/>
  <c r="FK23" i="121"/>
  <c r="FM22" i="121"/>
  <c r="FL22" i="121"/>
  <c r="FK21" i="121"/>
  <c r="FK20" i="121"/>
  <c r="FK19" i="121"/>
  <c r="FT19" i="121" s="1"/>
  <c r="FM18" i="121"/>
  <c r="FL18" i="121"/>
  <c r="FK17" i="121"/>
  <c r="FK16" i="121"/>
  <c r="FT16" i="121" s="1"/>
  <c r="FK15" i="121"/>
  <c r="FM11" i="121"/>
  <c r="FL11" i="121"/>
  <c r="FM10" i="121"/>
  <c r="FL10" i="121"/>
  <c r="FK9" i="121"/>
  <c r="FK8" i="121"/>
  <c r="CT57" i="123"/>
  <c r="DU57" i="123" s="1"/>
  <c r="CT58" i="123"/>
  <c r="DM61" i="121"/>
  <c r="FB24" i="121"/>
  <c r="FB23" i="121"/>
  <c r="FT23" i="121" s="1"/>
  <c r="FT22" i="121" s="1"/>
  <c r="FD22" i="121"/>
  <c r="FC22" i="121"/>
  <c r="FB21" i="121"/>
  <c r="FB20" i="121"/>
  <c r="FT20" i="121" s="1"/>
  <c r="FB19" i="121"/>
  <c r="FD18" i="121"/>
  <c r="FC18" i="121"/>
  <c r="FB17" i="121"/>
  <c r="FT17" i="121" s="1"/>
  <c r="FB16" i="121"/>
  <c r="FB15" i="121"/>
  <c r="FD11" i="121"/>
  <c r="FC11" i="121"/>
  <c r="FD10" i="121"/>
  <c r="FC10" i="121"/>
  <c r="FB9" i="121"/>
  <c r="FB8" i="121"/>
  <c r="FT8" i="121" s="1"/>
  <c r="FT11" i="121" s="1"/>
  <c r="ES24" i="121"/>
  <c r="ES23" i="121"/>
  <c r="EU22" i="121"/>
  <c r="ET22" i="121"/>
  <c r="ES21" i="121"/>
  <c r="ES20" i="121"/>
  <c r="ES19" i="121"/>
  <c r="EU18" i="121"/>
  <c r="ET18" i="121"/>
  <c r="ES17" i="121"/>
  <c r="ES16" i="121"/>
  <c r="ES15" i="121"/>
  <c r="FT15" i="121" s="1"/>
  <c r="EU11" i="121"/>
  <c r="ET11" i="121"/>
  <c r="EU10" i="121"/>
  <c r="ET10" i="121"/>
  <c r="ES9" i="121"/>
  <c r="ES8" i="121"/>
  <c r="EQ8" i="121"/>
  <c r="ER8" i="121"/>
  <c r="EQ9" i="121"/>
  <c r="ER9" i="121"/>
  <c r="ER11" i="121" s="1"/>
  <c r="EQ15" i="121"/>
  <c r="ER15" i="121"/>
  <c r="EQ16" i="121"/>
  <c r="ER16" i="121"/>
  <c r="EQ17" i="121"/>
  <c r="ER17" i="121"/>
  <c r="EQ19" i="121"/>
  <c r="ER19" i="121"/>
  <c r="EQ20" i="121"/>
  <c r="ER20" i="121"/>
  <c r="EQ21" i="121"/>
  <c r="ER21" i="121"/>
  <c r="EQ23" i="121"/>
  <c r="ER23" i="121"/>
  <c r="EQ24" i="121"/>
  <c r="ER24" i="121"/>
  <c r="DL24" i="121"/>
  <c r="DU24" i="121" s="1"/>
  <c r="DL23" i="121"/>
  <c r="DN22" i="121"/>
  <c r="DM22" i="121"/>
  <c r="DL21" i="121"/>
  <c r="DU21" i="121" s="1"/>
  <c r="DL20" i="121"/>
  <c r="DL19" i="121"/>
  <c r="DN18" i="121"/>
  <c r="DN14" i="121" s="1"/>
  <c r="DM18" i="121"/>
  <c r="DL17" i="121"/>
  <c r="DL16" i="121"/>
  <c r="DL15" i="121"/>
  <c r="DN11" i="121"/>
  <c r="DM11" i="121"/>
  <c r="DN10" i="121"/>
  <c r="DM10" i="121"/>
  <c r="DL9" i="121"/>
  <c r="DU9" i="121" s="1"/>
  <c r="DL8" i="121"/>
  <c r="DC24" i="121"/>
  <c r="DC23" i="121"/>
  <c r="DE22" i="121"/>
  <c r="DE14" i="121" s="1"/>
  <c r="DD22" i="121"/>
  <c r="DC21" i="121"/>
  <c r="DC20" i="121"/>
  <c r="DD19" i="121"/>
  <c r="DE18" i="121"/>
  <c r="DC17" i="121"/>
  <c r="DC16" i="121"/>
  <c r="DC15" i="121"/>
  <c r="DE11" i="121"/>
  <c r="DD11" i="121"/>
  <c r="DE10" i="121"/>
  <c r="DD10" i="121"/>
  <c r="DC9" i="121"/>
  <c r="DC8" i="121"/>
  <c r="CT24" i="121"/>
  <c r="CT23" i="121"/>
  <c r="CV22" i="121"/>
  <c r="CU22" i="121"/>
  <c r="CU14" i="121" s="1"/>
  <c r="CT21" i="121"/>
  <c r="CT20" i="121"/>
  <c r="CT19" i="121"/>
  <c r="CV18" i="121"/>
  <c r="CU18" i="121"/>
  <c r="CT17" i="121"/>
  <c r="CT16" i="121"/>
  <c r="CT15" i="121"/>
  <c r="CV11" i="121"/>
  <c r="CU11" i="121"/>
  <c r="CV10" i="121"/>
  <c r="CU10" i="121"/>
  <c r="CT9" i="121"/>
  <c r="CT8" i="121"/>
  <c r="BM24" i="121"/>
  <c r="BM23" i="121"/>
  <c r="BO22" i="121"/>
  <c r="BN22" i="121"/>
  <c r="BN14" i="121" s="1"/>
  <c r="BM21" i="121"/>
  <c r="BM20" i="121"/>
  <c r="BM19" i="121"/>
  <c r="BO18" i="121"/>
  <c r="BN18" i="121"/>
  <c r="BM17" i="121"/>
  <c r="BM16" i="121"/>
  <c r="BM15" i="121"/>
  <c r="BO11" i="121"/>
  <c r="BN11" i="121"/>
  <c r="BO10" i="121"/>
  <c r="BN10" i="121"/>
  <c r="BM9" i="121"/>
  <c r="BM8" i="121"/>
  <c r="BD24" i="121"/>
  <c r="BD23" i="121"/>
  <c r="BF22" i="121"/>
  <c r="BE22" i="121"/>
  <c r="BD21" i="121"/>
  <c r="BD20" i="121"/>
  <c r="BD19" i="121"/>
  <c r="BF18" i="121"/>
  <c r="BE18" i="121"/>
  <c r="BD17" i="121"/>
  <c r="BD16" i="121"/>
  <c r="BD15" i="121"/>
  <c r="BE14" i="121"/>
  <c r="BF11" i="121"/>
  <c r="BE11" i="121"/>
  <c r="BF10" i="121"/>
  <c r="BE10" i="121"/>
  <c r="BD9" i="121"/>
  <c r="BD8" i="121"/>
  <c r="AU24" i="121"/>
  <c r="AU23" i="121"/>
  <c r="AW22" i="121"/>
  <c r="AW14" i="121" s="1"/>
  <c r="AV22" i="121"/>
  <c r="AV14" i="121" s="1"/>
  <c r="AU21" i="121"/>
  <c r="AU20" i="121"/>
  <c r="BV20" i="121" s="1"/>
  <c r="AU19" i="121"/>
  <c r="AW18" i="121"/>
  <c r="AV18" i="121"/>
  <c r="AU17" i="121"/>
  <c r="AU16" i="121"/>
  <c r="AU15" i="121"/>
  <c r="AW11" i="121"/>
  <c r="AV11" i="121"/>
  <c r="AV12" i="121" s="1"/>
  <c r="AV13" i="121" s="1"/>
  <c r="AW10" i="121"/>
  <c r="AV10" i="121"/>
  <c r="AU9" i="121"/>
  <c r="AU8" i="121"/>
  <c r="Z24" i="121"/>
  <c r="Z23" i="121"/>
  <c r="AB22" i="121"/>
  <c r="AA22" i="121"/>
  <c r="Z21" i="121"/>
  <c r="Z20" i="121"/>
  <c r="Z19" i="121"/>
  <c r="AB18" i="121"/>
  <c r="AA18" i="121"/>
  <c r="Z17" i="121"/>
  <c r="Z16" i="121"/>
  <c r="Z15" i="121"/>
  <c r="AB11" i="121"/>
  <c r="AA11" i="121"/>
  <c r="AB10" i="121"/>
  <c r="AA10" i="121"/>
  <c r="Z9" i="121"/>
  <c r="Z8" i="121"/>
  <c r="Q24" i="121"/>
  <c r="AI24" i="121" s="1"/>
  <c r="Q23" i="121"/>
  <c r="S22" i="121"/>
  <c r="R22" i="121"/>
  <c r="R14" i="121" s="1"/>
  <c r="Q21" i="121"/>
  <c r="AI21" i="121" s="1"/>
  <c r="Q20" i="121"/>
  <c r="Q19" i="121"/>
  <c r="S18" i="121"/>
  <c r="R18" i="121"/>
  <c r="Q17" i="121"/>
  <c r="Q16" i="121"/>
  <c r="Q15" i="121"/>
  <c r="S11" i="121"/>
  <c r="R11" i="121"/>
  <c r="R12" i="121" s="1"/>
  <c r="S10" i="121"/>
  <c r="R10" i="121"/>
  <c r="Q9" i="121"/>
  <c r="Q8" i="121"/>
  <c r="H24" i="121"/>
  <c r="H23" i="121"/>
  <c r="J22" i="121"/>
  <c r="I22" i="121"/>
  <c r="H21" i="121"/>
  <c r="H20" i="121"/>
  <c r="H19" i="121"/>
  <c r="J18" i="121"/>
  <c r="H18" i="121" s="1"/>
  <c r="I18" i="121"/>
  <c r="H17" i="121"/>
  <c r="H16" i="121"/>
  <c r="H15" i="121"/>
  <c r="J11" i="121"/>
  <c r="I11" i="121"/>
  <c r="J10" i="121"/>
  <c r="I10" i="121"/>
  <c r="H9" i="121"/>
  <c r="H10" i="121" s="1"/>
  <c r="H8" i="121"/>
  <c r="FB16" i="123"/>
  <c r="FB15" i="123"/>
  <c r="FT15" i="123" s="1"/>
  <c r="FB14" i="123"/>
  <c r="FC13" i="123"/>
  <c r="FB13" i="123" s="1"/>
  <c r="FB12" i="123"/>
  <c r="FB11" i="123"/>
  <c r="FT11" i="123" s="1"/>
  <c r="FB10" i="123"/>
  <c r="FD9" i="123"/>
  <c r="FC9" i="123"/>
  <c r="FC62" i="123" s="1"/>
  <c r="FB8" i="123"/>
  <c r="FT8" i="123" s="1"/>
  <c r="ES16" i="123"/>
  <c r="ES15" i="123"/>
  <c r="ES14" i="123"/>
  <c r="ET13" i="123"/>
  <c r="ES12" i="123"/>
  <c r="ES11" i="123"/>
  <c r="ES10" i="123"/>
  <c r="EU9" i="123"/>
  <c r="ET9" i="123"/>
  <c r="ES8" i="123"/>
  <c r="DL16" i="123"/>
  <c r="DL15" i="123"/>
  <c r="DU15" i="123" s="1"/>
  <c r="DL14" i="123"/>
  <c r="DM13" i="123"/>
  <c r="DL13" i="123" s="1"/>
  <c r="DL12" i="123"/>
  <c r="DL11" i="123"/>
  <c r="DL10" i="123"/>
  <c r="DN9" i="123"/>
  <c r="DM9" i="123"/>
  <c r="DL8" i="123"/>
  <c r="DC16" i="123"/>
  <c r="DC15" i="123"/>
  <c r="DD14" i="123"/>
  <c r="DC12" i="123"/>
  <c r="DC11" i="123"/>
  <c r="DC10" i="123"/>
  <c r="DE9" i="123"/>
  <c r="DD9" i="123"/>
  <c r="DC8" i="123"/>
  <c r="CT16" i="123"/>
  <c r="CT15" i="123"/>
  <c r="CT14" i="123"/>
  <c r="CU13" i="123"/>
  <c r="CT12" i="123"/>
  <c r="CT11" i="123"/>
  <c r="CT10" i="123"/>
  <c r="CV9" i="123"/>
  <c r="CU9" i="123"/>
  <c r="CT8" i="123"/>
  <c r="BM16" i="123"/>
  <c r="BM15" i="123"/>
  <c r="BM14" i="123"/>
  <c r="BN13" i="123"/>
  <c r="BM13" i="123" s="1"/>
  <c r="BM12" i="123"/>
  <c r="BM11" i="123"/>
  <c r="BM10" i="123"/>
  <c r="BO9" i="123"/>
  <c r="BN9" i="123"/>
  <c r="BM9" i="123" s="1"/>
  <c r="BM8" i="123"/>
  <c r="BD16" i="123"/>
  <c r="BD15" i="123"/>
  <c r="BD14" i="123"/>
  <c r="BE13" i="123"/>
  <c r="BD12" i="123"/>
  <c r="BD11" i="123"/>
  <c r="BD10" i="123"/>
  <c r="BF9" i="123"/>
  <c r="BE9" i="123"/>
  <c r="BD8" i="123"/>
  <c r="AU16" i="123"/>
  <c r="BV16" i="123" s="1"/>
  <c r="AU15" i="123"/>
  <c r="AU14" i="123"/>
  <c r="AV13" i="123"/>
  <c r="AU13" i="123" s="1"/>
  <c r="AU12" i="123"/>
  <c r="AU11" i="123"/>
  <c r="AU10" i="123"/>
  <c r="AW9" i="123"/>
  <c r="AV9" i="123"/>
  <c r="AU8" i="123"/>
  <c r="Z16" i="123"/>
  <c r="Z15" i="123"/>
  <c r="Z14" i="123"/>
  <c r="AI14" i="123" s="1"/>
  <c r="AA13" i="123"/>
  <c r="Z13" i="123" s="1"/>
  <c r="Z12" i="123"/>
  <c r="Z11" i="123"/>
  <c r="Z10" i="123"/>
  <c r="AB9" i="123"/>
  <c r="AA9" i="123"/>
  <c r="Z8" i="123"/>
  <c r="Q16" i="123"/>
  <c r="AI16" i="123" s="1"/>
  <c r="Q15" i="123"/>
  <c r="Q14" i="123"/>
  <c r="R13" i="123"/>
  <c r="Q13" i="123" s="1"/>
  <c r="Q12" i="123"/>
  <c r="Q11" i="123"/>
  <c r="Q10" i="123"/>
  <c r="S9" i="123"/>
  <c r="R9" i="123"/>
  <c r="Q8" i="123"/>
  <c r="H8" i="123"/>
  <c r="I9" i="123"/>
  <c r="J9" i="123"/>
  <c r="H9" i="123" s="1"/>
  <c r="H10" i="123"/>
  <c r="H11" i="123"/>
  <c r="H12" i="123"/>
  <c r="I13" i="123"/>
  <c r="H13" i="123" s="1"/>
  <c r="H14" i="123"/>
  <c r="H15" i="123"/>
  <c r="H16" i="123"/>
  <c r="DD18" i="121"/>
  <c r="DV18" i="121" s="1"/>
  <c r="DD14" i="121"/>
  <c r="C45" i="127"/>
  <c r="D45" i="127"/>
  <c r="H43" i="127"/>
  <c r="D43" i="127"/>
  <c r="E43" i="127" s="1"/>
  <c r="G43" i="127" s="1"/>
  <c r="H39" i="127"/>
  <c r="D39" i="127"/>
  <c r="E39" i="127" s="1"/>
  <c r="G39" i="127" s="1"/>
  <c r="I39" i="127" s="1"/>
  <c r="H31" i="127"/>
  <c r="K31" i="127" s="1"/>
  <c r="D31" i="127"/>
  <c r="E31" i="127" s="1"/>
  <c r="G31" i="127" s="1"/>
  <c r="E26" i="127"/>
  <c r="G26" i="127" s="1"/>
  <c r="I26" i="127" s="1"/>
  <c r="C34" i="133"/>
  <c r="D34" i="133" s="1"/>
  <c r="I32" i="133"/>
  <c r="C30" i="133"/>
  <c r="C29" i="133"/>
  <c r="H29" i="133"/>
  <c r="C28" i="133"/>
  <c r="D28" i="133" s="1"/>
  <c r="C26" i="133"/>
  <c r="F26" i="133" s="1"/>
  <c r="C25" i="133"/>
  <c r="C24" i="133"/>
  <c r="F24" i="133" s="1"/>
  <c r="C22" i="133"/>
  <c r="C21" i="133"/>
  <c r="C20" i="133"/>
  <c r="C19" i="133"/>
  <c r="F19" i="133" s="1"/>
  <c r="H16" i="133"/>
  <c r="D16" i="133"/>
  <c r="C11" i="133"/>
  <c r="H11" i="133" s="1"/>
  <c r="H14" i="133" s="1"/>
  <c r="H15" i="133" s="1"/>
  <c r="I31" i="133"/>
  <c r="D26" i="133"/>
  <c r="E26" i="133" s="1"/>
  <c r="F29" i="133"/>
  <c r="D30" i="133"/>
  <c r="E30" i="133" s="1"/>
  <c r="D29" i="133"/>
  <c r="E29" i="133" s="1"/>
  <c r="H20" i="132"/>
  <c r="D20" i="132"/>
  <c r="C12" i="132"/>
  <c r="I13" i="132"/>
  <c r="I14" i="132" s="1"/>
  <c r="I15" i="132"/>
  <c r="I37" i="132"/>
  <c r="C24" i="132"/>
  <c r="C25" i="132"/>
  <c r="F25" i="132" s="1"/>
  <c r="I26" i="132"/>
  <c r="C27" i="132"/>
  <c r="C29" i="132"/>
  <c r="H29" i="132" s="1"/>
  <c r="I30" i="132"/>
  <c r="C30" i="132" s="1"/>
  <c r="D30" i="132" s="1"/>
  <c r="E30" i="132" s="1"/>
  <c r="C31" i="132"/>
  <c r="F31" i="132" s="1"/>
  <c r="D31" i="132"/>
  <c r="E31" i="132" s="1"/>
  <c r="C33" i="132"/>
  <c r="F33" i="132" s="1"/>
  <c r="C34" i="132"/>
  <c r="H34" i="132" s="1"/>
  <c r="C35" i="132"/>
  <c r="K13" i="132"/>
  <c r="D34" i="132"/>
  <c r="D25" i="132"/>
  <c r="E25" i="132" s="1"/>
  <c r="H31" i="132"/>
  <c r="H24" i="132"/>
  <c r="H25" i="132"/>
  <c r="D29" i="132"/>
  <c r="F29" i="132"/>
  <c r="K34" i="132"/>
  <c r="K12" i="132"/>
  <c r="K25" i="132"/>
  <c r="G13" i="132"/>
  <c r="K35" i="132"/>
  <c r="K29" i="132"/>
  <c r="K15" i="132"/>
  <c r="K14" i="132"/>
  <c r="K37" i="132"/>
  <c r="K31" i="132"/>
  <c r="K30" i="132"/>
  <c r="K24" i="132"/>
  <c r="K27" i="132"/>
  <c r="K28" i="132"/>
  <c r="K26" i="132"/>
  <c r="K32" i="132"/>
  <c r="K18" i="132"/>
  <c r="K33" i="132"/>
  <c r="K36" i="132"/>
  <c r="K19" i="132"/>
  <c r="K38" i="132"/>
  <c r="K39" i="132"/>
  <c r="K40" i="132"/>
  <c r="K41" i="132"/>
  <c r="D79" i="121"/>
  <c r="D64" i="123"/>
  <c r="CO27" i="123"/>
  <c r="C27" i="123"/>
  <c r="CD120" i="122"/>
  <c r="CD119" i="122"/>
  <c r="CD118" i="122"/>
  <c r="CD116" i="122"/>
  <c r="CD115" i="122"/>
  <c r="CC104" i="122"/>
  <c r="CC105" i="122"/>
  <c r="CC110" i="122"/>
  <c r="CB110" i="122" s="1"/>
  <c r="CC109" i="122"/>
  <c r="CC107" i="122"/>
  <c r="CC103" i="122"/>
  <c r="CC102" i="122"/>
  <c r="CD101" i="122"/>
  <c r="CD98" i="122"/>
  <c r="CD97" i="122"/>
  <c r="CD96" i="122"/>
  <c r="D96" i="122" s="1"/>
  <c r="CC96" i="122"/>
  <c r="CD95" i="122"/>
  <c r="CC85" i="122"/>
  <c r="CC93" i="122"/>
  <c r="CC91" i="122"/>
  <c r="CC89" i="122"/>
  <c r="CC88" i="122"/>
  <c r="CC87" i="122"/>
  <c r="CB87" i="122" s="1"/>
  <c r="CC86" i="122"/>
  <c r="CC84" i="122"/>
  <c r="CD81" i="122"/>
  <c r="CD80" i="122"/>
  <c r="D80" i="122" s="1"/>
  <c r="CD77" i="122"/>
  <c r="CD76" i="122"/>
  <c r="CC71" i="122"/>
  <c r="CB71" i="122" s="1"/>
  <c r="CC69" i="122"/>
  <c r="CC72" i="122"/>
  <c r="CB72" i="122" s="1"/>
  <c r="CC66" i="122"/>
  <c r="CB66" i="122" s="1"/>
  <c r="CC61" i="122"/>
  <c r="CB61" i="122" s="1"/>
  <c r="CC57" i="122"/>
  <c r="CC74" i="122"/>
  <c r="CB74" i="122" s="1"/>
  <c r="CC73" i="122"/>
  <c r="CB73" i="122" s="1"/>
  <c r="CC68" i="122"/>
  <c r="CB68" i="122" s="1"/>
  <c r="CC67" i="122"/>
  <c r="CC64" i="122"/>
  <c r="CC63" i="122"/>
  <c r="CB63" i="122" s="1"/>
  <c r="CC62" i="122"/>
  <c r="CB62" i="122" s="1"/>
  <c r="CC58" i="122"/>
  <c r="CC54" i="122"/>
  <c r="CB54" i="122" s="1"/>
  <c r="CC53" i="122"/>
  <c r="CB53" i="122" s="1"/>
  <c r="CC52" i="122"/>
  <c r="CB52" i="122" s="1"/>
  <c r="CC51" i="122"/>
  <c r="CC50" i="122"/>
  <c r="CB50" i="122" s="1"/>
  <c r="CD49" i="122"/>
  <c r="CB64" i="122"/>
  <c r="CB60" i="122"/>
  <c r="CB59" i="122"/>
  <c r="CB56" i="122"/>
  <c r="CB55" i="122"/>
  <c r="CD45" i="122"/>
  <c r="D45" i="122" s="1"/>
  <c r="CD44" i="122"/>
  <c r="CD43" i="122"/>
  <c r="CD42" i="122"/>
  <c r="CC44" i="122"/>
  <c r="CC36" i="122"/>
  <c r="CC33" i="122"/>
  <c r="CC32" i="122"/>
  <c r="CC39" i="122"/>
  <c r="CC37" i="122"/>
  <c r="CD26" i="122"/>
  <c r="CD25" i="122"/>
  <c r="CD24" i="122"/>
  <c r="CD153" i="122" s="1"/>
  <c r="CD23" i="122"/>
  <c r="CD22" i="122"/>
  <c r="CC24" i="122"/>
  <c r="C79" i="121"/>
  <c r="BW60" i="7"/>
  <c r="BW148" i="7" s="1"/>
  <c r="X15" i="61" s="1"/>
  <c r="K15" i="61"/>
  <c r="H18" i="87"/>
  <c r="I18" i="87" s="1"/>
  <c r="P15" i="61" s="1"/>
  <c r="C26" i="119"/>
  <c r="C23" i="119" s="1"/>
  <c r="AX34" i="61" s="1"/>
  <c r="CO39" i="121"/>
  <c r="C39" i="121"/>
  <c r="CD150" i="120"/>
  <c r="CD154" i="120"/>
  <c r="D154" i="120" s="1"/>
  <c r="CD153" i="120"/>
  <c r="CD152" i="120"/>
  <c r="CD148" i="120"/>
  <c r="CD147" i="120"/>
  <c r="CD146" i="120"/>
  <c r="CC146" i="120"/>
  <c r="CC133" i="120"/>
  <c r="CC138" i="120"/>
  <c r="CB138" i="120" s="1"/>
  <c r="CC142" i="120"/>
  <c r="CB142" i="120" s="1"/>
  <c r="CC141" i="120"/>
  <c r="CB141" i="120" s="1"/>
  <c r="CC140" i="120"/>
  <c r="CC136" i="120"/>
  <c r="CB136" i="120" s="1"/>
  <c r="CC135" i="120"/>
  <c r="CB135" i="120" s="1"/>
  <c r="CC134" i="120"/>
  <c r="CB134" i="120" s="1"/>
  <c r="CD128" i="120"/>
  <c r="CD127" i="120"/>
  <c r="CD126" i="120"/>
  <c r="CD125" i="120"/>
  <c r="CD124" i="120"/>
  <c r="CB140" i="120"/>
  <c r="CB133" i="120"/>
  <c r="CC132" i="120"/>
  <c r="CB132" i="120" s="1"/>
  <c r="CC131" i="120"/>
  <c r="CB131" i="120" s="1"/>
  <c r="CD130" i="120"/>
  <c r="CC125" i="120"/>
  <c r="CC74" i="120"/>
  <c r="CC40" i="120"/>
  <c r="CB40" i="120" s="1"/>
  <c r="CC110" i="120"/>
  <c r="CB110" i="120" s="1"/>
  <c r="CC113" i="120"/>
  <c r="CB113" i="120" s="1"/>
  <c r="CC111" i="120"/>
  <c r="CC121" i="120"/>
  <c r="CB121" i="120" s="1"/>
  <c r="CC122" i="120"/>
  <c r="CB122" i="120" s="1"/>
  <c r="CC120" i="120"/>
  <c r="CB120" i="120" s="1"/>
  <c r="CC118" i="120"/>
  <c r="CB118" i="120" s="1"/>
  <c r="CC116" i="120"/>
  <c r="CB116" i="120" s="1"/>
  <c r="CC115" i="120"/>
  <c r="CC114" i="120"/>
  <c r="CB114" i="120" s="1"/>
  <c r="CC112" i="120"/>
  <c r="CB112" i="120" s="1"/>
  <c r="CC109" i="120"/>
  <c r="CB109" i="120" s="1"/>
  <c r="CD106" i="120"/>
  <c r="CB115" i="120"/>
  <c r="CB111" i="120"/>
  <c r="CD117" i="120"/>
  <c r="CD100" i="120"/>
  <c r="CD101" i="120"/>
  <c r="CD103" i="120"/>
  <c r="CD102" i="120"/>
  <c r="CC102" i="120"/>
  <c r="CC88" i="120"/>
  <c r="CC98" i="120"/>
  <c r="CC97" i="120"/>
  <c r="CC96" i="120"/>
  <c r="CC95" i="120"/>
  <c r="CC93" i="120"/>
  <c r="CC92" i="120"/>
  <c r="CC91" i="120"/>
  <c r="CC87" i="120"/>
  <c r="CC86" i="120"/>
  <c r="CC85" i="120"/>
  <c r="CC84" i="120"/>
  <c r="CC83" i="120"/>
  <c r="CC81" i="120"/>
  <c r="CC80" i="120"/>
  <c r="CC79" i="120"/>
  <c r="CC78" i="120"/>
  <c r="CC76" i="120"/>
  <c r="CC75" i="120"/>
  <c r="CC82" i="120"/>
  <c r="CC77" i="120"/>
  <c r="CC73" i="120"/>
  <c r="CC72" i="120"/>
  <c r="CB52" i="120"/>
  <c r="CB51" i="120"/>
  <c r="CB49" i="120"/>
  <c r="CB48" i="120"/>
  <c r="CB47" i="120"/>
  <c r="CB45" i="120"/>
  <c r="CB42" i="120"/>
  <c r="CC57" i="120"/>
  <c r="CC44" i="120"/>
  <c r="CB44" i="120" s="1"/>
  <c r="CC43" i="120"/>
  <c r="CB43" i="120" s="1"/>
  <c r="CC41" i="120"/>
  <c r="CB41" i="120" s="1"/>
  <c r="CD37" i="120"/>
  <c r="CD33" i="120"/>
  <c r="CD32" i="120"/>
  <c r="CD31" i="120"/>
  <c r="CC32" i="120"/>
  <c r="GA16" i="123"/>
  <c r="GA15" i="123"/>
  <c r="GA14" i="123"/>
  <c r="GA12" i="123"/>
  <c r="GA10" i="123"/>
  <c r="CD11" i="122"/>
  <c r="CC16" i="122"/>
  <c r="CC15" i="122"/>
  <c r="CC14" i="122"/>
  <c r="CC12" i="122"/>
  <c r="CC10" i="122"/>
  <c r="GB24" i="121"/>
  <c r="GB23" i="121"/>
  <c r="GB21" i="121"/>
  <c r="GB20" i="121"/>
  <c r="GB19" i="121"/>
  <c r="GB18" i="121"/>
  <c r="GB17" i="121"/>
  <c r="GB15" i="121"/>
  <c r="GB9" i="121"/>
  <c r="GA24" i="121"/>
  <c r="GA23" i="121"/>
  <c r="GA21" i="121"/>
  <c r="GA20" i="121"/>
  <c r="GA19" i="121"/>
  <c r="GA17" i="121"/>
  <c r="GA15" i="121"/>
  <c r="GA9" i="121"/>
  <c r="CD24" i="120"/>
  <c r="CD23" i="120"/>
  <c r="CD21" i="120"/>
  <c r="CD20" i="120"/>
  <c r="CD19" i="120"/>
  <c r="CD18" i="120"/>
  <c r="CD17" i="120"/>
  <c r="CC24" i="120"/>
  <c r="CC23" i="120"/>
  <c r="CC21" i="120"/>
  <c r="CC20" i="120"/>
  <c r="CC19" i="120"/>
  <c r="CC17" i="120"/>
  <c r="CD15" i="120"/>
  <c r="CC15" i="120"/>
  <c r="CD9" i="120"/>
  <c r="CC9" i="120"/>
  <c r="AN16" i="66"/>
  <c r="C33" i="119"/>
  <c r="K14" i="65"/>
  <c r="D10" i="103"/>
  <c r="D12" i="103" s="1"/>
  <c r="AB14" i="65" s="1"/>
  <c r="C10" i="103"/>
  <c r="C12" i="103" s="1"/>
  <c r="AP37" i="65"/>
  <c r="BF21" i="61"/>
  <c r="BF20" i="61"/>
  <c r="BF19" i="61"/>
  <c r="BE52" i="61"/>
  <c r="BE53" i="61" s="1"/>
  <c r="BE51" i="61"/>
  <c r="BE37" i="61"/>
  <c r="BE24" i="61"/>
  <c r="BE48" i="61"/>
  <c r="BF30" i="61"/>
  <c r="BF29" i="61"/>
  <c r="DA58" i="8"/>
  <c r="DA57" i="8" s="1"/>
  <c r="DA102" i="8"/>
  <c r="DB59" i="8"/>
  <c r="DB57" i="8" s="1"/>
  <c r="DB94" i="8"/>
  <c r="DA48" i="8"/>
  <c r="DA96" i="8" s="1"/>
  <c r="CV70" i="7"/>
  <c r="DB40" i="8"/>
  <c r="DB39" i="8" s="1"/>
  <c r="CD99" i="122" s="1"/>
  <c r="DB31" i="8"/>
  <c r="DB30" i="8" s="1"/>
  <c r="CD78" i="122" s="1"/>
  <c r="DB15" i="8"/>
  <c r="DB88" i="8"/>
  <c r="DB91" i="8"/>
  <c r="DB92" i="8"/>
  <c r="DB97" i="8"/>
  <c r="DB96" i="8"/>
  <c r="DB122" i="8" s="1"/>
  <c r="AN17" i="66" s="1"/>
  <c r="DB87" i="8"/>
  <c r="DB95" i="8"/>
  <c r="AT17" i="65" s="1"/>
  <c r="DB98" i="8"/>
  <c r="DB105" i="8"/>
  <c r="DB108" i="8"/>
  <c r="DA98" i="8"/>
  <c r="DA105" i="8"/>
  <c r="DA108" i="8"/>
  <c r="CZ108" i="8"/>
  <c r="CZ105" i="8"/>
  <c r="DB43" i="8"/>
  <c r="DB44" i="8"/>
  <c r="CD113" i="122" s="1"/>
  <c r="DB45" i="8"/>
  <c r="CD114" i="122" s="1"/>
  <c r="DA47" i="8"/>
  <c r="CZ11" i="8"/>
  <c r="CZ21" i="8"/>
  <c r="CZ47" i="8"/>
  <c r="CZ95" i="8" s="1"/>
  <c r="CZ50" i="8"/>
  <c r="CZ98" i="8" s="1"/>
  <c r="CZ36" i="8"/>
  <c r="AN32" i="64"/>
  <c r="AO30" i="64"/>
  <c r="AO29" i="64"/>
  <c r="AO27" i="64"/>
  <c r="AO26" i="64"/>
  <c r="AO25" i="64"/>
  <c r="AN17" i="64"/>
  <c r="AN18" i="64"/>
  <c r="AN21" i="64"/>
  <c r="AN24" i="64"/>
  <c r="AN20" i="64"/>
  <c r="AN19" i="64"/>
  <c r="CW70" i="7"/>
  <c r="CW69" i="7" s="1"/>
  <c r="CW13" i="7"/>
  <c r="CD34" i="120" s="1"/>
  <c r="CW53" i="7"/>
  <c r="CD144" i="120" s="1"/>
  <c r="CW173" i="7"/>
  <c r="CW174" i="7"/>
  <c r="CW156" i="7"/>
  <c r="CW159" i="7"/>
  <c r="CV156" i="7"/>
  <c r="CV159" i="7"/>
  <c r="CU156" i="7"/>
  <c r="CU159" i="7"/>
  <c r="CU153" i="7"/>
  <c r="CW138" i="7"/>
  <c r="CW139" i="7"/>
  <c r="CW142" i="7"/>
  <c r="CW143" i="7"/>
  <c r="CW146" i="7"/>
  <c r="CW147" i="7"/>
  <c r="CW148" i="7"/>
  <c r="CW171" i="7" s="1"/>
  <c r="CW149" i="7"/>
  <c r="CV149" i="7"/>
  <c r="CV61" i="7"/>
  <c r="BH16" i="19"/>
  <c r="BK16" i="19" s="1"/>
  <c r="AU17" i="19"/>
  <c r="BK17" i="19" s="1"/>
  <c r="AU18" i="19"/>
  <c r="BK18" i="19" s="1"/>
  <c r="AR19" i="19"/>
  <c r="AU19" i="19"/>
  <c r="BK21" i="19"/>
  <c r="AR23" i="19"/>
  <c r="BK23" i="19" s="1"/>
  <c r="AU24" i="19"/>
  <c r="BK24" i="19" s="1"/>
  <c r="AU26" i="19"/>
  <c r="BK26" i="19" s="1"/>
  <c r="AR27" i="19"/>
  <c r="AU27" i="19"/>
  <c r="BH30" i="19"/>
  <c r="BK30" i="19" s="1"/>
  <c r="AU31" i="19"/>
  <c r="BK31" i="19" s="1"/>
  <c r="AR33" i="19"/>
  <c r="BK33" i="19" s="1"/>
  <c r="AR34" i="19"/>
  <c r="BK34" i="19" s="1"/>
  <c r="AU34" i="19"/>
  <c r="AU36" i="19"/>
  <c r="BK36" i="19" s="1"/>
  <c r="AU37" i="19"/>
  <c r="BK37" i="19" s="1"/>
  <c r="AU39" i="19"/>
  <c r="BK39" i="19" s="1"/>
  <c r="AU41" i="19"/>
  <c r="BK41" i="19" s="1"/>
  <c r="AU42" i="19"/>
  <c r="BK42" i="19" s="1"/>
  <c r="AV48" i="19"/>
  <c r="AU48" i="19" s="1"/>
  <c r="BK48" i="19" s="1"/>
  <c r="AW48" i="19"/>
  <c r="BK13" i="19"/>
  <c r="AU10" i="19"/>
  <c r="AU14" i="19" s="1"/>
  <c r="BK14" i="19" s="1"/>
  <c r="BK10" i="19" s="1"/>
  <c r="DD15" i="19"/>
  <c r="CV56" i="7"/>
  <c r="CV54" i="7"/>
  <c r="CC145" i="120" s="1"/>
  <c r="CV53" i="7"/>
  <c r="CW50" i="7"/>
  <c r="CV44" i="7"/>
  <c r="CC66" i="120" s="1"/>
  <c r="DM36" i="17"/>
  <c r="DB23" i="8" s="1"/>
  <c r="DL30" i="17"/>
  <c r="CV69" i="7"/>
  <c r="CP17" i="19"/>
  <c r="CW17" i="19" s="1"/>
  <c r="CU49" i="19"/>
  <c r="CP15" i="19"/>
  <c r="CW15" i="19" s="1"/>
  <c r="CQ16" i="19"/>
  <c r="CR16" i="19"/>
  <c r="CS16" i="19"/>
  <c r="CT16" i="19"/>
  <c r="CT49" i="19" s="1"/>
  <c r="CV46" i="8" s="1"/>
  <c r="CV16" i="19"/>
  <c r="CP18" i="19"/>
  <c r="CP19" i="19"/>
  <c r="CW19" i="19" s="1"/>
  <c r="CP20" i="19"/>
  <c r="CW20" i="19" s="1"/>
  <c r="CP21" i="19"/>
  <c r="CP22" i="19"/>
  <c r="CP23" i="19"/>
  <c r="CP24" i="19"/>
  <c r="CW24" i="19" s="1"/>
  <c r="CP25" i="19"/>
  <c r="CW25" i="19" s="1"/>
  <c r="CQ26" i="19"/>
  <c r="CR26" i="19"/>
  <c r="CS26" i="19"/>
  <c r="CT26" i="19"/>
  <c r="CV26" i="19"/>
  <c r="CQ27" i="19"/>
  <c r="CR27" i="19"/>
  <c r="CS27" i="19"/>
  <c r="CT27" i="19"/>
  <c r="CV27" i="19"/>
  <c r="CP28" i="19"/>
  <c r="CW28" i="19" s="1"/>
  <c r="CP29" i="19"/>
  <c r="CW29" i="19" s="1"/>
  <c r="CP30" i="19"/>
  <c r="CW30" i="19" s="1"/>
  <c r="CP31" i="19"/>
  <c r="CW31" i="19" s="1"/>
  <c r="CP32" i="19"/>
  <c r="CW32" i="19" s="1"/>
  <c r="CP33" i="19"/>
  <c r="CW33" i="19" s="1"/>
  <c r="CP34" i="19"/>
  <c r="CW34" i="19" s="1"/>
  <c r="CP35" i="19"/>
  <c r="CW35" i="19" s="1"/>
  <c r="CP36" i="19"/>
  <c r="CW36" i="19" s="1"/>
  <c r="CP37" i="19"/>
  <c r="CW37" i="19" s="1"/>
  <c r="CP38" i="19"/>
  <c r="CW38" i="19" s="1"/>
  <c r="CP39" i="19"/>
  <c r="CW39" i="19" s="1"/>
  <c r="CP40" i="19"/>
  <c r="CW40" i="19" s="1"/>
  <c r="CP41" i="19"/>
  <c r="CW41" i="19" s="1"/>
  <c r="CP42" i="19"/>
  <c r="CW42" i="19" s="1"/>
  <c r="CP43" i="19"/>
  <c r="CP44" i="19"/>
  <c r="CW44" i="19" s="1"/>
  <c r="CP45" i="19"/>
  <c r="CW45" i="19" s="1"/>
  <c r="CP46" i="19"/>
  <c r="CW46" i="19" s="1"/>
  <c r="CP47" i="19"/>
  <c r="CW47" i="19" s="1"/>
  <c r="CP48" i="19"/>
  <c r="CW48" i="19" s="1"/>
  <c r="CP8" i="19"/>
  <c r="CW8" i="19" s="1"/>
  <c r="CP9" i="19"/>
  <c r="CP10" i="19"/>
  <c r="CP11" i="19"/>
  <c r="CW21" i="19"/>
  <c r="DK30" i="17"/>
  <c r="CW17" i="7"/>
  <c r="CW54" i="7"/>
  <c r="DB13" i="19"/>
  <c r="DB10" i="19" s="1"/>
  <c r="CW18" i="19"/>
  <c r="CW22" i="19"/>
  <c r="CW23" i="19"/>
  <c r="CW43" i="19"/>
  <c r="CW43" i="7"/>
  <c r="CV57" i="7"/>
  <c r="CU57" i="7" s="1"/>
  <c r="CV60" i="7"/>
  <c r="CU11" i="7"/>
  <c r="CU21" i="7"/>
  <c r="CU30" i="7"/>
  <c r="CU37" i="7"/>
  <c r="CU55" i="7"/>
  <c r="CU62" i="7"/>
  <c r="CU149" i="7" s="1"/>
  <c r="Z7" i="102"/>
  <c r="CV59" i="7" s="1"/>
  <c r="DE15" i="19"/>
  <c r="M55" i="97"/>
  <c r="M52" i="97"/>
  <c r="M51" i="97"/>
  <c r="M47" i="97"/>
  <c r="M46" i="97"/>
  <c r="M45" i="97"/>
  <c r="P36" i="111"/>
  <c r="DA37" i="8" s="1"/>
  <c r="P34" i="111"/>
  <c r="DA22" i="8" s="1"/>
  <c r="P33" i="111"/>
  <c r="DA12" i="8" s="1"/>
  <c r="P31" i="111"/>
  <c r="CV38" i="7" s="1"/>
  <c r="P29" i="111"/>
  <c r="CV46" i="7" s="1"/>
  <c r="P28" i="111"/>
  <c r="CV22" i="7" s="1"/>
  <c r="CC58" i="120" s="1"/>
  <c r="P27" i="111"/>
  <c r="CV12" i="7" s="1"/>
  <c r="DL36" i="17"/>
  <c r="DK36" i="17"/>
  <c r="DK35" i="17"/>
  <c r="DK34" i="17"/>
  <c r="DK33" i="17"/>
  <c r="DK32" i="17"/>
  <c r="DK28" i="17"/>
  <c r="DK27" i="17"/>
  <c r="DK26" i="17"/>
  <c r="DK25" i="17"/>
  <c r="Q47" i="96"/>
  <c r="Q50" i="96" s="1"/>
  <c r="Q49" i="96"/>
  <c r="Q48" i="96"/>
  <c r="Q57" i="96"/>
  <c r="Q59" i="96"/>
  <c r="Q58" i="96"/>
  <c r="AU44" i="6"/>
  <c r="AU43" i="6"/>
  <c r="AU38" i="6"/>
  <c r="AU31" i="6"/>
  <c r="BC45" i="5"/>
  <c r="BC44" i="5"/>
  <c r="BC43" i="5"/>
  <c r="BC42" i="5"/>
  <c r="BC37" i="5"/>
  <c r="BC36" i="5"/>
  <c r="BC35" i="5"/>
  <c r="BC33" i="5"/>
  <c r="BC32" i="5"/>
  <c r="BC31" i="5"/>
  <c r="BC25" i="5"/>
  <c r="BC24" i="5"/>
  <c r="BC22" i="5"/>
  <c r="BC21" i="5"/>
  <c r="BC19" i="5"/>
  <c r="BC16" i="5"/>
  <c r="Y26" i="104"/>
  <c r="DA45" i="8" s="1"/>
  <c r="Y19" i="104"/>
  <c r="Y10" i="104"/>
  <c r="AX66" i="32"/>
  <c r="AX64" i="32"/>
  <c r="AX62" i="32"/>
  <c r="AY64" i="32"/>
  <c r="AY67" i="32"/>
  <c r="AZ69" i="32"/>
  <c r="U22" i="105"/>
  <c r="U28" i="105" s="1"/>
  <c r="U21" i="105"/>
  <c r="U20" i="105"/>
  <c r="U26" i="105" s="1"/>
  <c r="U14" i="105"/>
  <c r="U6" i="105"/>
  <c r="Y34" i="104"/>
  <c r="Y36" i="104"/>
  <c r="Y17" i="104"/>
  <c r="Y20" i="104"/>
  <c r="Y8" i="104"/>
  <c r="Y14" i="104" s="1"/>
  <c r="T9" i="100"/>
  <c r="L12" i="103"/>
  <c r="DA49" i="8" s="1"/>
  <c r="AJ26" i="95"/>
  <c r="AJ23" i="95"/>
  <c r="AJ17" i="95"/>
  <c r="BN66" i="3"/>
  <c r="BO63" i="3"/>
  <c r="BN63" i="3"/>
  <c r="BN57" i="3"/>
  <c r="AX63" i="32" s="1"/>
  <c r="AZ63" i="32" s="1"/>
  <c r="BN53" i="3"/>
  <c r="BO49" i="3"/>
  <c r="CW151" i="7" s="1"/>
  <c r="BN49" i="3"/>
  <c r="BN45" i="3" s="1"/>
  <c r="BN44" i="3" s="1"/>
  <c r="AJ33" i="95" s="1"/>
  <c r="AJ35" i="95" s="1"/>
  <c r="BN43" i="3"/>
  <c r="BN39" i="3"/>
  <c r="DQ16" i="19"/>
  <c r="DQ27" i="19"/>
  <c r="DQ48" i="19"/>
  <c r="AS37" i="65"/>
  <c r="DP16" i="19"/>
  <c r="DP26" i="19"/>
  <c r="DP27" i="19"/>
  <c r="DP48" i="19"/>
  <c r="DO16" i="19"/>
  <c r="DO26" i="19"/>
  <c r="DO27" i="19"/>
  <c r="DO48" i="19"/>
  <c r="BH18" i="61"/>
  <c r="DN16" i="19"/>
  <c r="DN26" i="19"/>
  <c r="DN27" i="19"/>
  <c r="DN48" i="19"/>
  <c r="DH122" i="8"/>
  <c r="AQ17" i="66" s="1"/>
  <c r="DH59" i="8"/>
  <c r="DH57" i="8" s="1"/>
  <c r="DG59" i="8"/>
  <c r="DG58" i="8"/>
  <c r="DG57" i="8" s="1"/>
  <c r="DH56" i="8"/>
  <c r="DG56" i="8"/>
  <c r="DC71" i="7"/>
  <c r="DB71" i="7"/>
  <c r="DB69" i="7" s="1"/>
  <c r="DB70" i="7"/>
  <c r="CZ68" i="7"/>
  <c r="CY68" i="7"/>
  <c r="DC68" i="7"/>
  <c r="DC66" i="7" s="1"/>
  <c r="DB68" i="7"/>
  <c r="DG18" i="8"/>
  <c r="DG45" i="8"/>
  <c r="DG44" i="8"/>
  <c r="DG42" i="8" s="1"/>
  <c r="DG93" i="8" s="1"/>
  <c r="DG43" i="8"/>
  <c r="DG41" i="8"/>
  <c r="DG38" i="8"/>
  <c r="DG37" i="8"/>
  <c r="DG35" i="8"/>
  <c r="DG33" i="8"/>
  <c r="DG32" i="8"/>
  <c r="DG29" i="8"/>
  <c r="DG28" i="8"/>
  <c r="DF28" i="8" s="1"/>
  <c r="DG26" i="8"/>
  <c r="DH23" i="8"/>
  <c r="DG23" i="8"/>
  <c r="DF23" i="8" s="1"/>
  <c r="DF25" i="8" s="1"/>
  <c r="DG22" i="8"/>
  <c r="DG20" i="8"/>
  <c r="DH18" i="8"/>
  <c r="DG16" i="8"/>
  <c r="DG13" i="8"/>
  <c r="DG12" i="8"/>
  <c r="DH10" i="8"/>
  <c r="DG10" i="8"/>
  <c r="DE10" i="8"/>
  <c r="DH9" i="8"/>
  <c r="DG9" i="8"/>
  <c r="DC173" i="7"/>
  <c r="DH48" i="19"/>
  <c r="DH49" i="19" s="1"/>
  <c r="CZ58" i="7" s="1"/>
  <c r="CZ145" i="7" s="1"/>
  <c r="DB54" i="7"/>
  <c r="DB56" i="7"/>
  <c r="DA56" i="7" s="1"/>
  <c r="DB48" i="7"/>
  <c r="V10" i="100"/>
  <c r="CV47" i="7" s="1"/>
  <c r="CU47" i="7" s="1"/>
  <c r="DB45" i="7"/>
  <c r="DB44" i="7"/>
  <c r="DA44" i="7" s="1"/>
  <c r="DB39" i="7"/>
  <c r="DB42" i="7"/>
  <c r="DB38" i="7"/>
  <c r="DB36" i="7"/>
  <c r="DB34" i="7"/>
  <c r="DA34" i="7" s="1"/>
  <c r="DB31" i="7"/>
  <c r="DB29" i="7"/>
  <c r="DB28" i="7"/>
  <c r="DB26" i="7"/>
  <c r="DA26" i="7" s="1"/>
  <c r="DB23" i="7"/>
  <c r="DB22" i="7"/>
  <c r="DB20" i="7"/>
  <c r="DB16" i="7"/>
  <c r="DC13" i="7"/>
  <c r="DB13" i="7"/>
  <c r="DB12" i="7"/>
  <c r="DC10" i="7"/>
  <c r="DB10" i="7"/>
  <c r="DC9" i="7"/>
  <c r="DB9" i="7"/>
  <c r="BD66" i="32"/>
  <c r="BD68" i="32" s="1"/>
  <c r="BF68" i="32" s="1"/>
  <c r="BD64" i="32"/>
  <c r="BD62" i="32"/>
  <c r="AA39" i="104"/>
  <c r="DS16" i="19"/>
  <c r="DS49" i="19" s="1"/>
  <c r="DS48" i="19"/>
  <c r="DS26" i="19"/>
  <c r="DS27" i="19"/>
  <c r="S66" i="96"/>
  <c r="S67" i="96" s="1"/>
  <c r="DG19" i="8" s="1"/>
  <c r="S64" i="96"/>
  <c r="S43" i="96"/>
  <c r="AK34" i="98"/>
  <c r="AL45" i="95"/>
  <c r="AL40" i="95"/>
  <c r="AL15" i="95"/>
  <c r="AL13" i="95" s="1"/>
  <c r="BL14" i="10"/>
  <c r="BL17" i="10"/>
  <c r="DJ16" i="19"/>
  <c r="DJ48" i="19"/>
  <c r="AR37" i="65"/>
  <c r="AR17" i="65"/>
  <c r="DI48" i="19"/>
  <c r="DI49" i="19" s="1"/>
  <c r="DD46" i="8" s="1"/>
  <c r="DE122" i="8"/>
  <c r="AP17" i="66" s="1"/>
  <c r="DE59" i="8"/>
  <c r="DD59" i="8"/>
  <c r="DD58" i="8"/>
  <c r="DE56" i="8"/>
  <c r="DD56" i="8"/>
  <c r="DE45" i="8"/>
  <c r="DE44" i="8"/>
  <c r="DD44" i="8"/>
  <c r="DD43" i="8"/>
  <c r="DE43" i="8"/>
  <c r="DC43" i="8" s="1"/>
  <c r="DD41" i="8"/>
  <c r="DC41" i="8" s="1"/>
  <c r="DD38" i="8"/>
  <c r="DD37" i="8"/>
  <c r="DE20" i="8"/>
  <c r="DC20" i="8" s="1"/>
  <c r="DD35" i="8"/>
  <c r="DC35" i="8" s="1"/>
  <c r="DD33" i="8"/>
  <c r="DE32" i="8"/>
  <c r="DD32" i="8"/>
  <c r="DC32" i="8" s="1"/>
  <c r="DD29" i="8"/>
  <c r="DC29" i="8" s="1"/>
  <c r="DD28" i="8"/>
  <c r="DD26" i="8"/>
  <c r="DE23" i="8"/>
  <c r="DE89" i="8" s="1"/>
  <c r="DD23" i="8"/>
  <c r="DD25" i="8" s="1"/>
  <c r="DD22" i="8"/>
  <c r="DD20" i="8"/>
  <c r="DE18" i="8"/>
  <c r="DE17" i="8" s="1"/>
  <c r="DD18" i="8"/>
  <c r="DD16" i="8"/>
  <c r="DD13" i="8"/>
  <c r="DD12" i="8"/>
  <c r="DD10" i="8"/>
  <c r="DE9" i="8"/>
  <c r="DD9" i="8"/>
  <c r="BL8" i="10"/>
  <c r="BL9" i="10"/>
  <c r="BL10" i="10"/>
  <c r="CZ138" i="7"/>
  <c r="CZ175" i="7" s="1"/>
  <c r="AP22" i="64" s="1"/>
  <c r="BG37" i="61"/>
  <c r="BG18" i="61"/>
  <c r="DG48" i="19"/>
  <c r="CY71" i="7"/>
  <c r="CZ71" i="7"/>
  <c r="CZ69" i="7" s="1"/>
  <c r="CY70" i="7"/>
  <c r="CZ173" i="7"/>
  <c r="CY54" i="7"/>
  <c r="CY42" i="7"/>
  <c r="CX42" i="7" s="1"/>
  <c r="CY34" i="7"/>
  <c r="CY26" i="7"/>
  <c r="CY16" i="7"/>
  <c r="CZ13" i="7"/>
  <c r="CY48" i="7"/>
  <c r="CX48" i="7" s="1"/>
  <c r="CY39" i="7"/>
  <c r="CY31" i="7"/>
  <c r="CY23" i="7"/>
  <c r="CY13" i="7"/>
  <c r="CY45" i="7"/>
  <c r="CY44" i="7"/>
  <c r="CY36" i="7"/>
  <c r="CX36" i="7" s="1"/>
  <c r="CY29" i="7"/>
  <c r="CY20" i="7"/>
  <c r="CY38" i="7"/>
  <c r="CY28" i="7"/>
  <c r="CX28" i="7" s="1"/>
  <c r="CY22" i="7"/>
  <c r="CY12" i="7"/>
  <c r="CX12" i="7" s="1"/>
  <c r="CY10" i="7"/>
  <c r="CZ9" i="7"/>
  <c r="CY9" i="7"/>
  <c r="V36" i="105"/>
  <c r="DD45" i="8" s="1"/>
  <c r="V33" i="105"/>
  <c r="CY56" i="7" s="1"/>
  <c r="CX56" i="7" s="1"/>
  <c r="BB67" i="32"/>
  <c r="BC67" i="32" s="1"/>
  <c r="BB68" i="32"/>
  <c r="BA66" i="32"/>
  <c r="BA68" i="32" s="1"/>
  <c r="BA64" i="32"/>
  <c r="BC64" i="32" s="1"/>
  <c r="BA62" i="32"/>
  <c r="BC62" i="32" s="1"/>
  <c r="DL48" i="19"/>
  <c r="R64" i="96"/>
  <c r="R67" i="96"/>
  <c r="DD19" i="8" s="1"/>
  <c r="BT63" i="3"/>
  <c r="BS63" i="3"/>
  <c r="R44" i="96"/>
  <c r="CY19" i="7" s="1"/>
  <c r="CY142" i="7" s="1"/>
  <c r="BS57" i="3"/>
  <c r="AK45" i="95"/>
  <c r="AK43" i="95" s="1"/>
  <c r="AK40" i="95"/>
  <c r="AK15" i="95"/>
  <c r="AK13" i="95" s="1"/>
  <c r="BT49" i="3"/>
  <c r="Q16" i="92"/>
  <c r="AB27" i="104" s="1"/>
  <c r="Q8" i="92"/>
  <c r="Q14" i="92" s="1"/>
  <c r="P8" i="92"/>
  <c r="P14" i="92" s="1"/>
  <c r="O8" i="92"/>
  <c r="O14" i="92" s="1"/>
  <c r="X36" i="105"/>
  <c r="X33" i="105"/>
  <c r="W31" i="105"/>
  <c r="X22" i="105"/>
  <c r="X28" i="105"/>
  <c r="W22" i="105"/>
  <c r="W28" i="105" s="1"/>
  <c r="V22" i="105"/>
  <c r="V28" i="105" s="1"/>
  <c r="X21" i="105"/>
  <c r="X27" i="105" s="1"/>
  <c r="W21" i="105"/>
  <c r="W27" i="105" s="1"/>
  <c r="V21" i="105"/>
  <c r="V27" i="105" s="1"/>
  <c r="X20" i="105"/>
  <c r="X26" i="105" s="1"/>
  <c r="W20" i="105"/>
  <c r="V20" i="105"/>
  <c r="V26" i="105" s="1"/>
  <c r="X14" i="105"/>
  <c r="W14" i="105"/>
  <c r="V14" i="105"/>
  <c r="X6" i="105"/>
  <c r="W6" i="105"/>
  <c r="V6" i="105"/>
  <c r="BG69" i="32"/>
  <c r="BI69" i="32" s="1"/>
  <c r="BG68" i="32"/>
  <c r="BH67" i="32"/>
  <c r="BI67" i="32" s="1"/>
  <c r="BE67" i="32"/>
  <c r="BF67" i="32"/>
  <c r="BB65" i="32"/>
  <c r="BH63" i="32"/>
  <c r="BH64" i="32" s="1"/>
  <c r="BI62" i="32"/>
  <c r="BG61" i="32"/>
  <c r="BG70" i="32" s="1"/>
  <c r="Z35" i="104"/>
  <c r="Z39" i="104" s="1"/>
  <c r="AB26" i="104"/>
  <c r="AA31" i="104"/>
  <c r="AB23" i="104"/>
  <c r="AA19" i="104"/>
  <c r="AA23" i="104" s="1"/>
  <c r="Z19" i="104"/>
  <c r="Z23" i="104" s="1"/>
  <c r="AB10" i="104"/>
  <c r="AB8" i="104"/>
  <c r="AA14" i="104"/>
  <c r="Z14" i="104"/>
  <c r="AC15" i="102"/>
  <c r="AC13" i="102" s="1"/>
  <c r="AB15" i="102"/>
  <c r="DG122" i="8" s="1"/>
  <c r="AS16" i="65" s="1"/>
  <c r="AA15" i="102"/>
  <c r="DD122" i="8" s="1"/>
  <c r="AR16" i="65" s="1"/>
  <c r="AC9" i="102"/>
  <c r="BI17" i="61" s="1"/>
  <c r="AB9" i="102"/>
  <c r="AA9" i="102"/>
  <c r="BG17" i="61" s="1"/>
  <c r="W10" i="100"/>
  <c r="U10" i="100"/>
  <c r="CY47" i="7" s="1"/>
  <c r="CX47" i="7" s="1"/>
  <c r="DP12" i="19"/>
  <c r="DY49" i="19"/>
  <c r="DR49" i="19"/>
  <c r="DK49" i="19"/>
  <c r="DT48" i="19"/>
  <c r="DT47" i="19"/>
  <c r="DM47" i="19"/>
  <c r="DF47" i="19"/>
  <c r="DT46" i="19"/>
  <c r="DM46" i="19"/>
  <c r="DF46" i="19"/>
  <c r="DT45" i="19"/>
  <c r="DM45" i="19"/>
  <c r="DF45" i="19"/>
  <c r="DT44" i="19"/>
  <c r="DM44" i="19"/>
  <c r="DF44" i="19"/>
  <c r="DT43" i="19"/>
  <c r="DM43" i="19"/>
  <c r="DF43" i="19"/>
  <c r="DT42" i="19"/>
  <c r="DM42" i="19"/>
  <c r="DF42" i="19"/>
  <c r="DT41" i="19"/>
  <c r="DM41" i="19"/>
  <c r="DF41" i="19"/>
  <c r="DT40" i="19"/>
  <c r="DM40" i="19"/>
  <c r="DF40" i="19"/>
  <c r="DT39" i="19"/>
  <c r="DM39" i="19"/>
  <c r="DF39" i="19"/>
  <c r="DT38" i="19"/>
  <c r="DM38" i="19"/>
  <c r="DF38" i="19"/>
  <c r="DT37" i="19"/>
  <c r="DM37" i="19"/>
  <c r="DF37" i="19"/>
  <c r="DT36" i="19"/>
  <c r="DM36" i="19"/>
  <c r="DF36" i="19"/>
  <c r="DT35" i="19"/>
  <c r="DM35" i="19"/>
  <c r="DF35" i="19"/>
  <c r="DT34" i="19"/>
  <c r="DM34" i="19"/>
  <c r="DF34" i="19"/>
  <c r="DT33" i="19"/>
  <c r="DM33" i="19"/>
  <c r="DF33" i="19"/>
  <c r="DT32" i="19"/>
  <c r="DM32" i="19"/>
  <c r="DF32" i="19"/>
  <c r="DT31" i="19"/>
  <c r="DM31" i="19"/>
  <c r="DF31" i="19"/>
  <c r="DT30" i="19"/>
  <c r="DM30" i="19"/>
  <c r="DF30" i="19"/>
  <c r="DT29" i="19"/>
  <c r="DM29" i="19"/>
  <c r="DF29" i="19"/>
  <c r="DT28" i="19"/>
  <c r="DM28" i="19"/>
  <c r="DF28" i="19"/>
  <c r="DZ27" i="19"/>
  <c r="DX27" i="19"/>
  <c r="DW27" i="19"/>
  <c r="DV27" i="19"/>
  <c r="DU27" i="19"/>
  <c r="DF27" i="19"/>
  <c r="DZ26" i="19"/>
  <c r="DX26" i="19"/>
  <c r="DW26" i="19"/>
  <c r="DU26" i="19"/>
  <c r="DV26" i="19"/>
  <c r="DT25" i="19"/>
  <c r="DM25" i="19"/>
  <c r="DF25" i="19"/>
  <c r="DT24" i="19"/>
  <c r="DM24" i="19"/>
  <c r="DF24" i="19"/>
  <c r="DT23" i="19"/>
  <c r="DM23" i="19"/>
  <c r="DF23" i="19"/>
  <c r="DT22" i="19"/>
  <c r="DM22" i="19"/>
  <c r="DF22" i="19"/>
  <c r="DT21" i="19"/>
  <c r="DM21" i="19"/>
  <c r="DF21" i="19"/>
  <c r="DT20" i="19"/>
  <c r="DM20" i="19"/>
  <c r="DF20" i="19"/>
  <c r="DT19" i="19"/>
  <c r="DM19" i="19"/>
  <c r="DF19" i="19"/>
  <c r="DT18" i="19"/>
  <c r="DM18" i="19"/>
  <c r="DF18" i="19"/>
  <c r="DT17" i="19"/>
  <c r="DM17" i="19"/>
  <c r="DF17" i="19"/>
  <c r="DZ16" i="19"/>
  <c r="DX16" i="19"/>
  <c r="DW16" i="19"/>
  <c r="DW49" i="19" s="1"/>
  <c r="DV16" i="19"/>
  <c r="DV49" i="19"/>
  <c r="DU16" i="19"/>
  <c r="DT15" i="19"/>
  <c r="DM15" i="19"/>
  <c r="DF15" i="19"/>
  <c r="DY14" i="19"/>
  <c r="DR14" i="19"/>
  <c r="DK14" i="19"/>
  <c r="DZ12" i="19"/>
  <c r="DY12" i="19"/>
  <c r="DX12" i="19"/>
  <c r="DW12" i="19"/>
  <c r="DV12" i="19"/>
  <c r="DU12" i="19"/>
  <c r="DS12" i="19"/>
  <c r="DR12" i="19"/>
  <c r="DQ12" i="19"/>
  <c r="DO12" i="19"/>
  <c r="DN12" i="19"/>
  <c r="DL12" i="19"/>
  <c r="DK12" i="19"/>
  <c r="DJ12" i="19"/>
  <c r="DI12" i="19"/>
  <c r="DH12" i="19"/>
  <c r="DG12" i="19"/>
  <c r="DT11" i="19"/>
  <c r="DT10" i="19"/>
  <c r="DT14" i="19" s="1"/>
  <c r="DM11" i="19"/>
  <c r="DF11" i="19"/>
  <c r="DM10" i="19"/>
  <c r="DM14" i="19" s="1"/>
  <c r="DF10" i="19"/>
  <c r="DF14" i="19" s="1"/>
  <c r="DT9" i="19"/>
  <c r="DM9" i="19"/>
  <c r="DF9" i="19"/>
  <c r="DT8" i="19"/>
  <c r="DM8" i="19"/>
  <c r="DF8" i="19"/>
  <c r="S32" i="111"/>
  <c r="R32" i="111"/>
  <c r="Q32" i="111"/>
  <c r="R26" i="111"/>
  <c r="S26" i="111"/>
  <c r="Q26" i="111"/>
  <c r="DW36" i="17"/>
  <c r="DT36" i="17"/>
  <c r="DQ36" i="17"/>
  <c r="DW35" i="17"/>
  <c r="DT35" i="17"/>
  <c r="DQ35" i="17"/>
  <c r="DW34" i="17"/>
  <c r="DT34" i="17"/>
  <c r="DQ34" i="17"/>
  <c r="DW33" i="17"/>
  <c r="DT33" i="17"/>
  <c r="DQ33" i="17"/>
  <c r="DW32" i="17"/>
  <c r="DT32" i="17"/>
  <c r="DQ32" i="17"/>
  <c r="DX31" i="17"/>
  <c r="DV31" i="17"/>
  <c r="DU31" i="17"/>
  <c r="DS31" i="17"/>
  <c r="DR31" i="17"/>
  <c r="DP31" i="17"/>
  <c r="DW30" i="17"/>
  <c r="DT30" i="17"/>
  <c r="DQ30" i="17"/>
  <c r="DW29" i="17"/>
  <c r="DT29" i="17"/>
  <c r="DQ29" i="17"/>
  <c r="DW28" i="17"/>
  <c r="DT28" i="17"/>
  <c r="DQ28" i="17"/>
  <c r="DW27" i="17"/>
  <c r="DT27" i="17"/>
  <c r="DQ27" i="17"/>
  <c r="DW26" i="17"/>
  <c r="DT26" i="17"/>
  <c r="DQ26" i="17"/>
  <c r="DW25" i="17"/>
  <c r="DT25" i="17"/>
  <c r="DQ25" i="17"/>
  <c r="DX24" i="17"/>
  <c r="DW38" i="17" s="1"/>
  <c r="DV24" i="17"/>
  <c r="DU24" i="17"/>
  <c r="DS24" i="17"/>
  <c r="DR24" i="17"/>
  <c r="DQ24" i="17" s="1"/>
  <c r="DQ39" i="17" s="1"/>
  <c r="DP24" i="17"/>
  <c r="T67" i="96"/>
  <c r="T59" i="96"/>
  <c r="S59" i="96"/>
  <c r="R59" i="96"/>
  <c r="T54" i="96"/>
  <c r="S54" i="96"/>
  <c r="R54" i="96"/>
  <c r="T49" i="96"/>
  <c r="S49" i="96"/>
  <c r="R49" i="96"/>
  <c r="T44" i="96"/>
  <c r="S44" i="96"/>
  <c r="DB19" i="7" s="1"/>
  <c r="DB142" i="7" s="1"/>
  <c r="T36" i="96"/>
  <c r="S36" i="96"/>
  <c r="R36" i="96"/>
  <c r="T31" i="96"/>
  <c r="S31" i="96"/>
  <c r="R31" i="96"/>
  <c r="T26" i="96"/>
  <c r="S26" i="96"/>
  <c r="R26" i="96"/>
  <c r="T21" i="96"/>
  <c r="S21" i="96"/>
  <c r="R21" i="96"/>
  <c r="T16" i="96"/>
  <c r="S16" i="96"/>
  <c r="R16" i="96"/>
  <c r="T11" i="96"/>
  <c r="S11" i="96"/>
  <c r="R11" i="96"/>
  <c r="BQ18" i="10"/>
  <c r="BP18" i="10"/>
  <c r="BN18" i="10"/>
  <c r="BM18" i="10"/>
  <c r="BK18" i="10"/>
  <c r="BJ18" i="10"/>
  <c r="BO17" i="10"/>
  <c r="DH35" i="8" s="1"/>
  <c r="BI17" i="10"/>
  <c r="BO16" i="10"/>
  <c r="DH32" i="8" s="1"/>
  <c r="BL16" i="10"/>
  <c r="BI16" i="10"/>
  <c r="BO15" i="10"/>
  <c r="BL15" i="10"/>
  <c r="BI15" i="10"/>
  <c r="BO14" i="10"/>
  <c r="BI14" i="10"/>
  <c r="BQ13" i="10"/>
  <c r="BP13" i="10"/>
  <c r="BN13" i="10"/>
  <c r="BN19" i="10" s="1"/>
  <c r="BM13" i="10"/>
  <c r="BK13" i="10"/>
  <c r="BJ13" i="10"/>
  <c r="BO11" i="10"/>
  <c r="BL11" i="10"/>
  <c r="BI11" i="10"/>
  <c r="BO10" i="10"/>
  <c r="BI10" i="10"/>
  <c r="BO9" i="10"/>
  <c r="CZ27" i="7"/>
  <c r="BI9" i="10"/>
  <c r="BO8" i="10"/>
  <c r="BI8" i="10"/>
  <c r="BO7" i="10"/>
  <c r="BO13" i="10" s="1"/>
  <c r="BL7" i="10"/>
  <c r="BI7" i="10"/>
  <c r="AL41" i="98"/>
  <c r="AK41" i="98"/>
  <c r="AJ41" i="98"/>
  <c r="AJ38" i="98"/>
  <c r="AL40" i="98"/>
  <c r="AL38" i="98" s="1"/>
  <c r="AK40" i="98"/>
  <c r="AK38" i="98" s="1"/>
  <c r="AJ40" i="98"/>
  <c r="AL34" i="98"/>
  <c r="AJ34" i="98"/>
  <c r="AL29" i="98"/>
  <c r="AK29" i="98"/>
  <c r="AJ29" i="98"/>
  <c r="AL19" i="98"/>
  <c r="AK19" i="98"/>
  <c r="AJ19" i="98"/>
  <c r="AL14" i="98"/>
  <c r="AK14" i="98"/>
  <c r="AK42" i="98" s="1"/>
  <c r="AJ14" i="98"/>
  <c r="AL31" i="95"/>
  <c r="AL50" i="95" s="1"/>
  <c r="DC67" i="7" s="1"/>
  <c r="AM43" i="95"/>
  <c r="AM38" i="95"/>
  <c r="AL38" i="95"/>
  <c r="AK38" i="95"/>
  <c r="AM31" i="95"/>
  <c r="AM50" i="95" s="1"/>
  <c r="AK31" i="95"/>
  <c r="AK50" i="95"/>
  <c r="AM30" i="95"/>
  <c r="AM49" i="95" s="1"/>
  <c r="AL30" i="95"/>
  <c r="AK30" i="95"/>
  <c r="AL26" i="95"/>
  <c r="AK26" i="95"/>
  <c r="AM24" i="95"/>
  <c r="AL24" i="95"/>
  <c r="AK24" i="95"/>
  <c r="AM18" i="95"/>
  <c r="AM28" i="95" s="1"/>
  <c r="AL18" i="95"/>
  <c r="AK18" i="95"/>
  <c r="BA46" i="6"/>
  <c r="AZ46" i="6"/>
  <c r="AY46" i="6"/>
  <c r="BA25" i="6"/>
  <c r="AZ25" i="6"/>
  <c r="AZ45" i="6" s="1"/>
  <c r="AZ18" i="6"/>
  <c r="AY25" i="6"/>
  <c r="BA18" i="6"/>
  <c r="AY18" i="6"/>
  <c r="BA13" i="6"/>
  <c r="AZ13" i="6"/>
  <c r="AY13" i="6"/>
  <c r="BA11" i="6"/>
  <c r="AZ11" i="6"/>
  <c r="AY11" i="6"/>
  <c r="BF47" i="5"/>
  <c r="BE47" i="5"/>
  <c r="BD47" i="5"/>
  <c r="BF26" i="5"/>
  <c r="BE26" i="5"/>
  <c r="BE17" i="5"/>
  <c r="BD26" i="5"/>
  <c r="BF17" i="5"/>
  <c r="BF46" i="5" s="1"/>
  <c r="BF52" i="5" s="1"/>
  <c r="BD17" i="5"/>
  <c r="BD46" i="5" s="1"/>
  <c r="BF12" i="5"/>
  <c r="BE12" i="5"/>
  <c r="BD12" i="5"/>
  <c r="BF10" i="5"/>
  <c r="BE10" i="5"/>
  <c r="BD10" i="5"/>
  <c r="AR24" i="66"/>
  <c r="AQ24" i="66"/>
  <c r="AP24" i="66"/>
  <c r="AR21" i="66"/>
  <c r="AQ21" i="66"/>
  <c r="AP21" i="66"/>
  <c r="AR20" i="66"/>
  <c r="AQ20" i="66"/>
  <c r="AP20" i="66"/>
  <c r="AR19" i="66"/>
  <c r="AQ19" i="66"/>
  <c r="AP19" i="66"/>
  <c r="AR18" i="66"/>
  <c r="AQ18" i="66"/>
  <c r="AP18" i="66"/>
  <c r="AR17" i="66"/>
  <c r="AR13" i="66"/>
  <c r="AR12" i="66"/>
  <c r="AT37" i="65"/>
  <c r="AR24" i="64"/>
  <c r="AQ24" i="64"/>
  <c r="AP24" i="64"/>
  <c r="AR22" i="64"/>
  <c r="AR21" i="64"/>
  <c r="AQ21" i="64"/>
  <c r="AP21" i="64"/>
  <c r="AR20" i="64"/>
  <c r="AQ20" i="64"/>
  <c r="AP20" i="64"/>
  <c r="AR19" i="64"/>
  <c r="AQ19" i="64"/>
  <c r="AP19" i="64"/>
  <c r="AR18" i="64"/>
  <c r="AQ18" i="64"/>
  <c r="AP18" i="64"/>
  <c r="AR16" i="64"/>
  <c r="AR13" i="64"/>
  <c r="AR12" i="64"/>
  <c r="BI37" i="61"/>
  <c r="BH37" i="61"/>
  <c r="BI24" i="61"/>
  <c r="BH24" i="61"/>
  <c r="BG24" i="61"/>
  <c r="BI18" i="61"/>
  <c r="BI15" i="61"/>
  <c r="DK108" i="8"/>
  <c r="DJ108" i="8"/>
  <c r="DI108" i="8"/>
  <c r="DH108" i="8"/>
  <c r="DG108" i="8"/>
  <c r="DF108" i="8"/>
  <c r="DE108" i="8"/>
  <c r="DD108" i="8"/>
  <c r="DC108" i="8"/>
  <c r="DK105" i="8"/>
  <c r="DJ105" i="8"/>
  <c r="DI105" i="8"/>
  <c r="DH105" i="8"/>
  <c r="DG105" i="8"/>
  <c r="DF105" i="8"/>
  <c r="DE105" i="8"/>
  <c r="DD105" i="8"/>
  <c r="DC105" i="8"/>
  <c r="DI102" i="8"/>
  <c r="DF102" i="8"/>
  <c r="DC102" i="8"/>
  <c r="DK100" i="8"/>
  <c r="DJ100" i="8"/>
  <c r="DK98" i="8"/>
  <c r="DJ98" i="8"/>
  <c r="DH98" i="8"/>
  <c r="DG98" i="8"/>
  <c r="DE98" i="8"/>
  <c r="DD98" i="8"/>
  <c r="DK97" i="8"/>
  <c r="DK120" i="8" s="1"/>
  <c r="DH97" i="8"/>
  <c r="DH120" i="8" s="1"/>
  <c r="DG97" i="8"/>
  <c r="DF49" i="8"/>
  <c r="DF97" i="8" s="1"/>
  <c r="DE97" i="8"/>
  <c r="DE120" i="8" s="1"/>
  <c r="DD97" i="8"/>
  <c r="DD120" i="8" s="1"/>
  <c r="DK95" i="8"/>
  <c r="DK123" i="8" s="1"/>
  <c r="DJ95" i="8"/>
  <c r="DJ123" i="8" s="1"/>
  <c r="DH95" i="8"/>
  <c r="DH123" i="8" s="1"/>
  <c r="DG95" i="8"/>
  <c r="AS17" i="65" s="1"/>
  <c r="DE95" i="8"/>
  <c r="DE123" i="8" s="1"/>
  <c r="DD95" i="8"/>
  <c r="DD123" i="8" s="1"/>
  <c r="DK92" i="8"/>
  <c r="DH92" i="8"/>
  <c r="DE92" i="8"/>
  <c r="DK91" i="8"/>
  <c r="DH91" i="8"/>
  <c r="DE91" i="8"/>
  <c r="DK90" i="8"/>
  <c r="DJ90" i="8"/>
  <c r="DH90" i="8"/>
  <c r="DG90" i="8"/>
  <c r="DF14" i="8"/>
  <c r="DF24" i="8"/>
  <c r="DF30" i="8"/>
  <c r="DF39" i="8"/>
  <c r="DE90" i="8"/>
  <c r="DD90" i="8"/>
  <c r="DK88" i="8"/>
  <c r="DH88" i="8"/>
  <c r="DF12" i="8"/>
  <c r="DF22" i="8"/>
  <c r="DE88" i="8"/>
  <c r="DG86" i="8"/>
  <c r="DF9" i="8"/>
  <c r="DK59" i="8"/>
  <c r="DK57" i="8" s="1"/>
  <c r="DJ59" i="8"/>
  <c r="DE57" i="8"/>
  <c r="DJ58" i="8"/>
  <c r="DK56" i="8"/>
  <c r="DJ56" i="8"/>
  <c r="DK52" i="8"/>
  <c r="DI50" i="8"/>
  <c r="DI98" i="8" s="1"/>
  <c r="DF50" i="8"/>
  <c r="DF98" i="8" s="1"/>
  <c r="DC50" i="8"/>
  <c r="DC98" i="8" s="1"/>
  <c r="DJ49" i="8"/>
  <c r="DI49" i="8" s="1"/>
  <c r="DI97" i="8" s="1"/>
  <c r="DC49" i="8"/>
  <c r="DC97" i="8" s="1"/>
  <c r="DK48" i="8"/>
  <c r="DK96" i="8" s="1"/>
  <c r="DJ48" i="8"/>
  <c r="DH96" i="8"/>
  <c r="DG96" i="8"/>
  <c r="DE96" i="8"/>
  <c r="DD96" i="8"/>
  <c r="DI47" i="8"/>
  <c r="DI95" i="8" s="1"/>
  <c r="DF47" i="8"/>
  <c r="DF95" i="8" s="1"/>
  <c r="DC47" i="8"/>
  <c r="DC95" i="8" s="1"/>
  <c r="DK46" i="8"/>
  <c r="DK94" i="8" s="1"/>
  <c r="DJ46" i="8"/>
  <c r="DK45" i="8"/>
  <c r="DJ45" i="8"/>
  <c r="DI45" i="8" s="1"/>
  <c r="DH45" i="8"/>
  <c r="DF45" i="8" s="1"/>
  <c r="DK44" i="8"/>
  <c r="DJ44" i="8"/>
  <c r="DH44" i="8"/>
  <c r="DK43" i="8"/>
  <c r="DJ43" i="8"/>
  <c r="DH43" i="8"/>
  <c r="DJ41" i="8"/>
  <c r="DF41" i="8"/>
  <c r="DI39" i="8"/>
  <c r="DC39" i="8"/>
  <c r="DJ38" i="8"/>
  <c r="DI38" i="8" s="1"/>
  <c r="DG40" i="8"/>
  <c r="DD40" i="8"/>
  <c r="DJ37" i="8"/>
  <c r="DI37" i="8" s="1"/>
  <c r="DI36" i="8"/>
  <c r="DF36" i="8"/>
  <c r="DC36" i="8"/>
  <c r="DK35" i="8"/>
  <c r="DJ35" i="8"/>
  <c r="DH34" i="8"/>
  <c r="DE34" i="8"/>
  <c r="DJ33" i="8"/>
  <c r="DI33" i="8" s="1"/>
  <c r="DF33" i="8"/>
  <c r="DC33" i="8"/>
  <c r="DK32" i="8"/>
  <c r="DK27" i="8" s="1"/>
  <c r="DJ32" i="8"/>
  <c r="DI30" i="8"/>
  <c r="DC30" i="8"/>
  <c r="DC31" i="8" s="1"/>
  <c r="DJ29" i="8"/>
  <c r="DJ28" i="8"/>
  <c r="DI28" i="8" s="1"/>
  <c r="DC28" i="8"/>
  <c r="DJ26" i="8"/>
  <c r="DI26" i="8" s="1"/>
  <c r="DF26" i="8"/>
  <c r="DC26" i="8"/>
  <c r="DI24" i="8"/>
  <c r="DC24" i="8"/>
  <c r="DK23" i="8"/>
  <c r="DJ23" i="8"/>
  <c r="DJ25" i="8" s="1"/>
  <c r="DJ22" i="8"/>
  <c r="DI22" i="8" s="1"/>
  <c r="DC22" i="8"/>
  <c r="DI21" i="8"/>
  <c r="DF21" i="8"/>
  <c r="DC21" i="8"/>
  <c r="DK20" i="8"/>
  <c r="DJ20" i="8"/>
  <c r="DJ19" i="8"/>
  <c r="DI19" i="8" s="1"/>
  <c r="DI91" i="8" s="1"/>
  <c r="DK18" i="8"/>
  <c r="DJ18" i="8"/>
  <c r="DJ16" i="8"/>
  <c r="DI16" i="8" s="1"/>
  <c r="DC16" i="8"/>
  <c r="DI14" i="8"/>
  <c r="DC14" i="8"/>
  <c r="DC15" i="8" s="1"/>
  <c r="DJ13" i="8"/>
  <c r="DI13" i="8" s="1"/>
  <c r="DI15" i="8" s="1"/>
  <c r="DF13" i="8"/>
  <c r="DC13" i="8"/>
  <c r="DJ12" i="8"/>
  <c r="DI12" i="8"/>
  <c r="DI11" i="8"/>
  <c r="DF11" i="8"/>
  <c r="DC11" i="8"/>
  <c r="DK10" i="8"/>
  <c r="DI10" i="8" s="1"/>
  <c r="DJ10" i="8"/>
  <c r="DK9" i="8"/>
  <c r="DJ9" i="8"/>
  <c r="DC9" i="8"/>
  <c r="DE8" i="8"/>
  <c r="DF174" i="7"/>
  <c r="DC174" i="7"/>
  <c r="DB174" i="7"/>
  <c r="CZ174" i="7"/>
  <c r="CY174" i="7"/>
  <c r="DF169" i="7"/>
  <c r="DE169" i="7"/>
  <c r="DF159" i="7"/>
  <c r="DE159" i="7"/>
  <c r="DD159" i="7"/>
  <c r="DC159" i="7"/>
  <c r="DB159" i="7"/>
  <c r="DA159" i="7"/>
  <c r="CZ159" i="7"/>
  <c r="CY159" i="7"/>
  <c r="CX159" i="7"/>
  <c r="DF156" i="7"/>
  <c r="DE156" i="7"/>
  <c r="DD156" i="7"/>
  <c r="DC156" i="7"/>
  <c r="DB156" i="7"/>
  <c r="DA156" i="7"/>
  <c r="CZ156" i="7"/>
  <c r="CY156" i="7"/>
  <c r="CX156" i="7"/>
  <c r="DF153" i="7"/>
  <c r="DE153" i="7"/>
  <c r="DD153" i="7"/>
  <c r="DC153" i="7"/>
  <c r="DB153" i="7"/>
  <c r="DA153" i="7"/>
  <c r="CZ153" i="7"/>
  <c r="CY153" i="7"/>
  <c r="CX153" i="7"/>
  <c r="DF151" i="7"/>
  <c r="DF64" i="7" s="1"/>
  <c r="DE151" i="7"/>
  <c r="DF149" i="7"/>
  <c r="DE149" i="7"/>
  <c r="DD149" i="7"/>
  <c r="DC149" i="7"/>
  <c r="DB149" i="7"/>
  <c r="DA149" i="7"/>
  <c r="CZ149" i="7"/>
  <c r="CY149" i="7"/>
  <c r="CX149" i="7"/>
  <c r="DF148" i="7"/>
  <c r="DF171" i="7" s="1"/>
  <c r="DC148" i="7"/>
  <c r="DC171" i="7" s="1"/>
  <c r="DB148" i="7"/>
  <c r="CZ148" i="7"/>
  <c r="CZ171" i="7" s="1"/>
  <c r="CY148" i="7"/>
  <c r="DF146" i="7"/>
  <c r="DC146" i="7"/>
  <c r="DB146" i="7"/>
  <c r="CZ146" i="7"/>
  <c r="CY146" i="7"/>
  <c r="DF143" i="7"/>
  <c r="DC143" i="7"/>
  <c r="DA42" i="7"/>
  <c r="CZ143" i="7"/>
  <c r="DF142" i="7"/>
  <c r="DC142" i="7"/>
  <c r="DA19" i="7"/>
  <c r="DA142" i="7" s="1"/>
  <c r="CZ142" i="7"/>
  <c r="DF141" i="7"/>
  <c r="DE141" i="7"/>
  <c r="DC141" i="7"/>
  <c r="DB141" i="7"/>
  <c r="DA14" i="7"/>
  <c r="DA24" i="7"/>
  <c r="DA32" i="7"/>
  <c r="DA40" i="7"/>
  <c r="DA49" i="7"/>
  <c r="CZ141" i="7"/>
  <c r="CY141" i="7"/>
  <c r="DF139" i="7"/>
  <c r="DC139" i="7"/>
  <c r="DA12" i="7"/>
  <c r="DA22" i="7"/>
  <c r="DA38" i="7"/>
  <c r="DA46" i="7"/>
  <c r="CZ139" i="7"/>
  <c r="DC136" i="7"/>
  <c r="DA9" i="7"/>
  <c r="DA45" i="7"/>
  <c r="DF71" i="7"/>
  <c r="DF69" i="7" s="1"/>
  <c r="DE71" i="7"/>
  <c r="DC69" i="7"/>
  <c r="DE70" i="7"/>
  <c r="DF68" i="7"/>
  <c r="DE68" i="7"/>
  <c r="DF67" i="7"/>
  <c r="DE67" i="7"/>
  <c r="DE66" i="7" s="1"/>
  <c r="DE61" i="7"/>
  <c r="DA61" i="7"/>
  <c r="DA146" i="7" s="1"/>
  <c r="CX61" i="7"/>
  <c r="CX146" i="7" s="1"/>
  <c r="DE60" i="7"/>
  <c r="DA60" i="7"/>
  <c r="DA148" i="7" s="1"/>
  <c r="CX60" i="7"/>
  <c r="CX148" i="7" s="1"/>
  <c r="DF59" i="7"/>
  <c r="DF173" i="7" s="1"/>
  <c r="DE59" i="7"/>
  <c r="DC59" i="7"/>
  <c r="DB59" i="7"/>
  <c r="DB147" i="7" s="1"/>
  <c r="CZ59" i="7"/>
  <c r="AP17" i="64" s="1"/>
  <c r="CZ147" i="7"/>
  <c r="CY59" i="7"/>
  <c r="CY147" i="7" s="1"/>
  <c r="DF58" i="7"/>
  <c r="DF145" i="7" s="1"/>
  <c r="DE58" i="7"/>
  <c r="DD58" i="7" s="1"/>
  <c r="DD145" i="7" s="1"/>
  <c r="DE57" i="7"/>
  <c r="DD57" i="7" s="1"/>
  <c r="DB57" i="7"/>
  <c r="DA57" i="7" s="1"/>
  <c r="CX57" i="7"/>
  <c r="DE56" i="7"/>
  <c r="DD56" i="7" s="1"/>
  <c r="DD55" i="7"/>
  <c r="DA55" i="7"/>
  <c r="CX55" i="7"/>
  <c r="DF54" i="7"/>
  <c r="DF52" i="7" s="1"/>
  <c r="DF144" i="7" s="1"/>
  <c r="DF172" i="7" s="1"/>
  <c r="DE54" i="7"/>
  <c r="DD54" i="7" s="1"/>
  <c r="DC54" i="7"/>
  <c r="CZ54" i="7"/>
  <c r="CZ52" i="7" s="1"/>
  <c r="CZ144" i="7" s="1"/>
  <c r="CZ172" i="7" s="1"/>
  <c r="AP16" i="64" s="1"/>
  <c r="DD49" i="7"/>
  <c r="CX49" i="7"/>
  <c r="DE48" i="7"/>
  <c r="DE47" i="7"/>
  <c r="DD47" i="7" s="1"/>
  <c r="DD46" i="7"/>
  <c r="CX46" i="7"/>
  <c r="DE45" i="7"/>
  <c r="DD45" i="7" s="1"/>
  <c r="DE44" i="7"/>
  <c r="DD44" i="7" s="1"/>
  <c r="CX44" i="7"/>
  <c r="DF43" i="7"/>
  <c r="DC43" i="7"/>
  <c r="CZ43" i="7"/>
  <c r="DE42" i="7"/>
  <c r="DD42" i="7"/>
  <c r="DD40" i="7"/>
  <c r="CX40" i="7"/>
  <c r="DE39" i="7"/>
  <c r="DE38" i="7"/>
  <c r="DD38" i="7" s="1"/>
  <c r="CX38" i="7"/>
  <c r="DD37" i="7"/>
  <c r="DA37" i="7"/>
  <c r="CX37" i="7"/>
  <c r="DF36" i="7"/>
  <c r="DE36" i="7"/>
  <c r="DC36" i="7"/>
  <c r="DC35" i="7" s="1"/>
  <c r="DA36" i="7"/>
  <c r="CZ35" i="7"/>
  <c r="DE34" i="7"/>
  <c r="DD34" i="7" s="1"/>
  <c r="CX34" i="7"/>
  <c r="DD32" i="7"/>
  <c r="CX32" i="7"/>
  <c r="DE31" i="7"/>
  <c r="DB33" i="7"/>
  <c r="DA31" i="7"/>
  <c r="DA33" i="7" s="1"/>
  <c r="CX31" i="7"/>
  <c r="DD30" i="7"/>
  <c r="DA30" i="7"/>
  <c r="CX30" i="7"/>
  <c r="DF29" i="7"/>
  <c r="DE29" i="7"/>
  <c r="DC29" i="7"/>
  <c r="DE28" i="7"/>
  <c r="DD28" i="7" s="1"/>
  <c r="DF27" i="7"/>
  <c r="DE26" i="7"/>
  <c r="DD26" i="7" s="1"/>
  <c r="DD24" i="7"/>
  <c r="CX24" i="7"/>
  <c r="DE23" i="7"/>
  <c r="DD23" i="7" s="1"/>
  <c r="DB25" i="7"/>
  <c r="DA23" i="7"/>
  <c r="DE22" i="7"/>
  <c r="DD22" i="7" s="1"/>
  <c r="CX22" i="7"/>
  <c r="DD21" i="7"/>
  <c r="DA21" i="7"/>
  <c r="CX21" i="7"/>
  <c r="DF20" i="7"/>
  <c r="DF17" i="7" s="1"/>
  <c r="DE20" i="7"/>
  <c r="DD20" i="7" s="1"/>
  <c r="DC20" i="7"/>
  <c r="DC17" i="7" s="1"/>
  <c r="DE19" i="7"/>
  <c r="DE142" i="7" s="1"/>
  <c r="DD19" i="7"/>
  <c r="DD142" i="7" s="1"/>
  <c r="CX19" i="7"/>
  <c r="CX142" i="7" s="1"/>
  <c r="DE18" i="7"/>
  <c r="DD18" i="7"/>
  <c r="DE16" i="7"/>
  <c r="CX16" i="7"/>
  <c r="DD14" i="7"/>
  <c r="CX14" i="7"/>
  <c r="DF13" i="7"/>
  <c r="DE13" i="7"/>
  <c r="DC15" i="7"/>
  <c r="DB15" i="7"/>
  <c r="DA13" i="7"/>
  <c r="CY15" i="7"/>
  <c r="DE12" i="7"/>
  <c r="DD11" i="7"/>
  <c r="DA11" i="7"/>
  <c r="CX11" i="7"/>
  <c r="DF10" i="7"/>
  <c r="DE10" i="7"/>
  <c r="DB138" i="7"/>
  <c r="DF9" i="7"/>
  <c r="DF136" i="7" s="1"/>
  <c r="DE9" i="7"/>
  <c r="BJ19" i="10"/>
  <c r="V19" i="105"/>
  <c r="DD17" i="8"/>
  <c r="DH8" i="8"/>
  <c r="BA45" i="6"/>
  <c r="AK51" i="95"/>
  <c r="Z31" i="104"/>
  <c r="V25" i="105"/>
  <c r="X19" i="105"/>
  <c r="BE68" i="32"/>
  <c r="BH65" i="32"/>
  <c r="BI65" i="32" s="1"/>
  <c r="BI72" i="32" s="1"/>
  <c r="BH68" i="32"/>
  <c r="BI68" i="32" s="1"/>
  <c r="BI64" i="32"/>
  <c r="BF64" i="32"/>
  <c r="BF62" i="32"/>
  <c r="BI63" i="32"/>
  <c r="DA59" i="7"/>
  <c r="DA147" i="7" s="1"/>
  <c r="DF147" i="7"/>
  <c r="DC48" i="8"/>
  <c r="DC96" i="8" s="1"/>
  <c r="CY69" i="7"/>
  <c r="DF48" i="8"/>
  <c r="DF96" i="8" s="1"/>
  <c r="DJ97" i="8"/>
  <c r="DJ120" i="8" s="1"/>
  <c r="DL49" i="19"/>
  <c r="DM26" i="19"/>
  <c r="DF26" i="19"/>
  <c r="DM27" i="19"/>
  <c r="DN14" i="19"/>
  <c r="DP14" i="19" s="1"/>
  <c r="DP13" i="19" s="1"/>
  <c r="DO14" i="19"/>
  <c r="DO13" i="19" s="1"/>
  <c r="DM12" i="19"/>
  <c r="DF16" i="19"/>
  <c r="DE145" i="7"/>
  <c r="DC140" i="7"/>
  <c r="DD15" i="8"/>
  <c r="DF38" i="8"/>
  <c r="DF40" i="8" s="1"/>
  <c r="DG15" i="8"/>
  <c r="DD34" i="8"/>
  <c r="DJ40" i="8"/>
  <c r="CY50" i="7"/>
  <c r="DC38" i="8"/>
  <c r="DD89" i="8"/>
  <c r="DH89" i="8"/>
  <c r="DE27" i="8"/>
  <c r="CX10" i="7"/>
  <c r="DC10" i="8"/>
  <c r="DF35" i="8"/>
  <c r="CX29" i="7"/>
  <c r="CZ17" i="7"/>
  <c r="AK18" i="98"/>
  <c r="AK33" i="98"/>
  <c r="AM51" i="95"/>
  <c r="DD92" i="8"/>
  <c r="AZ51" i="6"/>
  <c r="BD55" i="5"/>
  <c r="DD31" i="8"/>
  <c r="DK34" i="8"/>
  <c r="DH55" i="8"/>
  <c r="DH25" i="8"/>
  <c r="DE64" i="7"/>
  <c r="CX50" i="7"/>
  <c r="DC27" i="7"/>
  <c r="CY33" i="7"/>
  <c r="BU66" i="3"/>
  <c r="BS66" i="3"/>
  <c r="BQ66" i="3"/>
  <c r="BU53" i="3"/>
  <c r="BQ53" i="3"/>
  <c r="BV63" i="3"/>
  <c r="AL12" i="98" s="1"/>
  <c r="AL27" i="98" s="1"/>
  <c r="BU63" i="3"/>
  <c r="BR63" i="3"/>
  <c r="BQ63" i="3"/>
  <c r="AT36" i="65" s="1"/>
  <c r="BU57" i="3"/>
  <c r="BU49" i="3" s="1"/>
  <c r="BU45" i="3" s="1"/>
  <c r="BU44" i="3" s="1"/>
  <c r="BQ57" i="3"/>
  <c r="BA63" i="32" s="1"/>
  <c r="BC63" i="32" s="1"/>
  <c r="BS53" i="3"/>
  <c r="BV49" i="3"/>
  <c r="BV46" i="3" s="1"/>
  <c r="BV44" i="3" s="1"/>
  <c r="BV41" i="3" s="1"/>
  <c r="BR49" i="3"/>
  <c r="BA65" i="32" s="1"/>
  <c r="BC65" i="32" s="1"/>
  <c r="BC72" i="32" s="1"/>
  <c r="AN24" i="66"/>
  <c r="AN21" i="66"/>
  <c r="AN20" i="66"/>
  <c r="AN19" i="66"/>
  <c r="AN18" i="66"/>
  <c r="AL24" i="66"/>
  <c r="AL21" i="66"/>
  <c r="AL20" i="66"/>
  <c r="AL19" i="66"/>
  <c r="AL18" i="66"/>
  <c r="AN37" i="65"/>
  <c r="AL24" i="64"/>
  <c r="AL21" i="64"/>
  <c r="AL20" i="64"/>
  <c r="AL19" i="64"/>
  <c r="AL18" i="64"/>
  <c r="BC37" i="61"/>
  <c r="BC24" i="61"/>
  <c r="CX35" i="8"/>
  <c r="CX32" i="8"/>
  <c r="CY108" i="8"/>
  <c r="CX108" i="8"/>
  <c r="CW108" i="8"/>
  <c r="CY105" i="8"/>
  <c r="CX105" i="8"/>
  <c r="CW105" i="8"/>
  <c r="CW102" i="8"/>
  <c r="CY98" i="8"/>
  <c r="CX98" i="8"/>
  <c r="CY97" i="8"/>
  <c r="CY120" i="8" s="1"/>
  <c r="CY96" i="8"/>
  <c r="CY122" i="8" s="1"/>
  <c r="AL17" i="66" s="1"/>
  <c r="CY95" i="8"/>
  <c r="CY92" i="8"/>
  <c r="CY91" i="8"/>
  <c r="CY90" i="8"/>
  <c r="CX90" i="8"/>
  <c r="CY88" i="8"/>
  <c r="CY59" i="8"/>
  <c r="CY57" i="8" s="1"/>
  <c r="CX59" i="8"/>
  <c r="CW50" i="8"/>
  <c r="CW98" i="8" s="1"/>
  <c r="CW39" i="8"/>
  <c r="CW36" i="8"/>
  <c r="CY35" i="8"/>
  <c r="CY34" i="8" s="1"/>
  <c r="CY32" i="8"/>
  <c r="CY27" i="8" s="1"/>
  <c r="CW30" i="8"/>
  <c r="CW24" i="8"/>
  <c r="CX20" i="8"/>
  <c r="CX10" i="8"/>
  <c r="AT16" i="65"/>
  <c r="CT174" i="7"/>
  <c r="CT70" i="7"/>
  <c r="CT69" i="7" s="1"/>
  <c r="CT159" i="7"/>
  <c r="CS159" i="7"/>
  <c r="CR159" i="7"/>
  <c r="CT156" i="7"/>
  <c r="CS156" i="7"/>
  <c r="CR156" i="7"/>
  <c r="CT153" i="7"/>
  <c r="CS153" i="7"/>
  <c r="CR153" i="7"/>
  <c r="CT149" i="7"/>
  <c r="CS149" i="7"/>
  <c r="CT148" i="7"/>
  <c r="CT171" i="7" s="1"/>
  <c r="CT146" i="7"/>
  <c r="CT143" i="7"/>
  <c r="CT142" i="7"/>
  <c r="CT141" i="7"/>
  <c r="CS141" i="7"/>
  <c r="CT139" i="7"/>
  <c r="CR62" i="7"/>
  <c r="CR149" i="7" s="1"/>
  <c r="CS60" i="7"/>
  <c r="CT59" i="7"/>
  <c r="CT147" i="7" s="1"/>
  <c r="CS57" i="7"/>
  <c r="CR57" i="7" s="1"/>
  <c r="CS36" i="7"/>
  <c r="CS29" i="7"/>
  <c r="CR29" i="7" s="1"/>
  <c r="CS20" i="7"/>
  <c r="CS10" i="7"/>
  <c r="CR10" i="7" s="1"/>
  <c r="CR55" i="7"/>
  <c r="CR49" i="7"/>
  <c r="CS47" i="7"/>
  <c r="CR47" i="7" s="1"/>
  <c r="CS44" i="7"/>
  <c r="CR44" i="7" s="1"/>
  <c r="CT43" i="7"/>
  <c r="CR40" i="7"/>
  <c r="CR37" i="7"/>
  <c r="CT36" i="7"/>
  <c r="CT35" i="7" s="1"/>
  <c r="CR32" i="7"/>
  <c r="CR30" i="7"/>
  <c r="CR24" i="7"/>
  <c r="CR21" i="7"/>
  <c r="CT20" i="7"/>
  <c r="CR14" i="7"/>
  <c r="CR11" i="7"/>
  <c r="AL17" i="64"/>
  <c r="AM30" i="66"/>
  <c r="AM29" i="66"/>
  <c r="AM27" i="66"/>
  <c r="AM26" i="66"/>
  <c r="AM25" i="66"/>
  <c r="AP33" i="65"/>
  <c r="AP32" i="65"/>
  <c r="AQ28" i="65"/>
  <c r="AO28" i="65"/>
  <c r="AP24" i="65"/>
  <c r="CV48" i="8"/>
  <c r="CV96" i="8" s="1"/>
  <c r="CV122" i="8" s="1"/>
  <c r="AM30" i="64"/>
  <c r="AM29" i="64"/>
  <c r="AM27" i="64"/>
  <c r="AM26" i="64"/>
  <c r="AM25" i="64"/>
  <c r="BD30" i="61"/>
  <c r="BD29" i="61"/>
  <c r="BD20" i="61"/>
  <c r="BD19" i="61"/>
  <c r="BB24" i="61"/>
  <c r="BB37" i="61"/>
  <c r="CV59" i="8"/>
  <c r="CV57" i="8" s="1"/>
  <c r="CU59" i="8"/>
  <c r="CU58" i="8"/>
  <c r="CV56" i="8"/>
  <c r="CU56" i="8"/>
  <c r="CU49" i="8"/>
  <c r="CU44" i="8"/>
  <c r="CU43" i="8"/>
  <c r="CU41" i="8"/>
  <c r="CT41" i="8" s="1"/>
  <c r="CU37" i="8"/>
  <c r="CT37" i="8" s="1"/>
  <c r="CU33" i="8"/>
  <c r="CT33" i="8" s="1"/>
  <c r="CU28" i="8"/>
  <c r="CT28" i="8" s="1"/>
  <c r="CU26" i="8"/>
  <c r="CT26" i="8" s="1"/>
  <c r="CU22" i="8"/>
  <c r="CT22" i="8" s="1"/>
  <c r="CU20" i="8"/>
  <c r="CV18" i="8"/>
  <c r="CU18" i="8"/>
  <c r="CU16" i="8"/>
  <c r="CU13" i="8"/>
  <c r="CU12" i="8"/>
  <c r="CT12" i="8" s="1"/>
  <c r="CV10" i="8"/>
  <c r="CU10" i="8"/>
  <c r="CV9" i="8"/>
  <c r="CU9" i="8"/>
  <c r="CT9" i="8" s="1"/>
  <c r="CV108" i="8"/>
  <c r="CU108" i="8"/>
  <c r="CT108" i="8"/>
  <c r="CV105" i="8"/>
  <c r="CU105" i="8"/>
  <c r="CT105" i="8"/>
  <c r="CT102" i="8"/>
  <c r="CV98" i="8"/>
  <c r="CU98" i="8"/>
  <c r="CV97" i="8"/>
  <c r="CV120" i="8" s="1"/>
  <c r="CV95" i="8"/>
  <c r="CV123" i="8" s="1"/>
  <c r="CU95" i="8"/>
  <c r="CU123" i="8" s="1"/>
  <c r="CV92" i="8"/>
  <c r="CV91" i="8"/>
  <c r="CV90" i="8"/>
  <c r="CU90" i="8"/>
  <c r="CV88" i="8"/>
  <c r="CT50" i="8"/>
  <c r="CT98" i="8" s="1"/>
  <c r="CT47" i="8"/>
  <c r="CT95" i="8" s="1"/>
  <c r="CV45" i="8"/>
  <c r="CV44" i="8"/>
  <c r="CV43" i="8"/>
  <c r="CT39" i="8"/>
  <c r="CU38" i="8"/>
  <c r="CU40" i="8" s="1"/>
  <c r="CT36" i="8"/>
  <c r="CV35" i="8"/>
  <c r="CV34" i="8" s="1"/>
  <c r="CU35" i="8"/>
  <c r="CV32" i="8"/>
  <c r="CV27" i="8" s="1"/>
  <c r="CU32" i="8"/>
  <c r="CT30" i="8"/>
  <c r="CU29" i="8"/>
  <c r="CT24" i="8"/>
  <c r="CV23" i="8"/>
  <c r="CU23" i="8"/>
  <c r="CT21" i="8"/>
  <c r="CV20" i="8"/>
  <c r="CT14" i="8"/>
  <c r="CT11" i="8"/>
  <c r="CT18" i="8"/>
  <c r="CQ174" i="7"/>
  <c r="CQ71" i="7"/>
  <c r="CQ69" i="7" s="1"/>
  <c r="CP71" i="7"/>
  <c r="CP70" i="7"/>
  <c r="CQ68" i="7"/>
  <c r="CP68" i="7"/>
  <c r="CQ139" i="7"/>
  <c r="CP54" i="7"/>
  <c r="CQ43" i="7"/>
  <c r="CQ9" i="7"/>
  <c r="CW21" i="8"/>
  <c r="CY20" i="8"/>
  <c r="CW14" i="8"/>
  <c r="CW11" i="8"/>
  <c r="CY10" i="8"/>
  <c r="CY8" i="8" s="1"/>
  <c r="CY9" i="8"/>
  <c r="C67" i="134"/>
  <c r="F67" i="134" s="1"/>
  <c r="B67" i="134"/>
  <c r="E67" i="134" s="1"/>
  <c r="C66" i="134"/>
  <c r="F66" i="134" s="1"/>
  <c r="G66" i="134" s="1"/>
  <c r="B66" i="134"/>
  <c r="E66" i="134" s="1"/>
  <c r="C65" i="134"/>
  <c r="F65" i="134" s="1"/>
  <c r="B65" i="134"/>
  <c r="E65" i="134" s="1"/>
  <c r="C64" i="134"/>
  <c r="F64" i="134" s="1"/>
  <c r="G64" i="134" s="1"/>
  <c r="B64" i="134"/>
  <c r="E64" i="134" s="1"/>
  <c r="C63" i="134"/>
  <c r="F63" i="134" s="1"/>
  <c r="B63" i="134"/>
  <c r="E63" i="134" s="1"/>
  <c r="C62" i="134"/>
  <c r="F62" i="134" s="1"/>
  <c r="G62" i="134" s="1"/>
  <c r="B62" i="134"/>
  <c r="E62" i="134" s="1"/>
  <c r="C61" i="134"/>
  <c r="F61" i="134" s="1"/>
  <c r="B61" i="134"/>
  <c r="E61" i="134" s="1"/>
  <c r="C60" i="134"/>
  <c r="F60" i="134" s="1"/>
  <c r="G60" i="134" s="1"/>
  <c r="B60" i="134"/>
  <c r="E60" i="134" s="1"/>
  <c r="C59" i="134"/>
  <c r="F59" i="134" s="1"/>
  <c r="B59" i="134"/>
  <c r="E59" i="134" s="1"/>
  <c r="C58" i="134"/>
  <c r="F58" i="134" s="1"/>
  <c r="B58" i="134"/>
  <c r="E58" i="134" s="1"/>
  <c r="C57" i="134"/>
  <c r="F57" i="134" s="1"/>
  <c r="B57" i="134"/>
  <c r="E57" i="134" s="1"/>
  <c r="C56" i="134"/>
  <c r="B56" i="134"/>
  <c r="E56" i="134" s="1"/>
  <c r="C50" i="134"/>
  <c r="F50" i="134"/>
  <c r="B50" i="134"/>
  <c r="E50" i="134" s="1"/>
  <c r="C49" i="134"/>
  <c r="F49" i="134"/>
  <c r="B49" i="134"/>
  <c r="E49" i="134" s="1"/>
  <c r="C48" i="134"/>
  <c r="F48" i="134" s="1"/>
  <c r="B48" i="134"/>
  <c r="E48" i="134" s="1"/>
  <c r="C47" i="134"/>
  <c r="F47" i="134"/>
  <c r="B47" i="134"/>
  <c r="E47" i="134" s="1"/>
  <c r="C46" i="134"/>
  <c r="F46" i="134"/>
  <c r="B46" i="134"/>
  <c r="E46" i="134" s="1"/>
  <c r="C45" i="134"/>
  <c r="F45" i="134" s="1"/>
  <c r="B45" i="134"/>
  <c r="E45" i="134" s="1"/>
  <c r="C44" i="134"/>
  <c r="F44" i="134" s="1"/>
  <c r="B44" i="134"/>
  <c r="E44" i="134" s="1"/>
  <c r="C43" i="134"/>
  <c r="F43" i="134" s="1"/>
  <c r="B43" i="134"/>
  <c r="E43" i="134" s="1"/>
  <c r="C42" i="134"/>
  <c r="F42" i="134" s="1"/>
  <c r="B42" i="134"/>
  <c r="E42" i="134"/>
  <c r="C41" i="134"/>
  <c r="F41" i="134" s="1"/>
  <c r="B41" i="134"/>
  <c r="E41" i="134" s="1"/>
  <c r="C40" i="134"/>
  <c r="F40" i="134" s="1"/>
  <c r="B40" i="134"/>
  <c r="E40" i="134" s="1"/>
  <c r="C39" i="134"/>
  <c r="F39" i="134" s="1"/>
  <c r="B39" i="134"/>
  <c r="E39" i="134" s="1"/>
  <c r="C33" i="134"/>
  <c r="F33" i="134" s="1"/>
  <c r="B33" i="134"/>
  <c r="E33" i="134" s="1"/>
  <c r="C32" i="134"/>
  <c r="F32" i="134" s="1"/>
  <c r="B32" i="134"/>
  <c r="E32" i="134" s="1"/>
  <c r="C31" i="134"/>
  <c r="F31" i="134" s="1"/>
  <c r="B31" i="134"/>
  <c r="E31" i="134" s="1"/>
  <c r="C30" i="134"/>
  <c r="F30" i="134" s="1"/>
  <c r="B30" i="134"/>
  <c r="E30" i="134" s="1"/>
  <c r="C29" i="134"/>
  <c r="F29" i="134" s="1"/>
  <c r="B29" i="134"/>
  <c r="E29" i="134" s="1"/>
  <c r="C28" i="134"/>
  <c r="F28" i="134" s="1"/>
  <c r="B28" i="134"/>
  <c r="E28" i="134" s="1"/>
  <c r="C27" i="134"/>
  <c r="F27" i="134" s="1"/>
  <c r="B27" i="134"/>
  <c r="E27" i="134" s="1"/>
  <c r="C26" i="134"/>
  <c r="F26" i="134" s="1"/>
  <c r="B26" i="134"/>
  <c r="E26" i="134" s="1"/>
  <c r="C25" i="134"/>
  <c r="B25" i="134"/>
  <c r="E25" i="134" s="1"/>
  <c r="C24" i="134"/>
  <c r="F24" i="134" s="1"/>
  <c r="B24" i="134"/>
  <c r="E24" i="134" s="1"/>
  <c r="C23" i="134"/>
  <c r="F23" i="134" s="1"/>
  <c r="B23" i="134"/>
  <c r="E23" i="134" s="1"/>
  <c r="C22" i="134"/>
  <c r="F22" i="134" s="1"/>
  <c r="B22" i="134"/>
  <c r="C16" i="134"/>
  <c r="F16" i="134" s="1"/>
  <c r="B16" i="134"/>
  <c r="E16" i="134"/>
  <c r="C15" i="134"/>
  <c r="F15" i="134" s="1"/>
  <c r="B15" i="134"/>
  <c r="E15" i="134" s="1"/>
  <c r="C14" i="134"/>
  <c r="F14" i="134" s="1"/>
  <c r="B14" i="134"/>
  <c r="E14" i="134" s="1"/>
  <c r="C13" i="134"/>
  <c r="F13" i="134" s="1"/>
  <c r="B13" i="134"/>
  <c r="E13" i="134"/>
  <c r="C12" i="134"/>
  <c r="F12" i="134" s="1"/>
  <c r="B12" i="134"/>
  <c r="E12" i="134" s="1"/>
  <c r="C11" i="134"/>
  <c r="F11" i="134" s="1"/>
  <c r="B11" i="134"/>
  <c r="E11" i="134" s="1"/>
  <c r="C10" i="134"/>
  <c r="F10" i="134" s="1"/>
  <c r="B10" i="134"/>
  <c r="E10" i="134" s="1"/>
  <c r="C9" i="134"/>
  <c r="F9" i="134" s="1"/>
  <c r="B9" i="134"/>
  <c r="E9" i="134" s="1"/>
  <c r="C8" i="134"/>
  <c r="F8" i="134" s="1"/>
  <c r="B8" i="134"/>
  <c r="E8" i="134" s="1"/>
  <c r="C7" i="134"/>
  <c r="F7" i="134" s="1"/>
  <c r="B7" i="134"/>
  <c r="E7" i="134"/>
  <c r="C6" i="134"/>
  <c r="F6" i="134" s="1"/>
  <c r="B6" i="134"/>
  <c r="E6" i="134" s="1"/>
  <c r="C5" i="134"/>
  <c r="F5" i="134" s="1"/>
  <c r="B5" i="134"/>
  <c r="X28" i="104"/>
  <c r="X19" i="104"/>
  <c r="X20" i="104"/>
  <c r="X17" i="104"/>
  <c r="W23" i="104"/>
  <c r="AU66" i="32"/>
  <c r="AU68" i="32" s="1"/>
  <c r="AU64" i="32"/>
  <c r="AU62" i="32"/>
  <c r="AW62" i="32" s="1"/>
  <c r="AV67" i="32"/>
  <c r="AW67" i="32" s="1"/>
  <c r="AV64" i="32"/>
  <c r="AV68" i="32" s="1"/>
  <c r="AR69" i="32"/>
  <c r="AT69" i="32" s="1"/>
  <c r="AR68" i="32"/>
  <c r="AS67" i="32"/>
  <c r="AT67" i="32" s="1"/>
  <c r="M10" i="92"/>
  <c r="L16" i="92"/>
  <c r="W27" i="104" s="1"/>
  <c r="Y27" i="104" s="1"/>
  <c r="L8" i="92"/>
  <c r="L14" i="92" s="1"/>
  <c r="M17" i="92"/>
  <c r="T36" i="105"/>
  <c r="X26" i="104" s="1"/>
  <c r="T33" i="105"/>
  <c r="CS56" i="7" s="1"/>
  <c r="CR56" i="7" s="1"/>
  <c r="T22" i="105"/>
  <c r="T28" i="105" s="1"/>
  <c r="T21" i="105"/>
  <c r="T27" i="105" s="1"/>
  <c r="T20" i="105"/>
  <c r="T14" i="105"/>
  <c r="T6" i="105"/>
  <c r="S22" i="105"/>
  <c r="S28" i="105" s="1"/>
  <c r="S21" i="105"/>
  <c r="S27" i="105"/>
  <c r="S20" i="105"/>
  <c r="S26" i="105" s="1"/>
  <c r="S14" i="105"/>
  <c r="S6" i="105"/>
  <c r="W15" i="102"/>
  <c r="W9" i="102"/>
  <c r="W7" i="102" s="1"/>
  <c r="S19" i="105"/>
  <c r="K11" i="103"/>
  <c r="T10" i="100"/>
  <c r="R10" i="100"/>
  <c r="CQ49" i="19"/>
  <c r="CU14" i="19"/>
  <c r="CV12" i="19"/>
  <c r="CU12" i="19"/>
  <c r="CT12" i="19"/>
  <c r="CS12" i="19"/>
  <c r="CR12" i="19"/>
  <c r="CQ12" i="19"/>
  <c r="CP14" i="19"/>
  <c r="AT41" i="6"/>
  <c r="AT40" i="6"/>
  <c r="AT37" i="6"/>
  <c r="AT36" i="6"/>
  <c r="AT35" i="6"/>
  <c r="AT34" i="6"/>
  <c r="AT33" i="6"/>
  <c r="AT27" i="6"/>
  <c r="AT24" i="6"/>
  <c r="AT22" i="6"/>
  <c r="AT21" i="6"/>
  <c r="AT19" i="6"/>
  <c r="AT15" i="6"/>
  <c r="AT14" i="6"/>
  <c r="BB45" i="5"/>
  <c r="BB43" i="5"/>
  <c r="BB42" i="5"/>
  <c r="BB41" i="5"/>
  <c r="BB40" i="5"/>
  <c r="BB39" i="5"/>
  <c r="BB38" i="5"/>
  <c r="BB37" i="5"/>
  <c r="BB36" i="5"/>
  <c r="BB35" i="5"/>
  <c r="BB34" i="5"/>
  <c r="BB28" i="5"/>
  <c r="BB23" i="5"/>
  <c r="BB14" i="5"/>
  <c r="BB33" i="5"/>
  <c r="BB32" i="5"/>
  <c r="BA16" i="5"/>
  <c r="O35" i="111"/>
  <c r="L52" i="97"/>
  <c r="O34" i="111" s="1"/>
  <c r="CX22" i="8" s="1"/>
  <c r="CW22" i="8" s="1"/>
  <c r="L54" i="97"/>
  <c r="O36" i="111" s="1"/>
  <c r="CX37" i="8" s="1"/>
  <c r="CW37" i="8" s="1"/>
  <c r="L53" i="97"/>
  <c r="L51" i="97"/>
  <c r="O33" i="111" s="1"/>
  <c r="CX12" i="8" s="1"/>
  <c r="L49" i="97"/>
  <c r="O31" i="111" s="1"/>
  <c r="CS38" i="7" s="1"/>
  <c r="CR38" i="7" s="1"/>
  <c r="L48" i="97"/>
  <c r="O30" i="111" s="1"/>
  <c r="CS28" i="7" s="1"/>
  <c r="CR28" i="7" s="1"/>
  <c r="L45" i="97"/>
  <c r="O27" i="111" s="1"/>
  <c r="CS12" i="7" s="1"/>
  <c r="L46" i="97"/>
  <c r="O28" i="111" s="1"/>
  <c r="L47" i="97"/>
  <c r="O29" i="111" s="1"/>
  <c r="CS46" i="7" s="1"/>
  <c r="CR46" i="7" s="1"/>
  <c r="K56" i="97"/>
  <c r="K50" i="97"/>
  <c r="L55" i="97"/>
  <c r="CR49" i="19"/>
  <c r="CV49" i="19"/>
  <c r="CP12" i="19"/>
  <c r="D77" i="68"/>
  <c r="D79" i="68" s="1"/>
  <c r="DH31" i="17"/>
  <c r="DH24" i="17"/>
  <c r="DF36" i="17"/>
  <c r="DF35" i="17"/>
  <c r="DF34" i="17"/>
  <c r="DF33" i="17"/>
  <c r="DF32" i="17"/>
  <c r="DF30" i="17"/>
  <c r="DF29" i="17"/>
  <c r="DF28" i="17"/>
  <c r="DF27" i="17"/>
  <c r="DF26" i="17"/>
  <c r="DF25" i="17"/>
  <c r="P66" i="96"/>
  <c r="P60" i="96"/>
  <c r="P43" i="96"/>
  <c r="P37" i="96"/>
  <c r="P36" i="96" s="1"/>
  <c r="P32" i="96"/>
  <c r="P31" i="96" s="1"/>
  <c r="P27" i="96"/>
  <c r="P26" i="96" s="1"/>
  <c r="P22" i="96"/>
  <c r="P21" i="96" s="1"/>
  <c r="P17" i="96"/>
  <c r="P12" i="96"/>
  <c r="P11" i="96" s="1"/>
  <c r="P59" i="96"/>
  <c r="P49" i="96"/>
  <c r="P16" i="96"/>
  <c r="P54" i="96" s="1"/>
  <c r="P55" i="96" s="1"/>
  <c r="O67" i="96"/>
  <c r="CU19" i="8" s="1"/>
  <c r="O59" i="96"/>
  <c r="O54" i="96"/>
  <c r="D82" i="68"/>
  <c r="BD18" i="10"/>
  <c r="BD13" i="10"/>
  <c r="DH54" i="8"/>
  <c r="AG14" i="98"/>
  <c r="AH8" i="95"/>
  <c r="AH43" i="95"/>
  <c r="AH38" i="95"/>
  <c r="BL57" i="3"/>
  <c r="AU63" i="32" s="1"/>
  <c r="AW63" i="32" s="1"/>
  <c r="BL53" i="3"/>
  <c r="BM49" i="3"/>
  <c r="BL66" i="3"/>
  <c r="BL63" i="3"/>
  <c r="BK63" i="3"/>
  <c r="CV100" i="8" s="1"/>
  <c r="CV52" i="8" s="1"/>
  <c r="BJ63" i="3"/>
  <c r="CU100" i="8" s="1"/>
  <c r="H48" i="121"/>
  <c r="H49" i="121"/>
  <c r="H50" i="121"/>
  <c r="H51" i="121"/>
  <c r="H52" i="121"/>
  <c r="H53" i="121"/>
  <c r="H54" i="121"/>
  <c r="I55" i="121"/>
  <c r="J55" i="121"/>
  <c r="I56" i="121"/>
  <c r="J56" i="121"/>
  <c r="H57" i="121"/>
  <c r="H58" i="121"/>
  <c r="H59" i="121"/>
  <c r="H60" i="121"/>
  <c r="I61" i="121"/>
  <c r="J61" i="121"/>
  <c r="H62" i="121"/>
  <c r="H63" i="121"/>
  <c r="H64" i="121"/>
  <c r="H65" i="121"/>
  <c r="H66" i="121"/>
  <c r="I67" i="121"/>
  <c r="J67" i="121"/>
  <c r="H68" i="121"/>
  <c r="H69" i="121"/>
  <c r="H70" i="121"/>
  <c r="H71" i="121"/>
  <c r="H72" i="121"/>
  <c r="H73" i="121"/>
  <c r="H74" i="121"/>
  <c r="H75" i="121"/>
  <c r="H79" i="121"/>
  <c r="H80" i="121"/>
  <c r="H85" i="121"/>
  <c r="G197" i="120"/>
  <c r="G49" i="121" s="1"/>
  <c r="F198" i="120"/>
  <c r="F50" i="121" s="1"/>
  <c r="G198" i="120"/>
  <c r="G50" i="121" s="1"/>
  <c r="E50" i="121" s="1"/>
  <c r="G199" i="120"/>
  <c r="G51" i="121" s="1"/>
  <c r="E79" i="121"/>
  <c r="E80" i="121"/>
  <c r="H29" i="121"/>
  <c r="H39" i="121" s="1"/>
  <c r="H31" i="121"/>
  <c r="H32" i="121"/>
  <c r="H33" i="121"/>
  <c r="I34" i="121"/>
  <c r="I37" i="121" s="1"/>
  <c r="H35" i="121"/>
  <c r="H36" i="121"/>
  <c r="J37" i="121"/>
  <c r="I39" i="121"/>
  <c r="FH30" i="121"/>
  <c r="K42" i="128"/>
  <c r="K40" i="128"/>
  <c r="Q40" i="128" s="1"/>
  <c r="B42" i="128"/>
  <c r="K41" i="128"/>
  <c r="M41" i="128" s="1"/>
  <c r="B41" i="128"/>
  <c r="B40" i="128"/>
  <c r="H40" i="128" s="1"/>
  <c r="B38" i="128"/>
  <c r="C38" i="128" s="1"/>
  <c r="K28" i="128"/>
  <c r="M28" i="128" s="1"/>
  <c r="B28" i="128"/>
  <c r="C28" i="128" s="1"/>
  <c r="K24" i="128"/>
  <c r="R24" i="128" s="1"/>
  <c r="B24" i="128"/>
  <c r="D24" i="128" s="1"/>
  <c r="B19" i="128"/>
  <c r="B18" i="128"/>
  <c r="K16" i="128"/>
  <c r="M16" i="128" s="1"/>
  <c r="B16" i="128"/>
  <c r="G16" i="128" s="1"/>
  <c r="K12" i="128"/>
  <c r="R12" i="128" s="1"/>
  <c r="B12" i="128"/>
  <c r="C12" i="128" s="1"/>
  <c r="K4" i="129"/>
  <c r="K8" i="129" s="1"/>
  <c r="J4" i="129"/>
  <c r="J8" i="129" s="1"/>
  <c r="V46" i="126"/>
  <c r="D50" i="122"/>
  <c r="D51" i="122"/>
  <c r="D52" i="122"/>
  <c r="S52" i="122" s="1"/>
  <c r="D54" i="122"/>
  <c r="S54" i="122" s="1"/>
  <c r="D55" i="122"/>
  <c r="D56" i="122"/>
  <c r="D57" i="122"/>
  <c r="D60" i="122"/>
  <c r="S60" i="122" s="1"/>
  <c r="D61" i="122"/>
  <c r="S61" i="122" s="1"/>
  <c r="D66" i="122"/>
  <c r="D67" i="122"/>
  <c r="S67" i="122" s="1"/>
  <c r="D69" i="122"/>
  <c r="S69" i="122" s="1"/>
  <c r="D71" i="122"/>
  <c r="S71" i="122" s="1"/>
  <c r="D72" i="122"/>
  <c r="D73" i="122"/>
  <c r="S73" i="122" s="1"/>
  <c r="D74" i="122"/>
  <c r="S74" i="122" s="1"/>
  <c r="AH74" i="122" s="1"/>
  <c r="AQ74" i="122" s="1"/>
  <c r="BO74" i="122" s="1"/>
  <c r="S72" i="122"/>
  <c r="AH72" i="122" s="1"/>
  <c r="AQ72" i="122" s="1"/>
  <c r="C50" i="122"/>
  <c r="AG22" i="126"/>
  <c r="AG21" i="126"/>
  <c r="AG20" i="126"/>
  <c r="AG19" i="126"/>
  <c r="AF18" i="126"/>
  <c r="AG17" i="126"/>
  <c r="D155" i="120"/>
  <c r="D153" i="120"/>
  <c r="D152" i="120"/>
  <c r="S152" i="120" s="1"/>
  <c r="D151" i="120"/>
  <c r="S151" i="120" s="1"/>
  <c r="S217" i="120" s="1"/>
  <c r="AQ69" i="121" s="1"/>
  <c r="AZ69" i="121" s="1"/>
  <c r="BI69" i="121" s="1"/>
  <c r="D217" i="120"/>
  <c r="D69" i="121" s="1"/>
  <c r="D150" i="120"/>
  <c r="S150" i="120" s="1"/>
  <c r="AF21" i="125"/>
  <c r="AE21" i="125"/>
  <c r="BX188" i="120"/>
  <c r="BW188" i="120"/>
  <c r="BU188" i="120"/>
  <c r="BT188" i="120"/>
  <c r="BR188" i="120"/>
  <c r="BQ188" i="120"/>
  <c r="AZ188" i="120"/>
  <c r="AY188" i="120"/>
  <c r="AW188" i="120"/>
  <c r="AV188" i="120"/>
  <c r="AT188" i="120"/>
  <c r="AS188" i="120"/>
  <c r="AB188" i="120"/>
  <c r="AA188" i="120"/>
  <c r="Y188" i="120"/>
  <c r="X188" i="120"/>
  <c r="V188" i="120"/>
  <c r="U188" i="120"/>
  <c r="M188" i="120"/>
  <c r="L188" i="120"/>
  <c r="J188" i="120"/>
  <c r="I188" i="120"/>
  <c r="G188" i="120"/>
  <c r="F188" i="120"/>
  <c r="BX187" i="120"/>
  <c r="BW187" i="120"/>
  <c r="BU187" i="120"/>
  <c r="BT187" i="120"/>
  <c r="BR187" i="120"/>
  <c r="BQ187" i="120"/>
  <c r="AZ187" i="120"/>
  <c r="AY187" i="120"/>
  <c r="AW187" i="120"/>
  <c r="AV187" i="120"/>
  <c r="AT187" i="120"/>
  <c r="AS187" i="120"/>
  <c r="AB187" i="120"/>
  <c r="AA187" i="120"/>
  <c r="Y187" i="120"/>
  <c r="X187" i="120"/>
  <c r="V187" i="120"/>
  <c r="U187" i="120"/>
  <c r="M187" i="120"/>
  <c r="L187" i="120"/>
  <c r="J187" i="120"/>
  <c r="I187" i="120"/>
  <c r="G187" i="120"/>
  <c r="F187" i="120"/>
  <c r="BX186" i="120"/>
  <c r="BW186" i="120"/>
  <c r="BU186" i="120"/>
  <c r="BT186" i="120"/>
  <c r="BR186" i="120"/>
  <c r="BQ186" i="120"/>
  <c r="AZ186" i="120"/>
  <c r="AY186" i="120"/>
  <c r="AW186" i="120"/>
  <c r="AV186" i="120"/>
  <c r="AT186" i="120"/>
  <c r="AS186" i="120"/>
  <c r="AB186" i="120"/>
  <c r="AA186" i="120"/>
  <c r="Y186" i="120"/>
  <c r="X186" i="120"/>
  <c r="V186" i="120"/>
  <c r="U186" i="120"/>
  <c r="M186" i="120"/>
  <c r="L186" i="120"/>
  <c r="J186" i="120"/>
  <c r="I186" i="120"/>
  <c r="G186" i="120"/>
  <c r="F186" i="120"/>
  <c r="CD183" i="120"/>
  <c r="CC183" i="120"/>
  <c r="BX183" i="120"/>
  <c r="BW183" i="120"/>
  <c r="BU183" i="120"/>
  <c r="BT183" i="120"/>
  <c r="BR183" i="120"/>
  <c r="BQ183" i="120"/>
  <c r="AZ183" i="120"/>
  <c r="AY183" i="120"/>
  <c r="AW183" i="120"/>
  <c r="AV183" i="120"/>
  <c r="AT183" i="120"/>
  <c r="AS183" i="120"/>
  <c r="AB183" i="120"/>
  <c r="AA183" i="120"/>
  <c r="Y183" i="120"/>
  <c r="X183" i="120"/>
  <c r="V183" i="120"/>
  <c r="U183" i="120"/>
  <c r="M183" i="120"/>
  <c r="L183" i="120"/>
  <c r="J183" i="120"/>
  <c r="I183" i="120"/>
  <c r="G183" i="120"/>
  <c r="F183" i="120"/>
  <c r="H8" i="129"/>
  <c r="H5" i="129"/>
  <c r="H6" i="129" s="1"/>
  <c r="H10" i="129" s="1"/>
  <c r="F41" i="128"/>
  <c r="K57" i="127"/>
  <c r="E57" i="127"/>
  <c r="G57" i="127"/>
  <c r="I57" i="127" s="1"/>
  <c r="K56" i="127"/>
  <c r="E56" i="127"/>
  <c r="G56" i="127" s="1"/>
  <c r="K55" i="127"/>
  <c r="E55" i="127"/>
  <c r="G55" i="127" s="1"/>
  <c r="I55" i="127" s="1"/>
  <c r="H54" i="127"/>
  <c r="F54" i="127"/>
  <c r="D54" i="127"/>
  <c r="C54" i="127"/>
  <c r="K53" i="127"/>
  <c r="E53" i="127"/>
  <c r="G53" i="127" s="1"/>
  <c r="I53" i="127" s="1"/>
  <c r="G51" i="127"/>
  <c r="F51" i="127"/>
  <c r="E51" i="127"/>
  <c r="D51" i="127"/>
  <c r="C51" i="127"/>
  <c r="H49" i="127"/>
  <c r="G49" i="127"/>
  <c r="F49" i="127"/>
  <c r="E49" i="127"/>
  <c r="D49" i="127"/>
  <c r="C49" i="127"/>
  <c r="H46" i="127"/>
  <c r="F46" i="127"/>
  <c r="D46" i="127"/>
  <c r="C46" i="127"/>
  <c r="B31" i="128" s="1"/>
  <c r="C31" i="128" s="1"/>
  <c r="H45" i="127"/>
  <c r="F45" i="127"/>
  <c r="D44" i="127"/>
  <c r="B30" i="128"/>
  <c r="H44" i="127"/>
  <c r="F44" i="127"/>
  <c r="K39" i="127"/>
  <c r="I49" i="127"/>
  <c r="K34" i="127"/>
  <c r="E34" i="127"/>
  <c r="E46" i="127" s="1"/>
  <c r="K33" i="127"/>
  <c r="E33" i="127"/>
  <c r="E45" i="127" s="1"/>
  <c r="H32" i="127"/>
  <c r="H52" i="127" s="1"/>
  <c r="F32" i="127"/>
  <c r="D32" i="127"/>
  <c r="C32" i="127"/>
  <c r="K26" i="127"/>
  <c r="G18" i="126"/>
  <c r="F18" i="126"/>
  <c r="G16" i="126"/>
  <c r="G15" i="126" s="1"/>
  <c r="F16" i="126"/>
  <c r="K15" i="126"/>
  <c r="I15" i="126"/>
  <c r="H15" i="126"/>
  <c r="F15" i="126"/>
  <c r="D40" i="128"/>
  <c r="H9" i="129"/>
  <c r="H13" i="129" s="1"/>
  <c r="H15" i="129" s="1"/>
  <c r="H19" i="129" s="1"/>
  <c r="G28" i="128"/>
  <c r="G38" i="128"/>
  <c r="M40" i="128"/>
  <c r="B128" i="122"/>
  <c r="Q128" i="122" s="1"/>
  <c r="AO128" i="122" s="1"/>
  <c r="BM128" i="122" s="1"/>
  <c r="B162" i="120"/>
  <c r="Q162" i="120" s="1"/>
  <c r="AO162" i="120" s="1"/>
  <c r="BM162" i="120" s="1"/>
  <c r="T183" i="122"/>
  <c r="AR73" i="123" s="1"/>
  <c r="T182" i="122"/>
  <c r="AR72" i="123"/>
  <c r="T181" i="122"/>
  <c r="AR71" i="123" s="1"/>
  <c r="T230" i="120"/>
  <c r="AR88" i="121"/>
  <c r="T229" i="120"/>
  <c r="AR87" i="121" s="1"/>
  <c r="T228" i="120"/>
  <c r="AR86" i="121"/>
  <c r="FT50" i="123"/>
  <c r="FT47" i="123"/>
  <c r="DL60" i="123"/>
  <c r="DL59" i="123"/>
  <c r="DL58" i="123"/>
  <c r="DL57" i="123"/>
  <c r="DL56" i="123"/>
  <c r="DL55" i="123"/>
  <c r="DL54" i="123"/>
  <c r="DL53" i="123"/>
  <c r="DL51" i="123"/>
  <c r="DL50" i="123"/>
  <c r="DL49" i="123"/>
  <c r="DN48" i="123"/>
  <c r="DM48" i="123"/>
  <c r="DL47" i="123"/>
  <c r="DL46" i="123"/>
  <c r="DL45" i="123"/>
  <c r="DL44" i="123"/>
  <c r="DN43" i="123"/>
  <c r="DM43" i="123"/>
  <c r="DN42" i="123"/>
  <c r="DM42" i="123"/>
  <c r="DL41" i="123"/>
  <c r="DL40" i="123"/>
  <c r="DL42" i="123" s="1"/>
  <c r="DL39" i="123"/>
  <c r="DL38" i="123"/>
  <c r="DL37" i="123"/>
  <c r="DL36" i="123"/>
  <c r="DL35" i="123"/>
  <c r="DC60" i="123"/>
  <c r="DC59" i="123"/>
  <c r="DC58" i="123"/>
  <c r="DU58" i="123" s="1"/>
  <c r="DC57" i="123"/>
  <c r="DC56" i="123"/>
  <c r="DC55" i="123"/>
  <c r="DC54" i="123"/>
  <c r="DC53" i="123"/>
  <c r="DC51" i="123"/>
  <c r="DC50" i="123"/>
  <c r="DC49" i="123"/>
  <c r="DE48" i="123"/>
  <c r="DD48" i="123"/>
  <c r="DC47" i="123"/>
  <c r="DC46" i="123"/>
  <c r="DC45" i="123"/>
  <c r="DC44" i="123"/>
  <c r="DE43" i="123"/>
  <c r="DD43" i="123"/>
  <c r="DE42" i="123"/>
  <c r="DD42" i="123"/>
  <c r="DC41" i="123"/>
  <c r="DC40" i="123"/>
  <c r="DC39" i="123"/>
  <c r="DC38" i="123"/>
  <c r="DC37" i="123"/>
  <c r="DC36" i="123"/>
  <c r="DC35" i="123"/>
  <c r="CT60" i="123"/>
  <c r="CT59" i="123"/>
  <c r="CT56" i="123"/>
  <c r="CT55" i="123"/>
  <c r="CT54" i="123"/>
  <c r="CT53" i="123"/>
  <c r="CT51" i="123"/>
  <c r="CT50" i="123"/>
  <c r="CT49" i="123"/>
  <c r="CV48" i="123"/>
  <c r="CU48" i="123"/>
  <c r="CT47" i="123"/>
  <c r="CT46" i="123"/>
  <c r="CT45" i="123"/>
  <c r="DU45" i="123" s="1"/>
  <c r="CT44" i="123"/>
  <c r="CV43" i="123"/>
  <c r="CU43" i="123"/>
  <c r="CV42" i="123"/>
  <c r="CU42" i="123"/>
  <c r="CT41" i="123"/>
  <c r="CT40" i="123"/>
  <c r="CT42" i="123" s="1"/>
  <c r="CT39" i="123"/>
  <c r="DU39" i="123" s="1"/>
  <c r="CT38" i="123"/>
  <c r="CT37" i="123"/>
  <c r="CT36" i="123"/>
  <c r="CT35" i="123"/>
  <c r="DU35" i="123" s="1"/>
  <c r="BM60" i="123"/>
  <c r="BM59" i="123"/>
  <c r="BM58" i="123"/>
  <c r="BM57" i="123"/>
  <c r="BM56" i="123"/>
  <c r="BM55" i="123"/>
  <c r="BM54" i="123"/>
  <c r="BM53" i="123"/>
  <c r="BM51" i="123"/>
  <c r="BM50" i="123"/>
  <c r="BM49" i="123"/>
  <c r="BM48" i="123" s="1"/>
  <c r="BO48" i="123"/>
  <c r="BN48" i="123"/>
  <c r="BM47" i="123"/>
  <c r="BM46" i="123"/>
  <c r="BM45" i="123"/>
  <c r="BM44" i="123"/>
  <c r="BO43" i="123"/>
  <c r="BN43" i="123"/>
  <c r="BN61" i="123" s="1"/>
  <c r="BO42" i="123"/>
  <c r="BN42" i="123"/>
  <c r="BM41" i="123"/>
  <c r="BM40" i="123"/>
  <c r="BM42" i="123" s="1"/>
  <c r="BM39" i="123"/>
  <c r="BM38" i="123"/>
  <c r="BM37" i="123"/>
  <c r="BM36" i="123"/>
  <c r="BM35" i="123"/>
  <c r="BD60" i="123"/>
  <c r="BD59" i="123"/>
  <c r="BD58" i="123"/>
  <c r="BD57" i="123"/>
  <c r="BD56" i="123"/>
  <c r="BD55" i="123"/>
  <c r="BD54" i="123"/>
  <c r="BD53" i="123"/>
  <c r="BD51" i="123"/>
  <c r="BD50" i="123"/>
  <c r="BD49" i="123"/>
  <c r="BF48" i="123"/>
  <c r="BE48" i="123"/>
  <c r="BD47" i="123"/>
  <c r="BD46" i="123"/>
  <c r="BD45" i="123"/>
  <c r="BD44" i="123"/>
  <c r="BF43" i="123"/>
  <c r="BE43" i="123"/>
  <c r="BE61" i="123" s="1"/>
  <c r="BF42" i="123"/>
  <c r="BE42" i="123"/>
  <c r="BD41" i="123"/>
  <c r="BD40" i="123"/>
  <c r="BD39" i="123"/>
  <c r="BD38" i="123"/>
  <c r="BD37" i="123"/>
  <c r="BD36" i="123"/>
  <c r="BD35" i="123"/>
  <c r="AU60" i="123"/>
  <c r="AU59" i="123"/>
  <c r="AU58" i="123"/>
  <c r="AU57" i="123"/>
  <c r="BV57" i="123" s="1"/>
  <c r="AU56" i="123"/>
  <c r="AU55" i="123"/>
  <c r="AU54" i="123"/>
  <c r="AU53" i="123"/>
  <c r="BV53" i="123" s="1"/>
  <c r="AU51" i="123"/>
  <c r="AU50" i="123"/>
  <c r="BV50" i="123" s="1"/>
  <c r="AU49" i="123"/>
  <c r="AU48" i="123" s="1"/>
  <c r="AW48" i="123"/>
  <c r="AV48" i="123"/>
  <c r="AU47" i="123"/>
  <c r="AU46" i="123"/>
  <c r="AU45" i="123"/>
  <c r="BV45" i="123" s="1"/>
  <c r="AU44" i="123"/>
  <c r="AW43" i="123"/>
  <c r="AV43" i="123"/>
  <c r="AV61" i="123" s="1"/>
  <c r="AW42" i="123"/>
  <c r="AV42" i="123"/>
  <c r="AU41" i="123"/>
  <c r="AU40" i="123"/>
  <c r="AU39" i="123"/>
  <c r="BV39" i="123" s="1"/>
  <c r="AU38" i="123"/>
  <c r="AU37" i="123"/>
  <c r="BV37" i="123" s="1"/>
  <c r="AU36" i="123"/>
  <c r="AU35" i="123"/>
  <c r="BV35" i="123" s="1"/>
  <c r="Z60" i="123"/>
  <c r="Z59" i="123"/>
  <c r="Z58" i="123"/>
  <c r="Z57" i="123"/>
  <c r="Z56" i="123"/>
  <c r="Z55" i="123"/>
  <c r="Z54" i="123"/>
  <c r="Z53" i="123"/>
  <c r="Z51" i="123"/>
  <c r="Z50" i="123"/>
  <c r="Z49" i="123"/>
  <c r="AB48" i="123"/>
  <c r="AA48" i="123"/>
  <c r="Z47" i="123"/>
  <c r="Z46" i="123"/>
  <c r="Z45" i="123"/>
  <c r="Z44" i="123"/>
  <c r="AB43" i="123"/>
  <c r="AA43" i="123"/>
  <c r="AA61" i="123" s="1"/>
  <c r="AB42" i="123"/>
  <c r="AA42" i="123"/>
  <c r="Z41" i="123"/>
  <c r="Z40" i="123"/>
  <c r="Z39" i="123"/>
  <c r="Z38" i="123"/>
  <c r="Z37" i="123"/>
  <c r="Z36" i="123"/>
  <c r="Z35" i="123"/>
  <c r="Q60" i="123"/>
  <c r="Q59" i="123"/>
  <c r="Q58" i="123"/>
  <c r="Q57" i="123"/>
  <c r="Q56" i="123"/>
  <c r="Q55" i="123"/>
  <c r="Q54" i="123"/>
  <c r="Q53" i="123"/>
  <c r="Q51" i="123"/>
  <c r="Q50" i="123"/>
  <c r="Q49" i="123"/>
  <c r="Q48" i="123" s="1"/>
  <c r="S48" i="123"/>
  <c r="R48" i="123"/>
  <c r="Q47" i="123"/>
  <c r="Q46" i="123"/>
  <c r="Q45" i="123"/>
  <c r="Q44" i="123"/>
  <c r="S43" i="123"/>
  <c r="R43" i="123"/>
  <c r="S42" i="123"/>
  <c r="R42" i="123"/>
  <c r="Q41" i="123"/>
  <c r="Q40" i="123"/>
  <c r="Q42" i="123" s="1"/>
  <c r="Q39" i="123"/>
  <c r="Q38" i="123"/>
  <c r="Q37" i="123"/>
  <c r="Q36" i="123"/>
  <c r="Q35" i="123"/>
  <c r="H60" i="123"/>
  <c r="H59" i="123"/>
  <c r="H58" i="123"/>
  <c r="H57" i="123"/>
  <c r="AI57" i="123" s="1"/>
  <c r="H56" i="123"/>
  <c r="H55" i="123"/>
  <c r="H54" i="123"/>
  <c r="H53" i="123"/>
  <c r="AI53" i="123" s="1"/>
  <c r="H51" i="123"/>
  <c r="H50" i="123"/>
  <c r="H49" i="123"/>
  <c r="H47" i="123"/>
  <c r="H46" i="123"/>
  <c r="H45" i="123"/>
  <c r="H44" i="123"/>
  <c r="H41" i="123"/>
  <c r="H42" i="123" s="1"/>
  <c r="H40" i="123"/>
  <c r="H39" i="123"/>
  <c r="H38" i="123"/>
  <c r="H37" i="123"/>
  <c r="H36" i="123"/>
  <c r="H35" i="123"/>
  <c r="V174" i="122"/>
  <c r="AT58" i="123" s="1"/>
  <c r="U174" i="122"/>
  <c r="AS58" i="123" s="1"/>
  <c r="V173" i="122"/>
  <c r="AT57" i="123" s="1"/>
  <c r="U173" i="122"/>
  <c r="AS57" i="123" s="1"/>
  <c r="V172" i="122"/>
  <c r="AT56" i="123" s="1"/>
  <c r="U172" i="122"/>
  <c r="AS56" i="123" s="1"/>
  <c r="V171" i="122"/>
  <c r="AT55" i="123" s="1"/>
  <c r="U171" i="122"/>
  <c r="AS55" i="123" s="1"/>
  <c r="V170" i="122"/>
  <c r="AT54" i="123" s="1"/>
  <c r="U170" i="122"/>
  <c r="AS54" i="123" s="1"/>
  <c r="V169" i="122"/>
  <c r="AT53" i="123" s="1"/>
  <c r="U169" i="122"/>
  <c r="AS53" i="123" s="1"/>
  <c r="V115" i="122"/>
  <c r="V168" i="122" s="1"/>
  <c r="AT52" i="123" s="1"/>
  <c r="U115" i="122"/>
  <c r="U106" i="122"/>
  <c r="U90" i="122"/>
  <c r="U35" i="122"/>
  <c r="U160" i="122"/>
  <c r="AS44" i="123" s="1"/>
  <c r="U161" i="122"/>
  <c r="U162" i="122"/>
  <c r="AS46" i="123" s="1"/>
  <c r="AS45" i="123"/>
  <c r="V157" i="122"/>
  <c r="AT41" i="123" s="1"/>
  <c r="U157" i="122"/>
  <c r="AS41" i="123" s="1"/>
  <c r="V156" i="122"/>
  <c r="AT40" i="123" s="1"/>
  <c r="U156" i="122"/>
  <c r="AS40" i="123" s="1"/>
  <c r="U155" i="122"/>
  <c r="AS39" i="123" s="1"/>
  <c r="U154" i="122"/>
  <c r="AS38" i="123" s="1"/>
  <c r="U152" i="122"/>
  <c r="AS36" i="123" s="1"/>
  <c r="V151" i="122"/>
  <c r="AT35" i="123" s="1"/>
  <c r="U151" i="122"/>
  <c r="AS35" i="123" s="1"/>
  <c r="J155" i="122"/>
  <c r="P39" i="123" s="1"/>
  <c r="J154" i="122"/>
  <c r="P38" i="123" s="1"/>
  <c r="J153" i="122"/>
  <c r="P37" i="123" s="1"/>
  <c r="I153" i="122"/>
  <c r="O37" i="123" s="1"/>
  <c r="J152" i="122"/>
  <c r="P36" i="123" s="1"/>
  <c r="G155" i="122"/>
  <c r="G39" i="123" s="1"/>
  <c r="G154" i="122"/>
  <c r="G38" i="123" s="1"/>
  <c r="G153" i="122"/>
  <c r="G37" i="123" s="1"/>
  <c r="F153" i="122"/>
  <c r="F37" i="123" s="1"/>
  <c r="G152" i="122"/>
  <c r="G36" i="123" s="1"/>
  <c r="FB75" i="121"/>
  <c r="FB74" i="121"/>
  <c r="FB73" i="121"/>
  <c r="FB72" i="121"/>
  <c r="FB71" i="121"/>
  <c r="FB70" i="121"/>
  <c r="FB69" i="121"/>
  <c r="FB68" i="121"/>
  <c r="FD67" i="121"/>
  <c r="FC67" i="121"/>
  <c r="FB66" i="121"/>
  <c r="FB65" i="121"/>
  <c r="FB64" i="121"/>
  <c r="FB63" i="121"/>
  <c r="FB62" i="121"/>
  <c r="FD61" i="121"/>
  <c r="FC61" i="121"/>
  <c r="FB60" i="121"/>
  <c r="FB59" i="121"/>
  <c r="FB58" i="121"/>
  <c r="FB57" i="121"/>
  <c r="FD56" i="121"/>
  <c r="FC56" i="121"/>
  <c r="FD55" i="121"/>
  <c r="FC55" i="121"/>
  <c r="FB54" i="121"/>
  <c r="FB55" i="121" s="1"/>
  <c r="FB53" i="121"/>
  <c r="FB52" i="121"/>
  <c r="FB51" i="121"/>
  <c r="FB50" i="121"/>
  <c r="FB49" i="121"/>
  <c r="FB48" i="121"/>
  <c r="ES75" i="121"/>
  <c r="ES74" i="121"/>
  <c r="ES73" i="121"/>
  <c r="ES72" i="121"/>
  <c r="ES71" i="121"/>
  <c r="ES70" i="121"/>
  <c r="ES69" i="121"/>
  <c r="ES68" i="121"/>
  <c r="EU67" i="121"/>
  <c r="ET67" i="121"/>
  <c r="ES66" i="121"/>
  <c r="ES65" i="121"/>
  <c r="ES64" i="121"/>
  <c r="ES63" i="121"/>
  <c r="FT63" i="121" s="1"/>
  <c r="ES62" i="121"/>
  <c r="EU61" i="121"/>
  <c r="ET61" i="121"/>
  <c r="ES60" i="121"/>
  <c r="ES59" i="121"/>
  <c r="ES58" i="121"/>
  <c r="ES57" i="121"/>
  <c r="EU56" i="121"/>
  <c r="ET56" i="121"/>
  <c r="EU55" i="121"/>
  <c r="ET55" i="121"/>
  <c r="ES54" i="121"/>
  <c r="ES55" i="121" s="1"/>
  <c r="ES53" i="121"/>
  <c r="ES52" i="121"/>
  <c r="ES51" i="121"/>
  <c r="ES50" i="121"/>
  <c r="ES49" i="121"/>
  <c r="ES48" i="121"/>
  <c r="DL75" i="121"/>
  <c r="DL74" i="121"/>
  <c r="DL73" i="121"/>
  <c r="DL72" i="121"/>
  <c r="DL71" i="121"/>
  <c r="DL70" i="121"/>
  <c r="DL69" i="121"/>
  <c r="DL68" i="121"/>
  <c r="DN67" i="121"/>
  <c r="DM67" i="121"/>
  <c r="DL66" i="121"/>
  <c r="DL65" i="121"/>
  <c r="DL64" i="121"/>
  <c r="DL63" i="121"/>
  <c r="DL62" i="121"/>
  <c r="DN61" i="121"/>
  <c r="DL60" i="121"/>
  <c r="DL59" i="121"/>
  <c r="DL58" i="121"/>
  <c r="DL57" i="121"/>
  <c r="DN56" i="121"/>
  <c r="DM56" i="121"/>
  <c r="DN55" i="121"/>
  <c r="DM55" i="121"/>
  <c r="DL54" i="121"/>
  <c r="DL53" i="121"/>
  <c r="DL55" i="121" s="1"/>
  <c r="DL52" i="121"/>
  <c r="DL51" i="121"/>
  <c r="DL50" i="121"/>
  <c r="DL49" i="121"/>
  <c r="DL48" i="121"/>
  <c r="DC75" i="121"/>
  <c r="DC74" i="121"/>
  <c r="DC73" i="121"/>
  <c r="DC72" i="121"/>
  <c r="DC71" i="121"/>
  <c r="DC70" i="121"/>
  <c r="DC69" i="121"/>
  <c r="DC68" i="121"/>
  <c r="DE67" i="121"/>
  <c r="DD67" i="121"/>
  <c r="DC66" i="121"/>
  <c r="DC65" i="121"/>
  <c r="DC64" i="121"/>
  <c r="DC63" i="121"/>
  <c r="DC62" i="121"/>
  <c r="DE61" i="121"/>
  <c r="DD61" i="121"/>
  <c r="DC60" i="121"/>
  <c r="DC59" i="121"/>
  <c r="DC58" i="121"/>
  <c r="DC57" i="121"/>
  <c r="DE56" i="121"/>
  <c r="DD56" i="121"/>
  <c r="DE55" i="121"/>
  <c r="DD55" i="121"/>
  <c r="DC54" i="121"/>
  <c r="DC53" i="121"/>
  <c r="DC52" i="121"/>
  <c r="DC51" i="121"/>
  <c r="DC50" i="121"/>
  <c r="DC49" i="121"/>
  <c r="DC48" i="121"/>
  <c r="CT75" i="121"/>
  <c r="CT74" i="121"/>
  <c r="CT73" i="121"/>
  <c r="CT72" i="121"/>
  <c r="CT71" i="121"/>
  <c r="CT70" i="121"/>
  <c r="CT69" i="121"/>
  <c r="CT68" i="121"/>
  <c r="CV67" i="121"/>
  <c r="CU67" i="121"/>
  <c r="CT66" i="121"/>
  <c r="CT65" i="121"/>
  <c r="CT64" i="121"/>
  <c r="CT63" i="121"/>
  <c r="CT62" i="121"/>
  <c r="CV61" i="121"/>
  <c r="CU61" i="121"/>
  <c r="CT60" i="121"/>
  <c r="CT59" i="121"/>
  <c r="CT58" i="121"/>
  <c r="CT57" i="121"/>
  <c r="CV56" i="121"/>
  <c r="CU56" i="121"/>
  <c r="CV55" i="121"/>
  <c r="CU55" i="121"/>
  <c r="CT54" i="121"/>
  <c r="CT53" i="121"/>
  <c r="CT55" i="121" s="1"/>
  <c r="CT52" i="121"/>
  <c r="CT51" i="121"/>
  <c r="CT50" i="121"/>
  <c r="CT49" i="121"/>
  <c r="CT48" i="121"/>
  <c r="BM75" i="121"/>
  <c r="BM74" i="121"/>
  <c r="BM73" i="121"/>
  <c r="BM72" i="121"/>
  <c r="BM71" i="121"/>
  <c r="BM70" i="121"/>
  <c r="BM69" i="121"/>
  <c r="BM68" i="121"/>
  <c r="BO67" i="121"/>
  <c r="BN67" i="121"/>
  <c r="BM66" i="121"/>
  <c r="BM65" i="121"/>
  <c r="BM64" i="121"/>
  <c r="BM63" i="121"/>
  <c r="BM62" i="121"/>
  <c r="BO61" i="121"/>
  <c r="BN61" i="121"/>
  <c r="BM60" i="121"/>
  <c r="BM59" i="121"/>
  <c r="BM58" i="121"/>
  <c r="BM57" i="121"/>
  <c r="BO56" i="121"/>
  <c r="BN56" i="121"/>
  <c r="BO55" i="121"/>
  <c r="BN55" i="121"/>
  <c r="BM54" i="121"/>
  <c r="BM53" i="121"/>
  <c r="BM55" i="121" s="1"/>
  <c r="BM52" i="121"/>
  <c r="BM51" i="121"/>
  <c r="BM50" i="121"/>
  <c r="BM49" i="121"/>
  <c r="BM48" i="121"/>
  <c r="BD75" i="121"/>
  <c r="BD74" i="121"/>
  <c r="BD73" i="121"/>
  <c r="BD72" i="121"/>
  <c r="BD71" i="121"/>
  <c r="BD70" i="121"/>
  <c r="BD69" i="121"/>
  <c r="BD68" i="121"/>
  <c r="BF67" i="121"/>
  <c r="BE67" i="121"/>
  <c r="BD66" i="121"/>
  <c r="BD65" i="121"/>
  <c r="BD64" i="121"/>
  <c r="BD63" i="121"/>
  <c r="BD62" i="121"/>
  <c r="BF61" i="121"/>
  <c r="BE61" i="121"/>
  <c r="BD60" i="121"/>
  <c r="BD59" i="121"/>
  <c r="BD58" i="121"/>
  <c r="BD57" i="121"/>
  <c r="BF56" i="121"/>
  <c r="BE56" i="121"/>
  <c r="BF55" i="121"/>
  <c r="BE55" i="121"/>
  <c r="BD54" i="121"/>
  <c r="BD53" i="121"/>
  <c r="BD52" i="121"/>
  <c r="BD51" i="121"/>
  <c r="BD50" i="121"/>
  <c r="BD49" i="121"/>
  <c r="BD48" i="121"/>
  <c r="AU75" i="121"/>
  <c r="AU74" i="121"/>
  <c r="AU73" i="121"/>
  <c r="AU72" i="121"/>
  <c r="AU71" i="121"/>
  <c r="AU70" i="121"/>
  <c r="AU69" i="121"/>
  <c r="AU68" i="121"/>
  <c r="AW67" i="121"/>
  <c r="AV67" i="121"/>
  <c r="AU66" i="121"/>
  <c r="AU65" i="121"/>
  <c r="AU64" i="121"/>
  <c r="AU63" i="121"/>
  <c r="AU62" i="121"/>
  <c r="AW61" i="121"/>
  <c r="AV61" i="121"/>
  <c r="AU60" i="121"/>
  <c r="AU59" i="121"/>
  <c r="AU58" i="121"/>
  <c r="AU57" i="121"/>
  <c r="AW56" i="121"/>
  <c r="AV56" i="121"/>
  <c r="AW55" i="121"/>
  <c r="AV55" i="121"/>
  <c r="AU54" i="121"/>
  <c r="AU53" i="121"/>
  <c r="AU55" i="121" s="1"/>
  <c r="AU52" i="121"/>
  <c r="AU51" i="121"/>
  <c r="AU50" i="121"/>
  <c r="AU49" i="121"/>
  <c r="BV49" i="121" s="1"/>
  <c r="AU48" i="121"/>
  <c r="BV48" i="121" s="1"/>
  <c r="Z75" i="121"/>
  <c r="Z74" i="121"/>
  <c r="Z73" i="121"/>
  <c r="Z72" i="121"/>
  <c r="Z71" i="121"/>
  <c r="Z70" i="121"/>
  <c r="Z69" i="121"/>
  <c r="Z68" i="121"/>
  <c r="AB67" i="121"/>
  <c r="AA67" i="121"/>
  <c r="Z66" i="121"/>
  <c r="Z65" i="121"/>
  <c r="Z64" i="121"/>
  <c r="Z63" i="121"/>
  <c r="Z62" i="121"/>
  <c r="AB61" i="121"/>
  <c r="AA61" i="121"/>
  <c r="Z60" i="121"/>
  <c r="Z59" i="121"/>
  <c r="Z58" i="121"/>
  <c r="Z57" i="121"/>
  <c r="AB56" i="121"/>
  <c r="AA56" i="121"/>
  <c r="AB55" i="121"/>
  <c r="AA55" i="121"/>
  <c r="Z54" i="121"/>
  <c r="Z53" i="121"/>
  <c r="Z55" i="121" s="1"/>
  <c r="Z52" i="121"/>
  <c r="Z51" i="121"/>
  <c r="Z50" i="121"/>
  <c r="Z49" i="121"/>
  <c r="Z48" i="121"/>
  <c r="Q75" i="121"/>
  <c r="Q74" i="121"/>
  <c r="Q73" i="121"/>
  <c r="Q72" i="121"/>
  <c r="Q71" i="121"/>
  <c r="Q70" i="121"/>
  <c r="AI70" i="121" s="1"/>
  <c r="Q69" i="121"/>
  <c r="Q68" i="121"/>
  <c r="S67" i="121"/>
  <c r="R67" i="121"/>
  <c r="Q66" i="121"/>
  <c r="Q65" i="121"/>
  <c r="Q64" i="121"/>
  <c r="Q63" i="121"/>
  <c r="Q62" i="121"/>
  <c r="S61" i="121"/>
  <c r="R61" i="121"/>
  <c r="Q60" i="121"/>
  <c r="Q59" i="121"/>
  <c r="Q58" i="121"/>
  <c r="Q57" i="121"/>
  <c r="S56" i="121"/>
  <c r="R56" i="121"/>
  <c r="S55" i="121"/>
  <c r="R55" i="121"/>
  <c r="Q54" i="121"/>
  <c r="Q53" i="121"/>
  <c r="Q55" i="121" s="1"/>
  <c r="Q52" i="121"/>
  <c r="Q51" i="121"/>
  <c r="Q50" i="121"/>
  <c r="Q49" i="121"/>
  <c r="Q48" i="121"/>
  <c r="U207" i="120"/>
  <c r="AS59" i="121" s="1"/>
  <c r="U137" i="120"/>
  <c r="U119" i="120"/>
  <c r="U106" i="120" s="1"/>
  <c r="U117" i="120"/>
  <c r="U89" i="120"/>
  <c r="U94" i="120"/>
  <c r="U69" i="120"/>
  <c r="U200" i="120"/>
  <c r="AS52" i="121" s="1"/>
  <c r="U198" i="120"/>
  <c r="AS50" i="121" s="1"/>
  <c r="U197" i="120"/>
  <c r="AS49" i="121" s="1"/>
  <c r="V196" i="120"/>
  <c r="AT48" i="121" s="1"/>
  <c r="U196" i="120"/>
  <c r="AS48" i="121" s="1"/>
  <c r="J199" i="120"/>
  <c r="P51" i="121" s="1"/>
  <c r="J198" i="120"/>
  <c r="P50" i="121" s="1"/>
  <c r="I198" i="120"/>
  <c r="O50" i="121" s="1"/>
  <c r="J197" i="120"/>
  <c r="P49" i="121" s="1"/>
  <c r="CT48" i="123"/>
  <c r="BD48" i="123"/>
  <c r="C74" i="122"/>
  <c r="C73" i="122"/>
  <c r="C72" i="122"/>
  <c r="B72" i="122" s="1"/>
  <c r="C71" i="122"/>
  <c r="C68" i="122"/>
  <c r="R68" i="122" s="1"/>
  <c r="AG68" i="122" s="1"/>
  <c r="AP68" i="122" s="1"/>
  <c r="C66" i="122"/>
  <c r="C64" i="122"/>
  <c r="R64" i="122" s="1"/>
  <c r="C63" i="122"/>
  <c r="C62" i="122"/>
  <c r="R62" i="122" s="1"/>
  <c r="C61" i="122"/>
  <c r="C60" i="122"/>
  <c r="C59" i="122"/>
  <c r="C56" i="122"/>
  <c r="C55" i="122"/>
  <c r="R55" i="122" s="1"/>
  <c r="C54" i="122"/>
  <c r="C53" i="122"/>
  <c r="C52" i="122"/>
  <c r="B52" i="122" s="1"/>
  <c r="C37" i="122"/>
  <c r="R37" i="122" s="1"/>
  <c r="AG37" i="122" s="1"/>
  <c r="AP37" i="122" s="1"/>
  <c r="BN37" i="122" s="1"/>
  <c r="C36" i="122"/>
  <c r="C33" i="122"/>
  <c r="R33" i="122" s="1"/>
  <c r="C32" i="122"/>
  <c r="CD65" i="122"/>
  <c r="CD70" i="122"/>
  <c r="CD29" i="122"/>
  <c r="CC70" i="122"/>
  <c r="CN161" i="120"/>
  <c r="CM161" i="120"/>
  <c r="CG57" i="7"/>
  <c r="FH24" i="123"/>
  <c r="FH23" i="123"/>
  <c r="FH22" i="123"/>
  <c r="FH21" i="123"/>
  <c r="FK24" i="123"/>
  <c r="FK23" i="123"/>
  <c r="FK29" i="123" s="1"/>
  <c r="FK22" i="123"/>
  <c r="FK21" i="123"/>
  <c r="FK27" i="123" s="1"/>
  <c r="FB24" i="123"/>
  <c r="FB23" i="123"/>
  <c r="FB22" i="123"/>
  <c r="FB21" i="123"/>
  <c r="FB27" i="123" s="1"/>
  <c r="ES24" i="123"/>
  <c r="ES23" i="123"/>
  <c r="FT23" i="123" s="1"/>
  <c r="ES22" i="123"/>
  <c r="ES21" i="123"/>
  <c r="ES27" i="123" s="1"/>
  <c r="DL24" i="123"/>
  <c r="DL23" i="123"/>
  <c r="DL22" i="123"/>
  <c r="DL28" i="123" s="1"/>
  <c r="DL21" i="123"/>
  <c r="DC24" i="123"/>
  <c r="DC23" i="123"/>
  <c r="DC22" i="123"/>
  <c r="DC21" i="123"/>
  <c r="CT24" i="123"/>
  <c r="CT23" i="123"/>
  <c r="CT22" i="123"/>
  <c r="CT21" i="123"/>
  <c r="BM24" i="123"/>
  <c r="BM23" i="123"/>
  <c r="BM22" i="123"/>
  <c r="BM28" i="123" s="1"/>
  <c r="BM21" i="123"/>
  <c r="BM27" i="123" s="1"/>
  <c r="BD24" i="123"/>
  <c r="BD23" i="123"/>
  <c r="BD22" i="123"/>
  <c r="BD21" i="123"/>
  <c r="AU24" i="123"/>
  <c r="AU23" i="123"/>
  <c r="AU22" i="123"/>
  <c r="AU28" i="123" s="1"/>
  <c r="AU21" i="123"/>
  <c r="Z24" i="123"/>
  <c r="Z23" i="123"/>
  <c r="Z22" i="123"/>
  <c r="Z21" i="123"/>
  <c r="Q24" i="123"/>
  <c r="Q23" i="123"/>
  <c r="Q22" i="123"/>
  <c r="Q28" i="123" s="1"/>
  <c r="Q21" i="123"/>
  <c r="H24" i="123"/>
  <c r="H23" i="123"/>
  <c r="H22" i="123"/>
  <c r="H21" i="123"/>
  <c r="FJ16" i="123"/>
  <c r="FI16" i="123"/>
  <c r="FJ15" i="123"/>
  <c r="FH15" i="123" s="1"/>
  <c r="FI15" i="123"/>
  <c r="FJ14" i="123"/>
  <c r="FI14" i="123"/>
  <c r="FJ13" i="123"/>
  <c r="FJ12" i="123"/>
  <c r="FI12" i="123"/>
  <c r="FI30" i="123" s="1"/>
  <c r="FJ11" i="123"/>
  <c r="FI11" i="123"/>
  <c r="FJ10" i="123"/>
  <c r="FI10" i="123"/>
  <c r="FJ8" i="123"/>
  <c r="FI8" i="123"/>
  <c r="FA16" i="123"/>
  <c r="EZ16" i="123"/>
  <c r="EY16" i="123" s="1"/>
  <c r="FA15" i="123"/>
  <c r="EZ15" i="123"/>
  <c r="FA14" i="123"/>
  <c r="EZ14" i="123"/>
  <c r="FA13" i="123"/>
  <c r="FA12" i="123"/>
  <c r="EZ12" i="123"/>
  <c r="FA11" i="123"/>
  <c r="EZ11" i="123"/>
  <c r="FA10" i="123"/>
  <c r="EZ10" i="123"/>
  <c r="EZ27" i="123" s="1"/>
  <c r="FA8" i="123"/>
  <c r="EZ8" i="123"/>
  <c r="ER16" i="123"/>
  <c r="EQ16" i="123"/>
  <c r="ER15" i="123"/>
  <c r="EQ15" i="123"/>
  <c r="FR15" i="123" s="1"/>
  <c r="ER14" i="123"/>
  <c r="EQ14" i="123"/>
  <c r="EP14" i="123" s="1"/>
  <c r="ER13" i="123"/>
  <c r="ER12" i="123"/>
  <c r="EQ12" i="123"/>
  <c r="ER11" i="123"/>
  <c r="EQ11" i="123"/>
  <c r="ER10" i="123"/>
  <c r="EQ10" i="123"/>
  <c r="ER8" i="123"/>
  <c r="EQ8" i="123"/>
  <c r="DK16" i="123"/>
  <c r="DJ16" i="123"/>
  <c r="DK15" i="123"/>
  <c r="DJ15" i="123"/>
  <c r="DK14" i="123"/>
  <c r="DJ14" i="123"/>
  <c r="DK13" i="123"/>
  <c r="DK12" i="123"/>
  <c r="DJ12" i="123"/>
  <c r="DK11" i="123"/>
  <c r="DJ11" i="123"/>
  <c r="DK10" i="123"/>
  <c r="DJ10" i="123"/>
  <c r="DJ28" i="123" s="1"/>
  <c r="DK8" i="123"/>
  <c r="DJ8" i="123"/>
  <c r="DB16" i="123"/>
  <c r="CZ16" i="123" s="1"/>
  <c r="DA16" i="123"/>
  <c r="DB15" i="123"/>
  <c r="DA15" i="123"/>
  <c r="DB14" i="123"/>
  <c r="DA14" i="123"/>
  <c r="DB13" i="123"/>
  <c r="DB12" i="123"/>
  <c r="DA12" i="123"/>
  <c r="DB11" i="123"/>
  <c r="DB29" i="123" s="1"/>
  <c r="DA11" i="123"/>
  <c r="DB10" i="123"/>
  <c r="DA10" i="123"/>
  <c r="DB8" i="123"/>
  <c r="DA8" i="123"/>
  <c r="CS16" i="123"/>
  <c r="CR16" i="123"/>
  <c r="CS15" i="123"/>
  <c r="CR15" i="123"/>
  <c r="CS14" i="123"/>
  <c r="CR14" i="123"/>
  <c r="CS13" i="123"/>
  <c r="CS12" i="123"/>
  <c r="CR12" i="123"/>
  <c r="CS11" i="123"/>
  <c r="CS29" i="123" s="1"/>
  <c r="CR11" i="123"/>
  <c r="CS10" i="123"/>
  <c r="CR10" i="123"/>
  <c r="CS8" i="123"/>
  <c r="CR8" i="123"/>
  <c r="BL16" i="123"/>
  <c r="BK16" i="123"/>
  <c r="BL15" i="123"/>
  <c r="BK15" i="123"/>
  <c r="BL14" i="123"/>
  <c r="BK14" i="123"/>
  <c r="BL13" i="123"/>
  <c r="BL12" i="123"/>
  <c r="BK12" i="123"/>
  <c r="BK30" i="123" s="1"/>
  <c r="BL11" i="123"/>
  <c r="BK11" i="123"/>
  <c r="BL10" i="123"/>
  <c r="BK10" i="123"/>
  <c r="BK28" i="123" s="1"/>
  <c r="BL8" i="123"/>
  <c r="BK8" i="123"/>
  <c r="BC16" i="123"/>
  <c r="BB16" i="123"/>
  <c r="BC15" i="123"/>
  <c r="BB15" i="123"/>
  <c r="BC14" i="123"/>
  <c r="BB14" i="123"/>
  <c r="BC13" i="123"/>
  <c r="BC12" i="123"/>
  <c r="BB12" i="123"/>
  <c r="BC11" i="123"/>
  <c r="BB11" i="123"/>
  <c r="BC10" i="123"/>
  <c r="BB10" i="123"/>
  <c r="BC8" i="123"/>
  <c r="BB8" i="123"/>
  <c r="AT16" i="123"/>
  <c r="AS16" i="123"/>
  <c r="AT15" i="123"/>
  <c r="AS15" i="123"/>
  <c r="AT14" i="123"/>
  <c r="AS14" i="123"/>
  <c r="AT13" i="123"/>
  <c r="AT12" i="123"/>
  <c r="AS12" i="123"/>
  <c r="AT11" i="123"/>
  <c r="AS11" i="123"/>
  <c r="AT10" i="123"/>
  <c r="AS10" i="123"/>
  <c r="AT8" i="123"/>
  <c r="AS8" i="123"/>
  <c r="Y16" i="123"/>
  <c r="X16" i="123"/>
  <c r="Y15" i="123"/>
  <c r="X15" i="123"/>
  <c r="Y14" i="123"/>
  <c r="X14" i="123"/>
  <c r="Y13" i="123"/>
  <c r="Y12" i="123"/>
  <c r="X12" i="123"/>
  <c r="Y11" i="123"/>
  <c r="X11" i="123"/>
  <c r="Y10" i="123"/>
  <c r="W10" i="123" s="1"/>
  <c r="X10" i="123"/>
  <c r="Y8" i="123"/>
  <c r="X8" i="123"/>
  <c r="P16" i="123"/>
  <c r="O16" i="123"/>
  <c r="P15" i="123"/>
  <c r="O15" i="123"/>
  <c r="P14" i="123"/>
  <c r="O14" i="123"/>
  <c r="P13" i="123"/>
  <c r="P12" i="123"/>
  <c r="O12" i="123"/>
  <c r="P11" i="123"/>
  <c r="O11" i="123"/>
  <c r="P10" i="123"/>
  <c r="O10" i="123"/>
  <c r="O28" i="123" s="1"/>
  <c r="P8" i="123"/>
  <c r="O8" i="123"/>
  <c r="BJ16" i="123"/>
  <c r="FV16" i="123"/>
  <c r="FU16" i="123"/>
  <c r="FV15" i="123"/>
  <c r="FU15" i="123"/>
  <c r="FV14" i="123"/>
  <c r="FU14" i="123"/>
  <c r="FV13" i="123"/>
  <c r="DW16" i="123"/>
  <c r="DV16" i="123"/>
  <c r="DW15" i="123"/>
  <c r="DV15" i="123"/>
  <c r="DW14" i="123"/>
  <c r="DV14" i="123"/>
  <c r="DW13" i="123"/>
  <c r="BX16" i="123"/>
  <c r="BW16" i="123"/>
  <c r="BX15" i="123"/>
  <c r="BW15" i="123"/>
  <c r="BX14" i="123"/>
  <c r="BW14" i="123"/>
  <c r="BX13" i="123"/>
  <c r="AK16" i="123"/>
  <c r="AJ16" i="123"/>
  <c r="AK15" i="123"/>
  <c r="CJ15" i="123" s="1"/>
  <c r="AJ15" i="123"/>
  <c r="AK14" i="123"/>
  <c r="AJ14" i="123"/>
  <c r="CI14" i="123" s="1"/>
  <c r="EH14" i="123" s="1"/>
  <c r="AK13" i="123"/>
  <c r="FT14" i="123"/>
  <c r="DU16" i="123"/>
  <c r="BV15" i="123"/>
  <c r="BV14" i="123"/>
  <c r="AI15" i="123"/>
  <c r="AI13" i="123"/>
  <c r="G16" i="123"/>
  <c r="F16" i="123"/>
  <c r="G15" i="123"/>
  <c r="F15" i="123"/>
  <c r="G14" i="123"/>
  <c r="F14" i="123"/>
  <c r="G13" i="123"/>
  <c r="G12" i="123"/>
  <c r="F12" i="123"/>
  <c r="F30" i="123" s="1"/>
  <c r="G11" i="123"/>
  <c r="F11" i="123"/>
  <c r="G10" i="123"/>
  <c r="F10" i="123"/>
  <c r="G8" i="123"/>
  <c r="F8" i="123"/>
  <c r="FG16" i="123"/>
  <c r="FG15" i="123"/>
  <c r="FG14" i="123"/>
  <c r="FG13" i="123"/>
  <c r="EX16" i="123"/>
  <c r="EV16" i="123" s="1"/>
  <c r="EX15" i="123"/>
  <c r="EX14" i="123"/>
  <c r="EX13" i="123"/>
  <c r="EO16" i="123"/>
  <c r="FP16" i="123" s="1"/>
  <c r="EO15" i="123"/>
  <c r="EO14" i="123"/>
  <c r="FP14" i="123" s="1"/>
  <c r="AD21" i="126" s="1"/>
  <c r="EO13" i="123"/>
  <c r="FP13" i="123" s="1"/>
  <c r="AD20" i="126" s="1"/>
  <c r="DH16" i="123"/>
  <c r="DH15" i="123"/>
  <c r="DH14" i="123"/>
  <c r="DH13" i="123"/>
  <c r="CY16" i="123"/>
  <c r="CY15" i="123"/>
  <c r="CY14" i="123"/>
  <c r="CY13" i="123"/>
  <c r="CP16" i="123"/>
  <c r="DQ16" i="123" s="1"/>
  <c r="CP15" i="123"/>
  <c r="CP14" i="123"/>
  <c r="DQ14" i="123" s="1"/>
  <c r="X21" i="126" s="1"/>
  <c r="CP13" i="123"/>
  <c r="DQ13" i="123" s="1"/>
  <c r="X20" i="126" s="1"/>
  <c r="BI16" i="123"/>
  <c r="BI15" i="123"/>
  <c r="BI14" i="123"/>
  <c r="BI13" i="123"/>
  <c r="AZ16" i="123"/>
  <c r="AZ15" i="123"/>
  <c r="AZ14" i="123"/>
  <c r="AZ13" i="123"/>
  <c r="AQ16" i="123"/>
  <c r="AQ15" i="123"/>
  <c r="BR15" i="123" s="1"/>
  <c r="R22" i="126" s="1"/>
  <c r="AQ14" i="123"/>
  <c r="AQ13" i="123"/>
  <c r="BR13" i="123" s="1"/>
  <c r="R20" i="126" s="1"/>
  <c r="V16" i="123"/>
  <c r="T16" i="123" s="1"/>
  <c r="V15" i="123"/>
  <c r="V14" i="123"/>
  <c r="V13" i="123"/>
  <c r="M16" i="123"/>
  <c r="M15" i="123"/>
  <c r="M14" i="123"/>
  <c r="L14" i="123"/>
  <c r="K14" i="123" s="1"/>
  <c r="M13" i="123"/>
  <c r="D16" i="123"/>
  <c r="D15" i="123"/>
  <c r="D14" i="123"/>
  <c r="D13" i="123"/>
  <c r="EN16" i="123"/>
  <c r="EW14" i="123"/>
  <c r="AF19" i="126"/>
  <c r="AF17" i="126"/>
  <c r="FZ14" i="123"/>
  <c r="AE21" i="126" s="1"/>
  <c r="BV16" i="122"/>
  <c r="BS16" i="122"/>
  <c r="BP16" i="122"/>
  <c r="BV15" i="122"/>
  <c r="BS15" i="122"/>
  <c r="BP15" i="122"/>
  <c r="BV14" i="122"/>
  <c r="BS14" i="122"/>
  <c r="BP14" i="122"/>
  <c r="BW13" i="122"/>
  <c r="BV13" i="122" s="1"/>
  <c r="BT13" i="122"/>
  <c r="EZ13" i="123" s="1"/>
  <c r="BQ13" i="122"/>
  <c r="BV12" i="122"/>
  <c r="BS12" i="122"/>
  <c r="BP12" i="122"/>
  <c r="BP146" i="122" s="1"/>
  <c r="BV11" i="122"/>
  <c r="BV145" i="122" s="1"/>
  <c r="BS11" i="122"/>
  <c r="BS145" i="122" s="1"/>
  <c r="BP11" i="122"/>
  <c r="BV10" i="122"/>
  <c r="BV144" i="122" s="1"/>
  <c r="BS10" i="122"/>
  <c r="BS144" i="122" s="1"/>
  <c r="BP10" i="122"/>
  <c r="BP144" i="122" s="1"/>
  <c r="BX9" i="122"/>
  <c r="FJ9" i="123" s="1"/>
  <c r="BW9" i="122"/>
  <c r="BU9" i="122"/>
  <c r="FA9" i="123" s="1"/>
  <c r="BT9" i="122"/>
  <c r="BS9" i="122" s="1"/>
  <c r="BS125" i="122" s="1"/>
  <c r="BR9" i="122"/>
  <c r="ER9" i="123" s="1"/>
  <c r="BQ9" i="122"/>
  <c r="EQ9" i="123" s="1"/>
  <c r="BV8" i="122"/>
  <c r="BS8" i="122"/>
  <c r="BP8" i="122"/>
  <c r="AX16" i="122"/>
  <c r="AU16" i="122"/>
  <c r="AR16" i="122"/>
  <c r="AX15" i="122"/>
  <c r="AU15" i="122"/>
  <c r="AR15" i="122"/>
  <c r="AX14" i="122"/>
  <c r="AU14" i="122"/>
  <c r="AR14" i="122"/>
  <c r="AY13" i="122"/>
  <c r="DJ13" i="123" s="1"/>
  <c r="AV13" i="122"/>
  <c r="DA13" i="123" s="1"/>
  <c r="AS13" i="122"/>
  <c r="CR13" i="123" s="1"/>
  <c r="AX12" i="122"/>
  <c r="AX146" i="122" s="1"/>
  <c r="AU12" i="122"/>
  <c r="AR12" i="122"/>
  <c r="AX11" i="122"/>
  <c r="AU11" i="122"/>
  <c r="AU145" i="122" s="1"/>
  <c r="AR11" i="122"/>
  <c r="AX10" i="122"/>
  <c r="AX144" i="122" s="1"/>
  <c r="AU10" i="122"/>
  <c r="AU144" i="122" s="1"/>
  <c r="AR10" i="122"/>
  <c r="AR144" i="122" s="1"/>
  <c r="AZ9" i="122"/>
  <c r="DK9" i="123" s="1"/>
  <c r="AY9" i="122"/>
  <c r="DJ9" i="123" s="1"/>
  <c r="AW9" i="122"/>
  <c r="DB9" i="123" s="1"/>
  <c r="AV9" i="122"/>
  <c r="DA9" i="123" s="1"/>
  <c r="AT9" i="122"/>
  <c r="CS9" i="123" s="1"/>
  <c r="AS9" i="122"/>
  <c r="CR9" i="123" s="1"/>
  <c r="AX8" i="122"/>
  <c r="AU8" i="122"/>
  <c r="AR8" i="122"/>
  <c r="Z16" i="122"/>
  <c r="W16" i="122"/>
  <c r="T16" i="122"/>
  <c r="Z15" i="122"/>
  <c r="W15" i="122"/>
  <c r="T15" i="122"/>
  <c r="Z14" i="122"/>
  <c r="W14" i="122"/>
  <c r="T14" i="122"/>
  <c r="AA13" i="122"/>
  <c r="BK13" i="123" s="1"/>
  <c r="X13" i="122"/>
  <c r="BB13" i="123" s="1"/>
  <c r="U13" i="122"/>
  <c r="AS13" i="123" s="1"/>
  <c r="Z12" i="122"/>
  <c r="Z146" i="122" s="1"/>
  <c r="W12" i="122"/>
  <c r="T12" i="122"/>
  <c r="T146" i="122" s="1"/>
  <c r="Z11" i="122"/>
  <c r="Z145" i="122" s="1"/>
  <c r="W11" i="122"/>
  <c r="T11" i="122"/>
  <c r="Z10" i="122"/>
  <c r="Z144" i="122" s="1"/>
  <c r="W10" i="122"/>
  <c r="T10" i="122"/>
  <c r="AB9" i="122"/>
  <c r="BL9" i="123" s="1"/>
  <c r="AA9" i="122"/>
  <c r="BK9" i="123" s="1"/>
  <c r="C44" i="124" s="1"/>
  <c r="Y9" i="122"/>
  <c r="BC9" i="123" s="1"/>
  <c r="BC62" i="123" s="1"/>
  <c r="X9" i="122"/>
  <c r="W9" i="122" s="1"/>
  <c r="V9" i="122"/>
  <c r="AT9" i="123" s="1"/>
  <c r="U9" i="122"/>
  <c r="AS9" i="123" s="1"/>
  <c r="Z8" i="122"/>
  <c r="W8" i="122"/>
  <c r="T8" i="122"/>
  <c r="K16" i="122"/>
  <c r="K15" i="122"/>
  <c r="K14" i="122"/>
  <c r="L13" i="122"/>
  <c r="K12" i="122"/>
  <c r="K146" i="122" s="1"/>
  <c r="K11" i="122"/>
  <c r="K145" i="122" s="1"/>
  <c r="K10" i="122"/>
  <c r="M9" i="122"/>
  <c r="Y9" i="123" s="1"/>
  <c r="L9" i="122"/>
  <c r="X9" i="123" s="1"/>
  <c r="K8" i="122"/>
  <c r="H16" i="122"/>
  <c r="H15" i="122"/>
  <c r="H14" i="122"/>
  <c r="I13" i="122"/>
  <c r="O13" i="123" s="1"/>
  <c r="H12" i="122"/>
  <c r="H11" i="122"/>
  <c r="H145" i="122" s="1"/>
  <c r="H10" i="122"/>
  <c r="J9" i="122"/>
  <c r="P9" i="123" s="1"/>
  <c r="I9" i="122"/>
  <c r="O9" i="123" s="1"/>
  <c r="H8" i="122"/>
  <c r="F13" i="122"/>
  <c r="F13" i="123" s="1"/>
  <c r="E16" i="122"/>
  <c r="E15" i="122"/>
  <c r="E14" i="122"/>
  <c r="CA16" i="122"/>
  <c r="BZ16" i="122"/>
  <c r="CA15" i="122"/>
  <c r="BZ15" i="122"/>
  <c r="CA14" i="122"/>
  <c r="BZ14" i="122"/>
  <c r="CA13" i="122"/>
  <c r="BO16" i="122"/>
  <c r="BN16" i="122"/>
  <c r="BO15" i="122"/>
  <c r="BO14" i="122"/>
  <c r="BO13" i="122"/>
  <c r="BC16" i="122"/>
  <c r="BB16" i="122"/>
  <c r="BC15" i="122"/>
  <c r="BB15" i="122"/>
  <c r="BC14" i="122"/>
  <c r="BB14" i="122"/>
  <c r="BC13" i="122"/>
  <c r="AE16" i="122"/>
  <c r="AD16" i="122"/>
  <c r="AE15" i="122"/>
  <c r="AD15" i="122"/>
  <c r="AE14" i="122"/>
  <c r="AD14" i="122"/>
  <c r="AE13" i="122"/>
  <c r="P16" i="122"/>
  <c r="O16" i="122"/>
  <c r="P15" i="122"/>
  <c r="O15" i="122"/>
  <c r="P14" i="122"/>
  <c r="O14" i="122"/>
  <c r="P13" i="122"/>
  <c r="AQ16" i="122"/>
  <c r="AQ15" i="122"/>
  <c r="AQ14" i="122"/>
  <c r="AQ13" i="122"/>
  <c r="S16" i="122"/>
  <c r="S15" i="122"/>
  <c r="S14" i="122"/>
  <c r="S13" i="122"/>
  <c r="D16" i="122"/>
  <c r="AH16" i="122" s="1"/>
  <c r="BF16" i="122" s="1"/>
  <c r="D15" i="122"/>
  <c r="D14" i="122"/>
  <c r="D13" i="122"/>
  <c r="AH13" i="122" s="1"/>
  <c r="BF13" i="122" s="1"/>
  <c r="AP16" i="122"/>
  <c r="CB16" i="122"/>
  <c r="AF22" i="126"/>
  <c r="BH14" i="123"/>
  <c r="FF15" i="123"/>
  <c r="FE15" i="123" s="1"/>
  <c r="R16" i="122"/>
  <c r="AP15" i="123"/>
  <c r="AO15" i="123" s="1"/>
  <c r="U14" i="123"/>
  <c r="CO14" i="123"/>
  <c r="EN15" i="123"/>
  <c r="FF14" i="123"/>
  <c r="AF21" i="126"/>
  <c r="L16" i="123"/>
  <c r="CX14" i="123"/>
  <c r="CB14" i="122"/>
  <c r="BN14" i="122"/>
  <c r="BM14" i="122" s="1"/>
  <c r="C14" i="122"/>
  <c r="AP14" i="122"/>
  <c r="BN15" i="122"/>
  <c r="BM15" i="122" s="1"/>
  <c r="C15" i="122"/>
  <c r="R15" i="122"/>
  <c r="R14" i="122"/>
  <c r="CB15" i="122"/>
  <c r="AP15" i="122"/>
  <c r="AO15" i="122" s="1"/>
  <c r="U16" i="123"/>
  <c r="CX16" i="123"/>
  <c r="DG14" i="123"/>
  <c r="DG16" i="123"/>
  <c r="EW16" i="123"/>
  <c r="CJ13" i="123"/>
  <c r="C16" i="122"/>
  <c r="B16" i="122" s="1"/>
  <c r="FZ16" i="123"/>
  <c r="C14" i="123"/>
  <c r="C16" i="123"/>
  <c r="U15" i="123"/>
  <c r="T15" i="123" s="1"/>
  <c r="AP14" i="123"/>
  <c r="AY14" i="123"/>
  <c r="AP16" i="123"/>
  <c r="AY16" i="123"/>
  <c r="EN14" i="123"/>
  <c r="FF16" i="123"/>
  <c r="CI16" i="123"/>
  <c r="EH16" i="123" s="1"/>
  <c r="T89" i="122"/>
  <c r="T85" i="122"/>
  <c r="T86" i="122"/>
  <c r="T87" i="122"/>
  <c r="T210" i="122" s="1"/>
  <c r="T91" i="122"/>
  <c r="T90" i="122" s="1"/>
  <c r="T88" i="122"/>
  <c r="T211" i="122" s="1"/>
  <c r="T84" i="122"/>
  <c r="T95" i="122"/>
  <c r="T23" i="122"/>
  <c r="T43" i="122"/>
  <c r="T80" i="122"/>
  <c r="T98" i="122"/>
  <c r="T26" i="122"/>
  <c r="T46" i="122"/>
  <c r="T77" i="122"/>
  <c r="T99" i="122"/>
  <c r="T27" i="122"/>
  <c r="T47" i="122"/>
  <c r="T78" i="122"/>
  <c r="T97" i="122"/>
  <c r="T25" i="122"/>
  <c r="T45" i="122"/>
  <c r="T76" i="122"/>
  <c r="T22" i="122"/>
  <c r="T151" i="122" s="1"/>
  <c r="T41" i="122"/>
  <c r="T42" i="122"/>
  <c r="T154" i="122" s="1"/>
  <c r="BS13" i="122"/>
  <c r="BH16" i="123"/>
  <c r="CO16" i="123"/>
  <c r="AJ13" i="123"/>
  <c r="FP15" i="123"/>
  <c r="AD22" i="126" s="1"/>
  <c r="GK40" i="121"/>
  <c r="FY40" i="121"/>
  <c r="FV30" i="121"/>
  <c r="FU30" i="121"/>
  <c r="FS30" i="121"/>
  <c r="FR30" i="121"/>
  <c r="FP30" i="121"/>
  <c r="EL40" i="121"/>
  <c r="DZ40" i="121"/>
  <c r="DW30" i="121"/>
  <c r="DV30" i="121"/>
  <c r="DT30" i="121"/>
  <c r="DS30" i="121"/>
  <c r="DQ30" i="121"/>
  <c r="CM40" i="121"/>
  <c r="CA40" i="121"/>
  <c r="BX30" i="121"/>
  <c r="BW30" i="121"/>
  <c r="BU30" i="121"/>
  <c r="BT30" i="121"/>
  <c r="BR30" i="121"/>
  <c r="CD30" i="121" s="1"/>
  <c r="EC30" i="121" s="1"/>
  <c r="GB30" i="121" s="1"/>
  <c r="AN40" i="121"/>
  <c r="AK30" i="121"/>
  <c r="AJ30" i="121"/>
  <c r="AH30" i="121"/>
  <c r="AG30" i="121"/>
  <c r="AE30" i="121"/>
  <c r="FL40" i="121"/>
  <c r="FK30" i="121"/>
  <c r="FC40" i="121"/>
  <c r="FB30" i="121"/>
  <c r="FB40" i="121" s="1"/>
  <c r="EY30" i="121"/>
  <c r="ET40" i="121"/>
  <c r="ES30" i="121"/>
  <c r="ES40" i="121" s="1"/>
  <c r="EP30" i="121"/>
  <c r="DM40" i="121"/>
  <c r="DL30" i="121"/>
  <c r="DI30" i="121"/>
  <c r="DD40" i="121"/>
  <c r="DC30" i="121"/>
  <c r="CZ30" i="121"/>
  <c r="CU40" i="121"/>
  <c r="CT30" i="121"/>
  <c r="CT40" i="121" s="1"/>
  <c r="CQ30" i="121"/>
  <c r="BN40" i="121"/>
  <c r="BM30" i="121"/>
  <c r="BJ30" i="121"/>
  <c r="BE40" i="121"/>
  <c r="BD30" i="121"/>
  <c r="BA30" i="121"/>
  <c r="AV40" i="121"/>
  <c r="AU30" i="121"/>
  <c r="AU40" i="121" s="1"/>
  <c r="AR30" i="121"/>
  <c r="AA40" i="121"/>
  <c r="Z30" i="121"/>
  <c r="Z40" i="121" s="1"/>
  <c r="W30" i="121"/>
  <c r="R40" i="121"/>
  <c r="Q30" i="121"/>
  <c r="Q40" i="121" s="1"/>
  <c r="N30" i="121"/>
  <c r="I40" i="121"/>
  <c r="H30" i="121"/>
  <c r="E30" i="121"/>
  <c r="FV21" i="121"/>
  <c r="FU21" i="121"/>
  <c r="FV20" i="121"/>
  <c r="FU20" i="121"/>
  <c r="FV19" i="121"/>
  <c r="FU19" i="121"/>
  <c r="FU18" i="121"/>
  <c r="FV16" i="121"/>
  <c r="FU16" i="121"/>
  <c r="DW21" i="121"/>
  <c r="DV21" i="121"/>
  <c r="DW20" i="121"/>
  <c r="DV20" i="121"/>
  <c r="DW19" i="121"/>
  <c r="DW18" i="121"/>
  <c r="DW16" i="121"/>
  <c r="DV16" i="121"/>
  <c r="BX21" i="121"/>
  <c r="BW21" i="121"/>
  <c r="CI21" i="121" s="1"/>
  <c r="BX20" i="121"/>
  <c r="BW20" i="121"/>
  <c r="BX19" i="121"/>
  <c r="BW19" i="121"/>
  <c r="BX18" i="121"/>
  <c r="BW18" i="121"/>
  <c r="BX16" i="121"/>
  <c r="BW16" i="121"/>
  <c r="AK21" i="121"/>
  <c r="CJ21" i="121" s="1"/>
  <c r="AJ21" i="121"/>
  <c r="AK20" i="121"/>
  <c r="AJ20" i="121"/>
  <c r="AK19" i="121"/>
  <c r="AJ19" i="121"/>
  <c r="AK18" i="121"/>
  <c r="AK16" i="121"/>
  <c r="AJ16" i="121"/>
  <c r="FJ24" i="121"/>
  <c r="FI24" i="121"/>
  <c r="FJ23" i="121"/>
  <c r="FI23" i="121"/>
  <c r="FH23" i="121" s="1"/>
  <c r="FJ21" i="121"/>
  <c r="FI21" i="121"/>
  <c r="FH21" i="121" s="1"/>
  <c r="FJ20" i="121"/>
  <c r="FI20" i="121"/>
  <c r="FJ19" i="121"/>
  <c r="FI19" i="121"/>
  <c r="FJ17" i="121"/>
  <c r="FJ43" i="121" s="1"/>
  <c r="FI17" i="121"/>
  <c r="FJ16" i="121"/>
  <c r="FI16" i="121"/>
  <c r="FJ15" i="121"/>
  <c r="FI15" i="121"/>
  <c r="FJ9" i="121"/>
  <c r="FI9" i="121"/>
  <c r="FH9" i="121" s="1"/>
  <c r="FJ8" i="121"/>
  <c r="FI8" i="121"/>
  <c r="FA24" i="121"/>
  <c r="EZ24" i="121"/>
  <c r="EY24" i="121" s="1"/>
  <c r="FA23" i="121"/>
  <c r="EZ23" i="121"/>
  <c r="FA21" i="121"/>
  <c r="EZ21" i="121"/>
  <c r="EY21" i="121" s="1"/>
  <c r="FA20" i="121"/>
  <c r="FS20" i="121" s="1"/>
  <c r="EZ20" i="121"/>
  <c r="FR20" i="121" s="1"/>
  <c r="FA19" i="121"/>
  <c r="EZ19" i="121"/>
  <c r="FA17" i="121"/>
  <c r="EZ17" i="121"/>
  <c r="FR17" i="121" s="1"/>
  <c r="FA16" i="121"/>
  <c r="EZ16" i="121"/>
  <c r="FA15" i="121"/>
  <c r="EZ15" i="121"/>
  <c r="EZ41" i="121" s="1"/>
  <c r="FA9" i="121"/>
  <c r="EZ9" i="121"/>
  <c r="EY9" i="121" s="1"/>
  <c r="FA8" i="121"/>
  <c r="EZ8" i="121"/>
  <c r="DK24" i="121"/>
  <c r="DJ24" i="121"/>
  <c r="DK23" i="121"/>
  <c r="DJ23" i="121"/>
  <c r="DI23" i="121" s="1"/>
  <c r="DK21" i="121"/>
  <c r="DJ21" i="121"/>
  <c r="DK20" i="121"/>
  <c r="DJ20" i="121"/>
  <c r="DK19" i="121"/>
  <c r="DJ19" i="121"/>
  <c r="DK17" i="121"/>
  <c r="DJ17" i="121"/>
  <c r="DI17" i="121" s="1"/>
  <c r="DK16" i="121"/>
  <c r="DJ16" i="121"/>
  <c r="DJ40" i="121" s="1"/>
  <c r="DK15" i="121"/>
  <c r="DJ15" i="121"/>
  <c r="DI15" i="121" s="1"/>
  <c r="DK9" i="121"/>
  <c r="DJ9" i="121"/>
  <c r="DK8" i="121"/>
  <c r="DJ8" i="121"/>
  <c r="DB24" i="121"/>
  <c r="DA24" i="121"/>
  <c r="DB23" i="121"/>
  <c r="DA23" i="121"/>
  <c r="CZ23" i="121" s="1"/>
  <c r="DB21" i="121"/>
  <c r="DA21" i="121"/>
  <c r="DB20" i="121"/>
  <c r="DA20" i="121"/>
  <c r="DB19" i="121"/>
  <c r="DA19" i="121"/>
  <c r="DB17" i="121"/>
  <c r="DA17" i="121"/>
  <c r="DB16" i="121"/>
  <c r="DA16" i="121"/>
  <c r="DB15" i="121"/>
  <c r="DA15" i="121"/>
  <c r="DB9" i="121"/>
  <c r="DA9" i="121"/>
  <c r="DB8" i="121"/>
  <c r="DA8" i="121"/>
  <c r="CS24" i="121"/>
  <c r="CR24" i="121"/>
  <c r="CS23" i="121"/>
  <c r="CR23" i="121"/>
  <c r="CR22" i="121" s="1"/>
  <c r="CS21" i="121"/>
  <c r="CR21" i="121"/>
  <c r="CS20" i="121"/>
  <c r="CR20" i="121"/>
  <c r="CS19" i="121"/>
  <c r="CR19" i="121"/>
  <c r="CS17" i="121"/>
  <c r="CR17" i="121"/>
  <c r="CS16" i="121"/>
  <c r="CR16" i="121"/>
  <c r="CS15" i="121"/>
  <c r="CR15" i="121"/>
  <c r="CS9" i="121"/>
  <c r="CR9" i="121"/>
  <c r="CS8" i="121"/>
  <c r="CR8" i="121"/>
  <c r="BL24" i="121"/>
  <c r="BK24" i="121"/>
  <c r="BL23" i="121"/>
  <c r="BK23" i="121"/>
  <c r="BJ23" i="121" s="1"/>
  <c r="BL21" i="121"/>
  <c r="BK21" i="121"/>
  <c r="BL20" i="121"/>
  <c r="BK20" i="121"/>
  <c r="BL19" i="121"/>
  <c r="BK19" i="121"/>
  <c r="BL17" i="121"/>
  <c r="BK17" i="121"/>
  <c r="BL16" i="121"/>
  <c r="BK16" i="121"/>
  <c r="BL15" i="121"/>
  <c r="BK15" i="121"/>
  <c r="BL9" i="121"/>
  <c r="BK9" i="121"/>
  <c r="BL8" i="121"/>
  <c r="BK8" i="121"/>
  <c r="BC24" i="121"/>
  <c r="BB24" i="121"/>
  <c r="BC23" i="121"/>
  <c r="BB23" i="121"/>
  <c r="BC21" i="121"/>
  <c r="BB21" i="121"/>
  <c r="BC20" i="121"/>
  <c r="BB20" i="121"/>
  <c r="BC19" i="121"/>
  <c r="BB19" i="121"/>
  <c r="BC17" i="121"/>
  <c r="BB17" i="121"/>
  <c r="BC16" i="121"/>
  <c r="BB16" i="121"/>
  <c r="BB40" i="121" s="1"/>
  <c r="BC15" i="121"/>
  <c r="BB15" i="121"/>
  <c r="BC9" i="121"/>
  <c r="BB9" i="121"/>
  <c r="BC8" i="121"/>
  <c r="BB8" i="121"/>
  <c r="BB11" i="121" s="1"/>
  <c r="AT24" i="121"/>
  <c r="AS24" i="121"/>
  <c r="AT23" i="121"/>
  <c r="AS23" i="121"/>
  <c r="AR23" i="121" s="1"/>
  <c r="AT21" i="121"/>
  <c r="BU21" i="121" s="1"/>
  <c r="AS21" i="121"/>
  <c r="AT20" i="121"/>
  <c r="AS20" i="121"/>
  <c r="AR20" i="121" s="1"/>
  <c r="AT19" i="121"/>
  <c r="BU19" i="121" s="1"/>
  <c r="AS19" i="121"/>
  <c r="AT17" i="121"/>
  <c r="AS17" i="121"/>
  <c r="AR17" i="121" s="1"/>
  <c r="AT16" i="121"/>
  <c r="AS16" i="121"/>
  <c r="AS40" i="121" s="1"/>
  <c r="AT15" i="121"/>
  <c r="AS15" i="121"/>
  <c r="AT9" i="121"/>
  <c r="AS9" i="121"/>
  <c r="AT8" i="121"/>
  <c r="AT11" i="121" s="1"/>
  <c r="AS8" i="121"/>
  <c r="BM40" i="121"/>
  <c r="BV19" i="121"/>
  <c r="Y24" i="121"/>
  <c r="X24" i="121"/>
  <c r="Y23" i="121"/>
  <c r="X23" i="121"/>
  <c r="Y21" i="121"/>
  <c r="X21" i="121"/>
  <c r="Y20" i="121"/>
  <c r="X20" i="121"/>
  <c r="Y19" i="121"/>
  <c r="X19" i="121"/>
  <c r="Y17" i="121"/>
  <c r="X17" i="121"/>
  <c r="Y16" i="121"/>
  <c r="X16" i="121"/>
  <c r="X40" i="121" s="1"/>
  <c r="Y15" i="121"/>
  <c r="X15" i="121"/>
  <c r="Y9" i="121"/>
  <c r="X9" i="121"/>
  <c r="Y8" i="121"/>
  <c r="X8" i="121"/>
  <c r="P24" i="121"/>
  <c r="O24" i="121"/>
  <c r="P23" i="121"/>
  <c r="O23" i="121"/>
  <c r="P21" i="121"/>
  <c r="O21" i="121"/>
  <c r="P20" i="121"/>
  <c r="O20" i="121"/>
  <c r="P19" i="121"/>
  <c r="O19" i="121"/>
  <c r="AG19" i="121" s="1"/>
  <c r="P17" i="121"/>
  <c r="O17" i="121"/>
  <c r="P16" i="121"/>
  <c r="O16" i="121"/>
  <c r="P15" i="121"/>
  <c r="O15" i="121"/>
  <c r="N15" i="121" s="1"/>
  <c r="P9" i="121"/>
  <c r="O9" i="121"/>
  <c r="P8" i="121"/>
  <c r="O8" i="121"/>
  <c r="AI20" i="121"/>
  <c r="AI19" i="121"/>
  <c r="AI16" i="121"/>
  <c r="G24" i="121"/>
  <c r="F24" i="121"/>
  <c r="G23" i="121"/>
  <c r="F23" i="121"/>
  <c r="G21" i="121"/>
  <c r="F21" i="121"/>
  <c r="G20" i="121"/>
  <c r="F20" i="121"/>
  <c r="G19" i="121"/>
  <c r="F19" i="121"/>
  <c r="G17" i="121"/>
  <c r="G43" i="121" s="1"/>
  <c r="F17" i="121"/>
  <c r="G16" i="121"/>
  <c r="E16" i="121" s="1"/>
  <c r="E40" i="121" s="1"/>
  <c r="F16" i="121"/>
  <c r="F40" i="121" s="1"/>
  <c r="G15" i="121"/>
  <c r="F15" i="121"/>
  <c r="G9" i="121"/>
  <c r="F9" i="121"/>
  <c r="G8" i="121"/>
  <c r="F8" i="121"/>
  <c r="FG16" i="121"/>
  <c r="FF16" i="121"/>
  <c r="EX16" i="121"/>
  <c r="EW16" i="121"/>
  <c r="EO16" i="121"/>
  <c r="EN16" i="121"/>
  <c r="DH16" i="121"/>
  <c r="DG16" i="121"/>
  <c r="CY16" i="121"/>
  <c r="CW16" i="121" s="1"/>
  <c r="CX16" i="121"/>
  <c r="CP16" i="121"/>
  <c r="CO16" i="121"/>
  <c r="BI16" i="121"/>
  <c r="BG16" i="121" s="1"/>
  <c r="BH16" i="121"/>
  <c r="AZ16" i="121"/>
  <c r="AY16" i="121"/>
  <c r="AQ16" i="121"/>
  <c r="AP16" i="121"/>
  <c r="V16" i="121"/>
  <c r="U16" i="121"/>
  <c r="M16" i="121"/>
  <c r="K16" i="121" s="1"/>
  <c r="L16" i="121"/>
  <c r="D16" i="121"/>
  <c r="C16" i="121"/>
  <c r="M19" i="121"/>
  <c r="K19" i="121" s="1"/>
  <c r="L19" i="121"/>
  <c r="FZ16" i="121"/>
  <c r="AF14" i="125"/>
  <c r="AF20" i="125"/>
  <c r="BX18" i="120"/>
  <c r="BX185" i="120" s="1"/>
  <c r="BW18" i="120"/>
  <c r="BW185" i="120" s="1"/>
  <c r="BU18" i="120"/>
  <c r="BT18" i="120"/>
  <c r="BT185" i="120" s="1"/>
  <c r="BR18" i="120"/>
  <c r="BQ18" i="120"/>
  <c r="BQ185" i="120" s="1"/>
  <c r="AZ18" i="120"/>
  <c r="AY18" i="120"/>
  <c r="AW18" i="120"/>
  <c r="AV18" i="120"/>
  <c r="AV185" i="120" s="1"/>
  <c r="AT18" i="120"/>
  <c r="AT185" i="120" s="1"/>
  <c r="AS18" i="120"/>
  <c r="AB18" i="120"/>
  <c r="AA18" i="120"/>
  <c r="Y18" i="120"/>
  <c r="X18" i="120"/>
  <c r="X185" i="120" s="1"/>
  <c r="V18" i="120"/>
  <c r="U18" i="120"/>
  <c r="U185" i="120" s="1"/>
  <c r="M18" i="120"/>
  <c r="L18" i="120"/>
  <c r="X18" i="121" s="1"/>
  <c r="J18" i="120"/>
  <c r="J185" i="120" s="1"/>
  <c r="I18" i="120"/>
  <c r="I185" i="120" s="1"/>
  <c r="G18" i="120"/>
  <c r="G185" i="120" s="1"/>
  <c r="F18" i="120"/>
  <c r="F185" i="120" s="1"/>
  <c r="CA21" i="120"/>
  <c r="CA188" i="120" s="1"/>
  <c r="BZ21" i="120"/>
  <c r="BV21" i="120"/>
  <c r="BV188" i="120" s="1"/>
  <c r="BS21" i="120"/>
  <c r="BS188" i="120" s="1"/>
  <c r="BP21" i="120"/>
  <c r="BP188" i="120" s="1"/>
  <c r="BC21" i="120"/>
  <c r="BC188" i="120" s="1"/>
  <c r="BB21" i="120"/>
  <c r="BB188" i="120" s="1"/>
  <c r="AX21" i="120"/>
  <c r="AX188" i="120" s="1"/>
  <c r="AU21" i="120"/>
  <c r="AU188" i="120" s="1"/>
  <c r="AR21" i="120"/>
  <c r="AR188" i="120" s="1"/>
  <c r="AE21" i="120"/>
  <c r="AD21" i="120"/>
  <c r="AD188" i="120" s="1"/>
  <c r="Z21" i="120"/>
  <c r="Z188" i="120" s="1"/>
  <c r="W21" i="120"/>
  <c r="W188" i="120" s="1"/>
  <c r="T21" i="120"/>
  <c r="T188" i="120" s="1"/>
  <c r="P21" i="120"/>
  <c r="P188" i="120" s="1"/>
  <c r="O21" i="120"/>
  <c r="K21" i="120"/>
  <c r="K188" i="120" s="1"/>
  <c r="H21" i="120"/>
  <c r="H188" i="120" s="1"/>
  <c r="E21" i="120"/>
  <c r="E188" i="120" s="1"/>
  <c r="CA20" i="120"/>
  <c r="CA187" i="120" s="1"/>
  <c r="BZ20" i="120"/>
  <c r="BZ187" i="120" s="1"/>
  <c r="BV20" i="120"/>
  <c r="BV187" i="120" s="1"/>
  <c r="BS20" i="120"/>
  <c r="BS187" i="120" s="1"/>
  <c r="BP20" i="120"/>
  <c r="BP187" i="120" s="1"/>
  <c r="BC20" i="120"/>
  <c r="BC187" i="120" s="1"/>
  <c r="BB20" i="120"/>
  <c r="BB187" i="120" s="1"/>
  <c r="AX20" i="120"/>
  <c r="AX187" i="120" s="1"/>
  <c r="AU20" i="120"/>
  <c r="AU187" i="120" s="1"/>
  <c r="AR20" i="120"/>
  <c r="AR187" i="120" s="1"/>
  <c r="AE20" i="120"/>
  <c r="AE187" i="120" s="1"/>
  <c r="AD20" i="120"/>
  <c r="Z20" i="120"/>
  <c r="Z187" i="120" s="1"/>
  <c r="W20" i="120"/>
  <c r="W187" i="120" s="1"/>
  <c r="T20" i="120"/>
  <c r="T187" i="120" s="1"/>
  <c r="P20" i="120"/>
  <c r="O20" i="120"/>
  <c r="O187" i="120" s="1"/>
  <c r="K20" i="120"/>
  <c r="K187" i="120" s="1"/>
  <c r="H20" i="120"/>
  <c r="H187" i="120" s="1"/>
  <c r="E20" i="120"/>
  <c r="E187" i="120" s="1"/>
  <c r="CA19" i="120"/>
  <c r="CA186" i="120" s="1"/>
  <c r="BZ19" i="120"/>
  <c r="BZ186" i="120" s="1"/>
  <c r="BV19" i="120"/>
  <c r="BV186" i="120" s="1"/>
  <c r="BS19" i="120"/>
  <c r="BS186" i="120" s="1"/>
  <c r="BP19" i="120"/>
  <c r="BP186" i="120" s="1"/>
  <c r="BC19" i="120"/>
  <c r="BB19" i="120"/>
  <c r="BB186" i="120" s="1"/>
  <c r="AX19" i="120"/>
  <c r="AX186" i="120" s="1"/>
  <c r="AU19" i="120"/>
  <c r="AU186" i="120" s="1"/>
  <c r="AR19" i="120"/>
  <c r="AR186" i="120" s="1"/>
  <c r="AE19" i="120"/>
  <c r="AE186" i="120" s="1"/>
  <c r="AD19" i="120"/>
  <c r="AD186" i="120" s="1"/>
  <c r="Z19" i="120"/>
  <c r="Z186" i="120" s="1"/>
  <c r="W19" i="120"/>
  <c r="W186" i="120" s="1"/>
  <c r="T19" i="120"/>
  <c r="T186" i="120" s="1"/>
  <c r="P19" i="120"/>
  <c r="O19" i="120"/>
  <c r="O186" i="120" s="1"/>
  <c r="K19" i="120"/>
  <c r="K186" i="120" s="1"/>
  <c r="H19" i="120"/>
  <c r="H186" i="120" s="1"/>
  <c r="E19" i="120"/>
  <c r="E186" i="120" s="1"/>
  <c r="CA16" i="120"/>
  <c r="CA183" i="120" s="1"/>
  <c r="BZ16" i="120"/>
  <c r="BZ183" i="120" s="1"/>
  <c r="BV16" i="120"/>
  <c r="BV183" i="120" s="1"/>
  <c r="BS16" i="120"/>
  <c r="BS183" i="120" s="1"/>
  <c r="BP16" i="120"/>
  <c r="BP183" i="120" s="1"/>
  <c r="BO16" i="120"/>
  <c r="BO183" i="120" s="1"/>
  <c r="BN16" i="120"/>
  <c r="BC16" i="120"/>
  <c r="BC183" i="120" s="1"/>
  <c r="BB16" i="120"/>
  <c r="BB183" i="120" s="1"/>
  <c r="AX16" i="120"/>
  <c r="AX183" i="120" s="1"/>
  <c r="AU16" i="120"/>
  <c r="AU183" i="120" s="1"/>
  <c r="AR16" i="120"/>
  <c r="AR183" i="120" s="1"/>
  <c r="AQ16" i="120"/>
  <c r="AP16" i="120"/>
  <c r="AP183" i="120" s="1"/>
  <c r="AE16" i="120"/>
  <c r="AE183" i="120" s="1"/>
  <c r="AD16" i="120"/>
  <c r="Z16" i="120"/>
  <c r="Z183" i="120" s="1"/>
  <c r="W16" i="120"/>
  <c r="W183" i="120" s="1"/>
  <c r="T16" i="120"/>
  <c r="T183" i="120" s="1"/>
  <c r="S16" i="120"/>
  <c r="S183" i="120" s="1"/>
  <c r="R16" i="120"/>
  <c r="P16" i="120"/>
  <c r="O16" i="120"/>
  <c r="O183" i="120" s="1"/>
  <c r="K16" i="120"/>
  <c r="K183" i="120" s="1"/>
  <c r="H16" i="120"/>
  <c r="H183" i="120" s="1"/>
  <c r="D16" i="120"/>
  <c r="C16" i="120"/>
  <c r="CB16" i="120"/>
  <c r="E16" i="120"/>
  <c r="E183" i="120" s="1"/>
  <c r="AF29" i="125"/>
  <c r="AE29" i="125"/>
  <c r="AF28" i="125"/>
  <c r="AE28" i="125"/>
  <c r="AF22" i="125"/>
  <c r="AE22" i="125"/>
  <c r="AE20" i="125"/>
  <c r="AE14" i="125"/>
  <c r="D21" i="120"/>
  <c r="AF26" i="125"/>
  <c r="CD188" i="120"/>
  <c r="C19" i="120"/>
  <c r="CC186" i="120"/>
  <c r="AE24" i="125"/>
  <c r="R183" i="120"/>
  <c r="AF23" i="125"/>
  <c r="CD185" i="120"/>
  <c r="BN183" i="120"/>
  <c r="AQ19" i="120"/>
  <c r="AF24" i="125"/>
  <c r="CD186" i="120"/>
  <c r="Q21" i="125"/>
  <c r="AE25" i="125"/>
  <c r="CC187" i="120"/>
  <c r="AQ20" i="120"/>
  <c r="W25" i="125" s="1"/>
  <c r="AF25" i="125"/>
  <c r="CD187" i="120"/>
  <c r="BN21" i="120"/>
  <c r="AE26" i="125"/>
  <c r="CC188" i="120"/>
  <c r="EM15" i="123"/>
  <c r="AR24" i="121"/>
  <c r="BA9" i="121"/>
  <c r="S19" i="120"/>
  <c r="C21" i="120"/>
  <c r="M26" i="125" s="1"/>
  <c r="AH16" i="120"/>
  <c r="T21" i="125" s="1"/>
  <c r="AP21" i="120"/>
  <c r="BJ24" i="121"/>
  <c r="R21" i="120"/>
  <c r="AQ21" i="120"/>
  <c r="CB21" i="120"/>
  <c r="S21" i="120"/>
  <c r="AQ18" i="120"/>
  <c r="W23" i="125" s="1"/>
  <c r="BO18" i="120"/>
  <c r="S18" i="120"/>
  <c r="Q23" i="125" s="1"/>
  <c r="EZ18" i="121"/>
  <c r="BN19" i="120"/>
  <c r="AP19" i="120"/>
  <c r="R19" i="120"/>
  <c r="P24" i="125" s="1"/>
  <c r="D18" i="120"/>
  <c r="CR40" i="121"/>
  <c r="CB19" i="120"/>
  <c r="D19" i="120"/>
  <c r="BO19" i="120"/>
  <c r="AP20" i="120"/>
  <c r="AP187" i="120" s="1"/>
  <c r="R20" i="120"/>
  <c r="R187" i="120" s="1"/>
  <c r="C20" i="120"/>
  <c r="BN20" i="120"/>
  <c r="BO21" i="120"/>
  <c r="BV21" i="121"/>
  <c r="DU16" i="121"/>
  <c r="DU20" i="121"/>
  <c r="FT21" i="121"/>
  <c r="EQ40" i="121"/>
  <c r="DL40" i="121"/>
  <c r="BO20" i="120"/>
  <c r="D20" i="120"/>
  <c r="S20" i="120"/>
  <c r="BV16" i="121"/>
  <c r="FS19" i="121"/>
  <c r="H40" i="121"/>
  <c r="BU16" i="121"/>
  <c r="AG14" i="122"/>
  <c r="BE14" i="122" s="1"/>
  <c r="EM14" i="123"/>
  <c r="FS16" i="121"/>
  <c r="FZ21" i="121"/>
  <c r="CQ21" i="121"/>
  <c r="EN20" i="121"/>
  <c r="BH20" i="121"/>
  <c r="U20" i="121"/>
  <c r="L20" i="121"/>
  <c r="FF20" i="121"/>
  <c r="EW20" i="121"/>
  <c r="DG20" i="121"/>
  <c r="AY20" i="121"/>
  <c r="AP20" i="121"/>
  <c r="CX20" i="121"/>
  <c r="CO20" i="121"/>
  <c r="CP21" i="121"/>
  <c r="BI21" i="121"/>
  <c r="M21" i="121"/>
  <c r="FG21" i="121"/>
  <c r="EX21" i="121"/>
  <c r="EO21" i="121"/>
  <c r="DH21" i="121"/>
  <c r="AZ21" i="121"/>
  <c r="V21" i="121"/>
  <c r="CY21" i="121"/>
  <c r="AQ21" i="121"/>
  <c r="C20" i="121"/>
  <c r="B20" i="121" s="1"/>
  <c r="D21" i="121"/>
  <c r="AE21" i="121" s="1"/>
  <c r="EO18" i="121"/>
  <c r="CP18" i="121"/>
  <c r="BI18" i="121"/>
  <c r="V18" i="121"/>
  <c r="M18" i="121"/>
  <c r="FG18" i="121"/>
  <c r="EX18" i="121"/>
  <c r="DH18" i="121"/>
  <c r="AZ18" i="121"/>
  <c r="AQ18" i="121"/>
  <c r="CY18" i="121"/>
  <c r="FZ20" i="121"/>
  <c r="EO20" i="121"/>
  <c r="BI20" i="121"/>
  <c r="V20" i="121"/>
  <c r="M20" i="121"/>
  <c r="FG20" i="121"/>
  <c r="EX20" i="121"/>
  <c r="DH20" i="121"/>
  <c r="AZ20" i="121"/>
  <c r="BR20" i="121" s="1"/>
  <c r="AQ20" i="121"/>
  <c r="CY20" i="121"/>
  <c r="CP20" i="121"/>
  <c r="D18" i="121"/>
  <c r="AE18" i="121" s="1"/>
  <c r="D20" i="121"/>
  <c r="FZ19" i="121"/>
  <c r="FF19" i="121"/>
  <c r="EW19" i="121"/>
  <c r="DG19" i="121"/>
  <c r="AY19" i="121"/>
  <c r="AP19" i="121"/>
  <c r="CX19" i="121"/>
  <c r="CO19" i="121"/>
  <c r="EN19" i="121"/>
  <c r="BH19" i="121"/>
  <c r="BG19" i="121" s="1"/>
  <c r="U19" i="121"/>
  <c r="C19" i="121"/>
  <c r="CY19" i="121"/>
  <c r="CP19" i="121"/>
  <c r="EO19" i="121"/>
  <c r="BI19" i="121"/>
  <c r="V19" i="121"/>
  <c r="FG19" i="121"/>
  <c r="EX19" i="121"/>
  <c r="DH19" i="121"/>
  <c r="AZ19" i="121"/>
  <c r="AQ19" i="121"/>
  <c r="CX21" i="121"/>
  <c r="CW21" i="121" s="1"/>
  <c r="AP21" i="121"/>
  <c r="CO21" i="121"/>
  <c r="BH21" i="121"/>
  <c r="BG21" i="121" s="1"/>
  <c r="FF21" i="121"/>
  <c r="EW21" i="121"/>
  <c r="EN21" i="121"/>
  <c r="EM21" i="121" s="1"/>
  <c r="DG21" i="121"/>
  <c r="DF21" i="121" s="1"/>
  <c r="AY21" i="121"/>
  <c r="U21" i="121"/>
  <c r="D19" i="121"/>
  <c r="C21" i="121"/>
  <c r="L21" i="121"/>
  <c r="CI19" i="121"/>
  <c r="CZ17" i="121"/>
  <c r="BT19" i="121"/>
  <c r="W23" i="121"/>
  <c r="DT20" i="121"/>
  <c r="CB20" i="120"/>
  <c r="AD25" i="125" s="1"/>
  <c r="N23" i="125"/>
  <c r="D185" i="120"/>
  <c r="AQ188" i="120"/>
  <c r="CB187" i="120"/>
  <c r="B21" i="120"/>
  <c r="B188" i="120" s="1"/>
  <c r="C188" i="120"/>
  <c r="S187" i="120"/>
  <c r="AQ185" i="120"/>
  <c r="V25" i="125"/>
  <c r="AC25" i="125"/>
  <c r="BO187" i="120"/>
  <c r="P25" i="125"/>
  <c r="V24" i="125"/>
  <c r="N26" i="125"/>
  <c r="D188" i="120"/>
  <c r="AG21" i="120"/>
  <c r="CW20" i="121"/>
  <c r="EV20" i="121"/>
  <c r="BG20" i="121"/>
  <c r="K21" i="121"/>
  <c r="AO21" i="121"/>
  <c r="AX19" i="121"/>
  <c r="AO20" i="121"/>
  <c r="B19" i="121"/>
  <c r="DF19" i="121"/>
  <c r="FP20" i="121"/>
  <c r="FT73" i="123"/>
  <c r="DU73" i="123"/>
  <c r="BV73" i="123"/>
  <c r="AI73" i="123"/>
  <c r="FT72" i="123"/>
  <c r="DU72" i="123"/>
  <c r="BV72" i="123"/>
  <c r="AI72" i="123"/>
  <c r="FT71" i="123"/>
  <c r="FT70" i="123" s="1"/>
  <c r="DU71" i="123"/>
  <c r="BV71" i="123"/>
  <c r="AI71" i="123"/>
  <c r="DL70" i="123"/>
  <c r="DC70" i="123"/>
  <c r="CT70" i="123"/>
  <c r="BM70" i="123"/>
  <c r="BD70" i="123"/>
  <c r="AU70" i="123"/>
  <c r="Z70" i="123"/>
  <c r="Q70" i="123"/>
  <c r="H70" i="123"/>
  <c r="FV65" i="123"/>
  <c r="FU65" i="123"/>
  <c r="FS65" i="123"/>
  <c r="FR65" i="123"/>
  <c r="FH65" i="123"/>
  <c r="EY65" i="123"/>
  <c r="EP65" i="123"/>
  <c r="DW65" i="123"/>
  <c r="DV65" i="123"/>
  <c r="DT65" i="123"/>
  <c r="DS65" i="123"/>
  <c r="DL65" i="123"/>
  <c r="DI65" i="123"/>
  <c r="DC65" i="123"/>
  <c r="CZ65" i="123"/>
  <c r="CT65" i="123"/>
  <c r="CQ65" i="123"/>
  <c r="BX65" i="123"/>
  <c r="BW65" i="123"/>
  <c r="BU65" i="123"/>
  <c r="BT65" i="123"/>
  <c r="BM65" i="123"/>
  <c r="BJ65" i="123"/>
  <c r="BD65" i="123"/>
  <c r="BA65" i="123"/>
  <c r="AU65" i="123"/>
  <c r="AR65" i="123"/>
  <c r="AK65" i="123"/>
  <c r="AJ65" i="123"/>
  <c r="AH65" i="123"/>
  <c r="AG65" i="123"/>
  <c r="Z65" i="123"/>
  <c r="W65" i="123"/>
  <c r="Q65" i="123"/>
  <c r="N65" i="123"/>
  <c r="M65" i="123"/>
  <c r="H65" i="123"/>
  <c r="E65" i="123"/>
  <c r="L65" i="123"/>
  <c r="FV64" i="123"/>
  <c r="FU64" i="123"/>
  <c r="FS64" i="123"/>
  <c r="FR64" i="123"/>
  <c r="FH64" i="123"/>
  <c r="EY64" i="123"/>
  <c r="EP64" i="123"/>
  <c r="DW64" i="123"/>
  <c r="DV64" i="123"/>
  <c r="DT64" i="123"/>
  <c r="DS64" i="123"/>
  <c r="DL64" i="123"/>
  <c r="DI64" i="123"/>
  <c r="DC64" i="123"/>
  <c r="CZ64" i="123"/>
  <c r="DR64" i="123" s="1"/>
  <c r="CT64" i="123"/>
  <c r="DU64" i="123" s="1"/>
  <c r="CQ64" i="123"/>
  <c r="BX64" i="123"/>
  <c r="BW64" i="123"/>
  <c r="CI64" i="123" s="1"/>
  <c r="EH64" i="123" s="1"/>
  <c r="GG64" i="123" s="1"/>
  <c r="BU64" i="123"/>
  <c r="BT64" i="123"/>
  <c r="BM64" i="123"/>
  <c r="BJ64" i="123"/>
  <c r="BD64" i="123"/>
  <c r="BA64" i="123"/>
  <c r="AU64" i="123"/>
  <c r="AR64" i="123"/>
  <c r="BS64" i="123" s="1"/>
  <c r="AK64" i="123"/>
  <c r="AJ64" i="123"/>
  <c r="AH64" i="123"/>
  <c r="AG64" i="123"/>
  <c r="CF64" i="123" s="1"/>
  <c r="Z64" i="123"/>
  <c r="W64" i="123"/>
  <c r="Q64" i="123"/>
  <c r="N64" i="123"/>
  <c r="H64" i="123"/>
  <c r="E64" i="123"/>
  <c r="DU60" i="123"/>
  <c r="BV60" i="123"/>
  <c r="AI60" i="123"/>
  <c r="FT59" i="123"/>
  <c r="DU59" i="123"/>
  <c r="BV59" i="123"/>
  <c r="BV58" i="123"/>
  <c r="AI58" i="123"/>
  <c r="AI56" i="123"/>
  <c r="FT55" i="123"/>
  <c r="DU55" i="123"/>
  <c r="BV55" i="123"/>
  <c r="BV54" i="123"/>
  <c r="AI54" i="123"/>
  <c r="DU53" i="123"/>
  <c r="FT51" i="123"/>
  <c r="DU51" i="123"/>
  <c r="BV51" i="123"/>
  <c r="AI51" i="123"/>
  <c r="DU50" i="123"/>
  <c r="AI50" i="123"/>
  <c r="FV49" i="123"/>
  <c r="FU49" i="123"/>
  <c r="DW49" i="123"/>
  <c r="DV49" i="123"/>
  <c r="BX49" i="123"/>
  <c r="BV49" i="123"/>
  <c r="AK49" i="123"/>
  <c r="AI49" i="123"/>
  <c r="AJ49" i="123"/>
  <c r="H48" i="123"/>
  <c r="DU47" i="123"/>
  <c r="FV46" i="123"/>
  <c r="FU46" i="123"/>
  <c r="DW46" i="123"/>
  <c r="DV46" i="123"/>
  <c r="BX46" i="123"/>
  <c r="BV46" i="123"/>
  <c r="AK46" i="123"/>
  <c r="DU44" i="123"/>
  <c r="FT41" i="123"/>
  <c r="DU41" i="123"/>
  <c r="BV41" i="123"/>
  <c r="BV40" i="123"/>
  <c r="AI40" i="123"/>
  <c r="DU38" i="123"/>
  <c r="BV38" i="123"/>
  <c r="AI38" i="123"/>
  <c r="FT37" i="123"/>
  <c r="DU37" i="123"/>
  <c r="E37" i="123"/>
  <c r="BV36" i="123"/>
  <c r="AI36" i="123"/>
  <c r="FY30" i="123"/>
  <c r="DZ30" i="123"/>
  <c r="DL30" i="123"/>
  <c r="DC30" i="123"/>
  <c r="CT30" i="123"/>
  <c r="CM30" i="123"/>
  <c r="CA30" i="123"/>
  <c r="BM30" i="123"/>
  <c r="BD30" i="123"/>
  <c r="AU30" i="123"/>
  <c r="AN30" i="123"/>
  <c r="Z30" i="123"/>
  <c r="Q30" i="123"/>
  <c r="GJ29" i="123"/>
  <c r="FX29" i="123"/>
  <c r="ES29" i="123"/>
  <c r="EK29" i="123"/>
  <c r="DY29" i="123"/>
  <c r="DL29" i="123"/>
  <c r="DC29" i="123"/>
  <c r="CT29" i="123"/>
  <c r="CL29" i="123"/>
  <c r="BZ29" i="123"/>
  <c r="BM29" i="123"/>
  <c r="AM29" i="123"/>
  <c r="GK28" i="123"/>
  <c r="FY28" i="123"/>
  <c r="FK28" i="123"/>
  <c r="FB28" i="123"/>
  <c r="ES28" i="123"/>
  <c r="EL28" i="123"/>
  <c r="DZ28" i="123"/>
  <c r="CM28" i="123"/>
  <c r="CA28" i="123"/>
  <c r="AN28" i="123"/>
  <c r="GK27" i="123"/>
  <c r="FY27" i="123"/>
  <c r="FC27" i="123"/>
  <c r="EL27" i="123"/>
  <c r="DZ27" i="123"/>
  <c r="DL27" i="123"/>
  <c r="DD27" i="123"/>
  <c r="DC27" i="123"/>
  <c r="CT27" i="123"/>
  <c r="CM27" i="123"/>
  <c r="CA27" i="123"/>
  <c r="BD27" i="123"/>
  <c r="AU27" i="123"/>
  <c r="AN27" i="123"/>
  <c r="Q27" i="123"/>
  <c r="FJ25" i="123"/>
  <c r="FI25" i="123"/>
  <c r="FA25" i="123"/>
  <c r="EZ25" i="123"/>
  <c r="ER25" i="123"/>
  <c r="EQ25" i="123"/>
  <c r="DL25" i="123"/>
  <c r="DK25" i="123"/>
  <c r="DJ25" i="123"/>
  <c r="DB25" i="123"/>
  <c r="DA25" i="123"/>
  <c r="CV25" i="123"/>
  <c r="CS25" i="123"/>
  <c r="CR25" i="123"/>
  <c r="BL25" i="123"/>
  <c r="BK25" i="123"/>
  <c r="BC25" i="123"/>
  <c r="BB25" i="123"/>
  <c r="AT25" i="123"/>
  <c r="AS25" i="123"/>
  <c r="AB25" i="123"/>
  <c r="AB26" i="123" s="1"/>
  <c r="Y25" i="123"/>
  <c r="X25" i="123"/>
  <c r="P25" i="123"/>
  <c r="O25" i="123"/>
  <c r="G25" i="123"/>
  <c r="F25" i="123"/>
  <c r="FV24" i="123"/>
  <c r="FS24" i="123"/>
  <c r="FR24" i="123"/>
  <c r="FP24" i="123"/>
  <c r="FC30" i="123"/>
  <c r="EY24" i="123"/>
  <c r="EP24" i="123"/>
  <c r="DW24" i="123"/>
  <c r="DU24" i="123"/>
  <c r="DT24" i="123"/>
  <c r="DS24" i="123"/>
  <c r="DQ24" i="123"/>
  <c r="DM30" i="123"/>
  <c r="DI24" i="123"/>
  <c r="CZ24" i="123"/>
  <c r="CQ24" i="123"/>
  <c r="BX24" i="123"/>
  <c r="BV24" i="123"/>
  <c r="BU24" i="123"/>
  <c r="BT24" i="123"/>
  <c r="BR24" i="123"/>
  <c r="BN30" i="123"/>
  <c r="BJ24" i="123"/>
  <c r="BA24" i="123"/>
  <c r="AR24" i="123"/>
  <c r="AK24" i="123"/>
  <c r="AI24" i="123"/>
  <c r="AH24" i="123"/>
  <c r="CG24" i="123" s="1"/>
  <c r="AG24" i="123"/>
  <c r="AE24" i="123"/>
  <c r="AA30" i="123"/>
  <c r="W24" i="123"/>
  <c r="N24" i="123"/>
  <c r="AJ24" i="123"/>
  <c r="E24" i="123"/>
  <c r="FU23" i="123"/>
  <c r="FS23" i="123"/>
  <c r="FR23" i="123"/>
  <c r="FX23" i="123" s="1"/>
  <c r="FO23" i="123"/>
  <c r="FM25" i="123"/>
  <c r="EY23" i="123"/>
  <c r="EP23" i="123"/>
  <c r="DV23" i="123"/>
  <c r="DU23" i="123"/>
  <c r="DT23" i="123"/>
  <c r="DS23" i="123"/>
  <c r="DP23" i="123"/>
  <c r="DN25" i="123"/>
  <c r="DI23" i="123"/>
  <c r="CZ23" i="123"/>
  <c r="CV29" i="123"/>
  <c r="CQ23" i="123"/>
  <c r="BW23" i="123"/>
  <c r="BU23" i="123"/>
  <c r="BT23" i="123"/>
  <c r="BQ23" i="123"/>
  <c r="BO25" i="123"/>
  <c r="BJ23" i="123"/>
  <c r="BA23" i="123"/>
  <c r="AR23" i="123"/>
  <c r="AJ23" i="123"/>
  <c r="AH23" i="123"/>
  <c r="AG23" i="123"/>
  <c r="AD23" i="123"/>
  <c r="W23" i="123"/>
  <c r="N23" i="123"/>
  <c r="E23" i="123"/>
  <c r="FV22" i="123"/>
  <c r="FT22" i="123"/>
  <c r="FS22" i="123"/>
  <c r="FR22" i="123"/>
  <c r="FP22" i="123"/>
  <c r="FC28" i="123"/>
  <c r="EY22" i="123"/>
  <c r="FQ22" i="123" s="1"/>
  <c r="EP22" i="123"/>
  <c r="DW22" i="123"/>
  <c r="DT22" i="123"/>
  <c r="DS22" i="123"/>
  <c r="DQ22" i="123"/>
  <c r="DI22" i="123"/>
  <c r="CZ22" i="123"/>
  <c r="CU28" i="123"/>
  <c r="CQ22" i="123"/>
  <c r="BX22" i="123"/>
  <c r="BV22" i="123"/>
  <c r="BU22" i="123"/>
  <c r="CG22" i="123" s="1"/>
  <c r="EF22" i="123" s="1"/>
  <c r="BT22" i="123"/>
  <c r="BR22" i="123"/>
  <c r="BJ22" i="123"/>
  <c r="BA22" i="123"/>
  <c r="AV28" i="123"/>
  <c r="AR22" i="123"/>
  <c r="AK22" i="123"/>
  <c r="AI22" i="123"/>
  <c r="AH22" i="123"/>
  <c r="AG22" i="123"/>
  <c r="AE22" i="123"/>
  <c r="AA28" i="123"/>
  <c r="W22" i="123"/>
  <c r="R28" i="123"/>
  <c r="N22" i="123"/>
  <c r="E22" i="123"/>
  <c r="FV21" i="123"/>
  <c r="FS21" i="123"/>
  <c r="FR21" i="123"/>
  <c r="FP21" i="123"/>
  <c r="EY21" i="123"/>
  <c r="EP21" i="123"/>
  <c r="DW21" i="123"/>
  <c r="DU21" i="123"/>
  <c r="DT21" i="123"/>
  <c r="DS21" i="123"/>
  <c r="DQ21" i="123"/>
  <c r="DZ21" i="123" s="1"/>
  <c r="DI21" i="123"/>
  <c r="DD25" i="123"/>
  <c r="CZ21" i="123"/>
  <c r="CQ21" i="123"/>
  <c r="BX21" i="123"/>
  <c r="BU21" i="123"/>
  <c r="BT21" i="123"/>
  <c r="BR21" i="123"/>
  <c r="BJ21" i="123"/>
  <c r="BE25" i="123"/>
  <c r="BA21" i="123"/>
  <c r="AR21" i="123"/>
  <c r="AK21" i="123"/>
  <c r="AI21" i="123"/>
  <c r="AH21" i="123"/>
  <c r="AG21" i="123"/>
  <c r="AE21" i="123"/>
  <c r="W21" i="123"/>
  <c r="N21" i="123"/>
  <c r="E21" i="123"/>
  <c r="L12" i="123"/>
  <c r="FV12" i="123"/>
  <c r="FU12" i="123"/>
  <c r="FG12" i="123"/>
  <c r="EX12" i="123"/>
  <c r="EO12" i="123"/>
  <c r="DW12" i="123"/>
  <c r="DU12" i="123"/>
  <c r="DJ30" i="123"/>
  <c r="DH12" i="123"/>
  <c r="DD62" i="123"/>
  <c r="DA30" i="123"/>
  <c r="CY12" i="123"/>
  <c r="DV12" i="123"/>
  <c r="CR30" i="123"/>
  <c r="CP12" i="123"/>
  <c r="CO12" i="123"/>
  <c r="BX12" i="123"/>
  <c r="BV12" i="123"/>
  <c r="BI12" i="123"/>
  <c r="BB30" i="123"/>
  <c r="AZ12" i="123"/>
  <c r="BW12" i="123"/>
  <c r="AS30" i="123"/>
  <c r="AQ12" i="123"/>
  <c r="AP12" i="123"/>
  <c r="AK12" i="123"/>
  <c r="V12" i="123"/>
  <c r="M12" i="123"/>
  <c r="D12" i="123"/>
  <c r="C12" i="123"/>
  <c r="FU11" i="123"/>
  <c r="FJ29" i="123"/>
  <c r="FF11" i="123"/>
  <c r="FA29" i="123"/>
  <c r="EW11" i="123"/>
  <c r="FV11" i="123"/>
  <c r="ER29" i="123"/>
  <c r="EN11" i="123"/>
  <c r="DV11" i="123"/>
  <c r="DU11" i="123"/>
  <c r="DG11" i="123"/>
  <c r="CX11" i="123"/>
  <c r="CO11" i="123"/>
  <c r="BW11" i="123"/>
  <c r="BV11" i="123"/>
  <c r="BL29" i="123"/>
  <c r="BH11" i="123"/>
  <c r="AY11" i="123"/>
  <c r="AP11" i="123"/>
  <c r="AJ11" i="123"/>
  <c r="Y29" i="123"/>
  <c r="U11" i="123"/>
  <c r="P29" i="123"/>
  <c r="L11" i="123"/>
  <c r="C11" i="123"/>
  <c r="FZ10" i="123"/>
  <c r="AE17" i="126" s="1"/>
  <c r="FV10" i="123"/>
  <c r="FT10" i="123"/>
  <c r="FT28" i="123" s="1"/>
  <c r="FG10" i="123"/>
  <c r="EX10" i="123"/>
  <c r="EO10" i="123"/>
  <c r="DW10" i="123"/>
  <c r="DU10" i="123"/>
  <c r="DM62" i="123"/>
  <c r="DH10" i="123"/>
  <c r="DG10" i="123"/>
  <c r="CY10" i="123"/>
  <c r="CR28" i="123"/>
  <c r="CP10" i="123"/>
  <c r="BX10" i="123"/>
  <c r="BV10" i="123"/>
  <c r="BN62" i="123"/>
  <c r="BI10" i="123"/>
  <c r="BE62" i="123"/>
  <c r="AZ10" i="123"/>
  <c r="AS28" i="123"/>
  <c r="AQ10" i="123"/>
  <c r="AK10" i="123"/>
  <c r="X27" i="123"/>
  <c r="V10" i="123"/>
  <c r="R62" i="123"/>
  <c r="M10" i="123"/>
  <c r="F27" i="123"/>
  <c r="D10" i="123"/>
  <c r="C10" i="123"/>
  <c r="CV62" i="123"/>
  <c r="CU62" i="123"/>
  <c r="BO62" i="123"/>
  <c r="AB62" i="123"/>
  <c r="AA62" i="123"/>
  <c r="S62" i="123"/>
  <c r="BX222" i="122"/>
  <c r="BW222" i="122"/>
  <c r="BU222" i="122"/>
  <c r="BT222" i="122"/>
  <c r="BR222" i="122"/>
  <c r="BQ222" i="122"/>
  <c r="AZ222" i="122"/>
  <c r="AY222" i="122"/>
  <c r="AW222" i="122"/>
  <c r="AV222" i="122"/>
  <c r="AT222" i="122"/>
  <c r="AS222" i="122"/>
  <c r="AB222" i="122"/>
  <c r="AA222" i="122"/>
  <c r="Y222" i="122"/>
  <c r="X222" i="122"/>
  <c r="V222" i="122"/>
  <c r="U222" i="122"/>
  <c r="M222" i="122"/>
  <c r="L222" i="122"/>
  <c r="J222" i="122"/>
  <c r="I222" i="122"/>
  <c r="G222" i="122"/>
  <c r="F222" i="122"/>
  <c r="BX221" i="122"/>
  <c r="BW221" i="122"/>
  <c r="BU221" i="122"/>
  <c r="BT221" i="122"/>
  <c r="BR221" i="122"/>
  <c r="BQ221" i="122"/>
  <c r="AZ221" i="122"/>
  <c r="AY221" i="122"/>
  <c r="AW221" i="122"/>
  <c r="AT221" i="122"/>
  <c r="AS221" i="122"/>
  <c r="AB221" i="122"/>
  <c r="AA221" i="122"/>
  <c r="Y221" i="122"/>
  <c r="X221" i="122"/>
  <c r="V221" i="122"/>
  <c r="M221" i="122"/>
  <c r="L221" i="122"/>
  <c r="J221" i="122"/>
  <c r="I221" i="122"/>
  <c r="G221" i="122"/>
  <c r="F221" i="122"/>
  <c r="BX220" i="122"/>
  <c r="BW220" i="122"/>
  <c r="BU220" i="122"/>
  <c r="BT220" i="122"/>
  <c r="BR220" i="122"/>
  <c r="BQ220" i="122"/>
  <c r="AZ220" i="122"/>
  <c r="AY220" i="122"/>
  <c r="AW220" i="122"/>
  <c r="AT220" i="122"/>
  <c r="AS220" i="122"/>
  <c r="AB220" i="122"/>
  <c r="Y220" i="122"/>
  <c r="X220" i="122"/>
  <c r="V220" i="122"/>
  <c r="M220" i="122"/>
  <c r="J220" i="122"/>
  <c r="I220" i="122"/>
  <c r="G220" i="122"/>
  <c r="BX219" i="122"/>
  <c r="BW219" i="122"/>
  <c r="BU219" i="122"/>
  <c r="BR219" i="122"/>
  <c r="BQ219" i="122"/>
  <c r="AZ219" i="122"/>
  <c r="AY219" i="122"/>
  <c r="AW219" i="122"/>
  <c r="AT219" i="122"/>
  <c r="AS219" i="122"/>
  <c r="AB219" i="122"/>
  <c r="AA219" i="122"/>
  <c r="Y219" i="122"/>
  <c r="X219" i="122"/>
  <c r="V219" i="122"/>
  <c r="U219" i="122"/>
  <c r="M219" i="122"/>
  <c r="L219" i="122"/>
  <c r="J219" i="122"/>
  <c r="I219" i="122"/>
  <c r="G219" i="122"/>
  <c r="F219" i="122"/>
  <c r="BX217" i="122"/>
  <c r="BW217" i="122"/>
  <c r="BU217" i="122"/>
  <c r="BT217" i="122"/>
  <c r="BR217" i="122"/>
  <c r="AZ217" i="122"/>
  <c r="AW217" i="122"/>
  <c r="AT217" i="122"/>
  <c r="AS217" i="122"/>
  <c r="AB217" i="122"/>
  <c r="AA217" i="122"/>
  <c r="Y217" i="122"/>
  <c r="X217" i="122"/>
  <c r="V217" i="122"/>
  <c r="U217" i="122"/>
  <c r="M217" i="122"/>
  <c r="L217" i="122"/>
  <c r="J217" i="122"/>
  <c r="I217" i="122"/>
  <c r="G217" i="122"/>
  <c r="F217" i="122"/>
  <c r="BX216" i="122"/>
  <c r="BW216" i="122"/>
  <c r="BU216" i="122"/>
  <c r="BT216" i="122"/>
  <c r="BR216" i="122"/>
  <c r="BQ216" i="122"/>
  <c r="AZ216" i="122"/>
  <c r="AY216" i="122"/>
  <c r="AW216" i="122"/>
  <c r="AV216" i="122"/>
  <c r="AT216" i="122"/>
  <c r="AS216" i="122"/>
  <c r="AB216" i="122"/>
  <c r="AA216" i="122"/>
  <c r="Y216" i="122"/>
  <c r="X216" i="122"/>
  <c r="V216" i="122"/>
  <c r="U216" i="122"/>
  <c r="M216" i="122"/>
  <c r="L216" i="122"/>
  <c r="J216" i="122"/>
  <c r="I216" i="122"/>
  <c r="G216" i="122"/>
  <c r="F216" i="122"/>
  <c r="BX215" i="122"/>
  <c r="BW215" i="122"/>
  <c r="BU215" i="122"/>
  <c r="BR215" i="122"/>
  <c r="BQ215" i="122"/>
  <c r="AZ215" i="122"/>
  <c r="AW215" i="122"/>
  <c r="AV215" i="122"/>
  <c r="AT215" i="122"/>
  <c r="AS215" i="122"/>
  <c r="AB215" i="122"/>
  <c r="AA215" i="122"/>
  <c r="Y215" i="122"/>
  <c r="X215" i="122"/>
  <c r="V215" i="122"/>
  <c r="U215" i="122"/>
  <c r="M215" i="122"/>
  <c r="J215" i="122"/>
  <c r="I215" i="122"/>
  <c r="G215" i="122"/>
  <c r="F215" i="122"/>
  <c r="BX214" i="122"/>
  <c r="BW214" i="122"/>
  <c r="BU214" i="122"/>
  <c r="BR214" i="122"/>
  <c r="AZ214" i="122"/>
  <c r="AW214" i="122"/>
  <c r="AT214" i="122"/>
  <c r="AB214" i="122"/>
  <c r="Y214" i="122"/>
  <c r="V214" i="122"/>
  <c r="M214" i="122"/>
  <c r="J214" i="122"/>
  <c r="G214" i="122"/>
  <c r="BX212" i="122"/>
  <c r="BW212" i="122"/>
  <c r="BU212" i="122"/>
  <c r="BT212" i="122"/>
  <c r="BR212" i="122"/>
  <c r="BQ212" i="122"/>
  <c r="AZ212" i="122"/>
  <c r="AY212" i="122"/>
  <c r="AW212" i="122"/>
  <c r="AV212" i="122"/>
  <c r="AT212" i="122"/>
  <c r="AS212" i="122"/>
  <c r="AB212" i="122"/>
  <c r="AA212" i="122"/>
  <c r="Y212" i="122"/>
  <c r="X212" i="122"/>
  <c r="V212" i="122"/>
  <c r="U212" i="122"/>
  <c r="M212" i="122"/>
  <c r="L212" i="122"/>
  <c r="J212" i="122"/>
  <c r="I212" i="122"/>
  <c r="G212" i="122"/>
  <c r="F212" i="122"/>
  <c r="BX211" i="122"/>
  <c r="BW211" i="122"/>
  <c r="BU211" i="122"/>
  <c r="BT211" i="122"/>
  <c r="BR211" i="122"/>
  <c r="BQ211" i="122"/>
  <c r="AZ211" i="122"/>
  <c r="AY211" i="122"/>
  <c r="AW211" i="122"/>
  <c r="AV211" i="122"/>
  <c r="AT211" i="122"/>
  <c r="AS211" i="122"/>
  <c r="AB211" i="122"/>
  <c r="AA211" i="122"/>
  <c r="Y211" i="122"/>
  <c r="X211" i="122"/>
  <c r="V211" i="122"/>
  <c r="U211" i="122"/>
  <c r="M211" i="122"/>
  <c r="L211" i="122"/>
  <c r="J211" i="122"/>
  <c r="I211" i="122"/>
  <c r="G211" i="122"/>
  <c r="F211" i="122"/>
  <c r="BX210" i="122"/>
  <c r="BW210" i="122"/>
  <c r="BU210" i="122"/>
  <c r="BT210" i="122"/>
  <c r="BR210" i="122"/>
  <c r="BQ210" i="122"/>
  <c r="AZ210" i="122"/>
  <c r="AY210" i="122"/>
  <c r="AW210" i="122"/>
  <c r="AV210" i="122"/>
  <c r="AT210" i="122"/>
  <c r="AS210" i="122"/>
  <c r="AB210" i="122"/>
  <c r="AA210" i="122"/>
  <c r="Y210" i="122"/>
  <c r="X210" i="122"/>
  <c r="V210" i="122"/>
  <c r="U210" i="122"/>
  <c r="M210" i="122"/>
  <c r="L210" i="122"/>
  <c r="J210" i="122"/>
  <c r="G210" i="122"/>
  <c r="BX209" i="122"/>
  <c r="BW209" i="122"/>
  <c r="BU209" i="122"/>
  <c r="BR209" i="122"/>
  <c r="AZ209" i="122"/>
  <c r="AW209" i="122"/>
  <c r="AT209" i="122"/>
  <c r="AB209" i="122"/>
  <c r="Y209" i="122"/>
  <c r="V209" i="122"/>
  <c r="M209" i="122"/>
  <c r="J209" i="122"/>
  <c r="G209" i="122"/>
  <c r="BX208" i="122"/>
  <c r="BW208" i="122"/>
  <c r="BU208" i="122"/>
  <c r="BT208" i="122"/>
  <c r="BR208" i="122"/>
  <c r="BQ208" i="122"/>
  <c r="AZ208" i="122"/>
  <c r="AY208" i="122"/>
  <c r="AW208" i="122"/>
  <c r="AV208" i="122"/>
  <c r="AT208" i="122"/>
  <c r="AS208" i="122"/>
  <c r="AB208" i="122"/>
  <c r="AA208" i="122"/>
  <c r="Y208" i="122"/>
  <c r="X208" i="122"/>
  <c r="V208" i="122"/>
  <c r="U208" i="122"/>
  <c r="M208" i="122"/>
  <c r="L208" i="122"/>
  <c r="J208" i="122"/>
  <c r="I208" i="122"/>
  <c r="G208" i="122"/>
  <c r="F208" i="122"/>
  <c r="BX207" i="122"/>
  <c r="BW207" i="122"/>
  <c r="BU207" i="122"/>
  <c r="BT207" i="122"/>
  <c r="BR207" i="122"/>
  <c r="BQ207" i="122"/>
  <c r="AZ207" i="122"/>
  <c r="AY207" i="122"/>
  <c r="AW207" i="122"/>
  <c r="AV207" i="122"/>
  <c r="AT207" i="122"/>
  <c r="AS207" i="122"/>
  <c r="AB207" i="122"/>
  <c r="AA207" i="122"/>
  <c r="Y207" i="122"/>
  <c r="X207" i="122"/>
  <c r="V207" i="122"/>
  <c r="U207" i="122"/>
  <c r="M207" i="122"/>
  <c r="L207" i="122"/>
  <c r="J207" i="122"/>
  <c r="I207" i="122"/>
  <c r="G207" i="122"/>
  <c r="F207" i="122"/>
  <c r="BX206" i="122"/>
  <c r="BW206" i="122"/>
  <c r="BU206" i="122"/>
  <c r="BT206" i="122"/>
  <c r="BR206" i="122"/>
  <c r="BQ206" i="122"/>
  <c r="AZ206" i="122"/>
  <c r="AY206" i="122"/>
  <c r="AW206" i="122"/>
  <c r="AV206" i="122"/>
  <c r="AT206" i="122"/>
  <c r="AS206" i="122"/>
  <c r="AB206" i="122"/>
  <c r="AA206" i="122"/>
  <c r="Y206" i="122"/>
  <c r="X206" i="122"/>
  <c r="V206" i="122"/>
  <c r="U206" i="122"/>
  <c r="M206" i="122"/>
  <c r="L206" i="122"/>
  <c r="J206" i="122"/>
  <c r="I206" i="122"/>
  <c r="G206" i="122"/>
  <c r="F206" i="122"/>
  <c r="BX205" i="122"/>
  <c r="BW205" i="122"/>
  <c r="BU205" i="122"/>
  <c r="BT205" i="122"/>
  <c r="BR205" i="122"/>
  <c r="BQ205" i="122"/>
  <c r="AZ205" i="122"/>
  <c r="AY205" i="122"/>
  <c r="AW205" i="122"/>
  <c r="AV205" i="122"/>
  <c r="AT205" i="122"/>
  <c r="AS205" i="122"/>
  <c r="AB205" i="122"/>
  <c r="Y205" i="122"/>
  <c r="V205" i="122"/>
  <c r="U205" i="122"/>
  <c r="M205" i="122"/>
  <c r="J205" i="122"/>
  <c r="I205" i="122"/>
  <c r="G205" i="122"/>
  <c r="F205" i="122"/>
  <c r="BX204" i="122"/>
  <c r="BW204" i="122"/>
  <c r="BU204" i="122"/>
  <c r="BT204" i="122"/>
  <c r="BR204" i="122"/>
  <c r="BQ204" i="122"/>
  <c r="AZ204" i="122"/>
  <c r="AY204" i="122"/>
  <c r="AW204" i="122"/>
  <c r="AV204" i="122"/>
  <c r="AT204" i="122"/>
  <c r="AS204" i="122"/>
  <c r="AB204" i="122"/>
  <c r="AA204" i="122"/>
  <c r="Y204" i="122"/>
  <c r="X204" i="122"/>
  <c r="V204" i="122"/>
  <c r="U204" i="122"/>
  <c r="M204" i="122"/>
  <c r="L204" i="122"/>
  <c r="J204" i="122"/>
  <c r="I204" i="122"/>
  <c r="G204" i="122"/>
  <c r="F204" i="122"/>
  <c r="BX203" i="122"/>
  <c r="BW203" i="122"/>
  <c r="BU203" i="122"/>
  <c r="BT203" i="122"/>
  <c r="BR203" i="122"/>
  <c r="BQ203" i="122"/>
  <c r="AZ203" i="122"/>
  <c r="AY203" i="122"/>
  <c r="AW203" i="122"/>
  <c r="AV203" i="122"/>
  <c r="AT203" i="122"/>
  <c r="AS203" i="122"/>
  <c r="AB203" i="122"/>
  <c r="AA203" i="122"/>
  <c r="Y203" i="122"/>
  <c r="X203" i="122"/>
  <c r="V203" i="122"/>
  <c r="U203" i="122"/>
  <c r="M203" i="122"/>
  <c r="L203" i="122"/>
  <c r="J203" i="122"/>
  <c r="I203" i="122"/>
  <c r="G203" i="122"/>
  <c r="F203" i="122"/>
  <c r="BX202" i="122"/>
  <c r="BW202" i="122"/>
  <c r="BU202" i="122"/>
  <c r="BT202" i="122"/>
  <c r="BR202" i="122"/>
  <c r="BQ202" i="122"/>
  <c r="AZ202" i="122"/>
  <c r="AY202" i="122"/>
  <c r="AW202" i="122"/>
  <c r="AV202" i="122"/>
  <c r="AT202" i="122"/>
  <c r="AS202" i="122"/>
  <c r="AB202" i="122"/>
  <c r="AA202" i="122"/>
  <c r="Y202" i="122"/>
  <c r="X202" i="122"/>
  <c r="V202" i="122"/>
  <c r="U202" i="122"/>
  <c r="M202" i="122"/>
  <c r="L202" i="122"/>
  <c r="J202" i="122"/>
  <c r="I202" i="122"/>
  <c r="G202" i="122"/>
  <c r="F202" i="122"/>
  <c r="BX201" i="122"/>
  <c r="BW201" i="122"/>
  <c r="BU201" i="122"/>
  <c r="BT201" i="122"/>
  <c r="BR201" i="122"/>
  <c r="AZ201" i="122"/>
  <c r="AY201" i="122"/>
  <c r="AW201" i="122"/>
  <c r="AV201" i="122"/>
  <c r="AT201" i="122"/>
  <c r="AS201" i="122"/>
  <c r="AB201" i="122"/>
  <c r="AA201" i="122"/>
  <c r="Y201" i="122"/>
  <c r="X201" i="122"/>
  <c r="V201" i="122"/>
  <c r="M201" i="122"/>
  <c r="L201" i="122"/>
  <c r="J201" i="122"/>
  <c r="I201" i="122"/>
  <c r="G201" i="122"/>
  <c r="F201" i="122"/>
  <c r="BX200" i="122"/>
  <c r="BW200" i="122"/>
  <c r="BU200" i="122"/>
  <c r="BR200" i="122"/>
  <c r="BQ200" i="122"/>
  <c r="AZ200" i="122"/>
  <c r="AW200" i="122"/>
  <c r="AV200" i="122"/>
  <c r="AT200" i="122"/>
  <c r="AS200" i="122"/>
  <c r="AB200" i="122"/>
  <c r="Y200" i="122"/>
  <c r="X200" i="122"/>
  <c r="V200" i="122"/>
  <c r="U200" i="122"/>
  <c r="M200" i="122"/>
  <c r="J200" i="122"/>
  <c r="I200" i="122"/>
  <c r="G200" i="122"/>
  <c r="F200" i="122"/>
  <c r="BX199" i="122"/>
  <c r="BW199" i="122"/>
  <c r="BU199" i="122"/>
  <c r="BT199" i="122"/>
  <c r="BR199" i="122"/>
  <c r="BQ199" i="122"/>
  <c r="AZ199" i="122"/>
  <c r="AY199" i="122"/>
  <c r="AW199" i="122"/>
  <c r="AV199" i="122"/>
  <c r="AT199" i="122"/>
  <c r="AS199" i="122"/>
  <c r="AB199" i="122"/>
  <c r="AA199" i="122"/>
  <c r="Y199" i="122"/>
  <c r="X199" i="122"/>
  <c r="V199" i="122"/>
  <c r="U199" i="122"/>
  <c r="M199" i="122"/>
  <c r="L199" i="122"/>
  <c r="J199" i="122"/>
  <c r="I199" i="122"/>
  <c r="G199" i="122"/>
  <c r="F199" i="122"/>
  <c r="BX198" i="122"/>
  <c r="BW198" i="122"/>
  <c r="BU198" i="122"/>
  <c r="BT198" i="122"/>
  <c r="BR198" i="122"/>
  <c r="BQ198" i="122"/>
  <c r="AZ198" i="122"/>
  <c r="AY198" i="122"/>
  <c r="AW198" i="122"/>
  <c r="AV198" i="122"/>
  <c r="AT198" i="122"/>
  <c r="AS198" i="122"/>
  <c r="AB198" i="122"/>
  <c r="AA198" i="122"/>
  <c r="Y198" i="122"/>
  <c r="X198" i="122"/>
  <c r="V198" i="122"/>
  <c r="U198" i="122"/>
  <c r="M198" i="122"/>
  <c r="L198" i="122"/>
  <c r="J198" i="122"/>
  <c r="I198" i="122"/>
  <c r="G198" i="122"/>
  <c r="F198" i="122"/>
  <c r="BX197" i="122"/>
  <c r="BW197" i="122"/>
  <c r="BU197" i="122"/>
  <c r="BR197" i="122"/>
  <c r="AZ197" i="122"/>
  <c r="AW197" i="122"/>
  <c r="AT197" i="122"/>
  <c r="AB197" i="122"/>
  <c r="Y197" i="122"/>
  <c r="X197" i="122"/>
  <c r="V197" i="122"/>
  <c r="U197" i="122"/>
  <c r="M197" i="122"/>
  <c r="L197" i="122"/>
  <c r="J197" i="122"/>
  <c r="I197" i="122"/>
  <c r="G197" i="122"/>
  <c r="F197" i="122"/>
  <c r="BX196" i="122"/>
  <c r="BW196" i="122"/>
  <c r="BU196" i="122"/>
  <c r="BT196" i="122"/>
  <c r="BR196" i="122"/>
  <c r="BQ196" i="122"/>
  <c r="AZ196" i="122"/>
  <c r="AY196" i="122"/>
  <c r="AW196" i="122"/>
  <c r="AV196" i="122"/>
  <c r="AT196" i="122"/>
  <c r="AS196" i="122"/>
  <c r="AB196" i="122"/>
  <c r="AA196" i="122"/>
  <c r="Y196" i="122"/>
  <c r="X196" i="122"/>
  <c r="V196" i="122"/>
  <c r="U196" i="122"/>
  <c r="M196" i="122"/>
  <c r="L196" i="122"/>
  <c r="J196" i="122"/>
  <c r="I196" i="122"/>
  <c r="G196" i="122"/>
  <c r="F196" i="122"/>
  <c r="BX195" i="122"/>
  <c r="BW195" i="122"/>
  <c r="BU195" i="122"/>
  <c r="BT195" i="122"/>
  <c r="BR195" i="122"/>
  <c r="BQ195" i="122"/>
  <c r="AZ195" i="122"/>
  <c r="AY195" i="122"/>
  <c r="AW195" i="122"/>
  <c r="AV195" i="122"/>
  <c r="AT195" i="122"/>
  <c r="AS195" i="122"/>
  <c r="AB195" i="122"/>
  <c r="AA195" i="122"/>
  <c r="Y195" i="122"/>
  <c r="X195" i="122"/>
  <c r="V195" i="122"/>
  <c r="U195" i="122"/>
  <c r="M195" i="122"/>
  <c r="L195" i="122"/>
  <c r="J195" i="122"/>
  <c r="I195" i="122"/>
  <c r="G195" i="122"/>
  <c r="F195" i="122"/>
  <c r="BX194" i="122"/>
  <c r="BW194" i="122"/>
  <c r="BU194" i="122"/>
  <c r="BT194" i="122"/>
  <c r="BR194" i="122"/>
  <c r="BQ194" i="122"/>
  <c r="AZ194" i="122"/>
  <c r="AY194" i="122"/>
  <c r="AW194" i="122"/>
  <c r="AV194" i="122"/>
  <c r="AT194" i="122"/>
  <c r="AS194" i="122"/>
  <c r="AB194" i="122"/>
  <c r="AA194" i="122"/>
  <c r="Y194" i="122"/>
  <c r="X194" i="122"/>
  <c r="V194" i="122"/>
  <c r="U194" i="122"/>
  <c r="M194" i="122"/>
  <c r="L194" i="122"/>
  <c r="J194" i="122"/>
  <c r="I194" i="122"/>
  <c r="G194" i="122"/>
  <c r="F194" i="122"/>
  <c r="BV183" i="122"/>
  <c r="FH73" i="123" s="1"/>
  <c r="BS183" i="122"/>
  <c r="EY73" i="123" s="1"/>
  <c r="BP183" i="122"/>
  <c r="EP73" i="123" s="1"/>
  <c r="BM183" i="122"/>
  <c r="AX183" i="122"/>
  <c r="DI73" i="123" s="1"/>
  <c r="AU183" i="122"/>
  <c r="CZ73" i="123" s="1"/>
  <c r="AR183" i="122"/>
  <c r="CQ73" i="123" s="1"/>
  <c r="AO183" i="122"/>
  <c r="CN73" i="123" s="1"/>
  <c r="Z183" i="122"/>
  <c r="BJ73" i="123" s="1"/>
  <c r="W183" i="122"/>
  <c r="BA73" i="123" s="1"/>
  <c r="Q183" i="122"/>
  <c r="K183" i="122"/>
  <c r="W73" i="123" s="1"/>
  <c r="H183" i="122"/>
  <c r="N73" i="123" s="1"/>
  <c r="E183" i="122"/>
  <c r="E73" i="123" s="1"/>
  <c r="B183" i="122"/>
  <c r="B73" i="123" s="1"/>
  <c r="BV182" i="122"/>
  <c r="FH72" i="123" s="1"/>
  <c r="BS182" i="122"/>
  <c r="BP182" i="122"/>
  <c r="EP72" i="123" s="1"/>
  <c r="BM182" i="122"/>
  <c r="EM72" i="123" s="1"/>
  <c r="AX182" i="122"/>
  <c r="AU182" i="122"/>
  <c r="CZ72" i="123" s="1"/>
  <c r="AR182" i="122"/>
  <c r="CQ72" i="123" s="1"/>
  <c r="AO182" i="122"/>
  <c r="Z182" i="122"/>
  <c r="BJ72" i="123" s="1"/>
  <c r="W182" i="122"/>
  <c r="BA72" i="123" s="1"/>
  <c r="Q182" i="122"/>
  <c r="K182" i="122"/>
  <c r="H182" i="122"/>
  <c r="N72" i="123" s="1"/>
  <c r="E182" i="122"/>
  <c r="B182" i="122"/>
  <c r="BV181" i="122"/>
  <c r="FH71" i="123" s="1"/>
  <c r="BS181" i="122"/>
  <c r="EY71" i="123" s="1"/>
  <c r="BP181" i="122"/>
  <c r="EP71" i="123" s="1"/>
  <c r="BM181" i="122"/>
  <c r="EM71" i="123" s="1"/>
  <c r="EV71" i="123" s="1"/>
  <c r="AX181" i="122"/>
  <c r="DI71" i="123" s="1"/>
  <c r="AU181" i="122"/>
  <c r="CZ71" i="123" s="1"/>
  <c r="AR181" i="122"/>
  <c r="CQ71" i="123" s="1"/>
  <c r="AO181" i="122"/>
  <c r="CN71" i="123" s="1"/>
  <c r="Z181" i="122"/>
  <c r="BJ71" i="123" s="1"/>
  <c r="W181" i="122"/>
  <c r="BA71" i="123" s="1"/>
  <c r="Q181" i="122"/>
  <c r="K181" i="122"/>
  <c r="W71" i="123" s="1"/>
  <c r="H181" i="122"/>
  <c r="N71" i="123" s="1"/>
  <c r="E181" i="122"/>
  <c r="E71" i="123" s="1"/>
  <c r="B181" i="122"/>
  <c r="CD176" i="122"/>
  <c r="BX176" i="122"/>
  <c r="FJ60" i="123" s="1"/>
  <c r="BW176" i="122"/>
  <c r="FI60" i="123" s="1"/>
  <c r="BU176" i="122"/>
  <c r="FA60" i="123" s="1"/>
  <c r="BT176" i="122"/>
  <c r="EZ60" i="123" s="1"/>
  <c r="BR176" i="122"/>
  <c r="ER60" i="123" s="1"/>
  <c r="BQ176" i="122"/>
  <c r="EQ60" i="123" s="1"/>
  <c r="AZ176" i="122"/>
  <c r="DK60" i="123" s="1"/>
  <c r="AY176" i="122"/>
  <c r="DJ60" i="123" s="1"/>
  <c r="AW176" i="122"/>
  <c r="DB60" i="123" s="1"/>
  <c r="AV176" i="122"/>
  <c r="DA60" i="123" s="1"/>
  <c r="AT176" i="122"/>
  <c r="CS60" i="123" s="1"/>
  <c r="AS176" i="122"/>
  <c r="CR60" i="123" s="1"/>
  <c r="AB176" i="122"/>
  <c r="BL60" i="123" s="1"/>
  <c r="AA176" i="122"/>
  <c r="BK60" i="123" s="1"/>
  <c r="Y176" i="122"/>
  <c r="BC60" i="123" s="1"/>
  <c r="X176" i="122"/>
  <c r="BB60" i="123" s="1"/>
  <c r="V176" i="122"/>
  <c r="AT60" i="123" s="1"/>
  <c r="U176" i="122"/>
  <c r="AS60" i="123" s="1"/>
  <c r="M176" i="122"/>
  <c r="Y60" i="123" s="1"/>
  <c r="L176" i="122"/>
  <c r="X60" i="123" s="1"/>
  <c r="J176" i="122"/>
  <c r="P60" i="123" s="1"/>
  <c r="I176" i="122"/>
  <c r="O60" i="123" s="1"/>
  <c r="G176" i="122"/>
  <c r="G60" i="123" s="1"/>
  <c r="F176" i="122"/>
  <c r="F60" i="123" s="1"/>
  <c r="CD175" i="122"/>
  <c r="CC175" i="122"/>
  <c r="BX175" i="122"/>
  <c r="FJ59" i="123" s="1"/>
  <c r="BW175" i="122"/>
  <c r="FI59" i="123" s="1"/>
  <c r="BU175" i="122"/>
  <c r="FA59" i="123" s="1"/>
  <c r="BT175" i="122"/>
  <c r="EZ59" i="123" s="1"/>
  <c r="BR175" i="122"/>
  <c r="ER59" i="123" s="1"/>
  <c r="BQ175" i="122"/>
  <c r="EQ59" i="123" s="1"/>
  <c r="AZ175" i="122"/>
  <c r="DK59" i="123" s="1"/>
  <c r="AY175" i="122"/>
  <c r="DJ59" i="123" s="1"/>
  <c r="AW175" i="122"/>
  <c r="DB59" i="123" s="1"/>
  <c r="AV175" i="122"/>
  <c r="DA59" i="123" s="1"/>
  <c r="AT175" i="122"/>
  <c r="CS59" i="123" s="1"/>
  <c r="AS175" i="122"/>
  <c r="CR59" i="123" s="1"/>
  <c r="AB175" i="122"/>
  <c r="BL59" i="123" s="1"/>
  <c r="AA175" i="122"/>
  <c r="BK59" i="123" s="1"/>
  <c r="Y175" i="122"/>
  <c r="BC59" i="123" s="1"/>
  <c r="X175" i="122"/>
  <c r="BB59" i="123" s="1"/>
  <c r="V175" i="122"/>
  <c r="AT59" i="123" s="1"/>
  <c r="U175" i="122"/>
  <c r="AS59" i="123" s="1"/>
  <c r="M175" i="122"/>
  <c r="Y59" i="123" s="1"/>
  <c r="L175" i="122"/>
  <c r="X59" i="123" s="1"/>
  <c r="J175" i="122"/>
  <c r="P59" i="123" s="1"/>
  <c r="I175" i="122"/>
  <c r="O59" i="123" s="1"/>
  <c r="G175" i="122"/>
  <c r="G59" i="123" s="1"/>
  <c r="F175" i="122"/>
  <c r="F59" i="123" s="1"/>
  <c r="BX174" i="122"/>
  <c r="FJ58" i="123" s="1"/>
  <c r="BW174" i="122"/>
  <c r="FI58" i="123" s="1"/>
  <c r="BU174" i="122"/>
  <c r="FA58" i="123" s="1"/>
  <c r="BT174" i="122"/>
  <c r="EZ58" i="123" s="1"/>
  <c r="BR174" i="122"/>
  <c r="ER58" i="123" s="1"/>
  <c r="BQ174" i="122"/>
  <c r="EQ58" i="123" s="1"/>
  <c r="AZ174" i="122"/>
  <c r="DK58" i="123" s="1"/>
  <c r="AY174" i="122"/>
  <c r="DJ58" i="123" s="1"/>
  <c r="AW174" i="122"/>
  <c r="DB58" i="123" s="1"/>
  <c r="AV174" i="122"/>
  <c r="DA58" i="123" s="1"/>
  <c r="AT174" i="122"/>
  <c r="CS58" i="123" s="1"/>
  <c r="AS174" i="122"/>
  <c r="CR58" i="123" s="1"/>
  <c r="AB174" i="122"/>
  <c r="BL58" i="123" s="1"/>
  <c r="AA174" i="122"/>
  <c r="BK58" i="123" s="1"/>
  <c r="Y174" i="122"/>
  <c r="BC58" i="123" s="1"/>
  <c r="X174" i="122"/>
  <c r="BB58" i="123" s="1"/>
  <c r="M174" i="122"/>
  <c r="Y58" i="123" s="1"/>
  <c r="L174" i="122"/>
  <c r="X58" i="123" s="1"/>
  <c r="J174" i="122"/>
  <c r="P58" i="123" s="1"/>
  <c r="I174" i="122"/>
  <c r="O58" i="123" s="1"/>
  <c r="G174" i="122"/>
  <c r="G58" i="123" s="1"/>
  <c r="CD173" i="122"/>
  <c r="BX173" i="122"/>
  <c r="FJ57" i="123" s="1"/>
  <c r="BW173" i="122"/>
  <c r="FI57" i="123" s="1"/>
  <c r="BU173" i="122"/>
  <c r="FA57" i="123" s="1"/>
  <c r="BT173" i="122"/>
  <c r="EZ57" i="123" s="1"/>
  <c r="BR173" i="122"/>
  <c r="ER57" i="123" s="1"/>
  <c r="BQ173" i="122"/>
  <c r="EQ57" i="123" s="1"/>
  <c r="AZ173" i="122"/>
  <c r="DK57" i="123" s="1"/>
  <c r="AY173" i="122"/>
  <c r="DJ57" i="123" s="1"/>
  <c r="AW173" i="122"/>
  <c r="DB57" i="123" s="1"/>
  <c r="AV173" i="122"/>
  <c r="DA57" i="123" s="1"/>
  <c r="AT173" i="122"/>
  <c r="CS57" i="123" s="1"/>
  <c r="AS173" i="122"/>
  <c r="CR57" i="123" s="1"/>
  <c r="AB173" i="122"/>
  <c r="BL57" i="123" s="1"/>
  <c r="AA173" i="122"/>
  <c r="BK57" i="123" s="1"/>
  <c r="Y173" i="122"/>
  <c r="BC57" i="123" s="1"/>
  <c r="X173" i="122"/>
  <c r="BB57" i="123" s="1"/>
  <c r="M173" i="122"/>
  <c r="Y57" i="123" s="1"/>
  <c r="L173" i="122"/>
  <c r="X57" i="123" s="1"/>
  <c r="J173" i="122"/>
  <c r="P57" i="123" s="1"/>
  <c r="I173" i="122"/>
  <c r="O57" i="123" s="1"/>
  <c r="G173" i="122"/>
  <c r="G57" i="123" s="1"/>
  <c r="F173" i="122"/>
  <c r="F57" i="123" s="1"/>
  <c r="CD172" i="122"/>
  <c r="BX172" i="122"/>
  <c r="FJ56" i="123" s="1"/>
  <c r="BW172" i="122"/>
  <c r="FI56" i="123" s="1"/>
  <c r="BU172" i="122"/>
  <c r="FA56" i="123" s="1"/>
  <c r="BT172" i="122"/>
  <c r="EZ56" i="123" s="1"/>
  <c r="BR172" i="122"/>
  <c r="ER56" i="123" s="1"/>
  <c r="BQ172" i="122"/>
  <c r="EQ56" i="123" s="1"/>
  <c r="AZ172" i="122"/>
  <c r="DK56" i="123" s="1"/>
  <c r="AY172" i="122"/>
  <c r="DJ56" i="123" s="1"/>
  <c r="AW172" i="122"/>
  <c r="DB56" i="123" s="1"/>
  <c r="AV172" i="122"/>
  <c r="DA56" i="123" s="1"/>
  <c r="AT172" i="122"/>
  <c r="CS56" i="123" s="1"/>
  <c r="AS172" i="122"/>
  <c r="CR56" i="123" s="1"/>
  <c r="AB172" i="122"/>
  <c r="BL56" i="123" s="1"/>
  <c r="AA172" i="122"/>
  <c r="BK56" i="123" s="1"/>
  <c r="Y172" i="122"/>
  <c r="BC56" i="123" s="1"/>
  <c r="X172" i="122"/>
  <c r="BB56" i="123" s="1"/>
  <c r="M172" i="122"/>
  <c r="Y56" i="123" s="1"/>
  <c r="L172" i="122"/>
  <c r="X56" i="123" s="1"/>
  <c r="J172" i="122"/>
  <c r="P56" i="123" s="1"/>
  <c r="I172" i="122"/>
  <c r="O56" i="123" s="1"/>
  <c r="G172" i="122"/>
  <c r="G56" i="123" s="1"/>
  <c r="F172" i="122"/>
  <c r="F56" i="123" s="1"/>
  <c r="CD171" i="122"/>
  <c r="BX171" i="122"/>
  <c r="FJ55" i="123" s="1"/>
  <c r="BW171" i="122"/>
  <c r="FI55" i="123" s="1"/>
  <c r="BU171" i="122"/>
  <c r="FA55" i="123" s="1"/>
  <c r="BT171" i="122"/>
  <c r="EZ55" i="123" s="1"/>
  <c r="BR171" i="122"/>
  <c r="ER55" i="123" s="1"/>
  <c r="BQ171" i="122"/>
  <c r="EQ55" i="123" s="1"/>
  <c r="AZ171" i="122"/>
  <c r="DK55" i="123" s="1"/>
  <c r="AY171" i="122"/>
  <c r="DJ55" i="123" s="1"/>
  <c r="AW171" i="122"/>
  <c r="DB55" i="123" s="1"/>
  <c r="AV171" i="122"/>
  <c r="DA55" i="123" s="1"/>
  <c r="AT171" i="122"/>
  <c r="CS55" i="123" s="1"/>
  <c r="AS171" i="122"/>
  <c r="CR55" i="123" s="1"/>
  <c r="AB171" i="122"/>
  <c r="BL55" i="123" s="1"/>
  <c r="AA171" i="122"/>
  <c r="BK55" i="123" s="1"/>
  <c r="Y171" i="122"/>
  <c r="BC55" i="123" s="1"/>
  <c r="X171" i="122"/>
  <c r="BB55" i="123" s="1"/>
  <c r="M171" i="122"/>
  <c r="Y55" i="123" s="1"/>
  <c r="L171" i="122"/>
  <c r="X55" i="123" s="1"/>
  <c r="J171" i="122"/>
  <c r="P55" i="123" s="1"/>
  <c r="I171" i="122"/>
  <c r="O55" i="123" s="1"/>
  <c r="G171" i="122"/>
  <c r="G55" i="123" s="1"/>
  <c r="F171" i="122"/>
  <c r="F55" i="123" s="1"/>
  <c r="CD170" i="122"/>
  <c r="BX170" i="122"/>
  <c r="FJ54" i="123" s="1"/>
  <c r="BW170" i="122"/>
  <c r="FI54" i="123" s="1"/>
  <c r="BU170" i="122"/>
  <c r="FA54" i="123" s="1"/>
  <c r="BT170" i="122"/>
  <c r="EZ54" i="123" s="1"/>
  <c r="BR170" i="122"/>
  <c r="ER54" i="123" s="1"/>
  <c r="BQ170" i="122"/>
  <c r="EQ54" i="123" s="1"/>
  <c r="AZ170" i="122"/>
  <c r="DK54" i="123" s="1"/>
  <c r="AY170" i="122"/>
  <c r="DJ54" i="123" s="1"/>
  <c r="AW170" i="122"/>
  <c r="DB54" i="123" s="1"/>
  <c r="AV170" i="122"/>
  <c r="DA54" i="123" s="1"/>
  <c r="AT170" i="122"/>
  <c r="CS54" i="123" s="1"/>
  <c r="AS170" i="122"/>
  <c r="CR54" i="123" s="1"/>
  <c r="AB170" i="122"/>
  <c r="BL54" i="123" s="1"/>
  <c r="AA170" i="122"/>
  <c r="BK54" i="123" s="1"/>
  <c r="Y170" i="122"/>
  <c r="BC54" i="123" s="1"/>
  <c r="X170" i="122"/>
  <c r="BB54" i="123" s="1"/>
  <c r="M170" i="122"/>
  <c r="Y54" i="123" s="1"/>
  <c r="L170" i="122"/>
  <c r="X54" i="123" s="1"/>
  <c r="J170" i="122"/>
  <c r="P54" i="123" s="1"/>
  <c r="I170" i="122"/>
  <c r="O54" i="123" s="1"/>
  <c r="G170" i="122"/>
  <c r="G54" i="123" s="1"/>
  <c r="F170" i="122"/>
  <c r="F54" i="123" s="1"/>
  <c r="BX169" i="122"/>
  <c r="FJ53" i="123" s="1"/>
  <c r="BW169" i="122"/>
  <c r="FI53" i="123" s="1"/>
  <c r="BU169" i="122"/>
  <c r="FA53" i="123" s="1"/>
  <c r="BT169" i="122"/>
  <c r="EZ53" i="123" s="1"/>
  <c r="BR169" i="122"/>
  <c r="ER53" i="123" s="1"/>
  <c r="BQ169" i="122"/>
  <c r="EQ53" i="123" s="1"/>
  <c r="AZ169" i="122"/>
  <c r="DK53" i="123" s="1"/>
  <c r="AY169" i="122"/>
  <c r="DJ53" i="123" s="1"/>
  <c r="AW169" i="122"/>
  <c r="DB53" i="123" s="1"/>
  <c r="AV169" i="122"/>
  <c r="DA53" i="123" s="1"/>
  <c r="AT169" i="122"/>
  <c r="CS53" i="123" s="1"/>
  <c r="AS169" i="122"/>
  <c r="CR53" i="123" s="1"/>
  <c r="AB169" i="122"/>
  <c r="BL53" i="123" s="1"/>
  <c r="AA169" i="122"/>
  <c r="BK53" i="123" s="1"/>
  <c r="Y169" i="122"/>
  <c r="BC53" i="123" s="1"/>
  <c r="X169" i="122"/>
  <c r="BB53" i="123" s="1"/>
  <c r="M169" i="122"/>
  <c r="Y53" i="123" s="1"/>
  <c r="L169" i="122"/>
  <c r="X53" i="123" s="1"/>
  <c r="J169" i="122"/>
  <c r="P53" i="123" s="1"/>
  <c r="I169" i="122"/>
  <c r="O53" i="123" s="1"/>
  <c r="G169" i="122"/>
  <c r="G53" i="123" s="1"/>
  <c r="F169" i="122"/>
  <c r="F53" i="123" s="1"/>
  <c r="BX167" i="122"/>
  <c r="FJ51" i="123" s="1"/>
  <c r="BW167" i="122"/>
  <c r="FI51" i="123" s="1"/>
  <c r="BU167" i="122"/>
  <c r="FA51" i="123" s="1"/>
  <c r="BT167" i="122"/>
  <c r="EZ51" i="123" s="1"/>
  <c r="BR167" i="122"/>
  <c r="ER51" i="123" s="1"/>
  <c r="BQ167" i="122"/>
  <c r="EQ51" i="123" s="1"/>
  <c r="AZ167" i="122"/>
  <c r="DK51" i="123" s="1"/>
  <c r="AY167" i="122"/>
  <c r="DJ51" i="123" s="1"/>
  <c r="AW167" i="122"/>
  <c r="DB51" i="123" s="1"/>
  <c r="AV167" i="122"/>
  <c r="DA51" i="123" s="1"/>
  <c r="AT167" i="122"/>
  <c r="CS51" i="123" s="1"/>
  <c r="AS167" i="122"/>
  <c r="CR51" i="123" s="1"/>
  <c r="AB167" i="122"/>
  <c r="BL51" i="123" s="1"/>
  <c r="AA167" i="122"/>
  <c r="BK51" i="123" s="1"/>
  <c r="Y167" i="122"/>
  <c r="BC51" i="123" s="1"/>
  <c r="X167" i="122"/>
  <c r="BB51" i="123" s="1"/>
  <c r="V167" i="122"/>
  <c r="AT51" i="123" s="1"/>
  <c r="U167" i="122"/>
  <c r="AS51" i="123" s="1"/>
  <c r="M167" i="122"/>
  <c r="Y51" i="123" s="1"/>
  <c r="L167" i="122"/>
  <c r="X51" i="123" s="1"/>
  <c r="J167" i="122"/>
  <c r="P51" i="123" s="1"/>
  <c r="I167" i="122"/>
  <c r="O51" i="123" s="1"/>
  <c r="G167" i="122"/>
  <c r="G51" i="123" s="1"/>
  <c r="F167" i="122"/>
  <c r="F51" i="123" s="1"/>
  <c r="BX166" i="122"/>
  <c r="FJ50" i="123" s="1"/>
  <c r="BW166" i="122"/>
  <c r="FI50" i="123" s="1"/>
  <c r="BU166" i="122"/>
  <c r="FA50" i="123" s="1"/>
  <c r="BT166" i="122"/>
  <c r="EZ50" i="123" s="1"/>
  <c r="BR166" i="122"/>
  <c r="ER50" i="123" s="1"/>
  <c r="BQ166" i="122"/>
  <c r="EQ50" i="123" s="1"/>
  <c r="AZ166" i="122"/>
  <c r="DK50" i="123" s="1"/>
  <c r="AY166" i="122"/>
  <c r="DJ50" i="123" s="1"/>
  <c r="AW166" i="122"/>
  <c r="DB50" i="123" s="1"/>
  <c r="AV166" i="122"/>
  <c r="DA50" i="123" s="1"/>
  <c r="AT166" i="122"/>
  <c r="CS50" i="123" s="1"/>
  <c r="AS166" i="122"/>
  <c r="CR50" i="123" s="1"/>
  <c r="AB166" i="122"/>
  <c r="BL50" i="123" s="1"/>
  <c r="AA166" i="122"/>
  <c r="BK50" i="123" s="1"/>
  <c r="Y166" i="122"/>
  <c r="BC50" i="123" s="1"/>
  <c r="X166" i="122"/>
  <c r="BB50" i="123" s="1"/>
  <c r="V166" i="122"/>
  <c r="AT50" i="123" s="1"/>
  <c r="U166" i="122"/>
  <c r="AS50" i="123" s="1"/>
  <c r="M166" i="122"/>
  <c r="Y50" i="123" s="1"/>
  <c r="L166" i="122"/>
  <c r="X50" i="123" s="1"/>
  <c r="J166" i="122"/>
  <c r="P50" i="123" s="1"/>
  <c r="I166" i="122"/>
  <c r="O50" i="123" s="1"/>
  <c r="G166" i="122"/>
  <c r="G50" i="123" s="1"/>
  <c r="F166" i="122"/>
  <c r="F50" i="123" s="1"/>
  <c r="BX165" i="122"/>
  <c r="FJ49" i="123" s="1"/>
  <c r="BW165" i="122"/>
  <c r="FI49" i="123" s="1"/>
  <c r="BU165" i="122"/>
  <c r="FA49" i="123" s="1"/>
  <c r="BT165" i="122"/>
  <c r="EZ49" i="123" s="1"/>
  <c r="BR165" i="122"/>
  <c r="ER49" i="123" s="1"/>
  <c r="BQ165" i="122"/>
  <c r="EQ49" i="123" s="1"/>
  <c r="AZ165" i="122"/>
  <c r="DK49" i="123" s="1"/>
  <c r="AY165" i="122"/>
  <c r="DJ49" i="123" s="1"/>
  <c r="AW165" i="122"/>
  <c r="DB49" i="123" s="1"/>
  <c r="AV165" i="122"/>
  <c r="DA49" i="123" s="1"/>
  <c r="AT165" i="122"/>
  <c r="CS49" i="123" s="1"/>
  <c r="AS165" i="122"/>
  <c r="CR49" i="123" s="1"/>
  <c r="AB165" i="122"/>
  <c r="BL49" i="123" s="1"/>
  <c r="AA165" i="122"/>
  <c r="BK49" i="123" s="1"/>
  <c r="Y165" i="122"/>
  <c r="BC49" i="123" s="1"/>
  <c r="X165" i="122"/>
  <c r="BB49" i="123" s="1"/>
  <c r="V165" i="122"/>
  <c r="AT49" i="123" s="1"/>
  <c r="U165" i="122"/>
  <c r="AS49" i="123" s="1"/>
  <c r="M165" i="122"/>
  <c r="Y49" i="123" s="1"/>
  <c r="L165" i="122"/>
  <c r="X49" i="123" s="1"/>
  <c r="J165" i="122"/>
  <c r="P49" i="123" s="1"/>
  <c r="I165" i="122"/>
  <c r="O49" i="123" s="1"/>
  <c r="G165" i="122"/>
  <c r="G49" i="123" s="1"/>
  <c r="F165" i="122"/>
  <c r="F49" i="123" s="1"/>
  <c r="CD162" i="122"/>
  <c r="BX162" i="122"/>
  <c r="FJ46" i="123" s="1"/>
  <c r="BW162" i="122"/>
  <c r="FI46" i="123" s="1"/>
  <c r="BU162" i="122"/>
  <c r="FA46" i="123" s="1"/>
  <c r="BR162" i="122"/>
  <c r="ER46" i="123" s="1"/>
  <c r="AZ162" i="122"/>
  <c r="DK46" i="123" s="1"/>
  <c r="AW162" i="122"/>
  <c r="DB46" i="123" s="1"/>
  <c r="AT162" i="122"/>
  <c r="CS46" i="123" s="1"/>
  <c r="AB162" i="122"/>
  <c r="BL46" i="123" s="1"/>
  <c r="Y162" i="122"/>
  <c r="BC46" i="123" s="1"/>
  <c r="V162" i="122"/>
  <c r="AT46" i="123" s="1"/>
  <c r="M162" i="122"/>
  <c r="Y46" i="123" s="1"/>
  <c r="J162" i="122"/>
  <c r="P46" i="123" s="1"/>
  <c r="G162" i="122"/>
  <c r="G46" i="123" s="1"/>
  <c r="BX161" i="122"/>
  <c r="FJ45" i="123" s="1"/>
  <c r="BW161" i="122"/>
  <c r="FI45" i="123" s="1"/>
  <c r="BU161" i="122"/>
  <c r="FA45" i="123" s="1"/>
  <c r="BT161" i="122"/>
  <c r="EZ45" i="123" s="1"/>
  <c r="BR161" i="122"/>
  <c r="ER45" i="123" s="1"/>
  <c r="BQ161" i="122"/>
  <c r="EQ45" i="123" s="1"/>
  <c r="AZ161" i="122"/>
  <c r="DK45" i="123" s="1"/>
  <c r="AY161" i="122"/>
  <c r="DJ45" i="123" s="1"/>
  <c r="DI45" i="123" s="1"/>
  <c r="AW161" i="122"/>
  <c r="DB45" i="123" s="1"/>
  <c r="AV161" i="122"/>
  <c r="DA45" i="123" s="1"/>
  <c r="AT161" i="122"/>
  <c r="CS45" i="123" s="1"/>
  <c r="AS161" i="122"/>
  <c r="CR45" i="123" s="1"/>
  <c r="AB161" i="122"/>
  <c r="BL45" i="123" s="1"/>
  <c r="AA161" i="122"/>
  <c r="BK45" i="123" s="1"/>
  <c r="Y161" i="122"/>
  <c r="BC45" i="123" s="1"/>
  <c r="X161" i="122"/>
  <c r="BB45" i="123" s="1"/>
  <c r="V161" i="122"/>
  <c r="AT45" i="123" s="1"/>
  <c r="M161" i="122"/>
  <c r="Y45" i="123" s="1"/>
  <c r="L161" i="122"/>
  <c r="X45" i="123"/>
  <c r="J161" i="122"/>
  <c r="P45" i="123" s="1"/>
  <c r="I161" i="122"/>
  <c r="O45" i="123" s="1"/>
  <c r="G161" i="122"/>
  <c r="G45" i="123" s="1"/>
  <c r="F161" i="122"/>
  <c r="F45" i="123" s="1"/>
  <c r="BX160" i="122"/>
  <c r="FJ44" i="123" s="1"/>
  <c r="BW160" i="122"/>
  <c r="FI44" i="123" s="1"/>
  <c r="BU160" i="122"/>
  <c r="FA44" i="123" s="1"/>
  <c r="BT160" i="122"/>
  <c r="EZ44" i="123" s="1"/>
  <c r="BR160" i="122"/>
  <c r="ER44" i="123" s="1"/>
  <c r="BQ160" i="122"/>
  <c r="EQ44" i="123" s="1"/>
  <c r="AZ160" i="122"/>
  <c r="DK44" i="123" s="1"/>
  <c r="AY160" i="122"/>
  <c r="DJ44" i="123" s="1"/>
  <c r="AW160" i="122"/>
  <c r="DB44" i="123" s="1"/>
  <c r="AV160" i="122"/>
  <c r="DA44" i="123" s="1"/>
  <c r="AT160" i="122"/>
  <c r="CS44" i="123" s="1"/>
  <c r="AS160" i="122"/>
  <c r="CR44" i="123" s="1"/>
  <c r="AB160" i="122"/>
  <c r="BL44" i="123" s="1"/>
  <c r="AA160" i="122"/>
  <c r="BK44" i="123" s="1"/>
  <c r="Y160" i="122"/>
  <c r="BC44" i="123" s="1"/>
  <c r="X160" i="122"/>
  <c r="BB44" i="123" s="1"/>
  <c r="V160" i="122"/>
  <c r="AT44" i="123" s="1"/>
  <c r="M160" i="122"/>
  <c r="Y44" i="123" s="1"/>
  <c r="L160" i="122"/>
  <c r="X44" i="123" s="1"/>
  <c r="J160" i="122"/>
  <c r="P44" i="123" s="1"/>
  <c r="I160" i="122"/>
  <c r="O44" i="123" s="1"/>
  <c r="G160" i="122"/>
  <c r="G44" i="123" s="1"/>
  <c r="F160" i="122"/>
  <c r="F44" i="123" s="1"/>
  <c r="BX157" i="122"/>
  <c r="FJ41" i="123" s="1"/>
  <c r="BW157" i="122"/>
  <c r="FI41" i="123" s="1"/>
  <c r="BU157" i="122"/>
  <c r="FA41" i="123" s="1"/>
  <c r="BT157" i="122"/>
  <c r="EZ41" i="123" s="1"/>
  <c r="BR157" i="122"/>
  <c r="ER41" i="123" s="1"/>
  <c r="BQ157" i="122"/>
  <c r="EQ41" i="123" s="1"/>
  <c r="AZ157" i="122"/>
  <c r="DK41" i="123" s="1"/>
  <c r="AY157" i="122"/>
  <c r="DJ41" i="123" s="1"/>
  <c r="AW157" i="122"/>
  <c r="AV157" i="122"/>
  <c r="DA41" i="123" s="1"/>
  <c r="AT157" i="122"/>
  <c r="CS41" i="123" s="1"/>
  <c r="AS157" i="122"/>
  <c r="CR41" i="123" s="1"/>
  <c r="AB157" i="122"/>
  <c r="BL41" i="123" s="1"/>
  <c r="AA157" i="122"/>
  <c r="BK41" i="123" s="1"/>
  <c r="Y157" i="122"/>
  <c r="BC41" i="123" s="1"/>
  <c r="X157" i="122"/>
  <c r="M157" i="122"/>
  <c r="Y41" i="123" s="1"/>
  <c r="L157" i="122"/>
  <c r="X41" i="123" s="1"/>
  <c r="J157" i="122"/>
  <c r="P41" i="123" s="1"/>
  <c r="G157" i="122"/>
  <c r="G41" i="123" s="1"/>
  <c r="F157" i="122"/>
  <c r="F41" i="123" s="1"/>
  <c r="BX156" i="122"/>
  <c r="FJ40" i="123" s="1"/>
  <c r="FJ42" i="123" s="1"/>
  <c r="BW156" i="122"/>
  <c r="FI40" i="123" s="1"/>
  <c r="BU156" i="122"/>
  <c r="FA40" i="123" s="1"/>
  <c r="BT156" i="122"/>
  <c r="EZ40" i="123" s="1"/>
  <c r="BR156" i="122"/>
  <c r="ER40" i="123" s="1"/>
  <c r="BQ156" i="122"/>
  <c r="EQ40" i="123" s="1"/>
  <c r="AZ156" i="122"/>
  <c r="DK40" i="123" s="1"/>
  <c r="AY156" i="122"/>
  <c r="AW156" i="122"/>
  <c r="DB40" i="123" s="1"/>
  <c r="AV156" i="122"/>
  <c r="DA40" i="123" s="1"/>
  <c r="AT156" i="122"/>
  <c r="AS156" i="122"/>
  <c r="CR40" i="123" s="1"/>
  <c r="AB156" i="122"/>
  <c r="BL40" i="123" s="1"/>
  <c r="AA156" i="122"/>
  <c r="BK40" i="123" s="1"/>
  <c r="Y156" i="122"/>
  <c r="BC40" i="123" s="1"/>
  <c r="X156" i="122"/>
  <c r="BB40" i="123" s="1"/>
  <c r="V158" i="122"/>
  <c r="M156" i="122"/>
  <c r="Y40" i="123" s="1"/>
  <c r="L156" i="122"/>
  <c r="X40" i="123" s="1"/>
  <c r="J156" i="122"/>
  <c r="P40" i="123" s="1"/>
  <c r="I156" i="122"/>
  <c r="O40" i="123" s="1"/>
  <c r="G156" i="122"/>
  <c r="G40" i="123" s="1"/>
  <c r="F156" i="122"/>
  <c r="BX155" i="122"/>
  <c r="FJ39" i="123" s="1"/>
  <c r="BW155" i="122"/>
  <c r="FI39" i="123" s="1"/>
  <c r="BU155" i="122"/>
  <c r="FA39" i="123" s="1"/>
  <c r="BR155" i="122"/>
  <c r="ER39" i="123" s="1"/>
  <c r="BQ155" i="122"/>
  <c r="EQ39" i="123" s="1"/>
  <c r="AZ155" i="122"/>
  <c r="DK39" i="123" s="1"/>
  <c r="AY155" i="122"/>
  <c r="DJ39" i="123" s="1"/>
  <c r="AW155" i="122"/>
  <c r="DB39" i="123" s="1"/>
  <c r="AV155" i="122"/>
  <c r="DA39" i="123" s="1"/>
  <c r="AT155" i="122"/>
  <c r="CS39" i="123" s="1"/>
  <c r="AB155" i="122"/>
  <c r="BL39" i="123" s="1"/>
  <c r="Y155" i="122"/>
  <c r="BC39" i="123" s="1"/>
  <c r="V155" i="122"/>
  <c r="AT39" i="123" s="1"/>
  <c r="M155" i="122"/>
  <c r="Y39" i="123" s="1"/>
  <c r="BX154" i="122"/>
  <c r="FJ38" i="123" s="1"/>
  <c r="BW154" i="122"/>
  <c r="FI38" i="123" s="1"/>
  <c r="BU154" i="122"/>
  <c r="FA38" i="123" s="1"/>
  <c r="BT154" i="122"/>
  <c r="EZ38" i="123" s="1"/>
  <c r="BR154" i="122"/>
  <c r="ER38" i="123" s="1"/>
  <c r="BQ154" i="122"/>
  <c r="EQ38" i="123" s="1"/>
  <c r="AZ154" i="122"/>
  <c r="DK38" i="123" s="1"/>
  <c r="AY154" i="122"/>
  <c r="DJ38" i="123" s="1"/>
  <c r="AW154" i="122"/>
  <c r="DB38" i="123" s="1"/>
  <c r="AV154" i="122"/>
  <c r="DA38" i="123" s="1"/>
  <c r="AT154" i="122"/>
  <c r="CS38" i="123" s="1"/>
  <c r="AS154" i="122"/>
  <c r="CR38" i="123" s="1"/>
  <c r="AB154" i="122"/>
  <c r="BL38" i="123" s="1"/>
  <c r="AA154" i="122"/>
  <c r="BK38" i="123" s="1"/>
  <c r="Y154" i="122"/>
  <c r="BC38" i="123" s="1"/>
  <c r="X154" i="122"/>
  <c r="BB38" i="123" s="1"/>
  <c r="V154" i="122"/>
  <c r="AT38" i="123" s="1"/>
  <c r="M154" i="122"/>
  <c r="Y38" i="123" s="1"/>
  <c r="L154" i="122"/>
  <c r="X38" i="123" s="1"/>
  <c r="I154" i="122"/>
  <c r="O38" i="123" s="1"/>
  <c r="N38" i="123" s="1"/>
  <c r="F154" i="122"/>
  <c r="F38" i="123" s="1"/>
  <c r="BX153" i="122"/>
  <c r="FJ37" i="123" s="1"/>
  <c r="BW153" i="122"/>
  <c r="FI37" i="123" s="1"/>
  <c r="BU153" i="122"/>
  <c r="FA37" i="123" s="1"/>
  <c r="BT153" i="122"/>
  <c r="EZ37" i="123" s="1"/>
  <c r="BR153" i="122"/>
  <c r="ER37" i="123" s="1"/>
  <c r="BQ153" i="122"/>
  <c r="EQ37" i="123" s="1"/>
  <c r="EP37" i="123" s="1"/>
  <c r="AZ153" i="122"/>
  <c r="DK37" i="123" s="1"/>
  <c r="AY153" i="122"/>
  <c r="DJ37" i="123" s="1"/>
  <c r="AW153" i="122"/>
  <c r="DB37" i="123" s="1"/>
  <c r="AV153" i="122"/>
  <c r="DA37" i="123" s="1"/>
  <c r="AT153" i="122"/>
  <c r="CS37" i="123" s="1"/>
  <c r="AS153" i="122"/>
  <c r="CR37" i="123" s="1"/>
  <c r="AB153" i="122"/>
  <c r="BL37" i="123" s="1"/>
  <c r="AA153" i="122"/>
  <c r="BK37" i="123" s="1"/>
  <c r="BJ37" i="123" s="1"/>
  <c r="Y153" i="122"/>
  <c r="BC37" i="123" s="1"/>
  <c r="X153" i="122"/>
  <c r="BB37" i="123" s="1"/>
  <c r="V153" i="122"/>
  <c r="AT37" i="123" s="1"/>
  <c r="U153" i="122"/>
  <c r="AS37" i="123" s="1"/>
  <c r="AR37" i="123" s="1"/>
  <c r="M153" i="122"/>
  <c r="Y37" i="123" s="1"/>
  <c r="L153" i="122"/>
  <c r="X37" i="123" s="1"/>
  <c r="BX152" i="122"/>
  <c r="FJ36" i="123" s="1"/>
  <c r="BW152" i="122"/>
  <c r="FI36" i="123" s="1"/>
  <c r="BU152" i="122"/>
  <c r="FA36" i="123" s="1"/>
  <c r="BT152" i="122"/>
  <c r="EZ36" i="123" s="1"/>
  <c r="BR152" i="122"/>
  <c r="ER36" i="123" s="1"/>
  <c r="BQ152" i="122"/>
  <c r="EQ36" i="123" s="1"/>
  <c r="AZ152" i="122"/>
  <c r="DK36" i="123" s="1"/>
  <c r="AY152" i="122"/>
  <c r="DJ36" i="123" s="1"/>
  <c r="AW152" i="122"/>
  <c r="DB36" i="123" s="1"/>
  <c r="AV152" i="122"/>
  <c r="DA36" i="123" s="1"/>
  <c r="AT152" i="122"/>
  <c r="CS36" i="123" s="1"/>
  <c r="AS152" i="122"/>
  <c r="CR36" i="123" s="1"/>
  <c r="AB152" i="122"/>
  <c r="BL36" i="123" s="1"/>
  <c r="AA152" i="122"/>
  <c r="Y152" i="122"/>
  <c r="BC36" i="123" s="1"/>
  <c r="X152" i="122"/>
  <c r="BB36" i="123" s="1"/>
  <c r="V152" i="122"/>
  <c r="AT36" i="123" s="1"/>
  <c r="M152" i="122"/>
  <c r="Y36" i="123" s="1"/>
  <c r="AH36" i="123" s="1"/>
  <c r="L152" i="122"/>
  <c r="X36" i="123" s="1"/>
  <c r="I152" i="122"/>
  <c r="O36" i="123" s="1"/>
  <c r="N36" i="123" s="1"/>
  <c r="F152" i="122"/>
  <c r="F36" i="123" s="1"/>
  <c r="BX151" i="122"/>
  <c r="FJ35" i="123" s="1"/>
  <c r="BW151" i="122"/>
  <c r="FI35" i="123" s="1"/>
  <c r="BU151" i="122"/>
  <c r="FA35" i="123" s="1"/>
  <c r="BT151" i="122"/>
  <c r="EZ35" i="123" s="1"/>
  <c r="BR151" i="122"/>
  <c r="ER35" i="123" s="1"/>
  <c r="BQ151" i="122"/>
  <c r="EQ35" i="123" s="1"/>
  <c r="AZ151" i="122"/>
  <c r="DK35" i="123" s="1"/>
  <c r="AY151" i="122"/>
  <c r="DJ35" i="123" s="1"/>
  <c r="AW151" i="122"/>
  <c r="DB35" i="123" s="1"/>
  <c r="AV151" i="122"/>
  <c r="DA35" i="123" s="1"/>
  <c r="AT151" i="122"/>
  <c r="CS35" i="123" s="1"/>
  <c r="AS151" i="122"/>
  <c r="CR35" i="123" s="1"/>
  <c r="AB151" i="122"/>
  <c r="BL35" i="123" s="1"/>
  <c r="AA151" i="122"/>
  <c r="BK35" i="123" s="1"/>
  <c r="Y151" i="122"/>
  <c r="BC35" i="123" s="1"/>
  <c r="X151" i="122"/>
  <c r="BB35" i="123" s="1"/>
  <c r="L151" i="122"/>
  <c r="X35" i="123" s="1"/>
  <c r="J151" i="122"/>
  <c r="P35" i="123" s="1"/>
  <c r="I151" i="122"/>
  <c r="O35" i="123" s="1"/>
  <c r="G151" i="122"/>
  <c r="G35" i="123" s="1"/>
  <c r="F151" i="122"/>
  <c r="F35" i="123" s="1"/>
  <c r="BX146" i="122"/>
  <c r="BW146" i="122"/>
  <c r="BU146" i="122"/>
  <c r="BT146" i="122"/>
  <c r="BR146" i="122"/>
  <c r="BQ146" i="122"/>
  <c r="AZ146" i="122"/>
  <c r="AY146" i="122"/>
  <c r="AW146" i="122"/>
  <c r="AV146" i="122"/>
  <c r="AT146" i="122"/>
  <c r="AS146" i="122"/>
  <c r="AB146" i="122"/>
  <c r="AA146" i="122"/>
  <c r="Y146" i="122"/>
  <c r="X146" i="122"/>
  <c r="V146" i="122"/>
  <c r="U146" i="122"/>
  <c r="M146" i="122"/>
  <c r="L146" i="122"/>
  <c r="J146" i="122"/>
  <c r="I146" i="122"/>
  <c r="G146" i="122"/>
  <c r="F146" i="122"/>
  <c r="BX145" i="122"/>
  <c r="BW145" i="122"/>
  <c r="BU145" i="122"/>
  <c r="BT145" i="122"/>
  <c r="BR145" i="122"/>
  <c r="BQ145" i="122"/>
  <c r="AZ145" i="122"/>
  <c r="AY145" i="122"/>
  <c r="AW145" i="122"/>
  <c r="AV145" i="122"/>
  <c r="AT145" i="122"/>
  <c r="AS145" i="122"/>
  <c r="AB145" i="122"/>
  <c r="AA145" i="122"/>
  <c r="Y145" i="122"/>
  <c r="X145" i="122"/>
  <c r="V145" i="122"/>
  <c r="U145" i="122"/>
  <c r="M145" i="122"/>
  <c r="L145" i="122"/>
  <c r="J145" i="122"/>
  <c r="I145" i="122"/>
  <c r="G145" i="122"/>
  <c r="F145" i="122"/>
  <c r="BX144" i="122"/>
  <c r="BW144" i="122"/>
  <c r="BU144" i="122"/>
  <c r="BT144" i="122"/>
  <c r="BR144" i="122"/>
  <c r="BQ144" i="122"/>
  <c r="AZ144" i="122"/>
  <c r="AY144" i="122"/>
  <c r="AW144" i="122"/>
  <c r="AV144" i="122"/>
  <c r="AT144" i="122"/>
  <c r="AS144" i="122"/>
  <c r="AB144" i="122"/>
  <c r="AA144" i="122"/>
  <c r="Y144" i="122"/>
  <c r="V144" i="122"/>
  <c r="U144" i="122"/>
  <c r="M144" i="122"/>
  <c r="L144" i="122"/>
  <c r="J144" i="122"/>
  <c r="I144" i="122"/>
  <c r="G144" i="122"/>
  <c r="F144" i="122"/>
  <c r="BY130" i="122"/>
  <c r="BA130" i="122"/>
  <c r="AF130" i="122"/>
  <c r="BD130" i="122" s="1"/>
  <c r="CB130" i="122" s="1"/>
  <c r="AC130" i="122"/>
  <c r="AI130" i="122" s="1"/>
  <c r="N130" i="122"/>
  <c r="BY129" i="122"/>
  <c r="BA129" i="122"/>
  <c r="AF129" i="122"/>
  <c r="BD129" i="122" s="1"/>
  <c r="CB129" i="122" s="1"/>
  <c r="AC129" i="122"/>
  <c r="N129" i="122"/>
  <c r="BY128" i="122"/>
  <c r="BA128" i="122"/>
  <c r="AF128" i="122"/>
  <c r="BD128" i="122" s="1"/>
  <c r="CB128" i="122" s="1"/>
  <c r="AC128" i="122"/>
  <c r="N128" i="122"/>
  <c r="BV127" i="122"/>
  <c r="BS127" i="122"/>
  <c r="BP127" i="122"/>
  <c r="BM127" i="122"/>
  <c r="AX127" i="122"/>
  <c r="AU127" i="122"/>
  <c r="AR127" i="122"/>
  <c r="AO127" i="122"/>
  <c r="Z127" i="122"/>
  <c r="W127" i="122"/>
  <c r="T127" i="122"/>
  <c r="Q127" i="122"/>
  <c r="K127" i="122"/>
  <c r="H127" i="122"/>
  <c r="E127" i="122"/>
  <c r="B127" i="122"/>
  <c r="AF127" i="122" s="1"/>
  <c r="BD127" i="122" s="1"/>
  <c r="CA123" i="122"/>
  <c r="BZ123" i="122"/>
  <c r="BZ176" i="122" s="1"/>
  <c r="BV123" i="122"/>
  <c r="BV176" i="122" s="1"/>
  <c r="BS123" i="122"/>
  <c r="BS176" i="122" s="1"/>
  <c r="BP123" i="122"/>
  <c r="BP176" i="122" s="1"/>
  <c r="BC123" i="122"/>
  <c r="BB123" i="122"/>
  <c r="BB176" i="122" s="1"/>
  <c r="AX123" i="122"/>
  <c r="AX176" i="122" s="1"/>
  <c r="AU123" i="122"/>
  <c r="AU176" i="122" s="1"/>
  <c r="AR123" i="122"/>
  <c r="AR176" i="122" s="1"/>
  <c r="AE123" i="122"/>
  <c r="AE176" i="122" s="1"/>
  <c r="AD123" i="122"/>
  <c r="Z123" i="122"/>
  <c r="Z176" i="122" s="1"/>
  <c r="W123" i="122"/>
  <c r="W176" i="122" s="1"/>
  <c r="T123" i="122"/>
  <c r="T176" i="122" s="1"/>
  <c r="P123" i="122"/>
  <c r="O123" i="122"/>
  <c r="K123" i="122"/>
  <c r="K176" i="122" s="1"/>
  <c r="H123" i="122"/>
  <c r="H176" i="122" s="1"/>
  <c r="E123" i="122"/>
  <c r="E176" i="122" s="1"/>
  <c r="D123" i="122"/>
  <c r="D176" i="122" s="1"/>
  <c r="D60" i="123" s="1"/>
  <c r="M60" i="123" s="1"/>
  <c r="CB122" i="122"/>
  <c r="CB175" i="122" s="1"/>
  <c r="CA122" i="122"/>
  <c r="CA175" i="122" s="1"/>
  <c r="BZ122" i="122"/>
  <c r="BV122" i="122"/>
  <c r="BV175" i="122" s="1"/>
  <c r="BS122" i="122"/>
  <c r="BS175" i="122" s="1"/>
  <c r="BP122" i="122"/>
  <c r="BP175" i="122" s="1"/>
  <c r="BC122" i="122"/>
  <c r="BC175" i="122" s="1"/>
  <c r="BB122" i="122"/>
  <c r="AX122" i="122"/>
  <c r="AX175" i="122" s="1"/>
  <c r="AU122" i="122"/>
  <c r="AU175" i="122" s="1"/>
  <c r="AR122" i="122"/>
  <c r="AR175" i="122" s="1"/>
  <c r="AE122" i="122"/>
  <c r="AD122" i="122"/>
  <c r="Z122" i="122"/>
  <c r="Z175" i="122"/>
  <c r="W122" i="122"/>
  <c r="W175" i="122" s="1"/>
  <c r="T122" i="122"/>
  <c r="T175" i="122" s="1"/>
  <c r="P122" i="122"/>
  <c r="O122" i="122"/>
  <c r="O175" i="122" s="1"/>
  <c r="K122" i="122"/>
  <c r="K175" i="122" s="1"/>
  <c r="H122" i="122"/>
  <c r="H175" i="122" s="1"/>
  <c r="E122" i="122"/>
  <c r="E175" i="122" s="1"/>
  <c r="D122" i="122"/>
  <c r="C122" i="122"/>
  <c r="CA121" i="122"/>
  <c r="CA174" i="122" s="1"/>
  <c r="BZ121" i="122"/>
  <c r="BV121" i="122"/>
  <c r="BV174" i="122" s="1"/>
  <c r="BS121" i="122"/>
  <c r="BS174" i="122" s="1"/>
  <c r="BP121" i="122"/>
  <c r="BP174" i="122" s="1"/>
  <c r="BC121" i="122"/>
  <c r="BC174" i="122" s="1"/>
  <c r="BB121" i="122"/>
  <c r="BB174" i="122" s="1"/>
  <c r="AX121" i="122"/>
  <c r="AX174" i="122" s="1"/>
  <c r="AU121" i="122"/>
  <c r="AU174" i="122" s="1"/>
  <c r="AR121" i="122"/>
  <c r="AR174" i="122" s="1"/>
  <c r="AE121" i="122"/>
  <c r="AE174" i="122" s="1"/>
  <c r="AD121" i="122"/>
  <c r="Z121" i="122"/>
  <c r="Z174" i="122" s="1"/>
  <c r="W121" i="122"/>
  <c r="W174" i="122" s="1"/>
  <c r="T121" i="122"/>
  <c r="T174" i="122" s="1"/>
  <c r="P121" i="122"/>
  <c r="P174" i="122" s="1"/>
  <c r="K121" i="122"/>
  <c r="K174" i="122" s="1"/>
  <c r="H121" i="122"/>
  <c r="H174" i="122" s="1"/>
  <c r="CA120" i="122"/>
  <c r="CA173" i="122" s="1"/>
  <c r="BZ120" i="122"/>
  <c r="BZ173" i="122" s="1"/>
  <c r="BV120" i="122"/>
  <c r="BV173" i="122" s="1"/>
  <c r="BS120" i="122"/>
  <c r="BS173" i="122" s="1"/>
  <c r="BP120" i="122"/>
  <c r="BP173" i="122" s="1"/>
  <c r="BC120" i="122"/>
  <c r="BC173" i="122" s="1"/>
  <c r="BB120" i="122"/>
  <c r="AX120" i="122"/>
  <c r="AX173" i="122" s="1"/>
  <c r="AU120" i="122"/>
  <c r="AU173" i="122" s="1"/>
  <c r="AR120" i="122"/>
  <c r="AR173" i="122" s="1"/>
  <c r="AE120" i="122"/>
  <c r="AE173" i="122" s="1"/>
  <c r="AD120" i="122"/>
  <c r="Z120" i="122"/>
  <c r="Z173" i="122" s="1"/>
  <c r="W120" i="122"/>
  <c r="W173" i="122" s="1"/>
  <c r="T120" i="122"/>
  <c r="T173" i="122" s="1"/>
  <c r="P120" i="122"/>
  <c r="P173" i="122" s="1"/>
  <c r="O120" i="122"/>
  <c r="O173" i="122" s="1"/>
  <c r="K120" i="122"/>
  <c r="K173" i="122" s="1"/>
  <c r="H120" i="122"/>
  <c r="H173" i="122" s="1"/>
  <c r="E120" i="122"/>
  <c r="E173" i="122" s="1"/>
  <c r="D120" i="122"/>
  <c r="S120" i="122" s="1"/>
  <c r="S173" i="122" s="1"/>
  <c r="AQ57" i="123" s="1"/>
  <c r="CA119" i="122"/>
  <c r="BZ119" i="122"/>
  <c r="BZ172" i="122" s="1"/>
  <c r="BV119" i="122"/>
  <c r="BV172" i="122" s="1"/>
  <c r="BS119" i="122"/>
  <c r="BS172" i="122" s="1"/>
  <c r="BP119" i="122"/>
  <c r="BP172" i="122" s="1"/>
  <c r="BC119" i="122"/>
  <c r="BC172" i="122" s="1"/>
  <c r="BB119" i="122"/>
  <c r="BB172" i="122" s="1"/>
  <c r="AX119" i="122"/>
  <c r="AX172" i="122" s="1"/>
  <c r="AU119" i="122"/>
  <c r="AU172" i="122" s="1"/>
  <c r="AR119" i="122"/>
  <c r="AR172" i="122" s="1"/>
  <c r="AE119" i="122"/>
  <c r="AD119" i="122"/>
  <c r="AD172" i="122" s="1"/>
  <c r="Z119" i="122"/>
  <c r="Z172" i="122" s="1"/>
  <c r="W119" i="122"/>
  <c r="W172" i="122" s="1"/>
  <c r="T119" i="122"/>
  <c r="T172" i="122" s="1"/>
  <c r="P119" i="122"/>
  <c r="P172" i="122" s="1"/>
  <c r="O119" i="122"/>
  <c r="K119" i="122"/>
  <c r="K172" i="122" s="1"/>
  <c r="H119" i="122"/>
  <c r="H172" i="122"/>
  <c r="E119" i="122"/>
  <c r="E172" i="122" s="1"/>
  <c r="D119" i="122"/>
  <c r="D172" i="122" s="1"/>
  <c r="D56" i="123" s="1"/>
  <c r="CA118" i="122"/>
  <c r="CA171" i="122" s="1"/>
  <c r="BZ118" i="122"/>
  <c r="BZ171" i="122" s="1"/>
  <c r="BV118" i="122"/>
  <c r="BV171" i="122" s="1"/>
  <c r="BS118" i="122"/>
  <c r="BS171" i="122" s="1"/>
  <c r="BP118" i="122"/>
  <c r="BP171" i="122" s="1"/>
  <c r="BC118" i="122"/>
  <c r="BC171" i="122" s="1"/>
  <c r="BB118" i="122"/>
  <c r="BB171" i="122" s="1"/>
  <c r="AX118" i="122"/>
  <c r="AX171" i="122" s="1"/>
  <c r="AU118" i="122"/>
  <c r="AU171" i="122" s="1"/>
  <c r="AR118" i="122"/>
  <c r="AR171" i="122" s="1"/>
  <c r="AE118" i="122"/>
  <c r="AE171" i="122" s="1"/>
  <c r="AD118" i="122"/>
  <c r="Z118" i="122"/>
  <c r="Z171" i="122" s="1"/>
  <c r="W118" i="122"/>
  <c r="W171" i="122" s="1"/>
  <c r="T118" i="122"/>
  <c r="T171" i="122" s="1"/>
  <c r="P118" i="122"/>
  <c r="P171" i="122" s="1"/>
  <c r="O118" i="122"/>
  <c r="O171" i="122" s="1"/>
  <c r="K118" i="122"/>
  <c r="K171" i="122" s="1"/>
  <c r="H118" i="122"/>
  <c r="H171" i="122" s="1"/>
  <c r="E118" i="122"/>
  <c r="E171" i="122" s="1"/>
  <c r="D118" i="122"/>
  <c r="D171" i="122" s="1"/>
  <c r="D55" i="123" s="1"/>
  <c r="CA117" i="122"/>
  <c r="CA170" i="122" s="1"/>
  <c r="BZ117" i="122"/>
  <c r="BV117" i="122"/>
  <c r="BV170" i="122" s="1"/>
  <c r="BS117" i="122"/>
  <c r="BS170" i="122" s="1"/>
  <c r="BP117" i="122"/>
  <c r="BP170" i="122" s="1"/>
  <c r="BC117" i="122"/>
  <c r="BB117" i="122"/>
  <c r="BB170" i="122" s="1"/>
  <c r="AX117" i="122"/>
  <c r="AX170" i="122" s="1"/>
  <c r="AU117" i="122"/>
  <c r="AU170" i="122" s="1"/>
  <c r="AR117" i="122"/>
  <c r="AR170" i="122" s="1"/>
  <c r="AE117" i="122"/>
  <c r="AE170" i="122" s="1"/>
  <c r="AD117" i="122"/>
  <c r="Z117" i="122"/>
  <c r="Z170" i="122" s="1"/>
  <c r="W117" i="122"/>
  <c r="W170" i="122" s="1"/>
  <c r="T117" i="122"/>
  <c r="T170" i="122" s="1"/>
  <c r="P117" i="122"/>
  <c r="P170" i="122" s="1"/>
  <c r="O117" i="122"/>
  <c r="O170" i="122" s="1"/>
  <c r="K117" i="122"/>
  <c r="K170" i="122"/>
  <c r="H117" i="122"/>
  <c r="H170" i="122" s="1"/>
  <c r="E117" i="122"/>
  <c r="E170" i="122" s="1"/>
  <c r="D117" i="122"/>
  <c r="S117" i="122" s="1"/>
  <c r="CA116" i="122"/>
  <c r="CA169" i="122" s="1"/>
  <c r="BZ116" i="122"/>
  <c r="BZ169" i="122" s="1"/>
  <c r="BV116" i="122"/>
  <c r="BV169" i="122" s="1"/>
  <c r="BS116" i="122"/>
  <c r="BS169" i="122" s="1"/>
  <c r="BP116" i="122"/>
  <c r="BP169" i="122" s="1"/>
  <c r="BC116" i="122"/>
  <c r="BC169" i="122" s="1"/>
  <c r="BB116" i="122"/>
  <c r="BB169" i="122" s="1"/>
  <c r="AX116" i="122"/>
  <c r="AX169" i="122" s="1"/>
  <c r="AU116" i="122"/>
  <c r="AU169" i="122" s="1"/>
  <c r="AR116" i="122"/>
  <c r="AR169" i="122" s="1"/>
  <c r="AE116" i="122"/>
  <c r="AD116" i="122"/>
  <c r="Z116" i="122"/>
  <c r="Z169" i="122" s="1"/>
  <c r="W116" i="122"/>
  <c r="W169" i="122" s="1"/>
  <c r="T116" i="122"/>
  <c r="T169" i="122" s="1"/>
  <c r="P116" i="122"/>
  <c r="O116" i="122"/>
  <c r="O169" i="122" s="1"/>
  <c r="K116" i="122"/>
  <c r="K169" i="122" s="1"/>
  <c r="H116" i="122"/>
  <c r="H169" i="122" s="1"/>
  <c r="E116" i="122"/>
  <c r="E169" i="122" s="1"/>
  <c r="BX115" i="122"/>
  <c r="BX168" i="122" s="1"/>
  <c r="FJ52" i="123" s="1"/>
  <c r="BW115" i="122"/>
  <c r="BW168" i="122" s="1"/>
  <c r="FI52" i="123" s="1"/>
  <c r="BU115" i="122"/>
  <c r="BT115" i="122"/>
  <c r="BT168" i="122" s="1"/>
  <c r="EZ52" i="123" s="1"/>
  <c r="BR115" i="122"/>
  <c r="BQ115" i="122"/>
  <c r="BQ168" i="122" s="1"/>
  <c r="EQ52" i="123" s="1"/>
  <c r="AZ115" i="122"/>
  <c r="AZ168" i="122" s="1"/>
  <c r="DK52" i="123" s="1"/>
  <c r="AY115" i="122"/>
  <c r="AY168" i="122" s="1"/>
  <c r="DJ52" i="123" s="1"/>
  <c r="AW115" i="122"/>
  <c r="AV115" i="122"/>
  <c r="AV168" i="122" s="1"/>
  <c r="DA52" i="123" s="1"/>
  <c r="AT115" i="122"/>
  <c r="AS115" i="122"/>
  <c r="AB115" i="122"/>
  <c r="AB168" i="122" s="1"/>
  <c r="AA115" i="122"/>
  <c r="AA168" i="122" s="1"/>
  <c r="BK52" i="123" s="1"/>
  <c r="Y115" i="122"/>
  <c r="Y168" i="122" s="1"/>
  <c r="BC52" i="123" s="1"/>
  <c r="X115" i="122"/>
  <c r="X168" i="122" s="1"/>
  <c r="BB52" i="123" s="1"/>
  <c r="M115" i="122"/>
  <c r="M168" i="122" s="1"/>
  <c r="L115" i="122"/>
  <c r="J115" i="122"/>
  <c r="J168" i="122" s="1"/>
  <c r="I115" i="122"/>
  <c r="G115" i="122"/>
  <c r="CA114" i="122"/>
  <c r="CA167" i="122" s="1"/>
  <c r="BZ114" i="122"/>
  <c r="BZ167" i="122" s="1"/>
  <c r="BV114" i="122"/>
  <c r="BV167" i="122" s="1"/>
  <c r="BS114" i="122"/>
  <c r="BS167" i="122" s="1"/>
  <c r="BP114" i="122"/>
  <c r="BP167" i="122" s="1"/>
  <c r="BC114" i="122"/>
  <c r="BC167" i="122" s="1"/>
  <c r="BB114" i="122"/>
  <c r="AX114" i="122"/>
  <c r="AX167" i="122"/>
  <c r="AU114" i="122"/>
  <c r="AU167" i="122" s="1"/>
  <c r="AR114" i="122"/>
  <c r="AR167" i="122" s="1"/>
  <c r="AE114" i="122"/>
  <c r="AE167" i="122" s="1"/>
  <c r="AD114" i="122"/>
  <c r="Z114" i="122"/>
  <c r="Z167" i="122" s="1"/>
  <c r="W114" i="122"/>
  <c r="W167" i="122" s="1"/>
  <c r="T114" i="122"/>
  <c r="T167" i="122" s="1"/>
  <c r="P114" i="122"/>
  <c r="O114" i="122"/>
  <c r="K114" i="122"/>
  <c r="K167" i="122" s="1"/>
  <c r="H114" i="122"/>
  <c r="H167" i="122" s="1"/>
  <c r="E114" i="122"/>
  <c r="E167" i="122" s="1"/>
  <c r="CA113" i="122"/>
  <c r="BZ113" i="122"/>
  <c r="BZ166" i="122" s="1"/>
  <c r="BV113" i="122"/>
  <c r="BV166" i="122"/>
  <c r="BS113" i="122"/>
  <c r="BS166" i="122" s="1"/>
  <c r="BP113" i="122"/>
  <c r="BP166" i="122" s="1"/>
  <c r="BC113" i="122"/>
  <c r="BB113" i="122"/>
  <c r="BB166" i="122" s="1"/>
  <c r="AX113" i="122"/>
  <c r="AX166" i="122" s="1"/>
  <c r="AU113" i="122"/>
  <c r="AU166" i="122" s="1"/>
  <c r="AR113" i="122"/>
  <c r="AR166" i="122" s="1"/>
  <c r="AE113" i="122"/>
  <c r="AE166" i="122" s="1"/>
  <c r="AD113" i="122"/>
  <c r="Z113" i="122"/>
  <c r="Z166" i="122" s="1"/>
  <c r="W113" i="122"/>
  <c r="W166" i="122" s="1"/>
  <c r="T113" i="122"/>
  <c r="T166" i="122" s="1"/>
  <c r="P113" i="122"/>
  <c r="P166" i="122" s="1"/>
  <c r="O113" i="122"/>
  <c r="K113" i="122"/>
  <c r="K166" i="122" s="1"/>
  <c r="H113" i="122"/>
  <c r="H166" i="122"/>
  <c r="E113" i="122"/>
  <c r="E166" i="122" s="1"/>
  <c r="CA112" i="122"/>
  <c r="BZ112" i="122"/>
  <c r="BV112" i="122"/>
  <c r="BV165" i="122" s="1"/>
  <c r="BS112" i="122"/>
  <c r="BS165" i="122"/>
  <c r="BP112" i="122"/>
  <c r="BP165" i="122" s="1"/>
  <c r="BC112" i="122"/>
  <c r="BB112" i="122"/>
  <c r="BB165" i="122" s="1"/>
  <c r="AX112" i="122"/>
  <c r="AX165" i="122" s="1"/>
  <c r="AU112" i="122"/>
  <c r="AU165" i="122" s="1"/>
  <c r="AR112" i="122"/>
  <c r="AR165" i="122" s="1"/>
  <c r="AE112" i="122"/>
  <c r="AD112" i="122"/>
  <c r="AC112" i="122" s="1"/>
  <c r="Z112" i="122"/>
  <c r="Z165" i="122" s="1"/>
  <c r="W112" i="122"/>
  <c r="W165" i="122" s="1"/>
  <c r="T112" i="122"/>
  <c r="T165" i="122" s="1"/>
  <c r="P112" i="122"/>
  <c r="P165" i="122" s="1"/>
  <c r="O112" i="122"/>
  <c r="O165" i="122" s="1"/>
  <c r="K112" i="122"/>
  <c r="K165" i="122" s="1"/>
  <c r="H112" i="122"/>
  <c r="H165" i="122" s="1"/>
  <c r="E112" i="122"/>
  <c r="E165" i="122" s="1"/>
  <c r="BX111" i="122"/>
  <c r="BX164" i="122" s="1"/>
  <c r="FJ48" i="123" s="1"/>
  <c r="BW111" i="122"/>
  <c r="BW164" i="122" s="1"/>
  <c r="FI48" i="123" s="1"/>
  <c r="FH48" i="123" s="1"/>
  <c r="BU111" i="122"/>
  <c r="BT111" i="122"/>
  <c r="BT164" i="122" s="1"/>
  <c r="EZ48" i="123" s="1"/>
  <c r="BR111" i="122"/>
  <c r="BQ111" i="122"/>
  <c r="AZ111" i="122"/>
  <c r="AZ164" i="122" s="1"/>
  <c r="DK48" i="123" s="1"/>
  <c r="AY111" i="122"/>
  <c r="AY164" i="122" s="1"/>
  <c r="DJ48" i="123" s="1"/>
  <c r="AW111" i="122"/>
  <c r="AV111" i="122"/>
  <c r="AV164" i="122" s="1"/>
  <c r="DA48" i="123" s="1"/>
  <c r="AT111" i="122"/>
  <c r="AS111" i="122"/>
  <c r="AB111" i="122"/>
  <c r="AB164" i="122" s="1"/>
  <c r="BL48" i="123" s="1"/>
  <c r="AA111" i="122"/>
  <c r="AA164" i="122" s="1"/>
  <c r="BK48" i="123" s="1"/>
  <c r="Y111" i="122"/>
  <c r="X111" i="122"/>
  <c r="X164" i="122" s="1"/>
  <c r="BB48" i="123" s="1"/>
  <c r="V111" i="122"/>
  <c r="U111" i="122"/>
  <c r="M111" i="122"/>
  <c r="M164" i="122" s="1"/>
  <c r="Y48" i="123" s="1"/>
  <c r="L111" i="122"/>
  <c r="L164" i="122" s="1"/>
  <c r="X48" i="123" s="1"/>
  <c r="J111" i="122"/>
  <c r="J164" i="122" s="1"/>
  <c r="P48" i="123" s="1"/>
  <c r="I111" i="122"/>
  <c r="G111" i="122"/>
  <c r="F111" i="122"/>
  <c r="F164" i="122" s="1"/>
  <c r="F48" i="123" s="1"/>
  <c r="CA110" i="122"/>
  <c r="BZ110" i="122"/>
  <c r="BV110" i="122"/>
  <c r="BS110" i="122"/>
  <c r="BP110" i="122"/>
  <c r="BC110" i="122"/>
  <c r="BB110" i="122"/>
  <c r="AX110" i="122"/>
  <c r="AU110" i="122"/>
  <c r="AR110" i="122"/>
  <c r="AE110" i="122"/>
  <c r="AD110" i="122"/>
  <c r="Z110" i="122"/>
  <c r="W110" i="122"/>
  <c r="T110" i="122"/>
  <c r="P110" i="122"/>
  <c r="O110" i="122"/>
  <c r="K110" i="122"/>
  <c r="H110" i="122"/>
  <c r="E110" i="122"/>
  <c r="D110" i="122"/>
  <c r="S110" i="122" s="1"/>
  <c r="AH110" i="122" s="1"/>
  <c r="CB109" i="122"/>
  <c r="CA109" i="122"/>
  <c r="BZ109" i="122"/>
  <c r="BV109" i="122"/>
  <c r="BS109" i="122"/>
  <c r="BP109" i="122"/>
  <c r="BC109" i="122"/>
  <c r="AX109" i="122"/>
  <c r="BB109" i="122"/>
  <c r="AR109" i="122"/>
  <c r="AE109" i="122"/>
  <c r="AD109" i="122"/>
  <c r="Z109" i="122"/>
  <c r="W109" i="122"/>
  <c r="T109" i="122"/>
  <c r="P109" i="122"/>
  <c r="O109" i="122"/>
  <c r="K109" i="122"/>
  <c r="H109" i="122"/>
  <c r="E109" i="122"/>
  <c r="D109" i="122"/>
  <c r="C109" i="122"/>
  <c r="R109" i="122" s="1"/>
  <c r="CD108" i="122"/>
  <c r="BX108" i="122"/>
  <c r="BW108" i="122"/>
  <c r="BU108" i="122"/>
  <c r="BT108" i="122"/>
  <c r="BR108" i="122"/>
  <c r="BQ108" i="122"/>
  <c r="AZ108" i="122"/>
  <c r="AY108" i="122"/>
  <c r="AW108" i="122"/>
  <c r="AV108" i="122"/>
  <c r="AT108" i="122"/>
  <c r="AS108" i="122"/>
  <c r="AB108" i="122"/>
  <c r="AA108" i="122"/>
  <c r="Y108" i="122"/>
  <c r="X108" i="122"/>
  <c r="V108" i="122"/>
  <c r="U108" i="122"/>
  <c r="M108" i="122"/>
  <c r="L108" i="122"/>
  <c r="J108" i="122"/>
  <c r="I108" i="122"/>
  <c r="G108" i="122"/>
  <c r="F108" i="122"/>
  <c r="CA107" i="122"/>
  <c r="BZ107" i="122"/>
  <c r="BV107" i="122"/>
  <c r="BS107" i="122"/>
  <c r="BP107" i="122"/>
  <c r="BC107" i="122"/>
  <c r="BB107" i="122"/>
  <c r="AX107" i="122"/>
  <c r="AU107" i="122"/>
  <c r="AR107" i="122"/>
  <c r="AE107" i="122"/>
  <c r="AD107" i="122"/>
  <c r="Z107" i="122"/>
  <c r="W107" i="122"/>
  <c r="T107" i="122"/>
  <c r="P107" i="122"/>
  <c r="O107" i="122"/>
  <c r="K107" i="122"/>
  <c r="H107" i="122"/>
  <c r="E107" i="122"/>
  <c r="D107" i="122"/>
  <c r="CD106" i="122"/>
  <c r="BX106" i="122"/>
  <c r="BW106" i="122"/>
  <c r="BU106" i="122"/>
  <c r="BU101" i="122" s="1"/>
  <c r="BU94" i="122" s="1"/>
  <c r="BT106" i="122"/>
  <c r="BR106" i="122"/>
  <c r="BQ106" i="122"/>
  <c r="AZ106" i="122"/>
  <c r="AZ101" i="122" s="1"/>
  <c r="AZ94" i="122" s="1"/>
  <c r="AY106" i="122"/>
  <c r="AW106" i="122"/>
  <c r="AV106" i="122"/>
  <c r="AT106" i="122"/>
  <c r="BC106" i="122" s="1"/>
  <c r="AS106" i="122"/>
  <c r="AB106" i="122"/>
  <c r="AA106" i="122"/>
  <c r="Y106" i="122"/>
  <c r="X106" i="122"/>
  <c r="V106" i="122"/>
  <c r="T106" i="122" s="1"/>
  <c r="M106" i="122"/>
  <c r="L106" i="122"/>
  <c r="J106" i="122"/>
  <c r="I106" i="122"/>
  <c r="G106" i="122"/>
  <c r="F106" i="122"/>
  <c r="CB105" i="122"/>
  <c r="CA105" i="122"/>
  <c r="BZ105" i="122"/>
  <c r="BY105" i="122" s="1"/>
  <c r="BV105" i="122"/>
  <c r="BS105" i="122"/>
  <c r="BP105" i="122"/>
  <c r="BC105" i="122"/>
  <c r="BB105" i="122"/>
  <c r="AX105" i="122"/>
  <c r="AU105" i="122"/>
  <c r="AR105" i="122"/>
  <c r="AE105" i="122"/>
  <c r="AD105" i="122"/>
  <c r="Z105" i="122"/>
  <c r="W105" i="122"/>
  <c r="T105" i="122"/>
  <c r="P105" i="122"/>
  <c r="O105" i="122"/>
  <c r="K105" i="122"/>
  <c r="H105" i="122"/>
  <c r="E105" i="122"/>
  <c r="D105" i="122"/>
  <c r="C105" i="122"/>
  <c r="CB104" i="122"/>
  <c r="CA104" i="122"/>
  <c r="BZ104" i="122"/>
  <c r="BV104" i="122"/>
  <c r="BS104" i="122"/>
  <c r="BP104" i="122"/>
  <c r="BC104" i="122"/>
  <c r="BB104" i="122"/>
  <c r="AX104" i="122"/>
  <c r="AU104" i="122"/>
  <c r="AR104" i="122"/>
  <c r="AE104" i="122"/>
  <c r="AD104" i="122"/>
  <c r="Z104" i="122"/>
  <c r="W104" i="122"/>
  <c r="T104" i="122"/>
  <c r="P104" i="122"/>
  <c r="O104" i="122"/>
  <c r="K104" i="122"/>
  <c r="H104" i="122"/>
  <c r="E104" i="122"/>
  <c r="D104" i="122"/>
  <c r="C104" i="122"/>
  <c r="CB103" i="122"/>
  <c r="CA103" i="122"/>
  <c r="BZ103" i="122"/>
  <c r="BV103" i="122"/>
  <c r="BS103" i="122"/>
  <c r="BP103" i="122"/>
  <c r="BC103" i="122"/>
  <c r="BB103" i="122"/>
  <c r="AX103" i="122"/>
  <c r="AU103" i="122"/>
  <c r="AR103" i="122"/>
  <c r="AE103" i="122"/>
  <c r="AD103" i="122"/>
  <c r="Z103" i="122"/>
  <c r="W103" i="122"/>
  <c r="T103" i="122"/>
  <c r="P103" i="122"/>
  <c r="O103" i="122"/>
  <c r="K103" i="122"/>
  <c r="H103" i="122"/>
  <c r="E103" i="122"/>
  <c r="D103" i="122"/>
  <c r="C103" i="122"/>
  <c r="CA102" i="122"/>
  <c r="BZ102" i="122"/>
  <c r="BV102" i="122"/>
  <c r="BS102" i="122"/>
  <c r="BP102" i="122"/>
  <c r="BC102" i="122"/>
  <c r="BB102" i="122"/>
  <c r="AX102" i="122"/>
  <c r="AU102" i="122"/>
  <c r="AR102" i="122"/>
  <c r="AE102" i="122"/>
  <c r="AD102" i="122"/>
  <c r="Z102" i="122"/>
  <c r="W102" i="122"/>
  <c r="T102" i="122"/>
  <c r="P102" i="122"/>
  <c r="O102" i="122"/>
  <c r="N102" i="122" s="1"/>
  <c r="K102" i="122"/>
  <c r="H102" i="122"/>
  <c r="E102" i="122"/>
  <c r="D102" i="122"/>
  <c r="S102" i="122" s="1"/>
  <c r="AW101" i="122"/>
  <c r="AW94" i="122" s="1"/>
  <c r="BX100" i="122"/>
  <c r="BW100" i="122"/>
  <c r="BU100" i="122"/>
  <c r="BT100" i="122"/>
  <c r="BR100" i="122"/>
  <c r="BQ100" i="122"/>
  <c r="AZ100" i="122"/>
  <c r="AY100" i="122"/>
  <c r="AW100" i="122"/>
  <c r="AV100" i="122"/>
  <c r="AT100" i="122"/>
  <c r="AS100" i="122"/>
  <c r="AB100" i="122"/>
  <c r="AA100" i="122"/>
  <c r="Y100" i="122"/>
  <c r="X100" i="122"/>
  <c r="V100" i="122"/>
  <c r="U100" i="122"/>
  <c r="M100" i="122"/>
  <c r="L100" i="122"/>
  <c r="J100" i="122"/>
  <c r="G100" i="122"/>
  <c r="F100" i="122"/>
  <c r="D99" i="122"/>
  <c r="S99" i="122" s="1"/>
  <c r="CA99" i="122"/>
  <c r="BZ99" i="122"/>
  <c r="BV99" i="122"/>
  <c r="BS99" i="122"/>
  <c r="BP99" i="122"/>
  <c r="BC99" i="122"/>
  <c r="BB99" i="122"/>
  <c r="AX99" i="122"/>
  <c r="AU99" i="122"/>
  <c r="AR99" i="122"/>
  <c r="AE99" i="122"/>
  <c r="AD99" i="122"/>
  <c r="Z99" i="122"/>
  <c r="W99" i="122"/>
  <c r="P99" i="122"/>
  <c r="AK99" i="122" s="1"/>
  <c r="K99" i="122"/>
  <c r="E99" i="122"/>
  <c r="D98" i="122"/>
  <c r="S98" i="122" s="1"/>
  <c r="CA98" i="122"/>
  <c r="BZ98" i="122"/>
  <c r="BV98" i="122"/>
  <c r="BS98" i="122"/>
  <c r="BP98" i="122"/>
  <c r="BP100" i="122" s="1"/>
  <c r="BC98" i="122"/>
  <c r="BB98" i="122"/>
  <c r="BA98" i="122" s="1"/>
  <c r="AX98" i="122"/>
  <c r="AU98" i="122"/>
  <c r="AR98" i="122"/>
  <c r="AE98" i="122"/>
  <c r="AD98" i="122"/>
  <c r="Z98" i="122"/>
  <c r="W98" i="122"/>
  <c r="P98" i="122"/>
  <c r="O98" i="122"/>
  <c r="K98" i="122"/>
  <c r="H98" i="122"/>
  <c r="E98" i="122"/>
  <c r="D97" i="122"/>
  <c r="S97" i="122" s="1"/>
  <c r="CA97" i="122"/>
  <c r="BV97" i="122"/>
  <c r="BS97" i="122"/>
  <c r="BP97" i="122"/>
  <c r="BC97" i="122"/>
  <c r="BB97" i="122"/>
  <c r="AX97" i="122"/>
  <c r="AU97" i="122"/>
  <c r="AE97" i="122"/>
  <c r="Z97" i="122"/>
  <c r="P97" i="122"/>
  <c r="O97" i="122"/>
  <c r="L155" i="122"/>
  <c r="X39" i="123" s="1"/>
  <c r="K97" i="122"/>
  <c r="H97" i="122"/>
  <c r="E97" i="122"/>
  <c r="CA96" i="122"/>
  <c r="BZ96" i="122"/>
  <c r="BV96" i="122"/>
  <c r="BS96" i="122"/>
  <c r="BP96" i="122"/>
  <c r="BC96" i="122"/>
  <c r="BB96" i="122"/>
  <c r="AX96" i="122"/>
  <c r="AU96" i="122"/>
  <c r="AR96" i="122"/>
  <c r="AE96" i="122"/>
  <c r="AD96" i="122"/>
  <c r="Z96" i="122"/>
  <c r="W96" i="122"/>
  <c r="T96" i="122"/>
  <c r="P96" i="122"/>
  <c r="O96" i="122"/>
  <c r="K96" i="122"/>
  <c r="H96" i="122"/>
  <c r="E96" i="122"/>
  <c r="D95" i="122"/>
  <c r="CA95" i="122"/>
  <c r="BZ95" i="122"/>
  <c r="BV95" i="122"/>
  <c r="BS95" i="122"/>
  <c r="BP95" i="122"/>
  <c r="BC95" i="122"/>
  <c r="BB95" i="122"/>
  <c r="AX95" i="122"/>
  <c r="AU95" i="122"/>
  <c r="AR95" i="122"/>
  <c r="AE95" i="122"/>
  <c r="AD95" i="122"/>
  <c r="Z95" i="122"/>
  <c r="W95" i="122"/>
  <c r="P95" i="122"/>
  <c r="O95" i="122"/>
  <c r="K95" i="122"/>
  <c r="H95" i="122"/>
  <c r="E95" i="122"/>
  <c r="CA93" i="122"/>
  <c r="BZ93" i="122"/>
  <c r="BV93" i="122"/>
  <c r="BS93" i="122"/>
  <c r="BS92" i="122" s="1"/>
  <c r="BP93" i="122"/>
  <c r="BP92" i="122" s="1"/>
  <c r="BC93" i="122"/>
  <c r="BB93" i="122"/>
  <c r="AX93" i="122"/>
  <c r="AU93" i="122"/>
  <c r="AU92" i="122" s="1"/>
  <c r="AR93" i="122"/>
  <c r="AR92" i="122" s="1"/>
  <c r="AE93" i="122"/>
  <c r="AD93" i="122"/>
  <c r="Z93" i="122"/>
  <c r="Z92" i="122" s="1"/>
  <c r="W93" i="122"/>
  <c r="W92" i="122" s="1"/>
  <c r="T93" i="122"/>
  <c r="T92" i="122" s="1"/>
  <c r="P93" i="122"/>
  <c r="O93" i="122"/>
  <c r="AJ93" i="122" s="1"/>
  <c r="BH93" i="122" s="1"/>
  <c r="K93" i="122"/>
  <c r="H93" i="122"/>
  <c r="E93" i="122"/>
  <c r="D93" i="122"/>
  <c r="CD92" i="122"/>
  <c r="BX92" i="122"/>
  <c r="BW92" i="122"/>
  <c r="BV92" i="122"/>
  <c r="BU92" i="122"/>
  <c r="BT92" i="122"/>
  <c r="BR92" i="122"/>
  <c r="BQ92" i="122"/>
  <c r="AZ92" i="122"/>
  <c r="AY92" i="122"/>
  <c r="AX92" i="122"/>
  <c r="AW92" i="122"/>
  <c r="AV92" i="122"/>
  <c r="AT92" i="122"/>
  <c r="AS92" i="122"/>
  <c r="AB92" i="122"/>
  <c r="AA92" i="122"/>
  <c r="Y92" i="122"/>
  <c r="X92" i="122"/>
  <c r="V92" i="122"/>
  <c r="U92" i="122"/>
  <c r="U81" i="122" s="1"/>
  <c r="U75" i="122" s="1"/>
  <c r="M92" i="122"/>
  <c r="L92" i="122"/>
  <c r="J92" i="122"/>
  <c r="I92" i="122"/>
  <c r="G92" i="122"/>
  <c r="G81" i="122" s="1"/>
  <c r="G75" i="122" s="1"/>
  <c r="F92" i="122"/>
  <c r="CB91" i="122"/>
  <c r="CA91" i="122"/>
  <c r="BZ91" i="122"/>
  <c r="BV91" i="122"/>
  <c r="BV90" i="122" s="1"/>
  <c r="BS91" i="122"/>
  <c r="BS90" i="122" s="1"/>
  <c r="BP91" i="122"/>
  <c r="BP90" i="122" s="1"/>
  <c r="BC91" i="122"/>
  <c r="BB91" i="122"/>
  <c r="AX91" i="122"/>
  <c r="AX90" i="122" s="1"/>
  <c r="AU91" i="122"/>
  <c r="AU90" i="122" s="1"/>
  <c r="AR91" i="122"/>
  <c r="AR90" i="122" s="1"/>
  <c r="AE91" i="122"/>
  <c r="AD91" i="122"/>
  <c r="Z91" i="122"/>
  <c r="Z90" i="122" s="1"/>
  <c r="W91" i="122"/>
  <c r="W90" i="122" s="1"/>
  <c r="P91" i="122"/>
  <c r="O91" i="122"/>
  <c r="K91" i="122"/>
  <c r="H91" i="122"/>
  <c r="E91" i="122"/>
  <c r="D91" i="122"/>
  <c r="D90" i="122" s="1"/>
  <c r="C91" i="122"/>
  <c r="C90" i="122" s="1"/>
  <c r="CD90" i="122"/>
  <c r="CC90" i="122"/>
  <c r="BX90" i="122"/>
  <c r="BW90" i="122"/>
  <c r="BU90" i="122"/>
  <c r="BT90" i="122"/>
  <c r="BR90" i="122"/>
  <c r="BQ90" i="122"/>
  <c r="BQ81" i="122" s="1"/>
  <c r="BQ75" i="122" s="1"/>
  <c r="AZ90" i="122"/>
  <c r="AY90" i="122"/>
  <c r="AW90" i="122"/>
  <c r="AV90" i="122"/>
  <c r="AT90" i="122"/>
  <c r="AT81" i="122" s="1"/>
  <c r="AT75" i="122" s="1"/>
  <c r="AS90" i="122"/>
  <c r="AB90" i="122"/>
  <c r="AA90" i="122"/>
  <c r="Y90" i="122"/>
  <c r="Y81" i="122" s="1"/>
  <c r="Y75" i="122" s="1"/>
  <c r="X90" i="122"/>
  <c r="V90" i="122"/>
  <c r="M90" i="122"/>
  <c r="L90" i="122"/>
  <c r="J90" i="122"/>
  <c r="I90" i="122"/>
  <c r="G90" i="122"/>
  <c r="F90" i="122"/>
  <c r="CB89" i="122"/>
  <c r="CA89" i="122"/>
  <c r="BZ89" i="122"/>
  <c r="BV89" i="122"/>
  <c r="BS89" i="122"/>
  <c r="BP89" i="122"/>
  <c r="BC89" i="122"/>
  <c r="BB89" i="122"/>
  <c r="AX89" i="122"/>
  <c r="AU89" i="122"/>
  <c r="AR89" i="122"/>
  <c r="AE89" i="122"/>
  <c r="AD89" i="122"/>
  <c r="Z89" i="122"/>
  <c r="W89" i="122"/>
  <c r="P89" i="122"/>
  <c r="O89" i="122"/>
  <c r="K89" i="122"/>
  <c r="H89" i="122"/>
  <c r="E89" i="122"/>
  <c r="D89" i="122"/>
  <c r="S89" i="122" s="1"/>
  <c r="C89" i="122"/>
  <c r="CB88" i="122"/>
  <c r="CA88" i="122"/>
  <c r="CA211" i="122" s="1"/>
  <c r="BZ88" i="122"/>
  <c r="BZ211" i="122" s="1"/>
  <c r="BV88" i="122"/>
  <c r="BS88" i="122"/>
  <c r="BS211" i="122" s="1"/>
  <c r="BP88" i="122"/>
  <c r="BP211" i="122" s="1"/>
  <c r="BC88" i="122"/>
  <c r="BC211" i="122" s="1"/>
  <c r="BB88" i="122"/>
  <c r="BB211" i="122" s="1"/>
  <c r="AX88" i="122"/>
  <c r="AX211" i="122" s="1"/>
  <c r="AU88" i="122"/>
  <c r="AU211" i="122" s="1"/>
  <c r="AR88" i="122"/>
  <c r="AR211" i="122" s="1"/>
  <c r="AE88" i="122"/>
  <c r="AE211" i="122" s="1"/>
  <c r="AD88" i="122"/>
  <c r="AD211" i="122" s="1"/>
  <c r="Z88" i="122"/>
  <c r="Z211" i="122" s="1"/>
  <c r="W88" i="122"/>
  <c r="W211" i="122" s="1"/>
  <c r="P88" i="122"/>
  <c r="P211" i="122" s="1"/>
  <c r="O88" i="122"/>
  <c r="K88" i="122"/>
  <c r="K211" i="122" s="1"/>
  <c r="H88" i="122"/>
  <c r="H211" i="122" s="1"/>
  <c r="E88" i="122"/>
  <c r="E211" i="122" s="1"/>
  <c r="D88" i="122"/>
  <c r="S88" i="122" s="1"/>
  <c r="S211" i="122" s="1"/>
  <c r="C88" i="122"/>
  <c r="C211" i="122" s="1"/>
  <c r="CA87" i="122"/>
  <c r="CA210" i="122" s="1"/>
  <c r="BZ87" i="122"/>
  <c r="BZ210" i="122" s="1"/>
  <c r="BV87" i="122"/>
  <c r="BV210" i="122" s="1"/>
  <c r="BS87" i="122"/>
  <c r="BS210" i="122" s="1"/>
  <c r="BP87" i="122"/>
  <c r="BP210" i="122" s="1"/>
  <c r="BC87" i="122"/>
  <c r="BB87" i="122"/>
  <c r="BB210" i="122" s="1"/>
  <c r="AX87" i="122"/>
  <c r="AX210" i="122"/>
  <c r="AU87" i="122"/>
  <c r="AU210" i="122" s="1"/>
  <c r="AR87" i="122"/>
  <c r="AR210" i="122" s="1"/>
  <c r="AE87" i="122"/>
  <c r="AE210" i="122" s="1"/>
  <c r="AD87" i="122"/>
  <c r="Z87" i="122"/>
  <c r="Z210" i="122" s="1"/>
  <c r="W87" i="122"/>
  <c r="W210" i="122" s="1"/>
  <c r="P87" i="122"/>
  <c r="P210" i="122" s="1"/>
  <c r="K87" i="122"/>
  <c r="K210" i="122" s="1"/>
  <c r="D87" i="122"/>
  <c r="CB86" i="122"/>
  <c r="CA86" i="122"/>
  <c r="BZ86" i="122"/>
  <c r="BV86" i="122"/>
  <c r="BS86" i="122"/>
  <c r="BP86" i="122"/>
  <c r="BC86" i="122"/>
  <c r="BB86" i="122"/>
  <c r="AX86" i="122"/>
  <c r="AU86" i="122"/>
  <c r="AR86" i="122"/>
  <c r="AE86" i="122"/>
  <c r="AD86" i="122"/>
  <c r="Z86" i="122"/>
  <c r="W86" i="122"/>
  <c r="P86" i="122"/>
  <c r="O86" i="122"/>
  <c r="K86" i="122"/>
  <c r="H86" i="122"/>
  <c r="E86" i="122"/>
  <c r="D86" i="122"/>
  <c r="S86" i="122" s="1"/>
  <c r="C86" i="122"/>
  <c r="R86" i="122" s="1"/>
  <c r="CC162" i="122"/>
  <c r="CA85" i="122"/>
  <c r="BV85" i="122"/>
  <c r="BS85" i="122"/>
  <c r="BZ85" i="122"/>
  <c r="BP85" i="122"/>
  <c r="BP209" i="122" s="1"/>
  <c r="BC85" i="122"/>
  <c r="AE85" i="122"/>
  <c r="Z85" i="122"/>
  <c r="W85" i="122"/>
  <c r="W209" i="122" s="1"/>
  <c r="U209" i="122"/>
  <c r="P85" i="122"/>
  <c r="K85" i="122"/>
  <c r="D85" i="122"/>
  <c r="CB84" i="122"/>
  <c r="CA84" i="122"/>
  <c r="BZ84" i="122"/>
  <c r="BV84" i="122"/>
  <c r="BS84" i="122"/>
  <c r="BP84" i="122"/>
  <c r="BC84" i="122"/>
  <c r="BB84" i="122"/>
  <c r="BA84" i="122" s="1"/>
  <c r="AX84" i="122"/>
  <c r="AU84" i="122"/>
  <c r="AR84" i="122"/>
  <c r="AE84" i="122"/>
  <c r="AD84" i="122"/>
  <c r="Z84" i="122"/>
  <c r="W84" i="122"/>
  <c r="P84" i="122"/>
  <c r="O84" i="122"/>
  <c r="K84" i="122"/>
  <c r="H84" i="122"/>
  <c r="E84" i="122"/>
  <c r="D84" i="122"/>
  <c r="C84" i="122"/>
  <c r="R84" i="122" s="1"/>
  <c r="CB83" i="122"/>
  <c r="CA83" i="122"/>
  <c r="BZ83" i="122"/>
  <c r="BV83" i="122"/>
  <c r="BS83" i="122"/>
  <c r="BP83" i="122"/>
  <c r="BC83" i="122"/>
  <c r="BB83" i="122"/>
  <c r="AX83" i="122"/>
  <c r="AU83" i="122"/>
  <c r="AR83" i="122"/>
  <c r="AE83" i="122"/>
  <c r="AD83" i="122"/>
  <c r="Z83" i="122"/>
  <c r="W83" i="122"/>
  <c r="T83" i="122"/>
  <c r="P83" i="122"/>
  <c r="O83" i="122"/>
  <c r="K83" i="122"/>
  <c r="H83" i="122"/>
  <c r="E83" i="122"/>
  <c r="D83" i="122"/>
  <c r="S83" i="122" s="1"/>
  <c r="C83" i="122"/>
  <c r="CB82" i="122"/>
  <c r="CA82" i="122"/>
  <c r="BZ82" i="122"/>
  <c r="BV82" i="122"/>
  <c r="BS82" i="122"/>
  <c r="BP82" i="122"/>
  <c r="BC82" i="122"/>
  <c r="BB82" i="122"/>
  <c r="AX82" i="122"/>
  <c r="AU82" i="122"/>
  <c r="AR82" i="122"/>
  <c r="AE82" i="122"/>
  <c r="AD82" i="122"/>
  <c r="Z82" i="122"/>
  <c r="W82" i="122"/>
  <c r="T82" i="122"/>
  <c r="P82" i="122"/>
  <c r="O82" i="122"/>
  <c r="K82" i="122"/>
  <c r="H82" i="122"/>
  <c r="E82" i="122"/>
  <c r="D82" i="122"/>
  <c r="S82" i="122" s="1"/>
  <c r="C82" i="122"/>
  <c r="B82" i="122" s="1"/>
  <c r="AW81" i="122"/>
  <c r="CA80" i="122"/>
  <c r="BZ80" i="122"/>
  <c r="BV80" i="122"/>
  <c r="BS80" i="122"/>
  <c r="BP80" i="122"/>
  <c r="BC80" i="122"/>
  <c r="BB80" i="122"/>
  <c r="AX80" i="122"/>
  <c r="AU80" i="122"/>
  <c r="AR80" i="122"/>
  <c r="AE80" i="122"/>
  <c r="AD80" i="122"/>
  <c r="Z80" i="122"/>
  <c r="W80" i="122"/>
  <c r="P80" i="122"/>
  <c r="AK80" i="122" s="1"/>
  <c r="O80" i="122"/>
  <c r="K80" i="122"/>
  <c r="H80" i="122"/>
  <c r="E80" i="122"/>
  <c r="BX79" i="122"/>
  <c r="BW79" i="122"/>
  <c r="BU79" i="122"/>
  <c r="BT79" i="122"/>
  <c r="BR79" i="122"/>
  <c r="BQ79" i="122"/>
  <c r="AZ79" i="122"/>
  <c r="AY79" i="122"/>
  <c r="AW79" i="122"/>
  <c r="AV79" i="122"/>
  <c r="AT79" i="122"/>
  <c r="AS79" i="122"/>
  <c r="AB79" i="122"/>
  <c r="AA79" i="122"/>
  <c r="Y79" i="122"/>
  <c r="X79" i="122"/>
  <c r="V79" i="122"/>
  <c r="U79" i="122"/>
  <c r="M79" i="122"/>
  <c r="L79" i="122"/>
  <c r="J79" i="122"/>
  <c r="I79" i="122"/>
  <c r="G79" i="122"/>
  <c r="F79" i="122"/>
  <c r="CA78" i="122"/>
  <c r="BZ78" i="122"/>
  <c r="BV78" i="122"/>
  <c r="BS78" i="122"/>
  <c r="BP78" i="122"/>
  <c r="BC78" i="122"/>
  <c r="BB78" i="122"/>
  <c r="AX78" i="122"/>
  <c r="AU78" i="122"/>
  <c r="AR78" i="122"/>
  <c r="AE78" i="122"/>
  <c r="AD78" i="122"/>
  <c r="Z78" i="122"/>
  <c r="W78" i="122"/>
  <c r="P78" i="122"/>
  <c r="O78" i="122"/>
  <c r="K78" i="122"/>
  <c r="H78" i="122"/>
  <c r="E78" i="122"/>
  <c r="CA77" i="122"/>
  <c r="BZ77" i="122"/>
  <c r="BV77" i="122"/>
  <c r="BV79" i="122" s="1"/>
  <c r="BS77" i="122"/>
  <c r="BP77" i="122"/>
  <c r="BC77" i="122"/>
  <c r="BB77" i="122"/>
  <c r="AX77" i="122"/>
  <c r="AU77" i="122"/>
  <c r="AR77" i="122"/>
  <c r="AE77" i="122"/>
  <c r="AD77" i="122"/>
  <c r="Z77" i="122"/>
  <c r="W77" i="122"/>
  <c r="T79" i="122"/>
  <c r="P77" i="122"/>
  <c r="O77" i="122"/>
  <c r="K77" i="122"/>
  <c r="K79" i="122" s="1"/>
  <c r="H77" i="122"/>
  <c r="E77" i="122"/>
  <c r="D76" i="122"/>
  <c r="CA76" i="122"/>
  <c r="BV76" i="122"/>
  <c r="BZ76" i="122"/>
  <c r="BP76" i="122"/>
  <c r="BC76" i="122"/>
  <c r="BB76" i="122"/>
  <c r="BA76" i="122" s="1"/>
  <c r="AX76" i="122"/>
  <c r="AU76" i="122"/>
  <c r="AR76" i="122"/>
  <c r="AE76" i="122"/>
  <c r="Z76" i="122"/>
  <c r="P76" i="122"/>
  <c r="K76" i="122"/>
  <c r="H76" i="122"/>
  <c r="AW75" i="122"/>
  <c r="CA74" i="122"/>
  <c r="BZ74" i="122"/>
  <c r="BV74" i="122"/>
  <c r="BS74" i="122"/>
  <c r="BP74" i="122"/>
  <c r="BC74" i="122"/>
  <c r="BB74" i="122"/>
  <c r="AX74" i="122"/>
  <c r="AU74" i="122"/>
  <c r="AR74" i="122"/>
  <c r="AE74" i="122"/>
  <c r="AD74" i="122"/>
  <c r="Z74" i="122"/>
  <c r="W74" i="122"/>
  <c r="T74" i="122"/>
  <c r="P74" i="122"/>
  <c r="P222" i="122" s="1"/>
  <c r="O74" i="122"/>
  <c r="K74" i="122"/>
  <c r="H74" i="122"/>
  <c r="E74" i="122"/>
  <c r="E222" i="122" s="1"/>
  <c r="CA73" i="122"/>
  <c r="BZ73" i="122"/>
  <c r="BZ221" i="122" s="1"/>
  <c r="BV73" i="122"/>
  <c r="BV221" i="122" s="1"/>
  <c r="BS73" i="122"/>
  <c r="BS221" i="122" s="1"/>
  <c r="BP73" i="122"/>
  <c r="BP221" i="122" s="1"/>
  <c r="BC73" i="122"/>
  <c r="BC221" i="122" s="1"/>
  <c r="AX73" i="122"/>
  <c r="AX221" i="122" s="1"/>
  <c r="AR73" i="122"/>
  <c r="AR221" i="122"/>
  <c r="AE73" i="122"/>
  <c r="Z73" i="122"/>
  <c r="Z221" i="122" s="1"/>
  <c r="W73" i="122"/>
  <c r="W221" i="122" s="1"/>
  <c r="AD73" i="122"/>
  <c r="P73" i="122"/>
  <c r="P221" i="122" s="1"/>
  <c r="O73" i="122"/>
  <c r="O221" i="122" s="1"/>
  <c r="K73" i="122"/>
  <c r="H73" i="122"/>
  <c r="E73" i="122"/>
  <c r="E221" i="122" s="1"/>
  <c r="CA72" i="122"/>
  <c r="BZ72" i="122"/>
  <c r="BV72" i="122"/>
  <c r="BV220" i="122" s="1"/>
  <c r="BS72" i="122"/>
  <c r="BS220" i="122" s="1"/>
  <c r="BP72" i="122"/>
  <c r="BP220" i="122" s="1"/>
  <c r="BC72" i="122"/>
  <c r="BC220" i="122" s="1"/>
  <c r="AX72" i="122"/>
  <c r="AR72" i="122"/>
  <c r="AR220" i="122" s="1"/>
  <c r="AE72" i="122"/>
  <c r="AA220" i="122"/>
  <c r="W72" i="122"/>
  <c r="W220" i="122" s="1"/>
  <c r="U220" i="122"/>
  <c r="T72" i="122"/>
  <c r="T220" i="122" s="1"/>
  <c r="P72" i="122"/>
  <c r="P220" i="122" s="1"/>
  <c r="L220" i="122"/>
  <c r="K72" i="122"/>
  <c r="K220" i="122" s="1"/>
  <c r="H72" i="122"/>
  <c r="H220" i="122" s="1"/>
  <c r="O72" i="122"/>
  <c r="O220" i="122" s="1"/>
  <c r="CA71" i="122"/>
  <c r="BV71" i="122"/>
  <c r="BT219" i="122"/>
  <c r="BP71" i="122"/>
  <c r="BC71" i="122"/>
  <c r="AX71" i="122"/>
  <c r="AR71" i="122"/>
  <c r="AE71" i="122"/>
  <c r="AD71" i="122"/>
  <c r="Z71" i="122"/>
  <c r="W71" i="122"/>
  <c r="T71" i="122"/>
  <c r="P71" i="122"/>
  <c r="O71" i="122"/>
  <c r="K71" i="122"/>
  <c r="H71" i="122"/>
  <c r="E71" i="122"/>
  <c r="BX70" i="122"/>
  <c r="BW70" i="122"/>
  <c r="BU70" i="122"/>
  <c r="BT70" i="122"/>
  <c r="BR70" i="122"/>
  <c r="CA70" i="122" s="1"/>
  <c r="BQ70" i="122"/>
  <c r="AZ70" i="122"/>
  <c r="AY70" i="122"/>
  <c r="AW70" i="122"/>
  <c r="AT70" i="122"/>
  <c r="AS70" i="122"/>
  <c r="AB70" i="122"/>
  <c r="AA70" i="122"/>
  <c r="Y70" i="122"/>
  <c r="X70" i="122"/>
  <c r="V70" i="122"/>
  <c r="U70" i="122"/>
  <c r="M70" i="122"/>
  <c r="L70" i="122"/>
  <c r="J70" i="122"/>
  <c r="I70" i="122"/>
  <c r="G70" i="122"/>
  <c r="F70" i="122"/>
  <c r="CA69" i="122"/>
  <c r="BV69" i="122"/>
  <c r="BS69" i="122"/>
  <c r="BQ217" i="122"/>
  <c r="BC69" i="122"/>
  <c r="AY217" i="122"/>
  <c r="AR69" i="122"/>
  <c r="AE69" i="122"/>
  <c r="AD69" i="122"/>
  <c r="Z69" i="122"/>
  <c r="W69" i="122"/>
  <c r="T69" i="122"/>
  <c r="P69" i="122"/>
  <c r="N69" i="122" s="1"/>
  <c r="O69" i="122"/>
  <c r="K69" i="122"/>
  <c r="H69" i="122"/>
  <c r="E69" i="122"/>
  <c r="CA68" i="122"/>
  <c r="CA216" i="122" s="1"/>
  <c r="BZ68" i="122"/>
  <c r="BV68" i="122"/>
  <c r="BV216" i="122"/>
  <c r="BS68" i="122"/>
  <c r="BS216" i="122" s="1"/>
  <c r="BP68" i="122"/>
  <c r="BP216" i="122" s="1"/>
  <c r="BC68" i="122"/>
  <c r="BC216" i="122" s="1"/>
  <c r="BB68" i="122"/>
  <c r="AX68" i="122"/>
  <c r="AX216" i="122" s="1"/>
  <c r="AU68" i="122"/>
  <c r="AU216" i="122" s="1"/>
  <c r="AR68" i="122"/>
  <c r="AR216" i="122" s="1"/>
  <c r="AE68" i="122"/>
  <c r="AE216" i="122" s="1"/>
  <c r="AD68" i="122"/>
  <c r="AD216" i="122" s="1"/>
  <c r="Z68" i="122"/>
  <c r="Z216" i="122" s="1"/>
  <c r="W68" i="122"/>
  <c r="W216" i="122" s="1"/>
  <c r="T68" i="122"/>
  <c r="T216" i="122" s="1"/>
  <c r="P68" i="122"/>
  <c r="P216" i="122" s="1"/>
  <c r="O68" i="122"/>
  <c r="O216" i="122" s="1"/>
  <c r="K68" i="122"/>
  <c r="K216" i="122" s="1"/>
  <c r="H68" i="122"/>
  <c r="H216" i="122" s="1"/>
  <c r="E68" i="122"/>
  <c r="E216" i="122" s="1"/>
  <c r="CA67" i="122"/>
  <c r="BZ67" i="122"/>
  <c r="BV67" i="122"/>
  <c r="BS67" i="122"/>
  <c r="BP67" i="122"/>
  <c r="BC67" i="122"/>
  <c r="BB67" i="122"/>
  <c r="AY215" i="122"/>
  <c r="AX67" i="122"/>
  <c r="AU67" i="122"/>
  <c r="AR67" i="122"/>
  <c r="AE67" i="122"/>
  <c r="AD67" i="122"/>
  <c r="Z67" i="122"/>
  <c r="W67" i="122"/>
  <c r="T67" i="122"/>
  <c r="P67" i="122"/>
  <c r="O67" i="122"/>
  <c r="L215" i="122"/>
  <c r="K67" i="122"/>
  <c r="H67" i="122"/>
  <c r="E67" i="122"/>
  <c r="CA66" i="122"/>
  <c r="CA214" i="122" s="1"/>
  <c r="BV66" i="122"/>
  <c r="BP66" i="122"/>
  <c r="BC66" i="122"/>
  <c r="BC214" i="122" s="1"/>
  <c r="AY214" i="122"/>
  <c r="AV214" i="122"/>
  <c r="AS65" i="122"/>
  <c r="AE66" i="122"/>
  <c r="AE214" i="122" s="1"/>
  <c r="AA65" i="122"/>
  <c r="W66" i="122"/>
  <c r="P66" i="122"/>
  <c r="P214" i="122" s="1"/>
  <c r="BX65" i="122"/>
  <c r="BW65" i="122"/>
  <c r="BU65" i="122"/>
  <c r="BR65" i="122"/>
  <c r="AZ65" i="122"/>
  <c r="AZ49" i="122" s="1"/>
  <c r="AZ40" i="122" s="1"/>
  <c r="AY65" i="122"/>
  <c r="AW65" i="122"/>
  <c r="AT65" i="122"/>
  <c r="AB65" i="122"/>
  <c r="Y65" i="122"/>
  <c r="V65" i="122"/>
  <c r="M65" i="122"/>
  <c r="J65" i="122"/>
  <c r="G65" i="122"/>
  <c r="CA64" i="122"/>
  <c r="BZ64" i="122"/>
  <c r="BV64" i="122"/>
  <c r="BS64" i="122"/>
  <c r="BP64" i="122"/>
  <c r="BP208" i="122" s="1"/>
  <c r="BC64" i="122"/>
  <c r="BB64" i="122"/>
  <c r="AX64" i="122"/>
  <c r="AU64" i="122"/>
  <c r="AU208" i="122" s="1"/>
  <c r="AR64" i="122"/>
  <c r="AE64" i="122"/>
  <c r="AD64" i="122"/>
  <c r="Z64" i="122"/>
  <c r="W64" i="122"/>
  <c r="W208" i="122" s="1"/>
  <c r="T64" i="122"/>
  <c r="P64" i="122"/>
  <c r="O64" i="122"/>
  <c r="K64" i="122"/>
  <c r="K208" i="122" s="1"/>
  <c r="H64" i="122"/>
  <c r="E64" i="122"/>
  <c r="CA63" i="122"/>
  <c r="BZ63" i="122"/>
  <c r="BZ207" i="122" s="1"/>
  <c r="BV63" i="122"/>
  <c r="BV207" i="122" s="1"/>
  <c r="BS63" i="122"/>
  <c r="BS207" i="122" s="1"/>
  <c r="BP63" i="122"/>
  <c r="BP207" i="122" s="1"/>
  <c r="BC63" i="122"/>
  <c r="BB63" i="122"/>
  <c r="BB207" i="122" s="1"/>
  <c r="AX63" i="122"/>
  <c r="AX207" i="122" s="1"/>
  <c r="AU63" i="122"/>
  <c r="AU207" i="122" s="1"/>
  <c r="AR63" i="122"/>
  <c r="AR207" i="122" s="1"/>
  <c r="AE63" i="122"/>
  <c r="AE207" i="122" s="1"/>
  <c r="AD63" i="122"/>
  <c r="Z63" i="122"/>
  <c r="Z207" i="122" s="1"/>
  <c r="W63" i="122"/>
  <c r="W207" i="122" s="1"/>
  <c r="T63" i="122"/>
  <c r="T207" i="122" s="1"/>
  <c r="P63" i="122"/>
  <c r="P207" i="122" s="1"/>
  <c r="O63" i="122"/>
  <c r="K63" i="122"/>
  <c r="K207" i="122" s="1"/>
  <c r="H63" i="122"/>
  <c r="H207" i="122" s="1"/>
  <c r="E63" i="122"/>
  <c r="E207" i="122" s="1"/>
  <c r="CA62" i="122"/>
  <c r="BZ62" i="122"/>
  <c r="BZ206" i="122" s="1"/>
  <c r="BV62" i="122"/>
  <c r="BV206" i="122" s="1"/>
  <c r="BS62" i="122"/>
  <c r="BS206" i="122" s="1"/>
  <c r="BP62" i="122"/>
  <c r="BP206" i="122" s="1"/>
  <c r="BC62" i="122"/>
  <c r="BC206" i="122" s="1"/>
  <c r="BB62" i="122"/>
  <c r="AX62" i="122"/>
  <c r="AX206" i="122" s="1"/>
  <c r="AU62" i="122"/>
  <c r="AU206" i="122" s="1"/>
  <c r="AR62" i="122"/>
  <c r="AR206" i="122" s="1"/>
  <c r="AE62" i="122"/>
  <c r="AE206" i="122" s="1"/>
  <c r="AD62" i="122"/>
  <c r="AD206" i="122" s="1"/>
  <c r="Z62" i="122"/>
  <c r="Z206" i="122" s="1"/>
  <c r="W62" i="122"/>
  <c r="W206" i="122" s="1"/>
  <c r="T62" i="122"/>
  <c r="T206" i="122" s="1"/>
  <c r="P62" i="122"/>
  <c r="P206" i="122" s="1"/>
  <c r="O62" i="122"/>
  <c r="K62" i="122"/>
  <c r="K206" i="122" s="1"/>
  <c r="H62" i="122"/>
  <c r="H206" i="122" s="1"/>
  <c r="E62" i="122"/>
  <c r="E206" i="122" s="1"/>
  <c r="CA61" i="122"/>
  <c r="BZ61" i="122"/>
  <c r="BZ205" i="122" s="1"/>
  <c r="BV61" i="122"/>
  <c r="BV205" i="122" s="1"/>
  <c r="BS61" i="122"/>
  <c r="BS205" i="122" s="1"/>
  <c r="BP61" i="122"/>
  <c r="BP205" i="122" s="1"/>
  <c r="BC61" i="122"/>
  <c r="BB61" i="122"/>
  <c r="BB205" i="122" s="1"/>
  <c r="AX61" i="122"/>
  <c r="AX205" i="122" s="1"/>
  <c r="AU61" i="122"/>
  <c r="AU205" i="122" s="1"/>
  <c r="AR61" i="122"/>
  <c r="AR205" i="122" s="1"/>
  <c r="AE61" i="122"/>
  <c r="AE205" i="122" s="1"/>
  <c r="AA205" i="122"/>
  <c r="Z61" i="122"/>
  <c r="Z205" i="122" s="1"/>
  <c r="AD61" i="122"/>
  <c r="T61" i="122"/>
  <c r="T205" i="122" s="1"/>
  <c r="P61" i="122"/>
  <c r="P205" i="122" s="1"/>
  <c r="O61" i="122"/>
  <c r="O205" i="122" s="1"/>
  <c r="H61" i="122"/>
  <c r="H205" i="122" s="1"/>
  <c r="E61" i="122"/>
  <c r="E205" i="122" s="1"/>
  <c r="CA60" i="122"/>
  <c r="CA204" i="122" s="1"/>
  <c r="BZ60" i="122"/>
  <c r="BV60" i="122"/>
  <c r="BV204" i="122" s="1"/>
  <c r="BS60" i="122"/>
  <c r="BS204" i="122" s="1"/>
  <c r="BP60" i="122"/>
  <c r="BP204" i="122" s="1"/>
  <c r="BC60" i="122"/>
  <c r="BB60" i="122"/>
  <c r="BB204" i="122" s="1"/>
  <c r="AX60" i="122"/>
  <c r="AX204" i="122" s="1"/>
  <c r="AU60" i="122"/>
  <c r="AU204" i="122" s="1"/>
  <c r="AR60" i="122"/>
  <c r="AR204" i="122" s="1"/>
  <c r="AE60" i="122"/>
  <c r="AD60" i="122"/>
  <c r="Z60" i="122"/>
  <c r="Z204" i="122" s="1"/>
  <c r="W60" i="122"/>
  <c r="W204" i="122" s="1"/>
  <c r="T60" i="122"/>
  <c r="T204" i="122" s="1"/>
  <c r="P60" i="122"/>
  <c r="O60" i="122"/>
  <c r="O204" i="122" s="1"/>
  <c r="K60" i="122"/>
  <c r="K204" i="122" s="1"/>
  <c r="H60" i="122"/>
  <c r="H204" i="122" s="1"/>
  <c r="E60" i="122"/>
  <c r="E204" i="122" s="1"/>
  <c r="D59" i="122"/>
  <c r="D203" i="122" s="1"/>
  <c r="CA59" i="122"/>
  <c r="CA203" i="122" s="1"/>
  <c r="BZ59" i="122"/>
  <c r="BV59" i="122"/>
  <c r="BV203" i="122" s="1"/>
  <c r="BS59" i="122"/>
  <c r="BS203" i="122" s="1"/>
  <c r="BP59" i="122"/>
  <c r="BP203" i="122" s="1"/>
  <c r="BC59" i="122"/>
  <c r="BC203" i="122" s="1"/>
  <c r="BB59" i="122"/>
  <c r="BB203" i="122" s="1"/>
  <c r="AX59" i="122"/>
  <c r="AX203" i="122" s="1"/>
  <c r="AU59" i="122"/>
  <c r="AU203" i="122" s="1"/>
  <c r="AR59" i="122"/>
  <c r="AR203" i="122" s="1"/>
  <c r="AE59" i="122"/>
  <c r="AE203" i="122" s="1"/>
  <c r="AD59" i="122"/>
  <c r="AC59" i="122" s="1"/>
  <c r="AC203" i="122" s="1"/>
  <c r="Z59" i="122"/>
  <c r="Z203" i="122" s="1"/>
  <c r="W59" i="122"/>
  <c r="W203" i="122" s="1"/>
  <c r="T59" i="122"/>
  <c r="T203" i="122" s="1"/>
  <c r="P59" i="122"/>
  <c r="P203" i="122" s="1"/>
  <c r="O59" i="122"/>
  <c r="K59" i="122"/>
  <c r="K203" i="122" s="1"/>
  <c r="H59" i="122"/>
  <c r="H203" i="122"/>
  <c r="E59" i="122"/>
  <c r="E203" i="122" s="1"/>
  <c r="CA58" i="122"/>
  <c r="CA202" i="122" s="1"/>
  <c r="BZ58" i="122"/>
  <c r="BZ202" i="122" s="1"/>
  <c r="BV58" i="122"/>
  <c r="BV202" i="122" s="1"/>
  <c r="BS58" i="122"/>
  <c r="BS202" i="122" s="1"/>
  <c r="BP58" i="122"/>
  <c r="BP202" i="122" s="1"/>
  <c r="BC58" i="122"/>
  <c r="BC202" i="122" s="1"/>
  <c r="BB58" i="122"/>
  <c r="BB202" i="122" s="1"/>
  <c r="AX58" i="122"/>
  <c r="AX202" i="122" s="1"/>
  <c r="AU58" i="122"/>
  <c r="AU202" i="122" s="1"/>
  <c r="AR58" i="122"/>
  <c r="AR202" i="122" s="1"/>
  <c r="AE58" i="122"/>
  <c r="AD58" i="122"/>
  <c r="Z58" i="122"/>
  <c r="Z202" i="122" s="1"/>
  <c r="W58" i="122"/>
  <c r="W202" i="122" s="1"/>
  <c r="T58" i="122"/>
  <c r="T202" i="122" s="1"/>
  <c r="P58" i="122"/>
  <c r="P202" i="122" s="1"/>
  <c r="O58" i="122"/>
  <c r="O202" i="122" s="1"/>
  <c r="K58" i="122"/>
  <c r="K202" i="122" s="1"/>
  <c r="H58" i="122"/>
  <c r="H202" i="122" s="1"/>
  <c r="E58" i="122"/>
  <c r="E202" i="122" s="1"/>
  <c r="CA57" i="122"/>
  <c r="BV57" i="122"/>
  <c r="BV201" i="122" s="1"/>
  <c r="BS57" i="122"/>
  <c r="BS201" i="122"/>
  <c r="BC57" i="122"/>
  <c r="BC201" i="122" s="1"/>
  <c r="BB57" i="122"/>
  <c r="BA57" i="122" s="1"/>
  <c r="BA201" i="122" s="1"/>
  <c r="AX57" i="122"/>
  <c r="AX201" i="122" s="1"/>
  <c r="AU57" i="122"/>
  <c r="AU201" i="122" s="1"/>
  <c r="AR57" i="122"/>
  <c r="AR201" i="122" s="1"/>
  <c r="AE57" i="122"/>
  <c r="AC57" i="122" s="1"/>
  <c r="AC201" i="122" s="1"/>
  <c r="Z57" i="122"/>
  <c r="Z201" i="122" s="1"/>
  <c r="W57" i="122"/>
  <c r="W201" i="122" s="1"/>
  <c r="AD57" i="122"/>
  <c r="AD201" i="122" s="1"/>
  <c r="P57" i="122"/>
  <c r="O57" i="122"/>
  <c r="O201" i="122" s="1"/>
  <c r="K57" i="122"/>
  <c r="K201" i="122" s="1"/>
  <c r="H57" i="122"/>
  <c r="H201" i="122" s="1"/>
  <c r="E57" i="122"/>
  <c r="E201" i="122" s="1"/>
  <c r="CA56" i="122"/>
  <c r="BV56" i="122"/>
  <c r="BV200" i="122" s="1"/>
  <c r="BP56" i="122"/>
  <c r="BP200" i="122" s="1"/>
  <c r="BC56" i="122"/>
  <c r="BC200" i="122" s="1"/>
  <c r="AU56" i="122"/>
  <c r="AU200" i="122" s="1"/>
  <c r="AR56" i="122"/>
  <c r="AR200" i="122" s="1"/>
  <c r="AE56" i="122"/>
  <c r="AE200" i="122" s="1"/>
  <c r="Z56" i="122"/>
  <c r="Z200" i="122" s="1"/>
  <c r="W56" i="122"/>
  <c r="W200" i="122" s="1"/>
  <c r="T56" i="122"/>
  <c r="T200" i="122" s="1"/>
  <c r="P56" i="122"/>
  <c r="P200" i="122" s="1"/>
  <c r="H56" i="122"/>
  <c r="H200" i="122" s="1"/>
  <c r="E56" i="122"/>
  <c r="E200" i="122" s="1"/>
  <c r="CA55" i="122"/>
  <c r="BV55" i="122"/>
  <c r="BP55" i="122"/>
  <c r="BC55" i="122"/>
  <c r="AY197" i="122"/>
  <c r="AX55" i="122"/>
  <c r="AV197" i="122"/>
  <c r="AR55" i="122"/>
  <c r="AE55" i="122"/>
  <c r="AD55" i="122"/>
  <c r="W55" i="122"/>
  <c r="T55" i="122"/>
  <c r="P55" i="122"/>
  <c r="O55" i="122"/>
  <c r="K55" i="122"/>
  <c r="H55" i="122"/>
  <c r="E55" i="122"/>
  <c r="CA54" i="122"/>
  <c r="CA199" i="122" s="1"/>
  <c r="BZ54" i="122"/>
  <c r="BZ199" i="122" s="1"/>
  <c r="BV54" i="122"/>
  <c r="BV199" i="122" s="1"/>
  <c r="BS54" i="122"/>
  <c r="BS199" i="122" s="1"/>
  <c r="BP54" i="122"/>
  <c r="BP199" i="122" s="1"/>
  <c r="BC54" i="122"/>
  <c r="BC199" i="122" s="1"/>
  <c r="BB54" i="122"/>
  <c r="BB199" i="122" s="1"/>
  <c r="AX54" i="122"/>
  <c r="AX199" i="122" s="1"/>
  <c r="AU54" i="122"/>
  <c r="AU199" i="122" s="1"/>
  <c r="AR54" i="122"/>
  <c r="AR199" i="122" s="1"/>
  <c r="AE54" i="122"/>
  <c r="AE199" i="122" s="1"/>
  <c r="AD54" i="122"/>
  <c r="AD199" i="122" s="1"/>
  <c r="Z54" i="122"/>
  <c r="Z199" i="122" s="1"/>
  <c r="W54" i="122"/>
  <c r="W199" i="122" s="1"/>
  <c r="T54" i="122"/>
  <c r="T199" i="122" s="1"/>
  <c r="P54" i="122"/>
  <c r="P199" i="122" s="1"/>
  <c r="O54" i="122"/>
  <c r="O199" i="122" s="1"/>
  <c r="K54" i="122"/>
  <c r="K199" i="122" s="1"/>
  <c r="H54" i="122"/>
  <c r="H199" i="122" s="1"/>
  <c r="E54" i="122"/>
  <c r="E199" i="122" s="1"/>
  <c r="CA53" i="122"/>
  <c r="BZ53" i="122"/>
  <c r="BZ198" i="122" s="1"/>
  <c r="BV53" i="122"/>
  <c r="BV198" i="122"/>
  <c r="BS53" i="122"/>
  <c r="BS198" i="122" s="1"/>
  <c r="BP53" i="122"/>
  <c r="BP198" i="122" s="1"/>
  <c r="BC53" i="122"/>
  <c r="BC198" i="122" s="1"/>
  <c r="BB53" i="122"/>
  <c r="BB198" i="122" s="1"/>
  <c r="AX53" i="122"/>
  <c r="AX198" i="122" s="1"/>
  <c r="AU53" i="122"/>
  <c r="AU198" i="122" s="1"/>
  <c r="AR53" i="122"/>
  <c r="AR198" i="122" s="1"/>
  <c r="AE53" i="122"/>
  <c r="AE198" i="122" s="1"/>
  <c r="AD53" i="122"/>
  <c r="Z53" i="122"/>
  <c r="Z198" i="122" s="1"/>
  <c r="W53" i="122"/>
  <c r="W198" i="122" s="1"/>
  <c r="T53" i="122"/>
  <c r="T198" i="122" s="1"/>
  <c r="P53" i="122"/>
  <c r="P198" i="122" s="1"/>
  <c r="O53" i="122"/>
  <c r="K53" i="122"/>
  <c r="K198" i="122" s="1"/>
  <c r="H53" i="122"/>
  <c r="H198" i="122" s="1"/>
  <c r="E53" i="122"/>
  <c r="E198" i="122" s="1"/>
  <c r="CA52" i="122"/>
  <c r="BZ52" i="122"/>
  <c r="BV52" i="122"/>
  <c r="BS52" i="122"/>
  <c r="BP52" i="122"/>
  <c r="BC52" i="122"/>
  <c r="BB52" i="122"/>
  <c r="AX52" i="122"/>
  <c r="AU52" i="122"/>
  <c r="AR52" i="122"/>
  <c r="AE52" i="122"/>
  <c r="AD52" i="122"/>
  <c r="Z52" i="122"/>
  <c r="W52" i="122"/>
  <c r="T52" i="122"/>
  <c r="P52" i="122"/>
  <c r="O52" i="122"/>
  <c r="K52" i="122"/>
  <c r="H52" i="122"/>
  <c r="E52" i="122"/>
  <c r="CA51" i="122"/>
  <c r="BZ51" i="122"/>
  <c r="BV51" i="122"/>
  <c r="BS51" i="122"/>
  <c r="BP51" i="122"/>
  <c r="BC51" i="122"/>
  <c r="BB51" i="122"/>
  <c r="AX51" i="122"/>
  <c r="AU51" i="122"/>
  <c r="AR51" i="122"/>
  <c r="AE51" i="122"/>
  <c r="AD51" i="122"/>
  <c r="Z51" i="122"/>
  <c r="W51" i="122"/>
  <c r="T51" i="122"/>
  <c r="P51" i="122"/>
  <c r="O51" i="122"/>
  <c r="K51" i="122"/>
  <c r="H51" i="122"/>
  <c r="E51" i="122"/>
  <c r="CA50" i="122"/>
  <c r="BZ50" i="122"/>
  <c r="BV50" i="122"/>
  <c r="BS50" i="122"/>
  <c r="BP50" i="122"/>
  <c r="BC50" i="122"/>
  <c r="BB50" i="122"/>
  <c r="AX50" i="122"/>
  <c r="AU50" i="122"/>
  <c r="AU160" i="122" s="1"/>
  <c r="AR50" i="122"/>
  <c r="AE50" i="122"/>
  <c r="AD50" i="122"/>
  <c r="Z50" i="122"/>
  <c r="W50" i="122"/>
  <c r="T50" i="122"/>
  <c r="P50" i="122"/>
  <c r="O50" i="122"/>
  <c r="K50" i="122"/>
  <c r="H50" i="122"/>
  <c r="E50" i="122"/>
  <c r="BX48" i="122"/>
  <c r="BW48" i="122"/>
  <c r="BU48" i="122"/>
  <c r="BT48" i="122"/>
  <c r="BR48" i="122"/>
  <c r="BQ48" i="122"/>
  <c r="AZ48" i="122"/>
  <c r="AY48" i="122"/>
  <c r="AW48" i="122"/>
  <c r="AV48" i="122"/>
  <c r="AT48" i="122"/>
  <c r="AS48" i="122"/>
  <c r="AB48" i="122"/>
  <c r="AA48" i="122"/>
  <c r="Y48" i="122"/>
  <c r="X48" i="122"/>
  <c r="V48" i="122"/>
  <c r="U48" i="122"/>
  <c r="M48" i="122"/>
  <c r="L48" i="122"/>
  <c r="J48" i="122"/>
  <c r="I48" i="122"/>
  <c r="G48" i="122"/>
  <c r="F48" i="122"/>
  <c r="A48" i="122"/>
  <c r="A79" i="122" s="1"/>
  <c r="A100" i="122" s="1"/>
  <c r="CA47" i="122"/>
  <c r="BZ47" i="122"/>
  <c r="BV47" i="122"/>
  <c r="BS47" i="122"/>
  <c r="BP47" i="122"/>
  <c r="BC47" i="122"/>
  <c r="BB47" i="122"/>
  <c r="AX47" i="122"/>
  <c r="AX48" i="122" s="1"/>
  <c r="AU47" i="122"/>
  <c r="AR47" i="122"/>
  <c r="AE47" i="122"/>
  <c r="AD47" i="122"/>
  <c r="Z47" i="122"/>
  <c r="W47" i="122"/>
  <c r="P47" i="122"/>
  <c r="O47" i="122"/>
  <c r="K47" i="122"/>
  <c r="H47" i="122"/>
  <c r="E47" i="122"/>
  <c r="CA46" i="122"/>
  <c r="BZ46" i="122"/>
  <c r="BV46" i="122"/>
  <c r="BS46" i="122"/>
  <c r="BP46" i="122"/>
  <c r="BP48" i="122" s="1"/>
  <c r="BC46" i="122"/>
  <c r="BB46" i="122"/>
  <c r="AX46" i="122"/>
  <c r="AU46" i="122"/>
  <c r="AR46" i="122"/>
  <c r="AE46" i="122"/>
  <c r="AD46" i="122"/>
  <c r="Z46" i="122"/>
  <c r="Z48" i="122" s="1"/>
  <c r="W46" i="122"/>
  <c r="P46" i="122"/>
  <c r="O46" i="122"/>
  <c r="K46" i="122"/>
  <c r="K48" i="122" s="1"/>
  <c r="H46" i="122"/>
  <c r="E46" i="122"/>
  <c r="CA45" i="122"/>
  <c r="BZ45" i="122"/>
  <c r="BV45" i="122"/>
  <c r="BS45" i="122"/>
  <c r="BP45" i="122"/>
  <c r="BC45" i="122"/>
  <c r="BB45" i="122"/>
  <c r="AX45" i="122"/>
  <c r="AU45" i="122"/>
  <c r="AR45" i="122"/>
  <c r="AE45" i="122"/>
  <c r="AK45" i="122" s="1"/>
  <c r="Z45" i="122"/>
  <c r="W45" i="122"/>
  <c r="P45" i="122"/>
  <c r="K45" i="122"/>
  <c r="D44" i="122"/>
  <c r="S44" i="122" s="1"/>
  <c r="C44" i="122"/>
  <c r="CA44" i="122"/>
  <c r="BZ44" i="122"/>
  <c r="BV44" i="122"/>
  <c r="BS44" i="122"/>
  <c r="BP44" i="122"/>
  <c r="BC44" i="122"/>
  <c r="BB44" i="122"/>
  <c r="AX44" i="122"/>
  <c r="AU44" i="122"/>
  <c r="AR44" i="122"/>
  <c r="AE44" i="122"/>
  <c r="AD44" i="122"/>
  <c r="Z44" i="122"/>
  <c r="W44" i="122"/>
  <c r="T44" i="122"/>
  <c r="P44" i="122"/>
  <c r="O44" i="122"/>
  <c r="K44" i="122"/>
  <c r="H44" i="122"/>
  <c r="E44" i="122"/>
  <c r="CA43" i="122"/>
  <c r="BZ43" i="122"/>
  <c r="BV43" i="122"/>
  <c r="BS43" i="122"/>
  <c r="BP43" i="122"/>
  <c r="BC43" i="122"/>
  <c r="BB43" i="122"/>
  <c r="AX43" i="122"/>
  <c r="AU43" i="122"/>
  <c r="AR43" i="122"/>
  <c r="AE43" i="122"/>
  <c r="AD43" i="122"/>
  <c r="Z43" i="122"/>
  <c r="W43" i="122"/>
  <c r="P43" i="122"/>
  <c r="O43" i="122"/>
  <c r="K43" i="122"/>
  <c r="H43" i="122"/>
  <c r="E43" i="122"/>
  <c r="CD154" i="122"/>
  <c r="CA42" i="122"/>
  <c r="CA154" i="122" s="1"/>
  <c r="BZ42" i="122"/>
  <c r="BZ154" i="122" s="1"/>
  <c r="BV42" i="122"/>
  <c r="BV154" i="122" s="1"/>
  <c r="BS42" i="122"/>
  <c r="BS154" i="122" s="1"/>
  <c r="BP42" i="122"/>
  <c r="BP154" i="122" s="1"/>
  <c r="BC42" i="122"/>
  <c r="BC154" i="122" s="1"/>
  <c r="BB42" i="122"/>
  <c r="BB154" i="122" s="1"/>
  <c r="AX42" i="122"/>
  <c r="AX154" i="122" s="1"/>
  <c r="AU42" i="122"/>
  <c r="AU154" i="122" s="1"/>
  <c r="AR42" i="122"/>
  <c r="AR154" i="122" s="1"/>
  <c r="AE42" i="122"/>
  <c r="AE154" i="122" s="1"/>
  <c r="AD42" i="122"/>
  <c r="AD154" i="122" s="1"/>
  <c r="Z42" i="122"/>
  <c r="Z154" i="122" s="1"/>
  <c r="W42" i="122"/>
  <c r="W154" i="122" s="1"/>
  <c r="P42" i="122"/>
  <c r="P154" i="122" s="1"/>
  <c r="O42" i="122"/>
  <c r="K42" i="122"/>
  <c r="K154" i="122" s="1"/>
  <c r="H42" i="122"/>
  <c r="H154" i="122" s="1"/>
  <c r="E42" i="122"/>
  <c r="E154" i="122" s="1"/>
  <c r="CA41" i="122"/>
  <c r="BZ41" i="122"/>
  <c r="BV41" i="122"/>
  <c r="BS41" i="122"/>
  <c r="BP41" i="122"/>
  <c r="BC41" i="122"/>
  <c r="BB41" i="122"/>
  <c r="AX41" i="122"/>
  <c r="AU41" i="122"/>
  <c r="AR41" i="122"/>
  <c r="AE41" i="122"/>
  <c r="AD41" i="122"/>
  <c r="Z41" i="122"/>
  <c r="W41" i="122"/>
  <c r="O41" i="122"/>
  <c r="M151" i="122"/>
  <c r="Y35" i="123" s="1"/>
  <c r="H41" i="122"/>
  <c r="E41" i="122"/>
  <c r="CA39" i="122"/>
  <c r="BZ39" i="122"/>
  <c r="BV39" i="122"/>
  <c r="BV38" i="122" s="1"/>
  <c r="BS39" i="122"/>
  <c r="BP39" i="122"/>
  <c r="BC39" i="122"/>
  <c r="BB39" i="122"/>
  <c r="AX39" i="122"/>
  <c r="AU39" i="122"/>
  <c r="AR39" i="122"/>
  <c r="AE39" i="122"/>
  <c r="AD39" i="122"/>
  <c r="Z39" i="122"/>
  <c r="Z38" i="122" s="1"/>
  <c r="W39" i="122"/>
  <c r="T39" i="122"/>
  <c r="P39" i="122"/>
  <c r="O39" i="122"/>
  <c r="K39" i="122"/>
  <c r="H39" i="122"/>
  <c r="E39" i="122"/>
  <c r="D39" i="122"/>
  <c r="CD38" i="122"/>
  <c r="BX38" i="122"/>
  <c r="BW38" i="122"/>
  <c r="BU38" i="122"/>
  <c r="BT38" i="122"/>
  <c r="BR38" i="122"/>
  <c r="BQ38" i="122"/>
  <c r="AZ38" i="122"/>
  <c r="AY38" i="122"/>
  <c r="AW38" i="122"/>
  <c r="AV38" i="122"/>
  <c r="AT38" i="122"/>
  <c r="AS38" i="122"/>
  <c r="AB38" i="122"/>
  <c r="AA38" i="122"/>
  <c r="Y38" i="122"/>
  <c r="X38" i="122"/>
  <c r="V38" i="122"/>
  <c r="U38" i="122"/>
  <c r="M38" i="122"/>
  <c r="L38" i="122"/>
  <c r="J38" i="122"/>
  <c r="I38" i="122"/>
  <c r="I218" i="122" s="1"/>
  <c r="G38" i="122"/>
  <c r="F38" i="122"/>
  <c r="CB37" i="122"/>
  <c r="CA37" i="122"/>
  <c r="CA217" i="122" s="1"/>
  <c r="BZ37" i="122"/>
  <c r="BV37" i="122"/>
  <c r="BS37" i="122"/>
  <c r="BP37" i="122"/>
  <c r="BC37" i="122"/>
  <c r="BB37" i="122"/>
  <c r="AX37" i="122"/>
  <c r="AU37" i="122"/>
  <c r="AU35" i="122" s="1"/>
  <c r="AR37" i="122"/>
  <c r="AE37" i="122"/>
  <c r="AD37" i="122"/>
  <c r="Z37" i="122"/>
  <c r="W37" i="122"/>
  <c r="T37" i="122"/>
  <c r="T217" i="122" s="1"/>
  <c r="P37" i="122"/>
  <c r="O37" i="122"/>
  <c r="N37" i="122" s="1"/>
  <c r="K37" i="122"/>
  <c r="H37" i="122"/>
  <c r="H217" i="122" s="1"/>
  <c r="E37" i="122"/>
  <c r="D37" i="122"/>
  <c r="CB36" i="122"/>
  <c r="CA36" i="122"/>
  <c r="BV36" i="122"/>
  <c r="BT215" i="122"/>
  <c r="BP36" i="122"/>
  <c r="BC36" i="122"/>
  <c r="BB36" i="122"/>
  <c r="AX36" i="122"/>
  <c r="AX215" i="122" s="1"/>
  <c r="AU36" i="122"/>
  <c r="AR36" i="122"/>
  <c r="AE36" i="122"/>
  <c r="AD36" i="122"/>
  <c r="Z36" i="122"/>
  <c r="W36" i="122"/>
  <c r="T36" i="122"/>
  <c r="P36" i="122"/>
  <c r="O36" i="122"/>
  <c r="K36" i="122"/>
  <c r="K35" i="122" s="1"/>
  <c r="H36" i="122"/>
  <c r="E36" i="122"/>
  <c r="E35" i="122" s="1"/>
  <c r="D36" i="122"/>
  <c r="B36" i="122" s="1"/>
  <c r="CD35" i="122"/>
  <c r="CB35" i="122" s="1"/>
  <c r="CC35" i="122"/>
  <c r="BX35" i="122"/>
  <c r="BW35" i="122"/>
  <c r="BU35" i="122"/>
  <c r="BR35" i="122"/>
  <c r="BQ35" i="122"/>
  <c r="AZ35" i="122"/>
  <c r="AY35" i="122"/>
  <c r="AW35" i="122"/>
  <c r="AV35" i="122"/>
  <c r="AV29" i="122" s="1"/>
  <c r="AV21" i="122" s="1"/>
  <c r="AT35" i="122"/>
  <c r="AS35" i="122"/>
  <c r="AB35" i="122"/>
  <c r="AA35" i="122"/>
  <c r="AD35" i="122" s="1"/>
  <c r="Y35" i="122"/>
  <c r="X35" i="122"/>
  <c r="V35" i="122"/>
  <c r="M35" i="122"/>
  <c r="L35" i="122"/>
  <c r="J35" i="122"/>
  <c r="I35" i="122"/>
  <c r="G35" i="122"/>
  <c r="F35" i="122"/>
  <c r="CA34" i="122"/>
  <c r="CA212" i="122" s="1"/>
  <c r="BZ34" i="122"/>
  <c r="BZ212" i="122" s="1"/>
  <c r="BV34" i="122"/>
  <c r="BV212" i="122" s="1"/>
  <c r="BS34" i="122"/>
  <c r="BS212" i="122" s="1"/>
  <c r="BP34" i="122"/>
  <c r="BP212" i="122" s="1"/>
  <c r="BC34" i="122"/>
  <c r="BC212" i="122"/>
  <c r="BB34" i="122"/>
  <c r="BB212" i="122" s="1"/>
  <c r="AX34" i="122"/>
  <c r="AX212" i="122" s="1"/>
  <c r="AU34" i="122"/>
  <c r="AU212" i="122"/>
  <c r="AR34" i="122"/>
  <c r="AR212" i="122" s="1"/>
  <c r="AE34" i="122"/>
  <c r="AE212" i="122" s="1"/>
  <c r="AK212" i="122" s="1"/>
  <c r="AD34" i="122"/>
  <c r="AD212" i="122" s="1"/>
  <c r="Z34" i="122"/>
  <c r="Z212" i="122" s="1"/>
  <c r="W34" i="122"/>
  <c r="W212" i="122" s="1"/>
  <c r="T34" i="122"/>
  <c r="T212" i="122" s="1"/>
  <c r="P34" i="122"/>
  <c r="P212" i="122" s="1"/>
  <c r="O34" i="122"/>
  <c r="K34" i="122"/>
  <c r="K212" i="122" s="1"/>
  <c r="H34" i="122"/>
  <c r="H212" i="122" s="1"/>
  <c r="E34" i="122"/>
  <c r="E212" i="122" s="1"/>
  <c r="D34" i="122"/>
  <c r="CB33" i="122"/>
  <c r="CA33" i="122"/>
  <c r="CA197" i="122" s="1"/>
  <c r="BZ33" i="122"/>
  <c r="BV33" i="122"/>
  <c r="BS33" i="122"/>
  <c r="BP33" i="122"/>
  <c r="BC33" i="122"/>
  <c r="BB33" i="122"/>
  <c r="AX33" i="122"/>
  <c r="AU33" i="122"/>
  <c r="AR33" i="122"/>
  <c r="AE33" i="122"/>
  <c r="AK33" i="122" s="1"/>
  <c r="AD33" i="122"/>
  <c r="Z33" i="122"/>
  <c r="W33" i="122"/>
  <c r="T33" i="122"/>
  <c r="P33" i="122"/>
  <c r="O33" i="122"/>
  <c r="N33" i="122" s="1"/>
  <c r="K33" i="122"/>
  <c r="H33" i="122"/>
  <c r="H197" i="122" s="1"/>
  <c r="E33" i="122"/>
  <c r="D33" i="122"/>
  <c r="CB32" i="122"/>
  <c r="CA32" i="122"/>
  <c r="BZ32" i="122"/>
  <c r="BV32" i="122"/>
  <c r="BS32" i="122"/>
  <c r="BP32" i="122"/>
  <c r="BC32" i="122"/>
  <c r="BB32" i="122"/>
  <c r="BA32" i="122" s="1"/>
  <c r="AX32" i="122"/>
  <c r="AU32" i="122"/>
  <c r="AR32" i="122"/>
  <c r="AE32" i="122"/>
  <c r="AK32" i="122" s="1"/>
  <c r="BI32" i="122" s="1"/>
  <c r="AD32" i="122"/>
  <c r="Z32" i="122"/>
  <c r="W32" i="122"/>
  <c r="T32" i="122"/>
  <c r="P32" i="122"/>
  <c r="O32" i="122"/>
  <c r="K32" i="122"/>
  <c r="H32" i="122"/>
  <c r="E32" i="122"/>
  <c r="D32" i="122"/>
  <c r="CB31" i="122"/>
  <c r="CA31" i="122"/>
  <c r="BZ31" i="122"/>
  <c r="BV31" i="122"/>
  <c r="BS31" i="122"/>
  <c r="BP31" i="122"/>
  <c r="BC31" i="122"/>
  <c r="BB31" i="122"/>
  <c r="BA31" i="122" s="1"/>
  <c r="AX31" i="122"/>
  <c r="AU31" i="122"/>
  <c r="AR31" i="122"/>
  <c r="AE31" i="122"/>
  <c r="AE195" i="122" s="1"/>
  <c r="AD31" i="122"/>
  <c r="Z31" i="122"/>
  <c r="W31" i="122"/>
  <c r="T31" i="122"/>
  <c r="P31" i="122"/>
  <c r="O31" i="122"/>
  <c r="K31" i="122"/>
  <c r="H31" i="122"/>
  <c r="E31" i="122"/>
  <c r="D31" i="122"/>
  <c r="C31" i="122"/>
  <c r="R31" i="122" s="1"/>
  <c r="CB30" i="122"/>
  <c r="CA30" i="122"/>
  <c r="BZ30" i="122"/>
  <c r="BV30" i="122"/>
  <c r="BS30" i="122"/>
  <c r="BP30" i="122"/>
  <c r="BC30" i="122"/>
  <c r="BB30" i="122"/>
  <c r="AX30" i="122"/>
  <c r="AU30" i="122"/>
  <c r="AR30" i="122"/>
  <c r="AE30" i="122"/>
  <c r="AD30" i="122"/>
  <c r="Z30" i="122"/>
  <c r="W30" i="122"/>
  <c r="T30" i="122"/>
  <c r="P30" i="122"/>
  <c r="O30" i="122"/>
  <c r="K30" i="122"/>
  <c r="H30" i="122"/>
  <c r="E30" i="122"/>
  <c r="D30" i="122"/>
  <c r="C30" i="122"/>
  <c r="R30" i="122" s="1"/>
  <c r="V29" i="122"/>
  <c r="V21" i="122" s="1"/>
  <c r="BX28" i="122"/>
  <c r="BW28" i="122"/>
  <c r="BU28" i="122"/>
  <c r="BT28" i="122"/>
  <c r="BR28" i="122"/>
  <c r="BQ28" i="122"/>
  <c r="AZ28" i="122"/>
  <c r="AY28" i="122"/>
  <c r="AW28" i="122"/>
  <c r="AV28" i="122"/>
  <c r="AT28" i="122"/>
  <c r="AS28" i="122"/>
  <c r="AB28" i="122"/>
  <c r="AA28" i="122"/>
  <c r="Y28" i="122"/>
  <c r="X28" i="122"/>
  <c r="V28" i="122"/>
  <c r="U28" i="122"/>
  <c r="M28" i="122"/>
  <c r="L28" i="122"/>
  <c r="J28" i="122"/>
  <c r="I28" i="122"/>
  <c r="G28" i="122"/>
  <c r="F28" i="122"/>
  <c r="CA27" i="122"/>
  <c r="BZ27" i="122"/>
  <c r="BV27" i="122"/>
  <c r="BS27" i="122"/>
  <c r="BP27" i="122"/>
  <c r="BC27" i="122"/>
  <c r="BB27" i="122"/>
  <c r="AX27" i="122"/>
  <c r="AU27" i="122"/>
  <c r="AR27" i="122"/>
  <c r="AE27" i="122"/>
  <c r="AD27" i="122"/>
  <c r="Z27" i="122"/>
  <c r="W27" i="122"/>
  <c r="P27" i="122"/>
  <c r="O27" i="122"/>
  <c r="K27" i="122"/>
  <c r="H27" i="122"/>
  <c r="E27" i="122"/>
  <c r="E26" i="122"/>
  <c r="CA26" i="122"/>
  <c r="BZ26" i="122"/>
  <c r="BZ28" i="122" s="1"/>
  <c r="BV26" i="122"/>
  <c r="BS26" i="122"/>
  <c r="BP26" i="122"/>
  <c r="BC26" i="122"/>
  <c r="BB26" i="122"/>
  <c r="AX26" i="122"/>
  <c r="AX28" i="122" s="1"/>
  <c r="AU26" i="122"/>
  <c r="AU156" i="122" s="1"/>
  <c r="AR26" i="122"/>
  <c r="AE26" i="122"/>
  <c r="AD26" i="122"/>
  <c r="Z26" i="122"/>
  <c r="W26" i="122"/>
  <c r="P26" i="122"/>
  <c r="O26" i="122"/>
  <c r="K26" i="122"/>
  <c r="H26" i="122"/>
  <c r="CA25" i="122"/>
  <c r="BZ25" i="122"/>
  <c r="BV25" i="122"/>
  <c r="BS25" i="122"/>
  <c r="BP25" i="122"/>
  <c r="BC25" i="122"/>
  <c r="BB25" i="122"/>
  <c r="BB155" i="122" s="1"/>
  <c r="AX25" i="122"/>
  <c r="AU25" i="122"/>
  <c r="AR25" i="122"/>
  <c r="AE25" i="122"/>
  <c r="AE155" i="122" s="1"/>
  <c r="AD25" i="122"/>
  <c r="Z25" i="122"/>
  <c r="W25" i="122"/>
  <c r="P25" i="122"/>
  <c r="O25" i="122"/>
  <c r="K25" i="122"/>
  <c r="H25" i="122"/>
  <c r="E25" i="122"/>
  <c r="CA24" i="122"/>
  <c r="BZ24" i="122"/>
  <c r="BV24" i="122"/>
  <c r="BS24" i="122"/>
  <c r="BP24" i="122"/>
  <c r="BC24" i="122"/>
  <c r="BB24" i="122"/>
  <c r="AX24" i="122"/>
  <c r="AU24" i="122"/>
  <c r="AR24" i="122"/>
  <c r="AE24" i="122"/>
  <c r="AD24" i="122"/>
  <c r="Z24" i="122"/>
  <c r="W24" i="122"/>
  <c r="T24" i="122"/>
  <c r="P24" i="122"/>
  <c r="O24" i="122"/>
  <c r="K24" i="122"/>
  <c r="H24" i="122"/>
  <c r="E24" i="122"/>
  <c r="D23" i="122"/>
  <c r="CA23" i="122"/>
  <c r="BZ23" i="122"/>
  <c r="BV23" i="122"/>
  <c r="BS23" i="122"/>
  <c r="BP23" i="122"/>
  <c r="BC23" i="122"/>
  <c r="BB23" i="122"/>
  <c r="AX23" i="122"/>
  <c r="AU23" i="122"/>
  <c r="AR23" i="122"/>
  <c r="AE23" i="122"/>
  <c r="AD23" i="122"/>
  <c r="Z23" i="122"/>
  <c r="W23" i="122"/>
  <c r="P23" i="122"/>
  <c r="O23" i="122"/>
  <c r="N23" i="122" s="1"/>
  <c r="K23" i="122"/>
  <c r="H23" i="122"/>
  <c r="E23" i="122"/>
  <c r="CA22" i="122"/>
  <c r="BZ22" i="122"/>
  <c r="BV22" i="122"/>
  <c r="BV151" i="122" s="1"/>
  <c r="BS22" i="122"/>
  <c r="BP22" i="122"/>
  <c r="BC22" i="122"/>
  <c r="BB22" i="122"/>
  <c r="AX22" i="122"/>
  <c r="AU22" i="122"/>
  <c r="AR22" i="122"/>
  <c r="AE22" i="122"/>
  <c r="AD22" i="122"/>
  <c r="Z22" i="122"/>
  <c r="W22" i="122"/>
  <c r="P22" i="122"/>
  <c r="O22" i="122"/>
  <c r="K22" i="122"/>
  <c r="H22" i="122"/>
  <c r="E22" i="122"/>
  <c r="E151" i="122" s="1"/>
  <c r="CB12" i="122"/>
  <c r="CA12" i="122"/>
  <c r="CA146" i="122" s="1"/>
  <c r="BZ12" i="122"/>
  <c r="BZ146" i="122" s="1"/>
  <c r="BV146" i="122"/>
  <c r="BS146" i="122"/>
  <c r="BO12" i="122"/>
  <c r="BO146" i="122" s="1"/>
  <c r="BC12" i="122"/>
  <c r="BC146" i="122" s="1"/>
  <c r="BB12" i="122"/>
  <c r="BB146" i="122" s="1"/>
  <c r="AU146" i="122"/>
  <c r="AR146" i="122"/>
  <c r="AQ12" i="122"/>
  <c r="AQ146" i="122" s="1"/>
  <c r="AE12" i="122"/>
  <c r="AE146" i="122" s="1"/>
  <c r="AD12" i="122"/>
  <c r="AD146" i="122" s="1"/>
  <c r="W146" i="122"/>
  <c r="S12" i="122"/>
  <c r="S146" i="122"/>
  <c r="R12" i="122"/>
  <c r="R146" i="122" s="1"/>
  <c r="P12" i="122"/>
  <c r="P146" i="122" s="1"/>
  <c r="O12" i="122"/>
  <c r="O146" i="122" s="1"/>
  <c r="H146" i="122"/>
  <c r="E12" i="122"/>
  <c r="E146" i="122" s="1"/>
  <c r="D12" i="122"/>
  <c r="D146" i="122" s="1"/>
  <c r="C12" i="122"/>
  <c r="C146" i="122" s="1"/>
  <c r="CA11" i="122"/>
  <c r="CA145" i="122" s="1"/>
  <c r="BZ11" i="122"/>
  <c r="BZ145" i="122" s="1"/>
  <c r="BP145" i="122"/>
  <c r="BN11" i="122"/>
  <c r="BN145" i="122" s="1"/>
  <c r="BC11" i="122"/>
  <c r="BC145" i="122" s="1"/>
  <c r="BB11" i="122"/>
  <c r="BB145" i="122" s="1"/>
  <c r="AX145" i="122"/>
  <c r="AR145" i="122"/>
  <c r="AP11" i="122"/>
  <c r="AP145" i="122" s="1"/>
  <c r="AE11" i="122"/>
  <c r="AE145" i="122" s="1"/>
  <c r="AD11" i="122"/>
  <c r="AD145" i="122" s="1"/>
  <c r="W145" i="122"/>
  <c r="T145" i="122"/>
  <c r="R11" i="122"/>
  <c r="R145" i="122" s="1"/>
  <c r="P11" i="122"/>
  <c r="P145" i="122" s="1"/>
  <c r="O11" i="122"/>
  <c r="O145" i="122" s="1"/>
  <c r="E11" i="122"/>
  <c r="E145" i="122" s="1"/>
  <c r="C11" i="122"/>
  <c r="C145" i="122" s="1"/>
  <c r="CB10" i="122"/>
  <c r="CA10" i="122"/>
  <c r="CA144" i="122" s="1"/>
  <c r="BZ10" i="122"/>
  <c r="BZ144" i="122" s="1"/>
  <c r="BO10" i="122"/>
  <c r="BO144" i="122" s="1"/>
  <c r="BN10" i="122"/>
  <c r="BN144" i="122" s="1"/>
  <c r="BC10" i="122"/>
  <c r="BC144" i="122" s="1"/>
  <c r="BB10" i="122"/>
  <c r="BB144" i="122" s="1"/>
  <c r="AQ10" i="122"/>
  <c r="AQ144" i="122" s="1"/>
  <c r="AP10" i="122"/>
  <c r="AP144" i="122" s="1"/>
  <c r="AE10" i="122"/>
  <c r="AD10" i="122"/>
  <c r="AD144" i="122" s="1"/>
  <c r="X144" i="122"/>
  <c r="W144" i="122"/>
  <c r="T144" i="122"/>
  <c r="S10" i="122"/>
  <c r="S144" i="122" s="1"/>
  <c r="R10" i="122"/>
  <c r="P10" i="122"/>
  <c r="P144" i="122" s="1"/>
  <c r="O10" i="122"/>
  <c r="O144" i="122" s="1"/>
  <c r="K144" i="122"/>
  <c r="H144" i="122"/>
  <c r="E10" i="122"/>
  <c r="E144" i="122" s="1"/>
  <c r="D10" i="122"/>
  <c r="D144" i="122" s="1"/>
  <c r="C10" i="122"/>
  <c r="C144" i="122" s="1"/>
  <c r="G9" i="122"/>
  <c r="F9" i="122"/>
  <c r="F9" i="123" s="1"/>
  <c r="CA8" i="122"/>
  <c r="BZ8" i="122"/>
  <c r="BC8" i="122"/>
  <c r="BB8" i="122"/>
  <c r="AE8" i="122"/>
  <c r="AD8" i="122"/>
  <c r="P8" i="122"/>
  <c r="O8" i="122"/>
  <c r="E8" i="122"/>
  <c r="FT88" i="121"/>
  <c r="DU88" i="121"/>
  <c r="BV88" i="121"/>
  <c r="AI88" i="121"/>
  <c r="FT87" i="121"/>
  <c r="DU87" i="121"/>
  <c r="BV87" i="121"/>
  <c r="AI87" i="121"/>
  <c r="FT86" i="121"/>
  <c r="FT85" i="121" s="1"/>
  <c r="DU86" i="121"/>
  <c r="BV86" i="121"/>
  <c r="AI86" i="121"/>
  <c r="FB85" i="121"/>
  <c r="ES85" i="121"/>
  <c r="DL85" i="121"/>
  <c r="DC85" i="121"/>
  <c r="CT85" i="121"/>
  <c r="BM85" i="121"/>
  <c r="BD85" i="121"/>
  <c r="AU85" i="121"/>
  <c r="Z85" i="121"/>
  <c r="Q85" i="121"/>
  <c r="FV80" i="121"/>
  <c r="FU80" i="121"/>
  <c r="FS80" i="121"/>
  <c r="FR80" i="121"/>
  <c r="FH80" i="121"/>
  <c r="FB80" i="121"/>
  <c r="EY80" i="121"/>
  <c r="ES80" i="121"/>
  <c r="EP80" i="121"/>
  <c r="DW80" i="121"/>
  <c r="DV80" i="121"/>
  <c r="DT80" i="121"/>
  <c r="DS80" i="121"/>
  <c r="DL80" i="121"/>
  <c r="DI80" i="121"/>
  <c r="DC80" i="121"/>
  <c r="CZ80" i="121"/>
  <c r="CT80" i="121"/>
  <c r="DU80" i="121" s="1"/>
  <c r="CQ80" i="121"/>
  <c r="BX80" i="121"/>
  <c r="BW80" i="121"/>
  <c r="BU80" i="121"/>
  <c r="BT80" i="121"/>
  <c r="BM80" i="121"/>
  <c r="BJ80" i="121"/>
  <c r="BD80" i="121"/>
  <c r="BA80" i="121"/>
  <c r="AU80" i="121"/>
  <c r="AR80" i="121"/>
  <c r="AK80" i="121"/>
  <c r="AJ80" i="121"/>
  <c r="AH80" i="121"/>
  <c r="AG80" i="121"/>
  <c r="Z80" i="121"/>
  <c r="AI80" i="121" s="1"/>
  <c r="W80" i="121"/>
  <c r="Q80" i="121"/>
  <c r="N80" i="121"/>
  <c r="M80" i="121"/>
  <c r="L80" i="121"/>
  <c r="FV79" i="121"/>
  <c r="FU79" i="121"/>
  <c r="FS79" i="121"/>
  <c r="FR79" i="121"/>
  <c r="FH79" i="121"/>
  <c r="FB79" i="121"/>
  <c r="EY79" i="121"/>
  <c r="ES79" i="121"/>
  <c r="EP79" i="121"/>
  <c r="DW79" i="121"/>
  <c r="DV79" i="121"/>
  <c r="DT79" i="121"/>
  <c r="DS79" i="121"/>
  <c r="DL79" i="121"/>
  <c r="DI79" i="121"/>
  <c r="DC79" i="121"/>
  <c r="CZ79" i="121"/>
  <c r="CT79" i="121"/>
  <c r="CQ79" i="121"/>
  <c r="BX79" i="121"/>
  <c r="BW79" i="121"/>
  <c r="BU79" i="121"/>
  <c r="BT79" i="121"/>
  <c r="BM79" i="121"/>
  <c r="BJ79" i="121"/>
  <c r="BD79" i="121"/>
  <c r="BA79" i="121"/>
  <c r="BS79" i="121" s="1"/>
  <c r="AU79" i="121"/>
  <c r="AR79" i="121"/>
  <c r="AK79" i="121"/>
  <c r="CJ79" i="121" s="1"/>
  <c r="EI79" i="121" s="1"/>
  <c r="GH79" i="121" s="1"/>
  <c r="AJ79" i="121"/>
  <c r="AH79" i="121"/>
  <c r="AG79" i="121"/>
  <c r="Z79" i="121"/>
  <c r="W79" i="121"/>
  <c r="Q79" i="121"/>
  <c r="N79" i="121"/>
  <c r="AF79" i="121" s="1"/>
  <c r="M79" i="121"/>
  <c r="V79" i="121" s="1"/>
  <c r="DU75" i="121"/>
  <c r="BV75" i="121"/>
  <c r="FT74" i="121"/>
  <c r="DU74" i="121"/>
  <c r="BV74" i="121"/>
  <c r="AI74" i="121"/>
  <c r="DU73" i="121"/>
  <c r="BV73" i="121"/>
  <c r="AI73" i="121"/>
  <c r="FT72" i="121"/>
  <c r="DU72" i="121"/>
  <c r="BV72" i="121"/>
  <c r="AI72" i="121"/>
  <c r="DU71" i="121"/>
  <c r="BV71" i="121"/>
  <c r="AI71" i="121"/>
  <c r="FT70" i="121"/>
  <c r="DU70" i="121"/>
  <c r="BV70" i="121"/>
  <c r="DU69" i="121"/>
  <c r="BV69" i="121"/>
  <c r="FT68" i="121"/>
  <c r="DU68" i="121"/>
  <c r="BV68" i="121"/>
  <c r="AI68" i="121"/>
  <c r="FT66" i="121"/>
  <c r="DU66" i="121"/>
  <c r="BV66" i="121"/>
  <c r="AI66" i="121"/>
  <c r="FT65" i="121"/>
  <c r="DU65" i="121"/>
  <c r="BV65" i="121"/>
  <c r="AI65" i="121"/>
  <c r="DU64" i="121"/>
  <c r="BV64" i="121"/>
  <c r="DU63" i="121"/>
  <c r="BV63" i="121"/>
  <c r="AI63" i="121"/>
  <c r="FT62" i="121"/>
  <c r="DU62" i="121"/>
  <c r="BV62" i="121"/>
  <c r="AI62" i="121"/>
  <c r="FT60" i="121"/>
  <c r="DU60" i="121"/>
  <c r="AI60" i="121"/>
  <c r="DU59" i="121"/>
  <c r="BV59" i="121"/>
  <c r="CH59" i="121" s="1"/>
  <c r="EG59" i="121" s="1"/>
  <c r="AI59" i="121"/>
  <c r="FT58" i="121"/>
  <c r="DU58" i="121"/>
  <c r="BV58" i="121"/>
  <c r="AI58" i="121"/>
  <c r="DU57" i="121"/>
  <c r="BV57" i="121"/>
  <c r="DU54" i="121"/>
  <c r="BV54" i="121"/>
  <c r="AI54" i="121"/>
  <c r="FT53" i="121"/>
  <c r="DU53" i="121"/>
  <c r="AI53" i="121"/>
  <c r="FV52" i="121"/>
  <c r="FT52" i="121"/>
  <c r="DW52" i="121"/>
  <c r="DU52" i="121"/>
  <c r="DV52" i="121"/>
  <c r="BX52" i="121"/>
  <c r="CJ52" i="121" s="1"/>
  <c r="EI52" i="121" s="1"/>
  <c r="GH52" i="121" s="1"/>
  <c r="BV52" i="121"/>
  <c r="BW52" i="121"/>
  <c r="AK52" i="121"/>
  <c r="AI52" i="121"/>
  <c r="CH52" i="121" s="1"/>
  <c r="DU51" i="121"/>
  <c r="BV51" i="121"/>
  <c r="FV50" i="121"/>
  <c r="FT50" i="121"/>
  <c r="FU50" i="121"/>
  <c r="DW50" i="121"/>
  <c r="DU50" i="121"/>
  <c r="BX50" i="121"/>
  <c r="BV50" i="121"/>
  <c r="BW50" i="121"/>
  <c r="AK50" i="121"/>
  <c r="AI50" i="121"/>
  <c r="AJ50" i="121"/>
  <c r="CI50" i="121" s="1"/>
  <c r="FT49" i="121"/>
  <c r="DU49" i="121"/>
  <c r="AI49" i="121"/>
  <c r="CH49" i="121" s="1"/>
  <c r="FT48" i="121"/>
  <c r="DU48" i="121"/>
  <c r="GJ43" i="121"/>
  <c r="FX43" i="121"/>
  <c r="J43" i="121"/>
  <c r="GK42" i="121"/>
  <c r="FY42" i="121"/>
  <c r="EL42" i="121"/>
  <c r="DZ42" i="121"/>
  <c r="CM42" i="121"/>
  <c r="CA42" i="121"/>
  <c r="AN42" i="121"/>
  <c r="GK41" i="121"/>
  <c r="FY41" i="121"/>
  <c r="EL41" i="121"/>
  <c r="DZ41" i="121"/>
  <c r="CM41" i="121"/>
  <c r="CA41" i="121"/>
  <c r="AN41" i="121"/>
  <c r="GK39" i="121"/>
  <c r="FY39" i="121"/>
  <c r="EL39" i="121"/>
  <c r="DZ39" i="121"/>
  <c r="CM39" i="121"/>
  <c r="CA39" i="121"/>
  <c r="AN39" i="121"/>
  <c r="FM37" i="121"/>
  <c r="FJ37" i="121"/>
  <c r="FD37" i="121"/>
  <c r="FA37" i="121"/>
  <c r="EU37" i="121"/>
  <c r="ER37" i="121"/>
  <c r="DN37" i="121"/>
  <c r="DK37" i="121"/>
  <c r="DE37" i="121"/>
  <c r="DB37" i="121"/>
  <c r="CV37" i="121"/>
  <c r="CS37" i="121"/>
  <c r="BO37" i="121"/>
  <c r="BL37" i="121"/>
  <c r="BF37" i="121"/>
  <c r="BC37" i="121"/>
  <c r="AW37" i="121"/>
  <c r="AT37" i="121"/>
  <c r="AB37" i="121"/>
  <c r="Y37" i="121"/>
  <c r="S37" i="121"/>
  <c r="P37" i="121"/>
  <c r="G37" i="121"/>
  <c r="FV36" i="121"/>
  <c r="FU36" i="121"/>
  <c r="FS36" i="121"/>
  <c r="FR36" i="121"/>
  <c r="FP36" i="121"/>
  <c r="FK36" i="121"/>
  <c r="FH36" i="121"/>
  <c r="FB36" i="121"/>
  <c r="EY36" i="121"/>
  <c r="ES36" i="121"/>
  <c r="EP36" i="121"/>
  <c r="DW36" i="121"/>
  <c r="DV36" i="121"/>
  <c r="DT36" i="121"/>
  <c r="DS36" i="121"/>
  <c r="DQ36" i="121"/>
  <c r="DL36" i="121"/>
  <c r="DI36" i="121"/>
  <c r="DC36" i="121"/>
  <c r="CZ36" i="121"/>
  <c r="CT36" i="121"/>
  <c r="CQ36" i="121"/>
  <c r="BX36" i="121"/>
  <c r="BW36" i="121"/>
  <c r="BU36" i="121"/>
  <c r="BT36" i="121"/>
  <c r="BR36" i="121"/>
  <c r="BM36" i="121"/>
  <c r="BJ36" i="121"/>
  <c r="BD36" i="121"/>
  <c r="BA36" i="121"/>
  <c r="AU36" i="121"/>
  <c r="AR36" i="121"/>
  <c r="AK36" i="121"/>
  <c r="AJ36" i="121"/>
  <c r="AH36" i="121"/>
  <c r="CG36" i="121" s="1"/>
  <c r="AG36" i="121"/>
  <c r="AE36" i="121"/>
  <c r="Z36" i="121"/>
  <c r="W36" i="121"/>
  <c r="Q36" i="121"/>
  <c r="AI36" i="121" s="1"/>
  <c r="N36" i="121"/>
  <c r="E36" i="121"/>
  <c r="FV35" i="121"/>
  <c r="FU35" i="121"/>
  <c r="FS35" i="121"/>
  <c r="FR35" i="121"/>
  <c r="FP35" i="121"/>
  <c r="FK35" i="121"/>
  <c r="FK34" i="121" s="1"/>
  <c r="FH35" i="121"/>
  <c r="FB35" i="121"/>
  <c r="EY35" i="121"/>
  <c r="ES35" i="121"/>
  <c r="EP35" i="121"/>
  <c r="DW35" i="121"/>
  <c r="DV35" i="121"/>
  <c r="DT35" i="121"/>
  <c r="DS35" i="121"/>
  <c r="DQ35" i="121"/>
  <c r="DL35" i="121"/>
  <c r="DI35" i="121"/>
  <c r="DC35" i="121"/>
  <c r="DC34" i="121" s="1"/>
  <c r="CZ35" i="121"/>
  <c r="CT35" i="121"/>
  <c r="CT34" i="121"/>
  <c r="CQ35" i="121"/>
  <c r="BX35" i="121"/>
  <c r="BW35" i="121"/>
  <c r="BU35" i="121"/>
  <c r="BT35" i="121"/>
  <c r="BR35" i="121"/>
  <c r="BM35" i="121"/>
  <c r="BJ35" i="121"/>
  <c r="BD35" i="121"/>
  <c r="BA35" i="121"/>
  <c r="AU35" i="121"/>
  <c r="AR35" i="121"/>
  <c r="AK35" i="121"/>
  <c r="AJ35" i="121"/>
  <c r="AH35" i="121"/>
  <c r="AG35" i="121"/>
  <c r="AE35" i="121"/>
  <c r="CD35" i="121"/>
  <c r="Z35" i="121"/>
  <c r="Z34" i="121" s="1"/>
  <c r="W35" i="121"/>
  <c r="Q35" i="121"/>
  <c r="Q34" i="121"/>
  <c r="N35" i="121"/>
  <c r="E35" i="121"/>
  <c r="FV34" i="121"/>
  <c r="FS34" i="121"/>
  <c r="FP34" i="121"/>
  <c r="FL34" i="121"/>
  <c r="FL37" i="121" s="1"/>
  <c r="FI34" i="121"/>
  <c r="FC34" i="121"/>
  <c r="FC37" i="121" s="1"/>
  <c r="EZ34" i="121"/>
  <c r="EZ37" i="121" s="1"/>
  <c r="ET34" i="121"/>
  <c r="ET37" i="121" s="1"/>
  <c r="EQ34" i="121"/>
  <c r="EQ37" i="121" s="1"/>
  <c r="DW34" i="121"/>
  <c r="DT34" i="121"/>
  <c r="DQ34" i="121"/>
  <c r="DM34" i="121"/>
  <c r="DM37" i="121" s="1"/>
  <c r="DJ34" i="121"/>
  <c r="DI34" i="121" s="1"/>
  <c r="DD34" i="121"/>
  <c r="DD37" i="121" s="1"/>
  <c r="DA34" i="121"/>
  <c r="CZ34" i="121" s="1"/>
  <c r="CU34" i="121"/>
  <c r="CU37" i="121" s="1"/>
  <c r="CR34" i="121"/>
  <c r="CR37" i="121" s="1"/>
  <c r="BX34" i="121"/>
  <c r="BU34" i="121"/>
  <c r="BR34" i="121"/>
  <c r="BN34" i="121"/>
  <c r="BN37" i="121" s="1"/>
  <c r="BK34" i="121"/>
  <c r="BK37" i="121" s="1"/>
  <c r="BE34" i="121"/>
  <c r="BE37" i="121"/>
  <c r="BB34" i="121"/>
  <c r="BB37" i="121" s="1"/>
  <c r="AV34" i="121"/>
  <c r="AV37" i="121" s="1"/>
  <c r="AS34" i="121"/>
  <c r="AK34" i="121"/>
  <c r="AH34" i="121"/>
  <c r="AE34" i="121"/>
  <c r="AA34" i="121"/>
  <c r="AA37" i="121" s="1"/>
  <c r="X34" i="121"/>
  <c r="R34" i="121"/>
  <c r="AJ34" i="121" s="1"/>
  <c r="O34" i="121"/>
  <c r="O37" i="121" s="1"/>
  <c r="F34" i="121"/>
  <c r="E34" i="121" s="1"/>
  <c r="FV33" i="121"/>
  <c r="FU33" i="121"/>
  <c r="FS33" i="121"/>
  <c r="FR33" i="121"/>
  <c r="FO33" i="121"/>
  <c r="FK33" i="121"/>
  <c r="FH33" i="121"/>
  <c r="FB33" i="121"/>
  <c r="EY33" i="121"/>
  <c r="ES33" i="121"/>
  <c r="EP33" i="121"/>
  <c r="DW33" i="121"/>
  <c r="DV33" i="121"/>
  <c r="DT33" i="121"/>
  <c r="DS33" i="121"/>
  <c r="DP33" i="121"/>
  <c r="DL33" i="121"/>
  <c r="DI33" i="121"/>
  <c r="DC33" i="121"/>
  <c r="CZ33" i="121"/>
  <c r="CZ43" i="121" s="1"/>
  <c r="CT33" i="121"/>
  <c r="CQ33" i="121"/>
  <c r="BX33" i="121"/>
  <c r="BW33" i="121"/>
  <c r="BU33" i="121"/>
  <c r="BT33" i="121"/>
  <c r="BQ33" i="121"/>
  <c r="BM33" i="121"/>
  <c r="BJ33" i="121"/>
  <c r="BJ43" i="121" s="1"/>
  <c r="BD33" i="121"/>
  <c r="BA33" i="121"/>
  <c r="AU33" i="121"/>
  <c r="AR33" i="121"/>
  <c r="AK33" i="121"/>
  <c r="AJ33" i="121"/>
  <c r="AH33" i="121"/>
  <c r="AG33" i="121"/>
  <c r="AD33" i="121"/>
  <c r="Z33" i="121"/>
  <c r="W33" i="121"/>
  <c r="Q33" i="121"/>
  <c r="N33" i="121"/>
  <c r="H43" i="121"/>
  <c r="E33" i="121"/>
  <c r="FV32" i="121"/>
  <c r="FU32" i="121"/>
  <c r="FS32" i="121"/>
  <c r="FR32" i="121"/>
  <c r="FP32" i="121"/>
  <c r="FK32" i="121"/>
  <c r="FH32" i="121"/>
  <c r="FB32" i="121"/>
  <c r="EY32" i="121"/>
  <c r="ES32" i="121"/>
  <c r="EP32" i="121"/>
  <c r="DW32" i="121"/>
  <c r="DV32" i="121"/>
  <c r="DT32" i="121"/>
  <c r="DS32" i="121"/>
  <c r="DQ32" i="121"/>
  <c r="DL32" i="121"/>
  <c r="DI32" i="121"/>
  <c r="DC32" i="121"/>
  <c r="CZ32" i="121"/>
  <c r="CT32" i="121"/>
  <c r="CQ32" i="121"/>
  <c r="BX32" i="121"/>
  <c r="BW32" i="121"/>
  <c r="BU32" i="121"/>
  <c r="BT32" i="121"/>
  <c r="BR32" i="121"/>
  <c r="BM32" i="121"/>
  <c r="BJ32" i="121"/>
  <c r="BD32" i="121"/>
  <c r="BA32" i="121"/>
  <c r="AU32" i="121"/>
  <c r="AR32" i="121"/>
  <c r="AK32" i="121"/>
  <c r="AJ32" i="121"/>
  <c r="AH32" i="121"/>
  <c r="AG32" i="121"/>
  <c r="AE32" i="121"/>
  <c r="CD32" i="121" s="1"/>
  <c r="Z32" i="121"/>
  <c r="W32" i="121"/>
  <c r="Q32" i="121"/>
  <c r="N32" i="121"/>
  <c r="E32" i="121"/>
  <c r="FV31" i="121"/>
  <c r="FU31" i="121"/>
  <c r="FS31" i="121"/>
  <c r="FR31" i="121"/>
  <c r="FP31" i="121"/>
  <c r="FK31" i="121"/>
  <c r="FK41" i="121" s="1"/>
  <c r="FH31" i="121"/>
  <c r="FB31" i="121"/>
  <c r="FB41" i="121" s="1"/>
  <c r="EY31" i="121"/>
  <c r="ES31" i="121"/>
  <c r="EP31" i="121"/>
  <c r="DW31" i="121"/>
  <c r="DV31" i="121"/>
  <c r="DT31" i="121"/>
  <c r="DS31" i="121"/>
  <c r="DQ31" i="121"/>
  <c r="DL31" i="121"/>
  <c r="DL41" i="121" s="1"/>
  <c r="DI31" i="121"/>
  <c r="DC31" i="121"/>
  <c r="DC41" i="121" s="1"/>
  <c r="CZ31" i="121"/>
  <c r="CT31" i="121"/>
  <c r="CQ31" i="121"/>
  <c r="BX31" i="121"/>
  <c r="BW31" i="121"/>
  <c r="BU31" i="121"/>
  <c r="BT31" i="121"/>
  <c r="BR31" i="121"/>
  <c r="BM31" i="121"/>
  <c r="BM41" i="121" s="1"/>
  <c r="BJ31" i="121"/>
  <c r="BD31" i="121"/>
  <c r="BD41" i="121" s="1"/>
  <c r="BA31" i="121"/>
  <c r="AU31" i="121"/>
  <c r="AR31" i="121"/>
  <c r="AK31" i="121"/>
  <c r="AJ31" i="121"/>
  <c r="AH31" i="121"/>
  <c r="CG31" i="121" s="1"/>
  <c r="AE31" i="121"/>
  <c r="Z31" i="121"/>
  <c r="Z41" i="121" s="1"/>
  <c r="W31" i="121"/>
  <c r="Q31" i="121"/>
  <c r="Q41" i="121" s="1"/>
  <c r="N31" i="121"/>
  <c r="H41" i="121"/>
  <c r="E31" i="121"/>
  <c r="FV29" i="121"/>
  <c r="FU29" i="121"/>
  <c r="FS29" i="121"/>
  <c r="FR29" i="121"/>
  <c r="FP29" i="121"/>
  <c r="FK29" i="121"/>
  <c r="FK39" i="121"/>
  <c r="FH29" i="121"/>
  <c r="FB29" i="121"/>
  <c r="FB39" i="121" s="1"/>
  <c r="EY29" i="121"/>
  <c r="ES29" i="121"/>
  <c r="EP29" i="121"/>
  <c r="DW29" i="121"/>
  <c r="DV29" i="121"/>
  <c r="DT29" i="121"/>
  <c r="DS29" i="121"/>
  <c r="DQ29" i="121"/>
  <c r="DL29" i="121"/>
  <c r="DL39" i="121" s="1"/>
  <c r="DI29" i="121"/>
  <c r="DC29" i="121"/>
  <c r="DC39" i="121" s="1"/>
  <c r="CZ29" i="121"/>
  <c r="CT29" i="121"/>
  <c r="CT39" i="121" s="1"/>
  <c r="CQ29" i="121"/>
  <c r="BX29" i="121"/>
  <c r="BW29" i="121"/>
  <c r="BU29" i="121"/>
  <c r="BT29" i="121"/>
  <c r="BR29" i="121"/>
  <c r="BM29" i="121"/>
  <c r="BM39" i="121" s="1"/>
  <c r="BJ29" i="121"/>
  <c r="BD29" i="121"/>
  <c r="BD39" i="121" s="1"/>
  <c r="BA29" i="121"/>
  <c r="AU29" i="121"/>
  <c r="AU39" i="121" s="1"/>
  <c r="AR29" i="121"/>
  <c r="AK29" i="121"/>
  <c r="AJ29" i="121"/>
  <c r="AH29" i="121"/>
  <c r="AG29" i="121"/>
  <c r="AE29" i="121"/>
  <c r="Z29" i="121"/>
  <c r="Z39" i="121" s="1"/>
  <c r="W29" i="121"/>
  <c r="Q29" i="121"/>
  <c r="Q39" i="121"/>
  <c r="N29" i="121"/>
  <c r="N39" i="121" s="1"/>
  <c r="E29" i="121"/>
  <c r="CP24" i="121"/>
  <c r="L24" i="121"/>
  <c r="FV24" i="121"/>
  <c r="FU24" i="121"/>
  <c r="FT24" i="121"/>
  <c r="DW24" i="121"/>
  <c r="DV24" i="121"/>
  <c r="DH24" i="121"/>
  <c r="BX24" i="121"/>
  <c r="BW24" i="121"/>
  <c r="BV24" i="121"/>
  <c r="AK24" i="121"/>
  <c r="AJ24" i="121"/>
  <c r="CI24" i="121" s="1"/>
  <c r="BI23" i="121"/>
  <c r="FF23" i="121"/>
  <c r="FV23" i="121"/>
  <c r="FU23" i="121"/>
  <c r="DW23" i="121"/>
  <c r="DW22" i="121" s="1"/>
  <c r="DV23" i="121"/>
  <c r="DU23" i="121"/>
  <c r="DH23" i="121"/>
  <c r="BX23" i="121"/>
  <c r="BV23" i="121"/>
  <c r="AK23" i="121"/>
  <c r="AI23" i="121"/>
  <c r="Y22" i="121"/>
  <c r="AG23" i="121"/>
  <c r="EW17" i="121"/>
  <c r="FM43" i="121"/>
  <c r="FG17" i="121"/>
  <c r="FA43" i="121"/>
  <c r="EX17" i="121"/>
  <c r="EU43" i="121"/>
  <c r="ER43" i="121"/>
  <c r="EO17" i="121"/>
  <c r="DU17" i="121"/>
  <c r="DK43" i="121"/>
  <c r="DH17" i="121"/>
  <c r="DE43" i="121"/>
  <c r="DB43" i="121"/>
  <c r="CY17" i="121"/>
  <c r="CS43" i="121"/>
  <c r="CP17" i="121"/>
  <c r="BV17" i="121"/>
  <c r="BO43" i="121"/>
  <c r="BL43" i="121"/>
  <c r="BI17" i="121"/>
  <c r="BF43" i="121"/>
  <c r="BC43" i="121"/>
  <c r="AZ17" i="121"/>
  <c r="AW43" i="121"/>
  <c r="AQ17" i="121"/>
  <c r="AP17" i="121"/>
  <c r="AI17" i="121"/>
  <c r="Y43" i="121"/>
  <c r="V17" i="121"/>
  <c r="S43" i="121"/>
  <c r="M17" i="121"/>
  <c r="D17" i="121"/>
  <c r="EO15" i="121"/>
  <c r="AY15" i="121"/>
  <c r="FV15" i="121"/>
  <c r="FC41" i="121"/>
  <c r="EQ41" i="121"/>
  <c r="DW15" i="121"/>
  <c r="DU15" i="121"/>
  <c r="DJ41" i="121"/>
  <c r="DD41" i="121"/>
  <c r="BX15" i="121"/>
  <c r="BV15" i="121"/>
  <c r="BE41" i="121"/>
  <c r="AZ15" i="121"/>
  <c r="AK15" i="121"/>
  <c r="AI15" i="121"/>
  <c r="X39" i="121"/>
  <c r="R39" i="121"/>
  <c r="F39" i="121"/>
  <c r="D9" i="121"/>
  <c r="FF9" i="121"/>
  <c r="FV9" i="121"/>
  <c r="FT9" i="121"/>
  <c r="DW9" i="121"/>
  <c r="BX9" i="121"/>
  <c r="BV9" i="121"/>
  <c r="AK9" i="121"/>
  <c r="AI9" i="121"/>
  <c r="CH9" i="121" s="1"/>
  <c r="FV8" i="121"/>
  <c r="FJ11" i="121"/>
  <c r="FA11" i="121"/>
  <c r="DW8" i="121"/>
  <c r="DW11" i="121" s="1"/>
  <c r="DU8" i="121"/>
  <c r="BX8" i="121"/>
  <c r="BV8" i="121"/>
  <c r="BV10" i="121" s="1"/>
  <c r="BX269" i="120"/>
  <c r="BW269" i="120"/>
  <c r="BU269" i="120"/>
  <c r="BT269" i="120"/>
  <c r="BR269" i="120"/>
  <c r="BQ269" i="120"/>
  <c r="AZ269" i="120"/>
  <c r="AY269" i="120"/>
  <c r="AW269" i="120"/>
  <c r="AV269" i="120"/>
  <c r="AT269" i="120"/>
  <c r="AB269" i="120"/>
  <c r="AA269" i="120"/>
  <c r="Y269" i="120"/>
  <c r="X269" i="120"/>
  <c r="V269" i="120"/>
  <c r="U269" i="120"/>
  <c r="M269" i="120"/>
  <c r="J269" i="120"/>
  <c r="I269" i="120"/>
  <c r="G269" i="120"/>
  <c r="BX268" i="120"/>
  <c r="BW268" i="120"/>
  <c r="BU268" i="120"/>
  <c r="BT268" i="120"/>
  <c r="BT265" i="120" s="1"/>
  <c r="BR268" i="120"/>
  <c r="BQ268" i="120"/>
  <c r="AZ268" i="120"/>
  <c r="AY268" i="120"/>
  <c r="AW268" i="120"/>
  <c r="AT268" i="120"/>
  <c r="AB268" i="120"/>
  <c r="AA268" i="120"/>
  <c r="Y268" i="120"/>
  <c r="X268" i="120"/>
  <c r="V268" i="120"/>
  <c r="U268" i="120"/>
  <c r="M268" i="120"/>
  <c r="L268" i="120"/>
  <c r="J268" i="120"/>
  <c r="G268" i="120"/>
  <c r="G265" i="120" s="1"/>
  <c r="BX267" i="120"/>
  <c r="BW267" i="120"/>
  <c r="BU267" i="120"/>
  <c r="BR267" i="120"/>
  <c r="AZ267" i="120"/>
  <c r="AW267" i="120"/>
  <c r="AV267" i="120"/>
  <c r="AT267" i="120"/>
  <c r="AB267" i="120"/>
  <c r="Y267" i="120"/>
  <c r="X267" i="120"/>
  <c r="V267" i="120"/>
  <c r="M267" i="120"/>
  <c r="J267" i="120"/>
  <c r="G267" i="120"/>
  <c r="BX266" i="120"/>
  <c r="BX265" i="120" s="1"/>
  <c r="BW266" i="120"/>
  <c r="BU266" i="120"/>
  <c r="BT266" i="120"/>
  <c r="BR266" i="120"/>
  <c r="BR265" i="120" s="1"/>
  <c r="BQ266" i="120"/>
  <c r="AZ266" i="120"/>
  <c r="AW266" i="120"/>
  <c r="AT266" i="120"/>
  <c r="AB266" i="120"/>
  <c r="Y266" i="120"/>
  <c r="V266" i="120"/>
  <c r="U266" i="120"/>
  <c r="M266" i="120"/>
  <c r="L266" i="120"/>
  <c r="J266" i="120"/>
  <c r="J265" i="120" s="1"/>
  <c r="I266" i="120"/>
  <c r="G266" i="120"/>
  <c r="F266" i="120"/>
  <c r="BX264" i="120"/>
  <c r="BW264" i="120"/>
  <c r="BU264" i="120"/>
  <c r="BT264" i="120"/>
  <c r="BR264" i="120"/>
  <c r="BQ264" i="120"/>
  <c r="AZ264" i="120"/>
  <c r="AY264" i="120"/>
  <c r="AW264" i="120"/>
  <c r="AV264" i="120"/>
  <c r="AT264" i="120"/>
  <c r="AS264" i="120"/>
  <c r="AB264" i="120"/>
  <c r="AA264" i="120"/>
  <c r="Y264" i="120"/>
  <c r="X264" i="120"/>
  <c r="V264" i="120"/>
  <c r="U264" i="120"/>
  <c r="M264" i="120"/>
  <c r="L264" i="120"/>
  <c r="J264" i="120"/>
  <c r="I264" i="120"/>
  <c r="G264" i="120"/>
  <c r="F264" i="120"/>
  <c r="BX263" i="120"/>
  <c r="BW263" i="120"/>
  <c r="BU263" i="120"/>
  <c r="BT263" i="120"/>
  <c r="BR263" i="120"/>
  <c r="BQ263" i="120"/>
  <c r="AZ263" i="120"/>
  <c r="AY263" i="120"/>
  <c r="AW263" i="120"/>
  <c r="AV263" i="120"/>
  <c r="AT263" i="120"/>
  <c r="AS263" i="120"/>
  <c r="AB263" i="120"/>
  <c r="AA263" i="120"/>
  <c r="Y263" i="120"/>
  <c r="X263" i="120"/>
  <c r="V263" i="120"/>
  <c r="U263" i="120"/>
  <c r="M263" i="120"/>
  <c r="L263" i="120"/>
  <c r="J263" i="120"/>
  <c r="I263" i="120"/>
  <c r="G263" i="120"/>
  <c r="F263" i="120"/>
  <c r="BX262" i="120"/>
  <c r="BW262" i="120"/>
  <c r="BU262" i="120"/>
  <c r="BT262" i="120"/>
  <c r="BR262" i="120"/>
  <c r="BQ262" i="120"/>
  <c r="AZ262" i="120"/>
  <c r="AW262" i="120"/>
  <c r="AV262" i="120"/>
  <c r="AT262" i="120"/>
  <c r="AS262" i="120"/>
  <c r="AB262" i="120"/>
  <c r="AA262" i="120"/>
  <c r="Y262" i="120"/>
  <c r="X262" i="120"/>
  <c r="V262" i="120"/>
  <c r="M262" i="120"/>
  <c r="J262" i="120"/>
  <c r="I262" i="120"/>
  <c r="G262" i="120"/>
  <c r="F262" i="120"/>
  <c r="CD259" i="120"/>
  <c r="CC259" i="120"/>
  <c r="BX259" i="120"/>
  <c r="BW259" i="120"/>
  <c r="BU259" i="120"/>
  <c r="BT259" i="120"/>
  <c r="BR259" i="120"/>
  <c r="BQ259" i="120"/>
  <c r="AZ259" i="120"/>
  <c r="AY259" i="120"/>
  <c r="AW259" i="120"/>
  <c r="AV259" i="120"/>
  <c r="AT259" i="120"/>
  <c r="AS259" i="120"/>
  <c r="AB259" i="120"/>
  <c r="AA259" i="120"/>
  <c r="Y259" i="120"/>
  <c r="X259" i="120"/>
  <c r="V259" i="120"/>
  <c r="U259" i="120"/>
  <c r="M259" i="120"/>
  <c r="L259" i="120"/>
  <c r="J259" i="120"/>
  <c r="I259" i="120"/>
  <c r="G259" i="120"/>
  <c r="F259" i="120"/>
  <c r="CD258" i="120"/>
  <c r="CC258" i="120"/>
  <c r="BX258" i="120"/>
  <c r="BW258" i="120"/>
  <c r="BU258" i="120"/>
  <c r="BT258" i="120"/>
  <c r="BR258" i="120"/>
  <c r="BQ258" i="120"/>
  <c r="AZ258" i="120"/>
  <c r="AY258" i="120"/>
  <c r="AW258" i="120"/>
  <c r="AV258" i="120"/>
  <c r="AT258" i="120"/>
  <c r="AS258" i="120"/>
  <c r="AB258" i="120"/>
  <c r="AA258" i="120"/>
  <c r="Y258" i="120"/>
  <c r="X258" i="120"/>
  <c r="V258" i="120"/>
  <c r="U258" i="120"/>
  <c r="M258" i="120"/>
  <c r="L258" i="120"/>
  <c r="J258" i="120"/>
  <c r="I258" i="120"/>
  <c r="G258" i="120"/>
  <c r="F258" i="120"/>
  <c r="CD257" i="120"/>
  <c r="BX257" i="120"/>
  <c r="BW257" i="120"/>
  <c r="BU257" i="120"/>
  <c r="BT257" i="120"/>
  <c r="BR257" i="120"/>
  <c r="BQ257" i="120"/>
  <c r="AZ257" i="120"/>
  <c r="AY257" i="120"/>
  <c r="AW257" i="120"/>
  <c r="AV257" i="120"/>
  <c r="AT257" i="120"/>
  <c r="AS257" i="120"/>
  <c r="AB257" i="120"/>
  <c r="Y257" i="120"/>
  <c r="V257" i="120"/>
  <c r="M257" i="120"/>
  <c r="J257" i="120"/>
  <c r="G257" i="120"/>
  <c r="F257" i="120"/>
  <c r="CD256" i="120"/>
  <c r="CC256" i="120"/>
  <c r="BX256" i="120"/>
  <c r="BW256" i="120"/>
  <c r="BU256" i="120"/>
  <c r="BT256" i="120"/>
  <c r="BR256" i="120"/>
  <c r="BQ256" i="120"/>
  <c r="AZ256" i="120"/>
  <c r="AY256" i="120"/>
  <c r="AW256" i="120"/>
  <c r="AV256" i="120"/>
  <c r="AT256" i="120"/>
  <c r="AS256" i="120"/>
  <c r="AB256" i="120"/>
  <c r="AA256" i="120"/>
  <c r="Y256" i="120"/>
  <c r="X256" i="120"/>
  <c r="V256" i="120"/>
  <c r="U256" i="120"/>
  <c r="M256" i="120"/>
  <c r="L256" i="120"/>
  <c r="J256" i="120"/>
  <c r="I256" i="120"/>
  <c r="G256" i="120"/>
  <c r="F256" i="120"/>
  <c r="CD255" i="120"/>
  <c r="CC255" i="120"/>
  <c r="BX255" i="120"/>
  <c r="BW255" i="120"/>
  <c r="BU255" i="120"/>
  <c r="BT255" i="120"/>
  <c r="BR255" i="120"/>
  <c r="BQ255" i="120"/>
  <c r="AZ255" i="120"/>
  <c r="AW255" i="120"/>
  <c r="AT255" i="120"/>
  <c r="AS255" i="120"/>
  <c r="AB255" i="120"/>
  <c r="Y255" i="120"/>
  <c r="X255" i="120"/>
  <c r="V255" i="120"/>
  <c r="U255" i="120"/>
  <c r="M255" i="120"/>
  <c r="J255" i="120"/>
  <c r="I255" i="120"/>
  <c r="G255" i="120"/>
  <c r="F255" i="120"/>
  <c r="BX254" i="120"/>
  <c r="BW254" i="120"/>
  <c r="BU254" i="120"/>
  <c r="BT254" i="120"/>
  <c r="BR254" i="120"/>
  <c r="BQ254" i="120"/>
  <c r="AZ254" i="120"/>
  <c r="AY254" i="120"/>
  <c r="AW254" i="120"/>
  <c r="AV254" i="120"/>
  <c r="AT254" i="120"/>
  <c r="AS254" i="120"/>
  <c r="AB254" i="120"/>
  <c r="AA254" i="120"/>
  <c r="Y254" i="120"/>
  <c r="X254" i="120"/>
  <c r="V254" i="120"/>
  <c r="U254" i="120"/>
  <c r="M254" i="120"/>
  <c r="L254" i="120"/>
  <c r="J254" i="120"/>
  <c r="I254" i="120"/>
  <c r="G254" i="120"/>
  <c r="F254" i="120"/>
  <c r="BX253" i="120"/>
  <c r="BW253" i="120"/>
  <c r="BU253" i="120"/>
  <c r="BT253" i="120"/>
  <c r="BR253" i="120"/>
  <c r="BQ253" i="120"/>
  <c r="AZ253" i="120"/>
  <c r="AY253" i="120"/>
  <c r="AW253" i="120"/>
  <c r="AV253" i="120"/>
  <c r="AT253" i="120"/>
  <c r="AS253" i="120"/>
  <c r="AB253" i="120"/>
  <c r="AA253" i="120"/>
  <c r="Y253" i="120"/>
  <c r="X253" i="120"/>
  <c r="V253" i="120"/>
  <c r="U253" i="120"/>
  <c r="M253" i="120"/>
  <c r="L253" i="120"/>
  <c r="J253" i="120"/>
  <c r="I253" i="120"/>
  <c r="G253" i="120"/>
  <c r="F253" i="120"/>
  <c r="BX252" i="120"/>
  <c r="BW252" i="120"/>
  <c r="BU252" i="120"/>
  <c r="BT252" i="120"/>
  <c r="BR252" i="120"/>
  <c r="BQ252" i="120"/>
  <c r="AZ252" i="120"/>
  <c r="AY252" i="120"/>
  <c r="AW252" i="120"/>
  <c r="AV252" i="120"/>
  <c r="AT252" i="120"/>
  <c r="AS252" i="120"/>
  <c r="AB252" i="120"/>
  <c r="AA252" i="120"/>
  <c r="Y252" i="120"/>
  <c r="X252" i="120"/>
  <c r="V252" i="120"/>
  <c r="U252" i="120"/>
  <c r="M252" i="120"/>
  <c r="L252" i="120"/>
  <c r="J252" i="120"/>
  <c r="I252" i="120"/>
  <c r="G252" i="120"/>
  <c r="BX251" i="120"/>
  <c r="BW251" i="120"/>
  <c r="BU251" i="120"/>
  <c r="BT251" i="120"/>
  <c r="BR251" i="120"/>
  <c r="BQ251" i="120"/>
  <c r="AZ251" i="120"/>
  <c r="AY251" i="120"/>
  <c r="AW251" i="120"/>
  <c r="AV251" i="120"/>
  <c r="AT251" i="120"/>
  <c r="AS251" i="120"/>
  <c r="AB251" i="120"/>
  <c r="AA251" i="120"/>
  <c r="Y251" i="120"/>
  <c r="V251" i="120"/>
  <c r="M251" i="120"/>
  <c r="J251" i="120"/>
  <c r="G251" i="120"/>
  <c r="BX250" i="120"/>
  <c r="BW250" i="120"/>
  <c r="BU250" i="120"/>
  <c r="BR250" i="120"/>
  <c r="AZ250" i="120"/>
  <c r="AW250" i="120"/>
  <c r="AT250" i="120"/>
  <c r="AB250" i="120"/>
  <c r="Y250" i="120"/>
  <c r="V250" i="120"/>
  <c r="M250" i="120"/>
  <c r="J250" i="120"/>
  <c r="G250" i="120"/>
  <c r="BX249" i="120"/>
  <c r="BW249" i="120"/>
  <c r="BU249" i="120"/>
  <c r="BT249" i="120"/>
  <c r="BR249" i="120"/>
  <c r="BQ249" i="120"/>
  <c r="AZ249" i="120"/>
  <c r="AY249" i="120"/>
  <c r="AW249" i="120"/>
  <c r="AV249" i="120"/>
  <c r="AT249" i="120"/>
  <c r="AS249" i="120"/>
  <c r="AB249" i="120"/>
  <c r="AA249" i="120"/>
  <c r="Y249" i="120"/>
  <c r="X249" i="120"/>
  <c r="V249" i="120"/>
  <c r="M249" i="120"/>
  <c r="L249" i="120"/>
  <c r="J249" i="120"/>
  <c r="I249" i="120"/>
  <c r="G249" i="120"/>
  <c r="F249" i="120"/>
  <c r="CD248" i="120"/>
  <c r="BX248" i="120"/>
  <c r="BW248" i="120"/>
  <c r="BU248" i="120"/>
  <c r="BT248" i="120"/>
  <c r="BR248" i="120"/>
  <c r="BQ248" i="120"/>
  <c r="AZ248" i="120"/>
  <c r="AY248" i="120"/>
  <c r="AW248" i="120"/>
  <c r="AV248" i="120"/>
  <c r="AT248" i="120"/>
  <c r="AS248" i="120"/>
  <c r="AB248" i="120"/>
  <c r="AA248" i="120"/>
  <c r="Y248" i="120"/>
  <c r="X248" i="120"/>
  <c r="V248" i="120"/>
  <c r="U248" i="120"/>
  <c r="M248" i="120"/>
  <c r="L248" i="120"/>
  <c r="J248" i="120"/>
  <c r="I248" i="120"/>
  <c r="G248" i="120"/>
  <c r="F248" i="120"/>
  <c r="CD247" i="120"/>
  <c r="BX247" i="120"/>
  <c r="BW247" i="120"/>
  <c r="BU247" i="120"/>
  <c r="BT247" i="120"/>
  <c r="BR247" i="120"/>
  <c r="BQ247" i="120"/>
  <c r="AZ247" i="120"/>
  <c r="AY247" i="120"/>
  <c r="AW247" i="120"/>
  <c r="AV247" i="120"/>
  <c r="AT247" i="120"/>
  <c r="AS247" i="120"/>
  <c r="AB247" i="120"/>
  <c r="AA247" i="120"/>
  <c r="Y247" i="120"/>
  <c r="X247" i="120"/>
  <c r="V247" i="120"/>
  <c r="U247" i="120"/>
  <c r="M247" i="120"/>
  <c r="L247" i="120"/>
  <c r="J247" i="120"/>
  <c r="I247" i="120"/>
  <c r="G247" i="120"/>
  <c r="F247" i="120"/>
  <c r="CD246" i="120"/>
  <c r="CC246" i="120"/>
  <c r="BX246" i="120"/>
  <c r="BW246" i="120"/>
  <c r="BU246" i="120"/>
  <c r="BT246" i="120"/>
  <c r="BR246" i="120"/>
  <c r="BQ246" i="120"/>
  <c r="AZ246" i="120"/>
  <c r="AY246" i="120"/>
  <c r="AW246" i="120"/>
  <c r="AV246" i="120"/>
  <c r="AT246" i="120"/>
  <c r="AS246" i="120"/>
  <c r="AB246" i="120"/>
  <c r="AA246" i="120"/>
  <c r="Y246" i="120"/>
  <c r="X246" i="120"/>
  <c r="V246" i="120"/>
  <c r="U246" i="120"/>
  <c r="M246" i="120"/>
  <c r="L246" i="120"/>
  <c r="J246" i="120"/>
  <c r="I246" i="120"/>
  <c r="G246" i="120"/>
  <c r="F246" i="120"/>
  <c r="BX245" i="120"/>
  <c r="BW245" i="120"/>
  <c r="BU245" i="120"/>
  <c r="BT245" i="120"/>
  <c r="BR245" i="120"/>
  <c r="BQ245" i="120"/>
  <c r="AZ245" i="120"/>
  <c r="AY245" i="120"/>
  <c r="AW245" i="120"/>
  <c r="AV245" i="120"/>
  <c r="AT245" i="120"/>
  <c r="AS245" i="120"/>
  <c r="AB245" i="120"/>
  <c r="AA245" i="120"/>
  <c r="Y245" i="120"/>
  <c r="X245" i="120"/>
  <c r="V245" i="120"/>
  <c r="U245" i="120"/>
  <c r="M245" i="120"/>
  <c r="L245" i="120"/>
  <c r="J245" i="120"/>
  <c r="I245" i="120"/>
  <c r="G245" i="120"/>
  <c r="F245" i="120"/>
  <c r="CD244" i="120"/>
  <c r="CC244" i="120"/>
  <c r="BX244" i="120"/>
  <c r="BW244" i="120"/>
  <c r="BU244" i="120"/>
  <c r="BT244" i="120"/>
  <c r="BR244" i="120"/>
  <c r="BQ244" i="120"/>
  <c r="AZ244" i="120"/>
  <c r="AY244" i="120"/>
  <c r="AW244" i="120"/>
  <c r="AV244" i="120"/>
  <c r="AT244" i="120"/>
  <c r="AS244" i="120"/>
  <c r="AB244" i="120"/>
  <c r="AA244" i="120"/>
  <c r="Y244" i="120"/>
  <c r="X244" i="120"/>
  <c r="V244" i="120"/>
  <c r="U244" i="120"/>
  <c r="M244" i="120"/>
  <c r="L244" i="120"/>
  <c r="J244" i="120"/>
  <c r="I244" i="120"/>
  <c r="G244" i="120"/>
  <c r="F244" i="120"/>
  <c r="BX243" i="120"/>
  <c r="BW243" i="120"/>
  <c r="BU243" i="120"/>
  <c r="BR243" i="120"/>
  <c r="AZ243" i="120"/>
  <c r="AW243" i="120"/>
  <c r="AT243" i="120"/>
  <c r="AB243" i="120"/>
  <c r="Y243" i="120"/>
  <c r="V243" i="120"/>
  <c r="M243" i="120"/>
  <c r="J243" i="120"/>
  <c r="G243" i="120"/>
  <c r="BX242" i="120"/>
  <c r="BW242" i="120"/>
  <c r="BU242" i="120"/>
  <c r="BT242" i="120"/>
  <c r="BR242" i="120"/>
  <c r="BQ242" i="120"/>
  <c r="AZ242" i="120"/>
  <c r="AY242" i="120"/>
  <c r="AW242" i="120"/>
  <c r="AV242" i="120"/>
  <c r="AT242" i="120"/>
  <c r="AS242" i="120"/>
  <c r="AB242" i="120"/>
  <c r="AA242" i="120"/>
  <c r="Y242" i="120"/>
  <c r="X242" i="120"/>
  <c r="V242" i="120"/>
  <c r="U242" i="120"/>
  <c r="M242" i="120"/>
  <c r="L242" i="120"/>
  <c r="J242" i="120"/>
  <c r="I242" i="120"/>
  <c r="G242" i="120"/>
  <c r="F242" i="120"/>
  <c r="BX241" i="120"/>
  <c r="BW241" i="120"/>
  <c r="BU241" i="120"/>
  <c r="BT241" i="120"/>
  <c r="BR241" i="120"/>
  <c r="BQ241" i="120"/>
  <c r="AZ241" i="120"/>
  <c r="AY241" i="120"/>
  <c r="AW241" i="120"/>
  <c r="AV241" i="120"/>
  <c r="AT241" i="120"/>
  <c r="AS241" i="120"/>
  <c r="AB241" i="120"/>
  <c r="AA241" i="120"/>
  <c r="Y241" i="120"/>
  <c r="X241" i="120"/>
  <c r="V241" i="120"/>
  <c r="U241" i="120"/>
  <c r="M241" i="120"/>
  <c r="J241" i="120"/>
  <c r="I241" i="120"/>
  <c r="G241" i="120"/>
  <c r="F241" i="120"/>
  <c r="BX240" i="120"/>
  <c r="BW240" i="120"/>
  <c r="BU240" i="120"/>
  <c r="BT240" i="120"/>
  <c r="BR240" i="120"/>
  <c r="BQ240" i="120"/>
  <c r="AZ240" i="120"/>
  <c r="AY240" i="120"/>
  <c r="AW240" i="120"/>
  <c r="AV240" i="120"/>
  <c r="AT240" i="120"/>
  <c r="AS240" i="120"/>
  <c r="AB240" i="120"/>
  <c r="AA240" i="120"/>
  <c r="Y240" i="120"/>
  <c r="X240" i="120"/>
  <c r="V240" i="120"/>
  <c r="U240" i="120"/>
  <c r="M240" i="120"/>
  <c r="L240" i="120"/>
  <c r="J240" i="120"/>
  <c r="I240" i="120"/>
  <c r="G240" i="120"/>
  <c r="F240" i="120"/>
  <c r="BX239" i="120"/>
  <c r="BW239" i="120"/>
  <c r="BU239" i="120"/>
  <c r="BT239" i="120"/>
  <c r="BR239" i="120"/>
  <c r="BQ239" i="120"/>
  <c r="AZ239" i="120"/>
  <c r="AY239" i="120"/>
  <c r="AW239" i="120"/>
  <c r="AV239" i="120"/>
  <c r="AT239" i="120"/>
  <c r="AS239" i="120"/>
  <c r="AB239" i="120"/>
  <c r="AA239" i="120"/>
  <c r="Y239" i="120"/>
  <c r="X239" i="120"/>
  <c r="V239" i="120"/>
  <c r="U239" i="120"/>
  <c r="M239" i="120"/>
  <c r="L239" i="120"/>
  <c r="J239" i="120"/>
  <c r="I239" i="120"/>
  <c r="G239" i="120"/>
  <c r="F239" i="120"/>
  <c r="BX238" i="120"/>
  <c r="BW238" i="120"/>
  <c r="BU238" i="120"/>
  <c r="BT238" i="120"/>
  <c r="BR238" i="120"/>
  <c r="BQ238" i="120"/>
  <c r="AZ238" i="120"/>
  <c r="AY238" i="120"/>
  <c r="AW238" i="120"/>
  <c r="AV238" i="120"/>
  <c r="AT238" i="120"/>
  <c r="AS238" i="120"/>
  <c r="AB238" i="120"/>
  <c r="AA238" i="120"/>
  <c r="Y238" i="120"/>
  <c r="X238" i="120"/>
  <c r="V238" i="120"/>
  <c r="U238" i="120"/>
  <c r="M238" i="120"/>
  <c r="L238" i="120"/>
  <c r="J238" i="120"/>
  <c r="I238" i="120"/>
  <c r="G238" i="120"/>
  <c r="F238" i="120"/>
  <c r="BV230" i="120"/>
  <c r="FH88" i="121" s="1"/>
  <c r="BS230" i="120"/>
  <c r="EY88" i="121" s="1"/>
  <c r="BP230" i="120"/>
  <c r="EP88" i="121"/>
  <c r="BM230" i="120"/>
  <c r="EM88" i="121" s="1"/>
  <c r="AX230" i="120"/>
  <c r="DI88" i="121" s="1"/>
  <c r="AU230" i="120"/>
  <c r="CZ88" i="121" s="1"/>
  <c r="AR230" i="120"/>
  <c r="CQ88" i="121" s="1"/>
  <c r="AO230" i="120"/>
  <c r="CN88" i="121" s="1"/>
  <c r="Z230" i="120"/>
  <c r="BJ88" i="121" s="1"/>
  <c r="W230" i="120"/>
  <c r="BA88" i="121" s="1"/>
  <c r="Q230" i="120"/>
  <c r="K230" i="120"/>
  <c r="W88" i="121" s="1"/>
  <c r="H230" i="120"/>
  <c r="N88" i="121" s="1"/>
  <c r="E230" i="120"/>
  <c r="E88" i="121"/>
  <c r="B230" i="120"/>
  <c r="B88" i="121" s="1"/>
  <c r="BV229" i="120"/>
  <c r="FH87" i="121" s="1"/>
  <c r="BS229" i="120"/>
  <c r="EY87" i="121"/>
  <c r="BP229" i="120"/>
  <c r="EP87" i="121" s="1"/>
  <c r="BM229" i="120"/>
  <c r="EM87" i="121" s="1"/>
  <c r="AX229" i="120"/>
  <c r="DI87" i="121" s="1"/>
  <c r="AU229" i="120"/>
  <c r="CZ87" i="121" s="1"/>
  <c r="AR229" i="120"/>
  <c r="CQ87" i="121" s="1"/>
  <c r="AO229" i="120"/>
  <c r="CN87" i="121" s="1"/>
  <c r="Z229" i="120"/>
  <c r="BJ87" i="121" s="1"/>
  <c r="W229" i="120"/>
  <c r="BA87" i="121" s="1"/>
  <c r="Q229" i="120"/>
  <c r="K229" i="120"/>
  <c r="W87" i="121" s="1"/>
  <c r="H229" i="120"/>
  <c r="N87" i="121" s="1"/>
  <c r="E229" i="120"/>
  <c r="E87" i="121" s="1"/>
  <c r="B229" i="120"/>
  <c r="BV228" i="120"/>
  <c r="FH86" i="121" s="1"/>
  <c r="BS228" i="120"/>
  <c r="EY86" i="121" s="1"/>
  <c r="BP228" i="120"/>
  <c r="BM228" i="120"/>
  <c r="EM86" i="121" s="1"/>
  <c r="EV86" i="121" s="1"/>
  <c r="AX228" i="120"/>
  <c r="DI86" i="121" s="1"/>
  <c r="AU228" i="120"/>
  <c r="CZ86" i="121" s="1"/>
  <c r="AR228" i="120"/>
  <c r="CQ86" i="121" s="1"/>
  <c r="AO228" i="120"/>
  <c r="Z228" i="120"/>
  <c r="BJ86" i="121" s="1"/>
  <c r="W228" i="120"/>
  <c r="BA86" i="121" s="1"/>
  <c r="T227" i="120"/>
  <c r="Q228" i="120"/>
  <c r="K228" i="120"/>
  <c r="W86" i="121" s="1"/>
  <c r="H228" i="120"/>
  <c r="N86" i="121" s="1"/>
  <c r="E228" i="120"/>
  <c r="E86" i="121"/>
  <c r="B228" i="120"/>
  <c r="CD223" i="120"/>
  <c r="BX223" i="120"/>
  <c r="FJ75" i="121"/>
  <c r="BW223" i="120"/>
  <c r="FI75" i="121" s="1"/>
  <c r="BU223" i="120"/>
  <c r="FA75" i="121" s="1"/>
  <c r="BT223" i="120"/>
  <c r="EZ75" i="121"/>
  <c r="BR223" i="120"/>
  <c r="ER75" i="121" s="1"/>
  <c r="BQ223" i="120"/>
  <c r="EQ75" i="121" s="1"/>
  <c r="AZ223" i="120"/>
  <c r="DK75" i="121" s="1"/>
  <c r="AY223" i="120"/>
  <c r="DJ75" i="121" s="1"/>
  <c r="AW223" i="120"/>
  <c r="DB75" i="121" s="1"/>
  <c r="AV223" i="120"/>
  <c r="DA75" i="121" s="1"/>
  <c r="AT223" i="120"/>
  <c r="CS75" i="121" s="1"/>
  <c r="AS223" i="120"/>
  <c r="CR75" i="121" s="1"/>
  <c r="AB223" i="120"/>
  <c r="BL75" i="121" s="1"/>
  <c r="AA223" i="120"/>
  <c r="BK75" i="121" s="1"/>
  <c r="Y223" i="120"/>
  <c r="BC75" i="121" s="1"/>
  <c r="X223" i="120"/>
  <c r="BB75" i="121" s="1"/>
  <c r="V223" i="120"/>
  <c r="AT75" i="121" s="1"/>
  <c r="U223" i="120"/>
  <c r="AS75" i="121" s="1"/>
  <c r="M223" i="120"/>
  <c r="Y75" i="121"/>
  <c r="L223" i="120"/>
  <c r="X75" i="121" s="1"/>
  <c r="J223" i="120"/>
  <c r="P75" i="121" s="1"/>
  <c r="I223" i="120"/>
  <c r="O75" i="121" s="1"/>
  <c r="G223" i="120"/>
  <c r="G75" i="121" s="1"/>
  <c r="F223" i="120"/>
  <c r="F75" i="121" s="1"/>
  <c r="CD222" i="120"/>
  <c r="CC222" i="120"/>
  <c r="CB222" i="120"/>
  <c r="BX222" i="120"/>
  <c r="FJ74" i="121" s="1"/>
  <c r="BW222" i="120"/>
  <c r="FI74" i="121" s="1"/>
  <c r="BU222" i="120"/>
  <c r="FA74" i="121" s="1"/>
  <c r="BT222" i="120"/>
  <c r="EZ74" i="121" s="1"/>
  <c r="BR222" i="120"/>
  <c r="ER74" i="121" s="1"/>
  <c r="BQ222" i="120"/>
  <c r="EQ74" i="121" s="1"/>
  <c r="AZ222" i="120"/>
  <c r="DK74" i="121"/>
  <c r="AY222" i="120"/>
  <c r="DJ74" i="121" s="1"/>
  <c r="AW222" i="120"/>
  <c r="DB74" i="121" s="1"/>
  <c r="AV222" i="120"/>
  <c r="DA74" i="121" s="1"/>
  <c r="AT222" i="120"/>
  <c r="CS74" i="121" s="1"/>
  <c r="AS222" i="120"/>
  <c r="CR74" i="121" s="1"/>
  <c r="AB222" i="120"/>
  <c r="BL74" i="121" s="1"/>
  <c r="AA222" i="120"/>
  <c r="BK74" i="121" s="1"/>
  <c r="Y222" i="120"/>
  <c r="BC74" i="121" s="1"/>
  <c r="BA74" i="121" s="1"/>
  <c r="X222" i="120"/>
  <c r="BB74" i="121" s="1"/>
  <c r="V222" i="120"/>
  <c r="AT74" i="121" s="1"/>
  <c r="U222" i="120"/>
  <c r="AS74" i="121" s="1"/>
  <c r="M222" i="120"/>
  <c r="Y74" i="121" s="1"/>
  <c r="L222" i="120"/>
  <c r="X74" i="121" s="1"/>
  <c r="J222" i="120"/>
  <c r="P74" i="121" s="1"/>
  <c r="I222" i="120"/>
  <c r="O74" i="121" s="1"/>
  <c r="G222" i="120"/>
  <c r="G74" i="121" s="1"/>
  <c r="F222" i="120"/>
  <c r="F74" i="121" s="1"/>
  <c r="BX221" i="120"/>
  <c r="FJ73" i="121" s="1"/>
  <c r="BW221" i="120"/>
  <c r="FI73" i="121" s="1"/>
  <c r="BU221" i="120"/>
  <c r="FA73" i="121" s="1"/>
  <c r="BT221" i="120"/>
  <c r="EZ73" i="121" s="1"/>
  <c r="BR221" i="120"/>
  <c r="ER73" i="121" s="1"/>
  <c r="BQ221" i="120"/>
  <c r="EQ73" i="121"/>
  <c r="AZ221" i="120"/>
  <c r="DK73" i="121" s="1"/>
  <c r="AY221" i="120"/>
  <c r="DJ73" i="121" s="1"/>
  <c r="AW221" i="120"/>
  <c r="DB73" i="121" s="1"/>
  <c r="AV221" i="120"/>
  <c r="DA73" i="121" s="1"/>
  <c r="AT221" i="120"/>
  <c r="CS73" i="121" s="1"/>
  <c r="AS221" i="120"/>
  <c r="CR73" i="121" s="1"/>
  <c r="AB221" i="120"/>
  <c r="BL73" i="121" s="1"/>
  <c r="AA221" i="120"/>
  <c r="BK73" i="121" s="1"/>
  <c r="Y221" i="120"/>
  <c r="BC73" i="121" s="1"/>
  <c r="X221" i="120"/>
  <c r="BB73" i="121" s="1"/>
  <c r="V221" i="120"/>
  <c r="AT73" i="121" s="1"/>
  <c r="U221" i="120"/>
  <c r="AS73" i="121" s="1"/>
  <c r="M221" i="120"/>
  <c r="Y73" i="121" s="1"/>
  <c r="L221" i="120"/>
  <c r="X73" i="121" s="1"/>
  <c r="J221" i="120"/>
  <c r="P73" i="121" s="1"/>
  <c r="I221" i="120"/>
  <c r="O73" i="121" s="1"/>
  <c r="G221" i="120"/>
  <c r="G73" i="121" s="1"/>
  <c r="BX220" i="120"/>
  <c r="FJ72" i="121" s="1"/>
  <c r="BW220" i="120"/>
  <c r="FI72" i="121" s="1"/>
  <c r="BU220" i="120"/>
  <c r="FA72" i="121" s="1"/>
  <c r="BT220" i="120"/>
  <c r="EZ72" i="121" s="1"/>
  <c r="BR220" i="120"/>
  <c r="ER72" i="121" s="1"/>
  <c r="BQ220" i="120"/>
  <c r="EQ72" i="121" s="1"/>
  <c r="AZ220" i="120"/>
  <c r="DK72" i="121" s="1"/>
  <c r="AY220" i="120"/>
  <c r="DJ72" i="121" s="1"/>
  <c r="AW220" i="120"/>
  <c r="DB72" i="121" s="1"/>
  <c r="AV220" i="120"/>
  <c r="DA72" i="121" s="1"/>
  <c r="AT220" i="120"/>
  <c r="CS72" i="121" s="1"/>
  <c r="AS220" i="120"/>
  <c r="CR72" i="121" s="1"/>
  <c r="AB220" i="120"/>
  <c r="BL72" i="121" s="1"/>
  <c r="AA220" i="120"/>
  <c r="BK72" i="121" s="1"/>
  <c r="Y220" i="120"/>
  <c r="BC72" i="121" s="1"/>
  <c r="X220" i="120"/>
  <c r="BB72" i="121" s="1"/>
  <c r="V220" i="120"/>
  <c r="AT72" i="121" s="1"/>
  <c r="U220" i="120"/>
  <c r="AS72" i="121" s="1"/>
  <c r="M220" i="120"/>
  <c r="Y72" i="121"/>
  <c r="L220" i="120"/>
  <c r="X72" i="121" s="1"/>
  <c r="J220" i="120"/>
  <c r="P72" i="121" s="1"/>
  <c r="I220" i="120"/>
  <c r="O72" i="121" s="1"/>
  <c r="G220" i="120"/>
  <c r="G72" i="121" s="1"/>
  <c r="F220" i="120"/>
  <c r="F72" i="121" s="1"/>
  <c r="BX219" i="120"/>
  <c r="FJ71" i="121" s="1"/>
  <c r="BW219" i="120"/>
  <c r="FI71" i="121" s="1"/>
  <c r="BU219" i="120"/>
  <c r="FA71" i="121" s="1"/>
  <c r="EY71" i="121" s="1"/>
  <c r="BT219" i="120"/>
  <c r="EZ71" i="121" s="1"/>
  <c r="BR219" i="120"/>
  <c r="ER71" i="121"/>
  <c r="BQ219" i="120"/>
  <c r="EQ71" i="121" s="1"/>
  <c r="AZ219" i="120"/>
  <c r="DK71" i="121" s="1"/>
  <c r="AY219" i="120"/>
  <c r="DJ71" i="121" s="1"/>
  <c r="AW219" i="120"/>
  <c r="DB71" i="121" s="1"/>
  <c r="AV219" i="120"/>
  <c r="DA71" i="121" s="1"/>
  <c r="AT219" i="120"/>
  <c r="CS71" i="121" s="1"/>
  <c r="AS219" i="120"/>
  <c r="CR71" i="121"/>
  <c r="AB219" i="120"/>
  <c r="BL71" i="121" s="1"/>
  <c r="AA219" i="120"/>
  <c r="BK71" i="121" s="1"/>
  <c r="Y219" i="120"/>
  <c r="BC71" i="121"/>
  <c r="X219" i="120"/>
  <c r="BB71" i="121" s="1"/>
  <c r="V219" i="120"/>
  <c r="AT71" i="121" s="1"/>
  <c r="U219" i="120"/>
  <c r="AS71" i="121" s="1"/>
  <c r="M219" i="120"/>
  <c r="Y71" i="121" s="1"/>
  <c r="L219" i="120"/>
  <c r="X71" i="121" s="1"/>
  <c r="J219" i="120"/>
  <c r="P71" i="121" s="1"/>
  <c r="I219" i="120"/>
  <c r="O71" i="121" s="1"/>
  <c r="G219" i="120"/>
  <c r="G71" i="121" s="1"/>
  <c r="F219" i="120"/>
  <c r="F71" i="121" s="1"/>
  <c r="BX218" i="120"/>
  <c r="FJ70" i="121" s="1"/>
  <c r="BW218" i="120"/>
  <c r="FI70" i="121" s="1"/>
  <c r="BU218" i="120"/>
  <c r="FA70" i="121" s="1"/>
  <c r="BT218" i="120"/>
  <c r="EZ70" i="121" s="1"/>
  <c r="BR218" i="120"/>
  <c r="ER70" i="121" s="1"/>
  <c r="BQ218" i="120"/>
  <c r="EQ70" i="121" s="1"/>
  <c r="AZ218" i="120"/>
  <c r="DK70" i="121" s="1"/>
  <c r="AY218" i="120"/>
  <c r="DJ70" i="121" s="1"/>
  <c r="AW218" i="120"/>
  <c r="DB70" i="121" s="1"/>
  <c r="AV218" i="120"/>
  <c r="DA70" i="121" s="1"/>
  <c r="AT218" i="120"/>
  <c r="CS70" i="121" s="1"/>
  <c r="AS218" i="120"/>
  <c r="CR70" i="121" s="1"/>
  <c r="AB218" i="120"/>
  <c r="BL70" i="121" s="1"/>
  <c r="AA218" i="120"/>
  <c r="BK70" i="121" s="1"/>
  <c r="Y218" i="120"/>
  <c r="BC70" i="121" s="1"/>
  <c r="X218" i="120"/>
  <c r="BB70" i="121" s="1"/>
  <c r="V218" i="120"/>
  <c r="AT70" i="121" s="1"/>
  <c r="U218" i="120"/>
  <c r="AS70" i="121"/>
  <c r="M218" i="120"/>
  <c r="Y70" i="121" s="1"/>
  <c r="L218" i="120"/>
  <c r="X70" i="121" s="1"/>
  <c r="J218" i="120"/>
  <c r="P70" i="121" s="1"/>
  <c r="I218" i="120"/>
  <c r="O70" i="121" s="1"/>
  <c r="G218" i="120"/>
  <c r="G70" i="121" s="1"/>
  <c r="F218" i="120"/>
  <c r="F70" i="121"/>
  <c r="BX217" i="120"/>
  <c r="FJ69" i="121" s="1"/>
  <c r="BW217" i="120"/>
  <c r="FI69" i="121" s="1"/>
  <c r="BU217" i="120"/>
  <c r="FA69" i="121" s="1"/>
  <c r="BT217" i="120"/>
  <c r="EZ69" i="121" s="1"/>
  <c r="BR217" i="120"/>
  <c r="ER69" i="121" s="1"/>
  <c r="BQ217" i="120"/>
  <c r="EQ69" i="121" s="1"/>
  <c r="AZ217" i="120"/>
  <c r="DK69" i="121" s="1"/>
  <c r="AY217" i="120"/>
  <c r="DJ69" i="121" s="1"/>
  <c r="AW217" i="120"/>
  <c r="DB69" i="121" s="1"/>
  <c r="CZ69" i="121" s="1"/>
  <c r="AV217" i="120"/>
  <c r="DA69" i="121" s="1"/>
  <c r="AT217" i="120"/>
  <c r="CS69" i="121"/>
  <c r="AS217" i="120"/>
  <c r="CR69" i="121" s="1"/>
  <c r="AB217" i="120"/>
  <c r="BL69" i="121"/>
  <c r="AA217" i="120"/>
  <c r="BK69" i="121" s="1"/>
  <c r="Y217" i="120"/>
  <c r="BC69" i="121" s="1"/>
  <c r="X217" i="120"/>
  <c r="BB69" i="121" s="1"/>
  <c r="V217" i="120"/>
  <c r="AT69" i="121" s="1"/>
  <c r="U217" i="120"/>
  <c r="AS69" i="121" s="1"/>
  <c r="M217" i="120"/>
  <c r="Y69" i="121" s="1"/>
  <c r="W69" i="121" s="1"/>
  <c r="L217" i="120"/>
  <c r="X69" i="121" s="1"/>
  <c r="J217" i="120"/>
  <c r="P69" i="121" s="1"/>
  <c r="I217" i="120"/>
  <c r="O69" i="121" s="1"/>
  <c r="G217" i="120"/>
  <c r="G69" i="121" s="1"/>
  <c r="F217" i="120"/>
  <c r="F69" i="121" s="1"/>
  <c r="BX216" i="120"/>
  <c r="FJ68" i="121" s="1"/>
  <c r="BW216" i="120"/>
  <c r="FI68" i="121" s="1"/>
  <c r="BU216" i="120"/>
  <c r="FA68" i="121" s="1"/>
  <c r="BT216" i="120"/>
  <c r="EZ68" i="121"/>
  <c r="BR216" i="120"/>
  <c r="ER68" i="121" s="1"/>
  <c r="BQ216" i="120"/>
  <c r="EQ68" i="121" s="1"/>
  <c r="AZ216" i="120"/>
  <c r="DK68" i="121" s="1"/>
  <c r="AY216" i="120"/>
  <c r="DJ68" i="121" s="1"/>
  <c r="AW216" i="120"/>
  <c r="DB68" i="121" s="1"/>
  <c r="AV216" i="120"/>
  <c r="DA68" i="121" s="1"/>
  <c r="AT216" i="120"/>
  <c r="CS68" i="121" s="1"/>
  <c r="AS216" i="120"/>
  <c r="CR68" i="121" s="1"/>
  <c r="AB216" i="120"/>
  <c r="BL68" i="121" s="1"/>
  <c r="AA216" i="120"/>
  <c r="BK68" i="121" s="1"/>
  <c r="Y216" i="120"/>
  <c r="BC68" i="121" s="1"/>
  <c r="X216" i="120"/>
  <c r="BB68" i="121" s="1"/>
  <c r="V216" i="120"/>
  <c r="AT68" i="121" s="1"/>
  <c r="U216" i="120"/>
  <c r="AS68" i="121"/>
  <c r="M216" i="120"/>
  <c r="Y68" i="121" s="1"/>
  <c r="L216" i="120"/>
  <c r="X68" i="121" s="1"/>
  <c r="J216" i="120"/>
  <c r="P68" i="121" s="1"/>
  <c r="I216" i="120"/>
  <c r="O68" i="121" s="1"/>
  <c r="G216" i="120"/>
  <c r="G68" i="121" s="1"/>
  <c r="AH68" i="121" s="1"/>
  <c r="F216" i="120"/>
  <c r="F68" i="121" s="1"/>
  <c r="BX214" i="120"/>
  <c r="FJ66" i="121" s="1"/>
  <c r="BW214" i="120"/>
  <c r="FI66" i="121" s="1"/>
  <c r="BU214" i="120"/>
  <c r="FA66" i="121" s="1"/>
  <c r="EY66" i="121" s="1"/>
  <c r="BT214" i="120"/>
  <c r="EZ66" i="121" s="1"/>
  <c r="BR214" i="120"/>
  <c r="ER66" i="121" s="1"/>
  <c r="BQ214" i="120"/>
  <c r="EQ66" i="121" s="1"/>
  <c r="AZ214" i="120"/>
  <c r="DK66" i="121" s="1"/>
  <c r="DI66" i="121" s="1"/>
  <c r="AY214" i="120"/>
  <c r="DJ66" i="121" s="1"/>
  <c r="AW214" i="120"/>
  <c r="DB66" i="121" s="1"/>
  <c r="AV214" i="120"/>
  <c r="DA66" i="121" s="1"/>
  <c r="AT214" i="120"/>
  <c r="CS66" i="121" s="1"/>
  <c r="AS214" i="120"/>
  <c r="CR66" i="121" s="1"/>
  <c r="AB214" i="120"/>
  <c r="BL66" i="121" s="1"/>
  <c r="AA214" i="120"/>
  <c r="BK66" i="121" s="1"/>
  <c r="Y214" i="120"/>
  <c r="BC66" i="121" s="1"/>
  <c r="BA66" i="121" s="1"/>
  <c r="X214" i="120"/>
  <c r="BB66" i="121" s="1"/>
  <c r="V214" i="120"/>
  <c r="AT66" i="121" s="1"/>
  <c r="U214" i="120"/>
  <c r="AS66" i="121" s="1"/>
  <c r="M214" i="120"/>
  <c r="Y66" i="121" s="1"/>
  <c r="L214" i="120"/>
  <c r="X66" i="121" s="1"/>
  <c r="J214" i="120"/>
  <c r="P66" i="121" s="1"/>
  <c r="I214" i="120"/>
  <c r="O66" i="121" s="1"/>
  <c r="G214" i="120"/>
  <c r="G66" i="121" s="1"/>
  <c r="F214" i="120"/>
  <c r="F66" i="121" s="1"/>
  <c r="BX213" i="120"/>
  <c r="FJ65" i="121" s="1"/>
  <c r="BW213" i="120"/>
  <c r="FI65" i="121" s="1"/>
  <c r="BU213" i="120"/>
  <c r="FA65" i="121" s="1"/>
  <c r="BT213" i="120"/>
  <c r="EZ65" i="121" s="1"/>
  <c r="BR213" i="120"/>
  <c r="ER65" i="121" s="1"/>
  <c r="BQ213" i="120"/>
  <c r="EQ65" i="121" s="1"/>
  <c r="AZ213" i="120"/>
  <c r="DK65" i="121" s="1"/>
  <c r="DI65" i="121" s="1"/>
  <c r="AY213" i="120"/>
  <c r="DJ65" i="121" s="1"/>
  <c r="AW213" i="120"/>
  <c r="DB65" i="121" s="1"/>
  <c r="AV213" i="120"/>
  <c r="DA65" i="121" s="1"/>
  <c r="AT213" i="120"/>
  <c r="CS65" i="121" s="1"/>
  <c r="CQ65" i="121" s="1"/>
  <c r="AS213" i="120"/>
  <c r="CR65" i="121" s="1"/>
  <c r="AB213" i="120"/>
  <c r="BL65" i="121" s="1"/>
  <c r="AA213" i="120"/>
  <c r="BK65" i="121" s="1"/>
  <c r="Y213" i="120"/>
  <c r="BC65" i="121" s="1"/>
  <c r="X213" i="120"/>
  <c r="BB65" i="121" s="1"/>
  <c r="V213" i="120"/>
  <c r="AT65" i="121" s="1"/>
  <c r="U213" i="120"/>
  <c r="AS65" i="121" s="1"/>
  <c r="M213" i="120"/>
  <c r="Y65" i="121" s="1"/>
  <c r="W65" i="121" s="1"/>
  <c r="L213" i="120"/>
  <c r="X65" i="121" s="1"/>
  <c r="J213" i="120"/>
  <c r="P65" i="121" s="1"/>
  <c r="I213" i="120"/>
  <c r="O65" i="121" s="1"/>
  <c r="G213" i="120"/>
  <c r="G65" i="121" s="1"/>
  <c r="F213" i="120"/>
  <c r="F65" i="121" s="1"/>
  <c r="BX212" i="120"/>
  <c r="FJ64" i="121" s="1"/>
  <c r="BW212" i="120"/>
  <c r="FI64" i="121" s="1"/>
  <c r="BU212" i="120"/>
  <c r="FA64" i="121" s="1"/>
  <c r="FS64" i="121" s="1"/>
  <c r="BT212" i="120"/>
  <c r="EZ64" i="121" s="1"/>
  <c r="BR212" i="120"/>
  <c r="ER64" i="121" s="1"/>
  <c r="BQ212" i="120"/>
  <c r="EQ64" i="121" s="1"/>
  <c r="AZ212" i="120"/>
  <c r="DK64" i="121" s="1"/>
  <c r="AY212" i="120"/>
  <c r="DJ64" i="121" s="1"/>
  <c r="AW212" i="120"/>
  <c r="DB64" i="121" s="1"/>
  <c r="AV212" i="120"/>
  <c r="DA64" i="121" s="1"/>
  <c r="CZ64" i="121" s="1"/>
  <c r="AT212" i="120"/>
  <c r="CS64" i="121" s="1"/>
  <c r="AS212" i="120"/>
  <c r="CR64" i="121" s="1"/>
  <c r="AB212" i="120"/>
  <c r="BL64" i="121" s="1"/>
  <c r="AA212" i="120"/>
  <c r="BK64" i="121" s="1"/>
  <c r="BT64" i="121" s="1"/>
  <c r="Y212" i="120"/>
  <c r="BC64" i="121" s="1"/>
  <c r="X212" i="120"/>
  <c r="BB64" i="121" s="1"/>
  <c r="V212" i="120"/>
  <c r="AT64" i="121"/>
  <c r="BU64" i="121" s="1"/>
  <c r="U212" i="120"/>
  <c r="AS64" i="121" s="1"/>
  <c r="M212" i="120"/>
  <c r="Y64" i="121"/>
  <c r="L212" i="120"/>
  <c r="X64" i="121" s="1"/>
  <c r="J212" i="120"/>
  <c r="P64" i="121" s="1"/>
  <c r="I212" i="120"/>
  <c r="O64" i="121" s="1"/>
  <c r="G212" i="120"/>
  <c r="G64" i="121" s="1"/>
  <c r="F212" i="120"/>
  <c r="F64" i="121" s="1"/>
  <c r="BX211" i="120"/>
  <c r="FJ63" i="121" s="1"/>
  <c r="BW211" i="120"/>
  <c r="FI63" i="121"/>
  <c r="BU211" i="120"/>
  <c r="FA63" i="121" s="1"/>
  <c r="BT211" i="120"/>
  <c r="EZ63" i="121" s="1"/>
  <c r="BR211" i="120"/>
  <c r="ER63" i="121" s="1"/>
  <c r="BQ211" i="120"/>
  <c r="EQ63" i="121" s="1"/>
  <c r="AZ211" i="120"/>
  <c r="DK63" i="121" s="1"/>
  <c r="DI63" i="121" s="1"/>
  <c r="AY211" i="120"/>
  <c r="DJ63" i="121" s="1"/>
  <c r="AW211" i="120"/>
  <c r="DB63" i="121" s="1"/>
  <c r="AV211" i="120"/>
  <c r="DA63" i="121" s="1"/>
  <c r="AT211" i="120"/>
  <c r="CS63" i="121" s="1"/>
  <c r="DT63" i="121" s="1"/>
  <c r="AS211" i="120"/>
  <c r="CR63" i="121"/>
  <c r="AB211" i="120"/>
  <c r="BL63" i="121" s="1"/>
  <c r="AA211" i="120"/>
  <c r="BK63" i="121" s="1"/>
  <c r="BJ63" i="121" s="1"/>
  <c r="Y211" i="120"/>
  <c r="BC63" i="121" s="1"/>
  <c r="X211" i="120"/>
  <c r="BB63" i="121" s="1"/>
  <c r="V211" i="120"/>
  <c r="AT63" i="121" s="1"/>
  <c r="U211" i="120"/>
  <c r="AS63" i="121" s="1"/>
  <c r="M211" i="120"/>
  <c r="Y63" i="121" s="1"/>
  <c r="L211" i="120"/>
  <c r="X63" i="121"/>
  <c r="W63" i="121" s="1"/>
  <c r="J211" i="120"/>
  <c r="P63" i="121" s="1"/>
  <c r="I211" i="120"/>
  <c r="O63" i="121" s="1"/>
  <c r="G211" i="120"/>
  <c r="G63" i="121" s="1"/>
  <c r="F211" i="120"/>
  <c r="F63" i="121" s="1"/>
  <c r="AG63" i="121" s="1"/>
  <c r="BX210" i="120"/>
  <c r="FJ62" i="121" s="1"/>
  <c r="BW210" i="120"/>
  <c r="FI62" i="121" s="1"/>
  <c r="BU210" i="120"/>
  <c r="FA62" i="121" s="1"/>
  <c r="BT210" i="120"/>
  <c r="EZ62" i="121" s="1"/>
  <c r="EY62" i="121" s="1"/>
  <c r="BR210" i="120"/>
  <c r="ER62" i="121" s="1"/>
  <c r="BQ210" i="120"/>
  <c r="EQ62" i="121" s="1"/>
  <c r="AZ210" i="120"/>
  <c r="DK62" i="121" s="1"/>
  <c r="AY210" i="120"/>
  <c r="DJ62" i="121" s="1"/>
  <c r="DI62" i="121" s="1"/>
  <c r="AW210" i="120"/>
  <c r="DB62" i="121" s="1"/>
  <c r="AV210" i="120"/>
  <c r="DA62" i="121" s="1"/>
  <c r="AT210" i="120"/>
  <c r="CS62" i="121" s="1"/>
  <c r="AS210" i="120"/>
  <c r="CR62" i="121" s="1"/>
  <c r="AB210" i="120"/>
  <c r="BL62" i="121" s="1"/>
  <c r="AA210" i="120"/>
  <c r="BK62" i="121" s="1"/>
  <c r="Y210" i="120"/>
  <c r="BC62" i="121" s="1"/>
  <c r="BU62" i="121" s="1"/>
  <c r="X210" i="120"/>
  <c r="BB62" i="121" s="1"/>
  <c r="V210" i="120"/>
  <c r="AT62" i="121" s="1"/>
  <c r="U210" i="120"/>
  <c r="AS62" i="121"/>
  <c r="M210" i="120"/>
  <c r="Y62" i="121" s="1"/>
  <c r="L210" i="120"/>
  <c r="X62" i="121" s="1"/>
  <c r="J210" i="120"/>
  <c r="P62" i="121" s="1"/>
  <c r="I210" i="120"/>
  <c r="O62" i="121" s="1"/>
  <c r="G210" i="120"/>
  <c r="G62" i="121" s="1"/>
  <c r="F210" i="120"/>
  <c r="F62" i="121" s="1"/>
  <c r="BX207" i="120"/>
  <c r="FJ59" i="121" s="1"/>
  <c r="BW207" i="120"/>
  <c r="FI59" i="121" s="1"/>
  <c r="BU207" i="120"/>
  <c r="FA59" i="121" s="1"/>
  <c r="BR207" i="120"/>
  <c r="ER59" i="121" s="1"/>
  <c r="AZ207" i="120"/>
  <c r="DK59" i="121" s="1"/>
  <c r="AW207" i="120"/>
  <c r="DB59" i="121" s="1"/>
  <c r="AT207" i="120"/>
  <c r="CS59" i="121" s="1"/>
  <c r="AB207" i="120"/>
  <c r="BL59" i="121" s="1"/>
  <c r="Y207" i="120"/>
  <c r="BC59" i="121" s="1"/>
  <c r="V207" i="120"/>
  <c r="AT59" i="121" s="1"/>
  <c r="M207" i="120"/>
  <c r="Y59" i="121" s="1"/>
  <c r="J207" i="120"/>
  <c r="P59" i="121" s="1"/>
  <c r="G207" i="120"/>
  <c r="G59" i="121" s="1"/>
  <c r="BX206" i="120"/>
  <c r="FJ58" i="121" s="1"/>
  <c r="BW206" i="120"/>
  <c r="FI58" i="121" s="1"/>
  <c r="BU206" i="120"/>
  <c r="FA58" i="121" s="1"/>
  <c r="BT206" i="120"/>
  <c r="EZ58" i="121" s="1"/>
  <c r="BR206" i="120"/>
  <c r="ER58" i="121" s="1"/>
  <c r="BQ206" i="120"/>
  <c r="EQ58" i="121" s="1"/>
  <c r="AZ206" i="120"/>
  <c r="DK58" i="121"/>
  <c r="AY206" i="120"/>
  <c r="DJ58" i="121" s="1"/>
  <c r="AW206" i="120"/>
  <c r="DB58" i="121" s="1"/>
  <c r="AV206" i="120"/>
  <c r="DA58" i="121" s="1"/>
  <c r="AT206" i="120"/>
  <c r="CS58" i="121" s="1"/>
  <c r="AS206" i="120"/>
  <c r="CR58" i="121" s="1"/>
  <c r="AB206" i="120"/>
  <c r="BL58" i="121" s="1"/>
  <c r="AA206" i="120"/>
  <c r="BK58" i="121" s="1"/>
  <c r="Y206" i="120"/>
  <c r="BC58" i="121" s="1"/>
  <c r="X206" i="120"/>
  <c r="BB58" i="121" s="1"/>
  <c r="V206" i="120"/>
  <c r="AT58" i="121" s="1"/>
  <c r="U206" i="120"/>
  <c r="AS58" i="121" s="1"/>
  <c r="M206" i="120"/>
  <c r="Y58" i="121" s="1"/>
  <c r="L206" i="120"/>
  <c r="X58" i="121" s="1"/>
  <c r="J206" i="120"/>
  <c r="P58" i="121" s="1"/>
  <c r="I206" i="120"/>
  <c r="O58" i="121" s="1"/>
  <c r="G206" i="120"/>
  <c r="G58" i="121" s="1"/>
  <c r="F206" i="120"/>
  <c r="F58" i="121" s="1"/>
  <c r="BX205" i="120"/>
  <c r="FJ57" i="121" s="1"/>
  <c r="BW205" i="120"/>
  <c r="FI57" i="121" s="1"/>
  <c r="BU205" i="120"/>
  <c r="FA57" i="121" s="1"/>
  <c r="BT205" i="120"/>
  <c r="EZ57" i="121" s="1"/>
  <c r="BR205" i="120"/>
  <c r="ER57" i="121" s="1"/>
  <c r="BQ205" i="120"/>
  <c r="EQ57" i="121" s="1"/>
  <c r="AZ205" i="120"/>
  <c r="DK57" i="121" s="1"/>
  <c r="AY205" i="120"/>
  <c r="DJ57" i="121" s="1"/>
  <c r="AW205" i="120"/>
  <c r="DB57" i="121"/>
  <c r="AV205" i="120"/>
  <c r="DA57" i="121" s="1"/>
  <c r="AT205" i="120"/>
  <c r="CS57" i="121" s="1"/>
  <c r="DT57" i="121" s="1"/>
  <c r="AS205" i="120"/>
  <c r="CR57" i="121" s="1"/>
  <c r="AB205" i="120"/>
  <c r="BL57" i="121" s="1"/>
  <c r="AA205" i="120"/>
  <c r="BK57" i="121" s="1"/>
  <c r="Y205" i="120"/>
  <c r="BC57" i="121" s="1"/>
  <c r="BU57" i="121" s="1"/>
  <c r="X205" i="120"/>
  <c r="BB57" i="121" s="1"/>
  <c r="V205" i="120"/>
  <c r="AT57" i="121" s="1"/>
  <c r="U205" i="120"/>
  <c r="AS57" i="121" s="1"/>
  <c r="M205" i="120"/>
  <c r="Y57" i="121" s="1"/>
  <c r="L205" i="120"/>
  <c r="X57" i="121" s="1"/>
  <c r="J205" i="120"/>
  <c r="P57" i="121" s="1"/>
  <c r="I205" i="120"/>
  <c r="O57" i="121" s="1"/>
  <c r="G205" i="120"/>
  <c r="G57" i="121" s="1"/>
  <c r="F205" i="120"/>
  <c r="F57" i="121" s="1"/>
  <c r="BX202" i="120"/>
  <c r="BW202" i="120"/>
  <c r="FI54" i="121" s="1"/>
  <c r="BU202" i="120"/>
  <c r="BT202" i="120"/>
  <c r="EZ54" i="121" s="1"/>
  <c r="BR202" i="120"/>
  <c r="ER54" i="121" s="1"/>
  <c r="BQ202" i="120"/>
  <c r="EQ54" i="121" s="1"/>
  <c r="AZ202" i="120"/>
  <c r="AY202" i="120"/>
  <c r="DJ54" i="121" s="1"/>
  <c r="AW202" i="120"/>
  <c r="DB54" i="121" s="1"/>
  <c r="AT202" i="120"/>
  <c r="CS54" i="121" s="1"/>
  <c r="AB202" i="120"/>
  <c r="BL54" i="121" s="1"/>
  <c r="Y202" i="120"/>
  <c r="BC54" i="121" s="1"/>
  <c r="V202" i="120"/>
  <c r="AT54" i="121" s="1"/>
  <c r="M202" i="120"/>
  <c r="J202" i="120"/>
  <c r="G202" i="120"/>
  <c r="G54" i="121" s="1"/>
  <c r="BX201" i="120"/>
  <c r="FJ53" i="121" s="1"/>
  <c r="BW201" i="120"/>
  <c r="BU201" i="120"/>
  <c r="FA53" i="121" s="1"/>
  <c r="BT201" i="120"/>
  <c r="BR201" i="120"/>
  <c r="ER53" i="121" s="1"/>
  <c r="BQ201" i="120"/>
  <c r="EQ53" i="121" s="1"/>
  <c r="AZ201" i="120"/>
  <c r="DK53" i="121" s="1"/>
  <c r="AY201" i="120"/>
  <c r="DJ53" i="121" s="1"/>
  <c r="AW201" i="120"/>
  <c r="DB53" i="121" s="1"/>
  <c r="AT201" i="120"/>
  <c r="CS53" i="121" s="1"/>
  <c r="AB201" i="120"/>
  <c r="BL53" i="121" s="1"/>
  <c r="Y201" i="120"/>
  <c r="BC53" i="121" s="1"/>
  <c r="V201" i="120"/>
  <c r="AT53" i="121"/>
  <c r="M201" i="120"/>
  <c r="Y53" i="121" s="1"/>
  <c r="J201" i="120"/>
  <c r="P53" i="121" s="1"/>
  <c r="G201" i="120"/>
  <c r="G53" i="121" s="1"/>
  <c r="CD200" i="120"/>
  <c r="BX200" i="120"/>
  <c r="FJ52" i="121" s="1"/>
  <c r="BW200" i="120"/>
  <c r="FI52" i="121" s="1"/>
  <c r="BU200" i="120"/>
  <c r="FA52" i="121" s="1"/>
  <c r="BT200" i="120"/>
  <c r="EZ52" i="121" s="1"/>
  <c r="EY52" i="121" s="1"/>
  <c r="BR200" i="120"/>
  <c r="ER52" i="121" s="1"/>
  <c r="BQ200" i="120"/>
  <c r="EQ52" i="121" s="1"/>
  <c r="AZ200" i="120"/>
  <c r="DK52" i="121" s="1"/>
  <c r="AY200" i="120"/>
  <c r="DJ52" i="121" s="1"/>
  <c r="DI52" i="121" s="1"/>
  <c r="AW200" i="120"/>
  <c r="DB52" i="121" s="1"/>
  <c r="AV200" i="120"/>
  <c r="DA52" i="121" s="1"/>
  <c r="AT200" i="120"/>
  <c r="CS52" i="121" s="1"/>
  <c r="AS200" i="120"/>
  <c r="CR52" i="121" s="1"/>
  <c r="AB200" i="120"/>
  <c r="BL52" i="121" s="1"/>
  <c r="AA200" i="120"/>
  <c r="BK52" i="121" s="1"/>
  <c r="Y200" i="120"/>
  <c r="BC52" i="121" s="1"/>
  <c r="X200" i="120"/>
  <c r="BB52" i="121" s="1"/>
  <c r="V200" i="120"/>
  <c r="AT52" i="121" s="1"/>
  <c r="M200" i="120"/>
  <c r="Y52" i="121" s="1"/>
  <c r="L200" i="120"/>
  <c r="X52" i="121"/>
  <c r="J200" i="120"/>
  <c r="P52" i="121" s="1"/>
  <c r="I200" i="120"/>
  <c r="O52" i="121" s="1"/>
  <c r="G200" i="120"/>
  <c r="G52" i="121" s="1"/>
  <c r="F200" i="120"/>
  <c r="F52" i="121" s="1"/>
  <c r="E52" i="121" s="1"/>
  <c r="BX199" i="120"/>
  <c r="FJ51" i="121" s="1"/>
  <c r="BW199" i="120"/>
  <c r="FI51" i="121" s="1"/>
  <c r="BU199" i="120"/>
  <c r="FA51" i="121" s="1"/>
  <c r="BR199" i="120"/>
  <c r="ER51" i="121" s="1"/>
  <c r="FS51" i="121" s="1"/>
  <c r="AZ199" i="120"/>
  <c r="DK51" i="121" s="1"/>
  <c r="AW199" i="120"/>
  <c r="DB51" i="121" s="1"/>
  <c r="AT199" i="120"/>
  <c r="CS51" i="121" s="1"/>
  <c r="AB199" i="120"/>
  <c r="BL51" i="121" s="1"/>
  <c r="Y199" i="120"/>
  <c r="BC51" i="121" s="1"/>
  <c r="V199" i="120"/>
  <c r="AT51" i="121" s="1"/>
  <c r="M199" i="120"/>
  <c r="Y51" i="121" s="1"/>
  <c r="BX198" i="120"/>
  <c r="FJ50" i="121" s="1"/>
  <c r="BW198" i="120"/>
  <c r="FI50" i="121" s="1"/>
  <c r="BU198" i="120"/>
  <c r="FA50" i="121" s="1"/>
  <c r="BT198" i="120"/>
  <c r="EZ50" i="121" s="1"/>
  <c r="BR198" i="120"/>
  <c r="ER50" i="121" s="1"/>
  <c r="BQ198" i="120"/>
  <c r="EQ50" i="121" s="1"/>
  <c r="AZ198" i="120"/>
  <c r="DK50" i="121" s="1"/>
  <c r="AY198" i="120"/>
  <c r="DJ50" i="121" s="1"/>
  <c r="AW198" i="120"/>
  <c r="DB50" i="121" s="1"/>
  <c r="AV198" i="120"/>
  <c r="DA50" i="121" s="1"/>
  <c r="AT198" i="120"/>
  <c r="CS50" i="121" s="1"/>
  <c r="AS198" i="120"/>
  <c r="CR50" i="121" s="1"/>
  <c r="AB198" i="120"/>
  <c r="BL50" i="121" s="1"/>
  <c r="AA198" i="120"/>
  <c r="BK50" i="121" s="1"/>
  <c r="Y198" i="120"/>
  <c r="BC50" i="121" s="1"/>
  <c r="X198" i="120"/>
  <c r="BB50" i="121" s="1"/>
  <c r="V198" i="120"/>
  <c r="AT50" i="121" s="1"/>
  <c r="BU50" i="121" s="1"/>
  <c r="M198" i="120"/>
  <c r="Y50" i="121" s="1"/>
  <c r="L198" i="120"/>
  <c r="X50" i="121" s="1"/>
  <c r="BX197" i="120"/>
  <c r="FJ49" i="121" s="1"/>
  <c r="BW197" i="120"/>
  <c r="FI49" i="121" s="1"/>
  <c r="BU197" i="120"/>
  <c r="FA49" i="121" s="1"/>
  <c r="BT197" i="120"/>
  <c r="EZ49" i="121" s="1"/>
  <c r="BR197" i="120"/>
  <c r="ER49" i="121" s="1"/>
  <c r="BQ197" i="120"/>
  <c r="EQ49" i="121" s="1"/>
  <c r="AZ197" i="120"/>
  <c r="DK49" i="121" s="1"/>
  <c r="AY197" i="120"/>
  <c r="DJ49" i="121" s="1"/>
  <c r="AW197" i="120"/>
  <c r="DB49" i="121" s="1"/>
  <c r="AV197" i="120"/>
  <c r="DA49" i="121" s="1"/>
  <c r="AT197" i="120"/>
  <c r="CS49" i="121" s="1"/>
  <c r="AS197" i="120"/>
  <c r="CR49" i="121" s="1"/>
  <c r="AB197" i="120"/>
  <c r="BL49" i="121" s="1"/>
  <c r="AA197" i="120"/>
  <c r="BK49" i="121" s="1"/>
  <c r="Y197" i="120"/>
  <c r="BC49" i="121" s="1"/>
  <c r="V197" i="120"/>
  <c r="AT49" i="121" s="1"/>
  <c r="M197" i="120"/>
  <c r="Y49" i="121" s="1"/>
  <c r="L197" i="120"/>
  <c r="X49" i="121" s="1"/>
  <c r="W49" i="121" s="1"/>
  <c r="I197" i="120"/>
  <c r="O49" i="121" s="1"/>
  <c r="F197" i="120"/>
  <c r="F49" i="121" s="1"/>
  <c r="BX196" i="120"/>
  <c r="FJ48" i="121" s="1"/>
  <c r="BW196" i="120"/>
  <c r="FI48" i="121" s="1"/>
  <c r="BU196" i="120"/>
  <c r="FA48" i="121" s="1"/>
  <c r="BT196" i="120"/>
  <c r="EZ48" i="121" s="1"/>
  <c r="BR196" i="120"/>
  <c r="ER48" i="121" s="1"/>
  <c r="BQ196" i="120"/>
  <c r="EQ48" i="121" s="1"/>
  <c r="AZ196" i="120"/>
  <c r="DK48" i="121" s="1"/>
  <c r="AY196" i="120"/>
  <c r="DJ48" i="121" s="1"/>
  <c r="AW196" i="120"/>
  <c r="DB48" i="121" s="1"/>
  <c r="AV196" i="120"/>
  <c r="DA48" i="121" s="1"/>
  <c r="AT196" i="120"/>
  <c r="CS48" i="121" s="1"/>
  <c r="AS196" i="120"/>
  <c r="CR48" i="121" s="1"/>
  <c r="AB196" i="120"/>
  <c r="BL48" i="121" s="1"/>
  <c r="AA196" i="120"/>
  <c r="BK48" i="121" s="1"/>
  <c r="Y196" i="120"/>
  <c r="BC48" i="121" s="1"/>
  <c r="X196" i="120"/>
  <c r="BB48" i="121" s="1"/>
  <c r="M196" i="120"/>
  <c r="Y48" i="121" s="1"/>
  <c r="L196" i="120"/>
  <c r="X48" i="121" s="1"/>
  <c r="J196" i="120"/>
  <c r="P48" i="121" s="1"/>
  <c r="I196" i="120"/>
  <c r="O48" i="121"/>
  <c r="G196" i="120"/>
  <c r="G48" i="121" s="1"/>
  <c r="F196" i="120"/>
  <c r="F48" i="121" s="1"/>
  <c r="BX191" i="120"/>
  <c r="BW191" i="120"/>
  <c r="BU191" i="120"/>
  <c r="BT191" i="120"/>
  <c r="BR191" i="120"/>
  <c r="BQ191" i="120"/>
  <c r="AZ191" i="120"/>
  <c r="AY191" i="120"/>
  <c r="AW191" i="120"/>
  <c r="AV191" i="120"/>
  <c r="AT191" i="120"/>
  <c r="AS191" i="120"/>
  <c r="AB191" i="120"/>
  <c r="AA191" i="120"/>
  <c r="Y191" i="120"/>
  <c r="X191" i="120"/>
  <c r="V191" i="120"/>
  <c r="U191" i="120"/>
  <c r="M191" i="120"/>
  <c r="L191" i="120"/>
  <c r="J191" i="120"/>
  <c r="I191" i="120"/>
  <c r="G191" i="120"/>
  <c r="F191" i="120"/>
  <c r="BX190" i="120"/>
  <c r="BW190" i="120"/>
  <c r="BU190" i="120"/>
  <c r="BT190" i="120"/>
  <c r="BR190" i="120"/>
  <c r="BQ190" i="120"/>
  <c r="AZ190" i="120"/>
  <c r="AY190" i="120"/>
  <c r="AW190" i="120"/>
  <c r="AV190" i="120"/>
  <c r="AT190" i="120"/>
  <c r="AS190" i="120"/>
  <c r="AB190" i="120"/>
  <c r="AA190" i="120"/>
  <c r="Y190" i="120"/>
  <c r="X190" i="120"/>
  <c r="V190" i="120"/>
  <c r="U190" i="120"/>
  <c r="M190" i="120"/>
  <c r="L190" i="120"/>
  <c r="J190" i="120"/>
  <c r="I190" i="120"/>
  <c r="G190" i="120"/>
  <c r="F190" i="120"/>
  <c r="BX184" i="120"/>
  <c r="BW184" i="120"/>
  <c r="BU184" i="120"/>
  <c r="BT184" i="120"/>
  <c r="BR184" i="120"/>
  <c r="BQ184" i="120"/>
  <c r="AZ184" i="120"/>
  <c r="AY184" i="120"/>
  <c r="AW184" i="120"/>
  <c r="AV184" i="120"/>
  <c r="AT184" i="120"/>
  <c r="AS184" i="120"/>
  <c r="AB184" i="120"/>
  <c r="AA184" i="120"/>
  <c r="Y184" i="120"/>
  <c r="X184" i="120"/>
  <c r="V184" i="120"/>
  <c r="U184" i="120"/>
  <c r="M184" i="120"/>
  <c r="L184" i="120"/>
  <c r="J184" i="120"/>
  <c r="I184" i="120"/>
  <c r="G184" i="120"/>
  <c r="F184" i="120"/>
  <c r="BX182" i="120"/>
  <c r="BW182" i="120"/>
  <c r="BU182" i="120"/>
  <c r="BT182" i="120"/>
  <c r="BR182" i="120"/>
  <c r="BQ182" i="120"/>
  <c r="AZ182" i="120"/>
  <c r="AY182" i="120"/>
  <c r="AW182" i="120"/>
  <c r="AV182" i="120"/>
  <c r="AT182" i="120"/>
  <c r="AS182" i="120"/>
  <c r="AB182" i="120"/>
  <c r="AA182" i="120"/>
  <c r="Y182" i="120"/>
  <c r="X182" i="120"/>
  <c r="V182" i="120"/>
  <c r="U182" i="120"/>
  <c r="M182" i="120"/>
  <c r="L182" i="120"/>
  <c r="J182" i="120"/>
  <c r="I182" i="120"/>
  <c r="G182" i="120"/>
  <c r="F182" i="120"/>
  <c r="BX176" i="120"/>
  <c r="BW176" i="120"/>
  <c r="BU176" i="120"/>
  <c r="BT176" i="120"/>
  <c r="BR176" i="120"/>
  <c r="BQ176" i="120"/>
  <c r="AZ176" i="120"/>
  <c r="AY176" i="120"/>
  <c r="AW176" i="120"/>
  <c r="AV176" i="120"/>
  <c r="AT176" i="120"/>
  <c r="AS176" i="120"/>
  <c r="AB176" i="120"/>
  <c r="AA176" i="120"/>
  <c r="Y176" i="120"/>
  <c r="X176" i="120"/>
  <c r="V176" i="120"/>
  <c r="U176" i="120"/>
  <c r="M176" i="120"/>
  <c r="L176" i="120"/>
  <c r="J176" i="120"/>
  <c r="I176" i="120"/>
  <c r="G176" i="120"/>
  <c r="F176" i="120"/>
  <c r="BX175" i="120"/>
  <c r="BX177" i="120" s="1"/>
  <c r="BW175" i="120"/>
  <c r="BU175" i="120"/>
  <c r="BU177" i="120" s="1"/>
  <c r="BT175" i="120"/>
  <c r="BR175" i="120"/>
  <c r="BQ175" i="120"/>
  <c r="AZ175" i="120"/>
  <c r="AY175" i="120"/>
  <c r="AW175" i="120"/>
  <c r="AV175" i="120"/>
  <c r="AT175" i="120"/>
  <c r="AS175" i="120"/>
  <c r="AB175" i="120"/>
  <c r="AA175" i="120"/>
  <c r="Y175" i="120"/>
  <c r="X175" i="120"/>
  <c r="V175" i="120"/>
  <c r="U175" i="120"/>
  <c r="M175" i="120"/>
  <c r="L175" i="120"/>
  <c r="J175" i="120"/>
  <c r="J177" i="120" s="1"/>
  <c r="I175" i="120"/>
  <c r="G175" i="120"/>
  <c r="F175" i="120"/>
  <c r="BY164" i="120"/>
  <c r="BD164" i="120"/>
  <c r="CB164" i="120" s="1"/>
  <c r="BA164" i="120"/>
  <c r="AF164" i="120"/>
  <c r="AC164" i="120"/>
  <c r="N164" i="120"/>
  <c r="BY163" i="120"/>
  <c r="BA163" i="120"/>
  <c r="AF163" i="120"/>
  <c r="BD163" i="120" s="1"/>
  <c r="CB163" i="120" s="1"/>
  <c r="AC163" i="120"/>
  <c r="N163" i="120"/>
  <c r="N161" i="120" s="1"/>
  <c r="BY162" i="120"/>
  <c r="BA162" i="120"/>
  <c r="AF162" i="120"/>
  <c r="BD162" i="120" s="1"/>
  <c r="CB162" i="120" s="1"/>
  <c r="AC162" i="120"/>
  <c r="N162" i="120"/>
  <c r="BV161" i="120"/>
  <c r="BS161" i="120"/>
  <c r="BP161" i="120"/>
  <c r="BM161" i="120"/>
  <c r="AX161" i="120"/>
  <c r="AU161" i="120"/>
  <c r="AR161" i="120"/>
  <c r="AO161" i="120"/>
  <c r="Z161" i="120"/>
  <c r="W161" i="120"/>
  <c r="T161" i="120"/>
  <c r="Q161" i="120"/>
  <c r="K161" i="120"/>
  <c r="H161" i="120"/>
  <c r="E161" i="120"/>
  <c r="B161" i="120"/>
  <c r="AF161" i="120" s="1"/>
  <c r="BD161" i="120" s="1"/>
  <c r="CA157" i="120"/>
  <c r="CA223" i="120"/>
  <c r="BZ157" i="120"/>
  <c r="BV157" i="120"/>
  <c r="BV223" i="120" s="1"/>
  <c r="BS157" i="120"/>
  <c r="BS223" i="120"/>
  <c r="BP157" i="120"/>
  <c r="BP223" i="120" s="1"/>
  <c r="BC157" i="120"/>
  <c r="BC223" i="120" s="1"/>
  <c r="BB157" i="120"/>
  <c r="AX157" i="120"/>
  <c r="AX223" i="120" s="1"/>
  <c r="AU157" i="120"/>
  <c r="AU223" i="120" s="1"/>
  <c r="AR157" i="120"/>
  <c r="AR223" i="120" s="1"/>
  <c r="AE157" i="120"/>
  <c r="AD157" i="120"/>
  <c r="Z157" i="120"/>
  <c r="Z223" i="120" s="1"/>
  <c r="W157" i="120"/>
  <c r="W223" i="120" s="1"/>
  <c r="T157" i="120"/>
  <c r="T223" i="120"/>
  <c r="P157" i="120"/>
  <c r="P223" i="120" s="1"/>
  <c r="O157" i="120"/>
  <c r="O223" i="120" s="1"/>
  <c r="K157" i="120"/>
  <c r="K223" i="120" s="1"/>
  <c r="H157" i="120"/>
  <c r="H223" i="120" s="1"/>
  <c r="E157" i="120"/>
  <c r="E223" i="120" s="1"/>
  <c r="D157" i="120"/>
  <c r="D223" i="120" s="1"/>
  <c r="D75" i="121" s="1"/>
  <c r="CA156" i="120"/>
  <c r="BZ156" i="120"/>
  <c r="BZ222" i="120" s="1"/>
  <c r="BV156" i="120"/>
  <c r="BV222" i="120" s="1"/>
  <c r="BS156" i="120"/>
  <c r="BS222" i="120" s="1"/>
  <c r="BP156" i="120"/>
  <c r="BP222" i="120" s="1"/>
  <c r="BC156" i="120"/>
  <c r="BC222" i="120"/>
  <c r="BB156" i="120"/>
  <c r="BB222" i="120" s="1"/>
  <c r="AX156" i="120"/>
  <c r="AX222" i="120"/>
  <c r="AU156" i="120"/>
  <c r="AU222" i="120" s="1"/>
  <c r="AR156" i="120"/>
  <c r="AR222" i="120" s="1"/>
  <c r="AE156" i="120"/>
  <c r="AD156" i="120"/>
  <c r="AD222" i="120" s="1"/>
  <c r="Z156" i="120"/>
  <c r="Z222" i="120" s="1"/>
  <c r="W156" i="120"/>
  <c r="W222" i="120" s="1"/>
  <c r="T156" i="120"/>
  <c r="T222" i="120" s="1"/>
  <c r="P156" i="120"/>
  <c r="P222" i="120"/>
  <c r="O156" i="120"/>
  <c r="O222" i="120" s="1"/>
  <c r="K156" i="120"/>
  <c r="K222" i="120" s="1"/>
  <c r="H156" i="120"/>
  <c r="H222" i="120" s="1"/>
  <c r="E156" i="120"/>
  <c r="E222" i="120" s="1"/>
  <c r="D156" i="120"/>
  <c r="C156" i="120"/>
  <c r="CA155" i="120"/>
  <c r="CA221" i="120" s="1"/>
  <c r="BZ155" i="120"/>
  <c r="BZ221" i="120" s="1"/>
  <c r="BV155" i="120"/>
  <c r="BV221" i="120" s="1"/>
  <c r="BS155" i="120"/>
  <c r="BS221" i="120" s="1"/>
  <c r="BP155" i="120"/>
  <c r="BP221" i="120" s="1"/>
  <c r="BC155" i="120"/>
  <c r="BC221" i="120" s="1"/>
  <c r="BB155" i="120"/>
  <c r="BB221" i="120" s="1"/>
  <c r="AX155" i="120"/>
  <c r="AX221" i="120" s="1"/>
  <c r="AU155" i="120"/>
  <c r="AU221" i="120" s="1"/>
  <c r="AR155" i="120"/>
  <c r="AR221" i="120" s="1"/>
  <c r="AE155" i="120"/>
  <c r="AD155" i="120"/>
  <c r="AD221" i="120" s="1"/>
  <c r="Z155" i="120"/>
  <c r="Z221" i="120" s="1"/>
  <c r="W155" i="120"/>
  <c r="W221" i="120" s="1"/>
  <c r="T155" i="120"/>
  <c r="T221" i="120" s="1"/>
  <c r="P155" i="120"/>
  <c r="P221" i="120" s="1"/>
  <c r="K155" i="120"/>
  <c r="K221" i="120" s="1"/>
  <c r="H155" i="120"/>
  <c r="H221" i="120" s="1"/>
  <c r="CA154" i="120"/>
  <c r="CA220" i="120" s="1"/>
  <c r="BZ154" i="120"/>
  <c r="BZ220" i="120" s="1"/>
  <c r="BV154" i="120"/>
  <c r="BV220" i="120" s="1"/>
  <c r="BS154" i="120"/>
  <c r="BS220" i="120" s="1"/>
  <c r="BP154" i="120"/>
  <c r="BP220" i="120" s="1"/>
  <c r="BC154" i="120"/>
  <c r="BC220" i="120" s="1"/>
  <c r="BB154" i="120"/>
  <c r="BB220" i="120" s="1"/>
  <c r="AX154" i="120"/>
  <c r="AX220" i="120" s="1"/>
  <c r="AU154" i="120"/>
  <c r="AU220" i="120" s="1"/>
  <c r="AR154" i="120"/>
  <c r="AR220" i="120" s="1"/>
  <c r="AE154" i="120"/>
  <c r="AE220" i="120" s="1"/>
  <c r="AD154" i="120"/>
  <c r="AD220" i="120" s="1"/>
  <c r="Z154" i="120"/>
  <c r="Z220" i="120" s="1"/>
  <c r="W154" i="120"/>
  <c r="W220" i="120" s="1"/>
  <c r="T154" i="120"/>
  <c r="T220" i="120" s="1"/>
  <c r="P154" i="120"/>
  <c r="P220" i="120" s="1"/>
  <c r="O154" i="120"/>
  <c r="K154" i="120"/>
  <c r="K220" i="120" s="1"/>
  <c r="H154" i="120"/>
  <c r="H220" i="120" s="1"/>
  <c r="E154" i="120"/>
  <c r="E220" i="120" s="1"/>
  <c r="CA153" i="120"/>
  <c r="BZ153" i="120"/>
  <c r="BZ219" i="120" s="1"/>
  <c r="BV153" i="120"/>
  <c r="BV219" i="120" s="1"/>
  <c r="BS153" i="120"/>
  <c r="BS219" i="120" s="1"/>
  <c r="BP153" i="120"/>
  <c r="BP219" i="120" s="1"/>
  <c r="BC153" i="120"/>
  <c r="BC219" i="120" s="1"/>
  <c r="BB153" i="120"/>
  <c r="BB219" i="120" s="1"/>
  <c r="AX153" i="120"/>
  <c r="AX219" i="120" s="1"/>
  <c r="AU153" i="120"/>
  <c r="AU219" i="120" s="1"/>
  <c r="AR153" i="120"/>
  <c r="AR219" i="120" s="1"/>
  <c r="AE153" i="120"/>
  <c r="AE219" i="120" s="1"/>
  <c r="AD153" i="120"/>
  <c r="AD219" i="120" s="1"/>
  <c r="Z153" i="120"/>
  <c r="Z219" i="120" s="1"/>
  <c r="W153" i="120"/>
  <c r="W219" i="120" s="1"/>
  <c r="T153" i="120"/>
  <c r="T219" i="120" s="1"/>
  <c r="P153" i="120"/>
  <c r="P219" i="120" s="1"/>
  <c r="O153" i="120"/>
  <c r="O219" i="120" s="1"/>
  <c r="K153" i="120"/>
  <c r="K219" i="120" s="1"/>
  <c r="H153" i="120"/>
  <c r="H219" i="120"/>
  <c r="E153" i="120"/>
  <c r="E219" i="120" s="1"/>
  <c r="CA152" i="120"/>
  <c r="CA218" i="120" s="1"/>
  <c r="BZ152" i="120"/>
  <c r="BV152" i="120"/>
  <c r="BV218" i="120" s="1"/>
  <c r="BS152" i="120"/>
  <c r="BS218" i="120" s="1"/>
  <c r="BP152" i="120"/>
  <c r="BP218" i="120" s="1"/>
  <c r="BC152" i="120"/>
  <c r="BC218" i="120" s="1"/>
  <c r="BB152" i="120"/>
  <c r="BB218" i="120" s="1"/>
  <c r="AX152" i="120"/>
  <c r="AX218" i="120" s="1"/>
  <c r="AU152" i="120"/>
  <c r="AU218" i="120" s="1"/>
  <c r="AR152" i="120"/>
  <c r="AR218" i="120" s="1"/>
  <c r="AE152" i="120"/>
  <c r="AE218" i="120" s="1"/>
  <c r="AD152" i="120"/>
  <c r="Z152" i="120"/>
  <c r="Z218" i="120" s="1"/>
  <c r="W152" i="120"/>
  <c r="W218" i="120" s="1"/>
  <c r="T152" i="120"/>
  <c r="T218" i="120" s="1"/>
  <c r="P152" i="120"/>
  <c r="O152" i="120"/>
  <c r="O218" i="120" s="1"/>
  <c r="K152" i="120"/>
  <c r="K218" i="120" s="1"/>
  <c r="H152" i="120"/>
  <c r="H218" i="120" s="1"/>
  <c r="E152" i="120"/>
  <c r="E218" i="120" s="1"/>
  <c r="CA151" i="120"/>
  <c r="CA217" i="120" s="1"/>
  <c r="BZ151" i="120"/>
  <c r="BZ217" i="120" s="1"/>
  <c r="BV151" i="120"/>
  <c r="BV217" i="120" s="1"/>
  <c r="BS151" i="120"/>
  <c r="BS217" i="120" s="1"/>
  <c r="BP151" i="120"/>
  <c r="BP217" i="120" s="1"/>
  <c r="BC151" i="120"/>
  <c r="BC217" i="120" s="1"/>
  <c r="BB151" i="120"/>
  <c r="AX151" i="120"/>
  <c r="AX217" i="120" s="1"/>
  <c r="AU151" i="120"/>
  <c r="AU217" i="120" s="1"/>
  <c r="AR151" i="120"/>
  <c r="AR217" i="120" s="1"/>
  <c r="AE151" i="120"/>
  <c r="AE217" i="120" s="1"/>
  <c r="AD151" i="120"/>
  <c r="AD217" i="120" s="1"/>
  <c r="Z151" i="120"/>
  <c r="Z217" i="120" s="1"/>
  <c r="W151" i="120"/>
  <c r="W217" i="120" s="1"/>
  <c r="T151" i="120"/>
  <c r="T217" i="120" s="1"/>
  <c r="P151" i="120"/>
  <c r="P217" i="120" s="1"/>
  <c r="O151" i="120"/>
  <c r="O217" i="120" s="1"/>
  <c r="K151" i="120"/>
  <c r="K217" i="120" s="1"/>
  <c r="H151" i="120"/>
  <c r="H217" i="120" s="1"/>
  <c r="E151" i="120"/>
  <c r="E217" i="120" s="1"/>
  <c r="CA150" i="120"/>
  <c r="CA216" i="120" s="1"/>
  <c r="BZ150" i="120"/>
  <c r="BV150" i="120"/>
  <c r="BV216" i="120" s="1"/>
  <c r="BS150" i="120"/>
  <c r="BS216" i="120" s="1"/>
  <c r="BP150" i="120"/>
  <c r="BP216" i="120" s="1"/>
  <c r="BC150" i="120"/>
  <c r="BC216" i="120" s="1"/>
  <c r="BB150" i="120"/>
  <c r="BB216" i="120" s="1"/>
  <c r="AX150" i="120"/>
  <c r="AX216" i="120" s="1"/>
  <c r="AU150" i="120"/>
  <c r="AU216" i="120" s="1"/>
  <c r="AR150" i="120"/>
  <c r="AR216" i="120" s="1"/>
  <c r="AE150" i="120"/>
  <c r="AE216" i="120" s="1"/>
  <c r="AD150" i="120"/>
  <c r="Z150" i="120"/>
  <c r="Z216" i="120" s="1"/>
  <c r="W150" i="120"/>
  <c r="W216" i="120" s="1"/>
  <c r="T150" i="120"/>
  <c r="T216" i="120" s="1"/>
  <c r="P150" i="120"/>
  <c r="O150" i="120"/>
  <c r="O216" i="120"/>
  <c r="K150" i="120"/>
  <c r="K216" i="120" s="1"/>
  <c r="H150" i="120"/>
  <c r="H216" i="120" s="1"/>
  <c r="E150" i="120"/>
  <c r="E216" i="120" s="1"/>
  <c r="BX149" i="120"/>
  <c r="BX215" i="120" s="1"/>
  <c r="FJ67" i="121" s="1"/>
  <c r="BW149" i="120"/>
  <c r="BW215" i="120" s="1"/>
  <c r="FI67" i="121" s="1"/>
  <c r="BU149" i="120"/>
  <c r="BT149" i="120"/>
  <c r="BT215" i="120" s="1"/>
  <c r="EZ67" i="121" s="1"/>
  <c r="BR149" i="120"/>
  <c r="BR215" i="120" s="1"/>
  <c r="BQ149" i="120"/>
  <c r="AZ149" i="120"/>
  <c r="AZ215" i="120" s="1"/>
  <c r="AY149" i="120"/>
  <c r="AY215" i="120" s="1"/>
  <c r="DJ67" i="121" s="1"/>
  <c r="AW149" i="120"/>
  <c r="AW215" i="120" s="1"/>
  <c r="AV149" i="120"/>
  <c r="AV215" i="120" s="1"/>
  <c r="DA67" i="121" s="1"/>
  <c r="AT149" i="120"/>
  <c r="AT215" i="120" s="1"/>
  <c r="AS149" i="120"/>
  <c r="AB149" i="120"/>
  <c r="AB215" i="120" s="1"/>
  <c r="BL67" i="121" s="1"/>
  <c r="AA149" i="120"/>
  <c r="AA215" i="120" s="1"/>
  <c r="BK67" i="121" s="1"/>
  <c r="Y149" i="120"/>
  <c r="Y215" i="120" s="1"/>
  <c r="X149" i="120"/>
  <c r="X215" i="120" s="1"/>
  <c r="BB67" i="121" s="1"/>
  <c r="V149" i="120"/>
  <c r="V215" i="120" s="1"/>
  <c r="AT67" i="121" s="1"/>
  <c r="U149" i="120"/>
  <c r="M149" i="120"/>
  <c r="L149" i="120"/>
  <c r="L215" i="120"/>
  <c r="X67" i="121" s="1"/>
  <c r="J149" i="120"/>
  <c r="J215" i="120" s="1"/>
  <c r="I149" i="120"/>
  <c r="I215" i="120"/>
  <c r="O67" i="121" s="1"/>
  <c r="G149" i="120"/>
  <c r="G215" i="120" s="1"/>
  <c r="CD214" i="120"/>
  <c r="CA148" i="120"/>
  <c r="CA214" i="120" s="1"/>
  <c r="BZ148" i="120"/>
  <c r="BZ214" i="120" s="1"/>
  <c r="BV148" i="120"/>
  <c r="BV214" i="120" s="1"/>
  <c r="BS148" i="120"/>
  <c r="BS214" i="120" s="1"/>
  <c r="BP148" i="120"/>
  <c r="BP214" i="120" s="1"/>
  <c r="BC148" i="120"/>
  <c r="BC214" i="120"/>
  <c r="BB148" i="120"/>
  <c r="AX148" i="120"/>
  <c r="AX214" i="120" s="1"/>
  <c r="AU148" i="120"/>
  <c r="AU214" i="120"/>
  <c r="AR148" i="120"/>
  <c r="AR214" i="120" s="1"/>
  <c r="AE148" i="120"/>
  <c r="AE214" i="120" s="1"/>
  <c r="AD148" i="120"/>
  <c r="AD214" i="120" s="1"/>
  <c r="Z148" i="120"/>
  <c r="Z214" i="120" s="1"/>
  <c r="W148" i="120"/>
  <c r="W214" i="120" s="1"/>
  <c r="T148" i="120"/>
  <c r="T214" i="120" s="1"/>
  <c r="P148" i="120"/>
  <c r="P214" i="120" s="1"/>
  <c r="O148" i="120"/>
  <c r="O214" i="120"/>
  <c r="K148" i="120"/>
  <c r="K214" i="120" s="1"/>
  <c r="H148" i="120"/>
  <c r="H214" i="120" s="1"/>
  <c r="E148" i="120"/>
  <c r="E214" i="120" s="1"/>
  <c r="D148" i="120"/>
  <c r="CA147" i="120"/>
  <c r="BZ147" i="120"/>
  <c r="BZ213" i="120" s="1"/>
  <c r="BV147" i="120"/>
  <c r="BV213" i="120" s="1"/>
  <c r="BS147" i="120"/>
  <c r="BS213" i="120" s="1"/>
  <c r="BP147" i="120"/>
  <c r="BP213" i="120" s="1"/>
  <c r="BC147" i="120"/>
  <c r="BC213" i="120" s="1"/>
  <c r="BB147" i="120"/>
  <c r="BB213" i="120"/>
  <c r="AX147" i="120"/>
  <c r="AX213" i="120" s="1"/>
  <c r="AU147" i="120"/>
  <c r="AU213" i="120" s="1"/>
  <c r="AR147" i="120"/>
  <c r="AR213" i="120" s="1"/>
  <c r="AE147" i="120"/>
  <c r="AE213" i="120" s="1"/>
  <c r="AD147" i="120"/>
  <c r="AD213" i="120" s="1"/>
  <c r="Z147" i="120"/>
  <c r="Z213" i="120" s="1"/>
  <c r="W147" i="120"/>
  <c r="W213" i="120" s="1"/>
  <c r="T147" i="120"/>
  <c r="T213" i="120" s="1"/>
  <c r="P147" i="120"/>
  <c r="P213" i="120" s="1"/>
  <c r="O147" i="120"/>
  <c r="O213" i="120" s="1"/>
  <c r="K147" i="120"/>
  <c r="K213" i="120" s="1"/>
  <c r="H147" i="120"/>
  <c r="H213" i="120" s="1"/>
  <c r="E147" i="120"/>
  <c r="E213" i="120" s="1"/>
  <c r="CA146" i="120"/>
  <c r="CA212" i="120" s="1"/>
  <c r="BZ146" i="120"/>
  <c r="BV146" i="120"/>
  <c r="BV212" i="120" s="1"/>
  <c r="BS146" i="120"/>
  <c r="BS212" i="120" s="1"/>
  <c r="BP146" i="120"/>
  <c r="BP212" i="120" s="1"/>
  <c r="BC146" i="120"/>
  <c r="BC212" i="120" s="1"/>
  <c r="BB146" i="120"/>
  <c r="BB212" i="120" s="1"/>
  <c r="AX146" i="120"/>
  <c r="AX212" i="120" s="1"/>
  <c r="AU146" i="120"/>
  <c r="AU212" i="120" s="1"/>
  <c r="AR146" i="120"/>
  <c r="AR212" i="120" s="1"/>
  <c r="AE146" i="120"/>
  <c r="AE212" i="120" s="1"/>
  <c r="AD146" i="120"/>
  <c r="Z146" i="120"/>
  <c r="Z212" i="120" s="1"/>
  <c r="W146" i="120"/>
  <c r="W212" i="120" s="1"/>
  <c r="T146" i="120"/>
  <c r="T212" i="120" s="1"/>
  <c r="P146" i="120"/>
  <c r="O146" i="120"/>
  <c r="O212" i="120" s="1"/>
  <c r="K146" i="120"/>
  <c r="K212" i="120" s="1"/>
  <c r="H146" i="120"/>
  <c r="H212" i="120"/>
  <c r="E146" i="120"/>
  <c r="E212" i="120" s="1"/>
  <c r="CA145" i="120"/>
  <c r="CA211" i="120" s="1"/>
  <c r="BZ145" i="120"/>
  <c r="BV145" i="120"/>
  <c r="BV211" i="120" s="1"/>
  <c r="BS145" i="120"/>
  <c r="BS211" i="120" s="1"/>
  <c r="BP145" i="120"/>
  <c r="BP211" i="120" s="1"/>
  <c r="BC145" i="120"/>
  <c r="BB145" i="120"/>
  <c r="BB211" i="120" s="1"/>
  <c r="AX145" i="120"/>
  <c r="AX211" i="120" s="1"/>
  <c r="AU145" i="120"/>
  <c r="AU211" i="120" s="1"/>
  <c r="AR145" i="120"/>
  <c r="AR211" i="120"/>
  <c r="AE145" i="120"/>
  <c r="AE211" i="120" s="1"/>
  <c r="AD145" i="120"/>
  <c r="AD211" i="120" s="1"/>
  <c r="Z145" i="120"/>
  <c r="Z211" i="120" s="1"/>
  <c r="W145" i="120"/>
  <c r="W211" i="120" s="1"/>
  <c r="T145" i="120"/>
  <c r="T211" i="120" s="1"/>
  <c r="P145" i="120"/>
  <c r="P211" i="120" s="1"/>
  <c r="O145" i="120"/>
  <c r="K145" i="120"/>
  <c r="K211" i="120" s="1"/>
  <c r="H145" i="120"/>
  <c r="H211" i="120" s="1"/>
  <c r="E145" i="120"/>
  <c r="E211" i="120" s="1"/>
  <c r="CA144" i="120"/>
  <c r="CA210" i="120" s="1"/>
  <c r="BZ144" i="120"/>
  <c r="BZ210" i="120" s="1"/>
  <c r="BV144" i="120"/>
  <c r="BV210" i="120" s="1"/>
  <c r="BS144" i="120"/>
  <c r="BS210" i="120" s="1"/>
  <c r="BP144" i="120"/>
  <c r="BP210" i="120" s="1"/>
  <c r="BC144" i="120"/>
  <c r="BC210" i="120" s="1"/>
  <c r="BB144" i="120"/>
  <c r="AX144" i="120"/>
  <c r="AX210" i="120"/>
  <c r="AU144" i="120"/>
  <c r="AU210" i="120" s="1"/>
  <c r="AR144" i="120"/>
  <c r="AR210" i="120" s="1"/>
  <c r="AE144" i="120"/>
  <c r="AE210" i="120"/>
  <c r="AD144" i="120"/>
  <c r="Z144" i="120"/>
  <c r="Z210" i="120" s="1"/>
  <c r="W144" i="120"/>
  <c r="W210" i="120" s="1"/>
  <c r="T144" i="120"/>
  <c r="T210" i="120" s="1"/>
  <c r="P144" i="120"/>
  <c r="P210" i="120" s="1"/>
  <c r="O144" i="120"/>
  <c r="O210" i="120" s="1"/>
  <c r="K144" i="120"/>
  <c r="K210" i="120" s="1"/>
  <c r="H144" i="120"/>
  <c r="H210" i="120" s="1"/>
  <c r="E144" i="120"/>
  <c r="E210" i="120" s="1"/>
  <c r="BX143" i="120"/>
  <c r="BX209" i="120"/>
  <c r="FJ61" i="121" s="1"/>
  <c r="BW143" i="120"/>
  <c r="BU143" i="120"/>
  <c r="BU209" i="120" s="1"/>
  <c r="FA61" i="121" s="1"/>
  <c r="BT143" i="120"/>
  <c r="BT209" i="120"/>
  <c r="EZ61" i="121" s="1"/>
  <c r="BR143" i="120"/>
  <c r="BR209" i="120" s="1"/>
  <c r="ER61" i="121" s="1"/>
  <c r="BQ143" i="120"/>
  <c r="BQ209" i="120" s="1"/>
  <c r="EQ61" i="121" s="1"/>
  <c r="AZ143" i="120"/>
  <c r="AZ209" i="120" s="1"/>
  <c r="DK61" i="121" s="1"/>
  <c r="AY143" i="120"/>
  <c r="AW143" i="120"/>
  <c r="AW209" i="120" s="1"/>
  <c r="DB61" i="121" s="1"/>
  <c r="AV143" i="120"/>
  <c r="AT143" i="120"/>
  <c r="AS143" i="120"/>
  <c r="AS209" i="120" s="1"/>
  <c r="CR61" i="121" s="1"/>
  <c r="AB143" i="120"/>
  <c r="AB209" i="120" s="1"/>
  <c r="BL61" i="121" s="1"/>
  <c r="AA143" i="120"/>
  <c r="Y143" i="120"/>
  <c r="X143" i="120"/>
  <c r="V143" i="120"/>
  <c r="V209" i="120" s="1"/>
  <c r="AT61" i="121" s="1"/>
  <c r="U143" i="120"/>
  <c r="U209" i="120" s="1"/>
  <c r="AS61" i="121" s="1"/>
  <c r="M143" i="120"/>
  <c r="M209" i="120" s="1"/>
  <c r="Y61" i="121" s="1"/>
  <c r="L143" i="120"/>
  <c r="J143" i="120"/>
  <c r="J209" i="120" s="1"/>
  <c r="P61" i="121" s="1"/>
  <c r="I143" i="120"/>
  <c r="I209" i="120" s="1"/>
  <c r="O61" i="121" s="1"/>
  <c r="G143" i="120"/>
  <c r="E143" i="120" s="1"/>
  <c r="E209" i="120" s="1"/>
  <c r="F143" i="120"/>
  <c r="F209" i="120" s="1"/>
  <c r="F61" i="121" s="1"/>
  <c r="CA142" i="120"/>
  <c r="BZ142" i="120"/>
  <c r="BV142" i="120"/>
  <c r="BS142" i="120"/>
  <c r="BP142" i="120"/>
  <c r="BC142" i="120"/>
  <c r="BB142" i="120"/>
  <c r="AX142" i="120"/>
  <c r="AU142" i="120"/>
  <c r="AR142" i="120"/>
  <c r="AE142" i="120"/>
  <c r="AD142" i="120"/>
  <c r="Z142" i="120"/>
  <c r="W142" i="120"/>
  <c r="T142" i="120"/>
  <c r="P142" i="120"/>
  <c r="O142" i="120"/>
  <c r="N142" i="120" s="1"/>
  <c r="K142" i="120"/>
  <c r="H142" i="120"/>
  <c r="E142" i="120"/>
  <c r="CA141" i="120"/>
  <c r="BZ141" i="120"/>
  <c r="BV141" i="120"/>
  <c r="BS141" i="120"/>
  <c r="BP141" i="120"/>
  <c r="BC141" i="120"/>
  <c r="BB141" i="120"/>
  <c r="AX141" i="120"/>
  <c r="AU141" i="120"/>
  <c r="AR141" i="120"/>
  <c r="AE141" i="120"/>
  <c r="AK141" i="120" s="1"/>
  <c r="AD141" i="120"/>
  <c r="Z141" i="120"/>
  <c r="W141" i="120"/>
  <c r="T141" i="120"/>
  <c r="P141" i="120"/>
  <c r="O141" i="120"/>
  <c r="K141" i="120"/>
  <c r="H141" i="120"/>
  <c r="E141" i="120"/>
  <c r="CA140" i="120"/>
  <c r="BZ140" i="120"/>
  <c r="BV140" i="120"/>
  <c r="BS140" i="120"/>
  <c r="BP140" i="120"/>
  <c r="BC140" i="120"/>
  <c r="BB140" i="120"/>
  <c r="AX140" i="120"/>
  <c r="AU140" i="120"/>
  <c r="AR140" i="120"/>
  <c r="AE140" i="120"/>
  <c r="AD140" i="120"/>
  <c r="Z140" i="120"/>
  <c r="W140" i="120"/>
  <c r="T140" i="120"/>
  <c r="P140" i="120"/>
  <c r="O140" i="120"/>
  <c r="K140" i="120"/>
  <c r="H140" i="120"/>
  <c r="E140" i="120"/>
  <c r="BX139" i="120"/>
  <c r="BW139" i="120"/>
  <c r="BU139" i="120"/>
  <c r="BT139" i="120"/>
  <c r="BR139" i="120"/>
  <c r="BQ139" i="120"/>
  <c r="AZ139" i="120"/>
  <c r="AY139" i="120"/>
  <c r="AW139" i="120"/>
  <c r="AV139" i="120"/>
  <c r="AU139" i="120" s="1"/>
  <c r="AT139" i="120"/>
  <c r="AS139" i="120"/>
  <c r="AB139" i="120"/>
  <c r="AA139" i="120"/>
  <c r="Y139" i="120"/>
  <c r="Y130" i="120" s="1"/>
  <c r="Y123" i="120" s="1"/>
  <c r="X139" i="120"/>
  <c r="V139" i="120"/>
  <c r="U139" i="120"/>
  <c r="U130" i="120" s="1"/>
  <c r="M139" i="120"/>
  <c r="M130" i="120" s="1"/>
  <c r="M123" i="120" s="1"/>
  <c r="L139" i="120"/>
  <c r="J139" i="120"/>
  <c r="I139" i="120"/>
  <c r="G139" i="120"/>
  <c r="E139" i="120" s="1"/>
  <c r="F139" i="120"/>
  <c r="CA138" i="120"/>
  <c r="BZ138" i="120"/>
  <c r="BY138" i="120" s="1"/>
  <c r="BV138" i="120"/>
  <c r="BS138" i="120"/>
  <c r="BP138" i="120"/>
  <c r="BC138" i="120"/>
  <c r="BB138" i="120"/>
  <c r="AX138" i="120"/>
  <c r="AU138" i="120"/>
  <c r="AR138" i="120"/>
  <c r="AE138" i="120"/>
  <c r="AD138" i="120"/>
  <c r="Z138" i="120"/>
  <c r="W138" i="120"/>
  <c r="T138" i="120"/>
  <c r="P138" i="120"/>
  <c r="L262" i="120"/>
  <c r="K138" i="120"/>
  <c r="H138" i="120"/>
  <c r="E138" i="120"/>
  <c r="BX137" i="120"/>
  <c r="BW137" i="120"/>
  <c r="BU137" i="120"/>
  <c r="BS137" i="120" s="1"/>
  <c r="BT137" i="120"/>
  <c r="BR137" i="120"/>
  <c r="BR130" i="120" s="1"/>
  <c r="BQ137" i="120"/>
  <c r="BQ130" i="120" s="1"/>
  <c r="BQ123" i="120" s="1"/>
  <c r="AZ137" i="120"/>
  <c r="AY137" i="120"/>
  <c r="AX137" i="120" s="1"/>
  <c r="AW137" i="120"/>
  <c r="AV137" i="120"/>
  <c r="AT137" i="120"/>
  <c r="AS137" i="120"/>
  <c r="AR137" i="120" s="1"/>
  <c r="AB137" i="120"/>
  <c r="AA137" i="120"/>
  <c r="Y137" i="120"/>
  <c r="X137" i="120"/>
  <c r="W137" i="120" s="1"/>
  <c r="V137" i="120"/>
  <c r="AE137" i="120" s="1"/>
  <c r="M137" i="120"/>
  <c r="L137" i="120"/>
  <c r="J137" i="120"/>
  <c r="I137" i="120"/>
  <c r="G137" i="120"/>
  <c r="F137" i="120"/>
  <c r="CA136" i="120"/>
  <c r="BZ136" i="120"/>
  <c r="BV136" i="120"/>
  <c r="BS136" i="120"/>
  <c r="BP136" i="120"/>
  <c r="BC136" i="120"/>
  <c r="BB136" i="120"/>
  <c r="AX136" i="120"/>
  <c r="AU136" i="120"/>
  <c r="AR136" i="120"/>
  <c r="AE136" i="120"/>
  <c r="AK136" i="120" s="1"/>
  <c r="BI136" i="120" s="1"/>
  <c r="AD136" i="120"/>
  <c r="Z136" i="120"/>
  <c r="W136" i="120"/>
  <c r="T136" i="120"/>
  <c r="P136" i="120"/>
  <c r="O136" i="120"/>
  <c r="K136" i="120"/>
  <c r="H136" i="120"/>
  <c r="E136" i="120"/>
  <c r="CA135" i="120"/>
  <c r="BZ135" i="120"/>
  <c r="BV135" i="120"/>
  <c r="BS135" i="120"/>
  <c r="BP135" i="120"/>
  <c r="BC135" i="120"/>
  <c r="BB135" i="120"/>
  <c r="AX135" i="120"/>
  <c r="AU135" i="120"/>
  <c r="AR135" i="120"/>
  <c r="AE135" i="120"/>
  <c r="AD135" i="120"/>
  <c r="Z135" i="120"/>
  <c r="W135" i="120"/>
  <c r="T135" i="120"/>
  <c r="P135" i="120"/>
  <c r="O135" i="120"/>
  <c r="N135" i="120" s="1"/>
  <c r="K135" i="120"/>
  <c r="H135" i="120"/>
  <c r="E135" i="120"/>
  <c r="CA134" i="120"/>
  <c r="BZ134" i="120"/>
  <c r="BV134" i="120"/>
  <c r="BV243" i="120" s="1"/>
  <c r="BS134" i="120"/>
  <c r="BP134" i="120"/>
  <c r="BC134" i="120"/>
  <c r="BB134" i="120"/>
  <c r="AX134" i="120"/>
  <c r="AU134" i="120"/>
  <c r="AR134" i="120"/>
  <c r="AE134" i="120"/>
  <c r="AD134" i="120"/>
  <c r="Z134" i="120"/>
  <c r="W134" i="120"/>
  <c r="T134" i="120"/>
  <c r="P134" i="120"/>
  <c r="K134" i="120"/>
  <c r="E134" i="120"/>
  <c r="CA133" i="120"/>
  <c r="BZ133" i="120"/>
  <c r="BV133" i="120"/>
  <c r="BS133" i="120"/>
  <c r="BP133" i="120"/>
  <c r="BC133" i="120"/>
  <c r="BB133" i="120"/>
  <c r="AX133" i="120"/>
  <c r="AU133" i="120"/>
  <c r="AR133" i="120"/>
  <c r="AE133" i="120"/>
  <c r="AD133" i="120"/>
  <c r="Z133" i="120"/>
  <c r="W133" i="120"/>
  <c r="T133" i="120"/>
  <c r="P133" i="120"/>
  <c r="O133" i="120"/>
  <c r="K133" i="120"/>
  <c r="H133" i="120"/>
  <c r="E133" i="120"/>
  <c r="CA132" i="120"/>
  <c r="BZ132" i="120"/>
  <c r="BV132" i="120"/>
  <c r="BS132" i="120"/>
  <c r="BP132" i="120"/>
  <c r="BC132" i="120"/>
  <c r="BB132" i="120"/>
  <c r="AX132" i="120"/>
  <c r="AU132" i="120"/>
  <c r="AR132" i="120"/>
  <c r="AE132" i="120"/>
  <c r="AD132" i="120"/>
  <c r="Z132" i="120"/>
  <c r="W132" i="120"/>
  <c r="T132" i="120"/>
  <c r="P132" i="120"/>
  <c r="O132" i="120"/>
  <c r="N132" i="120" s="1"/>
  <c r="K132" i="120"/>
  <c r="H132" i="120"/>
  <c r="E132" i="120"/>
  <c r="CA131" i="120"/>
  <c r="BZ131" i="120"/>
  <c r="BV131" i="120"/>
  <c r="BS131" i="120"/>
  <c r="BP131" i="120"/>
  <c r="BC131" i="120"/>
  <c r="BB131" i="120"/>
  <c r="AX131" i="120"/>
  <c r="AU131" i="120"/>
  <c r="AR131" i="120"/>
  <c r="AE131" i="120"/>
  <c r="AD131" i="120"/>
  <c r="Z131" i="120"/>
  <c r="W131" i="120"/>
  <c r="T131" i="120"/>
  <c r="P131" i="120"/>
  <c r="O131" i="120"/>
  <c r="K131" i="120"/>
  <c r="H131" i="120"/>
  <c r="E131" i="120"/>
  <c r="BX129" i="120"/>
  <c r="BW129" i="120"/>
  <c r="BU129" i="120"/>
  <c r="BT129" i="120"/>
  <c r="BR129" i="120"/>
  <c r="BQ129" i="120"/>
  <c r="AZ129" i="120"/>
  <c r="AY129" i="120"/>
  <c r="AW129" i="120"/>
  <c r="AV129" i="120"/>
  <c r="AT129" i="120"/>
  <c r="AS129" i="120"/>
  <c r="AB129" i="120"/>
  <c r="AA129" i="120"/>
  <c r="Y129" i="120"/>
  <c r="X129" i="120"/>
  <c r="V129" i="120"/>
  <c r="U129" i="120"/>
  <c r="M129" i="120"/>
  <c r="L129" i="120"/>
  <c r="J129" i="120"/>
  <c r="I129" i="120"/>
  <c r="G129" i="120"/>
  <c r="F129" i="120"/>
  <c r="CA128" i="120"/>
  <c r="BZ128" i="120"/>
  <c r="BV128" i="120"/>
  <c r="BS128" i="120"/>
  <c r="BP128" i="120"/>
  <c r="BC128" i="120"/>
  <c r="BB128" i="120"/>
  <c r="AX128" i="120"/>
  <c r="AU128" i="120"/>
  <c r="AR128" i="120"/>
  <c r="AE128" i="120"/>
  <c r="AD128" i="120"/>
  <c r="Z128" i="120"/>
  <c r="W128" i="120"/>
  <c r="T128" i="120"/>
  <c r="P128" i="120"/>
  <c r="O128" i="120"/>
  <c r="K128" i="120"/>
  <c r="H128" i="120"/>
  <c r="E128" i="120"/>
  <c r="CA127" i="120"/>
  <c r="BZ127" i="120"/>
  <c r="BV127" i="120"/>
  <c r="BS127" i="120"/>
  <c r="BP127" i="120"/>
  <c r="BC127" i="120"/>
  <c r="BB127" i="120"/>
  <c r="AX127" i="120"/>
  <c r="AU127" i="120"/>
  <c r="AR127" i="120"/>
  <c r="AE127" i="120"/>
  <c r="AD127" i="120"/>
  <c r="Z127" i="120"/>
  <c r="W127" i="120"/>
  <c r="T127" i="120"/>
  <c r="T129" i="120" s="1"/>
  <c r="P127" i="120"/>
  <c r="O127" i="120"/>
  <c r="K127" i="120"/>
  <c r="H127" i="120"/>
  <c r="E127" i="120"/>
  <c r="CA126" i="120"/>
  <c r="BV126" i="120"/>
  <c r="BS126" i="120"/>
  <c r="BZ126" i="120"/>
  <c r="BP126" i="120"/>
  <c r="BC126" i="120"/>
  <c r="AX126" i="120"/>
  <c r="AV199" i="120"/>
  <c r="DA51" i="121" s="1"/>
  <c r="AR126" i="120"/>
  <c r="AE126" i="120"/>
  <c r="Z126" i="120"/>
  <c r="W126" i="120"/>
  <c r="T126" i="120"/>
  <c r="P126" i="120"/>
  <c r="H126" i="120"/>
  <c r="E126" i="120"/>
  <c r="D125" i="120"/>
  <c r="CA125" i="120"/>
  <c r="BZ125" i="120"/>
  <c r="BV125" i="120"/>
  <c r="BS125" i="120"/>
  <c r="BP125" i="120"/>
  <c r="BC125" i="120"/>
  <c r="BB125" i="120"/>
  <c r="AX125" i="120"/>
  <c r="AU125" i="120"/>
  <c r="AR125" i="120"/>
  <c r="AE125" i="120"/>
  <c r="AD125" i="120"/>
  <c r="Z125" i="120"/>
  <c r="W125" i="120"/>
  <c r="T125" i="120"/>
  <c r="P125" i="120"/>
  <c r="O125" i="120"/>
  <c r="AJ125" i="120" s="1"/>
  <c r="K125" i="120"/>
  <c r="H125" i="120"/>
  <c r="E125" i="120"/>
  <c r="D124" i="120"/>
  <c r="S124" i="120" s="1"/>
  <c r="CA124" i="120"/>
  <c r="BY124" i="120" s="1"/>
  <c r="BZ124" i="120"/>
  <c r="BV124" i="120"/>
  <c r="BS124" i="120"/>
  <c r="BP124" i="120"/>
  <c r="BC124" i="120"/>
  <c r="BB124" i="120"/>
  <c r="AX124" i="120"/>
  <c r="AU124" i="120"/>
  <c r="AR124" i="120"/>
  <c r="AE124" i="120"/>
  <c r="AD124" i="120"/>
  <c r="Z124" i="120"/>
  <c r="W124" i="120"/>
  <c r="T124" i="120"/>
  <c r="P124" i="120"/>
  <c r="O124" i="120"/>
  <c r="K124" i="120"/>
  <c r="H124" i="120"/>
  <c r="E124" i="120"/>
  <c r="CA122" i="120"/>
  <c r="BZ122" i="120"/>
  <c r="BV122" i="120"/>
  <c r="BS122" i="120"/>
  <c r="BP122" i="120"/>
  <c r="BC122" i="120"/>
  <c r="BB122" i="120"/>
  <c r="AX122" i="120"/>
  <c r="AX269" i="120" s="1"/>
  <c r="AU122" i="120"/>
  <c r="AR122" i="120"/>
  <c r="AE122" i="120"/>
  <c r="AD122" i="120"/>
  <c r="AD269" i="120" s="1"/>
  <c r="Z122" i="120"/>
  <c r="W122" i="120"/>
  <c r="T122" i="120"/>
  <c r="P122" i="120"/>
  <c r="O122" i="120"/>
  <c r="K122" i="120"/>
  <c r="H122" i="120"/>
  <c r="E122" i="120"/>
  <c r="E119" i="120" s="1"/>
  <c r="CA121" i="120"/>
  <c r="CA267" i="120" s="1"/>
  <c r="BV121" i="120"/>
  <c r="BS121" i="120"/>
  <c r="BQ267" i="120"/>
  <c r="BP121" i="120"/>
  <c r="BC121" i="120"/>
  <c r="AY267" i="120"/>
  <c r="AX121" i="120"/>
  <c r="AU121" i="120"/>
  <c r="AS267" i="120"/>
  <c r="AE121" i="120"/>
  <c r="AA267" i="120"/>
  <c r="W121" i="120"/>
  <c r="AD121" i="120"/>
  <c r="P121" i="120"/>
  <c r="L267" i="120"/>
  <c r="K121" i="120"/>
  <c r="F267" i="120"/>
  <c r="E121" i="120"/>
  <c r="CA120" i="120"/>
  <c r="BZ120" i="120"/>
  <c r="BV120" i="120"/>
  <c r="BS120" i="120"/>
  <c r="BP120" i="120"/>
  <c r="BC120" i="120"/>
  <c r="BA120" i="120" s="1"/>
  <c r="BB120" i="120"/>
  <c r="AX120" i="120"/>
  <c r="AU120" i="120"/>
  <c r="AR120" i="120"/>
  <c r="AE120" i="120"/>
  <c r="AD120" i="120"/>
  <c r="Z120" i="120"/>
  <c r="W120" i="120"/>
  <c r="T120" i="120"/>
  <c r="P120" i="120"/>
  <c r="O120" i="120"/>
  <c r="K120" i="120"/>
  <c r="H120" i="120"/>
  <c r="E120" i="120"/>
  <c r="BX119" i="120"/>
  <c r="BW119" i="120"/>
  <c r="BU119" i="120"/>
  <c r="BT119" i="120"/>
  <c r="BR119" i="120"/>
  <c r="BQ119" i="120"/>
  <c r="AZ119" i="120"/>
  <c r="AY119" i="120"/>
  <c r="AW119" i="120"/>
  <c r="AV119" i="120"/>
  <c r="AT119" i="120"/>
  <c r="AS119" i="120"/>
  <c r="AB119" i="120"/>
  <c r="AA119" i="120"/>
  <c r="Y119" i="120"/>
  <c r="X119" i="120"/>
  <c r="V119" i="120"/>
  <c r="M119" i="120"/>
  <c r="L119" i="120"/>
  <c r="J119" i="120"/>
  <c r="G119" i="120"/>
  <c r="F119" i="120"/>
  <c r="CA118" i="120"/>
  <c r="BZ118" i="120"/>
  <c r="BV118" i="120"/>
  <c r="BV117" i="120" s="1"/>
  <c r="BS118" i="120"/>
  <c r="BP118" i="120"/>
  <c r="BP117" i="120" s="1"/>
  <c r="BC118" i="120"/>
  <c r="BB118" i="120"/>
  <c r="AX118" i="120"/>
  <c r="AX117" i="120" s="1"/>
  <c r="AU118" i="120"/>
  <c r="AU117" i="120" s="1"/>
  <c r="AR118" i="120"/>
  <c r="AR117" i="120" s="1"/>
  <c r="AE118" i="120"/>
  <c r="AD118" i="120"/>
  <c r="Z118" i="120"/>
  <c r="Z117" i="120"/>
  <c r="W118" i="120"/>
  <c r="W117" i="120" s="1"/>
  <c r="T118" i="120"/>
  <c r="T117" i="120" s="1"/>
  <c r="P118" i="120"/>
  <c r="O118" i="120"/>
  <c r="K118" i="120"/>
  <c r="K117" i="120" s="1"/>
  <c r="H118" i="120"/>
  <c r="E118" i="120"/>
  <c r="E117" i="120" s="1"/>
  <c r="BX117" i="120"/>
  <c r="BW117" i="120"/>
  <c r="BU117" i="120"/>
  <c r="BT117" i="120"/>
  <c r="BR117" i="120"/>
  <c r="BQ117" i="120"/>
  <c r="AZ117" i="120"/>
  <c r="AY117" i="120"/>
  <c r="AW117" i="120"/>
  <c r="AV117" i="120"/>
  <c r="AT117" i="120"/>
  <c r="BC117" i="120" s="1"/>
  <c r="AS117" i="120"/>
  <c r="AB117" i="120"/>
  <c r="AA117" i="120"/>
  <c r="Y117" i="120"/>
  <c r="Y106" i="120" s="1"/>
  <c r="Y99" i="120" s="1"/>
  <c r="X117" i="120"/>
  <c r="V117" i="120"/>
  <c r="M117" i="120"/>
  <c r="L117" i="120"/>
  <c r="J117" i="120"/>
  <c r="I117" i="120"/>
  <c r="G117" i="120"/>
  <c r="F117" i="120"/>
  <c r="CA116" i="120"/>
  <c r="BZ116" i="120"/>
  <c r="BY116" i="120" s="1"/>
  <c r="BV116" i="120"/>
  <c r="BS116" i="120"/>
  <c r="BP116" i="120"/>
  <c r="BC116" i="120"/>
  <c r="BB116" i="120"/>
  <c r="AX116" i="120"/>
  <c r="AU116" i="120"/>
  <c r="AR116" i="120"/>
  <c r="AE116" i="120"/>
  <c r="AD116" i="120"/>
  <c r="Z116" i="120"/>
  <c r="W116" i="120"/>
  <c r="T116" i="120"/>
  <c r="P116" i="120"/>
  <c r="O116" i="120"/>
  <c r="K116" i="120"/>
  <c r="H116" i="120"/>
  <c r="E116" i="120"/>
  <c r="CA115" i="120"/>
  <c r="BZ115" i="120"/>
  <c r="BV115" i="120"/>
  <c r="BS115" i="120"/>
  <c r="BP115" i="120"/>
  <c r="BC115" i="120"/>
  <c r="BB115" i="120"/>
  <c r="BA115" i="120" s="1"/>
  <c r="AX115" i="120"/>
  <c r="AU115" i="120"/>
  <c r="AR115" i="120"/>
  <c r="AE115" i="120"/>
  <c r="AK115" i="120" s="1"/>
  <c r="BI115" i="120" s="1"/>
  <c r="AD115" i="120"/>
  <c r="Z115" i="120"/>
  <c r="W115" i="120"/>
  <c r="T115" i="120"/>
  <c r="P115" i="120"/>
  <c r="O115" i="120"/>
  <c r="K115" i="120"/>
  <c r="H115" i="120"/>
  <c r="E115" i="120"/>
  <c r="CA114" i="120"/>
  <c r="CA253" i="120"/>
  <c r="BZ114" i="120"/>
  <c r="BV114" i="120"/>
  <c r="BV253" i="120" s="1"/>
  <c r="BS114" i="120"/>
  <c r="BS253" i="120" s="1"/>
  <c r="BP114" i="120"/>
  <c r="BP253" i="120" s="1"/>
  <c r="BC114" i="120"/>
  <c r="BC253" i="120" s="1"/>
  <c r="BB114" i="120"/>
  <c r="AX114" i="120"/>
  <c r="AX253" i="120" s="1"/>
  <c r="AU114" i="120"/>
  <c r="AU253" i="120" s="1"/>
  <c r="AR114" i="120"/>
  <c r="AR253" i="120" s="1"/>
  <c r="AE114" i="120"/>
  <c r="AE253" i="120" s="1"/>
  <c r="AD114" i="120"/>
  <c r="AD253" i="120" s="1"/>
  <c r="Z114" i="120"/>
  <c r="Z253" i="120" s="1"/>
  <c r="W114" i="120"/>
  <c r="W253" i="120" s="1"/>
  <c r="T114" i="120"/>
  <c r="T253" i="120" s="1"/>
  <c r="P114" i="120"/>
  <c r="P253" i="120" s="1"/>
  <c r="O114" i="120"/>
  <c r="K114" i="120"/>
  <c r="K253" i="120" s="1"/>
  <c r="H114" i="120"/>
  <c r="H253" i="120" s="1"/>
  <c r="E114" i="120"/>
  <c r="E253" i="120" s="1"/>
  <c r="CA113" i="120"/>
  <c r="BZ113" i="120"/>
  <c r="BV113" i="120"/>
  <c r="BV252" i="120" s="1"/>
  <c r="BS113" i="120"/>
  <c r="BS252" i="120" s="1"/>
  <c r="BP113" i="120"/>
  <c r="BP252" i="120" s="1"/>
  <c r="BC113" i="120"/>
  <c r="BC252" i="120" s="1"/>
  <c r="BB113" i="120"/>
  <c r="BB252" i="120" s="1"/>
  <c r="AX113" i="120"/>
  <c r="AX252" i="120" s="1"/>
  <c r="AU113" i="120"/>
  <c r="AU252" i="120" s="1"/>
  <c r="AR113" i="120"/>
  <c r="AR252" i="120" s="1"/>
  <c r="AE113" i="120"/>
  <c r="AD113" i="120"/>
  <c r="Z113" i="120"/>
  <c r="Z252" i="120" s="1"/>
  <c r="W113" i="120"/>
  <c r="W252" i="120"/>
  <c r="T113" i="120"/>
  <c r="T252" i="120" s="1"/>
  <c r="P113" i="120"/>
  <c r="P252" i="120" s="1"/>
  <c r="K113" i="120"/>
  <c r="K252" i="120" s="1"/>
  <c r="H113" i="120"/>
  <c r="H252" i="120" s="1"/>
  <c r="CA112" i="120"/>
  <c r="BZ112" i="120"/>
  <c r="BV112" i="120"/>
  <c r="BV251" i="120" s="1"/>
  <c r="BS112" i="120"/>
  <c r="BS251" i="120" s="1"/>
  <c r="BP112" i="120"/>
  <c r="BP251" i="120" s="1"/>
  <c r="BC112" i="120"/>
  <c r="BC251" i="120" s="1"/>
  <c r="BB112" i="120"/>
  <c r="BB251" i="120" s="1"/>
  <c r="AX112" i="120"/>
  <c r="AX251" i="120" s="1"/>
  <c r="AU112" i="120"/>
  <c r="AU251" i="120" s="1"/>
  <c r="AR112" i="120"/>
  <c r="AR251" i="120" s="1"/>
  <c r="AE112" i="120"/>
  <c r="AE251" i="120" s="1"/>
  <c r="Z112" i="120"/>
  <c r="Z251" i="120" s="1"/>
  <c r="X251" i="120"/>
  <c r="W112" i="120"/>
  <c r="W251" i="120" s="1"/>
  <c r="U251" i="120"/>
  <c r="P112" i="120"/>
  <c r="P251" i="120" s="1"/>
  <c r="L251" i="120"/>
  <c r="I251" i="120"/>
  <c r="E112" i="120"/>
  <c r="E251" i="120" s="1"/>
  <c r="CA111" i="120"/>
  <c r="BZ111" i="120"/>
  <c r="BV111" i="120"/>
  <c r="BS111" i="120"/>
  <c r="BP111" i="120"/>
  <c r="BC111" i="120"/>
  <c r="BB111" i="120"/>
  <c r="AX111" i="120"/>
  <c r="AU111" i="120"/>
  <c r="AR111" i="120"/>
  <c r="AE111" i="120"/>
  <c r="AD111" i="120"/>
  <c r="Z111" i="120"/>
  <c r="W111" i="120"/>
  <c r="T111" i="120"/>
  <c r="P111" i="120"/>
  <c r="O111" i="120"/>
  <c r="K111" i="120"/>
  <c r="H111" i="120"/>
  <c r="E111" i="120"/>
  <c r="CA110" i="120"/>
  <c r="BV110" i="120"/>
  <c r="BP110" i="120"/>
  <c r="BC110" i="120"/>
  <c r="AU110" i="120"/>
  <c r="AE110" i="120"/>
  <c r="P110" i="120"/>
  <c r="K110" i="120"/>
  <c r="H110" i="120"/>
  <c r="E110" i="120"/>
  <c r="CA109" i="120"/>
  <c r="BZ109" i="120"/>
  <c r="BV109" i="120"/>
  <c r="BS109" i="120"/>
  <c r="BP109" i="120"/>
  <c r="BC109" i="120"/>
  <c r="BB109" i="120"/>
  <c r="AX109" i="120"/>
  <c r="AU109" i="120"/>
  <c r="AR109" i="120"/>
  <c r="AE109" i="120"/>
  <c r="AD109" i="120"/>
  <c r="Z109" i="120"/>
  <c r="W109" i="120"/>
  <c r="T109" i="120"/>
  <c r="P109" i="120"/>
  <c r="P241" i="120" s="1"/>
  <c r="O109" i="120"/>
  <c r="K109" i="120"/>
  <c r="H109" i="120"/>
  <c r="E109" i="120"/>
  <c r="CA108" i="120"/>
  <c r="BZ108" i="120"/>
  <c r="BV108" i="120"/>
  <c r="BS108" i="120"/>
  <c r="BP108" i="120"/>
  <c r="BC108" i="120"/>
  <c r="BB108" i="120"/>
  <c r="AX108" i="120"/>
  <c r="AU108" i="120"/>
  <c r="AR108" i="120"/>
  <c r="AE108" i="120"/>
  <c r="AD108" i="120"/>
  <c r="Z108" i="120"/>
  <c r="W108" i="120"/>
  <c r="T108" i="120"/>
  <c r="P108" i="120"/>
  <c r="N108" i="120" s="1"/>
  <c r="O108" i="120"/>
  <c r="K108" i="120"/>
  <c r="H108" i="120"/>
  <c r="E108" i="120"/>
  <c r="CA107" i="120"/>
  <c r="BZ107" i="120"/>
  <c r="BV107" i="120"/>
  <c r="BS107" i="120"/>
  <c r="BP107" i="120"/>
  <c r="BC107" i="120"/>
  <c r="BB107" i="120"/>
  <c r="BA107" i="120" s="1"/>
  <c r="AX107" i="120"/>
  <c r="AU107" i="120"/>
  <c r="AR107" i="120"/>
  <c r="AE107" i="120"/>
  <c r="AD107" i="120"/>
  <c r="AJ107" i="120" s="1"/>
  <c r="BH107" i="120" s="1"/>
  <c r="Z107" i="120"/>
  <c r="W107" i="120"/>
  <c r="T107" i="120"/>
  <c r="P107" i="120"/>
  <c r="O107" i="120"/>
  <c r="K107" i="120"/>
  <c r="H107" i="120"/>
  <c r="E107" i="120"/>
  <c r="BX105" i="120"/>
  <c r="BW105" i="120"/>
  <c r="BU105" i="120"/>
  <c r="BT105" i="120"/>
  <c r="BR105" i="120"/>
  <c r="BQ105" i="120"/>
  <c r="AZ105" i="120"/>
  <c r="AY105" i="120"/>
  <c r="AW105" i="120"/>
  <c r="AV105" i="120"/>
  <c r="AT105" i="120"/>
  <c r="AS105" i="120"/>
  <c r="AB105" i="120"/>
  <c r="AA105" i="120"/>
  <c r="Y105" i="120"/>
  <c r="X105" i="120"/>
  <c r="V105" i="120"/>
  <c r="U105" i="120"/>
  <c r="M105" i="120"/>
  <c r="L105" i="120"/>
  <c r="J105" i="120"/>
  <c r="I105" i="120"/>
  <c r="G105" i="120"/>
  <c r="F105" i="120"/>
  <c r="CA104" i="120"/>
  <c r="BZ104" i="120"/>
  <c r="BV104" i="120"/>
  <c r="BS104" i="120"/>
  <c r="BP104" i="120"/>
  <c r="BC104" i="120"/>
  <c r="BB104" i="120"/>
  <c r="AX104" i="120"/>
  <c r="AU104" i="120"/>
  <c r="AR104" i="120"/>
  <c r="AE104" i="120"/>
  <c r="AD104" i="120"/>
  <c r="Z104" i="120"/>
  <c r="W104" i="120"/>
  <c r="T104" i="120"/>
  <c r="P104" i="120"/>
  <c r="O104" i="120"/>
  <c r="K104" i="120"/>
  <c r="H104" i="120"/>
  <c r="E104" i="120"/>
  <c r="CA103" i="120"/>
  <c r="BZ103" i="120"/>
  <c r="BV103" i="120"/>
  <c r="BS103" i="120"/>
  <c r="BP103" i="120"/>
  <c r="BC103" i="120"/>
  <c r="BB103" i="120"/>
  <c r="BA103" i="120" s="1"/>
  <c r="AX103" i="120"/>
  <c r="AU103" i="120"/>
  <c r="AR103" i="120"/>
  <c r="AE103" i="120"/>
  <c r="AD103" i="120"/>
  <c r="Z103" i="120"/>
  <c r="W103" i="120"/>
  <c r="T103" i="120"/>
  <c r="P103" i="120"/>
  <c r="O103" i="120"/>
  <c r="K103" i="120"/>
  <c r="H103" i="120"/>
  <c r="H105" i="120" s="1"/>
  <c r="E103" i="120"/>
  <c r="CA102" i="120"/>
  <c r="BZ102" i="120"/>
  <c r="BV102" i="120"/>
  <c r="BS102" i="120"/>
  <c r="BP102" i="120"/>
  <c r="BC102" i="120"/>
  <c r="BB102" i="120"/>
  <c r="AX102" i="120"/>
  <c r="AU102" i="120"/>
  <c r="AR102" i="120"/>
  <c r="AE102" i="120"/>
  <c r="AD102" i="120"/>
  <c r="Z102" i="120"/>
  <c r="W102" i="120"/>
  <c r="T102" i="120"/>
  <c r="T198" i="120" s="1"/>
  <c r="P102" i="120"/>
  <c r="O102" i="120"/>
  <c r="K102" i="120"/>
  <c r="H102" i="120"/>
  <c r="E102" i="120"/>
  <c r="CA101" i="120"/>
  <c r="BZ101" i="120"/>
  <c r="BV101" i="120"/>
  <c r="BS101" i="120"/>
  <c r="BP101" i="120"/>
  <c r="BC101" i="120"/>
  <c r="BB101" i="120"/>
  <c r="AX101" i="120"/>
  <c r="AU101" i="120"/>
  <c r="AR101" i="120"/>
  <c r="AE101" i="120"/>
  <c r="AK101" i="120" s="1"/>
  <c r="BI101" i="120" s="1"/>
  <c r="CG101" i="120" s="1"/>
  <c r="AD101" i="120"/>
  <c r="Z101" i="120"/>
  <c r="W101" i="120"/>
  <c r="T101" i="120"/>
  <c r="P101" i="120"/>
  <c r="O101" i="120"/>
  <c r="K101" i="120"/>
  <c r="H101" i="120"/>
  <c r="E101" i="120"/>
  <c r="CA100" i="120"/>
  <c r="BV100" i="120"/>
  <c r="BZ100" i="120"/>
  <c r="BP100" i="120"/>
  <c r="BC100" i="120"/>
  <c r="AX100" i="120"/>
  <c r="AU100" i="120"/>
  <c r="AS199" i="120"/>
  <c r="CR51" i="121" s="1"/>
  <c r="AE100" i="120"/>
  <c r="Z100" i="120"/>
  <c r="W100" i="120"/>
  <c r="T100" i="120"/>
  <c r="P100" i="120"/>
  <c r="K100" i="120"/>
  <c r="H100" i="120"/>
  <c r="O100" i="120"/>
  <c r="U99" i="120"/>
  <c r="CB98" i="120"/>
  <c r="CB269" i="120" s="1"/>
  <c r="CA98" i="120"/>
  <c r="CA269" i="120" s="1"/>
  <c r="BZ98" i="120"/>
  <c r="BV98" i="120"/>
  <c r="BS98" i="120"/>
  <c r="BP98" i="120"/>
  <c r="BP269" i="120" s="1"/>
  <c r="BC98" i="120"/>
  <c r="AX98" i="120"/>
  <c r="AU98" i="120"/>
  <c r="AS269" i="120"/>
  <c r="AE98" i="120"/>
  <c r="AD98" i="120"/>
  <c r="Z98" i="120"/>
  <c r="W98" i="120"/>
  <c r="T98" i="120"/>
  <c r="P98" i="120"/>
  <c r="L269" i="120"/>
  <c r="H98" i="120"/>
  <c r="F269" i="120"/>
  <c r="D98" i="120"/>
  <c r="C98" i="120"/>
  <c r="CB97" i="120"/>
  <c r="CA97" i="120"/>
  <c r="BV97" i="120"/>
  <c r="BT267" i="120"/>
  <c r="BP97" i="120"/>
  <c r="BP267" i="120" s="1"/>
  <c r="BC97" i="120"/>
  <c r="BB97" i="120"/>
  <c r="AX97" i="120"/>
  <c r="AU97" i="120"/>
  <c r="AR97" i="120"/>
  <c r="AE97" i="120"/>
  <c r="AE267" i="120" s="1"/>
  <c r="Z97" i="120"/>
  <c r="W97" i="120"/>
  <c r="U267" i="120"/>
  <c r="P97" i="120"/>
  <c r="P267" i="120" s="1"/>
  <c r="O97" i="120"/>
  <c r="K97" i="120"/>
  <c r="K267" i="120" s="1"/>
  <c r="H97" i="120"/>
  <c r="E97" i="120"/>
  <c r="D97" i="120"/>
  <c r="S97" i="120" s="1"/>
  <c r="C97" i="120"/>
  <c r="CB96" i="120"/>
  <c r="CA96" i="120"/>
  <c r="BZ96" i="120"/>
  <c r="BV96" i="120"/>
  <c r="BS96" i="120"/>
  <c r="BP96" i="120"/>
  <c r="BC96" i="120"/>
  <c r="AX96" i="120"/>
  <c r="AV268" i="120"/>
  <c r="AS268" i="120"/>
  <c r="AE96" i="120"/>
  <c r="AD96" i="120"/>
  <c r="Z96" i="120"/>
  <c r="W96" i="120"/>
  <c r="T96" i="120"/>
  <c r="P96" i="120"/>
  <c r="K96" i="120"/>
  <c r="I268" i="120"/>
  <c r="F268" i="120"/>
  <c r="E96" i="120"/>
  <c r="D96" i="120"/>
  <c r="C96" i="120"/>
  <c r="CB95" i="120"/>
  <c r="CA95" i="120"/>
  <c r="BZ95" i="120"/>
  <c r="BV95" i="120"/>
  <c r="BS95" i="120"/>
  <c r="BP95" i="120"/>
  <c r="BC95" i="120"/>
  <c r="AY266" i="120"/>
  <c r="AV266" i="120"/>
  <c r="AS266" i="120"/>
  <c r="AE95" i="120"/>
  <c r="AA266" i="120"/>
  <c r="Z95" i="120"/>
  <c r="X266" i="120"/>
  <c r="T95" i="120"/>
  <c r="P95" i="120"/>
  <c r="AK95" i="120" s="1"/>
  <c r="BI95" i="120" s="1"/>
  <c r="O95" i="120"/>
  <c r="K95" i="120"/>
  <c r="H95" i="120"/>
  <c r="E95" i="120"/>
  <c r="D95" i="120"/>
  <c r="C95" i="120"/>
  <c r="R95" i="120" s="1"/>
  <c r="CD94" i="120"/>
  <c r="CC94" i="120"/>
  <c r="BX94" i="120"/>
  <c r="BW94" i="120"/>
  <c r="BU94" i="120"/>
  <c r="BT94" i="120"/>
  <c r="BS94" i="120" s="1"/>
  <c r="BR94" i="120"/>
  <c r="BQ94" i="120"/>
  <c r="AZ94" i="120"/>
  <c r="AW94" i="120"/>
  <c r="AT94" i="120"/>
  <c r="AT71" i="120" s="1"/>
  <c r="AT53" i="120" s="1"/>
  <c r="AB94" i="120"/>
  <c r="AA94" i="120"/>
  <c r="Y94" i="120"/>
  <c r="X94" i="120"/>
  <c r="V94" i="120"/>
  <c r="T94" i="120" s="1"/>
  <c r="M94" i="120"/>
  <c r="L94" i="120"/>
  <c r="J94" i="120"/>
  <c r="P94" i="120" s="1"/>
  <c r="I94" i="120"/>
  <c r="G94" i="120"/>
  <c r="CB93" i="120"/>
  <c r="CA93" i="120"/>
  <c r="BZ93" i="120"/>
  <c r="BV93" i="120"/>
  <c r="BS93" i="120"/>
  <c r="BP93" i="120"/>
  <c r="BC93" i="120"/>
  <c r="BA93" i="120" s="1"/>
  <c r="BB93" i="120"/>
  <c r="AX93" i="120"/>
  <c r="AU93" i="120"/>
  <c r="AR93" i="120"/>
  <c r="AE93" i="120"/>
  <c r="AD93" i="120"/>
  <c r="AC93" i="120" s="1"/>
  <c r="Z93" i="120"/>
  <c r="W93" i="120"/>
  <c r="T93" i="120"/>
  <c r="P93" i="120"/>
  <c r="AK93" i="120" s="1"/>
  <c r="O93" i="120"/>
  <c r="K93" i="120"/>
  <c r="H93" i="120"/>
  <c r="E93" i="120"/>
  <c r="D93" i="120"/>
  <c r="C93" i="120"/>
  <c r="CB92" i="120"/>
  <c r="CA92" i="120"/>
  <c r="BZ92" i="120"/>
  <c r="BV92" i="120"/>
  <c r="BS92" i="120"/>
  <c r="BP92" i="120"/>
  <c r="BC92" i="120"/>
  <c r="BB92" i="120"/>
  <c r="AX92" i="120"/>
  <c r="AU92" i="120"/>
  <c r="AR92" i="120"/>
  <c r="AE92" i="120"/>
  <c r="AD92" i="120"/>
  <c r="Z92" i="120"/>
  <c r="W92" i="120"/>
  <c r="T92" i="120"/>
  <c r="T263" i="120" s="1"/>
  <c r="P92" i="120"/>
  <c r="O92" i="120"/>
  <c r="K92" i="120"/>
  <c r="H92" i="120"/>
  <c r="E92" i="120"/>
  <c r="D92" i="120"/>
  <c r="S92" i="120" s="1"/>
  <c r="AH92" i="120" s="1"/>
  <c r="C92" i="120"/>
  <c r="CB91" i="120"/>
  <c r="CA91" i="120"/>
  <c r="BZ91" i="120"/>
  <c r="BV91" i="120"/>
  <c r="BS91" i="120"/>
  <c r="BP91" i="120"/>
  <c r="BC91" i="120"/>
  <c r="BB91" i="120"/>
  <c r="AY262" i="120"/>
  <c r="AU91" i="120"/>
  <c r="AR91" i="120"/>
  <c r="AE91" i="120"/>
  <c r="Z91" i="120"/>
  <c r="W91" i="120"/>
  <c r="U262" i="120"/>
  <c r="P91" i="120"/>
  <c r="O91" i="120"/>
  <c r="AD91" i="120"/>
  <c r="K91" i="120"/>
  <c r="H91" i="120"/>
  <c r="E91" i="120"/>
  <c r="D91" i="120"/>
  <c r="S91" i="120" s="1"/>
  <c r="C91" i="120"/>
  <c r="CA90" i="120"/>
  <c r="BV90" i="120"/>
  <c r="BT89" i="120"/>
  <c r="BZ90" i="120"/>
  <c r="BC90" i="120"/>
  <c r="BB90" i="120"/>
  <c r="AX90" i="120"/>
  <c r="AU90" i="120"/>
  <c r="AR90" i="120"/>
  <c r="AE90" i="120"/>
  <c r="Z90" i="120"/>
  <c r="W90" i="120"/>
  <c r="T90" i="120"/>
  <c r="P90" i="120"/>
  <c r="L89" i="120"/>
  <c r="E90" i="120"/>
  <c r="D90" i="120"/>
  <c r="CD89" i="120"/>
  <c r="BX89" i="120"/>
  <c r="BW89" i="120"/>
  <c r="BU89" i="120"/>
  <c r="BR89" i="120"/>
  <c r="BQ89" i="120"/>
  <c r="AZ89" i="120"/>
  <c r="AY89" i="120"/>
  <c r="AW89" i="120"/>
  <c r="AV89" i="120"/>
  <c r="AT89" i="120"/>
  <c r="AS89" i="120"/>
  <c r="AB89" i="120"/>
  <c r="AA89" i="120"/>
  <c r="Y89" i="120"/>
  <c r="X89" i="120"/>
  <c r="V89" i="120"/>
  <c r="AE89" i="120" s="1"/>
  <c r="M89" i="120"/>
  <c r="M71" i="120" s="1"/>
  <c r="J89" i="120"/>
  <c r="G89" i="120"/>
  <c r="CB88" i="120"/>
  <c r="CA88" i="120"/>
  <c r="BZ88" i="120"/>
  <c r="BV88" i="120"/>
  <c r="BS88" i="120"/>
  <c r="BS249" i="120" s="1"/>
  <c r="BP88" i="120"/>
  <c r="BC88" i="120"/>
  <c r="BB88" i="120"/>
  <c r="AX88" i="120"/>
  <c r="AX249" i="120" s="1"/>
  <c r="AU88" i="120"/>
  <c r="AR88" i="120"/>
  <c r="AE88" i="120"/>
  <c r="Z88" i="120"/>
  <c r="W88" i="120"/>
  <c r="U249" i="120"/>
  <c r="P88" i="120"/>
  <c r="P249" i="120" s="1"/>
  <c r="O88" i="120"/>
  <c r="AD88" i="120"/>
  <c r="K88" i="120"/>
  <c r="H88" i="120"/>
  <c r="E88" i="120"/>
  <c r="E249" i="120" s="1"/>
  <c r="D88" i="120"/>
  <c r="C88" i="120"/>
  <c r="CB87" i="120"/>
  <c r="CA87" i="120"/>
  <c r="BZ87" i="120"/>
  <c r="BV87" i="120"/>
  <c r="BS87" i="120"/>
  <c r="BP87" i="120"/>
  <c r="BC87" i="120"/>
  <c r="BB87" i="120"/>
  <c r="AX87" i="120"/>
  <c r="AU87" i="120"/>
  <c r="AR87" i="120"/>
  <c r="AE87" i="120"/>
  <c r="AD87" i="120"/>
  <c r="Z87" i="120"/>
  <c r="W87" i="120"/>
  <c r="T87" i="120"/>
  <c r="P87" i="120"/>
  <c r="O87" i="120"/>
  <c r="O254" i="120" s="1"/>
  <c r="K87" i="120"/>
  <c r="H87" i="120"/>
  <c r="E87" i="120"/>
  <c r="D87" i="120"/>
  <c r="C87" i="120"/>
  <c r="CB86" i="120"/>
  <c r="CB244" i="120" s="1"/>
  <c r="CA86" i="120"/>
  <c r="CA244" i="120" s="1"/>
  <c r="BZ86" i="120"/>
  <c r="BV86" i="120"/>
  <c r="BV244" i="120" s="1"/>
  <c r="BS86" i="120"/>
  <c r="BS244" i="120" s="1"/>
  <c r="BP86" i="120"/>
  <c r="BP244" i="120" s="1"/>
  <c r="BC86" i="120"/>
  <c r="BC244" i="120" s="1"/>
  <c r="BB86" i="120"/>
  <c r="BB244" i="120" s="1"/>
  <c r="AX86" i="120"/>
  <c r="AX244" i="120" s="1"/>
  <c r="AU86" i="120"/>
  <c r="AU244" i="120" s="1"/>
  <c r="AR86" i="120"/>
  <c r="AR244" i="120" s="1"/>
  <c r="AE86" i="120"/>
  <c r="AD86" i="120"/>
  <c r="AD244" i="120" s="1"/>
  <c r="Z86" i="120"/>
  <c r="Z244" i="120" s="1"/>
  <c r="W86" i="120"/>
  <c r="W244" i="120" s="1"/>
  <c r="T86" i="120"/>
  <c r="T244" i="120" s="1"/>
  <c r="P86" i="120"/>
  <c r="O86" i="120"/>
  <c r="O244" i="120" s="1"/>
  <c r="K86" i="120"/>
  <c r="K244" i="120" s="1"/>
  <c r="H86" i="120"/>
  <c r="H244" i="120" s="1"/>
  <c r="E86" i="120"/>
  <c r="E244" i="120" s="1"/>
  <c r="D86" i="120"/>
  <c r="D244" i="120" s="1"/>
  <c r="C86" i="120"/>
  <c r="CB85" i="120"/>
  <c r="CB259" i="120" s="1"/>
  <c r="CA85" i="120"/>
  <c r="CA259" i="120" s="1"/>
  <c r="BZ85" i="120"/>
  <c r="BV85" i="120"/>
  <c r="BV259" i="120" s="1"/>
  <c r="BS85" i="120"/>
  <c r="BS259" i="120" s="1"/>
  <c r="BP85" i="120"/>
  <c r="BP259" i="120" s="1"/>
  <c r="BC85" i="120"/>
  <c r="BC259" i="120" s="1"/>
  <c r="BB85" i="120"/>
  <c r="BB259" i="120" s="1"/>
  <c r="AX85" i="120"/>
  <c r="AX259" i="120" s="1"/>
  <c r="AU85" i="120"/>
  <c r="AU259" i="120" s="1"/>
  <c r="AR85" i="120"/>
  <c r="AR259" i="120" s="1"/>
  <c r="AE85" i="120"/>
  <c r="AE259" i="120" s="1"/>
  <c r="AD85" i="120"/>
  <c r="AD259" i="120" s="1"/>
  <c r="Z85" i="120"/>
  <c r="Z259" i="120" s="1"/>
  <c r="W85" i="120"/>
  <c r="W259" i="120" s="1"/>
  <c r="T85" i="120"/>
  <c r="T259" i="120" s="1"/>
  <c r="P85" i="120"/>
  <c r="P259" i="120" s="1"/>
  <c r="O85" i="120"/>
  <c r="O259" i="120" s="1"/>
  <c r="K85" i="120"/>
  <c r="K259" i="120" s="1"/>
  <c r="H85" i="120"/>
  <c r="H259" i="120" s="1"/>
  <c r="E85" i="120"/>
  <c r="E259" i="120" s="1"/>
  <c r="D85" i="120"/>
  <c r="C85" i="120"/>
  <c r="C259" i="120" s="1"/>
  <c r="CB84" i="120"/>
  <c r="CB258" i="120" s="1"/>
  <c r="CA84" i="120"/>
  <c r="CA258" i="120" s="1"/>
  <c r="BZ84" i="120"/>
  <c r="BZ258" i="120" s="1"/>
  <c r="BV84" i="120"/>
  <c r="BV258" i="120" s="1"/>
  <c r="BS84" i="120"/>
  <c r="BS258" i="120" s="1"/>
  <c r="BP84" i="120"/>
  <c r="BP258" i="120" s="1"/>
  <c r="BC84" i="120"/>
  <c r="BC258" i="120" s="1"/>
  <c r="BB84" i="120"/>
  <c r="BB258" i="120" s="1"/>
  <c r="AX84" i="120"/>
  <c r="AX258" i="120" s="1"/>
  <c r="AU84" i="120"/>
  <c r="AU258" i="120" s="1"/>
  <c r="AR84" i="120"/>
  <c r="AR258" i="120" s="1"/>
  <c r="AE84" i="120"/>
  <c r="AE258" i="120" s="1"/>
  <c r="AD84" i="120"/>
  <c r="AD258" i="120" s="1"/>
  <c r="Z84" i="120"/>
  <c r="Z258" i="120" s="1"/>
  <c r="W84" i="120"/>
  <c r="W258" i="120" s="1"/>
  <c r="T84" i="120"/>
  <c r="T258" i="120" s="1"/>
  <c r="P84" i="120"/>
  <c r="P258" i="120" s="1"/>
  <c r="O84" i="120"/>
  <c r="O258" i="120" s="1"/>
  <c r="K84" i="120"/>
  <c r="K258" i="120" s="1"/>
  <c r="H84" i="120"/>
  <c r="H258" i="120" s="1"/>
  <c r="E84" i="120"/>
  <c r="E258" i="120"/>
  <c r="D84" i="120"/>
  <c r="D258" i="120" s="1"/>
  <c r="C84" i="120"/>
  <c r="C258" i="120" s="1"/>
  <c r="CC257" i="120"/>
  <c r="CA83" i="120"/>
  <c r="BZ83" i="120"/>
  <c r="BZ257" i="120" s="1"/>
  <c r="BV83" i="120"/>
  <c r="BV257" i="120" s="1"/>
  <c r="BS83" i="120"/>
  <c r="BS257" i="120" s="1"/>
  <c r="BP83" i="120"/>
  <c r="BP257" i="120" s="1"/>
  <c r="BC83" i="120"/>
  <c r="BC257" i="120" s="1"/>
  <c r="BB83" i="120"/>
  <c r="BB257" i="120" s="1"/>
  <c r="AX83" i="120"/>
  <c r="AX257" i="120" s="1"/>
  <c r="AU83" i="120"/>
  <c r="AU257" i="120" s="1"/>
  <c r="AR83" i="120"/>
  <c r="AR257" i="120" s="1"/>
  <c r="AE83" i="120"/>
  <c r="AA257" i="120"/>
  <c r="X257" i="120"/>
  <c r="U257" i="120"/>
  <c r="P83" i="120"/>
  <c r="P257" i="120" s="1"/>
  <c r="L257" i="120"/>
  <c r="I257" i="120"/>
  <c r="E83" i="120"/>
  <c r="E257" i="120" s="1"/>
  <c r="D83" i="120"/>
  <c r="CB82" i="120"/>
  <c r="CB256" i="120" s="1"/>
  <c r="CA82" i="120"/>
  <c r="CA256" i="120" s="1"/>
  <c r="BZ82" i="120"/>
  <c r="BZ256" i="120" s="1"/>
  <c r="BV82" i="120"/>
  <c r="BV256" i="120" s="1"/>
  <c r="BS82" i="120"/>
  <c r="BS256" i="120" s="1"/>
  <c r="BP82" i="120"/>
  <c r="BP256" i="120" s="1"/>
  <c r="BC82" i="120"/>
  <c r="BB82" i="120"/>
  <c r="BB256" i="120" s="1"/>
  <c r="AX82" i="120"/>
  <c r="AX256" i="120" s="1"/>
  <c r="AU82" i="120"/>
  <c r="AU256" i="120"/>
  <c r="AR82" i="120"/>
  <c r="AR256" i="120" s="1"/>
  <c r="AE82" i="120"/>
  <c r="AE256" i="120" s="1"/>
  <c r="AD82" i="120"/>
  <c r="AD256" i="120" s="1"/>
  <c r="Z82" i="120"/>
  <c r="Z256" i="120" s="1"/>
  <c r="W82" i="120"/>
  <c r="W256" i="120" s="1"/>
  <c r="T82" i="120"/>
  <c r="T256" i="120" s="1"/>
  <c r="P82" i="120"/>
  <c r="P256" i="120" s="1"/>
  <c r="O82" i="120"/>
  <c r="O256" i="120" s="1"/>
  <c r="K82" i="120"/>
  <c r="K256" i="120" s="1"/>
  <c r="H82" i="120"/>
  <c r="H256" i="120" s="1"/>
  <c r="E82" i="120"/>
  <c r="E256" i="120" s="1"/>
  <c r="D82" i="120"/>
  <c r="C82" i="120"/>
  <c r="CB81" i="120"/>
  <c r="CB255" i="120" s="1"/>
  <c r="CA81" i="120"/>
  <c r="CA255" i="120" s="1"/>
  <c r="BZ81" i="120"/>
  <c r="BZ255" i="120" s="1"/>
  <c r="BV81" i="120"/>
  <c r="BV255" i="120" s="1"/>
  <c r="BS81" i="120"/>
  <c r="BS255" i="120" s="1"/>
  <c r="BP81" i="120"/>
  <c r="BP255" i="120" s="1"/>
  <c r="BC81" i="120"/>
  <c r="BC255" i="120" s="1"/>
  <c r="AY255" i="120"/>
  <c r="AV255" i="120"/>
  <c r="AR81" i="120"/>
  <c r="AR255" i="120" s="1"/>
  <c r="AE81" i="120"/>
  <c r="AA255" i="120"/>
  <c r="W81" i="120"/>
  <c r="W255" i="120" s="1"/>
  <c r="T81" i="120"/>
  <c r="T255" i="120" s="1"/>
  <c r="P81" i="120"/>
  <c r="P255" i="120" s="1"/>
  <c r="L255" i="120"/>
  <c r="H81" i="120"/>
  <c r="H255" i="120" s="1"/>
  <c r="E81" i="120"/>
  <c r="E255" i="120" s="1"/>
  <c r="D81" i="120"/>
  <c r="C81" i="120"/>
  <c r="C255" i="120" s="1"/>
  <c r="CA80" i="120"/>
  <c r="CA247" i="120" s="1"/>
  <c r="BZ80" i="120"/>
  <c r="BZ247" i="120" s="1"/>
  <c r="BV80" i="120"/>
  <c r="BV247" i="120" s="1"/>
  <c r="BS80" i="120"/>
  <c r="BS247" i="120" s="1"/>
  <c r="BP80" i="120"/>
  <c r="BP247" i="120" s="1"/>
  <c r="BC80" i="120"/>
  <c r="BC247" i="120" s="1"/>
  <c r="BB80" i="120"/>
  <c r="BB247" i="120" s="1"/>
  <c r="AX80" i="120"/>
  <c r="AX247" i="120" s="1"/>
  <c r="AU80" i="120"/>
  <c r="AU247" i="120" s="1"/>
  <c r="AR80" i="120"/>
  <c r="AR247" i="120" s="1"/>
  <c r="AE80" i="120"/>
  <c r="AD80" i="120"/>
  <c r="AD247" i="120" s="1"/>
  <c r="Z80" i="120"/>
  <c r="Z247" i="120" s="1"/>
  <c r="W80" i="120"/>
  <c r="W247" i="120" s="1"/>
  <c r="T80" i="120"/>
  <c r="T247" i="120" s="1"/>
  <c r="P80" i="120"/>
  <c r="P247" i="120" s="1"/>
  <c r="O80" i="120"/>
  <c r="O247" i="120" s="1"/>
  <c r="K80" i="120"/>
  <c r="K247" i="120" s="1"/>
  <c r="H80" i="120"/>
  <c r="H247" i="120" s="1"/>
  <c r="E80" i="120"/>
  <c r="E247" i="120" s="1"/>
  <c r="D80" i="120"/>
  <c r="S80" i="120" s="1"/>
  <c r="S247" i="120" s="1"/>
  <c r="CB79" i="120"/>
  <c r="CA79" i="120"/>
  <c r="CA245" i="120" s="1"/>
  <c r="BZ79" i="120"/>
  <c r="BV79" i="120"/>
  <c r="BS79" i="120"/>
  <c r="BP79" i="120"/>
  <c r="BC79" i="120"/>
  <c r="BB79" i="120"/>
  <c r="AX79" i="120"/>
  <c r="AU79" i="120"/>
  <c r="AR79" i="120"/>
  <c r="AE79" i="120"/>
  <c r="AD79" i="120"/>
  <c r="Z79" i="120"/>
  <c r="Z245" i="120" s="1"/>
  <c r="W79" i="120"/>
  <c r="T79" i="120"/>
  <c r="P79" i="120"/>
  <c r="O79" i="120"/>
  <c r="K79" i="120"/>
  <c r="H79" i="120"/>
  <c r="E79" i="120"/>
  <c r="D79" i="120"/>
  <c r="S79" i="120" s="1"/>
  <c r="AH79" i="120" s="1"/>
  <c r="C79" i="120"/>
  <c r="CB78" i="120"/>
  <c r="CB246" i="120" s="1"/>
  <c r="CA78" i="120"/>
  <c r="CA246" i="120" s="1"/>
  <c r="BZ78" i="120"/>
  <c r="BZ246" i="120" s="1"/>
  <c r="BV78" i="120"/>
  <c r="BV246" i="120" s="1"/>
  <c r="BS78" i="120"/>
  <c r="BS246" i="120" s="1"/>
  <c r="BP78" i="120"/>
  <c r="BP246" i="120" s="1"/>
  <c r="BC78" i="120"/>
  <c r="BB78" i="120"/>
  <c r="BB246" i="120" s="1"/>
  <c r="AX78" i="120"/>
  <c r="AX246" i="120" s="1"/>
  <c r="AU78" i="120"/>
  <c r="AU246" i="120" s="1"/>
  <c r="AR78" i="120"/>
  <c r="AR246" i="120" s="1"/>
  <c r="AE78" i="120"/>
  <c r="AD78" i="120"/>
  <c r="AD246" i="120"/>
  <c r="Z78" i="120"/>
  <c r="Z246" i="120" s="1"/>
  <c r="W78" i="120"/>
  <c r="W246" i="120" s="1"/>
  <c r="T78" i="120"/>
  <c r="T246" i="120" s="1"/>
  <c r="P78" i="120"/>
  <c r="P246" i="120" s="1"/>
  <c r="O78" i="120"/>
  <c r="K78" i="120"/>
  <c r="K246" i="120" s="1"/>
  <c r="H78" i="120"/>
  <c r="H246" i="120" s="1"/>
  <c r="E78" i="120"/>
  <c r="E246" i="120" s="1"/>
  <c r="D78" i="120"/>
  <c r="C78" i="120"/>
  <c r="CA77" i="120"/>
  <c r="CA248" i="120" s="1"/>
  <c r="BZ77" i="120"/>
  <c r="BV77" i="120"/>
  <c r="BV248" i="120" s="1"/>
  <c r="BS77" i="120"/>
  <c r="BS248" i="120" s="1"/>
  <c r="BP77" i="120"/>
  <c r="BP248" i="120" s="1"/>
  <c r="BC77" i="120"/>
  <c r="BB77" i="120"/>
  <c r="BB248" i="120" s="1"/>
  <c r="AX77" i="120"/>
  <c r="AX248" i="120" s="1"/>
  <c r="AU77" i="120"/>
  <c r="AU248" i="120" s="1"/>
  <c r="AR77" i="120"/>
  <c r="AR248" i="120" s="1"/>
  <c r="AE77" i="120"/>
  <c r="AE248" i="120" s="1"/>
  <c r="AD77" i="120"/>
  <c r="AD248" i="120" s="1"/>
  <c r="Z77" i="120"/>
  <c r="Z248" i="120" s="1"/>
  <c r="W77" i="120"/>
  <c r="W248" i="120" s="1"/>
  <c r="T77" i="120"/>
  <c r="T248" i="120" s="1"/>
  <c r="P77" i="120"/>
  <c r="O77" i="120"/>
  <c r="K77" i="120"/>
  <c r="K248" i="120" s="1"/>
  <c r="H77" i="120"/>
  <c r="H248" i="120" s="1"/>
  <c r="E77" i="120"/>
  <c r="E248" i="120" s="1"/>
  <c r="D77" i="120"/>
  <c r="S77" i="120" s="1"/>
  <c r="CB76" i="120"/>
  <c r="CA76" i="120"/>
  <c r="BV76" i="120"/>
  <c r="BT243" i="120"/>
  <c r="BQ243" i="120"/>
  <c r="BP76" i="120"/>
  <c r="BC76" i="120"/>
  <c r="AY243" i="120"/>
  <c r="AX76" i="120"/>
  <c r="AS243" i="120"/>
  <c r="AR76" i="120"/>
  <c r="AE76" i="120"/>
  <c r="AA243" i="120"/>
  <c r="X243" i="120"/>
  <c r="W76" i="120"/>
  <c r="U243" i="120"/>
  <c r="P76" i="120"/>
  <c r="L243" i="120"/>
  <c r="H76" i="120"/>
  <c r="F243" i="120"/>
  <c r="D76" i="120"/>
  <c r="S76" i="120" s="1"/>
  <c r="C76" i="120"/>
  <c r="CA75" i="120"/>
  <c r="BZ75" i="120"/>
  <c r="BV75" i="120"/>
  <c r="BV242" i="120" s="1"/>
  <c r="BS75" i="120"/>
  <c r="BP75" i="120"/>
  <c r="BC75" i="120"/>
  <c r="BB75" i="120"/>
  <c r="BA75" i="120" s="1"/>
  <c r="AX75" i="120"/>
  <c r="AU75" i="120"/>
  <c r="AR75" i="120"/>
  <c r="AE75" i="120"/>
  <c r="AD75" i="120"/>
  <c r="Z75" i="120"/>
  <c r="W75" i="120"/>
  <c r="T75" i="120"/>
  <c r="P75" i="120"/>
  <c r="O75" i="120"/>
  <c r="K75" i="120"/>
  <c r="H75" i="120"/>
  <c r="E75" i="120"/>
  <c r="D75" i="120"/>
  <c r="CB74" i="120"/>
  <c r="CA74" i="120"/>
  <c r="BZ74" i="120"/>
  <c r="BV74" i="120"/>
  <c r="BS74" i="120"/>
  <c r="BP74" i="120"/>
  <c r="BC74" i="120"/>
  <c r="BB74" i="120"/>
  <c r="AX74" i="120"/>
  <c r="AU74" i="120"/>
  <c r="AR74" i="120"/>
  <c r="AE74" i="120"/>
  <c r="AD74" i="120"/>
  <c r="Z74" i="120"/>
  <c r="W74" i="120"/>
  <c r="T74" i="120"/>
  <c r="P74" i="120"/>
  <c r="H74" i="120"/>
  <c r="E74" i="120"/>
  <c r="D74" i="120"/>
  <c r="C74" i="120"/>
  <c r="R74" i="120" s="1"/>
  <c r="AG74" i="120" s="1"/>
  <c r="CA73" i="120"/>
  <c r="BZ73" i="120"/>
  <c r="BV73" i="120"/>
  <c r="BS73" i="120"/>
  <c r="BP73" i="120"/>
  <c r="BC73" i="120"/>
  <c r="BB73" i="120"/>
  <c r="AX73" i="120"/>
  <c r="AU73" i="120"/>
  <c r="AR73" i="120"/>
  <c r="AE73" i="120"/>
  <c r="AD73" i="120"/>
  <c r="Z73" i="120"/>
  <c r="W73" i="120"/>
  <c r="T73" i="120"/>
  <c r="P73" i="120"/>
  <c r="O73" i="120"/>
  <c r="K73" i="120"/>
  <c r="H73" i="120"/>
  <c r="E73" i="120"/>
  <c r="D73" i="120"/>
  <c r="S73" i="120" s="1"/>
  <c r="CA72" i="120"/>
  <c r="BZ72" i="120"/>
  <c r="BY72" i="120" s="1"/>
  <c r="BV72" i="120"/>
  <c r="BS72" i="120"/>
  <c r="BP72" i="120"/>
  <c r="BC72" i="120"/>
  <c r="BB72" i="120"/>
  <c r="AX72" i="120"/>
  <c r="AU72" i="120"/>
  <c r="AR72" i="120"/>
  <c r="AE72" i="120"/>
  <c r="AD72" i="120"/>
  <c r="Z72" i="120"/>
  <c r="W72" i="120"/>
  <c r="T72" i="120"/>
  <c r="P72" i="120"/>
  <c r="O72" i="120"/>
  <c r="K72" i="120"/>
  <c r="H72" i="120"/>
  <c r="E72" i="120"/>
  <c r="D72" i="120"/>
  <c r="CA70" i="120"/>
  <c r="BZ70" i="120"/>
  <c r="BY70" i="120" s="1"/>
  <c r="BV70" i="120"/>
  <c r="BS70" i="120"/>
  <c r="BP70" i="120"/>
  <c r="BC70" i="120"/>
  <c r="BB70" i="120"/>
  <c r="AX70" i="120"/>
  <c r="AU70" i="120"/>
  <c r="AR70" i="120"/>
  <c r="AE70" i="120"/>
  <c r="AD70" i="120"/>
  <c r="Z70" i="120"/>
  <c r="W70" i="120"/>
  <c r="T70" i="120"/>
  <c r="S70" i="120"/>
  <c r="P70" i="120"/>
  <c r="AK70" i="120" s="1"/>
  <c r="O70" i="120"/>
  <c r="N70" i="120" s="1"/>
  <c r="K70" i="120"/>
  <c r="H70" i="120"/>
  <c r="E70" i="120"/>
  <c r="D70" i="120"/>
  <c r="CD69" i="120"/>
  <c r="BX69" i="120"/>
  <c r="BW69" i="120"/>
  <c r="BW62" i="120" s="1"/>
  <c r="BU69" i="120"/>
  <c r="BT69" i="120"/>
  <c r="BT62" i="120" s="1"/>
  <c r="BR69" i="120"/>
  <c r="BR261" i="120" s="1"/>
  <c r="BR260" i="120" s="1"/>
  <c r="BQ69" i="120"/>
  <c r="AZ69" i="120"/>
  <c r="AZ62" i="120" s="1"/>
  <c r="AZ261" i="120"/>
  <c r="AZ260" i="120" s="1"/>
  <c r="AY69" i="120"/>
  <c r="AW69" i="120"/>
  <c r="AV69" i="120"/>
  <c r="AV261" i="120" s="1"/>
  <c r="AV260" i="120" s="1"/>
  <c r="AT69" i="120"/>
  <c r="AS69" i="120"/>
  <c r="AB69" i="120"/>
  <c r="AB261" i="120" s="1"/>
  <c r="AA69" i="120"/>
  <c r="Y69" i="120"/>
  <c r="Y261" i="120" s="1"/>
  <c r="Y260" i="120"/>
  <c r="X69" i="120"/>
  <c r="V69" i="120"/>
  <c r="T69" i="120"/>
  <c r="T261" i="120" s="1"/>
  <c r="M69" i="120"/>
  <c r="M261" i="120" s="1"/>
  <c r="M260" i="120" s="1"/>
  <c r="L69" i="120"/>
  <c r="J69" i="120"/>
  <c r="I69" i="120"/>
  <c r="G69" i="120"/>
  <c r="E69" i="120" s="1"/>
  <c r="E261" i="120" s="1"/>
  <c r="F69" i="120"/>
  <c r="CA68" i="120"/>
  <c r="BZ68" i="120"/>
  <c r="BV68" i="120"/>
  <c r="BS68" i="120"/>
  <c r="BP68" i="120"/>
  <c r="BC68" i="120"/>
  <c r="BB68" i="120"/>
  <c r="AX68" i="120"/>
  <c r="AU68" i="120"/>
  <c r="AR68" i="120"/>
  <c r="AE68" i="120"/>
  <c r="AD68" i="120"/>
  <c r="Z68" i="120"/>
  <c r="W68" i="120"/>
  <c r="T68" i="120"/>
  <c r="P68" i="120"/>
  <c r="O68" i="120"/>
  <c r="N68" i="120" s="1"/>
  <c r="K68" i="120"/>
  <c r="H68" i="120"/>
  <c r="E68" i="120"/>
  <c r="D68" i="120"/>
  <c r="S68" i="120" s="1"/>
  <c r="CA67" i="120"/>
  <c r="BZ67" i="120"/>
  <c r="BV67" i="120"/>
  <c r="BS67" i="120"/>
  <c r="BP67" i="120"/>
  <c r="BC67" i="120"/>
  <c r="BA67" i="120" s="1"/>
  <c r="BB67" i="120"/>
  <c r="AX67" i="120"/>
  <c r="AU67" i="120"/>
  <c r="AR67" i="120"/>
  <c r="AE67" i="120"/>
  <c r="AD67" i="120"/>
  <c r="Z67" i="120"/>
  <c r="W67" i="120"/>
  <c r="T67" i="120"/>
  <c r="P67" i="120"/>
  <c r="O67" i="120"/>
  <c r="K67" i="120"/>
  <c r="H67" i="120"/>
  <c r="E67" i="120"/>
  <c r="D67" i="120"/>
  <c r="S67" i="120" s="1"/>
  <c r="CA66" i="120"/>
  <c r="BZ66" i="120"/>
  <c r="BV66" i="120"/>
  <c r="BS66" i="120"/>
  <c r="BP66" i="120"/>
  <c r="BC66" i="120"/>
  <c r="BB66" i="120"/>
  <c r="AX66" i="120"/>
  <c r="AU66" i="120"/>
  <c r="AR66" i="120"/>
  <c r="AE66" i="120"/>
  <c r="AD66" i="120"/>
  <c r="Z66" i="120"/>
  <c r="W66" i="120"/>
  <c r="T66" i="120"/>
  <c r="P66" i="120"/>
  <c r="O66" i="120"/>
  <c r="K66" i="120"/>
  <c r="H66" i="120"/>
  <c r="E66" i="120"/>
  <c r="D66" i="120"/>
  <c r="CD65" i="120"/>
  <c r="BX65" i="120"/>
  <c r="BW65" i="120"/>
  <c r="BU65" i="120"/>
  <c r="BT65" i="120"/>
  <c r="BR65" i="120"/>
  <c r="BQ65" i="120"/>
  <c r="AZ65" i="120"/>
  <c r="AY65" i="120"/>
  <c r="AW65" i="120"/>
  <c r="AV65" i="120"/>
  <c r="AT65" i="120"/>
  <c r="AS65" i="120"/>
  <c r="AB65" i="120"/>
  <c r="AA65" i="120"/>
  <c r="Y65" i="120"/>
  <c r="X65" i="120"/>
  <c r="V65" i="120"/>
  <c r="U65" i="120"/>
  <c r="M65" i="120"/>
  <c r="L65" i="120"/>
  <c r="J65" i="120"/>
  <c r="I65" i="120"/>
  <c r="G65" i="120"/>
  <c r="F65" i="120"/>
  <c r="CA64" i="120"/>
  <c r="BZ64" i="120"/>
  <c r="BV64" i="120"/>
  <c r="BS64" i="120"/>
  <c r="BP64" i="120"/>
  <c r="BC64" i="120"/>
  <c r="BB64" i="120"/>
  <c r="BA64" i="120" s="1"/>
  <c r="AX64" i="120"/>
  <c r="AU64" i="120"/>
  <c r="AR64" i="120"/>
  <c r="AE64" i="120"/>
  <c r="AD64" i="120"/>
  <c r="Z64" i="120"/>
  <c r="W64" i="120"/>
  <c r="T64" i="120"/>
  <c r="P64" i="120"/>
  <c r="O64" i="120"/>
  <c r="N64" i="120" s="1"/>
  <c r="K64" i="120"/>
  <c r="H64" i="120"/>
  <c r="H65" i="120" s="1"/>
  <c r="E64" i="120"/>
  <c r="D64" i="120"/>
  <c r="CA63" i="120"/>
  <c r="BZ63" i="120"/>
  <c r="BV63" i="120"/>
  <c r="BS63" i="120"/>
  <c r="BP63" i="120"/>
  <c r="BC63" i="120"/>
  <c r="BB63" i="120"/>
  <c r="AX63" i="120"/>
  <c r="AU63" i="120"/>
  <c r="AR63" i="120"/>
  <c r="AE63" i="120"/>
  <c r="AD63" i="120"/>
  <c r="Z63" i="120"/>
  <c r="W63" i="120"/>
  <c r="T63" i="120"/>
  <c r="P63" i="120"/>
  <c r="AK63" i="120" s="1"/>
  <c r="O63" i="120"/>
  <c r="K63" i="120"/>
  <c r="H63" i="120"/>
  <c r="E63" i="120"/>
  <c r="E65" i="120" s="1"/>
  <c r="D63" i="120"/>
  <c r="BU62" i="120"/>
  <c r="AT62" i="120"/>
  <c r="AB62" i="120"/>
  <c r="V62" i="120"/>
  <c r="CD61" i="120"/>
  <c r="BX61" i="120"/>
  <c r="BW61" i="120"/>
  <c r="BU61" i="120"/>
  <c r="BT61" i="120"/>
  <c r="BR61" i="120"/>
  <c r="BQ61" i="120"/>
  <c r="AZ61" i="120"/>
  <c r="AY61" i="120"/>
  <c r="AW61" i="120"/>
  <c r="AT61" i="120"/>
  <c r="AB61" i="120"/>
  <c r="Y61" i="120"/>
  <c r="V61" i="120"/>
  <c r="M61" i="120"/>
  <c r="J61" i="120"/>
  <c r="G61" i="120"/>
  <c r="A61" i="120"/>
  <c r="CA60" i="120"/>
  <c r="BZ60" i="120"/>
  <c r="BV60" i="120"/>
  <c r="BS60" i="120"/>
  <c r="BP60" i="120"/>
  <c r="BC60" i="120"/>
  <c r="AX60" i="120"/>
  <c r="AV202" i="120"/>
  <c r="AS202" i="120"/>
  <c r="CR54" i="121" s="1"/>
  <c r="AE60" i="120"/>
  <c r="AA202" i="120"/>
  <c r="BK54" i="121" s="1"/>
  <c r="U202" i="120"/>
  <c r="AS54" i="121" s="1"/>
  <c r="AR54" i="121" s="1"/>
  <c r="P60" i="120"/>
  <c r="L202" i="120"/>
  <c r="X54" i="121" s="1"/>
  <c r="F202" i="120"/>
  <c r="F54" i="121" s="1"/>
  <c r="E60" i="120"/>
  <c r="D60" i="120"/>
  <c r="CA59" i="120"/>
  <c r="BZ59" i="120"/>
  <c r="BV59" i="120"/>
  <c r="BS59" i="120"/>
  <c r="BP59" i="120"/>
  <c r="BC59" i="120"/>
  <c r="BC61" i="120" s="1"/>
  <c r="AX59" i="120"/>
  <c r="AV201" i="120"/>
  <c r="DA53" i="121" s="1"/>
  <c r="CZ53" i="121" s="1"/>
  <c r="AS201" i="120"/>
  <c r="CR53" i="121" s="1"/>
  <c r="AE59" i="120"/>
  <c r="X201" i="120"/>
  <c r="BB53" i="121" s="1"/>
  <c r="P59" i="120"/>
  <c r="I201" i="120"/>
  <c r="O53" i="121" s="1"/>
  <c r="D59" i="120"/>
  <c r="D61" i="120" s="1"/>
  <c r="CB58" i="120"/>
  <c r="CA58" i="120"/>
  <c r="BV58" i="120"/>
  <c r="BT199" i="120"/>
  <c r="EZ51" i="121" s="1"/>
  <c r="EY51" i="121" s="1"/>
  <c r="BQ199" i="120"/>
  <c r="EQ51" i="121" s="1"/>
  <c r="BP58" i="120"/>
  <c r="BC58" i="120"/>
  <c r="AU58" i="120"/>
  <c r="AR58" i="120"/>
  <c r="AE58" i="120"/>
  <c r="AA199" i="120"/>
  <c r="BK51" i="121" s="1"/>
  <c r="X199" i="120"/>
  <c r="BB51" i="121" s="1"/>
  <c r="P58" i="120"/>
  <c r="F199" i="120"/>
  <c r="F51" i="121" s="1"/>
  <c r="D58" i="120"/>
  <c r="CB57" i="120"/>
  <c r="CA57" i="120"/>
  <c r="BZ57" i="120"/>
  <c r="BV57" i="120"/>
  <c r="BS57" i="120"/>
  <c r="BP57" i="120"/>
  <c r="BC57" i="120"/>
  <c r="BB57" i="120"/>
  <c r="AX57" i="120"/>
  <c r="AU57" i="120"/>
  <c r="AR57" i="120"/>
  <c r="AE57" i="120"/>
  <c r="AD57" i="120"/>
  <c r="AD198" i="120" s="1"/>
  <c r="Z57" i="120"/>
  <c r="W57" i="120"/>
  <c r="T57" i="120"/>
  <c r="P57" i="120"/>
  <c r="O57" i="120"/>
  <c r="K57" i="120"/>
  <c r="H57" i="120"/>
  <c r="E57" i="120"/>
  <c r="D57" i="120"/>
  <c r="CA56" i="120"/>
  <c r="BZ56" i="120"/>
  <c r="BV56" i="120"/>
  <c r="BS56" i="120"/>
  <c r="BP56" i="120"/>
  <c r="BC56" i="120"/>
  <c r="BB56" i="120"/>
  <c r="AX56" i="120"/>
  <c r="AU56" i="120"/>
  <c r="AR56" i="120"/>
  <c r="AE56" i="120"/>
  <c r="Z56" i="120"/>
  <c r="X197" i="120"/>
  <c r="BB49" i="121" s="1"/>
  <c r="T56" i="120"/>
  <c r="P56" i="120"/>
  <c r="O56" i="120"/>
  <c r="K56" i="120"/>
  <c r="H56" i="120"/>
  <c r="E56" i="120"/>
  <c r="D56" i="120"/>
  <c r="S56" i="120" s="1"/>
  <c r="CA55" i="120"/>
  <c r="BZ55" i="120"/>
  <c r="BZ200" i="120" s="1"/>
  <c r="BV55" i="120"/>
  <c r="BV200" i="120" s="1"/>
  <c r="BS55" i="120"/>
  <c r="BS200" i="120" s="1"/>
  <c r="BP55" i="120"/>
  <c r="BP200" i="120" s="1"/>
  <c r="BC55" i="120"/>
  <c r="BC200" i="120" s="1"/>
  <c r="BB55" i="120"/>
  <c r="BB200" i="120" s="1"/>
  <c r="AX55" i="120"/>
  <c r="AX200" i="120" s="1"/>
  <c r="AU55" i="120"/>
  <c r="AU200" i="120" s="1"/>
  <c r="AR55" i="120"/>
  <c r="AR200" i="120" s="1"/>
  <c r="AE55" i="120"/>
  <c r="AE200" i="120" s="1"/>
  <c r="AD55" i="120"/>
  <c r="Z55" i="120"/>
  <c r="Z200" i="120" s="1"/>
  <c r="W55" i="120"/>
  <c r="W200" i="120" s="1"/>
  <c r="T55" i="120"/>
  <c r="T200" i="120" s="1"/>
  <c r="P55" i="120"/>
  <c r="O55" i="120"/>
  <c r="O200" i="120" s="1"/>
  <c r="K55" i="120"/>
  <c r="K200" i="120" s="1"/>
  <c r="H55" i="120"/>
  <c r="H200" i="120" s="1"/>
  <c r="E55" i="120"/>
  <c r="E200" i="120" s="1"/>
  <c r="D55" i="120"/>
  <c r="CA54" i="120"/>
  <c r="BZ54" i="120"/>
  <c r="BV54" i="120"/>
  <c r="BS54" i="120"/>
  <c r="BP54" i="120"/>
  <c r="BC54" i="120"/>
  <c r="BB54" i="120"/>
  <c r="AX54" i="120"/>
  <c r="AU54" i="120"/>
  <c r="AR54" i="120"/>
  <c r="AE54" i="120"/>
  <c r="AD54" i="120"/>
  <c r="Z54" i="120"/>
  <c r="W54" i="120"/>
  <c r="T54" i="120"/>
  <c r="P54" i="120"/>
  <c r="O54" i="120"/>
  <c r="K54" i="120"/>
  <c r="H54" i="120"/>
  <c r="E54" i="120"/>
  <c r="D54" i="120"/>
  <c r="S54" i="120" s="1"/>
  <c r="AH54" i="120" s="1"/>
  <c r="AQ54" i="120" s="1"/>
  <c r="CA52" i="120"/>
  <c r="BZ52" i="120"/>
  <c r="BV52" i="120"/>
  <c r="BS52" i="120"/>
  <c r="BP52" i="120"/>
  <c r="BP268" i="120" s="1"/>
  <c r="BC52" i="120"/>
  <c r="BB52" i="120"/>
  <c r="AX52" i="120"/>
  <c r="AU52" i="120"/>
  <c r="AR52" i="120"/>
  <c r="AE52" i="120"/>
  <c r="AD52" i="120"/>
  <c r="Z52" i="120"/>
  <c r="W52" i="120"/>
  <c r="T52" i="120"/>
  <c r="P52" i="120"/>
  <c r="O52" i="120"/>
  <c r="AJ52" i="120" s="1"/>
  <c r="K52" i="120"/>
  <c r="K268" i="120" s="1"/>
  <c r="H52" i="120"/>
  <c r="E52" i="120"/>
  <c r="CA51" i="120"/>
  <c r="BZ51" i="120"/>
  <c r="BV51" i="120"/>
  <c r="BS51" i="120"/>
  <c r="BP51" i="120"/>
  <c r="BC51" i="120"/>
  <c r="BB51" i="120"/>
  <c r="BB50" i="120" s="1"/>
  <c r="AX51" i="120"/>
  <c r="AU51" i="120"/>
  <c r="AR51" i="120"/>
  <c r="AE51" i="120"/>
  <c r="AD51" i="120"/>
  <c r="Z51" i="120"/>
  <c r="W51" i="120"/>
  <c r="T51" i="120"/>
  <c r="P51" i="120"/>
  <c r="O51" i="120"/>
  <c r="O50" i="120" s="1"/>
  <c r="K51" i="120"/>
  <c r="H51" i="120"/>
  <c r="E51" i="120"/>
  <c r="BX50" i="120"/>
  <c r="BW50" i="120"/>
  <c r="BU50" i="120"/>
  <c r="BT50" i="120"/>
  <c r="BS50" i="120" s="1"/>
  <c r="BR50" i="120"/>
  <c r="BQ50" i="120"/>
  <c r="AZ50" i="120"/>
  <c r="AY50" i="120"/>
  <c r="AW50" i="120"/>
  <c r="AV50" i="120"/>
  <c r="AT50" i="120"/>
  <c r="AS50" i="120"/>
  <c r="AB50" i="120"/>
  <c r="AA50" i="120"/>
  <c r="Y50" i="120"/>
  <c r="X50" i="120"/>
  <c r="V50" i="120"/>
  <c r="T50" i="120" s="1"/>
  <c r="U50" i="120"/>
  <c r="M50" i="120"/>
  <c r="L50" i="120"/>
  <c r="J50" i="120"/>
  <c r="I50" i="120"/>
  <c r="G50" i="120"/>
  <c r="F50" i="120"/>
  <c r="CA49" i="120"/>
  <c r="BZ49" i="120"/>
  <c r="BV49" i="120"/>
  <c r="BS49" i="120"/>
  <c r="BP49" i="120"/>
  <c r="BC49" i="120"/>
  <c r="BB49" i="120"/>
  <c r="AX49" i="120"/>
  <c r="AU49" i="120"/>
  <c r="AR49" i="120"/>
  <c r="AE49" i="120"/>
  <c r="AE264" i="120" s="1"/>
  <c r="AD49" i="120"/>
  <c r="Z49" i="120"/>
  <c r="W49" i="120"/>
  <c r="T49" i="120"/>
  <c r="T264" i="120" s="1"/>
  <c r="P49" i="120"/>
  <c r="O49" i="120"/>
  <c r="K49" i="120"/>
  <c r="H49" i="120"/>
  <c r="H264" i="120" s="1"/>
  <c r="E49" i="120"/>
  <c r="CA48" i="120"/>
  <c r="BZ48" i="120"/>
  <c r="BV48" i="120"/>
  <c r="BS48" i="120"/>
  <c r="BP48" i="120"/>
  <c r="BC48" i="120"/>
  <c r="BB48" i="120"/>
  <c r="BB263" i="120" s="1"/>
  <c r="AX48" i="120"/>
  <c r="AX263" i="120" s="1"/>
  <c r="AU48" i="120"/>
  <c r="AR48" i="120"/>
  <c r="AE48" i="120"/>
  <c r="AD48" i="120"/>
  <c r="AD263" i="120" s="1"/>
  <c r="Z48" i="120"/>
  <c r="W48" i="120"/>
  <c r="T48" i="120"/>
  <c r="P48" i="120"/>
  <c r="P263" i="120" s="1"/>
  <c r="O48" i="120"/>
  <c r="K48" i="120"/>
  <c r="H48" i="120"/>
  <c r="E48" i="120"/>
  <c r="E263" i="120" s="1"/>
  <c r="CA47" i="120"/>
  <c r="BZ47" i="120"/>
  <c r="BV47" i="120"/>
  <c r="BS47" i="120"/>
  <c r="BP47" i="120"/>
  <c r="BC47" i="120"/>
  <c r="BB47" i="120"/>
  <c r="AX47" i="120"/>
  <c r="AU47" i="120"/>
  <c r="AR47" i="120"/>
  <c r="AR262" i="120" s="1"/>
  <c r="AE47" i="120"/>
  <c r="AD47" i="120"/>
  <c r="Z47" i="120"/>
  <c r="W47" i="120"/>
  <c r="T47" i="120"/>
  <c r="P47" i="120"/>
  <c r="O47" i="120"/>
  <c r="K47" i="120"/>
  <c r="H47" i="120"/>
  <c r="E47" i="120"/>
  <c r="BX46" i="120"/>
  <c r="BW46" i="120"/>
  <c r="BU46" i="120"/>
  <c r="BT46" i="120"/>
  <c r="BR46" i="120"/>
  <c r="BQ46" i="120"/>
  <c r="AZ46" i="120"/>
  <c r="AY46" i="120"/>
  <c r="AW46" i="120"/>
  <c r="AV46" i="120"/>
  <c r="AT46" i="120"/>
  <c r="AS46" i="120"/>
  <c r="AB46" i="120"/>
  <c r="AA46" i="120"/>
  <c r="Y46" i="120"/>
  <c r="X46" i="120"/>
  <c r="V46" i="120"/>
  <c r="U46" i="120"/>
  <c r="M46" i="120"/>
  <c r="L46" i="120"/>
  <c r="L37" i="120" s="1"/>
  <c r="L29" i="120" s="1"/>
  <c r="J46" i="120"/>
  <c r="I46" i="120"/>
  <c r="G46" i="120"/>
  <c r="F46" i="120"/>
  <c r="CA45" i="120"/>
  <c r="BZ45" i="120"/>
  <c r="BV45" i="120"/>
  <c r="BS45" i="120"/>
  <c r="BP45" i="120"/>
  <c r="BC45" i="120"/>
  <c r="BB45" i="120"/>
  <c r="AX45" i="120"/>
  <c r="AU45" i="120"/>
  <c r="AR45" i="120"/>
  <c r="AE45" i="120"/>
  <c r="AD45" i="120"/>
  <c r="Z45" i="120"/>
  <c r="W45" i="120"/>
  <c r="T45" i="120"/>
  <c r="P45" i="120"/>
  <c r="O45" i="120"/>
  <c r="K45" i="120"/>
  <c r="H45" i="120"/>
  <c r="E45" i="120"/>
  <c r="E254" i="120" s="1"/>
  <c r="CA44" i="120"/>
  <c r="BZ44" i="120"/>
  <c r="BV44" i="120"/>
  <c r="BV245" i="120" s="1"/>
  <c r="BS44" i="120"/>
  <c r="BS245" i="120" s="1"/>
  <c r="BP44" i="120"/>
  <c r="BC44" i="120"/>
  <c r="BB44" i="120"/>
  <c r="BB245" i="120" s="1"/>
  <c r="AX44" i="120"/>
  <c r="AX245" i="120" s="1"/>
  <c r="AU44" i="120"/>
  <c r="AR44" i="120"/>
  <c r="AE44" i="120"/>
  <c r="AE245" i="120" s="1"/>
  <c r="AD44" i="120"/>
  <c r="Z44" i="120"/>
  <c r="W44" i="120"/>
  <c r="W245" i="120" s="1"/>
  <c r="T44" i="120"/>
  <c r="P44" i="120"/>
  <c r="P245" i="120" s="1"/>
  <c r="O44" i="120"/>
  <c r="K44" i="120"/>
  <c r="H44" i="120"/>
  <c r="H245" i="120" s="1"/>
  <c r="E44" i="120"/>
  <c r="E245" i="120" s="1"/>
  <c r="CA43" i="120"/>
  <c r="BZ43" i="120"/>
  <c r="BV43" i="120"/>
  <c r="BS43" i="120"/>
  <c r="BP43" i="120"/>
  <c r="BC43" i="120"/>
  <c r="BB43" i="120"/>
  <c r="AX43" i="120"/>
  <c r="AU43" i="120"/>
  <c r="AR43" i="120"/>
  <c r="AE43" i="120"/>
  <c r="AD43" i="120"/>
  <c r="AC43" i="120" s="1"/>
  <c r="Z43" i="120"/>
  <c r="W43" i="120"/>
  <c r="T43" i="120"/>
  <c r="P43" i="120"/>
  <c r="P243" i="120" s="1"/>
  <c r="O43" i="120"/>
  <c r="K43" i="120"/>
  <c r="H43" i="120"/>
  <c r="E43" i="120"/>
  <c r="CA42" i="120"/>
  <c r="CA242" i="120" s="1"/>
  <c r="BZ42" i="120"/>
  <c r="BV42" i="120"/>
  <c r="BS42" i="120"/>
  <c r="BS242" i="120" s="1"/>
  <c r="BP42" i="120"/>
  <c r="BC42" i="120"/>
  <c r="BC242" i="120"/>
  <c r="BB42" i="120"/>
  <c r="AX42" i="120"/>
  <c r="AU42" i="120"/>
  <c r="AU242" i="120" s="1"/>
  <c r="AR42" i="120"/>
  <c r="AR242" i="120" s="1"/>
  <c r="AE42" i="120"/>
  <c r="AK42" i="120" s="1"/>
  <c r="BI42" i="120" s="1"/>
  <c r="AD42" i="120"/>
  <c r="Z42" i="120"/>
  <c r="Z242" i="120" s="1"/>
  <c r="W42" i="120"/>
  <c r="W242" i="120" s="1"/>
  <c r="T42" i="120"/>
  <c r="P42" i="120"/>
  <c r="O42" i="120"/>
  <c r="K42" i="120"/>
  <c r="K242" i="120" s="1"/>
  <c r="H42" i="120"/>
  <c r="E42" i="120"/>
  <c r="CA41" i="120"/>
  <c r="BZ41" i="120"/>
  <c r="BY41" i="120" s="1"/>
  <c r="BV41" i="120"/>
  <c r="BS41" i="120"/>
  <c r="BP41" i="120"/>
  <c r="BC41" i="120"/>
  <c r="BB41" i="120"/>
  <c r="AX41" i="120"/>
  <c r="AU41" i="120"/>
  <c r="AR41" i="120"/>
  <c r="AE41" i="120"/>
  <c r="AD41" i="120"/>
  <c r="Z41" i="120"/>
  <c r="W41" i="120"/>
  <c r="T41" i="120"/>
  <c r="T241" i="120" s="1"/>
  <c r="P41" i="120"/>
  <c r="O41" i="120"/>
  <c r="K41" i="120"/>
  <c r="H41" i="120"/>
  <c r="E41" i="120"/>
  <c r="CA40" i="120"/>
  <c r="BZ40" i="120"/>
  <c r="BZ240" i="120" s="1"/>
  <c r="BV40" i="120"/>
  <c r="BV240" i="120" s="1"/>
  <c r="BS40" i="120"/>
  <c r="BS240" i="120" s="1"/>
  <c r="BP40" i="120"/>
  <c r="BP240" i="120" s="1"/>
  <c r="BC40" i="120"/>
  <c r="BC240" i="120" s="1"/>
  <c r="BB40" i="120"/>
  <c r="BB240" i="120" s="1"/>
  <c r="AX40" i="120"/>
  <c r="AX240" i="120" s="1"/>
  <c r="AU40" i="120"/>
  <c r="AU240" i="120" s="1"/>
  <c r="AR40" i="120"/>
  <c r="AR240" i="120" s="1"/>
  <c r="AE40" i="120"/>
  <c r="AK40" i="120" s="1"/>
  <c r="AD40" i="120"/>
  <c r="AD240" i="120" s="1"/>
  <c r="Z40" i="120"/>
  <c r="Z240" i="120" s="1"/>
  <c r="W40" i="120"/>
  <c r="W240" i="120" s="1"/>
  <c r="T40" i="120"/>
  <c r="T240" i="120" s="1"/>
  <c r="P40" i="120"/>
  <c r="P240" i="120" s="1"/>
  <c r="O40" i="120"/>
  <c r="O240" i="120"/>
  <c r="K40" i="120"/>
  <c r="K240" i="120" s="1"/>
  <c r="H40" i="120"/>
  <c r="H240" i="120" s="1"/>
  <c r="E40" i="120"/>
  <c r="E240" i="120" s="1"/>
  <c r="CA39" i="120"/>
  <c r="BZ39" i="120"/>
  <c r="BV39" i="120"/>
  <c r="BS39" i="120"/>
  <c r="BP39" i="120"/>
  <c r="BC39" i="120"/>
  <c r="BA39" i="120" s="1"/>
  <c r="BB39" i="120"/>
  <c r="AX39" i="120"/>
  <c r="AU39" i="120"/>
  <c r="AR39" i="120"/>
  <c r="AE39" i="120"/>
  <c r="AD39" i="120"/>
  <c r="Z39" i="120"/>
  <c r="W39" i="120"/>
  <c r="T39" i="120"/>
  <c r="P39" i="120"/>
  <c r="O39" i="120"/>
  <c r="K39" i="120"/>
  <c r="H39" i="120"/>
  <c r="E39" i="120"/>
  <c r="CA38" i="120"/>
  <c r="BZ38" i="120"/>
  <c r="BV38" i="120"/>
  <c r="BS38" i="120"/>
  <c r="BP38" i="120"/>
  <c r="BC38" i="120"/>
  <c r="BB38" i="120"/>
  <c r="AX38" i="120"/>
  <c r="AU38" i="120"/>
  <c r="AR38" i="120"/>
  <c r="AE38" i="120"/>
  <c r="AD38" i="120"/>
  <c r="Z38" i="120"/>
  <c r="W38" i="120"/>
  <c r="T38" i="120"/>
  <c r="P38" i="120"/>
  <c r="O38" i="120"/>
  <c r="K38" i="120"/>
  <c r="H38" i="120"/>
  <c r="E38" i="120"/>
  <c r="BU37" i="120"/>
  <c r="BU29" i="120" s="1"/>
  <c r="BX36" i="120"/>
  <c r="BW36" i="120"/>
  <c r="BU36" i="120"/>
  <c r="BT36" i="120"/>
  <c r="BR36" i="120"/>
  <c r="BQ36" i="120"/>
  <c r="AZ36" i="120"/>
  <c r="AY36" i="120"/>
  <c r="AW36" i="120"/>
  <c r="AV36" i="120"/>
  <c r="AT36" i="120"/>
  <c r="AS36" i="120"/>
  <c r="AB36" i="120"/>
  <c r="AA36" i="120"/>
  <c r="Y36" i="120"/>
  <c r="X36" i="120"/>
  <c r="V36" i="120"/>
  <c r="U36" i="120"/>
  <c r="M36" i="120"/>
  <c r="L36" i="120"/>
  <c r="J36" i="120"/>
  <c r="I36" i="120"/>
  <c r="G36" i="120"/>
  <c r="F36" i="120"/>
  <c r="CA35" i="120"/>
  <c r="BZ35" i="120"/>
  <c r="BV35" i="120"/>
  <c r="BS35" i="120"/>
  <c r="BS36" i="120" s="1"/>
  <c r="BP35" i="120"/>
  <c r="BC35" i="120"/>
  <c r="BB35" i="120"/>
  <c r="AX35" i="120"/>
  <c r="AU35" i="120"/>
  <c r="AR35" i="120"/>
  <c r="AE35" i="120"/>
  <c r="AD35" i="120"/>
  <c r="Z35" i="120"/>
  <c r="W35" i="120"/>
  <c r="T35" i="120"/>
  <c r="P35" i="120"/>
  <c r="O35" i="120"/>
  <c r="AJ35" i="120" s="1"/>
  <c r="K35" i="120"/>
  <c r="H35" i="120"/>
  <c r="E35" i="120"/>
  <c r="CA34" i="120"/>
  <c r="CA201" i="120" s="1"/>
  <c r="BZ34" i="120"/>
  <c r="BV34" i="120"/>
  <c r="BS34" i="120"/>
  <c r="BP34" i="120"/>
  <c r="BC34" i="120"/>
  <c r="BB34" i="120"/>
  <c r="AX34" i="120"/>
  <c r="AU34" i="120"/>
  <c r="AR34" i="120"/>
  <c r="AE34" i="120"/>
  <c r="AD34" i="120"/>
  <c r="Z34" i="120"/>
  <c r="W34" i="120"/>
  <c r="T34" i="120"/>
  <c r="P34" i="120"/>
  <c r="O34" i="120"/>
  <c r="AJ34" i="120" s="1"/>
  <c r="K34" i="120"/>
  <c r="H34" i="120"/>
  <c r="E34" i="120"/>
  <c r="CA33" i="120"/>
  <c r="CA199" i="120" s="1"/>
  <c r="BZ33" i="120"/>
  <c r="BV33" i="120"/>
  <c r="BS33" i="120"/>
  <c r="BP33" i="120"/>
  <c r="BP199" i="120" s="1"/>
  <c r="BC33" i="120"/>
  <c r="BB33" i="120"/>
  <c r="AX33" i="120"/>
  <c r="AU33" i="120"/>
  <c r="AR33" i="120"/>
  <c r="AE33" i="120"/>
  <c r="AD33" i="120"/>
  <c r="Z33" i="120"/>
  <c r="W33" i="120"/>
  <c r="T33" i="120"/>
  <c r="P33" i="120"/>
  <c r="O33" i="120"/>
  <c r="N33" i="120" s="1"/>
  <c r="K33" i="120"/>
  <c r="H33" i="120"/>
  <c r="E33" i="120"/>
  <c r="D33" i="120"/>
  <c r="D32" i="120"/>
  <c r="C32" i="120"/>
  <c r="CA32" i="120"/>
  <c r="BZ32" i="120"/>
  <c r="BV32" i="120"/>
  <c r="BS32" i="120"/>
  <c r="BP32" i="120"/>
  <c r="BC32" i="120"/>
  <c r="BB32" i="120"/>
  <c r="AX32" i="120"/>
  <c r="AU32" i="120"/>
  <c r="AR32" i="120"/>
  <c r="AE32" i="120"/>
  <c r="AD32" i="120"/>
  <c r="Z32" i="120"/>
  <c r="W32" i="120"/>
  <c r="T32" i="120"/>
  <c r="P32" i="120"/>
  <c r="O32" i="120"/>
  <c r="K32" i="120"/>
  <c r="H32" i="120"/>
  <c r="E32" i="120"/>
  <c r="CA31" i="120"/>
  <c r="BZ31" i="120"/>
  <c r="BV31" i="120"/>
  <c r="BS31" i="120"/>
  <c r="BP31" i="120"/>
  <c r="BC31" i="120"/>
  <c r="BC197" i="120" s="1"/>
  <c r="BB31" i="120"/>
  <c r="AX31" i="120"/>
  <c r="AU31" i="120"/>
  <c r="AR31" i="120"/>
  <c r="AR197" i="120" s="1"/>
  <c r="AE31" i="120"/>
  <c r="AD31" i="120"/>
  <c r="Z31" i="120"/>
  <c r="W31" i="120"/>
  <c r="T31" i="120"/>
  <c r="P31" i="120"/>
  <c r="O31" i="120"/>
  <c r="K31" i="120"/>
  <c r="K197" i="120" s="1"/>
  <c r="H31" i="120"/>
  <c r="E31" i="120"/>
  <c r="CA30" i="120"/>
  <c r="BZ30" i="120"/>
  <c r="BV30" i="120"/>
  <c r="BS30" i="120"/>
  <c r="BP30" i="120"/>
  <c r="BC30" i="120"/>
  <c r="BB30" i="120"/>
  <c r="AX30" i="120"/>
  <c r="AU30" i="120"/>
  <c r="AR30" i="120"/>
  <c r="AE30" i="120"/>
  <c r="AD30" i="120"/>
  <c r="Z30" i="120"/>
  <c r="W30" i="120"/>
  <c r="T30" i="120"/>
  <c r="P30" i="120"/>
  <c r="O30" i="120"/>
  <c r="K30" i="120"/>
  <c r="H30" i="120"/>
  <c r="E30" i="120"/>
  <c r="CD191" i="120"/>
  <c r="CC191" i="120"/>
  <c r="CA24" i="120"/>
  <c r="BZ24" i="120"/>
  <c r="BZ191" i="120" s="1"/>
  <c r="BV24" i="120"/>
  <c r="BV191" i="120" s="1"/>
  <c r="BS24" i="120"/>
  <c r="BS191" i="120" s="1"/>
  <c r="BP24" i="120"/>
  <c r="BP191" i="120" s="1"/>
  <c r="BO24" i="120"/>
  <c r="BC24" i="120"/>
  <c r="BC191" i="120" s="1"/>
  <c r="BB24" i="120"/>
  <c r="BA24" i="120" s="1"/>
  <c r="BA191" i="120" s="1"/>
  <c r="AX24" i="120"/>
  <c r="AX191" i="120" s="1"/>
  <c r="AU24" i="120"/>
  <c r="AU191" i="120" s="1"/>
  <c r="AR24" i="120"/>
  <c r="AR191" i="120" s="1"/>
  <c r="AQ24" i="120"/>
  <c r="AE24" i="120"/>
  <c r="AD24" i="120"/>
  <c r="AD191" i="120" s="1"/>
  <c r="Z24" i="120"/>
  <c r="Z191" i="120" s="1"/>
  <c r="W24" i="120"/>
  <c r="W191" i="120" s="1"/>
  <c r="T24" i="120"/>
  <c r="T191" i="120" s="1"/>
  <c r="S24" i="120"/>
  <c r="P24" i="120"/>
  <c r="P191" i="120" s="1"/>
  <c r="O24" i="120"/>
  <c r="O191" i="120" s="1"/>
  <c r="K24" i="120"/>
  <c r="K191" i="120" s="1"/>
  <c r="H24" i="120"/>
  <c r="H191" i="120" s="1"/>
  <c r="E24" i="120"/>
  <c r="E191" i="120" s="1"/>
  <c r="D24" i="120"/>
  <c r="D191" i="120" s="1"/>
  <c r="C24" i="120"/>
  <c r="CC190" i="120"/>
  <c r="CA23" i="120"/>
  <c r="CA190" i="120" s="1"/>
  <c r="BZ23" i="120"/>
  <c r="BV23" i="120"/>
  <c r="BV190" i="120" s="1"/>
  <c r="BS23" i="120"/>
  <c r="BS190" i="120" s="1"/>
  <c r="BP23" i="120"/>
  <c r="BP190" i="120" s="1"/>
  <c r="BN23" i="120"/>
  <c r="BC23" i="120"/>
  <c r="BB23" i="120"/>
  <c r="BB190" i="120" s="1"/>
  <c r="AX23" i="120"/>
  <c r="AX190" i="120" s="1"/>
  <c r="AU23" i="120"/>
  <c r="AU190" i="120" s="1"/>
  <c r="AR23" i="120"/>
  <c r="AR190" i="120" s="1"/>
  <c r="AP23" i="120"/>
  <c r="V28" i="125" s="1"/>
  <c r="AE23" i="120"/>
  <c r="AE190" i="120" s="1"/>
  <c r="AD23" i="120"/>
  <c r="Z23" i="120"/>
  <c r="Z190" i="120" s="1"/>
  <c r="W23" i="120"/>
  <c r="W190" i="120" s="1"/>
  <c r="T23" i="120"/>
  <c r="T190" i="120"/>
  <c r="R23" i="120"/>
  <c r="R190" i="120" s="1"/>
  <c r="P23" i="120"/>
  <c r="O23" i="120"/>
  <c r="O190" i="120"/>
  <c r="K23" i="120"/>
  <c r="K190" i="120" s="1"/>
  <c r="H23" i="120"/>
  <c r="H190" i="120" s="1"/>
  <c r="E23" i="120"/>
  <c r="E190" i="120" s="1"/>
  <c r="C23" i="120"/>
  <c r="CC22" i="120"/>
  <c r="AE27" i="125" s="1"/>
  <c r="BX22" i="120"/>
  <c r="BX189" i="120" s="1"/>
  <c r="BW22" i="120"/>
  <c r="BW14" i="120" s="1"/>
  <c r="BU22" i="120"/>
  <c r="BU14" i="120" s="1"/>
  <c r="BU181" i="120" s="1"/>
  <c r="BU225" i="120" s="1"/>
  <c r="BT22" i="120"/>
  <c r="BT189" i="120" s="1"/>
  <c r="BR22" i="120"/>
  <c r="BQ22" i="120"/>
  <c r="BQ14" i="120" s="1"/>
  <c r="BQ159" i="120" s="1"/>
  <c r="AZ22" i="120"/>
  <c r="AY22" i="120"/>
  <c r="AY14" i="120" s="1"/>
  <c r="AY181" i="120" s="1"/>
  <c r="AY225" i="120" s="1"/>
  <c r="AW22" i="120"/>
  <c r="AW14" i="120" s="1"/>
  <c r="AV22" i="120"/>
  <c r="AV14" i="120" s="1"/>
  <c r="AT22" i="120"/>
  <c r="AT14" i="120" s="1"/>
  <c r="AS22" i="120"/>
  <c r="AS14" i="120" s="1"/>
  <c r="AS159" i="120" s="1"/>
  <c r="AB22" i="120"/>
  <c r="AA22" i="120"/>
  <c r="AA14" i="120" s="1"/>
  <c r="Y22" i="120"/>
  <c r="X22" i="120"/>
  <c r="X189" i="120" s="1"/>
  <c r="V22" i="120"/>
  <c r="U22" i="120"/>
  <c r="U14" i="120" s="1"/>
  <c r="M22" i="120"/>
  <c r="L22" i="120"/>
  <c r="L14" i="120" s="1"/>
  <c r="J22" i="120"/>
  <c r="I22" i="120"/>
  <c r="I14" i="120" s="1"/>
  <c r="G22" i="120"/>
  <c r="G14" i="120" s="1"/>
  <c r="F22" i="120"/>
  <c r="CD184" i="120"/>
  <c r="CC184" i="120"/>
  <c r="CB17" i="120"/>
  <c r="CB184" i="120" s="1"/>
  <c r="CA17" i="120"/>
  <c r="CA184" i="120" s="1"/>
  <c r="BZ17" i="120"/>
  <c r="BZ184" i="120" s="1"/>
  <c r="BV17" i="120"/>
  <c r="BV184" i="120" s="1"/>
  <c r="BS17" i="120"/>
  <c r="BS184" i="120" s="1"/>
  <c r="BP17" i="120"/>
  <c r="BP184" i="120" s="1"/>
  <c r="BN17" i="120"/>
  <c r="AB22" i="125" s="1"/>
  <c r="BC17" i="120"/>
  <c r="BC184" i="120" s="1"/>
  <c r="BB17" i="120"/>
  <c r="AX17" i="120"/>
  <c r="AX184" i="120" s="1"/>
  <c r="AU17" i="120"/>
  <c r="AU184" i="120" s="1"/>
  <c r="AR17" i="120"/>
  <c r="AR184" i="120" s="1"/>
  <c r="AP17" i="120"/>
  <c r="AE17" i="120"/>
  <c r="AE184" i="120" s="1"/>
  <c r="AD17" i="120"/>
  <c r="AD184" i="120" s="1"/>
  <c r="Z17" i="120"/>
  <c r="Z184" i="120" s="1"/>
  <c r="W17" i="120"/>
  <c r="W184" i="120" s="1"/>
  <c r="T17" i="120"/>
  <c r="T184" i="120" s="1"/>
  <c r="R17" i="120"/>
  <c r="P22" i="125" s="1"/>
  <c r="P17" i="120"/>
  <c r="P184" i="120" s="1"/>
  <c r="O17" i="120"/>
  <c r="O184" i="120" s="1"/>
  <c r="K17" i="120"/>
  <c r="K184" i="120" s="1"/>
  <c r="H17" i="120"/>
  <c r="H184" i="120" s="1"/>
  <c r="E17" i="120"/>
  <c r="E184" i="120" s="1"/>
  <c r="D17" i="120"/>
  <c r="N22" i="125" s="1"/>
  <c r="CD182" i="120"/>
  <c r="CC182" i="120"/>
  <c r="CA15" i="120"/>
  <c r="BZ15" i="120"/>
  <c r="BZ182" i="120" s="1"/>
  <c r="BV15" i="120"/>
  <c r="BV182" i="120" s="1"/>
  <c r="BS15" i="120"/>
  <c r="BS182" i="120" s="1"/>
  <c r="BP15" i="120"/>
  <c r="BP182" i="120" s="1"/>
  <c r="BC15" i="120"/>
  <c r="BB15" i="120"/>
  <c r="BB182" i="120" s="1"/>
  <c r="AX15" i="120"/>
  <c r="AX182" i="120" s="1"/>
  <c r="AU15" i="120"/>
  <c r="AU182" i="120" s="1"/>
  <c r="AR15" i="120"/>
  <c r="AR182" i="120" s="1"/>
  <c r="AE15" i="120"/>
  <c r="AD15" i="120"/>
  <c r="AD182" i="120" s="1"/>
  <c r="Z15" i="120"/>
  <c r="Z182" i="120" s="1"/>
  <c r="W15" i="120"/>
  <c r="W182" i="120" s="1"/>
  <c r="T15" i="120"/>
  <c r="T182" i="120" s="1"/>
  <c r="P15" i="120"/>
  <c r="O15" i="120"/>
  <c r="O182" i="120" s="1"/>
  <c r="K15" i="120"/>
  <c r="K182" i="120" s="1"/>
  <c r="H15" i="120"/>
  <c r="H182" i="120" s="1"/>
  <c r="E15" i="120"/>
  <c r="E182" i="120" s="1"/>
  <c r="C15" i="120"/>
  <c r="M20" i="125" s="1"/>
  <c r="BX11" i="120"/>
  <c r="BX178" i="120" s="1"/>
  <c r="BW11" i="120"/>
  <c r="BW178" i="120" s="1"/>
  <c r="BU11" i="120"/>
  <c r="BU178" i="120" s="1"/>
  <c r="BT11" i="120"/>
  <c r="BT178" i="120" s="1"/>
  <c r="BR11" i="120"/>
  <c r="BR178" i="120" s="1"/>
  <c r="BQ11" i="120"/>
  <c r="BQ178" i="120" s="1"/>
  <c r="AZ11" i="120"/>
  <c r="AZ178" i="120" s="1"/>
  <c r="AY11" i="120"/>
  <c r="AW11" i="120"/>
  <c r="AW178" i="120" s="1"/>
  <c r="AV11" i="120"/>
  <c r="AT11" i="120"/>
  <c r="AT178" i="120" s="1"/>
  <c r="AS11" i="120"/>
  <c r="AS178" i="120" s="1"/>
  <c r="AB11" i="120"/>
  <c r="AB178" i="120" s="1"/>
  <c r="AA11" i="120"/>
  <c r="AA178" i="120" s="1"/>
  <c r="Y11" i="120"/>
  <c r="Y178" i="120" s="1"/>
  <c r="X11" i="120"/>
  <c r="X178" i="120" s="1"/>
  <c r="V11" i="120"/>
  <c r="V178" i="120" s="1"/>
  <c r="U11" i="120"/>
  <c r="U178" i="120" s="1"/>
  <c r="M11" i="120"/>
  <c r="M178" i="120" s="1"/>
  <c r="L11" i="120"/>
  <c r="L178" i="120" s="1"/>
  <c r="J11" i="120"/>
  <c r="J178" i="120"/>
  <c r="I11" i="120"/>
  <c r="I178" i="120" s="1"/>
  <c r="G11" i="120"/>
  <c r="F11" i="120"/>
  <c r="F178" i="120" s="1"/>
  <c r="BX10" i="120"/>
  <c r="BW10" i="120"/>
  <c r="BU10" i="120"/>
  <c r="BT10" i="120"/>
  <c r="BR10" i="120"/>
  <c r="BQ10" i="120"/>
  <c r="AZ10" i="120"/>
  <c r="AY10" i="120"/>
  <c r="AW10" i="120"/>
  <c r="AV10" i="120"/>
  <c r="AT10" i="120"/>
  <c r="AS10" i="120"/>
  <c r="AB10" i="120"/>
  <c r="AA10" i="120"/>
  <c r="Y10" i="120"/>
  <c r="X10" i="120"/>
  <c r="V10" i="120"/>
  <c r="U10" i="120"/>
  <c r="M10" i="120"/>
  <c r="L10" i="120"/>
  <c r="J10" i="120"/>
  <c r="I10" i="120"/>
  <c r="G10" i="120"/>
  <c r="F10" i="120"/>
  <c r="CD176" i="120"/>
  <c r="CA9" i="120"/>
  <c r="BZ9" i="120"/>
  <c r="BZ176" i="120" s="1"/>
  <c r="BV9" i="120"/>
  <c r="BV176" i="120" s="1"/>
  <c r="BS9" i="120"/>
  <c r="BP9" i="120"/>
  <c r="BP176" i="120" s="1"/>
  <c r="BC9" i="120"/>
  <c r="BB9" i="120"/>
  <c r="BB176" i="120" s="1"/>
  <c r="AX9" i="120"/>
  <c r="AX176" i="120" s="1"/>
  <c r="AU9" i="120"/>
  <c r="AR9" i="120"/>
  <c r="AR176" i="120" s="1"/>
  <c r="AE9" i="120"/>
  <c r="AD9" i="120"/>
  <c r="AD176" i="120" s="1"/>
  <c r="Z9" i="120"/>
  <c r="Z176" i="120" s="1"/>
  <c r="W9" i="120"/>
  <c r="T9" i="120"/>
  <c r="T176" i="120" s="1"/>
  <c r="P9" i="120"/>
  <c r="P176" i="120" s="1"/>
  <c r="O9" i="120"/>
  <c r="K9" i="120"/>
  <c r="H9" i="120"/>
  <c r="H176" i="120" s="1"/>
  <c r="E9" i="120"/>
  <c r="CA8" i="120"/>
  <c r="CA175" i="120" s="1"/>
  <c r="BZ8" i="120"/>
  <c r="BZ11" i="120" s="1"/>
  <c r="BZ178" i="120" s="1"/>
  <c r="BV8" i="120"/>
  <c r="BV175" i="120" s="1"/>
  <c r="BS8" i="120"/>
  <c r="BS175" i="120" s="1"/>
  <c r="BP8" i="120"/>
  <c r="BC8" i="120"/>
  <c r="BC175" i="120" s="1"/>
  <c r="BB8" i="120"/>
  <c r="AX8" i="120"/>
  <c r="AX175" i="120" s="1"/>
  <c r="AU8" i="120"/>
  <c r="AU175" i="120" s="1"/>
  <c r="AR8" i="120"/>
  <c r="AE8" i="120"/>
  <c r="AE175" i="120" s="1"/>
  <c r="AD8" i="120"/>
  <c r="AD175" i="120" s="1"/>
  <c r="Z8" i="120"/>
  <c r="Z175" i="120" s="1"/>
  <c r="W8" i="120"/>
  <c r="W175" i="120" s="1"/>
  <c r="T8" i="120"/>
  <c r="T175" i="120" s="1"/>
  <c r="P8" i="120"/>
  <c r="P175" i="120" s="1"/>
  <c r="O8" i="120"/>
  <c r="K8" i="120"/>
  <c r="K175" i="120" s="1"/>
  <c r="H8" i="120"/>
  <c r="H175" i="120" s="1"/>
  <c r="E8" i="120"/>
  <c r="E175" i="120" s="1"/>
  <c r="DP11" i="123"/>
  <c r="W18" i="126" s="1"/>
  <c r="N29" i="125"/>
  <c r="BO191" i="120"/>
  <c r="AC29" i="125"/>
  <c r="P28" i="125"/>
  <c r="AE10" i="123"/>
  <c r="O17" i="126" s="1"/>
  <c r="H227" i="120"/>
  <c r="H79" i="122"/>
  <c r="F158" i="122"/>
  <c r="F40" i="123"/>
  <c r="DU70" i="123"/>
  <c r="CH72" i="123"/>
  <c r="EG72" i="123" s="1"/>
  <c r="GF72" i="123" s="1"/>
  <c r="BV70" i="123"/>
  <c r="CH54" i="123"/>
  <c r="CH53" i="123"/>
  <c r="EG53" i="123" s="1"/>
  <c r="CH36" i="123"/>
  <c r="CH66" i="121"/>
  <c r="CJ50" i="121"/>
  <c r="EI50" i="121" s="1"/>
  <c r="GH50" i="121" s="1"/>
  <c r="DU30" i="123"/>
  <c r="FT31" i="121"/>
  <c r="BY142" i="120"/>
  <c r="BV267" i="120"/>
  <c r="BV119" i="120"/>
  <c r="BA108" i="120"/>
  <c r="AK126" i="120"/>
  <c r="BI126" i="120" s="1"/>
  <c r="CG126" i="120" s="1"/>
  <c r="BP263" i="120"/>
  <c r="N115" i="120"/>
  <c r="AK128" i="120"/>
  <c r="BI128" i="120" s="1"/>
  <c r="AK131" i="120"/>
  <c r="AK133" i="120"/>
  <c r="BI133" i="120" s="1"/>
  <c r="BV264" i="120"/>
  <c r="K129" i="120"/>
  <c r="BA157" i="120"/>
  <c r="BA223" i="120"/>
  <c r="C256" i="120"/>
  <c r="S98" i="120"/>
  <c r="O242" i="120"/>
  <c r="BS266" i="120"/>
  <c r="BA79" i="120"/>
  <c r="D247" i="120"/>
  <c r="N100" i="120"/>
  <c r="AD100" i="120"/>
  <c r="AR227" i="120"/>
  <c r="W267" i="120"/>
  <c r="N116" i="120"/>
  <c r="BA118" i="120"/>
  <c r="AC121" i="120"/>
  <c r="AC125" i="120"/>
  <c r="BY126" i="120"/>
  <c r="C222" i="120"/>
  <c r="C74" i="121" s="1"/>
  <c r="L74" i="121" s="1"/>
  <c r="D255" i="120"/>
  <c r="N66" i="120"/>
  <c r="D246" i="120"/>
  <c r="AR249" i="120"/>
  <c r="D94" i="120"/>
  <c r="E267" i="120"/>
  <c r="S125" i="120"/>
  <c r="AH125" i="120" s="1"/>
  <c r="AQ125" i="120" s="1"/>
  <c r="BA147" i="120"/>
  <c r="BA213" i="120"/>
  <c r="AF181" i="122"/>
  <c r="BD181" i="122" s="1"/>
  <c r="CB181" i="122" s="1"/>
  <c r="B71" i="123"/>
  <c r="CN86" i="121"/>
  <c r="AF228" i="120"/>
  <c r="BD228" i="120" s="1"/>
  <c r="B86" i="121"/>
  <c r="K86" i="121" s="1"/>
  <c r="T86" i="121" s="1"/>
  <c r="CL161" i="120"/>
  <c r="AI129" i="122"/>
  <c r="AL129" i="122" s="1"/>
  <c r="N229" i="120"/>
  <c r="N230" i="120"/>
  <c r="CJ49" i="123"/>
  <c r="EI49" i="123" s="1"/>
  <c r="GH49" i="123" s="1"/>
  <c r="CH49" i="123"/>
  <c r="EG66" i="121"/>
  <c r="GF66" i="121" s="1"/>
  <c r="CH62" i="121"/>
  <c r="EG62" i="121" s="1"/>
  <c r="GF62" i="121" s="1"/>
  <c r="CH58" i="121"/>
  <c r="CH73" i="121"/>
  <c r="CH74" i="121"/>
  <c r="BZ70" i="122"/>
  <c r="BY70" i="122" s="1"/>
  <c r="BS153" i="122"/>
  <c r="BY44" i="122"/>
  <c r="BB152" i="122"/>
  <c r="AX153" i="122"/>
  <c r="BA86" i="122"/>
  <c r="BA91" i="122"/>
  <c r="AR197" i="122"/>
  <c r="AR38" i="122"/>
  <c r="AS158" i="122"/>
  <c r="Z111" i="122"/>
  <c r="Z164" i="122" s="1"/>
  <c r="AJ103" i="122"/>
  <c r="BH103" i="122" s="1"/>
  <c r="T196" i="122"/>
  <c r="T100" i="122"/>
  <c r="T208" i="122"/>
  <c r="AC88" i="122"/>
  <c r="W156" i="122"/>
  <c r="W79" i="122"/>
  <c r="AJ77" i="122"/>
  <c r="Z196" i="122"/>
  <c r="BI45" i="122"/>
  <c r="AK119" i="122"/>
  <c r="BI119" i="122" s="1"/>
  <c r="N119" i="122"/>
  <c r="N172" i="122" s="1"/>
  <c r="F101" i="122"/>
  <c r="F94" i="122" s="1"/>
  <c r="O215" i="122"/>
  <c r="AJ91" i="122"/>
  <c r="BH91" i="122" s="1"/>
  <c r="CF91" i="122" s="1"/>
  <c r="CI91" i="122" s="1"/>
  <c r="E208" i="122"/>
  <c r="E197" i="122"/>
  <c r="AJ88" i="122"/>
  <c r="AJ84" i="122"/>
  <c r="H152" i="122"/>
  <c r="H215" i="122"/>
  <c r="N52" i="122"/>
  <c r="E161" i="122"/>
  <c r="E196" i="122"/>
  <c r="AK44" i="122"/>
  <c r="BI44" i="122" s="1"/>
  <c r="CG44" i="122" s="1"/>
  <c r="CJ44" i="122" s="1"/>
  <c r="O151" i="122"/>
  <c r="J158" i="122"/>
  <c r="BP262" i="120"/>
  <c r="BP264" i="120"/>
  <c r="BA133" i="120"/>
  <c r="BA128" i="120"/>
  <c r="AS106" i="120"/>
  <c r="U62" i="120"/>
  <c r="T62" i="120" s="1"/>
  <c r="L62" i="120"/>
  <c r="AJ86" i="120"/>
  <c r="FH35" i="123"/>
  <c r="DI37" i="123"/>
  <c r="EY57" i="123"/>
  <c r="CZ60" i="123"/>
  <c r="FH60" i="123"/>
  <c r="BW189" i="120"/>
  <c r="BX14" i="120"/>
  <c r="E58" i="120"/>
  <c r="W58" i="120"/>
  <c r="AR59" i="120"/>
  <c r="K60" i="120"/>
  <c r="T60" i="120"/>
  <c r="AU60" i="120"/>
  <c r="E76" i="120"/>
  <c r="K76" i="120"/>
  <c r="AJ78" i="120"/>
  <c r="AJ246" i="120" s="1"/>
  <c r="Z81" i="120"/>
  <c r="Z255" i="120" s="1"/>
  <c r="AX81" i="120"/>
  <c r="AX255" i="120" s="1"/>
  <c r="H83" i="120"/>
  <c r="H257" i="120" s="1"/>
  <c r="B84" i="120"/>
  <c r="AK85" i="120"/>
  <c r="AK259" i="120" s="1"/>
  <c r="T88" i="120"/>
  <c r="AR89" i="120"/>
  <c r="K90" i="120"/>
  <c r="BS90" i="120"/>
  <c r="W95" i="120"/>
  <c r="S96" i="120"/>
  <c r="AH96" i="120" s="1"/>
  <c r="AR98" i="120"/>
  <c r="E100" i="120"/>
  <c r="AJ102" i="120"/>
  <c r="BY103" i="120"/>
  <c r="AR105" i="120"/>
  <c r="BC105" i="120"/>
  <c r="N111" i="120"/>
  <c r="H112" i="120"/>
  <c r="H251" i="120" s="1"/>
  <c r="T112" i="120"/>
  <c r="T251" i="120" s="1"/>
  <c r="AC114" i="120"/>
  <c r="AC253" i="120" s="1"/>
  <c r="T121" i="120"/>
  <c r="BB121" i="120"/>
  <c r="AK156" i="120"/>
  <c r="AK222" i="120" s="1"/>
  <c r="BB223" i="120"/>
  <c r="N228" i="120"/>
  <c r="DV50" i="121"/>
  <c r="O58" i="120"/>
  <c r="AD60" i="120"/>
  <c r="AC60" i="120" s="1"/>
  <c r="U61" i="120"/>
  <c r="BP105" i="120"/>
  <c r="AD112" i="120"/>
  <c r="AD251" i="120" s="1"/>
  <c r="BA136" i="120"/>
  <c r="N140" i="120"/>
  <c r="CA143" i="120"/>
  <c r="CA209" i="120" s="1"/>
  <c r="AK154" i="120"/>
  <c r="AW177" i="120"/>
  <c r="AB265" i="120"/>
  <c r="FU52" i="121"/>
  <c r="W56" i="120"/>
  <c r="AD56" i="120"/>
  <c r="Z58" i="120"/>
  <c r="H59" i="120"/>
  <c r="AU59" i="120"/>
  <c r="AS61" i="120"/>
  <c r="BZ76" i="120"/>
  <c r="AK77" i="120"/>
  <c r="AK248" i="120" s="1"/>
  <c r="AU81" i="120"/>
  <c r="AU255" i="120" s="1"/>
  <c r="W83" i="120"/>
  <c r="W257" i="120" s="1"/>
  <c r="CB83" i="120"/>
  <c r="CB257" i="120" s="1"/>
  <c r="BP90" i="120"/>
  <c r="AX91" i="120"/>
  <c r="AV94" i="120"/>
  <c r="S95" i="120"/>
  <c r="O96" i="120"/>
  <c r="K105" i="120"/>
  <c r="W105" i="120"/>
  <c r="BS105" i="120"/>
  <c r="AK111" i="120"/>
  <c r="BC119" i="120"/>
  <c r="AK125" i="120"/>
  <c r="BB126" i="120"/>
  <c r="BA126" i="120" s="1"/>
  <c r="AU129" i="120"/>
  <c r="AW130" i="120"/>
  <c r="N148" i="120"/>
  <c r="N214" i="120" s="1"/>
  <c r="S157" i="120"/>
  <c r="V203" i="120"/>
  <c r="AW203" i="120"/>
  <c r="AJ52" i="121"/>
  <c r="CI79" i="121"/>
  <c r="EH79" i="121"/>
  <c r="GG79" i="121" s="1"/>
  <c r="AC55" i="122"/>
  <c r="AJ55" i="122"/>
  <c r="K58" i="120"/>
  <c r="BS58" i="120"/>
  <c r="W59" i="120"/>
  <c r="Z60" i="120"/>
  <c r="BB60" i="120"/>
  <c r="BA60" i="120" s="1"/>
  <c r="T76" i="120"/>
  <c r="Z76" i="120"/>
  <c r="BB76" i="120"/>
  <c r="BS76" i="120"/>
  <c r="S248" i="120"/>
  <c r="AC77" i="120"/>
  <c r="AC248" i="120" s="1"/>
  <c r="K81" i="120"/>
  <c r="K255" i="120" s="1"/>
  <c r="AD81" i="120"/>
  <c r="T91" i="120"/>
  <c r="K94" i="120"/>
  <c r="CA94" i="120"/>
  <c r="H96" i="120"/>
  <c r="K98" i="120"/>
  <c r="K269" i="120" s="1"/>
  <c r="AK100" i="120"/>
  <c r="BI100" i="120" s="1"/>
  <c r="Z105" i="120"/>
  <c r="AK114" i="120"/>
  <c r="AK253" i="120" s="1"/>
  <c r="AK116" i="120"/>
  <c r="BI116" i="120" s="1"/>
  <c r="AJ116" i="120"/>
  <c r="Z121" i="120"/>
  <c r="AR121" i="120"/>
  <c r="BA125" i="120"/>
  <c r="AU126" i="120"/>
  <c r="BP137" i="120"/>
  <c r="N144" i="120"/>
  <c r="N210" i="120" s="1"/>
  <c r="G203" i="120"/>
  <c r="Y203" i="120"/>
  <c r="DH22" i="121"/>
  <c r="DU33" i="121"/>
  <c r="AI79" i="121"/>
  <c r="CF80" i="121"/>
  <c r="EE80" i="121" s="1"/>
  <c r="P41" i="122"/>
  <c r="AK42" i="122"/>
  <c r="AK154" i="122" s="1"/>
  <c r="AC44" i="122"/>
  <c r="E48" i="122"/>
  <c r="N54" i="122"/>
  <c r="N61" i="122"/>
  <c r="N205" i="122" s="1"/>
  <c r="AC64" i="122"/>
  <c r="AR66" i="122"/>
  <c r="AX66" i="122"/>
  <c r="N67" i="122"/>
  <c r="BA67" i="122"/>
  <c r="AX69" i="122"/>
  <c r="BP69" i="122"/>
  <c r="BC70" i="122"/>
  <c r="BA78" i="122"/>
  <c r="R91" i="122"/>
  <c r="R105" i="122"/>
  <c r="AG105" i="122" s="1"/>
  <c r="G101" i="122"/>
  <c r="G94" i="122" s="1"/>
  <c r="AJ109" i="122"/>
  <c r="BH109" i="122" s="1"/>
  <c r="CF109" i="122" s="1"/>
  <c r="CI109" i="122" s="1"/>
  <c r="BY123" i="122"/>
  <c r="BY176" i="122" s="1"/>
  <c r="U158" i="122"/>
  <c r="BQ158" i="122"/>
  <c r="AE172" i="122"/>
  <c r="AC181" i="122"/>
  <c r="AF80" i="121"/>
  <c r="BA22" i="122"/>
  <c r="AK24" i="122"/>
  <c r="E38" i="122"/>
  <c r="BZ38" i="122"/>
  <c r="K41" i="122"/>
  <c r="AE48" i="122"/>
  <c r="AD90" i="122"/>
  <c r="AC91" i="122"/>
  <c r="CA92" i="122"/>
  <c r="S104" i="122"/>
  <c r="AH104" i="122" s="1"/>
  <c r="AV101" i="122"/>
  <c r="AK113" i="122"/>
  <c r="AK166" i="122" s="1"/>
  <c r="AH120" i="122"/>
  <c r="S123" i="122"/>
  <c r="CB127" i="122"/>
  <c r="AB158" i="122"/>
  <c r="BX158" i="122"/>
  <c r="AD166" i="122"/>
  <c r="BA182" i="122"/>
  <c r="BY182" i="122"/>
  <c r="CC23" i="123"/>
  <c r="EB23" i="123" s="1"/>
  <c r="GA23" i="123" s="1"/>
  <c r="E25" i="123"/>
  <c r="DI35" i="123"/>
  <c r="CH40" i="123"/>
  <c r="BV48" i="123"/>
  <c r="BA50" i="123"/>
  <c r="CJ64" i="123"/>
  <c r="EI64" i="123"/>
  <c r="GH64" i="123" s="1"/>
  <c r="BS80" i="121"/>
  <c r="CE80" i="121" s="1"/>
  <c r="FT80" i="121"/>
  <c r="K151" i="122"/>
  <c r="AK39" i="122"/>
  <c r="W48" i="122"/>
  <c r="BA51" i="122"/>
  <c r="AC54" i="122"/>
  <c r="AC199" i="122" s="1"/>
  <c r="BY58" i="122"/>
  <c r="BY202" i="122" s="1"/>
  <c r="BA59" i="122"/>
  <c r="BA203" i="122" s="1"/>
  <c r="AU66" i="122"/>
  <c r="AU214" i="122" s="1"/>
  <c r="AK68" i="122"/>
  <c r="BI68" i="122" s="1"/>
  <c r="BB69" i="122"/>
  <c r="BA69" i="122" s="1"/>
  <c r="M49" i="122"/>
  <c r="M40" i="122" s="1"/>
  <c r="BZ71" i="122"/>
  <c r="N74" i="122"/>
  <c r="E79" i="122"/>
  <c r="AC78" i="122"/>
  <c r="AU79" i="122"/>
  <c r="P79" i="122"/>
  <c r="BC79" i="122"/>
  <c r="BA83" i="122"/>
  <c r="B84" i="122"/>
  <c r="AK89" i="122"/>
  <c r="BI89" i="122" s="1"/>
  <c r="BA89" i="122"/>
  <c r="BZ97" i="122"/>
  <c r="BZ155" i="122" s="1"/>
  <c r="E100" i="122"/>
  <c r="Z100" i="122"/>
  <c r="AC102" i="122"/>
  <c r="AK102" i="122"/>
  <c r="BI102" i="122" s="1"/>
  <c r="CG102" i="122" s="1"/>
  <c r="CJ102" i="122" s="1"/>
  <c r="CA106" i="122"/>
  <c r="P108" i="122"/>
  <c r="AD108" i="122"/>
  <c r="AU109" i="122"/>
  <c r="AX115" i="122"/>
  <c r="AX168" i="122" s="1"/>
  <c r="AC118" i="122"/>
  <c r="AC171" i="122" s="1"/>
  <c r="P160" i="122"/>
  <c r="H180" i="122"/>
  <c r="AN21" i="123"/>
  <c r="BV42" i="123"/>
  <c r="BW46" i="123"/>
  <c r="CJ46" i="123"/>
  <c r="EI46" i="123" s="1"/>
  <c r="GH46" i="123" s="1"/>
  <c r="DS49" i="123"/>
  <c r="DS59" i="123"/>
  <c r="CI65" i="123"/>
  <c r="EH65" i="123" s="1"/>
  <c r="GG65" i="123" s="1"/>
  <c r="FQ65" i="123"/>
  <c r="FT79" i="121"/>
  <c r="V80" i="121"/>
  <c r="AQ80" i="121"/>
  <c r="AZ80" i="121" s="1"/>
  <c r="BI80" i="121" s="1"/>
  <c r="CP80" i="121" s="1"/>
  <c r="CY80" i="121" s="1"/>
  <c r="CJ80" i="121"/>
  <c r="EI80" i="121" s="1"/>
  <c r="GH80" i="121" s="1"/>
  <c r="AC8" i="122"/>
  <c r="N27" i="122"/>
  <c r="AJ27" i="122"/>
  <c r="BY33" i="122"/>
  <c r="AS213" i="122"/>
  <c r="AK43" i="122"/>
  <c r="BI43" i="122" s="1"/>
  <c r="CG43" i="122" s="1"/>
  <c r="CJ43" i="122" s="1"/>
  <c r="BA43" i="122"/>
  <c r="BA45" i="122"/>
  <c r="AU55" i="122"/>
  <c r="AU197" i="122" s="1"/>
  <c r="AK56" i="122"/>
  <c r="BI56" i="122" s="1"/>
  <c r="CG56" i="122" s="1"/>
  <c r="BC65" i="122"/>
  <c r="AK66" i="122"/>
  <c r="BI66" i="122" s="1"/>
  <c r="CG66" i="122" s="1"/>
  <c r="BS71" i="122"/>
  <c r="BA74" i="122"/>
  <c r="N77" i="122"/>
  <c r="BS79" i="122"/>
  <c r="O79" i="122"/>
  <c r="AD79" i="122"/>
  <c r="AC79" i="122" s="1"/>
  <c r="BA82" i="122"/>
  <c r="BY83" i="122"/>
  <c r="C85" i="122"/>
  <c r="CB85" i="122"/>
  <c r="CB162" i="122"/>
  <c r="S87" i="122"/>
  <c r="AK91" i="122"/>
  <c r="BI91" i="122" s="1"/>
  <c r="N95" i="122"/>
  <c r="AR100" i="122"/>
  <c r="BS100" i="122"/>
  <c r="BC100" i="122"/>
  <c r="K106" i="122"/>
  <c r="AE106" i="122"/>
  <c r="BV106" i="122"/>
  <c r="AC107" i="122"/>
  <c r="E108" i="122"/>
  <c r="J101" i="122"/>
  <c r="BY109" i="122"/>
  <c r="AC110" i="122"/>
  <c r="BA116" i="122"/>
  <c r="BA169" i="122" s="1"/>
  <c r="AC119" i="122"/>
  <c r="AC172" i="122" s="1"/>
  <c r="M158" i="122"/>
  <c r="BU158" i="122"/>
  <c r="CA21" i="123"/>
  <c r="FY21" i="123"/>
  <c r="CD22" i="123"/>
  <c r="EC22" i="123" s="1"/>
  <c r="GB22" i="123" s="1"/>
  <c r="BZ23" i="123"/>
  <c r="CH38" i="123"/>
  <c r="EG38" i="123" s="1"/>
  <c r="CH50" i="123"/>
  <c r="EG50" i="123" s="1"/>
  <c r="CH51" i="123"/>
  <c r="EG51" i="123" s="1"/>
  <c r="GF51" i="123" s="1"/>
  <c r="CH60" i="123"/>
  <c r="EG60" i="123" s="1"/>
  <c r="CG64" i="123"/>
  <c r="EF64" i="123" s="1"/>
  <c r="DU65" i="123"/>
  <c r="N70" i="123"/>
  <c r="FQ21" i="123"/>
  <c r="DZ22" i="123"/>
  <c r="EF24" i="123"/>
  <c r="GE24" i="123" s="1"/>
  <c r="BS24" i="123"/>
  <c r="BV30" i="123"/>
  <c r="CH24" i="123"/>
  <c r="EG24" i="123" s="1"/>
  <c r="CA22" i="123"/>
  <c r="CF23" i="123"/>
  <c r="CA24" i="123"/>
  <c r="CJ21" i="123"/>
  <c r="EI21" i="123" s="1"/>
  <c r="GH21" i="123" s="1"/>
  <c r="CH22" i="123"/>
  <c r="CJ24" i="123"/>
  <c r="EI24" i="123" s="1"/>
  <c r="GH24" i="123" s="1"/>
  <c r="CJ22" i="123"/>
  <c r="EI22" i="123" s="1"/>
  <c r="GH22" i="123" s="1"/>
  <c r="AF21" i="123"/>
  <c r="AH25" i="123"/>
  <c r="CI23" i="123"/>
  <c r="EH23" i="123" s="1"/>
  <c r="GG23" i="123" s="1"/>
  <c r="AM23" i="123"/>
  <c r="AR49" i="121"/>
  <c r="AR85" i="121"/>
  <c r="CQ85" i="121"/>
  <c r="AR35" i="123"/>
  <c r="EY35" i="123"/>
  <c r="DI36" i="123"/>
  <c r="DT49" i="123"/>
  <c r="AR53" i="123"/>
  <c r="DI55" i="123"/>
  <c r="FH55" i="123"/>
  <c r="N59" i="123"/>
  <c r="B156" i="120"/>
  <c r="BU10" i="123"/>
  <c r="CZ49" i="123"/>
  <c r="CZ50" i="123"/>
  <c r="E51" i="123"/>
  <c r="CZ51" i="123"/>
  <c r="BJ59" i="123"/>
  <c r="EY59" i="123"/>
  <c r="AD11" i="123"/>
  <c r="N18" i="126" s="1"/>
  <c r="AO12" i="123"/>
  <c r="K12" i="123"/>
  <c r="W37" i="123"/>
  <c r="FH44" i="123"/>
  <c r="N49" i="123"/>
  <c r="DI50" i="123"/>
  <c r="N51" i="123"/>
  <c r="BA51" i="123"/>
  <c r="DI51" i="123"/>
  <c r="EP51" i="123"/>
  <c r="AR55" i="123"/>
  <c r="FH39" i="123"/>
  <c r="BA49" i="123"/>
  <c r="EY50" i="123"/>
  <c r="BJ51" i="123"/>
  <c r="AR54" i="123"/>
  <c r="DT8" i="123"/>
  <c r="DQ10" i="123"/>
  <c r="X17" i="126" s="1"/>
  <c r="FH41" i="123"/>
  <c r="DI56" i="123"/>
  <c r="AG11" i="123"/>
  <c r="EY41" i="123"/>
  <c r="N50" i="123"/>
  <c r="EY51" i="123"/>
  <c r="EY54" i="123"/>
  <c r="FR59" i="123"/>
  <c r="AG8" i="123"/>
  <c r="FS8" i="123"/>
  <c r="N37" i="123"/>
  <c r="AF37" i="123" s="1"/>
  <c r="AH38" i="123"/>
  <c r="BU38" i="123"/>
  <c r="DI38" i="123"/>
  <c r="E50" i="123"/>
  <c r="EP50" i="123"/>
  <c r="N54" i="123"/>
  <c r="FH54" i="123"/>
  <c r="FS57" i="123"/>
  <c r="W59" i="123"/>
  <c r="E60" i="123"/>
  <c r="BU8" i="123"/>
  <c r="BR10" i="123"/>
  <c r="FR11" i="123"/>
  <c r="EW12" i="123"/>
  <c r="EV12" i="123" s="1"/>
  <c r="FZ12" i="123"/>
  <c r="AE19" i="126" s="1"/>
  <c r="EN12" i="123"/>
  <c r="EM12" i="123" s="1"/>
  <c r="DG12" i="123"/>
  <c r="DF12" i="123" s="1"/>
  <c r="DK42" i="123"/>
  <c r="BU49" i="123"/>
  <c r="AR49" i="123"/>
  <c r="U12" i="123"/>
  <c r="T12" i="123" s="1"/>
  <c r="AY12" i="123"/>
  <c r="AX12" i="123"/>
  <c r="DQ12" i="123"/>
  <c r="X19" i="126" s="1"/>
  <c r="CX12" i="123"/>
  <c r="FP12" i="123"/>
  <c r="AD19" i="126" s="1"/>
  <c r="FF12" i="123"/>
  <c r="AR40" i="123"/>
  <c r="AR41" i="123"/>
  <c r="B12" i="123"/>
  <c r="FS10" i="123"/>
  <c r="CZ38" i="123"/>
  <c r="W51" i="123"/>
  <c r="FH56" i="123"/>
  <c r="N58" i="123"/>
  <c r="CZ59" i="123"/>
  <c r="FH59" i="123"/>
  <c r="BJ60" i="123"/>
  <c r="CJ10" i="123"/>
  <c r="EI10" i="123" s="1"/>
  <c r="GH10" i="123" s="1"/>
  <c r="FP10" i="123"/>
  <c r="AD17" i="126" s="1"/>
  <c r="AH11" i="123"/>
  <c r="FO11" i="123"/>
  <c r="AC18" i="126" s="1"/>
  <c r="AH44" i="123"/>
  <c r="DT44" i="123"/>
  <c r="EY44" i="123"/>
  <c r="AH45" i="123"/>
  <c r="DT45" i="123"/>
  <c r="EY45" i="123"/>
  <c r="FH46" i="123"/>
  <c r="AH49" i="123"/>
  <c r="CG49" i="123" s="1"/>
  <c r="DS60" i="123"/>
  <c r="FQ71" i="123"/>
  <c r="DU29" i="123"/>
  <c r="FH36" i="123"/>
  <c r="E38" i="123"/>
  <c r="BU39" i="123"/>
  <c r="FH49" i="123"/>
  <c r="DI54" i="123"/>
  <c r="AH59" i="123"/>
  <c r="BA59" i="123"/>
  <c r="DI60" i="123"/>
  <c r="AG10" i="123"/>
  <c r="AG28" i="123" s="1"/>
  <c r="AR38" i="123"/>
  <c r="FS39" i="123"/>
  <c r="EP39" i="123"/>
  <c r="BT11" i="123"/>
  <c r="FS12" i="123"/>
  <c r="AH39" i="123"/>
  <c r="EQ42" i="123"/>
  <c r="EP41" i="123"/>
  <c r="DT46" i="123"/>
  <c r="DS50" i="123"/>
  <c r="CQ50" i="123"/>
  <c r="FH50" i="123"/>
  <c r="DS51" i="123"/>
  <c r="CQ51" i="123"/>
  <c r="FH51" i="123"/>
  <c r="EP55" i="123"/>
  <c r="FS9" i="123"/>
  <c r="FS11" i="123"/>
  <c r="FS29" i="123" s="1"/>
  <c r="BR12" i="123"/>
  <c r="DS12" i="123"/>
  <c r="DS30" i="123" s="1"/>
  <c r="BV28" i="123"/>
  <c r="ER26" i="123"/>
  <c r="CR27" i="123"/>
  <c r="FR37" i="123"/>
  <c r="AR44" i="123"/>
  <c r="EP44" i="123"/>
  <c r="AR45" i="123"/>
  <c r="BU50" i="123"/>
  <c r="AR50" i="123"/>
  <c r="BU51" i="123"/>
  <c r="AR51" i="123"/>
  <c r="AR39" i="123"/>
  <c r="E45" i="123"/>
  <c r="AY10" i="123"/>
  <c r="AX10" i="123" s="1"/>
  <c r="CI11" i="123"/>
  <c r="EH11" i="123" s="1"/>
  <c r="GG11" i="123" s="1"/>
  <c r="E12" i="123"/>
  <c r="E30" i="123" s="1"/>
  <c r="AH12" i="123"/>
  <c r="BH12" i="123"/>
  <c r="BG12" i="123" s="1"/>
  <c r="CJ12" i="123"/>
  <c r="EI12" i="123" s="1"/>
  <c r="DJ27" i="123"/>
  <c r="EQ27" i="123"/>
  <c r="BU36" i="123"/>
  <c r="AR36" i="123"/>
  <c r="DT36" i="123"/>
  <c r="BU37" i="123"/>
  <c r="DT37" i="123"/>
  <c r="FH37" i="123"/>
  <c r="FH38" i="123"/>
  <c r="BU44" i="123"/>
  <c r="FS44" i="123"/>
  <c r="BU45" i="123"/>
  <c r="FS45" i="123"/>
  <c r="AG37" i="123"/>
  <c r="DT38" i="123"/>
  <c r="FR38" i="123"/>
  <c r="DT39" i="123"/>
  <c r="AR70" i="123"/>
  <c r="AH37" i="123"/>
  <c r="AT42" i="123"/>
  <c r="AH46" i="123"/>
  <c r="AR46" i="123"/>
  <c r="BU46" i="123"/>
  <c r="FS46" i="123"/>
  <c r="E49" i="123"/>
  <c r="E54" i="123"/>
  <c r="EP54" i="123"/>
  <c r="BT59" i="123"/>
  <c r="AR59" i="123"/>
  <c r="DT60" i="123"/>
  <c r="FR60" i="123"/>
  <c r="EP60" i="123"/>
  <c r="DT50" i="123"/>
  <c r="FR50" i="123"/>
  <c r="DT51" i="123"/>
  <c r="FR51" i="123"/>
  <c r="FS55" i="123"/>
  <c r="EY58" i="123"/>
  <c r="BU59" i="123"/>
  <c r="CQ59" i="123"/>
  <c r="AG60" i="123"/>
  <c r="W60" i="123"/>
  <c r="BT60" i="123"/>
  <c r="FS60" i="123"/>
  <c r="EY60" i="123"/>
  <c r="FH70" i="123"/>
  <c r="FS50" i="123"/>
  <c r="AG51" i="123"/>
  <c r="FS51" i="123"/>
  <c r="FR58" i="123"/>
  <c r="DI59" i="123"/>
  <c r="EP59" i="123"/>
  <c r="FQ59" i="123" s="1"/>
  <c r="N60" i="123"/>
  <c r="AR60" i="123"/>
  <c r="BU60" i="123"/>
  <c r="CQ60" i="123"/>
  <c r="AH50" i="123"/>
  <c r="AH51" i="123"/>
  <c r="BT51" i="123"/>
  <c r="FR54" i="123"/>
  <c r="EY56" i="123"/>
  <c r="FS58" i="123"/>
  <c r="FH58" i="123"/>
  <c r="AG59" i="123"/>
  <c r="AJ8" i="122"/>
  <c r="N8" i="122"/>
  <c r="AG145" i="122"/>
  <c r="BE145" i="122" s="1"/>
  <c r="CC145" i="122" s="1"/>
  <c r="BN12" i="122"/>
  <c r="CC9" i="122"/>
  <c r="CC125" i="122" s="1"/>
  <c r="AP12" i="122"/>
  <c r="AP146" i="122" s="1"/>
  <c r="D24" i="122"/>
  <c r="CD159" i="122"/>
  <c r="D26" i="122"/>
  <c r="S26" i="122"/>
  <c r="S80" i="122"/>
  <c r="AH80" i="122" s="1"/>
  <c r="S96" i="122"/>
  <c r="AH96" i="122" s="1"/>
  <c r="CC153" i="122"/>
  <c r="CD155" i="122"/>
  <c r="S59" i="122"/>
  <c r="S203" i="122" s="1"/>
  <c r="AH203" i="122" s="1"/>
  <c r="CD100" i="122"/>
  <c r="AG146" i="122"/>
  <c r="AH144" i="122"/>
  <c r="DU35" i="121"/>
  <c r="DU36" i="121"/>
  <c r="DU29" i="121"/>
  <c r="CQ34" i="121"/>
  <c r="DS34" i="121"/>
  <c r="BW34" i="121"/>
  <c r="CJ35" i="121"/>
  <c r="EI35" i="121" s="1"/>
  <c r="GH35" i="121"/>
  <c r="CJ36" i="121"/>
  <c r="EI36" i="121" s="1"/>
  <c r="GH36" i="121" s="1"/>
  <c r="CJ29" i="121"/>
  <c r="BV31" i="121"/>
  <c r="BV41" i="121" s="1"/>
  <c r="BV32" i="121"/>
  <c r="BV33" i="121"/>
  <c r="CH33" i="121" s="1"/>
  <c r="CI35" i="121"/>
  <c r="CI31" i="121"/>
  <c r="CI33" i="121"/>
  <c r="EH33" i="121" s="1"/>
  <c r="GG33" i="121" s="1"/>
  <c r="CJ31" i="121"/>
  <c r="CJ32" i="121"/>
  <c r="EI32" i="121" s="1"/>
  <c r="GH32" i="121" s="1"/>
  <c r="CG29" i="121"/>
  <c r="CF33" i="121"/>
  <c r="EE33" i="121" s="1"/>
  <c r="AI29" i="121"/>
  <c r="EF31" i="121"/>
  <c r="GE31" i="121" s="1"/>
  <c r="CG32" i="121"/>
  <c r="EF32" i="121" s="1"/>
  <c r="FU22" i="121"/>
  <c r="EI29" i="121"/>
  <c r="GH29" i="121" s="1"/>
  <c r="CG34" i="121"/>
  <c r="EF34" i="121" s="1"/>
  <c r="N57" i="121"/>
  <c r="BS35" i="121"/>
  <c r="CA35" i="121"/>
  <c r="FQ35" i="121"/>
  <c r="AF36" i="121"/>
  <c r="AU41" i="121"/>
  <c r="CT41" i="121"/>
  <c r="ES41" i="121"/>
  <c r="DZ32" i="121"/>
  <c r="FY32" i="121"/>
  <c r="AM33" i="121"/>
  <c r="AI31" i="121"/>
  <c r="AI33" i="121"/>
  <c r="DW66" i="121"/>
  <c r="BX66" i="121"/>
  <c r="AK66" i="121"/>
  <c r="AI22" i="121"/>
  <c r="FV66" i="121"/>
  <c r="FU8" i="121"/>
  <c r="FU9" i="121"/>
  <c r="DM42" i="121"/>
  <c r="DV9" i="121"/>
  <c r="DV8" i="121"/>
  <c r="BW23" i="121"/>
  <c r="BW22" i="121" s="1"/>
  <c r="BW9" i="121"/>
  <c r="BW8" i="121"/>
  <c r="AK22" i="121"/>
  <c r="CH24" i="121"/>
  <c r="BL11" i="121"/>
  <c r="DT9" i="121"/>
  <c r="AS22" i="121"/>
  <c r="CO23" i="121"/>
  <c r="CX23" i="121"/>
  <c r="CW23" i="121" s="1"/>
  <c r="DG23" i="121"/>
  <c r="AP9" i="121"/>
  <c r="AY9" i="121"/>
  <c r="BH9" i="121"/>
  <c r="D15" i="121"/>
  <c r="P10" i="121"/>
  <c r="DH9" i="121"/>
  <c r="AO17" i="121"/>
  <c r="C24" i="121"/>
  <c r="C23" i="121"/>
  <c r="DT24" i="121"/>
  <c r="BU66" i="121"/>
  <c r="AH75" i="121"/>
  <c r="BT75" i="121"/>
  <c r="L23" i="121"/>
  <c r="L22" i="121" s="1"/>
  <c r="U23" i="121"/>
  <c r="U22" i="121" s="1"/>
  <c r="T22" i="121" s="1"/>
  <c r="BK22" i="121"/>
  <c r="DB22" i="121"/>
  <c r="DB14" i="121" s="1"/>
  <c r="DT52" i="121"/>
  <c r="AR57" i="121"/>
  <c r="EY57" i="121"/>
  <c r="N75" i="121"/>
  <c r="FS9" i="121"/>
  <c r="V24" i="121"/>
  <c r="V22" i="121" s="1"/>
  <c r="W66" i="121"/>
  <c r="O11" i="121"/>
  <c r="C9" i="121"/>
  <c r="L9" i="121"/>
  <c r="U9" i="121"/>
  <c r="C15" i="121"/>
  <c r="B15" i="121" s="1"/>
  <c r="FI22" i="121"/>
  <c r="FI14" i="121" s="1"/>
  <c r="FI77" i="121" s="1"/>
  <c r="P22" i="121"/>
  <c r="P14" i="121"/>
  <c r="C23" i="124" s="1"/>
  <c r="AP23" i="121"/>
  <c r="AP22" i="121" s="1"/>
  <c r="AY23" i="121"/>
  <c r="BH23" i="121"/>
  <c r="DI58" i="121"/>
  <c r="EV17" i="121"/>
  <c r="BJ8" i="121"/>
  <c r="CO9" i="121"/>
  <c r="CX9" i="121"/>
  <c r="DG9" i="121"/>
  <c r="DF9" i="121" s="1"/>
  <c r="EN9" i="121"/>
  <c r="EW9" i="121"/>
  <c r="CS22" i="121"/>
  <c r="E15" i="121"/>
  <c r="FA22" i="121"/>
  <c r="FA14" i="121" s="1"/>
  <c r="W50" i="121"/>
  <c r="DT62" i="121"/>
  <c r="BU63" i="121"/>
  <c r="CR11" i="121"/>
  <c r="FS8" i="121"/>
  <c r="D24" i="121"/>
  <c r="DI50" i="121"/>
  <c r="N52" i="121"/>
  <c r="DI57" i="121"/>
  <c r="W62" i="121"/>
  <c r="CZ62" i="121"/>
  <c r="BA63" i="121"/>
  <c r="DS66" i="121"/>
  <c r="FR71" i="121"/>
  <c r="G11" i="121"/>
  <c r="FF17" i="121"/>
  <c r="FE17" i="121"/>
  <c r="CZ50" i="121"/>
  <c r="EP57" i="121"/>
  <c r="FS58" i="121"/>
  <c r="W8" i="121"/>
  <c r="E9" i="121"/>
  <c r="CJ15" i="121"/>
  <c r="EI15" i="121" s="1"/>
  <c r="L17" i="121"/>
  <c r="K17" i="121" s="1"/>
  <c r="EN17" i="121"/>
  <c r="AH51" i="121"/>
  <c r="BJ57" i="121"/>
  <c r="FS61" i="121"/>
  <c r="N64" i="121"/>
  <c r="CZ65" i="121"/>
  <c r="AG66" i="121"/>
  <c r="N66" i="121"/>
  <c r="P11" i="121"/>
  <c r="Y11" i="121"/>
  <c r="BC10" i="121"/>
  <c r="DJ10" i="121"/>
  <c r="FS15" i="121"/>
  <c r="C17" i="121"/>
  <c r="U17" i="121"/>
  <c r="T17" i="121" s="1"/>
  <c r="CX17" i="121"/>
  <c r="FS24" i="121"/>
  <c r="FJ22" i="121"/>
  <c r="FJ14" i="121" s="1"/>
  <c r="C33" i="124" s="1"/>
  <c r="DT58" i="121"/>
  <c r="AG62" i="121"/>
  <c r="DS63" i="121"/>
  <c r="DS65" i="121"/>
  <c r="EY74" i="121"/>
  <c r="AG75" i="121"/>
  <c r="CR10" i="121"/>
  <c r="BL10" i="121"/>
  <c r="AG17" i="121"/>
  <c r="BU17" i="121"/>
  <c r="BH17" i="121"/>
  <c r="CO17" i="121"/>
  <c r="CN17" i="121" s="1"/>
  <c r="DG17" i="121"/>
  <c r="DF17" i="121" s="1"/>
  <c r="FZ17" i="121"/>
  <c r="F22" i="121"/>
  <c r="DJ22" i="121"/>
  <c r="DJ14" i="121" s="1"/>
  <c r="AH24" i="121"/>
  <c r="AH52" i="121"/>
  <c r="EY61" i="121"/>
  <c r="FR65" i="121"/>
  <c r="CZ66" i="121"/>
  <c r="FR66" i="121"/>
  <c r="AH73" i="121"/>
  <c r="BJ75" i="121"/>
  <c r="AH15" i="121"/>
  <c r="AX15" i="121"/>
  <c r="BH15" i="121"/>
  <c r="CO15" i="121"/>
  <c r="CX15" i="121"/>
  <c r="DG15" i="121"/>
  <c r="EN15" i="121"/>
  <c r="AH17" i="121"/>
  <c r="AH43" i="121" s="1"/>
  <c r="P43" i="121"/>
  <c r="DS17" i="121"/>
  <c r="EN24" i="121"/>
  <c r="DG24" i="121"/>
  <c r="AP24" i="121"/>
  <c r="U24" i="121"/>
  <c r="FF24" i="121"/>
  <c r="EW24" i="121"/>
  <c r="BH24" i="121"/>
  <c r="BQ24" i="121" s="1"/>
  <c r="AY24" i="121"/>
  <c r="E8" i="121"/>
  <c r="BC11" i="121"/>
  <c r="DB11" i="121"/>
  <c r="DB12" i="121" s="1"/>
  <c r="DB13" i="121" s="1"/>
  <c r="DI8" i="121"/>
  <c r="G10" i="121"/>
  <c r="O10" i="121"/>
  <c r="AH9" i="121"/>
  <c r="AZ9" i="121"/>
  <c r="EZ10" i="121"/>
  <c r="L15" i="121"/>
  <c r="DH15" i="121"/>
  <c r="EW15" i="121"/>
  <c r="FF15" i="121"/>
  <c r="CH17" i="121"/>
  <c r="EG17" i="121" s="1"/>
  <c r="AH23" i="121"/>
  <c r="AG24" i="121"/>
  <c r="EX24" i="121"/>
  <c r="EV24" i="121" s="1"/>
  <c r="AZ24" i="121"/>
  <c r="EY48" i="121"/>
  <c r="AH8" i="121"/>
  <c r="AS41" i="121"/>
  <c r="AS39" i="121"/>
  <c r="AG8" i="121"/>
  <c r="N8" i="121"/>
  <c r="DJ11" i="121"/>
  <c r="EY8" i="121"/>
  <c r="FH8" i="121"/>
  <c r="FV11" i="121"/>
  <c r="Y10" i="121"/>
  <c r="FA10" i="121"/>
  <c r="U15" i="121"/>
  <c r="AP15" i="121"/>
  <c r="DT15" i="121"/>
  <c r="FI41" i="121"/>
  <c r="FI39" i="121"/>
  <c r="AY17" i="121"/>
  <c r="G22" i="121"/>
  <c r="G14" i="121" s="1"/>
  <c r="C22" i="124" s="1"/>
  <c r="X22" i="121"/>
  <c r="BB22" i="121"/>
  <c r="GA22" i="121"/>
  <c r="GA14" i="121" s="1"/>
  <c r="BU24" i="121"/>
  <c r="CO24" i="121"/>
  <c r="CN24" i="121" s="1"/>
  <c r="CX24" i="121"/>
  <c r="AR48" i="121"/>
  <c r="EY49" i="121"/>
  <c r="DS50" i="121"/>
  <c r="BU51" i="121"/>
  <c r="AR52" i="121"/>
  <c r="BU52" i="121"/>
  <c r="FS52" i="121"/>
  <c r="CQ66" i="121"/>
  <c r="DT66" i="121"/>
  <c r="DS74" i="121"/>
  <c r="BA85" i="121"/>
  <c r="BU23" i="121"/>
  <c r="BC22" i="121"/>
  <c r="FS23" i="121"/>
  <c r="BA43" i="121"/>
  <c r="AH49" i="121"/>
  <c r="BU49" i="121"/>
  <c r="DT49" i="121"/>
  <c r="FS49" i="121"/>
  <c r="CZ52" i="121"/>
  <c r="AR58" i="121"/>
  <c r="FR74" i="121"/>
  <c r="EP74" i="121"/>
  <c r="DS24" i="121"/>
  <c r="W43" i="121"/>
  <c r="BJ50" i="121"/>
  <c r="DT51" i="121"/>
  <c r="N58" i="121"/>
  <c r="AH66" i="121"/>
  <c r="AH58" i="121"/>
  <c r="CG58" i="121" s="1"/>
  <c r="EF58" i="121" s="1"/>
  <c r="BU58" i="121"/>
  <c r="AH62" i="121"/>
  <c r="AG64" i="121"/>
  <c r="BA64" i="121"/>
  <c r="AG65" i="121"/>
  <c r="EP65" i="121"/>
  <c r="BT66" i="121"/>
  <c r="BJ66" i="121"/>
  <c r="AH70" i="121"/>
  <c r="BU71" i="121"/>
  <c r="W74" i="121"/>
  <c r="FS74" i="121"/>
  <c r="BU75" i="121"/>
  <c r="DS75" i="121"/>
  <c r="AH59" i="121"/>
  <c r="BU59" i="121"/>
  <c r="N62" i="121"/>
  <c r="AH64" i="121"/>
  <c r="CG64" i="121" s="1"/>
  <c r="W64" i="121"/>
  <c r="AH65" i="121"/>
  <c r="BT65" i="121"/>
  <c r="AR66" i="121"/>
  <c r="EP66" i="121"/>
  <c r="FS66" i="121"/>
  <c r="CQ71" i="121"/>
  <c r="EP71" i="121"/>
  <c r="EY72" i="121"/>
  <c r="W73" i="121"/>
  <c r="AH74" i="121"/>
  <c r="BT74" i="121"/>
  <c r="BJ74" i="121"/>
  <c r="BA75" i="121"/>
  <c r="BA62" i="121"/>
  <c r="N63" i="121"/>
  <c r="CZ63" i="121"/>
  <c r="FR64" i="121"/>
  <c r="N65" i="121"/>
  <c r="W75" i="121"/>
  <c r="CZ75" i="121"/>
  <c r="BR189" i="120"/>
  <c r="BR14" i="120"/>
  <c r="BR181" i="120" s="1"/>
  <c r="BR225" i="120" s="1"/>
  <c r="AV189" i="120"/>
  <c r="AT189" i="120"/>
  <c r="AB189" i="120"/>
  <c r="AB14" i="120"/>
  <c r="V189" i="120"/>
  <c r="V14" i="120"/>
  <c r="L189" i="120"/>
  <c r="J189" i="120"/>
  <c r="J14" i="120"/>
  <c r="G189" i="120"/>
  <c r="P182" i="120"/>
  <c r="BC182" i="120"/>
  <c r="BX12" i="120"/>
  <c r="BX13" i="120" s="1"/>
  <c r="BQ177" i="120"/>
  <c r="AS177" i="120"/>
  <c r="BC11" i="120"/>
  <c r="BC178" i="120" s="1"/>
  <c r="Y177" i="120"/>
  <c r="AK9" i="120"/>
  <c r="D15" i="120"/>
  <c r="D182" i="120" s="1"/>
  <c r="C72" i="120"/>
  <c r="C57" i="120"/>
  <c r="S15" i="120"/>
  <c r="Q20" i="125" s="1"/>
  <c r="S32" i="120"/>
  <c r="AQ9" i="120"/>
  <c r="W14" i="125" s="1"/>
  <c r="S9" i="120"/>
  <c r="AV177" i="120"/>
  <c r="AZ177" i="120"/>
  <c r="BO9" i="120"/>
  <c r="BO176" i="120" s="1"/>
  <c r="BO15" i="120"/>
  <c r="AC20" i="125" s="1"/>
  <c r="D9" i="120"/>
  <c r="D176" i="120" s="1"/>
  <c r="AQ15" i="120"/>
  <c r="W20" i="125" s="1"/>
  <c r="BA15" i="120"/>
  <c r="BA182" i="120" s="1"/>
  <c r="CC247" i="120"/>
  <c r="BT177" i="120"/>
  <c r="DE62" i="123"/>
  <c r="DW9" i="123"/>
  <c r="BF62" i="123"/>
  <c r="DD26" i="123"/>
  <c r="DN62" i="123"/>
  <c r="AW62" i="123"/>
  <c r="BX62" i="123" s="1"/>
  <c r="BX9" i="123"/>
  <c r="BW10" i="123"/>
  <c r="BW27" i="123" s="1"/>
  <c r="BN28" i="123"/>
  <c r="FU22" i="123"/>
  <c r="BF29" i="123"/>
  <c r="BF25" i="123"/>
  <c r="CL23" i="123"/>
  <c r="EU25" i="123"/>
  <c r="FV23" i="123"/>
  <c r="AP10" i="123"/>
  <c r="BT10" i="123"/>
  <c r="CX10" i="123"/>
  <c r="DV10" i="123"/>
  <c r="FF10" i="123"/>
  <c r="BQ11" i="123"/>
  <c r="BU11" i="123"/>
  <c r="DS11" i="123"/>
  <c r="DY11" i="123" s="1"/>
  <c r="DW11" i="123"/>
  <c r="DM28" i="123"/>
  <c r="S29" i="123"/>
  <c r="S25" i="123"/>
  <c r="S26" i="123" s="1"/>
  <c r="BS23" i="123"/>
  <c r="DE29" i="123"/>
  <c r="DE25" i="123"/>
  <c r="CU30" i="123"/>
  <c r="AV25" i="123"/>
  <c r="AV26" i="123" s="1"/>
  <c r="BU25" i="123"/>
  <c r="AS27" i="123"/>
  <c r="BE27" i="123"/>
  <c r="AW29" i="123"/>
  <c r="O30" i="123"/>
  <c r="BX11" i="123"/>
  <c r="AV30" i="123"/>
  <c r="E8" i="123"/>
  <c r="BM62" i="123"/>
  <c r="E10" i="123"/>
  <c r="O27" i="123"/>
  <c r="U10" i="123"/>
  <c r="CO10" i="123"/>
  <c r="CN10" i="123" s="1"/>
  <c r="DS10" i="123"/>
  <c r="EW10" i="123"/>
  <c r="FU10" i="123"/>
  <c r="DT11" i="123"/>
  <c r="FE12" i="123"/>
  <c r="DU27" i="123"/>
  <c r="AN22" i="123"/>
  <c r="BE28" i="123"/>
  <c r="BW22" i="123"/>
  <c r="ET28" i="123"/>
  <c r="FL28" i="123"/>
  <c r="BX23" i="123"/>
  <c r="AW25" i="123"/>
  <c r="BO26" i="123"/>
  <c r="FD29" i="123"/>
  <c r="AN24" i="123"/>
  <c r="BE30" i="123"/>
  <c r="BW24" i="123"/>
  <c r="BW30" i="123" s="1"/>
  <c r="ET30" i="123"/>
  <c r="FU24" i="123"/>
  <c r="FU30" i="123" s="1"/>
  <c r="FL30" i="123"/>
  <c r="W25" i="123"/>
  <c r="CQ25" i="123"/>
  <c r="FD25" i="123"/>
  <c r="CV26" i="123"/>
  <c r="BK27" i="123"/>
  <c r="FI27" i="123"/>
  <c r="F28" i="123"/>
  <c r="BO29" i="123"/>
  <c r="EQ30" i="123"/>
  <c r="BW49" i="123"/>
  <c r="CI49" i="123" s="1"/>
  <c r="EH49" i="123" s="1"/>
  <c r="DW53" i="123"/>
  <c r="DV62" i="123"/>
  <c r="DA27" i="123"/>
  <c r="DA28" i="123"/>
  <c r="FM26" i="123"/>
  <c r="EP25" i="123"/>
  <c r="FM29" i="123"/>
  <c r="DV9" i="123"/>
  <c r="B10" i="123"/>
  <c r="L10" i="123"/>
  <c r="BB27" i="123"/>
  <c r="BB28" i="123"/>
  <c r="BH10" i="123"/>
  <c r="DF10" i="123"/>
  <c r="EN10" i="123"/>
  <c r="CN12" i="123"/>
  <c r="I25" i="123"/>
  <c r="R25" i="123"/>
  <c r="R27" i="123"/>
  <c r="AA27" i="123"/>
  <c r="AA25" i="123"/>
  <c r="AA26" i="123" s="1"/>
  <c r="AJ21" i="123"/>
  <c r="AV27" i="123"/>
  <c r="BN27" i="123"/>
  <c r="BN25" i="123"/>
  <c r="BW21" i="123"/>
  <c r="CU25" i="123"/>
  <c r="CU27" i="123"/>
  <c r="DM27" i="123"/>
  <c r="DM25" i="123"/>
  <c r="DV21" i="123"/>
  <c r="ET27" i="123"/>
  <c r="ET25" i="123"/>
  <c r="ET26" i="123" s="1"/>
  <c r="FC25" i="123"/>
  <c r="FL27" i="123"/>
  <c r="FU21" i="123"/>
  <c r="FU27" i="123" s="1"/>
  <c r="AJ22" i="123"/>
  <c r="DD28" i="123"/>
  <c r="DR22" i="123"/>
  <c r="DV22" i="123"/>
  <c r="J25" i="123"/>
  <c r="AK23" i="123"/>
  <c r="CJ23" i="123" s="1"/>
  <c r="AB29" i="123"/>
  <c r="DW23" i="123"/>
  <c r="DN26" i="123"/>
  <c r="R30" i="123"/>
  <c r="AF24" i="123"/>
  <c r="DD30" i="123"/>
  <c r="DV24" i="123"/>
  <c r="DV30" i="123" s="1"/>
  <c r="FV30" i="123"/>
  <c r="EY25" i="123"/>
  <c r="FL25" i="123"/>
  <c r="X28" i="123"/>
  <c r="DN29" i="123"/>
  <c r="EU29" i="123"/>
  <c r="AS26" i="123"/>
  <c r="FA26" i="123"/>
  <c r="FR35" i="123"/>
  <c r="AS42" i="123"/>
  <c r="FI42" i="123"/>
  <c r="FR41" i="123"/>
  <c r="CF22" i="123"/>
  <c r="DB26" i="123"/>
  <c r="FA42" i="123"/>
  <c r="FS41" i="123"/>
  <c r="BC26" i="123"/>
  <c r="EQ26" i="123"/>
  <c r="EP49" i="123"/>
  <c r="FR49" i="123"/>
  <c r="FS49" i="123"/>
  <c r="EY49" i="123"/>
  <c r="EP56" i="123"/>
  <c r="CQ49" i="123"/>
  <c r="DT59" i="123"/>
  <c r="AR57" i="123"/>
  <c r="EP57" i="123"/>
  <c r="AR58" i="123"/>
  <c r="EP58" i="123"/>
  <c r="E59" i="123"/>
  <c r="FS59" i="123"/>
  <c r="AH60" i="123"/>
  <c r="K65" i="123"/>
  <c r="U65" i="123"/>
  <c r="AP65" i="123" s="1"/>
  <c r="AO65" i="123" s="1"/>
  <c r="CF65" i="123"/>
  <c r="BV64" i="123"/>
  <c r="AF65" i="123"/>
  <c r="CG65" i="123"/>
  <c r="EF65" i="123" s="1"/>
  <c r="GE65" i="123" s="1"/>
  <c r="V65" i="123"/>
  <c r="AQ65" i="123" s="1"/>
  <c r="BS65" i="123"/>
  <c r="B65" i="123"/>
  <c r="K71" i="123"/>
  <c r="FE71" i="123"/>
  <c r="FN71" i="123" s="1"/>
  <c r="AI70" i="123"/>
  <c r="K73" i="123"/>
  <c r="L143" i="122"/>
  <c r="L178" i="122" s="1"/>
  <c r="L125" i="122"/>
  <c r="K194" i="122"/>
  <c r="K160" i="122"/>
  <c r="AE194" i="122"/>
  <c r="AE160" i="122"/>
  <c r="H195" i="122"/>
  <c r="H161" i="122"/>
  <c r="O219" i="122"/>
  <c r="N39" i="122"/>
  <c r="AJ41" i="122"/>
  <c r="CA198" i="122"/>
  <c r="BY53" i="122"/>
  <c r="AD205" i="122"/>
  <c r="AJ205" i="122" s="1"/>
  <c r="AJ61" i="122"/>
  <c r="AC61" i="122"/>
  <c r="AE220" i="122"/>
  <c r="AK220" i="122"/>
  <c r="AK72" i="122"/>
  <c r="P92" i="122"/>
  <c r="H92" i="122"/>
  <c r="J81" i="122"/>
  <c r="AA81" i="122"/>
  <c r="AA75" i="122" s="1"/>
  <c r="AD92" i="122"/>
  <c r="AQ110" i="122"/>
  <c r="BO110" i="122" s="1"/>
  <c r="I143" i="122"/>
  <c r="I178" i="122" s="1"/>
  <c r="I125" i="122"/>
  <c r="M125" i="122"/>
  <c r="M143" i="122"/>
  <c r="M178" i="122" s="1"/>
  <c r="U143" i="122"/>
  <c r="U178" i="122" s="1"/>
  <c r="U125" i="122"/>
  <c r="Y125" i="122"/>
  <c r="Y143" i="122"/>
  <c r="Y178" i="122" s="1"/>
  <c r="AS125" i="122"/>
  <c r="AS143" i="122"/>
  <c r="AS178" i="122" s="1"/>
  <c r="AW143" i="122"/>
  <c r="AW178" i="122" s="1"/>
  <c r="AW125" i="122"/>
  <c r="BQ143" i="122"/>
  <c r="BQ178" i="122" s="1"/>
  <c r="BQ125" i="122"/>
  <c r="BU143" i="122"/>
  <c r="BU178" i="122" s="1"/>
  <c r="BU125" i="122"/>
  <c r="B10" i="122"/>
  <c r="B144" i="122" s="1"/>
  <c r="AC10" i="122"/>
  <c r="AC144" i="122" s="1"/>
  <c r="AO10" i="122"/>
  <c r="AO144" i="122" s="1"/>
  <c r="AC12" i="122"/>
  <c r="AC146" i="122" s="1"/>
  <c r="AG12" i="122"/>
  <c r="AK12" i="122"/>
  <c r="N22" i="122"/>
  <c r="AR151" i="122"/>
  <c r="S23" i="122"/>
  <c r="AH23" i="122" s="1"/>
  <c r="AC23" i="122"/>
  <c r="AK23" i="122"/>
  <c r="BI23" i="122" s="1"/>
  <c r="AD153" i="122"/>
  <c r="N26" i="122"/>
  <c r="E157" i="122"/>
  <c r="AC27" i="122"/>
  <c r="AI27" i="122" s="1"/>
  <c r="AK27" i="122"/>
  <c r="BB28" i="122"/>
  <c r="BV28" i="122"/>
  <c r="G29" i="122"/>
  <c r="AA29" i="122"/>
  <c r="BW29" i="122"/>
  <c r="AR194" i="122"/>
  <c r="AR160" i="122"/>
  <c r="BV194" i="122"/>
  <c r="BV160" i="122"/>
  <c r="K161" i="122"/>
  <c r="K195" i="122"/>
  <c r="AE161" i="122"/>
  <c r="BS195" i="122"/>
  <c r="BS161" i="122"/>
  <c r="CA161" i="122"/>
  <c r="S33" i="122"/>
  <c r="N34" i="122"/>
  <c r="N212" i="122" s="1"/>
  <c r="AC34" i="122"/>
  <c r="AC212" i="122" s="1"/>
  <c r="BS36" i="122"/>
  <c r="BS35" i="122" s="1"/>
  <c r="BZ36" i="122"/>
  <c r="BY36" i="122" s="1"/>
  <c r="M218" i="122"/>
  <c r="BB38" i="122"/>
  <c r="W219" i="122"/>
  <c r="W38" i="122"/>
  <c r="AU38" i="122"/>
  <c r="BS38" i="122"/>
  <c r="BA42" i="122"/>
  <c r="BA154" i="122" s="1"/>
  <c r="BY42" i="122"/>
  <c r="BY154" i="122" s="1"/>
  <c r="AH44" i="122"/>
  <c r="AN44" i="122" s="1"/>
  <c r="AJ44" i="122"/>
  <c r="N44" i="122"/>
  <c r="S45" i="122"/>
  <c r="AH45" i="122" s="1"/>
  <c r="AC47" i="122"/>
  <c r="CA200" i="122"/>
  <c r="AE202" i="122"/>
  <c r="AK202" i="122" s="1"/>
  <c r="AC58" i="122"/>
  <c r="AK58" i="122"/>
  <c r="P204" i="122"/>
  <c r="N60" i="122"/>
  <c r="N204" i="122" s="1"/>
  <c r="X205" i="122"/>
  <c r="W61" i="122"/>
  <c r="W205" i="122" s="1"/>
  <c r="O206" i="122"/>
  <c r="N62" i="122"/>
  <c r="N206" i="122" s="1"/>
  <c r="O207" i="122"/>
  <c r="N63" i="122"/>
  <c r="N207" i="122" s="1"/>
  <c r="AC63" i="122"/>
  <c r="AC207" i="122" s="1"/>
  <c r="BB208" i="122"/>
  <c r="CA208" i="122"/>
  <c r="BY64" i="122"/>
  <c r="BB216" i="122"/>
  <c r="BA68" i="122"/>
  <c r="BA216" i="122" s="1"/>
  <c r="AX220" i="122"/>
  <c r="AX70" i="122"/>
  <c r="CA221" i="122"/>
  <c r="BY73" i="122"/>
  <c r="AE79" i="122"/>
  <c r="BY82" i="122"/>
  <c r="R83" i="122"/>
  <c r="Q83" i="122" s="1"/>
  <c r="B83" i="122"/>
  <c r="BS209" i="122"/>
  <c r="BS162" i="122"/>
  <c r="AD210" i="122"/>
  <c r="AC87" i="122"/>
  <c r="AC210" i="122" s="1"/>
  <c r="BC210" i="122"/>
  <c r="N89" i="122"/>
  <c r="AJ89" i="122"/>
  <c r="BC90" i="122"/>
  <c r="CA90" i="122"/>
  <c r="E92" i="122"/>
  <c r="O92" i="122"/>
  <c r="N92" i="122" s="1"/>
  <c r="S95" i="122"/>
  <c r="AH95" i="122" s="1"/>
  <c r="AS155" i="122"/>
  <c r="CR39" i="123" s="1"/>
  <c r="AR97" i="122"/>
  <c r="AR155" i="122" s="1"/>
  <c r="J94" i="122"/>
  <c r="AZ125" i="122"/>
  <c r="CA194" i="122"/>
  <c r="P195" i="122"/>
  <c r="P161" i="122"/>
  <c r="AD195" i="122"/>
  <c r="BB201" i="122"/>
  <c r="BY67" i="122"/>
  <c r="Z162" i="122"/>
  <c r="D211" i="122"/>
  <c r="AH211" i="122" s="1"/>
  <c r="B88" i="122"/>
  <c r="B211" i="122" s="1"/>
  <c r="AH88" i="122"/>
  <c r="AQ88" i="122" s="1"/>
  <c r="BF88" i="122" s="1"/>
  <c r="BZ165" i="122"/>
  <c r="BY112" i="122"/>
  <c r="F143" i="122"/>
  <c r="F178" i="122" s="1"/>
  <c r="F125" i="122"/>
  <c r="J143" i="122"/>
  <c r="J178" i="122" s="1"/>
  <c r="J125" i="122"/>
  <c r="AT125" i="122"/>
  <c r="AT143" i="122"/>
  <c r="AT178" i="122" s="1"/>
  <c r="BR143" i="122"/>
  <c r="BR178" i="122" s="1"/>
  <c r="BR125" i="122"/>
  <c r="AH10" i="122"/>
  <c r="BF10" i="122" s="1"/>
  <c r="N11" i="122"/>
  <c r="N145" i="122" s="1"/>
  <c r="AJ11" i="122"/>
  <c r="AH12" i="122"/>
  <c r="BF12" i="122" s="1"/>
  <c r="BY22" i="122"/>
  <c r="AX152" i="122"/>
  <c r="C24" i="122"/>
  <c r="K153" i="122"/>
  <c r="BA24" i="122"/>
  <c r="BI24" i="122"/>
  <c r="D25" i="122"/>
  <c r="AK26" i="122"/>
  <c r="BI26" i="122" s="1"/>
  <c r="P157" i="122"/>
  <c r="O28" i="122"/>
  <c r="W28" i="122"/>
  <c r="AE28" i="122"/>
  <c r="BC28" i="122"/>
  <c r="BS28" i="122"/>
  <c r="L29" i="122"/>
  <c r="AZ29" i="122"/>
  <c r="AZ159" i="122" s="1"/>
  <c r="DK43" i="123" s="1"/>
  <c r="E194" i="122"/>
  <c r="E160" i="122"/>
  <c r="AC30" i="122"/>
  <c r="AG30" i="122"/>
  <c r="AP30" i="122" s="1"/>
  <c r="AK30" i="122"/>
  <c r="BC194" i="122"/>
  <c r="BC160" i="122"/>
  <c r="N31" i="122"/>
  <c r="AJ31" i="122"/>
  <c r="BB195" i="122"/>
  <c r="BB161" i="122"/>
  <c r="BV195" i="122"/>
  <c r="BV161" i="122"/>
  <c r="P197" i="122"/>
  <c r="AK34" i="122"/>
  <c r="O35" i="122"/>
  <c r="AE35" i="122"/>
  <c r="BC35" i="122"/>
  <c r="CA35" i="122"/>
  <c r="N36" i="122"/>
  <c r="AJ36" i="122"/>
  <c r="CA215" i="122"/>
  <c r="AD217" i="122"/>
  <c r="AJ37" i="122"/>
  <c r="BH37" i="122" s="1"/>
  <c r="BR218" i="122"/>
  <c r="CA38" i="122"/>
  <c r="O154" i="122"/>
  <c r="N42" i="122"/>
  <c r="N154" i="122" s="1"/>
  <c r="F155" i="122"/>
  <c r="F39" i="123" s="1"/>
  <c r="E39" i="123" s="1"/>
  <c r="O45" i="122"/>
  <c r="N45" i="122" s="1"/>
  <c r="AD45" i="122"/>
  <c r="AC45" i="122" s="1"/>
  <c r="E45" i="122"/>
  <c r="N199" i="122"/>
  <c r="AD207" i="122"/>
  <c r="AJ63" i="122"/>
  <c r="BC207" i="122"/>
  <c r="BA63" i="122"/>
  <c r="BA207" i="122" s="1"/>
  <c r="AR208" i="122"/>
  <c r="BS208" i="122"/>
  <c r="U214" i="122"/>
  <c r="T66" i="122"/>
  <c r="T65" i="122" s="1"/>
  <c r="AD66" i="122"/>
  <c r="AC66" i="122" s="1"/>
  <c r="AR214" i="122"/>
  <c r="AR65" i="122"/>
  <c r="BV214" i="122"/>
  <c r="BV65" i="122"/>
  <c r="AV219" i="122"/>
  <c r="BB71" i="122"/>
  <c r="BA71" i="122" s="1"/>
  <c r="AU71" i="122"/>
  <c r="AV70" i="122"/>
  <c r="BB70" i="122" s="1"/>
  <c r="K221" i="122"/>
  <c r="K70" i="122"/>
  <c r="E76" i="122"/>
  <c r="O76" i="122"/>
  <c r="N76" i="122" s="1"/>
  <c r="AD76" i="122"/>
  <c r="AC76" i="122" s="1"/>
  <c r="X155" i="122"/>
  <c r="BB39" i="123" s="1"/>
  <c r="W76" i="122"/>
  <c r="N78" i="122"/>
  <c r="AI78" i="122" s="1"/>
  <c r="BI80" i="122"/>
  <c r="I209" i="122"/>
  <c r="I162" i="122"/>
  <c r="O46" i="123" s="1"/>
  <c r="N46" i="123" s="1"/>
  <c r="H85" i="122"/>
  <c r="H162" i="122" s="1"/>
  <c r="AE209" i="122"/>
  <c r="AE162" i="122"/>
  <c r="AV209" i="122"/>
  <c r="AV162" i="122"/>
  <c r="DA46" i="123" s="1"/>
  <c r="CZ46" i="123" s="1"/>
  <c r="AU85" i="122"/>
  <c r="CG91" i="122"/>
  <c r="CJ91" i="122" s="1"/>
  <c r="AC93" i="122"/>
  <c r="AK93" i="122"/>
  <c r="R104" i="122"/>
  <c r="AG104" i="122" s="1"/>
  <c r="B104" i="122"/>
  <c r="V218" i="122"/>
  <c r="AE38" i="122"/>
  <c r="AE29" i="122" s="1"/>
  <c r="BI39" i="122"/>
  <c r="CG39" i="122" s="1"/>
  <c r="CJ39" i="122" s="1"/>
  <c r="B44" i="122"/>
  <c r="R44" i="122"/>
  <c r="Q44" i="122" s="1"/>
  <c r="BQ201" i="122"/>
  <c r="BP57" i="122"/>
  <c r="BP201" i="122" s="1"/>
  <c r="BC205" i="122"/>
  <c r="BA61" i="122"/>
  <c r="BA205" i="122" s="1"/>
  <c r="BP214" i="122"/>
  <c r="BZ220" i="122"/>
  <c r="BY72" i="122"/>
  <c r="BY77" i="122"/>
  <c r="T209" i="122"/>
  <c r="T162" i="122"/>
  <c r="BZ209" i="122"/>
  <c r="BZ162" i="122"/>
  <c r="BY85" i="122"/>
  <c r="BY209" i="122" s="1"/>
  <c r="AC96" i="122"/>
  <c r="AJ96" i="122"/>
  <c r="P100" i="122"/>
  <c r="N98" i="122"/>
  <c r="G125" i="122"/>
  <c r="P125" i="122" s="1"/>
  <c r="G143" i="122"/>
  <c r="G178" i="122" s="1"/>
  <c r="O9" i="122"/>
  <c r="O143" i="122" s="1"/>
  <c r="O178" i="122" s="1"/>
  <c r="AA125" i="122"/>
  <c r="BC9" i="122"/>
  <c r="BC143" i="122" s="1"/>
  <c r="BC178" i="122" s="1"/>
  <c r="BW125" i="122"/>
  <c r="BW143" i="122"/>
  <c r="BW178" i="122" s="1"/>
  <c r="BA10" i="122"/>
  <c r="BA144" i="122" s="1"/>
  <c r="BM10" i="122"/>
  <c r="BM144" i="122" s="1"/>
  <c r="AJ145" i="122"/>
  <c r="AG11" i="122"/>
  <c r="AM11" i="122" s="1"/>
  <c r="Q12" i="122"/>
  <c r="Q146" i="122" s="1"/>
  <c r="BA23" i="122"/>
  <c r="N24" i="122"/>
  <c r="AJ24" i="122"/>
  <c r="CB24" i="122"/>
  <c r="AC25" i="122"/>
  <c r="AK25" i="122"/>
  <c r="BC155" i="122"/>
  <c r="BY25" i="122"/>
  <c r="BZ156" i="122"/>
  <c r="CA157" i="122"/>
  <c r="H28" i="122"/>
  <c r="P28" i="122"/>
  <c r="T28" i="122"/>
  <c r="AR28" i="122"/>
  <c r="I29" i="122"/>
  <c r="I21" i="122" s="1"/>
  <c r="M29" i="122"/>
  <c r="Y29" i="122"/>
  <c r="AS29" i="122"/>
  <c r="AS21" i="122" s="1"/>
  <c r="AW29" i="122"/>
  <c r="BU29" i="122"/>
  <c r="H194" i="122"/>
  <c r="H160" i="122"/>
  <c r="T194" i="122"/>
  <c r="T160" i="122"/>
  <c r="AX160" i="122"/>
  <c r="AX194" i="122"/>
  <c r="O161" i="122"/>
  <c r="O195" i="122"/>
  <c r="S31" i="122"/>
  <c r="AC31" i="122"/>
  <c r="AG31" i="122"/>
  <c r="AK31" i="122"/>
  <c r="AU161" i="122"/>
  <c r="BC195" i="122"/>
  <c r="BY31" i="122"/>
  <c r="N32" i="122"/>
  <c r="AJ32" i="122"/>
  <c r="K197" i="122"/>
  <c r="BA33" i="122"/>
  <c r="D35" i="122"/>
  <c r="H35" i="122"/>
  <c r="P35" i="122"/>
  <c r="AK35" i="122" s="1"/>
  <c r="T35" i="122"/>
  <c r="AR35" i="122"/>
  <c r="BP35" i="122"/>
  <c r="BT35" i="122"/>
  <c r="S36" i="122"/>
  <c r="AC36" i="122"/>
  <c r="AK36" i="122"/>
  <c r="AK37" i="122"/>
  <c r="BY37" i="122"/>
  <c r="F218" i="122"/>
  <c r="O38" i="122"/>
  <c r="J218" i="122"/>
  <c r="P38" i="122"/>
  <c r="AD38" i="122"/>
  <c r="AC38" i="122" s="1"/>
  <c r="AT218" i="122"/>
  <c r="BC38" i="122"/>
  <c r="K219" i="122"/>
  <c r="K38" i="122"/>
  <c r="CB44" i="122"/>
  <c r="I155" i="122"/>
  <c r="O39" i="123" s="1"/>
  <c r="N39" i="123" s="1"/>
  <c r="H45" i="122"/>
  <c r="H155" i="122" s="1"/>
  <c r="AJ46" i="122"/>
  <c r="BH46" i="122" s="1"/>
  <c r="AD48" i="122"/>
  <c r="BT200" i="122"/>
  <c r="BZ56" i="122"/>
  <c r="BS56" i="122"/>
  <c r="BS200" i="122" s="1"/>
  <c r="AJ57" i="122"/>
  <c r="BZ57" i="122"/>
  <c r="BZ203" i="122"/>
  <c r="BY59" i="122"/>
  <c r="BY203" i="122" s="1"/>
  <c r="BB206" i="122"/>
  <c r="BA62" i="122"/>
  <c r="BA206" i="122" s="1"/>
  <c r="CA206" i="122"/>
  <c r="BY62" i="122"/>
  <c r="BY206" i="122" s="1"/>
  <c r="AJ64" i="122"/>
  <c r="CA65" i="122"/>
  <c r="H66" i="122"/>
  <c r="H65" i="122" s="1"/>
  <c r="W214" i="122"/>
  <c r="W65" i="122"/>
  <c r="S76" i="122"/>
  <c r="AH76" i="122" s="1"/>
  <c r="D77" i="122"/>
  <c r="S77" i="122" s="1"/>
  <c r="AH77" i="122" s="1"/>
  <c r="D209" i="122"/>
  <c r="D162" i="122"/>
  <c r="D46" i="123" s="1"/>
  <c r="S85" i="122"/>
  <c r="AH85" i="122" s="1"/>
  <c r="AK85" i="122"/>
  <c r="AK162" i="122" s="1"/>
  <c r="BV211" i="122"/>
  <c r="BY89" i="122"/>
  <c r="B90" i="122"/>
  <c r="BB92" i="122"/>
  <c r="AY81" i="122"/>
  <c r="AY75" i="122" s="1"/>
  <c r="C96" i="122"/>
  <c r="CB96" i="122"/>
  <c r="BY103" i="122"/>
  <c r="AD219" i="122"/>
  <c r="AJ219" i="122" s="1"/>
  <c r="N47" i="122"/>
  <c r="T48" i="122"/>
  <c r="AJ47" i="122"/>
  <c r="BH47" i="122" s="1"/>
  <c r="N51" i="122"/>
  <c r="AJ51" i="122"/>
  <c r="O198" i="122"/>
  <c r="N53" i="122"/>
  <c r="N198" i="122" s="1"/>
  <c r="AD198" i="122"/>
  <c r="AJ198" i="122"/>
  <c r="AJ53" i="122"/>
  <c r="N55" i="122"/>
  <c r="AS197" i="122"/>
  <c r="BB55" i="122"/>
  <c r="BA55" i="122" s="1"/>
  <c r="AK200" i="122"/>
  <c r="AY200" i="122"/>
  <c r="AX56" i="122"/>
  <c r="AX200" i="122" s="1"/>
  <c r="CA201" i="122"/>
  <c r="N58" i="122"/>
  <c r="N202" i="122" s="1"/>
  <c r="BA58" i="122"/>
  <c r="BA202" i="122" s="1"/>
  <c r="AH59" i="122"/>
  <c r="AK61" i="122"/>
  <c r="BY61" i="122"/>
  <c r="AK207" i="122"/>
  <c r="AK63" i="122"/>
  <c r="BY63" i="122"/>
  <c r="L214" i="122"/>
  <c r="K66" i="122"/>
  <c r="K214" i="122" s="1"/>
  <c r="L65" i="122"/>
  <c r="AS214" i="122"/>
  <c r="BB66" i="122"/>
  <c r="BB214" i="122" s="1"/>
  <c r="N68" i="122"/>
  <c r="N216" i="122" s="1"/>
  <c r="AC68" i="122"/>
  <c r="AC69" i="122"/>
  <c r="AI69" i="122" s="1"/>
  <c r="AV217" i="122"/>
  <c r="AU69" i="122"/>
  <c r="AV65" i="122"/>
  <c r="AW49" i="122"/>
  <c r="BU49" i="122"/>
  <c r="AK71" i="122"/>
  <c r="BP70" i="122"/>
  <c r="F220" i="122"/>
  <c r="E72" i="122"/>
  <c r="N72" i="122"/>
  <c r="N220" i="122" s="1"/>
  <c r="Z72" i="122"/>
  <c r="CA220" i="122"/>
  <c r="N73" i="122"/>
  <c r="N221" i="122" s="1"/>
  <c r="BS76" i="122"/>
  <c r="AC80" i="122"/>
  <c r="N83" i="122"/>
  <c r="AJ83" i="122"/>
  <c r="S84" i="122"/>
  <c r="AH84" i="122" s="1"/>
  <c r="AC84" i="122"/>
  <c r="K209" i="122"/>
  <c r="K162" i="122"/>
  <c r="P209" i="122"/>
  <c r="P162" i="122"/>
  <c r="AY209" i="122"/>
  <c r="AY162" i="122"/>
  <c r="DJ46" i="123" s="1"/>
  <c r="DI46" i="123" s="1"/>
  <c r="AX85" i="122"/>
  <c r="AX209" i="122" s="1"/>
  <c r="AH86" i="122"/>
  <c r="AK210" i="122"/>
  <c r="AK87" i="122"/>
  <c r="BY87" i="122"/>
  <c r="E90" i="122"/>
  <c r="B91" i="122"/>
  <c r="K92" i="122"/>
  <c r="X81" i="122"/>
  <c r="X75" i="122" s="1"/>
  <c r="AB81" i="122"/>
  <c r="AB75" i="122" s="1"/>
  <c r="AV81" i="122"/>
  <c r="AV75" i="122" s="1"/>
  <c r="AU75" i="122" s="1"/>
  <c r="AZ81" i="122"/>
  <c r="BP81" i="122"/>
  <c r="BT81" i="122"/>
  <c r="BT75" i="122" s="1"/>
  <c r="BX81" i="122"/>
  <c r="BX75" i="122" s="1"/>
  <c r="K100" i="122"/>
  <c r="BV100" i="122"/>
  <c r="N103" i="122"/>
  <c r="S103" i="122"/>
  <c r="AH103" i="122" s="1"/>
  <c r="O106" i="122"/>
  <c r="C107" i="122"/>
  <c r="CB107" i="122"/>
  <c r="CC106" i="122"/>
  <c r="Z108" i="122"/>
  <c r="AA101" i="122"/>
  <c r="BZ108" i="122"/>
  <c r="U164" i="122"/>
  <c r="AS48" i="123" s="1"/>
  <c r="T111" i="122"/>
  <c r="T164" i="122" s="1"/>
  <c r="P167" i="122"/>
  <c r="AK114" i="122"/>
  <c r="AK167" i="122" s="1"/>
  <c r="P115" i="122"/>
  <c r="P168" i="122" s="1"/>
  <c r="G168" i="122"/>
  <c r="G52" i="123" s="1"/>
  <c r="CA172" i="122"/>
  <c r="BY119" i="122"/>
  <c r="BY172" i="122" s="1"/>
  <c r="AE175" i="122"/>
  <c r="AK122" i="122"/>
  <c r="AK198" i="122"/>
  <c r="AK53" i="122"/>
  <c r="BI53" i="122" s="1"/>
  <c r="CG53" i="122" s="1"/>
  <c r="BQ197" i="122"/>
  <c r="BZ55" i="122"/>
  <c r="U201" i="122"/>
  <c r="T57" i="122"/>
  <c r="T201" i="122" s="1"/>
  <c r="AE201" i="122"/>
  <c r="AK57" i="122"/>
  <c r="C203" i="122"/>
  <c r="AD203" i="122"/>
  <c r="AD204" i="122"/>
  <c r="AJ204" i="122" s="1"/>
  <c r="AC60" i="122"/>
  <c r="AC204" i="122" s="1"/>
  <c r="AI204" i="122" s="1"/>
  <c r="AE65" i="122"/>
  <c r="X214" i="122"/>
  <c r="X65" i="122"/>
  <c r="X213" i="122" s="1"/>
  <c r="BQ214" i="122"/>
  <c r="BZ66" i="122"/>
  <c r="AJ216" i="122"/>
  <c r="Y49" i="122"/>
  <c r="AS49" i="122"/>
  <c r="AD221" i="122"/>
  <c r="AJ221" i="122" s="1"/>
  <c r="AC73" i="122"/>
  <c r="AI73" i="122" s="1"/>
  <c r="AV221" i="122"/>
  <c r="BB73" i="122"/>
  <c r="BH73" i="122" s="1"/>
  <c r="AU73" i="122"/>
  <c r="AU221" i="122" s="1"/>
  <c r="BC222" i="122"/>
  <c r="BT155" i="122"/>
  <c r="EZ39" i="123" s="1"/>
  <c r="AX79" i="122"/>
  <c r="W162" i="122"/>
  <c r="AS209" i="122"/>
  <c r="AR85" i="122"/>
  <c r="AS162" i="122"/>
  <c r="CR46" i="123" s="1"/>
  <c r="BP162" i="122"/>
  <c r="BV209" i="122"/>
  <c r="BV162" i="122"/>
  <c r="AD97" i="122"/>
  <c r="W97" i="122"/>
  <c r="AJ102" i="122"/>
  <c r="B105" i="122"/>
  <c r="S105" i="122"/>
  <c r="AH105" i="122" s="1"/>
  <c r="BP106" i="122"/>
  <c r="BQ101" i="122"/>
  <c r="BQ94" i="122" s="1"/>
  <c r="AX108" i="122"/>
  <c r="AY101" i="122"/>
  <c r="AX101" i="122" s="1"/>
  <c r="AS164" i="122"/>
  <c r="CR48" i="123" s="1"/>
  <c r="AR111" i="122"/>
  <c r="AR164" i="122" s="1"/>
  <c r="BC166" i="122"/>
  <c r="BA113" i="122"/>
  <c r="BA166" i="122" s="1"/>
  <c r="P169" i="122"/>
  <c r="N116" i="122"/>
  <c r="N169" i="122" s="1"/>
  <c r="BC170" i="122"/>
  <c r="AH173" i="122"/>
  <c r="AQ120" i="122"/>
  <c r="BY121" i="122"/>
  <c r="BY174" i="122" s="1"/>
  <c r="BZ174" i="122"/>
  <c r="R122" i="122"/>
  <c r="AG122" i="122" s="1"/>
  <c r="AP122" i="122" s="1"/>
  <c r="C175" i="122"/>
  <c r="C59" i="123" s="1"/>
  <c r="B122" i="122"/>
  <c r="B175" i="122" s="1"/>
  <c r="BZ175" i="122"/>
  <c r="BY122" i="122"/>
  <c r="BB175" i="122"/>
  <c r="AR217" i="122"/>
  <c r="AY218" i="122"/>
  <c r="AJ39" i="122"/>
  <c r="D42" i="122"/>
  <c r="AJ42" i="122"/>
  <c r="BH42" i="122" s="1"/>
  <c r="AA155" i="122"/>
  <c r="BK39" i="123" s="1"/>
  <c r="BJ39" i="123" s="1"/>
  <c r="O48" i="122"/>
  <c r="BA53" i="122"/>
  <c r="BA198" i="122" s="1"/>
  <c r="AJ54" i="122"/>
  <c r="BY54" i="122"/>
  <c r="AA197" i="122"/>
  <c r="Z55" i="122"/>
  <c r="BT197" i="122"/>
  <c r="BS55" i="122"/>
  <c r="BS197" i="122" s="1"/>
  <c r="AA200" i="122"/>
  <c r="AD56" i="122"/>
  <c r="BB56" i="122"/>
  <c r="BA56" i="122" s="1"/>
  <c r="BA200" i="122" s="1"/>
  <c r="AK203" i="122"/>
  <c r="AK59" i="122"/>
  <c r="BI59" i="122" s="1"/>
  <c r="AE204" i="122"/>
  <c r="AK60" i="122"/>
  <c r="AJ60" i="122"/>
  <c r="BZ204" i="122"/>
  <c r="BY60" i="122"/>
  <c r="L205" i="122"/>
  <c r="K61" i="122"/>
  <c r="K205" i="122" s="1"/>
  <c r="CA205" i="122"/>
  <c r="AK62" i="122"/>
  <c r="CA207" i="122"/>
  <c r="AK64" i="122"/>
  <c r="P65" i="122"/>
  <c r="AK65" i="122" s="1"/>
  <c r="BQ65" i="122"/>
  <c r="O66" i="122"/>
  <c r="AA214" i="122"/>
  <c r="Z66" i="122"/>
  <c r="Z214" i="122" s="1"/>
  <c r="BT214" i="122"/>
  <c r="BS66" i="122"/>
  <c r="BS214" i="122" s="1"/>
  <c r="BT65" i="122"/>
  <c r="BT49" i="122" s="1"/>
  <c r="AJ68" i="122"/>
  <c r="BZ216" i="122"/>
  <c r="P70" i="122"/>
  <c r="AD72" i="122"/>
  <c r="AC72" i="122" s="1"/>
  <c r="AV220" i="122"/>
  <c r="BB72" i="122"/>
  <c r="AU72" i="122"/>
  <c r="AU220" i="122" s="1"/>
  <c r="U221" i="122"/>
  <c r="T73" i="122"/>
  <c r="T221" i="122" s="1"/>
  <c r="AE221" i="122"/>
  <c r="AK221" i="122" s="1"/>
  <c r="AK73" i="122"/>
  <c r="AJ73" i="122"/>
  <c r="K222" i="122"/>
  <c r="W222" i="122"/>
  <c r="AE222" i="122"/>
  <c r="AK222" i="122" s="1"/>
  <c r="AJ74" i="122"/>
  <c r="BY74" i="122"/>
  <c r="AK76" i="122"/>
  <c r="Z79" i="122"/>
  <c r="R82" i="122"/>
  <c r="B85" i="122"/>
  <c r="B209" i="122" s="1"/>
  <c r="X209" i="122"/>
  <c r="X162" i="122"/>
  <c r="BB46" i="123" s="1"/>
  <c r="AD85" i="122"/>
  <c r="BB85" i="122"/>
  <c r="BB162" i="122" s="1"/>
  <c r="BQ209" i="122"/>
  <c r="BQ162" i="122"/>
  <c r="EQ46" i="123" s="1"/>
  <c r="AK86" i="122"/>
  <c r="AJ86" i="122"/>
  <c r="BH86" i="122" s="1"/>
  <c r="BY86" i="122"/>
  <c r="AK88" i="122"/>
  <c r="AN88" i="122" s="1"/>
  <c r="BA88" i="122"/>
  <c r="BA211" i="122" s="1"/>
  <c r="AH89" i="122"/>
  <c r="AQ89" i="122" s="1"/>
  <c r="BO89" i="122" s="1"/>
  <c r="R89" i="122"/>
  <c r="S91" i="122"/>
  <c r="BY95" i="122"/>
  <c r="AK98" i="122"/>
  <c r="AC104" i="122"/>
  <c r="BB106" i="122"/>
  <c r="BA106" i="122" s="1"/>
  <c r="AR106" i="122"/>
  <c r="AS101" i="122"/>
  <c r="BV108" i="122"/>
  <c r="BW101" i="122"/>
  <c r="BQ164" i="122"/>
  <c r="EQ48" i="123" s="1"/>
  <c r="BP111" i="122"/>
  <c r="BP164" i="122" s="1"/>
  <c r="AE165" i="122"/>
  <c r="AK112" i="122"/>
  <c r="AD174" i="122"/>
  <c r="P176" i="122"/>
  <c r="AK123" i="122"/>
  <c r="BI123" i="122" s="1"/>
  <c r="BZ100" i="122"/>
  <c r="X101" i="122"/>
  <c r="X94" i="122" s="1"/>
  <c r="Z106" i="122"/>
  <c r="W108" i="122"/>
  <c r="AU108" i="122"/>
  <c r="BS108" i="122"/>
  <c r="B109" i="122"/>
  <c r="AK109" i="122"/>
  <c r="BI109" i="122" s="1"/>
  <c r="O111" i="122"/>
  <c r="O164" i="122" s="1"/>
  <c r="V164" i="122"/>
  <c r="AT48" i="123" s="1"/>
  <c r="AE111" i="122"/>
  <c r="AT164" i="122"/>
  <c r="CS48" i="123" s="1"/>
  <c r="BC111" i="122"/>
  <c r="BC164" i="122" s="1"/>
  <c r="BR164" i="122"/>
  <c r="ER48" i="123" s="1"/>
  <c r="CA111" i="122"/>
  <c r="CA165" i="122"/>
  <c r="AC114" i="122"/>
  <c r="AD167" i="122"/>
  <c r="AJ114" i="122"/>
  <c r="BA114" i="122"/>
  <c r="BA167" i="122" s="1"/>
  <c r="BB167" i="122"/>
  <c r="BY114" i="122"/>
  <c r="BU168" i="122"/>
  <c r="FA52" i="123" s="1"/>
  <c r="EY52" i="123" s="1"/>
  <c r="BS115" i="122"/>
  <c r="BS168" i="122" s="1"/>
  <c r="AD169" i="122"/>
  <c r="AC116" i="122"/>
  <c r="AC169" i="122" s="1"/>
  <c r="AJ116" i="122"/>
  <c r="AJ169" i="122" s="1"/>
  <c r="S118" i="122"/>
  <c r="AH118" i="122" s="1"/>
  <c r="AQ118" i="122" s="1"/>
  <c r="BF118" i="122" s="1"/>
  <c r="L158" i="122"/>
  <c r="AV158" i="122"/>
  <c r="O172" i="122"/>
  <c r="BB108" i="122"/>
  <c r="D108" i="122"/>
  <c r="P111" i="122"/>
  <c r="P164" i="122" s="1"/>
  <c r="G164" i="122"/>
  <c r="G48" i="123" s="1"/>
  <c r="O166" i="122"/>
  <c r="AJ113" i="122"/>
  <c r="AJ166" i="122" s="1"/>
  <c r="AS168" i="122"/>
  <c r="CR52" i="123" s="1"/>
  <c r="AE169" i="122"/>
  <c r="AK116" i="122"/>
  <c r="AK169" i="122" s="1"/>
  <c r="AJ117" i="122"/>
  <c r="AJ170" i="122" s="1"/>
  <c r="AD170" i="122"/>
  <c r="BZ170" i="122"/>
  <c r="AD171" i="122"/>
  <c r="AJ118" i="122"/>
  <c r="AJ171" i="122" s="1"/>
  <c r="S119" i="122"/>
  <c r="S172" i="122" s="1"/>
  <c r="AQ56" i="123" s="1"/>
  <c r="AD173" i="122"/>
  <c r="AC120" i="122"/>
  <c r="AC173" i="122" s="1"/>
  <c r="P175" i="122"/>
  <c r="N122" i="122"/>
  <c r="N175" i="122" s="1"/>
  <c r="AD176" i="122"/>
  <c r="AJ123" i="122"/>
  <c r="AJ176" i="122" s="1"/>
  <c r="BC176" i="122"/>
  <c r="BA123" i="122"/>
  <c r="BA176" i="122" s="1"/>
  <c r="N104" i="122"/>
  <c r="AJ105" i="122"/>
  <c r="BH105" i="122" s="1"/>
  <c r="O108" i="122"/>
  <c r="S109" i="122"/>
  <c r="S108" i="122" s="1"/>
  <c r="Y164" i="122"/>
  <c r="BC48" i="123" s="1"/>
  <c r="BA48" i="123" s="1"/>
  <c r="W111" i="122"/>
  <c r="W164" i="122" s="1"/>
  <c r="AW164" i="122"/>
  <c r="DB48" i="123" s="1"/>
  <c r="CZ48" i="123" s="1"/>
  <c r="AU111" i="122"/>
  <c r="AU164" i="122" s="1"/>
  <c r="BU164" i="122"/>
  <c r="FA48" i="123" s="1"/>
  <c r="EY48" i="123" s="1"/>
  <c r="BS111" i="122"/>
  <c r="BS164" i="122" s="1"/>
  <c r="AD165" i="122"/>
  <c r="AJ112" i="122"/>
  <c r="AJ165" i="122" s="1"/>
  <c r="BI113" i="122"/>
  <c r="CG113" i="122" s="1"/>
  <c r="CG166" i="122" s="1"/>
  <c r="CA166" i="122"/>
  <c r="BY113" i="122"/>
  <c r="O167" i="122"/>
  <c r="N114" i="122"/>
  <c r="N167" i="122" s="1"/>
  <c r="BR168" i="122"/>
  <c r="ER52" i="123" s="1"/>
  <c r="CA115" i="122"/>
  <c r="O176" i="122"/>
  <c r="N123" i="122"/>
  <c r="N176" i="122" s="1"/>
  <c r="CA176" i="122"/>
  <c r="BA127" i="122"/>
  <c r="D173" i="122"/>
  <c r="D57" i="123" s="1"/>
  <c r="AK214" i="122"/>
  <c r="BI214" i="122" s="1"/>
  <c r="CG214" i="122" s="1"/>
  <c r="AK216" i="122"/>
  <c r="BZ69" i="122"/>
  <c r="H222" i="122"/>
  <c r="T222" i="122"/>
  <c r="AD222" i="122"/>
  <c r="BP222" i="122"/>
  <c r="L209" i="122"/>
  <c r="L162" i="122"/>
  <c r="X46" i="123" s="1"/>
  <c r="AA209" i="122"/>
  <c r="AA162" i="122"/>
  <c r="BK46" i="123" s="1"/>
  <c r="BC209" i="122"/>
  <c r="BC162" i="122"/>
  <c r="BT209" i="122"/>
  <c r="BT162" i="122"/>
  <c r="EZ46" i="123" s="1"/>
  <c r="EY46" i="123" s="1"/>
  <c r="CA209" i="122"/>
  <c r="CA162" i="122"/>
  <c r="AK211" i="122"/>
  <c r="AN211" i="122" s="1"/>
  <c r="AD106" i="122"/>
  <c r="AX106" i="122"/>
  <c r="I164" i="122"/>
  <c r="O48" i="123" s="1"/>
  <c r="N48" i="123" s="1"/>
  <c r="H111" i="122"/>
  <c r="H164" i="122" s="1"/>
  <c r="I168" i="122"/>
  <c r="O52" i="123" s="1"/>
  <c r="H115" i="122"/>
  <c r="H168" i="122" s="1"/>
  <c r="D175" i="122"/>
  <c r="D59" i="123" s="1"/>
  <c r="S122" i="122"/>
  <c r="AC122" i="122"/>
  <c r="AD175" i="122"/>
  <c r="AR180" i="122"/>
  <c r="BY181" i="122"/>
  <c r="N182" i="122"/>
  <c r="AC182" i="122"/>
  <c r="N183" i="122"/>
  <c r="T180" i="122"/>
  <c r="CQ8" i="121"/>
  <c r="AJ9" i="121"/>
  <c r="EO9" i="121"/>
  <c r="EM9" i="121" s="1"/>
  <c r="BI9" i="121"/>
  <c r="M9" i="121"/>
  <c r="EX9" i="121"/>
  <c r="EV9" i="121" s="1"/>
  <c r="CP9" i="121"/>
  <c r="V9" i="121"/>
  <c r="FG9" i="121"/>
  <c r="FE9" i="121" s="1"/>
  <c r="CY9" i="121"/>
  <c r="AQ9" i="121"/>
  <c r="EZ11" i="121"/>
  <c r="CU77" i="121"/>
  <c r="CU42" i="121"/>
  <c r="AK8" i="121"/>
  <c r="AR8" i="121"/>
  <c r="CJ9" i="121"/>
  <c r="DB10" i="121"/>
  <c r="FJ10" i="121"/>
  <c r="AT10" i="121"/>
  <c r="BU9" i="121"/>
  <c r="DV15" i="121"/>
  <c r="EZ39" i="121"/>
  <c r="EO23" i="121"/>
  <c r="EX23" i="121"/>
  <c r="CP23" i="121"/>
  <c r="FG23" i="121"/>
  <c r="CY23" i="121"/>
  <c r="AQ23" i="121"/>
  <c r="BS32" i="121"/>
  <c r="CT43" i="121"/>
  <c r="EP43" i="121"/>
  <c r="FQ33" i="121"/>
  <c r="FD43" i="121"/>
  <c r="CS10" i="121"/>
  <c r="DA10" i="121"/>
  <c r="FI10" i="121"/>
  <c r="AS11" i="121"/>
  <c r="CS11" i="121"/>
  <c r="FI11" i="121"/>
  <c r="FH11" i="121" s="1"/>
  <c r="O39" i="121"/>
  <c r="O41" i="121"/>
  <c r="AQ15" i="121"/>
  <c r="AV39" i="121"/>
  <c r="AV41" i="121"/>
  <c r="BU15" i="121"/>
  <c r="CG15" i="121" s="1"/>
  <c r="EF15" i="121" s="1"/>
  <c r="CY15" i="121"/>
  <c r="FG15" i="121"/>
  <c r="FL39" i="121"/>
  <c r="FL41" i="121"/>
  <c r="FU15" i="121"/>
  <c r="FU41" i="121" s="1"/>
  <c r="AK17" i="121"/>
  <c r="AK43" i="121" s="1"/>
  <c r="BX17" i="121"/>
  <c r="DW17" i="121"/>
  <c r="FV17" i="121"/>
  <c r="AT22" i="121"/>
  <c r="AT14" i="121" s="1"/>
  <c r="V23" i="121"/>
  <c r="AJ23" i="121"/>
  <c r="EF29" i="121"/>
  <c r="Z43" i="121"/>
  <c r="BD43" i="121"/>
  <c r="ES43" i="121"/>
  <c r="FK43" i="121"/>
  <c r="FY34" i="121"/>
  <c r="EF36" i="121"/>
  <c r="GE36" i="121" s="1"/>
  <c r="AK37" i="121"/>
  <c r="DD39" i="121"/>
  <c r="EQ39" i="121"/>
  <c r="R41" i="121"/>
  <c r="AT43" i="121"/>
  <c r="DN43" i="121"/>
  <c r="AI55" i="121"/>
  <c r="I41" i="121"/>
  <c r="DM39" i="121"/>
  <c r="DM41" i="121"/>
  <c r="DT23" i="121"/>
  <c r="FS50" i="121"/>
  <c r="EY50" i="121"/>
  <c r="FR8" i="121"/>
  <c r="FR9" i="121"/>
  <c r="FZ9" i="121"/>
  <c r="F11" i="121"/>
  <c r="E11" i="121" s="1"/>
  <c r="DN77" i="121"/>
  <c r="V15" i="121"/>
  <c r="AA39" i="121"/>
  <c r="AA41" i="121"/>
  <c r="AJ15" i="121"/>
  <c r="AJ39" i="121"/>
  <c r="CH15" i="121"/>
  <c r="CP15" i="121"/>
  <c r="CU39" i="121"/>
  <c r="CU41" i="121"/>
  <c r="EX15" i="121"/>
  <c r="FZ15" i="121"/>
  <c r="DT17" i="121"/>
  <c r="FS17" i="121"/>
  <c r="O22" i="121"/>
  <c r="O42" i="121" s="1"/>
  <c r="M23" i="121"/>
  <c r="BT24" i="121"/>
  <c r="FR24" i="121"/>
  <c r="FZ24" i="121"/>
  <c r="FG24" i="121"/>
  <c r="EO24" i="121"/>
  <c r="CY24" i="121"/>
  <c r="CW24" i="121" s="1"/>
  <c r="BI24" i="121"/>
  <c r="BI22" i="121" s="1"/>
  <c r="AQ24" i="121"/>
  <c r="AQ22" i="121" s="1"/>
  <c r="M24" i="121"/>
  <c r="K24" i="121" s="1"/>
  <c r="BS29" i="121"/>
  <c r="CA29" i="121"/>
  <c r="DR29" i="121"/>
  <c r="DZ29" i="121"/>
  <c r="FY29" i="121"/>
  <c r="N43" i="121"/>
  <c r="AR43" i="121"/>
  <c r="BS33" i="121"/>
  <c r="CE33" i="121" s="1"/>
  <c r="DC43" i="121"/>
  <c r="EY43" i="121"/>
  <c r="BS36" i="121"/>
  <c r="CE36" i="121" s="1"/>
  <c r="CA36" i="121"/>
  <c r="FY36" i="121"/>
  <c r="CQ37" i="121"/>
  <c r="BE39" i="121"/>
  <c r="DJ39" i="121"/>
  <c r="X41" i="121"/>
  <c r="AB43" i="121"/>
  <c r="CV43" i="121"/>
  <c r="E43" i="121"/>
  <c r="AF33" i="121"/>
  <c r="DL43" i="121"/>
  <c r="AF35" i="121"/>
  <c r="DW37" i="121"/>
  <c r="M15" i="121"/>
  <c r="K15" i="121" s="1"/>
  <c r="AG15" i="121"/>
  <c r="AG41" i="121" s="1"/>
  <c r="BI15" i="121"/>
  <c r="BN39" i="121"/>
  <c r="BN41" i="121"/>
  <c r="BW15" i="121"/>
  <c r="CI15" i="121" s="1"/>
  <c r="DA39" i="121"/>
  <c r="DA41" i="121"/>
  <c r="ET39" i="121"/>
  <c r="ET41" i="121"/>
  <c r="R77" i="121"/>
  <c r="AE17" i="121"/>
  <c r="BR17" i="121"/>
  <c r="CA17" i="121" s="1"/>
  <c r="FP17" i="121"/>
  <c r="EZ22" i="121"/>
  <c r="GB22" i="121"/>
  <c r="GB14" i="121" s="1"/>
  <c r="D23" i="121"/>
  <c r="B23" i="121" s="1"/>
  <c r="AZ23" i="121"/>
  <c r="AX23" i="121" s="1"/>
  <c r="BT23" i="121"/>
  <c r="BS23" i="121" s="1"/>
  <c r="DS23" i="121"/>
  <c r="FZ23" i="121"/>
  <c r="DU39" i="121"/>
  <c r="AI41" i="121"/>
  <c r="BS31" i="121"/>
  <c r="CA31" i="121"/>
  <c r="FY31" i="121"/>
  <c r="AF32" i="121"/>
  <c r="Q43" i="121"/>
  <c r="AU43" i="121"/>
  <c r="BM43" i="121"/>
  <c r="CQ43" i="121"/>
  <c r="DI43" i="121"/>
  <c r="FB43" i="121"/>
  <c r="BK39" i="121"/>
  <c r="FC39" i="121"/>
  <c r="F41" i="121"/>
  <c r="AH50" i="121"/>
  <c r="N50" i="121"/>
  <c r="AF50" i="121" s="1"/>
  <c r="AG50" i="121"/>
  <c r="CQ50" i="121"/>
  <c r="DR50" i="121" s="1"/>
  <c r="DT50" i="121"/>
  <c r="EP50" i="121"/>
  <c r="FR50" i="121"/>
  <c r="EW23" i="121"/>
  <c r="AN29" i="121"/>
  <c r="AN31" i="121"/>
  <c r="AN32" i="121"/>
  <c r="CI32" i="121"/>
  <c r="FU34" i="121"/>
  <c r="AN35" i="121"/>
  <c r="AN36" i="121"/>
  <c r="AS37" i="121"/>
  <c r="U201" i="120"/>
  <c r="AS53" i="121" s="1"/>
  <c r="AR53" i="121" s="1"/>
  <c r="U215" i="120"/>
  <c r="AS67" i="121" s="1"/>
  <c r="AR67" i="121" s="1"/>
  <c r="DA37" i="121"/>
  <c r="CZ37" i="121" s="1"/>
  <c r="I42" i="121"/>
  <c r="AA42" i="121"/>
  <c r="AR50" i="121"/>
  <c r="DU55" i="121"/>
  <c r="DF23" i="121"/>
  <c r="EN23" i="121"/>
  <c r="EM23" i="121" s="1"/>
  <c r="DF24" i="121"/>
  <c r="CF29" i="121"/>
  <c r="CF31" i="121"/>
  <c r="CJ33" i="121"/>
  <c r="EI33" i="121" s="1"/>
  <c r="N34" i="121"/>
  <c r="AR34" i="121"/>
  <c r="BT34" i="121"/>
  <c r="EP34" i="121"/>
  <c r="F37" i="121"/>
  <c r="E37" i="121" s="1"/>
  <c r="DJ37" i="121"/>
  <c r="DN38" i="121"/>
  <c r="FC42" i="121"/>
  <c r="DV34" i="121"/>
  <c r="BU65" i="121"/>
  <c r="EY58" i="121"/>
  <c r="DS64" i="121"/>
  <c r="CQ64" i="121"/>
  <c r="AR71" i="121"/>
  <c r="AR59" i="121"/>
  <c r="AR62" i="121"/>
  <c r="CQ62" i="121"/>
  <c r="EP62" i="121"/>
  <c r="AR63" i="121"/>
  <c r="CQ63" i="121"/>
  <c r="DR63" i="121" s="1"/>
  <c r="EP63" i="121"/>
  <c r="AR64" i="121"/>
  <c r="EP61" i="121"/>
  <c r="BJ65" i="121"/>
  <c r="DT65" i="121"/>
  <c r="CJ66" i="121"/>
  <c r="EY69" i="121"/>
  <c r="CE79" i="121"/>
  <c r="EY64" i="121"/>
  <c r="BA65" i="121"/>
  <c r="W70" i="121"/>
  <c r="AJ66" i="121"/>
  <c r="CI66" i="121" s="1"/>
  <c r="EH66" i="121" s="1"/>
  <c r="GG66" i="121" s="1"/>
  <c r="BW66" i="121"/>
  <c r="DV66" i="121"/>
  <c r="FU66" i="121"/>
  <c r="EP64" i="121"/>
  <c r="AR65" i="121"/>
  <c r="AR68" i="121"/>
  <c r="AR69" i="121"/>
  <c r="AR70" i="121"/>
  <c r="M75" i="121"/>
  <c r="V75" i="121" s="1"/>
  <c r="AE75" i="121" s="1"/>
  <c r="U80" i="121"/>
  <c r="AD80" i="121" s="1"/>
  <c r="M65" i="125" s="1"/>
  <c r="K80" i="121"/>
  <c r="AR73" i="121"/>
  <c r="AR74" i="121"/>
  <c r="AR75" i="121"/>
  <c r="CQ75" i="121"/>
  <c r="EP75" i="121"/>
  <c r="GD80" i="121"/>
  <c r="DR79" i="121"/>
  <c r="CG80" i="121"/>
  <c r="BR80" i="121"/>
  <c r="B80" i="121"/>
  <c r="FE86" i="121"/>
  <c r="FN86" i="121" s="1"/>
  <c r="K88" i="121"/>
  <c r="T88" i="121" s="1"/>
  <c r="AO88" i="121" s="1"/>
  <c r="AX88" i="121" s="1"/>
  <c r="BG88" i="121" s="1"/>
  <c r="BP175" i="120"/>
  <c r="AK176" i="120"/>
  <c r="BI9" i="120"/>
  <c r="CG9" i="120" s="1"/>
  <c r="G178" i="120"/>
  <c r="AY178" i="120"/>
  <c r="BN184" i="120"/>
  <c r="CC189" i="120"/>
  <c r="AE191" i="120"/>
  <c r="AK24" i="120"/>
  <c r="AE22" i="120"/>
  <c r="AE189" i="120" s="1"/>
  <c r="N31" i="120"/>
  <c r="AC31" i="120"/>
  <c r="BA33" i="120"/>
  <c r="E176" i="120"/>
  <c r="E10" i="120"/>
  <c r="W176" i="120"/>
  <c r="AE176" i="120"/>
  <c r="AE10" i="120"/>
  <c r="AU176" i="120"/>
  <c r="AU10" i="120"/>
  <c r="BC176" i="120"/>
  <c r="BC10" i="120"/>
  <c r="BS176" i="120"/>
  <c r="BS10" i="120"/>
  <c r="CA176" i="120"/>
  <c r="CA10" i="120"/>
  <c r="CA11" i="120"/>
  <c r="CA178" i="120" s="1"/>
  <c r="BR159" i="120"/>
  <c r="BR12" i="120"/>
  <c r="BR13" i="120" s="1"/>
  <c r="AE182" i="120"/>
  <c r="AK15" i="120"/>
  <c r="BI15" i="120" s="1"/>
  <c r="M189" i="120"/>
  <c r="AW189" i="120"/>
  <c r="BP22" i="120"/>
  <c r="BP189" i="120" s="1"/>
  <c r="AJ23" i="120"/>
  <c r="AP190" i="120"/>
  <c r="CD190" i="120"/>
  <c r="CB23" i="120"/>
  <c r="AD28" i="125" s="1"/>
  <c r="AQ23" i="120"/>
  <c r="AQ190" i="120" s="1"/>
  <c r="CD22" i="120"/>
  <c r="BO23" i="120"/>
  <c r="AC28" i="125" s="1"/>
  <c r="S23" i="120"/>
  <c r="Q28" i="125" s="1"/>
  <c r="D23" i="120"/>
  <c r="AH23" i="120" s="1"/>
  <c r="BF23" i="120" s="1"/>
  <c r="N30" i="120"/>
  <c r="BY31" i="120"/>
  <c r="S33" i="120"/>
  <c r="N35" i="120"/>
  <c r="P36" i="120"/>
  <c r="AX202" i="120"/>
  <c r="AX36" i="120"/>
  <c r="O205" i="120"/>
  <c r="BC238" i="120"/>
  <c r="BA38" i="120"/>
  <c r="AE240" i="120"/>
  <c r="P242" i="120"/>
  <c r="N42" i="120"/>
  <c r="AJ42" i="120"/>
  <c r="BZ242" i="120"/>
  <c r="BY42" i="120"/>
  <c r="T10" i="120"/>
  <c r="CA191" i="120"/>
  <c r="BY24" i="120"/>
  <c r="BY191" i="120" s="1"/>
  <c r="CA22" i="120"/>
  <c r="CA189" i="120" s="1"/>
  <c r="N34" i="120"/>
  <c r="BZ206" i="120"/>
  <c r="BY39" i="120"/>
  <c r="CC176" i="120"/>
  <c r="AP9" i="120"/>
  <c r="V14" i="125"/>
  <c r="CB9" i="120"/>
  <c r="CB176" i="120" s="1"/>
  <c r="AD14" i="125"/>
  <c r="BN9" i="120"/>
  <c r="AB14" i="125"/>
  <c r="R9" i="120"/>
  <c r="P14" i="125"/>
  <c r="Z10" i="120"/>
  <c r="H22" i="120"/>
  <c r="H189" i="120" s="1"/>
  <c r="AS189" i="120"/>
  <c r="AR22" i="120"/>
  <c r="AR189" i="120" s="1"/>
  <c r="R32" i="120"/>
  <c r="B32" i="120"/>
  <c r="BZ36" i="120"/>
  <c r="E238" i="120"/>
  <c r="CA240" i="120"/>
  <c r="BY40" i="120"/>
  <c r="BZ175" i="120"/>
  <c r="BY8" i="120"/>
  <c r="BY175" i="120" s="1"/>
  <c r="C9" i="120"/>
  <c r="M14" i="125" s="1"/>
  <c r="K176" i="120"/>
  <c r="BY9" i="120"/>
  <c r="BY176" i="120" s="1"/>
  <c r="CA182" i="120"/>
  <c r="R184" i="120"/>
  <c r="AE198" i="120"/>
  <c r="AK32" i="120"/>
  <c r="AC32" i="120"/>
  <c r="AI32" i="120" s="1"/>
  <c r="AL32" i="120" s="1"/>
  <c r="E36" i="120"/>
  <c r="T202" i="120"/>
  <c r="T36" i="120"/>
  <c r="BP206" i="120"/>
  <c r="AQ182" i="120"/>
  <c r="D184" i="120"/>
  <c r="T22" i="120"/>
  <c r="T189" i="120" s="1"/>
  <c r="P190" i="120"/>
  <c r="N23" i="120"/>
  <c r="N190" i="120" s="1"/>
  <c r="AK23" i="120"/>
  <c r="BI23" i="120" s="1"/>
  <c r="P22" i="120"/>
  <c r="N41" i="120"/>
  <c r="BC241" i="120"/>
  <c r="AP15" i="120"/>
  <c r="V20" i="125" s="1"/>
  <c r="C17" i="120"/>
  <c r="AQ17" i="120"/>
  <c r="AQ184" i="120" s="1"/>
  <c r="AP24" i="120"/>
  <c r="V29" i="125" s="1"/>
  <c r="AK31" i="120"/>
  <c r="BC202" i="120"/>
  <c r="BB36" i="120"/>
  <c r="Z238" i="120"/>
  <c r="BV238" i="120"/>
  <c r="BV205" i="120"/>
  <c r="O239" i="120"/>
  <c r="O206" i="120"/>
  <c r="BC239" i="120"/>
  <c r="BC206" i="120"/>
  <c r="AJ41" i="120"/>
  <c r="BA43" i="120"/>
  <c r="N44" i="120"/>
  <c r="AJ44" i="120"/>
  <c r="AE46" i="120"/>
  <c r="CA46" i="120"/>
  <c r="AC48" i="120"/>
  <c r="AK48" i="120"/>
  <c r="AE50" i="120"/>
  <c r="AC50" i="120" s="1"/>
  <c r="AC52" i="120"/>
  <c r="AK52" i="120"/>
  <c r="CA200" i="120"/>
  <c r="BY55" i="120"/>
  <c r="BY200" i="120" s="1"/>
  <c r="I199" i="120"/>
  <c r="O51" i="121" s="1"/>
  <c r="N51" i="121" s="1"/>
  <c r="H58" i="120"/>
  <c r="H199" i="120" s="1"/>
  <c r="T59" i="120"/>
  <c r="AD59" i="120"/>
  <c r="AC59" i="120" s="1"/>
  <c r="A129" i="120"/>
  <c r="A105" i="120"/>
  <c r="CA65" i="120"/>
  <c r="S66" i="120"/>
  <c r="AH66" i="120" s="1"/>
  <c r="CB73" i="120"/>
  <c r="C73" i="120"/>
  <c r="B73" i="120" s="1"/>
  <c r="AC73" i="120"/>
  <c r="AV243" i="120"/>
  <c r="AU76" i="120"/>
  <c r="AU243" i="120" s="1"/>
  <c r="BI77" i="120"/>
  <c r="CG77" i="120" s="1"/>
  <c r="CG248" i="120" s="1"/>
  <c r="CJ248" i="120" s="1"/>
  <c r="CC248" i="120"/>
  <c r="CB77" i="120"/>
  <c r="CB248" i="120" s="1"/>
  <c r="C77" i="120"/>
  <c r="S58" i="120"/>
  <c r="AH58" i="120" s="1"/>
  <c r="AY199" i="120"/>
  <c r="DJ51" i="121" s="1"/>
  <c r="DI51" i="121" s="1"/>
  <c r="AX58" i="120"/>
  <c r="BB58" i="120"/>
  <c r="BA58" i="120" s="1"/>
  <c r="L201" i="120"/>
  <c r="K59" i="120"/>
  <c r="K201" i="120" s="1"/>
  <c r="BY59" i="120"/>
  <c r="BZ61" i="120"/>
  <c r="BC65" i="120"/>
  <c r="AY261" i="120"/>
  <c r="AX69" i="120"/>
  <c r="AY62" i="120"/>
  <c r="AX62" i="120" s="1"/>
  <c r="AQ79" i="120"/>
  <c r="H11" i="120"/>
  <c r="H178" i="120" s="1"/>
  <c r="BP11" i="120"/>
  <c r="BP178" i="120" s="1"/>
  <c r="AW12" i="120"/>
  <c r="N15" i="120"/>
  <c r="N182" i="120" s="1"/>
  <c r="R15" i="120"/>
  <c r="BN15" i="120"/>
  <c r="AB20" i="125" s="1"/>
  <c r="CB15" i="120"/>
  <c r="AD20" i="125" s="1"/>
  <c r="S17" i="120"/>
  <c r="Q22" i="125" s="1"/>
  <c r="BO17" i="120"/>
  <c r="BO184" i="120" s="1"/>
  <c r="BV22" i="120"/>
  <c r="BV189" i="120" s="1"/>
  <c r="N24" i="120"/>
  <c r="N191" i="120" s="1"/>
  <c r="R24" i="120"/>
  <c r="P29" i="125" s="1"/>
  <c r="BN24" i="120"/>
  <c r="CB24" i="120"/>
  <c r="N32" i="120"/>
  <c r="AJ32" i="120"/>
  <c r="CB32" i="120"/>
  <c r="AK33" i="120"/>
  <c r="H238" i="120"/>
  <c r="H205" i="120"/>
  <c r="T238" i="120"/>
  <c r="T205" i="120"/>
  <c r="BP205" i="120"/>
  <c r="BP238" i="120"/>
  <c r="K239" i="120"/>
  <c r="K206" i="120"/>
  <c r="W206" i="120"/>
  <c r="W239" i="120"/>
  <c r="CA239" i="120"/>
  <c r="CA206" i="120"/>
  <c r="N40" i="120"/>
  <c r="N240" i="120" s="1"/>
  <c r="AJ40" i="120"/>
  <c r="BA42" i="120"/>
  <c r="BA242" i="120" s="1"/>
  <c r="AK43" i="120"/>
  <c r="N45" i="120"/>
  <c r="AJ45" i="120"/>
  <c r="BA48" i="120"/>
  <c r="N49" i="120"/>
  <c r="AJ49" i="120"/>
  <c r="D200" i="120"/>
  <c r="D52" i="121" s="1"/>
  <c r="S55" i="120"/>
  <c r="AH55" i="120" s="1"/>
  <c r="AQ55" i="120" s="1"/>
  <c r="F201" i="120"/>
  <c r="F53" i="121" s="1"/>
  <c r="E59" i="120"/>
  <c r="O59" i="120"/>
  <c r="F61" i="120"/>
  <c r="E61" i="120" s="1"/>
  <c r="I202" i="120"/>
  <c r="I203" i="120" s="1"/>
  <c r="X202" i="120"/>
  <c r="X61" i="120"/>
  <c r="W61" i="120" s="1"/>
  <c r="W60" i="120"/>
  <c r="G261" i="120"/>
  <c r="G260" i="120" s="1"/>
  <c r="G270" i="120" s="1"/>
  <c r="G62" i="120"/>
  <c r="AK76" i="120"/>
  <c r="O248" i="120"/>
  <c r="BC248" i="120"/>
  <c r="BA77" i="120"/>
  <c r="BA248" i="120" s="1"/>
  <c r="C246" i="120"/>
  <c r="B78" i="120"/>
  <c r="R78" i="120"/>
  <c r="AG78" i="120" s="1"/>
  <c r="BX181" i="120"/>
  <c r="BX225" i="120" s="1"/>
  <c r="BX159" i="120"/>
  <c r="W238" i="120"/>
  <c r="AE238" i="120"/>
  <c r="AE205" i="120"/>
  <c r="CA205" i="120"/>
  <c r="Z206" i="120"/>
  <c r="AR239" i="120"/>
  <c r="AR206" i="120"/>
  <c r="BB239" i="120"/>
  <c r="BA44" i="120"/>
  <c r="BA245" i="120" s="1"/>
  <c r="AC45" i="120"/>
  <c r="AK45" i="120"/>
  <c r="BY45" i="120"/>
  <c r="AC49" i="120"/>
  <c r="AI49" i="120" s="1"/>
  <c r="AK49" i="120"/>
  <c r="AD50" i="120"/>
  <c r="BA51" i="120"/>
  <c r="N52" i="120"/>
  <c r="AI52" i="120" s="1"/>
  <c r="AA201" i="120"/>
  <c r="BK53" i="121" s="1"/>
  <c r="Z59" i="120"/>
  <c r="S60" i="120"/>
  <c r="D69" i="120"/>
  <c r="S72" i="120"/>
  <c r="AH72" i="120" s="1"/>
  <c r="AQ72" i="120" s="1"/>
  <c r="BY75" i="120"/>
  <c r="AE246" i="120"/>
  <c r="AK78" i="120"/>
  <c r="AC78" i="120"/>
  <c r="H250" i="120"/>
  <c r="H207" i="120"/>
  <c r="BB95" i="120"/>
  <c r="BA95" i="120" s="1"/>
  <c r="X250" i="120"/>
  <c r="X207" i="120"/>
  <c r="BB59" i="121" s="1"/>
  <c r="AU250" i="120"/>
  <c r="AU207" i="120"/>
  <c r="BI111" i="120"/>
  <c r="CG111" i="120" s="1"/>
  <c r="D65" i="120"/>
  <c r="AH80" i="120"/>
  <c r="AQ80" i="120" s="1"/>
  <c r="BB81" i="120"/>
  <c r="BA81" i="120" s="1"/>
  <c r="BA255" i="120" s="1"/>
  <c r="S86" i="120"/>
  <c r="R87" i="120"/>
  <c r="L261" i="120"/>
  <c r="L260" i="120" s="1"/>
  <c r="U261" i="120"/>
  <c r="U260" i="120" s="1"/>
  <c r="AK90" i="120"/>
  <c r="BT261" i="120"/>
  <c r="BT260" i="120" s="1"/>
  <c r="AS94" i="120"/>
  <c r="B95" i="120"/>
  <c r="AR95" i="120"/>
  <c r="AX95" i="120"/>
  <c r="AX266" i="120" s="1"/>
  <c r="BY95" i="120"/>
  <c r="AU96" i="120"/>
  <c r="BB96" i="120"/>
  <c r="BA96" i="120" s="1"/>
  <c r="T97" i="120"/>
  <c r="T267" i="120" s="1"/>
  <c r="AK97" i="120"/>
  <c r="O98" i="120"/>
  <c r="AC98" i="120"/>
  <c r="BB98" i="120"/>
  <c r="AR100" i="120"/>
  <c r="AR199" i="120" s="1"/>
  <c r="BS100" i="120"/>
  <c r="N102" i="120"/>
  <c r="N109" i="120"/>
  <c r="BV250" i="120"/>
  <c r="BV207" i="120"/>
  <c r="BI125" i="120"/>
  <c r="BZ58" i="120"/>
  <c r="S59" i="120"/>
  <c r="AH59" i="120" s="1"/>
  <c r="BB59" i="120"/>
  <c r="BA59" i="120" s="1"/>
  <c r="U203" i="120"/>
  <c r="AR60" i="120"/>
  <c r="AR202" i="120" s="1"/>
  <c r="AA61" i="120"/>
  <c r="Z61" i="120" s="1"/>
  <c r="AE61" i="120"/>
  <c r="S63" i="120"/>
  <c r="X71" i="120"/>
  <c r="BT71" i="120"/>
  <c r="S75" i="120"/>
  <c r="AH75" i="120" s="1"/>
  <c r="S78" i="120"/>
  <c r="S246" i="120" s="1"/>
  <c r="BY78" i="120"/>
  <c r="R79" i="120"/>
  <c r="AJ79" i="120"/>
  <c r="BH79" i="120" s="1"/>
  <c r="C80" i="120"/>
  <c r="BA80" i="120"/>
  <c r="BA247" i="120" s="1"/>
  <c r="R81" i="120"/>
  <c r="N82" i="120"/>
  <c r="R82" i="120"/>
  <c r="AJ82" i="120"/>
  <c r="BH82" i="120" s="1"/>
  <c r="C83" i="120"/>
  <c r="B83" i="120" s="1"/>
  <c r="O83" i="120"/>
  <c r="O257" i="120" s="1"/>
  <c r="AD83" i="120"/>
  <c r="N84" i="120"/>
  <c r="N258" i="120" s="1"/>
  <c r="R84" i="120"/>
  <c r="AG84" i="120" s="1"/>
  <c r="AG258" i="120" s="1"/>
  <c r="BI85" i="120"/>
  <c r="S87" i="120"/>
  <c r="AH87" i="120" s="1"/>
  <c r="AQ87" i="120" s="1"/>
  <c r="BO87" i="120" s="1"/>
  <c r="R88" i="120"/>
  <c r="F89" i="120"/>
  <c r="AD90" i="120"/>
  <c r="AC90" i="120" s="1"/>
  <c r="R92" i="120"/>
  <c r="Q92" i="120" s="1"/>
  <c r="BI93" i="120"/>
  <c r="CG93" i="120" s="1"/>
  <c r="CJ93" i="120" s="1"/>
  <c r="F94" i="120"/>
  <c r="O94" i="120" s="1"/>
  <c r="N94" i="120" s="1"/>
  <c r="AD97" i="120"/>
  <c r="AH97" i="120"/>
  <c r="AQ97" i="120" s="1"/>
  <c r="AH98" i="120"/>
  <c r="BY98" i="120"/>
  <c r="BB100" i="120"/>
  <c r="BA100" i="120" s="1"/>
  <c r="AJ101" i="120"/>
  <c r="BH101" i="120" s="1"/>
  <c r="AC102" i="120"/>
  <c r="BY102" i="120"/>
  <c r="BA104" i="120"/>
  <c r="AC107" i="120"/>
  <c r="I250" i="120"/>
  <c r="I207" i="120"/>
  <c r="O59" i="121" s="1"/>
  <c r="N59" i="121" s="1"/>
  <c r="O110" i="120"/>
  <c r="AY250" i="120"/>
  <c r="AY207" i="120"/>
  <c r="DJ59" i="121" s="1"/>
  <c r="AX110" i="120"/>
  <c r="AX250" i="120" s="1"/>
  <c r="BP250" i="120"/>
  <c r="BP207" i="120"/>
  <c r="C58" i="120"/>
  <c r="L61" i="120"/>
  <c r="AV61" i="120"/>
  <c r="AU61" i="120" s="1"/>
  <c r="O76" i="120"/>
  <c r="AD76" i="120"/>
  <c r="AJ77" i="120"/>
  <c r="AJ248" i="120" s="1"/>
  <c r="N80" i="120"/>
  <c r="N247" i="120" s="1"/>
  <c r="AJ80" i="120"/>
  <c r="AJ247" i="120" s="1"/>
  <c r="CB80" i="120"/>
  <c r="CB247" i="120" s="1"/>
  <c r="B81" i="120"/>
  <c r="B255" i="120" s="1"/>
  <c r="O81" i="120"/>
  <c r="S81" i="120"/>
  <c r="AC82" i="120"/>
  <c r="AK82" i="120"/>
  <c r="BY82" i="120"/>
  <c r="K83" i="120"/>
  <c r="K257" i="120" s="1"/>
  <c r="T83" i="120"/>
  <c r="T257" i="120" s="1"/>
  <c r="Z83" i="120"/>
  <c r="Z257" i="120" s="1"/>
  <c r="S84" i="120"/>
  <c r="AK84" i="120"/>
  <c r="AK258" i="120" s="1"/>
  <c r="BY84" i="120"/>
  <c r="N85" i="120"/>
  <c r="N259" i="120" s="1"/>
  <c r="R85" i="120"/>
  <c r="R259" i="120" s="1"/>
  <c r="AJ85" i="120"/>
  <c r="BA86" i="120"/>
  <c r="BA244" i="120" s="1"/>
  <c r="S88" i="120"/>
  <c r="S90" i="120"/>
  <c r="AH90" i="120" s="1"/>
  <c r="AN90" i="120" s="1"/>
  <c r="BA90" i="120"/>
  <c r="C94" i="120"/>
  <c r="AY94" i="120"/>
  <c r="AD95" i="120"/>
  <c r="AJ95" i="120" s="1"/>
  <c r="AU95" i="120"/>
  <c r="B96" i="120"/>
  <c r="AR96" i="120"/>
  <c r="AR268" i="120" s="1"/>
  <c r="N97" i="120"/>
  <c r="R97" i="120"/>
  <c r="BA97" i="120"/>
  <c r="BS97" i="120"/>
  <c r="BS267" i="120" s="1"/>
  <c r="BZ97" i="120"/>
  <c r="E98" i="120"/>
  <c r="BY108" i="120"/>
  <c r="W110" i="120"/>
  <c r="W250" i="120" s="1"/>
  <c r="AD110" i="120"/>
  <c r="AD207" i="120" s="1"/>
  <c r="AS250" i="120"/>
  <c r="AS207" i="120"/>
  <c r="CR59" i="121" s="1"/>
  <c r="BB110" i="120"/>
  <c r="BB207" i="120" s="1"/>
  <c r="AR110" i="120"/>
  <c r="AR250" i="120" s="1"/>
  <c r="CG128" i="120"/>
  <c r="F250" i="120"/>
  <c r="F207" i="120"/>
  <c r="F59" i="121" s="1"/>
  <c r="L250" i="120"/>
  <c r="L207" i="120"/>
  <c r="X59" i="121" s="1"/>
  <c r="W59" i="121" s="1"/>
  <c r="U250" i="120"/>
  <c r="AA250" i="120"/>
  <c r="AA207" i="120"/>
  <c r="BK59" i="121" s="1"/>
  <c r="BJ59" i="121" s="1"/>
  <c r="BC250" i="120"/>
  <c r="BC207" i="120"/>
  <c r="BT250" i="120"/>
  <c r="BT207" i="120"/>
  <c r="EZ59" i="121" s="1"/>
  <c r="EY59" i="121" s="1"/>
  <c r="CA250" i="120"/>
  <c r="CA207" i="120"/>
  <c r="BY111" i="120"/>
  <c r="AD252" i="120"/>
  <c r="BZ253" i="120"/>
  <c r="AC116" i="120"/>
  <c r="AI116" i="120" s="1"/>
  <c r="BY118" i="120"/>
  <c r="T119" i="120"/>
  <c r="AC120" i="120"/>
  <c r="AR129" i="120"/>
  <c r="AK132" i="120"/>
  <c r="BI132" i="120" s="1"/>
  <c r="AK134" i="120"/>
  <c r="AK135" i="120"/>
  <c r="N136" i="120"/>
  <c r="BC137" i="120"/>
  <c r="O139" i="120"/>
  <c r="BP139" i="120"/>
  <c r="BZ139" i="120"/>
  <c r="AJ141" i="120"/>
  <c r="N141" i="120"/>
  <c r="BY141" i="120"/>
  <c r="G209" i="120"/>
  <c r="G61" i="121" s="1"/>
  <c r="P143" i="120"/>
  <c r="P209" i="120" s="1"/>
  <c r="P216" i="120"/>
  <c r="AD216" i="120"/>
  <c r="AC150" i="120"/>
  <c r="AC216" i="120" s="1"/>
  <c r="AJ150" i="120"/>
  <c r="AJ216" i="120" s="1"/>
  <c r="P218" i="120"/>
  <c r="N152" i="120"/>
  <c r="N218" i="120"/>
  <c r="AD218" i="120"/>
  <c r="AC152" i="120"/>
  <c r="AC218" i="120" s="1"/>
  <c r="AJ152" i="120"/>
  <c r="BZ218" i="120"/>
  <c r="AH157" i="120"/>
  <c r="K112" i="120"/>
  <c r="K251" i="120" s="1"/>
  <c r="AE252" i="120"/>
  <c r="BZ252" i="120"/>
  <c r="BB253" i="120"/>
  <c r="BA114" i="120"/>
  <c r="BA253" i="120" s="1"/>
  <c r="AJ122" i="120"/>
  <c r="BA124" i="120"/>
  <c r="BC129" i="120"/>
  <c r="BY135" i="120"/>
  <c r="P137" i="120"/>
  <c r="AK137" i="120" s="1"/>
  <c r="BI137" i="120" s="1"/>
  <c r="AJ142" i="120"/>
  <c r="AA209" i="120"/>
  <c r="BK61" i="121" s="1"/>
  <c r="Z143" i="120"/>
  <c r="Z209" i="120" s="1"/>
  <c r="BB210" i="120"/>
  <c r="BA144" i="120"/>
  <c r="BA210" i="120" s="1"/>
  <c r="AK147" i="120"/>
  <c r="AK213" i="120" s="1"/>
  <c r="AC147" i="120"/>
  <c r="AC213" i="120" s="1"/>
  <c r="T149" i="120"/>
  <c r="T215" i="120" s="1"/>
  <c r="BP149" i="120"/>
  <c r="BP215" i="120" s="1"/>
  <c r="CA219" i="120"/>
  <c r="AK220" i="120"/>
  <c r="BQ250" i="120"/>
  <c r="BQ207" i="120"/>
  <c r="EQ59" i="121" s="1"/>
  <c r="F251" i="120"/>
  <c r="O112" i="120"/>
  <c r="O251" i="120" s="1"/>
  <c r="BZ251" i="120"/>
  <c r="AK121" i="120"/>
  <c r="AD126" i="120"/>
  <c r="P129" i="120"/>
  <c r="BR123" i="120"/>
  <c r="AJ131" i="120"/>
  <c r="BI131" i="120"/>
  <c r="CG131" i="120" s="1"/>
  <c r="AJ133" i="120"/>
  <c r="BH133" i="120" s="1"/>
  <c r="N133" i="120"/>
  <c r="AD139" i="120"/>
  <c r="AJ140" i="120"/>
  <c r="BH140" i="120" s="1"/>
  <c r="P212" i="120"/>
  <c r="N146" i="120"/>
  <c r="N212" i="120" s="1"/>
  <c r="CA213" i="120"/>
  <c r="BY147" i="120"/>
  <c r="BY213" i="120" s="1"/>
  <c r="BB214" i="120"/>
  <c r="BA148" i="120"/>
  <c r="BA214" i="120" s="1"/>
  <c r="AE221" i="120"/>
  <c r="E250" i="120"/>
  <c r="E207" i="120"/>
  <c r="K250" i="120"/>
  <c r="K207" i="120"/>
  <c r="P250" i="120"/>
  <c r="P207" i="120"/>
  <c r="T110" i="120"/>
  <c r="Z110" i="120"/>
  <c r="Z250" i="120" s="1"/>
  <c r="AE250" i="120"/>
  <c r="AE207" i="120"/>
  <c r="AV250" i="120"/>
  <c r="AV207" i="120"/>
  <c r="DA59" i="121" s="1"/>
  <c r="CZ59" i="121" s="1"/>
  <c r="BS110" i="120"/>
  <c r="BS207" i="120" s="1"/>
  <c r="BZ110" i="120"/>
  <c r="BY110" i="120" s="1"/>
  <c r="BY250" i="120" s="1"/>
  <c r="AK112" i="120"/>
  <c r="BA112" i="120"/>
  <c r="BA251" i="120" s="1"/>
  <c r="BY114" i="120"/>
  <c r="BY253" i="120" s="1"/>
  <c r="BY115" i="120"/>
  <c r="BA116" i="120"/>
  <c r="BP129" i="120"/>
  <c r="BY132" i="120"/>
  <c r="AJ135" i="120"/>
  <c r="BH135" i="120" s="1"/>
  <c r="AJ136" i="120"/>
  <c r="T137" i="120"/>
  <c r="AK138" i="120"/>
  <c r="BI138" i="120" s="1"/>
  <c r="BW209" i="120"/>
  <c r="FI61" i="121" s="1"/>
  <c r="BV143" i="120"/>
  <c r="BV209" i="120" s="1"/>
  <c r="O211" i="120"/>
  <c r="N145" i="120"/>
  <c r="N211" i="120" s="1"/>
  <c r="BC211" i="120"/>
  <c r="AD212" i="120"/>
  <c r="AC146" i="120"/>
  <c r="AJ146" i="120"/>
  <c r="BZ212" i="120"/>
  <c r="BY146" i="120"/>
  <c r="BY212" i="120" s="1"/>
  <c r="D214" i="120"/>
  <c r="D66" i="121" s="1"/>
  <c r="M66" i="121" s="1"/>
  <c r="V66" i="121" s="1"/>
  <c r="S148" i="120"/>
  <c r="M215" i="120"/>
  <c r="Y67" i="121"/>
  <c r="BB217" i="120"/>
  <c r="O220" i="120"/>
  <c r="N154" i="120"/>
  <c r="N220" i="120"/>
  <c r="BZ223" i="120"/>
  <c r="BY157" i="120"/>
  <c r="H143" i="120"/>
  <c r="H209" i="120" s="1"/>
  <c r="T143" i="120"/>
  <c r="T209" i="120" s="1"/>
  <c r="AR143" i="120"/>
  <c r="AR209" i="120" s="1"/>
  <c r="BP143" i="120"/>
  <c r="BP209" i="120" s="1"/>
  <c r="AC144" i="120"/>
  <c r="AK144" i="120"/>
  <c r="AK210" i="120" s="1"/>
  <c r="BY144" i="120"/>
  <c r="BY210" i="120" s="1"/>
  <c r="BA146" i="120"/>
  <c r="BA212" i="120" s="1"/>
  <c r="N147" i="120"/>
  <c r="N213" i="120"/>
  <c r="AJ147" i="120"/>
  <c r="AK148" i="120"/>
  <c r="AK214" i="120" s="1"/>
  <c r="BY148" i="120"/>
  <c r="AK151" i="120"/>
  <c r="AK217" i="120" s="1"/>
  <c r="AD223" i="120"/>
  <c r="CB161" i="120"/>
  <c r="G177" i="120"/>
  <c r="BR177" i="120"/>
  <c r="BA156" i="120"/>
  <c r="BA222" i="120" s="1"/>
  <c r="AY177" i="120"/>
  <c r="BZ121" i="120"/>
  <c r="O138" i="120"/>
  <c r="N138" i="120" s="1"/>
  <c r="BZ143" i="120"/>
  <c r="BZ209" i="120" s="1"/>
  <c r="AJ145" i="120"/>
  <c r="AJ211" i="120" s="1"/>
  <c r="AK146" i="120"/>
  <c r="AK150" i="120"/>
  <c r="AK216" i="120" s="1"/>
  <c r="AK152" i="120"/>
  <c r="R156" i="120"/>
  <c r="R222" i="120" s="1"/>
  <c r="AP74" i="121" s="1"/>
  <c r="AY74" i="121" s="1"/>
  <c r="BH74" i="121" s="1"/>
  <c r="BR203" i="120"/>
  <c r="W227" i="120"/>
  <c r="CB228" i="120"/>
  <c r="AU227" i="120"/>
  <c r="E227" i="120"/>
  <c r="BM227" i="120"/>
  <c r="BA230" i="120"/>
  <c r="AC230" i="120"/>
  <c r="F265" i="120"/>
  <c r="CB182" i="120"/>
  <c r="B24" i="121"/>
  <c r="AC14" i="125"/>
  <c r="CB190" i="120"/>
  <c r="R17" i="126"/>
  <c r="Q23" i="120"/>
  <c r="AP22" i="120"/>
  <c r="CB22" i="120"/>
  <c r="CC11" i="123"/>
  <c r="T18" i="126" s="1"/>
  <c r="Q18" i="126"/>
  <c r="S176" i="120"/>
  <c r="Q14" i="125"/>
  <c r="AD24" i="121"/>
  <c r="AM24" i="121" s="1"/>
  <c r="AQ176" i="120"/>
  <c r="N20" i="125"/>
  <c r="R19" i="126"/>
  <c r="N227" i="120"/>
  <c r="AI230" i="120"/>
  <c r="CG24" i="121"/>
  <c r="EF24" i="121" s="1"/>
  <c r="BH78" i="120"/>
  <c r="CF78" i="120"/>
  <c r="CI78" i="120" s="1"/>
  <c r="AF24" i="121"/>
  <c r="AQ92" i="120"/>
  <c r="BF92" i="120" s="1"/>
  <c r="AS55" i="121"/>
  <c r="BI156" i="120"/>
  <c r="BI114" i="120"/>
  <c r="CG114" i="120" s="1"/>
  <c r="AH77" i="120"/>
  <c r="BO79" i="120"/>
  <c r="CN79" i="120" s="1"/>
  <c r="L203" i="120"/>
  <c r="X53" i="121"/>
  <c r="AG97" i="120"/>
  <c r="AP97" i="120" s="1"/>
  <c r="B246" i="120"/>
  <c r="BO54" i="120"/>
  <c r="CN54" i="120" s="1"/>
  <c r="Q79" i="120"/>
  <c r="AH32" i="120"/>
  <c r="AQ32" i="120" s="1"/>
  <c r="AH76" i="120"/>
  <c r="AN76" i="120" s="1"/>
  <c r="S200" i="120"/>
  <c r="AQ52" i="121" s="1"/>
  <c r="S223" i="120"/>
  <c r="AQ75" i="121" s="1"/>
  <c r="AH91" i="120"/>
  <c r="AQ91" i="120" s="1"/>
  <c r="BF91" i="120" s="1"/>
  <c r="AH73" i="120"/>
  <c r="AQ73" i="120" s="1"/>
  <c r="BO73" i="120" s="1"/>
  <c r="AH68" i="120"/>
  <c r="B222" i="120"/>
  <c r="FJ77" i="121"/>
  <c r="B258" i="120"/>
  <c r="AF60" i="123"/>
  <c r="EI66" i="121"/>
  <c r="GH66" i="121" s="1"/>
  <c r="BY97" i="122"/>
  <c r="AC211" i="122"/>
  <c r="BI42" i="122"/>
  <c r="CG42" i="122" s="1"/>
  <c r="CJ42" i="122" s="1"/>
  <c r="N41" i="122"/>
  <c r="E199" i="120"/>
  <c r="CB106" i="122"/>
  <c r="B72" i="120"/>
  <c r="CB72" i="120"/>
  <c r="AQ96" i="120"/>
  <c r="BO96" i="120" s="1"/>
  <c r="AQ104" i="122"/>
  <c r="BO104" i="122" s="1"/>
  <c r="AG83" i="122"/>
  <c r="BF110" i="122"/>
  <c r="AD9" i="121"/>
  <c r="P151" i="122"/>
  <c r="T89" i="120"/>
  <c r="AJ96" i="120"/>
  <c r="AK209" i="122"/>
  <c r="BI209" i="122" s="1"/>
  <c r="CG209" i="122" s="1"/>
  <c r="U123" i="120"/>
  <c r="BV14" i="120"/>
  <c r="BV181" i="120" s="1"/>
  <c r="BV225" i="120" s="1"/>
  <c r="AG92" i="120"/>
  <c r="BZ65" i="122"/>
  <c r="BY65" i="122" s="1"/>
  <c r="AF104" i="122"/>
  <c r="AE80" i="121"/>
  <c r="AD255" i="120"/>
  <c r="AW123" i="120"/>
  <c r="DR51" i="123"/>
  <c r="FQ50" i="123"/>
  <c r="CG45" i="123"/>
  <c r="AF51" i="123"/>
  <c r="CW12" i="123"/>
  <c r="DP12" i="123"/>
  <c r="DO12" i="123" s="1"/>
  <c r="V19" i="126" s="1"/>
  <c r="FX11" i="123"/>
  <c r="FQ51" i="123"/>
  <c r="DR60" i="123"/>
  <c r="DW29" i="123"/>
  <c r="CG11" i="123"/>
  <c r="BZ11" i="123"/>
  <c r="CG50" i="123"/>
  <c r="EF50" i="123" s="1"/>
  <c r="GE50" i="123" s="1"/>
  <c r="FO12" i="123"/>
  <c r="AC19" i="126" s="1"/>
  <c r="FQ11" i="123"/>
  <c r="AD12" i="123"/>
  <c r="CC12" i="123" s="1"/>
  <c r="CF59" i="123"/>
  <c r="BQ12" i="123"/>
  <c r="Q19" i="126" s="1"/>
  <c r="CG36" i="123"/>
  <c r="EF36" i="123" s="1"/>
  <c r="BT28" i="123"/>
  <c r="BN9" i="122"/>
  <c r="BN125" i="122" s="1"/>
  <c r="AP9" i="122"/>
  <c r="CC8" i="122"/>
  <c r="BN8" i="122" s="1"/>
  <c r="C9" i="122"/>
  <c r="C125" i="122" s="1"/>
  <c r="R9" i="122"/>
  <c r="S24" i="122"/>
  <c r="AH24" i="122" s="1"/>
  <c r="AG44" i="122"/>
  <c r="AP44" i="122" s="1"/>
  <c r="BN44" i="122" s="1"/>
  <c r="AH26" i="122"/>
  <c r="AQ26" i="122" s="1"/>
  <c r="CM32" i="121"/>
  <c r="EG33" i="121"/>
  <c r="AI39" i="121"/>
  <c r="BQ23" i="121"/>
  <c r="BZ23" i="121" s="1"/>
  <c r="DR24" i="121"/>
  <c r="FA77" i="121"/>
  <c r="AX9" i="121"/>
  <c r="CG75" i="121"/>
  <c r="AX24" i="121"/>
  <c r="L14" i="121"/>
  <c r="B6" i="124" s="1"/>
  <c r="F14" i="121"/>
  <c r="T24" i="121"/>
  <c r="FO9" i="121"/>
  <c r="DV10" i="121"/>
  <c r="CS14" i="121"/>
  <c r="BU22" i="121"/>
  <c r="BA22" i="121"/>
  <c r="BC14" i="121"/>
  <c r="BW11" i="121"/>
  <c r="X14" i="121"/>
  <c r="C7" i="124" s="1"/>
  <c r="N22" i="121"/>
  <c r="O14" i="121"/>
  <c r="AH10" i="121"/>
  <c r="DV11" i="121"/>
  <c r="AW38" i="121"/>
  <c r="AJ63" i="121"/>
  <c r="DP23" i="121"/>
  <c r="DP22" i="121" s="1"/>
  <c r="CG49" i="121"/>
  <c r="EF49" i="121" s="1"/>
  <c r="GE49" i="121" s="1"/>
  <c r="BG23" i="121"/>
  <c r="DP17" i="121"/>
  <c r="CF64" i="121"/>
  <c r="EE64" i="121" s="1"/>
  <c r="FH22" i="121"/>
  <c r="E41" i="121"/>
  <c r="DP9" i="121"/>
  <c r="AH22" i="121"/>
  <c r="DR62" i="121"/>
  <c r="DI39" i="121"/>
  <c r="EX22" i="121"/>
  <c r="EX14" i="121" s="1"/>
  <c r="B32" i="124" s="1"/>
  <c r="DP24" i="121"/>
  <c r="DY24" i="121" s="1"/>
  <c r="F42" i="121"/>
  <c r="FO17" i="121"/>
  <c r="BS75" i="121"/>
  <c r="AG22" i="121"/>
  <c r="DJ42" i="121"/>
  <c r="BB42" i="121"/>
  <c r="DF15" i="121"/>
  <c r="DR66" i="121"/>
  <c r="E22" i="121"/>
  <c r="AD15" i="121"/>
  <c r="CF24" i="121"/>
  <c r="GA77" i="121"/>
  <c r="AE62" i="125" s="1"/>
  <c r="DP15" i="121"/>
  <c r="AR55" i="121"/>
  <c r="P12" i="121"/>
  <c r="P13" i="121" s="1"/>
  <c r="BH22" i="121"/>
  <c r="CG23" i="121"/>
  <c r="CO22" i="121"/>
  <c r="CO14" i="121" s="1"/>
  <c r="B11" i="124" s="1"/>
  <c r="CG65" i="121"/>
  <c r="AX17" i="121"/>
  <c r="AY22" i="121"/>
  <c r="AT12" i="120"/>
  <c r="AT13" i="120" s="1"/>
  <c r="AB159" i="120"/>
  <c r="AB181" i="120"/>
  <c r="AB225" i="120" s="1"/>
  <c r="BO182" i="120"/>
  <c r="AG15" i="120"/>
  <c r="AG182" i="120" s="1"/>
  <c r="S182" i="120"/>
  <c r="R57" i="120"/>
  <c r="AZ65" i="123"/>
  <c r="BI65" i="123" s="1"/>
  <c r="CP65" i="123" s="1"/>
  <c r="FL26" i="123"/>
  <c r="DW44" i="123"/>
  <c r="FU39" i="123"/>
  <c r="FV39" i="123"/>
  <c r="FV56" i="123"/>
  <c r="FU56" i="123"/>
  <c r="BX53" i="123"/>
  <c r="AE65" i="123"/>
  <c r="O56" i="126" s="1"/>
  <c r="CG60" i="123"/>
  <c r="BW40" i="123"/>
  <c r="BX40" i="123"/>
  <c r="R26" i="123"/>
  <c r="FO10" i="123"/>
  <c r="AC17" i="126" s="1"/>
  <c r="EM10" i="123"/>
  <c r="K10" i="123"/>
  <c r="DW50" i="123"/>
  <c r="DV56" i="123"/>
  <c r="DW56" i="123"/>
  <c r="DW59" i="123"/>
  <c r="DV59" i="123"/>
  <c r="FV41" i="123"/>
  <c r="BX35" i="123"/>
  <c r="EV10" i="123"/>
  <c r="FU47" i="123"/>
  <c r="FV47" i="123"/>
  <c r="FU54" i="123"/>
  <c r="FV54" i="123"/>
  <c r="FV57" i="123"/>
  <c r="FU57" i="123"/>
  <c r="FV8" i="123"/>
  <c r="FU8" i="123"/>
  <c r="DV40" i="123"/>
  <c r="DW40" i="123"/>
  <c r="DV36" i="123"/>
  <c r="DW36" i="123"/>
  <c r="EB11" i="123"/>
  <c r="Z18" i="126" s="1"/>
  <c r="FU37" i="123"/>
  <c r="FV37" i="123"/>
  <c r="BW45" i="123"/>
  <c r="BX45" i="123"/>
  <c r="BX50" i="123"/>
  <c r="BX59" i="123"/>
  <c r="BW59" i="123"/>
  <c r="BW36" i="123"/>
  <c r="BX36" i="123"/>
  <c r="DW60" i="123"/>
  <c r="DV60" i="123"/>
  <c r="FU55" i="123"/>
  <c r="FV55" i="123"/>
  <c r="DV38" i="123"/>
  <c r="DW38" i="123"/>
  <c r="FU36" i="123"/>
  <c r="FV36" i="123"/>
  <c r="AJ25" i="123"/>
  <c r="DV54" i="123"/>
  <c r="DW54" i="123"/>
  <c r="DW57" i="123"/>
  <c r="DV57" i="123"/>
  <c r="BW37" i="123"/>
  <c r="BX37" i="123"/>
  <c r="BW39" i="123"/>
  <c r="BX39" i="123"/>
  <c r="FV35" i="123"/>
  <c r="T10" i="123"/>
  <c r="FU51" i="123"/>
  <c r="FV51" i="123"/>
  <c r="FV59" i="123"/>
  <c r="FU59" i="123"/>
  <c r="FV58" i="123"/>
  <c r="FU58" i="123"/>
  <c r="BX41" i="123"/>
  <c r="BX42" i="123" s="1"/>
  <c r="DV45" i="123"/>
  <c r="DW45" i="123"/>
  <c r="BW38" i="123"/>
  <c r="BX38" i="123"/>
  <c r="AO10" i="123"/>
  <c r="AV62" i="123"/>
  <c r="BW62" i="123" s="1"/>
  <c r="BW9" i="123"/>
  <c r="DW39" i="123"/>
  <c r="DW35" i="123"/>
  <c r="BF26" i="123"/>
  <c r="BW55" i="123"/>
  <c r="BX55" i="123"/>
  <c r="BW54" i="123"/>
  <c r="BX54" i="123"/>
  <c r="BX60" i="123"/>
  <c r="BW60" i="123"/>
  <c r="BX8" i="123"/>
  <c r="BW8" i="123"/>
  <c r="DM26" i="123"/>
  <c r="CI21" i="123"/>
  <c r="DV55" i="123"/>
  <c r="DW55" i="123"/>
  <c r="DP10" i="123"/>
  <c r="FV50" i="123"/>
  <c r="FU38" i="123"/>
  <c r="FV38" i="123"/>
  <c r="BX44" i="123"/>
  <c r="BX43" i="123"/>
  <c r="BX58" i="123"/>
  <c r="BW58" i="123"/>
  <c r="T71" i="123"/>
  <c r="EE64" i="123"/>
  <c r="GE64" i="123"/>
  <c r="EE65" i="123"/>
  <c r="GD65" i="123" s="1"/>
  <c r="FQ49" i="123"/>
  <c r="FU40" i="123"/>
  <c r="FV40" i="123"/>
  <c r="CU26" i="123"/>
  <c r="DV25" i="123"/>
  <c r="DV26" i="123" s="1"/>
  <c r="BN26" i="123"/>
  <c r="DV47" i="123"/>
  <c r="DW47" i="123"/>
  <c r="DV51" i="123"/>
  <c r="DW51" i="123"/>
  <c r="DW58" i="123"/>
  <c r="DV58" i="123"/>
  <c r="FV44" i="123"/>
  <c r="DW41" i="123"/>
  <c r="DV37" i="123"/>
  <c r="DW37" i="123"/>
  <c r="BN66" i="123"/>
  <c r="FD26" i="123"/>
  <c r="AW26" i="123"/>
  <c r="FU45" i="123"/>
  <c r="FV45" i="123"/>
  <c r="FV53" i="123"/>
  <c r="FV60" i="123"/>
  <c r="FU60" i="123"/>
  <c r="DW8" i="123"/>
  <c r="DV8" i="123"/>
  <c r="BW51" i="123"/>
  <c r="BX51" i="123"/>
  <c r="FE10" i="123"/>
  <c r="CW10" i="123"/>
  <c r="AD10" i="123"/>
  <c r="N17" i="126" s="1"/>
  <c r="DV39" i="123"/>
  <c r="DV35" i="123"/>
  <c r="BW47" i="123"/>
  <c r="BX47" i="123"/>
  <c r="BW56" i="123"/>
  <c r="BX56" i="123"/>
  <c r="BX57" i="123"/>
  <c r="BW57" i="123"/>
  <c r="CI24" i="123"/>
  <c r="DV52" i="123"/>
  <c r="FU9" i="123"/>
  <c r="BI216" i="122"/>
  <c r="CG216" i="122" s="1"/>
  <c r="BY167" i="122"/>
  <c r="BH74" i="122"/>
  <c r="BB220" i="122"/>
  <c r="BA72" i="122"/>
  <c r="BA220" i="122" s="1"/>
  <c r="AW40" i="122"/>
  <c r="K65" i="122"/>
  <c r="BI200" i="122"/>
  <c r="BH198" i="122"/>
  <c r="BH57" i="122"/>
  <c r="CF57" i="122" s="1"/>
  <c r="CI57" i="122" s="1"/>
  <c r="BI31" i="122"/>
  <c r="CG31" i="122" s="1"/>
  <c r="AU209" i="122"/>
  <c r="AU162" i="122"/>
  <c r="BH63" i="122"/>
  <c r="CF63" i="122" s="1"/>
  <c r="CI63" i="122" s="1"/>
  <c r="AM37" i="122"/>
  <c r="BH31" i="122"/>
  <c r="AM31" i="122"/>
  <c r="AZ21" i="122"/>
  <c r="L21" i="122"/>
  <c r="CG24" i="122"/>
  <c r="CJ24" i="122" s="1"/>
  <c r="R24" i="122"/>
  <c r="AG24" i="122" s="1"/>
  <c r="BH11" i="122"/>
  <c r="AJ195" i="122"/>
  <c r="BY221" i="122"/>
  <c r="AQ45" i="122"/>
  <c r="BO45" i="122" s="1"/>
  <c r="BW21" i="122"/>
  <c r="AN23" i="122"/>
  <c r="BE12" i="122"/>
  <c r="BD12" i="122" s="1"/>
  <c r="AC167" i="122"/>
  <c r="AI114" i="122"/>
  <c r="BG114" i="122" s="1"/>
  <c r="CA164" i="122"/>
  <c r="B162" i="122"/>
  <c r="BH60" i="122"/>
  <c r="CF60" i="122" s="1"/>
  <c r="CI60" i="122" s="1"/>
  <c r="AN59" i="122"/>
  <c r="D154" i="122"/>
  <c r="D38" i="123" s="1"/>
  <c r="S42" i="122"/>
  <c r="AI60" i="122"/>
  <c r="AQ86" i="122"/>
  <c r="E220" i="122"/>
  <c r="E70" i="122"/>
  <c r="E218" i="122" s="1"/>
  <c r="BI207" i="122"/>
  <c r="CG154" i="122"/>
  <c r="CJ154" i="122" s="1"/>
  <c r="AJ38" i="122"/>
  <c r="BI37" i="122"/>
  <c r="BT29" i="122"/>
  <c r="BT21" i="122" s="1"/>
  <c r="AP31" i="122"/>
  <c r="Y21" i="122"/>
  <c r="BH145" i="122"/>
  <c r="AM145" i="122"/>
  <c r="AJ207" i="122"/>
  <c r="BH89" i="122"/>
  <c r="BY208" i="122"/>
  <c r="BI58" i="122"/>
  <c r="CG68" i="122"/>
  <c r="AC175" i="122"/>
  <c r="AI122" i="122"/>
  <c r="BI211" i="122"/>
  <c r="CG211" i="122" s="1"/>
  <c r="BH123" i="122"/>
  <c r="CF123" i="122" s="1"/>
  <c r="CF176" i="122" s="1"/>
  <c r="AH119" i="122"/>
  <c r="BH113" i="122"/>
  <c r="AH108" i="122"/>
  <c r="Q105" i="122"/>
  <c r="BI98" i="122"/>
  <c r="BI86" i="122"/>
  <c r="CG86" i="122" s="1"/>
  <c r="CJ86" i="122" s="1"/>
  <c r="AN86" i="122"/>
  <c r="AD220" i="122"/>
  <c r="AJ220" i="122" s="1"/>
  <c r="BI64" i="122"/>
  <c r="BI60" i="122"/>
  <c r="BI203" i="122"/>
  <c r="AN203" i="122"/>
  <c r="BY175" i="122"/>
  <c r="AQ173" i="122"/>
  <c r="CP57" i="123" s="1"/>
  <c r="BO120" i="122"/>
  <c r="BO173" i="122" s="1"/>
  <c r="EO57" i="123" s="1"/>
  <c r="AR209" i="122"/>
  <c r="AR162" i="122"/>
  <c r="AC221" i="122"/>
  <c r="AI221" i="122" s="1"/>
  <c r="BZ214" i="122"/>
  <c r="BY66" i="122"/>
  <c r="BY214" i="122" s="1"/>
  <c r="BI114" i="122"/>
  <c r="CG114" i="122" s="1"/>
  <c r="CG167" i="122" s="1"/>
  <c r="C106" i="122"/>
  <c r="R107" i="122"/>
  <c r="AG107" i="122" s="1"/>
  <c r="B107" i="122"/>
  <c r="BY210" i="122"/>
  <c r="BH83" i="122"/>
  <c r="CF83" i="122" s="1"/>
  <c r="CI83" i="122" s="1"/>
  <c r="BU40" i="122"/>
  <c r="AC216" i="122"/>
  <c r="AI68" i="122"/>
  <c r="BG68" i="122" s="1"/>
  <c r="BY205" i="122"/>
  <c r="R96" i="122"/>
  <c r="N38" i="122"/>
  <c r="O29" i="122"/>
  <c r="O21" i="122" s="1"/>
  <c r="T213" i="122"/>
  <c r="AQ23" i="122"/>
  <c r="BF23" i="122" s="1"/>
  <c r="BE11" i="122"/>
  <c r="BH96" i="122"/>
  <c r="CF96" i="122" s="1"/>
  <c r="CI96" i="122" s="1"/>
  <c r="H209" i="122"/>
  <c r="BH36" i="122"/>
  <c r="D155" i="122"/>
  <c r="D39" i="123" s="1"/>
  <c r="M39" i="123" s="1"/>
  <c r="S25" i="122"/>
  <c r="BY165" i="122"/>
  <c r="AC202" i="122"/>
  <c r="AI202" i="122" s="1"/>
  <c r="AI58" i="122"/>
  <c r="BG58" i="122" s="1"/>
  <c r="CE58" i="122" s="1"/>
  <c r="AN45" i="122"/>
  <c r="BH44" i="122"/>
  <c r="AK195" i="122"/>
  <c r="BI195" i="122" s="1"/>
  <c r="AI23" i="122"/>
  <c r="AJ92" i="122"/>
  <c r="BH92" i="122" s="1"/>
  <c r="BI72" i="122"/>
  <c r="CG72" i="122" s="1"/>
  <c r="AC205" i="122"/>
  <c r="AI205" i="122" s="1"/>
  <c r="AI61" i="122"/>
  <c r="BG61" i="122" s="1"/>
  <c r="CE61" i="122" s="1"/>
  <c r="CH61" i="122" s="1"/>
  <c r="U213" i="122"/>
  <c r="BY166" i="122"/>
  <c r="BI76" i="122"/>
  <c r="BI221" i="122"/>
  <c r="CG221" i="122" s="1"/>
  <c r="AD200" i="122"/>
  <c r="AG175" i="122"/>
  <c r="BB221" i="122"/>
  <c r="BH221" i="122" s="1"/>
  <c r="CF221" i="122" s="1"/>
  <c r="BA73" i="122"/>
  <c r="Y40" i="122"/>
  <c r="BI65" i="122"/>
  <c r="AZ75" i="122"/>
  <c r="BC75" i="122" s="1"/>
  <c r="BC81" i="122"/>
  <c r="BI71" i="122"/>
  <c r="BI63" i="122"/>
  <c r="CG63" i="122" s="1"/>
  <c r="AQ59" i="122"/>
  <c r="P29" i="122"/>
  <c r="AH36" i="122"/>
  <c r="AN36" i="122" s="1"/>
  <c r="BI25" i="122"/>
  <c r="CG25" i="122" s="1"/>
  <c r="CJ25" i="122" s="1"/>
  <c r="BY220" i="122"/>
  <c r="AE164" i="122"/>
  <c r="BI112" i="122"/>
  <c r="BI165" i="122" s="1"/>
  <c r="AK165" i="122"/>
  <c r="BH68" i="122"/>
  <c r="BI62" i="122"/>
  <c r="BH39" i="122"/>
  <c r="AA94" i="122"/>
  <c r="BA66" i="122"/>
  <c r="BA214" i="122" s="1"/>
  <c r="CG89" i="122"/>
  <c r="CJ89" i="122" s="1"/>
  <c r="BZ200" i="122"/>
  <c r="BY56" i="122"/>
  <c r="BI36" i="122"/>
  <c r="BU21" i="122"/>
  <c r="CB153" i="122"/>
  <c r="BE37" i="122"/>
  <c r="BI93" i="122"/>
  <c r="BI30" i="122"/>
  <c r="CG30" i="122" s="1"/>
  <c r="CJ30" i="122" s="1"/>
  <c r="CG200" i="122"/>
  <c r="BY198" i="122"/>
  <c r="BZ35" i="122"/>
  <c r="AH33" i="122"/>
  <c r="S175" i="122"/>
  <c r="AQ59" i="123" s="1"/>
  <c r="AZ59" i="123" s="1"/>
  <c r="BI59" i="123" s="1"/>
  <c r="AH122" i="122"/>
  <c r="AH175" i="122" s="1"/>
  <c r="BI166" i="122"/>
  <c r="BH112" i="122"/>
  <c r="AH109" i="122"/>
  <c r="S171" i="122"/>
  <c r="AQ55" i="123" s="1"/>
  <c r="AJ167" i="122"/>
  <c r="BH114" i="122"/>
  <c r="N111" i="122"/>
  <c r="N164" i="122" s="1"/>
  <c r="AK176" i="122"/>
  <c r="AS94" i="122"/>
  <c r="Q89" i="122"/>
  <c r="AG89" i="122"/>
  <c r="AM89" i="122" s="1"/>
  <c r="BI73" i="122"/>
  <c r="O214" i="122"/>
  <c r="N66" i="122"/>
  <c r="N214" i="122" s="1"/>
  <c r="BY204" i="122"/>
  <c r="AK204" i="122"/>
  <c r="BY199" i="122"/>
  <c r="R175" i="122"/>
  <c r="AP59" i="123" s="1"/>
  <c r="Q122" i="122"/>
  <c r="Q175" i="122" s="1"/>
  <c r="AS40" i="122"/>
  <c r="BH216" i="122"/>
  <c r="CF216" i="122" s="1"/>
  <c r="BI57" i="122"/>
  <c r="BI198" i="122"/>
  <c r="BI87" i="122"/>
  <c r="AX162" i="122"/>
  <c r="Z220" i="122"/>
  <c r="Z70" i="122"/>
  <c r="BQ49" i="122"/>
  <c r="BY207" i="122"/>
  <c r="BI61" i="122"/>
  <c r="BH53" i="122"/>
  <c r="AJ48" i="122"/>
  <c r="BF120" i="122"/>
  <c r="BF173" i="122" s="1"/>
  <c r="BI85" i="122"/>
  <c r="BI162" i="122" s="1"/>
  <c r="S209" i="122"/>
  <c r="AH209" i="122" s="1"/>
  <c r="S162" i="122"/>
  <c r="AQ46" i="123" s="1"/>
  <c r="AZ46" i="123" s="1"/>
  <c r="BZ201" i="122"/>
  <c r="BY57" i="122"/>
  <c r="BY201" i="122" s="1"/>
  <c r="BC29" i="122"/>
  <c r="AI36" i="122"/>
  <c r="BH32" i="122"/>
  <c r="AH31" i="122"/>
  <c r="AW159" i="122"/>
  <c r="DB43" i="123" s="1"/>
  <c r="AW21" i="122"/>
  <c r="M21" i="122"/>
  <c r="O155" i="122"/>
  <c r="CG80" i="122"/>
  <c r="CJ80" i="122" s="1"/>
  <c r="AJ66" i="122"/>
  <c r="BH66" i="122" s="1"/>
  <c r="CA29" i="122"/>
  <c r="BC213" i="122"/>
  <c r="N35" i="122"/>
  <c r="BI34" i="122"/>
  <c r="CG34" i="122" s="1"/>
  <c r="CJ34" i="122" s="1"/>
  <c r="AK100" i="122"/>
  <c r="AN89" i="122"/>
  <c r="BI202" i="122"/>
  <c r="CG202" i="122" s="1"/>
  <c r="AQ44" i="122"/>
  <c r="BO44" i="122" s="1"/>
  <c r="AU219" i="122"/>
  <c r="BI33" i="122"/>
  <c r="G21" i="122"/>
  <c r="BI27" i="122"/>
  <c r="AK28" i="122"/>
  <c r="BI12" i="122"/>
  <c r="CG12" i="122" s="1"/>
  <c r="AN12" i="122"/>
  <c r="BI220" i="122"/>
  <c r="CG220" i="122" s="1"/>
  <c r="BH61" i="122"/>
  <c r="Q31" i="122"/>
  <c r="N28" i="122"/>
  <c r="BE77" i="121"/>
  <c r="AM80" i="121"/>
  <c r="EH32" i="121"/>
  <c r="CG50" i="121"/>
  <c r="EF50" i="121" s="1"/>
  <c r="FZ22" i="121"/>
  <c r="ET42" i="121"/>
  <c r="FU17" i="121"/>
  <c r="AF15" i="121"/>
  <c r="AF43" i="121"/>
  <c r="BG24" i="121"/>
  <c r="BI14" i="121"/>
  <c r="B27" i="124" s="1"/>
  <c r="EG15" i="121"/>
  <c r="BS65" i="121"/>
  <c r="BT22" i="121"/>
  <c r="BS22" i="121" s="1"/>
  <c r="EY22" i="121"/>
  <c r="FL42" i="121"/>
  <c r="BN42" i="121"/>
  <c r="BW17" i="121"/>
  <c r="AV42" i="121"/>
  <c r="AK51" i="121"/>
  <c r="DD42" i="121"/>
  <c r="BE42" i="121"/>
  <c r="T15" i="121"/>
  <c r="DW68" i="121"/>
  <c r="DQ23" i="121"/>
  <c r="DZ23" i="121"/>
  <c r="CN23" i="121"/>
  <c r="CP22" i="121"/>
  <c r="FJ12" i="121"/>
  <c r="FJ13" i="121" s="1"/>
  <c r="AK11" i="121"/>
  <c r="CQ11" i="121"/>
  <c r="T9" i="121"/>
  <c r="BG9" i="121"/>
  <c r="AJ17" i="121"/>
  <c r="CD80" i="121"/>
  <c r="T65" i="125" s="1"/>
  <c r="DD77" i="121"/>
  <c r="BG15" i="121"/>
  <c r="DT22" i="121"/>
  <c r="EY11" i="121"/>
  <c r="K9" i="121"/>
  <c r="AE9" i="121"/>
  <c r="EF80" i="121"/>
  <c r="GE80" i="121" s="1"/>
  <c r="U74" i="121"/>
  <c r="AE66" i="121"/>
  <c r="N51" i="125" s="1"/>
  <c r="FO23" i="121"/>
  <c r="T23" i="121"/>
  <c r="AI43" i="121"/>
  <c r="FP24" i="121"/>
  <c r="FY24" i="121" s="1"/>
  <c r="EM24" i="121"/>
  <c r="AJ41" i="121"/>
  <c r="GE29" i="121"/>
  <c r="AW77" i="121"/>
  <c r="BR23" i="121"/>
  <c r="AO23" i="121"/>
  <c r="BR9" i="121"/>
  <c r="CG9" i="121"/>
  <c r="EF9" i="121" s="1"/>
  <c r="EG9" i="121"/>
  <c r="T80" i="121"/>
  <c r="AC80" i="121" s="1"/>
  <c r="AP80" i="121"/>
  <c r="AO80" i="121" s="1"/>
  <c r="ED79" i="121"/>
  <c r="AR37" i="121"/>
  <c r="EV23" i="121"/>
  <c r="EW22" i="121"/>
  <c r="GE32" i="121"/>
  <c r="DR23" i="121"/>
  <c r="D22" i="121"/>
  <c r="D14" i="121" s="1"/>
  <c r="B22" i="124" s="1"/>
  <c r="FE15" i="121"/>
  <c r="CW15" i="121"/>
  <c r="BR24" i="121"/>
  <c r="CA24" i="121" s="1"/>
  <c r="AO24" i="121"/>
  <c r="BS24" i="121"/>
  <c r="M22" i="121"/>
  <c r="K23" i="121"/>
  <c r="DT43" i="121"/>
  <c r="DQ15" i="121"/>
  <c r="DZ15" i="121" s="1"/>
  <c r="CN15" i="121"/>
  <c r="DW57" i="121"/>
  <c r="DW65" i="121"/>
  <c r="DV65" i="121"/>
  <c r="AE24" i="121"/>
  <c r="DW54" i="121"/>
  <c r="AJ58" i="121"/>
  <c r="DQ24" i="121"/>
  <c r="DZ24" i="121" s="1"/>
  <c r="BX43" i="121"/>
  <c r="EO22" i="121"/>
  <c r="EO14" i="121" s="1"/>
  <c r="DV39" i="121"/>
  <c r="DW48" i="121"/>
  <c r="DV17" i="121"/>
  <c r="CI9" i="121"/>
  <c r="AQ58" i="120"/>
  <c r="BO58" i="120" s="1"/>
  <c r="CN58" i="120" s="1"/>
  <c r="CF246" i="120"/>
  <c r="CI246" i="120"/>
  <c r="AQ76" i="120"/>
  <c r="BF76" i="120" s="1"/>
  <c r="AQ75" i="120"/>
  <c r="BO75" i="120" s="1"/>
  <c r="AK212" i="120"/>
  <c r="BI146" i="120"/>
  <c r="AX94" i="120"/>
  <c r="E89" i="120"/>
  <c r="AP78" i="120"/>
  <c r="AP246" i="120" s="1"/>
  <c r="BI76" i="120"/>
  <c r="BH32" i="120"/>
  <c r="CF32" i="120" s="1"/>
  <c r="R191" i="120"/>
  <c r="G181" i="120"/>
  <c r="G225" i="120" s="1"/>
  <c r="G159" i="120"/>
  <c r="AP92" i="120"/>
  <c r="BI248" i="120"/>
  <c r="AQ66" i="120"/>
  <c r="BI32" i="120"/>
  <c r="BY10" i="120"/>
  <c r="C176" i="120"/>
  <c r="B9" i="120"/>
  <c r="L14" i="125" s="1"/>
  <c r="CG42" i="120"/>
  <c r="Q32" i="120"/>
  <c r="BY242" i="120"/>
  <c r="BH42" i="120"/>
  <c r="CF42" i="120" s="1"/>
  <c r="CI42" i="120" s="1"/>
  <c r="B23" i="120"/>
  <c r="B190" i="120" s="1"/>
  <c r="AP189" i="120"/>
  <c r="AK191" i="120"/>
  <c r="BI24" i="120"/>
  <c r="BI191" i="120" s="1"/>
  <c r="BH125" i="120"/>
  <c r="AH88" i="120"/>
  <c r="AC246" i="120"/>
  <c r="BY214" i="120"/>
  <c r="AJ213" i="120"/>
  <c r="BH147" i="120"/>
  <c r="BH213" i="120" s="1"/>
  <c r="AJ212" i="120"/>
  <c r="BH146" i="120"/>
  <c r="BI121" i="120"/>
  <c r="BI253" i="120"/>
  <c r="BI134" i="120"/>
  <c r="AR207" i="120"/>
  <c r="Q97" i="120"/>
  <c r="B94" i="120"/>
  <c r="AC256" i="120"/>
  <c r="R58" i="120"/>
  <c r="Q58" i="120" s="1"/>
  <c r="B58" i="120"/>
  <c r="AC97" i="120"/>
  <c r="AC267" i="120" s="1"/>
  <c r="AJ97" i="120"/>
  <c r="AM97" i="120" s="1"/>
  <c r="C257" i="120"/>
  <c r="R83" i="120"/>
  <c r="AG83" i="120" s="1"/>
  <c r="BY58" i="120"/>
  <c r="AK267" i="120"/>
  <c r="BI97" i="120"/>
  <c r="AN97" i="120"/>
  <c r="AS71" i="120"/>
  <c r="AR71" i="120" s="1"/>
  <c r="AR94" i="120"/>
  <c r="AC88" i="120"/>
  <c r="AH247" i="120"/>
  <c r="AK246" i="120"/>
  <c r="S61" i="120"/>
  <c r="BB268" i="120"/>
  <c r="AK264" i="120"/>
  <c r="BI49" i="120"/>
  <c r="BI264" i="120" s="1"/>
  <c r="BI33" i="120"/>
  <c r="Q15" i="120"/>
  <c r="CF107" i="120"/>
  <c r="CG95" i="120"/>
  <c r="CJ95" i="120" s="1"/>
  <c r="C248" i="120"/>
  <c r="R77" i="120"/>
  <c r="B77" i="120"/>
  <c r="B248" i="120" s="1"/>
  <c r="BI31" i="120"/>
  <c r="AG24" i="120"/>
  <c r="BE24" i="120" s="1"/>
  <c r="Y29" i="125" s="1"/>
  <c r="AG32" i="120"/>
  <c r="BF54" i="120"/>
  <c r="AK240" i="120"/>
  <c r="BI40" i="120"/>
  <c r="BI240" i="120" s="1"/>
  <c r="S190" i="120"/>
  <c r="S22" i="120"/>
  <c r="S189" i="120" s="1"/>
  <c r="AK182" i="120"/>
  <c r="BU159" i="120"/>
  <c r="G12" i="120"/>
  <c r="BI176" i="120"/>
  <c r="BY223" i="120"/>
  <c r="BH136" i="120"/>
  <c r="BH122" i="120"/>
  <c r="CF122" i="120" s="1"/>
  <c r="CI122" i="120" s="1"/>
  <c r="AH223" i="120"/>
  <c r="AQ157" i="120"/>
  <c r="BF157" i="120" s="1"/>
  <c r="BF223" i="120" s="1"/>
  <c r="BH85" i="120"/>
  <c r="BH259" i="120" s="1"/>
  <c r="AC212" i="120"/>
  <c r="AI146" i="120"/>
  <c r="BI141" i="120"/>
  <c r="BH142" i="120"/>
  <c r="CF142" i="120" s="1"/>
  <c r="BB250" i="120"/>
  <c r="BY97" i="120"/>
  <c r="AC95" i="120"/>
  <c r="BY256" i="120"/>
  <c r="O255" i="120"/>
  <c r="N81" i="120"/>
  <c r="BH246" i="120"/>
  <c r="AC76" i="120"/>
  <c r="N110" i="120"/>
  <c r="N207" i="120" s="1"/>
  <c r="AQ98" i="120"/>
  <c r="F71" i="120"/>
  <c r="AJ256" i="120"/>
  <c r="AF97" i="120"/>
  <c r="CG100" i="120"/>
  <c r="BI45" i="120"/>
  <c r="BH49" i="120"/>
  <c r="BH45" i="120"/>
  <c r="AK243" i="120"/>
  <c r="BI43" i="120"/>
  <c r="BI243" i="120" s="1"/>
  <c r="BN191" i="120"/>
  <c r="BM24" i="120"/>
  <c r="BM191" i="120" s="1"/>
  <c r="R22" i="120"/>
  <c r="R189" i="120" s="1"/>
  <c r="AP74" i="120"/>
  <c r="R73" i="120"/>
  <c r="Q73" i="120" s="1"/>
  <c r="AE37" i="120"/>
  <c r="BI48" i="120"/>
  <c r="AP191" i="120"/>
  <c r="AO24" i="120"/>
  <c r="AO191" i="120" s="1"/>
  <c r="AG17" i="120"/>
  <c r="AG184" i="120" s="1"/>
  <c r="B17" i="120"/>
  <c r="L22" i="125" s="1"/>
  <c r="P189" i="120"/>
  <c r="U159" i="120"/>
  <c r="U181" i="120"/>
  <c r="U225" i="120" s="1"/>
  <c r="BY240" i="120"/>
  <c r="R176" i="120"/>
  <c r="AP176" i="120"/>
  <c r="AO9" i="120"/>
  <c r="U14" i="125" s="1"/>
  <c r="BO190" i="120"/>
  <c r="BO22" i="120"/>
  <c r="AW159" i="120"/>
  <c r="BS250" i="120"/>
  <c r="AD250" i="120"/>
  <c r="AC110" i="120"/>
  <c r="AC207" i="120" s="1"/>
  <c r="BI84" i="120"/>
  <c r="CJ77" i="120"/>
  <c r="C247" i="120"/>
  <c r="AG156" i="120"/>
  <c r="AP156" i="120" s="1"/>
  <c r="BE156" i="120" s="1"/>
  <c r="BI148" i="120"/>
  <c r="AK251" i="120"/>
  <c r="BI112" i="120"/>
  <c r="T250" i="120"/>
  <c r="T207" i="120"/>
  <c r="AK218" i="120"/>
  <c r="BY121" i="120"/>
  <c r="AC210" i="120"/>
  <c r="AI144" i="120"/>
  <c r="BG144" i="120" s="1"/>
  <c r="BZ250" i="120"/>
  <c r="BZ207" i="120"/>
  <c r="BI222" i="120"/>
  <c r="CG156" i="120"/>
  <c r="CG222" i="120" s="1"/>
  <c r="CJ222" i="120" s="1"/>
  <c r="AI147" i="120"/>
  <c r="BI135" i="120"/>
  <c r="T106" i="120"/>
  <c r="BY258" i="120"/>
  <c r="S258" i="120"/>
  <c r="AH84" i="120"/>
  <c r="AN84" i="120" s="1"/>
  <c r="AK256" i="120"/>
  <c r="BI82" i="120"/>
  <c r="BI256" i="120" s="1"/>
  <c r="BH80" i="120"/>
  <c r="BH247" i="120" s="1"/>
  <c r="AH78" i="120"/>
  <c r="AX207" i="120"/>
  <c r="AG88" i="120"/>
  <c r="AC83" i="120"/>
  <c r="R256" i="120"/>
  <c r="R255" i="120"/>
  <c r="Q81" i="120"/>
  <c r="Q255" i="120" s="1"/>
  <c r="BY246" i="120"/>
  <c r="CB75" i="120"/>
  <c r="C75" i="120"/>
  <c r="AG75" i="120" s="1"/>
  <c r="CG116" i="120"/>
  <c r="BB269" i="120"/>
  <c r="BA98" i="120"/>
  <c r="O269" i="120"/>
  <c r="AJ98" i="120"/>
  <c r="N98" i="120"/>
  <c r="BI90" i="120"/>
  <c r="Q87" i="120"/>
  <c r="BF125" i="120"/>
  <c r="AG81" i="120"/>
  <c r="BH52" i="120"/>
  <c r="AI45" i="120"/>
  <c r="R246" i="120"/>
  <c r="Q78" i="120"/>
  <c r="Q246" i="120" s="1"/>
  <c r="AH63" i="120"/>
  <c r="BN182" i="120"/>
  <c r="BM15" i="120"/>
  <c r="BM182" i="120" s="1"/>
  <c r="BW181" i="120"/>
  <c r="BW225" i="120" s="1"/>
  <c r="BW159" i="120"/>
  <c r="AW179" i="120"/>
  <c r="AW180" i="120" s="1"/>
  <c r="BF79" i="120"/>
  <c r="AG79" i="120"/>
  <c r="BI52" i="120"/>
  <c r="CG52" i="120" s="1"/>
  <c r="BH44" i="120"/>
  <c r="AP182" i="120"/>
  <c r="AO15" i="120"/>
  <c r="AO182" i="120" s="1"/>
  <c r="AK190" i="120"/>
  <c r="AK22" i="120"/>
  <c r="AK189" i="120" s="1"/>
  <c r="BN176" i="120"/>
  <c r="BM9" i="120"/>
  <c r="AA14" i="125" s="1"/>
  <c r="BH34" i="120"/>
  <c r="AH33" i="120"/>
  <c r="AN33" i="120" s="1"/>
  <c r="CD189" i="120"/>
  <c r="BM17" i="120"/>
  <c r="BM184" i="120" s="1"/>
  <c r="AN32" i="120"/>
  <c r="Q182" i="120"/>
  <c r="O20" i="125"/>
  <c r="BP12" i="123"/>
  <c r="P19" i="126" s="1"/>
  <c r="P27" i="125"/>
  <c r="S29" i="125"/>
  <c r="FN10" i="123"/>
  <c r="AB17" i="126" s="1"/>
  <c r="Q190" i="120"/>
  <c r="O28" i="125"/>
  <c r="DO10" i="123"/>
  <c r="V17" i="126" s="1"/>
  <c r="W17" i="126"/>
  <c r="BN143" i="122"/>
  <c r="BN178" i="122" s="1"/>
  <c r="AP8" i="122"/>
  <c r="FN12" i="123"/>
  <c r="AB19" i="126" s="1"/>
  <c r="W19" i="126"/>
  <c r="CB189" i="120"/>
  <c r="AD27" i="125"/>
  <c r="N151" i="122"/>
  <c r="CG22" i="121"/>
  <c r="AF92" i="120"/>
  <c r="AQ77" i="120"/>
  <c r="BF77" i="120" s="1"/>
  <c r="BF73" i="120"/>
  <c r="BD73" i="120" s="1"/>
  <c r="AH61" i="121"/>
  <c r="AH200" i="120"/>
  <c r="BF55" i="120"/>
  <c r="BF200" i="120" s="1"/>
  <c r="AM78" i="120"/>
  <c r="AG246" i="120"/>
  <c r="AM246" i="120" s="1"/>
  <c r="FH14" i="121"/>
  <c r="C16" i="124"/>
  <c r="FI12" i="121"/>
  <c r="FI13" i="121" s="1"/>
  <c r="BE92" i="120"/>
  <c r="AZ75" i="121"/>
  <c r="BI75" i="121" s="1"/>
  <c r="CN96" i="120"/>
  <c r="B257" i="120"/>
  <c r="CN73" i="120"/>
  <c r="AF78" i="120"/>
  <c r="AF246" i="120" s="1"/>
  <c r="BF80" i="120"/>
  <c r="BF247" i="120"/>
  <c r="C25" i="124"/>
  <c r="AQ68" i="120"/>
  <c r="S153" i="122"/>
  <c r="AQ37" i="123" s="1"/>
  <c r="BF96" i="120"/>
  <c r="BF89" i="122"/>
  <c r="BL89" i="122"/>
  <c r="BX70" i="121"/>
  <c r="FV52" i="123"/>
  <c r="FV43" i="123"/>
  <c r="R8" i="122"/>
  <c r="AG9" i="122"/>
  <c r="BE9" i="122" s="1"/>
  <c r="R125" i="122"/>
  <c r="AG125" i="122"/>
  <c r="R143" i="122"/>
  <c r="C8" i="122"/>
  <c r="AG8" i="122" s="1"/>
  <c r="AF44" i="122"/>
  <c r="AM44" i="122"/>
  <c r="BE44" i="122"/>
  <c r="BK44" i="122" s="1"/>
  <c r="BF45" i="122"/>
  <c r="BL45" i="122" s="1"/>
  <c r="BZ24" i="121"/>
  <c r="FD76" i="121"/>
  <c r="FD81" i="121" s="1"/>
  <c r="FD82" i="121" s="1"/>
  <c r="V14" i="121"/>
  <c r="B24" i="124" s="1"/>
  <c r="DW62" i="121"/>
  <c r="CS77" i="121"/>
  <c r="DV72" i="121"/>
  <c r="DW72" i="121"/>
  <c r="BX68" i="121"/>
  <c r="EF23" i="121"/>
  <c r="GE23" i="121" s="1"/>
  <c r="CE24" i="121"/>
  <c r="AB76" i="121"/>
  <c r="AB81" i="121" s="1"/>
  <c r="AF22" i="121"/>
  <c r="AJ51" i="121"/>
  <c r="AJ59" i="121"/>
  <c r="AK68" i="121"/>
  <c r="AK63" i="121"/>
  <c r="DV58" i="121"/>
  <c r="DW58" i="121"/>
  <c r="DV51" i="121"/>
  <c r="DW51" i="121"/>
  <c r="DV60" i="121"/>
  <c r="DW59" i="121"/>
  <c r="DW70" i="121"/>
  <c r="DW69" i="121"/>
  <c r="DV63" i="121"/>
  <c r="CV76" i="121"/>
  <c r="CV81" i="121" s="1"/>
  <c r="BX54" i="121"/>
  <c r="BW58" i="121"/>
  <c r="BW60" i="121"/>
  <c r="BX53" i="121"/>
  <c r="BW70" i="121"/>
  <c r="BX59" i="121"/>
  <c r="BW53" i="121"/>
  <c r="BX58" i="121"/>
  <c r="AW76" i="121"/>
  <c r="AJ73" i="121"/>
  <c r="CI73" i="121" s="1"/>
  <c r="AK54" i="121"/>
  <c r="CJ54" i="121" s="1"/>
  <c r="EI54" i="121" s="1"/>
  <c r="GH54" i="121" s="1"/>
  <c r="AK73" i="121"/>
  <c r="AJ64" i="121"/>
  <c r="AK64" i="121"/>
  <c r="AK58" i="121"/>
  <c r="CJ58" i="121" s="1"/>
  <c r="AJ74" i="121"/>
  <c r="AK74" i="121"/>
  <c r="AK75" i="121"/>
  <c r="CJ75" i="121" s="1"/>
  <c r="EI75" i="121" s="1"/>
  <c r="GH75" i="121" s="1"/>
  <c r="AK65" i="121"/>
  <c r="CJ65" i="121" s="1"/>
  <c r="EI65" i="121" s="1"/>
  <c r="AJ69" i="121"/>
  <c r="AO22" i="121"/>
  <c r="CC24" i="121"/>
  <c r="EB24" i="121" s="1"/>
  <c r="BG22" i="121"/>
  <c r="BO14" i="120"/>
  <c r="AC19" i="125" s="1"/>
  <c r="H15" i="127" s="1"/>
  <c r="AG57" i="120"/>
  <c r="FU43" i="123"/>
  <c r="FU44" i="123"/>
  <c r="AN65" i="123"/>
  <c r="AC10" i="123"/>
  <c r="M17" i="126" s="1"/>
  <c r="FU52" i="123"/>
  <c r="FU53" i="123"/>
  <c r="GD64" i="123"/>
  <c r="BW43" i="123"/>
  <c r="BW44" i="123"/>
  <c r="FV48" i="123"/>
  <c r="EH21" i="123"/>
  <c r="GG21" i="123" s="1"/>
  <c r="BW41" i="123"/>
  <c r="BW42" i="123" s="1"/>
  <c r="FU35" i="123"/>
  <c r="BX48" i="123"/>
  <c r="DW48" i="123"/>
  <c r="CY65" i="123"/>
  <c r="DH65" i="123" s="1"/>
  <c r="EO65" i="123" s="1"/>
  <c r="EX65" i="123" s="1"/>
  <c r="FG65" i="123" s="1"/>
  <c r="DV41" i="123"/>
  <c r="DV42" i="123" s="1"/>
  <c r="BE63" i="123"/>
  <c r="FU41" i="123"/>
  <c r="EH24" i="123"/>
  <c r="CW73" i="123"/>
  <c r="DF73" i="123" s="1"/>
  <c r="FU48" i="123"/>
  <c r="FU50" i="123"/>
  <c r="EF60" i="123"/>
  <c r="BW52" i="123"/>
  <c r="BW53" i="123"/>
  <c r="BW35" i="123"/>
  <c r="DV44" i="123"/>
  <c r="DV53" i="123"/>
  <c r="BN63" i="123"/>
  <c r="AO71" i="123"/>
  <c r="AX71" i="123" s="1"/>
  <c r="AC71" i="123"/>
  <c r="DY10" i="123"/>
  <c r="AK8" i="123"/>
  <c r="AY65" i="123"/>
  <c r="AX65" i="123" s="1"/>
  <c r="BW50" i="123"/>
  <c r="BW48" i="123"/>
  <c r="DV48" i="123"/>
  <c r="DV50" i="123"/>
  <c r="DW43" i="123"/>
  <c r="CG64" i="122"/>
  <c r="BK145" i="122"/>
  <c r="CF145" i="122"/>
  <c r="BL23" i="122"/>
  <c r="AZ163" i="122"/>
  <c r="DK47" i="123" s="1"/>
  <c r="AQ31" i="122"/>
  <c r="BF31" i="122" s="1"/>
  <c r="CG93" i="122"/>
  <c r="CJ93" i="122" s="1"/>
  <c r="BO59" i="122"/>
  <c r="BO203" i="122" s="1"/>
  <c r="BN30" i="122"/>
  <c r="CG203" i="122"/>
  <c r="AI167" i="122"/>
  <c r="CG33" i="122"/>
  <c r="CJ33" i="122" s="1"/>
  <c r="BF44" i="122"/>
  <c r="BL44" i="122" s="1"/>
  <c r="CG85" i="122"/>
  <c r="CF53" i="122"/>
  <c r="CG73" i="122"/>
  <c r="CG36" i="122"/>
  <c r="CJ36" i="122" s="1"/>
  <c r="CG62" i="122"/>
  <c r="CF44" i="122"/>
  <c r="CI44" i="122"/>
  <c r="BE30" i="122"/>
  <c r="R106" i="122"/>
  <c r="CG60" i="122"/>
  <c r="CF73" i="122"/>
  <c r="AF31" i="122"/>
  <c r="BS29" i="122"/>
  <c r="CG65" i="122"/>
  <c r="AQ211" i="122"/>
  <c r="BF211" i="122" s="1"/>
  <c r="BO88" i="122"/>
  <c r="BO211" i="122" s="1"/>
  <c r="CF31" i="122"/>
  <c r="CI31" i="122" s="1"/>
  <c r="BK37" i="122"/>
  <c r="CF37" i="122"/>
  <c r="CI37" i="122" s="1"/>
  <c r="AN31" i="122"/>
  <c r="CF61" i="122"/>
  <c r="CG57" i="122"/>
  <c r="AP175" i="122"/>
  <c r="CO59" i="123" s="1"/>
  <c r="BN122" i="122"/>
  <c r="AO31" i="122"/>
  <c r="CG37" i="122"/>
  <c r="CJ37" i="122" s="1"/>
  <c r="CG59" i="122"/>
  <c r="CJ59" i="122" s="1"/>
  <c r="CG109" i="122"/>
  <c r="CJ109" i="122" s="1"/>
  <c r="BL12" i="122"/>
  <c r="BC21" i="122"/>
  <c r="CG87" i="122"/>
  <c r="CJ87" i="122" s="1"/>
  <c r="AH171" i="122"/>
  <c r="AO44" i="122"/>
  <c r="CG112" i="122"/>
  <c r="BE122" i="122"/>
  <c r="BE175" i="122" s="1"/>
  <c r="CG198" i="122"/>
  <c r="AW163" i="122"/>
  <c r="DB47" i="123" s="1"/>
  <c r="CG61" i="122"/>
  <c r="BH167" i="122"/>
  <c r="CF114" i="122"/>
  <c r="CF167" i="122" s="1"/>
  <c r="AQ109" i="122"/>
  <c r="BF109" i="122" s="1"/>
  <c r="BY200" i="122"/>
  <c r="CF68" i="122"/>
  <c r="CG71" i="122"/>
  <c r="CG76" i="122"/>
  <c r="CJ76" i="122" s="1"/>
  <c r="AH25" i="122"/>
  <c r="AN25" i="122" s="1"/>
  <c r="AE21" i="122"/>
  <c r="BO23" i="122"/>
  <c r="AG106" i="122"/>
  <c r="CG98" i="122"/>
  <c r="CJ98" i="122" s="1"/>
  <c r="AN119" i="122"/>
  <c r="AI175" i="122"/>
  <c r="CG58" i="122"/>
  <c r="BI35" i="122"/>
  <c r="CG35" i="122" s="1"/>
  <c r="CJ35" i="122" s="1"/>
  <c r="AI38" i="122"/>
  <c r="Q24" i="122"/>
  <c r="FU49" i="121"/>
  <c r="FV49" i="121"/>
  <c r="BX48" i="121"/>
  <c r="FV57" i="121"/>
  <c r="BX72" i="121"/>
  <c r="AV77" i="121"/>
  <c r="AU77" i="121" s="1"/>
  <c r="FU70" i="121"/>
  <c r="FV70" i="121"/>
  <c r="AK56" i="121"/>
  <c r="DD76" i="121"/>
  <c r="DD78" i="121" s="1"/>
  <c r="DV62" i="121"/>
  <c r="BW73" i="121"/>
  <c r="BW63" i="121"/>
  <c r="CI63" i="121" s="1"/>
  <c r="BW51" i="121"/>
  <c r="CI51" i="121" s="1"/>
  <c r="EH51" i="121" s="1"/>
  <c r="AY80" i="121"/>
  <c r="BH80" i="121" s="1"/>
  <c r="BQ80" i="121" s="1"/>
  <c r="FV69" i="121"/>
  <c r="FU69" i="121"/>
  <c r="AK71" i="121"/>
  <c r="AJ62" i="121"/>
  <c r="DV70" i="121"/>
  <c r="DW60" i="121"/>
  <c r="DW49" i="121"/>
  <c r="BX71" i="121"/>
  <c r="CM80" i="121"/>
  <c r="FV75" i="121"/>
  <c r="FU75" i="121"/>
  <c r="AC9" i="121"/>
  <c r="AK59" i="121"/>
  <c r="CJ59" i="121" s="1"/>
  <c r="EI59" i="121" s="1"/>
  <c r="GH59" i="121" s="1"/>
  <c r="AK49" i="121"/>
  <c r="FV72" i="121"/>
  <c r="FU72" i="121"/>
  <c r="FV51" i="121"/>
  <c r="FU51" i="121"/>
  <c r="AJ70" i="121"/>
  <c r="CI70" i="121" s="1"/>
  <c r="AJ60" i="121"/>
  <c r="CI60" i="121" s="1"/>
  <c r="DV74" i="121"/>
  <c r="DV71" i="121"/>
  <c r="DV53" i="121"/>
  <c r="BW72" i="121"/>
  <c r="CI72" i="121" s="1"/>
  <c r="EH72" i="121" s="1"/>
  <c r="GG72" i="121" s="1"/>
  <c r="BX60" i="121"/>
  <c r="FV71" i="121"/>
  <c r="FU71" i="121"/>
  <c r="AK69" i="121"/>
  <c r="CJ69" i="121" s="1"/>
  <c r="EI69" i="121" s="1"/>
  <c r="DW56" i="121"/>
  <c r="DW63" i="121"/>
  <c r="BW74" i="121"/>
  <c r="BX49" i="121"/>
  <c r="FV74" i="121"/>
  <c r="FU74" i="121"/>
  <c r="DV57" i="121"/>
  <c r="BX69" i="121"/>
  <c r="AJ72" i="121"/>
  <c r="DW67" i="121"/>
  <c r="AT77" i="121"/>
  <c r="AT38" i="121"/>
  <c r="CW88" i="121"/>
  <c r="DF88" i="121" s="1"/>
  <c r="GG32" i="121"/>
  <c r="FV64" i="121"/>
  <c r="FU64" i="121"/>
  <c r="EH9" i="121"/>
  <c r="DV48" i="121"/>
  <c r="DE76" i="121"/>
  <c r="DE81" i="121" s="1"/>
  <c r="DE82" i="121" s="1"/>
  <c r="BX73" i="121"/>
  <c r="BX63" i="121"/>
  <c r="BX51" i="121"/>
  <c r="CJ51" i="121" s="1"/>
  <c r="L77" i="121"/>
  <c r="BP24" i="121"/>
  <c r="FV63" i="121"/>
  <c r="FU63" i="121"/>
  <c r="AJ71" i="121"/>
  <c r="AK61" i="121"/>
  <c r="AK57" i="121"/>
  <c r="CJ57" i="121" s="1"/>
  <c r="EI57" i="121" s="1"/>
  <c r="GH57" i="121" s="1"/>
  <c r="DV75" i="121"/>
  <c r="DV64" i="121"/>
  <c r="GE24" i="121"/>
  <c r="GK24" i="121" s="1"/>
  <c r="DV49" i="121"/>
  <c r="BW71" i="121"/>
  <c r="AD74" i="121"/>
  <c r="M59" i="125" s="1"/>
  <c r="FV65" i="121"/>
  <c r="FU65" i="121"/>
  <c r="DO15" i="121"/>
  <c r="BW64" i="121"/>
  <c r="CI64" i="121" s="1"/>
  <c r="EH64" i="121" s="1"/>
  <c r="GG64" i="121" s="1"/>
  <c r="AJ49" i="121"/>
  <c r="GE58" i="121"/>
  <c r="CI17" i="121"/>
  <c r="EH17" i="121" s="1"/>
  <c r="GG17" i="121" s="1"/>
  <c r="FV68" i="121"/>
  <c r="FV67" i="121"/>
  <c r="AK70" i="121"/>
  <c r="AK60" i="121"/>
  <c r="CJ60" i="121" s="1"/>
  <c r="EI60" i="121" s="1"/>
  <c r="GH60" i="121" s="1"/>
  <c r="DW74" i="121"/>
  <c r="DW71" i="121"/>
  <c r="DW53" i="121"/>
  <c r="BW75" i="121"/>
  <c r="BW65" i="121"/>
  <c r="FV60" i="121"/>
  <c r="FU60" i="121"/>
  <c r="AJ53" i="121"/>
  <c r="CI53" i="121" s="1"/>
  <c r="EH53" i="121" s="1"/>
  <c r="DV73" i="121"/>
  <c r="BX74" i="121"/>
  <c r="BW49" i="121"/>
  <c r="CI49" i="121" s="1"/>
  <c r="EH49" i="121" s="1"/>
  <c r="GG49" i="121" s="1"/>
  <c r="FV53" i="121"/>
  <c r="FU53" i="121"/>
  <c r="FV73" i="121"/>
  <c r="FU73" i="121"/>
  <c r="BX62" i="121"/>
  <c r="FV59" i="121"/>
  <c r="FU59" i="121"/>
  <c r="AJ68" i="121"/>
  <c r="CD24" i="121"/>
  <c r="AN24" i="121"/>
  <c r="BW69" i="121"/>
  <c r="FV58" i="121"/>
  <c r="FU58" i="121"/>
  <c r="CA23" i="121"/>
  <c r="AJ65" i="121"/>
  <c r="CI65" i="121" s="1"/>
  <c r="EH65" i="121" s="1"/>
  <c r="GG65" i="121" s="1"/>
  <c r="AK62" i="121"/>
  <c r="CJ62" i="121" s="1"/>
  <c r="EI62" i="121" s="1"/>
  <c r="GH62" i="121" s="1"/>
  <c r="DW75" i="121"/>
  <c r="DW64" i="121"/>
  <c r="FC76" i="121"/>
  <c r="BX57" i="121"/>
  <c r="AC24" i="121"/>
  <c r="AN66" i="121"/>
  <c r="FV54" i="121"/>
  <c r="DN76" i="121"/>
  <c r="DN78" i="121" s="1"/>
  <c r="BX64" i="121"/>
  <c r="CW87" i="121"/>
  <c r="DF87" i="121" s="1"/>
  <c r="FV61" i="121"/>
  <c r="FV62" i="121"/>
  <c r="CA9" i="121"/>
  <c r="AJ75" i="121"/>
  <c r="CI75" i="121" s="1"/>
  <c r="EH75" i="121" s="1"/>
  <c r="GG75" i="121" s="1"/>
  <c r="AK72" i="121"/>
  <c r="DV69" i="121"/>
  <c r="DV59" i="121"/>
  <c r="BX75" i="121"/>
  <c r="BX65" i="121"/>
  <c r="BN77" i="121"/>
  <c r="DO24" i="121"/>
  <c r="GD64" i="121"/>
  <c r="FV48" i="121"/>
  <c r="AK53" i="121"/>
  <c r="DW73" i="121"/>
  <c r="BW59" i="121"/>
  <c r="GB77" i="121"/>
  <c r="AF62" i="125" s="1"/>
  <c r="R75" i="120"/>
  <c r="Q75" i="120" s="1"/>
  <c r="BI251" i="120"/>
  <c r="CG112" i="120"/>
  <c r="CG132" i="120"/>
  <c r="CJ132" i="120" s="1"/>
  <c r="AI213" i="120"/>
  <c r="BG147" i="120"/>
  <c r="BE17" i="120"/>
  <c r="Y22" i="125" s="1"/>
  <c r="BN74" i="120"/>
  <c r="CM74" i="120" s="1"/>
  <c r="CF49" i="120"/>
  <c r="BY267" i="120"/>
  <c r="AI212" i="120"/>
  <c r="BG146" i="120"/>
  <c r="BH97" i="120"/>
  <c r="B176" i="120"/>
  <c r="BI212" i="120"/>
  <c r="CG146" i="120"/>
  <c r="CG212" i="120" s="1"/>
  <c r="CF52" i="120"/>
  <c r="AG255" i="120"/>
  <c r="AP81" i="120"/>
  <c r="BE81" i="120" s="1"/>
  <c r="BE255" i="120" s="1"/>
  <c r="CG135" i="120"/>
  <c r="CJ135" i="120" s="1"/>
  <c r="BI214" i="120"/>
  <c r="CG148" i="120"/>
  <c r="AG222" i="120"/>
  <c r="AC250" i="120"/>
  <c r="BM176" i="120"/>
  <c r="BI190" i="120"/>
  <c r="CG23" i="120"/>
  <c r="CG22" i="120" s="1"/>
  <c r="CG189" i="120" s="1"/>
  <c r="BI22" i="120"/>
  <c r="BI189" i="120" s="1"/>
  <c r="AF79" i="120"/>
  <c r="AP79" i="120"/>
  <c r="AO79" i="120" s="1"/>
  <c r="AH258" i="120"/>
  <c r="AN258" i="120" s="1"/>
  <c r="AQ84" i="120"/>
  <c r="BY207" i="120"/>
  <c r="BI258" i="120"/>
  <c r="CG84" i="120"/>
  <c r="CG258" i="120" s="1"/>
  <c r="CJ258" i="120" s="1"/>
  <c r="AO176" i="120"/>
  <c r="CG48" i="120"/>
  <c r="BE74" i="120"/>
  <c r="CF45" i="120"/>
  <c r="AI98" i="120"/>
  <c r="BG98" i="120" s="1"/>
  <c r="N255" i="120"/>
  <c r="CG40" i="120"/>
  <c r="CG240" i="120" s="1"/>
  <c r="AG191" i="120"/>
  <c r="CG253" i="120"/>
  <c r="BH212" i="120"/>
  <c r="CF146" i="120"/>
  <c r="BO97" i="120"/>
  <c r="CN97" i="120" s="1"/>
  <c r="AQ88" i="120"/>
  <c r="BF88" i="120" s="1"/>
  <c r="CG138" i="120"/>
  <c r="CG24" i="120"/>
  <c r="CG32" i="120"/>
  <c r="AQ200" i="120"/>
  <c r="CP52" i="121" s="1"/>
  <c r="CY52" i="121" s="1"/>
  <c r="DH52" i="121" s="1"/>
  <c r="BO55" i="120"/>
  <c r="BO200" i="120" s="1"/>
  <c r="EO52" i="121" s="1"/>
  <c r="AF84" i="120"/>
  <c r="AF258" i="120" s="1"/>
  <c r="BL76" i="120"/>
  <c r="BF58" i="120"/>
  <c r="AC257" i="120"/>
  <c r="AF88" i="120"/>
  <c r="AP88" i="120"/>
  <c r="BE88" i="120" s="1"/>
  <c r="AH246" i="120"/>
  <c r="AN246" i="120" s="1"/>
  <c r="AQ78" i="120"/>
  <c r="AQ246" i="120" s="1"/>
  <c r="CJ156" i="120"/>
  <c r="AI210" i="120"/>
  <c r="CG43" i="120"/>
  <c r="CG243" i="120" s="1"/>
  <c r="AO97" i="120"/>
  <c r="BN97" i="120"/>
  <c r="CM97" i="120" s="1"/>
  <c r="BF98" i="120"/>
  <c r="CG141" i="120"/>
  <c r="CG31" i="120"/>
  <c r="AQ248" i="120"/>
  <c r="BO77" i="120"/>
  <c r="BO248" i="120" s="1"/>
  <c r="CG33" i="120"/>
  <c r="AN78" i="120"/>
  <c r="BI267" i="120"/>
  <c r="CG97" i="120"/>
  <c r="CG121" i="120"/>
  <c r="CG76" i="120"/>
  <c r="CJ76" i="120" s="1"/>
  <c r="AJ269" i="120"/>
  <c r="BH98" i="120"/>
  <c r="CG90" i="120"/>
  <c r="AG73" i="120"/>
  <c r="CG45" i="120"/>
  <c r="BE97" i="120"/>
  <c r="BH256" i="120"/>
  <c r="CF82" i="120"/>
  <c r="BO98" i="120"/>
  <c r="CN98" i="120" s="1"/>
  <c r="AQ223" i="120"/>
  <c r="CP75" i="121" s="1"/>
  <c r="CY75" i="121" s="1"/>
  <c r="DH75" i="121" s="1"/>
  <c r="BO157" i="120"/>
  <c r="BO223" i="120" s="1"/>
  <c r="EO75" i="121" s="1"/>
  <c r="CF136" i="120"/>
  <c r="CI136" i="120" s="1"/>
  <c r="CG176" i="120"/>
  <c r="CJ9" i="120"/>
  <c r="CJ176" i="120" s="1"/>
  <c r="AF32" i="120"/>
  <c r="AP32" i="120"/>
  <c r="Q77" i="120"/>
  <c r="Q248" i="120" s="1"/>
  <c r="CG49" i="120"/>
  <c r="AQ247" i="120"/>
  <c r="BO80" i="120"/>
  <c r="BO247" i="120" s="1"/>
  <c r="R257" i="120"/>
  <c r="CG134" i="120"/>
  <c r="CF147" i="120"/>
  <c r="CF125" i="120"/>
  <c r="CI125" i="120" s="1"/>
  <c r="CG115" i="120"/>
  <c r="AO92" i="120"/>
  <c r="BN92" i="120"/>
  <c r="CM92" i="120" s="1"/>
  <c r="AM32" i="120"/>
  <c r="BF87" i="120"/>
  <c r="B31" i="124"/>
  <c r="BO91" i="120"/>
  <c r="CN91" i="120" s="1"/>
  <c r="BO68" i="120"/>
  <c r="CN68" i="120" s="1"/>
  <c r="BF68" i="120"/>
  <c r="CJ70" i="121"/>
  <c r="EI70" i="121" s="1"/>
  <c r="GH70" i="121" s="1"/>
  <c r="DO73" i="123"/>
  <c r="AM8" i="122"/>
  <c r="R178" i="122"/>
  <c r="FV56" i="121"/>
  <c r="EO77" i="121"/>
  <c r="DV54" i="121"/>
  <c r="BX55" i="121"/>
  <c r="BX61" i="121"/>
  <c r="EH60" i="121"/>
  <c r="CI59" i="121"/>
  <c r="EH73" i="121"/>
  <c r="GG73" i="121" s="1"/>
  <c r="S76" i="121"/>
  <c r="S81" i="121" s="1"/>
  <c r="AJ54" i="121"/>
  <c r="EI58" i="121"/>
  <c r="GH58" i="121" s="1"/>
  <c r="DV68" i="121"/>
  <c r="CJ53" i="121"/>
  <c r="EI53" i="121" s="1"/>
  <c r="BO76" i="121"/>
  <c r="BO81" i="121" s="1"/>
  <c r="BN76" i="121"/>
  <c r="BN78" i="121" s="1"/>
  <c r="BX67" i="121"/>
  <c r="BX56" i="121"/>
  <c r="CJ56" i="121" s="1"/>
  <c r="EI56" i="121" s="1"/>
  <c r="EH70" i="121"/>
  <c r="GG70" i="121" s="1"/>
  <c r="CJ74" i="121"/>
  <c r="CI74" i="121"/>
  <c r="EH74" i="121" s="1"/>
  <c r="GG74" i="121" s="1"/>
  <c r="AJ61" i="121"/>
  <c r="CJ64" i="121"/>
  <c r="AP57" i="120"/>
  <c r="BE57" i="120" s="1"/>
  <c r="AA66" i="123"/>
  <c r="AA63" i="123"/>
  <c r="BH65" i="123"/>
  <c r="BG65" i="123" s="1"/>
  <c r="BP65" i="123" s="1"/>
  <c r="GE60" i="123"/>
  <c r="EV72" i="123"/>
  <c r="BE66" i="123"/>
  <c r="CJ12" i="122"/>
  <c r="BN175" i="122"/>
  <c r="EN59" i="123" s="1"/>
  <c r="AQ25" i="122"/>
  <c r="AQ77" i="122"/>
  <c r="BF77" i="122" s="1"/>
  <c r="CG165" i="122"/>
  <c r="BO118" i="122"/>
  <c r="BO171" i="122" s="1"/>
  <c r="EO55" i="123" s="1"/>
  <c r="AQ171" i="122"/>
  <c r="CP55" i="123" s="1"/>
  <c r="CI145" i="122"/>
  <c r="CJ85" i="122"/>
  <c r="CG162" i="122"/>
  <c r="CJ162" i="122" s="1"/>
  <c r="BO31" i="122"/>
  <c r="CJ31" i="122"/>
  <c r="DN81" i="121"/>
  <c r="DN82" i="121" s="1"/>
  <c r="DN83" i="121" s="1"/>
  <c r="DN84" i="121" s="1"/>
  <c r="EV88" i="121"/>
  <c r="FE88" i="121" s="1"/>
  <c r="AX80" i="121"/>
  <c r="BF76" i="121"/>
  <c r="BF81" i="121" s="1"/>
  <c r="DW61" i="121"/>
  <c r="FU48" i="121"/>
  <c r="DO87" i="121"/>
  <c r="BW67" i="121"/>
  <c r="GE50" i="121"/>
  <c r="BW61" i="121"/>
  <c r="DO88" i="121"/>
  <c r="AJ56" i="121"/>
  <c r="DV56" i="121"/>
  <c r="CU76" i="121"/>
  <c r="CU78" i="121" s="1"/>
  <c r="BW56" i="121"/>
  <c r="FU56" i="121"/>
  <c r="FU57" i="121"/>
  <c r="EM85" i="121"/>
  <c r="EV87" i="121"/>
  <c r="EV85" i="121" s="1"/>
  <c r="EU76" i="121"/>
  <c r="EU81" i="121" s="1"/>
  <c r="BW68" i="121"/>
  <c r="CI68" i="121" s="1"/>
  <c r="EH68" i="121" s="1"/>
  <c r="R76" i="121"/>
  <c r="R81" i="121" s="1"/>
  <c r="BW62" i="121"/>
  <c r="CI62" i="121" s="1"/>
  <c r="EH62" i="121" s="1"/>
  <c r="DM76" i="121"/>
  <c r="DM81" i="121" s="1"/>
  <c r="DL81" i="121" s="1"/>
  <c r="AJ57" i="121"/>
  <c r="CJ49" i="121"/>
  <c r="EI49" i="121" s="1"/>
  <c r="GH49" i="121" s="1"/>
  <c r="BW57" i="121"/>
  <c r="DV61" i="121"/>
  <c r="AV76" i="121"/>
  <c r="BW48" i="121"/>
  <c r="FU61" i="121"/>
  <c r="FU62" i="121"/>
  <c r="FU54" i="121"/>
  <c r="CM24" i="121"/>
  <c r="BW54" i="121"/>
  <c r="FU68" i="121"/>
  <c r="BE76" i="121"/>
  <c r="BE81" i="121" s="1"/>
  <c r="GG9" i="121"/>
  <c r="DV67" i="121"/>
  <c r="CJ71" i="121"/>
  <c r="EI71" i="121" s="1"/>
  <c r="AW81" i="121"/>
  <c r="AW82" i="121" s="1"/>
  <c r="AW83" i="121" s="1"/>
  <c r="AW78" i="121"/>
  <c r="AF73" i="120"/>
  <c r="AP73" i="120"/>
  <c r="CG267" i="120"/>
  <c r="CJ97" i="120"/>
  <c r="CJ33" i="120"/>
  <c r="BM97" i="120"/>
  <c r="CJ32" i="120"/>
  <c r="BE191" i="120"/>
  <c r="BN81" i="120"/>
  <c r="BE184" i="120"/>
  <c r="CF212" i="120"/>
  <c r="CJ138" i="120"/>
  <c r="CJ121" i="120"/>
  <c r="CJ112" i="120"/>
  <c r="BN79" i="120"/>
  <c r="CM79" i="120" s="1"/>
  <c r="AP222" i="120"/>
  <c r="CO74" i="121" s="1"/>
  <c r="CX74" i="121" s="1"/>
  <c r="BN156" i="120"/>
  <c r="CM156" i="120" s="1"/>
  <c r="CG214" i="120"/>
  <c r="CJ214" i="120" s="1"/>
  <c r="CJ148" i="120"/>
  <c r="BG212" i="120"/>
  <c r="CE146" i="120"/>
  <c r="CG251" i="120"/>
  <c r="CF213" i="120"/>
  <c r="CG264" i="120"/>
  <c r="AO32" i="120"/>
  <c r="BN32" i="120"/>
  <c r="CM32" i="120" s="1"/>
  <c r="CJ90" i="120"/>
  <c r="CJ84" i="120"/>
  <c r="AQ258" i="120"/>
  <c r="BO84" i="120"/>
  <c r="BO258" i="120" s="1"/>
  <c r="CJ23" i="120"/>
  <c r="CJ190" i="120" s="1"/>
  <c r="BG213" i="120"/>
  <c r="CE147" i="120"/>
  <c r="CE213" i="120" s="1"/>
  <c r="CF256" i="120"/>
  <c r="CI256" i="120"/>
  <c r="CI82" i="120"/>
  <c r="CF98" i="120"/>
  <c r="BO78" i="120"/>
  <c r="CN78" i="120" s="1"/>
  <c r="BN88" i="120"/>
  <c r="CM88" i="120" s="1"/>
  <c r="CG191" i="120"/>
  <c r="CJ24" i="120"/>
  <c r="CJ191" i="120" s="1"/>
  <c r="BF84" i="120"/>
  <c r="BF258" i="120" s="1"/>
  <c r="BL258" i="120" s="1"/>
  <c r="CI32" i="120"/>
  <c r="BK97" i="120"/>
  <c r="CF97" i="120"/>
  <c r="CI97" i="120" s="1"/>
  <c r="BD88" i="120"/>
  <c r="BQ74" i="121"/>
  <c r="P59" i="125" s="1"/>
  <c r="CN84" i="120"/>
  <c r="BE73" i="120"/>
  <c r="DQ75" i="121"/>
  <c r="W60" i="125" s="1"/>
  <c r="FP65" i="123"/>
  <c r="AD56" i="126" s="1"/>
  <c r="AP75" i="120"/>
  <c r="BN57" i="120"/>
  <c r="CM57" i="120" s="1"/>
  <c r="CO65" i="123"/>
  <c r="CN65" i="123" s="1"/>
  <c r="BQ65" i="123"/>
  <c r="Q56" i="126" s="1"/>
  <c r="AV66" i="123"/>
  <c r="AV63" i="123"/>
  <c r="BO77" i="122"/>
  <c r="FE87" i="121"/>
  <c r="FN87" i="121" s="1"/>
  <c r="CU81" i="121"/>
  <c r="R78" i="121"/>
  <c r="CO80" i="121"/>
  <c r="CN80" i="121" s="1"/>
  <c r="BG80" i="121"/>
  <c r="CI57" i="121"/>
  <c r="EH57" i="121" s="1"/>
  <c r="ET76" i="121"/>
  <c r="ET81" i="121" s="1"/>
  <c r="BL84" i="120"/>
  <c r="BN222" i="120"/>
  <c r="EN74" i="121" s="1"/>
  <c r="EW74" i="121" s="1"/>
  <c r="D133" i="120"/>
  <c r="CD250" i="120"/>
  <c r="CD207" i="120"/>
  <c r="D110" i="120"/>
  <c r="D207" i="120" s="1"/>
  <c r="D59" i="121" s="1"/>
  <c r="M59" i="121" s="1"/>
  <c r="V59" i="121" s="1"/>
  <c r="CD267" i="120"/>
  <c r="D121" i="120"/>
  <c r="D267" i="120" s="1"/>
  <c r="C141" i="120"/>
  <c r="D141" i="120"/>
  <c r="S141" i="120" s="1"/>
  <c r="C132" i="120"/>
  <c r="R132" i="120" s="1"/>
  <c r="C142" i="120"/>
  <c r="AO73" i="120"/>
  <c r="BN73" i="120"/>
  <c r="BM73" i="120" s="1"/>
  <c r="D111" i="120"/>
  <c r="S111" i="120" s="1"/>
  <c r="AH111" i="120" s="1"/>
  <c r="CJ111" i="120"/>
  <c r="D120" i="120"/>
  <c r="S120" i="120" s="1"/>
  <c r="CD119" i="120"/>
  <c r="D108" i="120"/>
  <c r="CD218" i="120"/>
  <c r="CD252" i="120"/>
  <c r="D113" i="120"/>
  <c r="S113" i="120" s="1"/>
  <c r="S252" i="120" s="1"/>
  <c r="D109" i="120"/>
  <c r="D140" i="120"/>
  <c r="S140" i="120" s="1"/>
  <c r="AH140" i="120" s="1"/>
  <c r="CD139" i="120"/>
  <c r="CD251" i="120"/>
  <c r="D112" i="120"/>
  <c r="CD269" i="120"/>
  <c r="D122" i="120"/>
  <c r="C134" i="120"/>
  <c r="C131" i="120"/>
  <c r="R131" i="120" s="1"/>
  <c r="CD217" i="120"/>
  <c r="D115" i="120"/>
  <c r="S115" i="120" s="1"/>
  <c r="D135" i="120"/>
  <c r="S135" i="120" s="1"/>
  <c r="CD216" i="120"/>
  <c r="CJ141" i="120"/>
  <c r="CJ115" i="120"/>
  <c r="CE98" i="120"/>
  <c r="CH98" i="120" s="1"/>
  <c r="CE212" i="120"/>
  <c r="D107" i="120"/>
  <c r="D118" i="120"/>
  <c r="D142" i="120"/>
  <c r="CC267" i="120"/>
  <c r="C121" i="120"/>
  <c r="C267" i="120" s="1"/>
  <c r="CD253" i="120"/>
  <c r="D114" i="120"/>
  <c r="S114" i="120" s="1"/>
  <c r="CJ114" i="120"/>
  <c r="C133" i="120"/>
  <c r="R133" i="120" s="1"/>
  <c r="CD219" i="120"/>
  <c r="CC119" i="120"/>
  <c r="C120" i="120"/>
  <c r="D138" i="120"/>
  <c r="CD137" i="120"/>
  <c r="D131" i="120"/>
  <c r="S131" i="120" s="1"/>
  <c r="AH131" i="120" s="1"/>
  <c r="CJ131" i="120"/>
  <c r="CD249" i="120"/>
  <c r="D116" i="120"/>
  <c r="S116" i="120" s="1"/>
  <c r="CJ116" i="120"/>
  <c r="CD220" i="120"/>
  <c r="D132" i="120"/>
  <c r="S132" i="120" s="1"/>
  <c r="CC117" i="120"/>
  <c r="C118" i="120"/>
  <c r="C136" i="120"/>
  <c r="R136" i="120" s="1"/>
  <c r="D136" i="120"/>
  <c r="S136" i="120" s="1"/>
  <c r="AH136" i="120" s="1"/>
  <c r="CD221" i="120"/>
  <c r="CC269" i="120"/>
  <c r="C122" i="120"/>
  <c r="R122" i="120" s="1"/>
  <c r="CC139" i="120"/>
  <c r="CB139" i="120" s="1"/>
  <c r="C140" i="120"/>
  <c r="R140" i="120" s="1"/>
  <c r="CC74" i="121"/>
  <c r="S59" i="125" s="1"/>
  <c r="CX65" i="123"/>
  <c r="CX80" i="121"/>
  <c r="DG80" i="121" s="1"/>
  <c r="CB117" i="120"/>
  <c r="R121" i="120"/>
  <c r="S108" i="120"/>
  <c r="AH108" i="120" s="1"/>
  <c r="S107" i="120"/>
  <c r="D252" i="120"/>
  <c r="S133" i="120"/>
  <c r="C117" i="120"/>
  <c r="R118" i="120"/>
  <c r="AG118" i="120" s="1"/>
  <c r="B133" i="120"/>
  <c r="R134" i="120"/>
  <c r="AG134" i="120" s="1"/>
  <c r="CB119" i="120"/>
  <c r="D251" i="120"/>
  <c r="S112" i="120"/>
  <c r="AH112" i="120" s="1"/>
  <c r="S109" i="120"/>
  <c r="AH109" i="120" s="1"/>
  <c r="S121" i="120"/>
  <c r="S267" i="120" s="1"/>
  <c r="D250" i="120"/>
  <c r="CW71" i="123"/>
  <c r="DF71" i="123" s="1"/>
  <c r="DO71" i="123" s="1"/>
  <c r="CW86" i="121"/>
  <c r="CW85" i="121" s="1"/>
  <c r="CN85" i="121"/>
  <c r="R117" i="120"/>
  <c r="DF86" i="121"/>
  <c r="DF85" i="121" s="1"/>
  <c r="AG32" i="66"/>
  <c r="AO32" i="66" s="1"/>
  <c r="P5" i="65"/>
  <c r="CI107" i="8"/>
  <c r="CE107" i="8"/>
  <c r="CA107" i="8"/>
  <c r="CJ107" i="8"/>
  <c r="CH107" i="8"/>
  <c r="CG107" i="8"/>
  <c r="CF107" i="8"/>
  <c r="CD107" i="8"/>
  <c r="CC107" i="8"/>
  <c r="CB107" i="8"/>
  <c r="BZ107" i="8"/>
  <c r="BY107" i="8"/>
  <c r="CE157" i="7"/>
  <c r="CD157" i="7"/>
  <c r="CC157" i="7"/>
  <c r="CB157" i="7"/>
  <c r="CN153" i="7"/>
  <c r="CM153" i="7"/>
  <c r="CL153" i="7"/>
  <c r="CK153" i="7"/>
  <c r="CJ153" i="7"/>
  <c r="CI153" i="7"/>
  <c r="CQ102" i="8"/>
  <c r="CN102" i="8"/>
  <c r="BV102" i="8"/>
  <c r="BS102" i="8"/>
  <c r="BP102" i="8"/>
  <c r="BM102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J102" i="8"/>
  <c r="CJ52" i="8"/>
  <c r="CJ53" i="8" s="1"/>
  <c r="CI52" i="8"/>
  <c r="CI53" i="8" s="1"/>
  <c r="CH52" i="8"/>
  <c r="CH53" i="8" s="1"/>
  <c r="CG52" i="8"/>
  <c r="CG53" i="8" s="1"/>
  <c r="CF52" i="8"/>
  <c r="CF53" i="8" s="1"/>
  <c r="CE52" i="8"/>
  <c r="CE53" i="8" s="1"/>
  <c r="CD52" i="8"/>
  <c r="CD53" i="8" s="1"/>
  <c r="CC52" i="8"/>
  <c r="CC53" i="8" s="1"/>
  <c r="CB52" i="8"/>
  <c r="CB53" i="8" s="1"/>
  <c r="CA52" i="8"/>
  <c r="CA53" i="8" s="1"/>
  <c r="BZ52" i="8"/>
  <c r="BZ53" i="8" s="1"/>
  <c r="BY52" i="8"/>
  <c r="BY53" i="8" s="1"/>
  <c r="BO52" i="8"/>
  <c r="BN52" i="8"/>
  <c r="BB53" i="8"/>
  <c r="AZ53" i="8" s="1"/>
  <c r="BA53" i="8" s="1"/>
  <c r="AS53" i="8"/>
  <c r="AP53" i="8"/>
  <c r="AI53" i="8"/>
  <c r="AW53" i="8" s="1"/>
  <c r="CE155" i="7"/>
  <c r="CD155" i="7"/>
  <c r="CC155" i="7"/>
  <c r="CB155" i="7"/>
  <c r="BS153" i="7"/>
  <c r="BP153" i="7"/>
  <c r="CE152" i="7"/>
  <c r="CD152" i="7"/>
  <c r="CC152" i="7"/>
  <c r="CB152" i="7"/>
  <c r="BM153" i="7"/>
  <c r="CE64" i="7"/>
  <c r="CE65" i="7" s="1"/>
  <c r="CD64" i="7"/>
  <c r="CD65" i="7" s="1"/>
  <c r="CC64" i="7"/>
  <c r="CC65" i="7" s="1"/>
  <c r="CB64" i="7"/>
  <c r="CB65" i="7" s="1"/>
  <c r="BR64" i="7"/>
  <c r="BQ64" i="7"/>
  <c r="BO64" i="7"/>
  <c r="BN64" i="7"/>
  <c r="AI31" i="65"/>
  <c r="AH30" i="66"/>
  <c r="AH29" i="66"/>
  <c r="AH27" i="66"/>
  <c r="AH26" i="66"/>
  <c r="AH25" i="66"/>
  <c r="AG24" i="66"/>
  <c r="AG21" i="66"/>
  <c r="AG20" i="66"/>
  <c r="AG19" i="66"/>
  <c r="AG18" i="66"/>
  <c r="AI37" i="65"/>
  <c r="AO37" i="65" s="1"/>
  <c r="AI32" i="65"/>
  <c r="AJ28" i="65"/>
  <c r="AI24" i="65"/>
  <c r="AG17" i="64"/>
  <c r="CH174" i="7"/>
  <c r="CH173" i="7"/>
  <c r="AH30" i="64"/>
  <c r="AH29" i="64"/>
  <c r="AH27" i="64"/>
  <c r="AH26" i="64"/>
  <c r="AH25" i="64"/>
  <c r="AG24" i="64"/>
  <c r="AG21" i="64"/>
  <c r="AG20" i="64"/>
  <c r="AG19" i="64"/>
  <c r="AO19" i="64" s="1"/>
  <c r="AG18" i="64"/>
  <c r="AO18" i="64" s="1"/>
  <c r="AY21" i="61"/>
  <c r="AY20" i="61"/>
  <c r="AY19" i="61"/>
  <c r="AX37" i="61"/>
  <c r="C40" i="119"/>
  <c r="C32" i="119"/>
  <c r="C30" i="119" s="1"/>
  <c r="AI33" i="65" s="1"/>
  <c r="C25" i="119"/>
  <c r="G12" i="119"/>
  <c r="G11" i="119"/>
  <c r="G9" i="119"/>
  <c r="F9" i="119"/>
  <c r="F10" i="119" s="1"/>
  <c r="G8" i="119"/>
  <c r="G7" i="119"/>
  <c r="G6" i="119"/>
  <c r="F6" i="119"/>
  <c r="F7" i="119" s="1"/>
  <c r="AX32" i="61"/>
  <c r="T7" i="102"/>
  <c r="CG59" i="7" s="1"/>
  <c r="M64" i="123"/>
  <c r="V64" i="123" s="1"/>
  <c r="L79" i="121"/>
  <c r="U79" i="121" s="1"/>
  <c r="B79" i="121"/>
  <c r="AX33" i="61"/>
  <c r="AX24" i="61"/>
  <c r="BW46" i="19"/>
  <c r="BW45" i="19"/>
  <c r="BW44" i="19"/>
  <c r="BW43" i="19"/>
  <c r="BW40" i="19"/>
  <c r="BW38" i="19"/>
  <c r="BW35" i="19"/>
  <c r="BW32" i="19"/>
  <c r="BW29" i="19"/>
  <c r="BW28" i="19"/>
  <c r="BW22" i="19"/>
  <c r="BW20" i="19"/>
  <c r="BW15" i="19"/>
  <c r="BW9" i="19"/>
  <c r="BW8" i="19"/>
  <c r="T13" i="102"/>
  <c r="Y13" i="102" s="1"/>
  <c r="Y16" i="102" s="1"/>
  <c r="CM95" i="8"/>
  <c r="CL47" i="8"/>
  <c r="CG61" i="7"/>
  <c r="E108" i="118"/>
  <c r="B105" i="118"/>
  <c r="C105" i="118" s="1"/>
  <c r="C104" i="118"/>
  <c r="B104" i="118"/>
  <c r="B100" i="118"/>
  <c r="C100" i="118" s="1"/>
  <c r="D100" i="118" s="1"/>
  <c r="C99" i="118"/>
  <c r="B99" i="118"/>
  <c r="B95" i="118"/>
  <c r="C95" i="118" s="1"/>
  <c r="C94" i="118"/>
  <c r="B94" i="118"/>
  <c r="B90" i="118"/>
  <c r="C90" i="118" s="1"/>
  <c r="C89" i="118"/>
  <c r="B89" i="118"/>
  <c r="B85" i="118"/>
  <c r="C85" i="118" s="1"/>
  <c r="C84" i="118"/>
  <c r="B84" i="118"/>
  <c r="B80" i="118"/>
  <c r="C80" i="118" s="1"/>
  <c r="C79" i="118"/>
  <c r="B79" i="118"/>
  <c r="B75" i="118"/>
  <c r="C75" i="118" s="1"/>
  <c r="D75" i="118" s="1"/>
  <c r="C74" i="118"/>
  <c r="B74" i="118"/>
  <c r="B70" i="118"/>
  <c r="C70" i="118" s="1"/>
  <c r="C69" i="118"/>
  <c r="B69" i="118"/>
  <c r="B71" i="118" s="1"/>
  <c r="B72" i="118" s="1"/>
  <c r="B65" i="118"/>
  <c r="C65" i="118" s="1"/>
  <c r="C64" i="118"/>
  <c r="B64" i="118"/>
  <c r="B60" i="118"/>
  <c r="C60" i="118" s="1"/>
  <c r="D60" i="118" s="1"/>
  <c r="C59" i="118"/>
  <c r="B59" i="118"/>
  <c r="E48" i="118"/>
  <c r="E46" i="118"/>
  <c r="D43" i="118"/>
  <c r="B43" i="118" s="1"/>
  <c r="B44" i="118" s="1"/>
  <c r="B45" i="118" s="1"/>
  <c r="D38" i="118"/>
  <c r="B38" i="118" s="1"/>
  <c r="C37" i="118"/>
  <c r="B37" i="118"/>
  <c r="B33" i="118"/>
  <c r="C33" i="118" s="1"/>
  <c r="D33" i="118" s="1"/>
  <c r="B32" i="118"/>
  <c r="B28" i="118"/>
  <c r="B27" i="118"/>
  <c r="D23" i="118"/>
  <c r="B23" i="118" s="1"/>
  <c r="C23" i="118" s="1"/>
  <c r="C24" i="118" s="1"/>
  <c r="C25" i="118" s="1"/>
  <c r="D18" i="118"/>
  <c r="B18" i="118" s="1"/>
  <c r="B13" i="118"/>
  <c r="C13" i="118" s="1"/>
  <c r="B8" i="118"/>
  <c r="C8" i="118" s="1"/>
  <c r="CL95" i="8"/>
  <c r="AI17" i="65" s="1"/>
  <c r="CG174" i="7"/>
  <c r="B14" i="118"/>
  <c r="B15" i="118" s="1"/>
  <c r="CG146" i="7"/>
  <c r="AX18" i="61"/>
  <c r="C28" i="118"/>
  <c r="C29" i="118" s="1"/>
  <c r="I16" i="92"/>
  <c r="T27" i="104" s="1"/>
  <c r="CL43" i="8" s="1"/>
  <c r="T19" i="104"/>
  <c r="CH53" i="7" s="1"/>
  <c r="T10" i="104"/>
  <c r="CG53" i="7" s="1"/>
  <c r="AK69" i="32"/>
  <c r="AI66" i="32"/>
  <c r="AI64" i="32"/>
  <c r="AI62" i="32"/>
  <c r="AP44" i="6"/>
  <c r="AP43" i="6"/>
  <c r="AP41" i="6"/>
  <c r="AP38" i="6"/>
  <c r="AP31" i="6"/>
  <c r="AP17" i="6"/>
  <c r="AP10" i="6"/>
  <c r="AX45" i="5"/>
  <c r="AX44" i="5"/>
  <c r="BB44" i="5" s="1"/>
  <c r="AX43" i="5"/>
  <c r="AX42" i="5"/>
  <c r="AX37" i="5"/>
  <c r="AX36" i="5"/>
  <c r="AX35" i="5"/>
  <c r="AX33" i="5"/>
  <c r="AX32" i="5"/>
  <c r="AX31" i="5"/>
  <c r="BB31" i="5" s="1"/>
  <c r="AX22" i="5"/>
  <c r="AX21" i="5"/>
  <c r="BB21" i="5" s="1"/>
  <c r="AX20" i="5"/>
  <c r="BB20" i="5" s="1"/>
  <c r="AX19" i="5"/>
  <c r="BB19" i="5" s="1"/>
  <c r="AX16" i="5"/>
  <c r="BB16" i="5" s="1"/>
  <c r="AX9" i="5"/>
  <c r="CM30" i="8"/>
  <c r="CH49" i="7"/>
  <c r="CH43" i="7" s="1"/>
  <c r="CV29" i="17"/>
  <c r="CV31" i="17"/>
  <c r="K28" i="111"/>
  <c r="CF22" i="7" s="1"/>
  <c r="K27" i="111"/>
  <c r="CF12" i="7" s="1"/>
  <c r="L26" i="111"/>
  <c r="L32" i="111"/>
  <c r="J55" i="97"/>
  <c r="J52" i="97"/>
  <c r="K34" i="111" s="1"/>
  <c r="J51" i="97"/>
  <c r="K33" i="111" s="1"/>
  <c r="CK12" i="8" s="1"/>
  <c r="CN75" i="122"/>
  <c r="D78" i="122"/>
  <c r="CD79" i="122"/>
  <c r="CD210" i="120"/>
  <c r="D144" i="120"/>
  <c r="CV24" i="17"/>
  <c r="CG44" i="7"/>
  <c r="CF44" i="7" s="1"/>
  <c r="CM108" i="8"/>
  <c r="CL108" i="8"/>
  <c r="CK108" i="8"/>
  <c r="CM105" i="8"/>
  <c r="CL105" i="8"/>
  <c r="CK105" i="8"/>
  <c r="CM98" i="8"/>
  <c r="CL98" i="8"/>
  <c r="CM97" i="8"/>
  <c r="CM120" i="8" s="1"/>
  <c r="CL97" i="8"/>
  <c r="CL120" i="8" s="1"/>
  <c r="CM96" i="8"/>
  <c r="CM122" i="8" s="1"/>
  <c r="CM123" i="8"/>
  <c r="CK50" i="8"/>
  <c r="CK98" i="8" s="1"/>
  <c r="CK49" i="8"/>
  <c r="CK97" i="8" s="1"/>
  <c r="CK36" i="8"/>
  <c r="CK21" i="8"/>
  <c r="CM91" i="8"/>
  <c r="CK11" i="8"/>
  <c r="CH159" i="7"/>
  <c r="CG159" i="7"/>
  <c r="CF159" i="7"/>
  <c r="CH156" i="7"/>
  <c r="CG156" i="7"/>
  <c r="CF156" i="7"/>
  <c r="CH149" i="7"/>
  <c r="CG149" i="7"/>
  <c r="CF149" i="7"/>
  <c r="CH148" i="7"/>
  <c r="CH171" i="7" s="1"/>
  <c r="CH146" i="7"/>
  <c r="CH142" i="7"/>
  <c r="CF61" i="7"/>
  <c r="CF146" i="7" s="1"/>
  <c r="CG60" i="7"/>
  <c r="CF60" i="7" s="1"/>
  <c r="CF148" i="7" s="1"/>
  <c r="CH147" i="7"/>
  <c r="CF57" i="7"/>
  <c r="CG37" i="7"/>
  <c r="CH24" i="7"/>
  <c r="CF21" i="7"/>
  <c r="CF11" i="7"/>
  <c r="AD33" i="98"/>
  <c r="AD18" i="98"/>
  <c r="AH18" i="98" s="1"/>
  <c r="AH22" i="98" s="1"/>
  <c r="AE42" i="95"/>
  <c r="AI42" i="95" s="1"/>
  <c r="M26" i="95"/>
  <c r="AE26" i="95" s="1"/>
  <c r="AI26" i="95" s="1"/>
  <c r="AE17" i="95"/>
  <c r="AI17" i="95" s="1"/>
  <c r="D79" i="122"/>
  <c r="C125" i="120"/>
  <c r="R125" i="120" s="1"/>
  <c r="CB125" i="120"/>
  <c r="S144" i="120"/>
  <c r="D210" i="120"/>
  <c r="D62" i="121" s="1"/>
  <c r="C66" i="120"/>
  <c r="CB66" i="120"/>
  <c r="AI14" i="65"/>
  <c r="CM34" i="8"/>
  <c r="S210" i="120"/>
  <c r="AQ62" i="121" s="1"/>
  <c r="B66" i="120"/>
  <c r="R66" i="120"/>
  <c r="AG66" i="120" s="1"/>
  <c r="D22" i="122"/>
  <c r="S22" i="122" s="1"/>
  <c r="CM27" i="8"/>
  <c r="CM88" i="8"/>
  <c r="BD66" i="3"/>
  <c r="BD63" i="3"/>
  <c r="GA9" i="123" s="1"/>
  <c r="BD57" i="3"/>
  <c r="BD53" i="3"/>
  <c r="BE49" i="3"/>
  <c r="CH151" i="7" s="1"/>
  <c r="GA8" i="123"/>
  <c r="EW8" i="123" s="1"/>
  <c r="AI63" i="32"/>
  <c r="AI67" i="32" s="1"/>
  <c r="BD49" i="3"/>
  <c r="BD45" i="3" s="1"/>
  <c r="BD44" i="3" s="1"/>
  <c r="L8" i="123"/>
  <c r="AX36" i="61"/>
  <c r="CG151" i="7"/>
  <c r="CG64" i="7" s="1"/>
  <c r="V27" i="104"/>
  <c r="R20" i="105"/>
  <c r="R26" i="105" s="1"/>
  <c r="R21" i="105"/>
  <c r="R27" i="105" s="1"/>
  <c r="R22" i="105"/>
  <c r="R28" i="105" s="1"/>
  <c r="R14" i="105"/>
  <c r="R6" i="105"/>
  <c r="CS59" i="8"/>
  <c r="CS57" i="8" s="1"/>
  <c r="CR59" i="8"/>
  <c r="CR58" i="8"/>
  <c r="CS56" i="8"/>
  <c r="CR56" i="8"/>
  <c r="CP48" i="8"/>
  <c r="CP96" i="8" s="1"/>
  <c r="K8" i="92"/>
  <c r="K14" i="92" s="1"/>
  <c r="CS18" i="8"/>
  <c r="CR18" i="8"/>
  <c r="CK139" i="7"/>
  <c r="CN139" i="7"/>
  <c r="CN149" i="7"/>
  <c r="CM149" i="7"/>
  <c r="CL149" i="7"/>
  <c r="CN148" i="7"/>
  <c r="CN171" i="7" s="1"/>
  <c r="CM148" i="7"/>
  <c r="CN146" i="7"/>
  <c r="CM146" i="7"/>
  <c r="CN143" i="7"/>
  <c r="CN142" i="7"/>
  <c r="CN141" i="7"/>
  <c r="CM141" i="7"/>
  <c r="CM171" i="7"/>
  <c r="CM174" i="7"/>
  <c r="CN174" i="7"/>
  <c r="CN159" i="7"/>
  <c r="CM159" i="7"/>
  <c r="CL159" i="7"/>
  <c r="CN156" i="7"/>
  <c r="CM156" i="7"/>
  <c r="CL156" i="7"/>
  <c r="CN71" i="7"/>
  <c r="CN69" i="7"/>
  <c r="CM71" i="7"/>
  <c r="CM70" i="7"/>
  <c r="CN68" i="7"/>
  <c r="CM68" i="7"/>
  <c r="CK59" i="7"/>
  <c r="CK147" i="7" s="1"/>
  <c r="M28" i="111"/>
  <c r="AO66" i="32"/>
  <c r="AO68" i="32"/>
  <c r="AO64" i="32"/>
  <c r="AO62" i="32"/>
  <c r="V15" i="102"/>
  <c r="V13" i="102"/>
  <c r="V9" i="102"/>
  <c r="V7" i="102" s="1"/>
  <c r="V21" i="102" s="1"/>
  <c r="Q10" i="100"/>
  <c r="CJ26" i="19"/>
  <c r="CM26" i="19"/>
  <c r="CL26" i="19"/>
  <c r="CK26" i="19"/>
  <c r="CK49" i="19" s="1"/>
  <c r="CO26" i="19"/>
  <c r="CJ27" i="19"/>
  <c r="CM27" i="19"/>
  <c r="CM49" i="19" s="1"/>
  <c r="CS46" i="8" s="1"/>
  <c r="CS94" i="8" s="1"/>
  <c r="CS117" i="8" s="1"/>
  <c r="AJ12" i="66" s="1"/>
  <c r="CL27" i="19"/>
  <c r="CK27" i="19"/>
  <c r="CO27" i="19"/>
  <c r="CJ16" i="19"/>
  <c r="CJ49" i="19" s="1"/>
  <c r="CM16" i="19"/>
  <c r="CL16" i="19"/>
  <c r="CK16" i="19"/>
  <c r="CO16" i="19"/>
  <c r="CO49" i="19" s="1"/>
  <c r="CN14" i="19"/>
  <c r="CO12" i="19"/>
  <c r="CN12" i="19"/>
  <c r="CM12" i="19"/>
  <c r="CL12" i="19"/>
  <c r="CK12" i="19"/>
  <c r="CJ12" i="19"/>
  <c r="CN49" i="19"/>
  <c r="CI48" i="19"/>
  <c r="CI47" i="19"/>
  <c r="CI46" i="19"/>
  <c r="CI45" i="19"/>
  <c r="CI44" i="19"/>
  <c r="CI43" i="19"/>
  <c r="CI42" i="19"/>
  <c r="CI41" i="19"/>
  <c r="CI40" i="19"/>
  <c r="CI39" i="19"/>
  <c r="CI38" i="19"/>
  <c r="CI37" i="19"/>
  <c r="CI36" i="19"/>
  <c r="CI35" i="19"/>
  <c r="CI34" i="19"/>
  <c r="CI33" i="19"/>
  <c r="CI32" i="19"/>
  <c r="CI31" i="19"/>
  <c r="CI30" i="19"/>
  <c r="CI29" i="19"/>
  <c r="CI28" i="19"/>
  <c r="CI25" i="19"/>
  <c r="CI24" i="19"/>
  <c r="CI23" i="19"/>
  <c r="CI22" i="19"/>
  <c r="CI21" i="19"/>
  <c r="CI20" i="19"/>
  <c r="CI19" i="19"/>
  <c r="CI18" i="19"/>
  <c r="CI17" i="19"/>
  <c r="CI15" i="19"/>
  <c r="CI11" i="19"/>
  <c r="CI10" i="19"/>
  <c r="CI14" i="19" s="1"/>
  <c r="CI9" i="19"/>
  <c r="CI8" i="19"/>
  <c r="DC36" i="17"/>
  <c r="DC35" i="17"/>
  <c r="DC34" i="17"/>
  <c r="DC33" i="17"/>
  <c r="DC32" i="17"/>
  <c r="DC30" i="17"/>
  <c r="DC29" i="17"/>
  <c r="DC28" i="17"/>
  <c r="DC27" i="17"/>
  <c r="DC26" i="17"/>
  <c r="DC25" i="17"/>
  <c r="CI12" i="19"/>
  <c r="N67" i="96"/>
  <c r="N59" i="96"/>
  <c r="M59" i="96"/>
  <c r="M58" i="96"/>
  <c r="N54" i="96"/>
  <c r="N11" i="96"/>
  <c r="AF19" i="98"/>
  <c r="AG40" i="95"/>
  <c r="AG26" i="95"/>
  <c r="BH63" i="3"/>
  <c r="CR100" i="8" s="1"/>
  <c r="BF63" i="3"/>
  <c r="BH66" i="3"/>
  <c r="BH53" i="3"/>
  <c r="AZ66" i="3"/>
  <c r="BF66" i="3"/>
  <c r="BB66" i="3"/>
  <c r="AZ53" i="3"/>
  <c r="BF53" i="3"/>
  <c r="BB53" i="3"/>
  <c r="AV66" i="3"/>
  <c r="AV53" i="3"/>
  <c r="CP122" i="8"/>
  <c r="CK173" i="7"/>
  <c r="CP59" i="8"/>
  <c r="CP57" i="8" s="1"/>
  <c r="CO59" i="8"/>
  <c r="CO58" i="8"/>
  <c r="CP56" i="8"/>
  <c r="CO56" i="8"/>
  <c r="CK71" i="7"/>
  <c r="CK69" i="7" s="1"/>
  <c r="CK68" i="7"/>
  <c r="CJ71" i="7"/>
  <c r="CJ69" i="7" s="1"/>
  <c r="CJ70" i="7"/>
  <c r="CJ68" i="7"/>
  <c r="CO57" i="8"/>
  <c r="U15" i="102"/>
  <c r="U13" i="102" s="1"/>
  <c r="U9" i="102"/>
  <c r="AZ17" i="61" s="1"/>
  <c r="CO18" i="8"/>
  <c r="CP18" i="8"/>
  <c r="CJ26" i="7"/>
  <c r="CJ59" i="7"/>
  <c r="CJ173" i="7"/>
  <c r="Q22" i="105"/>
  <c r="Q28" i="105" s="1"/>
  <c r="Q21" i="105"/>
  <c r="Q27" i="105" s="1"/>
  <c r="Q20" i="105"/>
  <c r="Q26" i="105" s="1"/>
  <c r="Q14" i="105"/>
  <c r="Q6" i="105"/>
  <c r="U35" i="104"/>
  <c r="Y35" i="104" s="1"/>
  <c r="Y39" i="104" s="1"/>
  <c r="U27" i="104"/>
  <c r="J8" i="92"/>
  <c r="AL66" i="32"/>
  <c r="AL68" i="32" s="1"/>
  <c r="AL64" i="32"/>
  <c r="AL62" i="32"/>
  <c r="P10" i="100"/>
  <c r="CJ147" i="7"/>
  <c r="CC16" i="19"/>
  <c r="CG49" i="19"/>
  <c r="CC26" i="19"/>
  <c r="CF26" i="19"/>
  <c r="CE26" i="19"/>
  <c r="CD26" i="19"/>
  <c r="CH26" i="19"/>
  <c r="CB48" i="19"/>
  <c r="CB47" i="19"/>
  <c r="CB46" i="19"/>
  <c r="CB45" i="19"/>
  <c r="CB44" i="19"/>
  <c r="CB43" i="19"/>
  <c r="CB42" i="19"/>
  <c r="CB41" i="19"/>
  <c r="CB40" i="19"/>
  <c r="CB39" i="19"/>
  <c r="CB38" i="19"/>
  <c r="CB37" i="19"/>
  <c r="CB36" i="19"/>
  <c r="CB35" i="19"/>
  <c r="CB34" i="19"/>
  <c r="CB33" i="19"/>
  <c r="CB32" i="19"/>
  <c r="CB31" i="19"/>
  <c r="CB30" i="19"/>
  <c r="CB29" i="19"/>
  <c r="CB28" i="19"/>
  <c r="CB27" i="19"/>
  <c r="CB25" i="19"/>
  <c r="CB24" i="19"/>
  <c r="CB23" i="19"/>
  <c r="CB22" i="19"/>
  <c r="CB21" i="19"/>
  <c r="CB20" i="19"/>
  <c r="CB19" i="19"/>
  <c r="CB18" i="19"/>
  <c r="CF16" i="19"/>
  <c r="CE16" i="19"/>
  <c r="CE49" i="19" s="1"/>
  <c r="CD16" i="19"/>
  <c r="CD49" i="19" s="1"/>
  <c r="CH16" i="19"/>
  <c r="CB17" i="19"/>
  <c r="CB15" i="19"/>
  <c r="CG14" i="19"/>
  <c r="CH12" i="19"/>
  <c r="CG12" i="19"/>
  <c r="CF12" i="19"/>
  <c r="CE12" i="19"/>
  <c r="CD12" i="19"/>
  <c r="CC12" i="19"/>
  <c r="CB11" i="19"/>
  <c r="CB10" i="19"/>
  <c r="CB14" i="19" s="1"/>
  <c r="CB9" i="19"/>
  <c r="CB8" i="19"/>
  <c r="CC49" i="19"/>
  <c r="DG31" i="17"/>
  <c r="DE31" i="17"/>
  <c r="DD31" i="17"/>
  <c r="DB31" i="17"/>
  <c r="CZ36" i="17"/>
  <c r="CZ35" i="17"/>
  <c r="CZ34" i="17"/>
  <c r="CZ33" i="17"/>
  <c r="CZ32" i="17"/>
  <c r="DA31" i="17"/>
  <c r="CY31" i="17"/>
  <c r="CZ31" i="17" s="1"/>
  <c r="CZ40" i="17" s="1"/>
  <c r="CZ30" i="17"/>
  <c r="CZ29" i="17"/>
  <c r="CZ28" i="17"/>
  <c r="CZ27" i="17"/>
  <c r="CZ26" i="17"/>
  <c r="CZ25" i="17"/>
  <c r="DG24" i="17"/>
  <c r="DE24" i="17"/>
  <c r="DD24" i="17"/>
  <c r="DB24" i="17"/>
  <c r="DA24" i="17"/>
  <c r="CY24" i="17"/>
  <c r="CJ56" i="7"/>
  <c r="Q31" i="105"/>
  <c r="U8" i="104"/>
  <c r="CO45" i="8"/>
  <c r="U26" i="104"/>
  <c r="U31" i="104" s="1"/>
  <c r="M67" i="96"/>
  <c r="M54" i="96"/>
  <c r="O21" i="96"/>
  <c r="N21" i="96"/>
  <c r="O26" i="96"/>
  <c r="N26" i="96"/>
  <c r="O31" i="96"/>
  <c r="N31" i="96"/>
  <c r="O36" i="96"/>
  <c r="N36" i="96"/>
  <c r="O49" i="96"/>
  <c r="N49" i="96"/>
  <c r="M49" i="96"/>
  <c r="O44" i="96"/>
  <c r="N44" i="96"/>
  <c r="M44" i="96"/>
  <c r="M36" i="96"/>
  <c r="M31" i="96"/>
  <c r="M26" i="96"/>
  <c r="M21" i="96"/>
  <c r="O16" i="96"/>
  <c r="N16" i="96"/>
  <c r="M16" i="96"/>
  <c r="O11" i="96"/>
  <c r="M11" i="96"/>
  <c r="BC18" i="10"/>
  <c r="BB18" i="10"/>
  <c r="BC13" i="10"/>
  <c r="BB13" i="10"/>
  <c r="BA17" i="10"/>
  <c r="BA16" i="10"/>
  <c r="BA18" i="10" s="1"/>
  <c r="BA15" i="10"/>
  <c r="BA14" i="10"/>
  <c r="BA11" i="10"/>
  <c r="BA10" i="10"/>
  <c r="BA13" i="10" s="1"/>
  <c r="BA9" i="10"/>
  <c r="BA8" i="10"/>
  <c r="BA7" i="10"/>
  <c r="AZ18" i="10"/>
  <c r="AZ19" i="10" s="1"/>
  <c r="AY18" i="10"/>
  <c r="AX17" i="10"/>
  <c r="AX16" i="10"/>
  <c r="AX15" i="10"/>
  <c r="AX14" i="10"/>
  <c r="AX11" i="10"/>
  <c r="AX10" i="10"/>
  <c r="AX9" i="10"/>
  <c r="AX13" i="10" s="1"/>
  <c r="AX8" i="10"/>
  <c r="AX7" i="10"/>
  <c r="AZ13" i="10"/>
  <c r="AY13" i="10"/>
  <c r="AY19" i="10" s="1"/>
  <c r="AU17" i="10"/>
  <c r="AU16" i="10"/>
  <c r="AU15" i="10"/>
  <c r="AU14" i="10"/>
  <c r="AU18" i="10" s="1"/>
  <c r="AW18" i="10"/>
  <c r="AV18" i="10"/>
  <c r="AW13" i="10"/>
  <c r="AU11" i="10"/>
  <c r="AU10" i="10"/>
  <c r="AU9" i="10"/>
  <c r="AU8" i="10"/>
  <c r="AU7" i="10"/>
  <c r="AU13" i="10" s="1"/>
  <c r="AV13" i="10"/>
  <c r="AV19" i="10" s="1"/>
  <c r="AW19" i="10"/>
  <c r="AG41" i="98"/>
  <c r="AF41" i="98"/>
  <c r="AE41" i="98"/>
  <c r="AG40" i="98"/>
  <c r="AG38" i="98" s="1"/>
  <c r="AG43" i="98" s="1"/>
  <c r="AF40" i="98"/>
  <c r="AE40" i="98"/>
  <c r="AG34" i="98"/>
  <c r="AF34" i="98"/>
  <c r="AE34" i="98"/>
  <c r="AG29" i="98"/>
  <c r="AG42" i="98" s="1"/>
  <c r="AF29" i="98"/>
  <c r="AE29" i="98"/>
  <c r="AE19" i="98"/>
  <c r="AF14" i="98"/>
  <c r="AE14" i="98"/>
  <c r="L51" i="95"/>
  <c r="K51" i="95"/>
  <c r="I51" i="95"/>
  <c r="H51" i="95"/>
  <c r="G51" i="95"/>
  <c r="F51" i="95"/>
  <c r="E51" i="95"/>
  <c r="D51" i="95"/>
  <c r="C51" i="95"/>
  <c r="S51" i="95"/>
  <c r="R51" i="95"/>
  <c r="Q51" i="95"/>
  <c r="P51" i="95"/>
  <c r="O51" i="95"/>
  <c r="N51" i="95"/>
  <c r="S50" i="95"/>
  <c r="R50" i="95"/>
  <c r="Q50" i="95"/>
  <c r="P50" i="95"/>
  <c r="O50" i="95"/>
  <c r="N50" i="95"/>
  <c r="S49" i="95"/>
  <c r="R49" i="95"/>
  <c r="Q49" i="95"/>
  <c r="P49" i="95"/>
  <c r="O49" i="95"/>
  <c r="N49" i="95"/>
  <c r="AH42" i="95"/>
  <c r="AJ42" i="95" s="1"/>
  <c r="AG43" i="95"/>
  <c r="AF43" i="95"/>
  <c r="AF40" i="95"/>
  <c r="AF38" i="95"/>
  <c r="AG38" i="95"/>
  <c r="AG42" i="95" s="1"/>
  <c r="AH31" i="95"/>
  <c r="AH50" i="95" s="1"/>
  <c r="AG31" i="95"/>
  <c r="AG50" i="95" s="1"/>
  <c r="AF31" i="95"/>
  <c r="AF50" i="95" s="1"/>
  <c r="AH30" i="95"/>
  <c r="AH49" i="95" s="1"/>
  <c r="AG30" i="95"/>
  <c r="AG49" i="95" s="1"/>
  <c r="AF30" i="95"/>
  <c r="AF49" i="95" s="1"/>
  <c r="AF26" i="95"/>
  <c r="AH24" i="95"/>
  <c r="AG24" i="95"/>
  <c r="AF24" i="95"/>
  <c r="AH18" i="95"/>
  <c r="AH28" i="95"/>
  <c r="AH47" i="95" s="1"/>
  <c r="AG18" i="95"/>
  <c r="AG28" i="95" s="1"/>
  <c r="AG8" i="95"/>
  <c r="AF8" i="95"/>
  <c r="AF18" i="95"/>
  <c r="AF28" i="95" s="1"/>
  <c r="AF47" i="95" s="1"/>
  <c r="AH51" i="95"/>
  <c r="AG13" i="95"/>
  <c r="AF13" i="95"/>
  <c r="AF51" i="95" s="1"/>
  <c r="AH12" i="95"/>
  <c r="AS46" i="6"/>
  <c r="AR46" i="6"/>
  <c r="AQ46" i="6"/>
  <c r="BA47" i="5"/>
  <c r="AZ47" i="5"/>
  <c r="AY47" i="5"/>
  <c r="AS25" i="6"/>
  <c r="AR25" i="6"/>
  <c r="AR45" i="6" s="1"/>
  <c r="AR54" i="6" s="1"/>
  <c r="AQ25" i="6"/>
  <c r="AS18" i="6"/>
  <c r="AS45" i="6" s="1"/>
  <c r="AR18" i="6"/>
  <c r="AQ18" i="6"/>
  <c r="AS13" i="6"/>
  <c r="AT13" i="6" s="1"/>
  <c r="AR13" i="6"/>
  <c r="AQ13" i="6"/>
  <c r="AR11" i="6"/>
  <c r="AQ11" i="6"/>
  <c r="BA10" i="5"/>
  <c r="AZ10" i="5"/>
  <c r="AY10" i="5"/>
  <c r="AK10" i="5"/>
  <c r="AS11" i="6"/>
  <c r="AE33" i="98"/>
  <c r="AF38" i="98"/>
  <c r="AF12" i="95"/>
  <c r="BA17" i="5"/>
  <c r="AZ17" i="5"/>
  <c r="AY17" i="5"/>
  <c r="BA26" i="5"/>
  <c r="AZ26" i="5"/>
  <c r="AZ46" i="5" s="1"/>
  <c r="AY26" i="5"/>
  <c r="BA12" i="5"/>
  <c r="BB12" i="5" s="1"/>
  <c r="AZ12" i="5"/>
  <c r="AY12" i="5"/>
  <c r="AM37" i="65"/>
  <c r="AL37" i="65"/>
  <c r="AK37" i="65"/>
  <c r="CK174" i="7"/>
  <c r="CJ174" i="7"/>
  <c r="BA37" i="61"/>
  <c r="AZ37" i="61"/>
  <c r="BA18" i="61"/>
  <c r="AZ18" i="61"/>
  <c r="BA15" i="61"/>
  <c r="AG12" i="98"/>
  <c r="AG27" i="98" s="1"/>
  <c r="AF11" i="98"/>
  <c r="BI63" i="3"/>
  <c r="BH62" i="3" s="1"/>
  <c r="N45" i="96" s="1"/>
  <c r="BG63" i="3"/>
  <c r="AI36" i="66" s="1"/>
  <c r="AI37" i="66" s="1"/>
  <c r="BJ57" i="3"/>
  <c r="BK49" i="3"/>
  <c r="CQ151" i="7" s="1"/>
  <c r="CQ64" i="7" s="1"/>
  <c r="BH57" i="3"/>
  <c r="AO63" i="32" s="1"/>
  <c r="BI49" i="3"/>
  <c r="AO65" i="32" s="1"/>
  <c r="BF57" i="3"/>
  <c r="BF49" i="3" s="1"/>
  <c r="BG49" i="3"/>
  <c r="AL65" i="32" s="1"/>
  <c r="CN151" i="7"/>
  <c r="CN64" i="7" s="1"/>
  <c r="AF12" i="98"/>
  <c r="AF27" i="98" s="1"/>
  <c r="AL36" i="65"/>
  <c r="AE12" i="98"/>
  <c r="AE27" i="98" s="1"/>
  <c r="AJ36" i="66"/>
  <c r="AK36" i="66"/>
  <c r="AK36" i="65"/>
  <c r="CO100" i="8"/>
  <c r="CO52" i="8" s="1"/>
  <c r="AE11" i="98"/>
  <c r="AF26" i="98"/>
  <c r="BF62" i="3"/>
  <c r="M45" i="96" s="1"/>
  <c r="BJ49" i="3"/>
  <c r="CS48" i="8"/>
  <c r="CR48" i="8"/>
  <c r="CQ48" i="8" s="1"/>
  <c r="CQ96" i="8" s="1"/>
  <c r="CQ47" i="8"/>
  <c r="CN47" i="8"/>
  <c r="CS45" i="8"/>
  <c r="CP45" i="8"/>
  <c r="CS44" i="8"/>
  <c r="CP44" i="8"/>
  <c r="CR44" i="8"/>
  <c r="CO44" i="8"/>
  <c r="CS43" i="8"/>
  <c r="CR43" i="8"/>
  <c r="CP43" i="8"/>
  <c r="CR41" i="8"/>
  <c r="CO41" i="8"/>
  <c r="CR38" i="8"/>
  <c r="CR40" i="8" s="1"/>
  <c r="CO38" i="8"/>
  <c r="CO40" i="8" s="1"/>
  <c r="CR37" i="8"/>
  <c r="CQ37" i="8" s="1"/>
  <c r="CO37" i="8"/>
  <c r="CN37" i="8" s="1"/>
  <c r="CQ39" i="8"/>
  <c r="CN39" i="8"/>
  <c r="CS35" i="8"/>
  <c r="CR35" i="8"/>
  <c r="CP35" i="8"/>
  <c r="CO35" i="8"/>
  <c r="CR33" i="8"/>
  <c r="CQ33" i="8" s="1"/>
  <c r="CO33" i="8"/>
  <c r="CN33" i="8" s="1"/>
  <c r="CS32" i="8"/>
  <c r="CR32" i="8"/>
  <c r="CP32" i="8"/>
  <c r="CO32" i="8"/>
  <c r="CR29" i="8"/>
  <c r="CR31" i="8" s="1"/>
  <c r="CR27" i="8" s="1"/>
  <c r="CO29" i="8"/>
  <c r="CO31" i="8" s="1"/>
  <c r="CR28" i="8"/>
  <c r="CQ28" i="8" s="1"/>
  <c r="CO28" i="8"/>
  <c r="CN28" i="8" s="1"/>
  <c r="CQ30" i="8"/>
  <c r="CN30" i="8"/>
  <c r="CR26" i="8"/>
  <c r="CQ26" i="8" s="1"/>
  <c r="CO26" i="8"/>
  <c r="CN26" i="8"/>
  <c r="CS23" i="8"/>
  <c r="CS25" i="8" s="1"/>
  <c r="CR23" i="8"/>
  <c r="CP23" i="8"/>
  <c r="CO23" i="8"/>
  <c r="CO25" i="8" s="1"/>
  <c r="CR22" i="8"/>
  <c r="CQ22" i="8" s="1"/>
  <c r="CO22" i="8"/>
  <c r="CN22" i="8" s="1"/>
  <c r="CS20" i="8"/>
  <c r="CR20" i="8"/>
  <c r="CQ20" i="8" s="1"/>
  <c r="CQ87" i="8" s="1"/>
  <c r="CP20" i="8"/>
  <c r="CO20" i="8"/>
  <c r="CQ21" i="8"/>
  <c r="CN21" i="8"/>
  <c r="CQ24" i="8"/>
  <c r="CN24" i="8"/>
  <c r="CR19" i="8"/>
  <c r="CQ19" i="8" s="1"/>
  <c r="CO19" i="8"/>
  <c r="CN19" i="8" s="1"/>
  <c r="CR16" i="8"/>
  <c r="CO16" i="8"/>
  <c r="CQ14" i="8"/>
  <c r="CN14" i="8"/>
  <c r="CR13" i="8"/>
  <c r="CQ13" i="8" s="1"/>
  <c r="CO13" i="8"/>
  <c r="CN13" i="8" s="1"/>
  <c r="CR12" i="8"/>
  <c r="CQ12" i="8" s="1"/>
  <c r="CO12" i="8"/>
  <c r="CN12" i="8" s="1"/>
  <c r="CS10" i="8"/>
  <c r="CR10" i="8"/>
  <c r="CP10" i="8"/>
  <c r="CO10" i="8"/>
  <c r="CS9" i="8"/>
  <c r="CS55" i="8" s="1"/>
  <c r="CS54" i="8" s="1"/>
  <c r="CP9" i="8"/>
  <c r="CP55" i="8" s="1"/>
  <c r="CP54" i="8" s="1"/>
  <c r="BJ62" i="3"/>
  <c r="O45" i="96" s="1"/>
  <c r="O58" i="96" s="1"/>
  <c r="AG11" i="98"/>
  <c r="AM36" i="65"/>
  <c r="AE26" i="98"/>
  <c r="AE9" i="98"/>
  <c r="AE13" i="98" s="1"/>
  <c r="CR15" i="8"/>
  <c r="CO15" i="8"/>
  <c r="BJ45" i="3"/>
  <c r="BJ44" i="3" s="1"/>
  <c r="CR25" i="8"/>
  <c r="CP25" i="8"/>
  <c r="CN20" i="8"/>
  <c r="CQ59" i="7"/>
  <c r="CN59" i="7"/>
  <c r="CN147" i="7" s="1"/>
  <c r="CP59" i="7"/>
  <c r="CP173" i="7" s="1"/>
  <c r="CM59" i="7"/>
  <c r="CM173" i="7" s="1"/>
  <c r="CQ58" i="7"/>
  <c r="CP58" i="7"/>
  <c r="CJ58" i="7"/>
  <c r="CP57" i="7"/>
  <c r="CO57" i="7" s="1"/>
  <c r="CM57" i="7"/>
  <c r="CL57" i="7" s="1"/>
  <c r="CJ57" i="7"/>
  <c r="CI57" i="7" s="1"/>
  <c r="CI56" i="7"/>
  <c r="CQ54" i="7"/>
  <c r="CN54" i="7"/>
  <c r="CK54" i="7"/>
  <c r="CM54" i="7"/>
  <c r="CL54" i="7" s="1"/>
  <c r="CJ54" i="7"/>
  <c r="CO55" i="7"/>
  <c r="CL55" i="7"/>
  <c r="CI55" i="7"/>
  <c r="CQ147" i="7"/>
  <c r="CQ173" i="7"/>
  <c r="CO59" i="7"/>
  <c r="CO147" i="7" s="1"/>
  <c r="CN173" i="7"/>
  <c r="CO58" i="7"/>
  <c r="CM147" i="7"/>
  <c r="AG26" i="98"/>
  <c r="AG24" i="98" s="1"/>
  <c r="AG28" i="98" s="1"/>
  <c r="AG9" i="98"/>
  <c r="AG13" i="98" s="1"/>
  <c r="O48" i="96"/>
  <c r="CI54" i="7"/>
  <c r="BA17" i="61"/>
  <c r="AJ17" i="64"/>
  <c r="AK17" i="64"/>
  <c r="AI17" i="64"/>
  <c r="CO54" i="7"/>
  <c r="CP48" i="7"/>
  <c r="CP50" i="7" s="1"/>
  <c r="CM48" i="7"/>
  <c r="CL48" i="7" s="1"/>
  <c r="CJ48" i="7"/>
  <c r="CI48" i="7" s="1"/>
  <c r="CP47" i="7"/>
  <c r="CM47" i="7"/>
  <c r="CL47" i="7" s="1"/>
  <c r="CJ47" i="7"/>
  <c r="CI47" i="7" s="1"/>
  <c r="CP45" i="7"/>
  <c r="CO45" i="7" s="1"/>
  <c r="CM45" i="7"/>
  <c r="CJ45" i="7"/>
  <c r="CI45" i="7" s="1"/>
  <c r="CP44" i="7"/>
  <c r="CO44" i="7" s="1"/>
  <c r="CM44" i="7"/>
  <c r="CL44" i="7" s="1"/>
  <c r="CJ44" i="7"/>
  <c r="CI44" i="7" s="1"/>
  <c r="CO46" i="7"/>
  <c r="CL46" i="7"/>
  <c r="CI46" i="7"/>
  <c r="CO49" i="7"/>
  <c r="CL49" i="7"/>
  <c r="CI49" i="7"/>
  <c r="CP42" i="7"/>
  <c r="CO42" i="7" s="1"/>
  <c r="CM42" i="7"/>
  <c r="CL42" i="7" s="1"/>
  <c r="CJ42" i="7"/>
  <c r="CI42" i="7" s="1"/>
  <c r="CP39" i="7"/>
  <c r="CO39" i="7" s="1"/>
  <c r="CM39" i="7"/>
  <c r="CM41" i="7" s="1"/>
  <c r="CJ39" i="7"/>
  <c r="CI39" i="7"/>
  <c r="CO40" i="7"/>
  <c r="CL40" i="7"/>
  <c r="CI40" i="7"/>
  <c r="CP38" i="7"/>
  <c r="CO38" i="7" s="1"/>
  <c r="CM38" i="7"/>
  <c r="CL38" i="7" s="1"/>
  <c r="CJ38" i="7"/>
  <c r="CI38" i="7" s="1"/>
  <c r="CL37" i="7"/>
  <c r="CI37" i="7"/>
  <c r="CQ36" i="7"/>
  <c r="CO36" i="7" s="1"/>
  <c r="CP36" i="7"/>
  <c r="CN36" i="7"/>
  <c r="CM36" i="7"/>
  <c r="CK36" i="7"/>
  <c r="CJ36" i="7"/>
  <c r="CP34" i="7"/>
  <c r="CO34" i="7" s="1"/>
  <c r="CM34" i="7"/>
  <c r="CL34" i="7" s="1"/>
  <c r="CJ34" i="7"/>
  <c r="CI34" i="7" s="1"/>
  <c r="CO32" i="7"/>
  <c r="CL32" i="7"/>
  <c r="CI32" i="7"/>
  <c r="CM23" i="7"/>
  <c r="CM25" i="7" s="1"/>
  <c r="CM17" i="7" s="1"/>
  <c r="CP31" i="7"/>
  <c r="CO31" i="7"/>
  <c r="CM31" i="7"/>
  <c r="CM33" i="7" s="1"/>
  <c r="CJ31" i="7"/>
  <c r="CJ33" i="7" s="1"/>
  <c r="CO30" i="7"/>
  <c r="CL30" i="7"/>
  <c r="CI30" i="7"/>
  <c r="CQ29" i="7"/>
  <c r="CP29" i="7"/>
  <c r="CN29" i="7"/>
  <c r="CM29" i="7"/>
  <c r="CL29" i="7" s="1"/>
  <c r="CK29" i="7"/>
  <c r="CJ29" i="7"/>
  <c r="CP28" i="7"/>
  <c r="CO28" i="7" s="1"/>
  <c r="CM28" i="7"/>
  <c r="CL28" i="7" s="1"/>
  <c r="CJ28" i="7"/>
  <c r="CI28" i="7" s="1"/>
  <c r="CP26" i="7"/>
  <c r="CM26" i="7"/>
  <c r="CO47" i="7"/>
  <c r="CO48" i="7"/>
  <c r="CO50" i="7" s="1"/>
  <c r="CL45" i="7"/>
  <c r="CM50" i="7"/>
  <c r="CO29" i="7"/>
  <c r="CP33" i="7"/>
  <c r="CO33" i="7"/>
  <c r="CI36" i="7"/>
  <c r="CJ50" i="7"/>
  <c r="CI41" i="7"/>
  <c r="CL39" i="7"/>
  <c r="CL41" i="7" s="1"/>
  <c r="CJ41" i="7"/>
  <c r="CL36" i="7"/>
  <c r="CI29" i="7"/>
  <c r="CO24" i="7"/>
  <c r="CL24" i="7"/>
  <c r="CI24" i="7"/>
  <c r="CP23" i="7"/>
  <c r="CO23" i="7" s="1"/>
  <c r="CJ23" i="7"/>
  <c r="CI23" i="7" s="1"/>
  <c r="CI25" i="7" s="1"/>
  <c r="CP22" i="7"/>
  <c r="CO22" i="7" s="1"/>
  <c r="CM22" i="7"/>
  <c r="CL22" i="7" s="1"/>
  <c r="CJ22" i="7"/>
  <c r="CI22" i="7" s="1"/>
  <c r="CQ20" i="7"/>
  <c r="CP20" i="7"/>
  <c r="CN20" i="7"/>
  <c r="CM20" i="7"/>
  <c r="CK20" i="7"/>
  <c r="CJ20" i="7"/>
  <c r="CP19" i="7"/>
  <c r="CM19" i="7"/>
  <c r="CM142" i="7" s="1"/>
  <c r="CJ19" i="7"/>
  <c r="CP18" i="7"/>
  <c r="CM18" i="7"/>
  <c r="CJ18" i="7"/>
  <c r="CP16" i="7"/>
  <c r="CO16" i="7" s="1"/>
  <c r="CM16" i="7"/>
  <c r="CM143" i="7" s="1"/>
  <c r="CJ16" i="7"/>
  <c r="CI16" i="7" s="1"/>
  <c r="CO14" i="7"/>
  <c r="CL14" i="7"/>
  <c r="CI14" i="7"/>
  <c r="CQ13" i="7"/>
  <c r="CQ15" i="7" s="1"/>
  <c r="CN13" i="7"/>
  <c r="CK13" i="7"/>
  <c r="CK15" i="7" s="1"/>
  <c r="CP13" i="7"/>
  <c r="CM13" i="7"/>
  <c r="CM140" i="7" s="1"/>
  <c r="CJ13" i="7"/>
  <c r="CI13" i="7" s="1"/>
  <c r="CI15" i="7" s="1"/>
  <c r="CN15" i="7"/>
  <c r="CN140" i="7"/>
  <c r="CM15" i="7"/>
  <c r="CL16" i="7"/>
  <c r="CL13" i="7"/>
  <c r="CL15" i="7" s="1"/>
  <c r="CP15" i="7"/>
  <c r="CJ143" i="7"/>
  <c r="CJ25" i="7"/>
  <c r="CJ15" i="7"/>
  <c r="CL20" i="7"/>
  <c r="CI20" i="7"/>
  <c r="CP12" i="7"/>
  <c r="CP139" i="7" s="1"/>
  <c r="CM12" i="7"/>
  <c r="CL12" i="7" s="1"/>
  <c r="CJ12" i="7"/>
  <c r="CJ139" i="7" s="1"/>
  <c r="CQ10" i="7"/>
  <c r="CQ138" i="7" s="1"/>
  <c r="CQ175" i="7" s="1"/>
  <c r="CP10" i="7"/>
  <c r="CP138" i="7" s="1"/>
  <c r="CN10" i="7"/>
  <c r="CN138" i="7"/>
  <c r="CN175" i="7" s="1"/>
  <c r="CM10" i="7"/>
  <c r="CM138" i="7" s="1"/>
  <c r="CM175" i="7" s="1"/>
  <c r="CK10" i="7"/>
  <c r="CK9" i="7"/>
  <c r="CJ10" i="7"/>
  <c r="CI10" i="7" s="1"/>
  <c r="CO10" i="7"/>
  <c r="CL10" i="7"/>
  <c r="CP9" i="7"/>
  <c r="CN9" i="7"/>
  <c r="CN136" i="7" s="1"/>
  <c r="CM9" i="7"/>
  <c r="CJ9" i="7"/>
  <c r="CQ159" i="7"/>
  <c r="CP159" i="7"/>
  <c r="CO159" i="7"/>
  <c r="CQ156" i="7"/>
  <c r="CP156" i="7"/>
  <c r="CO156" i="7"/>
  <c r="CQ153" i="7"/>
  <c r="CP153" i="7"/>
  <c r="CO153" i="7"/>
  <c r="CQ149" i="7"/>
  <c r="CP149" i="7"/>
  <c r="CO149" i="7"/>
  <c r="CQ148" i="7"/>
  <c r="CQ171" i="7" s="1"/>
  <c r="CQ146" i="7"/>
  <c r="CQ145" i="7"/>
  <c r="CP145" i="7"/>
  <c r="CO145" i="7"/>
  <c r="CQ142" i="7"/>
  <c r="CP142" i="7"/>
  <c r="CQ136" i="7"/>
  <c r="CP136" i="7"/>
  <c r="BB13" i="61" s="1"/>
  <c r="CK159" i="7"/>
  <c r="CJ159" i="7"/>
  <c r="CI159" i="7"/>
  <c r="CK156" i="7"/>
  <c r="CJ156" i="7"/>
  <c r="CI156" i="7"/>
  <c r="CK149" i="7"/>
  <c r="CJ149" i="7"/>
  <c r="CI149" i="7"/>
  <c r="CK148" i="7"/>
  <c r="CK171" i="7"/>
  <c r="CJ148" i="7"/>
  <c r="CK146" i="7"/>
  <c r="CJ146" i="7"/>
  <c r="CJ145" i="7"/>
  <c r="CK142" i="7"/>
  <c r="CJ142" i="7"/>
  <c r="CK136" i="7"/>
  <c r="CJ136" i="7"/>
  <c r="AZ13" i="61" s="1"/>
  <c r="CP60" i="7"/>
  <c r="CO26" i="7"/>
  <c r="CQ17" i="7"/>
  <c r="CO21" i="7"/>
  <c r="CO19" i="7"/>
  <c r="CO142" i="7" s="1"/>
  <c r="CO18" i="7"/>
  <c r="CO11" i="7"/>
  <c r="CO9" i="7"/>
  <c r="CL61" i="7"/>
  <c r="CL146" i="7" s="1"/>
  <c r="CL60" i="7"/>
  <c r="CL148" i="7" s="1"/>
  <c r="CN43" i="7"/>
  <c r="CL26" i="7"/>
  <c r="CN17" i="7"/>
  <c r="CL21" i="7"/>
  <c r="CL19" i="7"/>
  <c r="CL142" i="7" s="1"/>
  <c r="CL18" i="7"/>
  <c r="CL11" i="7"/>
  <c r="CL9" i="7"/>
  <c r="CI61" i="7"/>
  <c r="CI146" i="7" s="1"/>
  <c r="CI60" i="7"/>
  <c r="CI148" i="7" s="1"/>
  <c r="CK43" i="7"/>
  <c r="CI26" i="7"/>
  <c r="CK17" i="7"/>
  <c r="CI21" i="7"/>
  <c r="CI19" i="7"/>
  <c r="CI142" i="7" s="1"/>
  <c r="CI18" i="7"/>
  <c r="CI11" i="7"/>
  <c r="CI9" i="7"/>
  <c r="CS108" i="8"/>
  <c r="CR108" i="8"/>
  <c r="CQ108" i="8"/>
  <c r="CS105" i="8"/>
  <c r="CR105" i="8"/>
  <c r="CQ105" i="8"/>
  <c r="CS98" i="8"/>
  <c r="CR98" i="8"/>
  <c r="CS97" i="8"/>
  <c r="CR97" i="8"/>
  <c r="CS96" i="8"/>
  <c r="CR96" i="8"/>
  <c r="CS95" i="8"/>
  <c r="CR95" i="8"/>
  <c r="CQ95" i="8"/>
  <c r="CS92" i="8"/>
  <c r="CS91" i="8"/>
  <c r="CR91" i="8"/>
  <c r="CS88" i="8"/>
  <c r="CR88" i="8"/>
  <c r="CS86" i="8"/>
  <c r="CS118" i="8" s="1"/>
  <c r="CP108" i="8"/>
  <c r="CO108" i="8"/>
  <c r="CN108" i="8"/>
  <c r="CP105" i="8"/>
  <c r="CO105" i="8"/>
  <c r="CN105" i="8"/>
  <c r="CP98" i="8"/>
  <c r="CO98" i="8"/>
  <c r="CP97" i="8"/>
  <c r="CP120" i="8" s="1"/>
  <c r="CO97" i="8"/>
  <c r="AI17" i="66"/>
  <c r="CP95" i="8"/>
  <c r="CP123" i="8" s="1"/>
  <c r="CO95" i="8"/>
  <c r="CN95" i="8"/>
  <c r="CP92" i="8"/>
  <c r="CP88" i="8"/>
  <c r="CO88" i="8"/>
  <c r="CP86" i="8"/>
  <c r="CQ50" i="8"/>
  <c r="CQ98" i="8" s="1"/>
  <c r="CQ49" i="8"/>
  <c r="CQ97" i="8" s="1"/>
  <c r="CS42" i="8"/>
  <c r="CS93" i="8" s="1"/>
  <c r="CQ44" i="8"/>
  <c r="CQ43" i="8"/>
  <c r="CQ41" i="8"/>
  <c r="CQ38" i="8"/>
  <c r="CQ40" i="8" s="1"/>
  <c r="CQ36" i="8"/>
  <c r="CQ35" i="8"/>
  <c r="CS34" i="8"/>
  <c r="CR92" i="8"/>
  <c r="CQ32" i="8"/>
  <c r="CS27" i="8"/>
  <c r="CS87" i="8"/>
  <c r="CQ18" i="8"/>
  <c r="CQ16" i="8"/>
  <c r="CQ11" i="8"/>
  <c r="CQ10" i="8"/>
  <c r="CS8" i="8"/>
  <c r="CN50" i="8"/>
  <c r="CN98" i="8" s="1"/>
  <c r="CN49" i="8"/>
  <c r="CN97" i="8" s="1"/>
  <c r="CN45" i="8"/>
  <c r="CN44" i="8"/>
  <c r="CP42" i="8"/>
  <c r="CP93" i="8" s="1"/>
  <c r="CN41" i="8"/>
  <c r="CN38" i="8"/>
  <c r="CN40" i="8" s="1"/>
  <c r="CN36" i="8"/>
  <c r="CN35" i="8"/>
  <c r="CP34" i="8"/>
  <c r="CO92" i="8"/>
  <c r="CN32" i="8"/>
  <c r="CN29" i="8"/>
  <c r="CN31" i="8" s="1"/>
  <c r="CP27" i="8"/>
  <c r="CP90" i="8"/>
  <c r="CP87" i="8"/>
  <c r="CN18" i="8"/>
  <c r="CN16" i="8"/>
  <c r="CN11" i="8"/>
  <c r="CN10" i="8"/>
  <c r="CP8" i="8"/>
  <c r="BA24" i="61"/>
  <c r="AZ24" i="61"/>
  <c r="AK24" i="64"/>
  <c r="AK21" i="64"/>
  <c r="AK20" i="64"/>
  <c r="AK19" i="64"/>
  <c r="AK18" i="64"/>
  <c r="AJ24" i="64"/>
  <c r="AJ21" i="64"/>
  <c r="AJ20" i="64"/>
  <c r="AJ19" i="64"/>
  <c r="AJ18" i="64"/>
  <c r="AI24" i="64"/>
  <c r="AI21" i="64"/>
  <c r="AI20" i="64"/>
  <c r="AI19" i="64"/>
  <c r="AI18" i="64"/>
  <c r="AK37" i="66"/>
  <c r="AK24" i="66"/>
  <c r="AK21" i="66"/>
  <c r="AK20" i="66"/>
  <c r="AK19" i="66"/>
  <c r="AK18" i="66"/>
  <c r="AJ37" i="66"/>
  <c r="AJ24" i="66"/>
  <c r="AJ21" i="66"/>
  <c r="AJ20" i="66"/>
  <c r="AJ19" i="66"/>
  <c r="AJ18" i="66"/>
  <c r="AI24" i="66"/>
  <c r="AI21" i="66"/>
  <c r="AI20" i="66"/>
  <c r="AI19" i="66"/>
  <c r="AI18" i="66"/>
  <c r="N32" i="111"/>
  <c r="M32" i="111"/>
  <c r="N26" i="111"/>
  <c r="M26" i="111"/>
  <c r="CO60" i="7"/>
  <c r="CS123" i="8"/>
  <c r="CS120" i="8"/>
  <c r="CJ171" i="7"/>
  <c r="AZ15" i="61"/>
  <c r="CL136" i="7"/>
  <c r="CP148" i="7"/>
  <c r="AK17" i="66"/>
  <c r="AK17" i="65"/>
  <c r="CO123" i="8"/>
  <c r="AL14" i="65"/>
  <c r="CR120" i="8"/>
  <c r="AM17" i="65"/>
  <c r="CP118" i="8"/>
  <c r="AI13" i="66" s="1"/>
  <c r="CO120" i="8"/>
  <c r="AK14" i="65"/>
  <c r="CR123" i="8"/>
  <c r="AL17" i="65"/>
  <c r="CS122" i="8"/>
  <c r="AJ17" i="66" s="1"/>
  <c r="AJ22" i="66"/>
  <c r="CS124" i="8"/>
  <c r="CR122" i="8"/>
  <c r="AL16" i="65"/>
  <c r="CP124" i="8"/>
  <c r="AI22" i="66"/>
  <c r="CP61" i="7"/>
  <c r="CR17" i="8"/>
  <c r="CP89" i="8"/>
  <c r="CS89" i="8"/>
  <c r="CQ29" i="8"/>
  <c r="CN87" i="8"/>
  <c r="CR87" i="8"/>
  <c r="CR124" i="8" s="1"/>
  <c r="AL21" i="65" s="1"/>
  <c r="CO87" i="8"/>
  <c r="CO124" i="8" s="1"/>
  <c r="AK21" i="65" s="1"/>
  <c r="CJ43" i="7"/>
  <c r="CS90" i="8"/>
  <c r="CR34" i="8"/>
  <c r="CO34" i="8"/>
  <c r="AS63" i="32"/>
  <c r="AS64" i="32" s="1"/>
  <c r="AT62" i="32"/>
  <c r="AP67" i="32"/>
  <c r="AP63" i="32"/>
  <c r="AP64" i="32" s="1"/>
  <c r="AQ62" i="32"/>
  <c r="AM67" i="32"/>
  <c r="AN62" i="32"/>
  <c r="CO148" i="7"/>
  <c r="BB15" i="61"/>
  <c r="CP171" i="7"/>
  <c r="CQ31" i="8"/>
  <c r="CO61" i="7"/>
  <c r="CO146" i="7" s="1"/>
  <c r="CP146" i="7"/>
  <c r="CS17" i="8"/>
  <c r="CN90" i="8"/>
  <c r="CO89" i="8"/>
  <c r="CO90" i="8"/>
  <c r="CQ90" i="8"/>
  <c r="CR89" i="8"/>
  <c r="CR90" i="8"/>
  <c r="AT63" i="32"/>
  <c r="AR61" i="32"/>
  <c r="AR70" i="32" s="1"/>
  <c r="AM65" i="32"/>
  <c r="AM68" i="32"/>
  <c r="AN64" i="32"/>
  <c r="E47" i="117"/>
  <c r="E55" i="117" s="1"/>
  <c r="D47" i="117"/>
  <c r="D55" i="117" s="1"/>
  <c r="F54" i="117"/>
  <c r="F51" i="117"/>
  <c r="F50" i="117"/>
  <c r="F49" i="117"/>
  <c r="E41" i="117"/>
  <c r="D41" i="117"/>
  <c r="E31" i="117"/>
  <c r="D31" i="117"/>
  <c r="F42" i="117"/>
  <c r="F41" i="117" s="1"/>
  <c r="F40" i="117"/>
  <c r="F38" i="117"/>
  <c r="F37" i="117"/>
  <c r="F36" i="117"/>
  <c r="F35" i="117"/>
  <c r="F34" i="117"/>
  <c r="F33" i="117"/>
  <c r="F32" i="117"/>
  <c r="F46" i="117"/>
  <c r="F39" i="117"/>
  <c r="F30" i="117"/>
  <c r="F29" i="117"/>
  <c r="F21" i="117"/>
  <c r="F20" i="117"/>
  <c r="F19" i="117"/>
  <c r="E18" i="117"/>
  <c r="E22" i="117" s="1"/>
  <c r="D18" i="117"/>
  <c r="D22" i="117" s="1"/>
  <c r="F17" i="117"/>
  <c r="F16" i="117"/>
  <c r="F12" i="117"/>
  <c r="F11" i="117"/>
  <c r="E10" i="117"/>
  <c r="D10" i="117"/>
  <c r="F9" i="117"/>
  <c r="F8" i="117"/>
  <c r="F7" i="117"/>
  <c r="E6" i="117"/>
  <c r="D6" i="117"/>
  <c r="F5" i="117"/>
  <c r="F4" i="117"/>
  <c r="C113" i="116"/>
  <c r="C112" i="116"/>
  <c r="E108" i="116"/>
  <c r="B105" i="116"/>
  <c r="C105" i="116" s="1"/>
  <c r="D105" i="116" s="1"/>
  <c r="B100" i="116"/>
  <c r="C100" i="116" s="1"/>
  <c r="B95" i="116"/>
  <c r="C95" i="116" s="1"/>
  <c r="D95" i="116" s="1"/>
  <c r="B90" i="116"/>
  <c r="C90" i="116" s="1"/>
  <c r="B85" i="116"/>
  <c r="C85" i="116" s="1"/>
  <c r="B84" i="116"/>
  <c r="C84" i="116" s="1"/>
  <c r="B94" i="116" s="1"/>
  <c r="C94" i="116" s="1"/>
  <c r="B104" i="116" s="1"/>
  <c r="C104" i="116" s="1"/>
  <c r="B80" i="116"/>
  <c r="C80" i="116" s="1"/>
  <c r="D80" i="116" s="1"/>
  <c r="B79" i="116"/>
  <c r="B75" i="116"/>
  <c r="B76" i="116" s="1"/>
  <c r="B70" i="116"/>
  <c r="C70" i="116" s="1"/>
  <c r="C65" i="116"/>
  <c r="C66" i="116" s="1"/>
  <c r="B65" i="116"/>
  <c r="B66" i="116" s="1"/>
  <c r="B67" i="116" s="1"/>
  <c r="C60" i="116"/>
  <c r="C61" i="116" s="1"/>
  <c r="C62" i="116" s="1"/>
  <c r="B60" i="116"/>
  <c r="B61" i="116" s="1"/>
  <c r="B62" i="116" s="1"/>
  <c r="E48" i="116"/>
  <c r="E46" i="116"/>
  <c r="D43" i="116"/>
  <c r="B43" i="116" s="1"/>
  <c r="D38" i="116"/>
  <c r="B38" i="116" s="1"/>
  <c r="C37" i="116"/>
  <c r="B37" i="116"/>
  <c r="B33" i="116"/>
  <c r="C33" i="116" s="1"/>
  <c r="C34" i="116" s="1"/>
  <c r="C35" i="116" s="1"/>
  <c r="B32" i="116"/>
  <c r="B28" i="116"/>
  <c r="C28" i="116" s="1"/>
  <c r="B27" i="116"/>
  <c r="D23" i="116"/>
  <c r="B23" i="116" s="1"/>
  <c r="C23" i="116" s="1"/>
  <c r="C24" i="116" s="1"/>
  <c r="D18" i="116"/>
  <c r="B18" i="116" s="1"/>
  <c r="B19" i="116" s="1"/>
  <c r="B20" i="116" s="1"/>
  <c r="B13" i="116"/>
  <c r="C13" i="116" s="1"/>
  <c r="B8" i="116"/>
  <c r="F6" i="117"/>
  <c r="F48" i="117"/>
  <c r="F53" i="117"/>
  <c r="F52" i="117"/>
  <c r="F47" i="117" s="1"/>
  <c r="F55" i="117" s="1"/>
  <c r="D13" i="117"/>
  <c r="F18" i="117"/>
  <c r="F22" i="117" s="1"/>
  <c r="E13" i="117"/>
  <c r="F10" i="117"/>
  <c r="F13" i="117" s="1"/>
  <c r="B9" i="116"/>
  <c r="B10" i="116" s="1"/>
  <c r="C8" i="116"/>
  <c r="C79" i="116"/>
  <c r="B86" i="116"/>
  <c r="B87" i="116" s="1"/>
  <c r="D65" i="116"/>
  <c r="AF30" i="64"/>
  <c r="AF29" i="64"/>
  <c r="AF27" i="64"/>
  <c r="AF26" i="64"/>
  <c r="AF25" i="64"/>
  <c r="AE24" i="64"/>
  <c r="AE21" i="64"/>
  <c r="AM21" i="64" s="1"/>
  <c r="AE20" i="64"/>
  <c r="AM20" i="64" s="1"/>
  <c r="AE19" i="64"/>
  <c r="AM19" i="64" s="1"/>
  <c r="AE18" i="64"/>
  <c r="AM18" i="64"/>
  <c r="AE15" i="64"/>
  <c r="AF30" i="61"/>
  <c r="AF29" i="61"/>
  <c r="AF20" i="61"/>
  <c r="AF19" i="61"/>
  <c r="AE34" i="61"/>
  <c r="AE33" i="61"/>
  <c r="AE32" i="61"/>
  <c r="AE24" i="61"/>
  <c r="AF30" i="66"/>
  <c r="AF29" i="66"/>
  <c r="AF27" i="66"/>
  <c r="AF26" i="66"/>
  <c r="AF25" i="66"/>
  <c r="AE24" i="66"/>
  <c r="AE21" i="66"/>
  <c r="AM21" i="66" s="1"/>
  <c r="AE20" i="66"/>
  <c r="AE19" i="66"/>
  <c r="AE18" i="66"/>
  <c r="AE17" i="66"/>
  <c r="AE15" i="66"/>
  <c r="C67" i="114"/>
  <c r="F67" i="114" s="1"/>
  <c r="B67" i="114"/>
  <c r="E67" i="114" s="1"/>
  <c r="C66" i="114"/>
  <c r="F66" i="114" s="1"/>
  <c r="B66" i="114"/>
  <c r="E66" i="114" s="1"/>
  <c r="C65" i="114"/>
  <c r="F65" i="114" s="1"/>
  <c r="B65" i="114"/>
  <c r="E65" i="114" s="1"/>
  <c r="C64" i="114"/>
  <c r="F64" i="114" s="1"/>
  <c r="B64" i="114"/>
  <c r="E64" i="114" s="1"/>
  <c r="C63" i="114"/>
  <c r="F63" i="114" s="1"/>
  <c r="B63" i="114"/>
  <c r="E63" i="114" s="1"/>
  <c r="C62" i="114"/>
  <c r="F62" i="114" s="1"/>
  <c r="B62" i="114"/>
  <c r="E62" i="114" s="1"/>
  <c r="C61" i="114"/>
  <c r="F61" i="114" s="1"/>
  <c r="B61" i="114"/>
  <c r="E61" i="114" s="1"/>
  <c r="C60" i="114"/>
  <c r="F60" i="114" s="1"/>
  <c r="B60" i="114"/>
  <c r="E60" i="114" s="1"/>
  <c r="C59" i="114"/>
  <c r="F59" i="114" s="1"/>
  <c r="B59" i="114"/>
  <c r="E59" i="114" s="1"/>
  <c r="C58" i="114"/>
  <c r="F58" i="114" s="1"/>
  <c r="B58" i="114"/>
  <c r="E58" i="114" s="1"/>
  <c r="C57" i="114"/>
  <c r="F57" i="114" s="1"/>
  <c r="B57" i="114"/>
  <c r="E57" i="114" s="1"/>
  <c r="C56" i="114"/>
  <c r="F56" i="114" s="1"/>
  <c r="B56" i="114"/>
  <c r="C50" i="114"/>
  <c r="F50" i="114" s="1"/>
  <c r="B50" i="114"/>
  <c r="E50" i="114" s="1"/>
  <c r="C49" i="114"/>
  <c r="F49" i="114" s="1"/>
  <c r="B49" i="114"/>
  <c r="E49" i="114" s="1"/>
  <c r="C48" i="114"/>
  <c r="F48" i="114" s="1"/>
  <c r="B48" i="114"/>
  <c r="E48" i="114" s="1"/>
  <c r="C47" i="114"/>
  <c r="F47" i="114" s="1"/>
  <c r="B47" i="114"/>
  <c r="E47" i="114" s="1"/>
  <c r="C46" i="114"/>
  <c r="F46" i="114" s="1"/>
  <c r="B46" i="114"/>
  <c r="E46" i="114" s="1"/>
  <c r="C45" i="114"/>
  <c r="F45" i="114" s="1"/>
  <c r="B45" i="114"/>
  <c r="E45" i="114" s="1"/>
  <c r="C44" i="114"/>
  <c r="F44" i="114" s="1"/>
  <c r="B44" i="114"/>
  <c r="E44" i="114" s="1"/>
  <c r="C43" i="114"/>
  <c r="F43" i="114" s="1"/>
  <c r="B43" i="114"/>
  <c r="E43" i="114" s="1"/>
  <c r="C42" i="114"/>
  <c r="F42" i="114" s="1"/>
  <c r="B42" i="114"/>
  <c r="E42" i="114" s="1"/>
  <c r="C41" i="114"/>
  <c r="F41" i="114" s="1"/>
  <c r="B41" i="114"/>
  <c r="E41" i="114" s="1"/>
  <c r="C40" i="114"/>
  <c r="F40" i="114" s="1"/>
  <c r="B40" i="114"/>
  <c r="E40" i="114" s="1"/>
  <c r="C39" i="114"/>
  <c r="F39" i="114" s="1"/>
  <c r="B39" i="114"/>
  <c r="E39" i="114" s="1"/>
  <c r="C33" i="114"/>
  <c r="F33" i="114" s="1"/>
  <c r="G33" i="114" s="1"/>
  <c r="B33" i="114"/>
  <c r="E33" i="114" s="1"/>
  <c r="C32" i="114"/>
  <c r="F32" i="114" s="1"/>
  <c r="B32" i="114"/>
  <c r="E32" i="114" s="1"/>
  <c r="C31" i="114"/>
  <c r="F31" i="114" s="1"/>
  <c r="B31" i="114"/>
  <c r="E31" i="114" s="1"/>
  <c r="C30" i="114"/>
  <c r="F30" i="114" s="1"/>
  <c r="B30" i="114"/>
  <c r="E30" i="114" s="1"/>
  <c r="C29" i="114"/>
  <c r="F29" i="114" s="1"/>
  <c r="B29" i="114"/>
  <c r="E29" i="114" s="1"/>
  <c r="C28" i="114"/>
  <c r="F28" i="114" s="1"/>
  <c r="B28" i="114"/>
  <c r="E28" i="114" s="1"/>
  <c r="C27" i="114"/>
  <c r="F27" i="114" s="1"/>
  <c r="B27" i="114"/>
  <c r="E27" i="114" s="1"/>
  <c r="C26" i="114"/>
  <c r="F26" i="114" s="1"/>
  <c r="B26" i="114"/>
  <c r="E26" i="114" s="1"/>
  <c r="C25" i="114"/>
  <c r="F25" i="114" s="1"/>
  <c r="B25" i="114"/>
  <c r="E25" i="114" s="1"/>
  <c r="C24" i="114"/>
  <c r="F24" i="114" s="1"/>
  <c r="B24" i="114"/>
  <c r="E24" i="114" s="1"/>
  <c r="C23" i="114"/>
  <c r="F23" i="114" s="1"/>
  <c r="B23" i="114"/>
  <c r="E23" i="114" s="1"/>
  <c r="C22" i="114"/>
  <c r="F22" i="114" s="1"/>
  <c r="B22" i="114"/>
  <c r="E22" i="114" s="1"/>
  <c r="C16" i="114"/>
  <c r="F16" i="114" s="1"/>
  <c r="B16" i="114"/>
  <c r="E16" i="114" s="1"/>
  <c r="C15" i="114"/>
  <c r="F15" i="114" s="1"/>
  <c r="B15" i="114"/>
  <c r="E15" i="114" s="1"/>
  <c r="C14" i="114"/>
  <c r="F14" i="114" s="1"/>
  <c r="B14" i="114"/>
  <c r="E14" i="114" s="1"/>
  <c r="C13" i="114"/>
  <c r="F13" i="114" s="1"/>
  <c r="B13" i="114"/>
  <c r="E13" i="114" s="1"/>
  <c r="C12" i="114"/>
  <c r="F12" i="114" s="1"/>
  <c r="B12" i="114"/>
  <c r="E12" i="114" s="1"/>
  <c r="C11" i="114"/>
  <c r="F11" i="114" s="1"/>
  <c r="B11" i="114"/>
  <c r="E11" i="114" s="1"/>
  <c r="C10" i="114"/>
  <c r="F10" i="114" s="1"/>
  <c r="G10" i="114" s="1"/>
  <c r="B10" i="114"/>
  <c r="E10" i="114" s="1"/>
  <c r="C9" i="114"/>
  <c r="F9" i="114" s="1"/>
  <c r="B9" i="114"/>
  <c r="E9" i="114" s="1"/>
  <c r="C8" i="114"/>
  <c r="F8" i="114" s="1"/>
  <c r="B8" i="114"/>
  <c r="E8" i="114" s="1"/>
  <c r="C7" i="114"/>
  <c r="F7" i="114" s="1"/>
  <c r="B7" i="114"/>
  <c r="E7" i="114" s="1"/>
  <c r="C6" i="114"/>
  <c r="F6" i="114" s="1"/>
  <c r="B6" i="114"/>
  <c r="E6" i="114" s="1"/>
  <c r="C5" i="114"/>
  <c r="B5" i="114"/>
  <c r="E5" i="114" s="1"/>
  <c r="E17" i="114" s="1"/>
  <c r="AM18" i="66"/>
  <c r="AM19" i="66"/>
  <c r="AM20" i="66"/>
  <c r="D8" i="116"/>
  <c r="C9" i="116"/>
  <c r="C10" i="116" s="1"/>
  <c r="B89" i="116"/>
  <c r="E56" i="114"/>
  <c r="C89" i="116"/>
  <c r="B99" i="116" s="1"/>
  <c r="C99" i="116" s="1"/>
  <c r="BW47" i="8"/>
  <c r="AH28" i="65"/>
  <c r="AG33" i="65"/>
  <c r="AG32" i="65"/>
  <c r="AG24" i="65"/>
  <c r="AG19" i="65"/>
  <c r="AG18" i="65"/>
  <c r="S15" i="102"/>
  <c r="BV48" i="8" s="1"/>
  <c r="BM48" i="8"/>
  <c r="CA159" i="7"/>
  <c r="BZ159" i="7"/>
  <c r="BY159" i="7"/>
  <c r="BR59" i="7"/>
  <c r="BQ59" i="7"/>
  <c r="BP59" i="7" s="1"/>
  <c r="S36" i="104"/>
  <c r="BX44" i="8" s="1"/>
  <c r="BV44" i="8" s="1"/>
  <c r="S28" i="104"/>
  <c r="S11" i="104"/>
  <c r="F39" i="104"/>
  <c r="E39" i="104"/>
  <c r="F31" i="104"/>
  <c r="E31" i="104"/>
  <c r="F23" i="104"/>
  <c r="E23" i="104"/>
  <c r="F14" i="104"/>
  <c r="E14" i="104"/>
  <c r="H10" i="92"/>
  <c r="H14" i="92"/>
  <c r="H16" i="92" s="1"/>
  <c r="BW43" i="8" s="1"/>
  <c r="F38" i="105"/>
  <c r="F37" i="105"/>
  <c r="F35" i="105"/>
  <c r="F34" i="105"/>
  <c r="F33" i="105" s="1"/>
  <c r="E36" i="105"/>
  <c r="E33" i="105"/>
  <c r="F30" i="105"/>
  <c r="F21" i="105"/>
  <c r="F27" i="105" s="1"/>
  <c r="F36" i="105" s="1"/>
  <c r="F6" i="105"/>
  <c r="M29" i="105"/>
  <c r="P29" i="105" s="1"/>
  <c r="M28" i="105"/>
  <c r="P28" i="105" s="1"/>
  <c r="AG67" i="32"/>
  <c r="AJ67" i="32" s="1"/>
  <c r="AG62" i="32"/>
  <c r="AJ62" i="32" s="1"/>
  <c r="AK62" i="32" s="1"/>
  <c r="H61" i="32"/>
  <c r="H69" i="32"/>
  <c r="H70" i="32" s="1"/>
  <c r="J65" i="32"/>
  <c r="J72" i="32" s="1"/>
  <c r="J64" i="32"/>
  <c r="J63" i="32"/>
  <c r="J62" i="32"/>
  <c r="H67" i="32"/>
  <c r="J67" i="32" s="1"/>
  <c r="G65" i="32"/>
  <c r="G72" i="32" s="1"/>
  <c r="G64" i="32"/>
  <c r="G63" i="32"/>
  <c r="G62" i="32"/>
  <c r="E67" i="32"/>
  <c r="E68" i="32" s="1"/>
  <c r="G68" i="32" s="1"/>
  <c r="I11" i="103"/>
  <c r="S20" i="102"/>
  <c r="S19" i="102"/>
  <c r="S18" i="102"/>
  <c r="S13" i="102" s="1"/>
  <c r="S12" i="102"/>
  <c r="CA59" i="7" s="1"/>
  <c r="AE17" i="64" s="1"/>
  <c r="S9" i="102"/>
  <c r="BZ59" i="7" s="1"/>
  <c r="F21" i="102"/>
  <c r="G13" i="102"/>
  <c r="G7" i="102"/>
  <c r="BZ54" i="7"/>
  <c r="T11" i="104"/>
  <c r="X11" i="104" s="1"/>
  <c r="CS54" i="7" s="1"/>
  <c r="BW44" i="8"/>
  <c r="T28" i="104"/>
  <c r="CL44" i="8" s="1"/>
  <c r="T36" i="104"/>
  <c r="X36" i="104" s="1"/>
  <c r="CY44" i="8" s="1"/>
  <c r="AN67" i="32"/>
  <c r="F20" i="105"/>
  <c r="F14" i="105"/>
  <c r="G67" i="32"/>
  <c r="S7" i="102"/>
  <c r="C145" i="120"/>
  <c r="R145" i="120" s="1"/>
  <c r="AG145" i="120" s="1"/>
  <c r="CC211" i="120"/>
  <c r="CD166" i="122"/>
  <c r="CJ166" i="122" s="1"/>
  <c r="D113" i="122"/>
  <c r="D166" i="122" s="1"/>
  <c r="D50" i="123" s="1"/>
  <c r="CJ113" i="122"/>
  <c r="F26" i="105"/>
  <c r="C211" i="120"/>
  <c r="C63" i="121" s="1"/>
  <c r="S16" i="65"/>
  <c r="S37" i="65"/>
  <c r="S31" i="65"/>
  <c r="S34" i="65" s="1"/>
  <c r="S24" i="65"/>
  <c r="S19" i="65"/>
  <c r="S18" i="65"/>
  <c r="Q36" i="61"/>
  <c r="Q18" i="61"/>
  <c r="Q15" i="61"/>
  <c r="Q37" i="61"/>
  <c r="Q33" i="61"/>
  <c r="Q32" i="61"/>
  <c r="Q24" i="61"/>
  <c r="BR174" i="7"/>
  <c r="BQ174" i="7"/>
  <c r="BR173" i="7"/>
  <c r="BQ173" i="7"/>
  <c r="BR171" i="7"/>
  <c r="BQ171" i="7"/>
  <c r="Q24" i="64"/>
  <c r="Q21" i="64"/>
  <c r="Q20" i="64"/>
  <c r="Q19" i="64"/>
  <c r="Q18" i="64"/>
  <c r="Q15" i="64"/>
  <c r="BO122" i="8"/>
  <c r="BN122" i="8"/>
  <c r="Q17" i="66" s="1"/>
  <c r="BO120" i="8"/>
  <c r="BN120" i="8"/>
  <c r="Q32" i="66"/>
  <c r="Q24" i="66"/>
  <c r="Q21" i="66"/>
  <c r="Q20" i="66"/>
  <c r="Q15" i="66"/>
  <c r="N9" i="100"/>
  <c r="S9" i="100" s="1"/>
  <c r="BP40" i="19"/>
  <c r="BP28" i="19"/>
  <c r="BP13" i="19"/>
  <c r="BG12" i="19"/>
  <c r="BF12" i="19"/>
  <c r="BE12" i="19"/>
  <c r="BD12" i="19"/>
  <c r="BC12" i="19"/>
  <c r="BV8" i="19"/>
  <c r="BU8" i="19"/>
  <c r="BT8" i="19"/>
  <c r="BS8" i="19"/>
  <c r="BP8" i="19" s="1"/>
  <c r="BR8" i="19"/>
  <c r="BQ8" i="19"/>
  <c r="BP46" i="19"/>
  <c r="BP45" i="19"/>
  <c r="BP44" i="19"/>
  <c r="BP35" i="19"/>
  <c r="BP32" i="19"/>
  <c r="BP22" i="19"/>
  <c r="BP15" i="19"/>
  <c r="BP9" i="19"/>
  <c r="BA47" i="19"/>
  <c r="BP47" i="19" s="1"/>
  <c r="BA46" i="19"/>
  <c r="BA45" i="19"/>
  <c r="BA44" i="19"/>
  <c r="BA43" i="19"/>
  <c r="BP43" i="19" s="1"/>
  <c r="BA42" i="19"/>
  <c r="BP42" i="19" s="1"/>
  <c r="BA41" i="19"/>
  <c r="BP41" i="19" s="1"/>
  <c r="BA40" i="19"/>
  <c r="BA39" i="19"/>
  <c r="BA38" i="19"/>
  <c r="BP38" i="19" s="1"/>
  <c r="BA37" i="19"/>
  <c r="BP37" i="19" s="1"/>
  <c r="BA36" i="19"/>
  <c r="BA35" i="19"/>
  <c r="BA34" i="19"/>
  <c r="BP34" i="19" s="1"/>
  <c r="BA33" i="19"/>
  <c r="BA32" i="19"/>
  <c r="BA31" i="19"/>
  <c r="BP31" i="19" s="1"/>
  <c r="BA30" i="19"/>
  <c r="BP30" i="19" s="1"/>
  <c r="BA29" i="19"/>
  <c r="BP29" i="19" s="1"/>
  <c r="BA28" i="19"/>
  <c r="BA26" i="19"/>
  <c r="BP26" i="19" s="1"/>
  <c r="BA25" i="19"/>
  <c r="BA23" i="19"/>
  <c r="BA22" i="19"/>
  <c r="BA21" i="19"/>
  <c r="BP21" i="19" s="1"/>
  <c r="BA20" i="19"/>
  <c r="BP20" i="19" s="1"/>
  <c r="BA19" i="19"/>
  <c r="BP19" i="19" s="1"/>
  <c r="BA18" i="19"/>
  <c r="BA17" i="19"/>
  <c r="BP17" i="19" s="1"/>
  <c r="BA15" i="19"/>
  <c r="BA11" i="19"/>
  <c r="BA10" i="19"/>
  <c r="BA14" i="19" s="1"/>
  <c r="BA9" i="19"/>
  <c r="BA8" i="19"/>
  <c r="BG16" i="19"/>
  <c r="BG49" i="19"/>
  <c r="BF16" i="19"/>
  <c r="BE16" i="19"/>
  <c r="BE49" i="19" s="1"/>
  <c r="BC16" i="19"/>
  <c r="BC49" i="19" s="1"/>
  <c r="BF24" i="19"/>
  <c r="BA24" i="19" s="1"/>
  <c r="BB48" i="19"/>
  <c r="BD48" i="19"/>
  <c r="BA48" i="19" s="1"/>
  <c r="BP48" i="19" s="1"/>
  <c r="BD27" i="19"/>
  <c r="BB27" i="19"/>
  <c r="BD16" i="19"/>
  <c r="BB16" i="19"/>
  <c r="BA16" i="19" s="1"/>
  <c r="BP16" i="19" s="1"/>
  <c r="BB12" i="19"/>
  <c r="AX62" i="19"/>
  <c r="AX16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Z49" i="19"/>
  <c r="AY49" i="19"/>
  <c r="AZ12" i="19"/>
  <c r="AY12" i="19"/>
  <c r="AX11" i="19"/>
  <c r="AX10" i="19"/>
  <c r="AX9" i="19"/>
  <c r="AX8" i="19"/>
  <c r="F67" i="96"/>
  <c r="F45" i="96"/>
  <c r="F44" i="96"/>
  <c r="AK25" i="6"/>
  <c r="AK18" i="6"/>
  <c r="AK9" i="6"/>
  <c r="AK13" i="6" s="1"/>
  <c r="AJ17" i="5"/>
  <c r="AJ8" i="5"/>
  <c r="AJ26" i="5"/>
  <c r="BA27" i="19"/>
  <c r="BP27" i="19" s="1"/>
  <c r="BF49" i="19"/>
  <c r="AX12" i="19"/>
  <c r="F52" i="97"/>
  <c r="F46" i="97"/>
  <c r="AO41" i="6"/>
  <c r="AO40" i="6"/>
  <c r="AO39" i="6"/>
  <c r="AO33" i="6"/>
  <c r="AO24" i="6"/>
  <c r="AO21" i="6"/>
  <c r="AO15" i="6"/>
  <c r="AN35" i="5"/>
  <c r="AO14" i="6"/>
  <c r="AL25" i="6"/>
  <c r="AL18" i="6"/>
  <c r="AL13" i="6"/>
  <c r="AO13" i="6" s="1"/>
  <c r="AL11" i="6"/>
  <c r="AN45" i="5"/>
  <c r="AN44" i="5"/>
  <c r="AN41" i="5"/>
  <c r="AN40" i="5"/>
  <c r="AN38" i="5"/>
  <c r="AN37" i="5"/>
  <c r="AN36" i="5"/>
  <c r="AN34" i="5"/>
  <c r="AN31" i="5"/>
  <c r="AN28" i="5"/>
  <c r="AN23" i="5"/>
  <c r="AN21" i="5"/>
  <c r="AN20" i="5"/>
  <c r="AN19" i="5"/>
  <c r="AN16" i="5"/>
  <c r="AK17" i="5"/>
  <c r="AN10" i="5"/>
  <c r="AN8" i="5" s="1"/>
  <c r="AK26" i="5"/>
  <c r="AK12" i="5"/>
  <c r="J66" i="96"/>
  <c r="J43" i="96"/>
  <c r="G67" i="96"/>
  <c r="G54" i="96"/>
  <c r="G44" i="96"/>
  <c r="G36" i="96"/>
  <c r="G31" i="96"/>
  <c r="G26" i="96"/>
  <c r="G21" i="96"/>
  <c r="G16" i="96"/>
  <c r="G11" i="96"/>
  <c r="CA24" i="7"/>
  <c r="BX108" i="8"/>
  <c r="BW108" i="8"/>
  <c r="BV108" i="8"/>
  <c r="BX105" i="8"/>
  <c r="BW105" i="8"/>
  <c r="BV105" i="8"/>
  <c r="BX98" i="8"/>
  <c r="BW98" i="8"/>
  <c r="BX97" i="8"/>
  <c r="BX120" i="8" s="1"/>
  <c r="BX96" i="8"/>
  <c r="BX122" i="8" s="1"/>
  <c r="BX95" i="8"/>
  <c r="BX123" i="8" s="1"/>
  <c r="BW95" i="8"/>
  <c r="AG17" i="65" s="1"/>
  <c r="BV95" i="8"/>
  <c r="BX88" i="8"/>
  <c r="BZ44" i="7"/>
  <c r="CS31" i="17"/>
  <c r="CS24" i="17"/>
  <c r="D63" i="68"/>
  <c r="D65" i="68" s="1"/>
  <c r="T64" i="68"/>
  <c r="T78" i="68" s="1"/>
  <c r="R64" i="68"/>
  <c r="R78" i="68" s="1"/>
  <c r="P64" i="68"/>
  <c r="P78" i="68" s="1"/>
  <c r="L64" i="68"/>
  <c r="L78" i="68" s="1"/>
  <c r="J64" i="68"/>
  <c r="J78" i="68" s="1"/>
  <c r="F63" i="68"/>
  <c r="H63" i="68" s="1"/>
  <c r="J63" i="68" s="1"/>
  <c r="CJ31" i="17"/>
  <c r="CK29" i="17"/>
  <c r="CJ24" i="17"/>
  <c r="CK35" i="17"/>
  <c r="CK34" i="17"/>
  <c r="CK33" i="17"/>
  <c r="CK32" i="17"/>
  <c r="CK28" i="17"/>
  <c r="CK27" i="17"/>
  <c r="CK26" i="17"/>
  <c r="CK25" i="17"/>
  <c r="CL31" i="17"/>
  <c r="CL24" i="17"/>
  <c r="CK24" i="17" s="1"/>
  <c r="I34" i="111"/>
  <c r="BV22" i="8" s="1"/>
  <c r="BW22" i="8" s="1"/>
  <c r="I28" i="111"/>
  <c r="BZ22" i="7" s="1"/>
  <c r="BY22" i="7" s="1"/>
  <c r="F51" i="97"/>
  <c r="I33" i="111" s="1"/>
  <c r="F45" i="97"/>
  <c r="I27" i="111" s="1"/>
  <c r="BZ12" i="7" s="1"/>
  <c r="BY12" i="7" s="1"/>
  <c r="D56" i="97"/>
  <c r="C56" i="97"/>
  <c r="B56" i="97"/>
  <c r="D50" i="97"/>
  <c r="C50" i="97"/>
  <c r="B50" i="97"/>
  <c r="D20" i="97"/>
  <c r="D26" i="97"/>
  <c r="H26" i="111"/>
  <c r="H32" i="111"/>
  <c r="BV50" i="8"/>
  <c r="BV98" i="8" s="1"/>
  <c r="BV36" i="8"/>
  <c r="BX34" i="8"/>
  <c r="BX27" i="8"/>
  <c r="BV21" i="8"/>
  <c r="BV11" i="8"/>
  <c r="G56" i="97"/>
  <c r="G50" i="97"/>
  <c r="BM100" i="8"/>
  <c r="BM52" i="8" s="1"/>
  <c r="BO105" i="8"/>
  <c r="BN105" i="8"/>
  <c r="BM105" i="8"/>
  <c r="BO98" i="8"/>
  <c r="BN98" i="8"/>
  <c r="BM98" i="8"/>
  <c r="BO95" i="8"/>
  <c r="BO123" i="8" s="1"/>
  <c r="BN95" i="8"/>
  <c r="BN123" i="8" s="1"/>
  <c r="BM95" i="8"/>
  <c r="BO94" i="8"/>
  <c r="BN94" i="8"/>
  <c r="BO92" i="8"/>
  <c r="BN92" i="8"/>
  <c r="BO91" i="8"/>
  <c r="BN91" i="8"/>
  <c r="BO90" i="8"/>
  <c r="BN90" i="8"/>
  <c r="BO89" i="8"/>
  <c r="BO117" i="8" s="1"/>
  <c r="Q12" i="66" s="1"/>
  <c r="BN89" i="8"/>
  <c r="BO88" i="8"/>
  <c r="BN88" i="8"/>
  <c r="BN117" i="8" s="1"/>
  <c r="S11" i="65" s="1"/>
  <c r="BO87" i="8"/>
  <c r="BO124" i="8" s="1"/>
  <c r="Q22" i="66" s="1"/>
  <c r="BN87" i="8"/>
  <c r="BN124" i="8" s="1"/>
  <c r="S21" i="65" s="1"/>
  <c r="BO86" i="8"/>
  <c r="BO118" i="8"/>
  <c r="Q13" i="66" s="1"/>
  <c r="BN86" i="8"/>
  <c r="BN118" i="8" s="1"/>
  <c r="BM46" i="8"/>
  <c r="BM94" i="8"/>
  <c r="BM45" i="8"/>
  <c r="BM44" i="8"/>
  <c r="BM43" i="8"/>
  <c r="BO42" i="8"/>
  <c r="BO93" i="8" s="1"/>
  <c r="BN42" i="8"/>
  <c r="BN93" i="8" s="1"/>
  <c r="BM41" i="8"/>
  <c r="BN40" i="8"/>
  <c r="BM39" i="8"/>
  <c r="BM40" i="8" s="1"/>
  <c r="BV40" i="8" s="1"/>
  <c r="BW40" i="8" s="1"/>
  <c r="BM38" i="8"/>
  <c r="BM37" i="8"/>
  <c r="BM36" i="8"/>
  <c r="BM35" i="8"/>
  <c r="BM34" i="8" s="1"/>
  <c r="BO34" i="8"/>
  <c r="BN34" i="8"/>
  <c r="BM33" i="8"/>
  <c r="BM32" i="8"/>
  <c r="BN31" i="8"/>
  <c r="BN27" i="8" s="1"/>
  <c r="BM30" i="8"/>
  <c r="BM29" i="8"/>
  <c r="BM28" i="8"/>
  <c r="BM88" i="8" s="1"/>
  <c r="BO27" i="8"/>
  <c r="BM26" i="8"/>
  <c r="BO25" i="8"/>
  <c r="BN25" i="8"/>
  <c r="BM24" i="8"/>
  <c r="BM25" i="8" s="1"/>
  <c r="BV25" i="8" s="1"/>
  <c r="BM23" i="8"/>
  <c r="BM22" i="8"/>
  <c r="BM21" i="8"/>
  <c r="BM20" i="8"/>
  <c r="BM19" i="8"/>
  <c r="BM91" i="8" s="1"/>
  <c r="BM18" i="8"/>
  <c r="BO17" i="8"/>
  <c r="BN17" i="8"/>
  <c r="BM16" i="8"/>
  <c r="BN15" i="8"/>
  <c r="BM14" i="8"/>
  <c r="BM13" i="8"/>
  <c r="BM89" i="8" s="1"/>
  <c r="BM12" i="8"/>
  <c r="BM11" i="8"/>
  <c r="BM10" i="8"/>
  <c r="BM9" i="8"/>
  <c r="BM86" i="8" s="1"/>
  <c r="BO8" i="8"/>
  <c r="BP151" i="7"/>
  <c r="BP64" i="7"/>
  <c r="BR138" i="7"/>
  <c r="BR175" i="7" s="1"/>
  <c r="Q22" i="64" s="1"/>
  <c r="BQ138" i="7"/>
  <c r="BR143" i="7"/>
  <c r="BQ143" i="7"/>
  <c r="BQ168" i="7" s="1"/>
  <c r="BR142" i="7"/>
  <c r="BQ142" i="7"/>
  <c r="BQ141" i="7"/>
  <c r="BR140" i="7"/>
  <c r="BQ140" i="7"/>
  <c r="Q12" i="61" s="1"/>
  <c r="BR139" i="7"/>
  <c r="BQ139" i="7"/>
  <c r="BR136" i="7"/>
  <c r="BQ136" i="7"/>
  <c r="BQ169" i="7" s="1"/>
  <c r="BQ145" i="7"/>
  <c r="BR145" i="7"/>
  <c r="BQ146" i="7"/>
  <c r="BR146" i="7"/>
  <c r="BR149" i="7"/>
  <c r="BP156" i="7"/>
  <c r="BQ156" i="7"/>
  <c r="BR156" i="7"/>
  <c r="BP57" i="7"/>
  <c r="BR43" i="7"/>
  <c r="BP51" i="7"/>
  <c r="BP49" i="7"/>
  <c r="BP48" i="7"/>
  <c r="BP47" i="7"/>
  <c r="BP46" i="7"/>
  <c r="BP45" i="7"/>
  <c r="BP44" i="7"/>
  <c r="BQ50" i="7"/>
  <c r="BQ43" i="7" s="1"/>
  <c r="BP43" i="7" s="1"/>
  <c r="BR33" i="7"/>
  <c r="BR27" i="7" s="1"/>
  <c r="BQ33" i="7"/>
  <c r="BO33" i="7"/>
  <c r="BN33" i="7"/>
  <c r="Q22" i="61"/>
  <c r="BQ175" i="7"/>
  <c r="BN8" i="8"/>
  <c r="BW15" i="8"/>
  <c r="BM87" i="8"/>
  <c r="BP50" i="7"/>
  <c r="BY50" i="7" s="1"/>
  <c r="BZ50" i="7" s="1"/>
  <c r="BM42" i="8"/>
  <c r="BM93" i="8" s="1"/>
  <c r="BM31" i="8"/>
  <c r="BO51" i="8"/>
  <c r="BO53" i="8" s="1"/>
  <c r="BQ62" i="7"/>
  <c r="BP61" i="7"/>
  <c r="BP146" i="7" s="1"/>
  <c r="BP58" i="7"/>
  <c r="BP145" i="7" s="1"/>
  <c r="BP56" i="7"/>
  <c r="BP55" i="7"/>
  <c r="BP54" i="7"/>
  <c r="BP53" i="7"/>
  <c r="BP52" i="7" s="1"/>
  <c r="BR52" i="7"/>
  <c r="BQ52" i="7"/>
  <c r="BP42" i="7"/>
  <c r="BR41" i="7"/>
  <c r="BR35" i="7" s="1"/>
  <c r="BQ41" i="7"/>
  <c r="BQ35" i="7" s="1"/>
  <c r="BP40" i="7"/>
  <c r="BP39" i="7"/>
  <c r="BP38" i="7"/>
  <c r="BP37" i="7"/>
  <c r="BP36" i="7"/>
  <c r="BP34" i="7"/>
  <c r="BQ27" i="7"/>
  <c r="BP32" i="7"/>
  <c r="BP31" i="7"/>
  <c r="BP30" i="7"/>
  <c r="BP29" i="7"/>
  <c r="BP27" i="7" s="1"/>
  <c r="BP28" i="7"/>
  <c r="BP139" i="7" s="1"/>
  <c r="BP26" i="7"/>
  <c r="BQ25" i="7"/>
  <c r="BQ17" i="7" s="1"/>
  <c r="BR24" i="7"/>
  <c r="BP24" i="7" s="1"/>
  <c r="BP23" i="7"/>
  <c r="BP22" i="7"/>
  <c r="BP21" i="7"/>
  <c r="BP20" i="7"/>
  <c r="BP19" i="7"/>
  <c r="BP142" i="7" s="1"/>
  <c r="BP18" i="7"/>
  <c r="BP16" i="7"/>
  <c r="BR15" i="7"/>
  <c r="BR8" i="7" s="1"/>
  <c r="BQ15" i="7"/>
  <c r="BQ8" i="7" s="1"/>
  <c r="BP14" i="7"/>
  <c r="BP15" i="7" s="1"/>
  <c r="BP13" i="7"/>
  <c r="BP140" i="7" s="1"/>
  <c r="BP12" i="7"/>
  <c r="BP11" i="7"/>
  <c r="BP10" i="7"/>
  <c r="BP9" i="7"/>
  <c r="BJ47" i="8"/>
  <c r="BJ95" i="8" s="1"/>
  <c r="BL105" i="8"/>
  <c r="BK105" i="8"/>
  <c r="BL100" i="8"/>
  <c r="BL52" i="8" s="1"/>
  <c r="BK100" i="8"/>
  <c r="BK52" i="8" s="1"/>
  <c r="BL98" i="8"/>
  <c r="BK98" i="8"/>
  <c r="BJ98" i="8"/>
  <c r="BL95" i="8"/>
  <c r="BK95" i="8"/>
  <c r="BL94" i="8"/>
  <c r="BK94" i="8"/>
  <c r="BL92" i="8"/>
  <c r="BK92" i="8"/>
  <c r="BL91" i="8"/>
  <c r="BK91" i="8"/>
  <c r="BL90" i="8"/>
  <c r="BK90" i="8"/>
  <c r="BL89" i="8"/>
  <c r="BK89" i="8"/>
  <c r="BL88" i="8"/>
  <c r="BK88" i="8"/>
  <c r="BL87" i="8"/>
  <c r="BK87" i="8"/>
  <c r="BL86" i="8"/>
  <c r="BK86" i="8"/>
  <c r="BJ65" i="8"/>
  <c r="BJ100" i="8" s="1"/>
  <c r="BJ52" i="8" s="1"/>
  <c r="BJ46" i="8"/>
  <c r="BJ94" i="8" s="1"/>
  <c r="BJ45" i="8"/>
  <c r="BJ44" i="8"/>
  <c r="BJ42" i="8" s="1"/>
  <c r="BJ93" i="8" s="1"/>
  <c r="BJ43" i="8"/>
  <c r="BL42" i="8"/>
  <c r="BL93" i="8" s="1"/>
  <c r="BK42" i="8"/>
  <c r="BK93" i="8" s="1"/>
  <c r="BJ41" i="8"/>
  <c r="BK40" i="8"/>
  <c r="BJ39" i="8"/>
  <c r="BJ38" i="8"/>
  <c r="BJ37" i="8"/>
  <c r="BJ34" i="8" s="1"/>
  <c r="BJ36" i="8"/>
  <c r="BJ35" i="8"/>
  <c r="BL34" i="8"/>
  <c r="BK34" i="8"/>
  <c r="BJ33" i="8"/>
  <c r="BJ32" i="8"/>
  <c r="BK31" i="8"/>
  <c r="BK27" i="8" s="1"/>
  <c r="BJ30" i="8"/>
  <c r="BJ29" i="8"/>
  <c r="BJ28" i="8"/>
  <c r="BL27" i="8"/>
  <c r="BJ26" i="8"/>
  <c r="BL25" i="8"/>
  <c r="BK25" i="8"/>
  <c r="BJ24" i="8"/>
  <c r="BJ23" i="8"/>
  <c r="BJ22" i="8"/>
  <c r="BJ21" i="8"/>
  <c r="BJ20" i="8"/>
  <c r="BJ19" i="8"/>
  <c r="BJ91" i="8" s="1"/>
  <c r="BJ18" i="8"/>
  <c r="BL17" i="8"/>
  <c r="BK17" i="8"/>
  <c r="BJ16" i="8"/>
  <c r="BJ92" i="8" s="1"/>
  <c r="BK15" i="8"/>
  <c r="BJ14" i="8"/>
  <c r="BJ13" i="8"/>
  <c r="BJ12" i="8"/>
  <c r="BJ11" i="8"/>
  <c r="BJ87" i="8" s="1"/>
  <c r="BJ10" i="8"/>
  <c r="BJ9" i="8"/>
  <c r="BL8" i="8"/>
  <c r="BK8" i="8"/>
  <c r="BM151" i="7"/>
  <c r="BM64" i="7" s="1"/>
  <c r="BO156" i="7"/>
  <c r="BN156" i="7"/>
  <c r="BM156" i="7"/>
  <c r="BO149" i="7"/>
  <c r="BO146" i="7"/>
  <c r="BN146" i="7"/>
  <c r="BO145" i="7"/>
  <c r="BN145" i="7"/>
  <c r="BO143" i="7"/>
  <c r="BN143" i="7"/>
  <c r="BO142" i="7"/>
  <c r="BN142" i="7"/>
  <c r="BN141" i="7"/>
  <c r="BO140" i="7"/>
  <c r="BN140" i="7"/>
  <c r="BO139" i="7"/>
  <c r="BN139" i="7"/>
  <c r="BO138" i="7"/>
  <c r="BN138" i="7"/>
  <c r="BO136" i="7"/>
  <c r="BN136" i="7"/>
  <c r="BM58" i="7"/>
  <c r="BM145" i="7" s="1"/>
  <c r="BM56" i="7"/>
  <c r="BM55" i="7"/>
  <c r="BM54" i="7"/>
  <c r="BM53" i="7"/>
  <c r="BM52" i="7" s="1"/>
  <c r="BM144" i="7" s="1"/>
  <c r="BM42" i="7"/>
  <c r="BM40" i="7"/>
  <c r="BM39" i="7"/>
  <c r="BM38" i="7"/>
  <c r="BM37" i="7"/>
  <c r="BM36" i="7"/>
  <c r="BM34" i="7"/>
  <c r="BM32" i="7"/>
  <c r="BM33" i="7" s="1"/>
  <c r="BM31" i="7"/>
  <c r="BM30" i="7"/>
  <c r="BM29" i="7"/>
  <c r="BM28" i="7"/>
  <c r="BM23" i="7"/>
  <c r="BM26" i="7"/>
  <c r="BM22" i="7"/>
  <c r="BM21" i="7"/>
  <c r="BM19" i="7"/>
  <c r="BM142" i="7" s="1"/>
  <c r="BM18" i="7"/>
  <c r="BN25" i="7"/>
  <c r="BM16" i="7"/>
  <c r="BM143" i="7" s="1"/>
  <c r="BM14" i="7"/>
  <c r="BM13" i="7"/>
  <c r="BM12" i="7"/>
  <c r="BM11" i="7"/>
  <c r="BM10" i="7"/>
  <c r="BM9" i="7"/>
  <c r="BM136" i="7" s="1"/>
  <c r="BP136" i="7"/>
  <c r="BJ40" i="8"/>
  <c r="BR144" i="7"/>
  <c r="BR172" i="7" s="1"/>
  <c r="Q16" i="64" s="1"/>
  <c r="Q14" i="64" s="1"/>
  <c r="BP62" i="7"/>
  <c r="BP149" i="7" s="1"/>
  <c r="BQ149" i="7"/>
  <c r="BP138" i="7"/>
  <c r="BR141" i="7"/>
  <c r="BQ144" i="7"/>
  <c r="BM140" i="7"/>
  <c r="BP33" i="7"/>
  <c r="BY33" i="7" s="1"/>
  <c r="BP41" i="7"/>
  <c r="BJ86" i="8"/>
  <c r="BN62" i="7"/>
  <c r="BM62" i="7" s="1"/>
  <c r="BM149" i="7" s="1"/>
  <c r="BM61" i="7"/>
  <c r="BM146" i="7" s="1"/>
  <c r="BN52" i="7"/>
  <c r="BN144" i="7" s="1"/>
  <c r="BN27" i="7"/>
  <c r="BO15" i="7"/>
  <c r="BO8" i="7" s="1"/>
  <c r="CA174" i="7"/>
  <c r="CA156" i="7"/>
  <c r="BZ156" i="7"/>
  <c r="BY156" i="7"/>
  <c r="CA153" i="7"/>
  <c r="BZ153" i="7"/>
  <c r="BY153" i="7"/>
  <c r="CA149" i="7"/>
  <c r="BZ149" i="7"/>
  <c r="BY149" i="7"/>
  <c r="CA148" i="7"/>
  <c r="CA171" i="7" s="1"/>
  <c r="CA146" i="7"/>
  <c r="CA142" i="7"/>
  <c r="BY44" i="7"/>
  <c r="CA43" i="7"/>
  <c r="BZ37" i="7"/>
  <c r="BY21" i="7"/>
  <c r="CA17" i="7"/>
  <c r="BY11" i="7"/>
  <c r="BQ172" i="7"/>
  <c r="Q16" i="61"/>
  <c r="Q14" i="61" s="1"/>
  <c r="BP144" i="7"/>
  <c r="BN149" i="7"/>
  <c r="BO41" i="7"/>
  <c r="BO35" i="7" s="1"/>
  <c r="BN15" i="7"/>
  <c r="BN8" i="7" s="1"/>
  <c r="BO52" i="7"/>
  <c r="BO144" i="7" s="1"/>
  <c r="BN41" i="7"/>
  <c r="BN35" i="7" s="1"/>
  <c r="BN17" i="7"/>
  <c r="BM41" i="7"/>
  <c r="M41" i="98"/>
  <c r="M34" i="98"/>
  <c r="M38" i="98" s="1"/>
  <c r="M29" i="98"/>
  <c r="M27" i="98"/>
  <c r="M26" i="98"/>
  <c r="M21" i="98"/>
  <c r="M40" i="98" s="1"/>
  <c r="M14" i="98"/>
  <c r="M9" i="98"/>
  <c r="M33" i="95"/>
  <c r="M43" i="95"/>
  <c r="M42" i="95" s="1"/>
  <c r="M38" i="95"/>
  <c r="M31" i="95"/>
  <c r="M50" i="95" s="1"/>
  <c r="M28" i="95"/>
  <c r="M20" i="95"/>
  <c r="M30" i="95" s="1"/>
  <c r="M49" i="95" s="1"/>
  <c r="M17" i="95"/>
  <c r="M37" i="95"/>
  <c r="M51" i="95"/>
  <c r="M8" i="95"/>
  <c r="M12" i="95" s="1"/>
  <c r="AS17" i="10"/>
  <c r="BW35" i="8" s="1"/>
  <c r="BV35" i="8" s="1"/>
  <c r="AS16" i="10"/>
  <c r="AT16" i="10" s="1"/>
  <c r="CL32" i="8" s="1"/>
  <c r="CK32" i="8" s="1"/>
  <c r="AS15" i="10"/>
  <c r="BV20" i="8" s="1"/>
  <c r="AS14" i="10"/>
  <c r="BW10" i="8" s="1"/>
  <c r="BV10" i="8" s="1"/>
  <c r="AS10" i="10"/>
  <c r="AS9" i="10"/>
  <c r="AS8" i="10"/>
  <c r="AT8" i="10" s="1"/>
  <c r="CG20" i="7" s="1"/>
  <c r="AS7" i="10"/>
  <c r="BY10" i="7" s="1"/>
  <c r="BY36" i="7"/>
  <c r="BZ36" i="7" s="1"/>
  <c r="AT10" i="10"/>
  <c r="CF36" i="7" s="1"/>
  <c r="CG36" i="7" s="1"/>
  <c r="AT17" i="10"/>
  <c r="CL35" i="8" s="1"/>
  <c r="CK35" i="8" s="1"/>
  <c r="BZ20" i="7"/>
  <c r="AG18" i="10"/>
  <c r="AG13" i="10"/>
  <c r="BB57" i="3"/>
  <c r="BB52" i="3"/>
  <c r="BC49" i="3"/>
  <c r="CA79" i="7" s="1"/>
  <c r="CA151" i="7" s="1"/>
  <c r="CA64" i="7" s="1"/>
  <c r="AW63" i="3"/>
  <c r="Q36" i="66"/>
  <c r="Q37" i="66" s="1"/>
  <c r="AV63" i="3"/>
  <c r="S36" i="65" s="1"/>
  <c r="AV57" i="3"/>
  <c r="AV49" i="3" s="1"/>
  <c r="AV45" i="3" s="1"/>
  <c r="AV44" i="3" s="1"/>
  <c r="AW49" i="3"/>
  <c r="Q36" i="64"/>
  <c r="AW44" i="3"/>
  <c r="AW41" i="3" s="1"/>
  <c r="AW39" i="3" s="1"/>
  <c r="AC34" i="65"/>
  <c r="AP34" i="65" s="1"/>
  <c r="Z32" i="65"/>
  <c r="T17" i="95"/>
  <c r="AV62" i="3"/>
  <c r="AV39" i="3"/>
  <c r="AZ52" i="3"/>
  <c r="K63" i="32" s="1"/>
  <c r="M37" i="61"/>
  <c r="L37" i="61" s="1"/>
  <c r="AZ50" i="3"/>
  <c r="BB50" i="3" s="1"/>
  <c r="D20" i="112"/>
  <c r="E20" i="112"/>
  <c r="B56" i="68" s="1"/>
  <c r="B31" i="101"/>
  <c r="C31" i="101" s="1"/>
  <c r="G35" i="111"/>
  <c r="G32" i="111" s="1"/>
  <c r="G30" i="111"/>
  <c r="G26" i="111"/>
  <c r="F35" i="111"/>
  <c r="F32" i="111" s="1"/>
  <c r="F30" i="111"/>
  <c r="F26" i="111" s="1"/>
  <c r="E35" i="111"/>
  <c r="E32" i="111" s="1"/>
  <c r="E30" i="111"/>
  <c r="E26" i="111" s="1"/>
  <c r="D35" i="111"/>
  <c r="D32" i="111" s="1"/>
  <c r="D30" i="111"/>
  <c r="D26" i="111" s="1"/>
  <c r="C35" i="111"/>
  <c r="C30" i="111"/>
  <c r="C26" i="111" s="1"/>
  <c r="B35" i="111"/>
  <c r="P35" i="111" s="1"/>
  <c r="B30" i="111"/>
  <c r="P30" i="111" s="1"/>
  <c r="B20" i="112"/>
  <c r="C20" i="112" s="1"/>
  <c r="D15" i="112"/>
  <c r="E15" i="112" s="1"/>
  <c r="B55" i="68" s="1"/>
  <c r="B15" i="112"/>
  <c r="C15" i="112" s="1"/>
  <c r="CM24" i="17"/>
  <c r="AD15" i="61"/>
  <c r="AC15" i="61"/>
  <c r="AB15" i="61"/>
  <c r="AA15" i="61"/>
  <c r="Z15" i="61"/>
  <c r="T37" i="95"/>
  <c r="D8" i="97"/>
  <c r="E38" i="97" s="1"/>
  <c r="D5" i="97"/>
  <c r="E33" i="97" s="1"/>
  <c r="BV12" i="7"/>
  <c r="D14" i="100"/>
  <c r="L37" i="65"/>
  <c r="M37" i="65" s="1"/>
  <c r="BV22" i="7"/>
  <c r="F20" i="111"/>
  <c r="D20" i="111" s="1"/>
  <c r="F19" i="111"/>
  <c r="C19" i="111" s="1"/>
  <c r="F18" i="111"/>
  <c r="D18" i="111" s="1"/>
  <c r="F17" i="111"/>
  <c r="F16" i="111"/>
  <c r="D16" i="111" s="1"/>
  <c r="F15" i="111"/>
  <c r="D15" i="111" s="1"/>
  <c r="F12" i="111"/>
  <c r="C12" i="111" s="1"/>
  <c r="F11" i="111"/>
  <c r="D11" i="111" s="1"/>
  <c r="F10" i="111"/>
  <c r="C10" i="111" s="1"/>
  <c r="F9" i="111"/>
  <c r="C9" i="111" s="1"/>
  <c r="F8" i="111"/>
  <c r="C8" i="111" s="1"/>
  <c r="F7" i="111"/>
  <c r="C7" i="111" s="1"/>
  <c r="M29" i="65"/>
  <c r="BA70" i="3"/>
  <c r="BC70" i="3" s="1"/>
  <c r="R23" i="65"/>
  <c r="R14" i="65"/>
  <c r="H12" i="95"/>
  <c r="AZ42" i="3"/>
  <c r="BB42" i="3"/>
  <c r="AZ64" i="3"/>
  <c r="BB64" i="3" s="1"/>
  <c r="AG37" i="65" s="1"/>
  <c r="L50" i="97"/>
  <c r="L56" i="97"/>
  <c r="B32" i="111"/>
  <c r="E53" i="97"/>
  <c r="M53" i="97" s="1"/>
  <c r="AV43" i="3"/>
  <c r="G7" i="96"/>
  <c r="BV28" i="7"/>
  <c r="B26" i="111"/>
  <c r="D9" i="111"/>
  <c r="C15" i="111"/>
  <c r="D7" i="111"/>
  <c r="D10" i="111"/>
  <c r="C18" i="111"/>
  <c r="G35" i="96"/>
  <c r="G20" i="96"/>
  <c r="J20" i="96" s="1"/>
  <c r="G30" i="96"/>
  <c r="G25" i="96"/>
  <c r="J25" i="96" s="1"/>
  <c r="G15" i="96"/>
  <c r="G10" i="96"/>
  <c r="BT22" i="8"/>
  <c r="BT12" i="8"/>
  <c r="S13" i="98"/>
  <c r="Y13" i="98" s="1"/>
  <c r="AB18" i="10"/>
  <c r="O10" i="109"/>
  <c r="O14" i="109"/>
  <c r="O17" i="109"/>
  <c r="O18" i="109"/>
  <c r="O24" i="109"/>
  <c r="O26" i="109"/>
  <c r="O27" i="109"/>
  <c r="O29" i="109"/>
  <c r="O35" i="109"/>
  <c r="O36" i="109"/>
  <c r="O38" i="109"/>
  <c r="O40" i="109"/>
  <c r="O41" i="109"/>
  <c r="O44" i="109"/>
  <c r="O45" i="109"/>
  <c r="O46" i="109"/>
  <c r="O52" i="109"/>
  <c r="O57" i="109"/>
  <c r="O62" i="109"/>
  <c r="N11" i="109"/>
  <c r="O11" i="109" s="1"/>
  <c r="N16" i="109"/>
  <c r="O16" i="109" s="1"/>
  <c r="N15" i="109"/>
  <c r="O15" i="109" s="1"/>
  <c r="N54" i="109"/>
  <c r="O54" i="109" s="1"/>
  <c r="N9" i="109"/>
  <c r="O9" i="109" s="1"/>
  <c r="B9" i="110"/>
  <c r="B15" i="110" s="1"/>
  <c r="B24" i="110" s="1"/>
  <c r="B25" i="110" s="1"/>
  <c r="B26" i="110" s="1"/>
  <c r="B17" i="110"/>
  <c r="B19" i="110" s="1"/>
  <c r="B20" i="110" s="1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62" i="109" s="1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0" i="109"/>
  <c r="O60" i="109" s="1"/>
  <c r="N59" i="109"/>
  <c r="O59" i="109" s="1"/>
  <c r="N58" i="109"/>
  <c r="O58" i="109" s="1"/>
  <c r="N56" i="109"/>
  <c r="O56" i="109" s="1"/>
  <c r="N55" i="109"/>
  <c r="O55" i="109" s="1"/>
  <c r="N53" i="109"/>
  <c r="O53" i="109" s="1"/>
  <c r="N51" i="109"/>
  <c r="O51" i="109" s="1"/>
  <c r="N50" i="109"/>
  <c r="O50" i="109" s="1"/>
  <c r="N49" i="109"/>
  <c r="O49" i="109" s="1"/>
  <c r="N48" i="109"/>
  <c r="O48" i="109" s="1"/>
  <c r="N47" i="109"/>
  <c r="O47" i="109" s="1"/>
  <c r="N43" i="109"/>
  <c r="O43" i="109" s="1"/>
  <c r="N42" i="109"/>
  <c r="O42" i="109" s="1"/>
  <c r="N39" i="109"/>
  <c r="O39" i="109"/>
  <c r="N37" i="109"/>
  <c r="O37" i="109" s="1"/>
  <c r="N34" i="109"/>
  <c r="O34" i="109" s="1"/>
  <c r="N33" i="109"/>
  <c r="O33" i="109" s="1"/>
  <c r="N32" i="109"/>
  <c r="O32" i="109" s="1"/>
  <c r="N31" i="109"/>
  <c r="O31" i="109" s="1"/>
  <c r="N30" i="109"/>
  <c r="O30" i="109" s="1"/>
  <c r="N28" i="109"/>
  <c r="O28" i="109" s="1"/>
  <c r="N25" i="109"/>
  <c r="O25" i="109" s="1"/>
  <c r="N23" i="109"/>
  <c r="O23" i="109" s="1"/>
  <c r="N22" i="109"/>
  <c r="O22" i="109" s="1"/>
  <c r="N21" i="109"/>
  <c r="O21" i="109" s="1"/>
  <c r="N20" i="109"/>
  <c r="O20" i="109" s="1"/>
  <c r="N19" i="109"/>
  <c r="O19" i="109" s="1"/>
  <c r="N13" i="109"/>
  <c r="O13" i="109" s="1"/>
  <c r="N12" i="109"/>
  <c r="O12" i="109" s="1"/>
  <c r="G9" i="109"/>
  <c r="D126" i="120"/>
  <c r="S126" i="120" s="1"/>
  <c r="AH126" i="120" s="1"/>
  <c r="CJ126" i="120"/>
  <c r="B21" i="110"/>
  <c r="B22" i="110" s="1"/>
  <c r="B23" i="110" s="1"/>
  <c r="BO11" i="122"/>
  <c r="BM11" i="122" s="1"/>
  <c r="D11" i="122"/>
  <c r="CD9" i="122"/>
  <c r="CB11" i="122"/>
  <c r="S11" i="122"/>
  <c r="S145" i="122" s="1"/>
  <c r="AQ11" i="122"/>
  <c r="F5" i="108"/>
  <c r="E5" i="108"/>
  <c r="H6" i="108"/>
  <c r="F4" i="108"/>
  <c r="E4" i="108"/>
  <c r="D4" i="108"/>
  <c r="F121" i="106"/>
  <c r="B15" i="107"/>
  <c r="B14" i="107"/>
  <c r="B13" i="107" s="1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108" i="106" s="1"/>
  <c r="H89" i="106"/>
  <c r="H88" i="106"/>
  <c r="H86" i="106"/>
  <c r="H6" i="106" s="1"/>
  <c r="H82" i="106"/>
  <c r="H79" i="106"/>
  <c r="H78" i="106"/>
  <c r="H77" i="106"/>
  <c r="H76" i="106"/>
  <c r="H75" i="106"/>
  <c r="H74" i="106"/>
  <c r="H73" i="106"/>
  <c r="H72" i="106"/>
  <c r="H80" i="106" s="1"/>
  <c r="H71" i="106"/>
  <c r="H70" i="106"/>
  <c r="H67" i="106"/>
  <c r="H66" i="106"/>
  <c r="H65" i="106"/>
  <c r="H64" i="106"/>
  <c r="H63" i="106"/>
  <c r="H62" i="106"/>
  <c r="H61" i="106"/>
  <c r="H60" i="106"/>
  <c r="H59" i="106"/>
  <c r="H68" i="106" s="1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38" i="102"/>
  <c r="B37" i="102"/>
  <c r="B39" i="102"/>
  <c r="D29" i="102"/>
  <c r="D30" i="102"/>
  <c r="D31" i="102"/>
  <c r="D32" i="102"/>
  <c r="D33" i="102"/>
  <c r="D34" i="102"/>
  <c r="D28" i="102"/>
  <c r="D39" i="102" s="1"/>
  <c r="B61" i="102"/>
  <c r="B74" i="102" s="1"/>
  <c r="B72" i="102"/>
  <c r="B35" i="102"/>
  <c r="D9" i="122"/>
  <c r="CB9" i="122"/>
  <c r="AQ145" i="122"/>
  <c r="AO11" i="122"/>
  <c r="AO145" i="122" s="1"/>
  <c r="D145" i="122"/>
  <c r="B11" i="122"/>
  <c r="B145" i="122" s="1"/>
  <c r="AH11" i="122"/>
  <c r="BF11" i="122" s="1"/>
  <c r="BD11" i="122" s="1"/>
  <c r="Q11" i="122"/>
  <c r="Q145" i="122" s="1"/>
  <c r="BO145" i="122"/>
  <c r="D37" i="102"/>
  <c r="M7" i="102" s="1"/>
  <c r="D38" i="102"/>
  <c r="M13" i="102" s="1"/>
  <c r="H54" i="106"/>
  <c r="AU63" i="3"/>
  <c r="AT63" i="3"/>
  <c r="AU44" i="3"/>
  <c r="AU41" i="3" s="1"/>
  <c r="AU39" i="3" s="1"/>
  <c r="AU49" i="3"/>
  <c r="AT57" i="3"/>
  <c r="AT49" i="3" s="1"/>
  <c r="AT45" i="3" s="1"/>
  <c r="AT44" i="3" s="1"/>
  <c r="A48" i="98"/>
  <c r="BU96" i="8"/>
  <c r="BU122" i="8" s="1"/>
  <c r="X17" i="66" s="1"/>
  <c r="BU97" i="8"/>
  <c r="BU120" i="8" s="1"/>
  <c r="BS47" i="8"/>
  <c r="BT47" i="8" s="1"/>
  <c r="BT95" i="8" s="1"/>
  <c r="BT123" i="8" s="1"/>
  <c r="BX174" i="7"/>
  <c r="BW61" i="7"/>
  <c r="I13" i="102"/>
  <c r="J13" i="102"/>
  <c r="K13" i="102"/>
  <c r="L13" i="102"/>
  <c r="H13" i="102"/>
  <c r="C13" i="102"/>
  <c r="E7" i="102"/>
  <c r="I7" i="102"/>
  <c r="J7" i="102"/>
  <c r="K7" i="102"/>
  <c r="L7" i="102"/>
  <c r="H7" i="102"/>
  <c r="H21" i="102" s="1"/>
  <c r="Z17" i="65"/>
  <c r="AB17" i="65" s="1"/>
  <c r="AC17" i="65" s="1"/>
  <c r="AD17" i="65" s="1"/>
  <c r="AE17" i="65" s="1"/>
  <c r="AF17" i="65" s="1"/>
  <c r="U8" i="92"/>
  <c r="X8" i="92" s="1"/>
  <c r="V8" i="92"/>
  <c r="X22" i="92"/>
  <c r="Y22" i="92"/>
  <c r="X23" i="92"/>
  <c r="Y23" i="92"/>
  <c r="X24" i="92"/>
  <c r="Y24" i="92"/>
  <c r="X25" i="92"/>
  <c r="Y25" i="92"/>
  <c r="X26" i="92"/>
  <c r="Y26" i="92"/>
  <c r="X27" i="92"/>
  <c r="Y27" i="92"/>
  <c r="X28" i="92"/>
  <c r="Y28" i="92"/>
  <c r="X29" i="92"/>
  <c r="Y29" i="92"/>
  <c r="X30" i="92"/>
  <c r="Y30" i="92"/>
  <c r="X31" i="92"/>
  <c r="Y31" i="92"/>
  <c r="X32" i="92"/>
  <c r="Y32" i="92"/>
  <c r="X33" i="92"/>
  <c r="Y33" i="92"/>
  <c r="X34" i="92"/>
  <c r="Y34" i="92"/>
  <c r="X35" i="92"/>
  <c r="Y35" i="92"/>
  <c r="X36" i="92"/>
  <c r="Y36" i="92"/>
  <c r="X37" i="92"/>
  <c r="Y37" i="92"/>
  <c r="X39" i="92"/>
  <c r="W40" i="92"/>
  <c r="D14" i="105"/>
  <c r="D23" i="105"/>
  <c r="D29" i="105" s="1"/>
  <c r="C8" i="105"/>
  <c r="C6" i="105" s="1"/>
  <c r="C19" i="105" s="1"/>
  <c r="C25" i="105" s="1"/>
  <c r="C9" i="105"/>
  <c r="C10" i="105"/>
  <c r="C7" i="105"/>
  <c r="H22" i="105"/>
  <c r="I22" i="105"/>
  <c r="I28" i="105" s="1"/>
  <c r="J22" i="105"/>
  <c r="J28" i="105" s="1"/>
  <c r="K22" i="105"/>
  <c r="K28" i="105" s="1"/>
  <c r="L22" i="105"/>
  <c r="L28" i="105" s="1"/>
  <c r="H23" i="105"/>
  <c r="H29" i="105" s="1"/>
  <c r="I23" i="105"/>
  <c r="I29" i="105" s="1"/>
  <c r="J23" i="105"/>
  <c r="J29" i="105" s="1"/>
  <c r="K23" i="105"/>
  <c r="K29" i="105" s="1"/>
  <c r="L23" i="105"/>
  <c r="L29" i="105" s="1"/>
  <c r="B21" i="105"/>
  <c r="B27" i="105" s="1"/>
  <c r="B22" i="105"/>
  <c r="B28" i="105" s="1"/>
  <c r="B23" i="105"/>
  <c r="B29" i="105" s="1"/>
  <c r="B20" i="105"/>
  <c r="B26" i="105" s="1"/>
  <c r="B14" i="105"/>
  <c r="B6" i="105"/>
  <c r="H28" i="105"/>
  <c r="D125" i="122"/>
  <c r="I21" i="102"/>
  <c r="J21" i="102"/>
  <c r="K21" i="102"/>
  <c r="D100" i="120"/>
  <c r="CD199" i="120"/>
  <c r="CJ100" i="120"/>
  <c r="D58" i="122"/>
  <c r="CJ58" i="122"/>
  <c r="CI61" i="122"/>
  <c r="CJ65" i="122"/>
  <c r="CJ66" i="122"/>
  <c r="CC161" i="122"/>
  <c r="D63" i="122"/>
  <c r="D207" i="122" s="1"/>
  <c r="CJ63" i="122"/>
  <c r="CI73" i="122"/>
  <c r="D64" i="122"/>
  <c r="CJ64" i="122"/>
  <c r="CD161" i="122"/>
  <c r="CI68" i="122"/>
  <c r="CJ71" i="122"/>
  <c r="CJ61" i="122"/>
  <c r="CJ60" i="122"/>
  <c r="D62" i="122"/>
  <c r="CJ62" i="122"/>
  <c r="CJ56" i="122"/>
  <c r="CJ72" i="122"/>
  <c r="CI53" i="122"/>
  <c r="CD160" i="122"/>
  <c r="CC160" i="122"/>
  <c r="CJ73" i="122"/>
  <c r="CJ57" i="122"/>
  <c r="D53" i="122"/>
  <c r="S53" i="122" s="1"/>
  <c r="S198" i="122" s="1"/>
  <c r="CJ53" i="122"/>
  <c r="D68" i="122"/>
  <c r="B68" i="122" s="1"/>
  <c r="CJ68" i="122"/>
  <c r="S100" i="120"/>
  <c r="AH100" i="120" s="1"/>
  <c r="CN49" i="122"/>
  <c r="D198" i="122"/>
  <c r="D217" i="122"/>
  <c r="D196" i="122"/>
  <c r="D194" i="122"/>
  <c r="D200" i="122"/>
  <c r="C200" i="122"/>
  <c r="D204" i="122"/>
  <c r="S204" i="122"/>
  <c r="AH204" i="122" s="1"/>
  <c r="AN204" i="122" s="1"/>
  <c r="C199" i="122"/>
  <c r="CB70" i="122"/>
  <c r="C206" i="122"/>
  <c r="D221" i="122"/>
  <c r="S221" i="122"/>
  <c r="AH221" i="122" s="1"/>
  <c r="AN221" i="122" s="1"/>
  <c r="C207" i="122"/>
  <c r="CD163" i="122"/>
  <c r="C197" i="122"/>
  <c r="D199" i="122"/>
  <c r="AH199" i="122" s="1"/>
  <c r="S199" i="122"/>
  <c r="D219" i="122"/>
  <c r="C196" i="122"/>
  <c r="C214" i="122"/>
  <c r="C221" i="122"/>
  <c r="C208" i="122"/>
  <c r="D197" i="122"/>
  <c r="D216" i="122"/>
  <c r="S68" i="122"/>
  <c r="Q68" i="122" s="1"/>
  <c r="Q216" i="122" s="1"/>
  <c r="D201" i="122"/>
  <c r="C204" i="122"/>
  <c r="D220" i="122"/>
  <c r="S220" i="122"/>
  <c r="D222" i="122"/>
  <c r="D195" i="122"/>
  <c r="D214" i="122"/>
  <c r="C205" i="122"/>
  <c r="D215" i="122"/>
  <c r="C198" i="122"/>
  <c r="D205" i="122"/>
  <c r="S205" i="122"/>
  <c r="C220" i="122"/>
  <c r="B220" i="122"/>
  <c r="C216" i="122"/>
  <c r="B216" i="122"/>
  <c r="S58" i="122"/>
  <c r="D202" i="122"/>
  <c r="AN72" i="122"/>
  <c r="R216" i="122"/>
  <c r="R208" i="122"/>
  <c r="AG208" i="122" s="1"/>
  <c r="R206" i="122"/>
  <c r="BF74" i="122"/>
  <c r="D28" i="67"/>
  <c r="C28" i="67"/>
  <c r="E24" i="67"/>
  <c r="E25" i="67" s="1"/>
  <c r="E26" i="67" s="1"/>
  <c r="D24" i="67"/>
  <c r="D25" i="67" s="1"/>
  <c r="D26" i="67" s="1"/>
  <c r="C24" i="67"/>
  <c r="C25" i="67" s="1"/>
  <c r="C26" i="67" s="1"/>
  <c r="AM68" i="122"/>
  <c r="BE68" i="122"/>
  <c r="BK68" i="122" s="1"/>
  <c r="AQ220" i="122"/>
  <c r="BF72" i="122"/>
  <c r="BL72" i="122" s="1"/>
  <c r="AN32" i="6"/>
  <c r="AU32" i="6" s="1"/>
  <c r="AN15" i="6"/>
  <c r="AP15" i="6" s="1"/>
  <c r="AN29" i="6"/>
  <c r="AU29" i="6" s="1"/>
  <c r="AN28" i="6"/>
  <c r="AU28" i="6" s="1"/>
  <c r="AN19" i="6"/>
  <c r="AU19" i="6" s="1"/>
  <c r="AN14" i="6"/>
  <c r="AP14" i="6" s="1"/>
  <c r="AM41" i="5"/>
  <c r="AX41" i="5" s="1"/>
  <c r="AM18" i="5"/>
  <c r="AX18" i="5" s="1"/>
  <c r="AM15" i="5"/>
  <c r="I26" i="96"/>
  <c r="I16" i="96"/>
  <c r="Q16" i="96" s="1"/>
  <c r="I31" i="96"/>
  <c r="Q31" i="96" s="1"/>
  <c r="I21" i="96"/>
  <c r="Q21" i="96" s="1"/>
  <c r="I11" i="96"/>
  <c r="I36" i="96"/>
  <c r="Q36" i="96" s="1"/>
  <c r="BX148" i="7"/>
  <c r="BX171" i="7" s="1"/>
  <c r="BV60" i="7"/>
  <c r="BV148" i="7" s="1"/>
  <c r="I10" i="103"/>
  <c r="I12" i="103" s="1"/>
  <c r="BW49" i="8" s="1"/>
  <c r="E10" i="103"/>
  <c r="E12" i="103" s="1"/>
  <c r="AC14" i="65" s="1"/>
  <c r="K12" i="103"/>
  <c r="CX49" i="8" s="1"/>
  <c r="F10" i="103"/>
  <c r="G10" i="103"/>
  <c r="G12" i="103" s="1"/>
  <c r="AE14" i="65" s="1"/>
  <c r="H10" i="103"/>
  <c r="H12" i="103" s="1"/>
  <c r="AF14" i="65" s="1"/>
  <c r="D6" i="103"/>
  <c r="D8" i="103" s="1"/>
  <c r="BZ60" i="7"/>
  <c r="BZ148" i="7" s="1"/>
  <c r="C6" i="103"/>
  <c r="C8" i="103" s="1"/>
  <c r="J31" i="96"/>
  <c r="AP28" i="6"/>
  <c r="AT28" i="6" s="1"/>
  <c r="AO28" i="6"/>
  <c r="AP216" i="122"/>
  <c r="L16" i="96"/>
  <c r="AP29" i="6"/>
  <c r="AT29" i="6" s="1"/>
  <c r="J21" i="96"/>
  <c r="L21" i="96"/>
  <c r="AN15" i="5"/>
  <c r="AX15" i="5"/>
  <c r="BB15" i="5" s="1"/>
  <c r="AP19" i="6"/>
  <c r="AO19" i="6"/>
  <c r="AP32" i="6"/>
  <c r="AT32" i="6" s="1"/>
  <c r="AO32" i="6"/>
  <c r="AN18" i="5"/>
  <c r="AN17" i="5" s="1"/>
  <c r="BY60" i="7"/>
  <c r="BY148" i="7" s="1"/>
  <c r="Z45" i="65"/>
  <c r="Z50" i="65" s="1"/>
  <c r="Y24" i="65"/>
  <c r="Z24" i="65"/>
  <c r="AB24" i="65"/>
  <c r="AC24" i="65"/>
  <c r="AD24" i="65"/>
  <c r="AE24" i="65"/>
  <c r="AF24" i="65"/>
  <c r="Y18" i="65"/>
  <c r="AB18" i="65"/>
  <c r="AC18" i="65"/>
  <c r="AD18" i="65"/>
  <c r="AE18" i="65"/>
  <c r="AF18" i="65"/>
  <c r="Y19" i="65"/>
  <c r="Z19" i="65"/>
  <c r="AB19" i="65"/>
  <c r="AC19" i="65"/>
  <c r="AD19" i="65"/>
  <c r="AE19" i="65"/>
  <c r="AF19" i="65"/>
  <c r="M16" i="65"/>
  <c r="E13" i="102" s="1"/>
  <c r="E21" i="102" s="1"/>
  <c r="M22" i="66"/>
  <c r="U18" i="64"/>
  <c r="V18" i="64"/>
  <c r="W18" i="64"/>
  <c r="X18" i="64"/>
  <c r="AF18" i="64" s="1"/>
  <c r="Z18" i="64"/>
  <c r="AH18" i="64" s="1"/>
  <c r="AA18" i="64"/>
  <c r="AB18" i="64"/>
  <c r="AC18" i="64"/>
  <c r="AD18" i="64"/>
  <c r="S19" i="64"/>
  <c r="U19" i="64"/>
  <c r="V19" i="64"/>
  <c r="W19" i="64"/>
  <c r="X19" i="64"/>
  <c r="AF19" i="64" s="1"/>
  <c r="Z19" i="64"/>
  <c r="AH19" i="64"/>
  <c r="AA19" i="64"/>
  <c r="AB19" i="64"/>
  <c r="AC19" i="64"/>
  <c r="AD19" i="64"/>
  <c r="S20" i="64"/>
  <c r="T20" i="64"/>
  <c r="U20" i="64"/>
  <c r="V20" i="64"/>
  <c r="W20" i="64"/>
  <c r="X20" i="64"/>
  <c r="AF20" i="64" s="1"/>
  <c r="Z20" i="64"/>
  <c r="AH20" i="64" s="1"/>
  <c r="AA20" i="64"/>
  <c r="AB20" i="64"/>
  <c r="AC20" i="64"/>
  <c r="AD20" i="64"/>
  <c r="S21" i="64"/>
  <c r="S14" i="64" s="1"/>
  <c r="S11" i="64" s="1"/>
  <c r="T21" i="64"/>
  <c r="U21" i="64"/>
  <c r="V21" i="64"/>
  <c r="W21" i="64"/>
  <c r="X21" i="64"/>
  <c r="AF21" i="64" s="1"/>
  <c r="Z21" i="64"/>
  <c r="AH21" i="64" s="1"/>
  <c r="AA21" i="64"/>
  <c r="AB21" i="64"/>
  <c r="AC21" i="64"/>
  <c r="AD21" i="64"/>
  <c r="BT35" i="8"/>
  <c r="BT32" i="8"/>
  <c r="BS32" i="8" s="1"/>
  <c r="BS20" i="8"/>
  <c r="BT10" i="8"/>
  <c r="BS10" i="8" s="1"/>
  <c r="BU108" i="8"/>
  <c r="BT108" i="8"/>
  <c r="BS108" i="8"/>
  <c r="BU105" i="8"/>
  <c r="BT105" i="8"/>
  <c r="BU98" i="8"/>
  <c r="BT98" i="8"/>
  <c r="BU95" i="8"/>
  <c r="BU123" i="8" s="1"/>
  <c r="BS95" i="8"/>
  <c r="BU91" i="8"/>
  <c r="BU88" i="8"/>
  <c r="BR108" i="8"/>
  <c r="BQ108" i="8"/>
  <c r="BP108" i="8"/>
  <c r="BR105" i="8"/>
  <c r="BQ105" i="8"/>
  <c r="BR100" i="8"/>
  <c r="BR52" i="8" s="1"/>
  <c r="BQ100" i="8"/>
  <c r="BQ52" i="8" s="1"/>
  <c r="BR98" i="8"/>
  <c r="BQ98" i="8"/>
  <c r="BR95" i="8"/>
  <c r="BQ95" i="8"/>
  <c r="BP95" i="8"/>
  <c r="BR94" i="8"/>
  <c r="BQ94" i="8"/>
  <c r="BR92" i="8"/>
  <c r="BQ92" i="8"/>
  <c r="BR91" i="8"/>
  <c r="BQ91" i="8"/>
  <c r="BR90" i="8"/>
  <c r="BQ90" i="8"/>
  <c r="BR89" i="8"/>
  <c r="BQ89" i="8"/>
  <c r="BR88" i="8"/>
  <c r="BQ88" i="8"/>
  <c r="BR87" i="8"/>
  <c r="BQ87" i="8"/>
  <c r="BR86" i="8"/>
  <c r="BQ86" i="8"/>
  <c r="BI108" i="8"/>
  <c r="BH108" i="8"/>
  <c r="BI105" i="8"/>
  <c r="BH105" i="8"/>
  <c r="BI100" i="8"/>
  <c r="BH100" i="8"/>
  <c r="BI98" i="8"/>
  <c r="BH98" i="8"/>
  <c r="BI95" i="8"/>
  <c r="BH95" i="8"/>
  <c r="BI94" i="8"/>
  <c r="BH94" i="8"/>
  <c r="BI92" i="8"/>
  <c r="BH92" i="8"/>
  <c r="BI91" i="8"/>
  <c r="BH91" i="8"/>
  <c r="BI90" i="8"/>
  <c r="BH90" i="8"/>
  <c r="BI89" i="8"/>
  <c r="BH89" i="8"/>
  <c r="BI88" i="8"/>
  <c r="BH88" i="8"/>
  <c r="BI87" i="8"/>
  <c r="BH87" i="8"/>
  <c r="BI86" i="8"/>
  <c r="BH86" i="8"/>
  <c r="BG108" i="8"/>
  <c r="BG98" i="8"/>
  <c r="BG95" i="8"/>
  <c r="BF108" i="8"/>
  <c r="BF105" i="8"/>
  <c r="BF100" i="8"/>
  <c r="BF98" i="8"/>
  <c r="BF95" i="8"/>
  <c r="BF94" i="8"/>
  <c r="BF92" i="8"/>
  <c r="BF91" i="8"/>
  <c r="BF90" i="8"/>
  <c r="BF89" i="8"/>
  <c r="BF88" i="8"/>
  <c r="BF87" i="8"/>
  <c r="BF86" i="8"/>
  <c r="BE108" i="8"/>
  <c r="BE105" i="8"/>
  <c r="BE100" i="8"/>
  <c r="BE98" i="8"/>
  <c r="BE95" i="8"/>
  <c r="BE94" i="8"/>
  <c r="BE92" i="8"/>
  <c r="BE91" i="8"/>
  <c r="BE90" i="8"/>
  <c r="BE89" i="8"/>
  <c r="BE88" i="8"/>
  <c r="BE87" i="8"/>
  <c r="BE86" i="8"/>
  <c r="BD98" i="8"/>
  <c r="BD95" i="8"/>
  <c r="BS69" i="8"/>
  <c r="BS105" i="8" s="1"/>
  <c r="BS50" i="8"/>
  <c r="BS98" i="8" s="1"/>
  <c r="BS36" i="8"/>
  <c r="BS35" i="8"/>
  <c r="BU34" i="8"/>
  <c r="BU27" i="8"/>
  <c r="BS21" i="8"/>
  <c r="BS11" i="8"/>
  <c r="BU8" i="8"/>
  <c r="BP50" i="8"/>
  <c r="BP98" i="8" s="1"/>
  <c r="BP65" i="8"/>
  <c r="BP100" i="8" s="1"/>
  <c r="BP52" i="8" s="1"/>
  <c r="BP46" i="8"/>
  <c r="BP94" i="8" s="1"/>
  <c r="BP45" i="8"/>
  <c r="BP44" i="8"/>
  <c r="BP43" i="8"/>
  <c r="BR42" i="8"/>
  <c r="BR93" i="8" s="1"/>
  <c r="BQ42" i="8"/>
  <c r="BQ93" i="8" s="1"/>
  <c r="BP41" i="8"/>
  <c r="BQ40" i="8"/>
  <c r="BP39" i="8"/>
  <c r="BP38" i="8"/>
  <c r="BP37" i="8"/>
  <c r="BP34" i="8" s="1"/>
  <c r="BP36" i="8"/>
  <c r="BP35" i="8"/>
  <c r="BR34" i="8"/>
  <c r="BQ34" i="8"/>
  <c r="BP33" i="8"/>
  <c r="BP32" i="8"/>
  <c r="BQ31" i="8"/>
  <c r="BQ27" i="8" s="1"/>
  <c r="BP30" i="8"/>
  <c r="BP90" i="8" s="1"/>
  <c r="BP29" i="8"/>
  <c r="BP28" i="8"/>
  <c r="BR27" i="8"/>
  <c r="BP26" i="8"/>
  <c r="BR25" i="8"/>
  <c r="BQ25" i="8"/>
  <c r="BP24" i="8"/>
  <c r="BP23" i="8"/>
  <c r="BP22" i="8"/>
  <c r="BP21" i="8"/>
  <c r="BP20" i="8"/>
  <c r="BP19" i="8"/>
  <c r="BP91" i="8" s="1"/>
  <c r="BP18" i="8"/>
  <c r="BR17" i="8"/>
  <c r="BQ17" i="8"/>
  <c r="BP16" i="8"/>
  <c r="BP92" i="8" s="1"/>
  <c r="BQ15" i="8"/>
  <c r="BQ8" i="8" s="1"/>
  <c r="BP14" i="8"/>
  <c r="BP13" i="8"/>
  <c r="BP12" i="8"/>
  <c r="BP88" i="8" s="1"/>
  <c r="BP11" i="8"/>
  <c r="BP10" i="8"/>
  <c r="BP9" i="8"/>
  <c r="BR8" i="8"/>
  <c r="BR51" i="8" s="1"/>
  <c r="BR70" i="8" s="1"/>
  <c r="BR71" i="8" s="1"/>
  <c r="BG46" i="8"/>
  <c r="BG94" i="8" s="1"/>
  <c r="BG65" i="8"/>
  <c r="BG100" i="8" s="1"/>
  <c r="BG45" i="8"/>
  <c r="BG44" i="8"/>
  <c r="BG43" i="8"/>
  <c r="BI42" i="8"/>
  <c r="BI93" i="8" s="1"/>
  <c r="BH42" i="8"/>
  <c r="BH93" i="8" s="1"/>
  <c r="BG41" i="8"/>
  <c r="BH40" i="8"/>
  <c r="BG39" i="8"/>
  <c r="BG38" i="8"/>
  <c r="BG37" i="8"/>
  <c r="BG34" i="8" s="1"/>
  <c r="BG36" i="8"/>
  <c r="BG35" i="8"/>
  <c r="BI34" i="8"/>
  <c r="BH34" i="8"/>
  <c r="BG33" i="8"/>
  <c r="BG32" i="8"/>
  <c r="BH31" i="8"/>
  <c r="BH27" i="8" s="1"/>
  <c r="BG30" i="8"/>
  <c r="BG29" i="8"/>
  <c r="BG28" i="8"/>
  <c r="BI27" i="8"/>
  <c r="BG26" i="8"/>
  <c r="BI25" i="8"/>
  <c r="BH25" i="8"/>
  <c r="BG24" i="8"/>
  <c r="BG23" i="8"/>
  <c r="BG22" i="8"/>
  <c r="BG21" i="8"/>
  <c r="BG20" i="8"/>
  <c r="BG19" i="8"/>
  <c r="BG18" i="8"/>
  <c r="BG86" i="8" s="1"/>
  <c r="BI17" i="8"/>
  <c r="BH17" i="8"/>
  <c r="BG16" i="8"/>
  <c r="BG92" i="8" s="1"/>
  <c r="BH15" i="8"/>
  <c r="BH8" i="8" s="1"/>
  <c r="BG14" i="8"/>
  <c r="BG13" i="8"/>
  <c r="BG12" i="8"/>
  <c r="BG88" i="8" s="1"/>
  <c r="BG11" i="8"/>
  <c r="BG10" i="8"/>
  <c r="BG9" i="8"/>
  <c r="BI8" i="8"/>
  <c r="BD65" i="8"/>
  <c r="BD100" i="8" s="1"/>
  <c r="BD46" i="8"/>
  <c r="BD94" i="8" s="1"/>
  <c r="BD26" i="8"/>
  <c r="BD44" i="8"/>
  <c r="BD45" i="8"/>
  <c r="BD43" i="8"/>
  <c r="BE42" i="8"/>
  <c r="BE93" i="8" s="1"/>
  <c r="BF42" i="8"/>
  <c r="BF93" i="8" s="1"/>
  <c r="BF99" i="8" s="1"/>
  <c r="BE34" i="8"/>
  <c r="BF34" i="8"/>
  <c r="BD41" i="8"/>
  <c r="BD36" i="8"/>
  <c r="BD37" i="8"/>
  <c r="BD38" i="8"/>
  <c r="BD39" i="8"/>
  <c r="BD35" i="8"/>
  <c r="BD34" i="8" s="1"/>
  <c r="BE40" i="8"/>
  <c r="BD33" i="8"/>
  <c r="BD32" i="8"/>
  <c r="BD29" i="8"/>
  <c r="BD89" i="8" s="1"/>
  <c r="BD30" i="8"/>
  <c r="BD28" i="8"/>
  <c r="BE31" i="8"/>
  <c r="BE27" i="8" s="1"/>
  <c r="BF27" i="8"/>
  <c r="BD24" i="8"/>
  <c r="BD90" i="8" s="1"/>
  <c r="BE15" i="8"/>
  <c r="BE8" i="8" s="1"/>
  <c r="BF25" i="8"/>
  <c r="BE25" i="8"/>
  <c r="BD19" i="8"/>
  <c r="BD91" i="8" s="1"/>
  <c r="BD20" i="8"/>
  <c r="BD21" i="8"/>
  <c r="BD22" i="8"/>
  <c r="BD23" i="8"/>
  <c r="BD18" i="8"/>
  <c r="BE17" i="8"/>
  <c r="BF17" i="8"/>
  <c r="BD16" i="8"/>
  <c r="BD10" i="8"/>
  <c r="BD11" i="8"/>
  <c r="BD12" i="8"/>
  <c r="BD88" i="8" s="1"/>
  <c r="BD13" i="8"/>
  <c r="BD14" i="8"/>
  <c r="BD9" i="8"/>
  <c r="BF8" i="8"/>
  <c r="BF51" i="8" s="1"/>
  <c r="BD73" i="8"/>
  <c r="BD108" i="8" s="1"/>
  <c r="N36" i="104"/>
  <c r="O36" i="104"/>
  <c r="P36" i="104"/>
  <c r="Q36" i="104"/>
  <c r="R36" i="104"/>
  <c r="N28" i="104"/>
  <c r="O28" i="104"/>
  <c r="P28" i="104"/>
  <c r="Q28" i="104"/>
  <c r="R28" i="104"/>
  <c r="D36" i="104"/>
  <c r="M36" i="104" s="1"/>
  <c r="BU44" i="8" s="1"/>
  <c r="D34" i="104"/>
  <c r="D26" i="104"/>
  <c r="D28" i="104"/>
  <c r="M28" i="104" s="1"/>
  <c r="BT44" i="8" s="1"/>
  <c r="D20" i="104"/>
  <c r="N20" i="104"/>
  <c r="P20" i="104" s="1"/>
  <c r="R20" i="104" s="1"/>
  <c r="M20" i="104"/>
  <c r="O20" i="104" s="1"/>
  <c r="Q20" i="104" s="1"/>
  <c r="S20" i="104" s="1"/>
  <c r="D17" i="104"/>
  <c r="D8" i="104"/>
  <c r="C39" i="104"/>
  <c r="G39" i="104"/>
  <c r="H39" i="104"/>
  <c r="I39" i="104"/>
  <c r="J39" i="104"/>
  <c r="K39" i="104"/>
  <c r="L39" i="104"/>
  <c r="B39" i="104"/>
  <c r="C31" i="104"/>
  <c r="G31" i="104"/>
  <c r="H31" i="104"/>
  <c r="I31" i="104"/>
  <c r="J31" i="104"/>
  <c r="K31" i="104"/>
  <c r="L31" i="104"/>
  <c r="C23" i="104"/>
  <c r="G23" i="104"/>
  <c r="R16" i="64" s="1"/>
  <c r="H23" i="104"/>
  <c r="S16" i="64"/>
  <c r="I23" i="104"/>
  <c r="T16" i="64" s="1"/>
  <c r="J23" i="104"/>
  <c r="U16" i="64" s="1"/>
  <c r="K23" i="104"/>
  <c r="V16" i="64" s="1"/>
  <c r="L23" i="104"/>
  <c r="B31" i="104"/>
  <c r="B23" i="104"/>
  <c r="C14" i="104"/>
  <c r="G14" i="104"/>
  <c r="H14" i="104"/>
  <c r="I14" i="104"/>
  <c r="J14" i="104"/>
  <c r="K14" i="104"/>
  <c r="L14" i="104"/>
  <c r="B14" i="104"/>
  <c r="Z46" i="65"/>
  <c r="AI45" i="65" s="1"/>
  <c r="C27" i="105"/>
  <c r="C21" i="105" s="1"/>
  <c r="C16" i="105" s="1"/>
  <c r="BD40" i="8"/>
  <c r="BD15" i="8"/>
  <c r="CA173" i="7"/>
  <c r="CA147" i="7"/>
  <c r="BG87" i="8"/>
  <c r="BD92" i="8"/>
  <c r="BP69" i="8"/>
  <c r="BP105" i="8" s="1"/>
  <c r="BP87" i="8"/>
  <c r="AB45" i="65"/>
  <c r="AB50" i="65" s="1"/>
  <c r="BG40" i="8"/>
  <c r="BW171" i="7"/>
  <c r="BP40" i="8"/>
  <c r="BP15" i="8"/>
  <c r="BG25" i="8"/>
  <c r="BG15" i="8"/>
  <c r="R19" i="61"/>
  <c r="T19" i="61"/>
  <c r="V19" i="61"/>
  <c r="W19" i="61"/>
  <c r="R20" i="61"/>
  <c r="T20" i="61"/>
  <c r="U20" i="61"/>
  <c r="V20" i="61"/>
  <c r="W20" i="61"/>
  <c r="AC15" i="10"/>
  <c r="AC16" i="10"/>
  <c r="AC17" i="10"/>
  <c r="AC14" i="10"/>
  <c r="AC18" i="10" s="1"/>
  <c r="M21" i="65" s="1"/>
  <c r="AC8" i="10"/>
  <c r="AC9" i="10"/>
  <c r="AC10" i="10"/>
  <c r="AC7" i="10"/>
  <c r="M17" i="61"/>
  <c r="J13" i="95"/>
  <c r="F12" i="103"/>
  <c r="AD14" i="65" s="1"/>
  <c r="G8" i="94"/>
  <c r="U27" i="123"/>
  <c r="U21" i="123" s="1"/>
  <c r="T21" i="123" s="1"/>
  <c r="BH27" i="123"/>
  <c r="C21" i="123"/>
  <c r="B21" i="123" s="1"/>
  <c r="L27" i="123"/>
  <c r="L21" i="123" s="1"/>
  <c r="B27" i="123"/>
  <c r="AP27" i="123"/>
  <c r="AO27" i="123" s="1"/>
  <c r="AB46" i="65"/>
  <c r="AB51" i="65" s="1"/>
  <c r="BX142" i="7"/>
  <c r="V87" i="10"/>
  <c r="Y87" i="10"/>
  <c r="Z87" i="10"/>
  <c r="AD87" i="10"/>
  <c r="U70" i="10"/>
  <c r="U71" i="10" s="1"/>
  <c r="AD64" i="32"/>
  <c r="AD68" i="32" s="1"/>
  <c r="AD65" i="32"/>
  <c r="AD63" i="32"/>
  <c r="AA63" i="32"/>
  <c r="AA64" i="32" s="1"/>
  <c r="X63" i="32"/>
  <c r="X64" i="32" s="1"/>
  <c r="X68" i="32" s="1"/>
  <c r="U63" i="32"/>
  <c r="U64" i="32" s="1"/>
  <c r="R64" i="32"/>
  <c r="AG64" i="32"/>
  <c r="AJ64" i="32" s="1"/>
  <c r="AK64" i="32" s="1"/>
  <c r="R65" i="32"/>
  <c r="AG65" i="32" s="1"/>
  <c r="AJ65" i="32" s="1"/>
  <c r="R63" i="32"/>
  <c r="AG63" i="32" s="1"/>
  <c r="AJ63" i="32" s="1"/>
  <c r="AK63" i="32" s="1"/>
  <c r="L63" i="32"/>
  <c r="L64" i="32" s="1"/>
  <c r="N72" i="32"/>
  <c r="O72" i="32"/>
  <c r="P72" i="32"/>
  <c r="C64" i="32"/>
  <c r="C65" i="32" s="1"/>
  <c r="C63" i="32"/>
  <c r="K64" i="32"/>
  <c r="Q64" i="32" s="1"/>
  <c r="B65" i="32"/>
  <c r="B62" i="32"/>
  <c r="D62" i="32" s="1"/>
  <c r="AD67" i="32"/>
  <c r="AA67" i="32"/>
  <c r="X67" i="32"/>
  <c r="R68" i="32"/>
  <c r="AG68" i="32" s="1"/>
  <c r="U67" i="32"/>
  <c r="O67" i="32"/>
  <c r="C67" i="32"/>
  <c r="O64" i="32"/>
  <c r="O68" i="32" s="1"/>
  <c r="L67" i="32"/>
  <c r="N61" i="32"/>
  <c r="AP50" i="65"/>
  <c r="FF27" i="123"/>
  <c r="CN27" i="123"/>
  <c r="EW27" i="123"/>
  <c r="EV27" i="123" s="1"/>
  <c r="DG27" i="123"/>
  <c r="CX27" i="123"/>
  <c r="EN27" i="123"/>
  <c r="CO21" i="123"/>
  <c r="CN21" i="123" s="1"/>
  <c r="AP21" i="123"/>
  <c r="AO21" i="123" s="1"/>
  <c r="BG27" i="123"/>
  <c r="BH21" i="123"/>
  <c r="BG21" i="123" s="1"/>
  <c r="T27" i="123"/>
  <c r="AC45" i="65"/>
  <c r="B15" i="101"/>
  <c r="B16" i="101" s="1"/>
  <c r="B17" i="101" s="1"/>
  <c r="B19" i="101" s="1"/>
  <c r="CP29" i="17" s="1"/>
  <c r="DK29" i="17" s="1"/>
  <c r="E6" i="101"/>
  <c r="F6" i="101" s="1"/>
  <c r="E7" i="101"/>
  <c r="F7" i="101" s="1"/>
  <c r="E8" i="101"/>
  <c r="F8" i="101"/>
  <c r="E5" i="101"/>
  <c r="B9" i="101"/>
  <c r="C9" i="101" s="1"/>
  <c r="CN29" i="17"/>
  <c r="H8" i="100"/>
  <c r="H10" i="100" s="1"/>
  <c r="BW47" i="7" s="1"/>
  <c r="BW137" i="7" s="1"/>
  <c r="J9" i="100"/>
  <c r="K9" i="100" s="1"/>
  <c r="L9" i="100" s="1"/>
  <c r="M9" i="100" s="1"/>
  <c r="AH13" i="10"/>
  <c r="AN15" i="10"/>
  <c r="AT15" i="10" s="1"/>
  <c r="CK20" i="8" s="1"/>
  <c r="AN16" i="10"/>
  <c r="AO16" i="10" s="1"/>
  <c r="AP16" i="10" s="1"/>
  <c r="AQ16" i="10" s="1"/>
  <c r="AR16" i="10" s="1"/>
  <c r="AN17" i="10"/>
  <c r="AO17" i="10" s="1"/>
  <c r="AP17" i="10" s="1"/>
  <c r="AQ17" i="10" s="1"/>
  <c r="AR17" i="10" s="1"/>
  <c r="AN14" i="10"/>
  <c r="AO14" i="10" s="1"/>
  <c r="AN8" i="10"/>
  <c r="AO8" i="10" s="1"/>
  <c r="AP8" i="10" s="1"/>
  <c r="AQ8" i="10" s="1"/>
  <c r="AR8" i="10" s="1"/>
  <c r="AN9" i="10"/>
  <c r="AN10" i="10"/>
  <c r="AO10" i="10" s="1"/>
  <c r="AP10" i="10" s="1"/>
  <c r="AQ10" i="10" s="1"/>
  <c r="AR10" i="10" s="1"/>
  <c r="AN7" i="10"/>
  <c r="AT7" i="10" s="1"/>
  <c r="U64" i="10"/>
  <c r="U74" i="10" s="1"/>
  <c r="AC65" i="10"/>
  <c r="AI11" i="10"/>
  <c r="AJ11" i="10" s="1"/>
  <c r="AK11" i="10" s="1"/>
  <c r="AL11" i="10" s="1"/>
  <c r="AB13" i="10"/>
  <c r="X13" i="10"/>
  <c r="W13" i="10"/>
  <c r="U13" i="10"/>
  <c r="U24" i="95"/>
  <c r="V24" i="95" s="1"/>
  <c r="W24" i="95" s="1"/>
  <c r="X24" i="95" s="1"/>
  <c r="Y24" i="95" s="1"/>
  <c r="Z24" i="95" s="1"/>
  <c r="AA24" i="95" s="1"/>
  <c r="AB24" i="95" s="1"/>
  <c r="AC24" i="95" s="1"/>
  <c r="AD24" i="95" s="1"/>
  <c r="AE24" i="95" s="1"/>
  <c r="U23" i="95"/>
  <c r="V23" i="95" s="1"/>
  <c r="W23" i="95" s="1"/>
  <c r="T25" i="95"/>
  <c r="BT45" i="7"/>
  <c r="BT47" i="7"/>
  <c r="BT48" i="7"/>
  <c r="BT49" i="7"/>
  <c r="BU43" i="7"/>
  <c r="BX43" i="7"/>
  <c r="BT44" i="7"/>
  <c r="BS50" i="7"/>
  <c r="BS43" i="7"/>
  <c r="BX77" i="7"/>
  <c r="BW77" i="7" s="1"/>
  <c r="BV77" i="7" s="1"/>
  <c r="BW20" i="7"/>
  <c r="BV29" i="7"/>
  <c r="BV36" i="7"/>
  <c r="BW37" i="7"/>
  <c r="D24" i="99"/>
  <c r="B24" i="99"/>
  <c r="D16" i="99"/>
  <c r="B16" i="99"/>
  <c r="BH47" i="19"/>
  <c r="AU15" i="19"/>
  <c r="AW20" i="19"/>
  <c r="AV20" i="19"/>
  <c r="BW21" i="19"/>
  <c r="AW16" i="19"/>
  <c r="AV16" i="19"/>
  <c r="AU16" i="19"/>
  <c r="N24" i="98"/>
  <c r="O24" i="98"/>
  <c r="O13" i="98"/>
  <c r="P13" i="98" s="1"/>
  <c r="Q13" i="98" s="1"/>
  <c r="R13" i="98" s="1"/>
  <c r="P9" i="98"/>
  <c r="Q9" i="98" s="1"/>
  <c r="J33" i="98"/>
  <c r="S33" i="98" s="1"/>
  <c r="J28" i="98"/>
  <c r="J18" i="98"/>
  <c r="J22" i="98" s="1"/>
  <c r="J11" i="98"/>
  <c r="H24" i="98"/>
  <c r="L24" i="98"/>
  <c r="G38" i="98"/>
  <c r="H38" i="98"/>
  <c r="I38" i="98"/>
  <c r="G24" i="98"/>
  <c r="I24" i="98" s="1"/>
  <c r="D38" i="98"/>
  <c r="E38" i="98"/>
  <c r="E28" i="98"/>
  <c r="E24" i="98"/>
  <c r="D24" i="98"/>
  <c r="E13" i="98"/>
  <c r="F28" i="98"/>
  <c r="K28" i="98" s="1"/>
  <c r="L28" i="98" s="1"/>
  <c r="F24" i="98"/>
  <c r="K24" i="98" s="1"/>
  <c r="K38" i="98"/>
  <c r="F9" i="98"/>
  <c r="K9" i="98" s="1"/>
  <c r="F13" i="98"/>
  <c r="G13" i="98" s="1"/>
  <c r="J13" i="98" s="1"/>
  <c r="A17" i="98"/>
  <c r="A22" i="98" s="1"/>
  <c r="A27" i="98" s="1"/>
  <c r="A32" i="98" s="1"/>
  <c r="A37" i="98" s="1"/>
  <c r="A41" i="98" s="1"/>
  <c r="A16" i="98"/>
  <c r="A21" i="98" s="1"/>
  <c r="A26" i="98" s="1"/>
  <c r="A31" i="98" s="1"/>
  <c r="A36" i="98" s="1"/>
  <c r="A40" i="98" s="1"/>
  <c r="R38" i="98"/>
  <c r="Q38" i="98"/>
  <c r="P38" i="98"/>
  <c r="O38" i="98"/>
  <c r="N38" i="98"/>
  <c r="L38" i="98"/>
  <c r="F38" i="98"/>
  <c r="C38" i="98"/>
  <c r="T13" i="98"/>
  <c r="Z13" i="98" s="1"/>
  <c r="I47" i="95"/>
  <c r="I52" i="95" s="1"/>
  <c r="J38" i="95"/>
  <c r="J51" i="95" s="1"/>
  <c r="I42" i="95"/>
  <c r="J42" i="95" s="1"/>
  <c r="I17" i="95"/>
  <c r="J17" i="95" s="1"/>
  <c r="J18" i="95" s="1"/>
  <c r="AP47" i="65"/>
  <c r="AP51" i="65"/>
  <c r="AP52" i="65" s="1"/>
  <c r="BE19" i="10"/>
  <c r="AO9" i="10"/>
  <c r="AP9" i="10" s="1"/>
  <c r="AQ9" i="10" s="1"/>
  <c r="AR9" i="10" s="1"/>
  <c r="AT9" i="10"/>
  <c r="CF29" i="7"/>
  <c r="CW27" i="123"/>
  <c r="CX21" i="123"/>
  <c r="CW21" i="123" s="1"/>
  <c r="FE27" i="123"/>
  <c r="FF21" i="123"/>
  <c r="FE21" i="123" s="1"/>
  <c r="AO15" i="10"/>
  <c r="AP15" i="10" s="1"/>
  <c r="AQ15" i="10" s="1"/>
  <c r="AR15" i="10" s="1"/>
  <c r="DF27" i="123"/>
  <c r="DG21" i="123"/>
  <c r="DF21" i="123" s="1"/>
  <c r="AW49" i="19"/>
  <c r="U13" i="98"/>
  <c r="U80" i="10"/>
  <c r="U72" i="10"/>
  <c r="U82" i="10"/>
  <c r="U76" i="10"/>
  <c r="P24" i="98"/>
  <c r="I8" i="100"/>
  <c r="N8" i="100" s="1"/>
  <c r="CP24" i="17"/>
  <c r="BV47" i="7"/>
  <c r="BV137" i="7" s="1"/>
  <c r="BW44" i="7"/>
  <c r="BV44" i="7" s="1"/>
  <c r="AM13" i="10"/>
  <c r="AN11" i="10"/>
  <c r="AO11" i="10" s="1"/>
  <c r="AP11" i="10" s="1"/>
  <c r="AQ11" i="10" s="1"/>
  <c r="AR11" i="10" s="1"/>
  <c r="AO7" i="10"/>
  <c r="AP7" i="10" s="1"/>
  <c r="BW36" i="7"/>
  <c r="D101" i="120"/>
  <c r="CJ101" i="120"/>
  <c r="CD197" i="120"/>
  <c r="D31" i="120"/>
  <c r="S31" i="120" s="1"/>
  <c r="CJ31" i="120"/>
  <c r="CC214" i="120"/>
  <c r="C148" i="120"/>
  <c r="C214" i="120" s="1"/>
  <c r="C66" i="121" s="1"/>
  <c r="B66" i="121" s="1"/>
  <c r="CB148" i="120"/>
  <c r="CB214" i="120" s="1"/>
  <c r="CD152" i="122"/>
  <c r="D43" i="122"/>
  <c r="U37" i="95"/>
  <c r="V37" i="95" s="1"/>
  <c r="W37" i="95" s="1"/>
  <c r="X37" i="95" s="1"/>
  <c r="Y37" i="95" s="1"/>
  <c r="Z37" i="95" s="1"/>
  <c r="U12" i="95"/>
  <c r="V12" i="95" s="1"/>
  <c r="W12" i="95" s="1"/>
  <c r="X12" i="95" s="1"/>
  <c r="Y12" i="95" s="1"/>
  <c r="Z12" i="95" s="1"/>
  <c r="AA12" i="95" s="1"/>
  <c r="AB12" i="95" s="1"/>
  <c r="AC12" i="95" s="1"/>
  <c r="AD12" i="95" s="1"/>
  <c r="AE12" i="95" s="1"/>
  <c r="I43" i="96"/>
  <c r="Q43" i="96" s="1"/>
  <c r="I53" i="96"/>
  <c r="I63" i="96"/>
  <c r="Q63" i="96" s="1"/>
  <c r="AZ57" i="3"/>
  <c r="B40" i="96"/>
  <c r="C7" i="96"/>
  <c r="B67" i="96"/>
  <c r="B44" i="96"/>
  <c r="B30" i="96"/>
  <c r="B15" i="96"/>
  <c r="B25" i="96"/>
  <c r="B35" i="96"/>
  <c r="B10" i="96"/>
  <c r="B20" i="96"/>
  <c r="BH21" i="19"/>
  <c r="BI12" i="19"/>
  <c r="BJ12" i="19"/>
  <c r="AU47" i="19"/>
  <c r="BJ49" i="19"/>
  <c r="BH48" i="19"/>
  <c r="BH46" i="19"/>
  <c r="BH45" i="19"/>
  <c r="BH44" i="19"/>
  <c r="BH43" i="19"/>
  <c r="BH42" i="19"/>
  <c r="BH41" i="19"/>
  <c r="BH40" i="19"/>
  <c r="BH38" i="19"/>
  <c r="BH37" i="19"/>
  <c r="BH36" i="19"/>
  <c r="BH35" i="19"/>
  <c r="BH34" i="19"/>
  <c r="BH33" i="19"/>
  <c r="BH32" i="19"/>
  <c r="BH31" i="19"/>
  <c r="BH29" i="19"/>
  <c r="BH28" i="19"/>
  <c r="BH27" i="19"/>
  <c r="BH26" i="19"/>
  <c r="BH25" i="19"/>
  <c r="BH24" i="19"/>
  <c r="BH23" i="19"/>
  <c r="BH22" i="19"/>
  <c r="BH20" i="19"/>
  <c r="BH19" i="19"/>
  <c r="BH18" i="19"/>
  <c r="BH17" i="19"/>
  <c r="BH11" i="19"/>
  <c r="BH10" i="19"/>
  <c r="BH14" i="19" s="1"/>
  <c r="BI14" i="19" s="1"/>
  <c r="BH9" i="19"/>
  <c r="BH8" i="19"/>
  <c r="AV12" i="19"/>
  <c r="AW12" i="19"/>
  <c r="BW48" i="19"/>
  <c r="AU46" i="19"/>
  <c r="AU45" i="19"/>
  <c r="AU44" i="19"/>
  <c r="AU43" i="19"/>
  <c r="BW42" i="19"/>
  <c r="BW41" i="19"/>
  <c r="AU40" i="19"/>
  <c r="AU38" i="19"/>
  <c r="BW37" i="19"/>
  <c r="AU35" i="19"/>
  <c r="AU33" i="19"/>
  <c r="AU32" i="19"/>
  <c r="BW31" i="19"/>
  <c r="AU30" i="19"/>
  <c r="AU29" i="19"/>
  <c r="AU28" i="19"/>
  <c r="BW26" i="19"/>
  <c r="AU25" i="19"/>
  <c r="AU23" i="19"/>
  <c r="AU22" i="19"/>
  <c r="AU21" i="19"/>
  <c r="AU20" i="19"/>
  <c r="BW17" i="19"/>
  <c r="AU11" i="19"/>
  <c r="AU12" i="19" s="1"/>
  <c r="BK11" i="19" s="1"/>
  <c r="BW14" i="19"/>
  <c r="CW14" i="19" s="1"/>
  <c r="CX14" i="19" s="1"/>
  <c r="AU9" i="19"/>
  <c r="AU8" i="19"/>
  <c r="BP36" i="19"/>
  <c r="BW36" i="19"/>
  <c r="BP18" i="19"/>
  <c r="BW18" i="19"/>
  <c r="BP39" i="19"/>
  <c r="BW39" i="19"/>
  <c r="BP14" i="19"/>
  <c r="BP10" i="19" s="1"/>
  <c r="BP11" i="19" s="1"/>
  <c r="BW16" i="19"/>
  <c r="BW30" i="19"/>
  <c r="K606" i="109"/>
  <c r="AV14" i="19"/>
  <c r="AW14" i="19" s="1"/>
  <c r="AW13" i="19" s="1"/>
  <c r="BH12" i="19"/>
  <c r="AS12" i="19"/>
  <c r="AT12" i="19"/>
  <c r="AS49" i="19"/>
  <c r="AT49" i="19"/>
  <c r="AR9" i="19"/>
  <c r="AR10" i="19"/>
  <c r="AR14" i="19" s="1"/>
  <c r="AS14" i="19" s="1"/>
  <c r="AR11" i="19"/>
  <c r="AR12" i="19" s="1"/>
  <c r="AR16" i="19"/>
  <c r="AR17" i="19"/>
  <c r="AR18" i="19"/>
  <c r="AR20" i="19"/>
  <c r="AR21" i="19"/>
  <c r="AR22" i="19"/>
  <c r="AR24" i="19"/>
  <c r="AR25" i="19"/>
  <c r="AR26" i="19"/>
  <c r="AR28" i="19"/>
  <c r="AR29" i="19"/>
  <c r="AR30" i="19"/>
  <c r="AR31" i="19"/>
  <c r="AR32" i="19"/>
  <c r="BW34" i="19"/>
  <c r="AR35" i="19"/>
  <c r="AR36" i="19"/>
  <c r="AR37" i="19"/>
  <c r="AR38" i="19"/>
  <c r="AR39" i="19"/>
  <c r="BI39" i="19" s="1"/>
  <c r="AR40" i="19"/>
  <c r="AR41" i="19"/>
  <c r="AR42" i="19"/>
  <c r="AR43" i="19"/>
  <c r="AR44" i="19"/>
  <c r="AR45" i="19"/>
  <c r="AR46" i="19"/>
  <c r="AR47" i="19"/>
  <c r="AR48" i="19"/>
  <c r="AR8" i="19"/>
  <c r="AN42" i="6"/>
  <c r="AU42" i="6" s="1"/>
  <c r="AN40" i="6"/>
  <c r="AP40" i="6" s="1"/>
  <c r="AN39" i="6"/>
  <c r="AU39" i="6" s="1"/>
  <c r="AN37" i="6"/>
  <c r="AN36" i="6"/>
  <c r="AU36" i="6" s="1"/>
  <c r="AN35" i="6"/>
  <c r="AN34" i="6"/>
  <c r="AO34" i="6" s="1"/>
  <c r="AN33" i="6"/>
  <c r="AP33" i="6" s="1"/>
  <c r="AN30" i="6"/>
  <c r="AU30" i="6" s="1"/>
  <c r="AN27" i="6"/>
  <c r="AN24" i="6"/>
  <c r="AP24" i="6" s="1"/>
  <c r="AN22" i="6"/>
  <c r="AN21" i="6"/>
  <c r="AP21" i="6" s="1"/>
  <c r="AN20" i="6"/>
  <c r="AU20" i="6" s="1"/>
  <c r="AN16" i="6"/>
  <c r="AI18" i="6"/>
  <c r="AJ18" i="6"/>
  <c r="AM18" i="6"/>
  <c r="AM45" i="6" s="1"/>
  <c r="AM52" i="6" s="1"/>
  <c r="AJ25" i="6"/>
  <c r="AM25" i="6"/>
  <c r="AI25" i="6"/>
  <c r="AI11" i="6"/>
  <c r="AJ11" i="6"/>
  <c r="AM11" i="6"/>
  <c r="AJ13" i="6"/>
  <c r="AM13" i="6"/>
  <c r="AI13" i="6"/>
  <c r="AM40" i="5"/>
  <c r="AX40" i="5" s="1"/>
  <c r="AM39" i="5"/>
  <c r="AX39" i="5" s="1"/>
  <c r="AM38" i="5"/>
  <c r="AX38" i="5" s="1"/>
  <c r="AM34" i="5"/>
  <c r="AM30" i="5"/>
  <c r="BC30" i="5" s="1"/>
  <c r="AM29" i="5"/>
  <c r="BC29" i="5" s="1"/>
  <c r="AM28" i="5"/>
  <c r="AX28" i="5" s="1"/>
  <c r="AM23" i="5"/>
  <c r="AX23" i="5" s="1"/>
  <c r="AM14" i="5"/>
  <c r="AX14" i="5" s="1"/>
  <c r="AM13" i="5"/>
  <c r="AL26" i="5"/>
  <c r="AL46" i="5" s="1"/>
  <c r="AL47" i="5" s="1"/>
  <c r="AL12" i="5"/>
  <c r="AH26" i="5"/>
  <c r="AH46" i="5" s="1"/>
  <c r="AI26" i="5"/>
  <c r="AI46" i="5" s="1"/>
  <c r="AH17" i="5"/>
  <c r="AI12" i="5"/>
  <c r="AH12" i="5"/>
  <c r="D40" i="97"/>
  <c r="C40" i="97"/>
  <c r="B40" i="97"/>
  <c r="D34" i="97"/>
  <c r="C34" i="97"/>
  <c r="B34" i="97"/>
  <c r="C20" i="97"/>
  <c r="E20" i="97"/>
  <c r="F20" i="97"/>
  <c r="G20" i="97"/>
  <c r="H20" i="97"/>
  <c r="I20" i="97"/>
  <c r="C26" i="97"/>
  <c r="E26" i="97"/>
  <c r="E27" i="97" s="1"/>
  <c r="F26" i="97"/>
  <c r="F27" i="97" s="1"/>
  <c r="G26" i="97"/>
  <c r="G27" i="97" s="1"/>
  <c r="H26" i="97"/>
  <c r="H27" i="97" s="1"/>
  <c r="I26" i="97"/>
  <c r="I27" i="97" s="1"/>
  <c r="B26" i="97"/>
  <c r="B20" i="97"/>
  <c r="C11" i="97"/>
  <c r="C7" i="97"/>
  <c r="C9" i="97"/>
  <c r="C10" i="97"/>
  <c r="C6" i="97"/>
  <c r="AO20" i="6"/>
  <c r="AO35" i="6"/>
  <c r="BP23" i="19"/>
  <c r="BW23" i="19"/>
  <c r="AN39" i="5"/>
  <c r="AP30" i="6"/>
  <c r="AT30" i="6" s="1"/>
  <c r="AP36" i="6"/>
  <c r="AO36" i="6"/>
  <c r="AX30" i="5"/>
  <c r="BB30" i="5" s="1"/>
  <c r="AP22" i="6"/>
  <c r="AO22" i="6"/>
  <c r="BP33" i="19"/>
  <c r="BW33" i="19"/>
  <c r="BP24" i="19"/>
  <c r="BW24" i="19"/>
  <c r="AV13" i="19"/>
  <c r="AL55" i="5"/>
  <c r="AI45" i="6"/>
  <c r="AN18" i="6"/>
  <c r="AH55" i="5"/>
  <c r="I66" i="96"/>
  <c r="Q66" i="96" s="1"/>
  <c r="I64" i="96"/>
  <c r="I54" i="96"/>
  <c r="Q54" i="96" s="1"/>
  <c r="D67" i="96"/>
  <c r="E67" i="96"/>
  <c r="H67" i="96"/>
  <c r="C67" i="96"/>
  <c r="I75" i="96"/>
  <c r="I78" i="96"/>
  <c r="I77" i="96"/>
  <c r="I76" i="96"/>
  <c r="I74" i="96"/>
  <c r="I73" i="96"/>
  <c r="D44" i="96"/>
  <c r="E44" i="96"/>
  <c r="H44" i="96"/>
  <c r="C44" i="96"/>
  <c r="H44" i="68"/>
  <c r="H64" i="68" s="1"/>
  <c r="F44" i="68"/>
  <c r="F64" i="68"/>
  <c r="D45" i="68"/>
  <c r="D8" i="68"/>
  <c r="N44" i="68"/>
  <c r="N64" i="68" s="1"/>
  <c r="N78" i="68" s="1"/>
  <c r="F43" i="68"/>
  <c r="F45" i="68" s="1"/>
  <c r="CP31" i="17"/>
  <c r="CO35" i="17"/>
  <c r="CO34" i="17"/>
  <c r="CO33" i="17"/>
  <c r="CO32" i="17"/>
  <c r="CM31" i="17"/>
  <c r="CO28" i="17"/>
  <c r="CO27" i="17"/>
  <c r="CO26" i="17"/>
  <c r="CO25" i="17"/>
  <c r="BZ35" i="17"/>
  <c r="BZ34" i="17"/>
  <c r="BZ33" i="17"/>
  <c r="BZ32" i="17"/>
  <c r="BX31" i="17"/>
  <c r="BZ28" i="17"/>
  <c r="BZ27" i="17"/>
  <c r="BZ26" i="17"/>
  <c r="BZ25" i="17"/>
  <c r="BX24" i="17"/>
  <c r="BW35" i="17"/>
  <c r="BW34" i="17"/>
  <c r="BW33" i="17"/>
  <c r="BW32" i="17"/>
  <c r="BU31" i="17"/>
  <c r="BW28" i="17"/>
  <c r="BW27" i="17"/>
  <c r="BW26" i="17"/>
  <c r="BU24" i="17"/>
  <c r="BV20" i="7"/>
  <c r="BV10" i="7"/>
  <c r="AI15" i="10"/>
  <c r="AJ15" i="10" s="1"/>
  <c r="AK15" i="10" s="1"/>
  <c r="AL15" i="10" s="1"/>
  <c r="AI16" i="10"/>
  <c r="AJ16" i="10" s="1"/>
  <c r="AK16" i="10" s="1"/>
  <c r="AL16" i="10" s="1"/>
  <c r="AI17" i="10"/>
  <c r="AJ17" i="10" s="1"/>
  <c r="AK17" i="10" s="1"/>
  <c r="AL17" i="10" s="1"/>
  <c r="AI14" i="10"/>
  <c r="AI8" i="10"/>
  <c r="AJ8" i="10" s="1"/>
  <c r="AI9" i="10"/>
  <c r="AJ9" i="10" s="1"/>
  <c r="AK9" i="10" s="1"/>
  <c r="AL9" i="10" s="1"/>
  <c r="AI10" i="10"/>
  <c r="AJ10" i="10" s="1"/>
  <c r="AK10" i="10" s="1"/>
  <c r="AL10" i="10" s="1"/>
  <c r="AI7" i="10"/>
  <c r="AH18" i="10"/>
  <c r="AH19" i="10" s="1"/>
  <c r="AM18" i="10"/>
  <c r="S47" i="95"/>
  <c r="S52" i="95" s="1"/>
  <c r="N47" i="95"/>
  <c r="N52" i="95" s="1"/>
  <c r="O47" i="95"/>
  <c r="O52" i="95" s="1"/>
  <c r="P47" i="95"/>
  <c r="P52" i="95" s="1"/>
  <c r="Q47" i="95"/>
  <c r="Q52" i="95" s="1"/>
  <c r="R47" i="95"/>
  <c r="R52" i="95" s="1"/>
  <c r="O37" i="95"/>
  <c r="P37" i="95"/>
  <c r="Q37" i="95"/>
  <c r="R37" i="95"/>
  <c r="N37" i="95"/>
  <c r="O12" i="95"/>
  <c r="P12" i="95"/>
  <c r="Q12" i="95"/>
  <c r="R12" i="95"/>
  <c r="N12" i="95"/>
  <c r="D47" i="95"/>
  <c r="D52" i="95" s="1"/>
  <c r="E47" i="95"/>
  <c r="E52" i="95" s="1"/>
  <c r="F47" i="95"/>
  <c r="F52" i="95" s="1"/>
  <c r="G47" i="95"/>
  <c r="G52" i="95" s="1"/>
  <c r="H47" i="95"/>
  <c r="H52" i="95" s="1"/>
  <c r="K47" i="95"/>
  <c r="K52" i="95" s="1"/>
  <c r="L47" i="95"/>
  <c r="L52" i="95" s="1"/>
  <c r="C47" i="95"/>
  <c r="C52" i="95" s="1"/>
  <c r="CH54" i="72"/>
  <c r="CH52" i="72"/>
  <c r="CH50" i="72"/>
  <c r="CH48" i="72"/>
  <c r="CG63" i="72"/>
  <c r="CG62" i="72"/>
  <c r="BV21" i="7"/>
  <c r="BV11" i="7"/>
  <c r="BS159" i="7"/>
  <c r="BT159" i="7"/>
  <c r="BU159" i="7"/>
  <c r="BV159" i="7"/>
  <c r="BW159" i="7"/>
  <c r="BX159" i="7"/>
  <c r="BS156" i="7"/>
  <c r="BT156" i="7"/>
  <c r="BU156" i="7"/>
  <c r="BV156" i="7"/>
  <c r="BW156" i="7"/>
  <c r="BX156" i="7"/>
  <c r="BX153" i="7"/>
  <c r="BU151" i="7"/>
  <c r="BU64" i="7" s="1"/>
  <c r="BT151" i="7"/>
  <c r="BT64" i="7" s="1"/>
  <c r="BX149" i="7"/>
  <c r="BW149" i="7"/>
  <c r="BV149" i="7"/>
  <c r="BU149" i="7"/>
  <c r="BS149" i="7"/>
  <c r="BX146" i="7"/>
  <c r="BU146" i="7"/>
  <c r="BT146" i="7"/>
  <c r="BU145" i="7"/>
  <c r="BT145" i="7"/>
  <c r="BU143" i="7"/>
  <c r="BT143" i="7"/>
  <c r="BU142" i="7"/>
  <c r="BT142" i="7"/>
  <c r="BU141" i="7"/>
  <c r="BT141" i="7"/>
  <c r="BU140" i="7"/>
  <c r="BT140" i="7"/>
  <c r="BU139" i="7"/>
  <c r="BT139" i="7"/>
  <c r="BU138" i="7"/>
  <c r="BT138" i="7"/>
  <c r="BU136" i="7"/>
  <c r="BT136" i="7"/>
  <c r="BS77" i="7"/>
  <c r="BS61" i="7"/>
  <c r="BS146" i="7" s="1"/>
  <c r="BS79" i="7"/>
  <c r="BS151" i="7" s="1"/>
  <c r="BS64" i="7" s="1"/>
  <c r="BT62" i="7"/>
  <c r="BT149" i="7" s="1"/>
  <c r="BS58" i="7"/>
  <c r="BS145" i="7" s="1"/>
  <c r="BS56" i="7"/>
  <c r="BS54" i="7"/>
  <c r="BS53" i="7"/>
  <c r="BS42" i="7"/>
  <c r="BU41" i="7"/>
  <c r="BU35" i="7" s="1"/>
  <c r="BT41" i="7"/>
  <c r="BT35" i="7" s="1"/>
  <c r="BS40" i="7"/>
  <c r="BS39" i="7"/>
  <c r="BS38" i="7"/>
  <c r="BS37" i="7"/>
  <c r="BS36" i="7"/>
  <c r="BS34" i="7"/>
  <c r="BU33" i="7"/>
  <c r="BU27" i="7" s="1"/>
  <c r="BT33" i="7"/>
  <c r="BT27" i="7"/>
  <c r="BS32" i="7"/>
  <c r="BS33" i="7" s="1"/>
  <c r="BS31" i="7"/>
  <c r="BS30" i="7"/>
  <c r="BS29" i="7"/>
  <c r="BS28" i="7"/>
  <c r="BS26" i="7"/>
  <c r="BT25" i="7"/>
  <c r="BT17" i="7"/>
  <c r="BS24" i="7"/>
  <c r="BS23" i="7"/>
  <c r="BS22" i="7"/>
  <c r="BS21" i="7"/>
  <c r="BS20" i="7"/>
  <c r="BS19" i="7"/>
  <c r="BS142" i="7" s="1"/>
  <c r="BS18" i="7"/>
  <c r="BS16" i="7"/>
  <c r="BU15" i="7"/>
  <c r="BU8" i="7" s="1"/>
  <c r="BT15" i="7"/>
  <c r="BT8" i="7" s="1"/>
  <c r="BS14" i="7"/>
  <c r="BS13" i="7"/>
  <c r="BS15" i="7" s="1"/>
  <c r="BS12" i="7"/>
  <c r="BS139" i="7" s="1"/>
  <c r="BS11" i="7"/>
  <c r="BS10" i="7"/>
  <c r="BS9" i="7"/>
  <c r="BL33" i="7"/>
  <c r="BL27" i="7" s="1"/>
  <c r="BK25" i="7"/>
  <c r="BK17" i="7" s="1"/>
  <c r="BL159" i="7"/>
  <c r="BK159" i="7"/>
  <c r="BJ159" i="7"/>
  <c r="BL156" i="7"/>
  <c r="BK156" i="7"/>
  <c r="BJ156" i="7"/>
  <c r="BL151" i="7"/>
  <c r="BK151" i="7"/>
  <c r="BL149" i="7"/>
  <c r="BJ149" i="7"/>
  <c r="BL146" i="7"/>
  <c r="BK146" i="7"/>
  <c r="BJ146" i="7"/>
  <c r="BL145" i="7"/>
  <c r="BK145" i="7"/>
  <c r="BL143" i="7"/>
  <c r="BK143" i="7"/>
  <c r="BL142" i="7"/>
  <c r="BK142" i="7"/>
  <c r="BL141" i="7"/>
  <c r="BK141" i="7"/>
  <c r="BL140" i="7"/>
  <c r="BK140" i="7"/>
  <c r="BL139" i="7"/>
  <c r="BK139" i="7"/>
  <c r="BL138" i="7"/>
  <c r="M22" i="64" s="1"/>
  <c r="BK138" i="7"/>
  <c r="BL136" i="7"/>
  <c r="BK136" i="7"/>
  <c r="BJ79" i="7"/>
  <c r="BJ151" i="7" s="1"/>
  <c r="BK62" i="7"/>
  <c r="BK149" i="7" s="1"/>
  <c r="BJ58" i="7"/>
  <c r="BJ145" i="7" s="1"/>
  <c r="BJ56" i="7"/>
  <c r="BJ54" i="7"/>
  <c r="BV54" i="7" s="1"/>
  <c r="BJ53" i="7"/>
  <c r="BJ42" i="7"/>
  <c r="BL41" i="7"/>
  <c r="BL35" i="7" s="1"/>
  <c r="BK41" i="7"/>
  <c r="BK35" i="7" s="1"/>
  <c r="BJ40" i="7"/>
  <c r="BJ39" i="7"/>
  <c r="BJ41" i="7" s="1"/>
  <c r="BJ38" i="7"/>
  <c r="BJ37" i="7"/>
  <c r="BJ36" i="7"/>
  <c r="BJ34" i="7"/>
  <c r="BK33" i="7"/>
  <c r="BK27" i="7" s="1"/>
  <c r="BJ32" i="7"/>
  <c r="BJ33" i="7" s="1"/>
  <c r="BJ31" i="7"/>
  <c r="BJ30" i="7"/>
  <c r="BJ29" i="7"/>
  <c r="BJ28" i="7"/>
  <c r="BJ26" i="7"/>
  <c r="BJ24" i="7"/>
  <c r="BJ23" i="7"/>
  <c r="BJ140" i="7" s="1"/>
  <c r="BJ22" i="7"/>
  <c r="BJ21" i="7"/>
  <c r="BJ20" i="7"/>
  <c r="BJ19" i="7"/>
  <c r="BJ142" i="7" s="1"/>
  <c r="BJ18" i="7"/>
  <c r="BL17" i="7"/>
  <c r="BJ16" i="7"/>
  <c r="BL15" i="7"/>
  <c r="BL8" i="7" s="1"/>
  <c r="BK15" i="7"/>
  <c r="BK8" i="7" s="1"/>
  <c r="BJ14" i="7"/>
  <c r="BJ13" i="7"/>
  <c r="BJ12" i="7"/>
  <c r="BJ11" i="7"/>
  <c r="BJ10" i="7"/>
  <c r="BJ9" i="7"/>
  <c r="BV153" i="7"/>
  <c r="J54" i="96"/>
  <c r="L54" i="96"/>
  <c r="AJ7" i="10"/>
  <c r="D48" i="68"/>
  <c r="D47" i="68"/>
  <c r="BW25" i="17"/>
  <c r="AB19" i="10"/>
  <c r="CG51" i="72"/>
  <c r="CG55" i="72"/>
  <c r="CF51" i="72"/>
  <c r="CF55" i="72"/>
  <c r="CE55" i="72" s="1"/>
  <c r="BJ15" i="7"/>
  <c r="BJ8" i="7" s="1"/>
  <c r="C25" i="94"/>
  <c r="C26" i="94"/>
  <c r="C41" i="94"/>
  <c r="C40" i="94"/>
  <c r="C33" i="94"/>
  <c r="C32" i="94"/>
  <c r="G13" i="94"/>
  <c r="G12" i="94"/>
  <c r="G10" i="94"/>
  <c r="F10" i="94"/>
  <c r="G9" i="94"/>
  <c r="G7" i="94"/>
  <c r="H7" i="94" s="1"/>
  <c r="F7" i="94"/>
  <c r="R24" i="66"/>
  <c r="S24" i="66"/>
  <c r="T24" i="66"/>
  <c r="U24" i="66"/>
  <c r="V24" i="66"/>
  <c r="W24" i="66"/>
  <c r="X24" i="66"/>
  <c r="Z24" i="66"/>
  <c r="AA24" i="66"/>
  <c r="AB24" i="66"/>
  <c r="AC24" i="66"/>
  <c r="AD24" i="66"/>
  <c r="R17" i="66"/>
  <c r="S17" i="66"/>
  <c r="T17" i="66"/>
  <c r="T14" i="66" s="1"/>
  <c r="T11" i="66" s="1"/>
  <c r="U17" i="66"/>
  <c r="V17" i="66"/>
  <c r="W17" i="66"/>
  <c r="Z17" i="66"/>
  <c r="AA17" i="66"/>
  <c r="AB17" i="66"/>
  <c r="AC17" i="66"/>
  <c r="AD17" i="66"/>
  <c r="R18" i="66"/>
  <c r="S18" i="66"/>
  <c r="T18" i="66"/>
  <c r="U18" i="66"/>
  <c r="V18" i="66"/>
  <c r="W18" i="66"/>
  <c r="X18" i="66"/>
  <c r="Z18" i="66"/>
  <c r="AA18" i="66"/>
  <c r="AB18" i="66"/>
  <c r="AC18" i="66"/>
  <c r="AD18" i="66"/>
  <c r="R19" i="66"/>
  <c r="S19" i="66"/>
  <c r="T19" i="66"/>
  <c r="U19" i="66"/>
  <c r="V19" i="66"/>
  <c r="W19" i="66"/>
  <c r="X19" i="66"/>
  <c r="Z19" i="66"/>
  <c r="AA19" i="66"/>
  <c r="AB19" i="66"/>
  <c r="AC19" i="66"/>
  <c r="AD19" i="66"/>
  <c r="R20" i="66"/>
  <c r="S20" i="66"/>
  <c r="T20" i="66"/>
  <c r="U20" i="66"/>
  <c r="V20" i="66"/>
  <c r="W20" i="66"/>
  <c r="X20" i="66"/>
  <c r="Z20" i="66"/>
  <c r="AA20" i="66"/>
  <c r="AB20" i="66"/>
  <c r="AC20" i="66"/>
  <c r="AD20" i="66"/>
  <c r="R21" i="66"/>
  <c r="S21" i="66"/>
  <c r="T21" i="66"/>
  <c r="U21" i="66"/>
  <c r="V21" i="66"/>
  <c r="W21" i="66"/>
  <c r="X21" i="66"/>
  <c r="Z21" i="66"/>
  <c r="AA21" i="66"/>
  <c r="AB21" i="66"/>
  <c r="AC21" i="66"/>
  <c r="AD21" i="66"/>
  <c r="R15" i="66"/>
  <c r="S15" i="66"/>
  <c r="S14" i="66" s="1"/>
  <c r="T15" i="66"/>
  <c r="U15" i="66"/>
  <c r="V15" i="66"/>
  <c r="W15" i="66"/>
  <c r="W14" i="66" s="1"/>
  <c r="W11" i="66" s="1"/>
  <c r="X15" i="66"/>
  <c r="Z15" i="66"/>
  <c r="AA15" i="66"/>
  <c r="AB15" i="66"/>
  <c r="AC15" i="66"/>
  <c r="AD15" i="66"/>
  <c r="L36" i="66"/>
  <c r="L37" i="66" s="1"/>
  <c r="L24" i="66"/>
  <c r="M24" i="66"/>
  <c r="L14" i="66"/>
  <c r="L11" i="66" s="1"/>
  <c r="T37" i="65"/>
  <c r="U37" i="65" s="1"/>
  <c r="V37" i="65" s="1"/>
  <c r="W37" i="65" s="1"/>
  <c r="X37" i="65" s="1"/>
  <c r="Y37" i="65" s="1"/>
  <c r="U24" i="65"/>
  <c r="U23" i="65" s="1"/>
  <c r="V24" i="65"/>
  <c r="V23" i="65"/>
  <c r="W24" i="65"/>
  <c r="W23" i="65" s="1"/>
  <c r="X24" i="65"/>
  <c r="X23" i="65" s="1"/>
  <c r="T23" i="65"/>
  <c r="V18" i="65"/>
  <c r="W18" i="65"/>
  <c r="V19" i="65"/>
  <c r="W19" i="65"/>
  <c r="T19" i="65"/>
  <c r="T20" i="65"/>
  <c r="T13" i="65" s="1"/>
  <c r="T10" i="65" s="1"/>
  <c r="L23" i="65"/>
  <c r="M23" i="65"/>
  <c r="L13" i="65"/>
  <c r="L10" i="65" s="1"/>
  <c r="L9" i="65" s="1"/>
  <c r="U13" i="65"/>
  <c r="U10" i="65" s="1"/>
  <c r="V13" i="65"/>
  <c r="V10" i="65" s="1"/>
  <c r="W13" i="65"/>
  <c r="W10" i="65"/>
  <c r="W22" i="65" s="1"/>
  <c r="X13" i="65"/>
  <c r="X10" i="65" s="1"/>
  <c r="Y13" i="65"/>
  <c r="Y10" i="65" s="1"/>
  <c r="Y9" i="65" s="1"/>
  <c r="Y35" i="65" s="1"/>
  <c r="R24" i="64"/>
  <c r="S24" i="64"/>
  <c r="T24" i="64"/>
  <c r="U24" i="64"/>
  <c r="V24" i="64"/>
  <c r="W24" i="64"/>
  <c r="X24" i="64"/>
  <c r="Z24" i="64"/>
  <c r="AA24" i="64"/>
  <c r="AB24" i="64"/>
  <c r="AC24" i="64"/>
  <c r="AD24" i="64"/>
  <c r="T15" i="64"/>
  <c r="U15" i="64"/>
  <c r="U14" i="64" s="1"/>
  <c r="U11" i="64" s="1"/>
  <c r="V15" i="64"/>
  <c r="V14" i="64" s="1"/>
  <c r="V11" i="64" s="1"/>
  <c r="W15" i="64"/>
  <c r="X15" i="64"/>
  <c r="Z15" i="64"/>
  <c r="AA15" i="64"/>
  <c r="AB15" i="64"/>
  <c r="AC15" i="64"/>
  <c r="AD15" i="64"/>
  <c r="L24" i="64"/>
  <c r="M24" i="64"/>
  <c r="M19" i="64"/>
  <c r="M20" i="64"/>
  <c r="L14" i="64"/>
  <c r="L11" i="64" s="1"/>
  <c r="P6" i="64"/>
  <c r="R37" i="61"/>
  <c r="S37" i="61" s="1"/>
  <c r="T37" i="61" s="1"/>
  <c r="U37" i="61" s="1"/>
  <c r="V37" i="61" s="1"/>
  <c r="W37" i="61" s="1"/>
  <c r="R24" i="61"/>
  <c r="S24" i="61"/>
  <c r="T24" i="61"/>
  <c r="U24" i="61"/>
  <c r="V24" i="61"/>
  <c r="W24" i="61"/>
  <c r="X24" i="61"/>
  <c r="Z24" i="61"/>
  <c r="AA24" i="61"/>
  <c r="AB24" i="61"/>
  <c r="AC24" i="61"/>
  <c r="AD24" i="61"/>
  <c r="R14" i="61"/>
  <c r="R11" i="61" s="1"/>
  <c r="S14" i="61"/>
  <c r="S11" i="61" s="1"/>
  <c r="S10" i="61" s="1"/>
  <c r="S35" i="61" s="1"/>
  <c r="T14" i="61"/>
  <c r="T11" i="61" s="1"/>
  <c r="T23" i="61" s="1"/>
  <c r="U14" i="61"/>
  <c r="U11" i="61" s="1"/>
  <c r="V14" i="61"/>
  <c r="V11" i="61" s="1"/>
  <c r="W14" i="61"/>
  <c r="W11" i="61" s="1"/>
  <c r="L14" i="61"/>
  <c r="L11" i="61" s="1"/>
  <c r="L10" i="61" s="1"/>
  <c r="I67" i="85"/>
  <c r="I68" i="85" s="1"/>
  <c r="I61" i="85"/>
  <c r="J61" i="85" s="1"/>
  <c r="I50" i="85"/>
  <c r="J50" i="85" s="1"/>
  <c r="I45" i="85"/>
  <c r="I46" i="85" s="1"/>
  <c r="I47" i="85" s="1"/>
  <c r="I35" i="85"/>
  <c r="J35" i="85" s="1"/>
  <c r="I29" i="85"/>
  <c r="J29" i="85" s="1"/>
  <c r="I19" i="85"/>
  <c r="I13" i="85"/>
  <c r="J13" i="85" s="1"/>
  <c r="I14" i="85"/>
  <c r="I15" i="85" s="1"/>
  <c r="J66" i="85"/>
  <c r="J60" i="85"/>
  <c r="J44" i="85"/>
  <c r="H56" i="85"/>
  <c r="J34" i="85"/>
  <c r="J28" i="85"/>
  <c r="J18" i="85"/>
  <c r="J12" i="85"/>
  <c r="H24" i="85"/>
  <c r="I32" i="79"/>
  <c r="H32" i="79"/>
  <c r="BA51" i="3"/>
  <c r="BA49" i="3" s="1"/>
  <c r="K65" i="32" s="1"/>
  <c r="AX49" i="3"/>
  <c r="AY49" i="3"/>
  <c r="AX63" i="3"/>
  <c r="T36" i="65" s="1"/>
  <c r="U36" i="65" s="1"/>
  <c r="V36" i="65" s="1"/>
  <c r="W36" i="65" s="1"/>
  <c r="X36" i="65" s="1"/>
  <c r="Y36" i="65" s="1"/>
  <c r="AY63" i="3"/>
  <c r="R36" i="66" s="1"/>
  <c r="BA63" i="3"/>
  <c r="S12" i="98" s="1"/>
  <c r="AL63" i="3"/>
  <c r="AL62" i="3"/>
  <c r="AM63" i="3"/>
  <c r="AM62" i="3" s="1"/>
  <c r="AN63" i="3"/>
  <c r="AO63" i="3"/>
  <c r="AP63" i="3"/>
  <c r="M36" i="65" s="1"/>
  <c r="AQ63" i="3"/>
  <c r="AP41" i="3"/>
  <c r="AP42" i="3"/>
  <c r="B64" i="32" s="1"/>
  <c r="D64" i="32" s="1"/>
  <c r="AO57" i="3"/>
  <c r="AO49" i="3" s="1"/>
  <c r="AO46" i="3" s="1"/>
  <c r="AP57" i="3"/>
  <c r="AQ57" i="3"/>
  <c r="AQ49" i="3" s="1"/>
  <c r="M36" i="64" s="1"/>
  <c r="L36" i="64" s="1"/>
  <c r="AL49" i="3"/>
  <c r="AM49" i="3"/>
  <c r="AK51" i="3"/>
  <c r="AK49" i="3" s="1"/>
  <c r="AN57" i="3"/>
  <c r="AN49" i="3" s="1"/>
  <c r="C41" i="90"/>
  <c r="C40" i="90"/>
  <c r="AF21" i="66"/>
  <c r="AH21" i="66"/>
  <c r="AF20" i="66"/>
  <c r="AH20" i="66"/>
  <c r="AF19" i="66"/>
  <c r="AH19" i="66"/>
  <c r="AF18" i="66"/>
  <c r="AH18" i="66"/>
  <c r="S11" i="66"/>
  <c r="AP62" i="3"/>
  <c r="I62" i="85"/>
  <c r="J62" i="85" s="1"/>
  <c r="BU65" i="8"/>
  <c r="BU100" i="8" s="1"/>
  <c r="BU52" i="8" s="1"/>
  <c r="AK7" i="10"/>
  <c r="AL7" i="10" s="1"/>
  <c r="U36" i="95"/>
  <c r="V36" i="95" s="1"/>
  <c r="W36" i="95" s="1"/>
  <c r="T41" i="95"/>
  <c r="CE51" i="72"/>
  <c r="F8" i="94"/>
  <c r="F11" i="94"/>
  <c r="H40" i="85"/>
  <c r="H72" i="85"/>
  <c r="E24" i="64"/>
  <c r="D24" i="64"/>
  <c r="E14" i="64"/>
  <c r="E11" i="64" s="1"/>
  <c r="D14" i="64"/>
  <c r="D11" i="64" s="1"/>
  <c r="E24" i="66"/>
  <c r="D24" i="66"/>
  <c r="E14" i="66"/>
  <c r="E11" i="66" s="1"/>
  <c r="D14" i="66"/>
  <c r="D11" i="66" s="1"/>
  <c r="E23" i="65"/>
  <c r="D23" i="65"/>
  <c r="E13" i="65"/>
  <c r="E10" i="65" s="1"/>
  <c r="E9" i="65" s="1"/>
  <c r="E38" i="65" s="1"/>
  <c r="D13" i="65"/>
  <c r="D10" i="65" s="1"/>
  <c r="E24" i="61"/>
  <c r="D24" i="61"/>
  <c r="E14" i="61"/>
  <c r="E11" i="61" s="1"/>
  <c r="E10" i="61" s="1"/>
  <c r="D14" i="61"/>
  <c r="D11" i="61" s="1"/>
  <c r="I63" i="85"/>
  <c r="I64" i="85" s="1"/>
  <c r="I65" i="85" s="1"/>
  <c r="J65" i="85" s="1"/>
  <c r="U41" i="95"/>
  <c r="AQ67" i="32"/>
  <c r="J63" i="85"/>
  <c r="BX17" i="7"/>
  <c r="E15" i="92"/>
  <c r="F13" i="92"/>
  <c r="Z38" i="92"/>
  <c r="C29" i="92"/>
  <c r="C30" i="92"/>
  <c r="C31" i="92"/>
  <c r="C32" i="92"/>
  <c r="C33" i="92"/>
  <c r="C34" i="92"/>
  <c r="C35" i="92"/>
  <c r="C36" i="92"/>
  <c r="C37" i="92"/>
  <c r="C24" i="92"/>
  <c r="C25" i="92"/>
  <c r="C26" i="92"/>
  <c r="C27" i="92"/>
  <c r="C28" i="92"/>
  <c r="C23" i="92"/>
  <c r="C22" i="92"/>
  <c r="Q51" i="65"/>
  <c r="C15" i="92"/>
  <c r="E14" i="92"/>
  <c r="D14" i="92"/>
  <c r="C14" i="92"/>
  <c r="K5" i="65"/>
  <c r="K6" i="64"/>
  <c r="O14" i="61"/>
  <c r="H16" i="87"/>
  <c r="I16" i="87" s="1"/>
  <c r="L18" i="87"/>
  <c r="K18" i="87" s="1"/>
  <c r="P20" i="66"/>
  <c r="P21" i="66"/>
  <c r="P15" i="66"/>
  <c r="O14" i="66"/>
  <c r="O11" i="66" s="1"/>
  <c r="O45" i="66"/>
  <c r="O36" i="66"/>
  <c r="O37" i="66" s="1"/>
  <c r="H17" i="66"/>
  <c r="H18" i="66"/>
  <c r="H19" i="66"/>
  <c r="H20" i="66"/>
  <c r="H21" i="66"/>
  <c r="H15" i="66"/>
  <c r="G14" i="66"/>
  <c r="G11" i="66" s="1"/>
  <c r="G10" i="66" s="1"/>
  <c r="O24" i="66"/>
  <c r="P24" i="66"/>
  <c r="G24" i="66"/>
  <c r="H24" i="66"/>
  <c r="E34" i="86"/>
  <c r="G39" i="65"/>
  <c r="H39" i="65"/>
  <c r="H16" i="65"/>
  <c r="H17" i="65"/>
  <c r="H18" i="65"/>
  <c r="H19" i="65"/>
  <c r="H20" i="65"/>
  <c r="H14" i="65"/>
  <c r="E29" i="86"/>
  <c r="E25" i="86"/>
  <c r="F39" i="86"/>
  <c r="D39" i="86"/>
  <c r="D30" i="86"/>
  <c r="E27" i="87"/>
  <c r="F27" i="87" s="1"/>
  <c r="E28" i="87"/>
  <c r="E29" i="87"/>
  <c r="E26" i="87"/>
  <c r="F14" i="87"/>
  <c r="E16" i="87"/>
  <c r="F15" i="87"/>
  <c r="L15" i="87"/>
  <c r="M42" i="91"/>
  <c r="J42" i="91"/>
  <c r="G42" i="91"/>
  <c r="D42" i="91"/>
  <c r="M41" i="91"/>
  <c r="J41" i="91"/>
  <c r="G41" i="91"/>
  <c r="D41" i="91"/>
  <c r="M40" i="91"/>
  <c r="J40" i="91"/>
  <c r="G40" i="91"/>
  <c r="D40" i="91"/>
  <c r="M39" i="91"/>
  <c r="J39" i="91"/>
  <c r="G39" i="91"/>
  <c r="D39" i="91"/>
  <c r="M38" i="91"/>
  <c r="J38" i="91"/>
  <c r="G38" i="91"/>
  <c r="D38" i="91"/>
  <c r="M37" i="91"/>
  <c r="J37" i="91"/>
  <c r="G37" i="91"/>
  <c r="D37" i="91"/>
  <c r="M36" i="91"/>
  <c r="J36" i="91"/>
  <c r="G36" i="91"/>
  <c r="D36" i="91"/>
  <c r="M35" i="91"/>
  <c r="J35" i="91"/>
  <c r="G35" i="91"/>
  <c r="D35" i="91"/>
  <c r="C35" i="91" s="1"/>
  <c r="A35" i="91" s="1"/>
  <c r="B64" i="85" s="1"/>
  <c r="D64" i="85" s="1"/>
  <c r="M34" i="91"/>
  <c r="J34" i="91"/>
  <c r="G34" i="91"/>
  <c r="D34" i="91"/>
  <c r="C34" i="91" s="1"/>
  <c r="A34" i="91" s="1"/>
  <c r="B63" i="85" s="1"/>
  <c r="D63" i="85" s="1"/>
  <c r="M33" i="91"/>
  <c r="J33" i="91"/>
  <c r="G33" i="91"/>
  <c r="D33" i="91"/>
  <c r="M32" i="91"/>
  <c r="J32" i="91"/>
  <c r="G32" i="91"/>
  <c r="D32" i="91"/>
  <c r="C32" i="91" s="1"/>
  <c r="A32" i="91" s="1"/>
  <c r="B61" i="85" s="1"/>
  <c r="D61" i="85" s="1"/>
  <c r="M31" i="91"/>
  <c r="J31" i="91"/>
  <c r="G31" i="91"/>
  <c r="G30" i="91" s="1"/>
  <c r="G28" i="91" s="1"/>
  <c r="D31" i="91"/>
  <c r="O30" i="91"/>
  <c r="O28" i="91" s="1"/>
  <c r="N30" i="91"/>
  <c r="L30" i="91"/>
  <c r="L28" i="91"/>
  <c r="K30" i="91"/>
  <c r="K28" i="91" s="1"/>
  <c r="I30" i="91"/>
  <c r="I28" i="91" s="1"/>
  <c r="H30" i="91"/>
  <c r="H28" i="91" s="1"/>
  <c r="F30" i="91"/>
  <c r="F28" i="91" s="1"/>
  <c r="E30" i="91"/>
  <c r="E28" i="91" s="1"/>
  <c r="B30" i="91"/>
  <c r="B28" i="91" s="1"/>
  <c r="N28" i="91"/>
  <c r="M14" i="91"/>
  <c r="J14" i="91"/>
  <c r="G14" i="91"/>
  <c r="D14" i="91"/>
  <c r="C14" i="91" s="1"/>
  <c r="A14" i="91" s="1"/>
  <c r="B55" i="85" s="1"/>
  <c r="D55" i="85" s="1"/>
  <c r="M13" i="91"/>
  <c r="J13" i="91"/>
  <c r="G13" i="91"/>
  <c r="D13" i="91"/>
  <c r="M12" i="91"/>
  <c r="J12" i="91"/>
  <c r="G12" i="91"/>
  <c r="D12" i="91"/>
  <c r="M11" i="91"/>
  <c r="J11" i="91"/>
  <c r="G11" i="91"/>
  <c r="D11" i="91"/>
  <c r="M10" i="91"/>
  <c r="J10" i="91"/>
  <c r="G10" i="91"/>
  <c r="D10" i="91"/>
  <c r="M9" i="91"/>
  <c r="J9" i="91"/>
  <c r="G9" i="91"/>
  <c r="D9" i="91"/>
  <c r="M8" i="91"/>
  <c r="J8" i="91"/>
  <c r="G8" i="91"/>
  <c r="D8" i="91"/>
  <c r="M7" i="91"/>
  <c r="J7" i="91"/>
  <c r="G7" i="91"/>
  <c r="D7" i="91"/>
  <c r="M6" i="91"/>
  <c r="J6" i="91"/>
  <c r="G6" i="91"/>
  <c r="D6" i="91"/>
  <c r="M5" i="91"/>
  <c r="J5" i="91"/>
  <c r="G5" i="91"/>
  <c r="D5" i="91"/>
  <c r="M4" i="91"/>
  <c r="J4" i="91"/>
  <c r="G4" i="91"/>
  <c r="D4" i="91"/>
  <c r="M3" i="91"/>
  <c r="J3" i="91"/>
  <c r="G3" i="91"/>
  <c r="D3" i="91"/>
  <c r="D2" i="91" s="1"/>
  <c r="O2" i="91"/>
  <c r="N2" i="91"/>
  <c r="L2" i="91"/>
  <c r="K2" i="91"/>
  <c r="I2" i="91"/>
  <c r="H2" i="91"/>
  <c r="F2" i="91"/>
  <c r="E2" i="91"/>
  <c r="B2" i="91"/>
  <c r="M30" i="91"/>
  <c r="M28" i="91" s="1"/>
  <c r="D34" i="120"/>
  <c r="P37" i="65"/>
  <c r="P36" i="65"/>
  <c r="G37" i="65"/>
  <c r="H37" i="65"/>
  <c r="G23" i="65"/>
  <c r="H23" i="65"/>
  <c r="G13" i="65"/>
  <c r="G10" i="65" s="1"/>
  <c r="P17" i="64"/>
  <c r="P18" i="64"/>
  <c r="Y18" i="64" s="1"/>
  <c r="P19" i="64"/>
  <c r="Y19" i="64" s="1"/>
  <c r="P20" i="64"/>
  <c r="Y20" i="64" s="1"/>
  <c r="P21" i="64"/>
  <c r="P15" i="64"/>
  <c r="D21" i="86"/>
  <c r="J19" i="64"/>
  <c r="O19" i="64"/>
  <c r="J20" i="64"/>
  <c r="K20" i="64"/>
  <c r="O20" i="64"/>
  <c r="O36" i="64"/>
  <c r="H17" i="64"/>
  <c r="H18" i="64"/>
  <c r="H19" i="64"/>
  <c r="H20" i="64"/>
  <c r="H21" i="64"/>
  <c r="H15" i="64"/>
  <c r="O24" i="64"/>
  <c r="P24" i="64"/>
  <c r="G24" i="64"/>
  <c r="H24" i="64"/>
  <c r="O14" i="64"/>
  <c r="O11" i="64" s="1"/>
  <c r="O10" i="64" s="1"/>
  <c r="O37" i="64" s="1"/>
  <c r="G14" i="64"/>
  <c r="G11" i="64" s="1"/>
  <c r="F4" i="64"/>
  <c r="F3" i="65" s="1"/>
  <c r="F4" i="66" s="1"/>
  <c r="P17" i="61"/>
  <c r="P19" i="61"/>
  <c r="Y19" i="61" s="1"/>
  <c r="P20" i="61"/>
  <c r="Y20" i="61"/>
  <c r="P21" i="61"/>
  <c r="F28" i="87"/>
  <c r="F29" i="87"/>
  <c r="H15" i="87"/>
  <c r="I15" i="87" s="1"/>
  <c r="H14" i="87"/>
  <c r="I14" i="87" s="1"/>
  <c r="M25" i="87"/>
  <c r="P22" i="66" s="1"/>
  <c r="K24" i="87"/>
  <c r="R21" i="64" s="1"/>
  <c r="R14" i="64" s="1"/>
  <c r="R11" i="64" s="1"/>
  <c r="H24" i="87"/>
  <c r="K23" i="87"/>
  <c r="X19" i="65" s="1"/>
  <c r="H23" i="87"/>
  <c r="M22" i="87"/>
  <c r="Q19" i="66" s="1"/>
  <c r="H22" i="87"/>
  <c r="M21" i="87"/>
  <c r="T18" i="64" s="1"/>
  <c r="M20" i="87"/>
  <c r="P17" i="66" s="1"/>
  <c r="H20" i="87"/>
  <c r="L16" i="87"/>
  <c r="K16" i="87" s="1"/>
  <c r="L14" i="87"/>
  <c r="K14" i="87" s="1"/>
  <c r="C33" i="90"/>
  <c r="C32" i="90"/>
  <c r="C26" i="90"/>
  <c r="C25" i="90"/>
  <c r="G13" i="90"/>
  <c r="D127" i="120"/>
  <c r="T19" i="64"/>
  <c r="U19" i="61"/>
  <c r="P19" i="66"/>
  <c r="Y15" i="61"/>
  <c r="D128" i="120"/>
  <c r="CD129" i="120"/>
  <c r="CJ128" i="120"/>
  <c r="D103" i="120"/>
  <c r="CD201" i="120"/>
  <c r="G12" i="90"/>
  <c r="G10" i="90"/>
  <c r="F10" i="90"/>
  <c r="H10" i="90" s="1"/>
  <c r="G9" i="90"/>
  <c r="G8" i="90"/>
  <c r="G7" i="90"/>
  <c r="F7" i="90"/>
  <c r="G59" i="78"/>
  <c r="G60" i="78"/>
  <c r="G58" i="78"/>
  <c r="D59" i="78"/>
  <c r="D60" i="78"/>
  <c r="D58" i="78"/>
  <c r="E72" i="78"/>
  <c r="F72" i="78"/>
  <c r="B72" i="78"/>
  <c r="C72" i="78"/>
  <c r="I36" i="78"/>
  <c r="O37" i="61"/>
  <c r="P42" i="89"/>
  <c r="M42" i="89"/>
  <c r="I42" i="89" s="1"/>
  <c r="J42" i="89"/>
  <c r="F42" i="89"/>
  <c r="B42" i="89"/>
  <c r="P41" i="89"/>
  <c r="M41" i="89"/>
  <c r="J41" i="89"/>
  <c r="I41" i="89" s="1"/>
  <c r="A41" i="89" s="1"/>
  <c r="B38" i="85" s="1"/>
  <c r="D38" i="85" s="1"/>
  <c r="F41" i="89"/>
  <c r="B41" i="89"/>
  <c r="P40" i="89"/>
  <c r="M40" i="89"/>
  <c r="J40" i="89"/>
  <c r="F40" i="89"/>
  <c r="B40" i="89"/>
  <c r="P39" i="89"/>
  <c r="M39" i="89"/>
  <c r="J39" i="89"/>
  <c r="F39" i="89"/>
  <c r="B39" i="89"/>
  <c r="P38" i="89"/>
  <c r="M38" i="89"/>
  <c r="J38" i="89"/>
  <c r="F38" i="89"/>
  <c r="B38" i="89"/>
  <c r="P37" i="89"/>
  <c r="M37" i="89"/>
  <c r="J37" i="89"/>
  <c r="I37" i="89" s="1"/>
  <c r="F37" i="89"/>
  <c r="B37" i="89"/>
  <c r="P36" i="89"/>
  <c r="M36" i="89"/>
  <c r="I36" i="89" s="1"/>
  <c r="J36" i="89"/>
  <c r="F36" i="89"/>
  <c r="B36" i="89"/>
  <c r="P35" i="89"/>
  <c r="M35" i="89"/>
  <c r="J35" i="89"/>
  <c r="F35" i="89"/>
  <c r="B35" i="89"/>
  <c r="P34" i="89"/>
  <c r="M34" i="89"/>
  <c r="J34" i="89"/>
  <c r="F34" i="89"/>
  <c r="B34" i="89"/>
  <c r="P33" i="89"/>
  <c r="M33" i="89"/>
  <c r="J33" i="89"/>
  <c r="F33" i="89"/>
  <c r="B33" i="89"/>
  <c r="P32" i="89"/>
  <c r="M32" i="89"/>
  <c r="J32" i="89"/>
  <c r="F32" i="89"/>
  <c r="B32" i="89"/>
  <c r="P31" i="89"/>
  <c r="M31" i="89"/>
  <c r="J31" i="89"/>
  <c r="F31" i="89"/>
  <c r="B31" i="89"/>
  <c r="V30" i="89"/>
  <c r="V28" i="89" s="1"/>
  <c r="U30" i="89"/>
  <c r="U28" i="89" s="1"/>
  <c r="T30" i="89"/>
  <c r="T28" i="89" s="1"/>
  <c r="S30" i="89"/>
  <c r="S28" i="89" s="1"/>
  <c r="R30" i="89"/>
  <c r="R28" i="89" s="1"/>
  <c r="Q30" i="89"/>
  <c r="Q28" i="89" s="1"/>
  <c r="O30" i="89"/>
  <c r="O28" i="89" s="1"/>
  <c r="N30" i="89"/>
  <c r="N28" i="89" s="1"/>
  <c r="L30" i="89"/>
  <c r="L28" i="89" s="1"/>
  <c r="K30" i="89"/>
  <c r="K28" i="89" s="1"/>
  <c r="H30" i="89"/>
  <c r="H28" i="89"/>
  <c r="G30" i="89"/>
  <c r="G28" i="89" s="1"/>
  <c r="E30" i="89"/>
  <c r="E28" i="89" s="1"/>
  <c r="D30" i="89"/>
  <c r="C30" i="89"/>
  <c r="C28" i="89" s="1"/>
  <c r="D28" i="89"/>
  <c r="P14" i="89"/>
  <c r="M14" i="89"/>
  <c r="J14" i="89"/>
  <c r="F14" i="89"/>
  <c r="B14" i="89"/>
  <c r="P13" i="89"/>
  <c r="M13" i="89"/>
  <c r="J13" i="89"/>
  <c r="F13" i="89"/>
  <c r="B13" i="89"/>
  <c r="P12" i="89"/>
  <c r="M12" i="89"/>
  <c r="J12" i="89"/>
  <c r="F12" i="89"/>
  <c r="B12" i="89"/>
  <c r="P11" i="89"/>
  <c r="M11" i="89"/>
  <c r="J11" i="89"/>
  <c r="F11" i="89"/>
  <c r="B11" i="89"/>
  <c r="P10" i="89"/>
  <c r="M10" i="89"/>
  <c r="J10" i="89"/>
  <c r="F10" i="89"/>
  <c r="B10" i="89"/>
  <c r="P9" i="89"/>
  <c r="M9" i="89"/>
  <c r="J9" i="89"/>
  <c r="F9" i="89"/>
  <c r="B9" i="89"/>
  <c r="P8" i="89"/>
  <c r="M8" i="89"/>
  <c r="J8" i="89"/>
  <c r="F8" i="89"/>
  <c r="B8" i="89"/>
  <c r="P7" i="89"/>
  <c r="M7" i="89"/>
  <c r="J7" i="89"/>
  <c r="F7" i="89"/>
  <c r="B7" i="89"/>
  <c r="P6" i="89"/>
  <c r="I6" i="89" s="1"/>
  <c r="M6" i="89"/>
  <c r="J6" i="89"/>
  <c r="F6" i="89"/>
  <c r="B6" i="89"/>
  <c r="P5" i="89"/>
  <c r="M5" i="89"/>
  <c r="J5" i="89"/>
  <c r="F5" i="89"/>
  <c r="B5" i="89"/>
  <c r="P4" i="89"/>
  <c r="M4" i="89"/>
  <c r="J4" i="89"/>
  <c r="F4" i="89"/>
  <c r="B4" i="89"/>
  <c r="P3" i="89"/>
  <c r="M3" i="89"/>
  <c r="J3" i="89"/>
  <c r="F3" i="89"/>
  <c r="B3" i="89"/>
  <c r="V2" i="89"/>
  <c r="U2" i="89"/>
  <c r="T2" i="89"/>
  <c r="S2" i="89"/>
  <c r="R2" i="89"/>
  <c r="Q2" i="89"/>
  <c r="O2" i="89"/>
  <c r="N2" i="89"/>
  <c r="L2" i="89"/>
  <c r="K2" i="89"/>
  <c r="H2" i="89"/>
  <c r="G2" i="89"/>
  <c r="E2" i="89"/>
  <c r="D2" i="89"/>
  <c r="C2" i="89"/>
  <c r="I39" i="89"/>
  <c r="A39" i="89" s="1"/>
  <c r="B36" i="85" s="1"/>
  <c r="D36" i="85" s="1"/>
  <c r="E8" i="86"/>
  <c r="H8" i="86" s="1"/>
  <c r="E10" i="86"/>
  <c r="H10" i="86" s="1"/>
  <c r="E11" i="86"/>
  <c r="H11" i="86" s="1"/>
  <c r="E7" i="86"/>
  <c r="H7" i="86" s="1"/>
  <c r="C52" i="32"/>
  <c r="B46" i="32"/>
  <c r="D46" i="32" s="1"/>
  <c r="B44" i="32"/>
  <c r="D44" i="32" s="1"/>
  <c r="C48" i="32"/>
  <c r="H17" i="61"/>
  <c r="C7" i="102" s="1"/>
  <c r="C21" i="102" s="1"/>
  <c r="H18" i="61"/>
  <c r="H19" i="61"/>
  <c r="H20" i="61"/>
  <c r="H21" i="61"/>
  <c r="H15" i="61"/>
  <c r="B27" i="87"/>
  <c r="B28" i="87"/>
  <c r="B29" i="87"/>
  <c r="B26" i="87"/>
  <c r="W18" i="10"/>
  <c r="W19" i="10" s="1"/>
  <c r="AL34" i="61"/>
  <c r="H24" i="61"/>
  <c r="G24" i="61"/>
  <c r="G14" i="61"/>
  <c r="G11" i="61"/>
  <c r="E17" i="88"/>
  <c r="D17" i="88"/>
  <c r="C17" i="88"/>
  <c r="C9" i="88"/>
  <c r="B19" i="88"/>
  <c r="P24" i="65"/>
  <c r="P23" i="65" s="1"/>
  <c r="Q24" i="65"/>
  <c r="Q23" i="65" s="1"/>
  <c r="Q37" i="65"/>
  <c r="Q18" i="65"/>
  <c r="R18" i="65" s="1"/>
  <c r="Q19" i="65"/>
  <c r="R19" i="65" s="1"/>
  <c r="Q20" i="65"/>
  <c r="R20" i="65" s="1"/>
  <c r="P13" i="65"/>
  <c r="P10" i="65" s="1"/>
  <c r="P37" i="61"/>
  <c r="O24" i="61"/>
  <c r="P24" i="61"/>
  <c r="E46" i="73"/>
  <c r="E36" i="63"/>
  <c r="D43" i="73"/>
  <c r="B43" i="73" s="1"/>
  <c r="B44" i="73" s="1"/>
  <c r="D38" i="73"/>
  <c r="B38" i="73" s="1"/>
  <c r="C38" i="73" s="1"/>
  <c r="B37" i="73"/>
  <c r="G25" i="87"/>
  <c r="H22" i="66" s="1"/>
  <c r="E24" i="87"/>
  <c r="B24" i="87"/>
  <c r="E23" i="87"/>
  <c r="I20" i="64" s="1"/>
  <c r="B23" i="87"/>
  <c r="G22" i="87"/>
  <c r="T18" i="65" s="1"/>
  <c r="B22" i="87"/>
  <c r="G21" i="87"/>
  <c r="E21" i="87"/>
  <c r="G20" i="87"/>
  <c r="C16" i="87"/>
  <c r="C15" i="87"/>
  <c r="C14" i="87"/>
  <c r="G7" i="86"/>
  <c r="D26" i="75"/>
  <c r="C26" i="75"/>
  <c r="U31" i="32"/>
  <c r="U32" i="32" s="1"/>
  <c r="U35" i="32" s="1"/>
  <c r="U38" i="32" s="1"/>
  <c r="T30" i="32"/>
  <c r="V30" i="32" s="1"/>
  <c r="Q34" i="32"/>
  <c r="U34" i="32"/>
  <c r="Q38" i="32"/>
  <c r="R35" i="32"/>
  <c r="R38" i="32" s="1"/>
  <c r="S31" i="32"/>
  <c r="S30" i="32"/>
  <c r="Q29" i="32"/>
  <c r="AE15" i="10"/>
  <c r="K27" i="87" s="1"/>
  <c r="L27" i="87" s="1"/>
  <c r="AE16" i="10"/>
  <c r="K28" i="87" s="1"/>
  <c r="L28" i="87" s="1"/>
  <c r="AE17" i="10"/>
  <c r="K29" i="87"/>
  <c r="L29" i="87" s="1"/>
  <c r="AE14" i="10"/>
  <c r="K26" i="87" s="1"/>
  <c r="AE8" i="10"/>
  <c r="AE9" i="10"/>
  <c r="AE10" i="10"/>
  <c r="H29" i="87" s="1"/>
  <c r="I29" i="87" s="1"/>
  <c r="AE7" i="10"/>
  <c r="AD18" i="10"/>
  <c r="AD13" i="10"/>
  <c r="X18" i="10"/>
  <c r="X19" i="10" s="1"/>
  <c r="CO54" i="72"/>
  <c r="CP54" i="72" s="1"/>
  <c r="CO52" i="72"/>
  <c r="CP52" i="72" s="1"/>
  <c r="CP55" i="72" s="1"/>
  <c r="CO50" i="72"/>
  <c r="CP50" i="72" s="1"/>
  <c r="CO48" i="72"/>
  <c r="CP48" i="72" s="1"/>
  <c r="D12" i="86"/>
  <c r="F30" i="86"/>
  <c r="C30" i="86"/>
  <c r="F21" i="86"/>
  <c r="C21" i="86"/>
  <c r="F12" i="86"/>
  <c r="Z63" i="3"/>
  <c r="Y63" i="3"/>
  <c r="H36" i="65" s="1"/>
  <c r="Y57" i="3"/>
  <c r="Y49" i="3" s="1"/>
  <c r="H5" i="79" s="1"/>
  <c r="H9" i="79" s="1"/>
  <c r="B45" i="32"/>
  <c r="D45" i="32" s="1"/>
  <c r="Z49" i="3"/>
  <c r="Z39" i="3"/>
  <c r="D9" i="87" s="1"/>
  <c r="BJ51" i="72"/>
  <c r="BI159" i="7"/>
  <c r="BI156" i="7"/>
  <c r="BI151" i="7"/>
  <c r="BI149" i="7"/>
  <c r="BI146" i="7"/>
  <c r="BI145" i="7"/>
  <c r="BI143" i="7"/>
  <c r="BI142" i="7"/>
  <c r="BI140" i="7"/>
  <c r="BI139" i="7"/>
  <c r="BI138" i="7"/>
  <c r="BI136" i="7"/>
  <c r="BH159" i="7"/>
  <c r="BH156" i="7"/>
  <c r="BH151" i="7"/>
  <c r="BH145" i="7"/>
  <c r="BH143" i="7"/>
  <c r="BH142" i="7"/>
  <c r="BH141" i="7"/>
  <c r="BH140" i="7"/>
  <c r="BH139" i="7"/>
  <c r="BH138" i="7"/>
  <c r="BH136" i="7"/>
  <c r="BG159" i="7"/>
  <c r="BG156" i="7"/>
  <c r="BG149" i="7"/>
  <c r="BG146" i="7"/>
  <c r="BG79" i="7"/>
  <c r="BG151" i="7" s="1"/>
  <c r="BG20" i="7"/>
  <c r="BG58" i="7"/>
  <c r="BG145" i="7"/>
  <c r="BG56" i="7"/>
  <c r="BG53" i="7"/>
  <c r="BG37" i="7"/>
  <c r="BG38" i="7"/>
  <c r="BI33" i="7"/>
  <c r="BI27" i="7" s="1"/>
  <c r="BH33" i="7"/>
  <c r="BH27" i="7" s="1"/>
  <c r="BG30" i="7"/>
  <c r="BG28" i="7"/>
  <c r="BG19" i="7"/>
  <c r="BG142" i="7" s="1"/>
  <c r="BG21" i="7"/>
  <c r="BG22" i="7"/>
  <c r="BG23" i="7"/>
  <c r="BG26" i="7"/>
  <c r="BG18" i="7"/>
  <c r="BG16" i="7"/>
  <c r="BG10" i="7"/>
  <c r="BG11" i="7"/>
  <c r="BG12" i="7"/>
  <c r="BG13" i="7"/>
  <c r="BG14" i="7"/>
  <c r="BG141" i="7" s="1"/>
  <c r="BG9" i="7"/>
  <c r="BH62" i="7"/>
  <c r="BH149" i="7" s="1"/>
  <c r="BH61" i="7"/>
  <c r="BH146" i="7"/>
  <c r="BG42" i="7"/>
  <c r="BH41" i="7"/>
  <c r="BH35" i="7" s="1"/>
  <c r="BG36" i="7"/>
  <c r="BG34" i="7"/>
  <c r="BH25" i="7"/>
  <c r="BH17" i="7"/>
  <c r="BI24" i="7"/>
  <c r="BI141" i="7"/>
  <c r="B17" i="92"/>
  <c r="H36" i="66"/>
  <c r="H37" i="66" s="1"/>
  <c r="H26" i="87"/>
  <c r="C28" i="87"/>
  <c r="H28" i="87"/>
  <c r="I28" i="87" s="1"/>
  <c r="C27" i="87"/>
  <c r="BG24" i="7"/>
  <c r="E22" i="87"/>
  <c r="I19" i="64" s="1"/>
  <c r="K19" i="64"/>
  <c r="O11" i="61"/>
  <c r="O23" i="61" s="1"/>
  <c r="B39" i="73"/>
  <c r="B40" i="73" s="1"/>
  <c r="C43" i="73"/>
  <c r="C44" i="73" s="1"/>
  <c r="C45" i="73" s="1"/>
  <c r="S32" i="32"/>
  <c r="BJ55" i="72"/>
  <c r="BI55" i="72"/>
  <c r="BI51" i="72"/>
  <c r="BG54" i="7"/>
  <c r="BG31" i="7"/>
  <c r="BG32" i="7"/>
  <c r="BG29" i="7"/>
  <c r="BH15" i="7"/>
  <c r="BH8" i="7" s="1"/>
  <c r="BI15" i="7"/>
  <c r="BI8" i="7" s="1"/>
  <c r="BG39" i="7"/>
  <c r="AR63" i="3"/>
  <c r="F9" i="87" s="1"/>
  <c r="X63" i="3"/>
  <c r="G36" i="66" s="1"/>
  <c r="G37" i="66" s="1"/>
  <c r="W57" i="3"/>
  <c r="W49" i="3" s="1"/>
  <c r="W44" i="3" s="1"/>
  <c r="X49" i="3"/>
  <c r="X44" i="3" s="1"/>
  <c r="X39" i="3"/>
  <c r="AR49" i="3"/>
  <c r="P36" i="61" s="1"/>
  <c r="AM46" i="3"/>
  <c r="AM44" i="3" s="1"/>
  <c r="AR46" i="3"/>
  <c r="AL46" i="3"/>
  <c r="AL44" i="3" s="1"/>
  <c r="AL40" i="3" s="1"/>
  <c r="AL39" i="3" s="1"/>
  <c r="AL43" i="3" s="1"/>
  <c r="AM41" i="3"/>
  <c r="AM39" i="3" s="1"/>
  <c r="G6" i="77"/>
  <c r="B3" i="85"/>
  <c r="E5" i="88"/>
  <c r="B7" i="88" s="1"/>
  <c r="E9" i="88"/>
  <c r="L9" i="87"/>
  <c r="Q36" i="65"/>
  <c r="AL45" i="3"/>
  <c r="O36" i="61"/>
  <c r="F50" i="65"/>
  <c r="BI41" i="7"/>
  <c r="BI35" i="7" s="1"/>
  <c r="BG40" i="7"/>
  <c r="F8" i="84"/>
  <c r="F7" i="84"/>
  <c r="E8" i="84"/>
  <c r="E6" i="84"/>
  <c r="G6" i="84" s="1"/>
  <c r="I33" i="84"/>
  <c r="C33" i="84"/>
  <c r="B32" i="84"/>
  <c r="I31" i="84"/>
  <c r="I34" i="84" s="1"/>
  <c r="F31" i="84"/>
  <c r="F34" i="84" s="1"/>
  <c r="F37" i="84" s="1"/>
  <c r="B31" i="84"/>
  <c r="D31" i="84" s="1"/>
  <c r="F29" i="84"/>
  <c r="F33" i="84" s="1"/>
  <c r="E29" i="84"/>
  <c r="G29" i="84" s="1"/>
  <c r="H28" i="84"/>
  <c r="B28" i="84"/>
  <c r="F23" i="84"/>
  <c r="C23" i="84"/>
  <c r="E22" i="84"/>
  <c r="B22" i="84"/>
  <c r="B23" i="84" s="1"/>
  <c r="E21" i="84"/>
  <c r="G21" i="84" s="1"/>
  <c r="B21" i="84"/>
  <c r="D21" i="84" s="1"/>
  <c r="D20" i="84"/>
  <c r="D19" i="84"/>
  <c r="J15" i="84"/>
  <c r="G15" i="84"/>
  <c r="D8" i="84"/>
  <c r="D7" i="84"/>
  <c r="D6" i="84"/>
  <c r="F5" i="83"/>
  <c r="F7" i="83"/>
  <c r="F8" i="83"/>
  <c r="F4" i="83"/>
  <c r="B7" i="83"/>
  <c r="D7" i="83" s="1"/>
  <c r="B4" i="83"/>
  <c r="D4" i="83" s="1"/>
  <c r="L39" i="10"/>
  <c r="S39" i="10" s="1"/>
  <c r="P42" i="10"/>
  <c r="Q42" i="10"/>
  <c r="R42" i="10"/>
  <c r="G42" i="10"/>
  <c r="O42" i="10"/>
  <c r="O44" i="10" s="1"/>
  <c r="S41" i="10"/>
  <c r="S40" i="10"/>
  <c r="S38" i="10"/>
  <c r="O35" i="10"/>
  <c r="M28" i="10"/>
  <c r="N28" i="10"/>
  <c r="O28" i="10"/>
  <c r="M32" i="10"/>
  <c r="N32" i="10"/>
  <c r="O32" i="10"/>
  <c r="L32" i="10"/>
  <c r="L28" i="10"/>
  <c r="S30" i="10"/>
  <c r="S31" i="10" s="1"/>
  <c r="C7" i="67"/>
  <c r="D64" i="78"/>
  <c r="G64" i="78"/>
  <c r="E66" i="78"/>
  <c r="E68" i="78"/>
  <c r="G68" i="78" s="1"/>
  <c r="F67" i="78"/>
  <c r="E67" i="78"/>
  <c r="F66" i="78"/>
  <c r="G66" i="78" s="1"/>
  <c r="G63" i="78"/>
  <c r="G62" i="78"/>
  <c r="G70" i="78" s="1"/>
  <c r="D62" i="78"/>
  <c r="D63" i="78"/>
  <c r="C67" i="78"/>
  <c r="C66" i="78"/>
  <c r="D66" i="78" s="1"/>
  <c r="B67" i="78"/>
  <c r="B68" i="78"/>
  <c r="D68" i="78" s="1"/>
  <c r="H48" i="78"/>
  <c r="C46" i="78"/>
  <c r="D46" i="78"/>
  <c r="E46" i="78"/>
  <c r="F46" i="78"/>
  <c r="I46" i="78"/>
  <c r="J46" i="78"/>
  <c r="K46" i="78"/>
  <c r="B51" i="78"/>
  <c r="G51" i="78"/>
  <c r="B52" i="78"/>
  <c r="G52" i="78"/>
  <c r="M52" i="78" s="1"/>
  <c r="E42" i="78"/>
  <c r="G50" i="78"/>
  <c r="M50" i="78" s="1"/>
  <c r="B50" i="78"/>
  <c r="G49" i="78"/>
  <c r="M49" i="78" s="1"/>
  <c r="B49" i="78"/>
  <c r="B48" i="78"/>
  <c r="G47" i="78"/>
  <c r="B47" i="78"/>
  <c r="M47" i="78" s="1"/>
  <c r="B44" i="78"/>
  <c r="B43" i="78"/>
  <c r="B42" i="78" s="1"/>
  <c r="F42" i="78"/>
  <c r="D42" i="78"/>
  <c r="C42" i="78"/>
  <c r="B39" i="78"/>
  <c r="F40" i="78"/>
  <c r="B40" i="78"/>
  <c r="B38" i="78"/>
  <c r="H33" i="78"/>
  <c r="G33" i="78" s="1"/>
  <c r="M33" i="78" s="1"/>
  <c r="G36" i="78"/>
  <c r="G35" i="78"/>
  <c r="G34" i="78"/>
  <c r="K32" i="78"/>
  <c r="J32" i="78"/>
  <c r="I32" i="78"/>
  <c r="D32" i="78"/>
  <c r="E32" i="78"/>
  <c r="F32" i="78"/>
  <c r="C32" i="78"/>
  <c r="D28" i="78"/>
  <c r="E28" i="78"/>
  <c r="F28" i="78"/>
  <c r="C28" i="78"/>
  <c r="B29" i="78"/>
  <c r="B30" i="78"/>
  <c r="B28" i="78" s="1"/>
  <c r="B33" i="78"/>
  <c r="B34" i="78"/>
  <c r="B35" i="78"/>
  <c r="M35" i="78" s="1"/>
  <c r="X33" i="61" s="1"/>
  <c r="B36" i="78"/>
  <c r="E26" i="78"/>
  <c r="B25" i="78"/>
  <c r="F24" i="78"/>
  <c r="B24" i="78" s="1"/>
  <c r="W17" i="82"/>
  <c r="P21" i="81"/>
  <c r="B68" i="81"/>
  <c r="B67" i="81"/>
  <c r="O21" i="81"/>
  <c r="N20" i="81"/>
  <c r="E79" i="81"/>
  <c r="E80" i="81"/>
  <c r="D80" i="81"/>
  <c r="D79" i="81"/>
  <c r="E59" i="81"/>
  <c r="E67" i="81" s="1"/>
  <c r="E60" i="81"/>
  <c r="E68" i="81"/>
  <c r="D60" i="81"/>
  <c r="D59" i="81"/>
  <c r="D67" i="81" s="1"/>
  <c r="E77" i="81"/>
  <c r="D77" i="81"/>
  <c r="D73" i="81"/>
  <c r="E73" i="81"/>
  <c r="M11" i="81" s="1"/>
  <c r="B73" i="81"/>
  <c r="D65" i="81"/>
  <c r="E65" i="81"/>
  <c r="B65" i="81"/>
  <c r="E57" i="81"/>
  <c r="D57" i="81"/>
  <c r="E53" i="81"/>
  <c r="D53" i="81"/>
  <c r="E92" i="81"/>
  <c r="D92" i="81"/>
  <c r="E91" i="81"/>
  <c r="D91" i="81"/>
  <c r="B92" i="81"/>
  <c r="B91" i="81"/>
  <c r="B93" i="81" s="1"/>
  <c r="H12" i="81"/>
  <c r="H13" i="81"/>
  <c r="O14" i="81"/>
  <c r="D45" i="81"/>
  <c r="E45" i="81"/>
  <c r="M13" i="81" s="1"/>
  <c r="B45" i="81"/>
  <c r="D41" i="81"/>
  <c r="E41" i="81"/>
  <c r="M7" i="81" s="1"/>
  <c r="B41" i="81"/>
  <c r="D37" i="81"/>
  <c r="E37" i="81"/>
  <c r="M19" i="81" s="1"/>
  <c r="B37" i="81"/>
  <c r="D97" i="81"/>
  <c r="F96" i="81"/>
  <c r="F97" i="81" s="1"/>
  <c r="F95" i="81"/>
  <c r="B89" i="81"/>
  <c r="E89" i="81"/>
  <c r="D89" i="81"/>
  <c r="F88" i="81"/>
  <c r="F87" i="81"/>
  <c r="E85" i="81"/>
  <c r="D85" i="81"/>
  <c r="F84" i="81"/>
  <c r="F83" i="81"/>
  <c r="F85" i="81" s="1"/>
  <c r="F76" i="81"/>
  <c r="F75" i="81"/>
  <c r="F72" i="81"/>
  <c r="F71" i="81"/>
  <c r="F64" i="81"/>
  <c r="F63" i="81"/>
  <c r="F56" i="81"/>
  <c r="F55" i="81"/>
  <c r="F52" i="81"/>
  <c r="F51" i="81"/>
  <c r="E49" i="81"/>
  <c r="M10" i="81" s="1"/>
  <c r="D49" i="81"/>
  <c r="B49" i="81"/>
  <c r="F48" i="81"/>
  <c r="F47" i="81"/>
  <c r="F44" i="81"/>
  <c r="F43" i="81"/>
  <c r="F40" i="81"/>
  <c r="F39" i="81"/>
  <c r="F36" i="81"/>
  <c r="F37" i="81" s="1"/>
  <c r="F35" i="81"/>
  <c r="M8" i="81"/>
  <c r="O14" i="65"/>
  <c r="O29" i="65"/>
  <c r="Q29" i="65" s="1"/>
  <c r="R29" i="65" s="1"/>
  <c r="T14" i="82"/>
  <c r="T12" i="82"/>
  <c r="S22" i="82"/>
  <c r="T9" i="82"/>
  <c r="T7" i="82"/>
  <c r="B69" i="81"/>
  <c r="D11" i="84"/>
  <c r="D10" i="84"/>
  <c r="D68" i="81"/>
  <c r="R17" i="82"/>
  <c r="Q17" i="82"/>
  <c r="B9" i="82"/>
  <c r="P24" i="82"/>
  <c r="J24" i="82"/>
  <c r="P23" i="82"/>
  <c r="J23" i="82"/>
  <c r="M22" i="82"/>
  <c r="L14" i="82" s="1"/>
  <c r="P21" i="82"/>
  <c r="J21" i="82"/>
  <c r="M20" i="82"/>
  <c r="P19" i="82"/>
  <c r="J19" i="82"/>
  <c r="M18" i="82"/>
  <c r="L7" i="82" s="1"/>
  <c r="C14" i="82"/>
  <c r="F14" i="82" s="1"/>
  <c r="J14" i="82" s="1"/>
  <c r="R16" i="82"/>
  <c r="C12" i="82"/>
  <c r="F12" i="82" s="1"/>
  <c r="J12" i="82" s="1"/>
  <c r="F9" i="82"/>
  <c r="J9" i="82" s="1"/>
  <c r="R11" i="82"/>
  <c r="C11" i="82"/>
  <c r="F11" i="82" s="1"/>
  <c r="J11" i="82" s="1"/>
  <c r="B27" i="81"/>
  <c r="N8" i="81"/>
  <c r="P8" i="81" s="1"/>
  <c r="J20" i="81"/>
  <c r="J21" i="81"/>
  <c r="J19" i="81"/>
  <c r="I8" i="81"/>
  <c r="J8" i="81" s="1"/>
  <c r="I22" i="81"/>
  <c r="E14" i="81"/>
  <c r="B7" i="81"/>
  <c r="E7" i="81" s="1"/>
  <c r="B19" i="81"/>
  <c r="E22" i="81"/>
  <c r="F41" i="79"/>
  <c r="B18" i="87"/>
  <c r="B14" i="82"/>
  <c r="E14" i="82" s="1"/>
  <c r="I14" i="82" s="1"/>
  <c r="B7" i="82"/>
  <c r="E7" i="82" s="1"/>
  <c r="I7" i="82" s="1"/>
  <c r="S12" i="82"/>
  <c r="S9" i="82"/>
  <c r="G22" i="82"/>
  <c r="G18" i="82"/>
  <c r="S14" i="82"/>
  <c r="G20" i="82"/>
  <c r="E9" i="82"/>
  <c r="I9" i="82" s="1"/>
  <c r="K12" i="82"/>
  <c r="N12" i="82" s="1"/>
  <c r="K14" i="82"/>
  <c r="G19" i="82"/>
  <c r="G24" i="82"/>
  <c r="G21" i="82"/>
  <c r="L9" i="82"/>
  <c r="M9" i="82" s="1"/>
  <c r="P20" i="82"/>
  <c r="F7" i="82"/>
  <c r="S7" i="82"/>
  <c r="S11" i="82" s="1"/>
  <c r="Q11" i="82" s="1"/>
  <c r="G9" i="82"/>
  <c r="G14" i="82"/>
  <c r="J18" i="82"/>
  <c r="J20" i="82"/>
  <c r="J22" i="82"/>
  <c r="H12" i="82"/>
  <c r="B9" i="81"/>
  <c r="E9" i="81" s="1"/>
  <c r="B10" i="81"/>
  <c r="E10" i="81" s="1"/>
  <c r="B11" i="81"/>
  <c r="E11" i="81" s="1"/>
  <c r="K4" i="80"/>
  <c r="K9" i="80" s="1"/>
  <c r="K14" i="80" s="1"/>
  <c r="K6" i="80"/>
  <c r="K11" i="80" s="1"/>
  <c r="K16" i="80" s="1"/>
  <c r="I3" i="80"/>
  <c r="K3" i="80" s="1"/>
  <c r="K8" i="80" s="1"/>
  <c r="K13" i="80" s="1"/>
  <c r="E4" i="80"/>
  <c r="E6" i="80"/>
  <c r="L4" i="80"/>
  <c r="L9" i="80" s="1"/>
  <c r="L14" i="80" s="1"/>
  <c r="L6" i="80"/>
  <c r="L11" i="80" s="1"/>
  <c r="L16" i="80" s="1"/>
  <c r="L3" i="80"/>
  <c r="L8" i="80" s="1"/>
  <c r="L13" i="80" s="1"/>
  <c r="H5" i="80"/>
  <c r="F6" i="80"/>
  <c r="D4" i="80"/>
  <c r="F4" i="80" s="1"/>
  <c r="C3" i="80"/>
  <c r="E3" i="80" s="1"/>
  <c r="B3" i="80"/>
  <c r="C5" i="80"/>
  <c r="B5" i="80"/>
  <c r="M4" i="80"/>
  <c r="M9" i="80" s="1"/>
  <c r="M14" i="80" s="1"/>
  <c r="M5" i="80"/>
  <c r="M10" i="80" s="1"/>
  <c r="M15" i="80" s="1"/>
  <c r="M6" i="80"/>
  <c r="M11" i="80" s="1"/>
  <c r="M16" i="80" s="1"/>
  <c r="G6" i="80"/>
  <c r="D15" i="78"/>
  <c r="E15" i="78"/>
  <c r="B15" i="78" s="1"/>
  <c r="C15" i="78"/>
  <c r="C7" i="78"/>
  <c r="E7" i="78"/>
  <c r="F7" i="78"/>
  <c r="F12" i="78" s="1"/>
  <c r="D7" i="78"/>
  <c r="D12" i="78" s="1"/>
  <c r="F20" i="78"/>
  <c r="O24" i="65" s="1"/>
  <c r="O23" i="65" s="1"/>
  <c r="G4" i="80"/>
  <c r="H9" i="82"/>
  <c r="O9" i="82"/>
  <c r="K9" i="82"/>
  <c r="N9" i="82" s="1"/>
  <c r="N14" i="82"/>
  <c r="G23" i="82"/>
  <c r="D16" i="82"/>
  <c r="G16" i="82" s="1"/>
  <c r="H14" i="82"/>
  <c r="G7" i="82"/>
  <c r="D11" i="82"/>
  <c r="H7" i="82"/>
  <c r="K7" i="82"/>
  <c r="N7" i="82" s="1"/>
  <c r="S39" i="3"/>
  <c r="C26" i="81" s="1"/>
  <c r="I18" i="79"/>
  <c r="G26" i="79"/>
  <c r="D26" i="79"/>
  <c r="G25" i="79"/>
  <c r="D25" i="79"/>
  <c r="G24" i="79"/>
  <c r="D24" i="79"/>
  <c r="D23" i="79"/>
  <c r="G23" i="79"/>
  <c r="C20" i="78"/>
  <c r="B8" i="78"/>
  <c r="B9" i="78"/>
  <c r="B10" i="78"/>
  <c r="B11" i="78"/>
  <c r="B16" i="78"/>
  <c r="B17" i="78"/>
  <c r="B18" i="78"/>
  <c r="B19" i="78"/>
  <c r="B14" i="78"/>
  <c r="B5" i="108" s="1"/>
  <c r="B6" i="78"/>
  <c r="B4" i="108" s="1"/>
  <c r="D20" i="78"/>
  <c r="E12" i="78"/>
  <c r="G13" i="77"/>
  <c r="E17" i="77"/>
  <c r="E18" i="77"/>
  <c r="G14" i="77"/>
  <c r="G15" i="77"/>
  <c r="G16" i="77"/>
  <c r="E16" i="77" s="1"/>
  <c r="F15" i="77"/>
  <c r="E15" i="77" s="1"/>
  <c r="D30" i="74"/>
  <c r="E30" i="74"/>
  <c r="F13" i="77" s="1"/>
  <c r="C30" i="74"/>
  <c r="V86" i="3"/>
  <c r="AJ64" i="3"/>
  <c r="B4" i="85" s="1"/>
  <c r="E4" i="85" s="1"/>
  <c r="F18" i="79"/>
  <c r="J7" i="82"/>
  <c r="G12" i="82"/>
  <c r="G11" i="82"/>
  <c r="F51" i="61"/>
  <c r="B16" i="77"/>
  <c r="B17" i="77"/>
  <c r="B18" i="77"/>
  <c r="AA15" i="10"/>
  <c r="E21" i="77" s="1"/>
  <c r="F21" i="77" s="1"/>
  <c r="AA16" i="10"/>
  <c r="E22" i="77" s="1"/>
  <c r="F22" i="77" s="1"/>
  <c r="AA17" i="10"/>
  <c r="E23" i="77" s="1"/>
  <c r="F23" i="77" s="1"/>
  <c r="AA14" i="10"/>
  <c r="Z18" i="10"/>
  <c r="AA8" i="10"/>
  <c r="B21" i="77" s="1"/>
  <c r="C21" i="77" s="1"/>
  <c r="AA9" i="10"/>
  <c r="AA10" i="10"/>
  <c r="B23" i="77" s="1"/>
  <c r="C23" i="77" s="1"/>
  <c r="AA7" i="10"/>
  <c r="B20" i="77" s="1"/>
  <c r="Z13" i="10"/>
  <c r="Q13" i="10"/>
  <c r="R13" i="10"/>
  <c r="S13" i="10"/>
  <c r="T13" i="10"/>
  <c r="Z37" i="65"/>
  <c r="AB37" i="65" s="1"/>
  <c r="E20" i="77"/>
  <c r="AF10" i="10"/>
  <c r="H11" i="82"/>
  <c r="Y19" i="10"/>
  <c r="F71" i="3"/>
  <c r="T63" i="3"/>
  <c r="U63" i="3"/>
  <c r="V63" i="3"/>
  <c r="V39" i="3"/>
  <c r="T57" i="3"/>
  <c r="T49" i="3"/>
  <c r="T44" i="3" s="1"/>
  <c r="T40" i="3" s="1"/>
  <c r="T39" i="3" s="1"/>
  <c r="E5" i="84" s="1"/>
  <c r="U57" i="3"/>
  <c r="U52" i="3"/>
  <c r="S49" i="3"/>
  <c r="S44" i="3" s="1"/>
  <c r="V49" i="3"/>
  <c r="V44" i="3" s="1"/>
  <c r="J13" i="65"/>
  <c r="J10" i="65" s="1"/>
  <c r="D23" i="73"/>
  <c r="B23" i="73"/>
  <c r="B24" i="73" s="1"/>
  <c r="BZ52" i="72"/>
  <c r="CQ52" i="72" s="1"/>
  <c r="BZ54" i="72"/>
  <c r="CQ54" i="72" s="1"/>
  <c r="AH37" i="65"/>
  <c r="AJ37" i="65"/>
  <c r="G41" i="79"/>
  <c r="AC37" i="65"/>
  <c r="AD37" i="65" s="1"/>
  <c r="AE37" i="65" s="1"/>
  <c r="AF37" i="65" s="1"/>
  <c r="AA37" i="65"/>
  <c r="F12" i="77"/>
  <c r="E12" i="77" s="1"/>
  <c r="N37" i="65"/>
  <c r="AK63" i="3"/>
  <c r="AX33" i="7"/>
  <c r="AY33" i="7"/>
  <c r="AX15" i="7"/>
  <c r="AY15" i="7"/>
  <c r="AW54" i="7"/>
  <c r="BD54" i="7" s="1"/>
  <c r="AW55" i="7"/>
  <c r="AW56" i="7"/>
  <c r="AW53" i="7"/>
  <c r="AW37" i="7"/>
  <c r="AW38" i="7"/>
  <c r="AW39" i="7"/>
  <c r="AW40" i="7"/>
  <c r="AW36" i="7"/>
  <c r="AW34" i="7"/>
  <c r="AW29" i="7"/>
  <c r="AW30" i="7"/>
  <c r="AW31" i="7"/>
  <c r="AW32" i="7"/>
  <c r="AW28" i="7"/>
  <c r="AW26" i="7"/>
  <c r="AW19" i="7"/>
  <c r="AW20" i="7"/>
  <c r="AW21" i="7"/>
  <c r="AW22" i="7"/>
  <c r="AW23" i="7"/>
  <c r="AW24" i="7"/>
  <c r="AW18" i="7"/>
  <c r="AW16" i="7"/>
  <c r="AW10" i="7"/>
  <c r="AW11" i="7"/>
  <c r="AW12" i="7"/>
  <c r="AW13" i="7"/>
  <c r="AW14" i="7"/>
  <c r="K37" i="61"/>
  <c r="J28" i="64"/>
  <c r="C5" i="76"/>
  <c r="C6" i="76"/>
  <c r="C7" i="76"/>
  <c r="C4" i="76"/>
  <c r="B8" i="76"/>
  <c r="A8" i="76"/>
  <c r="D19" i="75"/>
  <c r="C19" i="75"/>
  <c r="E8" i="75"/>
  <c r="E9" i="75" s="1"/>
  <c r="E10" i="75" s="1"/>
  <c r="D8" i="75"/>
  <c r="D9" i="75" s="1"/>
  <c r="D10" i="75" s="1"/>
  <c r="C8" i="75"/>
  <c r="C9" i="75" s="1"/>
  <c r="C10" i="75" s="1"/>
  <c r="D21" i="74"/>
  <c r="J16" i="64" s="1"/>
  <c r="J14" i="64" s="1"/>
  <c r="J11" i="64" s="1"/>
  <c r="J10" i="64" s="1"/>
  <c r="J37" i="64" s="1"/>
  <c r="C21" i="74"/>
  <c r="P16" i="32"/>
  <c r="AJ57" i="3"/>
  <c r="AJ49" i="3" s="1"/>
  <c r="C3" i="77" s="1"/>
  <c r="D12" i="74"/>
  <c r="K30" i="32"/>
  <c r="D18" i="73"/>
  <c r="B18" i="73" s="1"/>
  <c r="C18" i="73" s="1"/>
  <c r="C19" i="73" s="1"/>
  <c r="C20" i="73" s="1"/>
  <c r="N39" i="3"/>
  <c r="N49" i="3"/>
  <c r="N44" i="3" s="1"/>
  <c r="R57" i="3"/>
  <c r="R49" i="3" s="1"/>
  <c r="B8" i="73"/>
  <c r="B13" i="73"/>
  <c r="C13" i="73" s="1"/>
  <c r="D13" i="73" s="1"/>
  <c r="B32" i="73"/>
  <c r="B27" i="73"/>
  <c r="B25" i="73"/>
  <c r="BZ50" i="72"/>
  <c r="CQ50" i="72" s="1"/>
  <c r="BZ48" i="72"/>
  <c r="CQ48" i="72" s="1"/>
  <c r="B14" i="73"/>
  <c r="B15" i="73" s="1"/>
  <c r="X37" i="61"/>
  <c r="Z37" i="61" s="1"/>
  <c r="AA37" i="61" s="1"/>
  <c r="AB37" i="61" s="1"/>
  <c r="AC37" i="61" s="1"/>
  <c r="AD37" i="61" s="1"/>
  <c r="K62" i="32"/>
  <c r="M62" i="32" s="1"/>
  <c r="E18" i="87"/>
  <c r="C12" i="77"/>
  <c r="B12" i="77" s="1"/>
  <c r="AK62" i="3"/>
  <c r="K36" i="66" s="1"/>
  <c r="K37" i="66" s="1"/>
  <c r="CQ52" i="7"/>
  <c r="CQ144" i="7" s="1"/>
  <c r="CQ172" i="7" s="1"/>
  <c r="AK16" i="64" s="1"/>
  <c r="AK14" i="64" s="1"/>
  <c r="CN52" i="7"/>
  <c r="CN144" i="7" s="1"/>
  <c r="CQ143" i="7"/>
  <c r="N62" i="32"/>
  <c r="G3" i="77"/>
  <c r="AJ46" i="3"/>
  <c r="J14" i="61"/>
  <c r="J11" i="61" s="1"/>
  <c r="AH63" i="3"/>
  <c r="AH62" i="3" s="1"/>
  <c r="M57" i="3"/>
  <c r="AL133" i="7"/>
  <c r="AI63" i="3"/>
  <c r="AI62" i="3" s="1"/>
  <c r="AH46" i="3"/>
  <c r="AI49" i="3"/>
  <c r="AI46" i="3" s="1"/>
  <c r="AI44" i="3" s="1"/>
  <c r="AH49" i="3"/>
  <c r="AH45" i="3" s="1"/>
  <c r="CD212" i="120"/>
  <c r="CJ212" i="120" s="1"/>
  <c r="D146" i="120"/>
  <c r="S146" i="120" s="1"/>
  <c r="S212" i="120" s="1"/>
  <c r="CJ146" i="120"/>
  <c r="D102" i="120"/>
  <c r="CD198" i="120"/>
  <c r="CC212" i="120"/>
  <c r="CI212" i="120" s="1"/>
  <c r="C146" i="120"/>
  <c r="R146" i="120" s="1"/>
  <c r="CB146" i="120"/>
  <c r="CI146" i="120"/>
  <c r="C102" i="120"/>
  <c r="CC198" i="120"/>
  <c r="CB102" i="120"/>
  <c r="CO27" i="7"/>
  <c r="CQ27" i="7"/>
  <c r="CP143" i="7"/>
  <c r="CP27" i="7"/>
  <c r="CQ140" i="7"/>
  <c r="CN27" i="7"/>
  <c r="AJ22" i="64"/>
  <c r="CM27" i="7"/>
  <c r="CK143" i="7"/>
  <c r="CP140" i="7"/>
  <c r="P62" i="32"/>
  <c r="CC25" i="8"/>
  <c r="CB25" i="8"/>
  <c r="AK46" i="3"/>
  <c r="AK44" i="3" s="1"/>
  <c r="J24" i="66"/>
  <c r="K24" i="66"/>
  <c r="J14" i="66"/>
  <c r="J11" i="66"/>
  <c r="J23" i="66" s="1"/>
  <c r="J23" i="65"/>
  <c r="K23" i="65"/>
  <c r="J24" i="64"/>
  <c r="J23" i="64" s="1"/>
  <c r="K24" i="64"/>
  <c r="J24" i="61"/>
  <c r="J23" i="61" s="1"/>
  <c r="K24" i="61"/>
  <c r="CB198" i="120"/>
  <c r="CB212" i="120"/>
  <c r="CH212" i="120" s="1"/>
  <c r="CH146" i="120"/>
  <c r="R102" i="120"/>
  <c r="AG102" i="120" s="1"/>
  <c r="C198" i="120"/>
  <c r="C50" i="121" s="1"/>
  <c r="L50" i="121" s="1"/>
  <c r="B146" i="120"/>
  <c r="D212" i="120"/>
  <c r="D64" i="121" s="1"/>
  <c r="M64" i="121" s="1"/>
  <c r="S102" i="120"/>
  <c r="Q102" i="120" s="1"/>
  <c r="AK22" i="64"/>
  <c r="CN172" i="7"/>
  <c r="AJ16" i="64" s="1"/>
  <c r="AJ14" i="64" s="1"/>
  <c r="BA22" i="61"/>
  <c r="CM8" i="7"/>
  <c r="CQ8" i="7"/>
  <c r="CN8" i="7"/>
  <c r="CP8" i="7"/>
  <c r="AP102" i="120"/>
  <c r="BN102" i="120" s="1"/>
  <c r="R198" i="120"/>
  <c r="AP50" i="121" s="1"/>
  <c r="AY50" i="121" s="1"/>
  <c r="BH50" i="121" s="1"/>
  <c r="AH146" i="120"/>
  <c r="AN146" i="120" s="1"/>
  <c r="AQ64" i="121"/>
  <c r="AZ64" i="121" s="1"/>
  <c r="BI64" i="121" s="1"/>
  <c r="B212" i="120"/>
  <c r="AH212" i="120"/>
  <c r="AN212" i="120" s="1"/>
  <c r="BE102" i="120"/>
  <c r="BY63" i="72"/>
  <c r="BY62" i="72"/>
  <c r="BY59" i="72"/>
  <c r="BY57" i="72"/>
  <c r="BS63" i="72"/>
  <c r="BS62" i="72"/>
  <c r="BS59" i="72"/>
  <c r="BS57" i="72"/>
  <c r="M79" i="72"/>
  <c r="L79" i="72"/>
  <c r="O78" i="72"/>
  <c r="O79" i="72" s="1"/>
  <c r="P79" i="72" s="1"/>
  <c r="M78" i="72"/>
  <c r="L78" i="72"/>
  <c r="M76" i="72"/>
  <c r="L76" i="72"/>
  <c r="P76" i="72" s="1"/>
  <c r="O75" i="72"/>
  <c r="O74" i="72"/>
  <c r="M74" i="72"/>
  <c r="M77" i="72" s="1"/>
  <c r="L74" i="72"/>
  <c r="AW73" i="72"/>
  <c r="AV73" i="72"/>
  <c r="AU73" i="72" s="1"/>
  <c r="BB54" i="72" s="1"/>
  <c r="BN54" i="72" s="1"/>
  <c r="AW72" i="72"/>
  <c r="AV72" i="72"/>
  <c r="AW71" i="72"/>
  <c r="AV71" i="72"/>
  <c r="AW67" i="72"/>
  <c r="AV67" i="72"/>
  <c r="AU67" i="72" s="1"/>
  <c r="BB50" i="72" s="1"/>
  <c r="AW66" i="72"/>
  <c r="AV66" i="72"/>
  <c r="AW65" i="72"/>
  <c r="AV65" i="72"/>
  <c r="AD63" i="72"/>
  <c r="Z63" i="72"/>
  <c r="AD62" i="72"/>
  <c r="Z62" i="72"/>
  <c r="Q62" i="72"/>
  <c r="AN62" i="72" s="1"/>
  <c r="L69" i="72" s="1"/>
  <c r="AW60" i="72"/>
  <c r="AW63" i="72" s="1"/>
  <c r="AT60" i="72"/>
  <c r="AT62" i="72" s="1"/>
  <c r="AG60" i="72"/>
  <c r="AG62" i="72" s="1"/>
  <c r="Q60" i="72"/>
  <c r="P52" i="72" s="1"/>
  <c r="Q52" i="72" s="1"/>
  <c r="M60" i="72"/>
  <c r="M62" i="72" s="1"/>
  <c r="V62" i="72" s="1"/>
  <c r="AD59" i="72"/>
  <c r="Z59" i="72"/>
  <c r="AD57" i="72"/>
  <c r="Z57" i="72"/>
  <c r="AY55" i="72"/>
  <c r="AW55" i="72"/>
  <c r="AV55" i="72"/>
  <c r="AT55" i="72"/>
  <c r="AS55" i="72"/>
  <c r="AJ55" i="72"/>
  <c r="AI55" i="72"/>
  <c r="AG55" i="72"/>
  <c r="AF55" i="72"/>
  <c r="AD55" i="72"/>
  <c r="AC55" i="72"/>
  <c r="Z55" i="72"/>
  <c r="Y55" i="72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N52" i="72"/>
  <c r="AY51" i="72"/>
  <c r="AW51" i="72"/>
  <c r="AV51" i="72"/>
  <c r="AU51" i="72" s="1"/>
  <c r="AT51" i="72"/>
  <c r="AS51" i="72"/>
  <c r="AI51" i="72"/>
  <c r="AG51" i="72"/>
  <c r="AE51" i="72" s="1"/>
  <c r="AF51" i="72"/>
  <c r="AD51" i="72"/>
  <c r="AB51" i="72" s="1"/>
  <c r="AC51" i="72"/>
  <c r="Z51" i="72"/>
  <c r="Y51" i="72"/>
  <c r="L51" i="72"/>
  <c r="AU50" i="72"/>
  <c r="AR50" i="72"/>
  <c r="AE50" i="72"/>
  <c r="AB50" i="72"/>
  <c r="AA50" i="72"/>
  <c r="S50" i="72"/>
  <c r="M50" i="72"/>
  <c r="N50" i="72" s="1"/>
  <c r="AU48" i="72"/>
  <c r="AR48" i="72"/>
  <c r="AJ48" i="72"/>
  <c r="AJ51" i="72" s="1"/>
  <c r="AH51" i="72" s="1"/>
  <c r="AE48" i="72"/>
  <c r="AB48" i="72"/>
  <c r="AA48" i="72"/>
  <c r="S48" i="72"/>
  <c r="M48" i="72"/>
  <c r="T37" i="72"/>
  <c r="R37" i="72" s="1"/>
  <c r="S37" i="72"/>
  <c r="S38" i="72"/>
  <c r="T36" i="72"/>
  <c r="S36" i="72"/>
  <c r="T33" i="72"/>
  <c r="S33" i="72"/>
  <c r="R32" i="72"/>
  <c r="T31" i="72"/>
  <c r="R31" i="72" s="1"/>
  <c r="Z14" i="72" s="1"/>
  <c r="S31" i="72"/>
  <c r="AN26" i="72"/>
  <c r="X26" i="72"/>
  <c r="L26" i="72"/>
  <c r="AN25" i="72"/>
  <c r="X25" i="72"/>
  <c r="L25" i="72"/>
  <c r="AK24" i="72"/>
  <c r="AK25" i="72" s="1"/>
  <c r="AN22" i="72"/>
  <c r="AK21" i="72"/>
  <c r="AH21" i="72"/>
  <c r="S21" i="72"/>
  <c r="L21" i="72"/>
  <c r="L22" i="72" s="1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AL16" i="72"/>
  <c r="AL17" i="72" s="1"/>
  <c r="AK16" i="72"/>
  <c r="AI16" i="72"/>
  <c r="AI17" i="72" s="1"/>
  <c r="AH16" i="72"/>
  <c r="M16" i="72"/>
  <c r="AK15" i="72"/>
  <c r="AK26" i="72" s="1"/>
  <c r="AH15" i="72"/>
  <c r="AH26" i="72" s="1"/>
  <c r="Q63" i="72" s="1"/>
  <c r="Y15" i="72"/>
  <c r="R15" i="72"/>
  <c r="W15" i="72" s="1"/>
  <c r="M15" i="72"/>
  <c r="N15" i="72" s="1"/>
  <c r="I15" i="72"/>
  <c r="H15" i="72" s="1"/>
  <c r="B15" i="72"/>
  <c r="AK14" i="72"/>
  <c r="AH14" i="72"/>
  <c r="AH25" i="72" s="1"/>
  <c r="Y14" i="72"/>
  <c r="R14" i="72"/>
  <c r="W14" i="72" s="1"/>
  <c r="M14" i="72"/>
  <c r="I14" i="72"/>
  <c r="I25" i="72" s="1"/>
  <c r="B14" i="72"/>
  <c r="AO13" i="72"/>
  <c r="AN13" i="72"/>
  <c r="AL13" i="72"/>
  <c r="AI13" i="72"/>
  <c r="X13" i="72"/>
  <c r="P13" i="72"/>
  <c r="L13" i="72"/>
  <c r="J13" i="72"/>
  <c r="F13" i="72"/>
  <c r="D13" i="72"/>
  <c r="C13" i="72"/>
  <c r="AK12" i="72"/>
  <c r="AH12" i="72"/>
  <c r="Q12" i="72"/>
  <c r="M12" i="72"/>
  <c r="AK11" i="72"/>
  <c r="AK22" i="72" s="1"/>
  <c r="AH11" i="72"/>
  <c r="AH22" i="72" s="1"/>
  <c r="Y11" i="72"/>
  <c r="T11" i="72"/>
  <c r="S11" i="72"/>
  <c r="S22" i="72" s="1"/>
  <c r="Q11" i="72"/>
  <c r="M11" i="72"/>
  <c r="N11" i="72" s="1"/>
  <c r="I11" i="72"/>
  <c r="B11" i="72"/>
  <c r="AK10" i="72"/>
  <c r="AH10" i="72"/>
  <c r="Q10" i="72"/>
  <c r="AK9" i="72"/>
  <c r="AK20" i="72" s="1"/>
  <c r="AH9" i="72"/>
  <c r="Y9" i="72"/>
  <c r="R9" i="72"/>
  <c r="W9" i="72" s="1"/>
  <c r="Q9" i="72"/>
  <c r="Q13" i="72" s="1"/>
  <c r="O13" i="72" s="1"/>
  <c r="M9" i="72"/>
  <c r="I9" i="72"/>
  <c r="I13" i="72" s="1"/>
  <c r="B9" i="72"/>
  <c r="AG70" i="3"/>
  <c r="AE65" i="3"/>
  <c r="AG65" i="3" s="1"/>
  <c r="AE64" i="3"/>
  <c r="AD63" i="3"/>
  <c r="AG52" i="3"/>
  <c r="I37" i="61"/>
  <c r="AG59" i="3"/>
  <c r="AG58" i="3"/>
  <c r="AD57" i="3"/>
  <c r="AD49" i="3" s="1"/>
  <c r="AG51" i="3"/>
  <c r="AG50" i="3"/>
  <c r="AG47" i="3"/>
  <c r="AE46" i="3"/>
  <c r="AG46" i="3" s="1"/>
  <c r="AD46" i="3"/>
  <c r="AD45" i="3"/>
  <c r="AG42" i="3"/>
  <c r="AG41" i="3"/>
  <c r="AD39" i="3"/>
  <c r="AD43" i="3" s="1"/>
  <c r="CM102" i="120"/>
  <c r="N55" i="72"/>
  <c r="M80" i="72"/>
  <c r="X55" i="72"/>
  <c r="M13" i="72"/>
  <c r="K13" i="72" s="1"/>
  <c r="M17" i="72"/>
  <c r="AD44" i="3"/>
  <c r="AD48" i="3" s="1"/>
  <c r="H9" i="72"/>
  <c r="K55" i="72"/>
  <c r="X51" i="72"/>
  <c r="AR51" i="72"/>
  <c r="AB55" i="72"/>
  <c r="AH20" i="72"/>
  <c r="Q57" i="72" s="1"/>
  <c r="N9" i="72"/>
  <c r="I17" i="72"/>
  <c r="H17" i="72" s="1"/>
  <c r="I20" i="72"/>
  <c r="AE55" i="72"/>
  <c r="AU66" i="72"/>
  <c r="AU71" i="72"/>
  <c r="BB52" i="72" s="1"/>
  <c r="AW62" i="72"/>
  <c r="V60" i="72"/>
  <c r="M51" i="72"/>
  <c r="K51" i="72" s="1"/>
  <c r="N48" i="72"/>
  <c r="AG63" i="72"/>
  <c r="N14" i="72"/>
  <c r="Q59" i="72"/>
  <c r="AH17" i="72"/>
  <c r="T38" i="72"/>
  <c r="R38" i="72" s="1"/>
  <c r="AR55" i="72"/>
  <c r="AT63" i="72"/>
  <c r="K74" i="72"/>
  <c r="AL48" i="72" s="1"/>
  <c r="P78" i="72"/>
  <c r="AW68" i="72"/>
  <c r="H11" i="72"/>
  <c r="H14" i="72"/>
  <c r="V52" i="72"/>
  <c r="M63" i="72"/>
  <c r="AU65" i="72"/>
  <c r="BB48" i="72" s="1"/>
  <c r="K78" i="72"/>
  <c r="AL52" i="72" s="1"/>
  <c r="AO52" i="72" s="1"/>
  <c r="F47" i="61"/>
  <c r="F52" i="61" s="1"/>
  <c r="F46" i="65"/>
  <c r="AB90" i="3"/>
  <c r="AF70" i="3"/>
  <c r="AF51" i="3"/>
  <c r="AS51" i="3" s="1"/>
  <c r="AH40" i="6"/>
  <c r="AH15" i="6"/>
  <c r="AG15" i="5"/>
  <c r="AS15" i="5"/>
  <c r="AE10" i="5"/>
  <c r="AF10" i="6"/>
  <c r="AF11" i="6" s="1"/>
  <c r="BQ50" i="121"/>
  <c r="CD213" i="120"/>
  <c r="D147" i="120"/>
  <c r="D213" i="120" s="1"/>
  <c r="D65" i="121" s="1"/>
  <c r="AF63" i="3"/>
  <c r="AF62" i="3" s="1"/>
  <c r="AS70" i="3"/>
  <c r="AS63" i="3" s="1"/>
  <c r="AF49" i="3"/>
  <c r="AF41" i="3" s="1"/>
  <c r="AF39" i="3" s="1"/>
  <c r="AX52" i="72"/>
  <c r="P35" i="125"/>
  <c r="S147" i="120"/>
  <c r="S213" i="120" s="1"/>
  <c r="AQ65" i="121" s="1"/>
  <c r="AZ52" i="72"/>
  <c r="G19" i="77"/>
  <c r="K22" i="66" s="1"/>
  <c r="E3" i="85"/>
  <c r="E5" i="85" s="1"/>
  <c r="B21" i="87"/>
  <c r="CB24" i="8"/>
  <c r="G5" i="77"/>
  <c r="G4" i="77" s="1"/>
  <c r="K13" i="66" s="1"/>
  <c r="S18" i="10"/>
  <c r="I91" i="58"/>
  <c r="BT33" i="71"/>
  <c r="BO33" i="71"/>
  <c r="BM33" i="71"/>
  <c r="BJ33" i="71"/>
  <c r="BF33" i="71"/>
  <c r="BH33" i="71" s="1"/>
  <c r="AZ33" i="71"/>
  <c r="AV33" i="71"/>
  <c r="BA33" i="71" s="1"/>
  <c r="AR33" i="71"/>
  <c r="AM33" i="71"/>
  <c r="Y33" i="71"/>
  <c r="N33" i="71"/>
  <c r="BT32" i="71"/>
  <c r="BO32" i="71"/>
  <c r="BM32" i="71"/>
  <c r="BJ32" i="71"/>
  <c r="BF32" i="71"/>
  <c r="BH32" i="71" s="1"/>
  <c r="AZ32" i="71"/>
  <c r="AV32" i="71"/>
  <c r="BA32" i="71" s="1"/>
  <c r="AR32" i="71"/>
  <c r="AM32" i="71"/>
  <c r="Y32" i="71"/>
  <c r="N32" i="71"/>
  <c r="BT31" i="71"/>
  <c r="BO31" i="71"/>
  <c r="BN31" i="71" s="1"/>
  <c r="BU31" i="71" s="1"/>
  <c r="BM31" i="71"/>
  <c r="BJ31" i="71"/>
  <c r="BF31" i="71"/>
  <c r="AZ31" i="71"/>
  <c r="AV31" i="71"/>
  <c r="AR31" i="71"/>
  <c r="AM31" i="71"/>
  <c r="Y31" i="71"/>
  <c r="N31" i="71"/>
  <c r="P31" i="71" s="1"/>
  <c r="K31" i="71"/>
  <c r="H31" i="71"/>
  <c r="BT30" i="71"/>
  <c r="BT29" i="71" s="1"/>
  <c r="BO30" i="71"/>
  <c r="BM30" i="71"/>
  <c r="BJ30" i="71"/>
  <c r="BF30" i="71"/>
  <c r="BH30" i="71" s="1"/>
  <c r="AZ30" i="71"/>
  <c r="AV30" i="71"/>
  <c r="BA30" i="71" s="1"/>
  <c r="AR30" i="71"/>
  <c r="AM30" i="71"/>
  <c r="Y30" i="71"/>
  <c r="AA30" i="71" s="1"/>
  <c r="N30" i="71"/>
  <c r="K30" i="71"/>
  <c r="H30" i="71"/>
  <c r="H29" i="71" s="1"/>
  <c r="BP29" i="71"/>
  <c r="BK29" i="71"/>
  <c r="BI29" i="71"/>
  <c r="BG29" i="71"/>
  <c r="BF29" i="71" s="1"/>
  <c r="BH29" i="71" s="1"/>
  <c r="BE29" i="71"/>
  <c r="AW29" i="71"/>
  <c r="AU29" i="71"/>
  <c r="AS29" i="71"/>
  <c r="AR29" i="71" s="1"/>
  <c r="AR37" i="71" s="1"/>
  <c r="AQ29" i="71"/>
  <c r="AN29" i="71"/>
  <c r="AL29" i="71"/>
  <c r="Z29" i="71"/>
  <c r="X29" i="71"/>
  <c r="S29" i="71"/>
  <c r="O29" i="71"/>
  <c r="M29" i="71"/>
  <c r="N35" i="71" s="1"/>
  <c r="G29" i="71"/>
  <c r="K29" i="71" s="1"/>
  <c r="F29" i="71"/>
  <c r="BT28" i="71"/>
  <c r="BO28" i="71"/>
  <c r="BN28" i="71" s="1"/>
  <c r="BU28" i="71" s="1"/>
  <c r="BM28" i="71"/>
  <c r="BJ28" i="71"/>
  <c r="BF28" i="71"/>
  <c r="AZ28" i="71"/>
  <c r="AV28" i="71"/>
  <c r="AR28" i="71"/>
  <c r="AM28" i="71"/>
  <c r="Y28" i="71"/>
  <c r="S28" i="71"/>
  <c r="N28" i="71"/>
  <c r="BT27" i="71"/>
  <c r="BO27" i="71"/>
  <c r="BN27" i="71" s="1"/>
  <c r="BU27" i="71" s="1"/>
  <c r="BM27" i="71"/>
  <c r="BJ27" i="71"/>
  <c r="BF27" i="71"/>
  <c r="AZ27" i="71"/>
  <c r="AV27" i="71"/>
  <c r="BA27" i="71" s="1"/>
  <c r="AR27" i="71"/>
  <c r="AM27" i="71"/>
  <c r="Y27" i="71"/>
  <c r="AB27" i="71" s="1"/>
  <c r="S27" i="71"/>
  <c r="N27" i="71"/>
  <c r="BT26" i="71"/>
  <c r="BO26" i="71"/>
  <c r="BN26" i="71" s="1"/>
  <c r="BU26" i="71" s="1"/>
  <c r="BM26" i="71"/>
  <c r="BJ26" i="71"/>
  <c r="BF26" i="71"/>
  <c r="AZ26" i="71"/>
  <c r="AV26" i="71"/>
  <c r="AR26" i="71"/>
  <c r="AM26" i="71"/>
  <c r="Y26" i="71"/>
  <c r="AB26" i="71" s="1"/>
  <c r="S26" i="71"/>
  <c r="N26" i="71"/>
  <c r="K26" i="71"/>
  <c r="H26" i="71"/>
  <c r="BT25" i="71"/>
  <c r="BO25" i="71"/>
  <c r="BM25" i="71"/>
  <c r="BJ25" i="71"/>
  <c r="BL25" i="71" s="1"/>
  <c r="BF25" i="71"/>
  <c r="BH25" i="71" s="1"/>
  <c r="AZ25" i="71"/>
  <c r="AV25" i="71"/>
  <c r="BA25" i="71"/>
  <c r="BQ25" i="71" s="1"/>
  <c r="AR25" i="71"/>
  <c r="AM25" i="71"/>
  <c r="Y25" i="71"/>
  <c r="AB25" i="71"/>
  <c r="S25" i="71"/>
  <c r="N25" i="71"/>
  <c r="K25" i="71"/>
  <c r="H25" i="71"/>
  <c r="BP24" i="71"/>
  <c r="BK24" i="71"/>
  <c r="BJ35" i="71" s="1"/>
  <c r="BI24" i="71"/>
  <c r="BG24" i="71"/>
  <c r="BF35" i="71" s="1"/>
  <c r="BH35" i="71" s="1"/>
  <c r="BE24" i="71"/>
  <c r="BM24" i="71" s="1"/>
  <c r="AW24" i="71"/>
  <c r="AV24" i="71" s="1"/>
  <c r="AU24" i="71"/>
  <c r="AS24" i="71"/>
  <c r="AR24" i="71" s="1"/>
  <c r="AR36" i="71" s="1"/>
  <c r="AQ24" i="71"/>
  <c r="AN24" i="71"/>
  <c r="AM24" i="71" s="1"/>
  <c r="AM36" i="71" s="1"/>
  <c r="AL24" i="71"/>
  <c r="Z24" i="71"/>
  <c r="Y35" i="71" s="1"/>
  <c r="X24" i="71"/>
  <c r="O24" i="71"/>
  <c r="N24" i="71" s="1"/>
  <c r="N36" i="71" s="1"/>
  <c r="M24" i="71"/>
  <c r="G24" i="71"/>
  <c r="K24" i="71" s="1"/>
  <c r="F24" i="71"/>
  <c r="BD18" i="71"/>
  <c r="BB18" i="71"/>
  <c r="AY18" i="71"/>
  <c r="AV18" i="71"/>
  <c r="AM18" i="71"/>
  <c r="AN18" i="71" s="1"/>
  <c r="AF18" i="71"/>
  <c r="AE18" i="71"/>
  <c r="AD18" i="71"/>
  <c r="Z18" i="71"/>
  <c r="W18" i="71"/>
  <c r="U18" i="71"/>
  <c r="R18" i="71"/>
  <c r="O18" i="71"/>
  <c r="BD17" i="71"/>
  <c r="BB17" i="71"/>
  <c r="AO32" i="71" s="1"/>
  <c r="AY17" i="71"/>
  <c r="AV17" i="71"/>
  <c r="AM17" i="71"/>
  <c r="AF17" i="71"/>
  <c r="AD17" i="71"/>
  <c r="Z17" i="71"/>
  <c r="AE17" i="71" s="1"/>
  <c r="W17" i="71"/>
  <c r="U17" i="71"/>
  <c r="Q17" i="71"/>
  <c r="N17" i="71"/>
  <c r="BD16" i="71"/>
  <c r="BB16" i="71"/>
  <c r="AO31" i="71" s="1"/>
  <c r="AY16" i="71"/>
  <c r="AV16" i="71"/>
  <c r="AM16" i="71"/>
  <c r="AN16" i="71" s="1"/>
  <c r="AF16" i="71"/>
  <c r="AD16" i="71"/>
  <c r="Z16" i="71"/>
  <c r="AE16" i="71" s="1"/>
  <c r="W16" i="71"/>
  <c r="U16" i="71"/>
  <c r="R16" i="71"/>
  <c r="O16" i="71"/>
  <c r="O14" i="71" s="1"/>
  <c r="K16" i="71"/>
  <c r="H16" i="71"/>
  <c r="BD15" i="71"/>
  <c r="BB15" i="71"/>
  <c r="AY15" i="71"/>
  <c r="AV15" i="71"/>
  <c r="AF15" i="71"/>
  <c r="Z15" i="71"/>
  <c r="AE15" i="71" s="1"/>
  <c r="W15" i="71"/>
  <c r="T15" i="71"/>
  <c r="AM15" i="71" s="1"/>
  <c r="Q15" i="71"/>
  <c r="N15" i="71"/>
  <c r="K15" i="71"/>
  <c r="H15" i="71"/>
  <c r="BC14" i="71"/>
  <c r="BA14" i="71"/>
  <c r="AZ14" i="71"/>
  <c r="AX14" i="71"/>
  <c r="AW14" i="71"/>
  <c r="AU14" i="71"/>
  <c r="AL14" i="71"/>
  <c r="AB14" i="71"/>
  <c r="AA14" i="71"/>
  <c r="Y14" i="71"/>
  <c r="X14" i="71"/>
  <c r="V14" i="71"/>
  <c r="S14" i="71"/>
  <c r="P14" i="71"/>
  <c r="M14" i="71"/>
  <c r="G14" i="71"/>
  <c r="K14" i="71" s="1"/>
  <c r="F14" i="71"/>
  <c r="BD12" i="71"/>
  <c r="BB12" i="71"/>
  <c r="AY12" i="71"/>
  <c r="AV12" i="71"/>
  <c r="AM12" i="71"/>
  <c r="T28" i="71" s="1"/>
  <c r="AF12" i="71"/>
  <c r="AE12" i="71"/>
  <c r="AD12" i="71"/>
  <c r="X12" i="71"/>
  <c r="U12" i="71"/>
  <c r="R12" i="71"/>
  <c r="O12" i="71"/>
  <c r="BD11" i="71"/>
  <c r="BB11" i="71"/>
  <c r="AY11" i="71"/>
  <c r="AV11" i="71"/>
  <c r="AM11" i="71"/>
  <c r="AP11" i="71" s="1"/>
  <c r="AF11" i="71"/>
  <c r="AE11" i="71"/>
  <c r="AD11" i="71"/>
  <c r="X11" i="71"/>
  <c r="U11" i="71"/>
  <c r="R11" i="71"/>
  <c r="O11" i="71"/>
  <c r="BD10" i="71"/>
  <c r="BB10" i="71"/>
  <c r="AY10" i="71"/>
  <c r="AV10" i="71"/>
  <c r="AG10" i="71"/>
  <c r="AF10" i="71"/>
  <c r="Z10" i="71"/>
  <c r="AE10" i="71" s="1"/>
  <c r="W10" i="71"/>
  <c r="U10" i="71"/>
  <c r="T10" i="71" s="1"/>
  <c r="Q10" i="71"/>
  <c r="N10" i="71"/>
  <c r="K10" i="71"/>
  <c r="H10" i="71"/>
  <c r="BD9" i="71"/>
  <c r="BB9" i="71"/>
  <c r="AY25" i="71" s="1"/>
  <c r="AY9" i="71"/>
  <c r="AV9" i="71"/>
  <c r="AG9" i="71"/>
  <c r="AG8" i="71" s="1"/>
  <c r="AF9" i="71"/>
  <c r="AF8" i="71" s="1"/>
  <c r="AC8" i="71" s="1"/>
  <c r="Z9" i="71"/>
  <c r="AH9" i="71" s="1"/>
  <c r="W9" i="71"/>
  <c r="U9" i="71"/>
  <c r="R9" i="71"/>
  <c r="R8" i="71" s="1"/>
  <c r="Q8" i="71" s="1"/>
  <c r="N9" i="71"/>
  <c r="K9" i="71"/>
  <c r="H9" i="71"/>
  <c r="H8" i="71" s="1"/>
  <c r="BC8" i="71"/>
  <c r="BB8" i="71" s="1"/>
  <c r="BA8" i="71"/>
  <c r="AZ8" i="71"/>
  <c r="AX8" i="71"/>
  <c r="AY8" i="71" s="1"/>
  <c r="AW8" i="71"/>
  <c r="AV8" i="71" s="1"/>
  <c r="AU8" i="71"/>
  <c r="AL8" i="71"/>
  <c r="AB8" i="71"/>
  <c r="AA8" i="71"/>
  <c r="Y8" i="71"/>
  <c r="X8" i="71"/>
  <c r="V8" i="71"/>
  <c r="S8" i="71"/>
  <c r="P8" i="71"/>
  <c r="M8" i="71"/>
  <c r="G8" i="71"/>
  <c r="K8" i="71" s="1"/>
  <c r="F8" i="71"/>
  <c r="AV29" i="71"/>
  <c r="BF24" i="71"/>
  <c r="S24" i="71"/>
  <c r="AV35" i="71"/>
  <c r="AO11" i="71"/>
  <c r="BD14" i="71"/>
  <c r="BH26" i="71"/>
  <c r="S19" i="10"/>
  <c r="BB14" i="71"/>
  <c r="R14" i="71"/>
  <c r="Q14" i="71" s="1"/>
  <c r="AN17" i="71"/>
  <c r="BH28" i="71"/>
  <c r="O8" i="71"/>
  <c r="N8" i="71" s="1"/>
  <c r="AN11" i="71"/>
  <c r="AP12" i="71"/>
  <c r="AO26" i="71"/>
  <c r="AO27" i="71"/>
  <c r="BN30" i="71"/>
  <c r="BU30" i="71" s="1"/>
  <c r="BH31" i="71"/>
  <c r="BN33" i="71"/>
  <c r="BU33" i="71" s="1"/>
  <c r="BF36" i="71"/>
  <c r="T31" i="71"/>
  <c r="V31" i="71" s="1"/>
  <c r="AP16" i="71"/>
  <c r="AY29" i="71"/>
  <c r="P33" i="71"/>
  <c r="P28" i="71"/>
  <c r="AN12" i="71"/>
  <c r="T32" i="71"/>
  <c r="AX32" i="71" s="1"/>
  <c r="AP17" i="71"/>
  <c r="Y24" i="71"/>
  <c r="Y36" i="71" s="1"/>
  <c r="AM35" i="71"/>
  <c r="AY33" i="71"/>
  <c r="AV37" i="71"/>
  <c r="BT24" i="71"/>
  <c r="AY30" i="71"/>
  <c r="C40" i="121"/>
  <c r="C30" i="121" s="1"/>
  <c r="B30" i="121" s="1"/>
  <c r="U39" i="121"/>
  <c r="U40" i="121" s="1"/>
  <c r="L39" i="121"/>
  <c r="BH39" i="121"/>
  <c r="B39" i="121"/>
  <c r="AY39" i="121"/>
  <c r="AY40" i="121" s="1"/>
  <c r="AP39" i="121"/>
  <c r="AP29" i="121" s="1"/>
  <c r="C29" i="121"/>
  <c r="B29" i="121" s="1"/>
  <c r="AX31" i="71"/>
  <c r="B40" i="121"/>
  <c r="AO39" i="121"/>
  <c r="L29" i="121"/>
  <c r="K29" i="121" s="1"/>
  <c r="T39" i="121"/>
  <c r="CO40" i="121"/>
  <c r="CN40" i="121" s="1"/>
  <c r="FF39" i="121"/>
  <c r="FF29" i="121" s="1"/>
  <c r="FE29" i="121" s="1"/>
  <c r="EW39" i="121"/>
  <c r="CX39" i="121"/>
  <c r="CX40" i="121" s="1"/>
  <c r="CN39" i="121"/>
  <c r="DG39" i="121"/>
  <c r="DG29" i="121" s="1"/>
  <c r="EN39" i="121"/>
  <c r="CO29" i="121"/>
  <c r="CN29" i="121" s="1"/>
  <c r="CO30" i="121"/>
  <c r="EM39" i="121"/>
  <c r="DG40" i="121"/>
  <c r="DG30" i="121" s="1"/>
  <c r="DF30" i="121" s="1"/>
  <c r="FE39" i="121"/>
  <c r="FF40" i="121"/>
  <c r="FE40" i="121" s="1"/>
  <c r="CN30" i="121"/>
  <c r="CJ17" i="7"/>
  <c r="CI17" i="7"/>
  <c r="K64" i="11"/>
  <c r="K65" i="11"/>
  <c r="AB73" i="8"/>
  <c r="AC73" i="8" s="1"/>
  <c r="AC108" i="8" s="1"/>
  <c r="AF84" i="7"/>
  <c r="AE84" i="7" s="1"/>
  <c r="AE159" i="7" s="1"/>
  <c r="BB112" i="8"/>
  <c r="AX112" i="8" s="1"/>
  <c r="BB162" i="7"/>
  <c r="D44" i="63"/>
  <c r="D43" i="63"/>
  <c r="AO30" i="19"/>
  <c r="AO27" i="19"/>
  <c r="AO23" i="19"/>
  <c r="AO41" i="19"/>
  <c r="E28" i="67" s="1"/>
  <c r="E29" i="67" s="1"/>
  <c r="E30" i="67" s="1"/>
  <c r="E32" i="67" s="1"/>
  <c r="AV10" i="6"/>
  <c r="AV11" i="6"/>
  <c r="H14" i="70"/>
  <c r="W25" i="70"/>
  <c r="U24" i="70"/>
  <c r="T24" i="70"/>
  <c r="W16" i="70"/>
  <c r="J19" i="70"/>
  <c r="J20" i="70" s="1"/>
  <c r="L19" i="70"/>
  <c r="M19" i="70"/>
  <c r="N19" i="70"/>
  <c r="P19" i="70"/>
  <c r="Q19" i="70"/>
  <c r="S19" i="70"/>
  <c r="T19" i="70"/>
  <c r="U19" i="70"/>
  <c r="V19" i="70"/>
  <c r="I15" i="70"/>
  <c r="I19" i="70" s="1"/>
  <c r="L10" i="70"/>
  <c r="L12" i="70" s="1"/>
  <c r="I10" i="70"/>
  <c r="I12" i="70" s="1"/>
  <c r="P9" i="70"/>
  <c r="J12" i="70"/>
  <c r="M12" i="70"/>
  <c r="S12" i="70"/>
  <c r="S20" i="70" s="1"/>
  <c r="V12" i="70"/>
  <c r="Q11" i="70"/>
  <c r="K15" i="70"/>
  <c r="K19" i="70" s="1"/>
  <c r="K10" i="70"/>
  <c r="K12" i="70" s="1"/>
  <c r="N10" i="70"/>
  <c r="H15" i="70"/>
  <c r="H10" i="70"/>
  <c r="H12" i="70" s="1"/>
  <c r="E15" i="70"/>
  <c r="E19" i="70" s="1"/>
  <c r="B15" i="70"/>
  <c r="B19" i="70" s="1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W14" i="70"/>
  <c r="V20" i="70"/>
  <c r="M20" i="70"/>
  <c r="E7" i="67"/>
  <c r="D7" i="67"/>
  <c r="D8" i="67" s="1"/>
  <c r="C15" i="77"/>
  <c r="B15" i="77" s="1"/>
  <c r="E8" i="67"/>
  <c r="E9" i="67" s="1"/>
  <c r="D9" i="67"/>
  <c r="C8" i="67"/>
  <c r="AG9" i="5"/>
  <c r="AD10" i="5"/>
  <c r="AH10" i="6"/>
  <c r="AE11" i="6"/>
  <c r="AK59" i="19"/>
  <c r="E331" i="69"/>
  <c r="E330" i="69"/>
  <c r="E328" i="69"/>
  <c r="D328" i="69"/>
  <c r="E318" i="69"/>
  <c r="E311" i="69"/>
  <c r="E329" i="69" s="1"/>
  <c r="D311" i="69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D248" i="69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D209" i="69" s="1"/>
  <c r="D224" i="69" s="1"/>
  <c r="D236" i="69" s="1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D130" i="69"/>
  <c r="E111" i="69"/>
  <c r="D111" i="69"/>
  <c r="E89" i="69"/>
  <c r="D89" i="69"/>
  <c r="E64" i="69"/>
  <c r="D64" i="69"/>
  <c r="D65" i="69" s="1"/>
  <c r="D90" i="69" s="1"/>
  <c r="D112" i="69" s="1"/>
  <c r="E35" i="69"/>
  <c r="E65" i="69" s="1"/>
  <c r="E90" i="69" s="1"/>
  <c r="E112" i="69" s="1"/>
  <c r="D35" i="69"/>
  <c r="E148" i="69"/>
  <c r="E164" i="69" s="1"/>
  <c r="E173" i="69" s="1"/>
  <c r="D289" i="69"/>
  <c r="N7" i="68"/>
  <c r="H7" i="68"/>
  <c r="F7" i="68"/>
  <c r="F5" i="68"/>
  <c r="H5" i="68" s="1"/>
  <c r="D12" i="68"/>
  <c r="D9" i="68"/>
  <c r="D10" i="68"/>
  <c r="D11" i="68"/>
  <c r="AV71" i="9"/>
  <c r="AV72" i="9"/>
  <c r="AV70" i="9"/>
  <c r="AW71" i="9"/>
  <c r="AU71" i="9" s="1"/>
  <c r="AW72" i="9"/>
  <c r="AW70" i="9"/>
  <c r="AU70" i="9" s="1"/>
  <c r="BB52" i="9" s="1"/>
  <c r="AV65" i="9"/>
  <c r="AV66" i="9"/>
  <c r="AW66" i="9"/>
  <c r="AW65" i="9"/>
  <c r="AW67" i="9" s="1"/>
  <c r="AW64" i="9"/>
  <c r="AV64" i="9"/>
  <c r="AZ44" i="8"/>
  <c r="C9" i="67"/>
  <c r="AV14" i="7"/>
  <c r="AX79" i="7"/>
  <c r="P49" i="3"/>
  <c r="AU64" i="9"/>
  <c r="BB48" i="9" s="1"/>
  <c r="AW60" i="9"/>
  <c r="AO28" i="19"/>
  <c r="AO19" i="19"/>
  <c r="EB18" i="19"/>
  <c r="EB16" i="19"/>
  <c r="AO8" i="19"/>
  <c r="AH43" i="6"/>
  <c r="AH37" i="6"/>
  <c r="AH9" i="6"/>
  <c r="AR23" i="5"/>
  <c r="AG42" i="5"/>
  <c r="AG39" i="5"/>
  <c r="AG30" i="5"/>
  <c r="AR15" i="5"/>
  <c r="AG8" i="5"/>
  <c r="AG10" i="5" s="1"/>
  <c r="AM10" i="5" s="1"/>
  <c r="R63" i="3"/>
  <c r="D13" i="88" s="1"/>
  <c r="AD46" i="11"/>
  <c r="BH44" i="11"/>
  <c r="AO29" i="19"/>
  <c r="AO18" i="19"/>
  <c r="AO16" i="19"/>
  <c r="AH16" i="6"/>
  <c r="N24" i="66"/>
  <c r="I24" i="66"/>
  <c r="F24" i="66"/>
  <c r="I15" i="66"/>
  <c r="N15" i="66" s="1"/>
  <c r="BC95" i="8"/>
  <c r="F14" i="65"/>
  <c r="F47" i="65"/>
  <c r="I45" i="65"/>
  <c r="I46" i="65" s="1"/>
  <c r="N23" i="65"/>
  <c r="I23" i="65"/>
  <c r="F47" i="64"/>
  <c r="N45" i="64"/>
  <c r="N47" i="64" s="1"/>
  <c r="I45" i="64"/>
  <c r="I47" i="64" s="1"/>
  <c r="F24" i="64"/>
  <c r="N24" i="64"/>
  <c r="I24" i="64"/>
  <c r="I17" i="64"/>
  <c r="N15" i="64"/>
  <c r="N17" i="64"/>
  <c r="B32" i="63"/>
  <c r="B27" i="63"/>
  <c r="B18" i="63"/>
  <c r="I24" i="61"/>
  <c r="N24" i="61"/>
  <c r="BF146" i="7"/>
  <c r="E20" i="87"/>
  <c r="B13" i="63"/>
  <c r="C13" i="63" s="1"/>
  <c r="B8" i="63"/>
  <c r="B9" i="63" s="1"/>
  <c r="B10" i="63" s="1"/>
  <c r="C24" i="36"/>
  <c r="G24" i="36" s="1"/>
  <c r="G7" i="36"/>
  <c r="AO20" i="19"/>
  <c r="AG21" i="5"/>
  <c r="AA52" i="3"/>
  <c r="B14" i="63"/>
  <c r="B15" i="63"/>
  <c r="CB19" i="7"/>
  <c r="F39" i="61"/>
  <c r="H39" i="61" s="1"/>
  <c r="D15" i="62"/>
  <c r="E15" i="62"/>
  <c r="E16" i="62" s="1"/>
  <c r="C15" i="62"/>
  <c r="E14" i="62"/>
  <c r="D14" i="62"/>
  <c r="C14" i="62"/>
  <c r="E13" i="62"/>
  <c r="I13" i="62" s="1"/>
  <c r="I16" i="62" s="1"/>
  <c r="F15" i="62"/>
  <c r="F14" i="62"/>
  <c r="D13" i="62"/>
  <c r="H13" i="62" s="1"/>
  <c r="C13" i="62"/>
  <c r="B15" i="62"/>
  <c r="B14" i="62"/>
  <c r="B13" i="62"/>
  <c r="F12" i="62"/>
  <c r="E12" i="62"/>
  <c r="D12" i="62"/>
  <c r="C12" i="62"/>
  <c r="C16" i="62" s="1"/>
  <c r="B12" i="62"/>
  <c r="E9" i="62"/>
  <c r="I9" i="62"/>
  <c r="I10" i="62" s="1"/>
  <c r="D9" i="62"/>
  <c r="E8" i="62"/>
  <c r="D8" i="62"/>
  <c r="C9" i="62"/>
  <c r="G9" i="62" s="1"/>
  <c r="C8" i="62"/>
  <c r="E7" i="62"/>
  <c r="E10" i="62" s="1"/>
  <c r="D7" i="62"/>
  <c r="C7" i="62"/>
  <c r="H9" i="62"/>
  <c r="H10" i="62" s="1"/>
  <c r="F8" i="62"/>
  <c r="F7" i="62"/>
  <c r="B9" i="62"/>
  <c r="B8" i="62"/>
  <c r="B10" i="62" s="1"/>
  <c r="B7" i="62"/>
  <c r="I46" i="61"/>
  <c r="I47" i="61" s="1"/>
  <c r="AO24" i="19"/>
  <c r="E11" i="67" s="1"/>
  <c r="BF35" i="11"/>
  <c r="BF34" i="11"/>
  <c r="BE35" i="11"/>
  <c r="BE34" i="11"/>
  <c r="AT35" i="11"/>
  <c r="AT34" i="11"/>
  <c r="AT60" i="9"/>
  <c r="AG60" i="9"/>
  <c r="Q60" i="9"/>
  <c r="AF18" i="5"/>
  <c r="AG18" i="5" s="1"/>
  <c r="B9" i="77" s="1"/>
  <c r="C9" i="77" s="1"/>
  <c r="G13" i="62"/>
  <c r="BB37" i="8" s="1"/>
  <c r="AZ37" i="8" s="1"/>
  <c r="E12" i="75"/>
  <c r="E13" i="75" s="1"/>
  <c r="E14" i="75" s="1"/>
  <c r="E16" i="75" s="1"/>
  <c r="E17" i="75" s="1"/>
  <c r="G39" i="61"/>
  <c r="B20" i="87"/>
  <c r="Q63" i="3"/>
  <c r="Q49" i="3"/>
  <c r="AV79" i="7" s="1"/>
  <c r="Q39" i="3"/>
  <c r="E25" i="60"/>
  <c r="E26" i="60" s="1"/>
  <c r="E6" i="60"/>
  <c r="E14" i="60" s="1"/>
  <c r="C18" i="36"/>
  <c r="Q58" i="59"/>
  <c r="F58" i="59"/>
  <c r="AC54" i="59"/>
  <c r="AC55" i="59" s="1"/>
  <c r="AC56" i="59" s="1"/>
  <c r="T42" i="59"/>
  <c r="D43" i="59"/>
  <c r="D47" i="59" s="1"/>
  <c r="D38" i="59"/>
  <c r="D42" i="59" s="1"/>
  <c r="F48" i="59"/>
  <c r="H47" i="59"/>
  <c r="J47" i="59"/>
  <c r="L47" i="59"/>
  <c r="F43" i="59"/>
  <c r="F47" i="59" s="1"/>
  <c r="F41" i="59"/>
  <c r="F38" i="59"/>
  <c r="F42" i="59" s="1"/>
  <c r="H42" i="59"/>
  <c r="L42" i="59"/>
  <c r="M59" i="59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AC59" i="59" s="1"/>
  <c r="AC58" i="59" s="1"/>
  <c r="W60" i="59"/>
  <c r="O60" i="59"/>
  <c r="AD59" i="59"/>
  <c r="AD58" i="59" s="1"/>
  <c r="AA59" i="59"/>
  <c r="Z59" i="59"/>
  <c r="Z58" i="59" s="1"/>
  <c r="Y59" i="59"/>
  <c r="Y58" i="59" s="1"/>
  <c r="X59" i="59"/>
  <c r="X58" i="59" s="1"/>
  <c r="V59" i="59"/>
  <c r="V58" i="59" s="1"/>
  <c r="U59" i="59"/>
  <c r="S59" i="59"/>
  <c r="S58" i="59" s="1"/>
  <c r="R59" i="59"/>
  <c r="R58" i="59" s="1"/>
  <c r="O59" i="59"/>
  <c r="AE53" i="59"/>
  <c r="AE52" i="59"/>
  <c r="AC51" i="59"/>
  <c r="AE51" i="59" s="1"/>
  <c r="AA51" i="59"/>
  <c r="AA48" i="59" s="1"/>
  <c r="W51" i="59"/>
  <c r="W48" i="59" s="1"/>
  <c r="W43" i="59" s="1"/>
  <c r="AE50" i="59"/>
  <c r="O50" i="59"/>
  <c r="AC49" i="59"/>
  <c r="AE49" i="59" s="1"/>
  <c r="R49" i="59"/>
  <c r="R48" i="59" s="1"/>
  <c r="R43" i="59" s="1"/>
  <c r="O49" i="59"/>
  <c r="AD48" i="59"/>
  <c r="Z48" i="59"/>
  <c r="Y48" i="59"/>
  <c r="V48" i="59"/>
  <c r="V43" i="59" s="1"/>
  <c r="S48" i="59"/>
  <c r="S43" i="59" s="1"/>
  <c r="N48" i="59"/>
  <c r="O48" i="59" s="1"/>
  <c r="AE46" i="59"/>
  <c r="P46" i="59"/>
  <c r="O46" i="59"/>
  <c r="AC45" i="59"/>
  <c r="AE45" i="59" s="1"/>
  <c r="AA45" i="59"/>
  <c r="Z45" i="59"/>
  <c r="Y45" i="59"/>
  <c r="U45" i="59"/>
  <c r="AA44" i="59"/>
  <c r="Z44" i="59"/>
  <c r="Z43" i="59" s="1"/>
  <c r="Z47" i="59" s="1"/>
  <c r="Y44" i="59"/>
  <c r="Y43" i="59" s="1"/>
  <c r="Y47" i="59" s="1"/>
  <c r="U44" i="59"/>
  <c r="AD43" i="59"/>
  <c r="S42" i="59"/>
  <c r="R42" i="59"/>
  <c r="P42" i="59"/>
  <c r="AE41" i="59"/>
  <c r="R41" i="59"/>
  <c r="O41" i="59"/>
  <c r="AE40" i="59"/>
  <c r="AD38" i="59"/>
  <c r="AA38" i="59"/>
  <c r="AA42" i="59" s="1"/>
  <c r="Z38" i="59"/>
  <c r="Z42" i="59" s="1"/>
  <c r="Y38" i="59"/>
  <c r="Y42" i="59" s="1"/>
  <c r="W38" i="59"/>
  <c r="W42" i="59" s="1"/>
  <c r="V38" i="59"/>
  <c r="V42" i="59" s="1"/>
  <c r="AG26" i="59"/>
  <c r="R26" i="59"/>
  <c r="O26" i="59"/>
  <c r="M26" i="59"/>
  <c r="AH25" i="59"/>
  <c r="AG25" i="59"/>
  <c r="R25" i="59"/>
  <c r="O25" i="59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AG21" i="59" s="1"/>
  <c r="P21" i="59"/>
  <c r="R21" i="59" s="1"/>
  <c r="N21" i="59"/>
  <c r="J21" i="59"/>
  <c r="B21" i="59"/>
  <c r="M21" i="59" s="1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 s="1"/>
  <c r="AF15" i="59"/>
  <c r="W15" i="59"/>
  <c r="W12" i="59" s="1"/>
  <c r="V15" i="59"/>
  <c r="V12" i="59" s="1"/>
  <c r="S15" i="59"/>
  <c r="S12" i="59" s="1"/>
  <c r="P15" i="59"/>
  <c r="P12" i="59" s="1"/>
  <c r="N15" i="59"/>
  <c r="N12" i="59" s="1"/>
  <c r="J15" i="59"/>
  <c r="B15" i="59"/>
  <c r="B12" i="59" s="1"/>
  <c r="AG13" i="59"/>
  <c r="R13" i="59"/>
  <c r="O13" i="59"/>
  <c r="M13" i="59"/>
  <c r="AF12" i="59"/>
  <c r="AF14" i="59" s="1"/>
  <c r="AG11" i="59"/>
  <c r="R11" i="59"/>
  <c r="AH10" i="59"/>
  <c r="AG10" i="59"/>
  <c r="R10" i="59"/>
  <c r="O10" i="59"/>
  <c r="M10" i="59"/>
  <c r="AZ28" i="8"/>
  <c r="I158" i="57"/>
  <c r="I55" i="57"/>
  <c r="I194" i="57"/>
  <c r="BE84" i="7"/>
  <c r="F25" i="61" s="1"/>
  <c r="F24" i="61" s="1"/>
  <c r="AO43" i="19"/>
  <c r="AO44" i="19"/>
  <c r="AO45" i="19"/>
  <c r="AO46" i="19"/>
  <c r="BQ33" i="17"/>
  <c r="CA33" i="17" s="1"/>
  <c r="CD33" i="17" s="1"/>
  <c r="CG33" i="17" s="1"/>
  <c r="BQ34" i="17"/>
  <c r="CA34" i="17" s="1"/>
  <c r="CD34" i="17" s="1"/>
  <c r="CG34" i="17" s="1"/>
  <c r="BQ35" i="17"/>
  <c r="CA35" i="17" s="1"/>
  <c r="CD35" i="17" s="1"/>
  <c r="CG35" i="17" s="1"/>
  <c r="BQ32" i="17"/>
  <c r="CA32" i="17" s="1"/>
  <c r="BQ26" i="17"/>
  <c r="CA26" i="17" s="1"/>
  <c r="CD26" i="17" s="1"/>
  <c r="CG26" i="17" s="1"/>
  <c r="BQ27" i="17"/>
  <c r="CA27" i="17" s="1"/>
  <c r="BQ28" i="17"/>
  <c r="CA28" i="17" s="1"/>
  <c r="CD28" i="17" s="1"/>
  <c r="CG28" i="17" s="1"/>
  <c r="BQ25" i="17"/>
  <c r="CA25" i="17" s="1"/>
  <c r="CD25" i="17" s="1"/>
  <c r="O34" i="32"/>
  <c r="O32" i="32"/>
  <c r="O35" i="32" s="1"/>
  <c r="L32" i="32"/>
  <c r="L35" i="32" s="1"/>
  <c r="L30" i="32"/>
  <c r="L34" i="32" s="1"/>
  <c r="B33" i="32"/>
  <c r="B32" i="32"/>
  <c r="N29" i="32"/>
  <c r="C34" i="32"/>
  <c r="B29" i="32"/>
  <c r="BH38" i="11"/>
  <c r="H63" i="11"/>
  <c r="K63" i="11" s="1"/>
  <c r="H62" i="11"/>
  <c r="K62" i="11" s="1"/>
  <c r="M62" i="11" s="1"/>
  <c r="BF29" i="11" s="1"/>
  <c r="BF41" i="11" s="1"/>
  <c r="BG41" i="11" s="1"/>
  <c r="F65" i="11"/>
  <c r="F64" i="11"/>
  <c r="L65" i="11"/>
  <c r="L64" i="11"/>
  <c r="L63" i="11"/>
  <c r="L62" i="11"/>
  <c r="K61" i="11"/>
  <c r="G61" i="11"/>
  <c r="L61" i="11" s="1"/>
  <c r="U15" i="10"/>
  <c r="AF15" i="10" s="1"/>
  <c r="U16" i="10"/>
  <c r="AF16" i="10" s="1"/>
  <c r="U17" i="10"/>
  <c r="AF17" i="10" s="1"/>
  <c r="U14" i="10"/>
  <c r="AF14" i="10" s="1"/>
  <c r="AA65" i="3"/>
  <c r="AA64" i="3"/>
  <c r="AB63" i="3"/>
  <c r="AA50" i="3"/>
  <c r="B28" i="73" s="1"/>
  <c r="AB49" i="3"/>
  <c r="AB41" i="3" s="1"/>
  <c r="AB39" i="3" s="1"/>
  <c r="N63" i="3"/>
  <c r="N62" i="3" s="1"/>
  <c r="X82" i="6"/>
  <c r="Y82" i="6" s="1"/>
  <c r="V82" i="6" s="1"/>
  <c r="Z82" i="6" s="1"/>
  <c r="Z87" i="6"/>
  <c r="Z88" i="6"/>
  <c r="BH88" i="6" s="1"/>
  <c r="AB102" i="6"/>
  <c r="AC102" i="6"/>
  <c r="AV102" i="6"/>
  <c r="AW102" i="6"/>
  <c r="AX102" i="6"/>
  <c r="AB103" i="6"/>
  <c r="AC103" i="6"/>
  <c r="AV103" i="6"/>
  <c r="AY103" i="6" s="1"/>
  <c r="AW103" i="6"/>
  <c r="AX103" i="6"/>
  <c r="Y133" i="6"/>
  <c r="Y134" i="6"/>
  <c r="Z134" i="6" s="1"/>
  <c r="Y135" i="6"/>
  <c r="Y136" i="6"/>
  <c r="Y137" i="6"/>
  <c r="Y138" i="6"/>
  <c r="Z138" i="6" s="1"/>
  <c r="Y139" i="6"/>
  <c r="V140" i="6"/>
  <c r="X140" i="6"/>
  <c r="Y142" i="6"/>
  <c r="Y164" i="6" s="1"/>
  <c r="Y143" i="6"/>
  <c r="Y144" i="6"/>
  <c r="Y145" i="6"/>
  <c r="Y146" i="6"/>
  <c r="Z146" i="6" s="1"/>
  <c r="Y147" i="6"/>
  <c r="Y148" i="6"/>
  <c r="Y150" i="6"/>
  <c r="Y151" i="6"/>
  <c r="Z151" i="6" s="1"/>
  <c r="Y152" i="6"/>
  <c r="Y153" i="6"/>
  <c r="Y154" i="6"/>
  <c r="Y155" i="6"/>
  <c r="Z155" i="6" s="1"/>
  <c r="Y157" i="6"/>
  <c r="Y158" i="6"/>
  <c r="Y159" i="6"/>
  <c r="Y160" i="6"/>
  <c r="Z160" i="6" s="1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93" i="56" s="1"/>
  <c r="F111" i="56"/>
  <c r="K111" i="56" s="1"/>
  <c r="E111" i="56"/>
  <c r="J111" i="56" s="1"/>
  <c r="F91" i="56"/>
  <c r="E91" i="56"/>
  <c r="E101" i="56"/>
  <c r="D91" i="56"/>
  <c r="F122" i="56"/>
  <c r="F112" i="56"/>
  <c r="F102" i="56"/>
  <c r="T82" i="56"/>
  <c r="D102" i="56"/>
  <c r="I102" i="56" s="1"/>
  <c r="T72" i="56"/>
  <c r="D112" i="56"/>
  <c r="I112" i="56" s="1"/>
  <c r="AW88" i="6"/>
  <c r="BG87" i="6"/>
  <c r="BA87" i="6"/>
  <c r="BB88" i="6"/>
  <c r="BC87" i="6"/>
  <c r="O21" i="59"/>
  <c r="E19" i="84"/>
  <c r="B29" i="84"/>
  <c r="AX87" i="6"/>
  <c r="AY102" i="6"/>
  <c r="BF79" i="7"/>
  <c r="BF53" i="7" s="1"/>
  <c r="AB46" i="3"/>
  <c r="AB44" i="3" s="1"/>
  <c r="BB28" i="8"/>
  <c r="BB88" i="8" s="1"/>
  <c r="B33" i="63"/>
  <c r="B28" i="63"/>
  <c r="B29" i="63" s="1"/>
  <c r="B30" i="63" s="1"/>
  <c r="F37" i="61"/>
  <c r="B30" i="32"/>
  <c r="D30" i="32" s="1"/>
  <c r="D32" i="32"/>
  <c r="M64" i="11"/>
  <c r="BF32" i="11" s="1"/>
  <c r="AA43" i="59"/>
  <c r="AA47" i="59" s="1"/>
  <c r="N43" i="59"/>
  <c r="N44" i="59" s="1"/>
  <c r="R15" i="59"/>
  <c r="P59" i="59"/>
  <c r="AE61" i="59"/>
  <c r="AE60" i="59"/>
  <c r="AF9" i="59"/>
  <c r="P48" i="59"/>
  <c r="W59" i="59"/>
  <c r="W58" i="59" s="1"/>
  <c r="F113" i="56"/>
  <c r="BF88" i="6"/>
  <c r="BH87" i="6"/>
  <c r="BB87" i="6"/>
  <c r="AW87" i="6"/>
  <c r="Y140" i="6"/>
  <c r="Z137" i="6" s="1"/>
  <c r="S72" i="56"/>
  <c r="S82" i="56"/>
  <c r="I91" i="56"/>
  <c r="I101" i="56" s="1"/>
  <c r="D92" i="56"/>
  <c r="I92" i="56" s="1"/>
  <c r="D101" i="56"/>
  <c r="F101" i="56"/>
  <c r="F103" i="56" s="1"/>
  <c r="D122" i="56"/>
  <c r="I122" i="56" s="1"/>
  <c r="F59" i="56"/>
  <c r="F39" i="56"/>
  <c r="F49" i="56"/>
  <c r="F50" i="56" s="1"/>
  <c r="F29" i="56"/>
  <c r="F48" i="56"/>
  <c r="F28" i="56"/>
  <c r="D48" i="56"/>
  <c r="D58" i="56" s="1"/>
  <c r="D28" i="56"/>
  <c r="T19" i="56"/>
  <c r="T9" i="56"/>
  <c r="D8" i="56"/>
  <c r="D18" i="56" s="1"/>
  <c r="F8" i="56"/>
  <c r="K8" i="56" s="1"/>
  <c r="BC108" i="8"/>
  <c r="BB108" i="8"/>
  <c r="F24" i="65"/>
  <c r="F23" i="65" s="1"/>
  <c r="BC98" i="8"/>
  <c r="BC88" i="8"/>
  <c r="AY108" i="8"/>
  <c r="AX108" i="8"/>
  <c r="AY98" i="8"/>
  <c r="AX98" i="8"/>
  <c r="AY88" i="8"/>
  <c r="AU108" i="8"/>
  <c r="AT108" i="8"/>
  <c r="AS108" i="8"/>
  <c r="AR108" i="8"/>
  <c r="AQ108" i="8"/>
  <c r="AP108" i="8"/>
  <c r="AL108" i="8"/>
  <c r="AU105" i="8"/>
  <c r="AR105" i="8"/>
  <c r="AN105" i="8"/>
  <c r="AM105" i="8"/>
  <c r="AL105" i="8"/>
  <c r="AU98" i="8"/>
  <c r="AT98" i="8"/>
  <c r="AR98" i="8"/>
  <c r="AQ98" i="8"/>
  <c r="AO98" i="8"/>
  <c r="AN98" i="8"/>
  <c r="AM98" i="8"/>
  <c r="AL98" i="8"/>
  <c r="AP94" i="8"/>
  <c r="AS90" i="8"/>
  <c r="AP90" i="8"/>
  <c r="AU88" i="8"/>
  <c r="AT88" i="8"/>
  <c r="AR88" i="8"/>
  <c r="AQ88" i="8"/>
  <c r="AK108" i="8"/>
  <c r="AK98" i="8"/>
  <c r="AH108" i="8"/>
  <c r="AH105" i="8"/>
  <c r="AG105" i="8"/>
  <c r="AH100" i="8"/>
  <c r="AG100" i="8"/>
  <c r="AH98" i="8"/>
  <c r="AG98" i="8"/>
  <c r="AH94" i="8"/>
  <c r="AG94" i="8"/>
  <c r="AH93" i="8"/>
  <c r="AG93" i="8"/>
  <c r="AH92" i="8"/>
  <c r="AG92" i="8"/>
  <c r="AH91" i="8"/>
  <c r="AG91" i="8"/>
  <c r="AH90" i="8"/>
  <c r="AG90" i="8"/>
  <c r="AH89" i="8"/>
  <c r="AG89" i="8"/>
  <c r="AH88" i="8"/>
  <c r="AG88" i="8"/>
  <c r="AH87" i="8"/>
  <c r="AG87" i="8"/>
  <c r="AH86" i="8"/>
  <c r="AG86" i="8"/>
  <c r="AG99" i="8" s="1"/>
  <c r="AG106" i="8" s="1"/>
  <c r="AE108" i="8"/>
  <c r="AD108" i="8"/>
  <c r="AB108" i="8"/>
  <c r="AA108" i="8"/>
  <c r="AE105" i="8"/>
  <c r="AD105" i="8"/>
  <c r="AA105" i="8"/>
  <c r="AE100" i="8"/>
  <c r="AE98" i="8"/>
  <c r="AD98" i="8"/>
  <c r="AC98" i="8"/>
  <c r="AB98" i="8"/>
  <c r="AA98" i="8"/>
  <c r="Z98" i="8"/>
  <c r="Y98" i="8"/>
  <c r="AF98" i="8" s="1"/>
  <c r="AE94" i="8"/>
  <c r="AA94" i="8"/>
  <c r="Y94" i="8"/>
  <c r="AE93" i="8"/>
  <c r="AE92" i="8"/>
  <c r="AE91" i="8"/>
  <c r="AE90" i="8"/>
  <c r="AB90" i="8"/>
  <c r="AE89" i="8"/>
  <c r="AB89" i="8"/>
  <c r="AE88" i="8"/>
  <c r="AD88" i="8"/>
  <c r="AC88" i="8"/>
  <c r="AA88" i="8"/>
  <c r="AE87" i="8"/>
  <c r="AE86" i="8"/>
  <c r="AE99" i="8" s="1"/>
  <c r="W108" i="8"/>
  <c r="W105" i="8"/>
  <c r="W87" i="8"/>
  <c r="W98" i="8"/>
  <c r="W94" i="8"/>
  <c r="W92" i="8"/>
  <c r="W91" i="8"/>
  <c r="W90" i="8"/>
  <c r="W89" i="8"/>
  <c r="W88" i="8"/>
  <c r="W86" i="8"/>
  <c r="BF159" i="7"/>
  <c r="BE159" i="7"/>
  <c r="BF156" i="7"/>
  <c r="BF149" i="7"/>
  <c r="BF142" i="7"/>
  <c r="BF139" i="7"/>
  <c r="BC159" i="7"/>
  <c r="BB159" i="7"/>
  <c r="BC149" i="7"/>
  <c r="BC142" i="7"/>
  <c r="BC139" i="7"/>
  <c r="AY159" i="7"/>
  <c r="AY156" i="7"/>
  <c r="AY149" i="7"/>
  <c r="AX149" i="7"/>
  <c r="AW149" i="7"/>
  <c r="AY142" i="7"/>
  <c r="AW141" i="7"/>
  <c r="AY139" i="7"/>
  <c r="AX139" i="7"/>
  <c r="AV159" i="7"/>
  <c r="AV156" i="7"/>
  <c r="AV149" i="7"/>
  <c r="AU149" i="7"/>
  <c r="AT149" i="7"/>
  <c r="AT145" i="7"/>
  <c r="AV142" i="7"/>
  <c r="AT141" i="7"/>
  <c r="AV139" i="7"/>
  <c r="AU139" i="7"/>
  <c r="AO159" i="7"/>
  <c r="AN159" i="7"/>
  <c r="AO149" i="7"/>
  <c r="AN149" i="7"/>
  <c r="AO142" i="7"/>
  <c r="AO139" i="7"/>
  <c r="AK159" i="7"/>
  <c r="AJ159" i="7"/>
  <c r="AK156" i="7"/>
  <c r="AJ156" i="7"/>
  <c r="AK151" i="7"/>
  <c r="AJ151" i="7"/>
  <c r="AK149" i="7"/>
  <c r="AJ149" i="7"/>
  <c r="AK145" i="7"/>
  <c r="AJ145" i="7"/>
  <c r="AK143" i="7"/>
  <c r="AJ143" i="7"/>
  <c r="AK142" i="7"/>
  <c r="AJ142" i="7"/>
  <c r="AK141" i="7"/>
  <c r="AK140" i="7"/>
  <c r="AJ140" i="7"/>
  <c r="AK139" i="7"/>
  <c r="AJ139" i="7"/>
  <c r="AK138" i="7"/>
  <c r="AJ138" i="7"/>
  <c r="AK136" i="7"/>
  <c r="AJ136" i="7"/>
  <c r="AG159" i="7"/>
  <c r="AF159" i="7"/>
  <c r="AG156" i="7"/>
  <c r="AF156" i="7"/>
  <c r="AG149" i="7"/>
  <c r="AF149" i="7"/>
  <c r="AG142" i="7"/>
  <c r="AG139" i="7"/>
  <c r="AE156" i="7"/>
  <c r="AE149" i="7"/>
  <c r="AE143" i="7"/>
  <c r="AE141" i="7"/>
  <c r="AD159" i="7"/>
  <c r="AB159" i="7"/>
  <c r="AD156" i="7"/>
  <c r="AD149" i="7"/>
  <c r="AC149" i="7"/>
  <c r="AB149" i="7"/>
  <c r="AA149" i="7"/>
  <c r="AD145" i="7"/>
  <c r="AA145" i="7"/>
  <c r="AD142" i="7"/>
  <c r="Y159" i="7"/>
  <c r="Y149" i="7"/>
  <c r="Y145" i="7"/>
  <c r="Y143" i="7"/>
  <c r="Y142" i="7"/>
  <c r="Y141" i="7"/>
  <c r="Y140" i="7"/>
  <c r="Y139" i="7"/>
  <c r="Y138" i="7"/>
  <c r="Y136" i="7"/>
  <c r="X135" i="7"/>
  <c r="W135" i="7"/>
  <c r="AH133" i="7"/>
  <c r="AZ73" i="8"/>
  <c r="U11" i="70" s="1"/>
  <c r="BA72" i="8"/>
  <c r="BA66" i="8"/>
  <c r="AV73" i="8"/>
  <c r="AV108" i="8" s="1"/>
  <c r="AT69" i="8"/>
  <c r="AS69" i="8" s="1"/>
  <c r="AQ69" i="8"/>
  <c r="AQ105" i="8" s="1"/>
  <c r="AS50" i="8"/>
  <c r="AS98" i="8" s="1"/>
  <c r="AP50" i="8"/>
  <c r="AP98" i="8" s="1"/>
  <c r="AP42" i="8"/>
  <c r="AP93" i="8" s="1"/>
  <c r="AU34" i="8"/>
  <c r="AR34" i="8"/>
  <c r="AU8" i="8"/>
  <c r="AR8" i="8"/>
  <c r="AV98" i="8"/>
  <c r="AD45" i="8"/>
  <c r="AW52" i="7"/>
  <c r="AW144" i="7" s="1"/>
  <c r="AT52" i="7"/>
  <c r="AT144" i="7" s="1"/>
  <c r="AV17" i="7"/>
  <c r="AY17" i="7"/>
  <c r="AE52" i="7"/>
  <c r="AE144" i="7" s="1"/>
  <c r="AG17" i="7"/>
  <c r="AF38" i="7"/>
  <c r="AF139" i="7" s="1"/>
  <c r="BB43" i="8"/>
  <c r="AX43" i="8"/>
  <c r="AT43" i="8"/>
  <c r="AQ43" i="8"/>
  <c r="AZ54" i="7"/>
  <c r="D29" i="84"/>
  <c r="C28" i="73"/>
  <c r="B29" i="73"/>
  <c r="B30" i="73" s="1"/>
  <c r="G19" i="84"/>
  <c r="N37" i="61"/>
  <c r="N30" i="32"/>
  <c r="P30" i="32" s="1"/>
  <c r="C33" i="63"/>
  <c r="D33" i="63" s="1"/>
  <c r="B34" i="63"/>
  <c r="B35" i="63" s="1"/>
  <c r="C28" i="63"/>
  <c r="H65" i="11"/>
  <c r="M65" i="11"/>
  <c r="N38" i="59"/>
  <c r="N47" i="59"/>
  <c r="O43" i="59"/>
  <c r="AE59" i="59"/>
  <c r="AF27" i="59"/>
  <c r="D93" i="56"/>
  <c r="N91" i="56"/>
  <c r="N101" i="56" s="1"/>
  <c r="F30" i="56"/>
  <c r="I28" i="56"/>
  <c r="N28" i="56" s="1"/>
  <c r="K28" i="56"/>
  <c r="D38" i="56"/>
  <c r="F38" i="56"/>
  <c r="F40" i="56" s="1"/>
  <c r="F18" i="56"/>
  <c r="F20" i="56" s="1"/>
  <c r="D11" i="56"/>
  <c r="F10" i="56"/>
  <c r="I9" i="56"/>
  <c r="D29" i="56" s="1"/>
  <c r="AF94" i="8"/>
  <c r="AT105" i="8"/>
  <c r="AP69" i="8"/>
  <c r="AP105" i="8" s="1"/>
  <c r="AH99" i="8"/>
  <c r="AH106" i="8" s="1"/>
  <c r="AS42" i="8"/>
  <c r="AS93" i="8" s="1"/>
  <c r="AZ56" i="7"/>
  <c r="M16" i="32"/>
  <c r="AS46" i="8"/>
  <c r="AS94" i="8" s="1"/>
  <c r="AB46" i="8"/>
  <c r="AB94" i="8" s="1"/>
  <c r="AE58" i="7"/>
  <c r="AE145" i="7" s="1"/>
  <c r="AS41" i="8"/>
  <c r="AT41" i="8" s="1"/>
  <c r="AP41" i="8"/>
  <c r="AQ41" i="8" s="1"/>
  <c r="AS33" i="8"/>
  <c r="AP33" i="8"/>
  <c r="AS26" i="8"/>
  <c r="AP26" i="8"/>
  <c r="AP92" i="8" s="1"/>
  <c r="AS16" i="8"/>
  <c r="AT16" i="8" s="1"/>
  <c r="AP16" i="8"/>
  <c r="AQ16" i="8" s="1"/>
  <c r="AU26" i="7"/>
  <c r="AF26" i="7"/>
  <c r="AY39" i="8"/>
  <c r="AY34" i="8" s="1"/>
  <c r="AT39" i="8"/>
  <c r="AQ39" i="8"/>
  <c r="AW72" i="8"/>
  <c r="AW66" i="8"/>
  <c r="AT30" i="8"/>
  <c r="AQ30" i="8"/>
  <c r="AY14" i="8"/>
  <c r="AT14" i="8"/>
  <c r="AQ14" i="8"/>
  <c r="AS38" i="8"/>
  <c r="AT38" i="8" s="1"/>
  <c r="AT40" i="8" s="1"/>
  <c r="AP38" i="8"/>
  <c r="AQ38" i="8" s="1"/>
  <c r="AS29" i="8"/>
  <c r="AS31" i="8" s="1"/>
  <c r="AS27" i="8" s="1"/>
  <c r="AP29" i="8"/>
  <c r="AQ29" i="8" s="1"/>
  <c r="AS23" i="8"/>
  <c r="AS25" i="8" s="1"/>
  <c r="AP23" i="8"/>
  <c r="AP25" i="8" s="1"/>
  <c r="AS13" i="8"/>
  <c r="AS15" i="8" s="1"/>
  <c r="AP13" i="8"/>
  <c r="AP15" i="8" s="1"/>
  <c r="AP8" i="8" s="1"/>
  <c r="AB40" i="8"/>
  <c r="AC39" i="8"/>
  <c r="AB31" i="8"/>
  <c r="AZ31" i="8" s="1"/>
  <c r="AC30" i="8"/>
  <c r="AC14" i="8"/>
  <c r="AC38" i="8"/>
  <c r="AC29" i="8"/>
  <c r="AC13" i="8"/>
  <c r="AU24" i="7"/>
  <c r="BC24" i="7"/>
  <c r="AF24" i="7"/>
  <c r="AW41" i="7"/>
  <c r="AT39" i="7"/>
  <c r="AE39" i="7"/>
  <c r="AW33" i="7"/>
  <c r="AT31" i="7"/>
  <c r="AE31" i="7"/>
  <c r="AG101" i="8"/>
  <c r="C29" i="73"/>
  <c r="D28" i="73"/>
  <c r="M30" i="32"/>
  <c r="D28" i="63"/>
  <c r="C29" i="63"/>
  <c r="BF31" i="11"/>
  <c r="O38" i="59"/>
  <c r="N39" i="59"/>
  <c r="N42" i="59"/>
  <c r="AT143" i="7"/>
  <c r="K38" i="56"/>
  <c r="P28" i="56"/>
  <c r="S9" i="56"/>
  <c r="AY8" i="8"/>
  <c r="AC31" i="8"/>
  <c r="AC40" i="8"/>
  <c r="AP40" i="8"/>
  <c r="AT29" i="8"/>
  <c r="AT31" i="8" s="1"/>
  <c r="AP31" i="8"/>
  <c r="AT33" i="7"/>
  <c r="AT41" i="7"/>
  <c r="AW25" i="7"/>
  <c r="AT23" i="7"/>
  <c r="AT25" i="7" s="1"/>
  <c r="AE23" i="7"/>
  <c r="AF23" i="7" s="1"/>
  <c r="AT13" i="7"/>
  <c r="AE13" i="7"/>
  <c r="AS37" i="8"/>
  <c r="AP37" i="8"/>
  <c r="AB37" i="8"/>
  <c r="AX28" i="8"/>
  <c r="AV28" i="8" s="1"/>
  <c r="AS28" i="8"/>
  <c r="AP28" i="8"/>
  <c r="AB28" i="8"/>
  <c r="AZ22" i="8"/>
  <c r="AX22" i="8"/>
  <c r="AV22" i="8" s="1"/>
  <c r="AS22" i="8"/>
  <c r="AS88" i="8" s="1"/>
  <c r="AP22" i="8"/>
  <c r="AB22" i="8"/>
  <c r="AX12" i="8"/>
  <c r="AZ12" i="8"/>
  <c r="AS12" i="8"/>
  <c r="AP12" i="8"/>
  <c r="AB12" i="8"/>
  <c r="AE28" i="7"/>
  <c r="BB22" i="7"/>
  <c r="AZ22" i="7" s="1"/>
  <c r="BB12" i="7"/>
  <c r="AE22" i="7"/>
  <c r="BD12" i="7"/>
  <c r="AT12" i="7"/>
  <c r="AE11" i="7"/>
  <c r="AE12" i="7"/>
  <c r="AZ35" i="8"/>
  <c r="BB35" i="8" s="1"/>
  <c r="AV35" i="8"/>
  <c r="AX35" i="8" s="1"/>
  <c r="AS35" i="8"/>
  <c r="AP35" i="8"/>
  <c r="AB35" i="8"/>
  <c r="AC35" i="8" s="1"/>
  <c r="AZ32" i="8"/>
  <c r="BB32" i="8" s="1"/>
  <c r="AV32" i="8"/>
  <c r="AZ36" i="7"/>
  <c r="AS32" i="8"/>
  <c r="AT32" i="8" s="1"/>
  <c r="AP32" i="8"/>
  <c r="AQ32" i="8" s="1"/>
  <c r="AB32" i="8"/>
  <c r="AC32" i="8" s="1"/>
  <c r="AV20" i="8"/>
  <c r="AS20" i="8"/>
  <c r="AP20" i="8"/>
  <c r="AB20" i="8"/>
  <c r="AZ10" i="8"/>
  <c r="AV10" i="8"/>
  <c r="AS10" i="8"/>
  <c r="AP10" i="8"/>
  <c r="AB10" i="8"/>
  <c r="BD36" i="7"/>
  <c r="BD29" i="7"/>
  <c r="AZ29" i="7"/>
  <c r="BD20" i="7"/>
  <c r="AZ20" i="7"/>
  <c r="BD10" i="7"/>
  <c r="AZ10" i="7"/>
  <c r="AT36" i="7"/>
  <c r="AT29" i="7"/>
  <c r="AT20" i="7"/>
  <c r="AU20" i="7" s="1"/>
  <c r="AT10" i="7"/>
  <c r="AE36" i="7"/>
  <c r="AE29" i="7"/>
  <c r="AE20" i="7"/>
  <c r="AF20" i="7" s="1"/>
  <c r="AE10" i="7"/>
  <c r="AS18" i="8"/>
  <c r="AP18" i="8"/>
  <c r="AB18" i="8"/>
  <c r="AS9" i="8"/>
  <c r="AP9" i="8"/>
  <c r="AB9" i="8"/>
  <c r="AC9" i="8" s="1"/>
  <c r="AY65" i="8"/>
  <c r="AY100" i="8" s="1"/>
  <c r="AU65" i="8"/>
  <c r="AU100" i="8"/>
  <c r="AR65" i="8"/>
  <c r="AR100" i="8" s="1"/>
  <c r="AD65" i="8"/>
  <c r="AD100" i="8" s="1"/>
  <c r="AC69" i="8"/>
  <c r="AC43" i="8"/>
  <c r="AB41" i="8"/>
  <c r="AC41" i="8" s="1"/>
  <c r="AD34" i="8"/>
  <c r="AB33" i="8"/>
  <c r="AB26" i="8"/>
  <c r="AB25" i="8"/>
  <c r="AB16" i="8"/>
  <c r="AD8" i="8"/>
  <c r="AU18" i="7"/>
  <c r="AT9" i="7"/>
  <c r="AE18" i="7"/>
  <c r="AF18" i="7" s="1"/>
  <c r="AE9" i="7"/>
  <c r="BF151" i="7"/>
  <c r="BC79" i="7"/>
  <c r="BC151" i="7" s="1"/>
  <c r="AG79" i="7"/>
  <c r="AG151" i="7" s="1"/>
  <c r="BD84" i="7"/>
  <c r="BD37" i="7"/>
  <c r="BD30" i="7"/>
  <c r="BD22" i="7"/>
  <c r="BD21" i="7"/>
  <c r="AZ84" i="7"/>
  <c r="AZ159" i="7" s="1"/>
  <c r="AZ38" i="7"/>
  <c r="AZ37" i="7"/>
  <c r="AZ30" i="7"/>
  <c r="AZ21" i="7"/>
  <c r="AX159" i="7"/>
  <c r="AW84" i="7"/>
  <c r="AW159" i="7" s="1"/>
  <c r="AX81" i="7"/>
  <c r="AX156" i="7" s="1"/>
  <c r="AW81" i="7"/>
  <c r="AW156" i="7" s="1"/>
  <c r="AU159" i="7"/>
  <c r="AT159" i="7"/>
  <c r="AU81" i="7"/>
  <c r="AU156" i="7" s="1"/>
  <c r="AT156" i="7"/>
  <c r="AE33" i="7"/>
  <c r="AF21" i="7"/>
  <c r="BQ31" i="17"/>
  <c r="BQ24" i="17"/>
  <c r="BM31" i="17"/>
  <c r="BM24" i="17"/>
  <c r="BJ35" i="17"/>
  <c r="BJ34" i="17"/>
  <c r="BJ33" i="17"/>
  <c r="BJ32" i="17"/>
  <c r="BJ28" i="17"/>
  <c r="BJ27" i="17"/>
  <c r="BJ26" i="17"/>
  <c r="BJ25" i="17"/>
  <c r="BK31" i="17"/>
  <c r="BI31" i="17"/>
  <c r="BJ31" i="17" s="1"/>
  <c r="BJ40" i="17" s="1"/>
  <c r="BK24" i="17"/>
  <c r="BI24" i="17"/>
  <c r="BF35" i="17"/>
  <c r="BF34" i="17"/>
  <c r="BF33" i="17"/>
  <c r="BF32" i="17"/>
  <c r="BF28" i="17"/>
  <c r="BF27" i="17"/>
  <c r="BF26" i="17"/>
  <c r="BF25" i="17"/>
  <c r="BG31" i="17"/>
  <c r="BE31" i="17"/>
  <c r="BG24" i="17"/>
  <c r="BE24" i="17"/>
  <c r="AR35" i="17"/>
  <c r="AR34" i="17"/>
  <c r="AR33" i="17"/>
  <c r="AR32" i="17"/>
  <c r="AR28" i="17"/>
  <c r="AR27" i="17"/>
  <c r="AR26" i="17"/>
  <c r="AR25" i="17"/>
  <c r="AS31" i="17"/>
  <c r="AS24" i="17"/>
  <c r="AQ31" i="17"/>
  <c r="AQ24" i="17"/>
  <c r="G25" i="36"/>
  <c r="BB50" i="8" s="1"/>
  <c r="G14" i="36"/>
  <c r="BE62" i="7" s="1"/>
  <c r="AG39" i="6"/>
  <c r="AH39" i="6" s="1"/>
  <c r="AG37" i="6"/>
  <c r="AG36" i="6"/>
  <c r="AG35" i="6"/>
  <c r="AH35" i="6" s="1"/>
  <c r="AG32" i="6"/>
  <c r="AH32" i="6" s="1"/>
  <c r="AG30" i="6"/>
  <c r="AH30" i="6" s="1"/>
  <c r="AG27" i="6"/>
  <c r="AH27" i="6" s="1"/>
  <c r="AG26" i="6"/>
  <c r="AH26" i="6" s="1"/>
  <c r="AG21" i="6"/>
  <c r="AG19" i="6"/>
  <c r="AH19" i="6" s="1"/>
  <c r="AF25" i="6"/>
  <c r="AE25" i="6"/>
  <c r="AF18" i="6"/>
  <c r="AE18" i="6"/>
  <c r="AF13" i="6"/>
  <c r="AE13" i="6"/>
  <c r="AA25" i="6"/>
  <c r="AA18" i="6"/>
  <c r="AA13" i="6"/>
  <c r="AH13" i="6" s="1"/>
  <c r="AH12" i="6" s="1"/>
  <c r="AF45" i="5"/>
  <c r="AG45" i="5" s="1"/>
  <c r="AF44" i="5"/>
  <c r="AG44" i="5" s="1"/>
  <c r="AF40" i="5"/>
  <c r="AG40" i="5" s="1"/>
  <c r="AF39" i="5"/>
  <c r="AF38" i="5"/>
  <c r="AF37" i="5"/>
  <c r="AF36" i="5"/>
  <c r="AG36" i="5" s="1"/>
  <c r="AF35" i="5"/>
  <c r="AG35" i="5" s="1"/>
  <c r="AF34" i="5"/>
  <c r="AG34" i="5" s="1"/>
  <c r="AF31" i="5"/>
  <c r="AG31" i="5" s="1"/>
  <c r="AF29" i="5"/>
  <c r="AG29" i="5" s="1"/>
  <c r="AF28" i="5"/>
  <c r="AG28" i="5" s="1"/>
  <c r="AF27" i="5"/>
  <c r="AG27" i="5" s="1"/>
  <c r="AF25" i="5"/>
  <c r="AG25" i="5" s="1"/>
  <c r="AF24" i="5"/>
  <c r="AF23" i="5"/>
  <c r="AF21" i="5"/>
  <c r="AF20" i="5"/>
  <c r="AF16" i="5"/>
  <c r="AG16" i="5" s="1"/>
  <c r="AE26" i="5"/>
  <c r="AD26" i="5"/>
  <c r="AD46" i="5" s="1"/>
  <c r="AE17" i="5"/>
  <c r="AD17" i="5"/>
  <c r="AE12" i="5"/>
  <c r="AD12" i="5"/>
  <c r="AA26" i="5"/>
  <c r="Y26" i="5"/>
  <c r="X26" i="5"/>
  <c r="U26" i="5"/>
  <c r="Z26" i="5"/>
  <c r="Z17" i="5"/>
  <c r="Z12" i="5"/>
  <c r="AW55" i="9"/>
  <c r="AW73" i="9" s="1"/>
  <c r="AU73" i="9" s="1"/>
  <c r="AV55" i="9"/>
  <c r="AU54" i="9"/>
  <c r="AU52" i="9"/>
  <c r="AW51" i="9"/>
  <c r="AU51" i="9" s="1"/>
  <c r="AV51" i="9"/>
  <c r="AU50" i="9"/>
  <c r="AU48" i="9"/>
  <c r="AR54" i="9"/>
  <c r="AR52" i="9"/>
  <c r="AR50" i="9"/>
  <c r="AR48" i="9"/>
  <c r="AT55" i="9"/>
  <c r="AR55" i="9" s="1"/>
  <c r="AS55" i="9"/>
  <c r="AS51" i="9"/>
  <c r="AT51" i="9"/>
  <c r="AC59" i="3"/>
  <c r="AC58" i="3"/>
  <c r="AA57" i="3"/>
  <c r="E8" i="56"/>
  <c r="AJ48" i="9"/>
  <c r="AY55" i="9"/>
  <c r="AY51" i="9"/>
  <c r="AG62" i="9"/>
  <c r="AE54" i="9"/>
  <c r="AE52" i="9"/>
  <c r="AE50" i="9"/>
  <c r="AE48" i="9"/>
  <c r="BC31" i="11"/>
  <c r="BC38" i="11"/>
  <c r="AZ40" i="11"/>
  <c r="AZ30" i="11" s="1"/>
  <c r="AV40" i="11"/>
  <c r="AV32" i="11" s="1"/>
  <c r="AR40" i="11"/>
  <c r="AR32" i="11" s="1"/>
  <c r="AX43" i="11"/>
  <c r="AT43" i="11"/>
  <c r="AX42" i="11"/>
  <c r="AT42" i="11"/>
  <c r="AX41" i="11"/>
  <c r="AT41" i="11"/>
  <c r="AX33" i="11"/>
  <c r="AT33" i="11"/>
  <c r="AX32" i="11"/>
  <c r="AT32" i="11"/>
  <c r="AX31" i="11"/>
  <c r="AT31" i="11"/>
  <c r="AX30" i="11"/>
  <c r="AT30" i="11"/>
  <c r="AX29" i="11"/>
  <c r="AT29" i="11"/>
  <c r="AD43" i="11"/>
  <c r="BE43" i="11" s="1"/>
  <c r="AD40" i="11"/>
  <c r="AF43" i="11"/>
  <c r="AF42" i="11"/>
  <c r="AF45" i="11" s="1"/>
  <c r="AB19" i="8" s="1"/>
  <c r="AF41" i="11"/>
  <c r="AF33" i="11"/>
  <c r="AF32" i="11"/>
  <c r="AF31" i="11"/>
  <c r="AF30" i="11"/>
  <c r="AF29" i="11"/>
  <c r="U18" i="10"/>
  <c r="T18" i="10"/>
  <c r="R18" i="10"/>
  <c r="Q18" i="10"/>
  <c r="N19" i="10"/>
  <c r="K19" i="10"/>
  <c r="L18" i="10"/>
  <c r="L13" i="10"/>
  <c r="K191" i="52"/>
  <c r="BB28" i="7" s="1"/>
  <c r="BB139" i="7" s="1"/>
  <c r="K22" i="32"/>
  <c r="M22" i="32" s="1"/>
  <c r="K23" i="32"/>
  <c r="K20" i="32"/>
  <c r="M20" i="32" s="1"/>
  <c r="K10" i="32"/>
  <c r="K9" i="32"/>
  <c r="M9" i="32" s="1"/>
  <c r="K7" i="32"/>
  <c r="M7" i="32" s="1"/>
  <c r="L24" i="32"/>
  <c r="AA63" i="3"/>
  <c r="BD60" i="72" s="1"/>
  <c r="S63" i="3"/>
  <c r="R71" i="3" s="1"/>
  <c r="P63" i="3"/>
  <c r="K63" i="3"/>
  <c r="AB65" i="8" s="1"/>
  <c r="AC51" i="3"/>
  <c r="AC47" i="3"/>
  <c r="AC42" i="3"/>
  <c r="AC41" i="3"/>
  <c r="AA46" i="3"/>
  <c r="AC46" i="3" s="1"/>
  <c r="T46" i="3"/>
  <c r="T45" i="3"/>
  <c r="AZ56" i="72"/>
  <c r="AZ57" i="72" s="1"/>
  <c r="BG57" i="72" s="1"/>
  <c r="AU79" i="7"/>
  <c r="AU151" i="7" s="1"/>
  <c r="P46" i="3"/>
  <c r="P44" i="3" s="1"/>
  <c r="P45" i="3"/>
  <c r="P39" i="3"/>
  <c r="K49" i="3"/>
  <c r="K46" i="3"/>
  <c r="K44" i="3" s="1"/>
  <c r="K45" i="3"/>
  <c r="K39" i="3"/>
  <c r="AG56" i="72" s="1"/>
  <c r="AG57" i="72" s="1"/>
  <c r="AL48" i="19"/>
  <c r="AL46" i="19"/>
  <c r="AL45" i="19"/>
  <c r="AL44" i="19"/>
  <c r="AL43" i="19"/>
  <c r="AL24" i="19"/>
  <c r="AL9" i="19"/>
  <c r="AK48" i="19"/>
  <c r="AK46" i="19"/>
  <c r="AK45" i="19"/>
  <c r="AK44" i="19"/>
  <c r="AK43" i="19"/>
  <c r="AK24" i="19"/>
  <c r="AK9" i="19"/>
  <c r="AF45" i="6"/>
  <c r="AF46" i="6" s="1"/>
  <c r="C13" i="88"/>
  <c r="D5" i="80"/>
  <c r="K71" i="3"/>
  <c r="AV73" i="9"/>
  <c r="G23" i="81"/>
  <c r="AF79" i="7"/>
  <c r="AF151" i="7" s="1"/>
  <c r="C5" i="88"/>
  <c r="D3" i="80"/>
  <c r="F5" i="79"/>
  <c r="D9" i="79" s="1"/>
  <c r="E20" i="84"/>
  <c r="B30" i="84"/>
  <c r="C30" i="73"/>
  <c r="D29" i="73"/>
  <c r="O15" i="70"/>
  <c r="O19" i="70" s="1"/>
  <c r="BJ24" i="17"/>
  <c r="BJ39" i="17" s="1"/>
  <c r="D12" i="75"/>
  <c r="D11" i="67"/>
  <c r="D12" i="67" s="1"/>
  <c r="D13" i="67" s="1"/>
  <c r="D15" i="67" s="1"/>
  <c r="AZ45" i="8" s="1"/>
  <c r="C11" i="67"/>
  <c r="C12" i="67" s="1"/>
  <c r="C13" i="67" s="1"/>
  <c r="C15" i="67" s="1"/>
  <c r="BD56" i="7" s="1"/>
  <c r="C12" i="75"/>
  <c r="AX151" i="7"/>
  <c r="AY151" i="7"/>
  <c r="B91" i="56"/>
  <c r="B101" i="56" s="1"/>
  <c r="AZ60" i="72"/>
  <c r="AZ46" i="11"/>
  <c r="AZ41" i="11" s="1"/>
  <c r="K43" i="3"/>
  <c r="P43" i="3"/>
  <c r="AT56" i="72"/>
  <c r="AT57" i="72" s="1"/>
  <c r="AW61" i="9"/>
  <c r="B31" i="32"/>
  <c r="D31" i="32" s="1"/>
  <c r="R19" i="10"/>
  <c r="AV87" i="8"/>
  <c r="BD159" i="7"/>
  <c r="T11" i="70"/>
  <c r="AC12" i="5"/>
  <c r="AG12" i="5"/>
  <c r="AG11" i="5" s="1"/>
  <c r="AE46" i="5"/>
  <c r="AE54" i="5" s="1"/>
  <c r="D29" i="63"/>
  <c r="C30" i="63"/>
  <c r="D30" i="63" s="1"/>
  <c r="B111" i="56"/>
  <c r="B121" i="56" s="1"/>
  <c r="AZ65" i="8"/>
  <c r="AZ100" i="8" s="1"/>
  <c r="F36" i="65"/>
  <c r="I36" i="65" s="1"/>
  <c r="BD60" i="9"/>
  <c r="BC54" i="9" s="1"/>
  <c r="AZ60" i="9"/>
  <c r="AZ61" i="9" s="1"/>
  <c r="BG61" i="9" s="1"/>
  <c r="Q19" i="10"/>
  <c r="AV33" i="11"/>
  <c r="AT56" i="9"/>
  <c r="AT57" i="9" s="1"/>
  <c r="AV29" i="11"/>
  <c r="AV31" i="11"/>
  <c r="U19" i="10"/>
  <c r="E48" i="56"/>
  <c r="J48" i="56" s="1"/>
  <c r="AA49" i="3"/>
  <c r="F36" i="61" s="1"/>
  <c r="K21" i="32"/>
  <c r="M21" i="32" s="1"/>
  <c r="T19" i="10"/>
  <c r="AC57" i="3"/>
  <c r="T43" i="3"/>
  <c r="AZ56" i="9"/>
  <c r="AZ57" i="9" s="1"/>
  <c r="BG57" i="9" s="1"/>
  <c r="AT62" i="9"/>
  <c r="AR46" i="11"/>
  <c r="AR43" i="11" s="1"/>
  <c r="AP65" i="8"/>
  <c r="AP100" i="8" s="1"/>
  <c r="BF38" i="17"/>
  <c r="BJ38" i="17"/>
  <c r="E28" i="56"/>
  <c r="K8" i="32"/>
  <c r="M8" i="32"/>
  <c r="L19" i="10"/>
  <c r="BE46" i="11"/>
  <c r="J8" i="56"/>
  <c r="E18" i="56"/>
  <c r="E10" i="56"/>
  <c r="C8" i="56"/>
  <c r="C18" i="56" s="1"/>
  <c r="AR24" i="17"/>
  <c r="AV65" i="8"/>
  <c r="AV100" i="8" s="1"/>
  <c r="AZ138" i="7"/>
  <c r="AB88" i="8"/>
  <c r="AX88" i="8"/>
  <c r="AW139" i="7"/>
  <c r="AG56" i="9"/>
  <c r="AG57" i="9" s="1"/>
  <c r="M49" i="3"/>
  <c r="B8" i="56" s="1"/>
  <c r="AR31" i="17"/>
  <c r="AT140" i="7"/>
  <c r="AE45" i="6"/>
  <c r="AE46" i="6" s="1"/>
  <c r="AA45" i="6"/>
  <c r="AA46" i="6" s="1"/>
  <c r="Z46" i="5"/>
  <c r="AW138" i="7"/>
  <c r="P38" i="56"/>
  <c r="I19" i="56"/>
  <c r="AS34" i="8"/>
  <c r="AS86" i="8"/>
  <c r="AC10" i="8"/>
  <c r="AB87" i="8"/>
  <c r="AT10" i="8"/>
  <c r="AS87" i="8"/>
  <c r="BB10" i="8"/>
  <c r="AB86" i="8"/>
  <c r="AP88" i="8"/>
  <c r="AV12" i="8"/>
  <c r="AP27" i="8"/>
  <c r="AC16" i="8"/>
  <c r="AB92" i="8"/>
  <c r="AB69" i="8"/>
  <c r="AB105" i="8" s="1"/>
  <c r="AC105" i="8"/>
  <c r="AP86" i="8"/>
  <c r="AQ10" i="8"/>
  <c r="AP87" i="8"/>
  <c r="AQ9" i="8"/>
  <c r="AT9" i="8"/>
  <c r="AX10" i="8"/>
  <c r="AT35" i="8"/>
  <c r="AQ35" i="8"/>
  <c r="AQ34" i="8" s="1"/>
  <c r="AP34" i="8"/>
  <c r="AZ12" i="7"/>
  <c r="AE15" i="7"/>
  <c r="AE140" i="7"/>
  <c r="AE136" i="7"/>
  <c r="AT136" i="7"/>
  <c r="AE138" i="7"/>
  <c r="AT138" i="7"/>
  <c r="BD138" i="7"/>
  <c r="AE139" i="7"/>
  <c r="AT139" i="7"/>
  <c r="AW140" i="7"/>
  <c r="AW27" i="7"/>
  <c r="BE20" i="7"/>
  <c r="BF20" i="7" s="1"/>
  <c r="AU23" i="7"/>
  <c r="AU25" i="7" s="1"/>
  <c r="AX25" i="7"/>
  <c r="AT27" i="7"/>
  <c r="BB20" i="7"/>
  <c r="BC20" i="7" s="1"/>
  <c r="BC17" i="7" s="1"/>
  <c r="AW15" i="7"/>
  <c r="AW79" i="7"/>
  <c r="AT35" i="7"/>
  <c r="AX32" i="8"/>
  <c r="AB15" i="8"/>
  <c r="AB8" i="8" s="1"/>
  <c r="AC15" i="8"/>
  <c r="AB34" i="8"/>
  <c r="AB42" i="8"/>
  <c r="AB93" i="8" s="1"/>
  <c r="AR38" i="17"/>
  <c r="BF31" i="17"/>
  <c r="BF24" i="17"/>
  <c r="F14" i="36"/>
  <c r="AW62" i="9"/>
  <c r="AR51" i="9"/>
  <c r="AZ33" i="11"/>
  <c r="AV30" i="11"/>
  <c r="AZ31" i="11"/>
  <c r="AZ42" i="11"/>
  <c r="AG61" i="9"/>
  <c r="AF51" i="9"/>
  <c r="AG51" i="9"/>
  <c r="AT45" i="11"/>
  <c r="AP19" i="8" s="1"/>
  <c r="AX45" i="11"/>
  <c r="AS19" i="8" s="1"/>
  <c r="AZ29" i="11"/>
  <c r="AZ32" i="11"/>
  <c r="AT39" i="11"/>
  <c r="AT19" i="7" s="1"/>
  <c r="AX39" i="11"/>
  <c r="AR30" i="11"/>
  <c r="AR31" i="11"/>
  <c r="AD41" i="11"/>
  <c r="BE41" i="11" s="1"/>
  <c r="AD42" i="11"/>
  <c r="BE42" i="11" s="1"/>
  <c r="AR29" i="11"/>
  <c r="AF39" i="11"/>
  <c r="AE19" i="7" s="1"/>
  <c r="AZ58" i="72"/>
  <c r="K6" i="32"/>
  <c r="AA14" i="19"/>
  <c r="AJ21" i="19"/>
  <c r="AO21" i="19" s="1"/>
  <c r="AJ17" i="19"/>
  <c r="AO17" i="19" s="1"/>
  <c r="AJ47" i="19"/>
  <c r="AO47" i="19" s="1"/>
  <c r="AJ42" i="19"/>
  <c r="AO42" i="19" s="1"/>
  <c r="AJ41" i="19"/>
  <c r="AJ40" i="19"/>
  <c r="AO40" i="19" s="1"/>
  <c r="AJ39" i="19"/>
  <c r="AO39" i="19" s="1"/>
  <c r="AJ38" i="19"/>
  <c r="AO38" i="19" s="1"/>
  <c r="E26" i="75" s="1"/>
  <c r="AJ37" i="19"/>
  <c r="AO37" i="19" s="1"/>
  <c r="AJ36" i="19"/>
  <c r="AO36" i="19" s="1"/>
  <c r="AJ35" i="19"/>
  <c r="AL35" i="19" s="1"/>
  <c r="AJ34" i="19"/>
  <c r="AJ33" i="19"/>
  <c r="AO33" i="19" s="1"/>
  <c r="AJ32" i="19"/>
  <c r="AO32" i="19" s="1"/>
  <c r="AJ31" i="19"/>
  <c r="AO31" i="19" s="1"/>
  <c r="E19" i="75" s="1"/>
  <c r="AJ30" i="19"/>
  <c r="AJ29" i="19"/>
  <c r="AJ28" i="19"/>
  <c r="AJ27" i="19"/>
  <c r="AK27" i="19" s="1"/>
  <c r="AJ26" i="19"/>
  <c r="AO26" i="19" s="1"/>
  <c r="AJ25" i="19"/>
  <c r="AJ23" i="19"/>
  <c r="AJ22" i="19"/>
  <c r="AK22" i="19" s="1"/>
  <c r="AJ20" i="19"/>
  <c r="AJ19" i="19"/>
  <c r="AJ18" i="19"/>
  <c r="AJ16" i="19"/>
  <c r="AK16" i="19" s="1"/>
  <c r="AJ13" i="19"/>
  <c r="AK13" i="19" s="1"/>
  <c r="AG58" i="19"/>
  <c r="AL58" i="19" s="1"/>
  <c r="AF60" i="19"/>
  <c r="AE59" i="19" s="1"/>
  <c r="AI14" i="19"/>
  <c r="EB14" i="19" s="1"/>
  <c r="AH14" i="19"/>
  <c r="AH49" i="19" s="1"/>
  <c r="AI12" i="19"/>
  <c r="AH12" i="19"/>
  <c r="AZ43" i="11"/>
  <c r="G91" i="56"/>
  <c r="G101" i="56" s="1"/>
  <c r="AE79" i="7"/>
  <c r="AF53" i="7" s="1"/>
  <c r="AF16" i="7"/>
  <c r="AG16" i="7" s="1"/>
  <c r="G20" i="84"/>
  <c r="E23" i="84"/>
  <c r="E24" i="84" s="1"/>
  <c r="G24" i="84" s="1"/>
  <c r="AF42" i="7"/>
  <c r="AG42" i="7" s="1"/>
  <c r="AF13" i="7"/>
  <c r="AG13" i="7" s="1"/>
  <c r="B34" i="32"/>
  <c r="D34" i="32" s="1"/>
  <c r="AF10" i="7"/>
  <c r="AG10" i="7" s="1"/>
  <c r="AF34" i="7"/>
  <c r="AG34" i="7" s="1"/>
  <c r="AF9" i="7"/>
  <c r="AG9" i="7" s="1"/>
  <c r="AG136" i="7" s="1"/>
  <c r="G3" i="80"/>
  <c r="G8" i="80" s="1"/>
  <c r="G13" i="80" s="1"/>
  <c r="F3" i="80"/>
  <c r="F5" i="80"/>
  <c r="G5" i="80"/>
  <c r="G10" i="80" s="1"/>
  <c r="G15" i="80" s="1"/>
  <c r="AF14" i="7"/>
  <c r="AG14" i="7" s="1"/>
  <c r="AG15" i="7" s="1"/>
  <c r="AF55" i="7"/>
  <c r="AG55" i="7" s="1"/>
  <c r="D30" i="84"/>
  <c r="B33" i="84"/>
  <c r="F19" i="81"/>
  <c r="L23" i="81"/>
  <c r="K19" i="81" s="1"/>
  <c r="N19" i="81" s="1"/>
  <c r="AE57" i="19"/>
  <c r="AG57" i="19" s="1"/>
  <c r="C13" i="75"/>
  <c r="AZ62" i="72"/>
  <c r="AZ63" i="72"/>
  <c r="AZ59" i="72"/>
  <c r="AG57" i="3"/>
  <c r="AE49" i="3"/>
  <c r="I36" i="61" s="1"/>
  <c r="N36" i="61" s="1"/>
  <c r="G111" i="56"/>
  <c r="G121" i="56" s="1"/>
  <c r="AE52" i="5"/>
  <c r="AE53" i="5"/>
  <c r="AZ62" i="9"/>
  <c r="BC52" i="9"/>
  <c r="AA45" i="3"/>
  <c r="AC45" i="3" s="1"/>
  <c r="AQ65" i="8"/>
  <c r="AQ100" i="8" s="1"/>
  <c r="AR41" i="11"/>
  <c r="AR42" i="11"/>
  <c r="AX65" i="8"/>
  <c r="AX44" i="8" s="1"/>
  <c r="K24" i="32"/>
  <c r="M24" i="32" s="1"/>
  <c r="AT61" i="9"/>
  <c r="AJ8" i="19"/>
  <c r="AL13" i="19"/>
  <c r="AL26" i="19"/>
  <c r="AK26" i="19"/>
  <c r="AW142" i="7"/>
  <c r="AX142" i="7"/>
  <c r="BF40" i="17"/>
  <c r="B28" i="56"/>
  <c r="BB79" i="7"/>
  <c r="AK31" i="19"/>
  <c r="T48" i="3"/>
  <c r="AZ58" i="9"/>
  <c r="AZ59" i="9" s="1"/>
  <c r="BG59" i="9" s="1"/>
  <c r="AL18" i="19"/>
  <c r="AK18" i="19"/>
  <c r="AL23" i="19"/>
  <c r="AK23" i="19"/>
  <c r="AK28" i="19"/>
  <c r="AL28" i="19"/>
  <c r="AK32" i="19"/>
  <c r="AL32" i="19"/>
  <c r="AK36" i="19"/>
  <c r="AL36" i="19"/>
  <c r="AK40" i="19"/>
  <c r="AL40" i="19"/>
  <c r="AL17" i="19"/>
  <c r="AK17" i="19"/>
  <c r="K11" i="32"/>
  <c r="M11" i="32" s="1"/>
  <c r="AR40" i="17"/>
  <c r="AW17" i="7"/>
  <c r="J18" i="56"/>
  <c r="O8" i="56"/>
  <c r="O18" i="56" s="1"/>
  <c r="E38" i="56"/>
  <c r="C28" i="56"/>
  <c r="J28" i="56"/>
  <c r="B48" i="56"/>
  <c r="G48" i="56" s="1"/>
  <c r="BE79" i="7"/>
  <c r="AK20" i="19"/>
  <c r="AL20" i="19"/>
  <c r="AL30" i="19"/>
  <c r="AK30" i="19"/>
  <c r="AL34" i="19"/>
  <c r="AK34" i="19"/>
  <c r="AL38" i="19"/>
  <c r="AK38" i="19"/>
  <c r="AL42" i="19"/>
  <c r="AK42" i="19"/>
  <c r="AL27" i="19"/>
  <c r="AL39" i="19"/>
  <c r="AL19" i="19"/>
  <c r="AK19" i="19"/>
  <c r="AK25" i="19"/>
  <c r="AL25" i="19"/>
  <c r="AL29" i="19"/>
  <c r="AK29" i="19"/>
  <c r="AK33" i="19"/>
  <c r="AL33" i="19"/>
  <c r="AL37" i="19"/>
  <c r="AK37" i="19"/>
  <c r="AK41" i="19"/>
  <c r="AL41" i="19"/>
  <c r="AL21" i="19"/>
  <c r="AK21" i="19"/>
  <c r="AZ149" i="7"/>
  <c r="BB62" i="7"/>
  <c r="BB149" i="7" s="1"/>
  <c r="BF39" i="17"/>
  <c r="H8" i="56"/>
  <c r="M8" i="56" s="1"/>
  <c r="M18" i="56" s="1"/>
  <c r="E58" i="56"/>
  <c r="C48" i="56"/>
  <c r="Z55" i="5"/>
  <c r="AF55" i="5" s="1"/>
  <c r="AG55" i="5" s="1"/>
  <c r="Z53" i="5"/>
  <c r="AF53" i="5" s="1"/>
  <c r="AG53" i="5" s="1"/>
  <c r="Z47" i="5"/>
  <c r="Z54" i="5"/>
  <c r="AF54" i="5" s="1"/>
  <c r="AG54" i="5" s="1"/>
  <c r="Z52" i="5"/>
  <c r="AF52" i="5" s="1"/>
  <c r="S19" i="56"/>
  <c r="D39" i="56"/>
  <c r="D59" i="56"/>
  <c r="D60" i="56" s="1"/>
  <c r="AW151" i="7"/>
  <c r="AX52" i="7"/>
  <c r="AX144" i="7" s="1"/>
  <c r="AY52" i="7"/>
  <c r="AY144" i="7" s="1"/>
  <c r="AB27" i="8"/>
  <c r="AR39" i="17"/>
  <c r="AE51" i="9"/>
  <c r="AF55" i="9"/>
  <c r="AG55" i="9"/>
  <c r="AD33" i="11"/>
  <c r="BE33" i="11" s="1"/>
  <c r="AD32" i="11"/>
  <c r="BE32" i="11" s="1"/>
  <c r="AD31" i="11"/>
  <c r="BE31" i="11" s="1"/>
  <c r="AD30" i="11"/>
  <c r="BE30" i="11" s="1"/>
  <c r="AD29" i="11"/>
  <c r="BE29" i="11" s="1"/>
  <c r="AI60" i="19"/>
  <c r="AE56" i="19"/>
  <c r="AG56" i="19" s="1"/>
  <c r="AB60" i="19"/>
  <c r="AA12" i="19"/>
  <c r="M8" i="19"/>
  <c r="K9" i="19"/>
  <c r="M9" i="19" s="1"/>
  <c r="M10" i="19"/>
  <c r="M12" i="19" s="1"/>
  <c r="I11" i="19"/>
  <c r="I12" i="19" s="1"/>
  <c r="M11" i="19"/>
  <c r="J12" i="19"/>
  <c r="K12" i="19"/>
  <c r="L12" i="19"/>
  <c r="N12" i="19"/>
  <c r="O12" i="19"/>
  <c r="P12" i="19"/>
  <c r="Q12" i="19"/>
  <c r="N14" i="19"/>
  <c r="O14" i="19"/>
  <c r="P14" i="19"/>
  <c r="Q14" i="19"/>
  <c r="J16" i="19"/>
  <c r="K16" i="19" s="1"/>
  <c r="O16" i="19"/>
  <c r="P16" i="19"/>
  <c r="K17" i="19"/>
  <c r="M17" i="19" s="1"/>
  <c r="K18" i="19"/>
  <c r="M18" i="19" s="1"/>
  <c r="M19" i="19"/>
  <c r="I20" i="19"/>
  <c r="M20" i="19"/>
  <c r="K21" i="19"/>
  <c r="M21" i="19" s="1"/>
  <c r="M22" i="19"/>
  <c r="K23" i="19"/>
  <c r="M23" i="19" s="1"/>
  <c r="K24" i="19"/>
  <c r="M24" i="19" s="1"/>
  <c r="M26" i="19"/>
  <c r="J27" i="19"/>
  <c r="O27" i="19"/>
  <c r="O49" i="19" s="1"/>
  <c r="P27" i="19"/>
  <c r="K28" i="19"/>
  <c r="M29" i="19"/>
  <c r="M31" i="19"/>
  <c r="M32" i="19"/>
  <c r="M33" i="19"/>
  <c r="M34" i="19"/>
  <c r="K35" i="19"/>
  <c r="M35" i="19" s="1"/>
  <c r="M36" i="19"/>
  <c r="M37" i="19"/>
  <c r="M38" i="19"/>
  <c r="M39" i="19"/>
  <c r="O39" i="19"/>
  <c r="P39" i="19"/>
  <c r="M40" i="19"/>
  <c r="K41" i="19"/>
  <c r="M41" i="19" s="1"/>
  <c r="K42" i="19"/>
  <c r="M42" i="19" s="1"/>
  <c r="M45" i="19"/>
  <c r="M47" i="19"/>
  <c r="L49" i="19"/>
  <c r="N49" i="19"/>
  <c r="P60" i="19" s="1"/>
  <c r="Q49" i="19"/>
  <c r="O52" i="19"/>
  <c r="I60" i="19"/>
  <c r="J60" i="19"/>
  <c r="K60" i="19"/>
  <c r="M60" i="19"/>
  <c r="N60" i="19"/>
  <c r="L56" i="19" s="1"/>
  <c r="AF54" i="7"/>
  <c r="AG54" i="7" s="1"/>
  <c r="AF58" i="7"/>
  <c r="AG58" i="7" s="1"/>
  <c r="AG145" i="7" s="1"/>
  <c r="AE151" i="7"/>
  <c r="AF32" i="7"/>
  <c r="AG32" i="7" s="1"/>
  <c r="AF31" i="7"/>
  <c r="AG31" i="7" s="1"/>
  <c r="AF36" i="7"/>
  <c r="AG36" i="7" s="1"/>
  <c r="AF29" i="7"/>
  <c r="AG29" i="7" s="1"/>
  <c r="AF39" i="7"/>
  <c r="AG39" i="7" s="1"/>
  <c r="AF40" i="7"/>
  <c r="AG40" i="7" s="1"/>
  <c r="AG41" i="7" s="1"/>
  <c r="AG35" i="7" s="1"/>
  <c r="AF15" i="7"/>
  <c r="B35" i="32"/>
  <c r="D35" i="32" s="1"/>
  <c r="L111" i="56"/>
  <c r="L121" i="56" s="1"/>
  <c r="K34" i="32"/>
  <c r="N34" i="32" s="1"/>
  <c r="P34" i="32" s="1"/>
  <c r="D33" i="84"/>
  <c r="B34" i="84"/>
  <c r="E33" i="84"/>
  <c r="AF143" i="7"/>
  <c r="C14" i="75"/>
  <c r="C16" i="75" s="1"/>
  <c r="C17" i="75" s="1"/>
  <c r="AG49" i="3"/>
  <c r="BG63" i="72"/>
  <c r="BG62" i="72"/>
  <c r="BA62" i="72"/>
  <c r="BG59" i="72"/>
  <c r="AQ46" i="8"/>
  <c r="AR46" i="8" s="1"/>
  <c r="AR94" i="8" s="1"/>
  <c r="AJ12" i="19"/>
  <c r="AK12" i="19" s="1"/>
  <c r="AO12" i="19"/>
  <c r="AP12" i="19"/>
  <c r="AQ12" i="19" s="1"/>
  <c r="BF52" i="9"/>
  <c r="AQ44" i="8"/>
  <c r="AR44" i="8" s="1"/>
  <c r="AQ45" i="8"/>
  <c r="AR45" i="8" s="1"/>
  <c r="AX27" i="7"/>
  <c r="AX100" i="8"/>
  <c r="BD87" i="7"/>
  <c r="BE87" i="7" s="1"/>
  <c r="AX17" i="7"/>
  <c r="AQ24" i="8"/>
  <c r="AQ90" i="8" s="1"/>
  <c r="AQ23" i="8"/>
  <c r="AR23" i="8" s="1"/>
  <c r="AQ18" i="8"/>
  <c r="AQ86" i="8" s="1"/>
  <c r="AQ26" i="8"/>
  <c r="AR26" i="8" s="1"/>
  <c r="AQ20" i="8"/>
  <c r="AR20" i="8" s="1"/>
  <c r="AR87" i="8" s="1"/>
  <c r="AQ33" i="8"/>
  <c r="K12" i="32"/>
  <c r="M12" i="32" s="1"/>
  <c r="K25" i="32"/>
  <c r="M25" i="32" s="1"/>
  <c r="AX20" i="8"/>
  <c r="AY20" i="8" s="1"/>
  <c r="AY87" i="8" s="1"/>
  <c r="H18" i="56"/>
  <c r="AL8" i="19"/>
  <c r="AK8" i="19"/>
  <c r="B58" i="56"/>
  <c r="C38" i="56"/>
  <c r="H28" i="56"/>
  <c r="H38" i="56" s="1"/>
  <c r="BB151" i="7"/>
  <c r="AZ79" i="7"/>
  <c r="BB36" i="7" s="1"/>
  <c r="BC36" i="7" s="1"/>
  <c r="BB10" i="7"/>
  <c r="BC10" i="7" s="1"/>
  <c r="BB53" i="7"/>
  <c r="BB55" i="7"/>
  <c r="BC55" i="7" s="1"/>
  <c r="BB54" i="7"/>
  <c r="BC54" i="7" s="1"/>
  <c r="BG62" i="9"/>
  <c r="BG60" i="9"/>
  <c r="AA49" i="19"/>
  <c r="C58" i="56"/>
  <c r="H48" i="56"/>
  <c r="BE151" i="7"/>
  <c r="BE55" i="7"/>
  <c r="BF55" i="7" s="1"/>
  <c r="BH55" i="7" s="1"/>
  <c r="BE54" i="7"/>
  <c r="C11" i="86" s="1"/>
  <c r="BD79" i="7"/>
  <c r="BE29" i="7" s="1"/>
  <c r="BE10" i="7"/>
  <c r="O28" i="56"/>
  <c r="O38" i="56"/>
  <c r="J38" i="56"/>
  <c r="AX141" i="7"/>
  <c r="B38" i="56"/>
  <c r="G28" i="56"/>
  <c r="G38" i="56" s="1"/>
  <c r="E122" i="56"/>
  <c r="E102" i="56"/>
  <c r="D104" i="56" s="1"/>
  <c r="B104" i="56" s="1"/>
  <c r="I39" i="56"/>
  <c r="D40" i="56"/>
  <c r="E20" i="56"/>
  <c r="BC94" i="8"/>
  <c r="AY140" i="7"/>
  <c r="AX138" i="7"/>
  <c r="AX140" i="7"/>
  <c r="AY138" i="7"/>
  <c r="AY41" i="7"/>
  <c r="AY35" i="7" s="1"/>
  <c r="AX41" i="7"/>
  <c r="AX35" i="7" s="1"/>
  <c r="AE55" i="9"/>
  <c r="J49" i="19"/>
  <c r="P49" i="19"/>
  <c r="AF145" i="7"/>
  <c r="K35" i="32"/>
  <c r="N35" i="32" s="1"/>
  <c r="P35" i="32" s="1"/>
  <c r="AF141" i="7"/>
  <c r="G33" i="84"/>
  <c r="H33" i="84"/>
  <c r="J33" i="84" s="1"/>
  <c r="E34" i="84"/>
  <c r="G34" i="84" s="1"/>
  <c r="D34" i="84"/>
  <c r="C11" i="74"/>
  <c r="AL12" i="19"/>
  <c r="AQ42" i="8"/>
  <c r="AQ93" i="8" s="1"/>
  <c r="BF10" i="7"/>
  <c r="AR33" i="8"/>
  <c r="AR18" i="8"/>
  <c r="AR86" i="8" s="1"/>
  <c r="M28" i="56"/>
  <c r="M38" i="56"/>
  <c r="BD151" i="7"/>
  <c r="BE36" i="7"/>
  <c r="BF36" i="7" s="1"/>
  <c r="M48" i="56"/>
  <c r="M58" i="56" s="1"/>
  <c r="H58" i="56"/>
  <c r="BC53" i="7"/>
  <c r="L28" i="56"/>
  <c r="L38" i="56" s="1"/>
  <c r="S39" i="56"/>
  <c r="AD60" i="19"/>
  <c r="H34" i="84"/>
  <c r="J34" i="84" s="1"/>
  <c r="BC91" i="8"/>
  <c r="AC56" i="19"/>
  <c r="AC57" i="19"/>
  <c r="N22" i="61"/>
  <c r="I16" i="64"/>
  <c r="I14" i="64" s="1"/>
  <c r="F14" i="64"/>
  <c r="AC60" i="19"/>
  <c r="CD168" i="122"/>
  <c r="CD167" i="122"/>
  <c r="CJ167" i="122"/>
  <c r="D114" i="122"/>
  <c r="CJ114" i="122"/>
  <c r="P25" i="35"/>
  <c r="D167" i="122"/>
  <c r="D51" i="123" s="1"/>
  <c r="S114" i="122"/>
  <c r="S167" i="122" s="1"/>
  <c r="AQ51" i="123" s="1"/>
  <c r="AS75" i="5"/>
  <c r="AS76" i="5" s="1"/>
  <c r="AR75" i="5"/>
  <c r="AR76" i="5"/>
  <c r="AQ75" i="5"/>
  <c r="AQ76" i="5" s="1"/>
  <c r="AP76" i="5"/>
  <c r="AO76" i="5"/>
  <c r="AH114" i="122"/>
  <c r="AH167" i="122" s="1"/>
  <c r="AN167" i="122" s="1"/>
  <c r="P56" i="34"/>
  <c r="O77" i="9"/>
  <c r="O78" i="9" s="1"/>
  <c r="O74" i="9"/>
  <c r="L75" i="9"/>
  <c r="M75" i="9"/>
  <c r="O73" i="9"/>
  <c r="M78" i="9"/>
  <c r="M77" i="9"/>
  <c r="L78" i="9"/>
  <c r="L77" i="9"/>
  <c r="M73" i="9"/>
  <c r="L73" i="9"/>
  <c r="L76" i="9" s="1"/>
  <c r="K76" i="9" s="1"/>
  <c r="AE74" i="8"/>
  <c r="AE75" i="8" s="1"/>
  <c r="AE70" i="8"/>
  <c r="AG70" i="8"/>
  <c r="AH70" i="8"/>
  <c r="AJ72" i="8"/>
  <c r="AJ66" i="8"/>
  <c r="AI50" i="8"/>
  <c r="AE31" i="8"/>
  <c r="AE25" i="8"/>
  <c r="AF72" i="8"/>
  <c r="AF66" i="8"/>
  <c r="AF46" i="8"/>
  <c r="AF45" i="8"/>
  <c r="AL84" i="7"/>
  <c r="AL159" i="7" s="1"/>
  <c r="AL62" i="7"/>
  <c r="AL149" i="7" s="1"/>
  <c r="AL55" i="7"/>
  <c r="AL38" i="7"/>
  <c r="AL37" i="7"/>
  <c r="AL30" i="7"/>
  <c r="AL22" i="7"/>
  <c r="AL21" i="7"/>
  <c r="AL12" i="7"/>
  <c r="AK33" i="7"/>
  <c r="AK27" i="7" s="1"/>
  <c r="AJ33" i="7"/>
  <c r="AJ27" i="7" s="1"/>
  <c r="AK15" i="7"/>
  <c r="AK8" i="7" s="1"/>
  <c r="AJ15" i="7"/>
  <c r="AJ8" i="7" s="1"/>
  <c r="AH84" i="7"/>
  <c r="AH159" i="7" s="1"/>
  <c r="AH81" i="7"/>
  <c r="AH156" i="7" s="1"/>
  <c r="AH79" i="7"/>
  <c r="AH62" i="7"/>
  <c r="AH149" i="7" s="1"/>
  <c r="AI149" i="7" s="1"/>
  <c r="AH58" i="7"/>
  <c r="AH56" i="7"/>
  <c r="AH55" i="7"/>
  <c r="AH54" i="7"/>
  <c r="AH53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42" i="7" s="1"/>
  <c r="AH18" i="7"/>
  <c r="AH16" i="7"/>
  <c r="AH14" i="7"/>
  <c r="AH13" i="7"/>
  <c r="AH12" i="7"/>
  <c r="AH139" i="7" s="1"/>
  <c r="AH10" i="7"/>
  <c r="AH9" i="7"/>
  <c r="AH40" i="11"/>
  <c r="AH33" i="11" s="1"/>
  <c r="AO79" i="7"/>
  <c r="O46" i="3"/>
  <c r="O42" i="3"/>
  <c r="O41" i="3"/>
  <c r="O89" i="7"/>
  <c r="O91" i="7" s="1"/>
  <c r="R89" i="7"/>
  <c r="R90" i="7"/>
  <c r="R91" i="7"/>
  <c r="Z91" i="7"/>
  <c r="Z93" i="7" s="1"/>
  <c r="O95" i="7"/>
  <c r="R95" i="7"/>
  <c r="L96" i="7"/>
  <c r="R96" i="7"/>
  <c r="O97" i="7"/>
  <c r="R97" i="7"/>
  <c r="Z98" i="7"/>
  <c r="Z100" i="7" s="1"/>
  <c r="AB104" i="7"/>
  <c r="AD104" i="7" s="1"/>
  <c r="U105" i="7"/>
  <c r="U106" i="7"/>
  <c r="Q107" i="7"/>
  <c r="R107" i="7"/>
  <c r="S107" i="7"/>
  <c r="T107" i="7"/>
  <c r="R112" i="7"/>
  <c r="S112" i="7"/>
  <c r="Q114" i="7"/>
  <c r="Q115" i="7"/>
  <c r="R116" i="7"/>
  <c r="S116" i="7"/>
  <c r="E119" i="7"/>
  <c r="Y81" i="7" s="1"/>
  <c r="L39" i="3"/>
  <c r="V65" i="8"/>
  <c r="V79" i="7"/>
  <c r="U65" i="8"/>
  <c r="D11" i="3"/>
  <c r="F11" i="3"/>
  <c r="H11" i="3"/>
  <c r="H12" i="3"/>
  <c r="D14" i="3"/>
  <c r="F14" i="3"/>
  <c r="H14" i="3"/>
  <c r="B16" i="3"/>
  <c r="B13" i="3" s="1"/>
  <c r="C16" i="3"/>
  <c r="C13" i="3" s="1"/>
  <c r="E16" i="3"/>
  <c r="E13" i="3" s="1"/>
  <c r="G16" i="3"/>
  <c r="G13" i="3" s="1"/>
  <c r="I16" i="3"/>
  <c r="I13" i="3" s="1"/>
  <c r="J16" i="3"/>
  <c r="J13" i="3" s="1"/>
  <c r="L16" i="3"/>
  <c r="L13" i="3" s="1"/>
  <c r="M16" i="3"/>
  <c r="M13" i="3" s="1"/>
  <c r="D18" i="3"/>
  <c r="F18" i="3"/>
  <c r="H18" i="3"/>
  <c r="D19" i="3"/>
  <c r="F19" i="3"/>
  <c r="H19" i="3"/>
  <c r="D20" i="3"/>
  <c r="F20" i="3"/>
  <c r="H20" i="3"/>
  <c r="B22" i="3"/>
  <c r="B65" i="8" s="1"/>
  <c r="C22" i="3"/>
  <c r="C23" i="11" s="1"/>
  <c r="E22" i="3"/>
  <c r="E65" i="8" s="1"/>
  <c r="G22" i="3"/>
  <c r="I22" i="3"/>
  <c r="J22" i="3"/>
  <c r="J65" i="8" s="1"/>
  <c r="L22" i="3"/>
  <c r="M22" i="3"/>
  <c r="N65" i="8" s="1"/>
  <c r="O65" i="8" s="1"/>
  <c r="D24" i="3"/>
  <c r="F24" i="3"/>
  <c r="H24" i="3"/>
  <c r="D25" i="3"/>
  <c r="F25" i="3"/>
  <c r="H25" i="3"/>
  <c r="D26" i="3"/>
  <c r="F26" i="3"/>
  <c r="H26" i="3"/>
  <c r="D27" i="3"/>
  <c r="F27" i="3"/>
  <c r="H27" i="3"/>
  <c r="C25" i="36"/>
  <c r="C14" i="36"/>
  <c r="B25" i="36"/>
  <c r="B14" i="36"/>
  <c r="A50" i="8"/>
  <c r="G19" i="35"/>
  <c r="P24" i="35" s="1"/>
  <c r="G31" i="34"/>
  <c r="G48" i="34"/>
  <c r="AI73" i="8"/>
  <c r="R11" i="70" s="1"/>
  <c r="AG73" i="8"/>
  <c r="U9" i="17"/>
  <c r="T9" i="17" s="1"/>
  <c r="N48" i="5"/>
  <c r="U10" i="17"/>
  <c r="T10" i="17" s="1"/>
  <c r="N49" i="5"/>
  <c r="N50" i="5"/>
  <c r="B22" i="32"/>
  <c r="D22" i="32" s="1"/>
  <c r="B23" i="32"/>
  <c r="AA65" i="8"/>
  <c r="AH74" i="8"/>
  <c r="AH71" i="8"/>
  <c r="AH68" i="8"/>
  <c r="AG71" i="8"/>
  <c r="AG68" i="8"/>
  <c r="AE71" i="8"/>
  <c r="Z11" i="8"/>
  <c r="AK11" i="8" s="1"/>
  <c r="AM11" i="8"/>
  <c r="AO11" i="8" s="1"/>
  <c r="AM66" i="8"/>
  <c r="AC32" i="6"/>
  <c r="AC28" i="6"/>
  <c r="AH28" i="6" s="1"/>
  <c r="AC21" i="6"/>
  <c r="AH21" i="6" s="1"/>
  <c r="AC9" i="6"/>
  <c r="AB36" i="5"/>
  <c r="AB33" i="5"/>
  <c r="AB23" i="5"/>
  <c r="AG23" i="5" s="1"/>
  <c r="AB16" i="5"/>
  <c r="AO54" i="7"/>
  <c r="AB42" i="5"/>
  <c r="AB18" i="5"/>
  <c r="AK12" i="8"/>
  <c r="AK22" i="8"/>
  <c r="AK37" i="8"/>
  <c r="AM37" i="8"/>
  <c r="AO37" i="8" s="1"/>
  <c r="AC28" i="19"/>
  <c r="D25" i="21"/>
  <c r="D26" i="21"/>
  <c r="D27" i="21"/>
  <c r="D28" i="21"/>
  <c r="D30" i="21"/>
  <c r="D31" i="21"/>
  <c r="G27" i="21"/>
  <c r="G30" i="21"/>
  <c r="G31" i="21"/>
  <c r="C27" i="21"/>
  <c r="E27" i="21" s="1"/>
  <c r="C30" i="21"/>
  <c r="C31" i="21"/>
  <c r="C25" i="21"/>
  <c r="E25" i="21" s="1"/>
  <c r="L26" i="21"/>
  <c r="Y14" i="19"/>
  <c r="Z14" i="19"/>
  <c r="Z12" i="19"/>
  <c r="AC12" i="19" s="1"/>
  <c r="AM35" i="17"/>
  <c r="AM34" i="17"/>
  <c r="AM33" i="17"/>
  <c r="AM32" i="17"/>
  <c r="AM28" i="17"/>
  <c r="AM27" i="17"/>
  <c r="AM26" i="17"/>
  <c r="AM25" i="17"/>
  <c r="Y35" i="17"/>
  <c r="Y34" i="17"/>
  <c r="Y33" i="17"/>
  <c r="Y32" i="17"/>
  <c r="Y28" i="17"/>
  <c r="AB28" i="17" s="1"/>
  <c r="Y27" i="17"/>
  <c r="AB27" i="17" s="1"/>
  <c r="Y26" i="17"/>
  <c r="AB26" i="17" s="1"/>
  <c r="Y25" i="17"/>
  <c r="AN31" i="17"/>
  <c r="AL31" i="17"/>
  <c r="Z31" i="17"/>
  <c r="X31" i="17"/>
  <c r="AN24" i="17"/>
  <c r="AL24" i="17"/>
  <c r="Z24" i="17"/>
  <c r="X24" i="17"/>
  <c r="K53" i="11"/>
  <c r="L53" i="11"/>
  <c r="K54" i="11"/>
  <c r="L54" i="11"/>
  <c r="K55" i="11"/>
  <c r="L55" i="11"/>
  <c r="L56" i="11"/>
  <c r="K52" i="11"/>
  <c r="F56" i="11"/>
  <c r="K56" i="11" s="1"/>
  <c r="G52" i="11"/>
  <c r="L52" i="11" s="1"/>
  <c r="M52" i="11" s="1"/>
  <c r="U33" i="11"/>
  <c r="W43" i="11"/>
  <c r="U43" i="11"/>
  <c r="W42" i="11"/>
  <c r="U42" i="11"/>
  <c r="W41" i="11"/>
  <c r="U41" i="11"/>
  <c r="W33" i="11"/>
  <c r="W32" i="11"/>
  <c r="U32" i="11"/>
  <c r="W31" i="11"/>
  <c r="X31" i="11" s="1"/>
  <c r="U31" i="11"/>
  <c r="W30" i="11"/>
  <c r="U30" i="11"/>
  <c r="W29" i="11"/>
  <c r="U29" i="11"/>
  <c r="I18" i="10"/>
  <c r="I13" i="10"/>
  <c r="AB54" i="9"/>
  <c r="AB52" i="9"/>
  <c r="AB50" i="9"/>
  <c r="AB48" i="9"/>
  <c r="AD62" i="9"/>
  <c r="AD61" i="9"/>
  <c r="AD59" i="9"/>
  <c r="AD57" i="9"/>
  <c r="AD55" i="9"/>
  <c r="AC55" i="9"/>
  <c r="AD51" i="9"/>
  <c r="AC51" i="9"/>
  <c r="Z37" i="8"/>
  <c r="C9" i="21"/>
  <c r="E9" i="21" s="1"/>
  <c r="I9" i="21"/>
  <c r="L9" i="21"/>
  <c r="G25" i="21" s="1"/>
  <c r="L25" i="21" s="1"/>
  <c r="C10" i="21"/>
  <c r="E10" i="21" s="1"/>
  <c r="G10" i="21"/>
  <c r="L10" i="21"/>
  <c r="G26" i="21" s="1"/>
  <c r="E11" i="21"/>
  <c r="I11" i="21"/>
  <c r="M11" i="21"/>
  <c r="H27" i="21" s="1"/>
  <c r="E12" i="21"/>
  <c r="G12" i="21"/>
  <c r="L12" i="21" s="1"/>
  <c r="M12" i="21"/>
  <c r="H28" i="21" s="1"/>
  <c r="M28" i="21" s="1"/>
  <c r="C13" i="21"/>
  <c r="D13" i="21"/>
  <c r="G13" i="21"/>
  <c r="H13" i="21"/>
  <c r="D29" i="21" s="1"/>
  <c r="E14" i="21"/>
  <c r="I14" i="21"/>
  <c r="M14" i="21"/>
  <c r="H30" i="21" s="1"/>
  <c r="E15" i="21"/>
  <c r="I15" i="21"/>
  <c r="M15" i="21"/>
  <c r="H31" i="21" s="1"/>
  <c r="D8" i="19"/>
  <c r="F8" i="19"/>
  <c r="H8" i="19"/>
  <c r="S8" i="19"/>
  <c r="T8" i="19" s="1"/>
  <c r="U8" i="19"/>
  <c r="V8" i="19"/>
  <c r="D9" i="19"/>
  <c r="F9" i="19"/>
  <c r="H9" i="19"/>
  <c r="S9" i="19"/>
  <c r="T9" i="19" s="1"/>
  <c r="U9" i="19"/>
  <c r="V9" i="19"/>
  <c r="AC9" i="19"/>
  <c r="D10" i="19"/>
  <c r="F10" i="19"/>
  <c r="H10" i="19"/>
  <c r="S10" i="19"/>
  <c r="S14" i="19" s="1"/>
  <c r="U10" i="19"/>
  <c r="V10" i="19"/>
  <c r="D11" i="19"/>
  <c r="F11" i="19"/>
  <c r="H11" i="19"/>
  <c r="U11" i="19"/>
  <c r="V11" i="19"/>
  <c r="R12" i="19"/>
  <c r="U12" i="19"/>
  <c r="S12" i="19"/>
  <c r="Y12" i="19"/>
  <c r="Y49" i="19" s="1"/>
  <c r="AB12" i="19"/>
  <c r="U13" i="19"/>
  <c r="V13" i="19"/>
  <c r="R14" i="19"/>
  <c r="V14" i="19" s="1"/>
  <c r="AB14" i="19"/>
  <c r="D16" i="19"/>
  <c r="F16" i="19"/>
  <c r="G16" i="19"/>
  <c r="S16" i="19"/>
  <c r="T16" i="19" s="1"/>
  <c r="U16" i="19"/>
  <c r="V16" i="19"/>
  <c r="AC16" i="19"/>
  <c r="D17" i="19"/>
  <c r="F17" i="19"/>
  <c r="H17" i="19"/>
  <c r="S17" i="19"/>
  <c r="T17" i="19" s="1"/>
  <c r="U17" i="19"/>
  <c r="V17" i="19"/>
  <c r="AC17" i="19"/>
  <c r="D18" i="19"/>
  <c r="F18" i="19"/>
  <c r="H18" i="19"/>
  <c r="S18" i="19"/>
  <c r="U18" i="19"/>
  <c r="V18" i="19"/>
  <c r="AC18" i="19"/>
  <c r="D19" i="19"/>
  <c r="F19" i="19"/>
  <c r="H19" i="19"/>
  <c r="S19" i="19"/>
  <c r="T19" i="19" s="1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 s="1"/>
  <c r="U21" i="19"/>
  <c r="V21" i="19"/>
  <c r="D22" i="19"/>
  <c r="F22" i="19"/>
  <c r="H22" i="19"/>
  <c r="S22" i="19"/>
  <c r="T22" i="19" s="1"/>
  <c r="U22" i="19"/>
  <c r="V22" i="19"/>
  <c r="D23" i="19"/>
  <c r="F23" i="19"/>
  <c r="H23" i="19"/>
  <c r="S23" i="19"/>
  <c r="T23" i="19" s="1"/>
  <c r="U23" i="19"/>
  <c r="V23" i="19"/>
  <c r="AC23" i="19"/>
  <c r="D24" i="19"/>
  <c r="F24" i="19"/>
  <c r="H24" i="19"/>
  <c r="S24" i="19"/>
  <c r="T24" i="19" s="1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M27" i="19" s="1"/>
  <c r="S27" i="19"/>
  <c r="U27" i="19"/>
  <c r="V27" i="19"/>
  <c r="AC27" i="19"/>
  <c r="D28" i="19"/>
  <c r="F28" i="19"/>
  <c r="H28" i="19"/>
  <c r="S28" i="19"/>
  <c r="T28" i="19" s="1"/>
  <c r="U28" i="19"/>
  <c r="V28" i="19"/>
  <c r="D29" i="19"/>
  <c r="F29" i="19"/>
  <c r="H29" i="19"/>
  <c r="S29" i="19"/>
  <c r="T29" i="19" s="1"/>
  <c r="U29" i="19"/>
  <c r="V29" i="19"/>
  <c r="AC29" i="19"/>
  <c r="D30" i="19"/>
  <c r="F30" i="19"/>
  <c r="G30" i="19"/>
  <c r="H30" i="19" s="1"/>
  <c r="S30" i="19"/>
  <c r="T30" i="19"/>
  <c r="U30" i="19"/>
  <c r="V30" i="19"/>
  <c r="AC30" i="19"/>
  <c r="D31" i="19"/>
  <c r="F31" i="19"/>
  <c r="H31" i="19"/>
  <c r="S31" i="19"/>
  <c r="T31" i="19"/>
  <c r="U31" i="19"/>
  <c r="V31" i="19"/>
  <c r="AC31" i="19"/>
  <c r="D32" i="19"/>
  <c r="F32" i="19"/>
  <c r="H32" i="19"/>
  <c r="S32" i="19"/>
  <c r="T32" i="19"/>
  <c r="U32" i="19"/>
  <c r="V32" i="19"/>
  <c r="D33" i="19"/>
  <c r="F33" i="19"/>
  <c r="H33" i="19"/>
  <c r="S33" i="19"/>
  <c r="T33" i="19" s="1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 s="1"/>
  <c r="U35" i="19"/>
  <c r="V35" i="19"/>
  <c r="AC35" i="19"/>
  <c r="D36" i="19"/>
  <c r="F36" i="19"/>
  <c r="H36" i="19"/>
  <c r="S36" i="19"/>
  <c r="T36" i="19" s="1"/>
  <c r="U36" i="19"/>
  <c r="V36" i="19"/>
  <c r="AC36" i="19"/>
  <c r="B37" i="19"/>
  <c r="B49" i="19" s="1"/>
  <c r="F37" i="19"/>
  <c r="H37" i="19"/>
  <c r="S37" i="19"/>
  <c r="T37" i="19" s="1"/>
  <c r="U37" i="19"/>
  <c r="V37" i="19"/>
  <c r="AC37" i="19"/>
  <c r="D38" i="19"/>
  <c r="F38" i="19"/>
  <c r="H38" i="19"/>
  <c r="S38" i="19"/>
  <c r="T38" i="19" s="1"/>
  <c r="U38" i="19"/>
  <c r="V38" i="19"/>
  <c r="D39" i="19"/>
  <c r="F39" i="19"/>
  <c r="H39" i="19"/>
  <c r="S39" i="19"/>
  <c r="U39" i="19"/>
  <c r="V39" i="19"/>
  <c r="AC39" i="19"/>
  <c r="D40" i="19"/>
  <c r="U40" i="19"/>
  <c r="V40" i="19"/>
  <c r="S41" i="19"/>
  <c r="AC41" i="19" s="1"/>
  <c r="AE41" i="19" s="1"/>
  <c r="AN41" i="19" s="1"/>
  <c r="U41" i="19"/>
  <c r="V41" i="19"/>
  <c r="D42" i="19"/>
  <c r="S42" i="19"/>
  <c r="AC42" i="19" s="1"/>
  <c r="U42" i="19"/>
  <c r="V42" i="19"/>
  <c r="U43" i="19"/>
  <c r="V43" i="19"/>
  <c r="U44" i="19"/>
  <c r="V44" i="19"/>
  <c r="D45" i="19"/>
  <c r="U45" i="19"/>
  <c r="V45" i="19"/>
  <c r="U46" i="19"/>
  <c r="V46" i="19"/>
  <c r="D47" i="19"/>
  <c r="U47" i="19"/>
  <c r="V47" i="19"/>
  <c r="C49" i="19"/>
  <c r="E49" i="19"/>
  <c r="R49" i="19"/>
  <c r="AB49" i="19"/>
  <c r="Y58" i="19"/>
  <c r="AC13" i="19" s="1"/>
  <c r="C60" i="19"/>
  <c r="B59" i="19" s="1"/>
  <c r="D60" i="19"/>
  <c r="E60" i="19"/>
  <c r="F60" i="19"/>
  <c r="G60" i="19"/>
  <c r="H59" i="19" s="1"/>
  <c r="R60" i="19"/>
  <c r="V60" i="19"/>
  <c r="U56" i="19" s="1"/>
  <c r="X60" i="19"/>
  <c r="W58" i="19" s="1"/>
  <c r="B7" i="32"/>
  <c r="D7" i="32" s="1"/>
  <c r="B8" i="32"/>
  <c r="D8" i="32"/>
  <c r="B9" i="32"/>
  <c r="D9" i="32" s="1"/>
  <c r="B10" i="32"/>
  <c r="C11" i="32"/>
  <c r="C24" i="32"/>
  <c r="F8" i="17"/>
  <c r="G8" i="17"/>
  <c r="K8" i="17" s="1"/>
  <c r="M8" i="17"/>
  <c r="P8" i="17"/>
  <c r="S8" i="17"/>
  <c r="V8" i="17"/>
  <c r="X8" i="17"/>
  <c r="Y8" i="17"/>
  <c r="AA8" i="17"/>
  <c r="AB8" i="17"/>
  <c r="AL8" i="17"/>
  <c r="AU8" i="17"/>
  <c r="AW8" i="17"/>
  <c r="AX8" i="17"/>
  <c r="AZ8" i="17"/>
  <c r="BA8" i="17"/>
  <c r="BC8" i="17"/>
  <c r="H9" i="17"/>
  <c r="K9" i="17"/>
  <c r="N9" i="17"/>
  <c r="R9" i="17"/>
  <c r="W9" i="17"/>
  <c r="Z9" i="17"/>
  <c r="AF9" i="17"/>
  <c r="AG9" i="17"/>
  <c r="AV9" i="17"/>
  <c r="AY9" i="17"/>
  <c r="BB9" i="17"/>
  <c r="BD9" i="17"/>
  <c r="H10" i="17"/>
  <c r="H8" i="17" s="1"/>
  <c r="K10" i="17"/>
  <c r="N10" i="17"/>
  <c r="Q10" i="17"/>
  <c r="W10" i="17"/>
  <c r="Z10" i="17"/>
  <c r="AE10" i="17" s="1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N11" i="17" s="1"/>
  <c r="AV11" i="17"/>
  <c r="AY11" i="17"/>
  <c r="BB11" i="17"/>
  <c r="BD11" i="17"/>
  <c r="O12" i="17"/>
  <c r="R12" i="17"/>
  <c r="U12" i="17"/>
  <c r="X12" i="17"/>
  <c r="AD12" i="17"/>
  <c r="AE12" i="17"/>
  <c r="AF12" i="17"/>
  <c r="O39" i="7" s="1"/>
  <c r="AM12" i="17"/>
  <c r="AV12" i="17"/>
  <c r="AY12" i="17"/>
  <c r="BB12" i="17"/>
  <c r="BD12" i="17"/>
  <c r="F14" i="17"/>
  <c r="G14" i="17"/>
  <c r="K14" i="17" s="1"/>
  <c r="M14" i="17"/>
  <c r="P14" i="17"/>
  <c r="S14" i="17"/>
  <c r="V14" i="17"/>
  <c r="X14" i="17"/>
  <c r="Y14" i="17"/>
  <c r="AA14" i="17"/>
  <c r="AB14" i="17"/>
  <c r="AL14" i="17"/>
  <c r="AU14" i="17"/>
  <c r="AW14" i="17"/>
  <c r="AX14" i="17"/>
  <c r="AZ14" i="17"/>
  <c r="BA14" i="17"/>
  <c r="BC14" i="17"/>
  <c r="H15" i="17"/>
  <c r="K15" i="17"/>
  <c r="N15" i="17"/>
  <c r="Q15" i="17"/>
  <c r="T15" i="17"/>
  <c r="AM15" i="17" s="1"/>
  <c r="W15" i="17"/>
  <c r="Z15" i="17"/>
  <c r="AE15" i="17" s="1"/>
  <c r="AF15" i="17"/>
  <c r="AV15" i="17"/>
  <c r="AY15" i="17"/>
  <c r="BB15" i="17"/>
  <c r="BD15" i="17"/>
  <c r="H16" i="17"/>
  <c r="K16" i="17"/>
  <c r="O16" i="17"/>
  <c r="R16" i="17"/>
  <c r="U16" i="17"/>
  <c r="W16" i="17"/>
  <c r="Z16" i="17"/>
  <c r="AE16" i="17" s="1"/>
  <c r="AD16" i="17"/>
  <c r="AF16" i="17"/>
  <c r="AM16" i="17"/>
  <c r="T33" i="17" s="1"/>
  <c r="AV16" i="17"/>
  <c r="AY16" i="17"/>
  <c r="BB16" i="17"/>
  <c r="BD16" i="17"/>
  <c r="N17" i="17"/>
  <c r="Q17" i="17"/>
  <c r="U17" i="17"/>
  <c r="W17" i="17"/>
  <c r="Z17" i="17"/>
  <c r="AE17" i="17" s="1"/>
  <c r="AD17" i="17"/>
  <c r="AF17" i="17"/>
  <c r="AM17" i="17"/>
  <c r="AP17" i="17" s="1"/>
  <c r="P29" i="8" s="1"/>
  <c r="AV17" i="17"/>
  <c r="AY17" i="17"/>
  <c r="BB17" i="17"/>
  <c r="BD17" i="17"/>
  <c r="O18" i="17"/>
  <c r="R18" i="17"/>
  <c r="U18" i="17"/>
  <c r="W18" i="17"/>
  <c r="Z18" i="17"/>
  <c r="AE18" i="17" s="1"/>
  <c r="AD18" i="17"/>
  <c r="AF18" i="17"/>
  <c r="AM18" i="17"/>
  <c r="AP18" i="17" s="1"/>
  <c r="AV18" i="17"/>
  <c r="AY18" i="17"/>
  <c r="BB18" i="17"/>
  <c r="BD18" i="17"/>
  <c r="F24" i="17"/>
  <c r="G24" i="17"/>
  <c r="K24" i="17" s="1"/>
  <c r="M24" i="17"/>
  <c r="O24" i="17"/>
  <c r="AU24" i="17"/>
  <c r="AW24" i="17"/>
  <c r="H25" i="17"/>
  <c r="K25" i="17"/>
  <c r="N25" i="17"/>
  <c r="S25" i="17"/>
  <c r="AV25" i="17"/>
  <c r="BH25" i="17" s="1"/>
  <c r="AZ25" i="17"/>
  <c r="H26" i="17"/>
  <c r="K26" i="17"/>
  <c r="N26" i="17"/>
  <c r="S26" i="17"/>
  <c r="AV26" i="17"/>
  <c r="BH26" i="17" s="1"/>
  <c r="AZ26" i="17"/>
  <c r="N27" i="17"/>
  <c r="P27" i="17" s="1"/>
  <c r="S27" i="17"/>
  <c r="AV27" i="17"/>
  <c r="BH27" i="17" s="1"/>
  <c r="AZ27" i="17"/>
  <c r="N28" i="17"/>
  <c r="S28" i="17"/>
  <c r="AV28" i="17"/>
  <c r="BH28" i="17" s="1"/>
  <c r="AZ28" i="17"/>
  <c r="F31" i="17"/>
  <c r="G31" i="17"/>
  <c r="K31" i="17" s="1"/>
  <c r="M31" i="17"/>
  <c r="O31" i="17"/>
  <c r="S31" i="17"/>
  <c r="AU31" i="17"/>
  <c r="AW31" i="17"/>
  <c r="H32" i="17"/>
  <c r="K32" i="17"/>
  <c r="N32" i="17"/>
  <c r="AV32" i="17"/>
  <c r="AZ32" i="17"/>
  <c r="H33" i="17"/>
  <c r="K33" i="17"/>
  <c r="N33" i="17"/>
  <c r="AV33" i="17"/>
  <c r="AY33" i="17" s="1"/>
  <c r="AZ33" i="17"/>
  <c r="N34" i="17"/>
  <c r="AV34" i="17"/>
  <c r="AZ34" i="17"/>
  <c r="N35" i="17"/>
  <c r="AV35" i="17"/>
  <c r="BH35" i="17" s="1"/>
  <c r="AZ35" i="17"/>
  <c r="F9" i="33"/>
  <c r="H9" i="33"/>
  <c r="G10" i="33"/>
  <c r="I10" i="33" s="1"/>
  <c r="G11" i="33"/>
  <c r="I11" i="33" s="1"/>
  <c r="G12" i="33"/>
  <c r="I12" i="33" s="1"/>
  <c r="G13" i="33"/>
  <c r="I13" i="33" s="1"/>
  <c r="F15" i="33"/>
  <c r="H15" i="33"/>
  <c r="G16" i="33"/>
  <c r="I16" i="33" s="1"/>
  <c r="G17" i="33"/>
  <c r="I17" i="33" s="1"/>
  <c r="G18" i="33"/>
  <c r="I18" i="33" s="1"/>
  <c r="G19" i="33"/>
  <c r="I19" i="33" s="1"/>
  <c r="D7" i="11"/>
  <c r="H7" i="11"/>
  <c r="N7" i="11" s="1"/>
  <c r="O7" i="11"/>
  <c r="S7" i="11"/>
  <c r="U7" i="11"/>
  <c r="W7" i="11"/>
  <c r="AA7" i="11"/>
  <c r="AB7" i="11"/>
  <c r="AI7" i="11"/>
  <c r="AJ7" i="11" s="1"/>
  <c r="AM7" i="11"/>
  <c r="AN7" i="11"/>
  <c r="M29" i="11" s="1"/>
  <c r="N29" i="11" s="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 s="1"/>
  <c r="D9" i="11"/>
  <c r="H9" i="11"/>
  <c r="M9" i="11"/>
  <c r="S9" i="11"/>
  <c r="U9" i="11"/>
  <c r="W9" i="11"/>
  <c r="AA9" i="11"/>
  <c r="AB9" i="11"/>
  <c r="AI9" i="11"/>
  <c r="AJ9" i="11" s="1"/>
  <c r="AM9" i="11"/>
  <c r="AN9" i="11"/>
  <c r="M31" i="11" s="1"/>
  <c r="N31" i="11" s="1"/>
  <c r="BJ9" i="11"/>
  <c r="BK9" i="11"/>
  <c r="D10" i="11"/>
  <c r="H10" i="11"/>
  <c r="N10" i="11" s="1"/>
  <c r="O10" i="11"/>
  <c r="S10" i="11"/>
  <c r="U10" i="11"/>
  <c r="W10" i="11"/>
  <c r="AA10" i="11"/>
  <c r="AB10" i="11"/>
  <c r="AI10" i="11"/>
  <c r="AJ10" i="11" s="1"/>
  <c r="AM10" i="11"/>
  <c r="AN10" i="11"/>
  <c r="M32" i="11" s="1"/>
  <c r="N32" i="11" s="1"/>
  <c r="BJ10" i="11"/>
  <c r="BK10" i="11"/>
  <c r="D11" i="11"/>
  <c r="H11" i="11"/>
  <c r="N11" i="11" s="1"/>
  <c r="O11" i="11"/>
  <c r="S11" i="11"/>
  <c r="U11" i="11"/>
  <c r="W11" i="11"/>
  <c r="AA11" i="11"/>
  <c r="AB11" i="11"/>
  <c r="AI11" i="11"/>
  <c r="AJ11" i="11" s="1"/>
  <c r="AM11" i="11"/>
  <c r="AN11" i="11"/>
  <c r="M33" i="11" s="1"/>
  <c r="N33" i="11" s="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 s="1"/>
  <c r="S19" i="11"/>
  <c r="AB19" i="11"/>
  <c r="AB22" i="11" s="1"/>
  <c r="AI19" i="11"/>
  <c r="AJ19" i="11" s="1"/>
  <c r="AM19" i="11"/>
  <c r="AN19" i="11"/>
  <c r="M42" i="11" s="1"/>
  <c r="E22" i="11"/>
  <c r="J22" i="11"/>
  <c r="W22" i="11"/>
  <c r="AO22" i="11"/>
  <c r="BL22" i="11"/>
  <c r="BJ23" i="11"/>
  <c r="BJ19" i="11" s="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X32" i="11"/>
  <c r="AI32" i="11"/>
  <c r="I33" i="11"/>
  <c r="J33" i="11"/>
  <c r="S33" i="11"/>
  <c r="AI33" i="11"/>
  <c r="AJ33" i="11" s="1"/>
  <c r="AP38" i="11"/>
  <c r="AK39" i="11"/>
  <c r="Q40" i="11"/>
  <c r="Q29" i="11" s="1"/>
  <c r="S41" i="11"/>
  <c r="J42" i="11"/>
  <c r="J45" i="11" s="1"/>
  <c r="K42" i="11"/>
  <c r="S42" i="11"/>
  <c r="X42" i="11"/>
  <c r="AJ42" i="11"/>
  <c r="AK42" i="11"/>
  <c r="AK45" i="11" s="1"/>
  <c r="AN42" i="11"/>
  <c r="S43" i="11"/>
  <c r="AP44" i="11"/>
  <c r="BC44" i="11" s="1"/>
  <c r="G46" i="11"/>
  <c r="Q46" i="11"/>
  <c r="F7" i="10"/>
  <c r="G7" i="10"/>
  <c r="AA10" i="7"/>
  <c r="O7" i="10"/>
  <c r="V7" i="10" s="1"/>
  <c r="F8" i="10"/>
  <c r="G8" i="10"/>
  <c r="AA20" i="7"/>
  <c r="O8" i="10"/>
  <c r="V8" i="10" s="1"/>
  <c r="F9" i="10"/>
  <c r="G9" i="10"/>
  <c r="AA29" i="7" s="1"/>
  <c r="O9" i="10"/>
  <c r="V9" i="10" s="1"/>
  <c r="F10" i="10"/>
  <c r="G10" i="10"/>
  <c r="AA36" i="7" s="1"/>
  <c r="O10" i="10"/>
  <c r="V10" i="10" s="1"/>
  <c r="E13" i="10"/>
  <c r="F13" i="10" s="1"/>
  <c r="H13" i="10"/>
  <c r="J13" i="10"/>
  <c r="M13" i="10"/>
  <c r="F14" i="10"/>
  <c r="G14" i="10"/>
  <c r="Y10" i="8" s="1"/>
  <c r="O14" i="10"/>
  <c r="F15" i="10"/>
  <c r="G15" i="10"/>
  <c r="Y20" i="8" s="1"/>
  <c r="O15" i="10"/>
  <c r="F16" i="10"/>
  <c r="G16" i="10"/>
  <c r="Y32" i="8" s="1"/>
  <c r="O16" i="10"/>
  <c r="F17" i="10"/>
  <c r="G17" i="10"/>
  <c r="Y35" i="8" s="1"/>
  <c r="O17" i="10"/>
  <c r="E18" i="10"/>
  <c r="H18" i="10"/>
  <c r="J18" i="10"/>
  <c r="J19" i="10"/>
  <c r="M18" i="10"/>
  <c r="B9" i="9"/>
  <c r="I9" i="9"/>
  <c r="I20" i="9" s="1"/>
  <c r="M9" i="9"/>
  <c r="N9" i="9" s="1"/>
  <c r="Q9" i="9"/>
  <c r="R9" i="9"/>
  <c r="W9" i="9" s="1"/>
  <c r="Y9" i="9"/>
  <c r="AH9" i="9"/>
  <c r="AK9" i="9"/>
  <c r="Q10" i="9"/>
  <c r="AH10" i="9"/>
  <c r="AK10" i="9"/>
  <c r="B11" i="9"/>
  <c r="I11" i="9"/>
  <c r="H11" i="9" s="1"/>
  <c r="M11" i="9"/>
  <c r="N11" i="9" s="1"/>
  <c r="Q11" i="9"/>
  <c r="S11" i="9"/>
  <c r="T11" i="9"/>
  <c r="Y11" i="9"/>
  <c r="AH11" i="9"/>
  <c r="AK11" i="9"/>
  <c r="M12" i="9"/>
  <c r="Q12" i="9"/>
  <c r="AH12" i="9"/>
  <c r="AK12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M14" i="9"/>
  <c r="N14" i="9" s="1"/>
  <c r="R14" i="9"/>
  <c r="W14" i="9" s="1"/>
  <c r="Y14" i="9"/>
  <c r="AH14" i="9"/>
  <c r="AH25" i="9" s="1"/>
  <c r="AK14" i="9"/>
  <c r="B15" i="9"/>
  <c r="I15" i="9"/>
  <c r="H15" i="9" s="1"/>
  <c r="M15" i="9"/>
  <c r="N15" i="9" s="1"/>
  <c r="R15" i="9"/>
  <c r="W15" i="9" s="1"/>
  <c r="Y15" i="9"/>
  <c r="AH15" i="9"/>
  <c r="AH26" i="9" s="1"/>
  <c r="Q62" i="9" s="1"/>
  <c r="AK15" i="9"/>
  <c r="M16" i="9"/>
  <c r="AH16" i="9"/>
  <c r="AI16" i="9"/>
  <c r="AI17" i="9" s="1"/>
  <c r="AK16" i="9"/>
  <c r="AL16" i="9"/>
  <c r="AL17" i="9"/>
  <c r="C17" i="9"/>
  <c r="D17" i="9"/>
  <c r="J17" i="9"/>
  <c r="L17" i="9"/>
  <c r="P17" i="9"/>
  <c r="Q17" i="9"/>
  <c r="O17" i="9" s="1"/>
  <c r="X17" i="9"/>
  <c r="AN17" i="9"/>
  <c r="AO17" i="9"/>
  <c r="AH19" i="9"/>
  <c r="AK19" i="9"/>
  <c r="L20" i="9"/>
  <c r="S20" i="9"/>
  <c r="AN20" i="9"/>
  <c r="I21" i="9"/>
  <c r="L21" i="9"/>
  <c r="L22" i="9" s="1"/>
  <c r="S21" i="9"/>
  <c r="AH21" i="9"/>
  <c r="AH22" i="9" s="1"/>
  <c r="Q59" i="9" s="1"/>
  <c r="AK21" i="9"/>
  <c r="AN22" i="9"/>
  <c r="AK24" i="9"/>
  <c r="L25" i="9"/>
  <c r="X25" i="9"/>
  <c r="AN25" i="9"/>
  <c r="L26" i="9"/>
  <c r="X26" i="9"/>
  <c r="AN26" i="9"/>
  <c r="S31" i="9"/>
  <c r="T31" i="9"/>
  <c r="R32" i="9"/>
  <c r="S33" i="9"/>
  <c r="T33" i="9"/>
  <c r="S36" i="9"/>
  <c r="T36" i="9"/>
  <c r="S37" i="9"/>
  <c r="S38" i="9"/>
  <c r="T37" i="9"/>
  <c r="T38" i="9" s="1"/>
  <c r="M48" i="9"/>
  <c r="N48" i="9" s="1"/>
  <c r="S48" i="9"/>
  <c r="AA48" i="9"/>
  <c r="M50" i="9"/>
  <c r="S50" i="9"/>
  <c r="AA50" i="9"/>
  <c r="L51" i="9"/>
  <c r="Y51" i="9"/>
  <c r="Z51" i="9"/>
  <c r="AI51" i="9"/>
  <c r="AJ51" i="9"/>
  <c r="N52" i="9"/>
  <c r="S52" i="9"/>
  <c r="AA52" i="9"/>
  <c r="N54" i="9"/>
  <c r="S54" i="9"/>
  <c r="AA54" i="9"/>
  <c r="L55" i="9"/>
  <c r="M55" i="9"/>
  <c r="Y55" i="9"/>
  <c r="Z55" i="9"/>
  <c r="AI55" i="9"/>
  <c r="AJ55" i="9"/>
  <c r="Z57" i="9"/>
  <c r="Z59" i="9"/>
  <c r="M60" i="9"/>
  <c r="M61" i="9" s="1"/>
  <c r="Q61" i="9"/>
  <c r="AN61" i="9" s="1"/>
  <c r="Z61" i="9"/>
  <c r="Z62" i="9"/>
  <c r="D9" i="6"/>
  <c r="F9" i="6"/>
  <c r="H9" i="6"/>
  <c r="M9" i="6"/>
  <c r="O9" i="6"/>
  <c r="Q9" i="6"/>
  <c r="R9" i="6"/>
  <c r="W9" i="6"/>
  <c r="X9" i="6"/>
  <c r="AV9" i="6"/>
  <c r="D12" i="6"/>
  <c r="F12" i="6"/>
  <c r="F13" i="6" s="1"/>
  <c r="H12" i="6"/>
  <c r="I12" i="6"/>
  <c r="M12" i="6"/>
  <c r="P12" i="6"/>
  <c r="R12" i="6" s="1"/>
  <c r="E13" i="6"/>
  <c r="G13" i="6"/>
  <c r="J13" i="6"/>
  <c r="K13" i="6"/>
  <c r="L13" i="6"/>
  <c r="N13" i="6"/>
  <c r="S13" i="6"/>
  <c r="T13" i="6"/>
  <c r="U13" i="6"/>
  <c r="AC13" i="6" s="1"/>
  <c r="V13" i="6"/>
  <c r="AB13" i="6"/>
  <c r="D14" i="6"/>
  <c r="F14" i="6"/>
  <c r="H14" i="6"/>
  <c r="M14" i="6"/>
  <c r="O14" i="6"/>
  <c r="Q14" i="6"/>
  <c r="R14" i="6"/>
  <c r="W14" i="6"/>
  <c r="X14" i="6"/>
  <c r="AC14" i="6" s="1"/>
  <c r="D15" i="6"/>
  <c r="F15" i="6"/>
  <c r="H15" i="6"/>
  <c r="M15" i="6"/>
  <c r="O15" i="6"/>
  <c r="Q15" i="6"/>
  <c r="R15" i="6"/>
  <c r="W15" i="6"/>
  <c r="X15" i="6"/>
  <c r="AC15" i="6"/>
  <c r="D16" i="6"/>
  <c r="F16" i="6"/>
  <c r="H16" i="6"/>
  <c r="M16" i="6"/>
  <c r="O16" i="6"/>
  <c r="Q16" i="6"/>
  <c r="R16" i="6"/>
  <c r="U16" i="6"/>
  <c r="W16" i="6"/>
  <c r="X16" i="6"/>
  <c r="AB16" i="6"/>
  <c r="AC16" i="6" s="1"/>
  <c r="B18" i="6"/>
  <c r="C18" i="6"/>
  <c r="E18" i="6"/>
  <c r="G18" i="6"/>
  <c r="I18" i="6"/>
  <c r="J18" i="6"/>
  <c r="K18" i="6"/>
  <c r="L18" i="6"/>
  <c r="M18" i="6" s="1"/>
  <c r="N18" i="6"/>
  <c r="P18" i="6"/>
  <c r="S18" i="6"/>
  <c r="T18" i="6"/>
  <c r="U18" i="6"/>
  <c r="V18" i="6"/>
  <c r="W18" i="6" s="1"/>
  <c r="AB18" i="6"/>
  <c r="D19" i="6"/>
  <c r="F19" i="6"/>
  <c r="H19" i="6"/>
  <c r="M19" i="6"/>
  <c r="O19" i="6"/>
  <c r="Q19" i="6"/>
  <c r="R19" i="6"/>
  <c r="W19" i="6"/>
  <c r="X19" i="6"/>
  <c r="AC19" i="6" s="1"/>
  <c r="D20" i="6"/>
  <c r="F20" i="6"/>
  <c r="H20" i="6"/>
  <c r="M20" i="6"/>
  <c r="O20" i="6"/>
  <c r="Q20" i="6"/>
  <c r="R20" i="6"/>
  <c r="W20" i="6"/>
  <c r="X20" i="6"/>
  <c r="AC20" i="6" s="1"/>
  <c r="D21" i="6"/>
  <c r="F21" i="6"/>
  <c r="H21" i="6"/>
  <c r="M21" i="6"/>
  <c r="O21" i="6"/>
  <c r="Q21" i="6"/>
  <c r="R21" i="6"/>
  <c r="W21" i="6"/>
  <c r="X21" i="6"/>
  <c r="AD21" i="6" s="1"/>
  <c r="D22" i="6"/>
  <c r="F22" i="6"/>
  <c r="H22" i="6"/>
  <c r="M22" i="6"/>
  <c r="O22" i="6"/>
  <c r="Q22" i="6"/>
  <c r="R22" i="6"/>
  <c r="W22" i="6"/>
  <c r="X22" i="6"/>
  <c r="AC22" i="6"/>
  <c r="P23" i="6"/>
  <c r="Q23" i="6" s="1"/>
  <c r="AD23" i="6"/>
  <c r="D24" i="6"/>
  <c r="F24" i="6"/>
  <c r="H24" i="6"/>
  <c r="M24" i="6"/>
  <c r="O24" i="6"/>
  <c r="Q24" i="6"/>
  <c r="R24" i="6"/>
  <c r="W24" i="6"/>
  <c r="X24" i="6"/>
  <c r="AC24" i="6"/>
  <c r="B25" i="6"/>
  <c r="C25" i="6"/>
  <c r="G25" i="6"/>
  <c r="J25" i="6"/>
  <c r="K25" i="6"/>
  <c r="L25" i="6"/>
  <c r="N25" i="6"/>
  <c r="S25" i="6"/>
  <c r="T25" i="6"/>
  <c r="U25" i="6"/>
  <c r="V25" i="6"/>
  <c r="AB25" i="6"/>
  <c r="D26" i="6"/>
  <c r="F26" i="6"/>
  <c r="H26" i="6"/>
  <c r="M26" i="6"/>
  <c r="O26" i="6"/>
  <c r="Q26" i="6"/>
  <c r="R26" i="6"/>
  <c r="W26" i="6"/>
  <c r="X26" i="6"/>
  <c r="AC26" i="6"/>
  <c r="D27" i="6"/>
  <c r="F27" i="6"/>
  <c r="H27" i="6"/>
  <c r="M27" i="6"/>
  <c r="O27" i="6"/>
  <c r="Q27" i="6"/>
  <c r="R27" i="6"/>
  <c r="W27" i="6"/>
  <c r="X27" i="6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Q29" i="6" s="1"/>
  <c r="M29" i="6"/>
  <c r="R29" i="6"/>
  <c r="W29" i="6"/>
  <c r="X29" i="6"/>
  <c r="AC29" i="6"/>
  <c r="D30" i="6"/>
  <c r="F30" i="6"/>
  <c r="H30" i="6"/>
  <c r="M30" i="6"/>
  <c r="O30" i="6"/>
  <c r="Q30" i="6"/>
  <c r="R30" i="6"/>
  <c r="W30" i="6"/>
  <c r="X30" i="6"/>
  <c r="AC30" i="6"/>
  <c r="D31" i="6"/>
  <c r="F31" i="6"/>
  <c r="H31" i="6"/>
  <c r="M31" i="6"/>
  <c r="O31" i="6"/>
  <c r="Q31" i="6"/>
  <c r="R31" i="6"/>
  <c r="W31" i="6"/>
  <c r="X31" i="6"/>
  <c r="AC31" i="6" s="1"/>
  <c r="D32" i="6"/>
  <c r="F32" i="6"/>
  <c r="H32" i="6"/>
  <c r="M32" i="6"/>
  <c r="O32" i="6"/>
  <c r="Q32" i="6"/>
  <c r="R32" i="6"/>
  <c r="W32" i="6"/>
  <c r="X32" i="6"/>
  <c r="D33" i="6"/>
  <c r="F33" i="6"/>
  <c r="H33" i="6"/>
  <c r="M33" i="6"/>
  <c r="O33" i="6"/>
  <c r="Q33" i="6"/>
  <c r="R33" i="6"/>
  <c r="W33" i="6"/>
  <c r="X33" i="6"/>
  <c r="AC33" i="6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 s="1"/>
  <c r="M39" i="6"/>
  <c r="O39" i="6"/>
  <c r="Q39" i="6"/>
  <c r="R39" i="6"/>
  <c r="W39" i="6"/>
  <c r="X39" i="6"/>
  <c r="AD39" i="6" s="1"/>
  <c r="D40" i="6"/>
  <c r="F40" i="6"/>
  <c r="H40" i="6"/>
  <c r="I40" i="6"/>
  <c r="O40" i="6" s="1"/>
  <c r="M40" i="6"/>
  <c r="R40" i="6"/>
  <c r="W40" i="6"/>
  <c r="X40" i="6"/>
  <c r="AC40" i="6"/>
  <c r="E41" i="6"/>
  <c r="E25" i="6" s="1"/>
  <c r="M41" i="6"/>
  <c r="O41" i="6"/>
  <c r="Q41" i="6"/>
  <c r="X41" i="6"/>
  <c r="M42" i="6"/>
  <c r="W42" i="6"/>
  <c r="X42" i="6"/>
  <c r="AC42" i="6" s="1"/>
  <c r="M43" i="6"/>
  <c r="X43" i="6"/>
  <c r="AC43" i="6"/>
  <c r="M44" i="6"/>
  <c r="P44" i="6"/>
  <c r="P25" i="6" s="1"/>
  <c r="N47" i="6"/>
  <c r="N48" i="6"/>
  <c r="N49" i="6"/>
  <c r="D8" i="5"/>
  <c r="F8" i="5"/>
  <c r="H8" i="5"/>
  <c r="M8" i="5"/>
  <c r="O8" i="5"/>
  <c r="Q8" i="5"/>
  <c r="R8" i="5"/>
  <c r="V8" i="5"/>
  <c r="W8" i="5"/>
  <c r="AB8" i="5"/>
  <c r="D11" i="5"/>
  <c r="F11" i="5"/>
  <c r="H11" i="5"/>
  <c r="I11" i="5"/>
  <c r="M11" i="5"/>
  <c r="O11" i="5"/>
  <c r="R11" i="5"/>
  <c r="V11" i="5"/>
  <c r="E12" i="5"/>
  <c r="G12" i="5"/>
  <c r="J12" i="5"/>
  <c r="K12" i="5"/>
  <c r="L12" i="5"/>
  <c r="N12" i="5"/>
  <c r="P12" i="5"/>
  <c r="S12" i="5"/>
  <c r="T12" i="5"/>
  <c r="U12" i="5"/>
  <c r="X12" i="5"/>
  <c r="AA12" i="5" s="1"/>
  <c r="Y12" i="5"/>
  <c r="AB12" i="5" s="1"/>
  <c r="AB11" i="5" s="1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N17" i="5"/>
  <c r="P17" i="5"/>
  <c r="S17" i="5"/>
  <c r="T17" i="5"/>
  <c r="U17" i="5"/>
  <c r="X17" i="5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B19" i="5"/>
  <c r="D20" i="5"/>
  <c r="F20" i="5"/>
  <c r="H20" i="5"/>
  <c r="M20" i="5"/>
  <c r="O20" i="5"/>
  <c r="Q20" i="5"/>
  <c r="R20" i="5"/>
  <c r="V20" i="5"/>
  <c r="W20" i="5"/>
  <c r="AB20" i="5" s="1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D23" i="5"/>
  <c r="F23" i="5"/>
  <c r="H23" i="5"/>
  <c r="M23" i="5"/>
  <c r="O23" i="5"/>
  <c r="Q23" i="5"/>
  <c r="R23" i="5"/>
  <c r="V23" i="5"/>
  <c r="W23" i="5"/>
  <c r="AC23" i="5"/>
  <c r="W24" i="5"/>
  <c r="AB24" i="5"/>
  <c r="D25" i="5"/>
  <c r="F25" i="5"/>
  <c r="H25" i="5"/>
  <c r="M25" i="5"/>
  <c r="O25" i="5"/>
  <c r="Q25" i="5"/>
  <c r="R25" i="5"/>
  <c r="V25" i="5"/>
  <c r="B26" i="5"/>
  <c r="C26" i="5"/>
  <c r="E26" i="5"/>
  <c r="G26" i="5"/>
  <c r="J26" i="5"/>
  <c r="L26" i="5"/>
  <c r="N26" i="5"/>
  <c r="P26" i="5"/>
  <c r="S26" i="5"/>
  <c r="T26" i="5"/>
  <c r="D27" i="5"/>
  <c r="F27" i="5"/>
  <c r="H27" i="5"/>
  <c r="M27" i="5"/>
  <c r="O27" i="5"/>
  <c r="Q27" i="5"/>
  <c r="R27" i="5"/>
  <c r="V27" i="5"/>
  <c r="W27" i="5"/>
  <c r="D28" i="5"/>
  <c r="F28" i="5"/>
  <c r="H28" i="5"/>
  <c r="M28" i="5"/>
  <c r="O28" i="5"/>
  <c r="Q28" i="5"/>
  <c r="R28" i="5"/>
  <c r="V28" i="5"/>
  <c r="W28" i="5"/>
  <c r="AC28" i="5" s="1"/>
  <c r="D29" i="5"/>
  <c r="F29" i="5"/>
  <c r="H29" i="5"/>
  <c r="M29" i="5"/>
  <c r="Q29" i="5"/>
  <c r="V29" i="5"/>
  <c r="W29" i="5"/>
  <c r="AC29" i="5" s="1"/>
  <c r="D30" i="5"/>
  <c r="F30" i="5"/>
  <c r="H30" i="5"/>
  <c r="M30" i="5"/>
  <c r="O30" i="5"/>
  <c r="Q30" i="5"/>
  <c r="R30" i="5"/>
  <c r="V30" i="5"/>
  <c r="W30" i="5"/>
  <c r="AB30" i="5"/>
  <c r="D31" i="5"/>
  <c r="F31" i="5"/>
  <c r="H31" i="5"/>
  <c r="M31" i="5"/>
  <c r="O31" i="5"/>
  <c r="Q31" i="5"/>
  <c r="R31" i="5"/>
  <c r="V31" i="5"/>
  <c r="W31" i="5"/>
  <c r="AB31" i="5"/>
  <c r="D33" i="5"/>
  <c r="F33" i="5"/>
  <c r="H33" i="5"/>
  <c r="M33" i="5"/>
  <c r="O33" i="5"/>
  <c r="Q33" i="5"/>
  <c r="R33" i="5"/>
  <c r="V33" i="5"/>
  <c r="W33" i="5"/>
  <c r="D34" i="5"/>
  <c r="F34" i="5"/>
  <c r="H34" i="5"/>
  <c r="M34" i="5"/>
  <c r="O34" i="5"/>
  <c r="Q34" i="5"/>
  <c r="R34" i="5"/>
  <c r="V34" i="5"/>
  <c r="W34" i="5"/>
  <c r="AB34" i="5"/>
  <c r="D35" i="5"/>
  <c r="F35" i="5"/>
  <c r="H35" i="5"/>
  <c r="M35" i="5"/>
  <c r="O35" i="5"/>
  <c r="Q35" i="5"/>
  <c r="R35" i="5"/>
  <c r="V35" i="5"/>
  <c r="W35" i="5"/>
  <c r="AC35" i="5" s="1"/>
  <c r="D36" i="5"/>
  <c r="F36" i="5"/>
  <c r="H36" i="5"/>
  <c r="M36" i="5"/>
  <c r="O36" i="5"/>
  <c r="Q36" i="5"/>
  <c r="R36" i="5"/>
  <c r="V36" i="5"/>
  <c r="W36" i="5"/>
  <c r="D37" i="5"/>
  <c r="F37" i="5"/>
  <c r="H37" i="5"/>
  <c r="M37" i="5"/>
  <c r="O37" i="5"/>
  <c r="R37" i="5"/>
  <c r="W37" i="5"/>
  <c r="D39" i="5"/>
  <c r="F39" i="5"/>
  <c r="H39" i="5"/>
  <c r="M39" i="5"/>
  <c r="O39" i="5"/>
  <c r="Q39" i="5"/>
  <c r="R39" i="5"/>
  <c r="V39" i="5"/>
  <c r="W39" i="5"/>
  <c r="AB39" i="5" s="1"/>
  <c r="D40" i="5"/>
  <c r="F40" i="5"/>
  <c r="H40" i="5"/>
  <c r="M40" i="5"/>
  <c r="O40" i="5"/>
  <c r="Q40" i="5"/>
  <c r="R40" i="5"/>
  <c r="V40" i="5"/>
  <c r="W40" i="5"/>
  <c r="AB40" i="5"/>
  <c r="D41" i="5"/>
  <c r="F41" i="5"/>
  <c r="M41" i="5"/>
  <c r="Q41" i="5"/>
  <c r="R41" i="5"/>
  <c r="W41" i="5"/>
  <c r="I42" i="5"/>
  <c r="I26" i="5"/>
  <c r="R42" i="5"/>
  <c r="W42" i="5"/>
  <c r="K43" i="5"/>
  <c r="K26" i="5"/>
  <c r="R43" i="5"/>
  <c r="W43" i="5"/>
  <c r="U48" i="5"/>
  <c r="U49" i="5"/>
  <c r="U50" i="5"/>
  <c r="U51" i="5"/>
  <c r="B8" i="8"/>
  <c r="C8" i="8"/>
  <c r="L16" i="8"/>
  <c r="M16" i="8" s="1"/>
  <c r="T8" i="8"/>
  <c r="V8" i="8"/>
  <c r="AA8" i="8"/>
  <c r="D9" i="8"/>
  <c r="F9" i="8"/>
  <c r="H9" i="8"/>
  <c r="I9" i="8"/>
  <c r="O9" i="8" s="1"/>
  <c r="M9" i="8"/>
  <c r="AL9" i="8"/>
  <c r="D10" i="8"/>
  <c r="F10" i="8"/>
  <c r="H10" i="8"/>
  <c r="M10" i="8"/>
  <c r="O10" i="8"/>
  <c r="Q10" i="8"/>
  <c r="R10" i="8"/>
  <c r="BY10" i="8"/>
  <c r="BY20" i="8" s="1"/>
  <c r="BY32" i="8" s="1"/>
  <c r="BY35" i="8" s="1"/>
  <c r="AI11" i="8"/>
  <c r="AL11" i="8"/>
  <c r="D12" i="8"/>
  <c r="F12" i="8"/>
  <c r="H12" i="8"/>
  <c r="M12" i="8"/>
  <c r="O12" i="8"/>
  <c r="Q12" i="8"/>
  <c r="R12" i="8"/>
  <c r="Y12" i="8"/>
  <c r="Z12" i="8" s="1"/>
  <c r="AL12" i="8"/>
  <c r="BY12" i="8"/>
  <c r="D13" i="8"/>
  <c r="F13" i="8"/>
  <c r="H13" i="8"/>
  <c r="M13" i="8"/>
  <c r="O13" i="8"/>
  <c r="AL13" i="8"/>
  <c r="BY13" i="8"/>
  <c r="BY23" i="8"/>
  <c r="BY29" i="8" s="1"/>
  <c r="BY38" i="8" s="1"/>
  <c r="D14" i="8"/>
  <c r="F14" i="8"/>
  <c r="H14" i="8"/>
  <c r="I14" i="8"/>
  <c r="O14" i="8" s="1"/>
  <c r="O15" i="8" s="1"/>
  <c r="M14" i="8"/>
  <c r="S14" i="8"/>
  <c r="S15" i="8" s="1"/>
  <c r="S8" i="8" s="1"/>
  <c r="AL14" i="8"/>
  <c r="BY14" i="8"/>
  <c r="BY30" i="8"/>
  <c r="E15" i="8"/>
  <c r="E8" i="8" s="1"/>
  <c r="G15" i="8"/>
  <c r="G8" i="8" s="1"/>
  <c r="J15" i="8"/>
  <c r="J8" i="8"/>
  <c r="K15" i="8"/>
  <c r="L15" i="8"/>
  <c r="N15" i="8"/>
  <c r="N8" i="8"/>
  <c r="U15" i="8"/>
  <c r="U8" i="8" s="1"/>
  <c r="W15" i="8"/>
  <c r="W8" i="8" s="1"/>
  <c r="D16" i="8"/>
  <c r="F16" i="8"/>
  <c r="H16" i="8"/>
  <c r="O16" i="8"/>
  <c r="P16" i="8"/>
  <c r="Q16" i="8" s="1"/>
  <c r="B17" i="8"/>
  <c r="C17" i="8"/>
  <c r="U17" i="8"/>
  <c r="V17" i="8"/>
  <c r="W17" i="8"/>
  <c r="D18" i="8"/>
  <c r="F18" i="8"/>
  <c r="H18" i="8"/>
  <c r="M18" i="8"/>
  <c r="O18" i="8"/>
  <c r="P18" i="8"/>
  <c r="R18" i="8" s="1"/>
  <c r="BY18" i="8"/>
  <c r="D19" i="8"/>
  <c r="F19" i="8"/>
  <c r="H19" i="8"/>
  <c r="M19" i="8"/>
  <c r="O19" i="8"/>
  <c r="BY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AF22" i="8" s="1"/>
  <c r="D23" i="8"/>
  <c r="F23" i="8"/>
  <c r="H23" i="8"/>
  <c r="M23" i="8"/>
  <c r="O23" i="8"/>
  <c r="D24" i="8"/>
  <c r="F24" i="8"/>
  <c r="H24" i="8"/>
  <c r="I24" i="8"/>
  <c r="O24" i="8" s="1"/>
  <c r="O25" i="8" s="1"/>
  <c r="M24" i="8"/>
  <c r="A25" i="8"/>
  <c r="A31" i="8" s="1"/>
  <c r="A40" i="8" s="1"/>
  <c r="E25" i="8"/>
  <c r="E17" i="8" s="1"/>
  <c r="G25" i="8"/>
  <c r="G17" i="8" s="1"/>
  <c r="J25" i="8"/>
  <c r="J17" i="8" s="1"/>
  <c r="K25" i="8"/>
  <c r="L25" i="8"/>
  <c r="L17" i="8" s="1"/>
  <c r="N25" i="8"/>
  <c r="N17" i="8"/>
  <c r="U25" i="8"/>
  <c r="W25" i="8"/>
  <c r="D26" i="8"/>
  <c r="F26" i="8"/>
  <c r="H26" i="8"/>
  <c r="M26" i="8"/>
  <c r="O26" i="8"/>
  <c r="P26" i="8"/>
  <c r="Q26" i="8" s="1"/>
  <c r="B27" i="8"/>
  <c r="C27" i="8"/>
  <c r="L33" i="8"/>
  <c r="M33" i="8" s="1"/>
  <c r="T27" i="8"/>
  <c r="V27" i="8"/>
  <c r="AA27" i="8"/>
  <c r="D28" i="8"/>
  <c r="F28" i="8"/>
  <c r="H28" i="8"/>
  <c r="M28" i="8"/>
  <c r="O28" i="8"/>
  <c r="Q28" i="8"/>
  <c r="R28" i="8"/>
  <c r="Y28" i="8"/>
  <c r="Z28" i="8" s="1"/>
  <c r="AL28" i="8"/>
  <c r="AN28" i="8" s="1"/>
  <c r="D29" i="8"/>
  <c r="F29" i="8"/>
  <c r="H29" i="8"/>
  <c r="M29" i="8"/>
  <c r="O29" i="8"/>
  <c r="AL29" i="8"/>
  <c r="D30" i="8"/>
  <c r="F30" i="8"/>
  <c r="H30" i="8"/>
  <c r="M30" i="8"/>
  <c r="O30" i="8"/>
  <c r="AL30" i="8"/>
  <c r="E31" i="8"/>
  <c r="E27" i="8" s="1"/>
  <c r="G31" i="8"/>
  <c r="G27" i="8" s="1"/>
  <c r="I31" i="8"/>
  <c r="I27" i="8" s="1"/>
  <c r="J31" i="8"/>
  <c r="J27" i="8" s="1"/>
  <c r="K31" i="8"/>
  <c r="L31" i="8"/>
  <c r="N31" i="8"/>
  <c r="N27" i="8" s="1"/>
  <c r="S31" i="8"/>
  <c r="S27" i="8" s="1"/>
  <c r="U31" i="8"/>
  <c r="U27" i="8" s="1"/>
  <c r="W31" i="8"/>
  <c r="W27" i="8" s="1"/>
  <c r="D32" i="8"/>
  <c r="H32" i="8"/>
  <c r="M32" i="8"/>
  <c r="O32" i="8"/>
  <c r="Q32" i="8"/>
  <c r="R32" i="8"/>
  <c r="D33" i="8"/>
  <c r="F33" i="8"/>
  <c r="H33" i="8"/>
  <c r="O33" i="8"/>
  <c r="P33" i="8"/>
  <c r="Q33" i="8" s="1"/>
  <c r="B34" i="8"/>
  <c r="C34" i="8"/>
  <c r="S34" i="8"/>
  <c r="T34" i="8"/>
  <c r="U34" i="8"/>
  <c r="V34" i="8"/>
  <c r="W34" i="8"/>
  <c r="AA34" i="8"/>
  <c r="D35" i="8"/>
  <c r="F35" i="8"/>
  <c r="G35" i="8"/>
  <c r="M35" i="8" s="1"/>
  <c r="N35" i="8"/>
  <c r="O35" i="8" s="1"/>
  <c r="Q35" i="8"/>
  <c r="R35" i="8"/>
  <c r="D36" i="8"/>
  <c r="F36" i="8"/>
  <c r="H36" i="8"/>
  <c r="R36" i="8"/>
  <c r="Z36" i="8"/>
  <c r="AI36" i="8"/>
  <c r="AM36" i="8"/>
  <c r="AO36" i="8" s="1"/>
  <c r="D37" i="8"/>
  <c r="F37" i="8"/>
  <c r="P37" i="8"/>
  <c r="Q37" i="8" s="1"/>
  <c r="D38" i="8"/>
  <c r="F38" i="8"/>
  <c r="H38" i="8"/>
  <c r="M38" i="8"/>
  <c r="N38" i="8"/>
  <c r="N39" i="8" s="1"/>
  <c r="AL38" i="8"/>
  <c r="D39" i="8"/>
  <c r="F39" i="8"/>
  <c r="G39" i="8"/>
  <c r="H39" i="8" s="1"/>
  <c r="I39" i="8"/>
  <c r="I40" i="8" s="1"/>
  <c r="AL39" i="8"/>
  <c r="E40" i="8"/>
  <c r="E34" i="8" s="1"/>
  <c r="J40" i="8"/>
  <c r="J34" i="8" s="1"/>
  <c r="K40" i="8"/>
  <c r="L40" i="8"/>
  <c r="S40" i="8"/>
  <c r="U40" i="8"/>
  <c r="W40" i="8"/>
  <c r="D41" i="8"/>
  <c r="F41" i="8"/>
  <c r="L41" i="8"/>
  <c r="Q41" i="8"/>
  <c r="D42" i="8"/>
  <c r="F42" i="8"/>
  <c r="H42" i="8"/>
  <c r="L42" i="8"/>
  <c r="M42" i="8" s="1"/>
  <c r="O42" i="8"/>
  <c r="P42" i="8"/>
  <c r="Q42" i="8" s="1"/>
  <c r="S42" i="8"/>
  <c r="U42" i="8"/>
  <c r="W42" i="8"/>
  <c r="W93" i="8" s="1"/>
  <c r="W99" i="8" s="1"/>
  <c r="AA42" i="8"/>
  <c r="AA93" i="8" s="1"/>
  <c r="Y43" i="8"/>
  <c r="AF43" i="8" s="1"/>
  <c r="AL43" i="8"/>
  <c r="AI44" i="8"/>
  <c r="Z45" i="8"/>
  <c r="AM45" i="8" s="1"/>
  <c r="AI45" i="8"/>
  <c r="AL45" i="8"/>
  <c r="D46" i="8"/>
  <c r="F46" i="8"/>
  <c r="H46" i="8"/>
  <c r="M46" i="8"/>
  <c r="O46" i="8"/>
  <c r="Q46" i="8"/>
  <c r="R46" i="8"/>
  <c r="S46" i="8"/>
  <c r="Z46" i="8"/>
  <c r="Z94" i="8" s="1"/>
  <c r="AL46" i="8"/>
  <c r="BY46" i="8"/>
  <c r="W65" i="8"/>
  <c r="M66" i="8"/>
  <c r="P66" i="8"/>
  <c r="Q66" i="8" s="1"/>
  <c r="P69" i="8"/>
  <c r="Z69" i="8"/>
  <c r="AO69" i="8"/>
  <c r="AO105" i="8" s="1"/>
  <c r="Z73" i="8"/>
  <c r="Z108" i="8" s="1"/>
  <c r="AH5" i="7"/>
  <c r="W7" i="7"/>
  <c r="X7" i="7"/>
  <c r="O8" i="7"/>
  <c r="D9" i="7"/>
  <c r="F9" i="7"/>
  <c r="H9" i="7"/>
  <c r="M9" i="7"/>
  <c r="N9" i="7"/>
  <c r="P9" i="7"/>
  <c r="Q9" i="7"/>
  <c r="Z9" i="7" s="1"/>
  <c r="D10" i="7"/>
  <c r="F10" i="7"/>
  <c r="H10" i="7"/>
  <c r="M10" i="7"/>
  <c r="N10" i="7"/>
  <c r="P10" i="7"/>
  <c r="R10" i="7"/>
  <c r="S10" i="7"/>
  <c r="Z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AQ12" i="7" s="1"/>
  <c r="D13" i="7"/>
  <c r="F13" i="7"/>
  <c r="H13" i="7"/>
  <c r="M13" i="7"/>
  <c r="N13" i="7"/>
  <c r="P13" i="7"/>
  <c r="D14" i="7"/>
  <c r="F14" i="7"/>
  <c r="H14" i="7"/>
  <c r="I14" i="7"/>
  <c r="M14" i="7" s="1"/>
  <c r="N14" i="7"/>
  <c r="E15" i="7"/>
  <c r="E8" i="7" s="1"/>
  <c r="G15" i="7"/>
  <c r="G8" i="7" s="1"/>
  <c r="J15" i="7"/>
  <c r="J8" i="7" s="1"/>
  <c r="K15" i="7"/>
  <c r="L15" i="7"/>
  <c r="L8" i="7" s="1"/>
  <c r="V15" i="7"/>
  <c r="V8" i="7" s="1"/>
  <c r="Y15" i="7"/>
  <c r="Y8" i="7" s="1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CB18" i="7"/>
  <c r="D19" i="7"/>
  <c r="F19" i="7"/>
  <c r="H19" i="7"/>
  <c r="I19" i="7"/>
  <c r="M19" i="7" s="1"/>
  <c r="N19" i="7"/>
  <c r="D20" i="7"/>
  <c r="F20" i="7"/>
  <c r="H20" i="7"/>
  <c r="M20" i="7"/>
  <c r="N20" i="7"/>
  <c r="P20" i="7"/>
  <c r="R20" i="7"/>
  <c r="S20" i="7"/>
  <c r="T20" i="7"/>
  <c r="Z20" i="7"/>
  <c r="CB29" i="7"/>
  <c r="CB36" i="7" s="1"/>
  <c r="D21" i="7"/>
  <c r="F21" i="7"/>
  <c r="H21" i="7"/>
  <c r="S21" i="7"/>
  <c r="T21" i="7"/>
  <c r="AC21" i="7"/>
  <c r="AP21" i="7"/>
  <c r="AS21" i="7"/>
  <c r="AU21" i="7" s="1"/>
  <c r="D22" i="7"/>
  <c r="F22" i="7"/>
  <c r="H22" i="7"/>
  <c r="M22" i="7"/>
  <c r="N22" i="7"/>
  <c r="P22" i="7"/>
  <c r="R22" i="7"/>
  <c r="S22" i="7"/>
  <c r="T22" i="7"/>
  <c r="V22" i="7"/>
  <c r="AC22" i="7"/>
  <c r="AP22" i="7"/>
  <c r="AQ22" i="7"/>
  <c r="AR22" i="7" s="1"/>
  <c r="D23" i="7"/>
  <c r="F23" i="7"/>
  <c r="H23" i="7"/>
  <c r="M23" i="7"/>
  <c r="N23" i="7"/>
  <c r="P23" i="7"/>
  <c r="W23" i="7"/>
  <c r="W17" i="7" s="1"/>
  <c r="CB23" i="7"/>
  <c r="CB31" i="7" s="1"/>
  <c r="CB39" i="7" s="1"/>
  <c r="D24" i="7"/>
  <c r="F24" i="7"/>
  <c r="H24" i="7"/>
  <c r="I24" i="7"/>
  <c r="M24" i="7" s="1"/>
  <c r="M25" i="7" s="1"/>
  <c r="N24" i="7"/>
  <c r="N25" i="7" s="1"/>
  <c r="A25" i="7"/>
  <c r="A41" i="7" s="1"/>
  <c r="E25" i="7"/>
  <c r="E17" i="7"/>
  <c r="G25" i="7"/>
  <c r="G17" i="7" s="1"/>
  <c r="J25" i="7"/>
  <c r="J17" i="7" s="1"/>
  <c r="K25" i="7"/>
  <c r="L25" i="7"/>
  <c r="L17" i="7" s="1"/>
  <c r="O25" i="7"/>
  <c r="V25" i="7"/>
  <c r="Y25" i="7"/>
  <c r="Y17" i="7" s="1"/>
  <c r="D26" i="7"/>
  <c r="F26" i="7"/>
  <c r="H26" i="7"/>
  <c r="M26" i="7"/>
  <c r="N26" i="7"/>
  <c r="P26" i="7"/>
  <c r="CB26" i="7"/>
  <c r="CB34" i="7" s="1"/>
  <c r="B27" i="7"/>
  <c r="C27" i="7"/>
  <c r="D28" i="7"/>
  <c r="F28" i="7"/>
  <c r="H28" i="7"/>
  <c r="M28" i="7"/>
  <c r="N28" i="7"/>
  <c r="P28" i="7"/>
  <c r="R28" i="7"/>
  <c r="S28" i="7"/>
  <c r="AA28" i="7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H32" i="7"/>
  <c r="I32" i="7"/>
  <c r="I33" i="7" s="1"/>
  <c r="I27" i="7" s="1"/>
  <c r="N32" i="7"/>
  <c r="E33" i="7"/>
  <c r="E27" i="7" s="1"/>
  <c r="G33" i="7"/>
  <c r="G27" i="7" s="1"/>
  <c r="J33" i="7"/>
  <c r="J27" i="7" s="1"/>
  <c r="K33" i="7"/>
  <c r="L33" i="7"/>
  <c r="L27" i="7" s="1"/>
  <c r="O33" i="7"/>
  <c r="O27" i="7" s="1"/>
  <c r="P27" i="7" s="1"/>
  <c r="V33" i="7"/>
  <c r="V27" i="7"/>
  <c r="Y33" i="7"/>
  <c r="Y27" i="7" s="1"/>
  <c r="D34" i="7"/>
  <c r="F34" i="7"/>
  <c r="H34" i="7"/>
  <c r="M34" i="7"/>
  <c r="N34" i="7"/>
  <c r="P34" i="7"/>
  <c r="B35" i="7"/>
  <c r="C35" i="7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P38" i="7"/>
  <c r="AQ38" i="7" s="1"/>
  <c r="AR38" i="7" s="1"/>
  <c r="AS38" i="7" s="1"/>
  <c r="D39" i="7"/>
  <c r="F39" i="7"/>
  <c r="H39" i="7"/>
  <c r="M39" i="7"/>
  <c r="N39" i="7"/>
  <c r="N41" i="7" s="1"/>
  <c r="D40" i="7"/>
  <c r="F40" i="7"/>
  <c r="G40" i="7"/>
  <c r="H40" i="7" s="1"/>
  <c r="I40" i="7"/>
  <c r="I41" i="7" s="1"/>
  <c r="I35" i="7" s="1"/>
  <c r="AJ40" i="7"/>
  <c r="AH40" i="7" s="1"/>
  <c r="E41" i="7"/>
  <c r="E35" i="7" s="1"/>
  <c r="J41" i="7"/>
  <c r="J35" i="7" s="1"/>
  <c r="K41" i="7"/>
  <c r="L41" i="7"/>
  <c r="V41" i="7"/>
  <c r="V35" i="7" s="1"/>
  <c r="Y41" i="7"/>
  <c r="Y35" i="7" s="1"/>
  <c r="D42" i="7"/>
  <c r="F42" i="7"/>
  <c r="M42" i="7"/>
  <c r="D52" i="7"/>
  <c r="F52" i="7"/>
  <c r="H52" i="7"/>
  <c r="I52" i="7"/>
  <c r="P52" i="7" s="1"/>
  <c r="N52" i="7"/>
  <c r="Q52" i="7"/>
  <c r="S52" i="7"/>
  <c r="W52" i="7"/>
  <c r="X52" i="7"/>
  <c r="Y52" i="7"/>
  <c r="AJ52" i="7"/>
  <c r="AJ144" i="7" s="1"/>
  <c r="AK52" i="7"/>
  <c r="AK144" i="7" s="1"/>
  <c r="AK150" i="7" s="1"/>
  <c r="M53" i="7"/>
  <c r="P53" i="7"/>
  <c r="R53" i="7"/>
  <c r="Z53" i="7"/>
  <c r="M54" i="7"/>
  <c r="P54" i="7"/>
  <c r="R54" i="7"/>
  <c r="Z54" i="7"/>
  <c r="AA54" i="7"/>
  <c r="M55" i="7"/>
  <c r="U55" i="7"/>
  <c r="AP55" i="7"/>
  <c r="AS55" i="7"/>
  <c r="V56" i="7"/>
  <c r="V52" i="7"/>
  <c r="Z56" i="7"/>
  <c r="AA56" i="7"/>
  <c r="AB56" i="7" s="1"/>
  <c r="AN56" i="7"/>
  <c r="AO56" i="7"/>
  <c r="D58" i="7"/>
  <c r="F58" i="7"/>
  <c r="H58" i="7"/>
  <c r="M58" i="7"/>
  <c r="N58" i="7"/>
  <c r="P58" i="7"/>
  <c r="AC58" i="7"/>
  <c r="AC145" i="7" s="1"/>
  <c r="AP58" i="7"/>
  <c r="T79" i="7"/>
  <c r="U79" i="7"/>
  <c r="X79" i="7"/>
  <c r="M81" i="7"/>
  <c r="Q81" i="7"/>
  <c r="AC81" i="7"/>
  <c r="AC84" i="7"/>
  <c r="AC159" i="7"/>
  <c r="G23" i="11"/>
  <c r="G19" i="11" s="1"/>
  <c r="G65" i="3"/>
  <c r="J39" i="3"/>
  <c r="F42" i="3"/>
  <c r="H42" i="3"/>
  <c r="G43" i="3"/>
  <c r="H43" i="3"/>
  <c r="I43" i="3"/>
  <c r="F47" i="3"/>
  <c r="G47" i="3"/>
  <c r="O47" i="3" s="1"/>
  <c r="E49" i="3"/>
  <c r="F49" i="3" s="1"/>
  <c r="I49" i="3"/>
  <c r="I44" i="3" s="1"/>
  <c r="L49" i="3"/>
  <c r="L44" i="3" s="1"/>
  <c r="F50" i="3"/>
  <c r="G50" i="3"/>
  <c r="H50" i="3"/>
  <c r="H49" i="3" s="1"/>
  <c r="H44" i="3" s="1"/>
  <c r="F51" i="3"/>
  <c r="G51" i="3"/>
  <c r="O51" i="3" s="1"/>
  <c r="F52" i="3"/>
  <c r="G52" i="3"/>
  <c r="AC52" i="3"/>
  <c r="F63" i="3"/>
  <c r="H63" i="3"/>
  <c r="I63" i="3"/>
  <c r="L63" i="3"/>
  <c r="F64" i="3"/>
  <c r="G64" i="3"/>
  <c r="AA97" i="7" s="1"/>
  <c r="F65" i="3"/>
  <c r="E71" i="56"/>
  <c r="F70" i="3"/>
  <c r="F71" i="56"/>
  <c r="L76" i="3"/>
  <c r="L77" i="3"/>
  <c r="L78" i="3"/>
  <c r="T34" i="17"/>
  <c r="V34" i="17" s="1"/>
  <c r="AP12" i="17"/>
  <c r="Q39" i="7" s="1"/>
  <c r="AO11" i="17"/>
  <c r="AP11" i="17"/>
  <c r="Q31" i="7" s="1"/>
  <c r="AO34" i="17"/>
  <c r="AA33" i="17"/>
  <c r="AB25" i="17"/>
  <c r="AN17" i="17"/>
  <c r="AO17" i="17"/>
  <c r="AN12" i="17"/>
  <c r="AN18" i="17"/>
  <c r="P34" i="17"/>
  <c r="AM21" i="8"/>
  <c r="AN21" i="8" s="1"/>
  <c r="AM44" i="8"/>
  <c r="AN44" i="8" s="1"/>
  <c r="X33" i="11"/>
  <c r="O12" i="6"/>
  <c r="I13" i="6"/>
  <c r="H57" i="19"/>
  <c r="H58" i="19"/>
  <c r="B57" i="19"/>
  <c r="T18" i="19"/>
  <c r="N11" i="21"/>
  <c r="N50" i="9"/>
  <c r="O18" i="6"/>
  <c r="N55" i="9"/>
  <c r="I25" i="9"/>
  <c r="W57" i="19"/>
  <c r="T27" i="19"/>
  <c r="X12" i="19"/>
  <c r="AK25" i="9"/>
  <c r="AJ32" i="11"/>
  <c r="T60" i="19"/>
  <c r="AM24" i="17"/>
  <c r="AJ17" i="7"/>
  <c r="I13" i="9"/>
  <c r="H9" i="9"/>
  <c r="Q23" i="11"/>
  <c r="Q19" i="11" s="1"/>
  <c r="M17" i="5"/>
  <c r="AE9" i="17"/>
  <c r="AH9" i="17"/>
  <c r="AI9" i="17" s="1"/>
  <c r="BA35" i="17"/>
  <c r="BN35" i="17" s="1"/>
  <c r="AO16" i="17"/>
  <c r="AO12" i="17"/>
  <c r="P28" i="17"/>
  <c r="T28" i="17"/>
  <c r="AT28" i="17" s="1"/>
  <c r="C26" i="21"/>
  <c r="I10" i="21"/>
  <c r="AG8" i="17"/>
  <c r="Q58" i="7"/>
  <c r="R58" i="7" s="1"/>
  <c r="AM35" i="8"/>
  <c r="AO35" i="8" s="1"/>
  <c r="W12" i="6"/>
  <c r="I22" i="9"/>
  <c r="U57" i="19"/>
  <c r="AM12" i="8"/>
  <c r="AO12" i="8" s="1"/>
  <c r="AM13" i="8"/>
  <c r="X23" i="7"/>
  <c r="X17" i="7" s="1"/>
  <c r="Q16" i="11"/>
  <c r="AM65" i="8"/>
  <c r="AM100" i="8" s="1"/>
  <c r="AM38" i="8"/>
  <c r="AO38" i="8" s="1"/>
  <c r="AM32" i="8"/>
  <c r="AO32" i="8" s="1"/>
  <c r="AO28" i="8"/>
  <c r="AM29" i="8"/>
  <c r="AO29" i="8" s="1"/>
  <c r="AM9" i="8"/>
  <c r="AO9" i="8" s="1"/>
  <c r="AM43" i="8"/>
  <c r="AN43" i="8" s="1"/>
  <c r="AO43" i="8" s="1"/>
  <c r="AM31" i="8"/>
  <c r="AO31" i="8" s="1"/>
  <c r="AM30" i="8"/>
  <c r="AO30" i="8" s="1"/>
  <c r="AM39" i="8"/>
  <c r="AO39" i="8" s="1"/>
  <c r="AM40" i="8"/>
  <c r="AO40" i="8" s="1"/>
  <c r="AO16" i="8"/>
  <c r="AM10" i="8"/>
  <c r="AM41" i="8"/>
  <c r="AO41" i="8" s="1"/>
  <c r="AM34" i="8"/>
  <c r="AO34" i="8" s="1"/>
  <c r="AM27" i="8"/>
  <c r="AO27" i="8" s="1"/>
  <c r="AM33" i="8"/>
  <c r="AO33" i="8" s="1"/>
  <c r="AM15" i="8"/>
  <c r="AO15" i="8" s="1"/>
  <c r="AM14" i="8"/>
  <c r="AO14" i="8" s="1"/>
  <c r="AN25" i="8"/>
  <c r="AO25" i="8" s="1"/>
  <c r="AM8" i="8"/>
  <c r="AO8" i="8" s="1"/>
  <c r="AM68" i="8"/>
  <c r="AN68" i="8" s="1"/>
  <c r="AO68" i="8" s="1"/>
  <c r="AN89" i="7"/>
  <c r="AM71" i="8"/>
  <c r="AN71" i="8" s="1"/>
  <c r="AO71" i="8" s="1"/>
  <c r="AE68" i="8"/>
  <c r="BD14" i="17"/>
  <c r="Y42" i="11"/>
  <c r="Y45" i="11" s="1"/>
  <c r="AK9" i="11"/>
  <c r="R33" i="9"/>
  <c r="AK26" i="9"/>
  <c r="AN14" i="66"/>
  <c r="AF12" i="8"/>
  <c r="AM46" i="8"/>
  <c r="C45" i="6"/>
  <c r="J45" i="6"/>
  <c r="H13" i="6"/>
  <c r="AV31" i="17"/>
  <c r="BH31" i="17" s="1"/>
  <c r="AY14" i="17"/>
  <c r="AN20" i="7"/>
  <c r="H19" i="10"/>
  <c r="I79" i="7"/>
  <c r="M79" i="7" s="1"/>
  <c r="AO28" i="17"/>
  <c r="AO35" i="17"/>
  <c r="AX34" i="17"/>
  <c r="N15" i="21"/>
  <c r="P15" i="21" s="1"/>
  <c r="AV38" i="17"/>
  <c r="BH38" i="17" s="1"/>
  <c r="I17" i="8"/>
  <c r="I25" i="8"/>
  <c r="R17" i="5"/>
  <c r="BA25" i="17"/>
  <c r="AY28" i="17"/>
  <c r="BA28" i="17"/>
  <c r="U14" i="19"/>
  <c r="AC15" i="5"/>
  <c r="AC36" i="5"/>
  <c r="W11" i="5"/>
  <c r="L35" i="7"/>
  <c r="N35" i="7" s="1"/>
  <c r="Q116" i="7"/>
  <c r="L34" i="8"/>
  <c r="M34" i="8" s="1"/>
  <c r="AP56" i="7"/>
  <c r="AQ56" i="7" s="1"/>
  <c r="P15" i="10"/>
  <c r="P8" i="10"/>
  <c r="AN65" i="8"/>
  <c r="M32" i="7"/>
  <c r="M33" i="7" s="1"/>
  <c r="AJ9" i="17"/>
  <c r="W56" i="19"/>
  <c r="AO18" i="17"/>
  <c r="X29" i="11"/>
  <c r="R31" i="9"/>
  <c r="Z14" i="9" s="1"/>
  <c r="G15" i="33"/>
  <c r="I15" i="33" s="1"/>
  <c r="I13" i="21"/>
  <c r="K11" i="21"/>
  <c r="M40" i="7"/>
  <c r="M41" i="7" s="1"/>
  <c r="P11" i="21"/>
  <c r="AA28" i="17"/>
  <c r="R26" i="5"/>
  <c r="AJ29" i="11"/>
  <c r="AA35" i="17"/>
  <c r="AV8" i="17"/>
  <c r="Z8" i="17"/>
  <c r="E31" i="21"/>
  <c r="H27" i="19"/>
  <c r="T10" i="19"/>
  <c r="BA26" i="17"/>
  <c r="BN26" i="17" s="1"/>
  <c r="G40" i="8"/>
  <c r="V12" i="19"/>
  <c r="AI43" i="8"/>
  <c r="BA43" i="8" s="1"/>
  <c r="Y31" i="11"/>
  <c r="W59" i="19"/>
  <c r="C51" i="8"/>
  <c r="D17" i="8"/>
  <c r="AI20" i="7"/>
  <c r="I11" i="11"/>
  <c r="R8" i="17"/>
  <c r="D27" i="7"/>
  <c r="P13" i="6"/>
  <c r="W13" i="6" s="1"/>
  <c r="N31" i="17"/>
  <c r="N40" i="17" s="1"/>
  <c r="AZ24" i="17"/>
  <c r="AF14" i="17"/>
  <c r="AC14" i="17" s="1"/>
  <c r="U14" i="17"/>
  <c r="T14" i="17" s="1"/>
  <c r="BD8" i="17"/>
  <c r="AA25" i="17"/>
  <c r="AO32" i="17"/>
  <c r="BB8" i="17"/>
  <c r="AO33" i="17"/>
  <c r="AH46" i="11"/>
  <c r="AJ60" i="72"/>
  <c r="AB24" i="9"/>
  <c r="AB15" i="9" s="1"/>
  <c r="Z15" i="9" s="1"/>
  <c r="AA15" i="9" s="1"/>
  <c r="AB24" i="72"/>
  <c r="K65" i="8"/>
  <c r="S24" i="72"/>
  <c r="L43" i="3"/>
  <c r="AJ56" i="72"/>
  <c r="AJ57" i="72" s="1"/>
  <c r="P24" i="9"/>
  <c r="P25" i="9" s="1"/>
  <c r="P24" i="72"/>
  <c r="H35" i="8"/>
  <c r="L8" i="8"/>
  <c r="M52" i="7"/>
  <c r="V17" i="7"/>
  <c r="C63" i="7"/>
  <c r="F12" i="5"/>
  <c r="AU41" i="5"/>
  <c r="AC21" i="5"/>
  <c r="W17" i="5"/>
  <c r="Q17" i="5"/>
  <c r="D17" i="5"/>
  <c r="M26" i="5"/>
  <c r="F15" i="61"/>
  <c r="T42" i="19"/>
  <c r="T41" i="19"/>
  <c r="U58" i="19"/>
  <c r="R26" i="8"/>
  <c r="D71" i="56"/>
  <c r="D74" i="56" s="1"/>
  <c r="B23" i="63"/>
  <c r="G65" i="8"/>
  <c r="M65" i="8" s="1"/>
  <c r="F31" i="8"/>
  <c r="F27" i="8" s="1"/>
  <c r="M31" i="8"/>
  <c r="O31" i="8"/>
  <c r="F25" i="8"/>
  <c r="F17" i="8" s="1"/>
  <c r="AI54" i="7"/>
  <c r="AH138" i="7"/>
  <c r="AH143" i="7"/>
  <c r="AH33" i="7"/>
  <c r="W15" i="11"/>
  <c r="Q10" i="11"/>
  <c r="Q8" i="11"/>
  <c r="Q11" i="11"/>
  <c r="Q9" i="11"/>
  <c r="Q7" i="11"/>
  <c r="D17" i="7"/>
  <c r="AM39" i="17"/>
  <c r="O13" i="6"/>
  <c r="BN28" i="17"/>
  <c r="U34" i="17"/>
  <c r="Y29" i="8" s="1"/>
  <c r="AT34" i="17"/>
  <c r="P33" i="17"/>
  <c r="I19" i="10"/>
  <c r="Y38" i="17"/>
  <c r="R41" i="8"/>
  <c r="AF28" i="8"/>
  <c r="Z22" i="8"/>
  <c r="AM22" i="8" s="1"/>
  <c r="G41" i="7"/>
  <c r="M62" i="9"/>
  <c r="Y73" i="8"/>
  <c r="AX28" i="17"/>
  <c r="I26" i="9"/>
  <c r="N14" i="21"/>
  <c r="P14" i="21" s="1"/>
  <c r="BL35" i="17"/>
  <c r="O38" i="8"/>
  <c r="AA26" i="17"/>
  <c r="C65" i="8"/>
  <c r="I12" i="21"/>
  <c r="O13" i="10"/>
  <c r="Y25" i="10" s="1"/>
  <c r="L13" i="21"/>
  <c r="G29" i="21" s="1"/>
  <c r="B58" i="19"/>
  <c r="P7" i="10"/>
  <c r="BA27" i="17"/>
  <c r="F81" i="56"/>
  <c r="F83" i="56" s="1"/>
  <c r="K71" i="56"/>
  <c r="K81" i="56" s="1"/>
  <c r="F73" i="56"/>
  <c r="K79" i="7"/>
  <c r="F33" i="7"/>
  <c r="F27" i="7" s="1"/>
  <c r="F15" i="7"/>
  <c r="F8" i="7" s="1"/>
  <c r="F40" i="8"/>
  <c r="F34" i="8" s="1"/>
  <c r="M25" i="8"/>
  <c r="H12" i="5"/>
  <c r="AD32" i="6"/>
  <c r="M51" i="9"/>
  <c r="AI20" i="8"/>
  <c r="V15" i="10"/>
  <c r="N9" i="11"/>
  <c r="I8" i="11"/>
  <c r="AV24" i="17"/>
  <c r="AV14" i="17"/>
  <c r="Z14" i="17"/>
  <c r="AY8" i="17"/>
  <c r="W8" i="17"/>
  <c r="K15" i="21"/>
  <c r="E13" i="21"/>
  <c r="E30" i="21"/>
  <c r="U107" i="7"/>
  <c r="AH140" i="7"/>
  <c r="M76" i="9"/>
  <c r="BN25" i="17"/>
  <c r="BL25" i="17"/>
  <c r="J71" i="56"/>
  <c r="J81" i="56" s="1"/>
  <c r="J83" i="56" s="1"/>
  <c r="E81" i="56"/>
  <c r="E83" i="56" s="1"/>
  <c r="E73" i="56"/>
  <c r="AI35" i="8"/>
  <c r="V17" i="10"/>
  <c r="BA33" i="17"/>
  <c r="BC33" i="17" s="1"/>
  <c r="BH33" i="17"/>
  <c r="AR79" i="7"/>
  <c r="P32" i="7"/>
  <c r="P33" i="7" s="1"/>
  <c r="AP16" i="17"/>
  <c r="P23" i="8" s="1"/>
  <c r="C28" i="21"/>
  <c r="E28" i="21" s="1"/>
  <c r="H13" i="9"/>
  <c r="AI10" i="8"/>
  <c r="AK10" i="8" s="1"/>
  <c r="V14" i="10"/>
  <c r="AO42" i="11"/>
  <c r="BA42" i="11"/>
  <c r="AJ31" i="11"/>
  <c r="BA34" i="17"/>
  <c r="BB34" i="17" s="1"/>
  <c r="BH34" i="17"/>
  <c r="AY32" i="17"/>
  <c r="BH32" i="17"/>
  <c r="Q8" i="17"/>
  <c r="AA84" i="7"/>
  <c r="AP84" i="7" s="1"/>
  <c r="Y42" i="8"/>
  <c r="AF42" i="8" s="1"/>
  <c r="AC38" i="19"/>
  <c r="BA32" i="17"/>
  <c r="AY27" i="17"/>
  <c r="I34" i="8"/>
  <c r="O34" i="8" s="1"/>
  <c r="AD15" i="17"/>
  <c r="O18" i="10"/>
  <c r="Y26" i="10" s="1"/>
  <c r="C29" i="21"/>
  <c r="H56" i="19"/>
  <c r="Q12" i="6"/>
  <c r="Q13" i="6" s="1"/>
  <c r="M10" i="21"/>
  <c r="N10" i="21" s="1"/>
  <c r="P10" i="21" s="1"/>
  <c r="N33" i="7"/>
  <c r="H8" i="7"/>
  <c r="T45" i="6"/>
  <c r="AI32" i="8"/>
  <c r="AK32" i="8" s="1"/>
  <c r="V16" i="10"/>
  <c r="G9" i="33"/>
  <c r="I9" i="33" s="1"/>
  <c r="P35" i="17"/>
  <c r="H24" i="17"/>
  <c r="AH136" i="7"/>
  <c r="AG40" i="6"/>
  <c r="AG43" i="6"/>
  <c r="AG33" i="6"/>
  <c r="AH33" i="6" s="1"/>
  <c r="AG29" i="6"/>
  <c r="AH29" i="6"/>
  <c r="F16" i="65" s="1"/>
  <c r="AG24" i="6"/>
  <c r="AH24" i="6" s="1"/>
  <c r="AG22" i="6"/>
  <c r="AH22" i="6" s="1"/>
  <c r="AG15" i="6"/>
  <c r="AG9" i="6"/>
  <c r="AG12" i="6" s="1"/>
  <c r="AG28" i="6"/>
  <c r="AF8" i="5"/>
  <c r="AF42" i="5"/>
  <c r="AF30" i="5"/>
  <c r="AF22" i="5"/>
  <c r="AF19" i="5"/>
  <c r="AF15" i="5"/>
  <c r="AF14" i="5"/>
  <c r="AF33" i="5"/>
  <c r="AY94" i="8"/>
  <c r="Z58" i="7"/>
  <c r="AH15" i="7"/>
  <c r="M9" i="21"/>
  <c r="N9" i="21" s="1"/>
  <c r="P9" i="21" s="1"/>
  <c r="I25" i="7"/>
  <c r="I17" i="7" s="1"/>
  <c r="M25" i="21"/>
  <c r="M29" i="21" s="1"/>
  <c r="D27" i="8"/>
  <c r="AN46" i="8"/>
  <c r="AM94" i="8"/>
  <c r="AO65" i="8"/>
  <c r="AO100" i="8" s="1"/>
  <c r="AN100" i="8"/>
  <c r="AO13" i="8"/>
  <c r="W100" i="8"/>
  <c r="AL94" i="8"/>
  <c r="AL88" i="8"/>
  <c r="AI108" i="8"/>
  <c r="BA73" i="8"/>
  <c r="AI98" i="8"/>
  <c r="AW50" i="8"/>
  <c r="AK45" i="8"/>
  <c r="O17" i="8"/>
  <c r="F15" i="8"/>
  <c r="F8" i="8" s="1"/>
  <c r="H15" i="8"/>
  <c r="V51" i="8"/>
  <c r="V68" i="8" s="1"/>
  <c r="D8" i="8"/>
  <c r="AO10" i="8"/>
  <c r="Y69" i="8"/>
  <c r="Y105" i="8" s="1"/>
  <c r="AF105" i="8" s="1"/>
  <c r="Z105" i="8"/>
  <c r="AL87" i="8"/>
  <c r="AA100" i="8"/>
  <c r="AG74" i="8"/>
  <c r="AG108" i="8"/>
  <c r="AY30" i="8"/>
  <c r="Y88" i="8"/>
  <c r="AF88" i="8" s="1"/>
  <c r="AN66" i="8"/>
  <c r="AO66" i="8" s="1"/>
  <c r="AH75" i="8"/>
  <c r="AA81" i="7"/>
  <c r="AA156" i="7" s="1"/>
  <c r="AC156" i="7"/>
  <c r="AJ35" i="7"/>
  <c r="AH35" i="7" s="1"/>
  <c r="AJ141" i="7"/>
  <c r="AB10" i="7"/>
  <c r="AB139" i="7"/>
  <c r="AP28" i="7"/>
  <c r="AA139" i="7"/>
  <c r="AO151" i="7"/>
  <c r="AI58" i="7"/>
  <c r="AH145" i="7"/>
  <c r="AI145" i="7" s="1"/>
  <c r="AH151" i="7"/>
  <c r="R52" i="7"/>
  <c r="B63" i="7"/>
  <c r="Z52" i="7"/>
  <c r="Y144" i="7"/>
  <c r="Y150" i="7" s="1"/>
  <c r="S58" i="7"/>
  <c r="AB54" i="7"/>
  <c r="AI56" i="7"/>
  <c r="AP54" i="7"/>
  <c r="AH17" i="7"/>
  <c r="U8" i="17"/>
  <c r="T8" i="17" s="1"/>
  <c r="P24" i="7"/>
  <c r="P25" i="7" s="1"/>
  <c r="D35" i="7"/>
  <c r="BA62" i="7"/>
  <c r="BA84" i="7"/>
  <c r="AQ58" i="7"/>
  <c r="AR58" i="7" s="1"/>
  <c r="F41" i="7"/>
  <c r="N8" i="7"/>
  <c r="U28" i="17"/>
  <c r="AA39" i="7" s="1"/>
  <c r="BB27" i="17"/>
  <c r="BB26" i="17"/>
  <c r="AN23" i="7" s="1"/>
  <c r="BB25" i="17"/>
  <c r="S24" i="17"/>
  <c r="O8" i="17"/>
  <c r="N8" i="17" s="1"/>
  <c r="AY26" i="17"/>
  <c r="AY25" i="17"/>
  <c r="AF8" i="17"/>
  <c r="AC8" i="17" s="1"/>
  <c r="BB35" i="17"/>
  <c r="AI38" i="8" s="1"/>
  <c r="AZ31" i="17"/>
  <c r="H31" i="17"/>
  <c r="W14" i="17"/>
  <c r="AA32" i="17"/>
  <c r="AA34" i="17"/>
  <c r="AO25" i="17"/>
  <c r="AO27" i="17"/>
  <c r="AC27" i="5"/>
  <c r="W26" i="5"/>
  <c r="V26" i="5"/>
  <c r="Y46" i="5"/>
  <c r="U46" i="5"/>
  <c r="U55" i="5" s="1"/>
  <c r="AA55" i="5" s="1"/>
  <c r="S46" i="5"/>
  <c r="S47" i="5" s="1"/>
  <c r="N46" i="5"/>
  <c r="N47" i="5" s="1"/>
  <c r="K46" i="5"/>
  <c r="K47" i="5" s="1"/>
  <c r="E46" i="5"/>
  <c r="B46" i="5"/>
  <c r="I12" i="5"/>
  <c r="I46" i="5"/>
  <c r="AA46" i="5"/>
  <c r="AA47" i="5" s="1"/>
  <c r="X46" i="5"/>
  <c r="X47" i="5" s="1"/>
  <c r="T46" i="5"/>
  <c r="T47" i="5"/>
  <c r="P46" i="5"/>
  <c r="L46" i="5"/>
  <c r="J46" i="5"/>
  <c r="G46" i="5"/>
  <c r="C46" i="5"/>
  <c r="V17" i="5"/>
  <c r="AC8" i="5"/>
  <c r="F26" i="5"/>
  <c r="F17" i="5"/>
  <c r="H17" i="5"/>
  <c r="AC18" i="5"/>
  <c r="AC16" i="5"/>
  <c r="K55" i="9"/>
  <c r="Y32" i="11"/>
  <c r="W39" i="11"/>
  <c r="M54" i="11"/>
  <c r="AN33" i="11" s="1"/>
  <c r="AC70" i="3"/>
  <c r="AC65" i="3"/>
  <c r="AC64" i="3"/>
  <c r="AC50" i="3"/>
  <c r="S39" i="11"/>
  <c r="J39" i="11"/>
  <c r="AB15" i="11"/>
  <c r="O19" i="7" s="1"/>
  <c r="S15" i="11"/>
  <c r="M53" i="11"/>
  <c r="AN29" i="11" s="1"/>
  <c r="S45" i="11"/>
  <c r="I10" i="11"/>
  <c r="F18" i="10"/>
  <c r="E19" i="10"/>
  <c r="F19" i="10" s="1"/>
  <c r="P9" i="10"/>
  <c r="G13" i="10"/>
  <c r="Q13" i="11"/>
  <c r="S11" i="19"/>
  <c r="S49" i="19" s="1"/>
  <c r="D37" i="19"/>
  <c r="H16" i="19"/>
  <c r="Q57" i="19"/>
  <c r="Y57" i="19" s="1"/>
  <c r="Q59" i="19"/>
  <c r="Y59" i="19" s="1"/>
  <c r="Q56" i="19"/>
  <c r="Y56" i="19" s="1"/>
  <c r="Q58" i="19"/>
  <c r="G49" i="19"/>
  <c r="M30" i="19"/>
  <c r="F49" i="19"/>
  <c r="Z49" i="19"/>
  <c r="F25" i="6"/>
  <c r="R18" i="6"/>
  <c r="K45" i="6"/>
  <c r="K46" i="6" s="1"/>
  <c r="AD9" i="6"/>
  <c r="AD28" i="6"/>
  <c r="Y13" i="9"/>
  <c r="AI42" i="8"/>
  <c r="AL20" i="7"/>
  <c r="AV40" i="17"/>
  <c r="BH40" i="17" s="1"/>
  <c r="AP20" i="7"/>
  <c r="AB20" i="7"/>
  <c r="AC20" i="7"/>
  <c r="AK9" i="17"/>
  <c r="T39" i="19"/>
  <c r="N38" i="17"/>
  <c r="R37" i="9"/>
  <c r="Y33" i="11"/>
  <c r="AK10" i="11"/>
  <c r="AH10" i="17"/>
  <c r="AY34" i="17"/>
  <c r="AI28" i="7"/>
  <c r="A33" i="7"/>
  <c r="A50" i="7" s="1"/>
  <c r="D34" i="8"/>
  <c r="Z43" i="8"/>
  <c r="Z42" i="8" s="1"/>
  <c r="R42" i="8"/>
  <c r="B51" i="8"/>
  <c r="R37" i="8"/>
  <c r="AI10" i="7"/>
  <c r="M13" i="9"/>
  <c r="I15" i="8"/>
  <c r="I8" i="8" s="1"/>
  <c r="AP10" i="7"/>
  <c r="E26" i="21"/>
  <c r="I15" i="7"/>
  <c r="I8" i="7"/>
  <c r="P14" i="7"/>
  <c r="P8" i="7" s="1"/>
  <c r="Y31" i="17"/>
  <c r="Y40" i="17" s="1"/>
  <c r="AN16" i="17"/>
  <c r="AY35" i="17"/>
  <c r="M39" i="8"/>
  <c r="M40" i="8" s="1"/>
  <c r="AO26" i="17"/>
  <c r="P10" i="10"/>
  <c r="P14" i="10"/>
  <c r="Q18" i="8"/>
  <c r="W12" i="19"/>
  <c r="T12" i="19"/>
  <c r="P17" i="10"/>
  <c r="T35" i="17"/>
  <c r="AT35" i="17" s="1"/>
  <c r="G18" i="10"/>
  <c r="P16" i="10"/>
  <c r="X18" i="6"/>
  <c r="O17" i="5"/>
  <c r="Y24" i="17"/>
  <c r="N24" i="17"/>
  <c r="N39" i="17" s="1"/>
  <c r="P65" i="8"/>
  <c r="S65" i="8" s="1"/>
  <c r="AH52" i="7"/>
  <c r="AH144" i="7" s="1"/>
  <c r="AC33" i="5"/>
  <c r="AB45" i="6"/>
  <c r="AB46" i="6" s="1"/>
  <c r="AD15" i="6"/>
  <c r="AH55" i="9"/>
  <c r="X55" i="9"/>
  <c r="K51" i="9"/>
  <c r="Y17" i="9"/>
  <c r="I17" i="9"/>
  <c r="R14" i="17"/>
  <c r="Q14" i="17" s="1"/>
  <c r="BB14" i="17"/>
  <c r="U49" i="19"/>
  <c r="AB55" i="9"/>
  <c r="G49" i="34"/>
  <c r="P55" i="34" s="1"/>
  <c r="S24" i="9"/>
  <c r="S26" i="9" s="1"/>
  <c r="O52" i="3"/>
  <c r="B11" i="32"/>
  <c r="D11" i="32" s="1"/>
  <c r="AH29" i="11"/>
  <c r="G63" i="3"/>
  <c r="P52" i="9"/>
  <c r="T52" i="9" s="1"/>
  <c r="D20" i="32"/>
  <c r="AH31" i="11"/>
  <c r="O79" i="7"/>
  <c r="P79" i="7" s="1"/>
  <c r="G79" i="7"/>
  <c r="N79" i="7" s="1"/>
  <c r="AH23" i="11"/>
  <c r="AG19" i="11" s="1"/>
  <c r="AK19" i="11" s="1"/>
  <c r="AK22" i="11" s="1"/>
  <c r="P19" i="8" s="1"/>
  <c r="W79" i="7"/>
  <c r="AJ60" i="9"/>
  <c r="AJ62" i="9" s="1"/>
  <c r="AD79" i="7"/>
  <c r="C79" i="7"/>
  <c r="C80" i="7" s="1"/>
  <c r="F22" i="3"/>
  <c r="V71" i="8"/>
  <c r="AH32" i="11"/>
  <c r="G49" i="3"/>
  <c r="AA79" i="7" s="1"/>
  <c r="AL65" i="8"/>
  <c r="E79" i="7"/>
  <c r="M63" i="3"/>
  <c r="M62" i="3" s="1"/>
  <c r="H16" i="3"/>
  <c r="AC79" i="7"/>
  <c r="AC151" i="7" s="1"/>
  <c r="Y23" i="11"/>
  <c r="Y19" i="11" s="1"/>
  <c r="D22" i="3"/>
  <c r="H22" i="3"/>
  <c r="H95" i="7"/>
  <c r="F16" i="3"/>
  <c r="G18" i="11"/>
  <c r="E44" i="3"/>
  <c r="M58" i="72" s="1"/>
  <c r="M59" i="72" s="1"/>
  <c r="V59" i="72" s="1"/>
  <c r="Q79" i="7"/>
  <c r="J79" i="7"/>
  <c r="Y79" i="7"/>
  <c r="Y151" i="7" s="1"/>
  <c r="B6" i="32"/>
  <c r="D16" i="3"/>
  <c r="L23" i="11"/>
  <c r="L19" i="11" s="1"/>
  <c r="B79" i="7"/>
  <c r="M26" i="21"/>
  <c r="N26" i="21" s="1"/>
  <c r="AN28" i="7"/>
  <c r="AB19" i="72"/>
  <c r="AL56" i="7"/>
  <c r="B56" i="19"/>
  <c r="AA90" i="7"/>
  <c r="O50" i="3"/>
  <c r="O70" i="3"/>
  <c r="AJ56" i="9"/>
  <c r="AJ57" i="9" s="1"/>
  <c r="AJ45" i="8"/>
  <c r="AL42" i="8"/>
  <c r="L27" i="8"/>
  <c r="O26" i="5"/>
  <c r="M12" i="5"/>
  <c r="AB51" i="9"/>
  <c r="AK28" i="8"/>
  <c r="AK88" i="8" s="1"/>
  <c r="O64" i="3"/>
  <c r="O65" i="3"/>
  <c r="P75" i="9"/>
  <c r="AD29" i="6"/>
  <c r="D25" i="6"/>
  <c r="R25" i="6"/>
  <c r="R33" i="8"/>
  <c r="D18" i="6"/>
  <c r="I25" i="6"/>
  <c r="I45" i="6" s="1"/>
  <c r="H41" i="6"/>
  <c r="V45" i="6"/>
  <c r="V46" i="6" s="1"/>
  <c r="Q40" i="6"/>
  <c r="X44" i="6"/>
  <c r="X25" i="6" s="1"/>
  <c r="AD40" i="6"/>
  <c r="G45" i="6"/>
  <c r="G41" i="8" s="1"/>
  <c r="S45" i="6"/>
  <c r="S46" i="6" s="1"/>
  <c r="AD33" i="6"/>
  <c r="AD26" i="6"/>
  <c r="U45" i="6"/>
  <c r="W23" i="6"/>
  <c r="AD22" i="6"/>
  <c r="H18" i="6"/>
  <c r="M13" i="6"/>
  <c r="L45" i="6"/>
  <c r="L46" i="6" s="1"/>
  <c r="AD30" i="6"/>
  <c r="AD27" i="6"/>
  <c r="M25" i="6"/>
  <c r="AD24" i="6"/>
  <c r="Q18" i="6"/>
  <c r="F18" i="6"/>
  <c r="X12" i="6"/>
  <c r="X13" i="6" s="1"/>
  <c r="R16" i="8"/>
  <c r="O29" i="6"/>
  <c r="V12" i="5"/>
  <c r="Q11" i="5"/>
  <c r="Q12" i="5" s="1"/>
  <c r="AC14" i="5"/>
  <c r="AC34" i="5"/>
  <c r="H26" i="5"/>
  <c r="D26" i="5"/>
  <c r="AC24" i="5"/>
  <c r="R12" i="5"/>
  <c r="O12" i="5"/>
  <c r="AC31" i="5"/>
  <c r="AC30" i="5"/>
  <c r="AC19" i="5"/>
  <c r="Q26" i="5"/>
  <c r="AC40" i="5"/>
  <c r="W12" i="5"/>
  <c r="AH20" i="9"/>
  <c r="Q57" i="9" s="1"/>
  <c r="S9" i="7"/>
  <c r="AH13" i="9"/>
  <c r="AH17" i="9"/>
  <c r="H14" i="9"/>
  <c r="M17" i="9"/>
  <c r="K75" i="9"/>
  <c r="L79" i="9"/>
  <c r="M79" i="9"/>
  <c r="P77" i="9"/>
  <c r="R9" i="7"/>
  <c r="X51" i="9"/>
  <c r="AK17" i="9"/>
  <c r="B13" i="9"/>
  <c r="K78" i="9"/>
  <c r="AA51" i="9"/>
  <c r="H17" i="9"/>
  <c r="AK22" i="9"/>
  <c r="AK20" i="9"/>
  <c r="K73" i="9"/>
  <c r="K77" i="9"/>
  <c r="P73" i="9"/>
  <c r="AH51" i="9"/>
  <c r="R36" i="9"/>
  <c r="R11" i="9"/>
  <c r="W11" i="9" s="1"/>
  <c r="Q13" i="9"/>
  <c r="O13" i="9" s="1"/>
  <c r="K13" i="21"/>
  <c r="AJ43" i="8"/>
  <c r="AW43" i="8"/>
  <c r="AK43" i="8"/>
  <c r="AK42" i="8" s="1"/>
  <c r="AK93" i="8" s="1"/>
  <c r="Y93" i="8"/>
  <c r="AF93" i="8" s="1"/>
  <c r="P48" i="5"/>
  <c r="Q16" i="7" s="1"/>
  <c r="D81" i="56"/>
  <c r="D84" i="56" s="1"/>
  <c r="C71" i="56"/>
  <c r="H71" i="56" s="1"/>
  <c r="BB28" i="17"/>
  <c r="BL28" i="17"/>
  <c r="H26" i="21"/>
  <c r="AA159" i="7"/>
  <c r="D63" i="7"/>
  <c r="AB14" i="9"/>
  <c r="AB17" i="9" s="1"/>
  <c r="P49" i="5"/>
  <c r="Q26" i="7" s="1"/>
  <c r="P26" i="9"/>
  <c r="AP26" i="9" s="1"/>
  <c r="BB24" i="17"/>
  <c r="BA24" i="17" s="1"/>
  <c r="AW10" i="8"/>
  <c r="I71" i="56"/>
  <c r="N71" i="56" s="1"/>
  <c r="N81" i="56" s="1"/>
  <c r="D73" i="56"/>
  <c r="AJ73" i="8"/>
  <c r="O11" i="70"/>
  <c r="AG14" i="5"/>
  <c r="AF17" i="5"/>
  <c r="AA31" i="17"/>
  <c r="V18" i="10"/>
  <c r="P13" i="10"/>
  <c r="P26" i="72"/>
  <c r="P25" i="72"/>
  <c r="AB9" i="72"/>
  <c r="AB21" i="72"/>
  <c r="AB11" i="72" s="1"/>
  <c r="AC11" i="72" s="1"/>
  <c r="AC13" i="72" s="1"/>
  <c r="S25" i="72"/>
  <c r="S26" i="72"/>
  <c r="AB14" i="72"/>
  <c r="AB15" i="72"/>
  <c r="Z15" i="72" s="1"/>
  <c r="AA15" i="72" s="1"/>
  <c r="AJ63" i="72"/>
  <c r="AJ62" i="72"/>
  <c r="AQ62" i="72" s="1"/>
  <c r="AB81" i="7"/>
  <c r="AB156" i="7" s="1"/>
  <c r="AM84" i="7"/>
  <c r="N11" i="70"/>
  <c r="AI84" i="7"/>
  <c r="P47" i="5"/>
  <c r="U52" i="5"/>
  <c r="AA52" i="5" s="1"/>
  <c r="AA48" i="5" s="1"/>
  <c r="U54" i="5"/>
  <c r="AA54" i="5" s="1"/>
  <c r="AA50" i="5" s="1"/>
  <c r="U53" i="5"/>
  <c r="AA53" i="5" s="1"/>
  <c r="AA49" i="5" s="1"/>
  <c r="C23" i="63"/>
  <c r="B24" i="63"/>
  <c r="B25" i="63" s="1"/>
  <c r="S25" i="9"/>
  <c r="BA10" i="8"/>
  <c r="AW32" i="8"/>
  <c r="B12" i="32"/>
  <c r="D12" i="32" s="1"/>
  <c r="BA32" i="8"/>
  <c r="AK20" i="8"/>
  <c r="AW20" i="8"/>
  <c r="Y108" i="8"/>
  <c r="AF108" i="8" s="1"/>
  <c r="BN34" i="17"/>
  <c r="BC34" i="17"/>
  <c r="BL34" i="17"/>
  <c r="AV39" i="17"/>
  <c r="BH39" i="17" s="1"/>
  <c r="BH24" i="17"/>
  <c r="AY24" i="17"/>
  <c r="Q52" i="9"/>
  <c r="Y9" i="8" s="1"/>
  <c r="AK35" i="8"/>
  <c r="T11" i="19"/>
  <c r="D46" i="5"/>
  <c r="BA35" i="8"/>
  <c r="AF73" i="8"/>
  <c r="BB23" i="7"/>
  <c r="BB24" i="7" s="1"/>
  <c r="O71" i="56"/>
  <c r="O81" i="56" s="1"/>
  <c r="K12" i="21"/>
  <c r="I16" i="21"/>
  <c r="J12" i="21" s="1"/>
  <c r="AC63" i="3"/>
  <c r="B71" i="56"/>
  <c r="O19" i="10"/>
  <c r="BB42" i="11"/>
  <c r="BA30" i="11"/>
  <c r="BC42" i="11"/>
  <c r="BP28" i="17"/>
  <c r="BO28" i="17"/>
  <c r="AZ39" i="7" s="1"/>
  <c r="AI87" i="8"/>
  <c r="AW87" i="8" s="1"/>
  <c r="O25" i="6"/>
  <c r="AY31" i="17"/>
  <c r="Y65" i="8"/>
  <c r="Y100" i="8" s="1"/>
  <c r="AA24" i="17"/>
  <c r="Y39" i="17"/>
  <c r="AW35" i="8"/>
  <c r="AM73" i="8"/>
  <c r="BN32" i="17"/>
  <c r="BL32" i="17"/>
  <c r="BB32" i="17"/>
  <c r="BN33" i="17"/>
  <c r="BL33" i="17"/>
  <c r="BB33" i="17"/>
  <c r="AI23" i="8" s="1"/>
  <c r="BP25" i="17"/>
  <c r="BO25" i="17"/>
  <c r="P71" i="56"/>
  <c r="P81" i="56" s="1"/>
  <c r="BN27" i="17"/>
  <c r="BL27" i="17"/>
  <c r="AF11" i="5"/>
  <c r="AF26" i="5"/>
  <c r="M13" i="21"/>
  <c r="H25" i="21"/>
  <c r="AL93" i="8"/>
  <c r="AL100" i="8"/>
  <c r="AI93" i="8"/>
  <c r="AV42" i="8"/>
  <c r="AW45" i="8"/>
  <c r="AJ98" i="8"/>
  <c r="AW98" i="8"/>
  <c r="D51" i="8"/>
  <c r="AG75" i="8"/>
  <c r="AJ108" i="8"/>
  <c r="AO46" i="8"/>
  <c r="AO94" i="8" s="1"/>
  <c r="AN94" i="8"/>
  <c r="Q65" i="8"/>
  <c r="AD151" i="7"/>
  <c r="AL28" i="7"/>
  <c r="AM28" i="7" s="1"/>
  <c r="AN139" i="7"/>
  <c r="BA56" i="7"/>
  <c r="AQ20" i="7"/>
  <c r="AR20" i="7" s="1"/>
  <c r="AS20" i="7" s="1"/>
  <c r="AM20" i="7"/>
  <c r="BA20" i="7"/>
  <c r="R65" i="8"/>
  <c r="F46" i="5"/>
  <c r="R46" i="5"/>
  <c r="R47" i="5" s="1"/>
  <c r="Q46" i="5"/>
  <c r="H46" i="5"/>
  <c r="G42" i="7"/>
  <c r="V46" i="5"/>
  <c r="V47" i="5" s="1"/>
  <c r="U47" i="5"/>
  <c r="M46" i="5"/>
  <c r="M47" i="5" s="1"/>
  <c r="W46" i="5"/>
  <c r="W47" i="5" s="1"/>
  <c r="O46" i="5"/>
  <c r="O47" i="5" s="1"/>
  <c r="N51" i="5"/>
  <c r="P50" i="5"/>
  <c r="Q34" i="7" s="1"/>
  <c r="AC49" i="3"/>
  <c r="P18" i="10"/>
  <c r="G19" i="10"/>
  <c r="H49" i="19"/>
  <c r="U35" i="17"/>
  <c r="Y38" i="8" s="1"/>
  <c r="Z38" i="8" s="1"/>
  <c r="AX35" i="17"/>
  <c r="V35" i="17"/>
  <c r="N13" i="9"/>
  <c r="K13" i="9"/>
  <c r="AI10" i="17"/>
  <c r="AJ10" i="17"/>
  <c r="AA11" i="9"/>
  <c r="BC35" i="17"/>
  <c r="I68" i="8"/>
  <c r="I71" i="8"/>
  <c r="AJ42" i="8"/>
  <c r="G44" i="3"/>
  <c r="G45" i="3" s="1"/>
  <c r="D79" i="7"/>
  <c r="AJ61" i="9"/>
  <c r="L46" i="11"/>
  <c r="V60" i="9"/>
  <c r="AP79" i="7"/>
  <c r="AQ79" i="7" s="1"/>
  <c r="AS79" i="7" s="1"/>
  <c r="O63" i="3"/>
  <c r="AI65" i="8"/>
  <c r="AI100" i="8" s="1"/>
  <c r="AM46" i="11"/>
  <c r="H79" i="7"/>
  <c r="F79" i="7"/>
  <c r="AN79" i="7"/>
  <c r="M44" i="3"/>
  <c r="M48" i="3" s="1"/>
  <c r="W36" i="7"/>
  <c r="W39" i="7"/>
  <c r="X39" i="7" s="1"/>
  <c r="W13" i="7"/>
  <c r="X13" i="7" s="1"/>
  <c r="W31" i="7"/>
  <c r="X31" i="7" s="1"/>
  <c r="W10" i="7"/>
  <c r="X10" i="7"/>
  <c r="W58" i="7"/>
  <c r="X58" i="7" s="1"/>
  <c r="W29" i="7"/>
  <c r="W9" i="7"/>
  <c r="T9" i="7"/>
  <c r="U9" i="7" s="1"/>
  <c r="U8" i="7" s="1"/>
  <c r="O49" i="3"/>
  <c r="AK65" i="8"/>
  <c r="E95" i="7"/>
  <c r="E97" i="7" s="1"/>
  <c r="T10" i="7"/>
  <c r="U10" i="7" s="1"/>
  <c r="T53" i="7"/>
  <c r="T54" i="7"/>
  <c r="U54" i="7" s="1"/>
  <c r="T29" i="7"/>
  <c r="U29" i="7" s="1"/>
  <c r="T36" i="7"/>
  <c r="U36" i="7" s="1"/>
  <c r="T28" i="7"/>
  <c r="U28" i="7" s="1"/>
  <c r="U27" i="7" s="1"/>
  <c r="T12" i="7"/>
  <c r="U12" i="7" s="1"/>
  <c r="S79" i="7"/>
  <c r="T56" i="7"/>
  <c r="U56" i="7" s="1"/>
  <c r="R79" i="7"/>
  <c r="T58" i="7"/>
  <c r="U58" i="7" s="1"/>
  <c r="D21" i="32"/>
  <c r="B24" i="32"/>
  <c r="Z79" i="7"/>
  <c r="E45" i="3"/>
  <c r="E39" i="3"/>
  <c r="M56" i="72" s="1"/>
  <c r="M57" i="72" s="1"/>
  <c r="V57" i="72" s="1"/>
  <c r="M58" i="9"/>
  <c r="M59" i="9" s="1"/>
  <c r="E48" i="3"/>
  <c r="F44" i="3"/>
  <c r="G40" i="11"/>
  <c r="B80" i="7"/>
  <c r="AI28" i="8"/>
  <c r="R10" i="70" s="1"/>
  <c r="R12" i="70" s="1"/>
  <c r="AM28" i="8"/>
  <c r="AM56" i="7"/>
  <c r="AH16" i="11"/>
  <c r="AB19" i="9"/>
  <c r="AL52" i="9"/>
  <c r="AX52" i="9" s="1"/>
  <c r="AZ52" i="9" s="1"/>
  <c r="AL54" i="9"/>
  <c r="Y90" i="7"/>
  <c r="Z90" i="7"/>
  <c r="Z92" i="7" s="1"/>
  <c r="I80" i="7"/>
  <c r="I83" i="7"/>
  <c r="M83" i="7" s="1"/>
  <c r="M45" i="6"/>
  <c r="M46" i="6" s="1"/>
  <c r="L47" i="5"/>
  <c r="L49" i="5" s="1"/>
  <c r="L51" i="5"/>
  <c r="Q47" i="5"/>
  <c r="AL48" i="9"/>
  <c r="AL50" i="9"/>
  <c r="AX50" i="9" s="1"/>
  <c r="AZ50" i="9" s="1"/>
  <c r="AZ51" i="9" s="1"/>
  <c r="AX51" i="9" s="1"/>
  <c r="K79" i="9"/>
  <c r="N17" i="9"/>
  <c r="K17" i="9"/>
  <c r="C81" i="56"/>
  <c r="I73" i="56"/>
  <c r="N73" i="56" s="1"/>
  <c r="I81" i="56"/>
  <c r="I83" i="56" s="1"/>
  <c r="BA28" i="7"/>
  <c r="AP26" i="72"/>
  <c r="AX33" i="8"/>
  <c r="AP25" i="72"/>
  <c r="M40" i="3"/>
  <c r="AB17" i="72"/>
  <c r="Z9" i="72"/>
  <c r="AA9" i="72"/>
  <c r="AB13" i="72"/>
  <c r="AN58" i="72"/>
  <c r="G39" i="3"/>
  <c r="L40" i="11" s="1"/>
  <c r="Q58" i="72"/>
  <c r="AI88" i="8"/>
  <c r="N12" i="70"/>
  <c r="Q58" i="9"/>
  <c r="P50" i="9" s="1"/>
  <c r="C24" i="63"/>
  <c r="D23" i="63"/>
  <c r="V52" i="9"/>
  <c r="AI13" i="8"/>
  <c r="B81" i="56"/>
  <c r="G71" i="56"/>
  <c r="G81" i="56" s="1"/>
  <c r="AF65" i="8"/>
  <c r="BP27" i="17"/>
  <c r="BO27" i="17"/>
  <c r="AZ31" i="7" s="1"/>
  <c r="BP32" i="17"/>
  <c r="BO32" i="17"/>
  <c r="BB30" i="11"/>
  <c r="BC30" i="11"/>
  <c r="J11" i="21"/>
  <c r="J14" i="21"/>
  <c r="J15" i="21"/>
  <c r="J10" i="21"/>
  <c r="J13" i="21"/>
  <c r="J9" i="21"/>
  <c r="AN73" i="8"/>
  <c r="AN108" i="8" s="1"/>
  <c r="AM108" i="8"/>
  <c r="P19" i="10"/>
  <c r="O44" i="3"/>
  <c r="Z65" i="8"/>
  <c r="Z100" i="8" s="1"/>
  <c r="AF46" i="5"/>
  <c r="AF49" i="5" s="1"/>
  <c r="BP33" i="17"/>
  <c r="BO33" i="17"/>
  <c r="BP34" i="17"/>
  <c r="BO34" i="17"/>
  <c r="AX29" i="8"/>
  <c r="AX30" i="8" s="1"/>
  <c r="AX48" i="9"/>
  <c r="AZ48" i="9" s="1"/>
  <c r="AO54" i="9"/>
  <c r="N13" i="21"/>
  <c r="H29" i="21"/>
  <c r="AK100" i="8"/>
  <c r="AV93" i="8"/>
  <c r="AW93" i="8" s="1"/>
  <c r="AW42" i="8"/>
  <c r="AJ93" i="8"/>
  <c r="AJ28" i="8"/>
  <c r="BA28" i="8"/>
  <c r="AJ65" i="8"/>
  <c r="AW65" i="8"/>
  <c r="BA65" i="8"/>
  <c r="AN151" i="7"/>
  <c r="AL139" i="7"/>
  <c r="AM139" i="7" s="1"/>
  <c r="AE27" i="7"/>
  <c r="W48" i="5"/>
  <c r="AA16" i="7" s="1"/>
  <c r="AI16" i="7" s="1"/>
  <c r="H42" i="7"/>
  <c r="G38" i="7"/>
  <c r="H38" i="7" s="1"/>
  <c r="P51" i="5"/>
  <c r="O42" i="7"/>
  <c r="AX54" i="9"/>
  <c r="AZ54" i="9" s="1"/>
  <c r="AK10" i="17"/>
  <c r="AJ8" i="17"/>
  <c r="Y39" i="8"/>
  <c r="G48" i="3"/>
  <c r="O48" i="3" s="1"/>
  <c r="X9" i="7"/>
  <c r="X8" i="7" s="1"/>
  <c r="W8" i="7"/>
  <c r="AN13" i="7"/>
  <c r="H89" i="7"/>
  <c r="AL79" i="7"/>
  <c r="AL151" i="7" s="1"/>
  <c r="T89" i="7"/>
  <c r="AN39" i="7"/>
  <c r="AN10" i="7"/>
  <c r="AN31" i="7"/>
  <c r="AN36" i="7"/>
  <c r="AN29" i="7"/>
  <c r="X36" i="7"/>
  <c r="X35" i="7" s="1"/>
  <c r="W35" i="7"/>
  <c r="AN58" i="9"/>
  <c r="X29" i="7"/>
  <c r="X27" i="7" s="1"/>
  <c r="W27" i="7"/>
  <c r="G32" i="11"/>
  <c r="G31" i="11"/>
  <c r="G33" i="11"/>
  <c r="G29" i="11"/>
  <c r="E40" i="3"/>
  <c r="M56" i="9"/>
  <c r="M57" i="9" s="1"/>
  <c r="V57" i="9" s="1"/>
  <c r="F39" i="3"/>
  <c r="E43" i="3"/>
  <c r="D24" i="32"/>
  <c r="B25" i="32"/>
  <c r="D25" i="32" s="1"/>
  <c r="U53" i="7"/>
  <c r="T52" i="7"/>
  <c r="G95" i="7"/>
  <c r="AO52" i="9"/>
  <c r="AB9" i="9"/>
  <c r="AB21" i="9"/>
  <c r="AB11" i="9" s="1"/>
  <c r="AC11" i="9" s="1"/>
  <c r="Y92" i="7"/>
  <c r="AA92" i="7" s="1"/>
  <c r="Q110" i="7"/>
  <c r="AG7" i="11"/>
  <c r="AK7" i="11" s="1"/>
  <c r="AK15" i="11" s="1"/>
  <c r="Q19" i="7" s="1"/>
  <c r="AG11" i="11"/>
  <c r="AK11" i="11" s="1"/>
  <c r="AO50" i="9"/>
  <c r="AO48" i="9"/>
  <c r="Z9" i="8"/>
  <c r="AF9" i="8"/>
  <c r="G40" i="3"/>
  <c r="I84" i="56"/>
  <c r="G84" i="56" s="1"/>
  <c r="T8" i="7"/>
  <c r="T95" i="7"/>
  <c r="L95" i="7" s="1"/>
  <c r="L97" i="7" s="1"/>
  <c r="AO73" i="8"/>
  <c r="AO108" i="8" s="1"/>
  <c r="AM40" i="11"/>
  <c r="M39" i="3"/>
  <c r="B18" i="84" s="1"/>
  <c r="V58" i="72"/>
  <c r="P50" i="72"/>
  <c r="Q50" i="72" s="1"/>
  <c r="V50" i="72" s="1"/>
  <c r="BA58" i="72"/>
  <c r="Q56" i="72"/>
  <c r="V56" i="72" s="1"/>
  <c r="V58" i="9"/>
  <c r="AJ88" i="8"/>
  <c r="AB16" i="7"/>
  <c r="N20" i="70"/>
  <c r="BB16" i="7"/>
  <c r="BC16" i="7" s="1"/>
  <c r="AC16" i="7"/>
  <c r="AP16" i="7"/>
  <c r="C25" i="63"/>
  <c r="D25" i="63" s="1"/>
  <c r="D24" i="63"/>
  <c r="BB19" i="7"/>
  <c r="BB142" i="7" s="1"/>
  <c r="Z20" i="8"/>
  <c r="AM20" i="8" s="1"/>
  <c r="L71" i="56"/>
  <c r="L81" i="56" s="1"/>
  <c r="BB42" i="7"/>
  <c r="BB34" i="7"/>
  <c r="BC34" i="7" s="1"/>
  <c r="Z21" i="8"/>
  <c r="AA21" i="8" s="1"/>
  <c r="J16" i="21"/>
  <c r="AX23" i="8"/>
  <c r="AY23" i="8" s="1"/>
  <c r="AW23" i="8"/>
  <c r="AX31" i="8"/>
  <c r="AX27" i="8"/>
  <c r="AV30" i="8"/>
  <c r="AV31" i="8" s="1"/>
  <c r="BB13" i="7"/>
  <c r="BC13" i="7" s="1"/>
  <c r="AK13" i="8"/>
  <c r="BB18" i="7"/>
  <c r="AX9" i="8"/>
  <c r="BB9" i="7"/>
  <c r="BC9" i="7" s="1"/>
  <c r="BC136" i="7" s="1"/>
  <c r="AX41" i="8"/>
  <c r="AX16" i="8"/>
  <c r="AV92" i="8"/>
  <c r="AX26" i="8"/>
  <c r="AY26" i="8" s="1"/>
  <c r="AY92" i="8" s="1"/>
  <c r="AY33" i="8"/>
  <c r="AY27" i="8" s="1"/>
  <c r="BB26" i="7"/>
  <c r="P13" i="21"/>
  <c r="BA79" i="7"/>
  <c r="AE25" i="7"/>
  <c r="AE8" i="7"/>
  <c r="U52" i="7"/>
  <c r="AE41" i="7"/>
  <c r="AE35" i="7" s="1"/>
  <c r="AF33" i="7"/>
  <c r="BD33" i="7" s="1"/>
  <c r="Q42" i="7"/>
  <c r="W51" i="5"/>
  <c r="AA42" i="7" s="1"/>
  <c r="P42" i="7"/>
  <c r="BA58" i="9"/>
  <c r="Z39" i="8"/>
  <c r="Y40" i="8"/>
  <c r="AF39" i="8"/>
  <c r="AH8" i="17"/>
  <c r="AI8" i="17" s="1"/>
  <c r="AK8" i="17"/>
  <c r="E90" i="7"/>
  <c r="E91" i="7" s="1"/>
  <c r="E101" i="7" s="1"/>
  <c r="AO29" i="7"/>
  <c r="AO13" i="7"/>
  <c r="AO31" i="7"/>
  <c r="AL31" i="7" s="1"/>
  <c r="AN32" i="7"/>
  <c r="AN33" i="7" s="1"/>
  <c r="AO39" i="7"/>
  <c r="AL39" i="7" s="1"/>
  <c r="E89" i="7"/>
  <c r="L89" i="7" s="1"/>
  <c r="L91" i="7" s="1"/>
  <c r="AO10" i="7"/>
  <c r="AO138" i="7" s="1"/>
  <c r="AO36" i="7"/>
  <c r="AM79" i="7"/>
  <c r="T50" i="9"/>
  <c r="Q50" i="9"/>
  <c r="AA18" i="7" s="1"/>
  <c r="AC18" i="7" s="1"/>
  <c r="K33" i="11"/>
  <c r="O33" i="11" s="1"/>
  <c r="K32" i="11"/>
  <c r="K31" i="11"/>
  <c r="Z9" i="9"/>
  <c r="AA9" i="9" s="1"/>
  <c r="AB13" i="9"/>
  <c r="Q95" i="7"/>
  <c r="AN56" i="72"/>
  <c r="AQ56" i="72" s="1"/>
  <c r="B19" i="32"/>
  <c r="M43" i="3"/>
  <c r="AN56" i="9"/>
  <c r="AQ56" i="9" s="1"/>
  <c r="O39" i="3"/>
  <c r="T50" i="72"/>
  <c r="AZ40" i="8"/>
  <c r="AZ142" i="7"/>
  <c r="AZ143" i="7"/>
  <c r="AA20" i="8"/>
  <c r="AX13" i="8"/>
  <c r="AX14" i="8" s="1"/>
  <c r="AW13" i="8"/>
  <c r="BB14" i="7"/>
  <c r="AX24" i="8"/>
  <c r="AX25" i="8" s="1"/>
  <c r="AZ136" i="7"/>
  <c r="BB136" i="7"/>
  <c r="BC42" i="7"/>
  <c r="BB143" i="7"/>
  <c r="AY27" i="7"/>
  <c r="T42" i="7"/>
  <c r="U42" i="7" s="1"/>
  <c r="R42" i="7"/>
  <c r="Z42" i="7"/>
  <c r="S42" i="7"/>
  <c r="AL36" i="7"/>
  <c r="AL13" i="7"/>
  <c r="BA13" i="7" s="1"/>
  <c r="G89" i="7"/>
  <c r="Q89" i="7" s="1"/>
  <c r="AL10" i="7"/>
  <c r="AM10" i="7" s="1"/>
  <c r="AL29" i="7"/>
  <c r="AM29" i="7" s="1"/>
  <c r="V50" i="9"/>
  <c r="BA56" i="9"/>
  <c r="BA56" i="72"/>
  <c r="O43" i="3"/>
  <c r="BB15" i="7"/>
  <c r="BB8" i="7" s="1"/>
  <c r="AV91" i="8"/>
  <c r="AX19" i="8"/>
  <c r="AX91" i="8" s="1"/>
  <c r="AX18" i="8"/>
  <c r="AX17" i="8" s="1"/>
  <c r="AV86" i="8"/>
  <c r="AF27" i="7"/>
  <c r="AY141" i="7"/>
  <c r="AT15" i="7"/>
  <c r="AT8" i="7" s="1"/>
  <c r="BC105" i="8"/>
  <c r="AJ11" i="19"/>
  <c r="AJ49" i="19" s="1"/>
  <c r="AJ14" i="19"/>
  <c r="AK14" i="19" s="1"/>
  <c r="AL14" i="19" s="1"/>
  <c r="AV94" i="8"/>
  <c r="AZ145" i="7"/>
  <c r="BB58" i="7"/>
  <c r="BC58" i="7" s="1"/>
  <c r="BC145" i="7" s="1"/>
  <c r="AX94" i="8"/>
  <c r="AF41" i="7"/>
  <c r="AF8" i="7"/>
  <c r="AF35" i="7"/>
  <c r="AW73" i="8"/>
  <c r="B11" i="56"/>
  <c r="AY8" i="7"/>
  <c r="AY63" i="7" s="1"/>
  <c r="AY136" i="7"/>
  <c r="AX8" i="7"/>
  <c r="AX63" i="7" s="1"/>
  <c r="AW9" i="7"/>
  <c r="AW8" i="7" s="1"/>
  <c r="AW136" i="7"/>
  <c r="AX136" i="7"/>
  <c r="AY143" i="7"/>
  <c r="AX143" i="7"/>
  <c r="AW42" i="7"/>
  <c r="AW35" i="7" s="1"/>
  <c r="AX145" i="7"/>
  <c r="AY145" i="7"/>
  <c r="AW58" i="7"/>
  <c r="AW145" i="7" s="1"/>
  <c r="W63" i="3"/>
  <c r="W62" i="3" s="1"/>
  <c r="BM20" i="7"/>
  <c r="BM27" i="7"/>
  <c r="BO27" i="7"/>
  <c r="BO63" i="7"/>
  <c r="BO65" i="7" s="1"/>
  <c r="BM138" i="7"/>
  <c r="AJ12" i="5"/>
  <c r="BV14" i="19"/>
  <c r="BV10" i="19" s="1"/>
  <c r="BV11" i="19" s="1"/>
  <c r="BU14" i="19"/>
  <c r="BU10" i="19" s="1"/>
  <c r="BU11" i="19" s="1"/>
  <c r="BT14" i="19"/>
  <c r="BT10" i="19" s="1"/>
  <c r="BQ14" i="19"/>
  <c r="BQ10" i="19" s="1"/>
  <c r="BS14" i="19"/>
  <c r="BS10" i="19" s="1"/>
  <c r="BS11" i="19" s="1"/>
  <c r="BR14" i="19"/>
  <c r="BR10" i="19" s="1"/>
  <c r="BR11" i="19" s="1"/>
  <c r="CK8" i="7"/>
  <c r="CJ8" i="7"/>
  <c r="CI138" i="7"/>
  <c r="CJ27" i="7"/>
  <c r="CJ138" i="7"/>
  <c r="CJ175" i="7" s="1"/>
  <c r="CK138" i="7"/>
  <c r="CK175" i="7" s="1"/>
  <c r="AI22" i="64" s="1"/>
  <c r="CK27" i="7"/>
  <c r="CJ141" i="7"/>
  <c r="CK141" i="7"/>
  <c r="CO141" i="7"/>
  <c r="CM35" i="7"/>
  <c r="CP141" i="7"/>
  <c r="CN35" i="7"/>
  <c r="CQ141" i="7"/>
  <c r="CQ35" i="7"/>
  <c r="CI141" i="7"/>
  <c r="CL35" i="7"/>
  <c r="CK35" i="7"/>
  <c r="CJ140" i="7"/>
  <c r="CK140" i="7"/>
  <c r="CJ35" i="7"/>
  <c r="CI35" i="7"/>
  <c r="AZ12" i="61"/>
  <c r="CO37" i="7"/>
  <c r="CK52" i="7"/>
  <c r="CK144" i="7" s="1"/>
  <c r="CP17" i="8"/>
  <c r="CP91" i="8"/>
  <c r="CO91" i="8"/>
  <c r="CO17" i="8"/>
  <c r="CN91" i="8"/>
  <c r="AE18" i="98"/>
  <c r="CO9" i="8"/>
  <c r="CO118" i="8" s="1"/>
  <c r="AK12" i="65" s="1"/>
  <c r="CO86" i="8"/>
  <c r="CO8" i="8"/>
  <c r="AF18" i="98"/>
  <c r="CR9" i="8"/>
  <c r="CR118" i="8" s="1"/>
  <c r="AL12" i="65" s="1"/>
  <c r="AG19" i="98"/>
  <c r="AG18" i="98" s="1"/>
  <c r="AI18" i="98" s="1"/>
  <c r="CR86" i="8"/>
  <c r="CQ9" i="8"/>
  <c r="CQ86" i="8" s="1"/>
  <c r="J14" i="92"/>
  <c r="CO43" i="8"/>
  <c r="CN43" i="8" s="1"/>
  <c r="CN42" i="8" s="1"/>
  <c r="CN93" i="8" s="1"/>
  <c r="CO42" i="8"/>
  <c r="CO93" i="8" s="1"/>
  <c r="CO121" i="8" s="1"/>
  <c r="CH17" i="7"/>
  <c r="CF20" i="7"/>
  <c r="CM92" i="8"/>
  <c r="CL123" i="8"/>
  <c r="CK47" i="8"/>
  <c r="CK95" i="8" s="1"/>
  <c r="AJ8" i="121"/>
  <c r="AJ10" i="121" s="1"/>
  <c r="AI8" i="121"/>
  <c r="CH8" i="121" s="1"/>
  <c r="CH10" i="121" s="1"/>
  <c r="AI8" i="123"/>
  <c r="AJ8" i="123"/>
  <c r="CI8" i="123" s="1"/>
  <c r="EH8" i="123" s="1"/>
  <c r="GG8" i="123" s="1"/>
  <c r="I27" i="123"/>
  <c r="I28" i="123"/>
  <c r="AJ10" i="123"/>
  <c r="AJ27" i="123" s="1"/>
  <c r="H27" i="123"/>
  <c r="H28" i="123"/>
  <c r="AI10" i="123"/>
  <c r="AI28" i="123" s="1"/>
  <c r="J29" i="123"/>
  <c r="J26" i="123"/>
  <c r="AK11" i="123"/>
  <c r="AK29" i="123" s="1"/>
  <c r="J62" i="123"/>
  <c r="AK62" i="123" s="1"/>
  <c r="H29" i="123"/>
  <c r="AI11" i="123"/>
  <c r="CH11" i="123" s="1"/>
  <c r="AK9" i="123"/>
  <c r="CJ9" i="123" s="1"/>
  <c r="I30" i="123"/>
  <c r="AJ12" i="123"/>
  <c r="AJ30" i="123" s="1"/>
  <c r="H62" i="123"/>
  <c r="I62" i="123"/>
  <c r="AJ62" i="123" s="1"/>
  <c r="AJ9" i="123"/>
  <c r="CI9" i="123" s="1"/>
  <c r="EH9" i="123" s="1"/>
  <c r="H30" i="123"/>
  <c r="AI12" i="123"/>
  <c r="AI30" i="123" s="1"/>
  <c r="I26" i="123"/>
  <c r="AK55" i="123"/>
  <c r="CJ55" i="123" s="1"/>
  <c r="EI55" i="123" s="1"/>
  <c r="GH55" i="123" s="1"/>
  <c r="AJ55" i="123"/>
  <c r="CI55" i="123" s="1"/>
  <c r="EH55" i="123" s="1"/>
  <c r="GG55" i="123" s="1"/>
  <c r="AK51" i="123"/>
  <c r="CJ51" i="123" s="1"/>
  <c r="EI51" i="123" s="1"/>
  <c r="GH51" i="123" s="1"/>
  <c r="AJ51" i="123"/>
  <c r="CI51" i="123" s="1"/>
  <c r="EH51" i="123" s="1"/>
  <c r="GG51" i="123" s="1"/>
  <c r="AK54" i="123"/>
  <c r="CJ54" i="123" s="1"/>
  <c r="EI54" i="123" s="1"/>
  <c r="GH54" i="123" s="1"/>
  <c r="AJ54" i="123"/>
  <c r="CI54" i="123" s="1"/>
  <c r="EH54" i="123" s="1"/>
  <c r="GG54" i="123" s="1"/>
  <c r="AK57" i="123"/>
  <c r="CJ57" i="123" s="1"/>
  <c r="EI57" i="123" s="1"/>
  <c r="GH57" i="123" s="1"/>
  <c r="AJ57" i="123"/>
  <c r="AK52" i="123"/>
  <c r="AK53" i="123"/>
  <c r="CJ53" i="123" s="1"/>
  <c r="EI53" i="123" s="1"/>
  <c r="AK36" i="123"/>
  <c r="CJ36" i="123" s="1"/>
  <c r="EI36" i="123" s="1"/>
  <c r="GH36" i="123" s="1"/>
  <c r="AJ36" i="123"/>
  <c r="CI36" i="123" s="1"/>
  <c r="EH36" i="123" s="1"/>
  <c r="AJ38" i="123"/>
  <c r="CI38" i="123" s="1"/>
  <c r="EH38" i="123" s="1"/>
  <c r="AK38" i="123"/>
  <c r="CJ38" i="123" s="1"/>
  <c r="EI38" i="123" s="1"/>
  <c r="GH38" i="123" s="1"/>
  <c r="AK56" i="123"/>
  <c r="CJ56" i="123" s="1"/>
  <c r="EI56" i="123" s="1"/>
  <c r="GH56" i="123" s="1"/>
  <c r="AJ56" i="123"/>
  <c r="CI56" i="123" s="1"/>
  <c r="EH56" i="123" s="1"/>
  <c r="J42" i="123"/>
  <c r="AK41" i="123"/>
  <c r="AK59" i="123"/>
  <c r="CJ59" i="123" s="1"/>
  <c r="EI59" i="123" s="1"/>
  <c r="GH59" i="123" s="1"/>
  <c r="AJ59" i="123"/>
  <c r="CI59" i="123"/>
  <c r="EH59" i="123" s="1"/>
  <c r="GG59" i="123" s="1"/>
  <c r="AJ39" i="123"/>
  <c r="CI39" i="123" s="1"/>
  <c r="EH39" i="123" s="1"/>
  <c r="GG39" i="123" s="1"/>
  <c r="AK39" i="123"/>
  <c r="CJ39" i="123" s="1"/>
  <c r="EI39" i="123" s="1"/>
  <c r="GH39" i="123" s="1"/>
  <c r="AK60" i="123"/>
  <c r="CJ60" i="123" s="1"/>
  <c r="EI60" i="123" s="1"/>
  <c r="GH60" i="123" s="1"/>
  <c r="AJ60" i="123"/>
  <c r="CI60" i="123" s="1"/>
  <c r="EH60" i="123" s="1"/>
  <c r="GG60" i="123" s="1"/>
  <c r="J48" i="123"/>
  <c r="AK48" i="123" s="1"/>
  <c r="CJ48" i="123" s="1"/>
  <c r="EI48" i="123" s="1"/>
  <c r="GH48" i="123" s="1"/>
  <c r="AK50" i="123"/>
  <c r="CJ50" i="123" s="1"/>
  <c r="EI50" i="123" s="1"/>
  <c r="GH50" i="123" s="1"/>
  <c r="AK37" i="123"/>
  <c r="CJ37" i="123" s="1"/>
  <c r="EI37" i="123" s="1"/>
  <c r="GH37" i="123" s="1"/>
  <c r="AJ37" i="123"/>
  <c r="CI37" i="123" s="1"/>
  <c r="EH37" i="123" s="1"/>
  <c r="GG37" i="123" s="1"/>
  <c r="AK35" i="123"/>
  <c r="CJ35" i="123" s="1"/>
  <c r="EI35" i="123" s="1"/>
  <c r="GH35" i="123" s="1"/>
  <c r="AJ58" i="123"/>
  <c r="CI58" i="123"/>
  <c r="EH58" i="123" s="1"/>
  <c r="GG58" i="123" s="1"/>
  <c r="AK58" i="123"/>
  <c r="CJ58" i="123" s="1"/>
  <c r="AK40" i="123"/>
  <c r="CJ40" i="123" s="1"/>
  <c r="EI40" i="123" s="1"/>
  <c r="AJ40" i="123"/>
  <c r="CI40" i="123" s="1"/>
  <c r="AJ52" i="123"/>
  <c r="AJ53" i="123"/>
  <c r="CI53" i="123" s="1"/>
  <c r="EH53" i="123" s="1"/>
  <c r="GG53" i="123" s="1"/>
  <c r="I48" i="123"/>
  <c r="AJ48" i="123" s="1"/>
  <c r="CI48" i="123" s="1"/>
  <c r="EH48" i="123" s="1"/>
  <c r="GG48" i="123" s="1"/>
  <c r="AJ50" i="123"/>
  <c r="CI50" i="123"/>
  <c r="EH50" i="123" s="1"/>
  <c r="AJ41" i="123"/>
  <c r="I42" i="123"/>
  <c r="AJ35" i="123"/>
  <c r="CI35" i="123" s="1"/>
  <c r="EH35" i="123" s="1"/>
  <c r="GG35" i="123" s="1"/>
  <c r="CJ41" i="123"/>
  <c r="CB245" i="120"/>
  <c r="CJ42" i="120"/>
  <c r="CB242" i="120"/>
  <c r="CD245" i="120"/>
  <c r="C42" i="120"/>
  <c r="R42" i="120" s="1"/>
  <c r="CC242" i="120"/>
  <c r="CC245" i="120"/>
  <c r="C44" i="120"/>
  <c r="C245" i="120" s="1"/>
  <c r="D44" i="120"/>
  <c r="D42" i="120"/>
  <c r="S42" i="120" s="1"/>
  <c r="S242" i="120" s="1"/>
  <c r="CD242" i="120"/>
  <c r="D245" i="120"/>
  <c r="S44" i="120"/>
  <c r="S245" i="120" s="1"/>
  <c r="AH44" i="120"/>
  <c r="AH245" i="120" s="1"/>
  <c r="CD204" i="120"/>
  <c r="CB268" i="120"/>
  <c r="CD239" i="120"/>
  <c r="CB266" i="120"/>
  <c r="CB262" i="120"/>
  <c r="CD206" i="120"/>
  <c r="CI45" i="120"/>
  <c r="C45" i="120"/>
  <c r="R45" i="120" s="1"/>
  <c r="CB263" i="120"/>
  <c r="C47" i="120"/>
  <c r="CC262" i="120"/>
  <c r="D39" i="120"/>
  <c r="D239" i="120" s="1"/>
  <c r="CD241" i="120"/>
  <c r="D41" i="120"/>
  <c r="C43" i="120"/>
  <c r="CC266" i="120"/>
  <c r="C51" i="120"/>
  <c r="CC50" i="120"/>
  <c r="CJ45" i="120"/>
  <c r="CD254" i="120"/>
  <c r="D45" i="120"/>
  <c r="CC263" i="120"/>
  <c r="C48" i="120"/>
  <c r="CD205" i="120"/>
  <c r="CD208" i="120" s="1"/>
  <c r="CD238" i="120"/>
  <c r="D38" i="120"/>
  <c r="D48" i="120"/>
  <c r="S48" i="120" s="1"/>
  <c r="S263" i="120" s="1"/>
  <c r="CJ48" i="120"/>
  <c r="CD263" i="120"/>
  <c r="CJ49" i="120"/>
  <c r="CD264" i="120"/>
  <c r="CJ264" i="120"/>
  <c r="D49" i="120"/>
  <c r="CD46" i="120"/>
  <c r="D47" i="120"/>
  <c r="CD262" i="120"/>
  <c r="CJ43" i="120"/>
  <c r="D43" i="120"/>
  <c r="CD243" i="120"/>
  <c r="CJ243" i="120" s="1"/>
  <c r="CC137" i="120"/>
  <c r="C138" i="120"/>
  <c r="B138" i="120" s="1"/>
  <c r="CJ52" i="120"/>
  <c r="CD268" i="120"/>
  <c r="D52" i="120"/>
  <c r="D268" i="120" s="1"/>
  <c r="R47" i="120"/>
  <c r="C41" i="120"/>
  <c r="D206" i="120"/>
  <c r="D58" i="121" s="1"/>
  <c r="CD50" i="120"/>
  <c r="CB50" i="120" s="1"/>
  <c r="D51" i="120"/>
  <c r="D50" i="120" s="1"/>
  <c r="CD266" i="120"/>
  <c r="CI52" i="120"/>
  <c r="CC268" i="120"/>
  <c r="C52" i="120"/>
  <c r="R52" i="120" s="1"/>
  <c r="D205" i="120"/>
  <c r="D57" i="121" s="1"/>
  <c r="D238" i="120"/>
  <c r="S38" i="120"/>
  <c r="C263" i="120"/>
  <c r="S41" i="120"/>
  <c r="D241" i="120"/>
  <c r="CJ134" i="120"/>
  <c r="D134" i="120"/>
  <c r="D243" i="120" s="1"/>
  <c r="S47" i="120"/>
  <c r="D262" i="120"/>
  <c r="S49" i="120"/>
  <c r="D264" i="120"/>
  <c r="B41" i="120"/>
  <c r="R41" i="120"/>
  <c r="AG41" i="120" s="1"/>
  <c r="CD265" i="120"/>
  <c r="AG47" i="120"/>
  <c r="CB137" i="120"/>
  <c r="S43" i="120"/>
  <c r="B45" i="120"/>
  <c r="R51" i="120"/>
  <c r="C266" i="120"/>
  <c r="B43" i="120"/>
  <c r="R43" i="120"/>
  <c r="CC264" i="120"/>
  <c r="C49" i="120"/>
  <c r="C264" i="120" s="1"/>
  <c r="Q43" i="120"/>
  <c r="S46" i="120"/>
  <c r="S134" i="120"/>
  <c r="S243" i="120" s="1"/>
  <c r="S205" i="120"/>
  <c r="AQ57" i="121" s="1"/>
  <c r="AZ57" i="121" s="1"/>
  <c r="BI57" i="121" s="1"/>
  <c r="S238" i="120"/>
  <c r="AH48" i="120"/>
  <c r="AQ48" i="120" s="1"/>
  <c r="AH49" i="120"/>
  <c r="AQ49" i="120" s="1"/>
  <c r="AH47" i="120"/>
  <c r="AQ47" i="120" s="1"/>
  <c r="AH41" i="120"/>
  <c r="AG43" i="120"/>
  <c r="AP43" i="120" s="1"/>
  <c r="BE43" i="120" s="1"/>
  <c r="AG51" i="120"/>
  <c r="AP51" i="120" s="1"/>
  <c r="AH43" i="120"/>
  <c r="AQ43" i="120" s="1"/>
  <c r="Q41" i="120"/>
  <c r="AH38" i="120"/>
  <c r="AQ38" i="120" s="1"/>
  <c r="R49" i="120"/>
  <c r="AN43" i="120"/>
  <c r="AQ41" i="120"/>
  <c r="BF41" i="120" s="1"/>
  <c r="AN49" i="120"/>
  <c r="AF43" i="120"/>
  <c r="Q49" i="120"/>
  <c r="AH263" i="120"/>
  <c r="AF41" i="120"/>
  <c r="BR57" i="121"/>
  <c r="Q42" i="125" s="1"/>
  <c r="AG49" i="120"/>
  <c r="AF49" i="120" s="1"/>
  <c r="AL49" i="120" s="1"/>
  <c r="AK48" i="121"/>
  <c r="AJ48" i="121"/>
  <c r="AI48" i="121"/>
  <c r="AJ46" i="123"/>
  <c r="CI46" i="123" s="1"/>
  <c r="EH46" i="123" s="1"/>
  <c r="GG46" i="123" s="1"/>
  <c r="AJ45" i="123"/>
  <c r="CI45" i="123" s="1"/>
  <c r="EH45" i="123" s="1"/>
  <c r="GG45" i="123" s="1"/>
  <c r="AJ44" i="123"/>
  <c r="AJ47" i="123"/>
  <c r="CI47" i="123" s="1"/>
  <c r="EH47" i="123" s="1"/>
  <c r="GG47" i="123" s="1"/>
  <c r="AK44" i="123"/>
  <c r="CJ44" i="123" s="1"/>
  <c r="EI44" i="123" s="1"/>
  <c r="GH44" i="123" s="1"/>
  <c r="AI46" i="123"/>
  <c r="CH46" i="123" s="1"/>
  <c r="AI47" i="123"/>
  <c r="AK47" i="123"/>
  <c r="CJ47" i="123" s="1"/>
  <c r="EI47" i="123" s="1"/>
  <c r="GH47" i="123" s="1"/>
  <c r="AI45" i="123"/>
  <c r="CH45" i="123" s="1"/>
  <c r="EG45" i="123" s="1"/>
  <c r="AK45" i="123"/>
  <c r="CJ45" i="123" s="1"/>
  <c r="EI45" i="123" s="1"/>
  <c r="GH45" i="123" s="1"/>
  <c r="J43" i="123"/>
  <c r="J61" i="123" s="1"/>
  <c r="AI44" i="123"/>
  <c r="I43" i="123"/>
  <c r="I61" i="123" s="1"/>
  <c r="H43" i="123"/>
  <c r="DB12" i="19"/>
  <c r="V8" i="104"/>
  <c r="CM56" i="7"/>
  <c r="CL56" i="7" s="1"/>
  <c r="R31" i="105"/>
  <c r="V26" i="104"/>
  <c r="V31" i="104" s="1"/>
  <c r="S36" i="105"/>
  <c r="S33" i="105"/>
  <c r="CP56" i="7" s="1"/>
  <c r="CO56" i="7" s="1"/>
  <c r="Z13" i="102"/>
  <c r="Z21" i="102" s="1"/>
  <c r="CB240" i="120"/>
  <c r="CD240" i="120"/>
  <c r="CJ240" i="120" s="1"/>
  <c r="CC240" i="120"/>
  <c r="CJ40" i="120"/>
  <c r="C40" i="120"/>
  <c r="R40" i="120" s="1"/>
  <c r="AG40" i="120" s="1"/>
  <c r="D40" i="120"/>
  <c r="S40" i="120" s="1"/>
  <c r="S240" i="120" s="1"/>
  <c r="C240" i="120"/>
  <c r="C46" i="120"/>
  <c r="CC46" i="120"/>
  <c r="CB46" i="120" s="1"/>
  <c r="CB264" i="120"/>
  <c r="AM49" i="120"/>
  <c r="CI49" i="120"/>
  <c r="CB253" i="120"/>
  <c r="CC253" i="120"/>
  <c r="CC252" i="120"/>
  <c r="CB252" i="120"/>
  <c r="CC251" i="120"/>
  <c r="C116" i="120"/>
  <c r="C249" i="120" s="1"/>
  <c r="CB249" i="120"/>
  <c r="CB251" i="120"/>
  <c r="CB250" i="120"/>
  <c r="CB207" i="120"/>
  <c r="CC207" i="120"/>
  <c r="C114" i="120"/>
  <c r="C253" i="120"/>
  <c r="C112" i="120"/>
  <c r="R112" i="120" s="1"/>
  <c r="CC249" i="120"/>
  <c r="CC250" i="120"/>
  <c r="C113" i="120"/>
  <c r="R113" i="120" s="1"/>
  <c r="C110" i="120"/>
  <c r="C250" i="120" s="1"/>
  <c r="B114" i="120"/>
  <c r="B253" i="120" s="1"/>
  <c r="C111" i="120"/>
  <c r="R111" i="120" s="1"/>
  <c r="Q111" i="120" s="1"/>
  <c r="B116" i="120"/>
  <c r="C109" i="120"/>
  <c r="R109" i="120" s="1"/>
  <c r="R114" i="120"/>
  <c r="R253" i="120" s="1"/>
  <c r="R110" i="120"/>
  <c r="AG110" i="120" s="1"/>
  <c r="R116" i="120"/>
  <c r="AG116" i="120" s="1"/>
  <c r="B110" i="120"/>
  <c r="B250" i="120" s="1"/>
  <c r="C207" i="120"/>
  <c r="C59" i="121" s="1"/>
  <c r="C115" i="120"/>
  <c r="R115" i="120" s="1"/>
  <c r="B109" i="120"/>
  <c r="R207" i="120"/>
  <c r="AP59" i="121" s="1"/>
  <c r="B111" i="120"/>
  <c r="CB243" i="120"/>
  <c r="CB241" i="120"/>
  <c r="CC243" i="120"/>
  <c r="CC241" i="120"/>
  <c r="C243" i="120"/>
  <c r="C241" i="120"/>
  <c r="CB254" i="120"/>
  <c r="C135" i="120"/>
  <c r="CC254" i="120"/>
  <c r="AR25" i="123"/>
  <c r="AT29" i="123"/>
  <c r="CE32" i="121"/>
  <c r="CF30" i="121"/>
  <c r="AS10" i="121"/>
  <c r="E101" i="122"/>
  <c r="N107" i="122"/>
  <c r="AI107" i="122" s="1"/>
  <c r="AK46" i="122"/>
  <c r="AI116" i="122"/>
  <c r="N120" i="122"/>
  <c r="N173" i="122" s="1"/>
  <c r="N118" i="122"/>
  <c r="AK120" i="122"/>
  <c r="BI120" i="122" s="1"/>
  <c r="AK118" i="122"/>
  <c r="W57" i="123"/>
  <c r="W55" i="123"/>
  <c r="Y52" i="123"/>
  <c r="W53" i="123"/>
  <c r="W35" i="123"/>
  <c r="AH41" i="123"/>
  <c r="Y42" i="123"/>
  <c r="W40" i="123"/>
  <c r="N127" i="122"/>
  <c r="K180" i="122"/>
  <c r="W72" i="123"/>
  <c r="L81" i="122"/>
  <c r="L75" i="122" s="1"/>
  <c r="L213" i="122"/>
  <c r="O90" i="122"/>
  <c r="W58" i="123"/>
  <c r="W56" i="123"/>
  <c r="AG56" i="123"/>
  <c r="AG54" i="123"/>
  <c r="W54" i="123"/>
  <c r="AF54" i="123" s="1"/>
  <c r="N117" i="122"/>
  <c r="O196" i="122"/>
  <c r="W46" i="123"/>
  <c r="N64" i="122"/>
  <c r="K215" i="122"/>
  <c r="W50" i="123"/>
  <c r="AF50" i="123" s="1"/>
  <c r="AG50" i="123"/>
  <c r="K111" i="122"/>
  <c r="K164" i="122" s="1"/>
  <c r="W48" i="123"/>
  <c r="AG48" i="123"/>
  <c r="AG49" i="123"/>
  <c r="W49" i="123"/>
  <c r="AF49" i="123" s="1"/>
  <c r="AG38" i="123"/>
  <c r="W38" i="123"/>
  <c r="AF38" i="123" s="1"/>
  <c r="N59" i="122"/>
  <c r="O203" i="122"/>
  <c r="AJ203" i="122" s="1"/>
  <c r="AJ43" i="122"/>
  <c r="W41" i="123"/>
  <c r="X42" i="123"/>
  <c r="W72" i="121"/>
  <c r="W71" i="121"/>
  <c r="W68" i="121"/>
  <c r="W67" i="121"/>
  <c r="K202" i="120"/>
  <c r="W53" i="121"/>
  <c r="AH48" i="121"/>
  <c r="W48" i="121"/>
  <c r="W85" i="121"/>
  <c r="AF86" i="121"/>
  <c r="K227" i="120"/>
  <c r="K149" i="120"/>
  <c r="K215" i="120" s="1"/>
  <c r="AJ153" i="120"/>
  <c r="BH153" i="120" s="1"/>
  <c r="N153" i="120"/>
  <c r="N219" i="120" s="1"/>
  <c r="AJ151" i="120"/>
  <c r="AJ217" i="120" s="1"/>
  <c r="O65" i="120"/>
  <c r="AJ112" i="120"/>
  <c r="AJ251" i="120" s="1"/>
  <c r="AJ54" i="120"/>
  <c r="O196" i="120"/>
  <c r="AJ240" i="120"/>
  <c r="W52" i="121"/>
  <c r="AF52" i="121"/>
  <c r="AG52" i="121"/>
  <c r="K203" i="120"/>
  <c r="X55" i="121"/>
  <c r="O201" i="120"/>
  <c r="O129" i="120"/>
  <c r="AG57" i="121"/>
  <c r="W57" i="121"/>
  <c r="AH37" i="121"/>
  <c r="AF30" i="121"/>
  <c r="N16" i="122"/>
  <c r="X30" i="123"/>
  <c r="K9" i="122"/>
  <c r="K125" i="122" s="1"/>
  <c r="Y62" i="123"/>
  <c r="C58" i="124"/>
  <c r="Y26" i="123"/>
  <c r="AH29" i="123"/>
  <c r="W28" i="123"/>
  <c r="L181" i="120"/>
  <c r="L225" i="120" s="1"/>
  <c r="L159" i="120"/>
  <c r="AJ190" i="120"/>
  <c r="CF23" i="121"/>
  <c r="K22" i="120"/>
  <c r="K189" i="120" s="1"/>
  <c r="E18" i="120"/>
  <c r="E185" i="120" s="1"/>
  <c r="K18" i="120"/>
  <c r="K185" i="120" s="1"/>
  <c r="F18" i="121"/>
  <c r="N20" i="120"/>
  <c r="N187" i="120" s="1"/>
  <c r="L185" i="120"/>
  <c r="X77" i="121"/>
  <c r="AJ16" i="120"/>
  <c r="AK17" i="120"/>
  <c r="N17" i="120"/>
  <c r="N184" i="120" s="1"/>
  <c r="AF17" i="121"/>
  <c r="AH8" i="123"/>
  <c r="N9" i="120"/>
  <c r="N176" i="120" s="1"/>
  <c r="K11" i="120"/>
  <c r="K178" i="120" s="1"/>
  <c r="X11" i="121"/>
  <c r="X12" i="121" s="1"/>
  <c r="K177" i="120"/>
  <c r="AJ8" i="120"/>
  <c r="L12" i="120"/>
  <c r="AH11" i="121"/>
  <c r="AF8" i="121"/>
  <c r="P11" i="120"/>
  <c r="N8" i="120"/>
  <c r="N250" i="120"/>
  <c r="O207" i="120"/>
  <c r="AG59" i="121"/>
  <c r="AF87" i="121"/>
  <c r="N85" i="121"/>
  <c r="AH57" i="123"/>
  <c r="N57" i="123"/>
  <c r="P52" i="123"/>
  <c r="N53" i="123"/>
  <c r="BH116" i="122"/>
  <c r="BH169" i="122" s="1"/>
  <c r="P67" i="121"/>
  <c r="N67" i="121" s="1"/>
  <c r="N150" i="120"/>
  <c r="AJ218" i="120"/>
  <c r="N71" i="121"/>
  <c r="AG71" i="121"/>
  <c r="N70" i="121"/>
  <c r="AG70" i="121"/>
  <c r="AG74" i="121"/>
  <c r="N151" i="120"/>
  <c r="N72" i="121"/>
  <c r="AG72" i="121"/>
  <c r="AG69" i="121"/>
  <c r="N69" i="121"/>
  <c r="N157" i="120"/>
  <c r="AJ156" i="120"/>
  <c r="AJ157" i="120"/>
  <c r="N156" i="120"/>
  <c r="H149" i="120"/>
  <c r="H215" i="120" s="1"/>
  <c r="H48" i="122"/>
  <c r="P42" i="123"/>
  <c r="N40" i="123"/>
  <c r="AH35" i="123"/>
  <c r="O211" i="122"/>
  <c r="AG39" i="123"/>
  <c r="O152" i="122"/>
  <c r="I101" i="122"/>
  <c r="AG40" i="123"/>
  <c r="N161" i="122"/>
  <c r="N45" i="123"/>
  <c r="AG45" i="123"/>
  <c r="N195" i="122"/>
  <c r="N53" i="121"/>
  <c r="J203" i="120"/>
  <c r="H36" i="120"/>
  <c r="P54" i="121"/>
  <c r="N48" i="121"/>
  <c r="O69" i="120"/>
  <c r="O54" i="121"/>
  <c r="AG54" i="121" s="1"/>
  <c r="H117" i="120"/>
  <c r="N112" i="120"/>
  <c r="N104" i="120"/>
  <c r="O197" i="120"/>
  <c r="N93" i="120"/>
  <c r="AJ93" i="120"/>
  <c r="BH93" i="120" s="1"/>
  <c r="H197" i="120"/>
  <c r="N91" i="120"/>
  <c r="AJ127" i="120"/>
  <c r="N49" i="121"/>
  <c r="AG25" i="123"/>
  <c r="O197" i="122"/>
  <c r="AG16" i="123"/>
  <c r="AG15" i="123"/>
  <c r="N8" i="123"/>
  <c r="AJ175" i="120"/>
  <c r="N25" i="123"/>
  <c r="AF25" i="123" s="1"/>
  <c r="AF23" i="123"/>
  <c r="C40" i="124"/>
  <c r="O62" i="123"/>
  <c r="H9" i="122"/>
  <c r="H125" i="122" s="1"/>
  <c r="N12" i="122"/>
  <c r="N146" i="122" s="1"/>
  <c r="AG12" i="123"/>
  <c r="N10" i="122"/>
  <c r="N144" i="122" s="1"/>
  <c r="N10" i="123"/>
  <c r="CF10" i="123"/>
  <c r="AM10" i="123"/>
  <c r="AG27" i="123"/>
  <c r="O26" i="123"/>
  <c r="N9" i="123"/>
  <c r="P26" i="123"/>
  <c r="C57" i="124"/>
  <c r="P62" i="123"/>
  <c r="H143" i="122"/>
  <c r="H178" i="122" s="1"/>
  <c r="AF29" i="121"/>
  <c r="N37" i="121"/>
  <c r="I12" i="120"/>
  <c r="I13" i="120" s="1"/>
  <c r="I181" i="120"/>
  <c r="I225" i="120" s="1"/>
  <c r="I159" i="120"/>
  <c r="H14" i="120"/>
  <c r="H159" i="120" s="1"/>
  <c r="AI23" i="120"/>
  <c r="AI190" i="120" s="1"/>
  <c r="P10" i="120"/>
  <c r="AK8" i="120"/>
  <c r="BI8" i="120" s="1"/>
  <c r="H10" i="120"/>
  <c r="P77" i="121"/>
  <c r="J181" i="120"/>
  <c r="J225" i="120" s="1"/>
  <c r="J12" i="120"/>
  <c r="P38" i="121"/>
  <c r="J159" i="120"/>
  <c r="N14" i="121"/>
  <c r="AG39" i="121"/>
  <c r="AM15" i="121"/>
  <c r="C6" i="124"/>
  <c r="O12" i="121"/>
  <c r="N12" i="121" s="1"/>
  <c r="N180" i="122"/>
  <c r="AK172" i="122"/>
  <c r="AH40" i="123"/>
  <c r="E40" i="123"/>
  <c r="G42" i="123"/>
  <c r="G158" i="122"/>
  <c r="P156" i="122"/>
  <c r="N46" i="122"/>
  <c r="N48" i="122" s="1"/>
  <c r="E57" i="123"/>
  <c r="AG57" i="123"/>
  <c r="AJ120" i="122"/>
  <c r="E55" i="123"/>
  <c r="AG55" i="123"/>
  <c r="E53" i="123"/>
  <c r="AF53" i="123" s="1"/>
  <c r="AG53" i="123"/>
  <c r="N80" i="122"/>
  <c r="AG35" i="123"/>
  <c r="E35" i="123"/>
  <c r="BH205" i="122"/>
  <c r="BG205" i="122"/>
  <c r="E215" i="122"/>
  <c r="E28" i="122"/>
  <c r="E41" i="123"/>
  <c r="E42" i="123" s="1"/>
  <c r="F42" i="123"/>
  <c r="AJ110" i="122"/>
  <c r="BH110" i="122" s="1"/>
  <c r="O222" i="122"/>
  <c r="AJ222" i="122" s="1"/>
  <c r="AJ108" i="122"/>
  <c r="BH108" i="122" s="1"/>
  <c r="AG36" i="123"/>
  <c r="E36" i="123"/>
  <c r="E94" i="122"/>
  <c r="AG44" i="123"/>
  <c r="E44" i="123"/>
  <c r="E70" i="121"/>
  <c r="AF70" i="121" s="1"/>
  <c r="AH69" i="121"/>
  <c r="P149" i="120"/>
  <c r="G67" i="121"/>
  <c r="G55" i="121"/>
  <c r="AH53" i="121"/>
  <c r="E68" i="121"/>
  <c r="AG68" i="121"/>
  <c r="N88" i="120"/>
  <c r="O249" i="120"/>
  <c r="E243" i="120"/>
  <c r="O137" i="120"/>
  <c r="O262" i="120"/>
  <c r="F130" i="120"/>
  <c r="CI142" i="120"/>
  <c r="BH269" i="120"/>
  <c r="F62" i="120"/>
  <c r="F261" i="120"/>
  <c r="F260" i="120" s="1"/>
  <c r="AJ64" i="120"/>
  <c r="E241" i="120"/>
  <c r="AI110" i="120"/>
  <c r="AI250" i="120" s="1"/>
  <c r="O105" i="120"/>
  <c r="E201" i="120"/>
  <c r="AJ103" i="120"/>
  <c r="E48" i="121"/>
  <c r="AG48" i="121"/>
  <c r="E54" i="121"/>
  <c r="AG53" i="121"/>
  <c r="E53" i="121"/>
  <c r="AF53" i="121" s="1"/>
  <c r="F55" i="121"/>
  <c r="E49" i="121"/>
  <c r="AF49" i="121" s="1"/>
  <c r="AG49" i="121"/>
  <c r="AG58" i="121"/>
  <c r="E58" i="121"/>
  <c r="E59" i="121"/>
  <c r="AF59" i="121" s="1"/>
  <c r="E51" i="121"/>
  <c r="AJ21" i="120"/>
  <c r="B86" i="118"/>
  <c r="B87" i="118" s="1"/>
  <c r="B106" i="118"/>
  <c r="B107" i="118" s="1"/>
  <c r="B91" i="116"/>
  <c r="B92" i="116" s="1"/>
  <c r="C113" i="118"/>
  <c r="B81" i="118"/>
  <c r="B82" i="118" s="1"/>
  <c r="GG50" i="123"/>
  <c r="GG49" i="123"/>
  <c r="GG38" i="123"/>
  <c r="FV42" i="123"/>
  <c r="GG36" i="123"/>
  <c r="FU42" i="123"/>
  <c r="GG56" i="123"/>
  <c r="GG57" i="121"/>
  <c r="FV76" i="121"/>
  <c r="E15" i="123"/>
  <c r="CE29" i="121"/>
  <c r="F38" i="121"/>
  <c r="E39" i="121"/>
  <c r="AF39" i="121"/>
  <c r="GE34" i="121"/>
  <c r="E20" i="121"/>
  <c r="E14" i="121"/>
  <c r="E38" i="121" s="1"/>
  <c r="G77" i="121"/>
  <c r="G13" i="120"/>
  <c r="G12" i="121"/>
  <c r="AN17" i="121"/>
  <c r="G179" i="120"/>
  <c r="G180" i="120"/>
  <c r="G38" i="121"/>
  <c r="CG17" i="121"/>
  <c r="E177" i="120"/>
  <c r="D33" i="116"/>
  <c r="G13" i="114"/>
  <c r="D62" i="116"/>
  <c r="G22" i="79"/>
  <c r="G20" i="79" s="1"/>
  <c r="C17" i="114"/>
  <c r="GH53" i="123"/>
  <c r="FT57" i="123"/>
  <c r="FT53" i="123"/>
  <c r="GF53" i="123" s="1"/>
  <c r="GF50" i="123"/>
  <c r="FT38" i="123"/>
  <c r="GF38" i="123" s="1"/>
  <c r="FU67" i="121"/>
  <c r="DL67" i="121"/>
  <c r="GH69" i="121"/>
  <c r="GG60" i="121"/>
  <c r="FT54" i="121"/>
  <c r="FT55" i="121" s="1"/>
  <c r="FT29" i="121"/>
  <c r="FT39" i="121" s="1"/>
  <c r="FK37" i="121"/>
  <c r="FT33" i="121"/>
  <c r="FT41" i="121"/>
  <c r="FT30" i="121"/>
  <c r="GG14" i="123"/>
  <c r="FV29" i="123"/>
  <c r="GF15" i="121"/>
  <c r="B81" i="116"/>
  <c r="B82" i="116" s="1"/>
  <c r="C81" i="116"/>
  <c r="B76" i="118"/>
  <c r="B77" i="118" s="1"/>
  <c r="B66" i="118"/>
  <c r="B67" i="118" s="1"/>
  <c r="B91" i="118"/>
  <c r="B92" i="118" s="1"/>
  <c r="FU40" i="121"/>
  <c r="FT44" i="123"/>
  <c r="GG24" i="123"/>
  <c r="FB29" i="123"/>
  <c r="FU25" i="123"/>
  <c r="FU26" i="123" s="1"/>
  <c r="FT56" i="123"/>
  <c r="FT40" i="123"/>
  <c r="FT42" i="123" s="1"/>
  <c r="FV25" i="123"/>
  <c r="FT29" i="123"/>
  <c r="FU28" i="123"/>
  <c r="ES25" i="123"/>
  <c r="FT21" i="123"/>
  <c r="FT27" i="123"/>
  <c r="DV43" i="123"/>
  <c r="DU22" i="123"/>
  <c r="DU28" i="123" s="1"/>
  <c r="EI58" i="123"/>
  <c r="GH58" i="123" s="1"/>
  <c r="EI23" i="123"/>
  <c r="GH23" i="123" s="1"/>
  <c r="C43" i="116"/>
  <c r="C44" i="116" s="1"/>
  <c r="B44" i="116"/>
  <c r="B45" i="116" s="1"/>
  <c r="D80" i="118"/>
  <c r="C81" i="118"/>
  <c r="C82" i="118" s="1"/>
  <c r="D70" i="116"/>
  <c r="C71" i="116"/>
  <c r="C34" i="114"/>
  <c r="B71" i="116"/>
  <c r="B72" i="116" s="1"/>
  <c r="F5" i="114"/>
  <c r="B96" i="116"/>
  <c r="B97" i="116" s="1"/>
  <c r="C75" i="116"/>
  <c r="C76" i="116" s="1"/>
  <c r="C77" i="116" s="1"/>
  <c r="B29" i="116"/>
  <c r="B30" i="116" s="1"/>
  <c r="D60" i="116"/>
  <c r="B101" i="118"/>
  <c r="B102" i="118" s="1"/>
  <c r="B101" i="116"/>
  <c r="B102" i="116" s="1"/>
  <c r="D61" i="116"/>
  <c r="CI52" i="123"/>
  <c r="EH52" i="123" s="1"/>
  <c r="GG52" i="123" s="1"/>
  <c r="BW61" i="123"/>
  <c r="BW63" i="123" s="1"/>
  <c r="BV56" i="123"/>
  <c r="CH56" i="123" s="1"/>
  <c r="BW25" i="123"/>
  <c r="BW26" i="123" s="1"/>
  <c r="BV21" i="123"/>
  <c r="BM25" i="123"/>
  <c r="CI57" i="123"/>
  <c r="EH57" i="123" s="1"/>
  <c r="GG57" i="123" s="1"/>
  <c r="BX52" i="123"/>
  <c r="CJ52" i="123" s="1"/>
  <c r="CI44" i="123"/>
  <c r="EH44" i="123" s="1"/>
  <c r="GG44" i="123" s="1"/>
  <c r="BV44" i="123"/>
  <c r="CH44" i="123" s="1"/>
  <c r="EG44" i="123" s="1"/>
  <c r="GF44" i="123" s="1"/>
  <c r="CI41" i="123"/>
  <c r="EH41" i="123" s="1"/>
  <c r="BE26" i="123"/>
  <c r="BE67" i="123"/>
  <c r="BE68" i="123" s="1"/>
  <c r="CH73" i="123"/>
  <c r="EG73" i="123" s="1"/>
  <c r="GF73" i="123" s="1"/>
  <c r="CH71" i="123"/>
  <c r="EG71" i="123" s="1"/>
  <c r="BX29" i="123"/>
  <c r="AK42" i="123"/>
  <c r="CJ42" i="123"/>
  <c r="I66" i="123"/>
  <c r="EI41" i="123"/>
  <c r="GH41" i="123" s="1"/>
  <c r="GH40" i="123"/>
  <c r="EH40" i="123"/>
  <c r="AJ42" i="123"/>
  <c r="FB67" i="121"/>
  <c r="FC81" i="121"/>
  <c r="FC82" i="121" s="1"/>
  <c r="FU55" i="121"/>
  <c r="FD83" i="121"/>
  <c r="FT35" i="121"/>
  <c r="GF33" i="121"/>
  <c r="FB37" i="121"/>
  <c r="FT32" i="121"/>
  <c r="ES67" i="121"/>
  <c r="GG68" i="121"/>
  <c r="GH71" i="121"/>
  <c r="FT69" i="121"/>
  <c r="GG62" i="121"/>
  <c r="ES56" i="121"/>
  <c r="ES81" i="121"/>
  <c r="EU82" i="121"/>
  <c r="EU83" i="121" s="1"/>
  <c r="FU76" i="121"/>
  <c r="FT76" i="121" s="1"/>
  <c r="GG51" i="121"/>
  <c r="FU37" i="121"/>
  <c r="ET82" i="121"/>
  <c r="ES37" i="121"/>
  <c r="FU42" i="121"/>
  <c r="ES34" i="121"/>
  <c r="GH33" i="121"/>
  <c r="FV43" i="121"/>
  <c r="FT40" i="121"/>
  <c r="DW76" i="121"/>
  <c r="DL37" i="121"/>
  <c r="DM82" i="121"/>
  <c r="DL82" i="121" s="1"/>
  <c r="EH35" i="121"/>
  <c r="GG35" i="121" s="1"/>
  <c r="EH31" i="121"/>
  <c r="GG31" i="121" s="1"/>
  <c r="DU31" i="121"/>
  <c r="DU41" i="121"/>
  <c r="DV41" i="121"/>
  <c r="DV40" i="121"/>
  <c r="DE83" i="121"/>
  <c r="EG58" i="121"/>
  <c r="GF58" i="121" s="1"/>
  <c r="DC55" i="121"/>
  <c r="DC37" i="121"/>
  <c r="DD38" i="121"/>
  <c r="DW55" i="121"/>
  <c r="CV82" i="121"/>
  <c r="DW82" i="121" s="1"/>
  <c r="DW81" i="121"/>
  <c r="CT81" i="121"/>
  <c r="DV76" i="121"/>
  <c r="EG49" i="121"/>
  <c r="GF49" i="121" s="1"/>
  <c r="DV37" i="121"/>
  <c r="CT37" i="121"/>
  <c r="CU38" i="121"/>
  <c r="CU82" i="121"/>
  <c r="BM67" i="121"/>
  <c r="BN81" i="121"/>
  <c r="BM81" i="121" s="1"/>
  <c r="BO82" i="121"/>
  <c r="BO83" i="121" s="1"/>
  <c r="CH48" i="121"/>
  <c r="EG48" i="121" s="1"/>
  <c r="GF48" i="121" s="1"/>
  <c r="BN38" i="121"/>
  <c r="BM37" i="121"/>
  <c r="BV85" i="121"/>
  <c r="BD67" i="121"/>
  <c r="BD55" i="121"/>
  <c r="CH54" i="121"/>
  <c r="EG54" i="121" s="1"/>
  <c r="BW76" i="121"/>
  <c r="BV53" i="121"/>
  <c r="CI52" i="121"/>
  <c r="EH52" i="121" s="1"/>
  <c r="GG52" i="121" s="1"/>
  <c r="BE78" i="121"/>
  <c r="BD81" i="121"/>
  <c r="BF82" i="121"/>
  <c r="BX81" i="121"/>
  <c r="BD37" i="121"/>
  <c r="BE82" i="121"/>
  <c r="BE83" i="121" s="1"/>
  <c r="BE38" i="121"/>
  <c r="BV35" i="121"/>
  <c r="BX37" i="121"/>
  <c r="CJ37" i="121" s="1"/>
  <c r="CH88" i="121"/>
  <c r="EG88" i="121" s="1"/>
  <c r="GF88" i="121" s="1"/>
  <c r="CH70" i="121"/>
  <c r="EG70" i="121" s="1"/>
  <c r="GF70" i="121" s="1"/>
  <c r="CI69" i="121"/>
  <c r="EH69" i="121" s="1"/>
  <c r="GG69" i="121" s="1"/>
  <c r="CJ68" i="121"/>
  <c r="EI68" i="121" s="1"/>
  <c r="GH68" i="121" s="1"/>
  <c r="CH68" i="121"/>
  <c r="EG68" i="121" s="1"/>
  <c r="GF68" i="121" s="1"/>
  <c r="CI56" i="121"/>
  <c r="EH56" i="121" s="1"/>
  <c r="GG56" i="121" s="1"/>
  <c r="BW37" i="121"/>
  <c r="AU37" i="121"/>
  <c r="AV38" i="121"/>
  <c r="AW84" i="121"/>
  <c r="CH31" i="121"/>
  <c r="BW40" i="121"/>
  <c r="CH86" i="121"/>
  <c r="EG86" i="121" s="1"/>
  <c r="AJ67" i="121"/>
  <c r="CI67" i="121" s="1"/>
  <c r="Z67" i="121"/>
  <c r="AB82" i="121"/>
  <c r="AB83" i="121" s="1"/>
  <c r="Z37" i="121"/>
  <c r="AI30" i="121"/>
  <c r="AI40" i="121" s="1"/>
  <c r="AI69" i="121"/>
  <c r="CH69" i="121"/>
  <c r="EG69" i="121" s="1"/>
  <c r="GF69" i="121" s="1"/>
  <c r="AK55" i="121"/>
  <c r="S82" i="121"/>
  <c r="S83" i="121" s="1"/>
  <c r="Q81" i="121"/>
  <c r="AI35" i="121"/>
  <c r="CH35" i="121" s="1"/>
  <c r="EG35" i="121" s="1"/>
  <c r="GF35" i="121" s="1"/>
  <c r="CI34" i="121"/>
  <c r="EH34" i="121"/>
  <c r="GG34" i="121" s="1"/>
  <c r="R42" i="121"/>
  <c r="R37" i="121"/>
  <c r="AJ37" i="121" s="1"/>
  <c r="AK67" i="121"/>
  <c r="CJ67" i="121" s="1"/>
  <c r="CJ55" i="121"/>
  <c r="AK76" i="121"/>
  <c r="H67" i="121"/>
  <c r="GH53" i="121"/>
  <c r="GH55" i="121" s="1"/>
  <c r="EI55" i="121"/>
  <c r="GG53" i="121"/>
  <c r="CJ48" i="121"/>
  <c r="CI48" i="121"/>
  <c r="H37" i="121"/>
  <c r="C34" i="118"/>
  <c r="C35" i="118" s="1"/>
  <c r="G25" i="114"/>
  <c r="G27" i="114"/>
  <c r="E34" i="114"/>
  <c r="D28" i="118"/>
  <c r="FT43" i="121"/>
  <c r="FU14" i="121"/>
  <c r="FT10" i="121"/>
  <c r="GF9" i="121"/>
  <c r="FU39" i="121"/>
  <c r="GE9" i="121"/>
  <c r="FS11" i="121"/>
  <c r="GK23" i="121"/>
  <c r="GE22" i="121"/>
  <c r="FS22" i="121"/>
  <c r="GE15" i="121"/>
  <c r="GK15" i="121" s="1"/>
  <c r="BX10" i="121"/>
  <c r="BX22" i="121"/>
  <c r="CJ24" i="121"/>
  <c r="EI24" i="121" s="1"/>
  <c r="CI41" i="121"/>
  <c r="EI9" i="121"/>
  <c r="BX11" i="121"/>
  <c r="CI16" i="121"/>
  <c r="EH16" i="121" s="1"/>
  <c r="GG16" i="121" s="1"/>
  <c r="EH15" i="121"/>
  <c r="BX14" i="121"/>
  <c r="BX38" i="121" s="1"/>
  <c r="BV11" i="121"/>
  <c r="BW10" i="121"/>
  <c r="BW14" i="121"/>
  <c r="BW42" i="121"/>
  <c r="BV43" i="121"/>
  <c r="CJ16" i="121"/>
  <c r="EI16" i="121" s="1"/>
  <c r="GH16" i="121" s="1"/>
  <c r="AJ11" i="121"/>
  <c r="GH15" i="121"/>
  <c r="GF17" i="121"/>
  <c r="CH11" i="121"/>
  <c r="CI8" i="121"/>
  <c r="EG8" i="121"/>
  <c r="AI10" i="121"/>
  <c r="CH15" i="123"/>
  <c r="EG15" i="123" s="1"/>
  <c r="GF15" i="123" s="1"/>
  <c r="CJ8" i="123"/>
  <c r="EI8" i="123" s="1"/>
  <c r="GH8" i="123" s="1"/>
  <c r="CH14" i="123"/>
  <c r="CJ14" i="123"/>
  <c r="EI14" i="123" s="1"/>
  <c r="GH14" i="123" s="1"/>
  <c r="CI12" i="123"/>
  <c r="EI9" i="123"/>
  <c r="CI10" i="123"/>
  <c r="CJ11" i="123"/>
  <c r="AJ28" i="123"/>
  <c r="CI62" i="123"/>
  <c r="GG9" i="123"/>
  <c r="CJ62" i="123"/>
  <c r="EI30" i="123"/>
  <c r="GH12" i="123"/>
  <c r="GH30" i="123" s="1"/>
  <c r="EG11" i="123"/>
  <c r="EH10" i="123"/>
  <c r="C25" i="116"/>
  <c r="D100" i="116"/>
  <c r="C101" i="116"/>
  <c r="B106" i="116"/>
  <c r="B107" i="116" s="1"/>
  <c r="B24" i="116"/>
  <c r="B25" i="116" s="1"/>
  <c r="C61" i="118"/>
  <c r="B96" i="118"/>
  <c r="B97" i="118" s="1"/>
  <c r="C106" i="116"/>
  <c r="C96" i="116"/>
  <c r="C68" i="114"/>
  <c r="G16" i="114"/>
  <c r="G24" i="114"/>
  <c r="C76" i="118"/>
  <c r="C51" i="114"/>
  <c r="C112" i="118"/>
  <c r="E110" i="118" s="1"/>
  <c r="C101" i="118"/>
  <c r="D101" i="118" s="1"/>
  <c r="BW97" i="8"/>
  <c r="AG14" i="65" s="1"/>
  <c r="BV49" i="8"/>
  <c r="BV97" i="8" s="1"/>
  <c r="G6" i="114"/>
  <c r="G8" i="114"/>
  <c r="G14" i="114"/>
  <c r="F34" i="114"/>
  <c r="D34" i="114" s="1"/>
  <c r="G42" i="114"/>
  <c r="G23" i="114"/>
  <c r="G29" i="114"/>
  <c r="G31" i="114"/>
  <c r="G40" i="114"/>
  <c r="B77" i="116"/>
  <c r="C91" i="118"/>
  <c r="D90" i="118"/>
  <c r="B39" i="116"/>
  <c r="B40" i="116" s="1"/>
  <c r="C38" i="116"/>
  <c r="C67" i="116"/>
  <c r="D67" i="116" s="1"/>
  <c r="D66" i="116"/>
  <c r="D85" i="116"/>
  <c r="C86" i="116"/>
  <c r="D70" i="118"/>
  <c r="C71" i="118"/>
  <c r="D85" i="118"/>
  <c r="C86" i="118"/>
  <c r="C38" i="118"/>
  <c r="C39" i="118" s="1"/>
  <c r="B39" i="118"/>
  <c r="B40" i="118" s="1"/>
  <c r="D28" i="116"/>
  <c r="C29" i="116"/>
  <c r="D29" i="116" s="1"/>
  <c r="C96" i="118"/>
  <c r="D95" i="118"/>
  <c r="C106" i="118"/>
  <c r="D105" i="118"/>
  <c r="H38" i="128"/>
  <c r="H42" i="128"/>
  <c r="G42" i="128"/>
  <c r="F38" i="128"/>
  <c r="B39" i="128"/>
  <c r="G33" i="127"/>
  <c r="I33" i="127" s="1"/>
  <c r="Q19" i="128"/>
  <c r="C19" i="128"/>
  <c r="K36" i="128"/>
  <c r="M19" i="128"/>
  <c r="P19" i="128"/>
  <c r="R19" i="128"/>
  <c r="E54" i="127"/>
  <c r="K19" i="128"/>
  <c r="G19" i="128"/>
  <c r="F19" i="128"/>
  <c r="K45" i="127"/>
  <c r="K54" i="127"/>
  <c r="K32" i="127"/>
  <c r="K46" i="127"/>
  <c r="H24" i="128"/>
  <c r="G40" i="128"/>
  <c r="B17" i="128"/>
  <c r="G18" i="128"/>
  <c r="Q18" i="128"/>
  <c r="Q17" i="128" s="1"/>
  <c r="F40" i="128"/>
  <c r="I40" i="128" s="1"/>
  <c r="P40" i="128"/>
  <c r="F18" i="128"/>
  <c r="R18" i="128"/>
  <c r="R17" i="128" s="1"/>
  <c r="K18" i="128"/>
  <c r="K17" i="128" s="1"/>
  <c r="L40" i="128"/>
  <c r="N40" i="128" s="1"/>
  <c r="C40" i="128"/>
  <c r="E40" i="128" s="1"/>
  <c r="G17" i="128"/>
  <c r="H18" i="128"/>
  <c r="D12" i="128"/>
  <c r="E12" i="128" s="1"/>
  <c r="D18" i="128"/>
  <c r="F24" i="128"/>
  <c r="D16" i="128"/>
  <c r="C24" i="128"/>
  <c r="E24" i="128" s="1"/>
  <c r="G24" i="128"/>
  <c r="C34" i="128"/>
  <c r="P16" i="128"/>
  <c r="K34" i="128"/>
  <c r="G12" i="128"/>
  <c r="M24" i="128"/>
  <c r="R31" i="128"/>
  <c r="F12" i="128"/>
  <c r="F34" i="128" s="1"/>
  <c r="D31" i="128"/>
  <c r="H12" i="128"/>
  <c r="H34" i="128" s="1"/>
  <c r="B34" i="128"/>
  <c r="M12" i="128"/>
  <c r="M34" i="128" s="1"/>
  <c r="E31" i="128"/>
  <c r="S19" i="128"/>
  <c r="Q38" i="128"/>
  <c r="K38" i="128"/>
  <c r="P38" i="128"/>
  <c r="M38" i="128"/>
  <c r="R38" i="128"/>
  <c r="L38" i="128"/>
  <c r="I38" i="128"/>
  <c r="P28" i="128"/>
  <c r="P36" i="128" s="1"/>
  <c r="K39" i="128"/>
  <c r="P41" i="128"/>
  <c r="L41" i="128"/>
  <c r="Q41" i="128"/>
  <c r="R41" i="128"/>
  <c r="I56" i="127"/>
  <c r="I54" i="127" s="1"/>
  <c r="G54" i="127"/>
  <c r="F52" i="127"/>
  <c r="G34" i="127"/>
  <c r="M31" i="128"/>
  <c r="H31" i="128"/>
  <c r="F31" i="128"/>
  <c r="L31" i="128"/>
  <c r="Q31" i="128"/>
  <c r="K31" i="128"/>
  <c r="G31" i="128"/>
  <c r="P31" i="128"/>
  <c r="S31" i="128"/>
  <c r="E44" i="127"/>
  <c r="D52" i="127"/>
  <c r="G45" i="127"/>
  <c r="P30" i="128"/>
  <c r="F30" i="128"/>
  <c r="K30" i="128"/>
  <c r="B29" i="128"/>
  <c r="Q30" i="128"/>
  <c r="G30" i="128"/>
  <c r="M30" i="128"/>
  <c r="M29" i="128" s="1"/>
  <c r="N29" i="128" s="1"/>
  <c r="C30" i="128"/>
  <c r="C29" i="128" s="1"/>
  <c r="H30" i="128"/>
  <c r="D30" i="128"/>
  <c r="D29" i="128" s="1"/>
  <c r="L30" i="128"/>
  <c r="L29" i="128"/>
  <c r="R30" i="128"/>
  <c r="R29" i="128" s="1"/>
  <c r="C44" i="127"/>
  <c r="M36" i="128"/>
  <c r="Q28" i="128"/>
  <c r="L28" i="128"/>
  <c r="N28" i="128"/>
  <c r="R28" i="128"/>
  <c r="G36" i="128"/>
  <c r="F28" i="128"/>
  <c r="D28" i="128"/>
  <c r="D36" i="128" s="1"/>
  <c r="H28" i="128"/>
  <c r="P24" i="128"/>
  <c r="R34" i="128"/>
  <c r="Q24" i="128"/>
  <c r="L24" i="128"/>
  <c r="Q16" i="128"/>
  <c r="L16" i="128"/>
  <c r="R16" i="128"/>
  <c r="R36" i="128" s="1"/>
  <c r="B36" i="128"/>
  <c r="F16" i="128"/>
  <c r="C16" i="128"/>
  <c r="C36" i="128" s="1"/>
  <c r="H16" i="128"/>
  <c r="K49" i="127"/>
  <c r="P12" i="128"/>
  <c r="Q12" i="128"/>
  <c r="L12" i="128"/>
  <c r="D34" i="128"/>
  <c r="C20" i="127"/>
  <c r="K5" i="129"/>
  <c r="K9" i="129" s="1"/>
  <c r="J5" i="129"/>
  <c r="FZ77" i="121"/>
  <c r="EX77" i="121"/>
  <c r="B184" i="120"/>
  <c r="D77" i="121"/>
  <c r="AO17" i="120"/>
  <c r="W22" i="125"/>
  <c r="CW17" i="121"/>
  <c r="AA22" i="125"/>
  <c r="CD17" i="121"/>
  <c r="S184" i="120"/>
  <c r="BI77" i="121"/>
  <c r="AH17" i="120"/>
  <c r="AC22" i="125"/>
  <c r="AD22" i="125"/>
  <c r="V77" i="121"/>
  <c r="CW64" i="7"/>
  <c r="BO46" i="3"/>
  <c r="BO44" i="3"/>
  <c r="K79" i="121"/>
  <c r="AE79" i="121"/>
  <c r="T79" i="121"/>
  <c r="AQ79" i="121"/>
  <c r="AE64" i="123"/>
  <c r="AQ64" i="123"/>
  <c r="DP21" i="123"/>
  <c r="AD21" i="123"/>
  <c r="K21" i="123"/>
  <c r="K27" i="123"/>
  <c r="CY57" i="123"/>
  <c r="DH57" i="123" s="1"/>
  <c r="DQ57" i="123" s="1"/>
  <c r="X48" i="126" s="1"/>
  <c r="EX57" i="123"/>
  <c r="M57" i="123"/>
  <c r="V57" i="123" s="1"/>
  <c r="AZ57" i="123"/>
  <c r="BI57" i="123" s="1"/>
  <c r="BR57" i="123" s="1"/>
  <c r="R48" i="126" s="1"/>
  <c r="AZ56" i="123"/>
  <c r="BI56" i="123" s="1"/>
  <c r="M56" i="123"/>
  <c r="V56" i="123" s="1"/>
  <c r="CY55" i="123"/>
  <c r="DH55" i="123" s="1"/>
  <c r="DQ55" i="123" s="1"/>
  <c r="X46" i="126" s="1"/>
  <c r="BF171" i="122"/>
  <c r="AZ55" i="123"/>
  <c r="BI55" i="123" s="1"/>
  <c r="M55" i="123"/>
  <c r="V55" i="123" s="1"/>
  <c r="AE55" i="123" s="1"/>
  <c r="S170" i="122"/>
  <c r="AQ54" i="123" s="1"/>
  <c r="AH117" i="122"/>
  <c r="D170" i="122"/>
  <c r="D54" i="123" s="1"/>
  <c r="AP104" i="122"/>
  <c r="AP105" i="122"/>
  <c r="AF105" i="122"/>
  <c r="AM105" i="122"/>
  <c r="Q109" i="122"/>
  <c r="AG109" i="122"/>
  <c r="AF109" i="122" s="1"/>
  <c r="B103" i="122"/>
  <c r="R103" i="122"/>
  <c r="AH99" i="122"/>
  <c r="D100" i="122"/>
  <c r="S100" i="122"/>
  <c r="AH98" i="122"/>
  <c r="AH97" i="122"/>
  <c r="S155" i="122"/>
  <c r="AZ37" i="123"/>
  <c r="AH153" i="122"/>
  <c r="AQ96" i="122"/>
  <c r="BF96" i="122" s="1"/>
  <c r="AQ95" i="122"/>
  <c r="B86" i="122"/>
  <c r="R85" i="122"/>
  <c r="R209" i="122" s="1"/>
  <c r="AG91" i="122"/>
  <c r="CB90" i="122"/>
  <c r="Q86" i="122"/>
  <c r="AG86" i="122"/>
  <c r="AF89" i="122"/>
  <c r="AP89" i="122"/>
  <c r="R88" i="122"/>
  <c r="AG84" i="122"/>
  <c r="Q84" i="122"/>
  <c r="V39" i="123"/>
  <c r="AQ76" i="122"/>
  <c r="BF76" i="122" s="1"/>
  <c r="AN76" i="122"/>
  <c r="R197" i="122"/>
  <c r="AG55" i="122"/>
  <c r="B55" i="122"/>
  <c r="EE30" i="121"/>
  <c r="AN120" i="122"/>
  <c r="BI118" i="122"/>
  <c r="BL118" i="122" s="1"/>
  <c r="AK171" i="122"/>
  <c r="AN171" i="122" s="1"/>
  <c r="AN118" i="122"/>
  <c r="N171" i="122"/>
  <c r="AI118" i="122"/>
  <c r="AI169" i="122"/>
  <c r="BG116" i="122"/>
  <c r="BG169" i="122" s="1"/>
  <c r="W70" i="123"/>
  <c r="AJ90" i="122"/>
  <c r="N170" i="122"/>
  <c r="N208" i="122"/>
  <c r="N203" i="122"/>
  <c r="BH43" i="122"/>
  <c r="AJ219" i="120"/>
  <c r="BH54" i="120"/>
  <c r="K143" i="122"/>
  <c r="K178" i="122" s="1"/>
  <c r="CE23" i="121"/>
  <c r="CF22" i="121"/>
  <c r="AJ183" i="120"/>
  <c r="BH16" i="120"/>
  <c r="BH183" i="120" s="1"/>
  <c r="CG8" i="123"/>
  <c r="AF8" i="123"/>
  <c r="W11" i="121"/>
  <c r="L179" i="120"/>
  <c r="L180" i="120" s="1"/>
  <c r="P178" i="120"/>
  <c r="N175" i="120"/>
  <c r="I179" i="120"/>
  <c r="I180" i="120" s="1"/>
  <c r="N216" i="120"/>
  <c r="N217" i="120"/>
  <c r="CF74" i="121"/>
  <c r="AM74" i="121"/>
  <c r="N222" i="120"/>
  <c r="N223" i="120"/>
  <c r="BH157" i="120"/>
  <c r="AJ223" i="120"/>
  <c r="AJ222" i="120"/>
  <c r="AM222" i="120" s="1"/>
  <c r="BH156" i="120"/>
  <c r="AM156" i="120"/>
  <c r="I94" i="122"/>
  <c r="H101" i="122"/>
  <c r="P55" i="121"/>
  <c r="N54" i="121"/>
  <c r="N55" i="121" s="1"/>
  <c r="N251" i="120"/>
  <c r="AI93" i="120"/>
  <c r="AI264" i="120" s="1"/>
  <c r="N264" i="120"/>
  <c r="O13" i="121"/>
  <c r="AF12" i="123"/>
  <c r="AF30" i="123" s="1"/>
  <c r="AM12" i="123"/>
  <c r="AG30" i="123"/>
  <c r="N62" i="123"/>
  <c r="N26" i="123"/>
  <c r="N38" i="121"/>
  <c r="H12" i="120"/>
  <c r="H13" i="120" s="1"/>
  <c r="AK175" i="120"/>
  <c r="AK177" i="120" s="1"/>
  <c r="AK10" i="120"/>
  <c r="H179" i="120"/>
  <c r="J13" i="120"/>
  <c r="J179" i="120"/>
  <c r="J180" i="120" s="1"/>
  <c r="N156" i="122"/>
  <c r="P158" i="122"/>
  <c r="AJ173" i="122"/>
  <c r="AI80" i="122"/>
  <c r="CE205" i="122"/>
  <c r="CF205" i="122"/>
  <c r="P215" i="120"/>
  <c r="N249" i="120"/>
  <c r="AI88" i="120"/>
  <c r="AL88" i="120" s="1"/>
  <c r="F123" i="120"/>
  <c r="N137" i="120"/>
  <c r="E62" i="120"/>
  <c r="F53" i="120"/>
  <c r="BH64" i="120"/>
  <c r="BH103" i="120"/>
  <c r="D75" i="116"/>
  <c r="D81" i="118"/>
  <c r="ED29" i="121"/>
  <c r="G13" i="121"/>
  <c r="EG22" i="123"/>
  <c r="GF22" i="123" s="1"/>
  <c r="FU77" i="121"/>
  <c r="C82" i="116"/>
  <c r="D81" i="116"/>
  <c r="FU38" i="121"/>
  <c r="C72" i="116"/>
  <c r="D72" i="116" s="1"/>
  <c r="D71" i="116"/>
  <c r="CI25" i="123"/>
  <c r="CH21" i="123"/>
  <c r="BV27" i="123"/>
  <c r="BM26" i="123"/>
  <c r="CI42" i="123"/>
  <c r="CH70" i="123"/>
  <c r="J63" i="123"/>
  <c r="J66" i="123"/>
  <c r="J67" i="123" s="1"/>
  <c r="I63" i="123"/>
  <c r="EI42" i="123"/>
  <c r="GG40" i="123"/>
  <c r="FB81" i="121"/>
  <c r="FT37" i="121"/>
  <c r="ET83" i="121"/>
  <c r="ES82" i="121"/>
  <c r="DU76" i="121"/>
  <c r="DM83" i="121"/>
  <c r="CV83" i="121"/>
  <c r="CU83" i="121"/>
  <c r="CT82" i="121"/>
  <c r="DU37" i="121"/>
  <c r="BN82" i="121"/>
  <c r="BN83" i="121" s="1"/>
  <c r="BN84" i="121" s="1"/>
  <c r="CH53" i="121"/>
  <c r="BV55" i="121"/>
  <c r="BF83" i="121"/>
  <c r="BX82" i="121"/>
  <c r="BD82" i="121"/>
  <c r="BV37" i="121"/>
  <c r="CH41" i="121"/>
  <c r="EG31" i="121"/>
  <c r="AJ76" i="121"/>
  <c r="AI76" i="121" s="1"/>
  <c r="Q37" i="121"/>
  <c r="R82" i="121"/>
  <c r="R38" i="121"/>
  <c r="EI48" i="121"/>
  <c r="EH48" i="121"/>
  <c r="FU78" i="121"/>
  <c r="GK9" i="121"/>
  <c r="GK22" i="121"/>
  <c r="BX77" i="121"/>
  <c r="GH9" i="121"/>
  <c r="EH41" i="121"/>
  <c r="GG15" i="121"/>
  <c r="BW77" i="121"/>
  <c r="BV14" i="121"/>
  <c r="BW38" i="121"/>
  <c r="BW12" i="121"/>
  <c r="BW13" i="121" s="1"/>
  <c r="CI11" i="121"/>
  <c r="EH8" i="121"/>
  <c r="CI10" i="121"/>
  <c r="GF8" i="121"/>
  <c r="EG11" i="121"/>
  <c r="EG10" i="121"/>
  <c r="CI30" i="123"/>
  <c r="EH12" i="123"/>
  <c r="CJ29" i="123"/>
  <c r="EI11" i="123"/>
  <c r="CI27" i="123"/>
  <c r="GF11" i="123"/>
  <c r="EH62" i="123"/>
  <c r="GG10" i="123"/>
  <c r="EH27" i="123"/>
  <c r="D106" i="116"/>
  <c r="C107" i="116"/>
  <c r="C102" i="116"/>
  <c r="D101" i="116"/>
  <c r="C77" i="118"/>
  <c r="D76" i="118"/>
  <c r="D96" i="116"/>
  <c r="C97" i="116"/>
  <c r="C62" i="118"/>
  <c r="C87" i="118"/>
  <c r="D87" i="118" s="1"/>
  <c r="D86" i="118"/>
  <c r="BW120" i="8"/>
  <c r="C92" i="118"/>
  <c r="D91" i="118"/>
  <c r="C107" i="118"/>
  <c r="D106" i="118"/>
  <c r="D96" i="118"/>
  <c r="C97" i="118"/>
  <c r="D97" i="118" s="1"/>
  <c r="D71" i="118"/>
  <c r="C72" i="118"/>
  <c r="D72" i="118" s="1"/>
  <c r="C30" i="116"/>
  <c r="C87" i="116"/>
  <c r="D87" i="116" s="1"/>
  <c r="D86" i="116"/>
  <c r="E34" i="128"/>
  <c r="Q34" i="128"/>
  <c r="G29" i="128"/>
  <c r="G37" i="128" s="1"/>
  <c r="N31" i="128"/>
  <c r="I24" i="128"/>
  <c r="E28" i="128"/>
  <c r="I12" i="128"/>
  <c r="G34" i="128"/>
  <c r="I18" i="128"/>
  <c r="F17" i="128"/>
  <c r="N24" i="128"/>
  <c r="H29" i="128"/>
  <c r="Q29" i="128"/>
  <c r="S28" i="128"/>
  <c r="S16" i="128"/>
  <c r="S24" i="128"/>
  <c r="S38" i="128"/>
  <c r="N38" i="128"/>
  <c r="S41" i="128"/>
  <c r="N41" i="128"/>
  <c r="E30" i="128"/>
  <c r="I34" i="127"/>
  <c r="G32" i="127"/>
  <c r="G46" i="127"/>
  <c r="G44" i="127" s="1"/>
  <c r="G52" i="127" s="1"/>
  <c r="I31" i="128"/>
  <c r="J31" i="128" s="1"/>
  <c r="O31" i="128" s="1"/>
  <c r="T31" i="128" s="1"/>
  <c r="B37" i="128"/>
  <c r="N30" i="128"/>
  <c r="K29" i="128"/>
  <c r="F29" i="128"/>
  <c r="I30" i="128"/>
  <c r="C52" i="127"/>
  <c r="K52" i="127" s="1"/>
  <c r="K44" i="127"/>
  <c r="S30" i="128"/>
  <c r="P29" i="128"/>
  <c r="Q36" i="128"/>
  <c r="I28" i="128"/>
  <c r="J28" i="128" s="1"/>
  <c r="O28" i="128" s="1"/>
  <c r="T28" i="128" s="1"/>
  <c r="H36" i="128"/>
  <c r="N16" i="128"/>
  <c r="L36" i="128"/>
  <c r="N36" i="128" s="1"/>
  <c r="F36" i="128"/>
  <c r="I16" i="128"/>
  <c r="E16" i="128"/>
  <c r="N12" i="128"/>
  <c r="L34" i="128"/>
  <c r="S12" i="128"/>
  <c r="P34" i="128"/>
  <c r="K6" i="129"/>
  <c r="K10" i="129" s="1"/>
  <c r="K14" i="129" s="1"/>
  <c r="K18" i="129" s="1"/>
  <c r="J6" i="129"/>
  <c r="J9" i="129"/>
  <c r="AD62" i="125"/>
  <c r="AO184" i="120"/>
  <c r="U22" i="125"/>
  <c r="BF17" i="120"/>
  <c r="AN17" i="120"/>
  <c r="AN184" i="120" s="1"/>
  <c r="AH184" i="120"/>
  <c r="T22" i="125"/>
  <c r="AF17" i="120"/>
  <c r="AN36" i="64"/>
  <c r="AM35" i="95"/>
  <c r="AM33" i="95" s="1"/>
  <c r="AM37" i="95" s="1"/>
  <c r="BO41" i="3"/>
  <c r="BO39" i="3" s="1"/>
  <c r="AC79" i="121"/>
  <c r="AL79" i="121" s="1"/>
  <c r="AZ79" i="121"/>
  <c r="N64" i="125"/>
  <c r="AN79" i="121"/>
  <c r="AZ64" i="123"/>
  <c r="AN64" i="123"/>
  <c r="O55" i="126"/>
  <c r="DP27" i="123"/>
  <c r="DY21" i="123"/>
  <c r="AC21" i="123"/>
  <c r="AD27" i="123"/>
  <c r="AM27" i="123"/>
  <c r="AM21" i="123"/>
  <c r="AH170" i="122"/>
  <c r="AQ117" i="122"/>
  <c r="BE104" i="122"/>
  <c r="BN104" i="122"/>
  <c r="BM104" i="122" s="1"/>
  <c r="AO104" i="122"/>
  <c r="BE105" i="122"/>
  <c r="BN105" i="122"/>
  <c r="AG103" i="122"/>
  <c r="Q103" i="122"/>
  <c r="AN99" i="122"/>
  <c r="AQ99" i="122"/>
  <c r="BF99" i="122" s="1"/>
  <c r="AH100" i="122"/>
  <c r="AN100" i="122" s="1"/>
  <c r="AN98" i="122"/>
  <c r="AQ98" i="122"/>
  <c r="BF98" i="122" s="1"/>
  <c r="BL98" i="122" s="1"/>
  <c r="AQ97" i="122"/>
  <c r="AQ39" i="123"/>
  <c r="AH155" i="122"/>
  <c r="BI37" i="123"/>
  <c r="BR37" i="123" s="1"/>
  <c r="BO96" i="122"/>
  <c r="BO95" i="122"/>
  <c r="BF95" i="122"/>
  <c r="R162" i="122"/>
  <c r="AP46" i="123" s="1"/>
  <c r="AG85" i="122"/>
  <c r="AP91" i="122"/>
  <c r="BE91" i="122" s="1"/>
  <c r="AM91" i="122"/>
  <c r="Q88" i="122"/>
  <c r="Q211" i="122" s="1"/>
  <c r="AF211" i="122" s="1"/>
  <c r="R211" i="122"/>
  <c r="AG211" i="122" s="1"/>
  <c r="AG88" i="122"/>
  <c r="BN89" i="122"/>
  <c r="AO89" i="122"/>
  <c r="BE89" i="122"/>
  <c r="AP86" i="122"/>
  <c r="BE86" i="122" s="1"/>
  <c r="AF86" i="122"/>
  <c r="AF84" i="122"/>
  <c r="AP84" i="122"/>
  <c r="AM84" i="122"/>
  <c r="BO76" i="122"/>
  <c r="AQ155" i="122"/>
  <c r="AG197" i="122"/>
  <c r="AM55" i="122"/>
  <c r="AP55" i="122"/>
  <c r="AI171" i="122"/>
  <c r="BI171" i="122"/>
  <c r="BL171" i="122" s="1"/>
  <c r="CF54" i="120"/>
  <c r="CL74" i="121"/>
  <c r="EE74" i="121"/>
  <c r="CF156" i="120"/>
  <c r="BK156" i="120"/>
  <c r="BH222" i="120"/>
  <c r="CF157" i="120"/>
  <c r="BH223" i="120"/>
  <c r="H94" i="122"/>
  <c r="CF103" i="120"/>
  <c r="EH25" i="123"/>
  <c r="CI26" i="123"/>
  <c r="EG21" i="123"/>
  <c r="DL83" i="121"/>
  <c r="DW83" i="121"/>
  <c r="CU84" i="121"/>
  <c r="CT83" i="121"/>
  <c r="BM82" i="121"/>
  <c r="EG53" i="121"/>
  <c r="CH55" i="121"/>
  <c r="GF31" i="121"/>
  <c r="GF41" i="121" s="1"/>
  <c r="EG41" i="121"/>
  <c r="AI37" i="121"/>
  <c r="CH37" i="121" s="1"/>
  <c r="R83" i="121"/>
  <c r="Q82" i="121"/>
  <c r="GH48" i="121"/>
  <c r="GG48" i="121"/>
  <c r="BV77" i="121"/>
  <c r="BW78" i="121"/>
  <c r="BV38" i="121"/>
  <c r="BV12" i="121"/>
  <c r="BV13" i="121" s="1"/>
  <c r="EH11" i="121"/>
  <c r="GG8" i="121"/>
  <c r="EH10" i="121"/>
  <c r="GF10" i="121"/>
  <c r="GF11" i="121"/>
  <c r="EH30" i="123"/>
  <c r="GG12" i="123"/>
  <c r="GG30" i="123" s="1"/>
  <c r="EI29" i="123"/>
  <c r="GH11" i="123"/>
  <c r="GG27" i="123"/>
  <c r="J30" i="128"/>
  <c r="O30" i="128" s="1"/>
  <c r="T30" i="128" s="1"/>
  <c r="J16" i="128"/>
  <c r="O16" i="128" s="1"/>
  <c r="T16" i="128" s="1"/>
  <c r="I36" i="128"/>
  <c r="I46" i="127"/>
  <c r="F37" i="128"/>
  <c r="I29" i="128"/>
  <c r="K7" i="129"/>
  <c r="J13" i="129"/>
  <c r="J10" i="129"/>
  <c r="J14" i="129" s="1"/>
  <c r="J7" i="129"/>
  <c r="AF184" i="120"/>
  <c r="R22" i="125"/>
  <c r="BF184" i="120"/>
  <c r="BD17" i="120"/>
  <c r="X22" i="125" s="1"/>
  <c r="Z22" i="125"/>
  <c r="BI79" i="121"/>
  <c r="BI64" i="123"/>
  <c r="BR64" i="123" s="1"/>
  <c r="AC27" i="123"/>
  <c r="AL21" i="123"/>
  <c r="BO117" i="122"/>
  <c r="BO170" i="122" s="1"/>
  <c r="EO54" i="123" s="1"/>
  <c r="AQ170" i="122"/>
  <c r="CP54" i="123" s="1"/>
  <c r="CY54" i="123" s="1"/>
  <c r="BF117" i="122"/>
  <c r="BF170" i="122" s="1"/>
  <c r="BK105" i="122"/>
  <c r="AP103" i="122"/>
  <c r="BE103" i="122" s="1"/>
  <c r="AM103" i="122"/>
  <c r="AF103" i="122"/>
  <c r="BO98" i="122"/>
  <c r="AZ39" i="123"/>
  <c r="BO97" i="122"/>
  <c r="BF97" i="122"/>
  <c r="AP85" i="122"/>
  <c r="BE85" i="122" s="1"/>
  <c r="AF85" i="122"/>
  <c r="AF162" i="122" s="1"/>
  <c r="AG162" i="122"/>
  <c r="BN91" i="122"/>
  <c r="BN90" i="122" s="1"/>
  <c r="BN86" i="122"/>
  <c r="AO86" i="122"/>
  <c r="BM89" i="122"/>
  <c r="BD89" i="122"/>
  <c r="AP88" i="122"/>
  <c r="AM88" i="122"/>
  <c r="AF88" i="122"/>
  <c r="BN84" i="122"/>
  <c r="BE84" i="122"/>
  <c r="BN55" i="122"/>
  <c r="BE55" i="122"/>
  <c r="GD74" i="121"/>
  <c r="CF223" i="120"/>
  <c r="CF222" i="120"/>
  <c r="CI222" i="120" s="1"/>
  <c r="CI156" i="120"/>
  <c r="GG25" i="123"/>
  <c r="GG26" i="123" s="1"/>
  <c r="EH26" i="123"/>
  <c r="GF21" i="123"/>
  <c r="GF53" i="121"/>
  <c r="R84" i="121"/>
  <c r="GG10" i="121"/>
  <c r="GG11" i="121"/>
  <c r="H20" i="127"/>
  <c r="J11" i="129"/>
  <c r="J12" i="129" s="1"/>
  <c r="J15" i="129"/>
  <c r="J19" i="129" s="1"/>
  <c r="CP79" i="121"/>
  <c r="BR79" i="121"/>
  <c r="CA79" i="121" s="1"/>
  <c r="CP64" i="123"/>
  <c r="BN103" i="122"/>
  <c r="BI39" i="123"/>
  <c r="BR39" i="123" s="1"/>
  <c r="R30" i="126" s="1"/>
  <c r="BE88" i="122"/>
  <c r="BN85" i="122"/>
  <c r="AP209" i="122"/>
  <c r="AP162" i="122"/>
  <c r="CO46" i="123" s="1"/>
  <c r="CX46" i="123" s="1"/>
  <c r="AO88" i="122"/>
  <c r="AO211" i="122" s="1"/>
  <c r="AP211" i="122"/>
  <c r="BN88" i="122"/>
  <c r="BM88" i="122" s="1"/>
  <c r="BM211" i="122" s="1"/>
  <c r="BD88" i="122"/>
  <c r="CY79" i="121"/>
  <c r="DH79" i="121" s="1"/>
  <c r="EO79" i="121" s="1"/>
  <c r="Q64" i="125"/>
  <c r="BN211" i="122"/>
  <c r="DQ79" i="121"/>
  <c r="DZ79" i="121" s="1"/>
  <c r="DG46" i="123"/>
  <c r="DP46" i="123" s="1"/>
  <c r="W37" i="126" s="1"/>
  <c r="BF43" i="120" l="1"/>
  <c r="BO43" i="120"/>
  <c r="CN43" i="120" s="1"/>
  <c r="BO47" i="120"/>
  <c r="BF47" i="120"/>
  <c r="AG58" i="72"/>
  <c r="AG59" i="72" s="1"/>
  <c r="AG58" i="9"/>
  <c r="AG59" i="9" s="1"/>
  <c r="K48" i="3"/>
  <c r="AT58" i="72"/>
  <c r="AT59" i="72" s="1"/>
  <c r="P48" i="3"/>
  <c r="AT58" i="9"/>
  <c r="AT59" i="9" s="1"/>
  <c r="AB91" i="8"/>
  <c r="AB17" i="8"/>
  <c r="AD47" i="5"/>
  <c r="AD54" i="5"/>
  <c r="AD55" i="5"/>
  <c r="AD52" i="5"/>
  <c r="AD53" i="5"/>
  <c r="I93" i="56"/>
  <c r="N93" i="56" s="1"/>
  <c r="N92" i="56" s="1"/>
  <c r="S92" i="56"/>
  <c r="Z157" i="6"/>
  <c r="Z149" i="6"/>
  <c r="Z161" i="6"/>
  <c r="Z156" i="6"/>
  <c r="Z159" i="6"/>
  <c r="Z152" i="6"/>
  <c r="Z163" i="6"/>
  <c r="Z142" i="6"/>
  <c r="Z162" i="6"/>
  <c r="Z154" i="6"/>
  <c r="Z145" i="6"/>
  <c r="Z150" i="6"/>
  <c r="Z144" i="6"/>
  <c r="Z147" i="6"/>
  <c r="BF29" i="7"/>
  <c r="BE138" i="7"/>
  <c r="G8" i="56"/>
  <c r="B18" i="56"/>
  <c r="O48" i="56"/>
  <c r="O58" i="56" s="1"/>
  <c r="J58" i="56"/>
  <c r="BF38" i="120"/>
  <c r="BO38" i="120"/>
  <c r="CN38" i="120" s="1"/>
  <c r="BF48" i="120"/>
  <c r="BO48" i="120"/>
  <c r="AM42" i="8"/>
  <c r="Z93" i="8"/>
  <c r="G58" i="56"/>
  <c r="L48" i="56"/>
  <c r="L58" i="56" s="1"/>
  <c r="I25" i="79"/>
  <c r="I24" i="79"/>
  <c r="I23" i="79"/>
  <c r="I21" i="79"/>
  <c r="I19" i="79"/>
  <c r="I26" i="79"/>
  <c r="AB100" i="8"/>
  <c r="AC65" i="8"/>
  <c r="AE101" i="8"/>
  <c r="AE106" i="8"/>
  <c r="D20" i="56"/>
  <c r="D21" i="56"/>
  <c r="N45" i="65"/>
  <c r="N46" i="65" s="1"/>
  <c r="N47" i="65" s="1"/>
  <c r="I47" i="65"/>
  <c r="K51" i="61"/>
  <c r="F53" i="61"/>
  <c r="I51" i="61"/>
  <c r="I52" i="61" s="1"/>
  <c r="N40" i="8"/>
  <c r="O39" i="8"/>
  <c r="O40" i="8" s="1"/>
  <c r="AF51" i="6"/>
  <c r="AF54" i="6"/>
  <c r="AF52" i="6"/>
  <c r="AF53" i="6"/>
  <c r="D30" i="56"/>
  <c r="I29" i="56"/>
  <c r="V9" i="59"/>
  <c r="V27" i="59" s="1"/>
  <c r="V14" i="59"/>
  <c r="BR33" i="17"/>
  <c r="BV31" i="71"/>
  <c r="E55" i="121"/>
  <c r="W42" i="123"/>
  <c r="CA57" i="121"/>
  <c r="AN48" i="120"/>
  <c r="B134" i="120"/>
  <c r="C268" i="120"/>
  <c r="D266" i="120"/>
  <c r="B48" i="120"/>
  <c r="AJ26" i="123"/>
  <c r="O31" i="11"/>
  <c r="AQ16" i="7"/>
  <c r="AR16" i="7" s="1"/>
  <c r="AN138" i="7"/>
  <c r="M8" i="7"/>
  <c r="V61" i="9"/>
  <c r="AK13" i="9"/>
  <c r="M19" i="10"/>
  <c r="AC8" i="19"/>
  <c r="AE8" i="19" s="1"/>
  <c r="AN8" i="19" s="1"/>
  <c r="E103" i="56"/>
  <c r="BB29" i="7"/>
  <c r="BB138" i="7" s="1"/>
  <c r="D35" i="84"/>
  <c r="L58" i="19"/>
  <c r="I59" i="56"/>
  <c r="S59" i="56" s="1"/>
  <c r="L57" i="19"/>
  <c r="AK39" i="19"/>
  <c r="AI49" i="19"/>
  <c r="AK47" i="19"/>
  <c r="AL22" i="19"/>
  <c r="AE47" i="5"/>
  <c r="AS65" i="8"/>
  <c r="G32" i="79"/>
  <c r="AQ87" i="8"/>
  <c r="AX87" i="8"/>
  <c r="AZ139" i="7"/>
  <c r="BA139" i="7" s="1"/>
  <c r="AS89" i="8"/>
  <c r="D49" i="56"/>
  <c r="AQ40" i="8"/>
  <c r="K91" i="56"/>
  <c r="K101" i="56" s="1"/>
  <c r="J91" i="56"/>
  <c r="C91" i="56"/>
  <c r="Z143" i="6"/>
  <c r="Z139" i="6"/>
  <c r="B33" i="73"/>
  <c r="F37" i="65"/>
  <c r="I37" i="65" s="1"/>
  <c r="D111" i="56"/>
  <c r="J12" i="59"/>
  <c r="M15" i="59"/>
  <c r="C8" i="63"/>
  <c r="C18" i="63"/>
  <c r="B19" i="63"/>
  <c r="B20" i="63" s="1"/>
  <c r="AH11" i="6"/>
  <c r="AN11" i="6" s="1"/>
  <c r="K39" i="121"/>
  <c r="L40" i="121"/>
  <c r="AD15" i="71"/>
  <c r="AA25" i="71"/>
  <c r="AF14" i="71"/>
  <c r="AC14" i="71" s="1"/>
  <c r="BA26" i="71"/>
  <c r="AY26" i="71"/>
  <c r="BA28" i="71"/>
  <c r="AY28" i="71"/>
  <c r="AZ29" i="71"/>
  <c r="BA31" i="71"/>
  <c r="AY31" i="71"/>
  <c r="AA32" i="71"/>
  <c r="AW74" i="72"/>
  <c r="AU55" i="72"/>
  <c r="P74" i="72"/>
  <c r="L77" i="72"/>
  <c r="K77" i="72" s="1"/>
  <c r="G8" i="84"/>
  <c r="F11" i="90"/>
  <c r="J45" i="85"/>
  <c r="K36" i="64"/>
  <c r="D3" i="77"/>
  <c r="B3" i="77" s="1"/>
  <c r="BP31" i="8"/>
  <c r="BP27" i="8" s="1"/>
  <c r="Q63" i="32"/>
  <c r="N63" i="32"/>
  <c r="P63" i="32" s="1"/>
  <c r="M63" i="32"/>
  <c r="C9" i="123"/>
  <c r="DG9" i="123"/>
  <c r="L9" i="123"/>
  <c r="AY9" i="123"/>
  <c r="B43" i="124" s="1"/>
  <c r="EN9" i="123"/>
  <c r="AP9" i="123"/>
  <c r="CO9" i="123"/>
  <c r="B45" i="124" s="1"/>
  <c r="U9" i="123"/>
  <c r="CX9" i="123"/>
  <c r="R249" i="120"/>
  <c r="Q114" i="120"/>
  <c r="Q253" i="120" s="1"/>
  <c r="AH134" i="120"/>
  <c r="Q134" i="120"/>
  <c r="AG45" i="120"/>
  <c r="AM45" i="120" s="1"/>
  <c r="S39" i="120"/>
  <c r="C262" i="120"/>
  <c r="O32" i="11"/>
  <c r="AF51" i="5"/>
  <c r="O40" i="3"/>
  <c r="N51" i="9"/>
  <c r="M56" i="11"/>
  <c r="AN31" i="11" s="1"/>
  <c r="AM159" i="7"/>
  <c r="Z136" i="6"/>
  <c r="Z133" i="6"/>
  <c r="Y184" i="6"/>
  <c r="Z179" i="6" s="1"/>
  <c r="AC88" i="6"/>
  <c r="AX88" i="6"/>
  <c r="BC88" i="6"/>
  <c r="AB88" i="6"/>
  <c r="EN40" i="121"/>
  <c r="EN29" i="121"/>
  <c r="EV39" i="121"/>
  <c r="EW40" i="121"/>
  <c r="H14" i="71"/>
  <c r="BR25" i="71"/>
  <c r="BS25" i="71"/>
  <c r="H24" i="71"/>
  <c r="AB28" i="71"/>
  <c r="AA28" i="71"/>
  <c r="AA31" i="71"/>
  <c r="BN48" i="72"/>
  <c r="BE48" i="72"/>
  <c r="AO48" i="72"/>
  <c r="AX48" i="72"/>
  <c r="AZ48" i="72" s="1"/>
  <c r="K17" i="72"/>
  <c r="N17" i="72"/>
  <c r="M36" i="78"/>
  <c r="C73" i="78"/>
  <c r="S42" i="10"/>
  <c r="BS141" i="7"/>
  <c r="BS25" i="7"/>
  <c r="BJ25" i="8"/>
  <c r="BJ89" i="8"/>
  <c r="BJ31" i="8"/>
  <c r="BJ27" i="8" s="1"/>
  <c r="BJ90" i="8"/>
  <c r="H181" i="120"/>
  <c r="H225" i="120" s="1"/>
  <c r="AG114" i="120"/>
  <c r="AG253" i="120" s="1"/>
  <c r="BO41" i="120"/>
  <c r="B51" i="120"/>
  <c r="AO32" i="7"/>
  <c r="AO140" i="7"/>
  <c r="BA151" i="7"/>
  <c r="C68" i="8"/>
  <c r="V63" i="7"/>
  <c r="S22" i="9"/>
  <c r="W45" i="11"/>
  <c r="D65" i="8"/>
  <c r="AZ151" i="7"/>
  <c r="BF54" i="7"/>
  <c r="G23" i="84"/>
  <c r="AK35" i="19"/>
  <c r="AL16" i="19"/>
  <c r="AL31" i="19"/>
  <c r="L91" i="56"/>
  <c r="L101" i="56" s="1"/>
  <c r="AE55" i="5"/>
  <c r="M45" i="3"/>
  <c r="O45" i="3" s="1"/>
  <c r="BD42" i="11"/>
  <c r="AR33" i="11"/>
  <c r="AV46" i="11"/>
  <c r="R15" i="70"/>
  <c r="V22" i="82"/>
  <c r="F32" i="79"/>
  <c r="D36" i="79" s="1"/>
  <c r="D37" i="79" s="1"/>
  <c r="AZ20" i="8"/>
  <c r="BA20" i="8" s="1"/>
  <c r="AQ13" i="8"/>
  <c r="AQ15" i="8" s="1"/>
  <c r="I38" i="56"/>
  <c r="I40" i="56" s="1"/>
  <c r="N40" i="56" s="1"/>
  <c r="AH101" i="8"/>
  <c r="N48" i="56"/>
  <c r="N58" i="56" s="1"/>
  <c r="C34" i="63"/>
  <c r="D10" i="56"/>
  <c r="C10" i="56" s="1"/>
  <c r="C9" i="56" s="1"/>
  <c r="I48" i="56"/>
  <c r="I58" i="56" s="1"/>
  <c r="AZ108" i="8"/>
  <c r="BA108" i="8" s="1"/>
  <c r="AC48" i="59"/>
  <c r="BG88" i="6"/>
  <c r="BI88" i="6" s="1"/>
  <c r="AV87" i="6"/>
  <c r="AB87" i="6"/>
  <c r="AC87" i="6"/>
  <c r="AD87" i="6" s="1"/>
  <c r="BF87" i="6"/>
  <c r="BI87" i="6" s="1"/>
  <c r="P43" i="59"/>
  <c r="Q46" i="3"/>
  <c r="Q44" i="3" s="1"/>
  <c r="Q43" i="3"/>
  <c r="G16" i="62"/>
  <c r="D16" i="62"/>
  <c r="CW39" i="121"/>
  <c r="AP40" i="121"/>
  <c r="V32" i="71"/>
  <c r="AR35" i="71"/>
  <c r="AA27" i="71"/>
  <c r="BB25" i="71"/>
  <c r="T9" i="71"/>
  <c r="U8" i="71"/>
  <c r="T8" i="71" s="1"/>
  <c r="AF46" i="3"/>
  <c r="AF44" i="3" s="1"/>
  <c r="K45" i="65"/>
  <c r="F51" i="65"/>
  <c r="AK48" i="3"/>
  <c r="AK41" i="3"/>
  <c r="AK39" i="3" s="1"/>
  <c r="R212" i="120"/>
  <c r="AP64" i="121" s="1"/>
  <c r="Q146" i="120"/>
  <c r="Q212" i="120" s="1"/>
  <c r="F45" i="79"/>
  <c r="B11" i="82"/>
  <c r="E11" i="82" s="1"/>
  <c r="I11" i="82" s="1"/>
  <c r="I20" i="85"/>
  <c r="J19" i="85"/>
  <c r="S23" i="61"/>
  <c r="AI54" i="5"/>
  <c r="AI53" i="5"/>
  <c r="AX13" i="5"/>
  <c r="BB13" i="5" s="1"/>
  <c r="AN13" i="5"/>
  <c r="F5" i="101"/>
  <c r="E9" i="101"/>
  <c r="D9" i="101" s="1"/>
  <c r="EN21" i="123"/>
  <c r="EM27" i="123"/>
  <c r="AO24" i="17"/>
  <c r="AH27" i="7"/>
  <c r="AQ114" i="122"/>
  <c r="BB52" i="7"/>
  <c r="BB144" i="7" s="1"/>
  <c r="AQ25" i="8"/>
  <c r="AR24" i="8"/>
  <c r="AR90" i="8" s="1"/>
  <c r="AQ94" i="8"/>
  <c r="AE45" i="3"/>
  <c r="AL47" i="19"/>
  <c r="BD41" i="11"/>
  <c r="AU55" i="9"/>
  <c r="AZ52" i="7"/>
  <c r="AZ144" i="7" s="1"/>
  <c r="I8" i="56"/>
  <c r="I18" i="56" s="1"/>
  <c r="Z135" i="6"/>
  <c r="K48" i="56"/>
  <c r="F58" i="56"/>
  <c r="F60" i="56" s="1"/>
  <c r="BA88" i="6"/>
  <c r="BD88" i="6" s="1"/>
  <c r="AV88" i="6"/>
  <c r="Z158" i="6"/>
  <c r="Z153" i="6"/>
  <c r="Z148" i="6"/>
  <c r="BC65" i="8"/>
  <c r="AB62" i="3"/>
  <c r="M63" i="11"/>
  <c r="BH40" i="121"/>
  <c r="BG39" i="121"/>
  <c r="BO24" i="71"/>
  <c r="BN24" i="71" s="1"/>
  <c r="BN36" i="71" s="1"/>
  <c r="AO25" i="71"/>
  <c r="C37" i="73"/>
  <c r="C39" i="73" s="1"/>
  <c r="F48" i="61"/>
  <c r="R11" i="72"/>
  <c r="J10" i="61"/>
  <c r="J38" i="61" s="1"/>
  <c r="U50" i="121"/>
  <c r="AD50" i="121"/>
  <c r="D45" i="79"/>
  <c r="D46" i="79" s="1"/>
  <c r="H42" i="79"/>
  <c r="P14" i="81"/>
  <c r="J14" i="81"/>
  <c r="E38" i="63"/>
  <c r="E39" i="63" s="1"/>
  <c r="F8" i="90"/>
  <c r="F9" i="90" s="1"/>
  <c r="H7" i="90"/>
  <c r="S127" i="120"/>
  <c r="D129" i="120"/>
  <c r="L36" i="65"/>
  <c r="CH87" i="72"/>
  <c r="CH62" i="72" s="1"/>
  <c r="R36" i="61"/>
  <c r="S36" i="61" s="1"/>
  <c r="T36" i="61" s="1"/>
  <c r="U36" i="61" s="1"/>
  <c r="V36" i="61" s="1"/>
  <c r="W36" i="61" s="1"/>
  <c r="AX45" i="3"/>
  <c r="AX44" i="3" s="1"/>
  <c r="U10" i="64"/>
  <c r="U35" i="64" s="1"/>
  <c r="U23" i="64"/>
  <c r="BF71" i="8"/>
  <c r="BF68" i="8"/>
  <c r="BG91" i="8"/>
  <c r="BG17" i="8"/>
  <c r="BG31" i="8"/>
  <c r="BG90" i="8"/>
  <c r="BP89" i="8"/>
  <c r="BP25" i="8"/>
  <c r="Q11" i="96"/>
  <c r="J11" i="96"/>
  <c r="J12" i="96" s="1"/>
  <c r="Q26" i="96"/>
  <c r="L26" i="96"/>
  <c r="F17" i="61"/>
  <c r="I17" i="61" s="1"/>
  <c r="AU72" i="9"/>
  <c r="BB54" i="9" s="1"/>
  <c r="D253" i="69"/>
  <c r="D266" i="69" s="1"/>
  <c r="D279" i="69" s="1"/>
  <c r="Q12" i="70"/>
  <c r="Q20" i="70" s="1"/>
  <c r="L20" i="70"/>
  <c r="BJ24" i="71"/>
  <c r="BJ36" i="71" s="1"/>
  <c r="AE9" i="71"/>
  <c r="AO17" i="71"/>
  <c r="AO12" i="71"/>
  <c r="T27" i="71"/>
  <c r="W14" i="71"/>
  <c r="AY14" i="71"/>
  <c r="AO33" i="71"/>
  <c r="BH27" i="71"/>
  <c r="CC50" i="121"/>
  <c r="S35" i="125" s="1"/>
  <c r="I22" i="72"/>
  <c r="R36" i="72"/>
  <c r="AH44" i="3"/>
  <c r="Q62" i="32"/>
  <c r="C23" i="73"/>
  <c r="C24" i="73" s="1"/>
  <c r="D9" i="88"/>
  <c r="M3" i="80"/>
  <c r="M8" i="80" s="1"/>
  <c r="M13" i="80" s="1"/>
  <c r="M17" i="80" s="1"/>
  <c r="H29" i="84"/>
  <c r="J29" i="84" s="1"/>
  <c r="F80" i="81"/>
  <c r="D67" i="78"/>
  <c r="BG41" i="7"/>
  <c r="BG25" i="7"/>
  <c r="P9" i="65"/>
  <c r="P38" i="65" s="1"/>
  <c r="I3" i="89"/>
  <c r="I8" i="89"/>
  <c r="A8" i="89" s="1"/>
  <c r="B17" i="85" s="1"/>
  <c r="D17" i="85" s="1"/>
  <c r="I9" i="89"/>
  <c r="I12" i="89"/>
  <c r="J64" i="85"/>
  <c r="J14" i="85"/>
  <c r="BS8" i="7"/>
  <c r="BS143" i="7"/>
  <c r="D49" i="68"/>
  <c r="D46" i="68"/>
  <c r="AH52" i="5"/>
  <c r="AH47" i="5"/>
  <c r="AH53" i="5"/>
  <c r="S62" i="122"/>
  <c r="D206" i="122"/>
  <c r="S64" i="122"/>
  <c r="D208" i="122"/>
  <c r="BZ61" i="7"/>
  <c r="BV61" i="7"/>
  <c r="BV146" i="7" s="1"/>
  <c r="BW146" i="7"/>
  <c r="X18" i="61"/>
  <c r="F53" i="97"/>
  <c r="I35" i="111" s="1"/>
  <c r="BV28" i="8" s="1"/>
  <c r="BW28" i="8" s="1"/>
  <c r="C32" i="111"/>
  <c r="BY29" i="7"/>
  <c r="AS13" i="10"/>
  <c r="BR169" i="7"/>
  <c r="BR150" i="7"/>
  <c r="BM90" i="8"/>
  <c r="BM15" i="8"/>
  <c r="BV15" i="8" s="1"/>
  <c r="AV67" i="9"/>
  <c r="AU67" i="9" s="1"/>
  <c r="D148" i="69"/>
  <c r="D164" i="69" s="1"/>
  <c r="D173" i="69" s="1"/>
  <c r="E289" i="69"/>
  <c r="D329" i="69"/>
  <c r="AO30" i="71"/>
  <c r="AZ24" i="71"/>
  <c r="E69" i="81"/>
  <c r="M12" i="81" s="1"/>
  <c r="B32" i="78"/>
  <c r="G23" i="61"/>
  <c r="W14" i="64"/>
  <c r="W11" i="64" s="1"/>
  <c r="W10" i="64" s="1"/>
  <c r="W35" i="64" s="1"/>
  <c r="AU16" i="6"/>
  <c r="AP16" i="6"/>
  <c r="AT16" i="6" s="1"/>
  <c r="AC50" i="65"/>
  <c r="AC46" i="65"/>
  <c r="BW174" i="7"/>
  <c r="S9" i="122"/>
  <c r="AQ9" i="122"/>
  <c r="CD125" i="122"/>
  <c r="CB125" i="122" s="1"/>
  <c r="BO9" i="122"/>
  <c r="CD8" i="122"/>
  <c r="C17" i="111"/>
  <c r="D17" i="111"/>
  <c r="BW32" i="8"/>
  <c r="BV32" i="8" s="1"/>
  <c r="AH13" i="72"/>
  <c r="AK17" i="72"/>
  <c r="K37" i="65"/>
  <c r="E20" i="78"/>
  <c r="D81" i="81"/>
  <c r="S38" i="32"/>
  <c r="I14" i="89"/>
  <c r="D10" i="61"/>
  <c r="D10" i="66"/>
  <c r="D38" i="66" s="1"/>
  <c r="D23" i="64"/>
  <c r="I30" i="85"/>
  <c r="I31" i="85" s="1"/>
  <c r="U9" i="65"/>
  <c r="U35" i="65" s="1"/>
  <c r="T9" i="65"/>
  <c r="T35" i="65" s="1"/>
  <c r="V14" i="66"/>
  <c r="V11" i="66" s="1"/>
  <c r="V10" i="66" s="1"/>
  <c r="R14" i="66"/>
  <c r="R11" i="66" s="1"/>
  <c r="R10" i="66" s="1"/>
  <c r="AO16" i="6"/>
  <c r="AO27" i="6"/>
  <c r="AP27" i="6"/>
  <c r="AU35" i="6"/>
  <c r="AP35" i="6"/>
  <c r="D39" i="104"/>
  <c r="M16" i="66" s="1"/>
  <c r="M14" i="66" s="1"/>
  <c r="BD31" i="8"/>
  <c r="BD27" i="8" s="1"/>
  <c r="BG42" i="8"/>
  <c r="BG93" i="8" s="1"/>
  <c r="BP42" i="8"/>
  <c r="BP93" i="8" s="1"/>
  <c r="S202" i="122"/>
  <c r="AH58" i="122"/>
  <c r="D143" i="122"/>
  <c r="D178" i="122" s="1"/>
  <c r="B9" i="122"/>
  <c r="T26" i="95"/>
  <c r="T42" i="95" s="1"/>
  <c r="U42" i="95" s="1"/>
  <c r="U17" i="95"/>
  <c r="BJ17" i="8"/>
  <c r="BY15" i="7"/>
  <c r="BP8" i="7"/>
  <c r="BP8" i="8"/>
  <c r="AH205" i="122"/>
  <c r="N63" i="109"/>
  <c r="BR168" i="7"/>
  <c r="Q12" i="64" s="1"/>
  <c r="B34" i="116"/>
  <c r="CI31" i="7"/>
  <c r="CP147" i="7"/>
  <c r="CN23" i="8"/>
  <c r="CN17" i="8" s="1"/>
  <c r="BI46" i="3"/>
  <c r="BI44" i="3" s="1"/>
  <c r="AG47" i="95"/>
  <c r="DC38" i="17"/>
  <c r="CB16" i="19"/>
  <c r="CB26" i="19"/>
  <c r="Q19" i="105"/>
  <c r="CI16" i="19"/>
  <c r="CL49" i="19"/>
  <c r="CM69" i="7"/>
  <c r="CG148" i="7"/>
  <c r="R267" i="120"/>
  <c r="Q121" i="120"/>
  <c r="Q267" i="120" s="1"/>
  <c r="D117" i="120"/>
  <c r="S118" i="120"/>
  <c r="AO75" i="120"/>
  <c r="BN75" i="120"/>
  <c r="BM75" i="120" s="1"/>
  <c r="BW55" i="121"/>
  <c r="CI54" i="121"/>
  <c r="BF25" i="122"/>
  <c r="BO25" i="122"/>
  <c r="BO155" i="122" s="1"/>
  <c r="EO39" i="123" s="1"/>
  <c r="EX39" i="123" s="1"/>
  <c r="T19" i="126"/>
  <c r="EB12" i="123"/>
  <c r="Z19" i="126" s="1"/>
  <c r="CK31" i="17"/>
  <c r="AK46" i="5"/>
  <c r="BD49" i="19"/>
  <c r="F25" i="105"/>
  <c r="F19" i="105"/>
  <c r="CO41" i="7"/>
  <c r="CO35" i="7" s="1"/>
  <c r="AF24" i="98"/>
  <c r="AF28" i="98" s="1"/>
  <c r="AF15" i="126"/>
  <c r="CO8" i="123"/>
  <c r="C8" i="123"/>
  <c r="AY8" i="123"/>
  <c r="DG8" i="123"/>
  <c r="EN8" i="123"/>
  <c r="CL100" i="8"/>
  <c r="CL52" i="8" s="1"/>
  <c r="AI36" i="65"/>
  <c r="AD11" i="98"/>
  <c r="S138" i="120"/>
  <c r="S137" i="120" s="1"/>
  <c r="D137" i="120"/>
  <c r="AH138" i="120"/>
  <c r="C269" i="120"/>
  <c r="R142" i="120"/>
  <c r="AG142" i="120" s="1"/>
  <c r="CM81" i="120"/>
  <c r="BN255" i="120"/>
  <c r="AF75" i="120"/>
  <c r="BE75" i="120"/>
  <c r="AN18" i="10"/>
  <c r="G40" i="105" s="1"/>
  <c r="S101" i="120"/>
  <c r="AH101" i="120" s="1"/>
  <c r="I10" i="100"/>
  <c r="EW21" i="123"/>
  <c r="EV21" i="123" s="1"/>
  <c r="BD25" i="8"/>
  <c r="BD17" i="8"/>
  <c r="C26" i="105"/>
  <c r="C20" i="105" s="1"/>
  <c r="C15" i="105" s="1"/>
  <c r="BH99" i="8"/>
  <c r="J16" i="96"/>
  <c r="J17" i="96" s="1"/>
  <c r="AG206" i="122"/>
  <c r="S63" i="122"/>
  <c r="S207" i="122" s="1"/>
  <c r="AH207" i="122" s="1"/>
  <c r="AF11" i="122"/>
  <c r="D19" i="111"/>
  <c r="F48" i="97"/>
  <c r="I30" i="111" s="1"/>
  <c r="BY28" i="7" s="1"/>
  <c r="AG19" i="10"/>
  <c r="BM35" i="7"/>
  <c r="BQ150" i="7"/>
  <c r="BQ154" i="7" s="1"/>
  <c r="BK99" i="8"/>
  <c r="BB49" i="19"/>
  <c r="G70" i="32"/>
  <c r="CS51" i="8"/>
  <c r="CM136" i="7"/>
  <c r="BA13" i="61" s="1"/>
  <c r="CP25" i="7"/>
  <c r="CP17" i="7" s="1"/>
  <c r="CO13" i="7"/>
  <c r="CO15" i="7" s="1"/>
  <c r="CL23" i="7"/>
  <c r="CL25" i="7" s="1"/>
  <c r="CL17" i="7" s="1"/>
  <c r="CM43" i="7"/>
  <c r="BB17" i="61"/>
  <c r="AF9" i="98"/>
  <c r="AF13" i="98" s="1"/>
  <c r="CN34" i="8"/>
  <c r="BA46" i="5"/>
  <c r="AG33" i="98"/>
  <c r="AP8" i="123"/>
  <c r="Z28" i="125"/>
  <c r="BF190" i="120"/>
  <c r="BI182" i="120"/>
  <c r="CG15" i="120"/>
  <c r="AZ49" i="3"/>
  <c r="K13" i="98"/>
  <c r="L13" i="98" s="1"/>
  <c r="N64" i="32"/>
  <c r="AY27" i="123"/>
  <c r="BG8" i="8"/>
  <c r="BR99" i="8"/>
  <c r="D199" i="120"/>
  <c r="D51" i="121" s="1"/>
  <c r="M51" i="121" s="1"/>
  <c r="V51" i="121" s="1"/>
  <c r="C20" i="111"/>
  <c r="G45" i="96"/>
  <c r="AV48" i="3"/>
  <c r="BP35" i="7"/>
  <c r="BL99" i="8"/>
  <c r="BM27" i="8"/>
  <c r="Q13" i="61"/>
  <c r="Q11" i="61" s="1"/>
  <c r="AX49" i="19"/>
  <c r="H68" i="32"/>
  <c r="J68" i="32" s="1"/>
  <c r="J70" i="32" s="1"/>
  <c r="G7" i="114"/>
  <c r="G15" i="114"/>
  <c r="G22" i="114"/>
  <c r="G26" i="114"/>
  <c r="G28" i="114"/>
  <c r="G30" i="114"/>
  <c r="G32" i="114"/>
  <c r="G39" i="114"/>
  <c r="G41" i="114"/>
  <c r="G43" i="114"/>
  <c r="G47" i="114"/>
  <c r="G60" i="114"/>
  <c r="G66" i="114"/>
  <c r="CM139" i="7"/>
  <c r="CO20" i="7"/>
  <c r="AG51" i="95"/>
  <c r="CH49" i="19"/>
  <c r="CI59" i="7"/>
  <c r="CI147" i="7" s="1"/>
  <c r="R19" i="105"/>
  <c r="U8" i="123"/>
  <c r="B117" i="120"/>
  <c r="DG65" i="123"/>
  <c r="CW65" i="123"/>
  <c r="CJ253" i="120"/>
  <c r="BL211" i="122"/>
  <c r="CD211" i="122"/>
  <c r="CJ211" i="122" s="1"/>
  <c r="BG167" i="122"/>
  <c r="CE114" i="122"/>
  <c r="CE167" i="122" s="1"/>
  <c r="BZ22" i="121"/>
  <c r="FE23" i="121"/>
  <c r="FG22" i="121"/>
  <c r="AI104" i="122"/>
  <c r="AL104" i="122" s="1"/>
  <c r="FF22" i="121"/>
  <c r="FF14" i="121" s="1"/>
  <c r="FE24" i="121"/>
  <c r="GM24" i="121" s="1"/>
  <c r="FO24" i="121"/>
  <c r="FO22" i="121" s="1"/>
  <c r="FO15" i="121"/>
  <c r="AR139" i="120"/>
  <c r="AT130" i="120"/>
  <c r="AT123" i="120" s="1"/>
  <c r="BU130" i="120"/>
  <c r="BU123" i="120" s="1"/>
  <c r="AK140" i="120"/>
  <c r="AC140" i="120"/>
  <c r="AI140" i="120" s="1"/>
  <c r="AK142" i="120"/>
  <c r="AC142" i="120"/>
  <c r="AI142" i="120" s="1"/>
  <c r="Y209" i="120"/>
  <c r="BC61" i="121" s="1"/>
  <c r="BU61" i="121" s="1"/>
  <c r="CG61" i="121" s="1"/>
  <c r="AE143" i="120"/>
  <c r="CQ74" i="121"/>
  <c r="DT74" i="121"/>
  <c r="DW10" i="121"/>
  <c r="Y14" i="121"/>
  <c r="W22" i="121"/>
  <c r="X37" i="121"/>
  <c r="AG34" i="121"/>
  <c r="AG42" i="121" s="1"/>
  <c r="W34" i="121"/>
  <c r="AF34" i="121" s="1"/>
  <c r="AF42" i="121" s="1"/>
  <c r="CA34" i="121"/>
  <c r="CD34" i="121"/>
  <c r="D249" i="120"/>
  <c r="C119" i="120"/>
  <c r="CJ267" i="120"/>
  <c r="BO88" i="120"/>
  <c r="AO88" i="120"/>
  <c r="CG190" i="120"/>
  <c r="AP255" i="120"/>
  <c r="AV78" i="121"/>
  <c r="AQ108" i="122"/>
  <c r="BF108" i="122" s="1"/>
  <c r="CB24" i="121"/>
  <c r="EI74" i="121"/>
  <c r="GH74" i="121" s="1"/>
  <c r="CN77" i="120"/>
  <c r="BN78" i="120"/>
  <c r="CG82" i="120"/>
  <c r="AG58" i="120"/>
  <c r="Q22" i="120"/>
  <c r="AQ33" i="120"/>
  <c r="BF33" i="120" s="1"/>
  <c r="BL33" i="120" s="1"/>
  <c r="B75" i="120"/>
  <c r="CI71" i="121"/>
  <c r="EH71" i="121" s="1"/>
  <c r="GG71" i="121" s="1"/>
  <c r="EH63" i="121"/>
  <c r="GG63" i="121" s="1"/>
  <c r="CJ72" i="121"/>
  <c r="EI72" i="121" s="1"/>
  <c r="GH72" i="121" s="1"/>
  <c r="AF122" i="122"/>
  <c r="AQ122" i="122"/>
  <c r="BI167" i="122"/>
  <c r="CO77" i="121"/>
  <c r="N19" i="126"/>
  <c r="U29" i="125"/>
  <c r="Q27" i="125"/>
  <c r="BI147" i="120"/>
  <c r="AT179" i="120"/>
  <c r="AT180" i="120" s="1"/>
  <c r="E94" i="120"/>
  <c r="BH77" i="120"/>
  <c r="AP84" i="120"/>
  <c r="FP23" i="121"/>
  <c r="FN23" i="121" s="1"/>
  <c r="AE23" i="121"/>
  <c r="BR22" i="121"/>
  <c r="BS65" i="122"/>
  <c r="CG207" i="122"/>
  <c r="EM15" i="121"/>
  <c r="AI102" i="120"/>
  <c r="C184" i="120"/>
  <c r="M22" i="125"/>
  <c r="CF34" i="121"/>
  <c r="FQ24" i="121"/>
  <c r="AE15" i="121"/>
  <c r="R72" i="120"/>
  <c r="AG72" i="120"/>
  <c r="FR62" i="121"/>
  <c r="CG66" i="121"/>
  <c r="EF66" i="121" s="1"/>
  <c r="GE66" i="121" s="1"/>
  <c r="AJ50" i="120"/>
  <c r="BH50" i="120" s="1"/>
  <c r="CA268" i="120"/>
  <c r="BY52" i="120"/>
  <c r="AK64" i="120"/>
  <c r="BI64" i="120" s="1"/>
  <c r="AE65" i="120"/>
  <c r="BA78" i="120"/>
  <c r="BA246" i="120" s="1"/>
  <c r="BC246" i="120"/>
  <c r="AE255" i="120"/>
  <c r="AK81" i="120"/>
  <c r="D256" i="120"/>
  <c r="S82" i="120"/>
  <c r="CA252" i="120"/>
  <c r="BY113" i="120"/>
  <c r="BY252" i="120" s="1"/>
  <c r="CJ251" i="120"/>
  <c r="BP80" i="121"/>
  <c r="BW66" i="123"/>
  <c r="BX76" i="121"/>
  <c r="BX78" i="121" s="1"/>
  <c r="EC24" i="121"/>
  <c r="EL24" i="121" s="1"/>
  <c r="DD81" i="121"/>
  <c r="BO109" i="122"/>
  <c r="BO108" i="122" s="1"/>
  <c r="CL24" i="121"/>
  <c r="CK24" i="121" s="1"/>
  <c r="AJ55" i="121"/>
  <c r="CN55" i="120"/>
  <c r="AI97" i="120"/>
  <c r="AO84" i="120"/>
  <c r="AO258" i="120" s="1"/>
  <c r="FV55" i="121"/>
  <c r="BE8" i="122"/>
  <c r="C143" i="122"/>
  <c r="AN26" i="122"/>
  <c r="BE78" i="120"/>
  <c r="AO23" i="120"/>
  <c r="BY143" i="120"/>
  <c r="BY209" i="120" s="1"/>
  <c r="S22" i="125"/>
  <c r="Q84" i="120"/>
  <c r="Q258" i="120" s="1"/>
  <c r="N83" i="120"/>
  <c r="N257" i="120" s="1"/>
  <c r="FP9" i="121"/>
  <c r="AJ154" i="122"/>
  <c r="BI154" i="122"/>
  <c r="F203" i="120"/>
  <c r="S255" i="120"/>
  <c r="AH81" i="120"/>
  <c r="BZ217" i="122"/>
  <c r="BY69" i="122"/>
  <c r="BY217" i="122" s="1"/>
  <c r="AJ97" i="122"/>
  <c r="AC97" i="122"/>
  <c r="AJ106" i="122"/>
  <c r="CF53" i="7"/>
  <c r="B142" i="120"/>
  <c r="D119" i="120"/>
  <c r="DQ52" i="121"/>
  <c r="W37" i="125" s="1"/>
  <c r="BR75" i="121"/>
  <c r="CF269" i="120"/>
  <c r="BD44" i="122"/>
  <c r="EH59" i="121"/>
  <c r="GG59" i="121" s="1"/>
  <c r="BH176" i="122"/>
  <c r="AQ36" i="122"/>
  <c r="CN22" i="121"/>
  <c r="BP23" i="121"/>
  <c r="BE15" i="120"/>
  <c r="S20" i="125"/>
  <c r="R258" i="120"/>
  <c r="K21" i="122"/>
  <c r="AD29" i="125"/>
  <c r="CB191" i="120"/>
  <c r="C153" i="122"/>
  <c r="C37" i="123" s="1"/>
  <c r="B96" i="122"/>
  <c r="BV268" i="120"/>
  <c r="D12" i="132"/>
  <c r="E12" i="132" s="1"/>
  <c r="C15" i="132"/>
  <c r="C16" i="127" s="1"/>
  <c r="F12" i="132"/>
  <c r="H12" i="132"/>
  <c r="C14" i="132"/>
  <c r="EU14" i="121"/>
  <c r="FV18" i="121"/>
  <c r="FT35" i="123"/>
  <c r="FT39" i="123"/>
  <c r="FT45" i="123"/>
  <c r="GF45" i="123" s="1"/>
  <c r="O126" i="120"/>
  <c r="L199" i="120"/>
  <c r="X51" i="121" s="1"/>
  <c r="K126" i="120"/>
  <c r="BG202" i="122"/>
  <c r="CE202" i="122" s="1"/>
  <c r="AI216" i="122"/>
  <c r="BG216" i="122" s="1"/>
  <c r="BN67" i="123"/>
  <c r="BU14" i="121"/>
  <c r="FN17" i="121"/>
  <c r="L49" i="122"/>
  <c r="W155" i="122"/>
  <c r="E155" i="122"/>
  <c r="K198" i="120"/>
  <c r="W198" i="120"/>
  <c r="AR198" i="120"/>
  <c r="BZ198" i="120"/>
  <c r="E262" i="120"/>
  <c r="W65" i="120"/>
  <c r="AK107" i="120"/>
  <c r="BI107" i="120" s="1"/>
  <c r="CG107" i="120" s="1"/>
  <c r="CJ107" i="120" s="1"/>
  <c r="N107" i="120"/>
  <c r="AI107" i="120" s="1"/>
  <c r="BG107" i="120" s="1"/>
  <c r="AJ108" i="120"/>
  <c r="BH108" i="120" s="1"/>
  <c r="CF108" i="120" s="1"/>
  <c r="AC108" i="120"/>
  <c r="AI108" i="120" s="1"/>
  <c r="E129" i="120"/>
  <c r="AX129" i="120"/>
  <c r="BS129" i="120"/>
  <c r="FA54" i="121"/>
  <c r="BU203" i="120"/>
  <c r="CG62" i="121"/>
  <c r="EF62" i="121" s="1"/>
  <c r="S93" i="122"/>
  <c r="D92" i="122"/>
  <c r="BS69" i="120"/>
  <c r="BS261" i="120" s="1"/>
  <c r="BU261" i="120"/>
  <c r="BU260" i="120" s="1"/>
  <c r="BZ244" i="120"/>
  <c r="BY86" i="120"/>
  <c r="BY244" i="120" s="1"/>
  <c r="AK92" i="120"/>
  <c r="AC92" i="120"/>
  <c r="AC263" i="120" s="1"/>
  <c r="R93" i="120"/>
  <c r="AG93" i="120" s="1"/>
  <c r="B93" i="120"/>
  <c r="CB267" i="120"/>
  <c r="CB265" i="120" s="1"/>
  <c r="CB94" i="120"/>
  <c r="AK104" i="120"/>
  <c r="BI104" i="120" s="1"/>
  <c r="CG104" i="120" s="1"/>
  <c r="AE105" i="120"/>
  <c r="M177" i="120"/>
  <c r="AT177" i="120"/>
  <c r="Y54" i="121"/>
  <c r="M203" i="120"/>
  <c r="FS65" i="121"/>
  <c r="EY65" i="121"/>
  <c r="G9" i="123"/>
  <c r="P9" i="122"/>
  <c r="P143" i="122" s="1"/>
  <c r="P178" i="122" s="1"/>
  <c r="E9" i="122"/>
  <c r="R144" i="122"/>
  <c r="AG144" i="122" s="1"/>
  <c r="BE144" i="122" s="1"/>
  <c r="CC144" i="122" s="1"/>
  <c r="AG10" i="122"/>
  <c r="Q10" i="122"/>
  <c r="Q144" i="122" s="1"/>
  <c r="AF144" i="122" s="1"/>
  <c r="BD144" i="122" s="1"/>
  <c r="CB144" i="122" s="1"/>
  <c r="K157" i="122"/>
  <c r="K28" i="122"/>
  <c r="AU28" i="122"/>
  <c r="BS194" i="122"/>
  <c r="BS160" i="122"/>
  <c r="T195" i="122"/>
  <c r="T161" i="122"/>
  <c r="S32" i="122"/>
  <c r="S196" i="122" s="1"/>
  <c r="AH196" i="122" s="1"/>
  <c r="AH32" i="122"/>
  <c r="O212" i="122"/>
  <c r="AJ34" i="122"/>
  <c r="B37" i="122"/>
  <c r="S37" i="122"/>
  <c r="O160" i="122"/>
  <c r="AJ50" i="122"/>
  <c r="P201" i="122"/>
  <c r="N57" i="122"/>
  <c r="N201" i="122" s="1"/>
  <c r="BH14" i="121"/>
  <c r="BZ267" i="120"/>
  <c r="Q88" i="120"/>
  <c r="AJ83" i="120"/>
  <c r="BZ199" i="120"/>
  <c r="BI78" i="120"/>
  <c r="FZ14" i="121"/>
  <c r="AQ14" i="121"/>
  <c r="AK201" i="122"/>
  <c r="BI201" i="122" s="1"/>
  <c r="CG201" i="122" s="1"/>
  <c r="AW261" i="120"/>
  <c r="AW62" i="120"/>
  <c r="BC62" i="120" s="1"/>
  <c r="BI70" i="120"/>
  <c r="D257" i="120"/>
  <c r="S83" i="120"/>
  <c r="L168" i="122"/>
  <c r="X52" i="123" s="1"/>
  <c r="W52" i="123" s="1"/>
  <c r="K115" i="122"/>
  <c r="K168" i="122" s="1"/>
  <c r="BF144" i="122"/>
  <c r="CD144" i="122" s="1"/>
  <c r="AI54" i="122"/>
  <c r="AR119" i="120"/>
  <c r="AR106" i="120" s="1"/>
  <c r="N58" i="120"/>
  <c r="BH102" i="120"/>
  <c r="K243" i="120"/>
  <c r="BY38" i="120"/>
  <c r="H262" i="120"/>
  <c r="H263" i="120"/>
  <c r="AE263" i="120"/>
  <c r="BV263" i="120"/>
  <c r="E50" i="120"/>
  <c r="K50" i="120"/>
  <c r="K65" i="120"/>
  <c r="AJ66" i="120"/>
  <c r="AM66" i="120" s="1"/>
  <c r="BY67" i="120"/>
  <c r="BA68" i="120"/>
  <c r="BR270" i="120"/>
  <c r="AK72" i="120"/>
  <c r="AJ73" i="120"/>
  <c r="AM73" i="120" s="1"/>
  <c r="AK80" i="120"/>
  <c r="AU269" i="120"/>
  <c r="AC118" i="120"/>
  <c r="BP119" i="120"/>
  <c r="L265" i="120"/>
  <c r="AA265" i="120"/>
  <c r="BS269" i="120"/>
  <c r="N124" i="120"/>
  <c r="BS199" i="120"/>
  <c r="H129" i="120"/>
  <c r="BA135" i="120"/>
  <c r="BZ137" i="120"/>
  <c r="BA142" i="120"/>
  <c r="N61" i="121"/>
  <c r="CQ69" i="121"/>
  <c r="CB188" i="120"/>
  <c r="AD26" i="125"/>
  <c r="V26" i="125"/>
  <c r="AP188" i="120"/>
  <c r="AO16" i="123"/>
  <c r="BR16" i="123"/>
  <c r="AR36" i="66"/>
  <c r="AR37" i="66" s="1"/>
  <c r="BQ62" i="3"/>
  <c r="R45" i="96" s="1"/>
  <c r="CG153" i="7"/>
  <c r="CF153" i="7" s="1"/>
  <c r="C39" i="122"/>
  <c r="C219" i="122" s="1"/>
  <c r="CC38" i="122"/>
  <c r="CB38" i="122" s="1"/>
  <c r="CB39" i="122"/>
  <c r="CB51" i="122"/>
  <c r="C51" i="122"/>
  <c r="CB58" i="122"/>
  <c r="CH58" i="122" s="1"/>
  <c r="C58" i="122"/>
  <c r="CB67" i="122"/>
  <c r="CC65" i="122"/>
  <c r="C67" i="122"/>
  <c r="CB57" i="122"/>
  <c r="C57" i="122"/>
  <c r="C201" i="122" s="1"/>
  <c r="CB69" i="122"/>
  <c r="C69" i="122"/>
  <c r="C93" i="122"/>
  <c r="CB93" i="122"/>
  <c r="CC92" i="122"/>
  <c r="CM81" i="122" s="1"/>
  <c r="C102" i="122"/>
  <c r="CB102" i="122"/>
  <c r="CB160" i="122" s="1"/>
  <c r="CD169" i="122"/>
  <c r="D116" i="122"/>
  <c r="FW71" i="123"/>
  <c r="BX25" i="123"/>
  <c r="BX26" i="123" s="1"/>
  <c r="BW28" i="123"/>
  <c r="DV28" i="123"/>
  <c r="CX22" i="121"/>
  <c r="CX14" i="121" s="1"/>
  <c r="CE35" i="121"/>
  <c r="CG59" i="123"/>
  <c r="CG44" i="123"/>
  <c r="EF44" i="123" s="1"/>
  <c r="GE44" i="123" s="1"/>
  <c r="FY10" i="123"/>
  <c r="GF60" i="123"/>
  <c r="Z119" i="120"/>
  <c r="H201" i="120"/>
  <c r="EG73" i="121"/>
  <c r="D248" i="120"/>
  <c r="Q24" i="120"/>
  <c r="E205" i="120"/>
  <c r="AJ38" i="120"/>
  <c r="BH38" i="120" s="1"/>
  <c r="CF38" i="120" s="1"/>
  <c r="AX238" i="120"/>
  <c r="E239" i="120"/>
  <c r="P239" i="120"/>
  <c r="AX239" i="120"/>
  <c r="BS239" i="120"/>
  <c r="K263" i="120"/>
  <c r="W263" i="120"/>
  <c r="AR263" i="120"/>
  <c r="BC263" i="120"/>
  <c r="K264" i="120"/>
  <c r="W264" i="120"/>
  <c r="AR264" i="120"/>
  <c r="BC264" i="120"/>
  <c r="W50" i="120"/>
  <c r="H266" i="120"/>
  <c r="T266" i="120"/>
  <c r="AK51" i="120"/>
  <c r="T268" i="120"/>
  <c r="AE268" i="120"/>
  <c r="AU197" i="120"/>
  <c r="BY56" i="120"/>
  <c r="BA57" i="120"/>
  <c r="BJ51" i="121"/>
  <c r="AJ63" i="120"/>
  <c r="AJ65" i="120" s="1"/>
  <c r="BS201" i="120"/>
  <c r="BP196" i="120"/>
  <c r="CA196" i="120"/>
  <c r="P69" i="120"/>
  <c r="AE69" i="120"/>
  <c r="AJ70" i="120"/>
  <c r="K205" i="120"/>
  <c r="W205" i="120"/>
  <c r="BC205" i="120"/>
  <c r="T206" i="120"/>
  <c r="BY90" i="120"/>
  <c r="AX264" i="120"/>
  <c r="AS265" i="120"/>
  <c r="BV269" i="120"/>
  <c r="AC113" i="120"/>
  <c r="AC252" i="120" s="1"/>
  <c r="BR106" i="120"/>
  <c r="BR99" i="120" s="1"/>
  <c r="BX106" i="120"/>
  <c r="BX99" i="120" s="1"/>
  <c r="N120" i="120"/>
  <c r="AI120" i="120" s="1"/>
  <c r="BG120" i="120" s="1"/>
  <c r="BS143" i="120"/>
  <c r="BS209" i="120" s="1"/>
  <c r="FS54" i="123"/>
  <c r="O40" i="121"/>
  <c r="AG16" i="121"/>
  <c r="CN16" i="123"/>
  <c r="AX16" i="123"/>
  <c r="DJ94" i="8"/>
  <c r="DI46" i="8"/>
  <c r="DI94" i="8" s="1"/>
  <c r="DI100" i="8"/>
  <c r="DI52" i="8" s="1"/>
  <c r="DJ52" i="8"/>
  <c r="DT26" i="19"/>
  <c r="DU49" i="19"/>
  <c r="CY18" i="7"/>
  <c r="CX18" i="7" s="1"/>
  <c r="AK42" i="95"/>
  <c r="DF10" i="8"/>
  <c r="DG8" i="8"/>
  <c r="DM16" i="19"/>
  <c r="CA213" i="122"/>
  <c r="AI44" i="122"/>
  <c r="AL44" i="122" s="1"/>
  <c r="BS66" i="121"/>
  <c r="CF65" i="121"/>
  <c r="EE65" i="121" s="1"/>
  <c r="GD65" i="121" s="1"/>
  <c r="X42" i="121"/>
  <c r="Y12" i="121"/>
  <c r="Y13" i="121" s="1"/>
  <c r="DR65" i="121"/>
  <c r="CG51" i="121"/>
  <c r="EF51" i="121" s="1"/>
  <c r="GE51" i="121" s="1"/>
  <c r="E10" i="121"/>
  <c r="B9" i="121"/>
  <c r="CF75" i="121"/>
  <c r="AD23" i="121"/>
  <c r="AR22" i="121"/>
  <c r="AR42" i="121" s="1"/>
  <c r="AK14" i="121"/>
  <c r="AK12" i="121" s="1"/>
  <c r="AK13" i="121" s="1"/>
  <c r="H196" i="120"/>
  <c r="N43" i="120"/>
  <c r="O245" i="120"/>
  <c r="AU245" i="120"/>
  <c r="BP245" i="120"/>
  <c r="BP254" i="120"/>
  <c r="V37" i="120"/>
  <c r="O264" i="120"/>
  <c r="AU264" i="120"/>
  <c r="CA264" i="120"/>
  <c r="K266" i="120"/>
  <c r="K265" i="120" s="1"/>
  <c r="BC266" i="120"/>
  <c r="AC54" i="120"/>
  <c r="N56" i="120"/>
  <c r="Z197" i="120"/>
  <c r="P202" i="120"/>
  <c r="BP202" i="120"/>
  <c r="BV61" i="120"/>
  <c r="Y62" i="120"/>
  <c r="AE62" i="120" s="1"/>
  <c r="BA63" i="120"/>
  <c r="AK68" i="120"/>
  <c r="BS196" i="120"/>
  <c r="W69" i="120"/>
  <c r="N75" i="120"/>
  <c r="N242" i="120" s="1"/>
  <c r="AX242" i="120"/>
  <c r="B79" i="120"/>
  <c r="BC245" i="120"/>
  <c r="BY79" i="120"/>
  <c r="B86" i="120"/>
  <c r="B244" i="120" s="1"/>
  <c r="BA87" i="120"/>
  <c r="BY87" i="120"/>
  <c r="BZ89" i="120"/>
  <c r="BX71" i="120"/>
  <c r="U265" i="120"/>
  <c r="U270" i="120" s="1"/>
  <c r="T269" i="120"/>
  <c r="AE269" i="120"/>
  <c r="BC269" i="120"/>
  <c r="BZ269" i="120"/>
  <c r="O117" i="120"/>
  <c r="N128" i="120"/>
  <c r="BA132" i="120"/>
  <c r="E137" i="120"/>
  <c r="K137" i="120"/>
  <c r="FS57" i="121"/>
  <c r="BT62" i="121"/>
  <c r="CF62" i="121" s="1"/>
  <c r="EY63" i="121"/>
  <c r="DT64" i="121"/>
  <c r="EF64" i="121" s="1"/>
  <c r="GE64" i="121" s="1"/>
  <c r="G218" i="122"/>
  <c r="Z161" i="122"/>
  <c r="C87" i="122"/>
  <c r="CC108" i="122"/>
  <c r="C110" i="122"/>
  <c r="AB24" i="125"/>
  <c r="BN186" i="120"/>
  <c r="AC21" i="125"/>
  <c r="M24" i="125"/>
  <c r="C186" i="120"/>
  <c r="FK40" i="121"/>
  <c r="GG16" i="123"/>
  <c r="DD31" i="7"/>
  <c r="DE33" i="7"/>
  <c r="AH71" i="121"/>
  <c r="CZ74" i="121"/>
  <c r="DI74" i="121"/>
  <c r="FR75" i="121"/>
  <c r="FS75" i="121"/>
  <c r="Q227" i="120"/>
  <c r="V265" i="120"/>
  <c r="CH23" i="121"/>
  <c r="CD29" i="121"/>
  <c r="ES39" i="121"/>
  <c r="DI41" i="121"/>
  <c r="BY8" i="122"/>
  <c r="BS217" i="122"/>
  <c r="BQ218" i="122"/>
  <c r="T153" i="122"/>
  <c r="M81" i="122"/>
  <c r="N113" i="122"/>
  <c r="N166" i="122" s="1"/>
  <c r="AH53" i="123"/>
  <c r="EP53" i="123"/>
  <c r="BR19" i="121"/>
  <c r="BR21" i="121"/>
  <c r="DP20" i="121"/>
  <c r="N19" i="121"/>
  <c r="N21" i="121"/>
  <c r="N24" i="121"/>
  <c r="W9" i="121"/>
  <c r="W16" i="121"/>
  <c r="W40" i="121" s="1"/>
  <c r="EY23" i="121"/>
  <c r="FE16" i="123"/>
  <c r="D42" i="128"/>
  <c r="C42" i="128"/>
  <c r="F42" i="128"/>
  <c r="F39" i="128" s="1"/>
  <c r="AJ42" i="98"/>
  <c r="AJ43" i="98" s="1"/>
  <c r="AJ18" i="98"/>
  <c r="DV14" i="19"/>
  <c r="DV13" i="19" s="1"/>
  <c r="DU14" i="19"/>
  <c r="EP70" i="121"/>
  <c r="FS73" i="121"/>
  <c r="DT75" i="121"/>
  <c r="EF75" i="121" s="1"/>
  <c r="GE75" i="121" s="1"/>
  <c r="DI75" i="121"/>
  <c r="DR75" i="121" s="1"/>
  <c r="FV10" i="121"/>
  <c r="DQ17" i="121"/>
  <c r="EH24" i="121"/>
  <c r="GG24" i="121" s="1"/>
  <c r="DR35" i="121"/>
  <c r="DZ35" i="121"/>
  <c r="CF36" i="121"/>
  <c r="EE36" i="121" s="1"/>
  <c r="EG52" i="121"/>
  <c r="GF52" i="121" s="1"/>
  <c r="CG79" i="121"/>
  <c r="EF79" i="121" s="1"/>
  <c r="GE79" i="121" s="1"/>
  <c r="BP151" i="122"/>
  <c r="CA151" i="122"/>
  <c r="CA155" i="122"/>
  <c r="BI212" i="122"/>
  <c r="CG212" i="122" s="1"/>
  <c r="BA36" i="122"/>
  <c r="G49" i="122"/>
  <c r="E217" i="122"/>
  <c r="N82" i="122"/>
  <c r="FS38" i="123"/>
  <c r="W45" i="123"/>
  <c r="AF45" i="123" s="1"/>
  <c r="FY22" i="123"/>
  <c r="FS25" i="123"/>
  <c r="AF64" i="123"/>
  <c r="CE64" i="123" s="1"/>
  <c r="ED64" i="123" s="1"/>
  <c r="BR16" i="121"/>
  <c r="CA16" i="121" s="1"/>
  <c r="FP16" i="121"/>
  <c r="CJ19" i="121"/>
  <c r="EI19" i="121" s="1"/>
  <c r="GH19" i="121" s="1"/>
  <c r="R36" i="122"/>
  <c r="C35" i="122"/>
  <c r="B35" i="122" s="1"/>
  <c r="D38" i="128"/>
  <c r="E38" i="128" s="1"/>
  <c r="J38" i="128" s="1"/>
  <c r="O38" i="128" s="1"/>
  <c r="T38" i="128" s="1"/>
  <c r="DB173" i="7"/>
  <c r="AB7" i="102"/>
  <c r="CW175" i="7"/>
  <c r="AN22" i="64" s="1"/>
  <c r="BI22" i="61"/>
  <c r="CH20" i="121"/>
  <c r="EG20" i="121" s="1"/>
  <c r="GF20" i="121" s="1"/>
  <c r="AR72" i="121"/>
  <c r="BV22" i="121"/>
  <c r="DV22" i="121"/>
  <c r="FV22" i="121"/>
  <c r="FV14" i="121" s="1"/>
  <c r="CH63" i="121"/>
  <c r="EG63" i="121" s="1"/>
  <c r="GF63" i="121" s="1"/>
  <c r="BV80" i="121"/>
  <c r="CH80" i="121" s="1"/>
  <c r="EG80" i="121" s="1"/>
  <c r="GF80" i="121" s="1"/>
  <c r="P153" i="122"/>
  <c r="N25" i="122"/>
  <c r="BA27" i="122"/>
  <c r="BG27" i="122" s="1"/>
  <c r="BY27" i="122"/>
  <c r="B30" i="122"/>
  <c r="BW213" i="122"/>
  <c r="K217" i="122"/>
  <c r="W217" i="122"/>
  <c r="AJ59" i="122"/>
  <c r="BH59" i="122" s="1"/>
  <c r="CF59" i="122" s="1"/>
  <c r="CI59" i="122" s="1"/>
  <c r="BY76" i="122"/>
  <c r="BZ92" i="122"/>
  <c r="N97" i="122"/>
  <c r="AU155" i="122"/>
  <c r="L101" i="122"/>
  <c r="L94" i="122" s="1"/>
  <c r="O94" i="122" s="1"/>
  <c r="V101" i="122"/>
  <c r="V94" i="122" s="1"/>
  <c r="BX101" i="122"/>
  <c r="BX94" i="122" s="1"/>
  <c r="BJ38" i="123"/>
  <c r="EP38" i="123"/>
  <c r="AD16" i="121"/>
  <c r="T16" i="121"/>
  <c r="AX16" i="121"/>
  <c r="EV16" i="121"/>
  <c r="AR16" i="121"/>
  <c r="AR40" i="121" s="1"/>
  <c r="BA16" i="121"/>
  <c r="BA40" i="121" s="1"/>
  <c r="BA19" i="121"/>
  <c r="BA21" i="121"/>
  <c r="BA24" i="121"/>
  <c r="CQ9" i="121"/>
  <c r="CQ10" i="121" s="1"/>
  <c r="CQ16" i="121"/>
  <c r="CQ19" i="121"/>
  <c r="CQ24" i="121"/>
  <c r="DF16" i="123"/>
  <c r="DE41" i="7"/>
  <c r="DD39" i="7"/>
  <c r="DD41" i="7" s="1"/>
  <c r="CV148" i="7"/>
  <c r="CV171" i="7" s="1"/>
  <c r="CU60" i="7"/>
  <c r="CU148" i="7" s="1"/>
  <c r="CP26" i="19"/>
  <c r="CW26" i="19" s="1"/>
  <c r="CS49" i="19"/>
  <c r="CU46" i="8" s="1"/>
  <c r="CU94" i="8" s="1"/>
  <c r="DB120" i="8"/>
  <c r="AT14" i="65"/>
  <c r="DB14" i="8"/>
  <c r="DB8" i="8"/>
  <c r="CD21" i="122" s="1"/>
  <c r="AP16" i="65"/>
  <c r="DA122" i="8"/>
  <c r="AY15" i="123"/>
  <c r="BQ15" i="123" s="1"/>
  <c r="EW15" i="123"/>
  <c r="FZ15" i="123"/>
  <c r="AE22" i="126" s="1"/>
  <c r="BH15" i="123"/>
  <c r="BG15" i="123" s="1"/>
  <c r="CX15" i="123"/>
  <c r="DG15" i="123"/>
  <c r="DF15" i="123" s="1"/>
  <c r="C15" i="123"/>
  <c r="L15" i="123"/>
  <c r="CO15" i="123"/>
  <c r="CN15" i="123" s="1"/>
  <c r="B14" i="123"/>
  <c r="CW32" i="8"/>
  <c r="DB8" i="7"/>
  <c r="CX33" i="7"/>
  <c r="DK17" i="8"/>
  <c r="AK49" i="95"/>
  <c r="AK43" i="98"/>
  <c r="AB31" i="104"/>
  <c r="X25" i="105"/>
  <c r="Q9" i="123"/>
  <c r="Q62" i="123" s="1"/>
  <c r="AB14" i="121"/>
  <c r="CT11" i="121"/>
  <c r="FB43" i="123"/>
  <c r="AJ15" i="122"/>
  <c r="AA76" i="121"/>
  <c r="AA81" i="121" s="1"/>
  <c r="BM56" i="121"/>
  <c r="CT56" i="121"/>
  <c r="DU56" i="121" s="1"/>
  <c r="CT61" i="121"/>
  <c r="CT67" i="121"/>
  <c r="DC56" i="121"/>
  <c r="DC61" i="121"/>
  <c r="DL56" i="121"/>
  <c r="DL76" i="121" s="1"/>
  <c r="DL89" i="121" s="1"/>
  <c r="DL61" i="121"/>
  <c r="DU56" i="123"/>
  <c r="EG56" i="123" s="1"/>
  <c r="GF56" i="123" s="1"/>
  <c r="DU36" i="123"/>
  <c r="EG36" i="123" s="1"/>
  <c r="GF36" i="123" s="1"/>
  <c r="DU40" i="123"/>
  <c r="DU42" i="123" s="1"/>
  <c r="DD61" i="123"/>
  <c r="DU49" i="123"/>
  <c r="EG49" i="123" s="1"/>
  <c r="DU54" i="123"/>
  <c r="EG54" i="123" s="1"/>
  <c r="GF54" i="123" s="1"/>
  <c r="DM61" i="123"/>
  <c r="DL48" i="123"/>
  <c r="CV42" i="8"/>
  <c r="CV93" i="8" s="1"/>
  <c r="CV8" i="8"/>
  <c r="CW20" i="8"/>
  <c r="DE69" i="7"/>
  <c r="DI40" i="8"/>
  <c r="AY45" i="6"/>
  <c r="AM42" i="95"/>
  <c r="AJ33" i="98"/>
  <c r="DT31" i="17"/>
  <c r="DT40" i="17" s="1"/>
  <c r="DF12" i="19"/>
  <c r="DX49" i="19"/>
  <c r="DT27" i="19"/>
  <c r="AC7" i="102"/>
  <c r="DH86" i="8"/>
  <c r="DH118" i="8" s="1"/>
  <c r="AQ13" i="66" s="1"/>
  <c r="DB27" i="8"/>
  <c r="CD75" i="122" s="1"/>
  <c r="H26" i="133"/>
  <c r="Z10" i="121"/>
  <c r="BD22" i="121"/>
  <c r="BM10" i="121"/>
  <c r="CU12" i="121"/>
  <c r="CU13" i="121" s="1"/>
  <c r="DC10" i="121"/>
  <c r="EP9" i="121"/>
  <c r="FD14" i="121"/>
  <c r="FK10" i="121"/>
  <c r="FB42" i="123"/>
  <c r="BY14" i="122"/>
  <c r="N13" i="123"/>
  <c r="BD28" i="123"/>
  <c r="FB56" i="121"/>
  <c r="AR56" i="123"/>
  <c r="AI35" i="123"/>
  <c r="CH35" i="123" s="1"/>
  <c r="EG35" i="123" s="1"/>
  <c r="GF35" i="123" s="1"/>
  <c r="AI39" i="123"/>
  <c r="CH39" i="123" s="1"/>
  <c r="EG39" i="123" s="1"/>
  <c r="GF39" i="123" s="1"/>
  <c r="Q43" i="123"/>
  <c r="Z43" i="123"/>
  <c r="E68" i="134"/>
  <c r="CT173" i="7"/>
  <c r="CX59" i="7"/>
  <c r="DA25" i="7"/>
  <c r="DF66" i="7"/>
  <c r="DC40" i="8"/>
  <c r="DF15" i="8"/>
  <c r="DQ38" i="17"/>
  <c r="DQ31" i="17"/>
  <c r="DQ40" i="17" s="1"/>
  <c r="CV52" i="7"/>
  <c r="G29" i="133"/>
  <c r="BM18" i="121"/>
  <c r="ES18" i="121"/>
  <c r="FM76" i="121"/>
  <c r="FM81" i="121" s="1"/>
  <c r="FV81" i="121" s="1"/>
  <c r="C18" i="118"/>
  <c r="C19" i="118" s="1"/>
  <c r="B19" i="118"/>
  <c r="B20" i="118" s="1"/>
  <c r="G11" i="114"/>
  <c r="B51" i="134"/>
  <c r="D24" i="116"/>
  <c r="C39" i="116"/>
  <c r="C43" i="118"/>
  <c r="C44" i="118" s="1"/>
  <c r="C18" i="116"/>
  <c r="C19" i="116" s="1"/>
  <c r="B24" i="118"/>
  <c r="B25" i="118" s="1"/>
  <c r="G5" i="114"/>
  <c r="B34" i="114"/>
  <c r="C51" i="134"/>
  <c r="G40" i="134"/>
  <c r="B17" i="114"/>
  <c r="B34" i="118"/>
  <c r="B51" i="114"/>
  <c r="D22" i="79"/>
  <c r="B68" i="134"/>
  <c r="BV111" i="122"/>
  <c r="BV164" i="122" s="1"/>
  <c r="BZ115" i="122"/>
  <c r="BZ168" i="122" s="1"/>
  <c r="BY151" i="120"/>
  <c r="BY217" i="120" s="1"/>
  <c r="AG109" i="120"/>
  <c r="Q109" i="120"/>
  <c r="C45" i="96"/>
  <c r="D45" i="96"/>
  <c r="AY83" i="7"/>
  <c r="AY80" i="7"/>
  <c r="AY82" i="7"/>
  <c r="AC14" i="9"/>
  <c r="AA14" i="9"/>
  <c r="S31" i="7"/>
  <c r="Q32" i="7"/>
  <c r="T31" i="7"/>
  <c r="U31" i="7" s="1"/>
  <c r="R31" i="7"/>
  <c r="Z31" i="7"/>
  <c r="N42" i="11"/>
  <c r="O42" i="11"/>
  <c r="O45" i="11" s="1"/>
  <c r="Y19" i="8" s="1"/>
  <c r="F65" i="8"/>
  <c r="H65" i="8"/>
  <c r="AA91" i="7"/>
  <c r="S96" i="7"/>
  <c r="AN140" i="7"/>
  <c r="AL23" i="7"/>
  <c r="BA23" i="7" s="1"/>
  <c r="BP26" i="17"/>
  <c r="BO26" i="17"/>
  <c r="BO24" i="17" s="1"/>
  <c r="P35" i="7"/>
  <c r="M35" i="7"/>
  <c r="E10" i="3"/>
  <c r="E15" i="3"/>
  <c r="AH109" i="8"/>
  <c r="AH110" i="8" s="1"/>
  <c r="AH107" i="8"/>
  <c r="D13" i="63"/>
  <c r="C14" i="63"/>
  <c r="BO49" i="120"/>
  <c r="CN49" i="120" s="1"/>
  <c r="AZ55" i="9"/>
  <c r="AX55" i="9" s="1"/>
  <c r="AK38" i="8"/>
  <c r="AI39" i="8"/>
  <c r="AI29" i="8"/>
  <c r="BB31" i="17"/>
  <c r="L45" i="3"/>
  <c r="AJ58" i="9"/>
  <c r="AJ58" i="72"/>
  <c r="L48" i="3"/>
  <c r="AK157" i="7"/>
  <c r="AK155" i="7"/>
  <c r="AD20" i="6"/>
  <c r="AG20" i="6"/>
  <c r="AG18" i="6" s="1"/>
  <c r="J9" i="59"/>
  <c r="J14" i="59"/>
  <c r="AZ54" i="123"/>
  <c r="BI54" i="123" s="1"/>
  <c r="C20" i="118"/>
  <c r="D20" i="118" s="1"/>
  <c r="D19" i="118"/>
  <c r="AG52" i="120"/>
  <c r="R50" i="120"/>
  <c r="AC42" i="7"/>
  <c r="AD42" i="7" s="1"/>
  <c r="AI42" i="7"/>
  <c r="AP42" i="7"/>
  <c r="AQ42" i="7" s="1"/>
  <c r="AR42" i="7" s="1"/>
  <c r="AS42" i="7" s="1"/>
  <c r="AB42" i="7"/>
  <c r="AZ140" i="7"/>
  <c r="BB31" i="7"/>
  <c r="BB32" i="7" s="1"/>
  <c r="BP35" i="17"/>
  <c r="BO35" i="17"/>
  <c r="H35" i="7"/>
  <c r="F35" i="7"/>
  <c r="AW100" i="8"/>
  <c r="AU56" i="7"/>
  <c r="AV56" i="7" s="1"/>
  <c r="AU16" i="7"/>
  <c r="AU10" i="7"/>
  <c r="AV10" i="7" s="1"/>
  <c r="AU34" i="7"/>
  <c r="AV34" i="7" s="1"/>
  <c r="AV151" i="7"/>
  <c r="AU32" i="7"/>
  <c r="AU13" i="7"/>
  <c r="AU42" i="7"/>
  <c r="AV42" i="7" s="1"/>
  <c r="AT79" i="7"/>
  <c r="AU9" i="7"/>
  <c r="AU55" i="7"/>
  <c r="AV55" i="7" s="1"/>
  <c r="AU54" i="7"/>
  <c r="AV54" i="7" s="1"/>
  <c r="AU53" i="7"/>
  <c r="CW40" i="121"/>
  <c r="CX30" i="121"/>
  <c r="CW30" i="121" s="1"/>
  <c r="J12" i="128"/>
  <c r="I42" i="128"/>
  <c r="B68" i="8"/>
  <c r="O8" i="8"/>
  <c r="V49" i="19"/>
  <c r="AU75" i="5"/>
  <c r="N16" i="64"/>
  <c r="N14" i="64" s="1"/>
  <c r="BC29" i="7"/>
  <c r="AA44" i="3"/>
  <c r="I20" i="56"/>
  <c r="N20" i="56" s="1"/>
  <c r="Z164" i="6"/>
  <c r="AD103" i="6"/>
  <c r="AZ103" i="6" s="1"/>
  <c r="BA103" i="6" s="1"/>
  <c r="B16" i="62"/>
  <c r="D14" i="68"/>
  <c r="E48" i="73"/>
  <c r="E49" i="73" s="1"/>
  <c r="DF40" i="121"/>
  <c r="CX29" i="121"/>
  <c r="CW29" i="121" s="1"/>
  <c r="AS49" i="3"/>
  <c r="T38" i="32"/>
  <c r="T31" i="32"/>
  <c r="V31" i="32" s="1"/>
  <c r="DG74" i="121"/>
  <c r="DP74" i="121" s="1"/>
  <c r="AP114" i="120"/>
  <c r="B112" i="120"/>
  <c r="B251" i="120" s="1"/>
  <c r="D240" i="120"/>
  <c r="BN43" i="120"/>
  <c r="AP47" i="120"/>
  <c r="BE47" i="120" s="1"/>
  <c r="BD47" i="120" s="1"/>
  <c r="C265" i="120"/>
  <c r="D46" i="120"/>
  <c r="B46" i="120" s="1"/>
  <c r="C137" i="120"/>
  <c r="D263" i="120"/>
  <c r="CC265" i="120"/>
  <c r="B44" i="120"/>
  <c r="B245" i="120" s="1"/>
  <c r="AI27" i="123"/>
  <c r="E13" i="88"/>
  <c r="B15" i="88" s="1"/>
  <c r="AY19" i="8"/>
  <c r="AY91" i="8" s="1"/>
  <c r="Z94" i="7"/>
  <c r="T114" i="7" s="1"/>
  <c r="U114" i="7" s="1"/>
  <c r="BE48" i="9"/>
  <c r="AA53" i="7"/>
  <c r="Q56" i="9"/>
  <c r="L48" i="5"/>
  <c r="X88" i="6"/>
  <c r="Y88" i="6" s="1"/>
  <c r="X45" i="6"/>
  <c r="X46" i="6" s="1"/>
  <c r="W28" i="17"/>
  <c r="N17" i="7"/>
  <c r="N45" i="6"/>
  <c r="B17" i="9"/>
  <c r="AG27" i="7"/>
  <c r="AG8" i="7"/>
  <c r="AB51" i="8"/>
  <c r="BA100" i="8"/>
  <c r="AS8" i="8"/>
  <c r="BD87" i="6"/>
  <c r="AY88" i="6"/>
  <c r="M61" i="11"/>
  <c r="BF30" i="11" s="1"/>
  <c r="E209" i="69"/>
  <c r="E224" i="69" s="1"/>
  <c r="E236" i="69" s="1"/>
  <c r="I20" i="70"/>
  <c r="FF30" i="121"/>
  <c r="FE30" i="121" s="1"/>
  <c r="BH29" i="121"/>
  <c r="BG29" i="121" s="1"/>
  <c r="BD8" i="71"/>
  <c r="Z8" i="71"/>
  <c r="AE8" i="71" s="1"/>
  <c r="Z14" i="71"/>
  <c r="N14" i="71"/>
  <c r="AO28" i="71"/>
  <c r="N29" i="71"/>
  <c r="AH48" i="3"/>
  <c r="AH40" i="3"/>
  <c r="AH39" i="3" s="1"/>
  <c r="AH43" i="3" s="1"/>
  <c r="B29" i="81"/>
  <c r="B28" i="81" s="1"/>
  <c r="R44" i="3"/>
  <c r="R45" i="3"/>
  <c r="D5" i="88"/>
  <c r="B6" i="88" s="1"/>
  <c r="G5" i="79"/>
  <c r="F9" i="79" s="1"/>
  <c r="F10" i="79" s="1"/>
  <c r="AG69" i="32"/>
  <c r="AJ68" i="32"/>
  <c r="CM169" i="7"/>
  <c r="CM67" i="7"/>
  <c r="CM66" i="7" s="1"/>
  <c r="L64" i="125"/>
  <c r="J24" i="128"/>
  <c r="O24" i="128" s="1"/>
  <c r="D25" i="116"/>
  <c r="AG111" i="120"/>
  <c r="AF111" i="120" s="1"/>
  <c r="B40" i="120"/>
  <c r="B240" i="120" s="1"/>
  <c r="AK43" i="123"/>
  <c r="CJ43" i="123" s="1"/>
  <c r="EI43" i="123" s="1"/>
  <c r="GH43" i="123" s="1"/>
  <c r="CN47" i="120"/>
  <c r="AO43" i="120"/>
  <c r="AP49" i="120"/>
  <c r="BN49" i="120" s="1"/>
  <c r="AP45" i="120"/>
  <c r="B52" i="120"/>
  <c r="S51" i="120"/>
  <c r="AH51" i="120" s="1"/>
  <c r="Q47" i="120"/>
  <c r="R138" i="120"/>
  <c r="R48" i="120"/>
  <c r="B47" i="120"/>
  <c r="CH10" i="123"/>
  <c r="G36" i="65"/>
  <c r="AP18" i="7"/>
  <c r="BA29" i="7"/>
  <c r="P48" i="72"/>
  <c r="AF47" i="5"/>
  <c r="AF50" i="5"/>
  <c r="X87" i="6"/>
  <c r="Y87" i="6" s="1"/>
  <c r="Y155" i="7"/>
  <c r="BL26" i="17"/>
  <c r="V28" i="17"/>
  <c r="E29" i="21"/>
  <c r="BF138" i="7"/>
  <c r="F22" i="64" s="1"/>
  <c r="I22" i="64" s="1"/>
  <c r="N22" i="64" s="1"/>
  <c r="Z182" i="6"/>
  <c r="Y175" i="6"/>
  <c r="M34" i="32"/>
  <c r="H19" i="70"/>
  <c r="AO18" i="71"/>
  <c r="BN25" i="71"/>
  <c r="BU25" i="71" s="1"/>
  <c r="BN52" i="72"/>
  <c r="BT52" i="72" s="1"/>
  <c r="BE52" i="72"/>
  <c r="K17" i="80"/>
  <c r="AQ109" i="120"/>
  <c r="BO109" i="120" s="1"/>
  <c r="B113" i="120"/>
  <c r="BF49" i="120"/>
  <c r="BL49" i="120" s="1"/>
  <c r="AF47" i="120"/>
  <c r="C50" i="120"/>
  <c r="S206" i="120"/>
  <c r="AQ58" i="121" s="1"/>
  <c r="CO55" i="8"/>
  <c r="CO54" i="8" s="1"/>
  <c r="AX150" i="7"/>
  <c r="AY150" i="7"/>
  <c r="AX92" i="8"/>
  <c r="D26" i="32"/>
  <c r="AI89" i="8"/>
  <c r="L50" i="5"/>
  <c r="D83" i="56"/>
  <c r="N83" i="56" s="1"/>
  <c r="N82" i="56" s="1"/>
  <c r="W82" i="56" s="1"/>
  <c r="AP19" i="11"/>
  <c r="AB58" i="7"/>
  <c r="AB145" i="7" s="1"/>
  <c r="BC28" i="17"/>
  <c r="W63" i="7"/>
  <c r="M15" i="8"/>
  <c r="Q25" i="6"/>
  <c r="Q45" i="6" s="1"/>
  <c r="Q46" i="6" s="1"/>
  <c r="B45" i="6"/>
  <c r="I9" i="11"/>
  <c r="W60" i="19"/>
  <c r="N25" i="21"/>
  <c r="AM38" i="17"/>
  <c r="AN114" i="122"/>
  <c r="G25" i="84"/>
  <c r="AB99" i="8"/>
  <c r="AF136" i="7"/>
  <c r="D10" i="62"/>
  <c r="F8" i="68"/>
  <c r="W24" i="70"/>
  <c r="DF39" i="121"/>
  <c r="AX39" i="121"/>
  <c r="AT32" i="71"/>
  <c r="BX31" i="71"/>
  <c r="W8" i="71"/>
  <c r="U14" i="71"/>
  <c r="T14" i="71" s="1"/>
  <c r="BQ48" i="72"/>
  <c r="BT48" i="72"/>
  <c r="CK48" i="72" s="1"/>
  <c r="R10" i="61"/>
  <c r="R35" i="61" s="1"/>
  <c r="R23" i="61"/>
  <c r="BL103" i="8"/>
  <c r="BL101" i="8"/>
  <c r="D66" i="68"/>
  <c r="D67" i="68"/>
  <c r="BW48" i="8"/>
  <c r="BW96" i="8" s="1"/>
  <c r="BW122" i="8" s="1"/>
  <c r="BV96" i="8"/>
  <c r="FF74" i="121"/>
  <c r="FO74" i="121" s="1"/>
  <c r="BM29" i="71"/>
  <c r="N51" i="72"/>
  <c r="E7" i="84"/>
  <c r="G7" i="84" s="1"/>
  <c r="AA18" i="10"/>
  <c r="E5" i="80"/>
  <c r="P18" i="82"/>
  <c r="D93" i="81"/>
  <c r="F26" i="78"/>
  <c r="B26" i="78" s="1"/>
  <c r="G32" i="78"/>
  <c r="C4" i="108" s="1"/>
  <c r="H4" i="108" s="1"/>
  <c r="BG35" i="7"/>
  <c r="B52" i="32"/>
  <c r="D52" i="32" s="1"/>
  <c r="E18" i="86" s="1"/>
  <c r="E21" i="86" s="1"/>
  <c r="D19" i="87" s="1"/>
  <c r="C5" i="91"/>
  <c r="A5" i="91" s="1"/>
  <c r="B46" i="85" s="1"/>
  <c r="D46" i="85" s="1"/>
  <c r="C6" i="91"/>
  <c r="A6" i="91" s="1"/>
  <c r="B47" i="85" s="1"/>
  <c r="D47" i="85" s="1"/>
  <c r="AN62" i="3"/>
  <c r="A49" i="98" s="1"/>
  <c r="A50" i="98" s="1"/>
  <c r="S28" i="98" s="1"/>
  <c r="T28" i="98" s="1"/>
  <c r="U28" i="98" s="1"/>
  <c r="V28" i="98" s="1"/>
  <c r="W28" i="98" s="1"/>
  <c r="X28" i="98" s="1"/>
  <c r="Y28" i="98" s="1"/>
  <c r="Z28" i="98" s="1"/>
  <c r="AA28" i="98" s="1"/>
  <c r="AB28" i="98" s="1"/>
  <c r="AC28" i="98" s="1"/>
  <c r="AD28" i="98" s="1"/>
  <c r="AI28" i="98" s="1"/>
  <c r="U10" i="61"/>
  <c r="U35" i="61" s="1"/>
  <c r="BS136" i="7"/>
  <c r="AV49" i="19"/>
  <c r="AH202" i="122"/>
  <c r="AH220" i="122"/>
  <c r="AN220" i="122" s="1"/>
  <c r="AH63" i="122"/>
  <c r="X38" i="92"/>
  <c r="L21" i="102"/>
  <c r="BN150" i="7"/>
  <c r="BM92" i="8"/>
  <c r="AH17" i="65"/>
  <c r="AL45" i="6"/>
  <c r="F31" i="117"/>
  <c r="CN25" i="8"/>
  <c r="BG46" i="3"/>
  <c r="BG44" i="3" s="1"/>
  <c r="AR51" i="6"/>
  <c r="AF42" i="95"/>
  <c r="B61" i="118"/>
  <c r="DO86" i="121"/>
  <c r="DO85" i="121" s="1"/>
  <c r="AH118" i="120"/>
  <c r="AF118" i="120" s="1"/>
  <c r="CW80" i="121"/>
  <c r="AH121" i="120"/>
  <c r="AH267" i="120" s="1"/>
  <c r="AN267" i="120" s="1"/>
  <c r="S251" i="120"/>
  <c r="Q133" i="120"/>
  <c r="B141" i="120"/>
  <c r="B136" i="120"/>
  <c r="AG122" i="120"/>
  <c r="D139" i="120"/>
  <c r="D130" i="120" s="1"/>
  <c r="D123" i="120" s="1"/>
  <c r="C139" i="120"/>
  <c r="C130" i="120" s="1"/>
  <c r="B130" i="120" s="1"/>
  <c r="AV81" i="121"/>
  <c r="FY65" i="123"/>
  <c r="CJ22" i="120"/>
  <c r="CJ189" i="120" s="1"/>
  <c r="BM79" i="120"/>
  <c r="CL79" i="120" s="1"/>
  <c r="CN80" i="120"/>
  <c r="AT31" i="71"/>
  <c r="P32" i="71"/>
  <c r="AA33" i="71"/>
  <c r="C8" i="76"/>
  <c r="D18" i="67" s="1"/>
  <c r="U49" i="3"/>
  <c r="U44" i="3" s="1"/>
  <c r="AF8" i="10"/>
  <c r="H16" i="82"/>
  <c r="F68" i="81"/>
  <c r="F79" i="81"/>
  <c r="G69" i="78"/>
  <c r="G67" i="78"/>
  <c r="BJ136" i="7"/>
  <c r="BJ27" i="7"/>
  <c r="BV138" i="7"/>
  <c r="BZ24" i="17"/>
  <c r="AP39" i="6"/>
  <c r="AT39" i="6" s="1"/>
  <c r="J40" i="95"/>
  <c r="AC13" i="10"/>
  <c r="AC19" i="10" s="1"/>
  <c r="K605" i="109" s="1"/>
  <c r="K607" i="109" s="1"/>
  <c r="AG45" i="65"/>
  <c r="D31" i="104"/>
  <c r="M15" i="65" s="1"/>
  <c r="M13" i="65" s="1"/>
  <c r="BD87" i="8"/>
  <c r="BD86" i="8"/>
  <c r="AF216" i="122"/>
  <c r="B40" i="102"/>
  <c r="H114" i="106"/>
  <c r="H115" i="106" s="1"/>
  <c r="G121" i="106" s="1"/>
  <c r="AH145" i="122"/>
  <c r="BF145" i="122" s="1"/>
  <c r="CD145" i="122" s="1"/>
  <c r="AS18" i="10"/>
  <c r="AS19" i="10" s="1"/>
  <c r="M42" i="98"/>
  <c r="BM139" i="7"/>
  <c r="BK51" i="8"/>
  <c r="AJ46" i="5"/>
  <c r="G21" i="102"/>
  <c r="CP41" i="7"/>
  <c r="CP35" i="7" s="1"/>
  <c r="CQ27" i="8"/>
  <c r="AF33" i="98"/>
  <c r="AX18" i="10"/>
  <c r="AX19" i="10" s="1"/>
  <c r="DC24" i="17"/>
  <c r="DC39" i="17" s="1"/>
  <c r="DC31" i="17"/>
  <c r="DC40" i="17" s="1"/>
  <c r="CR57" i="8"/>
  <c r="AF16" i="126"/>
  <c r="AH113" i="120"/>
  <c r="B122" i="120"/>
  <c r="D269" i="120"/>
  <c r="D265" i="120" s="1"/>
  <c r="B140" i="120"/>
  <c r="BZ65" i="123"/>
  <c r="BO246" i="120"/>
  <c r="AO78" i="120"/>
  <c r="AO246" i="120" s="1"/>
  <c r="BF78" i="120"/>
  <c r="K50" i="65"/>
  <c r="AE63" i="3"/>
  <c r="A6" i="89"/>
  <c r="B15" i="85" s="1"/>
  <c r="D15" i="85" s="1"/>
  <c r="H9" i="90"/>
  <c r="C13" i="91"/>
  <c r="A13" i="91" s="1"/>
  <c r="B54" i="85" s="1"/>
  <c r="D54" i="85" s="1"/>
  <c r="C42" i="91"/>
  <c r="A42" i="91" s="1"/>
  <c r="B71" i="85" s="1"/>
  <c r="D71" i="85" s="1"/>
  <c r="AU49" i="19"/>
  <c r="AW50" i="19" s="1"/>
  <c r="J43" i="95"/>
  <c r="J45" i="95" s="1"/>
  <c r="Z51" i="65"/>
  <c r="Z52" i="65" s="1"/>
  <c r="BH51" i="8"/>
  <c r="BP86" i="8"/>
  <c r="AG216" i="122"/>
  <c r="AM216" i="122" s="1"/>
  <c r="D35" i="102"/>
  <c r="BM15" i="7"/>
  <c r="BM8" i="7" s="1"/>
  <c r="BJ15" i="8"/>
  <c r="BJ8" i="8" s="1"/>
  <c r="BL51" i="8"/>
  <c r="BB50" i="19"/>
  <c r="BA49" i="19"/>
  <c r="BD50" i="19" s="1"/>
  <c r="F68" i="114"/>
  <c r="D68" i="114" s="1"/>
  <c r="E68" i="114"/>
  <c r="CL50" i="7"/>
  <c r="AN65" i="32"/>
  <c r="AN72" i="32" s="1"/>
  <c r="U19" i="104" s="1"/>
  <c r="U23" i="104" s="1"/>
  <c r="BA19" i="10"/>
  <c r="BB19" i="10"/>
  <c r="CZ38" i="17"/>
  <c r="DF24" i="17"/>
  <c r="DF39" i="17" s="1"/>
  <c r="E49" i="118"/>
  <c r="S122" i="120"/>
  <c r="AH122" i="120" s="1"/>
  <c r="CM73" i="120"/>
  <c r="AH107" i="120"/>
  <c r="AH205" i="120" s="1"/>
  <c r="U62" i="3"/>
  <c r="M18" i="80"/>
  <c r="J22" i="81"/>
  <c r="F41" i="81"/>
  <c r="F92" i="81"/>
  <c r="E61" i="81"/>
  <c r="D70" i="78"/>
  <c r="BG136" i="7"/>
  <c r="I38" i="89"/>
  <c r="A38" i="89" s="1"/>
  <c r="B35" i="85" s="1"/>
  <c r="D35" i="85" s="1"/>
  <c r="C41" i="91"/>
  <c r="A41" i="91" s="1"/>
  <c r="B70" i="85" s="1"/>
  <c r="D70" i="85" s="1"/>
  <c r="G23" i="66"/>
  <c r="D50" i="68"/>
  <c r="BS138" i="7"/>
  <c r="T14" i="64"/>
  <c r="T11" i="64" s="1"/>
  <c r="BD42" i="8"/>
  <c r="BD93" i="8" s="1"/>
  <c r="BI51" i="8"/>
  <c r="BG89" i="8"/>
  <c r="AH198" i="122"/>
  <c r="AN198" i="122" s="1"/>
  <c r="Y38" i="92"/>
  <c r="M47" i="95"/>
  <c r="BJ88" i="8"/>
  <c r="BM17" i="8"/>
  <c r="S21" i="102"/>
  <c r="G58" i="114"/>
  <c r="CL8" i="7"/>
  <c r="CI136" i="7"/>
  <c r="Q25" i="105"/>
  <c r="CM58" i="7"/>
  <c r="CI26" i="19"/>
  <c r="AH144" i="120"/>
  <c r="GH56" i="121"/>
  <c r="BF75" i="120"/>
  <c r="BD75" i="120" s="1"/>
  <c r="CN75" i="120"/>
  <c r="AA29" i="125"/>
  <c r="BO189" i="120"/>
  <c r="AC27" i="125"/>
  <c r="BO66" i="120"/>
  <c r="CN66" i="120" s="1"/>
  <c r="BF66" i="120"/>
  <c r="EW14" i="121"/>
  <c r="EV22" i="121"/>
  <c r="GM23" i="121"/>
  <c r="CD9" i="121"/>
  <c r="AN9" i="121"/>
  <c r="DQ22" i="121"/>
  <c r="DO23" i="121"/>
  <c r="AQ203" i="122"/>
  <c r="BF203" i="122" s="1"/>
  <c r="BF59" i="122"/>
  <c r="BL59" i="122" s="1"/>
  <c r="N29" i="122"/>
  <c r="BH166" i="122"/>
  <c r="CF113" i="122"/>
  <c r="CF166" i="122" s="1"/>
  <c r="BE31" i="122"/>
  <c r="BK31" i="122" s="1"/>
  <c r="BN31" i="122"/>
  <c r="BM31" i="122" s="1"/>
  <c r="S154" i="122"/>
  <c r="AQ38" i="123" s="1"/>
  <c r="AZ38" i="123" s="1"/>
  <c r="BI38" i="123" s="1"/>
  <c r="BR38" i="123" s="1"/>
  <c r="AH42" i="122"/>
  <c r="BK11" i="122"/>
  <c r="CF11" i="122"/>
  <c r="CI11" i="122" s="1"/>
  <c r="BQ22" i="121"/>
  <c r="BP22" i="121" s="1"/>
  <c r="FN24" i="121"/>
  <c r="BO92" i="120"/>
  <c r="CN92" i="120" s="1"/>
  <c r="BI176" i="122"/>
  <c r="CG123" i="122"/>
  <c r="AM106" i="122"/>
  <c r="AH124" i="120"/>
  <c r="BO159" i="120"/>
  <c r="BO181" i="120"/>
  <c r="BO225" i="120" s="1"/>
  <c r="CJ63" i="121"/>
  <c r="EI63" i="121" s="1"/>
  <c r="GH63" i="121" s="1"/>
  <c r="EF22" i="121"/>
  <c r="Y20" i="125"/>
  <c r="BE182" i="120"/>
  <c r="AN63" i="120"/>
  <c r="AQ63" i="120"/>
  <c r="BE32" i="120"/>
  <c r="BK32" i="120" s="1"/>
  <c r="AG77" i="120"/>
  <c r="R248" i="120"/>
  <c r="L28" i="125"/>
  <c r="BO76" i="120"/>
  <c r="CN76" i="120" s="1"/>
  <c r="K22" i="121"/>
  <c r="M14" i="121"/>
  <c r="BH165" i="122"/>
  <c r="CF112" i="122"/>
  <c r="CF165" i="122" s="1"/>
  <c r="AN33" i="122"/>
  <c r="AQ33" i="122"/>
  <c r="AH172" i="122"/>
  <c r="AN172" i="122" s="1"/>
  <c r="AQ119" i="122"/>
  <c r="BF86" i="122"/>
  <c r="BD86" i="122" s="1"/>
  <c r="BO86" i="122"/>
  <c r="BM86" i="122" s="1"/>
  <c r="CL86" i="122" s="1"/>
  <c r="AP125" i="122"/>
  <c r="BE125" i="122" s="1"/>
  <c r="AP143" i="122"/>
  <c r="AJ22" i="121"/>
  <c r="CI23" i="121"/>
  <c r="DU43" i="121"/>
  <c r="DW14" i="121"/>
  <c r="DW43" i="121"/>
  <c r="CJ8" i="121"/>
  <c r="AK10" i="121"/>
  <c r="DQ9" i="121"/>
  <c r="CN9" i="121"/>
  <c r="AK65" i="120"/>
  <c r="BI63" i="120"/>
  <c r="CG63" i="120" s="1"/>
  <c r="CJ63" i="120" s="1"/>
  <c r="CJ73" i="121"/>
  <c r="EI73" i="121" s="1"/>
  <c r="GH73" i="121" s="1"/>
  <c r="U28" i="125"/>
  <c r="AO190" i="120"/>
  <c r="BE79" i="120"/>
  <c r="BD79" i="120" s="1"/>
  <c r="T28" i="125"/>
  <c r="AN23" i="120"/>
  <c r="AH190" i="120"/>
  <c r="BC38" i="121"/>
  <c r="C26" i="124"/>
  <c r="C28" i="124"/>
  <c r="CS38" i="121"/>
  <c r="CS12" i="121"/>
  <c r="CS13" i="121" s="1"/>
  <c r="F77" i="121"/>
  <c r="E77" i="121" s="1"/>
  <c r="C5" i="124"/>
  <c r="B16" i="124"/>
  <c r="FF77" i="121"/>
  <c r="AQ81" i="120"/>
  <c r="AO81" i="120" s="1"/>
  <c r="AO255" i="120" s="1"/>
  <c r="AN81" i="120"/>
  <c r="AQ59" i="120"/>
  <c r="AC126" i="120"/>
  <c r="AJ126" i="120"/>
  <c r="N28" i="125"/>
  <c r="D190" i="120"/>
  <c r="D22" i="120"/>
  <c r="AO86" i="121"/>
  <c r="AX86" i="121" s="1"/>
  <c r="BG86" i="121" s="1"/>
  <c r="BP86" i="121" s="1"/>
  <c r="AC86" i="121"/>
  <c r="AL86" i="121" s="1"/>
  <c r="AO122" i="122"/>
  <c r="AO175" i="122" s="1"/>
  <c r="BF122" i="122"/>
  <c r="U20" i="125"/>
  <c r="BI28" i="122"/>
  <c r="CG27" i="122"/>
  <c r="P21" i="122"/>
  <c r="N21" i="122" s="1"/>
  <c r="AK29" i="122"/>
  <c r="BI29" i="122" s="1"/>
  <c r="CG29" i="122" s="1"/>
  <c r="CJ29" i="122" s="1"/>
  <c r="BA221" i="122"/>
  <c r="BG221" i="122" s="1"/>
  <c r="CE221" i="122" s="1"/>
  <c r="BG73" i="122"/>
  <c r="CE73" i="122" s="1"/>
  <c r="CH73" i="122" s="1"/>
  <c r="Q96" i="122"/>
  <c r="Q153" i="122" s="1"/>
  <c r="AG96" i="122"/>
  <c r="R153" i="122"/>
  <c r="AP37" i="123" s="1"/>
  <c r="AO37" i="123" s="1"/>
  <c r="AP83" i="122"/>
  <c r="AM83" i="122"/>
  <c r="AN77" i="120"/>
  <c r="AH248" i="120"/>
  <c r="AN248" i="120" s="1"/>
  <c r="O250" i="120"/>
  <c r="AJ110" i="120"/>
  <c r="AJ207" i="120" s="1"/>
  <c r="Q82" i="120"/>
  <c r="Q256" i="120" s="1"/>
  <c r="AG82" i="120"/>
  <c r="B80" i="120"/>
  <c r="B247" i="120" s="1"/>
  <c r="R80" i="120"/>
  <c r="AG80" i="120" s="1"/>
  <c r="BN22" i="120"/>
  <c r="AB29" i="125"/>
  <c r="AM11" i="123"/>
  <c r="CF11" i="123"/>
  <c r="BS10" i="123"/>
  <c r="CA10" i="123"/>
  <c r="M29" i="125"/>
  <c r="C191" i="120"/>
  <c r="N55" i="120"/>
  <c r="N200" i="120" s="1"/>
  <c r="AK55" i="120"/>
  <c r="AD200" i="120"/>
  <c r="AC55" i="120"/>
  <c r="S57" i="120"/>
  <c r="B57" i="120"/>
  <c r="CA198" i="120"/>
  <c r="BY57" i="120"/>
  <c r="P248" i="120"/>
  <c r="N77" i="120"/>
  <c r="O253" i="120"/>
  <c r="AJ114" i="120"/>
  <c r="AK122" i="120"/>
  <c r="N122" i="120"/>
  <c r="N269" i="120" s="1"/>
  <c r="P269" i="120"/>
  <c r="AK127" i="120"/>
  <c r="AE129" i="120"/>
  <c r="BV129" i="120"/>
  <c r="BV201" i="120"/>
  <c r="H51" i="127"/>
  <c r="K51" i="127" s="1"/>
  <c r="K43" i="127"/>
  <c r="EU62" i="123"/>
  <c r="FV9" i="123"/>
  <c r="GH9" i="123" s="1"/>
  <c r="ES13" i="123"/>
  <c r="FT13" i="123" s="1"/>
  <c r="FU13" i="123"/>
  <c r="DC19" i="121"/>
  <c r="DU19" i="121" s="1"/>
  <c r="DV19" i="121"/>
  <c r="DE77" i="121"/>
  <c r="DE38" i="121"/>
  <c r="DU11" i="121"/>
  <c r="DU10" i="121"/>
  <c r="EQ22" i="121"/>
  <c r="EQ42" i="121" s="1"/>
  <c r="EP23" i="121"/>
  <c r="FR23" i="121"/>
  <c r="FQ23" i="121" s="1"/>
  <c r="ET14" i="121"/>
  <c r="ES22" i="121"/>
  <c r="ES42" i="121" s="1"/>
  <c r="ES48" i="123"/>
  <c r="FT49" i="123"/>
  <c r="DW52" i="123"/>
  <c r="EI52" i="123" s="1"/>
  <c r="GH52" i="123" s="1"/>
  <c r="E113" i="120"/>
  <c r="F252" i="120"/>
  <c r="F270" i="120" s="1"/>
  <c r="O113" i="120"/>
  <c r="F65" i="122"/>
  <c r="F214" i="122"/>
  <c r="E66" i="122"/>
  <c r="F209" i="122"/>
  <c r="F162" i="122"/>
  <c r="F46" i="123" s="1"/>
  <c r="O85" i="122"/>
  <c r="F81" i="122"/>
  <c r="I61" i="120"/>
  <c r="O60" i="120"/>
  <c r="H60" i="120"/>
  <c r="H202" i="120" s="1"/>
  <c r="H203" i="120" s="1"/>
  <c r="I89" i="120"/>
  <c r="I261" i="120"/>
  <c r="I260" i="120" s="1"/>
  <c r="O90" i="120"/>
  <c r="I119" i="120"/>
  <c r="O119" i="120" s="1"/>
  <c r="O121" i="120"/>
  <c r="I267" i="120"/>
  <c r="I265" i="120" s="1"/>
  <c r="I270" i="120" s="1"/>
  <c r="H121" i="120"/>
  <c r="H267" i="120" s="1"/>
  <c r="H134" i="120"/>
  <c r="O134" i="120"/>
  <c r="I130" i="120"/>
  <c r="I123" i="120" s="1"/>
  <c r="I243" i="120"/>
  <c r="I65" i="122"/>
  <c r="I214" i="122"/>
  <c r="I210" i="122"/>
  <c r="I81" i="122"/>
  <c r="I75" i="122" s="1"/>
  <c r="L241" i="120"/>
  <c r="L270" i="120" s="1"/>
  <c r="K74" i="120"/>
  <c r="O155" i="120"/>
  <c r="F221" i="120"/>
  <c r="F73" i="121" s="1"/>
  <c r="E155" i="120"/>
  <c r="E221" i="120" s="1"/>
  <c r="F149" i="120"/>
  <c r="T58" i="120"/>
  <c r="T199" i="120" s="1"/>
  <c r="AD58" i="120"/>
  <c r="AJ58" i="120" s="1"/>
  <c r="AL24" i="121"/>
  <c r="EI51" i="121"/>
  <c r="GH51" i="121" s="1"/>
  <c r="BL109" i="122"/>
  <c r="BD92" i="120"/>
  <c r="BI144" i="120"/>
  <c r="AC264" i="120"/>
  <c r="AG85" i="120"/>
  <c r="EN22" i="121"/>
  <c r="AC88" i="121"/>
  <c r="H214" i="122"/>
  <c r="AN109" i="122"/>
  <c r="AI57" i="122"/>
  <c r="DW42" i="123"/>
  <c r="AK25" i="123"/>
  <c r="AH9" i="120"/>
  <c r="N65" i="125"/>
  <c r="AN80" i="121"/>
  <c r="AJ56" i="120"/>
  <c r="BH56" i="120" s="1"/>
  <c r="AH60" i="120"/>
  <c r="AQ60" i="120" s="1"/>
  <c r="B15" i="120"/>
  <c r="N14" i="125"/>
  <c r="S214" i="120"/>
  <c r="AQ66" i="121" s="1"/>
  <c r="AH148" i="120"/>
  <c r="E269" i="120"/>
  <c r="K61" i="120"/>
  <c r="T239" i="120"/>
  <c r="B24" i="120"/>
  <c r="BG17" i="121"/>
  <c r="BQ17" i="121"/>
  <c r="BP17" i="121" s="1"/>
  <c r="AD17" i="121"/>
  <c r="B17" i="121"/>
  <c r="C32" i="124"/>
  <c r="FA12" i="121"/>
  <c r="FA13" i="121" s="1"/>
  <c r="C29" i="124"/>
  <c r="DB77" i="121"/>
  <c r="EE75" i="121"/>
  <c r="GD75" i="121" s="1"/>
  <c r="AC122" i="120"/>
  <c r="AC269" i="120" s="1"/>
  <c r="S94" i="120"/>
  <c r="AH94" i="120" s="1"/>
  <c r="AH95" i="120"/>
  <c r="BB184" i="120"/>
  <c r="BA17" i="120"/>
  <c r="BA184" i="120" s="1"/>
  <c r="Y14" i="120"/>
  <c r="Y189" i="120"/>
  <c r="AT181" i="120"/>
  <c r="AT225" i="120" s="1"/>
  <c r="AT159" i="120"/>
  <c r="AZ14" i="120"/>
  <c r="AZ159" i="120" s="1"/>
  <c r="AZ189" i="120"/>
  <c r="C190" i="120"/>
  <c r="C22" i="120"/>
  <c r="B22" i="120" s="1"/>
  <c r="AD22" i="120"/>
  <c r="AD190" i="120"/>
  <c r="BN190" i="120"/>
  <c r="AB28" i="125"/>
  <c r="BM23" i="120"/>
  <c r="CL23" i="120" s="1"/>
  <c r="BZ190" i="120"/>
  <c r="BY23" i="120"/>
  <c r="BY190" i="120" s="1"/>
  <c r="BX37" i="120"/>
  <c r="BX29" i="120" s="1"/>
  <c r="BV50" i="120"/>
  <c r="AJ51" i="120"/>
  <c r="N51" i="120"/>
  <c r="CA266" i="120"/>
  <c r="CA265" i="120" s="1"/>
  <c r="CA50" i="120"/>
  <c r="CA37" i="120" s="1"/>
  <c r="AG87" i="120"/>
  <c r="H90" i="120"/>
  <c r="R91" i="120"/>
  <c r="AG91" i="120" s="1"/>
  <c r="O263" i="120"/>
  <c r="N92" i="120"/>
  <c r="AI92" i="120" s="1"/>
  <c r="AJ92" i="120"/>
  <c r="BY92" i="120"/>
  <c r="L71" i="120"/>
  <c r="R96" i="120"/>
  <c r="AG96" i="120" s="1"/>
  <c r="CI61" i="121"/>
  <c r="EH61" i="121" s="1"/>
  <c r="GG61" i="121" s="1"/>
  <c r="BL25" i="122"/>
  <c r="EI64" i="121"/>
  <c r="GH64" i="121" s="1"/>
  <c r="GH65" i="121"/>
  <c r="CJ61" i="121"/>
  <c r="EI61" i="121" s="1"/>
  <c r="GH61" i="121" s="1"/>
  <c r="DV55" i="121"/>
  <c r="AQ90" i="120"/>
  <c r="CI58" i="121"/>
  <c r="EH58" i="121" s="1"/>
  <c r="GG58" i="121" s="1"/>
  <c r="D14" i="120"/>
  <c r="CN87" i="120"/>
  <c r="BF97" i="120"/>
  <c r="BD97" i="120" s="1"/>
  <c r="BH145" i="120"/>
  <c r="R14" i="120"/>
  <c r="BI88" i="122"/>
  <c r="CG88" i="122" s="1"/>
  <c r="CJ88" i="122" s="1"/>
  <c r="AN122" i="122"/>
  <c r="T214" i="122"/>
  <c r="AH15" i="120"/>
  <c r="AZ22" i="121"/>
  <c r="AZ14" i="121" s="1"/>
  <c r="EF45" i="123"/>
  <c r="GE45" i="123" s="1"/>
  <c r="V27" i="125"/>
  <c r="AP14" i="120"/>
  <c r="AN75" i="120"/>
  <c r="AN125" i="120"/>
  <c r="Q65" i="125"/>
  <c r="CA80" i="121"/>
  <c r="V181" i="120"/>
  <c r="V225" i="120" s="1"/>
  <c r="V159" i="120"/>
  <c r="V12" i="120"/>
  <c r="D81" i="122"/>
  <c r="AS62" i="120"/>
  <c r="AR62" i="120" s="1"/>
  <c r="AS261" i="120"/>
  <c r="AR69" i="120"/>
  <c r="AR261" i="120" s="1"/>
  <c r="BB69" i="120"/>
  <c r="BB261" i="120" s="1"/>
  <c r="O74" i="120"/>
  <c r="AJ74" i="120" s="1"/>
  <c r="BH74" i="120" s="1"/>
  <c r="AK75" i="120"/>
  <c r="AE242" i="120"/>
  <c r="O243" i="120"/>
  <c r="N76" i="120"/>
  <c r="AK175" i="122"/>
  <c r="AN175" i="122" s="1"/>
  <c r="BI122" i="122"/>
  <c r="E27" i="123"/>
  <c r="E28" i="123"/>
  <c r="C209" i="122"/>
  <c r="AG209" i="122" s="1"/>
  <c r="BE209" i="122" s="1"/>
  <c r="C162" i="122"/>
  <c r="C46" i="123" s="1"/>
  <c r="BS70" i="122"/>
  <c r="BS218" i="122" s="1"/>
  <c r="BS219" i="122"/>
  <c r="AC81" i="120"/>
  <c r="AJ81" i="120"/>
  <c r="K199" i="120"/>
  <c r="AJ244" i="120"/>
  <c r="BH86" i="120"/>
  <c r="CF86" i="120" s="1"/>
  <c r="Q29" i="125"/>
  <c r="S191" i="120"/>
  <c r="AH24" i="120"/>
  <c r="P205" i="120"/>
  <c r="N38" i="120"/>
  <c r="P206" i="120"/>
  <c r="AK39" i="120"/>
  <c r="AD239" i="120"/>
  <c r="AJ39" i="120"/>
  <c r="BH39" i="120" s="1"/>
  <c r="CF39" i="120" s="1"/>
  <c r="AC39" i="120"/>
  <c r="BC262" i="120"/>
  <c r="BC46" i="120"/>
  <c r="BA47" i="120"/>
  <c r="BZ263" i="120"/>
  <c r="BY48" i="120"/>
  <c r="BY49" i="120"/>
  <c r="BZ264" i="120"/>
  <c r="N63" i="120"/>
  <c r="P65" i="120"/>
  <c r="AC67" i="120"/>
  <c r="AJ67" i="120"/>
  <c r="BH67" i="120" s="1"/>
  <c r="CF67" i="120" s="1"/>
  <c r="AE261" i="120"/>
  <c r="AK69" i="120"/>
  <c r="AA62" i="120"/>
  <c r="Z62" i="120" s="1"/>
  <c r="AA261" i="120"/>
  <c r="Z69" i="120"/>
  <c r="Z261" i="120" s="1"/>
  <c r="BX62" i="120"/>
  <c r="BX53" i="120" s="1"/>
  <c r="BX261" i="120"/>
  <c r="BX260" i="120" s="1"/>
  <c r="BX270" i="120" s="1"/>
  <c r="BV69" i="120"/>
  <c r="BV261" i="120" s="1"/>
  <c r="S69" i="120"/>
  <c r="S261" i="120" s="1"/>
  <c r="AH70" i="120"/>
  <c r="AR238" i="120"/>
  <c r="AR205" i="120"/>
  <c r="H239" i="120"/>
  <c r="H206" i="120"/>
  <c r="AE239" i="120"/>
  <c r="AE206" i="120"/>
  <c r="BV239" i="120"/>
  <c r="BV206" i="120"/>
  <c r="B74" i="120"/>
  <c r="B241" i="120" s="1"/>
  <c r="S74" i="120"/>
  <c r="Q74" i="120" s="1"/>
  <c r="BG108" i="120"/>
  <c r="CE108" i="120" s="1"/>
  <c r="FX9" i="121"/>
  <c r="AI182" i="122"/>
  <c r="K29" i="122"/>
  <c r="AK38" i="122"/>
  <c r="BI38" i="122" s="1"/>
  <c r="CG38" i="122" s="1"/>
  <c r="CJ38" i="122" s="1"/>
  <c r="BI210" i="122"/>
  <c r="CG210" i="122" s="1"/>
  <c r="CE65" i="123"/>
  <c r="AK44" i="120"/>
  <c r="O175" i="120"/>
  <c r="O11" i="120"/>
  <c r="T197" i="120"/>
  <c r="AE197" i="120"/>
  <c r="BB198" i="120"/>
  <c r="BV198" i="120"/>
  <c r="BY33" i="120"/>
  <c r="K245" i="120"/>
  <c r="DA54" i="121"/>
  <c r="CZ54" i="121" s="1"/>
  <c r="AV203" i="120"/>
  <c r="AK67" i="120"/>
  <c r="BI67" i="120" s="1"/>
  <c r="CG67" i="120" s="1"/>
  <c r="CJ67" i="120" s="1"/>
  <c r="W261" i="120"/>
  <c r="AE247" i="120"/>
  <c r="BZ259" i="120"/>
  <c r="BY85" i="120"/>
  <c r="BY259" i="120" s="1"/>
  <c r="N118" i="120"/>
  <c r="AI118" i="120" s="1"/>
  <c r="AJ118" i="120"/>
  <c r="BH118" i="120" s="1"/>
  <c r="J106" i="120"/>
  <c r="J99" i="120" s="1"/>
  <c r="P119" i="120"/>
  <c r="AY106" i="120"/>
  <c r="AY99" i="120" s="1"/>
  <c r="BT106" i="120"/>
  <c r="BT99" i="120" s="1"/>
  <c r="AX119" i="120"/>
  <c r="BS119" i="120"/>
  <c r="AU268" i="120"/>
  <c r="AH69" i="120"/>
  <c r="CA159" i="120"/>
  <c r="T201" i="120"/>
  <c r="T203" i="120" s="1"/>
  <c r="BS74" i="121"/>
  <c r="CY22" i="121"/>
  <c r="P218" i="122"/>
  <c r="AV178" i="120"/>
  <c r="AU11" i="120"/>
  <c r="AU178" i="120" s="1"/>
  <c r="BC196" i="120"/>
  <c r="AU36" i="120"/>
  <c r="BP36" i="120"/>
  <c r="H242" i="120"/>
  <c r="T242" i="120"/>
  <c r="BR62" i="120"/>
  <c r="CA69" i="120"/>
  <c r="CA261" i="120" s="1"/>
  <c r="T105" i="120"/>
  <c r="BV105" i="120"/>
  <c r="DU22" i="121"/>
  <c r="N41" i="121"/>
  <c r="AF31" i="121"/>
  <c r="AF41" i="121" s="1"/>
  <c r="AE144" i="122"/>
  <c r="AK10" i="122"/>
  <c r="AJ23" i="122"/>
  <c r="BH23" i="122" s="1"/>
  <c r="H221" i="122"/>
  <c r="H70" i="122"/>
  <c r="BC165" i="122"/>
  <c r="BA112" i="122"/>
  <c r="BA165" i="122" s="1"/>
  <c r="EZ40" i="121"/>
  <c r="FR16" i="121"/>
  <c r="EY16" i="121"/>
  <c r="FR19" i="121"/>
  <c r="FQ19" i="121" s="1"/>
  <c r="EY19" i="121"/>
  <c r="FI40" i="121"/>
  <c r="FH16" i="121"/>
  <c r="EF65" i="121"/>
  <c r="GE65" i="121" s="1"/>
  <c r="D261" i="120"/>
  <c r="D260" i="120" s="1"/>
  <c r="AX199" i="120"/>
  <c r="BR15" i="121"/>
  <c r="N108" i="122"/>
  <c r="CL10" i="122"/>
  <c r="EG24" i="121"/>
  <c r="AR61" i="120"/>
  <c r="E22" i="120"/>
  <c r="E189" i="120" s="1"/>
  <c r="F189" i="120"/>
  <c r="F14" i="120"/>
  <c r="BC190" i="120"/>
  <c r="BC22" i="120"/>
  <c r="BC189" i="120" s="1"/>
  <c r="H46" i="120"/>
  <c r="AU46" i="120"/>
  <c r="AV37" i="120"/>
  <c r="AV29" i="120" s="1"/>
  <c r="BP46" i="120"/>
  <c r="BQ37" i="120"/>
  <c r="BV46" i="120"/>
  <c r="AR50" i="120"/>
  <c r="BY51" i="120"/>
  <c r="BA54" i="120"/>
  <c r="M62" i="120"/>
  <c r="K62" i="120" s="1"/>
  <c r="H69" i="120"/>
  <c r="I62" i="120"/>
  <c r="CG70" i="120"/>
  <c r="CJ70" i="120" s="1"/>
  <c r="AK73" i="120"/>
  <c r="BH73" i="120"/>
  <c r="BY74" i="120"/>
  <c r="AC75" i="120"/>
  <c r="B76" i="120"/>
  <c r="BC243" i="120"/>
  <c r="AX267" i="120"/>
  <c r="B98" i="120"/>
  <c r="R98" i="120"/>
  <c r="T254" i="120"/>
  <c r="O238" i="120"/>
  <c r="AU205" i="120"/>
  <c r="CA238" i="120"/>
  <c r="AD210" i="120"/>
  <c r="AJ144" i="120"/>
  <c r="BC89" i="120"/>
  <c r="BP89" i="120"/>
  <c r="K89" i="120"/>
  <c r="AJ91" i="120"/>
  <c r="L106" i="120"/>
  <c r="L99" i="120" s="1"/>
  <c r="AT106" i="120"/>
  <c r="AT99" i="120" s="1"/>
  <c r="AZ106" i="120"/>
  <c r="AZ99" i="120" s="1"/>
  <c r="CA119" i="120"/>
  <c r="FS69" i="121"/>
  <c r="BC217" i="122"/>
  <c r="BY92" i="122"/>
  <c r="BZ222" i="122"/>
  <c r="S186" i="120"/>
  <c r="Q24" i="125"/>
  <c r="W24" i="125"/>
  <c r="AQ186" i="120"/>
  <c r="AE188" i="120"/>
  <c r="AK21" i="120"/>
  <c r="AI21" i="120" s="1"/>
  <c r="AI188" i="120" s="1"/>
  <c r="CI22" i="123"/>
  <c r="CI28" i="123" s="1"/>
  <c r="BS11" i="123"/>
  <c r="CG52" i="121"/>
  <c r="EF52" i="121" s="1"/>
  <c r="GE52" i="121" s="1"/>
  <c r="EM17" i="121"/>
  <c r="BE146" i="122"/>
  <c r="DR50" i="123"/>
  <c r="N217" i="122"/>
  <c r="AU101" i="122"/>
  <c r="BS243" i="120"/>
  <c r="AU94" i="120"/>
  <c r="BY76" i="120"/>
  <c r="BA65" i="120"/>
  <c r="BV177" i="120"/>
  <c r="BZ245" i="120"/>
  <c r="K254" i="120"/>
  <c r="BC254" i="120"/>
  <c r="M37" i="120"/>
  <c r="W46" i="120"/>
  <c r="AR46" i="120"/>
  <c r="AY37" i="120"/>
  <c r="AY29" i="120" s="1"/>
  <c r="P46" i="120"/>
  <c r="AC47" i="120"/>
  <c r="BY47" i="120"/>
  <c r="O46" i="120"/>
  <c r="O37" i="120" s="1"/>
  <c r="O29" i="120" s="1"/>
  <c r="Z263" i="120"/>
  <c r="AU263" i="120"/>
  <c r="CA263" i="120"/>
  <c r="J37" i="120"/>
  <c r="J29" i="120" s="1"/>
  <c r="Z50" i="120"/>
  <c r="P197" i="120"/>
  <c r="AK56" i="120"/>
  <c r="BI56" i="120" s="1"/>
  <c r="BA56" i="120"/>
  <c r="P198" i="120"/>
  <c r="AC57" i="120"/>
  <c r="AX198" i="120"/>
  <c r="P199" i="120"/>
  <c r="AK58" i="120"/>
  <c r="P201" i="120"/>
  <c r="P203" i="120" s="1"/>
  <c r="BY63" i="120"/>
  <c r="T65" i="120"/>
  <c r="AC64" i="120"/>
  <c r="AI64" i="120" s="1"/>
  <c r="BV65" i="120"/>
  <c r="BY66" i="120"/>
  <c r="K69" i="120"/>
  <c r="K261" i="120" s="1"/>
  <c r="V261" i="120"/>
  <c r="BP69" i="120"/>
  <c r="BY73" i="120"/>
  <c r="BY239" i="120" s="1"/>
  <c r="P254" i="120"/>
  <c r="AX254" i="120"/>
  <c r="BS254" i="120"/>
  <c r="H249" i="120"/>
  <c r="AE249" i="120"/>
  <c r="BV249" i="120"/>
  <c r="BA92" i="120"/>
  <c r="BA263" i="120" s="1"/>
  <c r="AB71" i="120"/>
  <c r="AB53" i="120" s="1"/>
  <c r="BZ94" i="120"/>
  <c r="BY94" i="120" s="1"/>
  <c r="BP266" i="120"/>
  <c r="BP265" i="120" s="1"/>
  <c r="E268" i="120"/>
  <c r="AK96" i="120"/>
  <c r="AC96" i="120"/>
  <c r="B97" i="120"/>
  <c r="CL97" i="120" s="1"/>
  <c r="AR267" i="120"/>
  <c r="N101" i="120"/>
  <c r="N197" i="120" s="1"/>
  <c r="BY107" i="120"/>
  <c r="BY109" i="120"/>
  <c r="F106" i="120"/>
  <c r="F99" i="120" s="1"/>
  <c r="M106" i="120"/>
  <c r="M99" i="120" s="1"/>
  <c r="AA106" i="120"/>
  <c r="AA99" i="120" s="1"/>
  <c r="BB119" i="120"/>
  <c r="BA119" i="120" s="1"/>
  <c r="K119" i="120"/>
  <c r="K106" i="120" s="1"/>
  <c r="BY120" i="120"/>
  <c r="BA122" i="120"/>
  <c r="BA269" i="120" s="1"/>
  <c r="BY122" i="120"/>
  <c r="BY269" i="120" s="1"/>
  <c r="N127" i="120"/>
  <c r="N129" i="120" s="1"/>
  <c r="Z129" i="120"/>
  <c r="BZ129" i="120"/>
  <c r="BW177" i="120"/>
  <c r="AT55" i="121"/>
  <c r="AH72" i="121"/>
  <c r="BV197" i="122"/>
  <c r="S154" i="120"/>
  <c r="S220" i="120" s="1"/>
  <c r="AQ72" i="121" s="1"/>
  <c r="D220" i="120"/>
  <c r="D72" i="121" s="1"/>
  <c r="EU26" i="123"/>
  <c r="CG59" i="121"/>
  <c r="DH14" i="121"/>
  <c r="FQ60" i="123"/>
  <c r="CF60" i="123"/>
  <c r="EE60" i="123" s="1"/>
  <c r="CG46" i="123"/>
  <c r="EF46" i="123" s="1"/>
  <c r="GE46" i="123" s="1"/>
  <c r="AR42" i="123"/>
  <c r="BY71" i="122"/>
  <c r="T61" i="120"/>
  <c r="W199" i="120"/>
  <c r="AE201" i="120"/>
  <c r="AK41" i="120"/>
  <c r="BI41" i="120" s="1"/>
  <c r="CG41" i="120" s="1"/>
  <c r="CJ41" i="120" s="1"/>
  <c r="AC41" i="120"/>
  <c r="AI41" i="120" s="1"/>
  <c r="BS241" i="120"/>
  <c r="T46" i="120"/>
  <c r="T262" i="120"/>
  <c r="T260" i="120" s="1"/>
  <c r="E264" i="120"/>
  <c r="E260" i="120" s="1"/>
  <c r="BS264" i="120"/>
  <c r="AW37" i="120"/>
  <c r="AW29" i="120" s="1"/>
  <c r="BR37" i="120"/>
  <c r="BI51" i="120"/>
  <c r="CG51" i="120" s="1"/>
  <c r="CJ51" i="120" s="1"/>
  <c r="BV266" i="120"/>
  <c r="BA52" i="120"/>
  <c r="BG52" i="120" s="1"/>
  <c r="CE52" i="120" s="1"/>
  <c r="CH52" i="120" s="1"/>
  <c r="AK60" i="120"/>
  <c r="BY60" i="120"/>
  <c r="AK66" i="120"/>
  <c r="BY68" i="120"/>
  <c r="BP242" i="120"/>
  <c r="Y71" i="120"/>
  <c r="Y53" i="120" s="1"/>
  <c r="B92" i="120"/>
  <c r="B263" i="120" s="1"/>
  <c r="AC101" i="120"/>
  <c r="AK102" i="120"/>
  <c r="AC103" i="120"/>
  <c r="AC104" i="120"/>
  <c r="AC127" i="120"/>
  <c r="BZ238" i="120"/>
  <c r="CA219" i="122"/>
  <c r="FS53" i="123"/>
  <c r="AU239" i="120"/>
  <c r="BP239" i="120"/>
  <c r="CA241" i="120"/>
  <c r="H137" i="120"/>
  <c r="CA137" i="120"/>
  <c r="CG137" i="120" s="1"/>
  <c r="CJ137" i="120" s="1"/>
  <c r="Z262" i="120"/>
  <c r="AR61" i="121"/>
  <c r="AI164" i="120"/>
  <c r="AL164" i="120" s="1"/>
  <c r="AH57" i="121"/>
  <c r="CG57" i="121" s="1"/>
  <c r="EF57" i="121" s="1"/>
  <c r="GE57" i="121" s="1"/>
  <c r="FH57" i="121"/>
  <c r="FQ57" i="121" s="1"/>
  <c r="W58" i="121"/>
  <c r="AF58" i="121" s="1"/>
  <c r="DT59" i="121"/>
  <c r="FS59" i="121"/>
  <c r="FS62" i="121"/>
  <c r="GE62" i="121" s="1"/>
  <c r="AH63" i="121"/>
  <c r="CG63" i="121" s="1"/>
  <c r="EF63" i="121" s="1"/>
  <c r="GE63" i="121" s="1"/>
  <c r="BT63" i="121"/>
  <c r="CF63" i="121" s="1"/>
  <c r="FS63" i="121"/>
  <c r="FR63" i="121"/>
  <c r="BJ64" i="121"/>
  <c r="BS64" i="121" s="1"/>
  <c r="DI64" i="121"/>
  <c r="DR64" i="121" s="1"/>
  <c r="E71" i="121"/>
  <c r="AF71" i="121" s="1"/>
  <c r="BU265" i="120"/>
  <c r="BU270" i="120" s="1"/>
  <c r="AI32" i="121"/>
  <c r="CG35" i="121"/>
  <c r="CH65" i="121"/>
  <c r="AX151" i="122"/>
  <c r="BS151" i="122"/>
  <c r="P196" i="122"/>
  <c r="AX196" i="122"/>
  <c r="AZ213" i="122"/>
  <c r="BP215" i="122"/>
  <c r="E156" i="122"/>
  <c r="E158" i="122" s="1"/>
  <c r="P48" i="122"/>
  <c r="AE156" i="122"/>
  <c r="BZ48" i="122"/>
  <c r="AK51" i="122"/>
  <c r="BI51" i="122" s="1"/>
  <c r="CG51" i="122" s="1"/>
  <c r="CJ51" i="122" s="1"/>
  <c r="AK52" i="122"/>
  <c r="BI52" i="122" s="1"/>
  <c r="CG52" i="122" s="1"/>
  <c r="CJ52" i="122" s="1"/>
  <c r="AJ199" i="122"/>
  <c r="N109" i="122"/>
  <c r="E111" i="122"/>
  <c r="E164" i="122" s="1"/>
  <c r="CF21" i="123"/>
  <c r="BC186" i="120"/>
  <c r="BA19" i="120"/>
  <c r="BA186" i="120" s="1"/>
  <c r="F25" i="134"/>
  <c r="C34" i="134"/>
  <c r="G27" i="134"/>
  <c r="G31" i="134"/>
  <c r="CJ23" i="121"/>
  <c r="FQ29" i="121"/>
  <c r="DU32" i="121"/>
  <c r="FQ32" i="121"/>
  <c r="FI42" i="121"/>
  <c r="BV36" i="121"/>
  <c r="CH36" i="121" s="1"/>
  <c r="EG36" i="121" s="1"/>
  <c r="BM34" i="121"/>
  <c r="DR36" i="121"/>
  <c r="DZ36" i="121"/>
  <c r="FB34" i="121"/>
  <c r="FV37" i="121"/>
  <c r="FV38" i="121" s="1"/>
  <c r="CH50" i="121"/>
  <c r="EG50" i="121" s="1"/>
  <c r="GF50" i="121" s="1"/>
  <c r="CH72" i="121"/>
  <c r="EG72" i="121" s="1"/>
  <c r="GF72" i="121" s="1"/>
  <c r="FQ80" i="121"/>
  <c r="AH146" i="122"/>
  <c r="BF146" i="122" s="1"/>
  <c r="CD146" i="122" s="1"/>
  <c r="AK146" i="122"/>
  <c r="AK22" i="122"/>
  <c r="BI22" i="122" s="1"/>
  <c r="CG22" i="122" s="1"/>
  <c r="CJ22" i="122" s="1"/>
  <c r="H153" i="122"/>
  <c r="O194" i="122"/>
  <c r="CA160" i="122"/>
  <c r="E195" i="122"/>
  <c r="AU195" i="122"/>
  <c r="CA195" i="122"/>
  <c r="CG195" i="122" s="1"/>
  <c r="H196" i="122"/>
  <c r="Z197" i="122"/>
  <c r="M213" i="122"/>
  <c r="M223" i="122" s="1"/>
  <c r="P215" i="122"/>
  <c r="BZ194" i="122"/>
  <c r="BZ195" i="122"/>
  <c r="O208" i="122"/>
  <c r="V49" i="122"/>
  <c r="V40" i="122" s="1"/>
  <c r="BU81" i="122"/>
  <c r="N96" i="122"/>
  <c r="AI96" i="122" s="1"/>
  <c r="AE100" i="122"/>
  <c r="CA100" i="122"/>
  <c r="BY100" i="122" s="1"/>
  <c r="P21" i="125"/>
  <c r="Q16" i="120"/>
  <c r="W21" i="125"/>
  <c r="AQ183" i="120"/>
  <c r="V185" i="120"/>
  <c r="AT18" i="121"/>
  <c r="T18" i="120"/>
  <c r="T185" i="120" s="1"/>
  <c r="AE18" i="120"/>
  <c r="AH16" i="121"/>
  <c r="AH14" i="121" s="1"/>
  <c r="N16" i="121"/>
  <c r="N40" i="121" s="1"/>
  <c r="B54" i="122"/>
  <c r="B199" i="122" s="1"/>
  <c r="R54" i="122"/>
  <c r="R199" i="122" s="1"/>
  <c r="AG199" i="122" s="1"/>
  <c r="H19" i="128"/>
  <c r="H17" i="128" s="1"/>
  <c r="L19" i="128"/>
  <c r="N19" i="128" s="1"/>
  <c r="D19" i="128"/>
  <c r="F34" i="134"/>
  <c r="E51" i="134"/>
  <c r="AY54" i="6"/>
  <c r="AY53" i="6"/>
  <c r="AY52" i="6"/>
  <c r="AY51" i="6"/>
  <c r="AL17" i="95"/>
  <c r="AL28" i="95"/>
  <c r="DT38" i="17"/>
  <c r="DT24" i="17"/>
  <c r="DT39" i="17" s="1"/>
  <c r="DV50" i="19"/>
  <c r="DT16" i="19"/>
  <c r="DT49" i="19" s="1"/>
  <c r="DX50" i="19" s="1"/>
  <c r="DZ49" i="19"/>
  <c r="DZ50" i="19" s="1"/>
  <c r="W139" i="120"/>
  <c r="BC139" i="120"/>
  <c r="AZ130" i="120"/>
  <c r="AZ123" i="120" s="1"/>
  <c r="BC123" i="120" s="1"/>
  <c r="EY54" i="121"/>
  <c r="FR70" i="121"/>
  <c r="FH73" i="121"/>
  <c r="V260" i="120"/>
  <c r="V270" i="120" s="1"/>
  <c r="AB260" i="120"/>
  <c r="AB270" i="120" s="1"/>
  <c r="AW260" i="120"/>
  <c r="CI29" i="121"/>
  <c r="DY33" i="121"/>
  <c r="FX33" i="121"/>
  <c r="AN34" i="121"/>
  <c r="BD34" i="121"/>
  <c r="BD42" i="121" s="1"/>
  <c r="FJ38" i="121"/>
  <c r="K152" i="122"/>
  <c r="CA152" i="122"/>
  <c r="AE153" i="122"/>
  <c r="BV153" i="122"/>
  <c r="CB161" i="122"/>
  <c r="BC219" i="122"/>
  <c r="BY39" i="122"/>
  <c r="U49" i="122"/>
  <c r="U40" i="122" s="1"/>
  <c r="T40" i="122" s="1"/>
  <c r="BX49" i="122"/>
  <c r="BX40" i="122" s="1"/>
  <c r="N71" i="122"/>
  <c r="N219" i="122" s="1"/>
  <c r="N86" i="122"/>
  <c r="B89" i="122"/>
  <c r="CL89" i="122" s="1"/>
  <c r="BR81" i="122"/>
  <c r="N91" i="122"/>
  <c r="AE92" i="122"/>
  <c r="W39" i="123"/>
  <c r="AF39" i="123" s="1"/>
  <c r="AK97" i="122"/>
  <c r="AC99" i="122"/>
  <c r="BY102" i="122"/>
  <c r="AK105" i="122"/>
  <c r="BS106" i="122"/>
  <c r="BY107" i="122"/>
  <c r="H108" i="122"/>
  <c r="AJ119" i="122"/>
  <c r="AJ172" i="122" s="1"/>
  <c r="BA122" i="122"/>
  <c r="BA175" i="122" s="1"/>
  <c r="FS36" i="123"/>
  <c r="FS37" i="123"/>
  <c r="FR44" i="123"/>
  <c r="FH45" i="123"/>
  <c r="FR53" i="123"/>
  <c r="FR57" i="123"/>
  <c r="CN20" i="121"/>
  <c r="DQ20" i="121"/>
  <c r="DF20" i="121"/>
  <c r="AC26" i="125"/>
  <c r="BO188" i="120"/>
  <c r="AD24" i="125"/>
  <c r="CB186" i="120"/>
  <c r="AO19" i="120"/>
  <c r="AP186" i="120"/>
  <c r="BO185" i="120"/>
  <c r="AC23" i="125"/>
  <c r="AH21" i="120"/>
  <c r="Q26" i="125"/>
  <c r="S188" i="120"/>
  <c r="AH19" i="121"/>
  <c r="CG19" i="121" s="1"/>
  <c r="E19" i="121"/>
  <c r="FR8" i="123"/>
  <c r="CT28" i="123"/>
  <c r="CT25" i="123"/>
  <c r="FB30" i="123"/>
  <c r="FB25" i="123"/>
  <c r="FK30" i="123"/>
  <c r="FK25" i="123"/>
  <c r="S153" i="120"/>
  <c r="S219" i="120" s="1"/>
  <c r="AQ71" i="121" s="1"/>
  <c r="AZ71" i="121" s="1"/>
  <c r="BI71" i="121" s="1"/>
  <c r="D219" i="120"/>
  <c r="D71" i="121" s="1"/>
  <c r="M71" i="121" s="1"/>
  <c r="V71" i="121" s="1"/>
  <c r="AH153" i="120"/>
  <c r="G30" i="134"/>
  <c r="CX147" i="7"/>
  <c r="AR17" i="64"/>
  <c r="AR14" i="64" s="1"/>
  <c r="AR11" i="64" s="1"/>
  <c r="CH58" i="123"/>
  <c r="EG58" i="123" s="1"/>
  <c r="GF58" i="123" s="1"/>
  <c r="FQ64" i="123"/>
  <c r="GC64" i="123" s="1"/>
  <c r="DZ20" i="121"/>
  <c r="FJ18" i="121"/>
  <c r="E17" i="121"/>
  <c r="E42" i="121" s="1"/>
  <c r="N23" i="121"/>
  <c r="W17" i="121"/>
  <c r="W42" i="121" s="1"/>
  <c r="AR9" i="121"/>
  <c r="CZ20" i="121"/>
  <c r="DI20" i="121"/>
  <c r="FH19" i="121"/>
  <c r="FH24" i="121"/>
  <c r="T155" i="122"/>
  <c r="AE14" i="123"/>
  <c r="DF14" i="123"/>
  <c r="CJ16" i="123"/>
  <c r="EI16" i="123" s="1"/>
  <c r="GH16" i="123" s="1"/>
  <c r="EI15" i="123"/>
  <c r="GH15" i="123" s="1"/>
  <c r="CU61" i="123"/>
  <c r="DE61" i="123"/>
  <c r="DN61" i="123"/>
  <c r="AH151" i="120"/>
  <c r="H61" i="121"/>
  <c r="H56" i="121"/>
  <c r="AV65" i="32"/>
  <c r="F51" i="134"/>
  <c r="DD27" i="8"/>
  <c r="DN13" i="19"/>
  <c r="DQ14" i="19"/>
  <c r="DQ13" i="19" s="1"/>
  <c r="DS14" i="19"/>
  <c r="DS13" i="19" s="1"/>
  <c r="DF138" i="7"/>
  <c r="DF175" i="7" s="1"/>
  <c r="DC27" i="8"/>
  <c r="AS14" i="65"/>
  <c r="DG120" i="8"/>
  <c r="F20" i="133"/>
  <c r="E20" i="133"/>
  <c r="H20" i="133"/>
  <c r="D20" i="133"/>
  <c r="H25" i="133"/>
  <c r="F25" i="133"/>
  <c r="DC14" i="123"/>
  <c r="DU14" i="123" s="1"/>
  <c r="EG14" i="123" s="1"/>
  <c r="GF14" i="123" s="1"/>
  <c r="DD13" i="123"/>
  <c r="DC13" i="123" s="1"/>
  <c r="CH21" i="121"/>
  <c r="ET12" i="121"/>
  <c r="ET13" i="121" s="1"/>
  <c r="DZ24" i="123"/>
  <c r="FY24" i="123"/>
  <c r="P18" i="121"/>
  <c r="CS18" i="121"/>
  <c r="FE16" i="121"/>
  <c r="N9" i="121"/>
  <c r="N10" i="121" s="1"/>
  <c r="EI21" i="121"/>
  <c r="GH21" i="121" s="1"/>
  <c r="CJ18" i="121"/>
  <c r="EI18" i="121" s="1"/>
  <c r="GH18" i="121" s="1"/>
  <c r="CI20" i="121"/>
  <c r="EH20" i="121" s="1"/>
  <c r="GG20" i="121" s="1"/>
  <c r="CG30" i="121"/>
  <c r="CA30" i="121"/>
  <c r="FY30" i="121"/>
  <c r="AK13" i="122"/>
  <c r="BI13" i="122" s="1"/>
  <c r="CG13" i="122" s="1"/>
  <c r="CJ13" i="122" s="1"/>
  <c r="AE15" i="123"/>
  <c r="FR12" i="123"/>
  <c r="B60" i="122"/>
  <c r="B204" i="122" s="1"/>
  <c r="B74" i="122"/>
  <c r="AU67" i="121"/>
  <c r="BV67" i="121" s="1"/>
  <c r="H7" i="129"/>
  <c r="S25" i="105"/>
  <c r="G33" i="134"/>
  <c r="G42" i="134"/>
  <c r="CU31" i="8"/>
  <c r="CT29" i="8"/>
  <c r="CT31" i="8" s="1"/>
  <c r="DJ96" i="8"/>
  <c r="DJ122" i="8" s="1"/>
  <c r="DI48" i="8"/>
  <c r="DI96" i="8" s="1"/>
  <c r="AL33" i="98"/>
  <c r="AL42" i="98"/>
  <c r="AL43" i="98" s="1"/>
  <c r="DH27" i="8"/>
  <c r="DF32" i="8"/>
  <c r="CZ136" i="7"/>
  <c r="CX9" i="7"/>
  <c r="CX23" i="7"/>
  <c r="CY25" i="7"/>
  <c r="CZ140" i="7"/>
  <c r="CZ15" i="7"/>
  <c r="CZ8" i="7" s="1"/>
  <c r="CZ63" i="7" s="1"/>
  <c r="CX13" i="7"/>
  <c r="DC12" i="8"/>
  <c r="DD8" i="8"/>
  <c r="DE86" i="8"/>
  <c r="DE118" i="8" s="1"/>
  <c r="AP13" i="66" s="1"/>
  <c r="DE55" i="8"/>
  <c r="DE54" i="8" s="1"/>
  <c r="DE25" i="8"/>
  <c r="DC23" i="8"/>
  <c r="DC89" i="8" s="1"/>
  <c r="BL18" i="10"/>
  <c r="DC8" i="7"/>
  <c r="DA10" i="7"/>
  <c r="DB143" i="7"/>
  <c r="DA16" i="7"/>
  <c r="DA143" i="7" s="1"/>
  <c r="DB41" i="7"/>
  <c r="DB35" i="7" s="1"/>
  <c r="DA39" i="7"/>
  <c r="DA41" i="7" s="1"/>
  <c r="DA35" i="7" s="1"/>
  <c r="DF16" i="8"/>
  <c r="DF8" i="8" s="1"/>
  <c r="DG92" i="8"/>
  <c r="DG31" i="8"/>
  <c r="DG27" i="8" s="1"/>
  <c r="DF29" i="8"/>
  <c r="DF31" i="8" s="1"/>
  <c r="DF27" i="8" s="1"/>
  <c r="DF37" i="8"/>
  <c r="DG34" i="8"/>
  <c r="F11" i="133"/>
  <c r="F20" i="127" s="1"/>
  <c r="FB22" i="121"/>
  <c r="FC14" i="121"/>
  <c r="FC77" i="121" s="1"/>
  <c r="FD61" i="123"/>
  <c r="FD66" i="123" s="1"/>
  <c r="FD67" i="123" s="1"/>
  <c r="FD68" i="123" s="1"/>
  <c r="FE21" i="121"/>
  <c r="AE20" i="121"/>
  <c r="DQ18" i="121"/>
  <c r="CD21" i="121"/>
  <c r="FP21" i="121"/>
  <c r="DQ21" i="121"/>
  <c r="Q21" i="120"/>
  <c r="E21" i="121"/>
  <c r="E24" i="121"/>
  <c r="CA21" i="121"/>
  <c r="DS21" i="121"/>
  <c r="DI21" i="121"/>
  <c r="DZ30" i="121"/>
  <c r="Q15" i="122"/>
  <c r="B14" i="122"/>
  <c r="N14" i="122"/>
  <c r="AE13" i="123"/>
  <c r="Q67" i="121"/>
  <c r="AI67" i="121" s="1"/>
  <c r="CH67" i="121" s="1"/>
  <c r="FT59" i="121"/>
  <c r="GF59" i="121" s="1"/>
  <c r="FT73" i="121"/>
  <c r="GF73" i="121" s="1"/>
  <c r="FB61" i="121"/>
  <c r="FB76" i="121" s="1"/>
  <c r="R40" i="128"/>
  <c r="S40" i="128" s="1"/>
  <c r="S70" i="122"/>
  <c r="H34" i="121"/>
  <c r="AI34" i="121" s="1"/>
  <c r="P67" i="96"/>
  <c r="CX19" i="8" s="1"/>
  <c r="F77" i="68"/>
  <c r="H77" i="68" s="1"/>
  <c r="J77" i="68" s="1"/>
  <c r="L77" i="68" s="1"/>
  <c r="C17" i="134"/>
  <c r="G32" i="134"/>
  <c r="CT23" i="8"/>
  <c r="CU25" i="8"/>
  <c r="CU15" i="8"/>
  <c r="CU89" i="8"/>
  <c r="CT13" i="8"/>
  <c r="DF15" i="7"/>
  <c r="DF8" i="7" s="1"/>
  <c r="DF140" i="7"/>
  <c r="DD59" i="7"/>
  <c r="DD147" i="7" s="1"/>
  <c r="DE147" i="7"/>
  <c r="DE173" i="7"/>
  <c r="DD60" i="7"/>
  <c r="DD148" i="7" s="1"/>
  <c r="DE148" i="7"/>
  <c r="DE171" i="7" s="1"/>
  <c r="DC151" i="7"/>
  <c r="DC64" i="7" s="1"/>
  <c r="BT46" i="3"/>
  <c r="BT44" i="3" s="1"/>
  <c r="CT35" i="8"/>
  <c r="CT38" i="8"/>
  <c r="DB27" i="7"/>
  <c r="BI13" i="10"/>
  <c r="AA7" i="102"/>
  <c r="DD55" i="8"/>
  <c r="DD54" i="8" s="1"/>
  <c r="DD88" i="8"/>
  <c r="Y23" i="104"/>
  <c r="CZ48" i="8"/>
  <c r="CZ96" i="8" s="1"/>
  <c r="AU9" i="123"/>
  <c r="J14" i="121"/>
  <c r="J77" i="121" s="1"/>
  <c r="EP20" i="121"/>
  <c r="EP15" i="121"/>
  <c r="FK56" i="121"/>
  <c r="FT56" i="121" s="1"/>
  <c r="FK43" i="123"/>
  <c r="FB52" i="123"/>
  <c r="G45" i="134"/>
  <c r="G47" i="134"/>
  <c r="G48" i="134"/>
  <c r="CP69" i="7"/>
  <c r="CU55" i="8"/>
  <c r="CY27" i="7"/>
  <c r="DD13" i="7"/>
  <c r="DD15" i="7" s="1"/>
  <c r="DD25" i="7"/>
  <c r="DD29" i="7"/>
  <c r="DJ87" i="8"/>
  <c r="DJ124" i="8" s="1"/>
  <c r="DI43" i="8"/>
  <c r="DW24" i="17"/>
  <c r="DW39" i="17" s="1"/>
  <c r="DW31" i="17"/>
  <c r="DW40" i="17" s="1"/>
  <c r="AB14" i="104"/>
  <c r="BC68" i="32"/>
  <c r="CX139" i="7"/>
  <c r="DG88" i="8"/>
  <c r="DG118" i="8"/>
  <c r="AS12" i="65" s="1"/>
  <c r="CU44" i="7"/>
  <c r="H28" i="133"/>
  <c r="H24" i="133"/>
  <c r="I31" i="127"/>
  <c r="Z18" i="121"/>
  <c r="AU22" i="121"/>
  <c r="DC18" i="121"/>
  <c r="CV86" i="8"/>
  <c r="CV118" i="8" s="1"/>
  <c r="AK13" i="66" s="1"/>
  <c r="DW50" i="19"/>
  <c r="DA15" i="7"/>
  <c r="DJ57" i="8"/>
  <c r="BE46" i="5"/>
  <c r="DE87" i="8"/>
  <c r="DQ49" i="19"/>
  <c r="DH46" i="8" s="1"/>
  <c r="DH94" i="8" s="1"/>
  <c r="BN62" i="3"/>
  <c r="Q45" i="96" s="1"/>
  <c r="BC17" i="5"/>
  <c r="DK31" i="17"/>
  <c r="D27" i="133"/>
  <c r="Z9" i="123"/>
  <c r="BD9" i="123"/>
  <c r="BD62" i="123" s="1"/>
  <c r="CT9" i="123"/>
  <c r="CT62" i="123" s="1"/>
  <c r="CT18" i="121"/>
  <c r="DC22" i="121"/>
  <c r="DC42" i="121" s="1"/>
  <c r="ES52" i="123"/>
  <c r="FS56" i="123"/>
  <c r="BY118" i="122"/>
  <c r="BY171" i="122" s="1"/>
  <c r="BY117" i="122"/>
  <c r="BY170" i="122" s="1"/>
  <c r="FH52" i="123"/>
  <c r="FH40" i="123"/>
  <c r="FS72" i="121"/>
  <c r="BY154" i="120"/>
  <c r="BY220" i="120" s="1"/>
  <c r="FH72" i="121"/>
  <c r="FH71" i="121"/>
  <c r="BY30" i="120"/>
  <c r="G9" i="114"/>
  <c r="F17" i="114"/>
  <c r="D17" i="114" s="1"/>
  <c r="F51" i="114"/>
  <c r="D51" i="114" s="1"/>
  <c r="G49" i="114"/>
  <c r="Z14" i="65"/>
  <c r="BT49" i="8"/>
  <c r="BS49" i="8" s="1"/>
  <c r="BS97" i="8" s="1"/>
  <c r="D39" i="118"/>
  <c r="C40" i="118"/>
  <c r="D40" i="118" s="1"/>
  <c r="C66" i="118"/>
  <c r="D65" i="118"/>
  <c r="G45" i="114"/>
  <c r="E51" i="114"/>
  <c r="C30" i="118"/>
  <c r="D30" i="116"/>
  <c r="D77" i="118"/>
  <c r="G9" i="134"/>
  <c r="G11" i="134"/>
  <c r="G23" i="134"/>
  <c r="G24" i="134"/>
  <c r="D51" i="134"/>
  <c r="G49" i="134"/>
  <c r="G50" i="134"/>
  <c r="G57" i="114"/>
  <c r="G61" i="114"/>
  <c r="B29" i="118"/>
  <c r="B30" i="118" s="1"/>
  <c r="FH85" i="121"/>
  <c r="BV227" i="120"/>
  <c r="FH57" i="123"/>
  <c r="FH53" i="123"/>
  <c r="BY88" i="122"/>
  <c r="BY211" i="122" s="1"/>
  <c r="BV81" i="122"/>
  <c r="BW158" i="122"/>
  <c r="BZ79" i="122"/>
  <c r="BZ196" i="122"/>
  <c r="CF36" i="122"/>
  <c r="CI36" i="122" s="1"/>
  <c r="BV219" i="122"/>
  <c r="BV156" i="122"/>
  <c r="BW94" i="122"/>
  <c r="BV94" i="122" s="1"/>
  <c r="CF105" i="122"/>
  <c r="CI105" i="122" s="1"/>
  <c r="BZ197" i="122"/>
  <c r="BW81" i="122"/>
  <c r="BW75" i="122" s="1"/>
  <c r="BV75" i="122" s="1"/>
  <c r="BW218" i="122"/>
  <c r="BW223" i="122" s="1"/>
  <c r="CF92" i="122"/>
  <c r="CI92" i="122" s="1"/>
  <c r="CF93" i="122"/>
  <c r="CI93" i="122" s="1"/>
  <c r="FR40" i="123"/>
  <c r="BY50" i="122"/>
  <c r="BZ161" i="122"/>
  <c r="BY51" i="122"/>
  <c r="FR72" i="121"/>
  <c r="BV149" i="120"/>
  <c r="BV215" i="120" s="1"/>
  <c r="BZ262" i="120"/>
  <c r="BV262" i="120"/>
  <c r="BV260" i="120" s="1"/>
  <c r="BV199" i="120"/>
  <c r="BY81" i="120"/>
  <c r="BY255" i="120" s="1"/>
  <c r="CF44" i="120"/>
  <c r="CI44" i="120" s="1"/>
  <c r="BW265" i="120"/>
  <c r="BV265" i="120"/>
  <c r="BY91" i="120"/>
  <c r="FR61" i="121"/>
  <c r="FH61" i="121"/>
  <c r="FQ61" i="121" s="1"/>
  <c r="BW71" i="120"/>
  <c r="BV71" i="120" s="1"/>
  <c r="BV62" i="120"/>
  <c r="BW261" i="120"/>
  <c r="BW260" i="120" s="1"/>
  <c r="BZ65" i="120"/>
  <c r="BV202" i="120"/>
  <c r="BV203" i="120" s="1"/>
  <c r="BZ239" i="120"/>
  <c r="AR254" i="120"/>
  <c r="BV254" i="120"/>
  <c r="BZ205" i="120"/>
  <c r="BY206" i="120"/>
  <c r="BW270" i="120"/>
  <c r="BY137" i="120"/>
  <c r="BY136" i="120"/>
  <c r="Q31" i="11"/>
  <c r="Q32" i="11"/>
  <c r="Q30" i="11"/>
  <c r="Q33" i="11"/>
  <c r="FQ23" i="123"/>
  <c r="FS43" i="121"/>
  <c r="H13" i="122"/>
  <c r="AG20" i="121"/>
  <c r="FH20" i="121"/>
  <c r="BZ188" i="120"/>
  <c r="BY21" i="120"/>
  <c r="BY188" i="120" s="1"/>
  <c r="FJ26" i="123"/>
  <c r="FQ24" i="123"/>
  <c r="BY12" i="122"/>
  <c r="BY146" i="122" s="1"/>
  <c r="FQ9" i="121"/>
  <c r="CA9" i="122"/>
  <c r="CA143" i="122" s="1"/>
  <c r="CA178" i="122" s="1"/>
  <c r="BX125" i="122"/>
  <c r="CA125" i="122" s="1"/>
  <c r="BX143" i="122"/>
  <c r="BX178" i="122" s="1"/>
  <c r="FQ31" i="121"/>
  <c r="FH34" i="121"/>
  <c r="FQ36" i="121"/>
  <c r="FI37" i="121"/>
  <c r="FR37" i="121" s="1"/>
  <c r="GD30" i="121"/>
  <c r="FH40" i="121"/>
  <c r="FQ30" i="121"/>
  <c r="FH43" i="121"/>
  <c r="BV159" i="120"/>
  <c r="FY17" i="121"/>
  <c r="FS14" i="121"/>
  <c r="FS77" i="121" s="1"/>
  <c r="FH12" i="121"/>
  <c r="FH13" i="121" s="1"/>
  <c r="FH77" i="121"/>
  <c r="FH17" i="121"/>
  <c r="FH42" i="121" s="1"/>
  <c r="BV11" i="120"/>
  <c r="BV178" i="120" s="1"/>
  <c r="FH10" i="121"/>
  <c r="BZ177" i="120"/>
  <c r="BW12" i="120"/>
  <c r="BV12" i="120" s="1"/>
  <c r="BX179" i="120"/>
  <c r="BX180" i="120" s="1"/>
  <c r="GH24" i="121"/>
  <c r="L59" i="121"/>
  <c r="B59" i="121"/>
  <c r="AG250" i="120"/>
  <c r="AP110" i="120"/>
  <c r="BE110" i="120" s="1"/>
  <c r="AG207" i="120"/>
  <c r="C45" i="118"/>
  <c r="D45" i="118" s="1"/>
  <c r="D44" i="118"/>
  <c r="AP52" i="120"/>
  <c r="BE52" i="120"/>
  <c r="AM52" i="120"/>
  <c r="FB82" i="121"/>
  <c r="FC83" i="121"/>
  <c r="BN51" i="120"/>
  <c r="BE51" i="120"/>
  <c r="J18" i="129"/>
  <c r="J16" i="129"/>
  <c r="ES83" i="121"/>
  <c r="GG41" i="123"/>
  <c r="GG42" i="123" s="1"/>
  <c r="EH42" i="123"/>
  <c r="S36" i="128"/>
  <c r="S29" i="128"/>
  <c r="D107" i="118"/>
  <c r="GG41" i="121"/>
  <c r="D77" i="116"/>
  <c r="D82" i="118"/>
  <c r="AP253" i="120"/>
  <c r="R250" i="120"/>
  <c r="B49" i="120"/>
  <c r="B264" i="120" s="1"/>
  <c r="S45" i="120"/>
  <c r="D254" i="120"/>
  <c r="R23" i="8"/>
  <c r="Q23" i="8"/>
  <c r="P24" i="8"/>
  <c r="M27" i="7"/>
  <c r="I63" i="7"/>
  <c r="H25" i="6"/>
  <c r="E45" i="6"/>
  <c r="AD38" i="6"/>
  <c r="AG38" i="6"/>
  <c r="AN15" i="17"/>
  <c r="AO15" i="17"/>
  <c r="T32" i="17"/>
  <c r="AP15" i="17"/>
  <c r="P13" i="8" s="1"/>
  <c r="P32" i="17"/>
  <c r="B15" i="3"/>
  <c r="B10" i="3"/>
  <c r="O19" i="81"/>
  <c r="P19" i="81"/>
  <c r="N22" i="81"/>
  <c r="M13" i="32"/>
  <c r="BD62" i="7"/>
  <c r="BD149" i="7" s="1"/>
  <c r="BE149" i="7"/>
  <c r="F21" i="61" s="1"/>
  <c r="S112" i="56"/>
  <c r="K121" i="56"/>
  <c r="P111" i="56"/>
  <c r="P121" i="56" s="1"/>
  <c r="BG103" i="6"/>
  <c r="BB103" i="6"/>
  <c r="BD103" i="6" s="1"/>
  <c r="BE103" i="6" s="1"/>
  <c r="BF103" i="6"/>
  <c r="BC103" i="6"/>
  <c r="BH103" i="6"/>
  <c r="AY87" i="6"/>
  <c r="BJ87" i="6"/>
  <c r="E332" i="69"/>
  <c r="E333" i="69" s="1"/>
  <c r="E334" i="69"/>
  <c r="DP29" i="121"/>
  <c r="DF29" i="121"/>
  <c r="AX40" i="121"/>
  <c r="AY30" i="121"/>
  <c r="AX30" i="121" s="1"/>
  <c r="T40" i="121"/>
  <c r="U30" i="121"/>
  <c r="T30" i="121" s="1"/>
  <c r="N51" i="61"/>
  <c r="N52" i="61" s="1"/>
  <c r="N53" i="61" s="1"/>
  <c r="I53" i="61"/>
  <c r="G9" i="87"/>
  <c r="E9" i="87" s="1"/>
  <c r="F26" i="87" s="1"/>
  <c r="F25" i="87" s="1"/>
  <c r="H21" i="65" s="1"/>
  <c r="AR62" i="3"/>
  <c r="CS60" i="72" s="1"/>
  <c r="M9" i="87"/>
  <c r="K9" i="87" s="1"/>
  <c r="L26" i="87" s="1"/>
  <c r="L25" i="87" s="1"/>
  <c r="Q21" i="65" s="1"/>
  <c r="R21" i="65" s="1"/>
  <c r="P36" i="66"/>
  <c r="P37" i="66" s="1"/>
  <c r="C40" i="73"/>
  <c r="D40" i="73" s="1"/>
  <c r="D39" i="73"/>
  <c r="Q83" i="121"/>
  <c r="T24" i="128"/>
  <c r="D107" i="116"/>
  <c r="AF48" i="121"/>
  <c r="Q116" i="120"/>
  <c r="CR45" i="8"/>
  <c r="J55" i="34"/>
  <c r="M55" i="34"/>
  <c r="E55" i="34"/>
  <c r="D55" i="34"/>
  <c r="H55" i="34"/>
  <c r="K55" i="34"/>
  <c r="N55" i="34"/>
  <c r="F55" i="34"/>
  <c r="I55" i="34"/>
  <c r="L55" i="34"/>
  <c r="O55" i="34"/>
  <c r="G55" i="34"/>
  <c r="AG42" i="6"/>
  <c r="AH42" i="6" s="1"/>
  <c r="AD42" i="6"/>
  <c r="N50" i="6"/>
  <c r="N41" i="8" s="1"/>
  <c r="N46" i="6"/>
  <c r="AD19" i="6"/>
  <c r="AC18" i="6"/>
  <c r="AD18" i="6" s="1"/>
  <c r="Z32" i="8"/>
  <c r="AF32" i="8"/>
  <c r="AJ32" i="8"/>
  <c r="AG52" i="5"/>
  <c r="AF48" i="5"/>
  <c r="AF19" i="7"/>
  <c r="AF142" i="7" s="1"/>
  <c r="AE142" i="7"/>
  <c r="AE17" i="7"/>
  <c r="AE63" i="7" s="1"/>
  <c r="AS91" i="8"/>
  <c r="AS17" i="8"/>
  <c r="AS51" i="8" s="1"/>
  <c r="AB71" i="8"/>
  <c r="AB68" i="8"/>
  <c r="AB74" i="8"/>
  <c r="AB75" i="8" s="1"/>
  <c r="AB70" i="8"/>
  <c r="BB98" i="8"/>
  <c r="F20" i="65" s="1"/>
  <c r="AZ50" i="8"/>
  <c r="BB31" i="8"/>
  <c r="AB82" i="6"/>
  <c r="BG82" i="6"/>
  <c r="BF82" i="6"/>
  <c r="AW82" i="6"/>
  <c r="AC82" i="6"/>
  <c r="AV82" i="6"/>
  <c r="BA82" i="6"/>
  <c r="AX82" i="6"/>
  <c r="BH82" i="6"/>
  <c r="BC82" i="6"/>
  <c r="BB82" i="6"/>
  <c r="BB65" i="8"/>
  <c r="BC100" i="8"/>
  <c r="AZ88" i="8"/>
  <c r="BA88" i="8" s="1"/>
  <c r="U10" i="70"/>
  <c r="U12" i="70" s="1"/>
  <c r="U20" i="70" s="1"/>
  <c r="BD54" i="9"/>
  <c r="BE54" i="9"/>
  <c r="DP30" i="121"/>
  <c r="AT28" i="71"/>
  <c r="V28" i="71"/>
  <c r="W28" i="71"/>
  <c r="U28" i="71"/>
  <c r="BB33" i="71"/>
  <c r="BQ33" i="71"/>
  <c r="BL33" i="71"/>
  <c r="CK52" i="72"/>
  <c r="S34" i="128"/>
  <c r="I19" i="128"/>
  <c r="BX12" i="121"/>
  <c r="BX13" i="121" s="1"/>
  <c r="D102" i="116"/>
  <c r="GH29" i="123"/>
  <c r="B135" i="120"/>
  <c r="R135" i="120"/>
  <c r="Q135" i="120" s="1"/>
  <c r="AH40" i="120"/>
  <c r="BB25" i="7"/>
  <c r="BB17" i="7" s="1"/>
  <c r="AZ24" i="7"/>
  <c r="AZ25" i="7" s="1"/>
  <c r="L63" i="7"/>
  <c r="L80" i="7" s="1"/>
  <c r="M80" i="7" s="1"/>
  <c r="V62" i="9"/>
  <c r="P54" i="9"/>
  <c r="AN62" i="9"/>
  <c r="Z35" i="8"/>
  <c r="AF35" i="8"/>
  <c r="AP36" i="7"/>
  <c r="AI36" i="7"/>
  <c r="AB36" i="7"/>
  <c r="BA149" i="7"/>
  <c r="AM149" i="7"/>
  <c r="BE129" i="7"/>
  <c r="BF87" i="7"/>
  <c r="AE21" i="19"/>
  <c r="AE40" i="19"/>
  <c r="AE30" i="19"/>
  <c r="AN30" i="19" s="1"/>
  <c r="AE16" i="19"/>
  <c r="AN16" i="19" s="1"/>
  <c r="AE37" i="19"/>
  <c r="AN37" i="19" s="1"/>
  <c r="AE29" i="19"/>
  <c r="AN29" i="19" s="1"/>
  <c r="AE19" i="19"/>
  <c r="AN19" i="19" s="1"/>
  <c r="AE27" i="19"/>
  <c r="AN27" i="19" s="1"/>
  <c r="AE9" i="19"/>
  <c r="AN9" i="19" s="1"/>
  <c r="AE35" i="19"/>
  <c r="AN35" i="19" s="1"/>
  <c r="AE26" i="19"/>
  <c r="AN26" i="19" s="1"/>
  <c r="AE17" i="19"/>
  <c r="AN17" i="19" s="1"/>
  <c r="AE32" i="19"/>
  <c r="AE34" i="19"/>
  <c r="AE39" i="19"/>
  <c r="AN39" i="19" s="1"/>
  <c r="AE24" i="19"/>
  <c r="AN24" i="19" s="1"/>
  <c r="AE42" i="19"/>
  <c r="AN42" i="19" s="1"/>
  <c r="AE33" i="19"/>
  <c r="AN33" i="19" s="1"/>
  <c r="AE25" i="19"/>
  <c r="AE28" i="19"/>
  <c r="AN28" i="19" s="1"/>
  <c r="AE22" i="19"/>
  <c r="AE20" i="19"/>
  <c r="AE36" i="19"/>
  <c r="AN36" i="19" s="1"/>
  <c r="AE18" i="19"/>
  <c r="AN18" i="19" s="1"/>
  <c r="AE13" i="19"/>
  <c r="AN13" i="19" s="1"/>
  <c r="AE31" i="19"/>
  <c r="AN31" i="19" s="1"/>
  <c r="AE23" i="19"/>
  <c r="AN23" i="19" s="1"/>
  <c r="AG59" i="19"/>
  <c r="AE60" i="19"/>
  <c r="I103" i="56"/>
  <c r="S102" i="56"/>
  <c r="Z166" i="6"/>
  <c r="Z173" i="6"/>
  <c r="Z172" i="6"/>
  <c r="Z169" i="6"/>
  <c r="Z174" i="6"/>
  <c r="Z171" i="6"/>
  <c r="Z168" i="6"/>
  <c r="Z167" i="6"/>
  <c r="Z170" i="6"/>
  <c r="C33" i="73"/>
  <c r="B34" i="73"/>
  <c r="B35" i="73" s="1"/>
  <c r="B9" i="59"/>
  <c r="M9" i="59" s="1"/>
  <c r="B14" i="59"/>
  <c r="M14" i="59" s="1"/>
  <c r="M12" i="59"/>
  <c r="S14" i="59"/>
  <c r="AG12" i="59"/>
  <c r="S9" i="59"/>
  <c r="BG40" i="121"/>
  <c r="BH30" i="121"/>
  <c r="BG30" i="121" s="1"/>
  <c r="AD8" i="71"/>
  <c r="AO24" i="71"/>
  <c r="AA24" i="71"/>
  <c r="BQ30" i="71"/>
  <c r="BL30" i="71"/>
  <c r="BB30" i="71"/>
  <c r="BL32" i="71"/>
  <c r="BQ32" i="71"/>
  <c r="BC32" i="71"/>
  <c r="BB32" i="71"/>
  <c r="AA14" i="72"/>
  <c r="AC14" i="72"/>
  <c r="AC17" i="72" s="1"/>
  <c r="O12" i="128"/>
  <c r="T12" i="128" s="1"/>
  <c r="D92" i="118"/>
  <c r="D82" i="116"/>
  <c r="N34" i="128"/>
  <c r="I34" i="128"/>
  <c r="J34" i="128" s="1"/>
  <c r="D25" i="118"/>
  <c r="GH42" i="123"/>
  <c r="D97" i="116"/>
  <c r="S52" i="120"/>
  <c r="Z29" i="8"/>
  <c r="AF29" i="8"/>
  <c r="AJ29" i="8"/>
  <c r="Y30" i="8"/>
  <c r="I39" i="3"/>
  <c r="I40" i="3" s="1"/>
  <c r="I45" i="3"/>
  <c r="I48" i="3"/>
  <c r="BY16" i="8"/>
  <c r="BY26" i="8" s="1"/>
  <c r="BY33" i="8" s="1"/>
  <c r="BY41" i="8" s="1"/>
  <c r="CB42" i="7"/>
  <c r="W83" i="7"/>
  <c r="W80" i="7"/>
  <c r="Y63" i="7"/>
  <c r="Y80" i="7" s="1"/>
  <c r="AD31" i="6"/>
  <c r="AC25" i="6"/>
  <c r="AD25" i="6" s="1"/>
  <c r="AG31" i="6"/>
  <c r="AG25" i="6" s="1"/>
  <c r="O40" i="7"/>
  <c r="O38" i="7" s="1"/>
  <c r="P38" i="7" s="1"/>
  <c r="P39" i="7"/>
  <c r="BH52" i="7"/>
  <c r="BI55" i="7"/>
  <c r="BG55" i="7" s="1"/>
  <c r="BG52" i="7" s="1"/>
  <c r="BG144" i="7" s="1"/>
  <c r="G18" i="56"/>
  <c r="L8" i="56"/>
  <c r="L18" i="56" s="1"/>
  <c r="AG53" i="7"/>
  <c r="AF52" i="7"/>
  <c r="AF144" i="7" s="1"/>
  <c r="BF54" i="9"/>
  <c r="BC55" i="9"/>
  <c r="BF55" i="9" s="1"/>
  <c r="J121" i="56"/>
  <c r="O111" i="56"/>
  <c r="O121" i="56" s="1"/>
  <c r="F36" i="64"/>
  <c r="I36" i="64" s="1"/>
  <c r="N36" i="64" s="1"/>
  <c r="P36" i="64" s="1"/>
  <c r="F10" i="68"/>
  <c r="F9" i="68"/>
  <c r="F12" i="68"/>
  <c r="F11" i="68"/>
  <c r="EM40" i="121"/>
  <c r="EN30" i="121"/>
  <c r="AO29" i="121"/>
  <c r="AO15" i="71"/>
  <c r="P30" i="71"/>
  <c r="T30" i="71"/>
  <c r="AN15" i="71"/>
  <c r="AP15" i="71"/>
  <c r="BQ26" i="71"/>
  <c r="BL26" i="71"/>
  <c r="BB26" i="71"/>
  <c r="BL27" i="71"/>
  <c r="BQ27" i="71"/>
  <c r="BC27" i="71"/>
  <c r="BB27" i="71"/>
  <c r="BL28" i="71"/>
  <c r="BB28" i="71"/>
  <c r="BQ28" i="71"/>
  <c r="BC28" i="71"/>
  <c r="BW31" i="71"/>
  <c r="BB31" i="71"/>
  <c r="BL31" i="71"/>
  <c r="BQ31" i="71"/>
  <c r="AS46" i="3"/>
  <c r="AS44" i="3" s="1"/>
  <c r="AS41" i="3" s="1"/>
  <c r="AS39" i="3" s="1"/>
  <c r="AR47" i="3"/>
  <c r="J9" i="87"/>
  <c r="AW63" i="7"/>
  <c r="AM36" i="7"/>
  <c r="BC143" i="7"/>
  <c r="I25" i="21"/>
  <c r="J63" i="7"/>
  <c r="J80" i="7" s="1"/>
  <c r="E63" i="7"/>
  <c r="E80" i="7" s="1"/>
  <c r="M27" i="8"/>
  <c r="U51" i="8"/>
  <c r="I26" i="21"/>
  <c r="AI159" i="7"/>
  <c r="AR92" i="8"/>
  <c r="AP89" i="8"/>
  <c r="AT13" i="8"/>
  <c r="AS40" i="8"/>
  <c r="AE150" i="7"/>
  <c r="D103" i="56"/>
  <c r="E121" i="56"/>
  <c r="E123" i="56" s="1"/>
  <c r="AG15" i="59"/>
  <c r="O15" i="59"/>
  <c r="F36" i="66"/>
  <c r="F121" i="56"/>
  <c r="F123" i="56" s="1"/>
  <c r="C10" i="62"/>
  <c r="D13" i="68"/>
  <c r="D15" i="68" s="1"/>
  <c r="AU65" i="9"/>
  <c r="EW29" i="121"/>
  <c r="EV29" i="121" s="1"/>
  <c r="DO29" i="121"/>
  <c r="BF37" i="71"/>
  <c r="BH37" i="71" s="1"/>
  <c r="U31" i="71"/>
  <c r="U32" i="71"/>
  <c r="AO16" i="71"/>
  <c r="AY32" i="71"/>
  <c r="AX28" i="71"/>
  <c r="AY27" i="71"/>
  <c r="AA26" i="71"/>
  <c r="AP18" i="71"/>
  <c r="AX30" i="71"/>
  <c r="BJ29" i="71"/>
  <c r="BJ37" i="71" s="1"/>
  <c r="P27" i="71"/>
  <c r="T33" i="71"/>
  <c r="BC33" i="71" s="1"/>
  <c r="AV14" i="71"/>
  <c r="AM29" i="71"/>
  <c r="BO29" i="71"/>
  <c r="BN32" i="71"/>
  <c r="BU32" i="71" s="1"/>
  <c r="AH147" i="120"/>
  <c r="BP60" i="72"/>
  <c r="K46" i="61"/>
  <c r="N13" i="72"/>
  <c r="V64" i="121"/>
  <c r="AE64" i="121"/>
  <c r="R23" i="64"/>
  <c r="R10" i="64"/>
  <c r="R35" i="64" s="1"/>
  <c r="D23" i="61"/>
  <c r="D23" i="66"/>
  <c r="AO41" i="3"/>
  <c r="AO39" i="3" s="1"/>
  <c r="AO43" i="3" s="1"/>
  <c r="AO44" i="3"/>
  <c r="R37" i="66"/>
  <c r="S36" i="66"/>
  <c r="L23" i="64"/>
  <c r="L10" i="64"/>
  <c r="V10" i="64"/>
  <c r="V35" i="64" s="1"/>
  <c r="V23" i="64"/>
  <c r="U38" i="65"/>
  <c r="T38" i="65"/>
  <c r="BJ14" i="19"/>
  <c r="BJ13" i="19" s="1"/>
  <c r="BI13" i="19"/>
  <c r="T33" i="98"/>
  <c r="S18" i="98"/>
  <c r="AT13" i="10"/>
  <c r="CF10" i="7"/>
  <c r="CF138" i="7" s="1"/>
  <c r="AB52" i="65"/>
  <c r="S206" i="122"/>
  <c r="AH206" i="122" s="1"/>
  <c r="AH62" i="122"/>
  <c r="BF63" i="122"/>
  <c r="BL63" i="122" s="1"/>
  <c r="AN63" i="122"/>
  <c r="AQ63" i="122"/>
  <c r="X40" i="92"/>
  <c r="F10" i="92"/>
  <c r="F8" i="92" s="1"/>
  <c r="E54" i="97"/>
  <c r="E40" i="97"/>
  <c r="F38" i="97"/>
  <c r="BZ33" i="7"/>
  <c r="CA33" i="7"/>
  <c r="BP141" i="7"/>
  <c r="BP25" i="7"/>
  <c r="AK55" i="5"/>
  <c r="AK52" i="5"/>
  <c r="AK53" i="5"/>
  <c r="AK54" i="5"/>
  <c r="AL46" i="6"/>
  <c r="AL53" i="6"/>
  <c r="AL51" i="6"/>
  <c r="AL54" i="6"/>
  <c r="BE50" i="19"/>
  <c r="BT24" i="19" s="1"/>
  <c r="AQ44" i="120"/>
  <c r="D242" i="120"/>
  <c r="AA87" i="8"/>
  <c r="N72" i="56"/>
  <c r="AA51" i="5"/>
  <c r="F51" i="8"/>
  <c r="F68" i="8" s="1"/>
  <c r="AJ35" i="8"/>
  <c r="O83" i="56"/>
  <c r="AP25" i="9"/>
  <c r="M17" i="7"/>
  <c r="M63" i="7" s="1"/>
  <c r="AA55" i="9"/>
  <c r="O15" i="11"/>
  <c r="D49" i="19"/>
  <c r="M55" i="11"/>
  <c r="AN32" i="11" s="1"/>
  <c r="W11" i="70"/>
  <c r="P78" i="9"/>
  <c r="AR42" i="8"/>
  <c r="AR93" i="8" s="1"/>
  <c r="AG141" i="7"/>
  <c r="AT34" i="8"/>
  <c r="BD43" i="11"/>
  <c r="BA159" i="7"/>
  <c r="AF138" i="7"/>
  <c r="AW28" i="8"/>
  <c r="AZ87" i="6"/>
  <c r="BE87" i="6" s="1"/>
  <c r="AG14" i="59"/>
  <c r="E253" i="69"/>
  <c r="E266" i="69" s="1"/>
  <c r="E279" i="69" s="1"/>
  <c r="EM29" i="121"/>
  <c r="FN29" i="121" s="1"/>
  <c r="U29" i="121"/>
  <c r="T29" i="121" s="1"/>
  <c r="AC29" i="121" s="1"/>
  <c r="AY29" i="121"/>
  <c r="AX29" i="121" s="1"/>
  <c r="F119" i="106"/>
  <c r="AN45" i="3"/>
  <c r="AN44" i="3" s="1"/>
  <c r="I48" i="85"/>
  <c r="J47" i="85"/>
  <c r="S38" i="61"/>
  <c r="Q24" i="98"/>
  <c r="R9" i="98"/>
  <c r="R24" i="98" s="1"/>
  <c r="L68" i="32"/>
  <c r="L65" i="32"/>
  <c r="M64" i="32"/>
  <c r="BG99" i="8"/>
  <c r="BR101" i="8"/>
  <c r="BR103" i="8"/>
  <c r="AH64" i="122"/>
  <c r="S208" i="122"/>
  <c r="AH208" i="122" s="1"/>
  <c r="B25" i="105"/>
  <c r="X41" i="92"/>
  <c r="BM145" i="122"/>
  <c r="CL11" i="122"/>
  <c r="BK53" i="8"/>
  <c r="BK70" i="8"/>
  <c r="BK68" i="8"/>
  <c r="BK71" i="8"/>
  <c r="BQ42" i="19"/>
  <c r="CR55" i="8"/>
  <c r="CR54" i="8" s="1"/>
  <c r="CJ168" i="7"/>
  <c r="AX86" i="8"/>
  <c r="AL138" i="7"/>
  <c r="E104" i="7"/>
  <c r="X63" i="7"/>
  <c r="D80" i="7"/>
  <c r="AQ62" i="9"/>
  <c r="I51" i="8"/>
  <c r="AS58" i="7"/>
  <c r="AE38" i="19"/>
  <c r="AN38" i="19" s="1"/>
  <c r="AS22" i="7"/>
  <c r="W51" i="8"/>
  <c r="D45" i="6"/>
  <c r="T27" i="17"/>
  <c r="O14" i="17"/>
  <c r="N14" i="17" s="1"/>
  <c r="H14" i="17"/>
  <c r="Y29" i="11"/>
  <c r="Y39" i="11" s="1"/>
  <c r="AM31" i="17"/>
  <c r="AK63" i="7"/>
  <c r="BC52" i="7"/>
  <c r="BC144" i="7" s="1"/>
  <c r="AG138" i="7"/>
  <c r="AG143" i="7"/>
  <c r="BH41" i="11"/>
  <c r="AS92" i="8"/>
  <c r="I60" i="56"/>
  <c r="AD102" i="6"/>
  <c r="AZ102" i="6" s="1"/>
  <c r="I197" i="57"/>
  <c r="BD28" i="7" s="1"/>
  <c r="AU66" i="9"/>
  <c r="BB50" i="9" s="1"/>
  <c r="K20" i="70"/>
  <c r="AH10" i="71"/>
  <c r="Y29" i="71"/>
  <c r="D22" i="65"/>
  <c r="D9" i="65"/>
  <c r="D38" i="65" s="1"/>
  <c r="AX48" i="3"/>
  <c r="AX40" i="3"/>
  <c r="I69" i="85"/>
  <c r="J68" i="85"/>
  <c r="U38" i="61"/>
  <c r="AJ13" i="10"/>
  <c r="AK8" i="10"/>
  <c r="AL8" i="10" s="1"/>
  <c r="AL13" i="10" s="1"/>
  <c r="AS13" i="19"/>
  <c r="AT14" i="19"/>
  <c r="AT13" i="19" s="1"/>
  <c r="D65" i="32"/>
  <c r="D72" i="32" s="1"/>
  <c r="D19" i="104" s="1"/>
  <c r="D23" i="104" s="1"/>
  <c r="M16" i="64" s="1"/>
  <c r="M14" i="64" s="1"/>
  <c r="BH70" i="8"/>
  <c r="BH71" i="8"/>
  <c r="BH68" i="8"/>
  <c r="BZ171" i="7"/>
  <c r="AE15" i="61"/>
  <c r="AF15" i="61" s="1"/>
  <c r="AN100" i="120"/>
  <c r="AQ100" i="120"/>
  <c r="BF100" i="120"/>
  <c r="BL100" i="120" s="1"/>
  <c r="BS48" i="8"/>
  <c r="M15" i="102"/>
  <c r="N13" i="102"/>
  <c r="BQ155" i="7"/>
  <c r="BQ157" i="7"/>
  <c r="BL104" i="8"/>
  <c r="BL106" i="8"/>
  <c r="BL107" i="8" s="1"/>
  <c r="BZ15" i="7"/>
  <c r="CA15" i="7"/>
  <c r="BJ51" i="8"/>
  <c r="BL70" i="8"/>
  <c r="BL71" i="8"/>
  <c r="BL68" i="8"/>
  <c r="BQ34" i="19"/>
  <c r="BQ31" i="19"/>
  <c r="BQ39" i="19"/>
  <c r="BQ21" i="19"/>
  <c r="BQ29" i="19"/>
  <c r="BQ33" i="19"/>
  <c r="BQ28" i="19"/>
  <c r="BQ40" i="19"/>
  <c r="BF50" i="19"/>
  <c r="BU39" i="19" s="1"/>
  <c r="BG50" i="19"/>
  <c r="BV26" i="19" s="1"/>
  <c r="BQ26" i="19"/>
  <c r="AH42" i="120"/>
  <c r="C242" i="120"/>
  <c r="CR8" i="8"/>
  <c r="AW143" i="7"/>
  <c r="AW150" i="7" s="1"/>
  <c r="B10" i="56"/>
  <c r="B9" i="56" s="1"/>
  <c r="AY18" i="8"/>
  <c r="AY86" i="8" s="1"/>
  <c r="AJ150" i="7"/>
  <c r="AK87" i="8"/>
  <c r="H41" i="7"/>
  <c r="F25" i="7"/>
  <c r="F17" i="7" s="1"/>
  <c r="F63" i="7" s="1"/>
  <c r="F80" i="7" s="1"/>
  <c r="M8" i="8"/>
  <c r="R38" i="9"/>
  <c r="B60" i="19"/>
  <c r="K14" i="21"/>
  <c r="BC138" i="7"/>
  <c r="AG140" i="7"/>
  <c r="I49" i="19"/>
  <c r="D30" i="73"/>
  <c r="AW108" i="8"/>
  <c r="Z140" i="6"/>
  <c r="H20" i="70"/>
  <c r="DO30" i="121"/>
  <c r="BC31" i="71"/>
  <c r="J9" i="65"/>
  <c r="J38" i="65" s="1"/>
  <c r="J22" i="65"/>
  <c r="B45" i="73"/>
  <c r="D45" i="73" s="1"/>
  <c r="D44" i="73"/>
  <c r="J15" i="85"/>
  <c r="I16" i="85"/>
  <c r="R38" i="61"/>
  <c r="X36" i="61"/>
  <c r="BW79" i="7"/>
  <c r="BW151" i="7" s="1"/>
  <c r="BW64" i="7" s="1"/>
  <c r="T10" i="64"/>
  <c r="T35" i="64" s="1"/>
  <c r="T23" i="64"/>
  <c r="BI71" i="8"/>
  <c r="BI70" i="8"/>
  <c r="BI68" i="8"/>
  <c r="BB18" i="5"/>
  <c r="BB17" i="5" s="1"/>
  <c r="AX17" i="5"/>
  <c r="AE18" i="61"/>
  <c r="AF18" i="61" s="1"/>
  <c r="BZ174" i="7"/>
  <c r="BZ146" i="7"/>
  <c r="BY61" i="7"/>
  <c r="BY146" i="7" s="1"/>
  <c r="C15" i="107"/>
  <c r="C14" i="107"/>
  <c r="G119" i="106" s="1"/>
  <c r="Q9" i="122"/>
  <c r="AH9" i="122"/>
  <c r="S125" i="122"/>
  <c r="AH125" i="122" s="1"/>
  <c r="S143" i="122"/>
  <c r="BQ16" i="19"/>
  <c r="AY50" i="19"/>
  <c r="AZ50" i="19"/>
  <c r="BQ19" i="19"/>
  <c r="S16" i="82"/>
  <c r="Q16" i="82" s="1"/>
  <c r="D69" i="81"/>
  <c r="U42" i="10"/>
  <c r="Y47" i="3"/>
  <c r="C7" i="91"/>
  <c r="A7" i="91" s="1"/>
  <c r="B48" i="85" s="1"/>
  <c r="D48" i="85" s="1"/>
  <c r="C9" i="91"/>
  <c r="A9" i="91" s="1"/>
  <c r="B50" i="85" s="1"/>
  <c r="D50" i="85" s="1"/>
  <c r="C36" i="91"/>
  <c r="A36" i="91" s="1"/>
  <c r="B65" i="85" s="1"/>
  <c r="D65" i="85" s="1"/>
  <c r="C37" i="91"/>
  <c r="A37" i="91" s="1"/>
  <c r="B66" i="85" s="1"/>
  <c r="D66" i="85" s="1"/>
  <c r="C38" i="91"/>
  <c r="A38" i="91" s="1"/>
  <c r="B67" i="85" s="1"/>
  <c r="D67" i="85" s="1"/>
  <c r="C39" i="91"/>
  <c r="A39" i="91" s="1"/>
  <c r="B68" i="85" s="1"/>
  <c r="D68" i="85" s="1"/>
  <c r="E23" i="61"/>
  <c r="J46" i="85"/>
  <c r="S10" i="64"/>
  <c r="S35" i="64" s="1"/>
  <c r="L22" i="65"/>
  <c r="AH54" i="5"/>
  <c r="BQ24" i="19"/>
  <c r="AI55" i="5"/>
  <c r="AL53" i="5"/>
  <c r="AN30" i="5"/>
  <c r="AO30" i="6"/>
  <c r="AP34" i="6"/>
  <c r="AJ45" i="6"/>
  <c r="BQ36" i="19"/>
  <c r="L63" i="96"/>
  <c r="L43" i="96"/>
  <c r="R148" i="120"/>
  <c r="D197" i="120"/>
  <c r="D49" i="121" s="1"/>
  <c r="J8" i="100"/>
  <c r="U25" i="95"/>
  <c r="U78" i="10"/>
  <c r="C68" i="32"/>
  <c r="X65" i="32"/>
  <c r="BR68" i="8"/>
  <c r="BP17" i="8"/>
  <c r="Z47" i="65"/>
  <c r="BG27" i="8"/>
  <c r="BE99" i="8"/>
  <c r="BI99" i="8"/>
  <c r="BG101" i="8"/>
  <c r="BQ99" i="8"/>
  <c r="AM17" i="5"/>
  <c r="J26" i="96"/>
  <c r="AO29" i="6"/>
  <c r="L36" i="96"/>
  <c r="L31" i="96"/>
  <c r="AH53" i="122"/>
  <c r="E56" i="97"/>
  <c r="C16" i="111"/>
  <c r="D12" i="111"/>
  <c r="C11" i="111"/>
  <c r="BC46" i="3"/>
  <c r="BC44" i="3" s="1"/>
  <c r="BY20" i="7"/>
  <c r="BY138" i="7" s="1"/>
  <c r="M13" i="98"/>
  <c r="M43" i="98"/>
  <c r="BQ158" i="7"/>
  <c r="BQ152" i="7"/>
  <c r="BM8" i="8"/>
  <c r="BP143" i="7"/>
  <c r="CK38" i="17"/>
  <c r="D69" i="68"/>
  <c r="BW123" i="8"/>
  <c r="BQ37" i="19"/>
  <c r="BA12" i="19"/>
  <c r="CM44" i="8"/>
  <c r="CH14" i="19"/>
  <c r="CH13" i="19" s="1"/>
  <c r="CF14" i="19"/>
  <c r="CF13" i="19" s="1"/>
  <c r="CE14" i="19"/>
  <c r="CE13" i="19" s="1"/>
  <c r="CC14" i="19"/>
  <c r="CC13" i="19" s="1"/>
  <c r="CD14" i="19"/>
  <c r="CD13" i="19" s="1"/>
  <c r="CR46" i="8"/>
  <c r="CN58" i="7"/>
  <c r="CN145" i="7" s="1"/>
  <c r="CN150" i="7" s="1"/>
  <c r="AQ122" i="120"/>
  <c r="BF122" i="120" s="1"/>
  <c r="AN122" i="120"/>
  <c r="S249" i="120"/>
  <c r="AH116" i="120"/>
  <c r="AQ107" i="120"/>
  <c r="AN107" i="120"/>
  <c r="AG132" i="120"/>
  <c r="Q132" i="120"/>
  <c r="B13" i="72"/>
  <c r="AU72" i="72"/>
  <c r="J10" i="66"/>
  <c r="J38" i="66" s="1"/>
  <c r="F46" i="79"/>
  <c r="I42" i="79" s="1"/>
  <c r="F73" i="81"/>
  <c r="F91" i="81"/>
  <c r="K8" i="84"/>
  <c r="Z44" i="3"/>
  <c r="V38" i="32"/>
  <c r="G18" i="86" s="1"/>
  <c r="G21" i="86" s="1"/>
  <c r="J19" i="87" s="1"/>
  <c r="P22" i="65"/>
  <c r="B18" i="88"/>
  <c r="I10" i="89"/>
  <c r="I13" i="89"/>
  <c r="I40" i="89"/>
  <c r="A40" i="89" s="1"/>
  <c r="B37" i="85" s="1"/>
  <c r="D37" i="85" s="1"/>
  <c r="G2" i="91"/>
  <c r="C8" i="91"/>
  <c r="A8" i="91" s="1"/>
  <c r="B49" i="85" s="1"/>
  <c r="D49" i="85" s="1"/>
  <c r="C12" i="91"/>
  <c r="A12" i="91" s="1"/>
  <c r="B53" i="85" s="1"/>
  <c r="D53" i="85" s="1"/>
  <c r="J30" i="91"/>
  <c r="J28" i="91" s="1"/>
  <c r="C40" i="91"/>
  <c r="A40" i="91" s="1"/>
  <c r="B69" i="85" s="1"/>
  <c r="D69" i="85" s="1"/>
  <c r="E23" i="64"/>
  <c r="AQ46" i="3"/>
  <c r="AQ44" i="3" s="1"/>
  <c r="AX62" i="3"/>
  <c r="I36" i="85"/>
  <c r="I51" i="85"/>
  <c r="V9" i="65"/>
  <c r="V35" i="65" s="1"/>
  <c r="V38" i="65" s="1"/>
  <c r="BS17" i="7"/>
  <c r="BJ138" i="7"/>
  <c r="B148" i="120"/>
  <c r="B214" i="120" s="1"/>
  <c r="AI13" i="10"/>
  <c r="P64" i="32"/>
  <c r="AB47" i="65"/>
  <c r="O73" i="32"/>
  <c r="BT97" i="8"/>
  <c r="BT120" i="8" s="1"/>
  <c r="BJ69" i="8"/>
  <c r="BD8" i="8"/>
  <c r="BD51" i="8" s="1"/>
  <c r="BE51" i="8"/>
  <c r="L11" i="96"/>
  <c r="J36" i="96"/>
  <c r="J37" i="96" s="1"/>
  <c r="BF220" i="122"/>
  <c r="BL220" i="122" s="1"/>
  <c r="AH68" i="122"/>
  <c r="S199" i="120"/>
  <c r="AQ51" i="121" s="1"/>
  <c r="B19" i="105"/>
  <c r="J53" i="97"/>
  <c r="D8" i="111"/>
  <c r="BS28" i="8"/>
  <c r="BT28" i="8" s="1"/>
  <c r="E48" i="97"/>
  <c r="M52" i="95"/>
  <c r="M24" i="98"/>
  <c r="M28" i="98" s="1"/>
  <c r="BQ176" i="7"/>
  <c r="D68" i="68"/>
  <c r="D71" i="68" s="1"/>
  <c r="AN11" i="5"/>
  <c r="AN12" i="5" s="1"/>
  <c r="AK45" i="6"/>
  <c r="CG54" i="7"/>
  <c r="CS121" i="8"/>
  <c r="CS99" i="8"/>
  <c r="AJ16" i="66"/>
  <c r="AJ14" i="66" s="1"/>
  <c r="AQ63" i="32"/>
  <c r="AO69" i="32"/>
  <c r="AQ69" i="32" s="1"/>
  <c r="AO61" i="32"/>
  <c r="AO70" i="32" s="1"/>
  <c r="N58" i="96"/>
  <c r="N53" i="96"/>
  <c r="N48" i="96"/>
  <c r="CO46" i="8"/>
  <c r="CR52" i="8"/>
  <c r="AF66" i="120"/>
  <c r="AP66" i="120"/>
  <c r="BE66" i="120" s="1"/>
  <c r="AP134" i="120"/>
  <c r="BE134" i="120" s="1"/>
  <c r="AQ136" i="120"/>
  <c r="AN136" i="120"/>
  <c r="Y13" i="72"/>
  <c r="Y17" i="72"/>
  <c r="R33" i="72"/>
  <c r="AA55" i="72"/>
  <c r="AV74" i="72"/>
  <c r="AU74" i="72" s="1"/>
  <c r="K76" i="72"/>
  <c r="AL50" i="72" s="1"/>
  <c r="AH102" i="120"/>
  <c r="AI41" i="3"/>
  <c r="AI39" i="3" s="1"/>
  <c r="Z19" i="10"/>
  <c r="D69" i="78"/>
  <c r="D12" i="84"/>
  <c r="AL48" i="3"/>
  <c r="BG143" i="7"/>
  <c r="BG139" i="7"/>
  <c r="BG138" i="7"/>
  <c r="AD19" i="10"/>
  <c r="I5" i="89"/>
  <c r="I7" i="89"/>
  <c r="A7" i="89" s="1"/>
  <c r="B16" i="85" s="1"/>
  <c r="D16" i="85" s="1"/>
  <c r="A12" i="89"/>
  <c r="B21" i="85" s="1"/>
  <c r="D21" i="85" s="1"/>
  <c r="A13" i="89"/>
  <c r="B22" i="85" s="1"/>
  <c r="D22" i="85" s="1"/>
  <c r="I34" i="89"/>
  <c r="I35" i="89"/>
  <c r="A35" i="89" s="1"/>
  <c r="B32" i="85" s="1"/>
  <c r="D32" i="85" s="1"/>
  <c r="C3" i="91"/>
  <c r="A3" i="91" s="1"/>
  <c r="B44" i="85" s="1"/>
  <c r="J2" i="91"/>
  <c r="C10" i="91"/>
  <c r="A10" i="91" s="1"/>
  <c r="B51" i="85" s="1"/>
  <c r="D51" i="85" s="1"/>
  <c r="C11" i="91"/>
  <c r="A11" i="91" s="1"/>
  <c r="B52" i="85" s="1"/>
  <c r="D52" i="85" s="1"/>
  <c r="C33" i="91"/>
  <c r="A33" i="91" s="1"/>
  <c r="B62" i="85" s="1"/>
  <c r="D62" i="85" s="1"/>
  <c r="E25" i="87"/>
  <c r="J67" i="85"/>
  <c r="T10" i="61"/>
  <c r="T35" i="61" s="1"/>
  <c r="T38" i="61" s="1"/>
  <c r="W9" i="65"/>
  <c r="W35" i="65" s="1"/>
  <c r="W38" i="65" s="1"/>
  <c r="U14" i="66"/>
  <c r="U11" i="66" s="1"/>
  <c r="BJ143" i="7"/>
  <c r="BS140" i="7"/>
  <c r="BW24" i="17"/>
  <c r="BW31" i="17"/>
  <c r="BV31" i="17" s="1"/>
  <c r="BV40" i="17" s="1"/>
  <c r="BZ31" i="17"/>
  <c r="BY31" i="17" s="1"/>
  <c r="BY40" i="17" s="1"/>
  <c r="CO24" i="17"/>
  <c r="CO31" i="17"/>
  <c r="CN31" i="17" s="1"/>
  <c r="CN40" i="17" s="1"/>
  <c r="H43" i="68"/>
  <c r="L66" i="96"/>
  <c r="BQ23" i="19"/>
  <c r="AI47" i="5"/>
  <c r="BU18" i="19"/>
  <c r="AC47" i="65"/>
  <c r="U73" i="10"/>
  <c r="U75" i="10" s="1"/>
  <c r="T27" i="95"/>
  <c r="BW45" i="7" s="1"/>
  <c r="BV45" i="7" s="1"/>
  <c r="F9" i="101"/>
  <c r="BF70" i="8"/>
  <c r="BS44" i="8"/>
  <c r="BD99" i="8"/>
  <c r="BQ51" i="8"/>
  <c r="BR53" i="8"/>
  <c r="BS87" i="8"/>
  <c r="S216" i="122"/>
  <c r="AH216" i="122" s="1"/>
  <c r="AN216" i="122" s="1"/>
  <c r="BP150" i="7"/>
  <c r="BR63" i="7"/>
  <c r="BR65" i="7" s="1"/>
  <c r="BN51" i="8"/>
  <c r="BN53" i="8" s="1"/>
  <c r="G73" i="32"/>
  <c r="AS68" i="32"/>
  <c r="AT64" i="32"/>
  <c r="AS65" i="32"/>
  <c r="AT65" i="32" s="1"/>
  <c r="AT72" i="32" s="1"/>
  <c r="AZ55" i="5"/>
  <c r="AZ52" i="5"/>
  <c r="AZ54" i="5"/>
  <c r="AZ53" i="5"/>
  <c r="AS53" i="6"/>
  <c r="AT53" i="6" s="1"/>
  <c r="AU53" i="6" s="1"/>
  <c r="AS54" i="6"/>
  <c r="AT54" i="6" s="1"/>
  <c r="AU54" i="6" s="1"/>
  <c r="AS51" i="6"/>
  <c r="AT51" i="6" s="1"/>
  <c r="AU51" i="6" s="1"/>
  <c r="AS52" i="6"/>
  <c r="AT52" i="6" s="1"/>
  <c r="AU52" i="6" s="1"/>
  <c r="CK169" i="7"/>
  <c r="AI13" i="64" s="1"/>
  <c r="CK67" i="7"/>
  <c r="CK66" i="7" s="1"/>
  <c r="AU19" i="10"/>
  <c r="B39" i="124"/>
  <c r="AD9" i="123"/>
  <c r="C62" i="123"/>
  <c r="AG125" i="120"/>
  <c r="AG198" i="120" s="1"/>
  <c r="Q125" i="120"/>
  <c r="AI68" i="32"/>
  <c r="AK68" i="32" s="1"/>
  <c r="C9" i="118"/>
  <c r="D8" i="118"/>
  <c r="CG173" i="7"/>
  <c r="CG147" i="7"/>
  <c r="CF59" i="7"/>
  <c r="CF147" i="7" s="1"/>
  <c r="AX17" i="61"/>
  <c r="AQ140" i="120"/>
  <c r="AN140" i="120"/>
  <c r="AM122" i="120"/>
  <c r="AF122" i="120"/>
  <c r="AP122" i="120"/>
  <c r="BE122" i="120" s="1"/>
  <c r="Q136" i="120"/>
  <c r="AH120" i="120"/>
  <c r="S119" i="120"/>
  <c r="AH119" i="120" s="1"/>
  <c r="CL73" i="120"/>
  <c r="B139" i="120"/>
  <c r="O65" i="125"/>
  <c r="BY80" i="121"/>
  <c r="AA51" i="72"/>
  <c r="AQ146" i="120"/>
  <c r="B19" i="73"/>
  <c r="B20" i="78"/>
  <c r="L17" i="80"/>
  <c r="O8" i="81"/>
  <c r="F49" i="81"/>
  <c r="B74" i="78"/>
  <c r="C74" i="78" s="1"/>
  <c r="H32" i="78"/>
  <c r="M51" i="78"/>
  <c r="K6" i="84"/>
  <c r="BG33" i="7"/>
  <c r="BG27" i="7" s="1"/>
  <c r="G10" i="61"/>
  <c r="G38" i="61" s="1"/>
  <c r="G40" i="61" s="1"/>
  <c r="G43" i="61" s="1"/>
  <c r="P2" i="89"/>
  <c r="I11" i="89"/>
  <c r="P30" i="89"/>
  <c r="P28" i="89" s="1"/>
  <c r="I33" i="89"/>
  <c r="A33" i="89" s="1"/>
  <c r="B30" i="85" s="1"/>
  <c r="D30" i="85" s="1"/>
  <c r="E22" i="65"/>
  <c r="M22" i="61"/>
  <c r="J47" i="95"/>
  <c r="J52" i="95" s="1"/>
  <c r="AP13" i="10"/>
  <c r="Z22" i="61" s="1"/>
  <c r="AM19" i="10"/>
  <c r="V25" i="95"/>
  <c r="BG51" i="8"/>
  <c r="BP51" i="8"/>
  <c r="C28" i="105"/>
  <c r="C22" i="105" s="1"/>
  <c r="C17" i="105" s="1"/>
  <c r="M18" i="98"/>
  <c r="BN63" i="7"/>
  <c r="BN65" i="7" s="1"/>
  <c r="BL53" i="8"/>
  <c r="BM99" i="8"/>
  <c r="BM101" i="8" s="1"/>
  <c r="BC50" i="19"/>
  <c r="S113" i="122"/>
  <c r="AP68" i="32"/>
  <c r="AQ68" i="32" s="1"/>
  <c r="AP65" i="32"/>
  <c r="AQ65" i="32" s="1"/>
  <c r="AQ72" i="32" s="1"/>
  <c r="V19" i="104" s="1"/>
  <c r="V23" i="104" s="1"/>
  <c r="AQ64" i="32"/>
  <c r="BF45" i="3"/>
  <c r="BF44" i="3" s="1"/>
  <c r="AZ36" i="61"/>
  <c r="CJ151" i="7"/>
  <c r="CJ64" i="7" s="1"/>
  <c r="AG52" i="95"/>
  <c r="AN144" i="120"/>
  <c r="AQ144" i="120"/>
  <c r="BF144" i="120" s="1"/>
  <c r="AH210" i="120"/>
  <c r="AN210" i="120" s="1"/>
  <c r="D13" i="118"/>
  <c r="C14" i="118"/>
  <c r="AN112" i="120"/>
  <c r="AQ112" i="120"/>
  <c r="BF112" i="120" s="1"/>
  <c r="AH251" i="120"/>
  <c r="AN251" i="120" s="1"/>
  <c r="B269" i="120"/>
  <c r="AM142" i="120"/>
  <c r="AP142" i="120"/>
  <c r="BN142" i="120" s="1"/>
  <c r="AN131" i="120"/>
  <c r="AQ131" i="120"/>
  <c r="BO131" i="120" s="1"/>
  <c r="FE85" i="121"/>
  <c r="FN88" i="121"/>
  <c r="FN85" i="121" s="1"/>
  <c r="G56" i="114"/>
  <c r="G64" i="114"/>
  <c r="E110" i="116"/>
  <c r="E111" i="116" s="1"/>
  <c r="CI12" i="7"/>
  <c r="CI8" i="7" s="1"/>
  <c r="CL141" i="7"/>
  <c r="CL31" i="7"/>
  <c r="CP43" i="7"/>
  <c r="CL59" i="7"/>
  <c r="CL147" i="7" s="1"/>
  <c r="O53" i="96"/>
  <c r="CQ23" i="8"/>
  <c r="CQ25" i="8" s="1"/>
  <c r="AL63" i="32"/>
  <c r="CP100" i="8"/>
  <c r="CS100" i="8"/>
  <c r="CS52" i="8" s="1"/>
  <c r="AY46" i="5"/>
  <c r="AR53" i="6"/>
  <c r="AG17" i="95"/>
  <c r="AF17" i="95"/>
  <c r="AQ45" i="6"/>
  <c r="AF42" i="98"/>
  <c r="AE38" i="98"/>
  <c r="DF38" i="17"/>
  <c r="DF31" i="17"/>
  <c r="DF40" i="17" s="1"/>
  <c r="U7" i="102"/>
  <c r="CO48" i="8"/>
  <c r="CO62" i="123"/>
  <c r="BH8" i="123"/>
  <c r="BQ8" i="123" s="1"/>
  <c r="CX8" i="123"/>
  <c r="DP8" i="123" s="1"/>
  <c r="FF8" i="123"/>
  <c r="FO8" i="123" s="1"/>
  <c r="BH9" i="123"/>
  <c r="EW9" i="123"/>
  <c r="FF9" i="123"/>
  <c r="Q66" i="120"/>
  <c r="S78" i="122"/>
  <c r="B9" i="118"/>
  <c r="B10" i="118" s="1"/>
  <c r="H6" i="119"/>
  <c r="CM142" i="120"/>
  <c r="AP118" i="120"/>
  <c r="AG117" i="120"/>
  <c r="CN131" i="120"/>
  <c r="CN109" i="120"/>
  <c r="AG121" i="120"/>
  <c r="Q118" i="120"/>
  <c r="S110" i="120"/>
  <c r="D253" i="120"/>
  <c r="R141" i="120"/>
  <c r="R120" i="120"/>
  <c r="B121" i="120"/>
  <c r="B267" i="120" s="1"/>
  <c r="BZ74" i="121"/>
  <c r="B118" i="120"/>
  <c r="AG133" i="120"/>
  <c r="AH133" i="120"/>
  <c r="N60" i="125"/>
  <c r="AN75" i="121"/>
  <c r="AK67" i="32"/>
  <c r="G12" i="114"/>
  <c r="G17" i="114" s="1"/>
  <c r="G63" i="114"/>
  <c r="CL138" i="7"/>
  <c r="CL43" i="7"/>
  <c r="CQ92" i="8"/>
  <c r="CQ34" i="8"/>
  <c r="BH49" i="3"/>
  <c r="AR52" i="6"/>
  <c r="AG12" i="95"/>
  <c r="CB49" i="19"/>
  <c r="CG50" i="19" s="1"/>
  <c r="CB12" i="19"/>
  <c r="CF49" i="19"/>
  <c r="AN68" i="32"/>
  <c r="U21" i="102"/>
  <c r="CI27" i="19"/>
  <c r="CI49" i="19" s="1"/>
  <c r="DP9" i="123"/>
  <c r="W16" i="126" s="1"/>
  <c r="AY62" i="123"/>
  <c r="B125" i="120"/>
  <c r="AD22" i="98"/>
  <c r="CM9" i="8" s="1"/>
  <c r="CM8" i="8" s="1"/>
  <c r="Q131" i="120"/>
  <c r="AG131" i="120"/>
  <c r="AZ52" i="121"/>
  <c r="BI52" i="121" s="1"/>
  <c r="G50" i="114"/>
  <c r="G59" i="114"/>
  <c r="G62" i="114"/>
  <c r="G67" i="114"/>
  <c r="E49" i="116"/>
  <c r="CI143" i="7"/>
  <c r="CI139" i="7"/>
  <c r="CN92" i="8"/>
  <c r="AQ121" i="120"/>
  <c r="S142" i="120"/>
  <c r="AH142" i="120" s="1"/>
  <c r="AH269" i="120" s="1"/>
  <c r="B120" i="120"/>
  <c r="B266" i="120" s="1"/>
  <c r="B131" i="120"/>
  <c r="DZ52" i="121"/>
  <c r="B132" i="120"/>
  <c r="AH135" i="120"/>
  <c r="AH141" i="120"/>
  <c r="EX52" i="121"/>
  <c r="FG52" i="121" s="1"/>
  <c r="BF81" i="120"/>
  <c r="AQ255" i="120"/>
  <c r="BO81" i="120"/>
  <c r="BF32" i="120"/>
  <c r="BO32" i="120"/>
  <c r="CK44" i="8"/>
  <c r="G46" i="114"/>
  <c r="B68" i="114"/>
  <c r="CS53" i="8"/>
  <c r="CO43" i="7"/>
  <c r="CO136" i="7"/>
  <c r="CI50" i="7"/>
  <c r="CN88" i="8"/>
  <c r="CO27" i="8"/>
  <c r="CO51" i="8" s="1"/>
  <c r="CO53" i="8" s="1"/>
  <c r="AE24" i="98"/>
  <c r="AE28" i="98" s="1"/>
  <c r="AF43" i="98"/>
  <c r="AH52" i="95"/>
  <c r="AE42" i="98"/>
  <c r="BC19" i="10"/>
  <c r="BE46" i="3"/>
  <c r="BE44" i="3" s="1"/>
  <c r="AJ17" i="65"/>
  <c r="Q142" i="120"/>
  <c r="AG136" i="120"/>
  <c r="BO72" i="120"/>
  <c r="CN72" i="120" s="1"/>
  <c r="BF72" i="120"/>
  <c r="BL88" i="122"/>
  <c r="AH214" i="120"/>
  <c r="AN214" i="120" s="1"/>
  <c r="O38" i="121"/>
  <c r="O77" i="121"/>
  <c r="N77" i="121" s="1"/>
  <c r="AN80" i="120"/>
  <c r="AI55" i="120"/>
  <c r="AC200" i="120"/>
  <c r="P20" i="125"/>
  <c r="R182" i="120"/>
  <c r="AG9" i="120"/>
  <c r="Q9" i="120"/>
  <c r="W28" i="125"/>
  <c r="AQ22" i="120"/>
  <c r="FS52" i="123"/>
  <c r="AU65" i="122"/>
  <c r="AU217" i="122"/>
  <c r="AO15" i="121"/>
  <c r="BQ15" i="121"/>
  <c r="O162" i="122"/>
  <c r="O209" i="122"/>
  <c r="N85" i="122"/>
  <c r="S176" i="122"/>
  <c r="AQ60" i="123" s="1"/>
  <c r="AH123" i="122"/>
  <c r="BF104" i="122"/>
  <c r="BD104" i="122" s="1"/>
  <c r="AZ12" i="120"/>
  <c r="AZ181" i="120"/>
  <c r="AZ225" i="120" s="1"/>
  <c r="AJ36" i="120"/>
  <c r="AR266" i="120"/>
  <c r="CG32" i="122"/>
  <c r="CJ32" i="122" s="1"/>
  <c r="CG85" i="120"/>
  <c r="BI259" i="120"/>
  <c r="Q82" i="122"/>
  <c r="AG82" i="122"/>
  <c r="AP82" i="122" s="1"/>
  <c r="M46" i="123"/>
  <c r="J75" i="122"/>
  <c r="H81" i="122"/>
  <c r="BN146" i="122"/>
  <c r="CC146" i="122" s="1"/>
  <c r="BM12" i="122"/>
  <c r="BM146" i="122" s="1"/>
  <c r="S210" i="122"/>
  <c r="AH87" i="122"/>
  <c r="BO125" i="120"/>
  <c r="CN125" i="120" s="1"/>
  <c r="N65" i="120"/>
  <c r="BI72" i="120"/>
  <c r="AN72" i="120"/>
  <c r="AG95" i="120"/>
  <c r="Q95" i="120"/>
  <c r="CN157" i="120"/>
  <c r="DQ65" i="123"/>
  <c r="BS21" i="122"/>
  <c r="CG64" i="120"/>
  <c r="BI65" i="120"/>
  <c r="N256" i="120"/>
  <c r="AI82" i="120"/>
  <c r="D62" i="120"/>
  <c r="CG125" i="120"/>
  <c r="CJ125" i="120" s="1"/>
  <c r="BL125" i="120"/>
  <c r="S244" i="120"/>
  <c r="AH86" i="120"/>
  <c r="BY254" i="120"/>
  <c r="N36" i="120"/>
  <c r="DW38" i="121"/>
  <c r="EV15" i="121"/>
  <c r="FP15" i="121"/>
  <c r="S90" i="122"/>
  <c r="AH91" i="122"/>
  <c r="AD65" i="123"/>
  <c r="T65" i="123"/>
  <c r="AC65" i="123" s="1"/>
  <c r="DW25" i="123"/>
  <c r="DE26" i="123"/>
  <c r="AP14" i="121"/>
  <c r="FU10" i="121"/>
  <c r="FU11" i="121"/>
  <c r="FU12" i="121" s="1"/>
  <c r="FU13" i="121" s="1"/>
  <c r="AN80" i="122"/>
  <c r="AQ80" i="122"/>
  <c r="BO80" i="122" s="1"/>
  <c r="D153" i="122"/>
  <c r="D37" i="123" s="1"/>
  <c r="B24" i="122"/>
  <c r="B153" i="122" s="1"/>
  <c r="GE22" i="123"/>
  <c r="GK22" i="123" s="1"/>
  <c r="EL22" i="123"/>
  <c r="AC106" i="122"/>
  <c r="R90" i="122"/>
  <c r="Q91" i="122"/>
  <c r="BP217" i="122"/>
  <c r="BP65" i="122"/>
  <c r="BP213" i="122" s="1"/>
  <c r="AX214" i="122"/>
  <c r="AX65" i="122"/>
  <c r="N96" i="120"/>
  <c r="N268" i="120" s="1"/>
  <c r="O268" i="120"/>
  <c r="N46" i="120"/>
  <c r="AF95" i="120"/>
  <c r="M52" i="121"/>
  <c r="V52" i="121" s="1"/>
  <c r="M27" i="125"/>
  <c r="C14" i="120"/>
  <c r="C189" i="120"/>
  <c r="AF27" i="125"/>
  <c r="CD14" i="120"/>
  <c r="AX22" i="121"/>
  <c r="BW41" i="121"/>
  <c r="BW39" i="121"/>
  <c r="AK111" i="122"/>
  <c r="AF12" i="122"/>
  <c r="BQ10" i="123"/>
  <c r="BG10" i="123"/>
  <c r="CW9" i="121"/>
  <c r="CC23" i="121"/>
  <c r="AO9" i="121"/>
  <c r="BQ9" i="121"/>
  <c r="BP9" i="121" s="1"/>
  <c r="AS14" i="121"/>
  <c r="AS42" i="121"/>
  <c r="K10" i="120"/>
  <c r="BA32" i="120"/>
  <c r="BG32" i="120" s="1"/>
  <c r="BC198" i="120"/>
  <c r="CA243" i="120"/>
  <c r="BY43" i="120"/>
  <c r="BZ50" i="120"/>
  <c r="S64" i="120"/>
  <c r="AH64" i="120" s="1"/>
  <c r="AN64" i="120" s="1"/>
  <c r="V71" i="120"/>
  <c r="AE94" i="120"/>
  <c r="AK94" i="120" s="1"/>
  <c r="AN94" i="120" s="1"/>
  <c r="J130" i="120"/>
  <c r="J123" i="120" s="1"/>
  <c r="H123" i="120" s="1"/>
  <c r="V130" i="120"/>
  <c r="T139" i="120"/>
  <c r="X209" i="120"/>
  <c r="BB61" i="121" s="1"/>
  <c r="BA61" i="121" s="1"/>
  <c r="W143" i="120"/>
  <c r="W209" i="120" s="1"/>
  <c r="CA108" i="122"/>
  <c r="BR101" i="122"/>
  <c r="M25" i="125"/>
  <c r="C187" i="120"/>
  <c r="AG20" i="120"/>
  <c r="B20" i="120"/>
  <c r="D186" i="120"/>
  <c r="AH19" i="120"/>
  <c r="N24" i="125"/>
  <c r="B19" i="120"/>
  <c r="BA54" i="6"/>
  <c r="BA53" i="6"/>
  <c r="BA52" i="6"/>
  <c r="BA51" i="6"/>
  <c r="BE55" i="5"/>
  <c r="BE54" i="5"/>
  <c r="BE53" i="5"/>
  <c r="BE52" i="5"/>
  <c r="DG91" i="8"/>
  <c r="DG17" i="8"/>
  <c r="DF19" i="8"/>
  <c r="DF91" i="8" s="1"/>
  <c r="DC45" i="8"/>
  <c r="DD42" i="8"/>
  <c r="CX20" i="7"/>
  <c r="CY138" i="7"/>
  <c r="CX45" i="7"/>
  <c r="CX43" i="7" s="1"/>
  <c r="CY43" i="7"/>
  <c r="CY140" i="7"/>
  <c r="CX39" i="7"/>
  <c r="CX41" i="7" s="1"/>
  <c r="CX35" i="7" s="1"/>
  <c r="CY41" i="7"/>
  <c r="CY35" i="7" s="1"/>
  <c r="CY143" i="7"/>
  <c r="CX26" i="7"/>
  <c r="DG49" i="19"/>
  <c r="DF48" i="19"/>
  <c r="DF49" i="19" s="1"/>
  <c r="Q18" i="121"/>
  <c r="AI18" i="121" s="1"/>
  <c r="AJ18" i="121"/>
  <c r="CI18" i="121" s="1"/>
  <c r="EH18" i="121" s="1"/>
  <c r="GG18" i="121" s="1"/>
  <c r="AJ48" i="120"/>
  <c r="BZ46" i="120"/>
  <c r="BS206" i="120"/>
  <c r="AX205" i="120"/>
  <c r="P238" i="120"/>
  <c r="AJ24" i="120"/>
  <c r="Z22" i="120"/>
  <c r="Z189" i="120" s="1"/>
  <c r="BU12" i="120"/>
  <c r="AR11" i="120"/>
  <c r="AR178" i="120" s="1"/>
  <c r="BC50" i="120"/>
  <c r="AK46" i="120"/>
  <c r="BI46" i="120" s="1"/>
  <c r="CG46" i="120" s="1"/>
  <c r="CJ46" i="120" s="1"/>
  <c r="E206" i="120"/>
  <c r="U189" i="120"/>
  <c r="O36" i="120"/>
  <c r="BZ10" i="120"/>
  <c r="I189" i="120"/>
  <c r="N39" i="120"/>
  <c r="AC40" i="120"/>
  <c r="AC23" i="120"/>
  <c r="AC190" i="120" s="1"/>
  <c r="BQ189" i="120"/>
  <c r="BY32" i="120"/>
  <c r="AC24" i="120"/>
  <c r="AC191" i="120" s="1"/>
  <c r="BS22" i="120"/>
  <c r="BS189" i="120" s="1"/>
  <c r="DV27" i="123"/>
  <c r="DW62" i="123"/>
  <c r="EI62" i="123" s="1"/>
  <c r="T14" i="120"/>
  <c r="AA189" i="120"/>
  <c r="CF66" i="121"/>
  <c r="EE66" i="121" s="1"/>
  <c r="GD66" i="121" s="1"/>
  <c r="DG22" i="121"/>
  <c r="EI31" i="121"/>
  <c r="GH31" i="121" s="1"/>
  <c r="BV29" i="121"/>
  <c r="FT36" i="121"/>
  <c r="GF36" i="121" s="1"/>
  <c r="FQ44" i="123"/>
  <c r="FY12" i="123"/>
  <c r="AI201" i="122"/>
  <c r="N79" i="122"/>
  <c r="Q96" i="120"/>
  <c r="BA76" i="120"/>
  <c r="P61" i="120"/>
  <c r="AD65" i="120"/>
  <c r="AK57" i="120"/>
  <c r="BI57" i="120" s="1"/>
  <c r="CG57" i="120" s="1"/>
  <c r="CJ57" i="120" s="1"/>
  <c r="N47" i="120"/>
  <c r="N262" i="120" s="1"/>
  <c r="AE262" i="120"/>
  <c r="AE260" i="120" s="1"/>
  <c r="AJ47" i="120"/>
  <c r="BZ268" i="120"/>
  <c r="BU54" i="121"/>
  <c r="CG136" i="120"/>
  <c r="CJ136" i="120" s="1"/>
  <c r="AC66" i="120"/>
  <c r="AI66" i="120" s="1"/>
  <c r="CA262" i="120"/>
  <c r="CA260" i="120" s="1"/>
  <c r="AC51" i="120"/>
  <c r="AI51" i="120" s="1"/>
  <c r="CC14" i="120"/>
  <c r="Y37" i="120"/>
  <c r="AK38" i="120"/>
  <c r="K241" i="120"/>
  <c r="BY44" i="120"/>
  <c r="Z254" i="120"/>
  <c r="AU254" i="120"/>
  <c r="CA254" i="120"/>
  <c r="BS46" i="120"/>
  <c r="AK47" i="120"/>
  <c r="AT37" i="120"/>
  <c r="BT37" i="120"/>
  <c r="BR71" i="120"/>
  <c r="S85" i="120"/>
  <c r="D259" i="120"/>
  <c r="H254" i="120"/>
  <c r="Z264" i="120"/>
  <c r="CA251" i="120"/>
  <c r="BY112" i="120"/>
  <c r="BY251" i="120" s="1"/>
  <c r="B87" i="121"/>
  <c r="B227" i="120"/>
  <c r="AF227" i="120" s="1"/>
  <c r="S14" i="120"/>
  <c r="CJ17" i="121"/>
  <c r="CP14" i="121"/>
  <c r="CP77" i="121" s="1"/>
  <c r="CN77" i="121" s="1"/>
  <c r="H75" i="122"/>
  <c r="T70" i="122"/>
  <c r="BL86" i="122"/>
  <c r="Q17" i="120"/>
  <c r="AY14" i="121"/>
  <c r="U14" i="121"/>
  <c r="CD10" i="123"/>
  <c r="AJ154" i="120"/>
  <c r="AJ220" i="120" s="1"/>
  <c r="AK157" i="120"/>
  <c r="AC148" i="120"/>
  <c r="N131" i="120"/>
  <c r="BT61" i="121"/>
  <c r="AK113" i="120"/>
  <c r="AN113" i="120" s="1"/>
  <c r="CA149" i="120"/>
  <c r="CA215" i="120" s="1"/>
  <c r="AE139" i="120"/>
  <c r="BY262" i="120"/>
  <c r="DI59" i="121"/>
  <c r="R76" i="120"/>
  <c r="AK98" i="120"/>
  <c r="AK88" i="120"/>
  <c r="N48" i="120"/>
  <c r="AD46" i="120"/>
  <c r="AC63" i="120"/>
  <c r="AC65" i="120" s="1"/>
  <c r="N59" i="120"/>
  <c r="AG23" i="120"/>
  <c r="C182" i="120"/>
  <c r="AU22" i="120"/>
  <c r="AU189" i="120" s="1"/>
  <c r="BU189" i="120"/>
  <c r="BV10" i="120"/>
  <c r="EP72" i="121"/>
  <c r="FR34" i="121"/>
  <c r="CE31" i="121"/>
  <c r="FQ8" i="121"/>
  <c r="FQ43" i="121"/>
  <c r="AJ85" i="122"/>
  <c r="AI31" i="122"/>
  <c r="BY30" i="122"/>
  <c r="B12" i="122"/>
  <c r="O125" i="122"/>
  <c r="AO12" i="122"/>
  <c r="AO146" i="122" s="1"/>
  <c r="CM22" i="123"/>
  <c r="CG25" i="123"/>
  <c r="GD36" i="121"/>
  <c r="CG38" i="123"/>
  <c r="EF38" i="123" s="1"/>
  <c r="AH56" i="120"/>
  <c r="AI102" i="122"/>
  <c r="AK145" i="120"/>
  <c r="CA117" i="120"/>
  <c r="BV94" i="120"/>
  <c r="N114" i="120"/>
  <c r="N253" i="120" s="1"/>
  <c r="AK87" i="120"/>
  <c r="AC56" i="120"/>
  <c r="BI140" i="120"/>
  <c r="CG140" i="120" s="1"/>
  <c r="CJ140" i="120" s="1"/>
  <c r="AR269" i="120"/>
  <c r="T249" i="120"/>
  <c r="BY80" i="120"/>
  <c r="BY247" i="120" s="1"/>
  <c r="AU202" i="120"/>
  <c r="AR201" i="120"/>
  <c r="K46" i="120"/>
  <c r="BA45" i="120"/>
  <c r="BB254" i="120"/>
  <c r="EG74" i="121"/>
  <c r="GF74" i="121" s="1"/>
  <c r="AK118" i="120"/>
  <c r="S93" i="120"/>
  <c r="AH93" i="120" s="1"/>
  <c r="BI142" i="120"/>
  <c r="AN92" i="120"/>
  <c r="M28" i="125"/>
  <c r="AP184" i="120"/>
  <c r="V22" i="125"/>
  <c r="W29" i="125"/>
  <c r="AQ191" i="120"/>
  <c r="E196" i="120"/>
  <c r="E197" i="120"/>
  <c r="E198" i="120"/>
  <c r="BS198" i="120"/>
  <c r="AE199" i="120"/>
  <c r="BV36" i="120"/>
  <c r="AA37" i="120"/>
  <c r="AA29" i="120" s="1"/>
  <c r="AR245" i="120"/>
  <c r="Z46" i="120"/>
  <c r="K262" i="120"/>
  <c r="K260" i="120" s="1"/>
  <c r="W262" i="120"/>
  <c r="BB46" i="120"/>
  <c r="BA46" i="120" s="1"/>
  <c r="P200" i="120"/>
  <c r="AS260" i="120"/>
  <c r="C244" i="120"/>
  <c r="R86" i="120"/>
  <c r="CA249" i="120"/>
  <c r="E105" i="120"/>
  <c r="AX105" i="120"/>
  <c r="BW106" i="120"/>
  <c r="BW99" i="120" s="1"/>
  <c r="BC267" i="120"/>
  <c r="CA129" i="120"/>
  <c r="BY127" i="120"/>
  <c r="BZ211" i="120"/>
  <c r="BY145" i="120"/>
  <c r="BY211" i="120" s="1"/>
  <c r="N68" i="121"/>
  <c r="AF68" i="121" s="1"/>
  <c r="EC32" i="121"/>
  <c r="M185" i="120"/>
  <c r="P18" i="120"/>
  <c r="M14" i="120"/>
  <c r="AS185" i="120"/>
  <c r="AR18" i="120"/>
  <c r="AR185" i="120" s="1"/>
  <c r="AW185" i="120"/>
  <c r="BC18" i="120"/>
  <c r="BC185" i="120" s="1"/>
  <c r="Q104" i="122"/>
  <c r="EH22" i="123"/>
  <c r="O22" i="120"/>
  <c r="BA229" i="120"/>
  <c r="AJ148" i="120"/>
  <c r="H139" i="120"/>
  <c r="CA61" i="120"/>
  <c r="AT203" i="120"/>
  <c r="BA31" i="120"/>
  <c r="B82" i="120"/>
  <c r="B256" i="120" s="1"/>
  <c r="BV106" i="120"/>
  <c r="T196" i="120"/>
  <c r="BV196" i="120"/>
  <c r="BV197" i="120"/>
  <c r="K36" i="120"/>
  <c r="AR36" i="120"/>
  <c r="AS37" i="120"/>
  <c r="AR37" i="120" s="1"/>
  <c r="E242" i="120"/>
  <c r="BB264" i="120"/>
  <c r="BA49" i="120"/>
  <c r="BG49" i="120" s="1"/>
  <c r="CE49" i="120" s="1"/>
  <c r="CH49" i="120" s="1"/>
  <c r="AK54" i="120"/>
  <c r="N57" i="120"/>
  <c r="K196" i="120"/>
  <c r="N87" i="120"/>
  <c r="N254" i="120" s="1"/>
  <c r="V106" i="120"/>
  <c r="AE117" i="120"/>
  <c r="AT209" i="120"/>
  <c r="CS61" i="121" s="1"/>
  <c r="DT61" i="121" s="1"/>
  <c r="EF61" i="121" s="1"/>
  <c r="GE61" i="121" s="1"/>
  <c r="BC143" i="120"/>
  <c r="BC209" i="120" s="1"/>
  <c r="U177" i="120"/>
  <c r="DK54" i="121"/>
  <c r="AZ203" i="120"/>
  <c r="CD31" i="121"/>
  <c r="CM31" i="121" s="1"/>
  <c r="AU34" i="121"/>
  <c r="BC152" i="122"/>
  <c r="AR157" i="122"/>
  <c r="B85" i="120"/>
  <c r="B259" i="120" s="1"/>
  <c r="AE254" i="120"/>
  <c r="K249" i="120"/>
  <c r="BC249" i="120"/>
  <c r="BU71" i="120"/>
  <c r="BS71" i="120" s="1"/>
  <c r="D89" i="120"/>
  <c r="D71" i="120" s="1"/>
  <c r="P264" i="120"/>
  <c r="AD264" i="120"/>
  <c r="BC268" i="120"/>
  <c r="H269" i="120"/>
  <c r="W269" i="120"/>
  <c r="H198" i="120"/>
  <c r="BP241" i="120"/>
  <c r="AE119" i="120"/>
  <c r="AK119" i="120" s="1"/>
  <c r="AB106" i="120"/>
  <c r="AB99" i="120" s="1"/>
  <c r="AW106" i="120"/>
  <c r="AW99" i="120" s="1"/>
  <c r="BC99" i="120" s="1"/>
  <c r="W119" i="120"/>
  <c r="AU119" i="120"/>
  <c r="AI127" i="120"/>
  <c r="O266" i="120"/>
  <c r="Z266" i="120"/>
  <c r="BY140" i="120"/>
  <c r="BY266" i="120" s="1"/>
  <c r="Z268" i="120"/>
  <c r="FR57" i="121"/>
  <c r="CZ58" i="121"/>
  <c r="BU69" i="121"/>
  <c r="FH69" i="121"/>
  <c r="FH70" i="121"/>
  <c r="E72" i="121"/>
  <c r="AF72" i="121" s="1"/>
  <c r="BU72" i="121"/>
  <c r="BU74" i="121"/>
  <c r="CG74" i="121" s="1"/>
  <c r="EF74" i="121" s="1"/>
  <c r="GE74" i="121" s="1"/>
  <c r="AF88" i="121"/>
  <c r="AW265" i="120"/>
  <c r="AW270" i="120" s="1"/>
  <c r="AT265" i="120"/>
  <c r="CJ34" i="121"/>
  <c r="EI34" i="121" s="1"/>
  <c r="GH34" i="121" s="1"/>
  <c r="EC35" i="121"/>
  <c r="FY35" i="121"/>
  <c r="FQ79" i="121"/>
  <c r="GC79" i="121" s="1"/>
  <c r="CI80" i="121"/>
  <c r="BV155" i="122"/>
  <c r="AJ30" i="122"/>
  <c r="CN72" i="123"/>
  <c r="AO180" i="122"/>
  <c r="S26" i="125"/>
  <c r="AG188" i="120"/>
  <c r="AF21" i="120"/>
  <c r="BE21" i="120"/>
  <c r="EM19" i="121"/>
  <c r="FP19" i="121"/>
  <c r="AD19" i="121"/>
  <c r="T19" i="121"/>
  <c r="DP19" i="121"/>
  <c r="CW19" i="121"/>
  <c r="EV19" i="121"/>
  <c r="AX20" i="121"/>
  <c r="AD20" i="121"/>
  <c r="AM20" i="121" s="1"/>
  <c r="K20" i="121"/>
  <c r="Q188" i="120"/>
  <c r="O26" i="125"/>
  <c r="U168" i="122"/>
  <c r="AS52" i="123" s="1"/>
  <c r="AR52" i="123" s="1"/>
  <c r="T115" i="122"/>
  <c r="T168" i="122" s="1"/>
  <c r="CH57" i="123"/>
  <c r="EG57" i="123" s="1"/>
  <c r="GF57" i="123" s="1"/>
  <c r="DU46" i="123"/>
  <c r="EG46" i="123" s="1"/>
  <c r="GF46" i="123" s="1"/>
  <c r="DC43" i="123"/>
  <c r="AH55" i="122"/>
  <c r="S55" i="122"/>
  <c r="M18" i="128"/>
  <c r="M17" i="128" s="1"/>
  <c r="M37" i="128" s="1"/>
  <c r="C18" i="128"/>
  <c r="P18" i="128"/>
  <c r="D41" i="128"/>
  <c r="D39" i="128" s="1"/>
  <c r="G41" i="128"/>
  <c r="C41" i="128"/>
  <c r="H41" i="128"/>
  <c r="H39" i="128" s="1"/>
  <c r="M42" i="128"/>
  <c r="M39" i="128" s="1"/>
  <c r="L42" i="128"/>
  <c r="L39" i="128" s="1"/>
  <c r="N39" i="128" s="1"/>
  <c r="R42" i="128"/>
  <c r="R39" i="128" s="1"/>
  <c r="N42" i="128"/>
  <c r="Q42" i="128"/>
  <c r="Q39" i="128" s="1"/>
  <c r="P42" i="128"/>
  <c r="BH116" i="120"/>
  <c r="CF116" i="120" s="1"/>
  <c r="CI116" i="120" s="1"/>
  <c r="H268" i="120"/>
  <c r="H265" i="120" s="1"/>
  <c r="T243" i="120"/>
  <c r="AC58" i="120"/>
  <c r="AI58" i="120" s="1"/>
  <c r="BA121" i="120"/>
  <c r="BI122" i="120"/>
  <c r="CG133" i="120"/>
  <c r="CJ133" i="120" s="1"/>
  <c r="T177" i="120"/>
  <c r="AX22" i="120"/>
  <c r="AX189" i="120" s="1"/>
  <c r="AJ31" i="120"/>
  <c r="CA197" i="120"/>
  <c r="O198" i="120"/>
  <c r="Z198" i="120"/>
  <c r="AU198" i="120"/>
  <c r="BP198" i="120"/>
  <c r="AC34" i="120"/>
  <c r="E202" i="120"/>
  <c r="E203" i="120" s="1"/>
  <c r="K238" i="120"/>
  <c r="K270" i="120" s="1"/>
  <c r="BA41" i="120"/>
  <c r="AD242" i="120"/>
  <c r="T245" i="120"/>
  <c r="AC44" i="120"/>
  <c r="AI44" i="120" s="1"/>
  <c r="BG44" i="120" s="1"/>
  <c r="E46" i="120"/>
  <c r="X37" i="120"/>
  <c r="F37" i="120"/>
  <c r="AU50" i="120"/>
  <c r="AX268" i="120"/>
  <c r="BS268" i="120"/>
  <c r="BS265" i="120" s="1"/>
  <c r="H61" i="120"/>
  <c r="M53" i="120"/>
  <c r="BQ62" i="120"/>
  <c r="BP62" i="120" s="1"/>
  <c r="AR65" i="120"/>
  <c r="Z205" i="120"/>
  <c r="BA73" i="120"/>
  <c r="N74" i="120"/>
  <c r="N241" i="120" s="1"/>
  <c r="B87" i="120"/>
  <c r="B88" i="120"/>
  <c r="AJ88" i="120"/>
  <c r="BP249" i="120"/>
  <c r="AZ71" i="120"/>
  <c r="AZ53" i="120" s="1"/>
  <c r="BV89" i="120"/>
  <c r="P262" i="120"/>
  <c r="BA91" i="120"/>
  <c r="BS263" i="120"/>
  <c r="AW71" i="120"/>
  <c r="AW204" i="120" s="1"/>
  <c r="E266" i="120"/>
  <c r="E265" i="120" s="1"/>
  <c r="AY265" i="120"/>
  <c r="BC199" i="120"/>
  <c r="BY101" i="120"/>
  <c r="AK108" i="120"/>
  <c r="AK109" i="120"/>
  <c r="AK110" i="120"/>
  <c r="W243" i="120"/>
  <c r="Z249" i="120"/>
  <c r="AD119" i="120"/>
  <c r="BZ119" i="120"/>
  <c r="BY119" i="120" s="1"/>
  <c r="AJ120" i="120"/>
  <c r="BQ265" i="120"/>
  <c r="AK124" i="120"/>
  <c r="AJ124" i="120"/>
  <c r="N125" i="120"/>
  <c r="BY125" i="120"/>
  <c r="AC138" i="120"/>
  <c r="AI163" i="120"/>
  <c r="BG163" i="120" s="1"/>
  <c r="F177" i="120"/>
  <c r="L177" i="120"/>
  <c r="FS48" i="121"/>
  <c r="DI49" i="121"/>
  <c r="FH51" i="121"/>
  <c r="FH63" i="121"/>
  <c r="FQ63" i="121" s="1"/>
  <c r="E65" i="121"/>
  <c r="AF65" i="121" s="1"/>
  <c r="CE65" i="121" s="1"/>
  <c r="ED65" i="121" s="1"/>
  <c r="E66" i="121"/>
  <c r="AF66" i="121" s="1"/>
  <c r="CE66" i="121" s="1"/>
  <c r="ED66" i="121" s="1"/>
  <c r="E69" i="121"/>
  <c r="AF69" i="121" s="1"/>
  <c r="BJ73" i="121"/>
  <c r="N74" i="121"/>
  <c r="E75" i="121"/>
  <c r="AF75" i="121" s="1"/>
  <c r="CE75" i="121" s="1"/>
  <c r="EY75" i="121"/>
  <c r="AO227" i="120"/>
  <c r="Y265" i="120"/>
  <c r="Y270" i="120" s="1"/>
  <c r="AZ265" i="120"/>
  <c r="AZ270" i="120" s="1"/>
  <c r="CF32" i="121"/>
  <c r="EE32" i="121" s="1"/>
  <c r="CA32" i="121"/>
  <c r="CC33" i="121"/>
  <c r="BZ33" i="121"/>
  <c r="DZ34" i="121"/>
  <c r="DL34" i="121"/>
  <c r="CD36" i="121"/>
  <c r="CM36" i="121" s="1"/>
  <c r="BV79" i="121"/>
  <c r="CH79" i="121" s="1"/>
  <c r="EG79" i="121" s="1"/>
  <c r="GF79" i="121" s="1"/>
  <c r="DU79" i="121"/>
  <c r="CH87" i="121"/>
  <c r="AE197" i="122"/>
  <c r="AK197" i="122" s="1"/>
  <c r="AZ218" i="122"/>
  <c r="AZ223" i="122" s="1"/>
  <c r="BU218" i="122"/>
  <c r="AR219" i="122"/>
  <c r="H208" i="122"/>
  <c r="BZ215" i="122"/>
  <c r="Y101" i="122"/>
  <c r="BC108" i="122"/>
  <c r="BA108" i="122" s="1"/>
  <c r="AT101" i="122"/>
  <c r="B72" i="123"/>
  <c r="K72" i="123" s="1"/>
  <c r="B180" i="122"/>
  <c r="Q20" i="120"/>
  <c r="AH20" i="120"/>
  <c r="Q25" i="125"/>
  <c r="BF16" i="120"/>
  <c r="AH183" i="120"/>
  <c r="L18" i="128"/>
  <c r="R50" i="122"/>
  <c r="AG50" i="122" s="1"/>
  <c r="B50" i="122"/>
  <c r="CT32" i="8"/>
  <c r="CU87" i="8"/>
  <c r="CU124" i="8" s="1"/>
  <c r="AM21" i="65" s="1"/>
  <c r="CU27" i="8"/>
  <c r="AK59" i="120"/>
  <c r="AX61" i="120"/>
  <c r="BS61" i="120"/>
  <c r="BS205" i="120"/>
  <c r="N73" i="120"/>
  <c r="AI73" i="120" s="1"/>
  <c r="Z239" i="120"/>
  <c r="AU206" i="120"/>
  <c r="BA74" i="120"/>
  <c r="AJ75" i="120"/>
  <c r="BH75" i="120" s="1"/>
  <c r="H243" i="120"/>
  <c r="AE243" i="120"/>
  <c r="Z89" i="120"/>
  <c r="AU89" i="120"/>
  <c r="BQ71" i="120"/>
  <c r="B91" i="120"/>
  <c r="Z94" i="120"/>
  <c r="AJ104" i="120"/>
  <c r="BA109" i="120"/>
  <c r="BZ117" i="120"/>
  <c r="K99" i="120"/>
  <c r="BY131" i="120"/>
  <c r="BY238" i="120" s="1"/>
  <c r="AR241" i="120"/>
  <c r="BY133" i="120"/>
  <c r="BY134" i="120"/>
  <c r="AX143" i="120"/>
  <c r="AX209" i="120" s="1"/>
  <c r="I177" i="120"/>
  <c r="FH50" i="121"/>
  <c r="FQ50" i="121" s="1"/>
  <c r="FH59" i="121"/>
  <c r="E64" i="121"/>
  <c r="AF64" i="121" s="1"/>
  <c r="FH68" i="121"/>
  <c r="EY73" i="121"/>
  <c r="FH75" i="121"/>
  <c r="FQ88" i="121"/>
  <c r="FW88" i="121" s="1"/>
  <c r="M265" i="120"/>
  <c r="M270" i="120" s="1"/>
  <c r="CF35" i="121"/>
  <c r="EG65" i="121"/>
  <c r="GF65" i="121" s="1"/>
  <c r="CH71" i="121"/>
  <c r="EG71" i="121" s="1"/>
  <c r="GF71" i="121" s="1"/>
  <c r="CF79" i="121"/>
  <c r="EE79" i="121" s="1"/>
  <c r="GD79" i="121" s="1"/>
  <c r="DU85" i="121"/>
  <c r="DU89" i="121" s="1"/>
  <c r="BU213" i="122"/>
  <c r="AU222" i="122"/>
  <c r="CA222" i="122"/>
  <c r="BP108" i="122"/>
  <c r="CG16" i="121"/>
  <c r="DA40" i="121"/>
  <c r="CZ16" i="121"/>
  <c r="CZ40" i="121" s="1"/>
  <c r="DS16" i="121"/>
  <c r="AK144" i="122"/>
  <c r="W153" i="122"/>
  <c r="AR153" i="122"/>
  <c r="O156" i="122"/>
  <c r="BS157" i="122"/>
  <c r="BC196" i="122"/>
  <c r="P217" i="122"/>
  <c r="AE208" i="122"/>
  <c r="AY49" i="122"/>
  <c r="AY40" i="122" s="1"/>
  <c r="AK74" i="122"/>
  <c r="AK77" i="122"/>
  <c r="BY78" i="122"/>
  <c r="N93" i="122"/>
  <c r="AI93" i="122" s="1"/>
  <c r="P106" i="122"/>
  <c r="AK106" i="122" s="1"/>
  <c r="BI106" i="122" s="1"/>
  <c r="CG106" i="122" s="1"/>
  <c r="CJ106" i="122" s="1"/>
  <c r="BA110" i="122"/>
  <c r="BV222" i="122"/>
  <c r="BV115" i="122"/>
  <c r="BV168" i="122" s="1"/>
  <c r="BY120" i="122"/>
  <c r="BY173" i="122" s="1"/>
  <c r="AI128" i="122"/>
  <c r="AL128" i="122" s="1"/>
  <c r="BA60" i="123"/>
  <c r="Q180" i="122"/>
  <c r="CD21" i="123"/>
  <c r="EC21" i="123" s="1"/>
  <c r="GB21" i="123" s="1"/>
  <c r="FH25" i="123"/>
  <c r="FQ25" i="123" s="1"/>
  <c r="FY20" i="121"/>
  <c r="AQ187" i="120"/>
  <c r="AE19" i="121"/>
  <c r="CD19" i="121" s="1"/>
  <c r="T20" i="121"/>
  <c r="N25" i="125"/>
  <c r="D187" i="120"/>
  <c r="Q22" i="126"/>
  <c r="BP15" i="123"/>
  <c r="P22" i="126" s="1"/>
  <c r="W26" i="125"/>
  <c r="AO21" i="120"/>
  <c r="P186" i="120"/>
  <c r="N19" i="120"/>
  <c r="N186" i="120" s="1"/>
  <c r="AD187" i="120"/>
  <c r="AC20" i="120"/>
  <c r="AC187" i="120" s="1"/>
  <c r="O188" i="120"/>
  <c r="N21" i="120"/>
  <c r="N188" i="120" s="1"/>
  <c r="Y185" i="120"/>
  <c r="BC18" i="121"/>
  <c r="EY13" i="123"/>
  <c r="BP13" i="122"/>
  <c r="EQ13" i="123"/>
  <c r="EM16" i="123"/>
  <c r="FO16" i="123"/>
  <c r="FN16" i="123" s="1"/>
  <c r="CA153" i="122"/>
  <c r="AE157" i="122"/>
  <c r="T197" i="122"/>
  <c r="W35" i="122"/>
  <c r="AC37" i="122"/>
  <c r="N43" i="122"/>
  <c r="N152" i="122" s="1"/>
  <c r="AC43" i="122"/>
  <c r="AC50" i="122"/>
  <c r="AC53" i="122"/>
  <c r="BC208" i="122"/>
  <c r="BV208" i="122"/>
  <c r="J49" i="122"/>
  <c r="AB49" i="122"/>
  <c r="CA79" i="122"/>
  <c r="BP160" i="122"/>
  <c r="AK83" i="122"/>
  <c r="BI83" i="122" s="1"/>
  <c r="AC83" i="122"/>
  <c r="BY84" i="122"/>
  <c r="H90" i="122"/>
  <c r="AE90" i="122"/>
  <c r="BC92" i="122"/>
  <c r="AK96" i="122"/>
  <c r="AK103" i="122"/>
  <c r="BI103" i="122" s="1"/>
  <c r="BY104" i="122"/>
  <c r="N105" i="122"/>
  <c r="N197" i="122" s="1"/>
  <c r="H106" i="122"/>
  <c r="AJ107" i="122"/>
  <c r="N112" i="122"/>
  <c r="N165" i="122" s="1"/>
  <c r="BJ44" i="123"/>
  <c r="BJ45" i="123"/>
  <c r="CZ45" i="123"/>
  <c r="EP45" i="123"/>
  <c r="AF22" i="123"/>
  <c r="CG23" i="123"/>
  <c r="AI65" i="123"/>
  <c r="S185" i="120"/>
  <c r="AH18" i="120"/>
  <c r="P26" i="125"/>
  <c r="R188" i="120"/>
  <c r="O21" i="125"/>
  <c r="Q183" i="120"/>
  <c r="BM16" i="120"/>
  <c r="AB21" i="125"/>
  <c r="AZ185" i="120"/>
  <c r="DK18" i="121"/>
  <c r="BU185" i="120"/>
  <c r="FA18" i="121"/>
  <c r="AG21" i="121"/>
  <c r="K16" i="123"/>
  <c r="AD16" i="123"/>
  <c r="AM16" i="123" s="1"/>
  <c r="CN14" i="123"/>
  <c r="DE25" i="7"/>
  <c r="DE17" i="7" s="1"/>
  <c r="DK55" i="8"/>
  <c r="DK54" i="8" s="1"/>
  <c r="DK8" i="8"/>
  <c r="DK86" i="8"/>
  <c r="DK118" i="8" s="1"/>
  <c r="DI9" i="8"/>
  <c r="DI86" i="8" s="1"/>
  <c r="DI18" i="8"/>
  <c r="DJ118" i="8"/>
  <c r="DJ17" i="8"/>
  <c r="Y213" i="122"/>
  <c r="AT213" i="122"/>
  <c r="AT223" i="122" s="1"/>
  <c r="BX213" i="122"/>
  <c r="Z215" i="122"/>
  <c r="BA39" i="122"/>
  <c r="BA52" i="122"/>
  <c r="BR49" i="122"/>
  <c r="O217" i="122"/>
  <c r="AJ217" i="122" s="1"/>
  <c r="Z217" i="122"/>
  <c r="Z222" i="122"/>
  <c r="P155" i="122"/>
  <c r="N88" i="122"/>
  <c r="BY96" i="122"/>
  <c r="BY98" i="122"/>
  <c r="BY127" i="122"/>
  <c r="GE38" i="123"/>
  <c r="EY55" i="123"/>
  <c r="CG21" i="123"/>
  <c r="DO20" i="121"/>
  <c r="AB25" i="125"/>
  <c r="BN187" i="120"/>
  <c r="BM20" i="120"/>
  <c r="V21" i="125"/>
  <c r="AO16" i="120"/>
  <c r="AB185" i="120"/>
  <c r="BL18" i="121"/>
  <c r="BU18" i="121" s="1"/>
  <c r="DP16" i="121"/>
  <c r="DP14" i="121" s="1"/>
  <c r="DP77" i="121" s="1"/>
  <c r="V62" i="125" s="1"/>
  <c r="DF16" i="121"/>
  <c r="W21" i="121"/>
  <c r="W24" i="121"/>
  <c r="BD40" i="121"/>
  <c r="BV30" i="121"/>
  <c r="CM30" i="121"/>
  <c r="DC25" i="123"/>
  <c r="DC28" i="123"/>
  <c r="S216" i="120"/>
  <c r="AQ68" i="121" s="1"/>
  <c r="AZ68" i="121" s="1"/>
  <c r="BI68" i="121" s="1"/>
  <c r="AH150" i="120"/>
  <c r="E22" i="134"/>
  <c r="G22" i="134" s="1"/>
  <c r="B34" i="134"/>
  <c r="C68" i="134"/>
  <c r="F56" i="134"/>
  <c r="G56" i="134" s="1"/>
  <c r="CX136" i="7"/>
  <c r="DR65" i="123"/>
  <c r="ED65" i="123" s="1"/>
  <c r="GC65" i="123" s="1"/>
  <c r="CN21" i="121"/>
  <c r="AD18" i="120"/>
  <c r="AD185" i="120" s="1"/>
  <c r="AH21" i="121"/>
  <c r="CG21" i="121" s="1"/>
  <c r="N17" i="121"/>
  <c r="N42" i="121" s="1"/>
  <c r="W15" i="121"/>
  <c r="W20" i="121"/>
  <c r="CH19" i="121"/>
  <c r="EG19" i="121" s="1"/>
  <c r="GF19" i="121" s="1"/>
  <c r="BA17" i="121"/>
  <c r="BA23" i="121"/>
  <c r="BL22" i="121"/>
  <c r="CQ17" i="121"/>
  <c r="CQ20" i="121"/>
  <c r="CQ23" i="121"/>
  <c r="DT16" i="121"/>
  <c r="CZ21" i="121"/>
  <c r="CZ24" i="121"/>
  <c r="DI9" i="121"/>
  <c r="DI16" i="121"/>
  <c r="DI40" i="121" s="1"/>
  <c r="DI19" i="121"/>
  <c r="DI24" i="121"/>
  <c r="EH21" i="121"/>
  <c r="GG21" i="121" s="1"/>
  <c r="DU30" i="121"/>
  <c r="DU40" i="121" s="1"/>
  <c r="AJ40" i="121"/>
  <c r="DQ15" i="123"/>
  <c r="X22" i="126" s="1"/>
  <c r="CI15" i="123"/>
  <c r="EH15" i="123" s="1"/>
  <c r="GG15" i="123" s="1"/>
  <c r="FS13" i="123"/>
  <c r="H25" i="123"/>
  <c r="H26" i="123" s="1"/>
  <c r="Q25" i="123"/>
  <c r="Q26" i="123" s="1"/>
  <c r="BD25" i="123"/>
  <c r="BD26" i="123" s="1"/>
  <c r="BD43" i="123"/>
  <c r="BM43" i="123"/>
  <c r="CT43" i="123"/>
  <c r="CT52" i="123"/>
  <c r="DC42" i="123"/>
  <c r="DC48" i="123"/>
  <c r="DU48" i="123" s="1"/>
  <c r="DL43" i="123"/>
  <c r="D216" i="120"/>
  <c r="D68" i="121" s="1"/>
  <c r="D218" i="120"/>
  <c r="D70" i="121" s="1"/>
  <c r="J76" i="121"/>
  <c r="H55" i="121"/>
  <c r="AW64" i="32"/>
  <c r="E5" i="134"/>
  <c r="E17" i="134" s="1"/>
  <c r="B17" i="134"/>
  <c r="CY87" i="8"/>
  <c r="CW10" i="8"/>
  <c r="CU57" i="8"/>
  <c r="BF54" i="5"/>
  <c r="BF55" i="5"/>
  <c r="BF53" i="5"/>
  <c r="DA8" i="7"/>
  <c r="CX143" i="7"/>
  <c r="DF168" i="7"/>
  <c r="DK25" i="8"/>
  <c r="DI23" i="8"/>
  <c r="DI25" i="8" s="1"/>
  <c r="DK89" i="8"/>
  <c r="DK117" i="8" s="1"/>
  <c r="AP22" i="66"/>
  <c r="DE124" i="8"/>
  <c r="BV65" i="123"/>
  <c r="CJ65" i="123"/>
  <c r="EI65" i="123" s="1"/>
  <c r="GH65" i="123" s="1"/>
  <c r="AF19" i="121"/>
  <c r="T21" i="121"/>
  <c r="BR18" i="121"/>
  <c r="CD18" i="121" s="1"/>
  <c r="EC18" i="121" s="1"/>
  <c r="FP18" i="121"/>
  <c r="BQ20" i="121"/>
  <c r="BP20" i="121" s="1"/>
  <c r="FE20" i="121"/>
  <c r="FO20" i="121"/>
  <c r="AO20" i="120"/>
  <c r="EY18" i="121"/>
  <c r="E23" i="121"/>
  <c r="CH16" i="121"/>
  <c r="EG16" i="121" s="1"/>
  <c r="GF16" i="121" s="1"/>
  <c r="AR19" i="121"/>
  <c r="AR21" i="121"/>
  <c r="BJ9" i="121"/>
  <c r="BJ16" i="121"/>
  <c r="BJ19" i="121"/>
  <c r="BJ21" i="121"/>
  <c r="CZ8" i="121"/>
  <c r="CZ15" i="121"/>
  <c r="FS21" i="121"/>
  <c r="CJ30" i="121"/>
  <c r="EI30" i="121" s="1"/>
  <c r="GH30" i="121" s="1"/>
  <c r="CW14" i="123"/>
  <c r="AX15" i="123"/>
  <c r="W16" i="123"/>
  <c r="AR10" i="123"/>
  <c r="FH14" i="123"/>
  <c r="B69" i="122"/>
  <c r="B217" i="122" s="1"/>
  <c r="Z61" i="121"/>
  <c r="BD56" i="121"/>
  <c r="BD61" i="121"/>
  <c r="BM61" i="121"/>
  <c r="BM76" i="121" s="1"/>
  <c r="BM89" i="121" s="1"/>
  <c r="DC67" i="121"/>
  <c r="DU67" i="121" s="1"/>
  <c r="EG67" i="121" s="1"/>
  <c r="S61" i="123"/>
  <c r="AI55" i="123"/>
  <c r="CH55" i="123" s="1"/>
  <c r="EG55" i="123" s="1"/>
  <c r="GF55" i="123" s="1"/>
  <c r="AI59" i="123"/>
  <c r="CH59" i="123" s="1"/>
  <c r="EG59" i="123" s="1"/>
  <c r="GF59" i="123" s="1"/>
  <c r="AI37" i="123"/>
  <c r="CH37" i="123" s="1"/>
  <c r="EG37" i="123" s="1"/>
  <c r="GF37" i="123" s="1"/>
  <c r="AB61" i="123"/>
  <c r="Z48" i="123"/>
  <c r="AI48" i="123" s="1"/>
  <c r="CH48" i="123" s="1"/>
  <c r="EG48" i="123" s="1"/>
  <c r="AU42" i="123"/>
  <c r="AW61" i="123"/>
  <c r="BD42" i="123"/>
  <c r="BF61" i="123"/>
  <c r="BO61" i="123"/>
  <c r="CV61" i="123"/>
  <c r="I76" i="121"/>
  <c r="I81" i="121" s="1"/>
  <c r="G5" i="134"/>
  <c r="G6" i="134"/>
  <c r="G7" i="134"/>
  <c r="G8" i="134"/>
  <c r="G10" i="134"/>
  <c r="G12" i="134"/>
  <c r="G13" i="134"/>
  <c r="G14" i="134"/>
  <c r="G15" i="134"/>
  <c r="G16" i="134"/>
  <c r="G25" i="134"/>
  <c r="G26" i="134"/>
  <c r="G28" i="134"/>
  <c r="G29" i="134"/>
  <c r="G41" i="134"/>
  <c r="G43" i="134"/>
  <c r="G44" i="134"/>
  <c r="G46" i="134"/>
  <c r="CU8" i="8"/>
  <c r="CT10" i="8"/>
  <c r="CT16" i="8"/>
  <c r="CT92" i="8" s="1"/>
  <c r="CU92" i="8"/>
  <c r="CS148" i="7"/>
  <c r="CR60" i="7"/>
  <c r="CR148" i="7" s="1"/>
  <c r="CZ168" i="7"/>
  <c r="AP12" i="64" s="1"/>
  <c r="BO18" i="10"/>
  <c r="BO19" i="10" s="1"/>
  <c r="DH20" i="8"/>
  <c r="BM19" i="10"/>
  <c r="AL43" i="95"/>
  <c r="DB18" i="7" s="1"/>
  <c r="AL49" i="95"/>
  <c r="FH15" i="121"/>
  <c r="CI30" i="121"/>
  <c r="CI40" i="121" s="1"/>
  <c r="AK15" i="122"/>
  <c r="BI15" i="122" s="1"/>
  <c r="BM16" i="122"/>
  <c r="EV14" i="123"/>
  <c r="AX14" i="123"/>
  <c r="CH16" i="123"/>
  <c r="EG16" i="123" s="1"/>
  <c r="N12" i="123"/>
  <c r="N30" i="123" s="1"/>
  <c r="W15" i="123"/>
  <c r="BU14" i="123"/>
  <c r="CZ11" i="123"/>
  <c r="DT13" i="123"/>
  <c r="DZ13" i="123" s="1"/>
  <c r="DT15" i="123"/>
  <c r="DI14" i="123"/>
  <c r="DI16" i="123"/>
  <c r="EP12" i="123"/>
  <c r="EP30" i="123" s="1"/>
  <c r="U71" i="120"/>
  <c r="AI75" i="121"/>
  <c r="CH75" i="121" s="1"/>
  <c r="EG75" i="121" s="1"/>
  <c r="GF75" i="121" s="1"/>
  <c r="Z56" i="121"/>
  <c r="BV60" i="121"/>
  <c r="CH60" i="121" s="1"/>
  <c r="EG60" i="121" s="1"/>
  <c r="GF60" i="121" s="1"/>
  <c r="AU61" i="121"/>
  <c r="BV61" i="121" s="1"/>
  <c r="AH152" i="120"/>
  <c r="F17" i="134"/>
  <c r="D17" i="134" s="1"/>
  <c r="CT86" i="8"/>
  <c r="CV25" i="8"/>
  <c r="CV89" i="8"/>
  <c r="CW35" i="8"/>
  <c r="DA29" i="7"/>
  <c r="DC138" i="7"/>
  <c r="DC175" i="7" s="1"/>
  <c r="AQ22" i="64" s="1"/>
  <c r="DE35" i="7"/>
  <c r="DB171" i="7"/>
  <c r="BH15" i="61"/>
  <c r="AZ53" i="6"/>
  <c r="AZ52" i="6"/>
  <c r="AZ54" i="6"/>
  <c r="AL42" i="95"/>
  <c r="CT89" i="8"/>
  <c r="CT44" i="8"/>
  <c r="CU118" i="8"/>
  <c r="AM12" i="65" s="1"/>
  <c r="CY17" i="7"/>
  <c r="BA61" i="32"/>
  <c r="BA70" i="32" s="1"/>
  <c r="DD9" i="7"/>
  <c r="DD136" i="7" s="1"/>
  <c r="CY8" i="7"/>
  <c r="DE143" i="7"/>
  <c r="DD33" i="7"/>
  <c r="DD151" i="7"/>
  <c r="DD64" i="7" s="1"/>
  <c r="AB13" i="102"/>
  <c r="CY136" i="7"/>
  <c r="BG13" i="61" s="1"/>
  <c r="DD87" i="8"/>
  <c r="DD124" i="8" s="1"/>
  <c r="AR21" i="65" s="1"/>
  <c r="DB139" i="7"/>
  <c r="DA28" i="7"/>
  <c r="DA139" i="7" s="1"/>
  <c r="DF92" i="8"/>
  <c r="DF44" i="8"/>
  <c r="CD145" i="120"/>
  <c r="CU54" i="7"/>
  <c r="AU11" i="121"/>
  <c r="DL22" i="121"/>
  <c r="DM14" i="121"/>
  <c r="CU86" i="8"/>
  <c r="CV87" i="8"/>
  <c r="CT40" i="8"/>
  <c r="CT20" i="8"/>
  <c r="CT43" i="8"/>
  <c r="CR36" i="7"/>
  <c r="BR46" i="3"/>
  <c r="BR44" i="3" s="1"/>
  <c r="AR36" i="64" s="1"/>
  <c r="BQ49" i="3"/>
  <c r="DE15" i="7"/>
  <c r="DE8" i="7" s="1"/>
  <c r="DJ15" i="8"/>
  <c r="DJ8" i="8" s="1"/>
  <c r="DE136" i="7"/>
  <c r="DB17" i="7"/>
  <c r="DC52" i="7"/>
  <c r="DC144" i="7" s="1"/>
  <c r="DC172" i="7" s="1"/>
  <c r="AQ16" i="64" s="1"/>
  <c r="DA54" i="7"/>
  <c r="DJ86" i="8"/>
  <c r="DJ55" i="8"/>
  <c r="DJ54" i="8" s="1"/>
  <c r="DC92" i="8"/>
  <c r="DI20" i="8"/>
  <c r="DI32" i="8"/>
  <c r="DI35" i="8"/>
  <c r="DC37" i="8"/>
  <c r="DC34" i="8" s="1"/>
  <c r="DH42" i="8"/>
  <c r="DH93" i="8" s="1"/>
  <c r="DI44" i="8"/>
  <c r="DF18" i="8"/>
  <c r="DJ91" i="8"/>
  <c r="BL13" i="10"/>
  <c r="BL19" i="10" s="1"/>
  <c r="BI18" i="10"/>
  <c r="BI19" i="10" s="1"/>
  <c r="BD63" i="32"/>
  <c r="BF63" i="32" s="1"/>
  <c r="BS49" i="3"/>
  <c r="DJ49" i="19"/>
  <c r="DE46" i="8" s="1"/>
  <c r="DE94" i="8" s="1"/>
  <c r="FL62" i="123"/>
  <c r="FK9" i="123"/>
  <c r="DD141" i="7"/>
  <c r="CX27" i="7"/>
  <c r="DI42" i="8"/>
  <c r="DI93" i="8" s="1"/>
  <c r="DF86" i="8"/>
  <c r="AB21" i="102"/>
  <c r="U27" i="105"/>
  <c r="U25" i="105" s="1"/>
  <c r="U31" i="105" s="1"/>
  <c r="U19" i="105"/>
  <c r="CU22" i="7"/>
  <c r="F21" i="133"/>
  <c r="H21" i="133"/>
  <c r="D21" i="133"/>
  <c r="E21" i="133" s="1"/>
  <c r="G21" i="133" s="1"/>
  <c r="Z22" i="121"/>
  <c r="Z42" i="121" s="1"/>
  <c r="AA14" i="121"/>
  <c r="AP14" i="64"/>
  <c r="DJ88" i="8"/>
  <c r="DK42" i="8"/>
  <c r="DK93" i="8" s="1"/>
  <c r="DK121" i="8" s="1"/>
  <c r="DF90" i="8"/>
  <c r="BQ19" i="10"/>
  <c r="BP19" i="10"/>
  <c r="AC21" i="102"/>
  <c r="CX54" i="7"/>
  <c r="DD57" i="8"/>
  <c r="DG55" i="8"/>
  <c r="DG54" i="8" s="1"/>
  <c r="DP49" i="19"/>
  <c r="DG46" i="8" s="1"/>
  <c r="Q60" i="96"/>
  <c r="BK19" i="19"/>
  <c r="BW19" i="19" s="1"/>
  <c r="DB34" i="8"/>
  <c r="CD94" i="122" s="1"/>
  <c r="C64" i="123"/>
  <c r="CZ102" i="8"/>
  <c r="G25" i="132"/>
  <c r="D24" i="132"/>
  <c r="F24" i="132"/>
  <c r="D15" i="132"/>
  <c r="D14" i="132"/>
  <c r="C23" i="133"/>
  <c r="D25" i="133"/>
  <c r="E25" i="133" s="1"/>
  <c r="G25" i="133" s="1"/>
  <c r="F22" i="133"/>
  <c r="H22" i="133"/>
  <c r="D22" i="133"/>
  <c r="E22" i="133" s="1"/>
  <c r="F30" i="133"/>
  <c r="G30" i="133" s="1"/>
  <c r="H30" i="133"/>
  <c r="H27" i="133" s="1"/>
  <c r="DC9" i="123"/>
  <c r="AU10" i="121"/>
  <c r="DM12" i="121"/>
  <c r="DM13" i="121" s="1"/>
  <c r="DL11" i="121"/>
  <c r="FK11" i="121"/>
  <c r="FL76" i="121"/>
  <c r="FL81" i="121" s="1"/>
  <c r="FU81" i="121" s="1"/>
  <c r="AN22" i="66"/>
  <c r="DB124" i="8"/>
  <c r="AT21" i="65" s="1"/>
  <c r="C37" i="132"/>
  <c r="C18" i="132"/>
  <c r="C19" i="132" s="1"/>
  <c r="H30" i="132"/>
  <c r="H28" i="132" s="1"/>
  <c r="F30" i="132"/>
  <c r="G30" i="132" s="1"/>
  <c r="I36" i="132"/>
  <c r="I38" i="132" s="1"/>
  <c r="C26" i="132"/>
  <c r="C14" i="133"/>
  <c r="D11" i="133"/>
  <c r="D20" i="127" s="1"/>
  <c r="K20" i="127" s="1"/>
  <c r="H19" i="133"/>
  <c r="E19" i="133"/>
  <c r="G19" i="133" s="1"/>
  <c r="D19" i="133"/>
  <c r="F28" i="133"/>
  <c r="E28" i="133"/>
  <c r="C32" i="133"/>
  <c r="DT12" i="19"/>
  <c r="BS62" i="3"/>
  <c r="S45" i="96" s="1"/>
  <c r="CY139" i="7"/>
  <c r="AK11" i="98"/>
  <c r="DG100" i="8"/>
  <c r="DG52" i="8" s="1"/>
  <c r="DN49" i="19"/>
  <c r="DB58" i="7" s="1"/>
  <c r="DB145" i="7" s="1"/>
  <c r="CC147" i="120"/>
  <c r="CU56" i="7"/>
  <c r="F28" i="132"/>
  <c r="D33" i="132"/>
  <c r="E33" i="132" s="1"/>
  <c r="G33" i="132" s="1"/>
  <c r="H33" i="132"/>
  <c r="C28" i="132"/>
  <c r="C27" i="133"/>
  <c r="D24" i="133"/>
  <c r="Q11" i="121"/>
  <c r="J12" i="121"/>
  <c r="J13" i="121" s="1"/>
  <c r="H11" i="121"/>
  <c r="Q10" i="121"/>
  <c r="FL14" i="121"/>
  <c r="FK22" i="121"/>
  <c r="FK42" i="121" s="1"/>
  <c r="FB48" i="123"/>
  <c r="ES42" i="123"/>
  <c r="BK27" i="19"/>
  <c r="BW27" i="19" s="1"/>
  <c r="Z27" i="123"/>
  <c r="BV8" i="123"/>
  <c r="CH8" i="123" s="1"/>
  <c r="DU8" i="123"/>
  <c r="DL9" i="123"/>
  <c r="FT16" i="123"/>
  <c r="H22" i="121"/>
  <c r="H42" i="121" s="1"/>
  <c r="AU18" i="121"/>
  <c r="BD10" i="121"/>
  <c r="BN12" i="121"/>
  <c r="CT10" i="121"/>
  <c r="DL18" i="121"/>
  <c r="DU18" i="121" s="1"/>
  <c r="ER22" i="121"/>
  <c r="ER14" i="121" s="1"/>
  <c r="EP21" i="121"/>
  <c r="EP19" i="121"/>
  <c r="EP16" i="121"/>
  <c r="EP40" i="121" s="1"/>
  <c r="ER10" i="121"/>
  <c r="FB10" i="121"/>
  <c r="FK61" i="121"/>
  <c r="FK42" i="123"/>
  <c r="FC61" i="123"/>
  <c r="FC66" i="123" s="1"/>
  <c r="FB66" i="123" s="1"/>
  <c r="I106" i="120"/>
  <c r="I157" i="122"/>
  <c r="U199" i="120"/>
  <c r="AS51" i="121" s="1"/>
  <c r="AR51" i="121" s="1"/>
  <c r="F34" i="132"/>
  <c r="H23" i="133"/>
  <c r="G26" i="133"/>
  <c r="I43" i="127"/>
  <c r="I51" i="127" s="1"/>
  <c r="S14" i="121"/>
  <c r="BF14" i="121"/>
  <c r="DL10" i="121"/>
  <c r="EP24" i="121"/>
  <c r="FK67" i="121"/>
  <c r="FT67" i="121" s="1"/>
  <c r="FL61" i="123"/>
  <c r="FK48" i="123"/>
  <c r="FK52" i="123"/>
  <c r="FT52" i="123" s="1"/>
  <c r="EU61" i="123"/>
  <c r="BY116" i="122"/>
  <c r="BY169" i="122" s="1"/>
  <c r="BS215" i="122"/>
  <c r="BS156" i="122"/>
  <c r="BY55" i="122"/>
  <c r="BY197" i="122" s="1"/>
  <c r="BS213" i="122"/>
  <c r="BS196" i="122"/>
  <c r="EY40" i="123"/>
  <c r="EY42" i="123" s="1"/>
  <c r="BT158" i="122"/>
  <c r="EZ42" i="123"/>
  <c r="BZ152" i="122"/>
  <c r="BS81" i="122"/>
  <c r="BZ106" i="122"/>
  <c r="BY106" i="122" s="1"/>
  <c r="BT213" i="122"/>
  <c r="BT101" i="122"/>
  <c r="CF89" i="122"/>
  <c r="CI89" i="122" s="1"/>
  <c r="BZ208" i="122"/>
  <c r="FR42" i="123"/>
  <c r="FR36" i="123"/>
  <c r="EY38" i="123"/>
  <c r="FQ38" i="123" s="1"/>
  <c r="BS48" i="122"/>
  <c r="EY37" i="123"/>
  <c r="FQ37" i="123" s="1"/>
  <c r="EY36" i="123"/>
  <c r="BS155" i="122"/>
  <c r="CA48" i="122"/>
  <c r="BY155" i="120"/>
  <c r="BY221" i="120" s="1"/>
  <c r="BZ149" i="120"/>
  <c r="BZ215" i="120" s="1"/>
  <c r="BS149" i="120"/>
  <c r="BS215" i="120" s="1"/>
  <c r="EY68" i="121"/>
  <c r="BS65" i="120"/>
  <c r="BY64" i="120"/>
  <c r="BY65" i="120" s="1"/>
  <c r="BS197" i="120"/>
  <c r="BS202" i="120"/>
  <c r="BS203" i="120" s="1"/>
  <c r="BZ105" i="120"/>
  <c r="BY61" i="120"/>
  <c r="BZ197" i="120"/>
  <c r="BS238" i="120"/>
  <c r="BT53" i="120"/>
  <c r="BT270" i="120"/>
  <c r="BY128" i="120"/>
  <c r="BY129" i="120" s="1"/>
  <c r="BZ202" i="120"/>
  <c r="FQ57" i="123"/>
  <c r="FQ54" i="123"/>
  <c r="BY47" i="122"/>
  <c r="BS227" i="120"/>
  <c r="EY85" i="121"/>
  <c r="BY230" i="120"/>
  <c r="FQ72" i="121"/>
  <c r="BU215" i="120"/>
  <c r="FA67" i="121" s="1"/>
  <c r="EY67" i="121" s="1"/>
  <c r="FS71" i="121"/>
  <c r="FQ71" i="121"/>
  <c r="FS70" i="121"/>
  <c r="EY70" i="121"/>
  <c r="FQ70" i="121" s="1"/>
  <c r="CA36" i="120"/>
  <c r="FA55" i="121"/>
  <c r="CA29" i="120"/>
  <c r="BY35" i="120"/>
  <c r="FR30" i="123"/>
  <c r="FX12" i="123"/>
  <c r="FW12" i="123" s="1"/>
  <c r="BZ9" i="122"/>
  <c r="BZ143" i="122" s="1"/>
  <c r="BZ178" i="122" s="1"/>
  <c r="FX17" i="121"/>
  <c r="FW17" i="121" s="1"/>
  <c r="FQ17" i="121"/>
  <c r="EZ42" i="121"/>
  <c r="FR25" i="123"/>
  <c r="EY34" i="121"/>
  <c r="FQ34" i="121" s="1"/>
  <c r="EY37" i="121"/>
  <c r="GD33" i="121"/>
  <c r="GD32" i="121"/>
  <c r="GC29" i="121"/>
  <c r="FW29" i="121"/>
  <c r="EY40" i="121"/>
  <c r="FA38" i="121"/>
  <c r="FS37" i="121"/>
  <c r="FS38" i="121" s="1"/>
  <c r="FX24" i="121"/>
  <c r="BT14" i="120"/>
  <c r="BT12" i="120" s="1"/>
  <c r="FW24" i="121"/>
  <c r="EY20" i="121"/>
  <c r="BS18" i="120"/>
  <c r="BS185" i="120" s="1"/>
  <c r="EY15" i="121"/>
  <c r="BY15" i="120"/>
  <c r="BY182" i="120" s="1"/>
  <c r="EZ14" i="121"/>
  <c r="EY14" i="121" s="1"/>
  <c r="FR15" i="121"/>
  <c r="FX15" i="121" s="1"/>
  <c r="EY17" i="121"/>
  <c r="EY15" i="123"/>
  <c r="BY15" i="122"/>
  <c r="FQ12" i="123"/>
  <c r="FQ30" i="123" s="1"/>
  <c r="BY11" i="122"/>
  <c r="BY145" i="122" s="1"/>
  <c r="BT125" i="122"/>
  <c r="BZ125" i="122" s="1"/>
  <c r="BY125" i="122" s="1"/>
  <c r="FR10" i="123"/>
  <c r="FX10" i="123" s="1"/>
  <c r="FW10" i="123" s="1"/>
  <c r="EZ28" i="123"/>
  <c r="BS143" i="122"/>
  <c r="BS178" i="122" s="1"/>
  <c r="BT143" i="122"/>
  <c r="BT178" i="122" s="1"/>
  <c r="EZ9" i="123"/>
  <c r="EZ26" i="123" s="1"/>
  <c r="EY8" i="123"/>
  <c r="BS177" i="120"/>
  <c r="EY10" i="121"/>
  <c r="BS11" i="120"/>
  <c r="BS178" i="120" s="1"/>
  <c r="FR11" i="121"/>
  <c r="FQ11" i="121" s="1"/>
  <c r="FR10" i="121"/>
  <c r="BY11" i="120"/>
  <c r="BY178" i="120" s="1"/>
  <c r="CA177" i="120"/>
  <c r="J17" i="129"/>
  <c r="J20" i="129"/>
  <c r="J21" i="129" s="1"/>
  <c r="BK91" i="122"/>
  <c r="GB8" i="121"/>
  <c r="CD8" i="120"/>
  <c r="AX61" i="32"/>
  <c r="AX70" i="32" s="1"/>
  <c r="AJ11" i="95"/>
  <c r="AX65" i="32"/>
  <c r="E29" i="128"/>
  <c r="J29" i="128" s="1"/>
  <c r="O29" i="128" s="1"/>
  <c r="T29" i="128" s="1"/>
  <c r="K37" i="128"/>
  <c r="I45" i="127"/>
  <c r="I44" i="127" s="1"/>
  <c r="I32" i="127"/>
  <c r="D19" i="116"/>
  <c r="C20" i="116"/>
  <c r="D20" i="116" s="1"/>
  <c r="EI37" i="121"/>
  <c r="BM83" i="121"/>
  <c r="BX83" i="121"/>
  <c r="G18" i="79"/>
  <c r="H18" i="79" s="1"/>
  <c r="Q115" i="120"/>
  <c r="R254" i="120"/>
  <c r="AH240" i="120"/>
  <c r="AN240" i="120" s="1"/>
  <c r="AN40" i="120"/>
  <c r="AQ40" i="120"/>
  <c r="BF40" i="120" s="1"/>
  <c r="CM49" i="120"/>
  <c r="BM49" i="120"/>
  <c r="BL48" i="120"/>
  <c r="BF263" i="120"/>
  <c r="EX79" i="121"/>
  <c r="FG79" i="121" s="1"/>
  <c r="EG37" i="121"/>
  <c r="BD211" i="122"/>
  <c r="CB211" i="122" s="1"/>
  <c r="J40" i="128"/>
  <c r="O40" i="128" s="1"/>
  <c r="T40" i="128" s="1"/>
  <c r="R37" i="128"/>
  <c r="Q37" i="128"/>
  <c r="EI67" i="121"/>
  <c r="CJ76" i="121"/>
  <c r="D44" i="116"/>
  <c r="C45" i="116"/>
  <c r="D45" i="116" s="1"/>
  <c r="AG55" i="121"/>
  <c r="AM116" i="120"/>
  <c r="AG249" i="120"/>
  <c r="AF116" i="120"/>
  <c r="AP116" i="120"/>
  <c r="BE116" i="120" s="1"/>
  <c r="BK116" i="120" s="1"/>
  <c r="AF40" i="120"/>
  <c r="AM40" i="120"/>
  <c r="AP40" i="120"/>
  <c r="BE40" i="120" s="1"/>
  <c r="BK40" i="120" s="1"/>
  <c r="AG240" i="120"/>
  <c r="W64" i="125"/>
  <c r="CD64" i="123"/>
  <c r="CA64" i="123"/>
  <c r="R55" i="126"/>
  <c r="K11" i="129"/>
  <c r="K12" i="129" s="1"/>
  <c r="K13" i="129"/>
  <c r="E36" i="128"/>
  <c r="J36" i="128" s="1"/>
  <c r="O36" i="128" s="1"/>
  <c r="T36" i="128" s="1"/>
  <c r="CI37" i="121"/>
  <c r="GF86" i="121"/>
  <c r="EG55" i="121"/>
  <c r="GF54" i="121"/>
  <c r="GF55" i="121" s="1"/>
  <c r="D111" i="116"/>
  <c r="F64" i="116" s="1"/>
  <c r="R251" i="120"/>
  <c r="Q112" i="120"/>
  <c r="Q251" i="120" s="1"/>
  <c r="K20" i="129"/>
  <c r="O34" i="128"/>
  <c r="T34" i="128" s="1"/>
  <c r="C40" i="116"/>
  <c r="D40" i="116" s="1"/>
  <c r="D39" i="116"/>
  <c r="E111" i="118"/>
  <c r="EH67" i="121"/>
  <c r="GG67" i="121" s="1"/>
  <c r="CI76" i="121"/>
  <c r="BD83" i="121"/>
  <c r="BE84" i="121"/>
  <c r="FT89" i="121"/>
  <c r="GF71" i="123"/>
  <c r="GF70" i="123" s="1"/>
  <c r="EG70" i="123"/>
  <c r="AY59" i="121"/>
  <c r="AP109" i="120"/>
  <c r="AG241" i="120"/>
  <c r="AF109" i="120"/>
  <c r="R252" i="120"/>
  <c r="AG113" i="120"/>
  <c r="Q113" i="120"/>
  <c r="Q252" i="120" s="1"/>
  <c r="CY64" i="123"/>
  <c r="DH64" i="123" s="1"/>
  <c r="EO64" i="123" s="1"/>
  <c r="BD184" i="120"/>
  <c r="BO99" i="122"/>
  <c r="CL104" i="122"/>
  <c r="G39" i="128"/>
  <c r="I39" i="128" s="1"/>
  <c r="C102" i="118"/>
  <c r="D102" i="118" s="1"/>
  <c r="H66" i="123"/>
  <c r="CM17" i="121"/>
  <c r="O81" i="122"/>
  <c r="O55" i="121"/>
  <c r="L159" i="122"/>
  <c r="C254" i="120"/>
  <c r="R241" i="120"/>
  <c r="B243" i="120"/>
  <c r="B115" i="120"/>
  <c r="AP111" i="120"/>
  <c r="BE111" i="120" s="1"/>
  <c r="AG115" i="120"/>
  <c r="B207" i="120"/>
  <c r="Q40" i="120"/>
  <c r="AJ43" i="123"/>
  <c r="CI43" i="123" s="1"/>
  <c r="EH43" i="123" s="1"/>
  <c r="GG43" i="123" s="1"/>
  <c r="CN41" i="120"/>
  <c r="BD43" i="120"/>
  <c r="BL43" i="120"/>
  <c r="AQ134" i="120"/>
  <c r="Q42" i="120"/>
  <c r="Q242" i="120" s="1"/>
  <c r="R242" i="120"/>
  <c r="BT11" i="19"/>
  <c r="AW80" i="7"/>
  <c r="AW82" i="7"/>
  <c r="AW83" i="7"/>
  <c r="AX155" i="7"/>
  <c r="AX157" i="7"/>
  <c r="AY157" i="7"/>
  <c r="AY155" i="7"/>
  <c r="AQ18" i="7"/>
  <c r="BA39" i="7"/>
  <c r="AM39" i="7"/>
  <c r="BE33" i="7"/>
  <c r="BF33" i="7"/>
  <c r="AV27" i="8"/>
  <c r="BC30" i="8"/>
  <c r="AY89" i="8"/>
  <c r="AY24" i="8"/>
  <c r="AY17" i="8"/>
  <c r="CL88" i="122"/>
  <c r="BN209" i="122"/>
  <c r="CD79" i="121"/>
  <c r="AP90" i="122"/>
  <c r="BE211" i="122"/>
  <c r="CC211" i="122" s="1"/>
  <c r="Q85" i="122"/>
  <c r="AP109" i="122"/>
  <c r="D24" i="118"/>
  <c r="D76" i="116"/>
  <c r="FV26" i="123"/>
  <c r="AH67" i="121"/>
  <c r="AF57" i="123"/>
  <c r="AM240" i="120"/>
  <c r="B252" i="120"/>
  <c r="C252" i="120"/>
  <c r="C251" i="120"/>
  <c r="R240" i="120"/>
  <c r="BF134" i="120"/>
  <c r="CN48" i="120"/>
  <c r="AO49" i="120"/>
  <c r="AN134" i="120"/>
  <c r="AZ58" i="121"/>
  <c r="BI58" i="121" s="1"/>
  <c r="M58" i="121"/>
  <c r="V58" i="121" s="1"/>
  <c r="CK172" i="7"/>
  <c r="AI16" i="64" s="1"/>
  <c r="AI14" i="64" s="1"/>
  <c r="BB33" i="7"/>
  <c r="BB27" i="7" s="1"/>
  <c r="AM87" i="8"/>
  <c r="AN20" i="8"/>
  <c r="AN87" i="8" s="1"/>
  <c r="N177" i="120"/>
  <c r="AL10" i="19"/>
  <c r="BA138" i="7"/>
  <c r="AV14" i="8"/>
  <c r="AX15" i="8"/>
  <c r="AX8" i="8" s="1"/>
  <c r="BA31" i="7"/>
  <c r="BC14" i="7"/>
  <c r="AN53" i="7"/>
  <c r="X83" i="7"/>
  <c r="X80" i="7"/>
  <c r="Z40" i="8"/>
  <c r="BN162" i="122"/>
  <c r="EN46" i="123" s="1"/>
  <c r="EW46" i="123" s="1"/>
  <c r="FF46" i="123" s="1"/>
  <c r="FO46" i="123" s="1"/>
  <c r="AC37" i="126" s="1"/>
  <c r="CA39" i="123"/>
  <c r="AQ100" i="122"/>
  <c r="AM109" i="122"/>
  <c r="AG112" i="120"/>
  <c r="BE49" i="120"/>
  <c r="AQ263" i="120"/>
  <c r="AM41" i="120"/>
  <c r="AP41" i="120"/>
  <c r="BE41" i="120" s="1"/>
  <c r="BQ11" i="19"/>
  <c r="AW157" i="7"/>
  <c r="AW155" i="7"/>
  <c r="AX85" i="7"/>
  <c r="AX82" i="7"/>
  <c r="AX80" i="7"/>
  <c r="AX83" i="7" s="1"/>
  <c r="AL140" i="7"/>
  <c r="Z19" i="7"/>
  <c r="T19" i="7"/>
  <c r="S19" i="7"/>
  <c r="R19" i="7"/>
  <c r="Q18" i="7"/>
  <c r="AB18" i="7" s="1"/>
  <c r="AC13" i="9"/>
  <c r="B42" i="120"/>
  <c r="AG42" i="120"/>
  <c r="CN9" i="8"/>
  <c r="CN86" i="8" s="1"/>
  <c r="B14" i="88"/>
  <c r="AY85" i="7"/>
  <c r="AY86" i="7" s="1"/>
  <c r="BB145" i="7"/>
  <c r="AK10" i="19"/>
  <c r="AI18" i="7"/>
  <c r="Q48" i="72"/>
  <c r="AS16" i="7"/>
  <c r="AF38" i="8"/>
  <c r="R34" i="7"/>
  <c r="Z34" i="7"/>
  <c r="S34" i="7"/>
  <c r="T34" i="7"/>
  <c r="U34" i="7" s="1"/>
  <c r="W49" i="5"/>
  <c r="AA26" i="7" s="1"/>
  <c r="W50" i="5"/>
  <c r="AA34" i="7" s="1"/>
  <c r="AI24" i="8"/>
  <c r="R26" i="7"/>
  <c r="S26" i="7"/>
  <c r="T26" i="7"/>
  <c r="Z26" i="7"/>
  <c r="B84" i="56"/>
  <c r="N84" i="56" s="1"/>
  <c r="L84" i="56" s="1"/>
  <c r="C83" i="56"/>
  <c r="H41" i="8"/>
  <c r="M41" i="8"/>
  <c r="G37" i="8"/>
  <c r="AN60" i="9"/>
  <c r="AN60" i="72"/>
  <c r="T49" i="19"/>
  <c r="Z60" i="19"/>
  <c r="Z58" i="19" s="1"/>
  <c r="AO33" i="11"/>
  <c r="BA33" i="11"/>
  <c r="AP39" i="7"/>
  <c r="AA40" i="7"/>
  <c r="AI39" i="7"/>
  <c r="AB39" i="7"/>
  <c r="BG31" i="11"/>
  <c r="AO31" i="11"/>
  <c r="BB31" i="11"/>
  <c r="AQ84" i="7"/>
  <c r="AR84" i="7" s="1"/>
  <c r="I29" i="21"/>
  <c r="L29" i="21"/>
  <c r="N29" i="21" s="1"/>
  <c r="Z39" i="7"/>
  <c r="Q40" i="7"/>
  <c r="S39" i="7"/>
  <c r="T39" i="7"/>
  <c r="U39" i="7" s="1"/>
  <c r="R39" i="7"/>
  <c r="H17" i="8"/>
  <c r="E51" i="8"/>
  <c r="E68" i="8" s="1"/>
  <c r="U71" i="8"/>
  <c r="U68" i="8"/>
  <c r="AB17" i="5"/>
  <c r="AC17" i="5" s="1"/>
  <c r="AC20" i="5"/>
  <c r="AG20" i="5"/>
  <c r="AG17" i="5" s="1"/>
  <c r="AC11" i="5"/>
  <c r="AD14" i="6"/>
  <c r="AG14" i="6"/>
  <c r="R13" i="6"/>
  <c r="R45" i="6"/>
  <c r="R46" i="6" s="1"/>
  <c r="J26" i="21"/>
  <c r="P26" i="21"/>
  <c r="K26" i="21"/>
  <c r="N24" i="35"/>
  <c r="O24" i="35"/>
  <c r="H24" i="35"/>
  <c r="M24" i="35"/>
  <c r="K24" i="35"/>
  <c r="L24" i="35"/>
  <c r="I24" i="35"/>
  <c r="G24" i="35"/>
  <c r="F24" i="35"/>
  <c r="E24" i="35"/>
  <c r="D24" i="35"/>
  <c r="J24" i="35"/>
  <c r="L10" i="3"/>
  <c r="L28" i="3" s="1"/>
  <c r="L15" i="3"/>
  <c r="AP81" i="7"/>
  <c r="Y156" i="7"/>
  <c r="Y157" i="7" s="1"/>
  <c r="Y83" i="7"/>
  <c r="Y85" i="7"/>
  <c r="Y86" i="7" s="1"/>
  <c r="Z81" i="7"/>
  <c r="Y82" i="7"/>
  <c r="AI139" i="7"/>
  <c r="P56" i="19"/>
  <c r="P58" i="19"/>
  <c r="P57" i="19"/>
  <c r="N60" i="56"/>
  <c r="N59" i="56" s="1"/>
  <c r="AX42" i="8"/>
  <c r="AX93" i="8" s="1"/>
  <c r="AY44" i="8"/>
  <c r="AY42" i="8" s="1"/>
  <c r="AY93" i="8" s="1"/>
  <c r="AT142" i="7"/>
  <c r="AT150" i="7" s="1"/>
  <c r="AU19" i="7"/>
  <c r="BG60" i="72"/>
  <c r="BC54" i="72"/>
  <c r="BC52" i="72"/>
  <c r="F9" i="77"/>
  <c r="E9" i="77" s="1"/>
  <c r="AH18" i="6"/>
  <c r="AC34" i="8"/>
  <c r="AV88" i="8"/>
  <c r="AF25" i="7"/>
  <c r="AF140" i="7"/>
  <c r="AG170" i="7" s="1"/>
  <c r="AE157" i="7"/>
  <c r="AE155" i="7"/>
  <c r="K18" i="56"/>
  <c r="P8" i="56"/>
  <c r="P18" i="56" s="1"/>
  <c r="S122" i="56"/>
  <c r="N103" i="56"/>
  <c r="N102" i="56" s="1"/>
  <c r="C103" i="56"/>
  <c r="AD88" i="6"/>
  <c r="AZ88" i="6" s="1"/>
  <c r="BE88" i="6" s="1"/>
  <c r="BJ88" i="6"/>
  <c r="M35" i="32"/>
  <c r="L38" i="32"/>
  <c r="CG25" i="17"/>
  <c r="S38" i="59"/>
  <c r="S39" i="59" s="1"/>
  <c r="S44" i="59"/>
  <c r="S47" i="59"/>
  <c r="W47" i="59"/>
  <c r="W44" i="59"/>
  <c r="Q48" i="3"/>
  <c r="BP45" i="3"/>
  <c r="F9" i="62"/>
  <c r="F10" i="62" s="1"/>
  <c r="G10" i="62"/>
  <c r="BE38" i="7" s="1"/>
  <c r="BD38" i="7" s="1"/>
  <c r="C19" i="63"/>
  <c r="D18" i="63"/>
  <c r="J5" i="68"/>
  <c r="H8" i="68"/>
  <c r="BR32" i="17"/>
  <c r="BW30" i="71"/>
  <c r="BV30" i="71"/>
  <c r="BX30" i="71"/>
  <c r="BR27" i="17"/>
  <c r="BV27" i="71"/>
  <c r="BW27" i="71"/>
  <c r="BX27" i="71"/>
  <c r="AD9" i="71"/>
  <c r="AM9" i="71"/>
  <c r="AE14" i="71"/>
  <c r="AD14" i="71"/>
  <c r="BH24" i="71"/>
  <c r="AY24" i="71"/>
  <c r="AV36" i="71"/>
  <c r="BR25" i="17"/>
  <c r="BW25" i="71"/>
  <c r="BX25" i="71"/>
  <c r="BV25" i="71"/>
  <c r="N37" i="71"/>
  <c r="AZ65" i="121"/>
  <c r="D13" i="75"/>
  <c r="D14" i="75" s="1"/>
  <c r="D16" i="75" s="1"/>
  <c r="D17" i="75" s="1"/>
  <c r="H16" i="66"/>
  <c r="H14" i="66" s="1"/>
  <c r="J17" i="87"/>
  <c r="P16" i="64"/>
  <c r="P14" i="64" s="1"/>
  <c r="S254" i="120"/>
  <c r="M57" i="121"/>
  <c r="V57" i="121" s="1"/>
  <c r="R44" i="120"/>
  <c r="CH12" i="123"/>
  <c r="AI11" i="121"/>
  <c r="AK15" i="65"/>
  <c r="AZ22" i="61"/>
  <c r="BA36" i="7"/>
  <c r="AJ38" i="8"/>
  <c r="W92" i="56"/>
  <c r="W72" i="56"/>
  <c r="Z16" i="7"/>
  <c r="R16" i="7"/>
  <c r="S16" i="7"/>
  <c r="T16" i="7"/>
  <c r="U16" i="7" s="1"/>
  <c r="X26" i="19"/>
  <c r="AG26" i="19" s="1"/>
  <c r="X24" i="19"/>
  <c r="AG24" i="19" s="1"/>
  <c r="X28" i="19"/>
  <c r="AG28" i="19" s="1"/>
  <c r="X37" i="19"/>
  <c r="AG37" i="19" s="1"/>
  <c r="X30" i="19"/>
  <c r="AG30" i="19" s="1"/>
  <c r="X44" i="19"/>
  <c r="X32" i="19"/>
  <c r="AG32" i="19" s="1"/>
  <c r="X34" i="19"/>
  <c r="AG34" i="19" s="1"/>
  <c r="X21" i="19"/>
  <c r="AG21" i="19" s="1"/>
  <c r="X8" i="19"/>
  <c r="AG8" i="19" s="1"/>
  <c r="Z57" i="19"/>
  <c r="F23" i="36" s="1"/>
  <c r="F25" i="36" s="1"/>
  <c r="X35" i="19"/>
  <c r="AG35" i="19" s="1"/>
  <c r="X17" i="19"/>
  <c r="AG17" i="19" s="1"/>
  <c r="X19" i="19"/>
  <c r="AG19" i="19" s="1"/>
  <c r="X27" i="19"/>
  <c r="AG27" i="19" s="1"/>
  <c r="X16" i="19"/>
  <c r="AG16" i="19" s="1"/>
  <c r="X10" i="19"/>
  <c r="X11" i="19"/>
  <c r="X38" i="19"/>
  <c r="AG38" i="19" s="1"/>
  <c r="X18" i="19"/>
  <c r="AG18" i="19" s="1"/>
  <c r="X45" i="19"/>
  <c r="X25" i="19"/>
  <c r="X29" i="19"/>
  <c r="AG29" i="19" s="1"/>
  <c r="X9" i="19"/>
  <c r="AG9" i="19" s="1"/>
  <c r="X22" i="19"/>
  <c r="AG22" i="19" s="1"/>
  <c r="X13" i="19"/>
  <c r="AG13" i="19" s="1"/>
  <c r="X20" i="19"/>
  <c r="AG20" i="19" s="1"/>
  <c r="X47" i="19"/>
  <c r="AE47" i="19" s="1"/>
  <c r="X42" i="19"/>
  <c r="AG42" i="19" s="1"/>
  <c r="X31" i="19"/>
  <c r="AG31" i="19" s="1"/>
  <c r="X41" i="19"/>
  <c r="AG41" i="19" s="1"/>
  <c r="X39" i="19"/>
  <c r="AG39" i="19" s="1"/>
  <c r="X40" i="19"/>
  <c r="X43" i="19"/>
  <c r="X33" i="19"/>
  <c r="AG33" i="19" s="1"/>
  <c r="X23" i="19"/>
  <c r="AG23" i="19" s="1"/>
  <c r="X46" i="19"/>
  <c r="X36" i="19"/>
  <c r="AG36" i="19" s="1"/>
  <c r="O17" i="7"/>
  <c r="O63" i="7" s="1"/>
  <c r="P19" i="7"/>
  <c r="P17" i="7" s="1"/>
  <c r="K50" i="5"/>
  <c r="K34" i="7" s="1"/>
  <c r="K27" i="7" s="1"/>
  <c r="K49" i="5"/>
  <c r="K26" i="7" s="1"/>
  <c r="K17" i="7" s="1"/>
  <c r="K48" i="5"/>
  <c r="K16" i="7" s="1"/>
  <c r="K8" i="7" s="1"/>
  <c r="K63" i="7" s="1"/>
  <c r="K80" i="7" s="1"/>
  <c r="K51" i="5"/>
  <c r="K42" i="7" s="1"/>
  <c r="K35" i="7" s="1"/>
  <c r="B13" i="102"/>
  <c r="D13" i="102" s="1"/>
  <c r="I16" i="65"/>
  <c r="E32" i="21"/>
  <c r="O82" i="56"/>
  <c r="D68" i="8"/>
  <c r="C73" i="56"/>
  <c r="B74" i="56"/>
  <c r="AE14" i="17"/>
  <c r="AD14" i="17"/>
  <c r="Z97" i="7"/>
  <c r="Z99" i="7" s="1"/>
  <c r="Y97" i="7"/>
  <c r="H39" i="3"/>
  <c r="H40" i="3" s="1"/>
  <c r="H48" i="3"/>
  <c r="H45" i="3"/>
  <c r="H27" i="7"/>
  <c r="N27" i="7"/>
  <c r="AN45" i="8"/>
  <c r="AO45" i="8" s="1"/>
  <c r="J51" i="8"/>
  <c r="J68" i="8" s="1"/>
  <c r="V13" i="10"/>
  <c r="V33" i="17"/>
  <c r="U33" i="17"/>
  <c r="AT33" i="17"/>
  <c r="AX33" i="17"/>
  <c r="X14" i="19"/>
  <c r="W14" i="19"/>
  <c r="AC14" i="19"/>
  <c r="I27" i="21"/>
  <c r="M27" i="21"/>
  <c r="N27" i="21" s="1"/>
  <c r="AO32" i="11"/>
  <c r="BG32" i="11"/>
  <c r="BA32" i="11"/>
  <c r="AD10" i="17"/>
  <c r="AM10" i="17"/>
  <c r="J15" i="3"/>
  <c r="J10" i="3"/>
  <c r="J28" i="3" s="1"/>
  <c r="AH8" i="7"/>
  <c r="AJ63" i="7"/>
  <c r="AB106" i="8"/>
  <c r="AB101" i="8"/>
  <c r="AP91" i="8"/>
  <c r="AP99" i="8" s="1"/>
  <c r="AP17" i="8"/>
  <c r="AP51" i="8" s="1"/>
  <c r="AQ19" i="8"/>
  <c r="AR19" i="8" s="1"/>
  <c r="AA53" i="6"/>
  <c r="AG53" i="6" s="1"/>
  <c r="AH53" i="6" s="1"/>
  <c r="AA54" i="6"/>
  <c r="AG54" i="6" s="1"/>
  <c r="AH54" i="6" s="1"/>
  <c r="AA51" i="6"/>
  <c r="AG51" i="6" s="1"/>
  <c r="AH51" i="6" s="1"/>
  <c r="AA52" i="6"/>
  <c r="AG52" i="6" s="1"/>
  <c r="AH52" i="6" s="1"/>
  <c r="AZ42" i="8"/>
  <c r="BB45" i="8"/>
  <c r="BA45" i="8"/>
  <c r="AF150" i="7"/>
  <c r="AT17" i="7"/>
  <c r="AT63" i="7" s="1"/>
  <c r="AQ31" i="8"/>
  <c r="AQ27" i="8" s="1"/>
  <c r="AQ89" i="8"/>
  <c r="AE58" i="59"/>
  <c r="D36" i="32"/>
  <c r="BE53" i="7" s="1"/>
  <c r="BG30" i="11"/>
  <c r="BF42" i="11"/>
  <c r="BG42" i="11" s="1"/>
  <c r="O12" i="59"/>
  <c r="N14" i="59"/>
  <c r="O14" i="59" s="1"/>
  <c r="N9" i="59"/>
  <c r="W14" i="59"/>
  <c r="W9" i="59"/>
  <c r="W27" i="59" s="1"/>
  <c r="V47" i="59"/>
  <c r="V44" i="59"/>
  <c r="AE56" i="59"/>
  <c r="E20" i="75"/>
  <c r="E21" i="75" s="1"/>
  <c r="E23" i="75" s="1"/>
  <c r="E24" i="75" s="1"/>
  <c r="H16" i="62"/>
  <c r="F13" i="62"/>
  <c r="F16" i="62" s="1"/>
  <c r="N17" i="61"/>
  <c r="K17" i="61"/>
  <c r="C14" i="77" s="1"/>
  <c r="B14" i="77" s="1"/>
  <c r="BC10" i="5"/>
  <c r="BC8" i="5" s="1"/>
  <c r="AM8" i="5"/>
  <c r="AX10" i="5"/>
  <c r="BE52" i="9"/>
  <c r="BD52" i="9"/>
  <c r="BP29" i="121"/>
  <c r="DO39" i="121"/>
  <c r="DX29" i="121"/>
  <c r="BR26" i="17"/>
  <c r="BX26" i="71"/>
  <c r="BW26" i="71"/>
  <c r="BV26" i="71"/>
  <c r="AM10" i="71"/>
  <c r="AD10" i="71"/>
  <c r="AO29" i="71"/>
  <c r="AM37" i="71"/>
  <c r="BN35" i="71"/>
  <c r="BN29" i="71"/>
  <c r="BN37" i="71" s="1"/>
  <c r="BV32" i="71"/>
  <c r="BR34" i="17"/>
  <c r="BW32" i="71"/>
  <c r="BX32" i="71"/>
  <c r="M65" i="121"/>
  <c r="V65" i="121" s="1"/>
  <c r="BN50" i="72"/>
  <c r="BT54" i="72"/>
  <c r="AJ100" i="8"/>
  <c r="AF100" i="8"/>
  <c r="BA39" i="17"/>
  <c r="BL24" i="17"/>
  <c r="K48" i="6"/>
  <c r="K26" i="8" s="1"/>
  <c r="K17" i="8" s="1"/>
  <c r="K49" i="6"/>
  <c r="K33" i="8" s="1"/>
  <c r="K27" i="8" s="1"/>
  <c r="O45" i="6"/>
  <c r="O46" i="6" s="1"/>
  <c r="K50" i="6"/>
  <c r="K41" i="8" s="1"/>
  <c r="K34" i="8" s="1"/>
  <c r="K47" i="6"/>
  <c r="K16" i="8" s="1"/>
  <c r="K8" i="8" s="1"/>
  <c r="Q19" i="8"/>
  <c r="P17" i="8"/>
  <c r="S19" i="8"/>
  <c r="T19" i="8" s="1"/>
  <c r="R19" i="8"/>
  <c r="S23" i="8"/>
  <c r="T23" i="8" s="1"/>
  <c r="S20" i="8"/>
  <c r="T20" i="8" s="1"/>
  <c r="S22" i="8"/>
  <c r="T22" i="8" s="1"/>
  <c r="S18" i="8"/>
  <c r="S24" i="8"/>
  <c r="AM88" i="8"/>
  <c r="AN22" i="8"/>
  <c r="AN88" i="8" s="1"/>
  <c r="AR56" i="7"/>
  <c r="AS56" i="7" s="1"/>
  <c r="W71" i="8"/>
  <c r="W68" i="8"/>
  <c r="W70" i="8"/>
  <c r="W74" i="8"/>
  <c r="W75" i="8" s="1"/>
  <c r="N51" i="8"/>
  <c r="O27" i="8"/>
  <c r="AC39" i="5"/>
  <c r="AB26" i="5"/>
  <c r="AC26" i="5" s="1"/>
  <c r="P45" i="6"/>
  <c r="W25" i="6"/>
  <c r="V59" i="9"/>
  <c r="Y87" i="8"/>
  <c r="Z10" i="8"/>
  <c r="AJ10" i="8"/>
  <c r="AF10" i="8"/>
  <c r="D13" i="32"/>
  <c r="AA59" i="19"/>
  <c r="AA56" i="19"/>
  <c r="AA57" i="19"/>
  <c r="I30" i="21"/>
  <c r="M30" i="21"/>
  <c r="N30" i="21" s="1"/>
  <c r="K10" i="21"/>
  <c r="K9" i="21"/>
  <c r="E16" i="21"/>
  <c r="F28" i="21" s="1"/>
  <c r="AO31" i="17"/>
  <c r="AM40" i="17"/>
  <c r="I10" i="3"/>
  <c r="I28" i="3" s="1"/>
  <c r="I15" i="3"/>
  <c r="C15" i="3"/>
  <c r="F13" i="3"/>
  <c r="D13" i="3"/>
  <c r="C10" i="3"/>
  <c r="AK83" i="7"/>
  <c r="AK80" i="7"/>
  <c r="AK85" i="7"/>
  <c r="AK86" i="7" s="1"/>
  <c r="AK82" i="7"/>
  <c r="C20" i="75"/>
  <c r="C21" i="75" s="1"/>
  <c r="C23" i="75" s="1"/>
  <c r="C24" i="75" s="1"/>
  <c r="M16" i="19"/>
  <c r="K49" i="19"/>
  <c r="M49" i="19" s="1"/>
  <c r="AD21" i="19"/>
  <c r="AD22" i="19"/>
  <c r="AD40" i="19"/>
  <c r="AD36" i="19"/>
  <c r="AD30" i="19"/>
  <c r="AD24" i="19"/>
  <c r="AD18" i="19"/>
  <c r="AD16" i="19"/>
  <c r="AD9" i="19"/>
  <c r="AD8" i="19"/>
  <c r="AD26" i="19"/>
  <c r="AD23" i="19"/>
  <c r="AD19" i="19"/>
  <c r="AD17" i="19"/>
  <c r="AD34" i="19"/>
  <c r="AD20" i="19"/>
  <c r="AD32" i="19"/>
  <c r="AD41" i="19"/>
  <c r="AD39" i="19"/>
  <c r="AD27" i="19"/>
  <c r="AD38" i="19"/>
  <c r="AD42" i="19"/>
  <c r="AD13" i="19"/>
  <c r="AD37" i="19"/>
  <c r="AD35" i="19"/>
  <c r="AD33" i="19"/>
  <c r="AD31" i="19"/>
  <c r="AD29" i="19"/>
  <c r="AD25" i="19"/>
  <c r="AD28" i="19"/>
  <c r="AE51" i="6"/>
  <c r="AE54" i="6"/>
  <c r="AE52" i="6"/>
  <c r="AE53" i="6"/>
  <c r="AM27" i="5"/>
  <c r="AG26" i="5"/>
  <c r="AG46" i="5" s="1"/>
  <c r="AN26" i="6"/>
  <c r="AH25" i="6"/>
  <c r="AC8" i="8"/>
  <c r="AQ8" i="8"/>
  <c r="AQ92" i="8"/>
  <c r="AG107" i="8"/>
  <c r="AG109" i="8"/>
  <c r="AG110" i="8" s="1"/>
  <c r="AS105" i="8"/>
  <c r="CD32" i="17"/>
  <c r="CA31" i="17"/>
  <c r="BD139" i="7"/>
  <c r="BE28" i="7"/>
  <c r="BE139" i="7" s="1"/>
  <c r="T10" i="70"/>
  <c r="T12" i="70" s="1"/>
  <c r="T20" i="70" s="1"/>
  <c r="P9" i="59"/>
  <c r="R12" i="59"/>
  <c r="P14" i="59"/>
  <c r="BE50" i="9"/>
  <c r="BR28" i="17"/>
  <c r="BV28" i="71"/>
  <c r="BX28" i="71"/>
  <c r="BW28" i="71"/>
  <c r="BS33" i="17"/>
  <c r="BT33" i="17"/>
  <c r="AJ9" i="71"/>
  <c r="AI9" i="71"/>
  <c r="AN63" i="72"/>
  <c r="V63" i="72"/>
  <c r="P54" i="72"/>
  <c r="AY64" i="121"/>
  <c r="AO64" i="121"/>
  <c r="V42" i="95"/>
  <c r="Z42" i="95"/>
  <c r="BA10" i="7"/>
  <c r="X48" i="6"/>
  <c r="BB39" i="7"/>
  <c r="BC39" i="7"/>
  <c r="BC40" i="7" s="1"/>
  <c r="BC41" i="7" s="1"/>
  <c r="BC35" i="7" s="1"/>
  <c r="V19" i="10"/>
  <c r="M71" i="56"/>
  <c r="M81" i="56" s="1"/>
  <c r="H81" i="56"/>
  <c r="AM42" i="11"/>
  <c r="AL42" i="11" s="1"/>
  <c r="AP42" i="11" s="1"/>
  <c r="AP45" i="11" s="1"/>
  <c r="AI19" i="8" s="1"/>
  <c r="L42" i="11"/>
  <c r="AC30" i="7"/>
  <c r="AD30" i="7" s="1"/>
  <c r="AC55" i="7"/>
  <c r="AD55" i="7" s="1"/>
  <c r="AB79" i="7"/>
  <c r="AB151" i="7" s="1"/>
  <c r="AA151" i="7"/>
  <c r="S89" i="7"/>
  <c r="AC28" i="7"/>
  <c r="AC29" i="7"/>
  <c r="AC38" i="7"/>
  <c r="AD38" i="7" s="1"/>
  <c r="AI79" i="7"/>
  <c r="AC40" i="7"/>
  <c r="AC11" i="7"/>
  <c r="AD11" i="7" s="1"/>
  <c r="AC37" i="7"/>
  <c r="AD37" i="7" s="1"/>
  <c r="AC36" i="7"/>
  <c r="AC10" i="7"/>
  <c r="AC39" i="7"/>
  <c r="AD39" i="7" s="1"/>
  <c r="AC54" i="7"/>
  <c r="AC12" i="7"/>
  <c r="AB49" i="6"/>
  <c r="AB53" i="6" s="1"/>
  <c r="AB48" i="6"/>
  <c r="AB52" i="6" s="1"/>
  <c r="AB50" i="6"/>
  <c r="AB54" i="6" s="1"/>
  <c r="AB47" i="6"/>
  <c r="W8" i="19"/>
  <c r="W20" i="19"/>
  <c r="W39" i="19"/>
  <c r="W47" i="19"/>
  <c r="AD47" i="19" s="1"/>
  <c r="W42" i="19"/>
  <c r="W30" i="19"/>
  <c r="W24" i="19"/>
  <c r="P8" i="70" s="1"/>
  <c r="W17" i="19"/>
  <c r="W28" i="19"/>
  <c r="W26" i="19"/>
  <c r="W40" i="19"/>
  <c r="W21" i="19"/>
  <c r="W18" i="19"/>
  <c r="W33" i="19"/>
  <c r="W13" i="19"/>
  <c r="W23" i="19"/>
  <c r="W25" i="19"/>
  <c r="W19" i="19"/>
  <c r="W41" i="19"/>
  <c r="W45" i="19"/>
  <c r="W32" i="19"/>
  <c r="W35" i="19"/>
  <c r="W27" i="19"/>
  <c r="W38" i="19"/>
  <c r="W10" i="19"/>
  <c r="Z56" i="19"/>
  <c r="W43" i="19"/>
  <c r="W9" i="19"/>
  <c r="W29" i="19"/>
  <c r="W44" i="19"/>
  <c r="W16" i="19"/>
  <c r="W36" i="19"/>
  <c r="W37" i="19"/>
  <c r="W22" i="19"/>
  <c r="W34" i="19"/>
  <c r="W11" i="19"/>
  <c r="W31" i="19"/>
  <c r="W46" i="19"/>
  <c r="BG29" i="11"/>
  <c r="BA29" i="11"/>
  <c r="AO29" i="11"/>
  <c r="AE8" i="17"/>
  <c r="AD8" i="17"/>
  <c r="AJ157" i="7"/>
  <c r="AJ155" i="7"/>
  <c r="V80" i="7"/>
  <c r="V83" i="7"/>
  <c r="Y91" i="8"/>
  <c r="AF91" i="8" s="1"/>
  <c r="AF19" i="8"/>
  <c r="AH141" i="7"/>
  <c r="AI40" i="7"/>
  <c r="G63" i="7"/>
  <c r="H17" i="7"/>
  <c r="W101" i="8"/>
  <c r="W106" i="8"/>
  <c r="L51" i="8"/>
  <c r="M17" i="8"/>
  <c r="H8" i="8"/>
  <c r="G51" i="8"/>
  <c r="O10" i="70"/>
  <c r="Z88" i="8"/>
  <c r="AG16" i="6"/>
  <c r="AD16" i="6"/>
  <c r="AC12" i="6"/>
  <c r="AD13" i="6"/>
  <c r="BA61" i="9"/>
  <c r="L68" i="9"/>
  <c r="AQ61" i="9"/>
  <c r="AF20" i="8"/>
  <c r="AJ20" i="8"/>
  <c r="AI29" i="7"/>
  <c r="AP29" i="7"/>
  <c r="AD29" i="7"/>
  <c r="AA138" i="7"/>
  <c r="AI138" i="7" s="1"/>
  <c r="AB29" i="7"/>
  <c r="AB138" i="7" s="1"/>
  <c r="AP14" i="17"/>
  <c r="AM14" i="17" s="1"/>
  <c r="P38" i="8"/>
  <c r="R29" i="8"/>
  <c r="P30" i="8"/>
  <c r="Q29" i="8"/>
  <c r="M31" i="21"/>
  <c r="N31" i="21" s="1"/>
  <c r="I31" i="21"/>
  <c r="N12" i="21"/>
  <c r="G28" i="21"/>
  <c r="P25" i="21"/>
  <c r="N32" i="21"/>
  <c r="AE12" i="19"/>
  <c r="AD12" i="19"/>
  <c r="AF12" i="19" s="1"/>
  <c r="AD9" i="17"/>
  <c r="AM9" i="17"/>
  <c r="M15" i="3"/>
  <c r="M10" i="3"/>
  <c r="G15" i="3"/>
  <c r="H13" i="3"/>
  <c r="G10" i="3"/>
  <c r="AI156" i="7"/>
  <c r="AT76" i="5"/>
  <c r="AR89" i="8"/>
  <c r="AR25" i="8"/>
  <c r="AG52" i="7"/>
  <c r="AS99" i="8"/>
  <c r="BE56" i="7"/>
  <c r="BF56" i="7" s="1"/>
  <c r="BF52" i="7" s="1"/>
  <c r="BF144" i="7" s="1"/>
  <c r="M26" i="32"/>
  <c r="N38" i="56"/>
  <c r="N39" i="56" s="1"/>
  <c r="K58" i="56"/>
  <c r="P48" i="56"/>
  <c r="P58" i="56" s="1"/>
  <c r="AF18" i="10"/>
  <c r="BF33" i="11"/>
  <c r="BG33" i="11" s="1"/>
  <c r="BF43" i="11"/>
  <c r="BG43" i="11" s="1"/>
  <c r="CD27" i="17"/>
  <c r="CG27" i="17" s="1"/>
  <c r="CA24" i="17"/>
  <c r="AH14" i="59"/>
  <c r="AH9" i="59"/>
  <c r="AH27" i="59" s="1"/>
  <c r="R47" i="59"/>
  <c r="R44" i="59"/>
  <c r="R38" i="59"/>
  <c r="R39" i="59" s="1"/>
  <c r="N46" i="61"/>
  <c r="N47" i="61" s="1"/>
  <c r="N48" i="61" s="1"/>
  <c r="I48" i="61"/>
  <c r="E12" i="67"/>
  <c r="E13" i="67" s="1"/>
  <c r="E15" i="67" s="1"/>
  <c r="AO48" i="19" s="1"/>
  <c r="BR35" i="17"/>
  <c r="BX33" i="71"/>
  <c r="BV33" i="71"/>
  <c r="BW33" i="71"/>
  <c r="Y37" i="71"/>
  <c r="AA29" i="71"/>
  <c r="CR52" i="72"/>
  <c r="CR54" i="72"/>
  <c r="CS54" i="72" s="1"/>
  <c r="K12" i="87" s="1"/>
  <c r="M14" i="82"/>
  <c r="P14" i="82" s="1"/>
  <c r="O14" i="82"/>
  <c r="B47" i="32"/>
  <c r="Y44" i="3"/>
  <c r="Y48" i="3" s="1"/>
  <c r="AH55" i="72"/>
  <c r="AJ47" i="3"/>
  <c r="K36" i="61"/>
  <c r="S20" i="82"/>
  <c r="S21" i="82" s="1"/>
  <c r="U48" i="3"/>
  <c r="U40" i="3"/>
  <c r="U39" i="3" s="1"/>
  <c r="E19" i="77"/>
  <c r="AA13" i="10"/>
  <c r="AF7" i="10"/>
  <c r="B22" i="77"/>
  <c r="C22" i="77" s="1"/>
  <c r="AF9" i="10"/>
  <c r="K15" i="65"/>
  <c r="O15" i="65" s="1"/>
  <c r="E13" i="77"/>
  <c r="P9" i="82"/>
  <c r="B7" i="78"/>
  <c r="C12" i="78"/>
  <c r="B12" i="78" s="1"/>
  <c r="F81" i="81"/>
  <c r="E93" i="81"/>
  <c r="M9" i="81" s="1"/>
  <c r="E81" i="81"/>
  <c r="I9" i="87"/>
  <c r="CP51" i="72"/>
  <c r="Y62" i="3"/>
  <c r="BM60" i="72" s="1"/>
  <c r="B16" i="92"/>
  <c r="Q35" i="32"/>
  <c r="S35" i="32" s="1"/>
  <c r="S34" i="32"/>
  <c r="J2" i="89"/>
  <c r="A14" i="89"/>
  <c r="B23" i="85" s="1"/>
  <c r="D23" i="85" s="1"/>
  <c r="S103" i="120"/>
  <c r="AH103" i="120" s="1"/>
  <c r="S128" i="120"/>
  <c r="G10" i="64"/>
  <c r="G23" i="64"/>
  <c r="AI54" i="6"/>
  <c r="AI46" i="6"/>
  <c r="AI53" i="6"/>
  <c r="AI51" i="6"/>
  <c r="AI52" i="6"/>
  <c r="W25" i="95"/>
  <c r="X23" i="95"/>
  <c r="AO21" i="8"/>
  <c r="I7" i="11"/>
  <c r="D10" i="79"/>
  <c r="B7" i="102"/>
  <c r="B17" i="72"/>
  <c r="O17" i="72"/>
  <c r="T52" i="72"/>
  <c r="AV68" i="72"/>
  <c r="AU68" i="72" s="1"/>
  <c r="L80" i="72"/>
  <c r="K80" i="72" s="1"/>
  <c r="CD56" i="72"/>
  <c r="E30" i="84"/>
  <c r="AM102" i="120"/>
  <c r="AF102" i="120"/>
  <c r="AL102" i="120" s="1"/>
  <c r="BB12" i="61"/>
  <c r="CP168" i="7"/>
  <c r="AG146" i="120"/>
  <c r="C212" i="120"/>
  <c r="C64" i="121" s="1"/>
  <c r="D198" i="120"/>
  <c r="D50" i="121" s="1"/>
  <c r="B102" i="120"/>
  <c r="Y37" i="61"/>
  <c r="R48" i="3"/>
  <c r="R40" i="3"/>
  <c r="R39" i="3" s="1"/>
  <c r="C14" i="73"/>
  <c r="L5" i="80"/>
  <c r="L10" i="80" s="1"/>
  <c r="L15" i="80" s="1"/>
  <c r="L18" i="80" s="1"/>
  <c r="K5" i="80"/>
  <c r="K10" i="80" s="1"/>
  <c r="K15" i="80" s="1"/>
  <c r="K18" i="80" s="1"/>
  <c r="O7" i="82"/>
  <c r="L11" i="82"/>
  <c r="O11" i="82" s="1"/>
  <c r="M7" i="82"/>
  <c r="D23" i="84"/>
  <c r="B24" i="84"/>
  <c r="D24" i="84" s="1"/>
  <c r="O20" i="81"/>
  <c r="O22" i="81" s="1"/>
  <c r="P20" i="81"/>
  <c r="P22" i="81" s="1"/>
  <c r="K25" i="87"/>
  <c r="G36" i="64"/>
  <c r="H36" i="64"/>
  <c r="CO51" i="72"/>
  <c r="F2" i="89"/>
  <c r="A10" i="89"/>
  <c r="B19" i="85" s="1"/>
  <c r="D19" i="85" s="1"/>
  <c r="N19" i="64"/>
  <c r="L19" i="64"/>
  <c r="G9" i="65"/>
  <c r="G38" i="65" s="1"/>
  <c r="G40" i="65" s="1"/>
  <c r="G22" i="65"/>
  <c r="G38" i="66"/>
  <c r="G40" i="66" s="1"/>
  <c r="G43" i="66" s="1"/>
  <c r="Y38" i="65"/>
  <c r="AJ14" i="10"/>
  <c r="AI18" i="10"/>
  <c r="AI19" i="10" s="1"/>
  <c r="BY24" i="17"/>
  <c r="BY39" i="17" s="1"/>
  <c r="BY38" i="17"/>
  <c r="F49" i="68"/>
  <c r="F48" i="68"/>
  <c r="F46" i="68"/>
  <c r="F47" i="68"/>
  <c r="F78" i="68"/>
  <c r="F79" i="68" s="1"/>
  <c r="F65" i="68"/>
  <c r="CZ14" i="19"/>
  <c r="DA14" i="19"/>
  <c r="DC14" i="19"/>
  <c r="AJ12" i="95"/>
  <c r="AI12" i="95"/>
  <c r="U77" i="10"/>
  <c r="AJ24" i="95"/>
  <c r="AJ25" i="95" s="1"/>
  <c r="AJ27" i="95" s="1"/>
  <c r="AI24" i="95"/>
  <c r="AI25" i="95" s="1"/>
  <c r="AI27" i="95" s="1"/>
  <c r="AO44" i="8"/>
  <c r="AR12" i="7"/>
  <c r="AS12" i="7" s="1"/>
  <c r="AA27" i="17"/>
  <c r="AG64" i="3"/>
  <c r="AK13" i="72"/>
  <c r="I26" i="72"/>
  <c r="K79" i="72"/>
  <c r="AL54" i="72" s="1"/>
  <c r="CQ63" i="7"/>
  <c r="CQ65" i="7" s="1"/>
  <c r="AY37" i="61"/>
  <c r="AA19" i="10"/>
  <c r="G11" i="77"/>
  <c r="K16" i="66" s="1"/>
  <c r="K14" i="66" s="1"/>
  <c r="C75" i="78"/>
  <c r="H46" i="78"/>
  <c r="G48" i="78"/>
  <c r="B10" i="88"/>
  <c r="B11" i="88"/>
  <c r="B5" i="85"/>
  <c r="W40" i="3"/>
  <c r="W39" i="3" s="1"/>
  <c r="BJ58" i="72"/>
  <c r="W48" i="3"/>
  <c r="C29" i="87"/>
  <c r="B25" i="87"/>
  <c r="B30" i="89"/>
  <c r="I31" i="89"/>
  <c r="J30" i="89"/>
  <c r="J28" i="89" s="1"/>
  <c r="A42" i="89"/>
  <c r="B39" i="85" s="1"/>
  <c r="D39" i="85" s="1"/>
  <c r="U18" i="65"/>
  <c r="M2" i="91"/>
  <c r="U46" i="95"/>
  <c r="S27" i="98"/>
  <c r="T12" i="98"/>
  <c r="U12" i="98" s="1"/>
  <c r="V12" i="98" s="1"/>
  <c r="W12" i="98" s="1"/>
  <c r="X12" i="98" s="1"/>
  <c r="Z41" i="95"/>
  <c r="Z46" i="95" s="1"/>
  <c r="AA37" i="95"/>
  <c r="BT43" i="7"/>
  <c r="BT50" i="7"/>
  <c r="H13" i="72"/>
  <c r="BR64" i="121"/>
  <c r="C8" i="73"/>
  <c r="B9" i="73"/>
  <c r="B10" i="73" s="1"/>
  <c r="E15" i="81"/>
  <c r="P22" i="82"/>
  <c r="L12" i="82"/>
  <c r="C76" i="78"/>
  <c r="F59" i="81"/>
  <c r="D61" i="81"/>
  <c r="F67" i="81"/>
  <c r="F73" i="78"/>
  <c r="B46" i="78"/>
  <c r="E73" i="78"/>
  <c r="E74" i="78" s="1"/>
  <c r="F74" i="78" s="1"/>
  <c r="BG17" i="7"/>
  <c r="BI25" i="7"/>
  <c r="H16" i="64"/>
  <c r="H14" i="64" s="1"/>
  <c r="D17" i="87"/>
  <c r="BG140" i="7"/>
  <c r="BG15" i="7"/>
  <c r="BG8" i="7" s="1"/>
  <c r="H27" i="87"/>
  <c r="I27" i="87" s="1"/>
  <c r="AE13" i="10"/>
  <c r="F12" i="90"/>
  <c r="H12" i="90" s="1"/>
  <c r="H11" i="90"/>
  <c r="AH127" i="120"/>
  <c r="D44" i="85"/>
  <c r="D38" i="61"/>
  <c r="E31" i="61" s="1"/>
  <c r="D32" i="61" s="1"/>
  <c r="J16" i="85"/>
  <c r="I17" i="85"/>
  <c r="J17" i="85" s="1"/>
  <c r="H8" i="94"/>
  <c r="F9" i="94"/>
  <c r="H9" i="94" s="1"/>
  <c r="T23" i="66"/>
  <c r="T10" i="66"/>
  <c r="R36" i="64"/>
  <c r="S36" i="64" s="1"/>
  <c r="AY46" i="3"/>
  <c r="AY44" i="3" s="1"/>
  <c r="W10" i="61"/>
  <c r="W35" i="61" s="1"/>
  <c r="W38" i="61" s="1"/>
  <c r="W23" i="61"/>
  <c r="R35" i="66"/>
  <c r="R38" i="66"/>
  <c r="S43" i="122"/>
  <c r="S152" i="122" s="1"/>
  <c r="AQ36" i="123" s="1"/>
  <c r="AZ36" i="123" s="1"/>
  <c r="BI36" i="123" s="1"/>
  <c r="BR36" i="123" s="1"/>
  <c r="D152" i="122"/>
  <c r="D36" i="123" s="1"/>
  <c r="AV50" i="19"/>
  <c r="AU50" i="19" s="1"/>
  <c r="B12" i="82"/>
  <c r="E12" i="82" s="1"/>
  <c r="I12" i="82" s="1"/>
  <c r="C16" i="82"/>
  <c r="F60" i="81"/>
  <c r="CO55" i="72"/>
  <c r="CN55" i="72" s="1"/>
  <c r="O10" i="61"/>
  <c r="O38" i="61" s="1"/>
  <c r="AE18" i="10"/>
  <c r="AE19" i="10" s="1"/>
  <c r="I4" i="89"/>
  <c r="A4" i="89" s="1"/>
  <c r="B13" i="85" s="1"/>
  <c r="D13" i="85" s="1"/>
  <c r="B2" i="89"/>
  <c r="M2" i="89"/>
  <c r="A5" i="89"/>
  <c r="B14" i="85" s="1"/>
  <c r="D14" i="85" s="1"/>
  <c r="A11" i="89"/>
  <c r="B20" i="85" s="1"/>
  <c r="D20" i="85" s="1"/>
  <c r="M30" i="89"/>
  <c r="M28" i="89" s="1"/>
  <c r="A34" i="89"/>
  <c r="B31" i="85" s="1"/>
  <c r="D31" i="85" s="1"/>
  <c r="A36" i="89"/>
  <c r="B33" i="85" s="1"/>
  <c r="D33" i="85" s="1"/>
  <c r="A37" i="89"/>
  <c r="B34" i="85" s="1"/>
  <c r="D34" i="85" s="1"/>
  <c r="C4" i="91"/>
  <c r="A4" i="91" s="1"/>
  <c r="B45" i="85" s="1"/>
  <c r="D45" i="85" s="1"/>
  <c r="V41" i="95"/>
  <c r="V46" i="95" s="1"/>
  <c r="AK13" i="10"/>
  <c r="E10" i="66"/>
  <c r="E38" i="66" s="1"/>
  <c r="E23" i="66"/>
  <c r="E10" i="64"/>
  <c r="E37" i="64" s="1"/>
  <c r="T46" i="95"/>
  <c r="V35" i="66"/>
  <c r="I32" i="85"/>
  <c r="J31" i="85"/>
  <c r="Q65" i="32"/>
  <c r="M65" i="32"/>
  <c r="M72" i="32" s="1"/>
  <c r="W36" i="64"/>
  <c r="X36" i="64" s="1"/>
  <c r="BA46" i="3"/>
  <c r="BA44" i="3" s="1"/>
  <c r="U22" i="65"/>
  <c r="L10" i="66"/>
  <c r="L38" i="66" s="1"/>
  <c r="L23" i="66"/>
  <c r="R23" i="66"/>
  <c r="H10" i="94"/>
  <c r="BJ139" i="7"/>
  <c r="BS41" i="7"/>
  <c r="BS35" i="7" s="1"/>
  <c r="AM46" i="6"/>
  <c r="AM54" i="6"/>
  <c r="AM51" i="6"/>
  <c r="AM53" i="6"/>
  <c r="BU23" i="19"/>
  <c r="BR23" i="19"/>
  <c r="BV23" i="19"/>
  <c r="AO18" i="6"/>
  <c r="BC34" i="5"/>
  <c r="AX34" i="5"/>
  <c r="AJ52" i="6"/>
  <c r="AJ54" i="6"/>
  <c r="AJ53" i="6"/>
  <c r="AJ46" i="6"/>
  <c r="AJ51" i="6"/>
  <c r="Q53" i="96"/>
  <c r="J53" i="96"/>
  <c r="L53" i="96"/>
  <c r="L66" i="121"/>
  <c r="AQ7" i="10"/>
  <c r="S197" i="120"/>
  <c r="AQ49" i="121" s="1"/>
  <c r="AN13" i="10"/>
  <c r="S8" i="100"/>
  <c r="S10" i="100" s="1"/>
  <c r="N10" i="100"/>
  <c r="V13" i="98"/>
  <c r="AA13" i="98"/>
  <c r="AG16" i="65"/>
  <c r="I2" i="89"/>
  <c r="A9" i="89"/>
  <c r="B18" i="85" s="1"/>
  <c r="D18" i="85" s="1"/>
  <c r="U19" i="65"/>
  <c r="L20" i="64"/>
  <c r="E30" i="65"/>
  <c r="D39" i="65"/>
  <c r="D40" i="65" s="1"/>
  <c r="F12" i="94"/>
  <c r="H12" i="94" s="1"/>
  <c r="H11" i="94"/>
  <c r="X36" i="95"/>
  <c r="W41" i="95"/>
  <c r="AN48" i="3"/>
  <c r="AN40" i="3"/>
  <c r="AN39" i="3" s="1"/>
  <c r="S10" i="66"/>
  <c r="S23" i="66"/>
  <c r="B63" i="32"/>
  <c r="AP49" i="3"/>
  <c r="AQ62" i="3"/>
  <c r="M36" i="66" s="1"/>
  <c r="M37" i="66" s="1"/>
  <c r="J12" i="98"/>
  <c r="J27" i="98" s="1"/>
  <c r="J32" i="98" s="1"/>
  <c r="J37" i="98" s="1"/>
  <c r="J41" i="98" s="1"/>
  <c r="M13" i="66" s="1"/>
  <c r="X36" i="66"/>
  <c r="N38" i="105"/>
  <c r="V10" i="61"/>
  <c r="V35" i="61" s="1"/>
  <c r="V38" i="61" s="1"/>
  <c r="V23" i="61"/>
  <c r="W37" i="64"/>
  <c r="S23" i="64"/>
  <c r="X22" i="65"/>
  <c r="X9" i="65"/>
  <c r="X35" i="65" s="1"/>
  <c r="X38" i="65" s="1"/>
  <c r="U10" i="66"/>
  <c r="U23" i="66"/>
  <c r="BS27" i="7"/>
  <c r="H78" i="68"/>
  <c r="H65" i="68"/>
  <c r="Q64" i="96"/>
  <c r="J64" i="96"/>
  <c r="L64" i="96"/>
  <c r="BH39" i="19"/>
  <c r="BH49" i="19" s="1"/>
  <c r="BI49" i="19"/>
  <c r="AR49" i="19"/>
  <c r="AS50" i="19" s="1"/>
  <c r="BK12" i="19"/>
  <c r="BW12" i="19" s="1"/>
  <c r="M49" i="121"/>
  <c r="V49" i="121" s="1"/>
  <c r="AE49" i="121" s="1"/>
  <c r="W85" i="10"/>
  <c r="W87" i="10" s="1"/>
  <c r="H30" i="105" s="1"/>
  <c r="M30" i="105" s="1"/>
  <c r="U85" i="10"/>
  <c r="U87" i="10" s="1"/>
  <c r="J26" i="98"/>
  <c r="J16" i="98"/>
  <c r="J9" i="98"/>
  <c r="T18" i="98"/>
  <c r="S22" i="98"/>
  <c r="T64" i="32"/>
  <c r="AF64" i="32"/>
  <c r="S64" i="32"/>
  <c r="D8" i="105"/>
  <c r="D21" i="105" s="1"/>
  <c r="D27" i="105" s="1"/>
  <c r="G8" i="105"/>
  <c r="CA54" i="7"/>
  <c r="BY54" i="7" s="1"/>
  <c r="T20" i="104"/>
  <c r="CH54" i="7" s="1"/>
  <c r="BD101" i="8"/>
  <c r="BQ53" i="8"/>
  <c r="BQ68" i="8"/>
  <c r="BQ70" i="8"/>
  <c r="BQ71" i="8" s="1"/>
  <c r="D29" i="67"/>
  <c r="D30" i="67" s="1"/>
  <c r="D32" i="67" s="1"/>
  <c r="BN154" i="7"/>
  <c r="BN152" i="7"/>
  <c r="BK101" i="8"/>
  <c r="BK103" i="8"/>
  <c r="BP158" i="7"/>
  <c r="BP152" i="7"/>
  <c r="Q13" i="64"/>
  <c r="Q11" i="64" s="1"/>
  <c r="BR176" i="7"/>
  <c r="BN121" i="8"/>
  <c r="S15" i="65" s="1"/>
  <c r="S13" i="65" s="1"/>
  <c r="BN99" i="8"/>
  <c r="BQ48" i="19"/>
  <c r="BU48" i="19"/>
  <c r="BV48" i="19"/>
  <c r="BR48" i="19"/>
  <c r="BT48" i="19"/>
  <c r="BV17" i="19"/>
  <c r="BT17" i="19"/>
  <c r="BU17" i="19"/>
  <c r="BR17" i="19"/>
  <c r="BQ17" i="19"/>
  <c r="BU20" i="19"/>
  <c r="BV20" i="19"/>
  <c r="BT20" i="19"/>
  <c r="BQ20" i="19"/>
  <c r="BR20" i="19"/>
  <c r="BQ43" i="19"/>
  <c r="BV43" i="19"/>
  <c r="BT43" i="19"/>
  <c r="BU43" i="19"/>
  <c r="BR43" i="19"/>
  <c r="BR47" i="19"/>
  <c r="BT47" i="19"/>
  <c r="BU47" i="19"/>
  <c r="BV47" i="19"/>
  <c r="BQ47" i="19"/>
  <c r="C91" i="116"/>
  <c r="D90" i="116"/>
  <c r="CQ15" i="8"/>
  <c r="CQ8" i="8" s="1"/>
  <c r="CQ89" i="8"/>
  <c r="CK151" i="7"/>
  <c r="AI36" i="64"/>
  <c r="BG41" i="3"/>
  <c r="BG39" i="3" s="1"/>
  <c r="CQ168" i="7"/>
  <c r="CQ150" i="7"/>
  <c r="M34" i="78"/>
  <c r="N37" i="78" s="1"/>
  <c r="B73" i="78"/>
  <c r="F18" i="90"/>
  <c r="H8" i="90"/>
  <c r="H18" i="90" s="1"/>
  <c r="A3" i="89"/>
  <c r="B12" i="85" s="1"/>
  <c r="F30" i="89"/>
  <c r="F28" i="89" s="1"/>
  <c r="I32" i="89"/>
  <c r="A32" i="89" s="1"/>
  <c r="B29" i="85" s="1"/>
  <c r="D29" i="85" s="1"/>
  <c r="N20" i="64"/>
  <c r="Q18" i="66"/>
  <c r="P18" i="66"/>
  <c r="Y18" i="66" s="1"/>
  <c r="R20" i="64"/>
  <c r="S20" i="61"/>
  <c r="O23" i="64"/>
  <c r="S34" i="120"/>
  <c r="AH34" i="120" s="1"/>
  <c r="D201" i="120"/>
  <c r="D53" i="121" s="1"/>
  <c r="D30" i="91"/>
  <c r="D28" i="91" s="1"/>
  <c r="C31" i="91"/>
  <c r="O10" i="66"/>
  <c r="O38" i="66" s="1"/>
  <c r="O23" i="66"/>
  <c r="E38" i="61"/>
  <c r="E32" i="61"/>
  <c r="H18" i="94"/>
  <c r="V23" i="66"/>
  <c r="E45" i="96"/>
  <c r="CH60" i="72"/>
  <c r="CH63" i="72" s="1"/>
  <c r="W10" i="66"/>
  <c r="W23" i="66"/>
  <c r="I21" i="85"/>
  <c r="J20" i="85"/>
  <c r="J51" i="85"/>
  <c r="I52" i="85"/>
  <c r="U23" i="61"/>
  <c r="T22" i="65"/>
  <c r="V22" i="65"/>
  <c r="BJ25" i="7"/>
  <c r="BJ17" i="7" s="1"/>
  <c r="BJ141" i="7"/>
  <c r="BJ35" i="7"/>
  <c r="J43" i="68"/>
  <c r="H45" i="68"/>
  <c r="E43" i="97"/>
  <c r="BS37" i="8"/>
  <c r="BC14" i="5"/>
  <c r="AN14" i="5"/>
  <c r="AP37" i="6"/>
  <c r="AO37" i="6"/>
  <c r="BJ50" i="19"/>
  <c r="AO18" i="10"/>
  <c r="AP14" i="10"/>
  <c r="K22" i="87"/>
  <c r="Z18" i="65"/>
  <c r="J30" i="85"/>
  <c r="AQ41" i="3"/>
  <c r="CJ61" i="72"/>
  <c r="BR33" i="19"/>
  <c r="AI52" i="5"/>
  <c r="AL54" i="5"/>
  <c r="AL52" i="5"/>
  <c r="AO42" i="6"/>
  <c r="AX29" i="5"/>
  <c r="BB29" i="5" s="1"/>
  <c r="AP20" i="6"/>
  <c r="BK25" i="19"/>
  <c r="CY14" i="19"/>
  <c r="J63" i="96"/>
  <c r="AH31" i="120"/>
  <c r="AO13" i="10"/>
  <c r="DO21" i="123"/>
  <c r="BE106" i="8"/>
  <c r="BE101" i="8"/>
  <c r="BI106" i="8"/>
  <c r="BI101" i="8"/>
  <c r="BQ103" i="8"/>
  <c r="BQ101" i="8"/>
  <c r="C29" i="67"/>
  <c r="C30" i="67" s="1"/>
  <c r="C32" i="67" s="1"/>
  <c r="AN126" i="120"/>
  <c r="AQ126" i="120"/>
  <c r="BF126" i="120" s="1"/>
  <c r="BK47" i="19"/>
  <c r="D40" i="102"/>
  <c r="B27" i="110"/>
  <c r="N61" i="109" s="1"/>
  <c r="BV87" i="8"/>
  <c r="BJ68" i="8"/>
  <c r="BJ71" i="8"/>
  <c r="BJ53" i="8"/>
  <c r="BJ70" i="8"/>
  <c r="BM51" i="8"/>
  <c r="BM53" i="8" s="1"/>
  <c r="BJ99" i="8"/>
  <c r="BJ101" i="8" s="1"/>
  <c r="BV12" i="8"/>
  <c r="BT38" i="19"/>
  <c r="BU38" i="19"/>
  <c r="BR38" i="19"/>
  <c r="BV38" i="19"/>
  <c r="BQ38" i="19"/>
  <c r="AG211" i="120"/>
  <c r="AP145" i="120"/>
  <c r="D10" i="116"/>
  <c r="G65" i="114"/>
  <c r="G68" i="114" s="1"/>
  <c r="D13" i="116"/>
  <c r="C14" i="116"/>
  <c r="CO143" i="7"/>
  <c r="CL139" i="7"/>
  <c r="CO140" i="7"/>
  <c r="CO25" i="7"/>
  <c r="CO17" i="7" s="1"/>
  <c r="CI43" i="7"/>
  <c r="CQ88" i="8"/>
  <c r="CQ91" i="8"/>
  <c r="CQ17" i="8"/>
  <c r="CN27" i="8"/>
  <c r="AY54" i="5"/>
  <c r="AY52" i="5"/>
  <c r="AY53" i="5"/>
  <c r="AY55" i="5"/>
  <c r="AQ53" i="6"/>
  <c r="AQ51" i="6"/>
  <c r="AQ52" i="6"/>
  <c r="AQ54" i="6"/>
  <c r="AF52" i="95"/>
  <c r="CP169" i="7"/>
  <c r="CP67" i="7"/>
  <c r="CP66" i="7" s="1"/>
  <c r="CK14" i="19"/>
  <c r="CK13" i="19" s="1"/>
  <c r="CJ14" i="19"/>
  <c r="R25" i="105"/>
  <c r="CK22" i="8"/>
  <c r="AP42" i="6"/>
  <c r="AT42" i="6" s="1"/>
  <c r="AN29" i="5"/>
  <c r="BQ18" i="19"/>
  <c r="AT14" i="10"/>
  <c r="U68" i="32"/>
  <c r="U65" i="32"/>
  <c r="AA68" i="32"/>
  <c r="AA65" i="32"/>
  <c r="D7" i="105"/>
  <c r="G7" i="105"/>
  <c r="AI46" i="65"/>
  <c r="AI50" i="65"/>
  <c r="BE71" i="8"/>
  <c r="BE70" i="8"/>
  <c r="BE68" i="8"/>
  <c r="AZ51" i="121"/>
  <c r="BI51" i="121" s="1"/>
  <c r="AT40" i="3"/>
  <c r="AT39" i="3" s="1"/>
  <c r="AT43" i="3" s="1"/>
  <c r="AT48" i="3"/>
  <c r="O4" i="109"/>
  <c r="F33" i="97"/>
  <c r="E34" i="97"/>
  <c r="BV38" i="7"/>
  <c r="E49" i="97"/>
  <c r="AE37" i="61"/>
  <c r="AF37" i="61" s="1"/>
  <c r="BB49" i="3"/>
  <c r="BQ63" i="7"/>
  <c r="BQ65" i="7" s="1"/>
  <c r="BW25" i="8"/>
  <c r="BX25" i="8"/>
  <c r="BN125" i="8"/>
  <c r="S12" i="65"/>
  <c r="S10" i="65" s="1"/>
  <c r="S9" i="65" s="1"/>
  <c r="S35" i="65" s="1"/>
  <c r="S38" i="65" s="1"/>
  <c r="J65" i="68"/>
  <c r="L63" i="68"/>
  <c r="BU30" i="19"/>
  <c r="BV30" i="19"/>
  <c r="BQ30" i="19"/>
  <c r="BR30" i="19"/>
  <c r="BT30" i="19"/>
  <c r="L63" i="121"/>
  <c r="F43" i="117"/>
  <c r="CP121" i="8"/>
  <c r="AI16" i="66"/>
  <c r="AI14" i="66" s="1"/>
  <c r="CL143" i="7"/>
  <c r="CN89" i="8"/>
  <c r="CN15" i="8"/>
  <c r="CN8" i="8" s="1"/>
  <c r="BI41" i="3"/>
  <c r="BI39" i="3" s="1"/>
  <c r="AJ36" i="64"/>
  <c r="CJ169" i="7"/>
  <c r="CJ67" i="7"/>
  <c r="CJ66" i="7" s="1"/>
  <c r="CD50" i="19"/>
  <c r="CK58" i="7"/>
  <c r="CF151" i="7"/>
  <c r="CH64" i="7"/>
  <c r="M62" i="121"/>
  <c r="V62" i="121" s="1"/>
  <c r="BG68" i="8"/>
  <c r="BP53" i="8"/>
  <c r="BP68" i="8"/>
  <c r="BP70" i="8"/>
  <c r="BP71" i="8" s="1"/>
  <c r="BF101" i="8"/>
  <c r="BF106" i="8"/>
  <c r="BH101" i="8"/>
  <c r="BH106" i="8"/>
  <c r="BP99" i="8"/>
  <c r="BP101" i="8" s="1"/>
  <c r="G9" i="105"/>
  <c r="D9" i="105"/>
  <c r="D22" i="105" s="1"/>
  <c r="D28" i="105" s="1"/>
  <c r="N7" i="102"/>
  <c r="BV59" i="7"/>
  <c r="M21" i="102"/>
  <c r="BC63" i="3"/>
  <c r="BE70" i="3"/>
  <c r="BO99" i="8"/>
  <c r="BO121" i="8"/>
  <c r="BU42" i="19"/>
  <c r="BU29" i="19"/>
  <c r="BU37" i="19"/>
  <c r="BU34" i="19"/>
  <c r="BU26" i="19"/>
  <c r="BU31" i="19"/>
  <c r="BU16" i="19"/>
  <c r="BU21" i="19"/>
  <c r="BU28" i="19"/>
  <c r="BU40" i="19"/>
  <c r="BU19" i="19"/>
  <c r="BQ27" i="19"/>
  <c r="BU27" i="19"/>
  <c r="BV27" i="19"/>
  <c r="BT27" i="19"/>
  <c r="BR27" i="19"/>
  <c r="BR37" i="19"/>
  <c r="BR42" i="19"/>
  <c r="BR34" i="19"/>
  <c r="BR40" i="19"/>
  <c r="BR31" i="19"/>
  <c r="BR29" i="19"/>
  <c r="BR21" i="19"/>
  <c r="BR26" i="19"/>
  <c r="BR28" i="19"/>
  <c r="BR19" i="19"/>
  <c r="BR16" i="19"/>
  <c r="BG14" i="19"/>
  <c r="BE14" i="19"/>
  <c r="BC14" i="19"/>
  <c r="BD14" i="19"/>
  <c r="BF14" i="19"/>
  <c r="BB14" i="19"/>
  <c r="BQ41" i="19"/>
  <c r="BU41" i="19"/>
  <c r="BV41" i="19"/>
  <c r="BT41" i="19"/>
  <c r="BR41" i="19"/>
  <c r="BZ147" i="7"/>
  <c r="AE17" i="61"/>
  <c r="BY59" i="7"/>
  <c r="BY147" i="7" s="1"/>
  <c r="BZ173" i="7"/>
  <c r="G44" i="114"/>
  <c r="G48" i="114"/>
  <c r="AJ13" i="66"/>
  <c r="AJ11" i="66" s="1"/>
  <c r="AJ10" i="66" s="1"/>
  <c r="AJ35" i="66" s="1"/>
  <c r="AJ38" i="66" s="1"/>
  <c r="CS125" i="8"/>
  <c r="BJ48" i="3"/>
  <c r="AH35" i="95"/>
  <c r="AH33" i="95" s="1"/>
  <c r="AH37" i="95" s="1"/>
  <c r="BJ40" i="3"/>
  <c r="AF35" i="95"/>
  <c r="AF33" i="95" s="1"/>
  <c r="AF37" i="95" s="1"/>
  <c r="BF48" i="3"/>
  <c r="BF40" i="3"/>
  <c r="M53" i="96"/>
  <c r="M48" i="96"/>
  <c r="BA54" i="5"/>
  <c r="BB54" i="5" s="1"/>
  <c r="BC54" i="5" s="1"/>
  <c r="BA55" i="5"/>
  <c r="BB55" i="5" s="1"/>
  <c r="BC55" i="5" s="1"/>
  <c r="BA52" i="5"/>
  <c r="BB52" i="5" s="1"/>
  <c r="BC52" i="5" s="1"/>
  <c r="BA53" i="5"/>
  <c r="BB53" i="5" s="1"/>
  <c r="BC53" i="5" s="1"/>
  <c r="CN67" i="7"/>
  <c r="CN66" i="7" s="1"/>
  <c r="CN169" i="7"/>
  <c r="AI33" i="98"/>
  <c r="AH33" i="98"/>
  <c r="CM145" i="7"/>
  <c r="BA12" i="61" s="1"/>
  <c r="CL58" i="7"/>
  <c r="CL145" i="7" s="1"/>
  <c r="BD40" i="3"/>
  <c r="AE33" i="95"/>
  <c r="BD48" i="3"/>
  <c r="AZ62" i="121"/>
  <c r="BI62" i="121" s="1"/>
  <c r="AM125" i="120"/>
  <c r="AF125" i="120"/>
  <c r="AP125" i="120"/>
  <c r="BE125" i="120" s="1"/>
  <c r="AP79" i="121"/>
  <c r="AD79" i="121"/>
  <c r="F8" i="119"/>
  <c r="H8" i="119" s="1"/>
  <c r="H7" i="119"/>
  <c r="H10" i="119"/>
  <c r="F11" i="119"/>
  <c r="H11" i="119" s="1"/>
  <c r="CX97" i="8"/>
  <c r="CW49" i="8"/>
  <c r="CW97" i="8" s="1"/>
  <c r="AE51" i="121"/>
  <c r="AF145" i="122"/>
  <c r="BD145" i="122" s="1"/>
  <c r="CV28" i="7"/>
  <c r="P26" i="111"/>
  <c r="AL52" i="6"/>
  <c r="AK47" i="5"/>
  <c r="O9" i="100"/>
  <c r="O10" i="100" s="1"/>
  <c r="CG47" i="7" s="1"/>
  <c r="D9" i="116"/>
  <c r="B14" i="116"/>
  <c r="B15" i="116" s="1"/>
  <c r="BK46" i="3"/>
  <c r="BK44" i="3" s="1"/>
  <c r="CZ24" i="17"/>
  <c r="CZ39" i="17" s="1"/>
  <c r="CO122" i="8"/>
  <c r="AK16" i="65" s="1"/>
  <c r="CL48" i="8"/>
  <c r="Y7" i="102"/>
  <c r="T21" i="102"/>
  <c r="H9" i="119"/>
  <c r="BO107" i="120"/>
  <c r="CN107" i="120" s="1"/>
  <c r="AN111" i="120"/>
  <c r="AQ111" i="120"/>
  <c r="BF111" i="120" s="1"/>
  <c r="DP80" i="121"/>
  <c r="EN80" i="121"/>
  <c r="EN65" i="123"/>
  <c r="DP65" i="123"/>
  <c r="DF65" i="123"/>
  <c r="DO65" i="123" s="1"/>
  <c r="Q140" i="120"/>
  <c r="AG140" i="120"/>
  <c r="R139" i="120"/>
  <c r="AP133" i="120"/>
  <c r="BE133" i="120" s="1"/>
  <c r="BK133" i="120" s="1"/>
  <c r="AF133" i="120"/>
  <c r="AQ133" i="120"/>
  <c r="AN133" i="120"/>
  <c r="CB86" i="121"/>
  <c r="BY65" i="123"/>
  <c r="P56" i="126"/>
  <c r="EX75" i="121"/>
  <c r="FG75" i="121" s="1"/>
  <c r="BE222" i="120"/>
  <c r="BK222" i="120" s="1"/>
  <c r="AG248" i="120"/>
  <c r="AM248" i="120" s="1"/>
  <c r="AP77" i="120"/>
  <c r="BE77" i="120" s="1"/>
  <c r="AF77" i="120"/>
  <c r="AM77" i="120"/>
  <c r="AP83" i="120"/>
  <c r="BE83" i="120" s="1"/>
  <c r="AG257" i="120"/>
  <c r="CN14" i="121"/>
  <c r="B28" i="124"/>
  <c r="AU18" i="6"/>
  <c r="DA28" i="8"/>
  <c r="P32" i="111"/>
  <c r="R211" i="120"/>
  <c r="AP63" i="121" s="1"/>
  <c r="D43" i="117"/>
  <c r="CP174" i="7"/>
  <c r="BB18" i="61"/>
  <c r="CO138" i="7"/>
  <c r="AE59" i="121"/>
  <c r="B119" i="120"/>
  <c r="D106" i="120"/>
  <c r="AF131" i="120"/>
  <c r="AP131" i="120"/>
  <c r="BE131" i="120" s="1"/>
  <c r="P65" i="125"/>
  <c r="CC80" i="121"/>
  <c r="BZ80" i="121"/>
  <c r="BL77" i="120"/>
  <c r="BF248" i="120"/>
  <c r="BL248" i="120" s="1"/>
  <c r="BP88" i="121"/>
  <c r="CB88" i="121" s="1"/>
  <c r="EA88" i="121" s="1"/>
  <c r="FZ88" i="121" s="1"/>
  <c r="BE216" i="122"/>
  <c r="BK216" i="122" s="1"/>
  <c r="E43" i="117"/>
  <c r="CQ67" i="7"/>
  <c r="CQ66" i="7" s="1"/>
  <c r="CQ169" i="7"/>
  <c r="AK13" i="64" s="1"/>
  <c r="U39" i="104"/>
  <c r="AT43" i="6"/>
  <c r="CX58" i="8"/>
  <c r="CX57" i="8" s="1"/>
  <c r="CX48" i="8"/>
  <c r="CM102" i="8"/>
  <c r="BO140" i="120"/>
  <c r="BF140" i="120"/>
  <c r="BL140" i="120" s="1"/>
  <c r="AH137" i="120"/>
  <c r="AQ120" i="120"/>
  <c r="AH114" i="120"/>
  <c r="S253" i="120"/>
  <c r="AN135" i="120"/>
  <c r="AQ135" i="120"/>
  <c r="BO135" i="120" s="1"/>
  <c r="AN141" i="120"/>
  <c r="AQ141" i="120"/>
  <c r="BD31" i="122"/>
  <c r="BL31" i="122"/>
  <c r="CA22" i="121"/>
  <c r="BY24" i="121"/>
  <c r="L65" i="125"/>
  <c r="CB80" i="121"/>
  <c r="AL80" i="121"/>
  <c r="BB22" i="61"/>
  <c r="CP175" i="7"/>
  <c r="CO12" i="7"/>
  <c r="BB36" i="61"/>
  <c r="CP151" i="7"/>
  <c r="BF136" i="120"/>
  <c r="BL136" i="120" s="1"/>
  <c r="BO136" i="120"/>
  <c r="CN136" i="120" s="1"/>
  <c r="AN108" i="120"/>
  <c r="AQ108" i="120"/>
  <c r="BF108" i="120" s="1"/>
  <c r="AM136" i="120"/>
  <c r="AP136" i="120"/>
  <c r="AF136" i="120"/>
  <c r="AH115" i="120"/>
  <c r="CL75" i="120"/>
  <c r="X56" i="126"/>
  <c r="DZ65" i="123"/>
  <c r="AL65" i="123"/>
  <c r="CB65" i="123"/>
  <c r="M56" i="126"/>
  <c r="BL23" i="120"/>
  <c r="AA20" i="125"/>
  <c r="BY23" i="121"/>
  <c r="BE118" i="120"/>
  <c r="BK118" i="120" s="1"/>
  <c r="BE142" i="120"/>
  <c r="BF107" i="120"/>
  <c r="AN121" i="120"/>
  <c r="CM75" i="120"/>
  <c r="AH132" i="120"/>
  <c r="AF132" i="120" s="1"/>
  <c r="DZ75" i="121"/>
  <c r="AM58" i="120"/>
  <c r="BR65" i="123"/>
  <c r="DX24" i="121"/>
  <c r="CI269" i="120"/>
  <c r="AM207" i="120"/>
  <c r="H180" i="120"/>
  <c r="AJ59" i="120"/>
  <c r="DH80" i="121"/>
  <c r="EO80" i="121" s="1"/>
  <c r="DS37" i="121"/>
  <c r="FC26" i="123"/>
  <c r="CE23" i="123"/>
  <c r="BC159" i="120"/>
  <c r="AM23" i="120"/>
  <c r="AM17" i="121"/>
  <c r="BG230" i="120"/>
  <c r="CE230" i="120" s="1"/>
  <c r="AM211" i="120"/>
  <c r="AC139" i="120"/>
  <c r="AJ76" i="120"/>
  <c r="BH81" i="120"/>
  <c r="AM42" i="120"/>
  <c r="AI31" i="120"/>
  <c r="AH37" i="122"/>
  <c r="AM85" i="120"/>
  <c r="DY23" i="121"/>
  <c r="DX23" i="121" s="1"/>
  <c r="BS223" i="122"/>
  <c r="AX75" i="122"/>
  <c r="BH38" i="122"/>
  <c r="CG71" i="121"/>
  <c r="H177" i="120"/>
  <c r="P177" i="120"/>
  <c r="Z14" i="120"/>
  <c r="Z181" i="120" s="1"/>
  <c r="Z225" i="120" s="1"/>
  <c r="P196" i="120"/>
  <c r="AX196" i="120"/>
  <c r="AK34" i="120"/>
  <c r="H241" i="120"/>
  <c r="AE241" i="120"/>
  <c r="BV241" i="120"/>
  <c r="AB37" i="120"/>
  <c r="P268" i="120"/>
  <c r="P50" i="120"/>
  <c r="AH57" i="120"/>
  <c r="J261" i="120"/>
  <c r="J260" i="120" s="1"/>
  <c r="J270" i="120" s="1"/>
  <c r="J62" i="120"/>
  <c r="AT261" i="120"/>
  <c r="AT260" i="120" s="1"/>
  <c r="AT270" i="120" s="1"/>
  <c r="BC69" i="120"/>
  <c r="BA69" i="120" s="1"/>
  <c r="BA261" i="120" s="1"/>
  <c r="AC70" i="120"/>
  <c r="AI70" i="120" s="1"/>
  <c r="J71" i="120"/>
  <c r="AE257" i="120"/>
  <c r="AK83" i="120"/>
  <c r="CA257" i="120"/>
  <c r="CA270" i="120" s="1"/>
  <c r="BY83" i="120"/>
  <c r="BY257" i="120" s="1"/>
  <c r="W254" i="120"/>
  <c r="BZ254" i="120"/>
  <c r="BC94" i="120"/>
  <c r="BV99" i="120"/>
  <c r="BC106" i="120"/>
  <c r="BU106" i="120"/>
  <c r="CA106" i="120" s="1"/>
  <c r="AC119" i="120"/>
  <c r="Z269" i="120"/>
  <c r="AI138" i="120"/>
  <c r="P139" i="120"/>
  <c r="AK139" i="120" s="1"/>
  <c r="G130" i="120"/>
  <c r="E130" i="120" s="1"/>
  <c r="BS139" i="120"/>
  <c r="BT130" i="120"/>
  <c r="L209" i="120"/>
  <c r="X61" i="121" s="1"/>
  <c r="K143" i="120"/>
  <c r="K209" i="120" s="1"/>
  <c r="O143" i="120"/>
  <c r="FH67" i="121"/>
  <c r="AE222" i="120"/>
  <c r="AC156" i="120"/>
  <c r="BX203" i="120"/>
  <c r="FJ54" i="121"/>
  <c r="FH64" i="121"/>
  <c r="FQ64" i="121" s="1"/>
  <c r="FS68" i="121"/>
  <c r="N73" i="121"/>
  <c r="CI36" i="121"/>
  <c r="EH36" i="121" s="1"/>
  <c r="GG36" i="121" s="1"/>
  <c r="EH80" i="121"/>
  <c r="GG80" i="121" s="1"/>
  <c r="H89" i="120"/>
  <c r="EE24" i="121"/>
  <c r="FS10" i="121"/>
  <c r="CG37" i="123"/>
  <c r="EF37" i="123" s="1"/>
  <c r="GE37" i="123" s="1"/>
  <c r="CE24" i="123"/>
  <c r="AI47" i="120"/>
  <c r="AC38" i="120"/>
  <c r="AI38" i="120" s="1"/>
  <c r="BR29" i="120"/>
  <c r="BR204" i="120"/>
  <c r="BW37" i="120"/>
  <c r="BP61" i="120"/>
  <c r="BS62" i="120"/>
  <c r="AH67" i="120"/>
  <c r="N67" i="120"/>
  <c r="CD261" i="120"/>
  <c r="CD260" i="120" s="1"/>
  <c r="CD270" i="120" s="1"/>
  <c r="CD62" i="120"/>
  <c r="CD53" i="120" s="1"/>
  <c r="BH70" i="120"/>
  <c r="BA70" i="120"/>
  <c r="O246" i="120"/>
  <c r="N78" i="120"/>
  <c r="AE244" i="120"/>
  <c r="AK86" i="120"/>
  <c r="AC86" i="120"/>
  <c r="AK91" i="120"/>
  <c r="P266" i="120"/>
  <c r="N95" i="120"/>
  <c r="N266" i="120" s="1"/>
  <c r="BY96" i="120"/>
  <c r="BY268" i="120" s="1"/>
  <c r="BA102" i="120"/>
  <c r="BA198" i="120" s="1"/>
  <c r="BI102" i="120"/>
  <c r="AV106" i="120"/>
  <c r="AV99" i="120" s="1"/>
  <c r="AU99" i="120" s="1"/>
  <c r="BY117" i="120"/>
  <c r="AV130" i="120"/>
  <c r="BV137" i="120"/>
  <c r="BW130" i="120"/>
  <c r="D222" i="120"/>
  <c r="D74" i="121" s="1"/>
  <c r="S156" i="120"/>
  <c r="E57" i="121"/>
  <c r="AF57" i="121" s="1"/>
  <c r="FH58" i="121"/>
  <c r="FH62" i="121"/>
  <c r="FQ62" i="121" s="1"/>
  <c r="BU68" i="121"/>
  <c r="FH74" i="121"/>
  <c r="FQ74" i="121" s="1"/>
  <c r="E85" i="121"/>
  <c r="BY228" i="120"/>
  <c r="AF23" i="121"/>
  <c r="EC36" i="121"/>
  <c r="N11" i="121"/>
  <c r="N13" i="121" s="1"/>
  <c r="C22" i="121"/>
  <c r="DR59" i="123"/>
  <c r="CG39" i="123"/>
  <c r="BY38" i="122"/>
  <c r="BP37" i="120"/>
  <c r="BQ29" i="120"/>
  <c r="AI43" i="120"/>
  <c r="H50" i="120"/>
  <c r="I37" i="120"/>
  <c r="N54" i="120"/>
  <c r="N196" i="120" s="1"/>
  <c r="N72" i="120"/>
  <c r="CG72" i="120"/>
  <c r="BA206" i="120"/>
  <c r="AK79" i="120"/>
  <c r="N79" i="120"/>
  <c r="N245" i="120" s="1"/>
  <c r="BC256" i="120"/>
  <c r="BA82" i="120"/>
  <c r="P244" i="120"/>
  <c r="N86" i="120"/>
  <c r="N244" i="120" s="1"/>
  <c r="CA89" i="120"/>
  <c r="H94" i="120"/>
  <c r="N103" i="120"/>
  <c r="CA105" i="120"/>
  <c r="CA202" i="120"/>
  <c r="CA203" i="120" s="1"/>
  <c r="P117" i="120"/>
  <c r="N117" i="120" s="1"/>
  <c r="G106" i="120"/>
  <c r="BS117" i="120"/>
  <c r="BS106" i="120" s="1"/>
  <c r="BS262" i="120"/>
  <c r="BS260" i="120" s="1"/>
  <c r="Z99" i="120"/>
  <c r="H119" i="120"/>
  <c r="H106" i="120" s="1"/>
  <c r="AE266" i="120"/>
  <c r="AE265" i="120" s="1"/>
  <c r="AE270" i="120" s="1"/>
  <c r="AK120" i="120"/>
  <c r="BV139" i="120"/>
  <c r="AE223" i="120"/>
  <c r="AC157" i="120"/>
  <c r="FI53" i="121"/>
  <c r="FI55" i="121" s="1"/>
  <c r="BW203" i="120"/>
  <c r="BS63" i="121"/>
  <c r="DR87" i="121"/>
  <c r="DX87" i="121" s="1"/>
  <c r="AA260" i="120"/>
  <c r="O22" i="126"/>
  <c r="CD15" i="123"/>
  <c r="DY17" i="121"/>
  <c r="BI94" i="120"/>
  <c r="AJ33" i="120"/>
  <c r="AC33" i="120"/>
  <c r="AI33" i="120" s="1"/>
  <c r="AI34" i="120"/>
  <c r="V29" i="120"/>
  <c r="V204" i="120"/>
  <c r="AX50" i="120"/>
  <c r="AZ37" i="120"/>
  <c r="CG56" i="120"/>
  <c r="AC72" i="120"/>
  <c r="AJ72" i="120"/>
  <c r="AM72" i="120" s="1"/>
  <c r="AK74" i="120"/>
  <c r="AC74" i="120"/>
  <c r="AI74" i="120" s="1"/>
  <c r="BZ248" i="120"/>
  <c r="BY77" i="120"/>
  <c r="BZ249" i="120"/>
  <c r="BY88" i="120"/>
  <c r="BY249" i="120" s="1"/>
  <c r="P89" i="120"/>
  <c r="G71" i="120"/>
  <c r="BS89" i="120"/>
  <c r="P105" i="120"/>
  <c r="AK103" i="120"/>
  <c r="L130" i="120"/>
  <c r="K139" i="120"/>
  <c r="AB130" i="120"/>
  <c r="Z139" i="120"/>
  <c r="CA139" i="120"/>
  <c r="BX130" i="120"/>
  <c r="AU266" i="120"/>
  <c r="CG142" i="120"/>
  <c r="AV209" i="120"/>
  <c r="DA61" i="121" s="1"/>
  <c r="CZ61" i="121" s="1"/>
  <c r="AU143" i="120"/>
  <c r="AU209" i="120" s="1"/>
  <c r="CA222" i="120"/>
  <c r="BY156" i="120"/>
  <c r="EZ53" i="121"/>
  <c r="BT203" i="120"/>
  <c r="CG72" i="121"/>
  <c r="EH50" i="121"/>
  <c r="D210" i="122"/>
  <c r="AH210" i="122" s="1"/>
  <c r="B87" i="122"/>
  <c r="AK95" i="122"/>
  <c r="CT26" i="123"/>
  <c r="DU25" i="123"/>
  <c r="EF16" i="121"/>
  <c r="L25" i="125"/>
  <c r="CL20" i="120"/>
  <c r="B187" i="120"/>
  <c r="CM21" i="121"/>
  <c r="U25" i="125"/>
  <c r="AO187" i="120"/>
  <c r="U21" i="125"/>
  <c r="AO183" i="120"/>
  <c r="AK16" i="120"/>
  <c r="N16" i="120"/>
  <c r="N183" i="120" s="1"/>
  <c r="P183" i="120"/>
  <c r="CW16" i="123"/>
  <c r="DP16" i="123"/>
  <c r="DO16" i="123" s="1"/>
  <c r="C66" i="124"/>
  <c r="FA62" i="123"/>
  <c r="O21" i="126"/>
  <c r="BR14" i="123"/>
  <c r="R21" i="126" s="1"/>
  <c r="AO14" i="123"/>
  <c r="FR16" i="123"/>
  <c r="FH16" i="123"/>
  <c r="Z25" i="123"/>
  <c r="Z29" i="123"/>
  <c r="AU29" i="123"/>
  <c r="AU25" i="123"/>
  <c r="BV23" i="123"/>
  <c r="BV29" i="123" s="1"/>
  <c r="B66" i="122"/>
  <c r="B214" i="122" s="1"/>
  <c r="R66" i="122"/>
  <c r="C65" i="122"/>
  <c r="C213" i="122" s="1"/>
  <c r="M69" i="121"/>
  <c r="V69" i="121" s="1"/>
  <c r="CT90" i="8"/>
  <c r="CT15" i="8"/>
  <c r="CT8" i="8" s="1"/>
  <c r="BD13" i="123"/>
  <c r="BV13" i="123" s="1"/>
  <c r="CH13" i="123" s="1"/>
  <c r="BW13" i="123"/>
  <c r="CI13" i="123" s="1"/>
  <c r="CT13" i="123"/>
  <c r="DU13" i="123" s="1"/>
  <c r="DV13" i="123"/>
  <c r="F210" i="122"/>
  <c r="O87" i="122"/>
  <c r="O56" i="122"/>
  <c r="K56" i="122"/>
  <c r="K200" i="122" s="1"/>
  <c r="BY241" i="120"/>
  <c r="AI125" i="120"/>
  <c r="AE177" i="120"/>
  <c r="AE196" i="120"/>
  <c r="Z36" i="120"/>
  <c r="G37" i="120"/>
  <c r="BZ241" i="120"/>
  <c r="U37" i="120"/>
  <c r="BP50" i="120"/>
  <c r="AJ57" i="120"/>
  <c r="AV62" i="120"/>
  <c r="AU62" i="120" s="1"/>
  <c r="AX65" i="120"/>
  <c r="AU69" i="120"/>
  <c r="AU261" i="120" s="1"/>
  <c r="AX206" i="120"/>
  <c r="AR243" i="120"/>
  <c r="BZ266" i="120"/>
  <c r="Z243" i="120"/>
  <c r="AD117" i="120"/>
  <c r="E61" i="121"/>
  <c r="BJ58" i="121"/>
  <c r="BJ62" i="121"/>
  <c r="BS62" i="121" s="1"/>
  <c r="DS62" i="121"/>
  <c r="DT71" i="121"/>
  <c r="DI72" i="121"/>
  <c r="DI73" i="121"/>
  <c r="BS87" i="121"/>
  <c r="CG33" i="121"/>
  <c r="BU37" i="121"/>
  <c r="AI85" i="121"/>
  <c r="AI89" i="121" s="1"/>
  <c r="G213" i="122"/>
  <c r="G223" i="122" s="1"/>
  <c r="T219" i="122"/>
  <c r="T38" i="122"/>
  <c r="AD208" i="122"/>
  <c r="AJ208" i="122" s="1"/>
  <c r="E152" i="122"/>
  <c r="Q29" i="123"/>
  <c r="L24" i="125"/>
  <c r="T24" i="125"/>
  <c r="AH186" i="120"/>
  <c r="EV21" i="121"/>
  <c r="FO21" i="121"/>
  <c r="FN21" i="121" s="1"/>
  <c r="FN20" i="121"/>
  <c r="AC24" i="125"/>
  <c r="BM19" i="120"/>
  <c r="BO186" i="120"/>
  <c r="AK188" i="120"/>
  <c r="BI21" i="120"/>
  <c r="BM21" i="120"/>
  <c r="AB26" i="125"/>
  <c r="BN188" i="120"/>
  <c r="AY185" i="120"/>
  <c r="DJ18" i="121"/>
  <c r="DI18" i="121" s="1"/>
  <c r="ER18" i="121"/>
  <c r="FS18" i="121" s="1"/>
  <c r="FY18" i="121" s="1"/>
  <c r="BR185" i="120"/>
  <c r="CA18" i="120"/>
  <c r="CA185" i="120" s="1"/>
  <c r="B16" i="121"/>
  <c r="AE16" i="121"/>
  <c r="AN16" i="121" s="1"/>
  <c r="DQ16" i="121"/>
  <c r="DQ14" i="121" s="1"/>
  <c r="CN16" i="121"/>
  <c r="AF21" i="121"/>
  <c r="AN21" i="121"/>
  <c r="AH20" i="121"/>
  <c r="N20" i="121"/>
  <c r="BA20" i="121"/>
  <c r="BU20" i="121"/>
  <c r="CA20" i="121" s="1"/>
  <c r="DZ16" i="121"/>
  <c r="DT19" i="121"/>
  <c r="CZ19" i="121"/>
  <c r="BG16" i="123"/>
  <c r="BQ16" i="123"/>
  <c r="B15" i="123"/>
  <c r="AD15" i="123"/>
  <c r="AM15" i="123" s="1"/>
  <c r="DP15" i="123"/>
  <c r="CW15" i="123"/>
  <c r="AH14" i="122"/>
  <c r="FI9" i="123"/>
  <c r="FH9" i="123" s="1"/>
  <c r="BV9" i="122"/>
  <c r="AE16" i="123"/>
  <c r="CD16" i="123" s="1"/>
  <c r="EC16" i="123" s="1"/>
  <c r="B16" i="123"/>
  <c r="FH10" i="123"/>
  <c r="FI28" i="123"/>
  <c r="AZ72" i="121"/>
  <c r="BI72" i="121" s="1"/>
  <c r="CT151" i="7"/>
  <c r="CT64" i="7" s="1"/>
  <c r="BM46" i="3"/>
  <c r="BM44" i="3" s="1"/>
  <c r="BS60" i="123"/>
  <c r="FQ55" i="123"/>
  <c r="AF11" i="123"/>
  <c r="AF29" i="123" s="1"/>
  <c r="BY195" i="122"/>
  <c r="BH27" i="122"/>
  <c r="BA264" i="120"/>
  <c r="AJ60" i="120"/>
  <c r="AX46" i="120"/>
  <c r="AK30" i="120"/>
  <c r="AJ55" i="120"/>
  <c r="BA55" i="120"/>
  <c r="BA200" i="120" s="1"/>
  <c r="AC100" i="120"/>
  <c r="AI100" i="120" s="1"/>
  <c r="BC177" i="120"/>
  <c r="BB191" i="120"/>
  <c r="AS29" i="120"/>
  <c r="W196" i="120"/>
  <c r="BA34" i="120"/>
  <c r="BZ201" i="120"/>
  <c r="BH63" i="120"/>
  <c r="AC68" i="120"/>
  <c r="AI68" i="120" s="1"/>
  <c r="BB206" i="120"/>
  <c r="BB242" i="120"/>
  <c r="AC87" i="120"/>
  <c r="AI87" i="120" s="1"/>
  <c r="BY93" i="120"/>
  <c r="BY264" i="120" s="1"/>
  <c r="W94" i="120"/>
  <c r="BP94" i="120"/>
  <c r="BY100" i="120"/>
  <c r="AJ111" i="120"/>
  <c r="AC115" i="120"/>
  <c r="BA127" i="120"/>
  <c r="AD129" i="120"/>
  <c r="AC131" i="120"/>
  <c r="AI131" i="120" s="1"/>
  <c r="AC132" i="120"/>
  <c r="AC133" i="120"/>
  <c r="AC134" i="120"/>
  <c r="AC135" i="120"/>
  <c r="AI135" i="120" s="1"/>
  <c r="AC136" i="120"/>
  <c r="AA130" i="120"/>
  <c r="AU137" i="120"/>
  <c r="AU262" i="120"/>
  <c r="AU260" i="120" s="1"/>
  <c r="AX139" i="120"/>
  <c r="BA140" i="120"/>
  <c r="BA141" i="120"/>
  <c r="AD143" i="120"/>
  <c r="AK155" i="120"/>
  <c r="AI162" i="120"/>
  <c r="V177" i="120"/>
  <c r="AB177" i="120"/>
  <c r="AA177" i="120"/>
  <c r="FH48" i="121"/>
  <c r="CZ49" i="121"/>
  <c r="FH49" i="121"/>
  <c r="E63" i="121"/>
  <c r="AF63" i="121" s="1"/>
  <c r="FH65" i="121"/>
  <c r="FQ65" i="121" s="1"/>
  <c r="FH66" i="121"/>
  <c r="FQ66" i="121" s="1"/>
  <c r="BJ71" i="121"/>
  <c r="BJ72" i="121"/>
  <c r="E74" i="121"/>
  <c r="AF74" i="121" s="1"/>
  <c r="AF229" i="120"/>
  <c r="BD229" i="120" s="1"/>
  <c r="CB229" i="120" s="1"/>
  <c r="AF230" i="120"/>
  <c r="BD230" i="120" s="1"/>
  <c r="CB230" i="120" s="1"/>
  <c r="BS88" i="121"/>
  <c r="DK22" i="121"/>
  <c r="DK14" i="121" s="1"/>
  <c r="DZ31" i="121"/>
  <c r="P152" i="122"/>
  <c r="AE152" i="122"/>
  <c r="AW218" i="122"/>
  <c r="K108" i="122"/>
  <c r="K218" i="122" s="1"/>
  <c r="M101" i="122"/>
  <c r="E180" i="122"/>
  <c r="E72" i="123"/>
  <c r="AF72" i="123" s="1"/>
  <c r="AE12" i="123"/>
  <c r="AN12" i="123" s="1"/>
  <c r="AL12" i="123" s="1"/>
  <c r="AI23" i="123"/>
  <c r="CD24" i="123"/>
  <c r="Z28" i="123"/>
  <c r="BF19" i="120"/>
  <c r="DP21" i="121"/>
  <c r="DO21" i="121" s="1"/>
  <c r="U24" i="125"/>
  <c r="AO186" i="120"/>
  <c r="EH19" i="121"/>
  <c r="GG19" i="121" s="1"/>
  <c r="AX21" i="121"/>
  <c r="BQ21" i="121"/>
  <c r="BP21" i="121" s="1"/>
  <c r="CD20" i="121"/>
  <c r="EC20" i="121" s="1"/>
  <c r="AC20" i="121"/>
  <c r="CC20" i="121"/>
  <c r="FY19" i="121"/>
  <c r="AG40" i="121"/>
  <c r="AF16" i="121"/>
  <c r="AF40" i="121" s="1"/>
  <c r="DC40" i="121"/>
  <c r="DT21" i="121"/>
  <c r="DZ21" i="121" s="1"/>
  <c r="BQ16" i="121"/>
  <c r="B16" i="120"/>
  <c r="AG16" i="120"/>
  <c r="M21" i="125"/>
  <c r="C183" i="120"/>
  <c r="AD183" i="120"/>
  <c r="AC16" i="120"/>
  <c r="AC183" i="120" s="1"/>
  <c r="P187" i="120"/>
  <c r="AK20" i="120"/>
  <c r="EG21" i="121"/>
  <c r="GF21" i="121" s="1"/>
  <c r="FY21" i="121"/>
  <c r="CJ20" i="121"/>
  <c r="EI20" i="121" s="1"/>
  <c r="GH20" i="121" s="1"/>
  <c r="K15" i="123"/>
  <c r="AN13" i="122"/>
  <c r="T14" i="123"/>
  <c r="AD14" i="123"/>
  <c r="BG14" i="123"/>
  <c r="C63" i="124"/>
  <c r="DB62" i="123"/>
  <c r="W27" i="123"/>
  <c r="DZ15" i="123"/>
  <c r="DI11" i="123"/>
  <c r="DK29" i="123"/>
  <c r="EP10" i="123"/>
  <c r="EQ28" i="123"/>
  <c r="FS14" i="123"/>
  <c r="FY14" i="123" s="1"/>
  <c r="EP16" i="123"/>
  <c r="FS16" i="123"/>
  <c r="FY16" i="123" s="1"/>
  <c r="B56" i="122"/>
  <c r="B200" i="122" s="1"/>
  <c r="R56" i="122"/>
  <c r="R200" i="122" s="1"/>
  <c r="AG200" i="122" s="1"/>
  <c r="CT76" i="121"/>
  <c r="Z42" i="123"/>
  <c r="AI41" i="123"/>
  <c r="AU43" i="123"/>
  <c r="BV43" i="123" s="1"/>
  <c r="BV47" i="123"/>
  <c r="CH47" i="123" s="1"/>
  <c r="EG47" i="123" s="1"/>
  <c r="GF47" i="123" s="1"/>
  <c r="AH154" i="120"/>
  <c r="AI96" i="120"/>
  <c r="O10" i="120"/>
  <c r="AE202" i="120"/>
  <c r="BA66" i="120"/>
  <c r="AX243" i="120"/>
  <c r="BA88" i="120"/>
  <c r="W89" i="120"/>
  <c r="BB89" i="120"/>
  <c r="BA89" i="120" s="1"/>
  <c r="BA101" i="120"/>
  <c r="BY104" i="120"/>
  <c r="BA111" i="120"/>
  <c r="BB249" i="120"/>
  <c r="AD267" i="120"/>
  <c r="CZ51" i="121"/>
  <c r="BA131" i="120"/>
  <c r="BA134" i="120"/>
  <c r="AJ138" i="120"/>
  <c r="BJ52" i="121"/>
  <c r="FH52" i="121"/>
  <c r="CZ57" i="121"/>
  <c r="E62" i="121"/>
  <c r="AF62" i="121" s="1"/>
  <c r="DT69" i="121"/>
  <c r="FQ87" i="121"/>
  <c r="FW87" i="121" s="1"/>
  <c r="DR88" i="121"/>
  <c r="DX88" i="121" s="1"/>
  <c r="DT37" i="121"/>
  <c r="DR80" i="121"/>
  <c r="BZ151" i="122"/>
  <c r="W152" i="122"/>
  <c r="BV152" i="122"/>
  <c r="BS158" i="122"/>
  <c r="AK84" i="122"/>
  <c r="BI84" i="122" s="1"/>
  <c r="CG84" i="122" s="1"/>
  <c r="CJ84" i="122" s="1"/>
  <c r="BP195" i="122"/>
  <c r="E106" i="122"/>
  <c r="AH54" i="123"/>
  <c r="BD29" i="123"/>
  <c r="AI64" i="123"/>
  <c r="CH64" i="123" s="1"/>
  <c r="EG64" i="123" s="1"/>
  <c r="GF64" i="123" s="1"/>
  <c r="AN21" i="120"/>
  <c r="AN188" i="120" s="1"/>
  <c r="B186" i="120"/>
  <c r="B21" i="121"/>
  <c r="GM21" i="121" s="1"/>
  <c r="U26" i="125"/>
  <c r="AO188" i="120"/>
  <c r="CN19" i="121"/>
  <c r="DQ19" i="121"/>
  <c r="EC19" i="121" s="1"/>
  <c r="AO19" i="121"/>
  <c r="BQ19" i="121"/>
  <c r="BP19" i="121" s="1"/>
  <c r="FO19" i="121"/>
  <c r="FN19" i="121" s="1"/>
  <c r="FE19" i="121"/>
  <c r="FY16" i="121"/>
  <c r="AN30" i="121"/>
  <c r="R186" i="120"/>
  <c r="AG19" i="120"/>
  <c r="Q19" i="120"/>
  <c r="CL19" i="120" s="1"/>
  <c r="EF19" i="121"/>
  <c r="CM19" i="121"/>
  <c r="H18" i="120"/>
  <c r="H185" i="120" s="1"/>
  <c r="O18" i="121"/>
  <c r="N18" i="121" s="1"/>
  <c r="EM16" i="121"/>
  <c r="AN19" i="121"/>
  <c r="AR15" i="121"/>
  <c r="CA19" i="121"/>
  <c r="FX20" i="121"/>
  <c r="FW20" i="121" s="1"/>
  <c r="FQ20" i="121"/>
  <c r="EH30" i="121"/>
  <c r="BQ14" i="123"/>
  <c r="EI13" i="123"/>
  <c r="GH13" i="123" s="1"/>
  <c r="FE14" i="123"/>
  <c r="FO14" i="123"/>
  <c r="Q16" i="122"/>
  <c r="AG16" i="122"/>
  <c r="BE16" i="122" s="1"/>
  <c r="BD16" i="122" s="1"/>
  <c r="CZ13" i="123"/>
  <c r="FH12" i="123"/>
  <c r="FH30" i="123" s="1"/>
  <c r="FT24" i="123"/>
  <c r="ES30" i="123"/>
  <c r="B71" i="122"/>
  <c r="R71" i="122"/>
  <c r="C70" i="122"/>
  <c r="AI51" i="121"/>
  <c r="CH51" i="121" s="1"/>
  <c r="EG51" i="121" s="1"/>
  <c r="AI57" i="121"/>
  <c r="CH57" i="121" s="1"/>
  <c r="EG57" i="121" s="1"/>
  <c r="GF57" i="121" s="1"/>
  <c r="Q56" i="121"/>
  <c r="AI56" i="121" s="1"/>
  <c r="AI64" i="121"/>
  <c r="CH64" i="121" s="1"/>
  <c r="EG64" i="121" s="1"/>
  <c r="GF64" i="121" s="1"/>
  <c r="Q61" i="121"/>
  <c r="AI61" i="121" s="1"/>
  <c r="CH61" i="121" s="1"/>
  <c r="AE196" i="122"/>
  <c r="BV217" i="122"/>
  <c r="F29" i="122"/>
  <c r="Z151" i="122"/>
  <c r="AU152" i="122"/>
  <c r="O153" i="122"/>
  <c r="BY45" i="122"/>
  <c r="BY155" i="122" s="1"/>
  <c r="N50" i="122"/>
  <c r="AI50" i="122" s="1"/>
  <c r="AX208" i="122"/>
  <c r="AR215" i="122"/>
  <c r="W70" i="122"/>
  <c r="AR79" i="122"/>
  <c r="AU157" i="122"/>
  <c r="AJ82" i="122"/>
  <c r="BY91" i="122"/>
  <c r="CB92" i="122"/>
  <c r="BY93" i="122"/>
  <c r="BA95" i="122"/>
  <c r="E153" i="122"/>
  <c r="AC103" i="122"/>
  <c r="AK104" i="122"/>
  <c r="BY110" i="122"/>
  <c r="BZ111" i="122"/>
  <c r="CZ44" i="123"/>
  <c r="AH58" i="123"/>
  <c r="E70" i="123"/>
  <c r="DY23" i="123"/>
  <c r="T23" i="125"/>
  <c r="L26" i="125"/>
  <c r="AD21" i="121"/>
  <c r="EM20" i="121"/>
  <c r="GM20" i="121" s="1"/>
  <c r="BS19" i="121"/>
  <c r="FI18" i="121"/>
  <c r="FH18" i="121" s="1"/>
  <c r="FO16" i="121"/>
  <c r="DB18" i="121"/>
  <c r="DT18" i="121" s="1"/>
  <c r="DZ18" i="121" s="1"/>
  <c r="AS18" i="121"/>
  <c r="AR18" i="121" s="1"/>
  <c r="W10" i="121"/>
  <c r="G18" i="121"/>
  <c r="E18" i="121" s="1"/>
  <c r="AO16" i="121"/>
  <c r="N21" i="125"/>
  <c r="D183" i="120"/>
  <c r="F10" i="121"/>
  <c r="X10" i="121"/>
  <c r="DA22" i="121"/>
  <c r="BS30" i="121"/>
  <c r="DP14" i="123"/>
  <c r="AK14" i="122"/>
  <c r="BI14" i="122" s="1"/>
  <c r="CG14" i="122" s="1"/>
  <c r="CJ14" i="122" s="1"/>
  <c r="AK16" i="122"/>
  <c r="AC15" i="122"/>
  <c r="BA15" i="122"/>
  <c r="DI13" i="123"/>
  <c r="E16" i="123"/>
  <c r="W8" i="123"/>
  <c r="AR11" i="123"/>
  <c r="AR29" i="123" s="1"/>
  <c r="AR14" i="123"/>
  <c r="AR16" i="123"/>
  <c r="BA10" i="123"/>
  <c r="R52" i="122"/>
  <c r="R60" i="122"/>
  <c r="R204" i="122" s="1"/>
  <c r="AG204" i="122" s="1"/>
  <c r="R74" i="122"/>
  <c r="AU56" i="121"/>
  <c r="ES61" i="121"/>
  <c r="E32" i="127"/>
  <c r="E52" i="127" s="1"/>
  <c r="BR69" i="121"/>
  <c r="Q54" i="125" s="1"/>
  <c r="AE71" i="121"/>
  <c r="N77" i="68"/>
  <c r="L79" i="68"/>
  <c r="T26" i="105"/>
  <c r="T25" i="105" s="1"/>
  <c r="T19" i="105"/>
  <c r="CX45" i="8"/>
  <c r="M8" i="92"/>
  <c r="M14" i="92" s="1"/>
  <c r="M16" i="92" s="1"/>
  <c r="X27" i="104" s="1"/>
  <c r="X31" i="104" s="1"/>
  <c r="CX43" i="8"/>
  <c r="CW90" i="8"/>
  <c r="AC24" i="122"/>
  <c r="BP153" i="122"/>
  <c r="K155" i="122"/>
  <c r="K156" i="122"/>
  <c r="K158" i="122" s="1"/>
  <c r="BP157" i="122"/>
  <c r="BV196" i="122"/>
  <c r="X29" i="122"/>
  <c r="AB213" i="122"/>
  <c r="BQ29" i="122"/>
  <c r="BQ21" i="122" s="1"/>
  <c r="T215" i="122"/>
  <c r="AE215" i="122"/>
  <c r="AK215" i="122" s="1"/>
  <c r="P219" i="122"/>
  <c r="AC51" i="122"/>
  <c r="CF198" i="122"/>
  <c r="AK55" i="122"/>
  <c r="BA64" i="122"/>
  <c r="AW213" i="122"/>
  <c r="BY68" i="122"/>
  <c r="AK69" i="122"/>
  <c r="BT218" i="122"/>
  <c r="BT223" i="122" s="1"/>
  <c r="E219" i="122"/>
  <c r="BB79" i="122"/>
  <c r="BA79" i="122" s="1"/>
  <c r="AK82" i="122"/>
  <c r="K196" i="122"/>
  <c r="AE108" i="122"/>
  <c r="AC108" i="122" s="1"/>
  <c r="AI108" i="122" s="1"/>
  <c r="AB101" i="122"/>
  <c r="W36" i="123"/>
  <c r="AF36" i="123" s="1"/>
  <c r="FR55" i="123"/>
  <c r="FR56" i="123"/>
  <c r="DR23" i="123"/>
  <c r="DR24" i="123"/>
  <c r="BV18" i="120"/>
  <c r="BV185" i="120" s="1"/>
  <c r="BY20" i="120"/>
  <c r="BY187" i="120" s="1"/>
  <c r="BY19" i="120"/>
  <c r="BY186" i="120" s="1"/>
  <c r="AD21" i="125"/>
  <c r="CB183" i="120"/>
  <c r="AK19" i="120"/>
  <c r="Y18" i="121"/>
  <c r="W18" i="121" s="1"/>
  <c r="DK11" i="121"/>
  <c r="DY30" i="121"/>
  <c r="BZ13" i="122"/>
  <c r="BY13" i="122" s="1"/>
  <c r="T156" i="122"/>
  <c r="AO16" i="122"/>
  <c r="BA13" i="123"/>
  <c r="N11" i="123"/>
  <c r="N29" i="123" s="1"/>
  <c r="BA15" i="123"/>
  <c r="BJ11" i="123"/>
  <c r="BJ29" i="123" s="1"/>
  <c r="BU15" i="123"/>
  <c r="CA15" i="123" s="1"/>
  <c r="CQ14" i="123"/>
  <c r="DS16" i="123"/>
  <c r="DT14" i="123"/>
  <c r="DZ14" i="123" s="1"/>
  <c r="DI15" i="123"/>
  <c r="EP11" i="123"/>
  <c r="EP29" i="123" s="1"/>
  <c r="FY13" i="123"/>
  <c r="EY11" i="123"/>
  <c r="EY29" i="123" s="1"/>
  <c r="FH8" i="123"/>
  <c r="FH11" i="123"/>
  <c r="FH29" i="123" s="1"/>
  <c r="B67" i="122"/>
  <c r="B215" i="122" s="1"/>
  <c r="R72" i="122"/>
  <c r="H14" i="129"/>
  <c r="H11" i="129"/>
  <c r="H12" i="129" s="1"/>
  <c r="S218" i="120"/>
  <c r="AQ70" i="121" s="1"/>
  <c r="CU91" i="8"/>
  <c r="CU17" i="8"/>
  <c r="CT19" i="8"/>
  <c r="CT91" i="8" s="1"/>
  <c r="D80" i="68"/>
  <c r="D83" i="68"/>
  <c r="D81" i="68"/>
  <c r="CX28" i="8"/>
  <c r="CW28" i="8" s="1"/>
  <c r="O32" i="111"/>
  <c r="Y28" i="104"/>
  <c r="DA44" i="8" s="1"/>
  <c r="CX44" i="8"/>
  <c r="CW44" i="8" s="1"/>
  <c r="G58" i="134"/>
  <c r="F68" i="134"/>
  <c r="D68" i="134" s="1"/>
  <c r="DD93" i="8"/>
  <c r="DD51" i="8"/>
  <c r="H151" i="122"/>
  <c r="W151" i="122"/>
  <c r="Z194" i="122"/>
  <c r="BC215" i="122"/>
  <c r="BA37" i="122"/>
  <c r="L218" i="122"/>
  <c r="BV48" i="122"/>
  <c r="BA50" i="122"/>
  <c r="P208" i="122"/>
  <c r="AK208" i="122" s="1"/>
  <c r="BW49" i="122"/>
  <c r="BW159" i="122" s="1"/>
  <c r="AK67" i="122"/>
  <c r="AC67" i="122"/>
  <c r="AT49" i="122"/>
  <c r="AC74" i="122"/>
  <c r="AK78" i="122"/>
  <c r="BS152" i="122"/>
  <c r="AH82" i="122"/>
  <c r="Z195" i="122"/>
  <c r="N84" i="122"/>
  <c r="T81" i="122"/>
  <c r="BA93" i="122"/>
  <c r="AC95" i="122"/>
  <c r="BY99" i="122"/>
  <c r="AD100" i="122"/>
  <c r="BA102" i="122"/>
  <c r="AC105" i="122"/>
  <c r="W106" i="122"/>
  <c r="AU106" i="122"/>
  <c r="AK107" i="122"/>
  <c r="BI107" i="122" s="1"/>
  <c r="CG107" i="122" s="1"/>
  <c r="CJ107" i="122" s="1"/>
  <c r="BA107" i="122"/>
  <c r="AR108" i="122"/>
  <c r="N110" i="122"/>
  <c r="DI48" i="123"/>
  <c r="AC113" i="122"/>
  <c r="DI44" i="123"/>
  <c r="DI53" i="123"/>
  <c r="EY53" i="123"/>
  <c r="BJ54" i="123"/>
  <c r="DI57" i="123"/>
  <c r="DI58" i="123"/>
  <c r="FQ73" i="123"/>
  <c r="BS22" i="123"/>
  <c r="W19" i="121"/>
  <c r="BT15" i="121"/>
  <c r="BJ15" i="121"/>
  <c r="BJ17" i="121"/>
  <c r="BJ20" i="121"/>
  <c r="CZ9" i="121"/>
  <c r="T157" i="122"/>
  <c r="T158" i="122" s="1"/>
  <c r="T152" i="122"/>
  <c r="Q14" i="122"/>
  <c r="AC14" i="122"/>
  <c r="AC16" i="122"/>
  <c r="BY16" i="122"/>
  <c r="N16" i="123"/>
  <c r="BR68" i="121"/>
  <c r="Q53" i="125" s="1"/>
  <c r="BR71" i="121"/>
  <c r="Q56" i="125" s="1"/>
  <c r="D221" i="120"/>
  <c r="D73" i="121" s="1"/>
  <c r="S155" i="120"/>
  <c r="D149" i="120"/>
  <c r="CQ14" i="19"/>
  <c r="CR14" i="19"/>
  <c r="CR13" i="19" s="1"/>
  <c r="CY13" i="19" s="1"/>
  <c r="CY10" i="19" s="1"/>
  <c r="CY11" i="19" s="1"/>
  <c r="CR141" i="7"/>
  <c r="H52" i="123"/>
  <c r="AH71" i="122"/>
  <c r="AN36" i="65"/>
  <c r="AO36" i="65" s="1"/>
  <c r="CX100" i="8"/>
  <c r="AH11" i="98"/>
  <c r="BE9" i="10"/>
  <c r="CV29" i="7" s="1"/>
  <c r="BE8" i="10"/>
  <c r="CV20" i="7" s="1"/>
  <c r="BE7" i="10"/>
  <c r="CV10" i="7" s="1"/>
  <c r="BE10" i="10"/>
  <c r="CV36" i="7" s="1"/>
  <c r="BD19" i="10"/>
  <c r="H79" i="68"/>
  <c r="CS22" i="7"/>
  <c r="CR22" i="7" s="1"/>
  <c r="O26" i="111"/>
  <c r="CX88" i="8"/>
  <c r="CW12" i="8"/>
  <c r="CW88" i="8" s="1"/>
  <c r="W13" i="102"/>
  <c r="W21" i="102" s="1"/>
  <c r="CU48" i="8"/>
  <c r="CT54" i="7"/>
  <c r="CR54" i="7" s="1"/>
  <c r="X23" i="104"/>
  <c r="CU88" i="8"/>
  <c r="CU117" i="8" s="1"/>
  <c r="CU97" i="8"/>
  <c r="CT49" i="8"/>
  <c r="CT97" i="8" s="1"/>
  <c r="CX138" i="7"/>
  <c r="W26" i="105"/>
  <c r="W25" i="105" s="1"/>
  <c r="W19" i="105"/>
  <c r="CC67" i="120"/>
  <c r="CU46" i="7"/>
  <c r="CC97" i="122"/>
  <c r="CZ37" i="8"/>
  <c r="R61" i="123"/>
  <c r="Q52" i="123"/>
  <c r="Q61" i="123" s="1"/>
  <c r="Z52" i="123"/>
  <c r="Z61" i="123" s="1"/>
  <c r="AU52" i="123"/>
  <c r="AU61" i="123" s="1"/>
  <c r="DC52" i="123"/>
  <c r="DC61" i="123" s="1"/>
  <c r="DL52" i="123"/>
  <c r="DL61" i="123" s="1"/>
  <c r="J79" i="68"/>
  <c r="P44" i="96"/>
  <c r="CS19" i="7" s="1"/>
  <c r="CX91" i="8"/>
  <c r="CW19" i="8"/>
  <c r="CW91" i="8" s="1"/>
  <c r="G57" i="134"/>
  <c r="G59" i="134"/>
  <c r="G61" i="134"/>
  <c r="G63" i="134"/>
  <c r="G65" i="134"/>
  <c r="G67" i="134"/>
  <c r="CT17" i="8"/>
  <c r="CU54" i="8"/>
  <c r="CT88" i="8"/>
  <c r="CT34" i="8"/>
  <c r="CT138" i="7"/>
  <c r="CT175" i="7" s="1"/>
  <c r="AL22" i="64" s="1"/>
  <c r="CR20" i="7"/>
  <c r="CR138" i="7" s="1"/>
  <c r="CT17" i="7"/>
  <c r="BD37" i="61"/>
  <c r="DD48" i="7"/>
  <c r="DE43" i="7"/>
  <c r="DF176" i="7"/>
  <c r="DC25" i="8"/>
  <c r="DC90" i="8"/>
  <c r="DI29" i="8"/>
  <c r="DJ89" i="8"/>
  <c r="DJ31" i="8"/>
  <c r="DJ27" i="8" s="1"/>
  <c r="DI41" i="8"/>
  <c r="DI34" i="8" s="1"/>
  <c r="DJ92" i="8"/>
  <c r="DJ34" i="8"/>
  <c r="H61" i="123"/>
  <c r="BD52" i="123"/>
  <c r="BD61" i="123" s="1"/>
  <c r="BM52" i="123"/>
  <c r="BM61" i="123" s="1"/>
  <c r="CT61" i="123"/>
  <c r="D70" i="122"/>
  <c r="AH70" i="122" s="1"/>
  <c r="AH73" i="122"/>
  <c r="AH67" i="122"/>
  <c r="S57" i="122"/>
  <c r="S201" i="122" s="1"/>
  <c r="AH201" i="122" s="1"/>
  <c r="AN201" i="122" s="1"/>
  <c r="AH52" i="122"/>
  <c r="CU52" i="8"/>
  <c r="CT100" i="8"/>
  <c r="CT52" i="8" s="1"/>
  <c r="CT46" i="8"/>
  <c r="CT94" i="8" s="1"/>
  <c r="CV94" i="8"/>
  <c r="CV99" i="8" s="1"/>
  <c r="N16" i="92"/>
  <c r="DA43" i="8" s="1"/>
  <c r="Y31" i="104"/>
  <c r="AT68" i="32"/>
  <c r="AT73" i="32" s="1"/>
  <c r="AW68" i="32"/>
  <c r="D34" i="134"/>
  <c r="E34" i="134"/>
  <c r="CT25" i="8"/>
  <c r="BU40" i="3"/>
  <c r="BU48" i="3"/>
  <c r="DE50" i="7"/>
  <c r="DE140" i="7"/>
  <c r="CX141" i="7"/>
  <c r="CX25" i="7"/>
  <c r="CX17" i="7" s="1"/>
  <c r="DD27" i="7"/>
  <c r="S50" i="122"/>
  <c r="Q50" i="122" s="1"/>
  <c r="BE16" i="10"/>
  <c r="DA32" i="8" s="1"/>
  <c r="BE15" i="10"/>
  <c r="DA20" i="8" s="1"/>
  <c r="BE17" i="10"/>
  <c r="DA35" i="8" s="1"/>
  <c r="BE14" i="10"/>
  <c r="DA10" i="8" s="1"/>
  <c r="W8" i="104"/>
  <c r="X8" i="104"/>
  <c r="G39" i="134"/>
  <c r="G51" i="134" s="1"/>
  <c r="CV17" i="8"/>
  <c r="CV51" i="8" s="1"/>
  <c r="CV53" i="8" s="1"/>
  <c r="CU34" i="8"/>
  <c r="CX87" i="8"/>
  <c r="CX124" i="8" s="1"/>
  <c r="AN21" i="65" s="1"/>
  <c r="BH22" i="61"/>
  <c r="DB175" i="7"/>
  <c r="DE139" i="7"/>
  <c r="DE168" i="7" s="1"/>
  <c r="DD12" i="7"/>
  <c r="DD139" i="7" s="1"/>
  <c r="DD94" i="8"/>
  <c r="DC46" i="8"/>
  <c r="DC94" i="8" s="1"/>
  <c r="AQ37" i="65"/>
  <c r="CR12" i="7"/>
  <c r="CR139" i="7" s="1"/>
  <c r="CS139" i="7"/>
  <c r="CZ151" i="7"/>
  <c r="CZ64" i="7" s="1"/>
  <c r="CZ65" i="7" s="1"/>
  <c r="AP36" i="64"/>
  <c r="BR41" i="3"/>
  <c r="BG36" i="61"/>
  <c r="CY151" i="7"/>
  <c r="BI36" i="61"/>
  <c r="BQ45" i="3"/>
  <c r="BQ44" i="3" s="1"/>
  <c r="AL11" i="98"/>
  <c r="BU62" i="3"/>
  <c r="T45" i="96" s="1"/>
  <c r="DF34" i="8"/>
  <c r="DF89" i="8"/>
  <c r="BI73" i="32"/>
  <c r="BI70" i="32"/>
  <c r="DE53" i="7" s="1"/>
  <c r="DD17" i="7"/>
  <c r="BG15" i="61"/>
  <c r="CY171" i="7"/>
  <c r="AQ16" i="66"/>
  <c r="AQ14" i="66" s="1"/>
  <c r="DH121" i="8"/>
  <c r="AK17" i="95"/>
  <c r="AK28" i="95"/>
  <c r="AK47" i="95" s="1"/>
  <c r="AK52" i="95" s="1"/>
  <c r="CY67" i="7"/>
  <c r="CY66" i="7" s="1"/>
  <c r="CY169" i="7"/>
  <c r="CZ169" i="7"/>
  <c r="CZ67" i="7"/>
  <c r="CZ66" i="7" s="1"/>
  <c r="DG14" i="19"/>
  <c r="DG13" i="19" s="1"/>
  <c r="DL14" i="19"/>
  <c r="DL13" i="19" s="1"/>
  <c r="DJ14" i="19"/>
  <c r="DJ13" i="19" s="1"/>
  <c r="DI14" i="19"/>
  <c r="DI13" i="19" s="1"/>
  <c r="DH14" i="19"/>
  <c r="DH13" i="19" s="1"/>
  <c r="DU50" i="19"/>
  <c r="DY50" i="19"/>
  <c r="R63" i="96"/>
  <c r="R58" i="96"/>
  <c r="R48" i="96"/>
  <c r="R53" i="96"/>
  <c r="CY58" i="7"/>
  <c r="AZ64" i="32"/>
  <c r="AY65" i="32"/>
  <c r="AY68" i="32"/>
  <c r="AH61" i="122"/>
  <c r="AH69" i="122"/>
  <c r="AH60" i="122"/>
  <c r="AH54" i="122"/>
  <c r="BL49" i="3"/>
  <c r="W26" i="104"/>
  <c r="CV55" i="8"/>
  <c r="CV54" i="8" s="1"/>
  <c r="CS138" i="7"/>
  <c r="AM11" i="95"/>
  <c r="BV39" i="3"/>
  <c r="AR10" i="64"/>
  <c r="AR35" i="64" s="1"/>
  <c r="AR37" i="64" s="1"/>
  <c r="AR23" i="64"/>
  <c r="DE27" i="7"/>
  <c r="DI87" i="8"/>
  <c r="DC8" i="8"/>
  <c r="DC87" i="8"/>
  <c r="AR22" i="66" s="1"/>
  <c r="DF150" i="7"/>
  <c r="CX15" i="7"/>
  <c r="CX8" i="7" s="1"/>
  <c r="CX140" i="7"/>
  <c r="DE138" i="7"/>
  <c r="DE175" i="7" s="1"/>
  <c r="DD10" i="7"/>
  <c r="DK122" i="8"/>
  <c r="BD52" i="5"/>
  <c r="BD53" i="5"/>
  <c r="BD54" i="5"/>
  <c r="AK26" i="98"/>
  <c r="DB50" i="7"/>
  <c r="DA48" i="7"/>
  <c r="DB140" i="7"/>
  <c r="DD16" i="7"/>
  <c r="DD143" i="7" s="1"/>
  <c r="DA20" i="7"/>
  <c r="DA138" i="7" s="1"/>
  <c r="DD36" i="7"/>
  <c r="DD35" i="7" s="1"/>
  <c r="DF35" i="7"/>
  <c r="DF63" i="7" s="1"/>
  <c r="DF65" i="7" s="1"/>
  <c r="DA141" i="7"/>
  <c r="DI90" i="8"/>
  <c r="DE117" i="8"/>
  <c r="DB67" i="7"/>
  <c r="DB66" i="7" s="1"/>
  <c r="DB169" i="7"/>
  <c r="BT41" i="3"/>
  <c r="AQ36" i="64"/>
  <c r="BS45" i="3"/>
  <c r="BS44" i="3" s="1"/>
  <c r="BH36" i="61"/>
  <c r="DB151" i="7"/>
  <c r="S63" i="96"/>
  <c r="S53" i="96"/>
  <c r="AL51" i="95"/>
  <c r="BH12" i="61"/>
  <c r="DB168" i="7"/>
  <c r="DF88" i="8"/>
  <c r="DF43" i="8"/>
  <c r="DF42" i="8" s="1"/>
  <c r="DF93" i="8" s="1"/>
  <c r="CU38" i="7"/>
  <c r="CC126" i="120"/>
  <c r="CD112" i="122"/>
  <c r="DB42" i="8"/>
  <c r="AP36" i="66"/>
  <c r="AP37" i="66" s="1"/>
  <c r="AJ12" i="98"/>
  <c r="AJ27" i="98" s="1"/>
  <c r="AQ17" i="64"/>
  <c r="AQ14" i="64" s="1"/>
  <c r="DC147" i="7"/>
  <c r="DD61" i="7"/>
  <c r="DD146" i="7" s="1"/>
  <c r="DE174" i="7"/>
  <c r="DE146" i="7"/>
  <c r="DH117" i="8"/>
  <c r="AM47" i="95"/>
  <c r="AM52" i="95" s="1"/>
  <c r="BK19" i="10"/>
  <c r="AK12" i="98"/>
  <c r="AK27" i="98" s="1"/>
  <c r="AQ36" i="66"/>
  <c r="AQ37" i="66" s="1"/>
  <c r="DH100" i="8"/>
  <c r="DF100" i="8" s="1"/>
  <c r="DF52" i="8" s="1"/>
  <c r="DD86" i="8"/>
  <c r="DC18" i="8"/>
  <c r="DE42" i="8"/>
  <c r="DC44" i="8"/>
  <c r="DC42" i="8" s="1"/>
  <c r="DC93" i="8" s="1"/>
  <c r="AR16" i="66" s="1"/>
  <c r="AR14" i="66" s="1"/>
  <c r="AR11" i="66" s="1"/>
  <c r="AR10" i="66" s="1"/>
  <c r="AR35" i="66" s="1"/>
  <c r="AR38" i="66" s="1"/>
  <c r="DD118" i="8"/>
  <c r="AR12" i="65" s="1"/>
  <c r="DG87" i="8"/>
  <c r="DG25" i="8"/>
  <c r="DG89" i="8"/>
  <c r="BN48" i="3"/>
  <c r="CP27" i="19"/>
  <c r="CW27" i="19" s="1"/>
  <c r="DD100" i="8"/>
  <c r="AR36" i="65"/>
  <c r="AJ11" i="98"/>
  <c r="DI88" i="8"/>
  <c r="DK87" i="8"/>
  <c r="DK124" i="8" s="1"/>
  <c r="AS15" i="65"/>
  <c r="AS13" i="65" s="1"/>
  <c r="DG121" i="8"/>
  <c r="DA18" i="7"/>
  <c r="DA136" i="7" s="1"/>
  <c r="DB136" i="7"/>
  <c r="DC19" i="8"/>
  <c r="DC91" i="8" s="1"/>
  <c r="DD91" i="8"/>
  <c r="DD117" i="8" s="1"/>
  <c r="BA69" i="32"/>
  <c r="BC69" i="32" s="1"/>
  <c r="BC70" i="32" s="1"/>
  <c r="DE100" i="8"/>
  <c r="DE52" i="8" s="1"/>
  <c r="DO49" i="19"/>
  <c r="DM48" i="19"/>
  <c r="DM49" i="19" s="1"/>
  <c r="AO20" i="64"/>
  <c r="DJ42" i="8"/>
  <c r="DJ93" i="8" s="1"/>
  <c r="DJ121" i="8" s="1"/>
  <c r="DG123" i="8"/>
  <c r="AA13" i="102"/>
  <c r="AA21" i="102" s="1"/>
  <c r="CY173" i="7"/>
  <c r="AR14" i="65"/>
  <c r="DC169" i="7"/>
  <c r="AQ13" i="64" s="1"/>
  <c r="AS36" i="65"/>
  <c r="DA100" i="8"/>
  <c r="AP36" i="65"/>
  <c r="AQ36" i="65" s="1"/>
  <c r="AI11" i="98"/>
  <c r="AX67" i="32"/>
  <c r="DK24" i="17"/>
  <c r="BE17" i="61"/>
  <c r="BF17" i="61" s="1"/>
  <c r="CV173" i="7"/>
  <c r="CV147" i="7"/>
  <c r="CU59" i="7"/>
  <c r="CU147" i="7" s="1"/>
  <c r="CW9" i="19"/>
  <c r="CC70" i="120"/>
  <c r="DB47" i="7"/>
  <c r="BH17" i="61"/>
  <c r="CC8" i="120"/>
  <c r="GA8" i="121"/>
  <c r="Q7" i="96"/>
  <c r="CC18" i="120"/>
  <c r="GA18" i="121"/>
  <c r="GB9" i="123"/>
  <c r="DB100" i="8"/>
  <c r="DB52" i="8" s="1"/>
  <c r="GB8" i="123"/>
  <c r="AN36" i="66"/>
  <c r="GB11" i="123"/>
  <c r="AI12" i="98"/>
  <c r="CC33" i="120"/>
  <c r="CU12" i="7"/>
  <c r="CC143" i="120"/>
  <c r="CV144" i="7"/>
  <c r="CP16" i="19"/>
  <c r="CW16" i="19" s="1"/>
  <c r="AO21" i="64"/>
  <c r="BD65" i="32"/>
  <c r="BF65" i="32" s="1"/>
  <c r="BE36" i="61"/>
  <c r="BF36" i="61" s="1"/>
  <c r="CV151" i="7"/>
  <c r="CC13" i="122"/>
  <c r="GA13" i="123"/>
  <c r="AJ10" i="95"/>
  <c r="CC45" i="122"/>
  <c r="CZ22" i="8"/>
  <c r="CC144" i="120"/>
  <c r="CU53" i="7"/>
  <c r="CU52" i="7" s="1"/>
  <c r="CU144" i="7" s="1"/>
  <c r="CC157" i="120"/>
  <c r="BE18" i="61"/>
  <c r="BF18" i="61" s="1"/>
  <c r="CV174" i="7"/>
  <c r="CU61" i="7"/>
  <c r="CU146" i="7" s="1"/>
  <c r="CV146" i="7"/>
  <c r="CC114" i="122"/>
  <c r="CZ45" i="8"/>
  <c r="CC34" i="122"/>
  <c r="DA97" i="8"/>
  <c r="CC25" i="122"/>
  <c r="DA88" i="8"/>
  <c r="CZ12" i="8"/>
  <c r="CD46" i="122"/>
  <c r="CW52" i="7"/>
  <c r="CW140" i="7"/>
  <c r="CC123" i="122"/>
  <c r="DA95" i="8"/>
  <c r="DB89" i="8"/>
  <c r="CD27" i="122"/>
  <c r="AZ62" i="32"/>
  <c r="BF37" i="61"/>
  <c r="CZ49" i="8"/>
  <c r="CZ97" i="8" s="1"/>
  <c r="D27" i="132"/>
  <c r="E27" i="132" s="1"/>
  <c r="G27" i="132" s="1"/>
  <c r="F27" i="132"/>
  <c r="H27" i="132"/>
  <c r="E24" i="132"/>
  <c r="D18" i="132"/>
  <c r="D28" i="132"/>
  <c r="E29" i="132"/>
  <c r="F32" i="133"/>
  <c r="F14" i="133"/>
  <c r="F15" i="133" s="1"/>
  <c r="E27" i="133"/>
  <c r="AB12" i="121"/>
  <c r="AB13" i="121" s="1"/>
  <c r="Z11" i="121"/>
  <c r="AW12" i="121"/>
  <c r="AW13" i="121" s="1"/>
  <c r="AU14" i="121"/>
  <c r="AU38" i="121" s="1"/>
  <c r="DN12" i="121"/>
  <c r="DN13" i="121" s="1"/>
  <c r="DL14" i="121"/>
  <c r="DL38" i="121" s="1"/>
  <c r="G31" i="132"/>
  <c r="H35" i="132"/>
  <c r="H32" i="132" s="1"/>
  <c r="D35" i="132"/>
  <c r="D32" i="132" s="1"/>
  <c r="F35" i="132"/>
  <c r="F32" i="132" s="1"/>
  <c r="FD12" i="121"/>
  <c r="FD13" i="121" s="1"/>
  <c r="FB14" i="121"/>
  <c r="FB38" i="121" s="1"/>
  <c r="C32" i="132"/>
  <c r="C36" i="132" s="1"/>
  <c r="F23" i="133"/>
  <c r="G20" i="133"/>
  <c r="ER12" i="121"/>
  <c r="ER13" i="121" s="1"/>
  <c r="EU12" i="121"/>
  <c r="EU13" i="121" s="1"/>
  <c r="ES11" i="121"/>
  <c r="FC12" i="121"/>
  <c r="FB11" i="121"/>
  <c r="FL66" i="123"/>
  <c r="FL63" i="123"/>
  <c r="FB61" i="123"/>
  <c r="EU63" i="123"/>
  <c r="EU66" i="123"/>
  <c r="E34" i="132"/>
  <c r="C15" i="133"/>
  <c r="C31" i="133"/>
  <c r="I35" i="133"/>
  <c r="I33" i="133"/>
  <c r="DC14" i="121"/>
  <c r="DC38" i="121" s="1"/>
  <c r="Q22" i="121"/>
  <c r="Q42" i="121" s="1"/>
  <c r="BD18" i="121"/>
  <c r="BV18" i="121" s="1"/>
  <c r="CH18" i="121" s="1"/>
  <c r="EG18" i="121" s="1"/>
  <c r="DL12" i="121"/>
  <c r="DL13" i="121" s="1"/>
  <c r="FK81" i="121"/>
  <c r="FT81" i="121" s="1"/>
  <c r="ES43" i="123"/>
  <c r="FT43" i="123" s="1"/>
  <c r="F34" i="133"/>
  <c r="H34" i="133"/>
  <c r="E34" i="133"/>
  <c r="BE12" i="121"/>
  <c r="BD11" i="121"/>
  <c r="DC11" i="121"/>
  <c r="DD12" i="121"/>
  <c r="EP22" i="121"/>
  <c r="ES12" i="121"/>
  <c r="ES13" i="121" s="1"/>
  <c r="FK55" i="121"/>
  <c r="CD121" i="122"/>
  <c r="D14" i="133"/>
  <c r="D15" i="133" s="1"/>
  <c r="D32" i="133"/>
  <c r="ES9" i="123"/>
  <c r="FB9" i="123"/>
  <c r="FB62" i="123" s="1"/>
  <c r="FD62" i="123"/>
  <c r="I14" i="121"/>
  <c r="R13" i="121"/>
  <c r="BN13" i="121"/>
  <c r="BM22" i="121"/>
  <c r="BM42" i="121" s="1"/>
  <c r="BO14" i="121"/>
  <c r="BO12" i="121" s="1"/>
  <c r="BO13" i="121" s="1"/>
  <c r="CT22" i="121"/>
  <c r="CT42" i="121" s="1"/>
  <c r="CV14" i="121"/>
  <c r="DE12" i="121"/>
  <c r="DE13" i="121" s="1"/>
  <c r="ES10" i="121"/>
  <c r="FB18" i="121"/>
  <c r="FK18" i="121"/>
  <c r="FM14" i="121"/>
  <c r="H32" i="133"/>
  <c r="FM61" i="123"/>
  <c r="ES61" i="123"/>
  <c r="ET62" i="123"/>
  <c r="FU62" i="123" s="1"/>
  <c r="GG62" i="123" s="1"/>
  <c r="BM11" i="121"/>
  <c r="FK61" i="123"/>
  <c r="ET61" i="123"/>
  <c r="BP115" i="122"/>
  <c r="BP168" i="122" s="1"/>
  <c r="BY115" i="122"/>
  <c r="BY168" i="122" s="1"/>
  <c r="BY162" i="122"/>
  <c r="BZ81" i="122"/>
  <c r="BQ213" i="122"/>
  <c r="BQ223" i="122" s="1"/>
  <c r="BZ90" i="122"/>
  <c r="BY90" i="122" s="1"/>
  <c r="BY80" i="122"/>
  <c r="BY52" i="122"/>
  <c r="BY215" i="122"/>
  <c r="BY219" i="122"/>
  <c r="BZ157" i="122"/>
  <c r="BZ158" i="122" s="1"/>
  <c r="BY43" i="122"/>
  <c r="EP35" i="123"/>
  <c r="FQ35" i="123" s="1"/>
  <c r="BQ159" i="122"/>
  <c r="BQ163" i="122" s="1"/>
  <c r="EQ47" i="123" s="1"/>
  <c r="BY35" i="122"/>
  <c r="BY34" i="122"/>
  <c r="BY212" i="122" s="1"/>
  <c r="CF38" i="122"/>
  <c r="CI38" i="122" s="1"/>
  <c r="BZ29" i="122"/>
  <c r="BZ218" i="122"/>
  <c r="CF39" i="122"/>
  <c r="CI39" i="122" s="1"/>
  <c r="BZ219" i="122"/>
  <c r="BP197" i="122"/>
  <c r="BZ153" i="122"/>
  <c r="EP40" i="123"/>
  <c r="FQ40" i="123" s="1"/>
  <c r="BY157" i="122"/>
  <c r="EP36" i="123"/>
  <c r="FQ36" i="123" s="1"/>
  <c r="BP152" i="122"/>
  <c r="BY161" i="122"/>
  <c r="FR45" i="123"/>
  <c r="BY194" i="122"/>
  <c r="BY160" i="122"/>
  <c r="BZ160" i="122"/>
  <c r="BP161" i="122"/>
  <c r="BP194" i="122"/>
  <c r="FQ45" i="123"/>
  <c r="CA168" i="122"/>
  <c r="BY41" i="122"/>
  <c r="BY151" i="122" s="1"/>
  <c r="BP156" i="122"/>
  <c r="BP158" i="122" s="1"/>
  <c r="BY46" i="122"/>
  <c r="BY48" i="122" s="1"/>
  <c r="FS40" i="123"/>
  <c r="FS42" i="123" s="1"/>
  <c r="CE27" i="122"/>
  <c r="BP28" i="122"/>
  <c r="ER42" i="123"/>
  <c r="BY23" i="122"/>
  <c r="CA21" i="122"/>
  <c r="CG23" i="122"/>
  <c r="FS35" i="123"/>
  <c r="BP155" i="122"/>
  <c r="BY24" i="122"/>
  <c r="BY153" i="122" s="1"/>
  <c r="CA28" i="122"/>
  <c r="BY26" i="122"/>
  <c r="CG26" i="122"/>
  <c r="BR158" i="122"/>
  <c r="ER55" i="121"/>
  <c r="FS53" i="121"/>
  <c r="BP201" i="120"/>
  <c r="BP29" i="120"/>
  <c r="EP73" i="121"/>
  <c r="FQ73" i="121" s="1"/>
  <c r="ER67" i="121"/>
  <c r="FS67" i="121" s="1"/>
  <c r="BR224" i="120"/>
  <c r="BR226" i="120" s="1"/>
  <c r="BY152" i="120"/>
  <c r="BY218" i="120" s="1"/>
  <c r="BY150" i="120"/>
  <c r="BY216" i="120" s="1"/>
  <c r="EP68" i="121"/>
  <c r="FQ68" i="121" s="1"/>
  <c r="EP70" i="123"/>
  <c r="BP180" i="122"/>
  <c r="BY183" i="122"/>
  <c r="BY180" i="122" s="1"/>
  <c r="BY161" i="120"/>
  <c r="BY229" i="120"/>
  <c r="BY227" i="120" s="1"/>
  <c r="EP86" i="121"/>
  <c r="BP227" i="120"/>
  <c r="FR69" i="121"/>
  <c r="EP69" i="121"/>
  <c r="FQ69" i="121" s="1"/>
  <c r="BZ216" i="120"/>
  <c r="BY153" i="120"/>
  <c r="BY219" i="120" s="1"/>
  <c r="FR73" i="121"/>
  <c r="FR68" i="121"/>
  <c r="BQ215" i="120"/>
  <c r="EQ67" i="121" s="1"/>
  <c r="BP261" i="120"/>
  <c r="BQ261" i="120"/>
  <c r="BQ260" i="120" s="1"/>
  <c r="BZ69" i="120"/>
  <c r="BP65" i="120"/>
  <c r="BZ62" i="120"/>
  <c r="BQ53" i="120"/>
  <c r="BZ196" i="120"/>
  <c r="BZ37" i="120"/>
  <c r="BY37" i="120" s="1"/>
  <c r="CF34" i="120"/>
  <c r="BY34" i="120"/>
  <c r="BQ106" i="120"/>
  <c r="BQ204" i="120" s="1"/>
  <c r="BQ224" i="120" s="1"/>
  <c r="BP260" i="120"/>
  <c r="BY199" i="120"/>
  <c r="BY243" i="120"/>
  <c r="BY105" i="120"/>
  <c r="BY202" i="120"/>
  <c r="BY197" i="120"/>
  <c r="EP48" i="121"/>
  <c r="FQ48" i="121" s="1"/>
  <c r="FR48" i="121"/>
  <c r="BY54" i="120"/>
  <c r="BY196" i="120" s="1"/>
  <c r="BZ71" i="120"/>
  <c r="BP71" i="120"/>
  <c r="BP106" i="120"/>
  <c r="BZ29" i="120"/>
  <c r="BY29" i="120" s="1"/>
  <c r="BZ265" i="120"/>
  <c r="FR52" i="121"/>
  <c r="EP52" i="121"/>
  <c r="FQ52" i="121" s="1"/>
  <c r="BP197" i="120"/>
  <c r="BP49" i="122"/>
  <c r="BQ40" i="122"/>
  <c r="BZ243" i="120"/>
  <c r="FR58" i="121"/>
  <c r="EP58" i="121"/>
  <c r="FQ58" i="121" s="1"/>
  <c r="BP243" i="120"/>
  <c r="FR59" i="121"/>
  <c r="EP59" i="121"/>
  <c r="FQ59" i="121" s="1"/>
  <c r="EP51" i="121"/>
  <c r="FQ51" i="121" s="1"/>
  <c r="FR51" i="121"/>
  <c r="BQ270" i="120"/>
  <c r="BP270" i="120"/>
  <c r="BP130" i="120"/>
  <c r="FR53" i="121"/>
  <c r="EP53" i="121"/>
  <c r="BP203" i="120"/>
  <c r="BQ203" i="120"/>
  <c r="EP54" i="121"/>
  <c r="EQ55" i="121"/>
  <c r="FR54" i="121"/>
  <c r="BP123" i="120"/>
  <c r="FR49" i="121"/>
  <c r="EP49" i="121"/>
  <c r="EP37" i="121"/>
  <c r="FR40" i="121"/>
  <c r="FR22" i="121"/>
  <c r="FR42" i="121" s="1"/>
  <c r="EQ18" i="121"/>
  <c r="EP18" i="121" s="1"/>
  <c r="BP18" i="120"/>
  <c r="BP185" i="120" s="1"/>
  <c r="FR21" i="121"/>
  <c r="BZ18" i="120"/>
  <c r="FR18" i="121"/>
  <c r="FX23" i="121"/>
  <c r="BZ22" i="120"/>
  <c r="EQ14" i="121"/>
  <c r="BQ12" i="120"/>
  <c r="BP12" i="120" s="1"/>
  <c r="EP17" i="121"/>
  <c r="EP42" i="121" s="1"/>
  <c r="BQ181" i="120"/>
  <c r="BQ225" i="120" s="1"/>
  <c r="BP14" i="120"/>
  <c r="BP159" i="120" s="1"/>
  <c r="EP39" i="121"/>
  <c r="EP41" i="121"/>
  <c r="FX16" i="121"/>
  <c r="FW16" i="121" s="1"/>
  <c r="BY16" i="120"/>
  <c r="BY183" i="120" s="1"/>
  <c r="FQ16" i="121"/>
  <c r="FQ40" i="121" s="1"/>
  <c r="FQ29" i="123"/>
  <c r="EP27" i="123"/>
  <c r="EP28" i="123"/>
  <c r="FQ10" i="123"/>
  <c r="FQ28" i="123" s="1"/>
  <c r="BY10" i="122"/>
  <c r="BY144" i="122" s="1"/>
  <c r="EP8" i="123"/>
  <c r="FQ8" i="123"/>
  <c r="FQ10" i="121"/>
  <c r="BP10" i="120"/>
  <c r="BP177" i="120"/>
  <c r="EQ10" i="121"/>
  <c r="BY177" i="120"/>
  <c r="FS12" i="121"/>
  <c r="BR179" i="120"/>
  <c r="BR180" i="120" s="1"/>
  <c r="CA14" i="120"/>
  <c r="BY17" i="120"/>
  <c r="BY184" i="120" s="1"/>
  <c r="EQ11" i="121"/>
  <c r="EP8" i="121"/>
  <c r="EP10" i="121" s="1"/>
  <c r="AF71" i="123"/>
  <c r="AL71" i="123" s="1"/>
  <c r="N181" i="122"/>
  <c r="AI181" i="122" s="1"/>
  <c r="DI37" i="121"/>
  <c r="DR31" i="121"/>
  <c r="BI150" i="120"/>
  <c r="BI154" i="120"/>
  <c r="DI70" i="121"/>
  <c r="DI71" i="121"/>
  <c r="DT73" i="121"/>
  <c r="BH154" i="120"/>
  <c r="BA154" i="120"/>
  <c r="BA220" i="120" s="1"/>
  <c r="BH150" i="120"/>
  <c r="BA150" i="120"/>
  <c r="BA216" i="120" s="1"/>
  <c r="DI69" i="121"/>
  <c r="DS69" i="121"/>
  <c r="DI52" i="123"/>
  <c r="AZ124" i="122"/>
  <c r="DI68" i="121"/>
  <c r="DT72" i="121"/>
  <c r="DK67" i="121"/>
  <c r="DI67" i="121" s="1"/>
  <c r="AX149" i="120"/>
  <c r="AX215" i="120" s="1"/>
  <c r="BA181" i="122"/>
  <c r="AX227" i="120"/>
  <c r="DI85" i="121"/>
  <c r="AX40" i="122"/>
  <c r="AZ177" i="122"/>
  <c r="BA87" i="122"/>
  <c r="BA54" i="122"/>
  <c r="AX197" i="122"/>
  <c r="BB200" i="122"/>
  <c r="BB111" i="122"/>
  <c r="AX111" i="122"/>
  <c r="AX164" i="122" s="1"/>
  <c r="DI49" i="123"/>
  <c r="DR49" i="123" s="1"/>
  <c r="AY213" i="122"/>
  <c r="AX217" i="122"/>
  <c r="BB65" i="122"/>
  <c r="BA65" i="122" s="1"/>
  <c r="BB35" i="122"/>
  <c r="BA35" i="122" s="1"/>
  <c r="AY29" i="122"/>
  <c r="AX35" i="122"/>
  <c r="AX213" i="122" s="1"/>
  <c r="BA85" i="122"/>
  <c r="BA162" i="122" s="1"/>
  <c r="BB209" i="122"/>
  <c r="AX155" i="122"/>
  <c r="CF110" i="122"/>
  <c r="CI110" i="122" s="1"/>
  <c r="BH203" i="122"/>
  <c r="M51" i="123"/>
  <c r="V51" i="123" s="1"/>
  <c r="AE51" i="123" s="1"/>
  <c r="CF108" i="122"/>
  <c r="CI108" i="122" s="1"/>
  <c r="BE162" i="122"/>
  <c r="CA36" i="123"/>
  <c r="R27" i="126"/>
  <c r="BF100" i="122"/>
  <c r="BL76" i="122"/>
  <c r="BF155" i="122"/>
  <c r="M54" i="123"/>
  <c r="BR56" i="123"/>
  <c r="R47" i="126" s="1"/>
  <c r="AZ51" i="123"/>
  <c r="BI51" i="123" s="1"/>
  <c r="AK173" i="122"/>
  <c r="AN173" i="122" s="1"/>
  <c r="AN202" i="122"/>
  <c r="CB145" i="122"/>
  <c r="M50" i="123"/>
  <c r="AL216" i="122"/>
  <c r="AN207" i="122"/>
  <c r="AH78" i="122"/>
  <c r="BO26" i="122"/>
  <c r="BF26" i="122"/>
  <c r="AQ24" i="122"/>
  <c r="BF24" i="122" s="1"/>
  <c r="AN24" i="122"/>
  <c r="EW59" i="123"/>
  <c r="M38" i="123"/>
  <c r="BM44" i="122"/>
  <c r="AN84" i="122"/>
  <c r="AQ84" i="122"/>
  <c r="AH22" i="122"/>
  <c r="CL44" i="122"/>
  <c r="AN209" i="122"/>
  <c r="EQ43" i="123"/>
  <c r="EQ61" i="123" s="1"/>
  <c r="AP24" i="122"/>
  <c r="BE24" i="122" s="1"/>
  <c r="AM24" i="122"/>
  <c r="AF24" i="122"/>
  <c r="AN103" i="122"/>
  <c r="AQ103" i="122"/>
  <c r="BZ75" i="122"/>
  <c r="AP107" i="122"/>
  <c r="BE107" i="122" s="1"/>
  <c r="B37" i="123"/>
  <c r="L37" i="123"/>
  <c r="BS49" i="122"/>
  <c r="BZ49" i="122"/>
  <c r="BT159" i="122"/>
  <c r="BT40" i="122"/>
  <c r="AN105" i="122"/>
  <c r="AQ105" i="122"/>
  <c r="AH162" i="122"/>
  <c r="AN162" i="122" s="1"/>
  <c r="AN85" i="122"/>
  <c r="AQ85" i="122"/>
  <c r="BF85" i="122" s="1"/>
  <c r="CX59" i="123"/>
  <c r="AY59" i="123"/>
  <c r="AO59" i="123"/>
  <c r="DT48" i="123"/>
  <c r="AR48" i="123"/>
  <c r="BG23" i="122"/>
  <c r="AZ60" i="123"/>
  <c r="BI60" i="123" s="1"/>
  <c r="M59" i="123"/>
  <c r="V59" i="123" s="1"/>
  <c r="FS48" i="123"/>
  <c r="FR48" i="123"/>
  <c r="EP48" i="123"/>
  <c r="FQ48" i="123" s="1"/>
  <c r="CQ48" i="123"/>
  <c r="DR48" i="123" s="1"/>
  <c r="DS48" i="123"/>
  <c r="FR39" i="123"/>
  <c r="EY39" i="123"/>
  <c r="FQ39" i="123" s="1"/>
  <c r="AJ153" i="122"/>
  <c r="CE11" i="123"/>
  <c r="BU48" i="123"/>
  <c r="EP52" i="123"/>
  <c r="FQ52" i="123" s="1"/>
  <c r="FR52" i="123"/>
  <c r="E48" i="123"/>
  <c r="AF48" i="123" s="1"/>
  <c r="AH48" i="123"/>
  <c r="EP46" i="123"/>
  <c r="FQ46" i="123" s="1"/>
  <c r="FR46" i="123"/>
  <c r="FX46" i="123" s="1"/>
  <c r="L59" i="123"/>
  <c r="B59" i="123"/>
  <c r="BI222" i="122"/>
  <c r="CE60" i="123"/>
  <c r="ED60" i="123" s="1"/>
  <c r="GC60" i="123" s="1"/>
  <c r="AU21" i="122"/>
  <c r="BA38" i="122"/>
  <c r="BG38" i="122" s="1"/>
  <c r="CE38" i="122" s="1"/>
  <c r="CH38" i="122" s="1"/>
  <c r="AJ35" i="122"/>
  <c r="AI212" i="122"/>
  <c r="Z75" i="122"/>
  <c r="DR11" i="123"/>
  <c r="FQ53" i="123"/>
  <c r="AI55" i="122"/>
  <c r="FH42" i="123"/>
  <c r="BH8" i="122"/>
  <c r="BP196" i="122"/>
  <c r="D212" i="122"/>
  <c r="S34" i="122"/>
  <c r="V213" i="122"/>
  <c r="V223" i="122" s="1"/>
  <c r="AE217" i="122"/>
  <c r="AK217" i="122" s="1"/>
  <c r="AB218" i="122"/>
  <c r="AB223" i="122" s="1"/>
  <c r="AB29" i="122"/>
  <c r="H219" i="122"/>
  <c r="H38" i="122"/>
  <c r="H218" i="122" s="1"/>
  <c r="AX219" i="122"/>
  <c r="AX38" i="122"/>
  <c r="BA44" i="122"/>
  <c r="BG44" i="122" s="1"/>
  <c r="BC153" i="122"/>
  <c r="BA47" i="122"/>
  <c r="BC157" i="122"/>
  <c r="AK50" i="122"/>
  <c r="BG50" i="122"/>
  <c r="AC52" i="122"/>
  <c r="AI52" i="122" s="1"/>
  <c r="AJ52" i="122"/>
  <c r="AK199" i="122"/>
  <c r="AD202" i="122"/>
  <c r="AJ202" i="122" s="1"/>
  <c r="AJ58" i="122"/>
  <c r="AK205" i="122"/>
  <c r="AK206" i="122"/>
  <c r="T49" i="122"/>
  <c r="AI207" i="122"/>
  <c r="AI47" i="122"/>
  <c r="CF51" i="123"/>
  <c r="EE51" i="123" s="1"/>
  <c r="GD51" i="123" s="1"/>
  <c r="EF39" i="123"/>
  <c r="GE39" i="123" s="1"/>
  <c r="AI199" i="122"/>
  <c r="P194" i="122"/>
  <c r="N30" i="122"/>
  <c r="AI30" i="122" s="1"/>
  <c r="CA196" i="122"/>
  <c r="BY32" i="122"/>
  <c r="BY196" i="122" s="1"/>
  <c r="J213" i="122"/>
  <c r="J223" i="122" s="1"/>
  <c r="J29" i="122"/>
  <c r="AE219" i="122"/>
  <c r="AK219" i="122" s="1"/>
  <c r="AC39" i="122"/>
  <c r="AI39" i="122" s="1"/>
  <c r="AJ201" i="122"/>
  <c r="F49" i="122"/>
  <c r="O70" i="122"/>
  <c r="AE70" i="122"/>
  <c r="BF14" i="122"/>
  <c r="BL14" i="122" s="1"/>
  <c r="AF14" i="122"/>
  <c r="AI76" i="122"/>
  <c r="FQ58" i="123"/>
  <c r="FQ56" i="123"/>
  <c r="CG51" i="123"/>
  <c r="EF51" i="123" s="1"/>
  <c r="GE51" i="123" s="1"/>
  <c r="BS59" i="123"/>
  <c r="EF49" i="123"/>
  <c r="GE49" i="123" s="1"/>
  <c r="BA222" i="122"/>
  <c r="Z152" i="122"/>
  <c r="AI24" i="122"/>
  <c r="AU153" i="122"/>
  <c r="H156" i="122"/>
  <c r="CA156" i="122"/>
  <c r="BV157" i="122"/>
  <c r="BA30" i="122"/>
  <c r="B31" i="122"/>
  <c r="C161" i="122"/>
  <c r="C45" i="123" s="1"/>
  <c r="AK196" i="122"/>
  <c r="Y218" i="122"/>
  <c r="Y223" i="122" s="1"/>
  <c r="S39" i="122"/>
  <c r="D38" i="122"/>
  <c r="CG45" i="122"/>
  <c r="AK54" i="122"/>
  <c r="BC204" i="122"/>
  <c r="BI204" i="122" s="1"/>
  <c r="BA60" i="122"/>
  <c r="BA204" i="122" s="1"/>
  <c r="AX49" i="122"/>
  <c r="BW40" i="122"/>
  <c r="BV49" i="122"/>
  <c r="BV70" i="122"/>
  <c r="BV218" i="122" s="1"/>
  <c r="W218" i="122"/>
  <c r="BP79" i="122"/>
  <c r="Z29" i="122"/>
  <c r="GD60" i="123"/>
  <c r="BS51" i="123"/>
  <c r="CE51" i="123" s="1"/>
  <c r="ED51" i="123" s="1"/>
  <c r="AI64" i="122"/>
  <c r="BR213" i="122"/>
  <c r="BR223" i="122" s="1"/>
  <c r="BR29" i="122"/>
  <c r="BV215" i="122"/>
  <c r="BV35" i="122"/>
  <c r="BV213" i="122" s="1"/>
  <c r="U29" i="122"/>
  <c r="U218" i="122"/>
  <c r="U223" i="122" s="1"/>
  <c r="BX218" i="122"/>
  <c r="BX223" i="122" s="1"/>
  <c r="BX29" i="122"/>
  <c r="BP38" i="122"/>
  <c r="BP218" i="122" s="1"/>
  <c r="BP219" i="122"/>
  <c r="AJ206" i="122"/>
  <c r="AJ78" i="122"/>
  <c r="AD157" i="122"/>
  <c r="AR213" i="122"/>
  <c r="Z153" i="122"/>
  <c r="BI96" i="122"/>
  <c r="BI99" i="122"/>
  <c r="AC100" i="122"/>
  <c r="U101" i="122"/>
  <c r="AD101" i="122" s="1"/>
  <c r="T108" i="122"/>
  <c r="T218" i="122" s="1"/>
  <c r="T223" i="122" s="1"/>
  <c r="AJ122" i="122"/>
  <c r="BL13" i="122"/>
  <c r="EY9" i="123"/>
  <c r="C49" i="124"/>
  <c r="EZ62" i="123"/>
  <c r="K13" i="122"/>
  <c r="X13" i="123"/>
  <c r="W13" i="123" s="1"/>
  <c r="C48" i="124"/>
  <c r="EQ62" i="123"/>
  <c r="Q33" i="122"/>
  <c r="AG33" i="122"/>
  <c r="B58" i="122"/>
  <c r="B62" i="122"/>
  <c r="O121" i="122"/>
  <c r="F115" i="122"/>
  <c r="E121" i="122"/>
  <c r="E174" i="122" s="1"/>
  <c r="AJ25" i="122"/>
  <c r="Z157" i="122"/>
  <c r="D160" i="122"/>
  <c r="D44" i="123" s="1"/>
  <c r="S30" i="122"/>
  <c r="AC32" i="122"/>
  <c r="W197" i="122"/>
  <c r="AS218" i="122"/>
  <c r="BG39" i="122"/>
  <c r="AI43" i="122"/>
  <c r="L200" i="122"/>
  <c r="L223" i="122" s="1"/>
  <c r="AJ69" i="122"/>
  <c r="AA218" i="122"/>
  <c r="AC71" i="122"/>
  <c r="BA77" i="122"/>
  <c r="BA80" i="122"/>
  <c r="AI83" i="122"/>
  <c r="AC86" i="122"/>
  <c r="AI86" i="122" s="1"/>
  <c r="H87" i="122"/>
  <c r="H210" i="122" s="1"/>
  <c r="V81" i="122"/>
  <c r="O99" i="122"/>
  <c r="AU100" i="122"/>
  <c r="AK110" i="122"/>
  <c r="AN110" i="122" s="1"/>
  <c r="W44" i="123"/>
  <c r="N55" i="123"/>
  <c r="AF55" i="123" s="1"/>
  <c r="E56" i="123"/>
  <c r="EY72" i="123"/>
  <c r="BS180" i="122"/>
  <c r="AF73" i="123"/>
  <c r="AO14" i="122"/>
  <c r="AH16" i="123"/>
  <c r="AG36" i="122"/>
  <c r="R35" i="122"/>
  <c r="Q36" i="122"/>
  <c r="BN68" i="122"/>
  <c r="Q71" i="122"/>
  <c r="AG71" i="122"/>
  <c r="AK145" i="122"/>
  <c r="AJ22" i="122"/>
  <c r="AT29" i="122"/>
  <c r="D161" i="122"/>
  <c r="D45" i="123" s="1"/>
  <c r="AA213" i="122"/>
  <c r="AE151" i="122"/>
  <c r="Z156" i="122"/>
  <c r="AU194" i="122"/>
  <c r="AI203" i="122"/>
  <c r="BS222" i="122"/>
  <c r="AH83" i="122"/>
  <c r="E85" i="122"/>
  <c r="BB197" i="122"/>
  <c r="Z208" i="122"/>
  <c r="P90" i="122"/>
  <c r="K90" i="122"/>
  <c r="K213" i="122" s="1"/>
  <c r="AS81" i="122"/>
  <c r="AX222" i="122"/>
  <c r="AX157" i="122"/>
  <c r="AH102" i="122"/>
  <c r="N35" i="123"/>
  <c r="AF35" i="123" s="1"/>
  <c r="N44" i="123"/>
  <c r="DI72" i="123"/>
  <c r="DI70" i="123" s="1"/>
  <c r="AX180" i="122"/>
  <c r="BD14" i="122"/>
  <c r="AF16" i="122"/>
  <c r="BP9" i="122"/>
  <c r="AK8" i="122"/>
  <c r="BA25" i="122"/>
  <c r="BA26" i="122"/>
  <c r="W196" i="122"/>
  <c r="AC33" i="122"/>
  <c r="AJ212" i="122"/>
  <c r="BC151" i="122"/>
  <c r="AR152" i="122"/>
  <c r="AK47" i="122"/>
  <c r="AI51" i="122"/>
  <c r="AD70" i="122"/>
  <c r="AR222" i="122"/>
  <c r="BB222" i="122"/>
  <c r="BH222" i="122" s="1"/>
  <c r="AC77" i="122"/>
  <c r="AI77" i="122" s="1"/>
  <c r="AJ80" i="122"/>
  <c r="W194" i="122"/>
  <c r="E87" i="122"/>
  <c r="E210" i="122" s="1"/>
  <c r="AJ211" i="122"/>
  <c r="AC89" i="122"/>
  <c r="W215" i="122"/>
  <c r="BA96" i="122"/>
  <c r="BA153" i="122" s="1"/>
  <c r="BA97" i="122"/>
  <c r="AC98" i="122"/>
  <c r="AI98" i="122" s="1"/>
  <c r="AX156" i="122"/>
  <c r="H99" i="122"/>
  <c r="BA99" i="122"/>
  <c r="I100" i="122"/>
  <c r="AJ104" i="122"/>
  <c r="AI105" i="122"/>
  <c r="S107" i="122"/>
  <c r="D106" i="122"/>
  <c r="AC109" i="122"/>
  <c r="AI109" i="122" s="1"/>
  <c r="AL109" i="122" s="1"/>
  <c r="AC123" i="122"/>
  <c r="N56" i="123"/>
  <c r="F174" i="122"/>
  <c r="F58" i="123" s="1"/>
  <c r="EM73" i="123"/>
  <c r="BM180" i="122"/>
  <c r="CG15" i="122"/>
  <c r="CJ15" i="122" s="1"/>
  <c r="AG15" i="122"/>
  <c r="CL16" i="122"/>
  <c r="CL14" i="122"/>
  <c r="AH15" i="122"/>
  <c r="B15" i="122"/>
  <c r="CL15" i="122" s="1"/>
  <c r="AN14" i="122"/>
  <c r="AN16" i="122"/>
  <c r="BI16" i="122"/>
  <c r="C67" i="124"/>
  <c r="FJ62" i="123"/>
  <c r="FS15" i="123"/>
  <c r="FY15" i="123" s="1"/>
  <c r="EP15" i="123"/>
  <c r="B32" i="122"/>
  <c r="R32" i="122"/>
  <c r="AG32" i="122" s="1"/>
  <c r="AM32" i="122" s="1"/>
  <c r="BA104" i="122"/>
  <c r="BG104" i="122" s="1"/>
  <c r="CE104" i="122" s="1"/>
  <c r="CH104" i="122" s="1"/>
  <c r="BI110" i="122"/>
  <c r="DI39" i="123"/>
  <c r="AZ158" i="122"/>
  <c r="AF182" i="122"/>
  <c r="BD182" i="122" s="1"/>
  <c r="CB182" i="122" s="1"/>
  <c r="BV180" i="122"/>
  <c r="AF183" i="122"/>
  <c r="BD183" i="122" s="1"/>
  <c r="CB183" i="122" s="1"/>
  <c r="CZ29" i="123"/>
  <c r="FI13" i="123"/>
  <c r="FH13" i="123" s="1"/>
  <c r="W11" i="123"/>
  <c r="W29" i="123" s="1"/>
  <c r="BU13" i="123"/>
  <c r="CA13" i="123" s="1"/>
  <c r="BA14" i="123"/>
  <c r="CQ10" i="123"/>
  <c r="B33" i="122"/>
  <c r="Q54" i="122"/>
  <c r="Q199" i="122" s="1"/>
  <c r="AF199" i="122" s="1"/>
  <c r="AG54" i="122"/>
  <c r="AG56" i="122"/>
  <c r="B57" i="122"/>
  <c r="R57" i="122"/>
  <c r="Q60" i="122"/>
  <c r="Q204" i="122" s="1"/>
  <c r="AF204" i="122" s="1"/>
  <c r="AG60" i="122"/>
  <c r="B61" i="122"/>
  <c r="R61" i="122"/>
  <c r="Q64" i="122"/>
  <c r="Q208" i="122" s="1"/>
  <c r="AG64" i="122"/>
  <c r="BI116" i="122"/>
  <c r="BI169" i="122" s="1"/>
  <c r="AJ121" i="122"/>
  <c r="AH55" i="123"/>
  <c r="B64" i="122"/>
  <c r="B70" i="122"/>
  <c r="C49" i="122"/>
  <c r="BS72" i="123"/>
  <c r="AU13" i="122"/>
  <c r="N15" i="122"/>
  <c r="BA14" i="122"/>
  <c r="BA16" i="122"/>
  <c r="AH13" i="123"/>
  <c r="AH15" i="123"/>
  <c r="AH10" i="123"/>
  <c r="N15" i="123"/>
  <c r="W12" i="123"/>
  <c r="W30" i="123" s="1"/>
  <c r="AR12" i="123"/>
  <c r="AR30" i="123" s="1"/>
  <c r="BU12" i="123"/>
  <c r="BU16" i="123"/>
  <c r="CA16" i="123" s="1"/>
  <c r="BJ10" i="123"/>
  <c r="BJ28" i="123" s="1"/>
  <c r="B39" i="122"/>
  <c r="R39" i="122"/>
  <c r="C38" i="122"/>
  <c r="Q52" i="122"/>
  <c r="AG52" i="122"/>
  <c r="B53" i="122"/>
  <c r="R53" i="122"/>
  <c r="B59" i="122"/>
  <c r="R59" i="122"/>
  <c r="Q62" i="122"/>
  <c r="Q206" i="122" s="1"/>
  <c r="AG62" i="122"/>
  <c r="B63" i="122"/>
  <c r="R63" i="122"/>
  <c r="B73" i="122"/>
  <c r="R73" i="122"/>
  <c r="AG73" i="122" s="1"/>
  <c r="CQ12" i="123"/>
  <c r="CQ30" i="123" s="1"/>
  <c r="DT16" i="123"/>
  <c r="DZ16" i="123" s="1"/>
  <c r="DT12" i="123"/>
  <c r="CZ15" i="123"/>
  <c r="DI8" i="123"/>
  <c r="BO72" i="122"/>
  <c r="BO220" i="122" s="1"/>
  <c r="CD220" i="122" s="1"/>
  <c r="CJ220" i="122" s="1"/>
  <c r="D65" i="122"/>
  <c r="S66" i="122"/>
  <c r="S56" i="122"/>
  <c r="S200" i="122" s="1"/>
  <c r="AH200" i="122" s="1"/>
  <c r="AH51" i="122"/>
  <c r="S51" i="122"/>
  <c r="BJ15" i="123"/>
  <c r="CZ8" i="123"/>
  <c r="CZ14" i="123"/>
  <c r="AG74" i="122"/>
  <c r="N27" i="123"/>
  <c r="N28" i="123"/>
  <c r="FG39" i="123"/>
  <c r="DH54" i="123"/>
  <c r="DQ54" i="123" s="1"/>
  <c r="X45" i="126" s="1"/>
  <c r="EX54" i="123"/>
  <c r="AY46" i="123"/>
  <c r="AO46" i="123"/>
  <c r="CA37" i="123"/>
  <c r="R28" i="126"/>
  <c r="AN55" i="123"/>
  <c r="O46" i="126"/>
  <c r="AH52" i="123"/>
  <c r="N52" i="123"/>
  <c r="AH42" i="123"/>
  <c r="CP39" i="123"/>
  <c r="BR55" i="123"/>
  <c r="R46" i="126" s="1"/>
  <c r="EX55" i="123"/>
  <c r="EF8" i="123"/>
  <c r="AE39" i="123"/>
  <c r="AE56" i="123"/>
  <c r="AE57" i="123"/>
  <c r="FG57" i="123"/>
  <c r="FP57" i="123" s="1"/>
  <c r="AF40" i="123"/>
  <c r="FE72" i="123"/>
  <c r="FN72" i="123" s="1"/>
  <c r="AY37" i="123"/>
  <c r="BG71" i="123"/>
  <c r="EF59" i="123"/>
  <c r="GC51" i="123"/>
  <c r="GE36" i="123"/>
  <c r="EE59" i="123"/>
  <c r="CG103" i="122"/>
  <c r="T73" i="123"/>
  <c r="AO73" i="123" s="1"/>
  <c r="BR59" i="123"/>
  <c r="BI46" i="123"/>
  <c r="BR46" i="123" s="1"/>
  <c r="AX218" i="122"/>
  <c r="AX81" i="122"/>
  <c r="BC161" i="122"/>
  <c r="BA103" i="122"/>
  <c r="BC197" i="122"/>
  <c r="BI105" i="122"/>
  <c r="BA105" i="122"/>
  <c r="BL110" i="122"/>
  <c r="CG110" i="122"/>
  <c r="CJ110" i="122" s="1"/>
  <c r="CS40" i="123"/>
  <c r="AT158" i="122"/>
  <c r="DB41" i="123"/>
  <c r="AW158" i="122"/>
  <c r="AH56" i="123"/>
  <c r="AN56" i="123" s="1"/>
  <c r="FQ16" i="123"/>
  <c r="FX16" i="123"/>
  <c r="FW16" i="123" s="1"/>
  <c r="CZ10" i="123"/>
  <c r="CZ28" i="123" s="1"/>
  <c r="DT10" i="123"/>
  <c r="DZ12" i="123"/>
  <c r="DR12" i="123"/>
  <c r="EY14" i="123"/>
  <c r="FR14" i="123"/>
  <c r="T72" i="123"/>
  <c r="AC72" i="123" s="1"/>
  <c r="K70" i="123"/>
  <c r="AF59" i="123"/>
  <c r="FS26" i="123"/>
  <c r="FQ41" i="123"/>
  <c r="EP42" i="123"/>
  <c r="M37" i="123"/>
  <c r="C42" i="124"/>
  <c r="AS62" i="123"/>
  <c r="AN13" i="123"/>
  <c r="CG13" i="123"/>
  <c r="FQ15" i="123"/>
  <c r="AH14" i="123"/>
  <c r="BA12" i="123"/>
  <c r="BA30" i="123" s="1"/>
  <c r="CQ15" i="123"/>
  <c r="DS15" i="123"/>
  <c r="EY10" i="123"/>
  <c r="EY12" i="123"/>
  <c r="EY30" i="123" s="1"/>
  <c r="EZ30" i="123"/>
  <c r="AZ126" i="122"/>
  <c r="EP13" i="123"/>
  <c r="G29" i="123"/>
  <c r="E11" i="123"/>
  <c r="E29" i="123" s="1"/>
  <c r="CQ8" i="123"/>
  <c r="DS8" i="123"/>
  <c r="M45" i="123"/>
  <c r="V60" i="123"/>
  <c r="AE60" i="123" s="1"/>
  <c r="C65" i="124"/>
  <c r="ER62" i="123"/>
  <c r="CG16" i="123"/>
  <c r="AR15" i="123"/>
  <c r="BT15" i="123"/>
  <c r="BA109" i="122"/>
  <c r="EP9" i="123"/>
  <c r="BA11" i="123"/>
  <c r="CQ11" i="123"/>
  <c r="BB153" i="122"/>
  <c r="CZ39" i="123"/>
  <c r="AR13" i="123"/>
  <c r="BT14" i="123"/>
  <c r="BT16" i="123"/>
  <c r="BS16" i="123" s="1"/>
  <c r="DK61" i="123"/>
  <c r="DK66" i="123" s="1"/>
  <c r="DK67" i="123" s="1"/>
  <c r="DK68" i="123" s="1"/>
  <c r="C60" i="124"/>
  <c r="N14" i="123"/>
  <c r="W14" i="123"/>
  <c r="BA16" i="123"/>
  <c r="CQ16" i="123"/>
  <c r="CZ12" i="123"/>
  <c r="DI10" i="123"/>
  <c r="DI12" i="123"/>
  <c r="BJ46" i="123"/>
  <c r="CZ37" i="123"/>
  <c r="AY159" i="122"/>
  <c r="DJ43" i="123" s="1"/>
  <c r="DI43" i="123" s="1"/>
  <c r="AY94" i="122"/>
  <c r="AX94" i="122" s="1"/>
  <c r="AY223" i="122"/>
  <c r="BB157" i="122"/>
  <c r="AX158" i="122"/>
  <c r="AY158" i="122"/>
  <c r="AX195" i="122"/>
  <c r="AX223" i="122" s="1"/>
  <c r="DJ40" i="123"/>
  <c r="DI40" i="123" s="1"/>
  <c r="AX100" i="122"/>
  <c r="DI41" i="123"/>
  <c r="BB100" i="122"/>
  <c r="BA100" i="122" s="1"/>
  <c r="AX161" i="122"/>
  <c r="DI48" i="121"/>
  <c r="BA35" i="120"/>
  <c r="DK55" i="121"/>
  <c r="DI53" i="121"/>
  <c r="BC36" i="120"/>
  <c r="BC201" i="120"/>
  <c r="BC203" i="120" s="1"/>
  <c r="BI34" i="120"/>
  <c r="CF70" i="120"/>
  <c r="CI70" i="120" s="1"/>
  <c r="AX261" i="120"/>
  <c r="AX201" i="120"/>
  <c r="AX203" i="120" s="1"/>
  <c r="CF64" i="120"/>
  <c r="BH31" i="120"/>
  <c r="AY203" i="120"/>
  <c r="AY71" i="120"/>
  <c r="AX71" i="120" s="1"/>
  <c r="AY260" i="120"/>
  <c r="AY270" i="120" s="1"/>
  <c r="AX89" i="120"/>
  <c r="CF145" i="120"/>
  <c r="CF211" i="120" s="1"/>
  <c r="CI211" i="120" s="1"/>
  <c r="AY209" i="120"/>
  <c r="DJ61" i="121" s="1"/>
  <c r="DI61" i="121" s="1"/>
  <c r="BB143" i="120"/>
  <c r="BA145" i="120"/>
  <c r="BA211" i="120" s="1"/>
  <c r="AX197" i="120"/>
  <c r="BA72" i="120"/>
  <c r="BB238" i="120"/>
  <c r="BA239" i="120"/>
  <c r="AX241" i="120"/>
  <c r="BB241" i="120"/>
  <c r="BB266" i="120"/>
  <c r="AX265" i="120"/>
  <c r="BA268" i="120"/>
  <c r="AY130" i="120"/>
  <c r="AX106" i="120"/>
  <c r="BA129" i="120"/>
  <c r="DJ55" i="121"/>
  <c r="DI54" i="121"/>
  <c r="DI55" i="121" s="1"/>
  <c r="EE22" i="123"/>
  <c r="GD22" i="123" s="1"/>
  <c r="AY143" i="122"/>
  <c r="AY178" i="122" s="1"/>
  <c r="AY125" i="122"/>
  <c r="DI30" i="123"/>
  <c r="DI29" i="123"/>
  <c r="DI25" i="123"/>
  <c r="DR21" i="123"/>
  <c r="DX21" i="123" s="1"/>
  <c r="DS25" i="123"/>
  <c r="DR34" i="121"/>
  <c r="DR30" i="121"/>
  <c r="DX30" i="121" s="1"/>
  <c r="DS40" i="121"/>
  <c r="DR37" i="121"/>
  <c r="AX13" i="122"/>
  <c r="BA21" i="120"/>
  <c r="BA188" i="120" s="1"/>
  <c r="AX18" i="120"/>
  <c r="AX185" i="120" s="1"/>
  <c r="DS20" i="121"/>
  <c r="DS19" i="121"/>
  <c r="DY19" i="121" s="1"/>
  <c r="DK62" i="123"/>
  <c r="DK63" i="123" s="1"/>
  <c r="C64" i="124"/>
  <c r="DK26" i="123"/>
  <c r="DT29" i="123"/>
  <c r="AZ143" i="122"/>
  <c r="AZ178" i="122" s="1"/>
  <c r="AZ179" i="122" s="1"/>
  <c r="EF11" i="123"/>
  <c r="BA11" i="122"/>
  <c r="BA145" i="122" s="1"/>
  <c r="BC125" i="122"/>
  <c r="DI27" i="123"/>
  <c r="DI28" i="123"/>
  <c r="DI9" i="123"/>
  <c r="DJ26" i="123"/>
  <c r="C47" i="124"/>
  <c r="DJ62" i="123"/>
  <c r="AX9" i="122"/>
  <c r="AY189" i="120"/>
  <c r="BH24" i="120"/>
  <c r="AY12" i="120"/>
  <c r="C13" i="124"/>
  <c r="DI14" i="121"/>
  <c r="DI38" i="121" s="1"/>
  <c r="DJ12" i="121"/>
  <c r="DJ13" i="121" s="1"/>
  <c r="BH23" i="120"/>
  <c r="DI22" i="121"/>
  <c r="DI42" i="121" s="1"/>
  <c r="BB22" i="120"/>
  <c r="BB14" i="120" s="1"/>
  <c r="BA23" i="120"/>
  <c r="BA190" i="120" s="1"/>
  <c r="CF16" i="120"/>
  <c r="AY159" i="120"/>
  <c r="AX14" i="120"/>
  <c r="AX181" i="120" s="1"/>
  <c r="AX225" i="120" s="1"/>
  <c r="DJ77" i="121"/>
  <c r="DJ38" i="121"/>
  <c r="AX177" i="120"/>
  <c r="BA9" i="120"/>
  <c r="BA176" i="120" s="1"/>
  <c r="DI10" i="121"/>
  <c r="DI11" i="121"/>
  <c r="DK12" i="121"/>
  <c r="AX12" i="120"/>
  <c r="AX11" i="120"/>
  <c r="AX178" i="120" s="1"/>
  <c r="AX10" i="120"/>
  <c r="DK10" i="121"/>
  <c r="DT8" i="121"/>
  <c r="BH110" i="120"/>
  <c r="BH207" i="120" s="1"/>
  <c r="BA110" i="120"/>
  <c r="BA250" i="120" s="1"/>
  <c r="DR30" i="123"/>
  <c r="AK121" i="122"/>
  <c r="BI121" i="122" s="1"/>
  <c r="AC91" i="120"/>
  <c r="AI91" i="120" s="1"/>
  <c r="AD262" i="120"/>
  <c r="BH211" i="120"/>
  <c r="BH54" i="122"/>
  <c r="BG140" i="120"/>
  <c r="BA266" i="120"/>
  <c r="BA228" i="120"/>
  <c r="BA227" i="120" s="1"/>
  <c r="BH112" i="120"/>
  <c r="CF112" i="120" s="1"/>
  <c r="BA183" i="122"/>
  <c r="BA180" i="122" s="1"/>
  <c r="AU180" i="122"/>
  <c r="CZ70" i="123"/>
  <c r="DR72" i="123"/>
  <c r="DR71" i="123"/>
  <c r="DX71" i="123" s="1"/>
  <c r="CZ85" i="121"/>
  <c r="DR86" i="121"/>
  <c r="DS58" i="123"/>
  <c r="CZ58" i="123"/>
  <c r="CZ57" i="123"/>
  <c r="DS57" i="123"/>
  <c r="DS56" i="123"/>
  <c r="CZ56" i="123"/>
  <c r="DS55" i="123"/>
  <c r="BB115" i="122"/>
  <c r="BB168" i="122" s="1"/>
  <c r="CZ55" i="123"/>
  <c r="CZ54" i="123"/>
  <c r="DS54" i="123"/>
  <c r="DS53" i="123"/>
  <c r="AU115" i="122"/>
  <c r="AU168" i="122" s="1"/>
  <c r="BA121" i="122"/>
  <c r="BA174" i="122" s="1"/>
  <c r="BA120" i="122"/>
  <c r="BA173" i="122" s="1"/>
  <c r="AW168" i="122"/>
  <c r="AW177" i="122" s="1"/>
  <c r="CG118" i="122"/>
  <c r="CZ53" i="123"/>
  <c r="DT53" i="123"/>
  <c r="DB52" i="123"/>
  <c r="CZ52" i="123" s="1"/>
  <c r="AW124" i="122"/>
  <c r="AW126" i="122" s="1"/>
  <c r="BC115" i="122"/>
  <c r="BC168" i="122" s="1"/>
  <c r="CZ41" i="123"/>
  <c r="DB42" i="123"/>
  <c r="CZ40" i="123"/>
  <c r="AU48" i="122"/>
  <c r="CZ35" i="123"/>
  <c r="AW179" i="122"/>
  <c r="BA41" i="122"/>
  <c r="BB101" i="122"/>
  <c r="AV94" i="122"/>
  <c r="AU94" i="122" s="1"/>
  <c r="BA161" i="122"/>
  <c r="CE50" i="122"/>
  <c r="CH50" i="122" s="1"/>
  <c r="BH50" i="122"/>
  <c r="BA209" i="122"/>
  <c r="BG107" i="122"/>
  <c r="BH106" i="122"/>
  <c r="CF106" i="122" s="1"/>
  <c r="CI106" i="122" s="1"/>
  <c r="BB215" i="122"/>
  <c r="BA208" i="122"/>
  <c r="BH64" i="122"/>
  <c r="BA157" i="122"/>
  <c r="AU196" i="122"/>
  <c r="AU81" i="122"/>
  <c r="BH88" i="122"/>
  <c r="AU213" i="122"/>
  <c r="AU215" i="122"/>
  <c r="BA197" i="122"/>
  <c r="BG78" i="122"/>
  <c r="BH41" i="122"/>
  <c r="AU151" i="122"/>
  <c r="AU70" i="122"/>
  <c r="AU218" i="122" s="1"/>
  <c r="AV49" i="122"/>
  <c r="BB49" i="122" s="1"/>
  <c r="BA215" i="122"/>
  <c r="BA70" i="122"/>
  <c r="BB218" i="122"/>
  <c r="AV218" i="122"/>
  <c r="AV213" i="122"/>
  <c r="BH55" i="122"/>
  <c r="CF55" i="122" s="1"/>
  <c r="CI55" i="122" s="1"/>
  <c r="AU158" i="122"/>
  <c r="AU49" i="122"/>
  <c r="BA151" i="122"/>
  <c r="DS35" i="123"/>
  <c r="CF32" i="122"/>
  <c r="CI32" i="122" s="1"/>
  <c r="BH34" i="122"/>
  <c r="BA34" i="122"/>
  <c r="BA212" i="122" s="1"/>
  <c r="AU29" i="122"/>
  <c r="BB219" i="122"/>
  <c r="AU223" i="122"/>
  <c r="BB29" i="122"/>
  <c r="BB21" i="122" s="1"/>
  <c r="BA21" i="122" s="1"/>
  <c r="BH24" i="122"/>
  <c r="BA28" i="122"/>
  <c r="CZ42" i="123"/>
  <c r="DA42" i="123"/>
  <c r="DS40" i="123"/>
  <c r="CE23" i="122"/>
  <c r="CZ36" i="123"/>
  <c r="CZ73" i="121"/>
  <c r="DT70" i="121"/>
  <c r="CZ70" i="121"/>
  <c r="BA151" i="120"/>
  <c r="BA217" i="120" s="1"/>
  <c r="DR69" i="121"/>
  <c r="DB67" i="121"/>
  <c r="CZ67" i="121" s="1"/>
  <c r="CZ68" i="121"/>
  <c r="DT68" i="121"/>
  <c r="DB55" i="121"/>
  <c r="BA36" i="120"/>
  <c r="DT53" i="121"/>
  <c r="CZ48" i="121"/>
  <c r="AU29" i="120"/>
  <c r="AU196" i="120"/>
  <c r="DT48" i="121"/>
  <c r="CZ72" i="121"/>
  <c r="DS72" i="121"/>
  <c r="AU149" i="120"/>
  <c r="AU215" i="120" s="1"/>
  <c r="CZ71" i="121"/>
  <c r="DR71" i="121" s="1"/>
  <c r="DS71" i="121"/>
  <c r="BB149" i="120"/>
  <c r="BB215" i="120" s="1"/>
  <c r="CF150" i="120"/>
  <c r="CF216" i="120" s="1"/>
  <c r="AU238" i="120"/>
  <c r="BA205" i="120"/>
  <c r="BA238" i="120"/>
  <c r="BB205" i="120"/>
  <c r="AU241" i="120"/>
  <c r="BA207" i="120"/>
  <c r="BA267" i="120"/>
  <c r="BB267" i="120"/>
  <c r="BB265" i="120" s="1"/>
  <c r="AU267" i="120"/>
  <c r="BH126" i="120"/>
  <c r="CF126" i="120" s="1"/>
  <c r="CI126" i="120" s="1"/>
  <c r="AU199" i="120"/>
  <c r="BB139" i="120"/>
  <c r="BA139" i="120" s="1"/>
  <c r="BB243" i="120"/>
  <c r="AV265" i="120"/>
  <c r="AV270" i="120" s="1"/>
  <c r="AU249" i="120"/>
  <c r="BA113" i="120"/>
  <c r="BB117" i="120"/>
  <c r="BA117" i="120" s="1"/>
  <c r="BB106" i="120"/>
  <c r="BA106" i="120" s="1"/>
  <c r="AU106" i="120"/>
  <c r="AX99" i="120"/>
  <c r="AX262" i="120"/>
  <c r="AX260" i="120" s="1"/>
  <c r="BA202" i="120"/>
  <c r="BB202" i="120"/>
  <c r="AU105" i="120"/>
  <c r="BB197" i="120"/>
  <c r="BA83" i="120"/>
  <c r="BA257" i="120" s="1"/>
  <c r="BA241" i="120"/>
  <c r="BA85" i="120"/>
  <c r="BA259" i="120" s="1"/>
  <c r="BH96" i="120"/>
  <c r="BH58" i="120"/>
  <c r="BB37" i="120"/>
  <c r="BH40" i="120"/>
  <c r="AU37" i="120"/>
  <c r="BA40" i="120"/>
  <c r="BB94" i="120"/>
  <c r="BA94" i="120" s="1"/>
  <c r="AV71" i="120"/>
  <c r="AU71" i="120" s="1"/>
  <c r="AU265" i="120"/>
  <c r="AU270" i="120" s="1"/>
  <c r="BA84" i="120"/>
  <c r="BA258" i="120" s="1"/>
  <c r="CI98" i="120"/>
  <c r="BG88" i="120"/>
  <c r="BJ88" i="120" s="1"/>
  <c r="BA249" i="120"/>
  <c r="AU201" i="120"/>
  <c r="AU203" i="120" s="1"/>
  <c r="BB62" i="120"/>
  <c r="BA62" i="120" s="1"/>
  <c r="BG64" i="120"/>
  <c r="AU65" i="120"/>
  <c r="BB65" i="120"/>
  <c r="BH66" i="120"/>
  <c r="BH255" i="120"/>
  <c r="BK255" i="120" s="1"/>
  <c r="CF81" i="120"/>
  <c r="BB255" i="120"/>
  <c r="BG41" i="120"/>
  <c r="BH41" i="120"/>
  <c r="CZ55" i="121"/>
  <c r="DA55" i="121"/>
  <c r="EE31" i="121"/>
  <c r="CF24" i="123"/>
  <c r="BA25" i="123"/>
  <c r="BS21" i="123"/>
  <c r="DR32" i="121"/>
  <c r="DB38" i="121"/>
  <c r="EF30" i="121"/>
  <c r="EE29" i="121"/>
  <c r="DR33" i="121"/>
  <c r="CZ30" i="123"/>
  <c r="EE23" i="123"/>
  <c r="DR29" i="123"/>
  <c r="DT25" i="123"/>
  <c r="CZ25" i="123"/>
  <c r="DS27" i="123"/>
  <c r="DY27" i="123" s="1"/>
  <c r="CZ27" i="123"/>
  <c r="BB13" i="122"/>
  <c r="BA13" i="122" s="1"/>
  <c r="DS14" i="123"/>
  <c r="BA12" i="122"/>
  <c r="BA146" i="122" s="1"/>
  <c r="BB9" i="122"/>
  <c r="AV125" i="122"/>
  <c r="C46" i="124"/>
  <c r="DA62" i="123"/>
  <c r="DY12" i="123"/>
  <c r="DX12" i="123" s="1"/>
  <c r="AV143" i="122"/>
  <c r="AV178" i="122" s="1"/>
  <c r="AU9" i="122"/>
  <c r="CZ9" i="123"/>
  <c r="DS28" i="123"/>
  <c r="DR10" i="123"/>
  <c r="DA26" i="123"/>
  <c r="DR8" i="123"/>
  <c r="BK8" i="122"/>
  <c r="CF8" i="122"/>
  <c r="CI8" i="122" s="1"/>
  <c r="BA20" i="120"/>
  <c r="BA187" i="120" s="1"/>
  <c r="AU18" i="120"/>
  <c r="AU185" i="120" s="1"/>
  <c r="BB18" i="120"/>
  <c r="BB185" i="120" s="1"/>
  <c r="DR21" i="121"/>
  <c r="CF19" i="121"/>
  <c r="AJ19" i="120"/>
  <c r="AJ186" i="120" s="1"/>
  <c r="DR19" i="121"/>
  <c r="DA18" i="121"/>
  <c r="CZ18" i="121" s="1"/>
  <c r="DR17" i="121"/>
  <c r="GD24" i="121"/>
  <c r="EK24" i="121"/>
  <c r="EJ24" i="121" s="1"/>
  <c r="ED24" i="121"/>
  <c r="CF24" i="120"/>
  <c r="AV12" i="120"/>
  <c r="AV179" i="120" s="1"/>
  <c r="AV180" i="120" s="1"/>
  <c r="AV159" i="120"/>
  <c r="AV181" i="120"/>
  <c r="AV225" i="120" s="1"/>
  <c r="CZ22" i="121"/>
  <c r="CZ42" i="121" s="1"/>
  <c r="DA14" i="121"/>
  <c r="CZ14" i="121" s="1"/>
  <c r="CZ38" i="121" s="1"/>
  <c r="DA42" i="121"/>
  <c r="EE23" i="121"/>
  <c r="DS22" i="121"/>
  <c r="DY22" i="121" s="1"/>
  <c r="AU12" i="120"/>
  <c r="AU13" i="120" s="1"/>
  <c r="CZ41" i="121"/>
  <c r="CZ39" i="121"/>
  <c r="AU14" i="120"/>
  <c r="AU159" i="120" s="1"/>
  <c r="DS15" i="121"/>
  <c r="CI16" i="120"/>
  <c r="BA16" i="120"/>
  <c r="BA183" i="120" s="1"/>
  <c r="AU181" i="120"/>
  <c r="AU225" i="120" s="1"/>
  <c r="EF17" i="121"/>
  <c r="AW13" i="120"/>
  <c r="AW181" i="120"/>
  <c r="AW225" i="120" s="1"/>
  <c r="DR43" i="121"/>
  <c r="DT14" i="121"/>
  <c r="DS9" i="121"/>
  <c r="BB10" i="120"/>
  <c r="AU177" i="120"/>
  <c r="CZ10" i="121"/>
  <c r="DA11" i="121"/>
  <c r="DS8" i="121"/>
  <c r="AU179" i="120"/>
  <c r="AU180" i="120" s="1"/>
  <c r="BB199" i="120"/>
  <c r="CF58" i="120"/>
  <c r="CI58" i="120" s="1"/>
  <c r="BH216" i="120"/>
  <c r="AS99" i="120"/>
  <c r="AR99" i="120" s="1"/>
  <c r="CQ73" i="121"/>
  <c r="DS73" i="121"/>
  <c r="BA155" i="120"/>
  <c r="BA221" i="120" s="1"/>
  <c r="BJ230" i="120"/>
  <c r="BB90" i="122"/>
  <c r="BH90" i="122" s="1"/>
  <c r="CF116" i="122"/>
  <c r="BB173" i="122"/>
  <c r="BA119" i="122"/>
  <c r="BA172" i="122" s="1"/>
  <c r="BH120" i="122"/>
  <c r="BA118" i="122"/>
  <c r="BA171" i="122" s="1"/>
  <c r="BH118" i="122"/>
  <c r="BH171" i="122" s="1"/>
  <c r="BA117" i="122"/>
  <c r="BA170" i="122" s="1"/>
  <c r="BH117" i="122"/>
  <c r="BH84" i="122"/>
  <c r="BK84" i="122" s="1"/>
  <c r="BB196" i="122"/>
  <c r="BH77" i="122"/>
  <c r="BB156" i="122"/>
  <c r="BB158" i="122" s="1"/>
  <c r="AR161" i="122"/>
  <c r="BB151" i="122"/>
  <c r="BA196" i="122"/>
  <c r="AR196" i="122"/>
  <c r="BH207" i="122"/>
  <c r="DS46" i="123"/>
  <c r="DY46" i="123" s="1"/>
  <c r="CQ46" i="123"/>
  <c r="DR46" i="123" s="1"/>
  <c r="AR81" i="122"/>
  <c r="DS38" i="123"/>
  <c r="CQ38" i="123"/>
  <c r="DR38" i="123" s="1"/>
  <c r="CF222" i="122"/>
  <c r="CF74" i="122"/>
  <c r="CI74" i="122" s="1"/>
  <c r="AR70" i="122"/>
  <c r="AR218" i="122" s="1"/>
  <c r="BB48" i="122"/>
  <c r="BA46" i="122"/>
  <c r="BA48" i="122" s="1"/>
  <c r="BB217" i="122"/>
  <c r="BH217" i="122" s="1"/>
  <c r="AR48" i="122"/>
  <c r="BG36" i="122"/>
  <c r="AS223" i="122"/>
  <c r="CE39" i="122"/>
  <c r="CH39" i="122" s="1"/>
  <c r="BA219" i="122"/>
  <c r="CQ37" i="123"/>
  <c r="DR37" i="123" s="1"/>
  <c r="DS37" i="123"/>
  <c r="BH153" i="122"/>
  <c r="BA152" i="122"/>
  <c r="DS39" i="123"/>
  <c r="CQ39" i="123"/>
  <c r="DR39" i="123" s="1"/>
  <c r="BG109" i="122"/>
  <c r="AS159" i="122"/>
  <c r="CR43" i="123" s="1"/>
  <c r="BB81" i="122"/>
  <c r="BA81" i="122" s="1"/>
  <c r="AS75" i="122"/>
  <c r="AS124" i="122" s="1"/>
  <c r="DS41" i="123"/>
  <c r="CR42" i="123"/>
  <c r="DS36" i="123"/>
  <c r="CQ36" i="123"/>
  <c r="BB160" i="122"/>
  <c r="AR195" i="122"/>
  <c r="BH195" i="122"/>
  <c r="BG57" i="122"/>
  <c r="BB94" i="122"/>
  <c r="AR101" i="122"/>
  <c r="BA195" i="122"/>
  <c r="BH102" i="122"/>
  <c r="BB194" i="122"/>
  <c r="BA160" i="122"/>
  <c r="BA194" i="122"/>
  <c r="BG201" i="122"/>
  <c r="CQ44" i="123"/>
  <c r="DR44" i="123" s="1"/>
  <c r="DS44" i="123"/>
  <c r="DS45" i="123"/>
  <c r="CQ45" i="123"/>
  <c r="DR45" i="123" s="1"/>
  <c r="CQ53" i="123"/>
  <c r="DR53" i="123" s="1"/>
  <c r="DS52" i="123"/>
  <c r="AR115" i="122"/>
  <c r="AR168" i="122" s="1"/>
  <c r="DT35" i="123"/>
  <c r="CQ35" i="123"/>
  <c r="DR35" i="123" s="1"/>
  <c r="AR156" i="122"/>
  <c r="AR158" i="122" s="1"/>
  <c r="BI46" i="122"/>
  <c r="BC156" i="122"/>
  <c r="BC158" i="122" s="1"/>
  <c r="BC48" i="122"/>
  <c r="CQ40" i="123"/>
  <c r="DR40" i="123" s="1"/>
  <c r="DT40" i="123"/>
  <c r="CS42" i="123"/>
  <c r="DT41" i="123"/>
  <c r="CQ41" i="123"/>
  <c r="DT58" i="123"/>
  <c r="CQ58" i="123"/>
  <c r="DR58" i="123" s="1"/>
  <c r="DT57" i="123"/>
  <c r="DZ57" i="123" s="1"/>
  <c r="CQ57" i="123"/>
  <c r="DR57" i="123" s="1"/>
  <c r="CQ56" i="123"/>
  <c r="DR56" i="123" s="1"/>
  <c r="DT56" i="123"/>
  <c r="CQ55" i="123"/>
  <c r="DR55" i="123" s="1"/>
  <c r="DX55" i="123" s="1"/>
  <c r="DT55" i="123"/>
  <c r="DZ55" i="123" s="1"/>
  <c r="DT54" i="123"/>
  <c r="CQ54" i="123"/>
  <c r="DR54" i="123" s="1"/>
  <c r="AT168" i="122"/>
  <c r="DR73" i="123"/>
  <c r="CQ70" i="123"/>
  <c r="BA161" i="120"/>
  <c r="CQ72" i="121"/>
  <c r="DR72" i="121" s="1"/>
  <c r="CS67" i="121"/>
  <c r="DT67" i="121" s="1"/>
  <c r="BC149" i="120"/>
  <c r="BC215" i="120" s="1"/>
  <c r="BA30" i="120"/>
  <c r="BA196" i="120" s="1"/>
  <c r="AR196" i="120"/>
  <c r="DT54" i="121"/>
  <c r="CS55" i="121"/>
  <c r="AR149" i="120"/>
  <c r="AR215" i="120" s="1"/>
  <c r="BH152" i="120"/>
  <c r="BA153" i="120"/>
  <c r="BA219" i="120" s="1"/>
  <c r="BA152" i="120"/>
  <c r="BA218" i="120" s="1"/>
  <c r="CQ70" i="121"/>
  <c r="DR70" i="121" s="1"/>
  <c r="DS70" i="121"/>
  <c r="AS215" i="120"/>
  <c r="CR67" i="121" s="1"/>
  <c r="DS68" i="121"/>
  <c r="CQ68" i="121"/>
  <c r="DR68" i="121" s="1"/>
  <c r="BA243" i="120"/>
  <c r="BB29" i="120"/>
  <c r="BB196" i="120"/>
  <c r="BA105" i="120"/>
  <c r="BB105" i="120"/>
  <c r="BH104" i="120"/>
  <c r="BA197" i="120"/>
  <c r="CQ48" i="121"/>
  <c r="DR48" i="121" s="1"/>
  <c r="DS48" i="121"/>
  <c r="BB71" i="120"/>
  <c r="AS53" i="120"/>
  <c r="AR53" i="120" s="1"/>
  <c r="BB262" i="120"/>
  <c r="BB260" i="120" s="1"/>
  <c r="BA199" i="120"/>
  <c r="AR265" i="120"/>
  <c r="AS270" i="120"/>
  <c r="AR260" i="120"/>
  <c r="AR270" i="120" s="1"/>
  <c r="CQ61" i="121"/>
  <c r="DR61" i="121" s="1"/>
  <c r="DS61" i="121"/>
  <c r="CQ52" i="121"/>
  <c r="DR52" i="121" s="1"/>
  <c r="DS52" i="121"/>
  <c r="BA201" i="120"/>
  <c r="BA61" i="120"/>
  <c r="AR203" i="120"/>
  <c r="BB61" i="120"/>
  <c r="BB201" i="120"/>
  <c r="DS54" i="121"/>
  <c r="CQ54" i="121"/>
  <c r="DS57" i="121"/>
  <c r="CQ57" i="121"/>
  <c r="DR57" i="121" s="1"/>
  <c r="CQ58" i="121"/>
  <c r="DR58" i="121" s="1"/>
  <c r="DS58" i="121"/>
  <c r="CQ59" i="121"/>
  <c r="DR59" i="121" s="1"/>
  <c r="DS59" i="121"/>
  <c r="AS130" i="120"/>
  <c r="BA138" i="120"/>
  <c r="BA262" i="120" s="1"/>
  <c r="BB137" i="120"/>
  <c r="BA137" i="120" s="1"/>
  <c r="CQ51" i="121"/>
  <c r="DR51" i="121" s="1"/>
  <c r="DS51" i="121"/>
  <c r="CR55" i="121"/>
  <c r="DS53" i="121"/>
  <c r="CQ53" i="121"/>
  <c r="BB129" i="120"/>
  <c r="AS203" i="120"/>
  <c r="CQ49" i="121"/>
  <c r="DR49" i="121" s="1"/>
  <c r="DS49" i="121"/>
  <c r="CQ29" i="123"/>
  <c r="EF23" i="123"/>
  <c r="GE23" i="123" s="1"/>
  <c r="C45" i="124"/>
  <c r="DS9" i="123"/>
  <c r="CR62" i="123"/>
  <c r="CR26" i="123"/>
  <c r="CQ28" i="123"/>
  <c r="CQ27" i="123"/>
  <c r="ED32" i="121"/>
  <c r="GC32" i="121" s="1"/>
  <c r="ED35" i="121"/>
  <c r="CQ40" i="121"/>
  <c r="DT38" i="121"/>
  <c r="CR42" i="121"/>
  <c r="CQ22" i="121"/>
  <c r="CQ42" i="121" s="1"/>
  <c r="BB181" i="120"/>
  <c r="BB225" i="120" s="1"/>
  <c r="DR22" i="121"/>
  <c r="DS42" i="121"/>
  <c r="BA22" i="120"/>
  <c r="BA189" i="120" s="1"/>
  <c r="BB189" i="120"/>
  <c r="DY15" i="121"/>
  <c r="DX15" i="121" s="1"/>
  <c r="DS39" i="121"/>
  <c r="DR15" i="121"/>
  <c r="DS41" i="121"/>
  <c r="CR14" i="121"/>
  <c r="CR12" i="121" s="1"/>
  <c r="CR41" i="121"/>
  <c r="CQ15" i="121"/>
  <c r="CR39" i="121"/>
  <c r="AS12" i="120"/>
  <c r="AS179" i="120" s="1"/>
  <c r="AS180" i="120" s="1"/>
  <c r="BB159" i="120"/>
  <c r="AR14" i="120"/>
  <c r="AR159" i="120" s="1"/>
  <c r="DY16" i="121"/>
  <c r="DX16" i="121" s="1"/>
  <c r="CQ14" i="121"/>
  <c r="CQ38" i="121" s="1"/>
  <c r="AS181" i="120"/>
  <c r="AS225" i="120" s="1"/>
  <c r="DR16" i="121"/>
  <c r="DR40" i="121" s="1"/>
  <c r="CR38" i="121"/>
  <c r="DR16" i="123"/>
  <c r="DY16" i="123"/>
  <c r="DX16" i="123" s="1"/>
  <c r="DS13" i="123"/>
  <c r="CQ13" i="123"/>
  <c r="AR13" i="122"/>
  <c r="DR20" i="121"/>
  <c r="DY20" i="121"/>
  <c r="DX20" i="121" s="1"/>
  <c r="CR18" i="121"/>
  <c r="BA8" i="122"/>
  <c r="CQ9" i="123"/>
  <c r="DT9" i="123"/>
  <c r="C62" i="124"/>
  <c r="CS62" i="123"/>
  <c r="CS26" i="123"/>
  <c r="AR9" i="122"/>
  <c r="BB11" i="120"/>
  <c r="BB178" i="120" s="1"/>
  <c r="AR10" i="120"/>
  <c r="BB175" i="120"/>
  <c r="BB177" i="120" s="1"/>
  <c r="BA8" i="120"/>
  <c r="BA175" i="120" s="1"/>
  <c r="BA177" i="120" s="1"/>
  <c r="AR181" i="120"/>
  <c r="AR225" i="120" s="1"/>
  <c r="AR175" i="120"/>
  <c r="AR177" i="120" s="1"/>
  <c r="AJ188" i="120"/>
  <c r="BT20" i="121"/>
  <c r="BS20" i="121" s="1"/>
  <c r="AJ16" i="122"/>
  <c r="BH16" i="122" s="1"/>
  <c r="BK16" i="122" s="1"/>
  <c r="BH15" i="122"/>
  <c r="CF15" i="122" s="1"/>
  <c r="CE15" i="122" s="1"/>
  <c r="AC19" i="120"/>
  <c r="AC186" i="120" s="1"/>
  <c r="BI8" i="122"/>
  <c r="AI8" i="122"/>
  <c r="BJ8" i="123"/>
  <c r="AC183" i="122"/>
  <c r="AI183" i="122" s="1"/>
  <c r="BS73" i="123"/>
  <c r="BG129" i="122"/>
  <c r="BG182" i="122"/>
  <c r="Z180" i="122"/>
  <c r="BJ70" i="123"/>
  <c r="BG128" i="122"/>
  <c r="BJ128" i="122" s="1"/>
  <c r="BJ58" i="123"/>
  <c r="AC121" i="122"/>
  <c r="BT58" i="123"/>
  <c r="BJ57" i="123"/>
  <c r="BT57" i="123"/>
  <c r="BT56" i="123"/>
  <c r="BJ56" i="123"/>
  <c r="BJ55" i="123"/>
  <c r="BT55" i="123"/>
  <c r="BT54" i="123"/>
  <c r="BT52" i="123"/>
  <c r="BJ53" i="123"/>
  <c r="AI120" i="122"/>
  <c r="AI119" i="122"/>
  <c r="AK117" i="122"/>
  <c r="Z115" i="122"/>
  <c r="Z168" i="122" s="1"/>
  <c r="AC117" i="122"/>
  <c r="BL52" i="123"/>
  <c r="BJ52" i="123" s="1"/>
  <c r="BU53" i="123"/>
  <c r="AJ45" i="122"/>
  <c r="AL24" i="122"/>
  <c r="BG24" i="122"/>
  <c r="AC153" i="122"/>
  <c r="AC56" i="122"/>
  <c r="AC165" i="122"/>
  <c r="AI112" i="122"/>
  <c r="BJ49" i="123"/>
  <c r="BS49" i="123" s="1"/>
  <c r="BT49" i="123"/>
  <c r="AD111" i="122"/>
  <c r="BJ48" i="123"/>
  <c r="BS48" i="123" s="1"/>
  <c r="BT48" i="123"/>
  <c r="BJ50" i="123"/>
  <c r="BS50" i="123" s="1"/>
  <c r="BT50" i="123"/>
  <c r="AC111" i="122"/>
  <c r="AJ161" i="122"/>
  <c r="AA21" i="122"/>
  <c r="Z160" i="122"/>
  <c r="AM30" i="122"/>
  <c r="BH30" i="122"/>
  <c r="BG51" i="122"/>
  <c r="BH51" i="122"/>
  <c r="AD161" i="122"/>
  <c r="BT44" i="123"/>
  <c r="BJ35" i="123"/>
  <c r="BG47" i="122"/>
  <c r="BI47" i="122"/>
  <c r="AK48" i="122"/>
  <c r="BJ41" i="123"/>
  <c r="AE158" i="122"/>
  <c r="CG46" i="122"/>
  <c r="BL42" i="123"/>
  <c r="BU40" i="123"/>
  <c r="AC46" i="122"/>
  <c r="AI46" i="122" s="1"/>
  <c r="BY88" i="121"/>
  <c r="CE88" i="121"/>
  <c r="CE87" i="121"/>
  <c r="AL163" i="120"/>
  <c r="AC229" i="120"/>
  <c r="AI229" i="120" s="1"/>
  <c r="BJ85" i="121"/>
  <c r="BS86" i="121"/>
  <c r="CE86" i="121" s="1"/>
  <c r="AC228" i="120"/>
  <c r="Z227" i="120"/>
  <c r="CE144" i="120"/>
  <c r="BG210" i="120"/>
  <c r="EE62" i="121"/>
  <c r="AD209" i="120"/>
  <c r="AJ143" i="120"/>
  <c r="AC143" i="120"/>
  <c r="CE62" i="121"/>
  <c r="CE63" i="121"/>
  <c r="EE63" i="121"/>
  <c r="CI145" i="120"/>
  <c r="AM145" i="120"/>
  <c r="BJ61" i="121"/>
  <c r="BS61" i="121" s="1"/>
  <c r="AC145" i="120"/>
  <c r="BT73" i="121"/>
  <c r="AC154" i="120"/>
  <c r="AC220" i="120" s="1"/>
  <c r="BT72" i="121"/>
  <c r="CF72" i="121" s="1"/>
  <c r="BT70" i="121"/>
  <c r="CF70" i="121" s="1"/>
  <c r="BH151" i="120"/>
  <c r="BT67" i="121"/>
  <c r="BJ67" i="121"/>
  <c r="BJ68" i="121"/>
  <c r="AE29" i="120"/>
  <c r="AK35" i="120"/>
  <c r="AE36" i="120"/>
  <c r="BI155" i="120"/>
  <c r="AK221" i="120"/>
  <c r="BU73" i="121"/>
  <c r="BI220" i="120"/>
  <c r="CG154" i="120"/>
  <c r="EF72" i="121"/>
  <c r="AI154" i="120"/>
  <c r="BU70" i="121"/>
  <c r="CG70" i="121" s="1"/>
  <c r="BJ70" i="121"/>
  <c r="AI152" i="120"/>
  <c r="BI152" i="120"/>
  <c r="CA69" i="121"/>
  <c r="CG69" i="121"/>
  <c r="AN151" i="120"/>
  <c r="BI151" i="120"/>
  <c r="AC151" i="120"/>
  <c r="Z149" i="120"/>
  <c r="Z215" i="120" s="1"/>
  <c r="BJ69" i="121"/>
  <c r="CG150" i="120"/>
  <c r="BI216" i="120"/>
  <c r="AI150" i="120"/>
  <c r="AN150" i="120"/>
  <c r="BJ48" i="121"/>
  <c r="BJ54" i="121"/>
  <c r="BL55" i="121"/>
  <c r="BJ53" i="121"/>
  <c r="AK201" i="120"/>
  <c r="AE203" i="120"/>
  <c r="AB203" i="120"/>
  <c r="CE78" i="122"/>
  <c r="BH78" i="122"/>
  <c r="AJ79" i="122"/>
  <c r="AM86" i="122"/>
  <c r="BK89" i="122"/>
  <c r="Z81" i="122"/>
  <c r="CF77" i="122"/>
  <c r="AI79" i="122"/>
  <c r="BG77" i="122"/>
  <c r="AI63" i="122"/>
  <c r="CE47" i="122"/>
  <c r="CF54" i="122"/>
  <c r="CI54" i="122" s="1"/>
  <c r="AM54" i="122"/>
  <c r="BH219" i="122"/>
  <c r="AI71" i="122"/>
  <c r="AC219" i="122"/>
  <c r="AI219" i="122" s="1"/>
  <c r="Z218" i="122"/>
  <c r="AJ71" i="122"/>
  <c r="AA49" i="122"/>
  <c r="AA40" i="122" s="1"/>
  <c r="Z219" i="122"/>
  <c r="BH204" i="122"/>
  <c r="AM204" i="122"/>
  <c r="BG55" i="122"/>
  <c r="CF42" i="122"/>
  <c r="AC42" i="122"/>
  <c r="AM206" i="122"/>
  <c r="BH206" i="122"/>
  <c r="AJ62" i="122"/>
  <c r="AC62" i="122"/>
  <c r="CF46" i="122"/>
  <c r="BG69" i="122"/>
  <c r="AD65" i="122"/>
  <c r="Z65" i="122"/>
  <c r="BG203" i="122"/>
  <c r="AI59" i="122"/>
  <c r="AD152" i="122"/>
  <c r="CF66" i="122"/>
  <c r="CI66" i="122" s="1"/>
  <c r="AC214" i="122"/>
  <c r="AI214" i="122" s="1"/>
  <c r="AI66" i="122"/>
  <c r="AD214" i="122"/>
  <c r="AJ214" i="122" s="1"/>
  <c r="BH22" i="122"/>
  <c r="AC22" i="122"/>
  <c r="AI22" i="122" s="1"/>
  <c r="AD151" i="122"/>
  <c r="CE36" i="122"/>
  <c r="CH36" i="122" s="1"/>
  <c r="AD213" i="122"/>
  <c r="Z35" i="122"/>
  <c r="BH25" i="122"/>
  <c r="Z155" i="122"/>
  <c r="Z158" i="122"/>
  <c r="Z28" i="122"/>
  <c r="AI34" i="122"/>
  <c r="BH104" i="122"/>
  <c r="AM104" i="122"/>
  <c r="BJ104" i="122"/>
  <c r="AA223" i="122"/>
  <c r="AD162" i="122"/>
  <c r="Z209" i="122"/>
  <c r="AM96" i="122"/>
  <c r="BH97" i="122"/>
  <c r="CE109" i="122"/>
  <c r="CH109" i="122" s="1"/>
  <c r="Z101" i="122"/>
  <c r="AJ99" i="122"/>
  <c r="AM64" i="122"/>
  <c r="BG98" i="122"/>
  <c r="BJ40" i="123"/>
  <c r="BK42" i="123"/>
  <c r="AA158" i="122"/>
  <c r="AJ98" i="122"/>
  <c r="AD156" i="122"/>
  <c r="BK36" i="123"/>
  <c r="AJ95" i="122"/>
  <c r="AJ152" i="122" s="1"/>
  <c r="BG68" i="120"/>
  <c r="AJ68" i="120"/>
  <c r="AD196" i="120"/>
  <c r="Z65" i="120"/>
  <c r="Z202" i="120"/>
  <c r="CF63" i="120"/>
  <c r="Z201" i="120"/>
  <c r="AJ30" i="120"/>
  <c r="Z196" i="120"/>
  <c r="CE41" i="120"/>
  <c r="CH41" i="120" s="1"/>
  <c r="AL41" i="120"/>
  <c r="AD241" i="120"/>
  <c r="AA203" i="120"/>
  <c r="AL43" i="120"/>
  <c r="BG43" i="120"/>
  <c r="AJ43" i="120"/>
  <c r="BG34" i="120"/>
  <c r="AD36" i="120"/>
  <c r="AD245" i="120"/>
  <c r="BG31" i="120"/>
  <c r="BG110" i="120"/>
  <c r="BG207" i="120" s="1"/>
  <c r="Z207" i="120"/>
  <c r="AC112" i="120"/>
  <c r="BH120" i="120"/>
  <c r="Z267" i="120"/>
  <c r="Z265" i="120" s="1"/>
  <c r="BG116" i="120"/>
  <c r="AL116" i="120"/>
  <c r="BH105" i="120"/>
  <c r="CF104" i="120"/>
  <c r="AC105" i="120"/>
  <c r="AI104" i="120"/>
  <c r="AJ105" i="120"/>
  <c r="AD105" i="120"/>
  <c r="BG74" i="120"/>
  <c r="AM74" i="120"/>
  <c r="Z241" i="120"/>
  <c r="BG96" i="120"/>
  <c r="BG91" i="120"/>
  <c r="AD89" i="120"/>
  <c r="AC89" i="120" s="1"/>
  <c r="Z199" i="120"/>
  <c r="BK55" i="121"/>
  <c r="AD37" i="120"/>
  <c r="AC37" i="120" s="1"/>
  <c r="AC42" i="120"/>
  <c r="AI42" i="120" s="1"/>
  <c r="AJ87" i="120"/>
  <c r="AC266" i="120"/>
  <c r="BH95" i="120"/>
  <c r="AM95" i="120"/>
  <c r="AD266" i="120"/>
  <c r="AD94" i="120"/>
  <c r="AA71" i="120"/>
  <c r="Z71" i="120" s="1"/>
  <c r="Z260" i="120"/>
  <c r="BK81" i="120"/>
  <c r="BH76" i="120"/>
  <c r="CF80" i="120"/>
  <c r="CF247" i="120" s="1"/>
  <c r="CI247" i="120" s="1"/>
  <c r="AI200" i="120"/>
  <c r="BH55" i="120"/>
  <c r="BH264" i="120"/>
  <c r="CF93" i="120"/>
  <c r="BG93" i="120"/>
  <c r="BG264" i="120" s="1"/>
  <c r="AJ264" i="120"/>
  <c r="CF79" i="120"/>
  <c r="BK79" i="120"/>
  <c r="BH245" i="120"/>
  <c r="AM79" i="120"/>
  <c r="AJ245" i="120"/>
  <c r="AC79" i="120"/>
  <c r="CF73" i="120"/>
  <c r="CI73" i="120" s="1"/>
  <c r="BK73" i="120"/>
  <c r="AC239" i="120"/>
  <c r="AI132" i="120"/>
  <c r="AC206" i="120"/>
  <c r="AJ132" i="120"/>
  <c r="AD206" i="120"/>
  <c r="Z106" i="120"/>
  <c r="AA270" i="120"/>
  <c r="AA123" i="120"/>
  <c r="Z130" i="120"/>
  <c r="BH138" i="120"/>
  <c r="AD137" i="120"/>
  <c r="Z137" i="120"/>
  <c r="AD71" i="120"/>
  <c r="AC80" i="120"/>
  <c r="AA204" i="120"/>
  <c r="AA224" i="120" s="1"/>
  <c r="AD249" i="120"/>
  <c r="BJ55" i="121"/>
  <c r="AJ128" i="120"/>
  <c r="AC128" i="120"/>
  <c r="BJ49" i="121"/>
  <c r="AD197" i="120"/>
  <c r="AC124" i="120"/>
  <c r="AI124" i="120" s="1"/>
  <c r="BU29" i="123"/>
  <c r="AC17" i="120"/>
  <c r="AC184" i="120" s="1"/>
  <c r="BT17" i="121"/>
  <c r="GD31" i="121"/>
  <c r="ED31" i="121"/>
  <c r="GC31" i="121" s="1"/>
  <c r="CG37" i="121"/>
  <c r="ED33" i="121"/>
  <c r="GC33" i="121" s="1"/>
  <c r="BS43" i="121"/>
  <c r="BU38" i="121"/>
  <c r="ED36" i="121"/>
  <c r="BJ37" i="121"/>
  <c r="BK42" i="121"/>
  <c r="BJ34" i="121"/>
  <c r="BJ40" i="121"/>
  <c r="L13" i="120"/>
  <c r="AJ17" i="120"/>
  <c r="AL23" i="120"/>
  <c r="AL190" i="120" s="1"/>
  <c r="AM190" i="120"/>
  <c r="CI183" i="120"/>
  <c r="BK14" i="121"/>
  <c r="BK77" i="121" s="1"/>
  <c r="BT16" i="121"/>
  <c r="BT40" i="121" s="1"/>
  <c r="BK40" i="121"/>
  <c r="BJ41" i="121"/>
  <c r="BJ39" i="121"/>
  <c r="AD14" i="120"/>
  <c r="AA12" i="120"/>
  <c r="AA13" i="120" s="1"/>
  <c r="AA159" i="120"/>
  <c r="AA181" i="120"/>
  <c r="AA225" i="120" s="1"/>
  <c r="BK41" i="121"/>
  <c r="BI17" i="120"/>
  <c r="CG17" i="120" s="1"/>
  <c r="CG184" i="120" s="1"/>
  <c r="Z159" i="120"/>
  <c r="ED24" i="123"/>
  <c r="EF25" i="123"/>
  <c r="ED23" i="123"/>
  <c r="CE29" i="123"/>
  <c r="BS29" i="123"/>
  <c r="BJ25" i="123"/>
  <c r="BS25" i="123" s="1"/>
  <c r="CE21" i="123"/>
  <c r="EE21" i="123"/>
  <c r="BT27" i="123"/>
  <c r="BJ27" i="123"/>
  <c r="AJ144" i="122"/>
  <c r="AM144" i="122" s="1"/>
  <c r="AJ10" i="122"/>
  <c r="X62" i="123"/>
  <c r="W9" i="123"/>
  <c r="C41" i="124"/>
  <c r="X26" i="123"/>
  <c r="N125" i="122"/>
  <c r="F62" i="123"/>
  <c r="AG9" i="123"/>
  <c r="C39" i="124"/>
  <c r="E9" i="123"/>
  <c r="F26" i="123"/>
  <c r="AJ146" i="122"/>
  <c r="AM146" i="122" s="1"/>
  <c r="N9" i="122"/>
  <c r="N143" i="122" s="1"/>
  <c r="N178" i="122" s="1"/>
  <c r="AJ12" i="122"/>
  <c r="AA143" i="122"/>
  <c r="AA178" i="122" s="1"/>
  <c r="BT12" i="123"/>
  <c r="BS12" i="123" s="1"/>
  <c r="BS30" i="123" s="1"/>
  <c r="BJ12" i="123"/>
  <c r="BJ30" i="123" s="1"/>
  <c r="EF29" i="123"/>
  <c r="C61" i="124"/>
  <c r="BL26" i="123"/>
  <c r="BL62" i="123"/>
  <c r="CG29" i="123"/>
  <c r="AK11" i="122"/>
  <c r="AC11" i="122"/>
  <c r="AC145" i="122" s="1"/>
  <c r="AB125" i="122"/>
  <c r="AB143" i="122"/>
  <c r="AB178" i="122" s="1"/>
  <c r="Z9" i="122"/>
  <c r="AI10" i="122"/>
  <c r="BK26" i="123"/>
  <c r="BK62" i="123"/>
  <c r="BJ9" i="123"/>
  <c r="AM21" i="120"/>
  <c r="BT21" i="121"/>
  <c r="BZ21" i="121" s="1"/>
  <c r="BY21" i="121" s="1"/>
  <c r="BH21" i="120"/>
  <c r="AJ20" i="120"/>
  <c r="CF20" i="121"/>
  <c r="AA185" i="120"/>
  <c r="BH19" i="120"/>
  <c r="CF19" i="120" s="1"/>
  <c r="Z18" i="120"/>
  <c r="Z185" i="120" s="1"/>
  <c r="BK18" i="121"/>
  <c r="BJ18" i="121" s="1"/>
  <c r="AM19" i="121"/>
  <c r="AL19" i="121" s="1"/>
  <c r="AG18" i="121"/>
  <c r="AM19" i="120"/>
  <c r="O18" i="120"/>
  <c r="AM16" i="122"/>
  <c r="AL16" i="122" s="1"/>
  <c r="AM15" i="122"/>
  <c r="AJ14" i="122"/>
  <c r="AI14" i="122" s="1"/>
  <c r="AG14" i="123"/>
  <c r="AM14" i="123" s="1"/>
  <c r="E14" i="123"/>
  <c r="CF16" i="123"/>
  <c r="T13" i="122"/>
  <c r="CF15" i="123"/>
  <c r="BJ13" i="123"/>
  <c r="BT13" i="123"/>
  <c r="BZ14" i="123"/>
  <c r="BS14" i="123"/>
  <c r="Z13" i="122"/>
  <c r="AD13" i="122"/>
  <c r="AC13" i="122" s="1"/>
  <c r="BJ14" i="123"/>
  <c r="E13" i="123"/>
  <c r="AG13" i="123"/>
  <c r="AF15" i="123"/>
  <c r="O13" i="122"/>
  <c r="N13" i="122" s="1"/>
  <c r="E13" i="122"/>
  <c r="T11" i="120"/>
  <c r="T178" i="120" s="1"/>
  <c r="BK11" i="121"/>
  <c r="BK10" i="121"/>
  <c r="BT9" i="121"/>
  <c r="BS9" i="121" s="1"/>
  <c r="AD10" i="120"/>
  <c r="AC9" i="120"/>
  <c r="AC176" i="120" s="1"/>
  <c r="U12" i="120"/>
  <c r="AR10" i="121"/>
  <c r="X13" i="121"/>
  <c r="W12" i="121"/>
  <c r="W13" i="121" s="1"/>
  <c r="AJ9" i="120"/>
  <c r="AJ11" i="120" s="1"/>
  <c r="AJ178" i="120" s="1"/>
  <c r="O176" i="120"/>
  <c r="O177" i="120" s="1"/>
  <c r="AG9" i="121"/>
  <c r="N10" i="120"/>
  <c r="F12" i="121"/>
  <c r="F12" i="120"/>
  <c r="E11" i="120"/>
  <c r="E178" i="120" s="1"/>
  <c r="BJ10" i="121"/>
  <c r="BJ11" i="121"/>
  <c r="Z177" i="120"/>
  <c r="AI8" i="120"/>
  <c r="BH8" i="120"/>
  <c r="AD11" i="120"/>
  <c r="AD178" i="120" s="1"/>
  <c r="Z11" i="120"/>
  <c r="Z178" i="120" s="1"/>
  <c r="AB12" i="120"/>
  <c r="BT69" i="121"/>
  <c r="BA69" i="121"/>
  <c r="BS69" i="121" s="1"/>
  <c r="BA68" i="121"/>
  <c r="BS68" i="121" s="1"/>
  <c r="BT68" i="121"/>
  <c r="BA70" i="121"/>
  <c r="BH219" i="120"/>
  <c r="AI220" i="120"/>
  <c r="CF154" i="120"/>
  <c r="CF153" i="120"/>
  <c r="EU67" i="123"/>
  <c r="EU68" i="123" s="1"/>
  <c r="BE69" i="123"/>
  <c r="BN68" i="123"/>
  <c r="J68" i="123"/>
  <c r="J69" i="123" s="1"/>
  <c r="I67" i="123"/>
  <c r="AA67" i="123"/>
  <c r="AV67" i="123"/>
  <c r="AV68" i="123" s="1"/>
  <c r="BG130" i="122"/>
  <c r="AL130" i="122"/>
  <c r="AL183" i="122"/>
  <c r="BG183" i="122"/>
  <c r="CE73" i="123"/>
  <c r="AC180" i="122"/>
  <c r="AI180" i="122" s="1"/>
  <c r="W180" i="122"/>
  <c r="AC127" i="122"/>
  <c r="AI127" i="122" s="1"/>
  <c r="AL127" i="122" s="1"/>
  <c r="BA70" i="123"/>
  <c r="BS71" i="123"/>
  <c r="CE128" i="122"/>
  <c r="CH128" i="122" s="1"/>
  <c r="CE85" i="121"/>
  <c r="BG164" i="120"/>
  <c r="BS85" i="121"/>
  <c r="AL229" i="120"/>
  <c r="BG229" i="120"/>
  <c r="CE163" i="120"/>
  <c r="CH163" i="120" s="1"/>
  <c r="BJ163" i="120"/>
  <c r="BG162" i="120"/>
  <c r="AL162" i="120"/>
  <c r="AC161" i="120"/>
  <c r="AI161" i="120" s="1"/>
  <c r="BY86" i="121"/>
  <c r="AD149" i="120"/>
  <c r="AC155" i="120"/>
  <c r="AJ155" i="120"/>
  <c r="W149" i="120"/>
  <c r="W215" i="120" s="1"/>
  <c r="EE72" i="121"/>
  <c r="BA72" i="121"/>
  <c r="BS72" i="121" s="1"/>
  <c r="BT71" i="121"/>
  <c r="CF71" i="121" s="1"/>
  <c r="BA71" i="121"/>
  <c r="BS71" i="121" s="1"/>
  <c r="CE71" i="121" s="1"/>
  <c r="CG73" i="121"/>
  <c r="BA73" i="121"/>
  <c r="BS73" i="121" s="1"/>
  <c r="GE72" i="121"/>
  <c r="EF71" i="121"/>
  <c r="AK153" i="120"/>
  <c r="AC153" i="120"/>
  <c r="EF70" i="121"/>
  <c r="BC67" i="121"/>
  <c r="AE149" i="120"/>
  <c r="CG68" i="121"/>
  <c r="CA68" i="121"/>
  <c r="CF55" i="123"/>
  <c r="AJ174" i="122"/>
  <c r="BH121" i="122"/>
  <c r="CF57" i="123"/>
  <c r="CF56" i="123"/>
  <c r="BH119" i="122"/>
  <c r="AI117" i="122"/>
  <c r="AC170" i="122"/>
  <c r="CF54" i="123"/>
  <c r="AD115" i="122"/>
  <c r="BA53" i="123"/>
  <c r="BS53" i="123" s="1"/>
  <c r="BT53" i="123"/>
  <c r="BU58" i="123"/>
  <c r="BA58" i="123"/>
  <c r="BS58" i="123" s="1"/>
  <c r="BL120" i="122"/>
  <c r="BI173" i="122"/>
  <c r="BL173" i="122" s="1"/>
  <c r="CG120" i="122"/>
  <c r="BU57" i="123"/>
  <c r="BA57" i="123"/>
  <c r="BS57" i="123" s="1"/>
  <c r="BI172" i="122"/>
  <c r="CG119" i="122"/>
  <c r="BU56" i="123"/>
  <c r="BA56" i="123"/>
  <c r="BS56" i="123" s="1"/>
  <c r="W115" i="122"/>
  <c r="W168" i="122" s="1"/>
  <c r="AE115" i="122"/>
  <c r="BU55" i="123"/>
  <c r="BA55" i="123"/>
  <c r="BS55" i="123" s="1"/>
  <c r="BU54" i="123"/>
  <c r="BA54" i="123"/>
  <c r="BS54" i="123" s="1"/>
  <c r="BA52" i="123"/>
  <c r="CG53" i="123"/>
  <c r="CE116" i="122"/>
  <c r="CG40" i="123"/>
  <c r="BC42" i="123"/>
  <c r="Y158" i="122"/>
  <c r="CG47" i="122"/>
  <c r="BI48" i="122"/>
  <c r="AK157" i="122"/>
  <c r="BU41" i="123"/>
  <c r="BU35" i="123"/>
  <c r="AK41" i="122"/>
  <c r="BK88" i="122"/>
  <c r="CF88" i="122"/>
  <c r="CI88" i="122" s="1"/>
  <c r="AM211" i="122"/>
  <c r="BH211" i="122"/>
  <c r="BG76" i="122"/>
  <c r="AD155" i="122"/>
  <c r="AJ76" i="122"/>
  <c r="AL86" i="122"/>
  <c r="BG86" i="122"/>
  <c r="CF86" i="122"/>
  <c r="CI86" i="122" s="1"/>
  <c r="BK86" i="122"/>
  <c r="W160" i="122"/>
  <c r="BG83" i="122"/>
  <c r="W161" i="122"/>
  <c r="AJ160" i="122"/>
  <c r="BH82" i="122"/>
  <c r="BH160" i="122" s="1"/>
  <c r="AM82" i="122"/>
  <c r="AC82" i="122"/>
  <c r="AD160" i="122"/>
  <c r="AD194" i="122"/>
  <c r="AJ194" i="122" s="1"/>
  <c r="BH80" i="122"/>
  <c r="BG80" i="122"/>
  <c r="CF41" i="122"/>
  <c r="AJ151" i="122"/>
  <c r="AC41" i="122"/>
  <c r="BG52" i="122"/>
  <c r="CF207" i="122"/>
  <c r="BG207" i="122"/>
  <c r="BH220" i="122"/>
  <c r="AC220" i="122"/>
  <c r="AI220" i="122" s="1"/>
  <c r="AI72" i="122"/>
  <c r="AD218" i="122"/>
  <c r="AC70" i="122"/>
  <c r="AJ70" i="122"/>
  <c r="X218" i="122"/>
  <c r="X223" i="122" s="1"/>
  <c r="AJ72" i="122"/>
  <c r="X49" i="122"/>
  <c r="AM85" i="122"/>
  <c r="AJ162" i="122"/>
  <c r="AM162" i="122" s="1"/>
  <c r="BH85" i="122"/>
  <c r="AD209" i="122"/>
  <c r="AJ209" i="122" s="1"/>
  <c r="AC85" i="122"/>
  <c r="AI67" i="122"/>
  <c r="AC215" i="122"/>
  <c r="AJ67" i="122"/>
  <c r="AD215" i="122"/>
  <c r="AJ215" i="122" s="1"/>
  <c r="AC155" i="122"/>
  <c r="AI45" i="122"/>
  <c r="BH199" i="122"/>
  <c r="AM199" i="122"/>
  <c r="AL199" i="122"/>
  <c r="BG204" i="122"/>
  <c r="AL204" i="122"/>
  <c r="CF154" i="122"/>
  <c r="BA38" i="123"/>
  <c r="BS38" i="123" s="1"/>
  <c r="BT38" i="123"/>
  <c r="BH154" i="122"/>
  <c r="BH69" i="122"/>
  <c r="CE69" i="122"/>
  <c r="CH69" i="122" s="1"/>
  <c r="W213" i="122"/>
  <c r="BH48" i="122"/>
  <c r="CF47" i="122"/>
  <c r="W157" i="122"/>
  <c r="W158" i="122" s="1"/>
  <c r="BG43" i="122"/>
  <c r="CF43" i="122"/>
  <c r="BT35" i="123"/>
  <c r="BA35" i="123"/>
  <c r="AI32" i="122"/>
  <c r="AC196" i="122"/>
  <c r="AD196" i="122"/>
  <c r="AJ196" i="122" s="1"/>
  <c r="BH35" i="122"/>
  <c r="AC35" i="122"/>
  <c r="AI35" i="122" s="1"/>
  <c r="AD29" i="122"/>
  <c r="BH212" i="122"/>
  <c r="BG212" i="122"/>
  <c r="BH214" i="122"/>
  <c r="BG214" i="122"/>
  <c r="AC197" i="122"/>
  <c r="AI197" i="122" s="1"/>
  <c r="AI33" i="122"/>
  <c r="AJ33" i="122"/>
  <c r="AD197" i="122"/>
  <c r="AJ197" i="122" s="1"/>
  <c r="BA37" i="123"/>
  <c r="BS37" i="123" s="1"/>
  <c r="BT37" i="123"/>
  <c r="AC26" i="122"/>
  <c r="AD158" i="122"/>
  <c r="AJ26" i="122"/>
  <c r="AJ28" i="122" s="1"/>
  <c r="AD28" i="122"/>
  <c r="CF27" i="122"/>
  <c r="CF23" i="122"/>
  <c r="BA46" i="123"/>
  <c r="BS46" i="123" s="1"/>
  <c r="BT46" i="123"/>
  <c r="W81" i="122"/>
  <c r="AD81" i="122"/>
  <c r="CE107" i="122"/>
  <c r="CH107" i="122" s="1"/>
  <c r="BA39" i="123"/>
  <c r="BS39" i="123" s="1"/>
  <c r="BT39" i="123"/>
  <c r="BG105" i="122"/>
  <c r="AL105" i="122"/>
  <c r="CF64" i="122"/>
  <c r="CI64" i="122" s="1"/>
  <c r="BG64" i="122"/>
  <c r="BH208" i="122"/>
  <c r="AM208" i="122"/>
  <c r="W75" i="122"/>
  <c r="AD75" i="122"/>
  <c r="AC208" i="122"/>
  <c r="AI208" i="122" s="1"/>
  <c r="AI89" i="122"/>
  <c r="BG102" i="122"/>
  <c r="BA44" i="123"/>
  <c r="BS44" i="123" s="1"/>
  <c r="CF103" i="122"/>
  <c r="BH161" i="122"/>
  <c r="BK103" i="122"/>
  <c r="AC161" i="122"/>
  <c r="AI103" i="122"/>
  <c r="AC195" i="122"/>
  <c r="AI195" i="122" s="1"/>
  <c r="W101" i="122"/>
  <c r="W195" i="122"/>
  <c r="AC157" i="122"/>
  <c r="W100" i="122"/>
  <c r="AI95" i="122"/>
  <c r="AC152" i="122"/>
  <c r="BA36" i="123"/>
  <c r="BT36" i="123"/>
  <c r="BA40" i="123"/>
  <c r="BS40" i="123" s="1"/>
  <c r="BT40" i="123"/>
  <c r="X158" i="122"/>
  <c r="BB41" i="123"/>
  <c r="CF44" i="123"/>
  <c r="CF50" i="122"/>
  <c r="W49" i="122"/>
  <c r="CF195" i="122"/>
  <c r="BT45" i="123"/>
  <c r="BA45" i="123"/>
  <c r="BS45" i="123" s="1"/>
  <c r="AC30" i="120"/>
  <c r="CG34" i="120"/>
  <c r="BC55" i="121"/>
  <c r="BU53" i="121"/>
  <c r="BU48" i="121"/>
  <c r="BG138" i="120"/>
  <c r="AC262" i="120"/>
  <c r="W260" i="120"/>
  <c r="AD69" i="120"/>
  <c r="X62" i="120"/>
  <c r="X261" i="120"/>
  <c r="X260" i="120" s="1"/>
  <c r="AI63" i="120"/>
  <c r="AC201" i="120"/>
  <c r="CF65" i="120"/>
  <c r="BH65" i="120"/>
  <c r="BG66" i="120"/>
  <c r="AL66" i="120"/>
  <c r="CF66" i="120"/>
  <c r="CI66" i="120" s="1"/>
  <c r="AD29" i="120"/>
  <c r="W201" i="120"/>
  <c r="W36" i="120"/>
  <c r="BH35" i="120"/>
  <c r="AC35" i="120"/>
  <c r="AD202" i="120"/>
  <c r="CF31" i="120"/>
  <c r="W197" i="120"/>
  <c r="AJ109" i="120"/>
  <c r="AC109" i="120"/>
  <c r="AI109" i="120" s="1"/>
  <c r="W241" i="120"/>
  <c r="AC117" i="120"/>
  <c r="AI117" i="120" s="1"/>
  <c r="AJ117" i="120"/>
  <c r="CF118" i="120"/>
  <c r="CI118" i="120" s="1"/>
  <c r="X106" i="120"/>
  <c r="AM112" i="120"/>
  <c r="W106" i="120"/>
  <c r="BG100" i="120"/>
  <c r="AD199" i="120"/>
  <c r="AJ100" i="120"/>
  <c r="AJ119" i="120"/>
  <c r="BH111" i="120"/>
  <c r="AM111" i="120"/>
  <c r="AC111" i="120"/>
  <c r="AI111" i="120" s="1"/>
  <c r="AL111" i="120" s="1"/>
  <c r="BA50" i="121"/>
  <c r="BS50" i="121" s="1"/>
  <c r="CE50" i="121" s="1"/>
  <c r="BT50" i="121"/>
  <c r="AC198" i="120"/>
  <c r="CF101" i="120"/>
  <c r="BA48" i="121"/>
  <c r="BS48" i="121" s="1"/>
  <c r="BT48" i="121"/>
  <c r="BH83" i="120"/>
  <c r="AJ257" i="120"/>
  <c r="AM257" i="120" s="1"/>
  <c r="AM83" i="120"/>
  <c r="AD257" i="120"/>
  <c r="CF74" i="120"/>
  <c r="CI74" i="120" s="1"/>
  <c r="BK74" i="120"/>
  <c r="AJ259" i="120"/>
  <c r="CF85" i="120"/>
  <c r="AC85" i="120"/>
  <c r="CF96" i="120"/>
  <c r="CI96" i="120" s="1"/>
  <c r="AD268" i="120"/>
  <c r="AJ268" i="120"/>
  <c r="BG87" i="120"/>
  <c r="CF244" i="120"/>
  <c r="CI244" i="120" s="1"/>
  <c r="CI86" i="120"/>
  <c r="BH244" i="120"/>
  <c r="W268" i="120"/>
  <c r="BH91" i="120"/>
  <c r="AJ262" i="120"/>
  <c r="AJ199" i="120"/>
  <c r="CF75" i="120"/>
  <c r="BH242" i="120"/>
  <c r="BK75" i="120"/>
  <c r="AI75" i="120"/>
  <c r="AC242" i="120"/>
  <c r="AJ242" i="120"/>
  <c r="CF40" i="120"/>
  <c r="BH240" i="120"/>
  <c r="CF95" i="120"/>
  <c r="CI95" i="120" s="1"/>
  <c r="W266" i="120"/>
  <c r="AJ90" i="120"/>
  <c r="BT52" i="121"/>
  <c r="BA52" i="121"/>
  <c r="BS52" i="121" s="1"/>
  <c r="BG55" i="120"/>
  <c r="AC84" i="120"/>
  <c r="AJ84" i="120"/>
  <c r="AJ249" i="120"/>
  <c r="AM249" i="120" s="1"/>
  <c r="AM88" i="120"/>
  <c r="BH88" i="120"/>
  <c r="X53" i="120"/>
  <c r="W249" i="120"/>
  <c r="AD201" i="120"/>
  <c r="AC61" i="120"/>
  <c r="BH60" i="120"/>
  <c r="CF60" i="120" s="1"/>
  <c r="AJ202" i="120"/>
  <c r="W71" i="120"/>
  <c r="AD238" i="120"/>
  <c r="BA57" i="121"/>
  <c r="BS57" i="121" s="1"/>
  <c r="BT57" i="121"/>
  <c r="AD205" i="120"/>
  <c r="AJ205" i="120"/>
  <c r="AI133" i="120"/>
  <c r="X265" i="120"/>
  <c r="BG135" i="120"/>
  <c r="CF135" i="120"/>
  <c r="CI135" i="120" s="1"/>
  <c r="AD243" i="120"/>
  <c r="AI136" i="120"/>
  <c r="AC249" i="120"/>
  <c r="AL125" i="120"/>
  <c r="BG125" i="120"/>
  <c r="BH124" i="120"/>
  <c r="AJ197" i="120"/>
  <c r="BG124" i="120"/>
  <c r="CF140" i="120"/>
  <c r="AM140" i="120"/>
  <c r="AJ266" i="120"/>
  <c r="X203" i="120"/>
  <c r="CF251" i="120"/>
  <c r="CI251" i="120" s="1"/>
  <c r="CI112" i="120"/>
  <c r="AI115" i="120"/>
  <c r="AC254" i="120"/>
  <c r="CF111" i="120"/>
  <c r="CI111" i="120" s="1"/>
  <c r="AI207" i="120"/>
  <c r="AJ250" i="120"/>
  <c r="AM250" i="120" s="1"/>
  <c r="BG111" i="120"/>
  <c r="AI114" i="120"/>
  <c r="AD254" i="120"/>
  <c r="BH251" i="120"/>
  <c r="CF110" i="120"/>
  <c r="W207" i="120"/>
  <c r="AJ115" i="120"/>
  <c r="AM110" i="120"/>
  <c r="AJ198" i="120"/>
  <c r="AM198" i="120" s="1"/>
  <c r="AM57" i="120"/>
  <c r="BH57" i="120"/>
  <c r="AI56" i="120"/>
  <c r="AC197" i="120"/>
  <c r="BG58" i="120"/>
  <c r="BH59" i="120"/>
  <c r="AI57" i="120"/>
  <c r="BB54" i="121"/>
  <c r="BB55" i="121" s="1"/>
  <c r="AI59" i="120"/>
  <c r="AJ201" i="120"/>
  <c r="AD61" i="120"/>
  <c r="AC199" i="120"/>
  <c r="CF56" i="120"/>
  <c r="BH197" i="120"/>
  <c r="BT49" i="121"/>
  <c r="BA49" i="121"/>
  <c r="BS49" i="121" s="1"/>
  <c r="AJ61" i="120"/>
  <c r="W202" i="120"/>
  <c r="W203" i="120" s="1"/>
  <c r="AL131" i="120"/>
  <c r="BG131" i="120"/>
  <c r="AM131" i="120"/>
  <c r="BH131" i="120"/>
  <c r="AC238" i="120"/>
  <c r="AC205" i="120"/>
  <c r="BT58" i="121"/>
  <c r="BA58" i="121"/>
  <c r="BS58" i="121" s="1"/>
  <c r="CF133" i="120"/>
  <c r="AM133" i="120"/>
  <c r="AD265" i="120"/>
  <c r="BH141" i="120"/>
  <c r="AJ139" i="120"/>
  <c r="AC141" i="120"/>
  <c r="BT59" i="121"/>
  <c r="BA59" i="121"/>
  <c r="BS59" i="121" s="1"/>
  <c r="X130" i="120"/>
  <c r="BA51" i="121"/>
  <c r="BS51" i="121" s="1"/>
  <c r="BT51" i="121"/>
  <c r="CE140" i="120"/>
  <c r="AC243" i="120"/>
  <c r="AL136" i="120"/>
  <c r="BG127" i="120"/>
  <c r="BA53" i="121"/>
  <c r="BH127" i="120"/>
  <c r="BT53" i="121"/>
  <c r="W129" i="120"/>
  <c r="EF33" i="121"/>
  <c r="GE33" i="121" s="1"/>
  <c r="CG43" i="121"/>
  <c r="BU43" i="121"/>
  <c r="GC35" i="121"/>
  <c r="EE34" i="121"/>
  <c r="BA37" i="121"/>
  <c r="BS37" i="121" s="1"/>
  <c r="BT37" i="121"/>
  <c r="EE35" i="121"/>
  <c r="BA34" i="121"/>
  <c r="GD29" i="121"/>
  <c r="CE30" i="121"/>
  <c r="AC21" i="120"/>
  <c r="AC188" i="120" s="1"/>
  <c r="BZ20" i="121"/>
  <c r="BY20" i="121" s="1"/>
  <c r="BZ19" i="121"/>
  <c r="BY19" i="121" s="1"/>
  <c r="AC18" i="120"/>
  <c r="AC185" i="120" s="1"/>
  <c r="W18" i="120"/>
  <c r="W185" i="120" s="1"/>
  <c r="BB18" i="121"/>
  <c r="BZ17" i="121"/>
  <c r="BY17" i="121" s="1"/>
  <c r="BT42" i="121"/>
  <c r="EE22" i="121"/>
  <c r="W22" i="120"/>
  <c r="W189" i="120" s="1"/>
  <c r="X14" i="120"/>
  <c r="X181" i="120" s="1"/>
  <c r="X225" i="120" s="1"/>
  <c r="ED23" i="121"/>
  <c r="CE22" i="121"/>
  <c r="CF16" i="121"/>
  <c r="BS16" i="121"/>
  <c r="BS40" i="121" s="1"/>
  <c r="CE22" i="123"/>
  <c r="BS28" i="123"/>
  <c r="BT25" i="123"/>
  <c r="GC23" i="123"/>
  <c r="BA29" i="123"/>
  <c r="BZ16" i="123"/>
  <c r="BY16" i="123" s="1"/>
  <c r="W13" i="122"/>
  <c r="BH146" i="122"/>
  <c r="AI146" i="122"/>
  <c r="W125" i="122"/>
  <c r="W143" i="122"/>
  <c r="W178" i="122" s="1"/>
  <c r="X125" i="122"/>
  <c r="EE10" i="123"/>
  <c r="EE27" i="123" s="1"/>
  <c r="BS27" i="123"/>
  <c r="X143" i="122"/>
  <c r="X178" i="122" s="1"/>
  <c r="BB9" i="123"/>
  <c r="BB62" i="123" s="1"/>
  <c r="AD9" i="122"/>
  <c r="AI144" i="122"/>
  <c r="BA27" i="123"/>
  <c r="BA28" i="123"/>
  <c r="CF27" i="123"/>
  <c r="CF28" i="123"/>
  <c r="BC29" i="123"/>
  <c r="BT8" i="123"/>
  <c r="CF8" i="123" s="1"/>
  <c r="BA8" i="123"/>
  <c r="AR8" i="123"/>
  <c r="AD177" i="120"/>
  <c r="ED43" i="121"/>
  <c r="AK184" i="120"/>
  <c r="CE43" i="121"/>
  <c r="CG14" i="121"/>
  <c r="BU77" i="121"/>
  <c r="BI10" i="120"/>
  <c r="BI11" i="120"/>
  <c r="AK11" i="120"/>
  <c r="BI184" i="120"/>
  <c r="BL17" i="120"/>
  <c r="X177" i="120"/>
  <c r="BB10" i="121"/>
  <c r="BS15" i="121"/>
  <c r="BT39" i="121"/>
  <c r="CF15" i="121"/>
  <c r="BZ15" i="121"/>
  <c r="BT14" i="121"/>
  <c r="BT41" i="121"/>
  <c r="AD181" i="120"/>
  <c r="AD225" i="120" s="1"/>
  <c r="AC15" i="120"/>
  <c r="AC182" i="120" s="1"/>
  <c r="BB41" i="121"/>
  <c r="BA15" i="121"/>
  <c r="BB14" i="121"/>
  <c r="BB12" i="121" s="1"/>
  <c r="BB13" i="121" s="1"/>
  <c r="BB39" i="121"/>
  <c r="AJ15" i="120"/>
  <c r="CF9" i="121"/>
  <c r="BZ9" i="121"/>
  <c r="BY9" i="121" s="1"/>
  <c r="W177" i="120"/>
  <c r="BA11" i="121"/>
  <c r="W10" i="120"/>
  <c r="BA8" i="121"/>
  <c r="BA10" i="121" s="1"/>
  <c r="BT8" i="121"/>
  <c r="Y12" i="120"/>
  <c r="W11" i="120"/>
  <c r="W178" i="120" s="1"/>
  <c r="BC77" i="121"/>
  <c r="BC12" i="121"/>
  <c r="BG8" i="122"/>
  <c r="CG8" i="122"/>
  <c r="GE8" i="123"/>
  <c r="AN145" i="122"/>
  <c r="BI145" i="122"/>
  <c r="AI145" i="122"/>
  <c r="AL145" i="122" s="1"/>
  <c r="AT62" i="123"/>
  <c r="BU9" i="123"/>
  <c r="AT26" i="123"/>
  <c r="AR9" i="123"/>
  <c r="C59" i="124"/>
  <c r="GE11" i="123"/>
  <c r="BI11" i="122"/>
  <c r="AE9" i="122"/>
  <c r="V125" i="122"/>
  <c r="V143" i="122"/>
  <c r="V178" i="122" s="1"/>
  <c r="T9" i="122"/>
  <c r="AT12" i="121"/>
  <c r="AR11" i="121"/>
  <c r="BI178" i="120"/>
  <c r="BG8" i="120"/>
  <c r="BU8" i="121"/>
  <c r="CG8" i="120"/>
  <c r="BI175" i="120"/>
  <c r="BI177" i="120" s="1"/>
  <c r="AC8" i="120"/>
  <c r="AE11" i="120"/>
  <c r="BS33" i="19" l="1"/>
  <c r="BS21" i="19"/>
  <c r="BS43" i="19"/>
  <c r="BS27" i="19"/>
  <c r="BS31" i="19"/>
  <c r="BS28" i="19"/>
  <c r="BS18" i="19"/>
  <c r="BS19" i="19"/>
  <c r="BS17" i="19"/>
  <c r="BS38" i="19"/>
  <c r="BS40" i="19"/>
  <c r="BS34" i="19"/>
  <c r="BS24" i="19"/>
  <c r="BS16" i="19"/>
  <c r="BS47" i="19"/>
  <c r="BS30" i="19"/>
  <c r="BA50" i="19"/>
  <c r="BS39" i="19"/>
  <c r="BS29" i="19"/>
  <c r="BS42" i="19"/>
  <c r="BS26" i="19"/>
  <c r="BS37" i="19"/>
  <c r="BS36" i="19"/>
  <c r="BS23" i="19"/>
  <c r="BS48" i="19"/>
  <c r="BS20" i="19"/>
  <c r="BS41" i="19"/>
  <c r="C20" i="77"/>
  <c r="D20" i="77"/>
  <c r="D19" i="77" s="1"/>
  <c r="K22" i="64" s="1"/>
  <c r="G12" i="132"/>
  <c r="E15" i="132"/>
  <c r="E14" i="132"/>
  <c r="Q23" i="61"/>
  <c r="Q10" i="61"/>
  <c r="Q35" i="61" s="1"/>
  <c r="Q38" i="61" s="1"/>
  <c r="AQ101" i="120"/>
  <c r="AN101" i="120"/>
  <c r="Q76" i="121"/>
  <c r="BJ103" i="6"/>
  <c r="CE107" i="120"/>
  <c r="GF49" i="123"/>
  <c r="BC31" i="7"/>
  <c r="BC32" i="7" s="1"/>
  <c r="BR54" i="123"/>
  <c r="R45" i="126" s="1"/>
  <c r="AI43" i="123"/>
  <c r="CV121" i="8"/>
  <c r="AK16" i="66"/>
  <c r="AK14" i="66" s="1"/>
  <c r="DV42" i="121"/>
  <c r="DV14" i="121"/>
  <c r="EC29" i="121"/>
  <c r="CM29" i="121"/>
  <c r="CM101" i="122"/>
  <c r="CB108" i="122"/>
  <c r="AM23" i="121"/>
  <c r="AD22" i="121"/>
  <c r="T265" i="120"/>
  <c r="B12" i="124"/>
  <c r="CX77" i="121"/>
  <c r="R102" i="122"/>
  <c r="Q102" i="122" s="1"/>
  <c r="B102" i="122"/>
  <c r="C194" i="122"/>
  <c r="C160" i="122"/>
  <c r="C44" i="123" s="1"/>
  <c r="L44" i="123" s="1"/>
  <c r="AG102" i="122"/>
  <c r="R69" i="122"/>
  <c r="C217" i="122"/>
  <c r="R67" i="122"/>
  <c r="C215" i="122"/>
  <c r="Q83" i="120"/>
  <c r="Q257" i="120" s="1"/>
  <c r="AH83" i="120"/>
  <c r="S257" i="120"/>
  <c r="E125" i="122"/>
  <c r="E143" i="122"/>
  <c r="E178" i="122" s="1"/>
  <c r="AK263" i="120"/>
  <c r="AN263" i="120" s="1"/>
  <c r="BI92" i="120"/>
  <c r="N126" i="120"/>
  <c r="O199" i="120"/>
  <c r="H14" i="132"/>
  <c r="H15" i="132"/>
  <c r="AI97" i="122"/>
  <c r="BG97" i="122" s="1"/>
  <c r="AI83" i="120"/>
  <c r="C178" i="122"/>
  <c r="AG143" i="122"/>
  <c r="AG178" i="122" s="1"/>
  <c r="AL97" i="120"/>
  <c r="BG97" i="120"/>
  <c r="CE97" i="120" s="1"/>
  <c r="CH97" i="120" s="1"/>
  <c r="Q72" i="120"/>
  <c r="AC23" i="121"/>
  <c r="CD23" i="121"/>
  <c r="AE22" i="121"/>
  <c r="AN23" i="121"/>
  <c r="AN22" i="121" s="1"/>
  <c r="O27" i="125"/>
  <c r="Q189" i="120"/>
  <c r="C24" i="124"/>
  <c r="Y38" i="121"/>
  <c r="Y77" i="121"/>
  <c r="W77" i="121" s="1"/>
  <c r="W14" i="121"/>
  <c r="AK143" i="120"/>
  <c r="AK209" i="120" s="1"/>
  <c r="AE209" i="120"/>
  <c r="AX27" i="123"/>
  <c r="AY21" i="123"/>
  <c r="CG182" i="120"/>
  <c r="CJ15" i="120"/>
  <c r="CJ182" i="120" s="1"/>
  <c r="EA24" i="121"/>
  <c r="AD8" i="123"/>
  <c r="CI55" i="121"/>
  <c r="EH54" i="121"/>
  <c r="S117" i="120"/>
  <c r="S262" i="120"/>
  <c r="AX15" i="61"/>
  <c r="CG171" i="7"/>
  <c r="CI33" i="7"/>
  <c r="CI27" i="7" s="1"/>
  <c r="CI140" i="7"/>
  <c r="B125" i="122"/>
  <c r="B143" i="122"/>
  <c r="B178" i="122" s="1"/>
  <c r="BM9" i="122"/>
  <c r="BO125" i="122"/>
  <c r="BO143" i="122"/>
  <c r="BO178" i="122" s="1"/>
  <c r="AY18" i="61"/>
  <c r="Z18" i="61"/>
  <c r="AA18" i="61" s="1"/>
  <c r="AB18" i="61" s="1"/>
  <c r="AC18" i="61" s="1"/>
  <c r="AD18" i="61" s="1"/>
  <c r="V27" i="71"/>
  <c r="W27" i="71"/>
  <c r="U27" i="71"/>
  <c r="AX27" i="71"/>
  <c r="AT27" i="71"/>
  <c r="O101" i="122"/>
  <c r="EM21" i="123"/>
  <c r="FN21" i="123" s="1"/>
  <c r="FO21" i="123"/>
  <c r="F52" i="65"/>
  <c r="I50" i="65"/>
  <c r="I51" i="65" s="1"/>
  <c r="AH243" i="120"/>
  <c r="AN243" i="120" s="1"/>
  <c r="AF134" i="120"/>
  <c r="B42" i="124"/>
  <c r="AP62" i="123"/>
  <c r="B47" i="124"/>
  <c r="DG62" i="123"/>
  <c r="D8" i="63"/>
  <c r="C9" i="63"/>
  <c r="B21" i="56"/>
  <c r="C20" i="56"/>
  <c r="AC100" i="8"/>
  <c r="AC46" i="8"/>
  <c r="AC23" i="8"/>
  <c r="AC24" i="8"/>
  <c r="AC19" i="8"/>
  <c r="AC44" i="8"/>
  <c r="AC33" i="8"/>
  <c r="AC20" i="8"/>
  <c r="AC18" i="8"/>
  <c r="AC26" i="8"/>
  <c r="P91" i="56"/>
  <c r="P101" i="56" s="1"/>
  <c r="AL144" i="122"/>
  <c r="BR58" i="121"/>
  <c r="FK76" i="121"/>
  <c r="FK89" i="121" s="1"/>
  <c r="F14" i="68"/>
  <c r="AI126" i="120"/>
  <c r="BG126" i="120" s="1"/>
  <c r="CE126" i="120" s="1"/>
  <c r="AH238" i="120"/>
  <c r="DD63" i="123"/>
  <c r="DD66" i="123"/>
  <c r="Z81" i="121"/>
  <c r="AA82" i="121"/>
  <c r="AB77" i="121"/>
  <c r="AB38" i="121"/>
  <c r="DX14" i="19"/>
  <c r="DX13" i="19" s="1"/>
  <c r="DZ14" i="19"/>
  <c r="DZ13" i="19" s="1"/>
  <c r="DW14" i="19"/>
  <c r="DW13" i="19" s="1"/>
  <c r="DU13" i="19"/>
  <c r="M75" i="122"/>
  <c r="K75" i="122" s="1"/>
  <c r="P81" i="122"/>
  <c r="K81" i="122"/>
  <c r="EG23" i="121"/>
  <c r="GF23" i="121" s="1"/>
  <c r="CH22" i="121"/>
  <c r="R87" i="122"/>
  <c r="AG87" i="122"/>
  <c r="C210" i="122"/>
  <c r="EG40" i="123"/>
  <c r="GF40" i="123" s="1"/>
  <c r="AG14" i="121"/>
  <c r="AG77" i="121" s="1"/>
  <c r="AM16" i="121"/>
  <c r="S116" i="122"/>
  <c r="D169" i="122"/>
  <c r="D53" i="123" s="1"/>
  <c r="M53" i="123" s="1"/>
  <c r="V53" i="123" s="1"/>
  <c r="AE53" i="123" s="1"/>
  <c r="CM49" i="122"/>
  <c r="CB65" i="122"/>
  <c r="R51" i="122"/>
  <c r="B51" i="122"/>
  <c r="C195" i="122"/>
  <c r="AK247" i="120"/>
  <c r="AN247" i="120" s="1"/>
  <c r="BI80" i="120"/>
  <c r="CF102" i="120"/>
  <c r="CI102" i="120" s="1"/>
  <c r="BK102" i="120"/>
  <c r="BI246" i="120"/>
  <c r="CG78" i="120"/>
  <c r="K49" i="122"/>
  <c r="L40" i="122"/>
  <c r="EU77" i="121"/>
  <c r="EU38" i="121"/>
  <c r="F15" i="132"/>
  <c r="F14" i="132"/>
  <c r="BF36" i="122"/>
  <c r="BL36" i="122" s="1"/>
  <c r="BO36" i="122"/>
  <c r="DC81" i="121"/>
  <c r="DU81" i="121" s="1"/>
  <c r="DD82" i="121"/>
  <c r="DV81" i="121"/>
  <c r="DD83" i="121"/>
  <c r="S256" i="120"/>
  <c r="AH82" i="120"/>
  <c r="FP22" i="121"/>
  <c r="FY22" i="121" s="1"/>
  <c r="FY23" i="121"/>
  <c r="FW23" i="121" s="1"/>
  <c r="BO122" i="122"/>
  <c r="AQ175" i="122"/>
  <c r="CP59" i="123" s="1"/>
  <c r="AP58" i="120"/>
  <c r="AF58" i="120"/>
  <c r="AL58" i="120" s="1"/>
  <c r="G34" i="114"/>
  <c r="B35" i="116"/>
  <c r="D35" i="116" s="1"/>
  <c r="D34" i="116"/>
  <c r="AC51" i="65"/>
  <c r="AC52" i="65" s="1"/>
  <c r="AD45" i="65"/>
  <c r="BR158" i="7"/>
  <c r="BR152" i="7"/>
  <c r="BR154" i="7"/>
  <c r="D24" i="73"/>
  <c r="C25" i="73"/>
  <c r="D25" i="73" s="1"/>
  <c r="W11" i="72"/>
  <c r="AA11" i="72"/>
  <c r="C4" i="85"/>
  <c r="D4" i="85" s="1"/>
  <c r="F4" i="85" s="1"/>
  <c r="K46" i="65"/>
  <c r="AO40" i="121"/>
  <c r="AP30" i="121"/>
  <c r="AO30" i="121" s="1"/>
  <c r="BP30" i="121" s="1"/>
  <c r="BY30" i="121" s="1"/>
  <c r="AE48" i="59"/>
  <c r="AC44" i="59"/>
  <c r="C35" i="63"/>
  <c r="D35" i="63" s="1"/>
  <c r="D34" i="63"/>
  <c r="I10" i="56"/>
  <c r="N10" i="56" s="1"/>
  <c r="U12" i="82"/>
  <c r="U14" i="82"/>
  <c r="V14" i="82" s="1"/>
  <c r="R264" i="120"/>
  <c r="EW30" i="121"/>
  <c r="EV30" i="121" s="1"/>
  <c r="EV40" i="121"/>
  <c r="AH39" i="120"/>
  <c r="AQ39" i="120" s="1"/>
  <c r="BO39" i="120" s="1"/>
  <c r="CN39" i="120" s="1"/>
  <c r="S239" i="120"/>
  <c r="B46" i="124"/>
  <c r="CX62" i="123"/>
  <c r="B48" i="124"/>
  <c r="EN62" i="123"/>
  <c r="T63" i="32"/>
  <c r="S63" i="32"/>
  <c r="AF63" i="32"/>
  <c r="AH63" i="32" s="1"/>
  <c r="AU11" i="6"/>
  <c r="AU9" i="6" s="1"/>
  <c r="AP11" i="6"/>
  <c r="AN9" i="6"/>
  <c r="AN12" i="6" s="1"/>
  <c r="AN13" i="6" s="1"/>
  <c r="AO11" i="6"/>
  <c r="AO9" i="6" s="1"/>
  <c r="AO12" i="6" s="1"/>
  <c r="H91" i="56"/>
  <c r="H101" i="56" s="1"/>
  <c r="C101" i="56"/>
  <c r="D50" i="56"/>
  <c r="I49" i="56"/>
  <c r="AF44" i="123"/>
  <c r="AK117" i="120"/>
  <c r="BI50" i="19"/>
  <c r="EY38" i="121"/>
  <c r="CH50" i="19"/>
  <c r="BF131" i="120"/>
  <c r="BL131" i="120" s="1"/>
  <c r="CT27" i="8"/>
  <c r="FT25" i="123"/>
  <c r="BY263" i="120"/>
  <c r="BJ97" i="120"/>
  <c r="AF82" i="120"/>
  <c r="AF256" i="120" s="1"/>
  <c r="AH46" i="120"/>
  <c r="FD77" i="121"/>
  <c r="FD38" i="121"/>
  <c r="DM66" i="123"/>
  <c r="DM63" i="123"/>
  <c r="DU61" i="121"/>
  <c r="R215" i="122"/>
  <c r="AG215" i="122" s="1"/>
  <c r="G40" i="122"/>
  <c r="G124" i="122" s="1"/>
  <c r="G126" i="122" s="1"/>
  <c r="G159" i="122"/>
  <c r="FM82" i="121"/>
  <c r="E42" i="128"/>
  <c r="J42" i="128" s="1"/>
  <c r="BI68" i="120"/>
  <c r="AN68" i="120"/>
  <c r="AK77" i="121"/>
  <c r="AK78" i="121" s="1"/>
  <c r="AK38" i="121"/>
  <c r="Q191" i="120"/>
  <c r="O29" i="125"/>
  <c r="B25" i="124"/>
  <c r="AQ77" i="121"/>
  <c r="B10" i="124"/>
  <c r="BH77" i="121"/>
  <c r="BG77" i="121" s="1"/>
  <c r="BG14" i="121"/>
  <c r="BE10" i="122"/>
  <c r="BD10" i="122" s="1"/>
  <c r="AF10" i="122"/>
  <c r="G62" i="123"/>
  <c r="AH62" i="123" s="1"/>
  <c r="C56" i="124"/>
  <c r="G26" i="123"/>
  <c r="AH9" i="123"/>
  <c r="AH26" i="123" s="1"/>
  <c r="Y55" i="121"/>
  <c r="W54" i="121"/>
  <c r="AH54" i="121"/>
  <c r="AP93" i="120"/>
  <c r="BE93" i="120" s="1"/>
  <c r="AM93" i="120"/>
  <c r="S92" i="122"/>
  <c r="AH92" i="122" s="1"/>
  <c r="AH93" i="122"/>
  <c r="S222" i="122"/>
  <c r="AH222" i="122" s="1"/>
  <c r="BV101" i="122"/>
  <c r="Q60" i="125"/>
  <c r="CA75" i="121"/>
  <c r="CD75" i="121"/>
  <c r="AF81" i="120"/>
  <c r="AF255" i="120" s="1"/>
  <c r="AH255" i="120"/>
  <c r="BE246" i="120"/>
  <c r="BK246" i="120" s="1"/>
  <c r="BK78" i="120"/>
  <c r="AC15" i="121"/>
  <c r="AN15" i="121"/>
  <c r="AL15" i="121" s="1"/>
  <c r="BE84" i="120"/>
  <c r="AP258" i="120"/>
  <c r="BN84" i="120"/>
  <c r="BI213" i="120"/>
  <c r="CG147" i="120"/>
  <c r="AF175" i="122"/>
  <c r="AL175" i="122" s="1"/>
  <c r="AL122" i="122"/>
  <c r="CJ82" i="120"/>
  <c r="CG256" i="120"/>
  <c r="CJ256" i="120" s="1"/>
  <c r="CN88" i="120"/>
  <c r="BM88" i="120"/>
  <c r="CL88" i="120" s="1"/>
  <c r="EC34" i="121"/>
  <c r="CM34" i="121"/>
  <c r="W37" i="121"/>
  <c r="AG37" i="121"/>
  <c r="AG38" i="121" s="1"/>
  <c r="X38" i="121"/>
  <c r="BG142" i="120"/>
  <c r="CE142" i="120" s="1"/>
  <c r="CH142" i="120" s="1"/>
  <c r="FN22" i="121"/>
  <c r="FE22" i="121"/>
  <c r="FG14" i="121"/>
  <c r="Z17" i="95"/>
  <c r="Z26" i="95" s="1"/>
  <c r="V17" i="95"/>
  <c r="U26" i="95"/>
  <c r="U27" i="95" s="1"/>
  <c r="AN58" i="122"/>
  <c r="AQ58" i="122"/>
  <c r="BF58" i="122" s="1"/>
  <c r="BL58" i="122" s="1"/>
  <c r="AO9" i="122"/>
  <c r="AQ143" i="122"/>
  <c r="AQ178" i="122" s="1"/>
  <c r="AQ125" i="122"/>
  <c r="S62" i="32"/>
  <c r="T62" i="32"/>
  <c r="AF62" i="32"/>
  <c r="AH62" i="32" s="1"/>
  <c r="M35" i="125"/>
  <c r="AM50" i="121"/>
  <c r="N8" i="56"/>
  <c r="N18" i="56" s="1"/>
  <c r="N19" i="56" s="1"/>
  <c r="AE44" i="3"/>
  <c r="AG45" i="3"/>
  <c r="E37" i="84"/>
  <c r="G37" i="84" s="1"/>
  <c r="K31" i="32"/>
  <c r="K38" i="32"/>
  <c r="R19" i="70"/>
  <c r="W15" i="70"/>
  <c r="AO33" i="7"/>
  <c r="AL32" i="7"/>
  <c r="AL33" i="7" s="1"/>
  <c r="AG264" i="120"/>
  <c r="AM264" i="120" s="1"/>
  <c r="BV76" i="121"/>
  <c r="Z183" i="6"/>
  <c r="Z177" i="6"/>
  <c r="Z184" i="6" s="1"/>
  <c r="Z180" i="6"/>
  <c r="Z181" i="6"/>
  <c r="Z178" i="6"/>
  <c r="B41" i="124"/>
  <c r="U62" i="123"/>
  <c r="J73" i="32"/>
  <c r="J101" i="56"/>
  <c r="O91" i="56"/>
  <c r="O101" i="56" s="1"/>
  <c r="J37" i="79"/>
  <c r="J36" i="79" s="1"/>
  <c r="J33" i="79" s="1"/>
  <c r="AZ63" i="3" s="1"/>
  <c r="F36" i="79"/>
  <c r="F37" i="79" s="1"/>
  <c r="AE109" i="8"/>
  <c r="AE110" i="8" s="1"/>
  <c r="AE107" i="8"/>
  <c r="W53" i="120"/>
  <c r="W265" i="120"/>
  <c r="BG30" i="122"/>
  <c r="EG61" i="121"/>
  <c r="CH43" i="123"/>
  <c r="C19" i="77"/>
  <c r="K22" i="61" s="1"/>
  <c r="M38" i="32"/>
  <c r="E18" i="74" s="1"/>
  <c r="E21" i="74" s="1"/>
  <c r="D13" i="77" s="1"/>
  <c r="N81" i="122"/>
  <c r="BZ203" i="120"/>
  <c r="ED75" i="121"/>
  <c r="DP62" i="123"/>
  <c r="W53" i="126" s="1"/>
  <c r="J38" i="121"/>
  <c r="H76" i="121"/>
  <c r="H89" i="121" s="1"/>
  <c r="GM17" i="121"/>
  <c r="D37" i="120"/>
  <c r="EV15" i="123"/>
  <c r="FO15" i="123"/>
  <c r="AI25" i="122"/>
  <c r="BG25" i="122" s="1"/>
  <c r="CE25" i="122" s="1"/>
  <c r="N155" i="122"/>
  <c r="FV12" i="121"/>
  <c r="FV13" i="121" s="1"/>
  <c r="FV77" i="121"/>
  <c r="FT14" i="121"/>
  <c r="DO17" i="121"/>
  <c r="DZ17" i="121"/>
  <c r="DX17" i="121" s="1"/>
  <c r="EC17" i="121"/>
  <c r="R110" i="122"/>
  <c r="B110" i="122"/>
  <c r="C108" i="122"/>
  <c r="AG110" i="122"/>
  <c r="P261" i="120"/>
  <c r="P260" i="120" s="1"/>
  <c r="P270" i="120" s="1"/>
  <c r="N69" i="120"/>
  <c r="C92" i="122"/>
  <c r="R93" i="122"/>
  <c r="AG93" i="122" s="1"/>
  <c r="B93" i="122"/>
  <c r="B222" i="122" s="1"/>
  <c r="C222" i="122"/>
  <c r="R58" i="122"/>
  <c r="C202" i="122"/>
  <c r="Q37" i="122"/>
  <c r="S35" i="122"/>
  <c r="AH35" i="122" s="1"/>
  <c r="AN35" i="122" s="1"/>
  <c r="S217" i="122"/>
  <c r="AH217" i="122" s="1"/>
  <c r="AQ32" i="122"/>
  <c r="AN32" i="122"/>
  <c r="W51" i="121"/>
  <c r="AF51" i="121" s="1"/>
  <c r="AG51" i="121"/>
  <c r="FN9" i="121"/>
  <c r="FY9" i="121"/>
  <c r="FW9" i="121" s="1"/>
  <c r="AK255" i="120"/>
  <c r="BI81" i="120"/>
  <c r="AF72" i="120"/>
  <c r="AP72" i="120"/>
  <c r="BE72" i="120"/>
  <c r="BD72" i="120" s="1"/>
  <c r="BH248" i="120"/>
  <c r="CF77" i="120"/>
  <c r="BO33" i="120"/>
  <c r="CN33" i="120"/>
  <c r="CM78" i="120"/>
  <c r="BN246" i="120"/>
  <c r="BM78" i="120"/>
  <c r="BM246" i="120" s="1"/>
  <c r="DR74" i="121"/>
  <c r="AQ138" i="120"/>
  <c r="AN138" i="120"/>
  <c r="BO8" i="122"/>
  <c r="BM8" i="122" s="1"/>
  <c r="CB8" i="122"/>
  <c r="AQ8" i="122"/>
  <c r="AO8" i="122" s="1"/>
  <c r="D8" i="122"/>
  <c r="S8" i="122"/>
  <c r="Q8" i="122" s="1"/>
  <c r="D51" i="68"/>
  <c r="D52" i="68" s="1"/>
  <c r="AQ167" i="122"/>
  <c r="CP51" i="123" s="1"/>
  <c r="CY51" i="123" s="1"/>
  <c r="DH51" i="123" s="1"/>
  <c r="BO114" i="122"/>
  <c r="BO167" i="122" s="1"/>
  <c r="EO51" i="123" s="1"/>
  <c r="EX51" i="123" s="1"/>
  <c r="FG51" i="123" s="1"/>
  <c r="FP51" i="123" s="1"/>
  <c r="BF114" i="122"/>
  <c r="P47" i="59"/>
  <c r="P38" i="59"/>
  <c r="P39" i="59" s="1"/>
  <c r="P44" i="59"/>
  <c r="AV41" i="11"/>
  <c r="AV43" i="11"/>
  <c r="AV42" i="11"/>
  <c r="B40" i="124"/>
  <c r="L62" i="123"/>
  <c r="AD62" i="123" s="1"/>
  <c r="N53" i="126" s="1"/>
  <c r="L30" i="121"/>
  <c r="K40" i="121"/>
  <c r="D121" i="56"/>
  <c r="D113" i="56"/>
  <c r="I111" i="56"/>
  <c r="C111" i="56"/>
  <c r="AS100" i="8"/>
  <c r="AT65" i="8"/>
  <c r="I30" i="56"/>
  <c r="N30" i="56" s="1"/>
  <c r="N29" i="56" s="1"/>
  <c r="S29" i="56"/>
  <c r="AM93" i="8"/>
  <c r="AN42" i="8"/>
  <c r="AZ87" i="8"/>
  <c r="BA87" i="8" s="1"/>
  <c r="B35" i="118"/>
  <c r="D35" i="118" s="1"/>
  <c r="D34" i="118"/>
  <c r="D20" i="79"/>
  <c r="I22" i="79"/>
  <c r="FB89" i="121"/>
  <c r="AI153" i="122"/>
  <c r="BG96" i="122"/>
  <c r="AF80" i="120"/>
  <c r="AF247" i="120" s="1"/>
  <c r="AG247" i="120"/>
  <c r="AM247" i="120" s="1"/>
  <c r="AP80" i="120"/>
  <c r="BE80" i="120"/>
  <c r="AM80" i="120"/>
  <c r="FX74" i="121"/>
  <c r="AB59" i="125"/>
  <c r="EB74" i="121"/>
  <c r="DY74" i="121"/>
  <c r="V59" i="125"/>
  <c r="I17" i="128"/>
  <c r="H37" i="128"/>
  <c r="I37" i="128" s="1"/>
  <c r="AP91" i="120"/>
  <c r="BE91" i="120" s="1"/>
  <c r="AF91" i="120"/>
  <c r="AM91" i="120"/>
  <c r="AS71" i="8"/>
  <c r="AS70" i="8"/>
  <c r="BE96" i="120"/>
  <c r="AP96" i="120"/>
  <c r="AF96" i="120"/>
  <c r="AL96" i="120" s="1"/>
  <c r="AM96" i="120"/>
  <c r="AQ51" i="120"/>
  <c r="AN51" i="120"/>
  <c r="AF51" i="120"/>
  <c r="BF51" i="120"/>
  <c r="BG118" i="120"/>
  <c r="CE118" i="120" s="1"/>
  <c r="AL118" i="120"/>
  <c r="AI262" i="120"/>
  <c r="BA14" i="121"/>
  <c r="BA38" i="121" s="1"/>
  <c r="EF43" i="121"/>
  <c r="AD203" i="120"/>
  <c r="BS70" i="121"/>
  <c r="CE70" i="121" s="1"/>
  <c r="BK12" i="121"/>
  <c r="BK13" i="121" s="1"/>
  <c r="BJ42" i="123"/>
  <c r="DS14" i="121"/>
  <c r="AE59" i="123"/>
  <c r="BG70" i="120"/>
  <c r="CE70" i="120" s="1"/>
  <c r="BV270" i="120"/>
  <c r="H18" i="119"/>
  <c r="H17" i="119"/>
  <c r="G51" i="114"/>
  <c r="S36" i="32"/>
  <c r="S39" i="32" s="1"/>
  <c r="AE65" i="121"/>
  <c r="E11" i="133"/>
  <c r="G11" i="133" s="1"/>
  <c r="H213" i="122"/>
  <c r="BU53" i="120"/>
  <c r="AQ73" i="32"/>
  <c r="BV31" i="19"/>
  <c r="BV19" i="19"/>
  <c r="BT16" i="19"/>
  <c r="GM29" i="121"/>
  <c r="BT42" i="19"/>
  <c r="CG58" i="72"/>
  <c r="CG59" i="72" s="1"/>
  <c r="O20" i="126"/>
  <c r="CD13" i="123"/>
  <c r="CU63" i="123"/>
  <c r="DV61" i="123"/>
  <c r="DV63" i="123" s="1"/>
  <c r="CU66" i="123"/>
  <c r="AH188" i="120"/>
  <c r="BF21" i="120"/>
  <c r="T26" i="125"/>
  <c r="AK92" i="122"/>
  <c r="AN92" i="122" s="1"/>
  <c r="AC92" i="122"/>
  <c r="AI92" i="122" s="1"/>
  <c r="CI39" i="121"/>
  <c r="EH29" i="121"/>
  <c r="D17" i="128"/>
  <c r="D37" i="128" s="1"/>
  <c r="E19" i="128"/>
  <c r="FB42" i="121"/>
  <c r="O241" i="120"/>
  <c r="AI101" i="120"/>
  <c r="BG101" i="120" s="1"/>
  <c r="CE101" i="120" s="1"/>
  <c r="B30" i="124"/>
  <c r="DH77" i="121"/>
  <c r="EG22" i="121"/>
  <c r="GF24" i="121"/>
  <c r="GF22" i="121" s="1"/>
  <c r="BC130" i="120"/>
  <c r="K71" i="120"/>
  <c r="L53" i="120"/>
  <c r="BG92" i="120"/>
  <c r="AL92" i="120"/>
  <c r="H261" i="120"/>
  <c r="H260" i="120" s="1"/>
  <c r="AZ66" i="121"/>
  <c r="BI66" i="121" s="1"/>
  <c r="AN9" i="120"/>
  <c r="AN176" i="120" s="1"/>
  <c r="BF9" i="120"/>
  <c r="T14" i="125"/>
  <c r="AH176" i="120"/>
  <c r="EN14" i="121"/>
  <c r="EM22" i="121"/>
  <c r="F215" i="120"/>
  <c r="F67" i="121" s="1"/>
  <c r="O149" i="120"/>
  <c r="E149" i="120"/>
  <c r="E215" i="120" s="1"/>
  <c r="AJ134" i="120"/>
  <c r="N134" i="120"/>
  <c r="N121" i="120"/>
  <c r="O267" i="120"/>
  <c r="O265" i="120" s="1"/>
  <c r="AJ121" i="120"/>
  <c r="I71" i="120"/>
  <c r="O71" i="120" s="1"/>
  <c r="AJ71" i="120" s="1"/>
  <c r="O89" i="120"/>
  <c r="AJ89" i="120" s="1"/>
  <c r="BH89" i="120" s="1"/>
  <c r="CF89" i="120" s="1"/>
  <c r="F75" i="122"/>
  <c r="E81" i="122"/>
  <c r="E214" i="122"/>
  <c r="E65" i="122"/>
  <c r="Q57" i="120"/>
  <c r="Q198" i="120" s="1"/>
  <c r="S198" i="120"/>
  <c r="AQ50" i="121" s="1"/>
  <c r="AH61" i="120"/>
  <c r="EI8" i="121"/>
  <c r="CJ11" i="121"/>
  <c r="CJ10" i="121"/>
  <c r="CI22" i="121"/>
  <c r="EH23" i="121"/>
  <c r="AM118" i="120"/>
  <c r="AQ113" i="120"/>
  <c r="AH252" i="120"/>
  <c r="AU81" i="121"/>
  <c r="BV81" i="121" s="1"/>
  <c r="BW81" i="121"/>
  <c r="AV82" i="121"/>
  <c r="CL78" i="120"/>
  <c r="AQ118" i="120"/>
  <c r="AH262" i="120"/>
  <c r="K7" i="84"/>
  <c r="Q122" i="120"/>
  <c r="AG48" i="120"/>
  <c r="R263" i="120"/>
  <c r="R46" i="120"/>
  <c r="Q48" i="120"/>
  <c r="Q263" i="120" s="1"/>
  <c r="B268" i="120"/>
  <c r="P48" i="9"/>
  <c r="V56" i="9"/>
  <c r="BN47" i="120"/>
  <c r="AO47" i="120"/>
  <c r="BO263" i="120"/>
  <c r="AV13" i="7"/>
  <c r="AU15" i="7"/>
  <c r="AU8" i="7" s="1"/>
  <c r="AV38" i="8"/>
  <c r="BO31" i="17"/>
  <c r="BN38" i="17" s="1"/>
  <c r="BA31" i="17"/>
  <c r="BA38" i="17"/>
  <c r="BL38" i="17" s="1"/>
  <c r="C15" i="63"/>
  <c r="D15" i="63" s="1"/>
  <c r="D39" i="63" s="1"/>
  <c r="D14" i="63"/>
  <c r="AK56" i="19"/>
  <c r="BN24" i="17"/>
  <c r="W270" i="120"/>
  <c r="FD69" i="123"/>
  <c r="AU12" i="121"/>
  <c r="AU13" i="121" s="1"/>
  <c r="AH57" i="122"/>
  <c r="BH72" i="120"/>
  <c r="P265" i="120"/>
  <c r="BR51" i="121"/>
  <c r="BK49" i="19"/>
  <c r="BS53" i="120"/>
  <c r="Z76" i="121"/>
  <c r="DI8" i="8"/>
  <c r="CA18" i="121"/>
  <c r="B265" i="120"/>
  <c r="AH266" i="120"/>
  <c r="BT26" i="19"/>
  <c r="D270" i="120"/>
  <c r="F13" i="68"/>
  <c r="BV9" i="123"/>
  <c r="AU62" i="123"/>
  <c r="BV62" i="123" s="1"/>
  <c r="EC21" i="121"/>
  <c r="AQ151" i="120"/>
  <c r="AH217" i="120"/>
  <c r="AN217" i="120" s="1"/>
  <c r="BF151" i="120"/>
  <c r="BF217" i="120" s="1"/>
  <c r="N215" i="122"/>
  <c r="AI215" i="122" s="1"/>
  <c r="AI91" i="122"/>
  <c r="BG91" i="122" s="1"/>
  <c r="CE91" i="122" s="1"/>
  <c r="CH91" i="122" s="1"/>
  <c r="EI23" i="121"/>
  <c r="CJ22" i="121"/>
  <c r="CM35" i="121"/>
  <c r="EF35" i="121"/>
  <c r="GE35" i="121" s="1"/>
  <c r="BI66" i="120"/>
  <c r="CG66" i="120" s="1"/>
  <c r="CJ66" i="120" s="1"/>
  <c r="AN66" i="120"/>
  <c r="EF59" i="121"/>
  <c r="GE59" i="121" s="1"/>
  <c r="BI58" i="120"/>
  <c r="AK199" i="120"/>
  <c r="AN58" i="120"/>
  <c r="M29" i="120"/>
  <c r="K37" i="120"/>
  <c r="M204" i="120"/>
  <c r="BH144" i="120"/>
  <c r="AJ210" i="120"/>
  <c r="I53" i="120"/>
  <c r="O53" i="120" s="1"/>
  <c r="O62" i="120"/>
  <c r="CA15" i="121"/>
  <c r="CA14" i="121" s="1"/>
  <c r="BR14" i="121"/>
  <c r="BR77" i="121" s="1"/>
  <c r="Q62" i="125" s="1"/>
  <c r="CW22" i="121"/>
  <c r="CY14" i="121"/>
  <c r="AH261" i="120"/>
  <c r="O178" i="120"/>
  <c r="N11" i="120"/>
  <c r="N178" i="120" s="1"/>
  <c r="AJ255" i="120"/>
  <c r="AM255" i="120" s="1"/>
  <c r="AM81" i="120"/>
  <c r="B46" i="123"/>
  <c r="L46" i="123"/>
  <c r="U46" i="123" s="1"/>
  <c r="BI175" i="122"/>
  <c r="CG122" i="122"/>
  <c r="BL122" i="122"/>
  <c r="AZ77" i="121"/>
  <c r="B26" i="124"/>
  <c r="CE92" i="120"/>
  <c r="CH92" i="120" s="1"/>
  <c r="AP87" i="120"/>
  <c r="AF87" i="120"/>
  <c r="AL87" i="120" s="1"/>
  <c r="BH51" i="120"/>
  <c r="AM51" i="120"/>
  <c r="AQ95" i="120"/>
  <c r="BF95" i="120" s="1"/>
  <c r="BL95" i="120" s="1"/>
  <c r="AN95" i="120"/>
  <c r="CJ25" i="123"/>
  <c r="CJ26" i="123" s="1"/>
  <c r="AK26" i="123"/>
  <c r="AG259" i="120"/>
  <c r="AM259" i="120" s="1"/>
  <c r="AP85" i="120"/>
  <c r="BE85" i="120" s="1"/>
  <c r="BJ92" i="120"/>
  <c r="I49" i="122"/>
  <c r="I213" i="122"/>
  <c r="N119" i="120"/>
  <c r="E252" i="120"/>
  <c r="E106" i="120"/>
  <c r="DE78" i="121"/>
  <c r="DE84" i="121"/>
  <c r="BI127" i="120"/>
  <c r="AK129" i="120"/>
  <c r="BH114" i="120"/>
  <c r="AJ253" i="120"/>
  <c r="AM253" i="120" s="1"/>
  <c r="AM114" i="120"/>
  <c r="R247" i="120"/>
  <c r="Q80" i="120"/>
  <c r="AP96" i="122"/>
  <c r="AG153" i="122"/>
  <c r="AM153" i="122" s="1"/>
  <c r="AF96" i="122"/>
  <c r="AL96" i="122" s="1"/>
  <c r="AH74" i="120"/>
  <c r="AH241" i="120" s="1"/>
  <c r="AJ14" i="121"/>
  <c r="AJ42" i="121"/>
  <c r="BF33" i="122"/>
  <c r="BL33" i="122" s="1"/>
  <c r="BO33" i="122"/>
  <c r="DC77" i="121"/>
  <c r="BO63" i="120"/>
  <c r="CN63" i="120" s="1"/>
  <c r="BF63" i="120"/>
  <c r="BL63" i="120" s="1"/>
  <c r="AK21" i="122"/>
  <c r="BI21" i="122" s="1"/>
  <c r="CG21" i="122" s="1"/>
  <c r="CJ21" i="122" s="1"/>
  <c r="AQ124" i="120"/>
  <c r="BF124" i="120" s="1"/>
  <c r="CD15" i="121"/>
  <c r="DZ22" i="121"/>
  <c r="DX22" i="121" s="1"/>
  <c r="DO22" i="121"/>
  <c r="D75" i="122"/>
  <c r="BF246" i="120"/>
  <c r="BL246" i="120" s="1"/>
  <c r="BD78" i="120"/>
  <c r="BD246" i="120" s="1"/>
  <c r="BL78" i="120"/>
  <c r="T48" i="72"/>
  <c r="P51" i="72"/>
  <c r="T51" i="72" s="1"/>
  <c r="EG10" i="123"/>
  <c r="CH28" i="123"/>
  <c r="CH27" i="123"/>
  <c r="AG138" i="120"/>
  <c r="R137" i="120"/>
  <c r="Q137" i="120" s="1"/>
  <c r="Q138" i="120"/>
  <c r="AN41" i="120"/>
  <c r="AA52" i="7"/>
  <c r="AB53" i="7"/>
  <c r="AD53" i="7"/>
  <c r="AD52" i="7" s="1"/>
  <c r="AD144" i="7" s="1"/>
  <c r="AP53" i="7"/>
  <c r="AI53" i="7"/>
  <c r="AC53" i="7"/>
  <c r="AC52" i="7" s="1"/>
  <c r="AC144" i="7" s="1"/>
  <c r="BL41" i="120"/>
  <c r="BN114" i="120"/>
  <c r="BE114" i="120"/>
  <c r="BE253" i="120" s="1"/>
  <c r="FT34" i="121"/>
  <c r="FT42" i="121" s="1"/>
  <c r="AV9" i="7"/>
  <c r="AV136" i="7" s="1"/>
  <c r="AU136" i="7"/>
  <c r="AV32" i="7"/>
  <c r="AV16" i="7"/>
  <c r="AV143" i="7" s="1"/>
  <c r="AU143" i="7"/>
  <c r="AJ59" i="72"/>
  <c r="AQ58" i="72"/>
  <c r="AI30" i="8"/>
  <c r="AK29" i="8"/>
  <c r="AK30" i="8" s="1"/>
  <c r="AK31" i="8" s="1"/>
  <c r="AW29" i="8"/>
  <c r="G16" i="11"/>
  <c r="E28" i="3"/>
  <c r="Z19" i="8"/>
  <c r="AA19" i="8" s="1"/>
  <c r="P9" i="8"/>
  <c r="AC17" i="9"/>
  <c r="BO46" i="120"/>
  <c r="BA156" i="122"/>
  <c r="AF153" i="122"/>
  <c r="DJ117" i="8"/>
  <c r="AI134" i="120"/>
  <c r="AI119" i="120"/>
  <c r="BG119" i="120" s="1"/>
  <c r="H270" i="120"/>
  <c r="FP75" i="121"/>
  <c r="B19" i="77"/>
  <c r="AC41" i="7"/>
  <c r="AC35" i="7" s="1"/>
  <c r="AO22" i="8"/>
  <c r="AO88" i="8" s="1"/>
  <c r="X49" i="19"/>
  <c r="AE58" i="121"/>
  <c r="EG8" i="123"/>
  <c r="GF8" i="123" s="1"/>
  <c r="G28" i="133"/>
  <c r="G27" i="133" s="1"/>
  <c r="BD76" i="121"/>
  <c r="BD89" i="121" s="1"/>
  <c r="BC218" i="122"/>
  <c r="CJ14" i="121"/>
  <c r="BV33" i="19"/>
  <c r="BT28" i="19"/>
  <c r="BT19" i="19"/>
  <c r="BV16" i="19"/>
  <c r="BT36" i="19"/>
  <c r="BT23" i="19"/>
  <c r="J19" i="128"/>
  <c r="O19" i="128" s="1"/>
  <c r="T19" i="128" s="1"/>
  <c r="BY79" i="122"/>
  <c r="Z62" i="123"/>
  <c r="AI62" i="123" s="1"/>
  <c r="CH62" i="123" s="1"/>
  <c r="AI9" i="123"/>
  <c r="CH9" i="123" s="1"/>
  <c r="E37" i="132"/>
  <c r="E16" i="127"/>
  <c r="DN63" i="123"/>
  <c r="DN66" i="123"/>
  <c r="AQ153" i="120"/>
  <c r="BF153" i="120" s="1"/>
  <c r="BF219" i="120" s="1"/>
  <c r="AH219" i="120"/>
  <c r="BI97" i="122"/>
  <c r="AK155" i="122"/>
  <c r="AN155" i="122" s="1"/>
  <c r="AN97" i="122"/>
  <c r="CA81" i="122"/>
  <c r="BY81" i="122" s="1"/>
  <c r="BR75" i="122"/>
  <c r="AH12" i="121"/>
  <c r="AH13" i="121" s="1"/>
  <c r="AH77" i="121"/>
  <c r="AF77" i="121" s="1"/>
  <c r="AF14" i="121"/>
  <c r="AH38" i="121"/>
  <c r="BU75" i="122"/>
  <c r="BU159" i="122"/>
  <c r="BI146" i="122"/>
  <c r="AN146" i="122"/>
  <c r="FC38" i="121"/>
  <c r="BI96" i="120"/>
  <c r="AN96" i="120"/>
  <c r="AK268" i="120"/>
  <c r="N153" i="122"/>
  <c r="BI10" i="122"/>
  <c r="AN10" i="122"/>
  <c r="CA62" i="120"/>
  <c r="BY62" i="120" s="1"/>
  <c r="AC255" i="120"/>
  <c r="AI81" i="120"/>
  <c r="AK242" i="120"/>
  <c r="BI75" i="120"/>
  <c r="V19" i="125"/>
  <c r="F14" i="127" s="1"/>
  <c r="AP159" i="120"/>
  <c r="AP181" i="120"/>
  <c r="AP225" i="120" s="1"/>
  <c r="T20" i="125"/>
  <c r="AH182" i="120"/>
  <c r="BF15" i="120"/>
  <c r="AN15" i="120"/>
  <c r="AN182" i="120" s="1"/>
  <c r="AF15" i="120"/>
  <c r="P19" i="125"/>
  <c r="D14" i="127" s="1"/>
  <c r="R181" i="120"/>
  <c r="R225" i="120" s="1"/>
  <c r="R159" i="120"/>
  <c r="BF90" i="120"/>
  <c r="BO90" i="120"/>
  <c r="BM190" i="120"/>
  <c r="AA28" i="125"/>
  <c r="AD189" i="120"/>
  <c r="AC22" i="120"/>
  <c r="AC189" i="120" s="1"/>
  <c r="Y159" i="120"/>
  <c r="AE159" i="120" s="1"/>
  <c r="Y181" i="120"/>
  <c r="Y225" i="120" s="1"/>
  <c r="CC17" i="121"/>
  <c r="AC17" i="121"/>
  <c r="B182" i="120"/>
  <c r="L20" i="125"/>
  <c r="CL15" i="120"/>
  <c r="AG73" i="121"/>
  <c r="CF73" i="121" s="1"/>
  <c r="EE73" i="121" s="1"/>
  <c r="E73" i="121"/>
  <c r="AF73" i="121" s="1"/>
  <c r="CE73" i="121" s="1"/>
  <c r="N90" i="120"/>
  <c r="O261" i="120"/>
  <c r="O260" i="120" s="1"/>
  <c r="O61" i="120"/>
  <c r="N60" i="120"/>
  <c r="O202" i="120"/>
  <c r="O203" i="120" s="1"/>
  <c r="E46" i="123"/>
  <c r="AF46" i="123" s="1"/>
  <c r="AG46" i="123"/>
  <c r="F213" i="122"/>
  <c r="F223" i="122" s="1"/>
  <c r="O65" i="122"/>
  <c r="ES14" i="121"/>
  <c r="ES38" i="121" s="1"/>
  <c r="ET77" i="121"/>
  <c r="ET38" i="121"/>
  <c r="CL11" i="123"/>
  <c r="EE11" i="123"/>
  <c r="BN14" i="120"/>
  <c r="BM22" i="120"/>
  <c r="AB27" i="125"/>
  <c r="BN189" i="120"/>
  <c r="N27" i="125"/>
  <c r="D189" i="120"/>
  <c r="AN190" i="120"/>
  <c r="DZ9" i="121"/>
  <c r="DO9" i="121"/>
  <c r="DW12" i="121"/>
  <c r="DW13" i="121" s="1"/>
  <c r="DW77" i="121"/>
  <c r="DU14" i="121"/>
  <c r="DU38" i="121" s="1"/>
  <c r="AP178" i="122"/>
  <c r="BE143" i="122"/>
  <c r="BG122" i="122"/>
  <c r="K14" i="121"/>
  <c r="B23" i="124"/>
  <c r="M77" i="121"/>
  <c r="K77" i="121" s="1"/>
  <c r="FC78" i="121"/>
  <c r="AQ42" i="122"/>
  <c r="BF42" i="122" s="1"/>
  <c r="AN42" i="122"/>
  <c r="AH154" i="122"/>
  <c r="AN154" i="122" s="1"/>
  <c r="B15" i="124"/>
  <c r="EW77" i="121"/>
  <c r="EV77" i="121" s="1"/>
  <c r="EV14" i="121"/>
  <c r="BL75" i="120"/>
  <c r="AJ53" i="5"/>
  <c r="AJ55" i="5"/>
  <c r="AJ47" i="5"/>
  <c r="AJ52" i="5"/>
  <c r="AJ54" i="5"/>
  <c r="B62" i="118"/>
  <c r="D62" i="118" s="1"/>
  <c r="D61" i="118"/>
  <c r="B50" i="120"/>
  <c r="AG50" i="120"/>
  <c r="BF109" i="120"/>
  <c r="BE45" i="120"/>
  <c r="BK45" i="120" s="1"/>
  <c r="BN45" i="120"/>
  <c r="CM45" i="120" s="1"/>
  <c r="E9" i="84"/>
  <c r="B26" i="81"/>
  <c r="S241" i="120"/>
  <c r="CM43" i="120"/>
  <c r="BM43" i="120"/>
  <c r="CL43" i="120" s="1"/>
  <c r="BD58" i="72"/>
  <c r="AA48" i="3"/>
  <c r="AC48" i="3" s="1"/>
  <c r="AC44" i="3"/>
  <c r="AA40" i="3"/>
  <c r="BD58" i="9"/>
  <c r="AU52" i="7"/>
  <c r="AU144" i="7" s="1"/>
  <c r="AV53" i="7"/>
  <c r="AV52" i="7" s="1"/>
  <c r="AV144" i="7" s="1"/>
  <c r="AT151" i="7"/>
  <c r="AU39" i="7"/>
  <c r="AV39" i="7" s="1"/>
  <c r="AU40" i="7"/>
  <c r="AU36" i="7"/>
  <c r="AV36" i="7" s="1"/>
  <c r="AU58" i="7"/>
  <c r="AU31" i="7"/>
  <c r="AV31" i="7" s="1"/>
  <c r="AU29" i="7"/>
  <c r="AJ59" i="9"/>
  <c r="AQ58" i="9"/>
  <c r="AJ39" i="8"/>
  <c r="AI40" i="8"/>
  <c r="BA40" i="8" s="1"/>
  <c r="BF39" i="120"/>
  <c r="T32" i="7"/>
  <c r="T33" i="7" s="1"/>
  <c r="T27" i="7" s="1"/>
  <c r="R32" i="7"/>
  <c r="R33" i="7" s="1"/>
  <c r="Q33" i="7"/>
  <c r="Z32" i="7"/>
  <c r="S32" i="7"/>
  <c r="S33" i="7" s="1"/>
  <c r="Q241" i="120"/>
  <c r="Z49" i="122"/>
  <c r="E213" i="122"/>
  <c r="W102" i="56"/>
  <c r="GF67" i="121"/>
  <c r="CE64" i="121"/>
  <c r="ED64" i="121" s="1"/>
  <c r="BG108" i="122"/>
  <c r="E270" i="120"/>
  <c r="K53" i="120"/>
  <c r="BC265" i="120"/>
  <c r="N61" i="120"/>
  <c r="AD82" i="6"/>
  <c r="BK51" i="120"/>
  <c r="CZ150" i="7"/>
  <c r="CZ154" i="7" s="1"/>
  <c r="CZ157" i="7" s="1"/>
  <c r="CZ160" i="7" s="1"/>
  <c r="DE63" i="123"/>
  <c r="DE66" i="123"/>
  <c r="AE185" i="120"/>
  <c r="AE14" i="120"/>
  <c r="AE181" i="120" s="1"/>
  <c r="AE225" i="120" s="1"/>
  <c r="CH32" i="121"/>
  <c r="EG32" i="121" s="1"/>
  <c r="GF32" i="121" s="1"/>
  <c r="AI42" i="121"/>
  <c r="BI60" i="120"/>
  <c r="CG60" i="120" s="1"/>
  <c r="CJ60" i="120" s="1"/>
  <c r="AN60" i="120"/>
  <c r="M72" i="121"/>
  <c r="V72" i="121" s="1"/>
  <c r="Q98" i="120"/>
  <c r="AG98" i="120"/>
  <c r="BI73" i="120"/>
  <c r="AN73" i="120"/>
  <c r="F159" i="120"/>
  <c r="O159" i="120" s="1"/>
  <c r="F181" i="120"/>
  <c r="F225" i="120" s="1"/>
  <c r="E14" i="120"/>
  <c r="BI44" i="120"/>
  <c r="CG44" i="120" s="1"/>
  <c r="CJ44" i="120" s="1"/>
  <c r="AN44" i="120"/>
  <c r="AQ70" i="120"/>
  <c r="BF70" i="120" s="1"/>
  <c r="BL70" i="120" s="1"/>
  <c r="AN70" i="120"/>
  <c r="AN69" i="120"/>
  <c r="AK261" i="120"/>
  <c r="AN261" i="120" s="1"/>
  <c r="BI39" i="120"/>
  <c r="CG39" i="120" s="1"/>
  <c r="CJ39" i="120" s="1"/>
  <c r="AN39" i="120"/>
  <c r="T29" i="125"/>
  <c r="BF24" i="120"/>
  <c r="AN24" i="120"/>
  <c r="AN191" i="120" s="1"/>
  <c r="AH22" i="120"/>
  <c r="AF24" i="120"/>
  <c r="AH191" i="120"/>
  <c r="N243" i="120"/>
  <c r="AI76" i="120"/>
  <c r="V13" i="120"/>
  <c r="V179" i="120"/>
  <c r="V180" i="120" s="1"/>
  <c r="N19" i="125"/>
  <c r="C15" i="127" s="1"/>
  <c r="D159" i="120"/>
  <c r="D181" i="120"/>
  <c r="D225" i="120" s="1"/>
  <c r="R94" i="120"/>
  <c r="AM92" i="120"/>
  <c r="BH92" i="120"/>
  <c r="Q91" i="120"/>
  <c r="Q262" i="120" s="1"/>
  <c r="R262" i="120"/>
  <c r="L27" i="125"/>
  <c r="B189" i="120"/>
  <c r="L29" i="125"/>
  <c r="B191" i="120"/>
  <c r="CL24" i="120"/>
  <c r="AN148" i="120"/>
  <c r="AQ148" i="120"/>
  <c r="BF148" i="120" s="1"/>
  <c r="BF60" i="120"/>
  <c r="BO60" i="120"/>
  <c r="AQ61" i="120"/>
  <c r="BI210" i="120"/>
  <c r="CG144" i="120"/>
  <c r="O221" i="120"/>
  <c r="N155" i="120"/>
  <c r="N221" i="120" s="1"/>
  <c r="I223" i="122"/>
  <c r="O252" i="120"/>
  <c r="N113" i="120"/>
  <c r="AJ113" i="120"/>
  <c r="DU12" i="121"/>
  <c r="DU13" i="121" s="1"/>
  <c r="AI122" i="120"/>
  <c r="N248" i="120"/>
  <c r="AI77" i="120"/>
  <c r="BI55" i="120"/>
  <c r="AN55" i="120"/>
  <c r="AK200" i="120"/>
  <c r="AN200" i="120" s="1"/>
  <c r="AG256" i="120"/>
  <c r="AM256" i="120" s="1"/>
  <c r="AM82" i="120"/>
  <c r="AP82" i="120"/>
  <c r="BE83" i="122"/>
  <c r="BK83" i="122" s="1"/>
  <c r="BN83" i="122"/>
  <c r="BD122" i="122"/>
  <c r="BD175" i="122" s="1"/>
  <c r="BF175" i="122"/>
  <c r="BL175" i="122" s="1"/>
  <c r="BO59" i="120"/>
  <c r="CN59" i="120" s="1"/>
  <c r="BF59" i="120"/>
  <c r="BF119" i="122"/>
  <c r="BO119" i="122"/>
  <c r="BO172" i="122" s="1"/>
  <c r="EO56" i="123" s="1"/>
  <c r="AQ172" i="122"/>
  <c r="CP56" i="123" s="1"/>
  <c r="BL97" i="120"/>
  <c r="CJ123" i="122"/>
  <c r="CG176" i="122"/>
  <c r="CJ176" i="122" s="1"/>
  <c r="R29" i="126"/>
  <c r="CA38" i="123"/>
  <c r="BL203" i="122"/>
  <c r="CD203" i="122"/>
  <c r="CJ203" i="122" s="1"/>
  <c r="CM9" i="121"/>
  <c r="EC9" i="121"/>
  <c r="EL9" i="121" s="1"/>
  <c r="BL66" i="120"/>
  <c r="BM92" i="120"/>
  <c r="CL92" i="120" s="1"/>
  <c r="R269" i="120"/>
  <c r="AJ63" i="3"/>
  <c r="AG63" i="3"/>
  <c r="AG50" i="65"/>
  <c r="AG46" i="65"/>
  <c r="Q51" i="120"/>
  <c r="S266" i="120"/>
  <c r="AG137" i="120"/>
  <c r="B137" i="120"/>
  <c r="AK158" i="7"/>
  <c r="AK160" i="7"/>
  <c r="AK161" i="7" s="1"/>
  <c r="BY149" i="120"/>
  <c r="BY215" i="120" s="1"/>
  <c r="G34" i="134"/>
  <c r="D30" i="118"/>
  <c r="D29" i="118"/>
  <c r="C67" i="118"/>
  <c r="D67" i="118" s="1"/>
  <c r="D111" i="118" s="1"/>
  <c r="D66" i="118"/>
  <c r="AH14" i="65"/>
  <c r="AJ14" i="65"/>
  <c r="CI80" i="120"/>
  <c r="BW53" i="120"/>
  <c r="BV53" i="120" s="1"/>
  <c r="FQ49" i="121"/>
  <c r="FR13" i="123"/>
  <c r="FQ27" i="123"/>
  <c r="FH37" i="121"/>
  <c r="FH38" i="121" s="1"/>
  <c r="FI38" i="121"/>
  <c r="FQ22" i="121"/>
  <c r="BW13" i="120"/>
  <c r="BW179" i="120"/>
  <c r="BW180" i="120" s="1"/>
  <c r="BV179" i="120"/>
  <c r="BV180" i="120" s="1"/>
  <c r="BV13" i="120"/>
  <c r="DB56" i="121"/>
  <c r="AW208" i="120"/>
  <c r="DB60" i="121" s="1"/>
  <c r="AW224" i="120"/>
  <c r="CM50" i="19"/>
  <c r="CJ50" i="19"/>
  <c r="CN50" i="19"/>
  <c r="CK50" i="19"/>
  <c r="CL50" i="19"/>
  <c r="CO50" i="19"/>
  <c r="V10" i="104"/>
  <c r="V14" i="104" s="1"/>
  <c r="CM53" i="7"/>
  <c r="BF125" i="122"/>
  <c r="BD125" i="122" s="1"/>
  <c r="AF125" i="122"/>
  <c r="BE250" i="120"/>
  <c r="BE207" i="120"/>
  <c r="BK110" i="120"/>
  <c r="G22" i="133"/>
  <c r="BI119" i="120"/>
  <c r="CG119" i="120" s="1"/>
  <c r="CJ119" i="120" s="1"/>
  <c r="AN119" i="120"/>
  <c r="CJ77" i="121"/>
  <c r="CJ12" i="121"/>
  <c r="CJ13" i="121" s="1"/>
  <c r="CJ38" i="121"/>
  <c r="DJ50" i="19"/>
  <c r="DG50" i="19"/>
  <c r="DK50" i="19"/>
  <c r="DI50" i="19"/>
  <c r="DL50" i="19"/>
  <c r="DH50" i="19"/>
  <c r="W15" i="126"/>
  <c r="F18" i="127" s="1"/>
  <c r="DY8" i="123"/>
  <c r="Q15" i="126"/>
  <c r="D18" i="127" s="1"/>
  <c r="CC8" i="123"/>
  <c r="BD66" i="120"/>
  <c r="BK66" i="120"/>
  <c r="CN154" i="7"/>
  <c r="CN152" i="7"/>
  <c r="AC39" i="121"/>
  <c r="AL39" i="121" s="1"/>
  <c r="AL29" i="121"/>
  <c r="DZ54" i="123"/>
  <c r="BR60" i="123"/>
  <c r="D84" i="68"/>
  <c r="BY22" i="121"/>
  <c r="BR62" i="121"/>
  <c r="BG63" i="7"/>
  <c r="F74" i="116"/>
  <c r="E32" i="133"/>
  <c r="E20" i="127"/>
  <c r="H31" i="133"/>
  <c r="H35" i="133" s="1"/>
  <c r="H36" i="133" s="1"/>
  <c r="H37" i="133" s="1"/>
  <c r="H38" i="133" s="1"/>
  <c r="CV124" i="8"/>
  <c r="AK22" i="66"/>
  <c r="FC63" i="123"/>
  <c r="CB145" i="120"/>
  <c r="CB211" i="120" s="1"/>
  <c r="CD211" i="120"/>
  <c r="D145" i="120"/>
  <c r="DH87" i="8"/>
  <c r="DH17" i="8"/>
  <c r="DH51" i="8" s="1"/>
  <c r="DF20" i="8"/>
  <c r="DF87" i="8" s="1"/>
  <c r="CT87" i="8"/>
  <c r="I82" i="121"/>
  <c r="AJ81" i="121"/>
  <c r="CI81" i="121" s="1"/>
  <c r="EH81" i="121" s="1"/>
  <c r="GG81" i="121" s="1"/>
  <c r="AB66" i="123"/>
  <c r="AB63" i="123"/>
  <c r="S63" i="123"/>
  <c r="AK61" i="123"/>
  <c r="S66" i="123"/>
  <c r="AL22" i="66"/>
  <c r="CY124" i="8"/>
  <c r="BV40" i="121"/>
  <c r="CH30" i="121"/>
  <c r="AH185" i="120"/>
  <c r="BF18" i="120"/>
  <c r="AH14" i="120"/>
  <c r="AB40" i="122"/>
  <c r="AE49" i="122"/>
  <c r="AI53" i="122"/>
  <c r="BG53" i="122" s="1"/>
  <c r="CE53" i="122" s="1"/>
  <c r="CH53" i="122" s="1"/>
  <c r="AC198" i="122"/>
  <c r="AI198" i="122" s="1"/>
  <c r="BG198" i="122" s="1"/>
  <c r="CE198" i="122" s="1"/>
  <c r="AI37" i="122"/>
  <c r="AC217" i="122"/>
  <c r="AI217" i="122" s="1"/>
  <c r="BI77" i="122"/>
  <c r="AN77" i="122"/>
  <c r="AK156" i="122"/>
  <c r="L17" i="128"/>
  <c r="N18" i="128"/>
  <c r="AF20" i="120"/>
  <c r="T25" i="125"/>
  <c r="AH187" i="120"/>
  <c r="BF20" i="120"/>
  <c r="BC101" i="122"/>
  <c r="BA101" i="122" s="1"/>
  <c r="AT94" i="122"/>
  <c r="EB33" i="121"/>
  <c r="CL33" i="121"/>
  <c r="BI124" i="120"/>
  <c r="AN124" i="120"/>
  <c r="AK197" i="120"/>
  <c r="BI109" i="120"/>
  <c r="AN109" i="120"/>
  <c r="T270" i="120"/>
  <c r="S197" i="122"/>
  <c r="AH197" i="122" s="1"/>
  <c r="AN197" i="122" s="1"/>
  <c r="Q55" i="122"/>
  <c r="BD21" i="120"/>
  <c r="Y26" i="125"/>
  <c r="BE188" i="120"/>
  <c r="FL82" i="121"/>
  <c r="AL88" i="121"/>
  <c r="AF85" i="121"/>
  <c r="GG22" i="123"/>
  <c r="GG28" i="123" s="1"/>
  <c r="EH28" i="123"/>
  <c r="BA92" i="122"/>
  <c r="BG92" i="122" s="1"/>
  <c r="R244" i="120"/>
  <c r="AG86" i="120"/>
  <c r="Q86" i="120"/>
  <c r="Q244" i="120" s="1"/>
  <c r="BI118" i="120"/>
  <c r="AN118" i="120"/>
  <c r="BI87" i="120"/>
  <c r="AK254" i="120"/>
  <c r="AN87" i="120"/>
  <c r="AK211" i="120"/>
  <c r="BI145" i="120"/>
  <c r="BG31" i="122"/>
  <c r="CE31" i="122" s="1"/>
  <c r="CH31" i="122" s="1"/>
  <c r="AL31" i="122"/>
  <c r="AC46" i="120"/>
  <c r="AI46" i="120" s="1"/>
  <c r="BG46" i="120" s="1"/>
  <c r="AJ46" i="120"/>
  <c r="AG76" i="120"/>
  <c r="Q76" i="120"/>
  <c r="R243" i="120"/>
  <c r="AC214" i="120"/>
  <c r="AI148" i="120"/>
  <c r="B7" i="124"/>
  <c r="U77" i="121"/>
  <c r="T77" i="121" s="1"/>
  <c r="T14" i="121"/>
  <c r="AT204" i="120"/>
  <c r="AT29" i="120"/>
  <c r="AK205" i="120"/>
  <c r="AN205" i="120" s="1"/>
  <c r="AK238" i="120"/>
  <c r="AN238" i="120" s="1"/>
  <c r="BI38" i="120"/>
  <c r="AN38" i="120"/>
  <c r="T159" i="120"/>
  <c r="T181" i="120"/>
  <c r="T225" i="120" s="1"/>
  <c r="AI40" i="120"/>
  <c r="AI240" i="120" s="1"/>
  <c r="AC240" i="120"/>
  <c r="BA50" i="120"/>
  <c r="BC37" i="120"/>
  <c r="BC29" i="120" s="1"/>
  <c r="DG51" i="8"/>
  <c r="DG53" i="8" s="1"/>
  <c r="BE20" i="120"/>
  <c r="S25" i="125"/>
  <c r="AG187" i="120"/>
  <c r="BY108" i="122"/>
  <c r="CA218" i="122"/>
  <c r="B70" i="123"/>
  <c r="CB23" i="121"/>
  <c r="CC22" i="121"/>
  <c r="EB23" i="121"/>
  <c r="CL23" i="121"/>
  <c r="Q90" i="122"/>
  <c r="AG90" i="122"/>
  <c r="B8" i="124"/>
  <c r="AP77" i="121"/>
  <c r="AO77" i="121" s="1"/>
  <c r="AO14" i="121"/>
  <c r="N56" i="126"/>
  <c r="AM65" i="123"/>
  <c r="CC65" i="123"/>
  <c r="AQ91" i="122"/>
  <c r="AN91" i="122"/>
  <c r="AF91" i="122"/>
  <c r="AL91" i="122" s="1"/>
  <c r="AI256" i="120"/>
  <c r="AL256" i="120" s="1"/>
  <c r="AL82" i="120"/>
  <c r="AP95" i="120"/>
  <c r="BE95" i="120" s="1"/>
  <c r="BC14" i="120"/>
  <c r="AQ87" i="122"/>
  <c r="AN87" i="122"/>
  <c r="AF87" i="122"/>
  <c r="V46" i="123"/>
  <c r="T46" i="123" s="1"/>
  <c r="K46" i="123"/>
  <c r="BE41" i="3"/>
  <c r="BE39" i="3" s="1"/>
  <c r="AG36" i="64"/>
  <c r="AO36" i="64" s="1"/>
  <c r="CN32" i="120"/>
  <c r="BM32" i="120"/>
  <c r="CL32" i="120" s="1"/>
  <c r="BF255" i="120"/>
  <c r="BL81" i="120"/>
  <c r="BD81" i="120"/>
  <c r="BD255" i="120" s="1"/>
  <c r="AQ267" i="120"/>
  <c r="BO121" i="120"/>
  <c r="BO267" i="120" s="1"/>
  <c r="CN121" i="120"/>
  <c r="S269" i="120"/>
  <c r="AC15" i="126"/>
  <c r="H18" i="127" s="1"/>
  <c r="FX8" i="123"/>
  <c r="CO96" i="8"/>
  <c r="CN48" i="8"/>
  <c r="CN96" i="8" s="1"/>
  <c r="AE43" i="98"/>
  <c r="CP52" i="8"/>
  <c r="CN100" i="8"/>
  <c r="CN52" i="8" s="1"/>
  <c r="BF251" i="120"/>
  <c r="BL251" i="120" s="1"/>
  <c r="BL112" i="120"/>
  <c r="S166" i="122"/>
  <c r="AQ50" i="123" s="1"/>
  <c r="AH113" i="122"/>
  <c r="BO146" i="120"/>
  <c r="BO212" i="120" s="1"/>
  <c r="EO64" i="121" s="1"/>
  <c r="EX64" i="121" s="1"/>
  <c r="FG64" i="121" s="1"/>
  <c r="FP64" i="121" s="1"/>
  <c r="BF146" i="120"/>
  <c r="AQ212" i="120"/>
  <c r="CP64" i="121" s="1"/>
  <c r="BN122" i="120"/>
  <c r="AO122" i="120"/>
  <c r="CN24" i="17"/>
  <c r="CN39" i="17" s="1"/>
  <c r="CN38" i="17"/>
  <c r="AQ102" i="120"/>
  <c r="BF102" i="120" s="1"/>
  <c r="AN102" i="120"/>
  <c r="BN134" i="120"/>
  <c r="CM134" i="120" s="1"/>
  <c r="CE50" i="19"/>
  <c r="AK51" i="6"/>
  <c r="AK53" i="6"/>
  <c r="AK52" i="6"/>
  <c r="AK46" i="6"/>
  <c r="AK54" i="6"/>
  <c r="BD68" i="8"/>
  <c r="AP132" i="120"/>
  <c r="BE132" i="120" s="1"/>
  <c r="BO122" i="120"/>
  <c r="CN122" i="120" s="1"/>
  <c r="CR94" i="8"/>
  <c r="CR117" i="8" s="1"/>
  <c r="AL11" i="65" s="1"/>
  <c r="CQ46" i="8"/>
  <c r="CQ94" i="8" s="1"/>
  <c r="CN168" i="7"/>
  <c r="AJ12" i="64" s="1"/>
  <c r="AQ53" i="122"/>
  <c r="AN53" i="122"/>
  <c r="R214" i="120"/>
  <c r="AP66" i="121" s="1"/>
  <c r="Q148" i="120"/>
  <c r="Q214" i="120" s="1"/>
  <c r="S178" i="122"/>
  <c r="AH143" i="122"/>
  <c r="AJ10" i="71"/>
  <c r="AK10" i="71" s="1"/>
  <c r="AI10" i="71"/>
  <c r="AT27" i="17"/>
  <c r="AX27" i="17"/>
  <c r="U27" i="17"/>
  <c r="AA31" i="7" s="1"/>
  <c r="W27" i="17"/>
  <c r="V27" i="17"/>
  <c r="BC27" i="17"/>
  <c r="I49" i="85"/>
  <c r="J49" i="85" s="1"/>
  <c r="J48" i="85"/>
  <c r="AQ62" i="122"/>
  <c r="BF62" i="122" s="1"/>
  <c r="BL62" i="122" s="1"/>
  <c r="AN62" i="122"/>
  <c r="AG148" i="120"/>
  <c r="BF147" i="120"/>
  <c r="AH213" i="120"/>
  <c r="AN213" i="120" s="1"/>
  <c r="AN147" i="120"/>
  <c r="AQ147" i="120"/>
  <c r="F37" i="66"/>
  <c r="I37" i="66" s="1"/>
  <c r="N37" i="66" s="1"/>
  <c r="I36" i="66"/>
  <c r="N36" i="66" s="1"/>
  <c r="AT15" i="8"/>
  <c r="AT8" i="8" s="1"/>
  <c r="T33" i="32"/>
  <c r="AR45" i="3"/>
  <c r="AR44" i="3" s="1"/>
  <c r="BR31" i="71"/>
  <c r="BS31" i="71"/>
  <c r="BB24" i="71"/>
  <c r="AI15" i="122"/>
  <c r="BR32" i="71"/>
  <c r="BS32" i="71"/>
  <c r="FO29" i="121"/>
  <c r="T54" i="9"/>
  <c r="Q54" i="9"/>
  <c r="P55" i="9"/>
  <c r="DP40" i="121"/>
  <c r="DY40" i="121" s="1"/>
  <c r="BI82" i="6"/>
  <c r="AE83" i="7"/>
  <c r="AE80" i="7"/>
  <c r="AE82" i="7"/>
  <c r="Q55" i="34"/>
  <c r="CR42" i="8"/>
  <c r="CR93" i="8" s="1"/>
  <c r="CQ45" i="8"/>
  <c r="CQ42" i="8" s="1"/>
  <c r="CQ93" i="8" s="1"/>
  <c r="F45" i="6"/>
  <c r="H45" i="6"/>
  <c r="FB83" i="121"/>
  <c r="FC84" i="121"/>
  <c r="BN52" i="120"/>
  <c r="X12" i="120"/>
  <c r="X13" i="120" s="1"/>
  <c r="BH144" i="122"/>
  <c r="Z203" i="120"/>
  <c r="BK207" i="120"/>
  <c r="Q197" i="122"/>
  <c r="BV223" i="122"/>
  <c r="H33" i="133"/>
  <c r="CP49" i="19"/>
  <c r="CT50" i="19" s="1"/>
  <c r="DA50" i="19" s="1"/>
  <c r="DJ125" i="8"/>
  <c r="G68" i="134"/>
  <c r="CE72" i="123"/>
  <c r="BY265" i="120"/>
  <c r="BJ31" i="122"/>
  <c r="BG150" i="7"/>
  <c r="F104" i="116"/>
  <c r="I52" i="127"/>
  <c r="O41" i="123"/>
  <c r="I158" i="122"/>
  <c r="FL77" i="121"/>
  <c r="FL78" i="121" s="1"/>
  <c r="FL12" i="121"/>
  <c r="FL13" i="121" s="1"/>
  <c r="FL38" i="121"/>
  <c r="C147" i="120"/>
  <c r="CI147" i="120"/>
  <c r="CC213" i="120"/>
  <c r="CI213" i="120" s="1"/>
  <c r="CB147" i="120"/>
  <c r="FK62" i="123"/>
  <c r="FK26" i="123"/>
  <c r="Z89" i="121"/>
  <c r="GF16" i="123"/>
  <c r="BC15" i="61"/>
  <c r="CS171" i="7"/>
  <c r="CV63" i="123"/>
  <c r="DW61" i="123"/>
  <c r="DW63" i="123" s="1"/>
  <c r="CV66" i="123"/>
  <c r="BX61" i="123"/>
  <c r="BX63" i="123" s="1"/>
  <c r="AW63" i="123"/>
  <c r="AW66" i="123"/>
  <c r="AR27" i="123"/>
  <c r="AR28" i="123"/>
  <c r="DC88" i="8"/>
  <c r="J78" i="121"/>
  <c r="J81" i="121"/>
  <c r="H81" i="121" s="1"/>
  <c r="AI81" i="121" s="1"/>
  <c r="CH81" i="121" s="1"/>
  <c r="EG81" i="121" s="1"/>
  <c r="GF81" i="121" s="1"/>
  <c r="N211" i="122"/>
  <c r="AI211" i="122" s="1"/>
  <c r="AI88" i="122"/>
  <c r="AE213" i="122"/>
  <c r="AC90" i="122"/>
  <c r="CG83" i="122"/>
  <c r="CJ83" i="122" s="1"/>
  <c r="BI161" i="122"/>
  <c r="J40" i="122"/>
  <c r="P49" i="122"/>
  <c r="P40" i="122" s="1"/>
  <c r="BI74" i="122"/>
  <c r="AN74" i="122"/>
  <c r="BG73" i="120"/>
  <c r="AL73" i="120"/>
  <c r="BI59" i="120"/>
  <c r="AK61" i="120"/>
  <c r="AN61" i="120" s="1"/>
  <c r="AN59" i="120"/>
  <c r="B160" i="122"/>
  <c r="B194" i="122"/>
  <c r="O25" i="125"/>
  <c r="Q187" i="120"/>
  <c r="EG87" i="121"/>
  <c r="CH85" i="121"/>
  <c r="DL42" i="121"/>
  <c r="DU34" i="121"/>
  <c r="DU42" i="121" s="1"/>
  <c r="BI108" i="120"/>
  <c r="AK239" i="120"/>
  <c r="AK206" i="120"/>
  <c r="CG122" i="120"/>
  <c r="CJ122" i="120" s="1"/>
  <c r="BL122" i="120"/>
  <c r="S18" i="128"/>
  <c r="P17" i="128"/>
  <c r="AQ55" i="122"/>
  <c r="BF55" i="122"/>
  <c r="BD55" i="122" s="1"/>
  <c r="AF55" i="122"/>
  <c r="AL55" i="122" s="1"/>
  <c r="AC19" i="121"/>
  <c r="AF188" i="120"/>
  <c r="R26" i="125"/>
  <c r="CW72" i="123"/>
  <c r="CN70" i="123"/>
  <c r="BH148" i="120"/>
  <c r="AJ214" i="120"/>
  <c r="AM148" i="120"/>
  <c r="H49" i="122"/>
  <c r="N106" i="122"/>
  <c r="GB32" i="121"/>
  <c r="GK32" i="121" s="1"/>
  <c r="EL32" i="121"/>
  <c r="S28" i="125"/>
  <c r="BE23" i="120"/>
  <c r="AG22" i="120"/>
  <c r="AF23" i="120"/>
  <c r="AG190" i="120"/>
  <c r="AI48" i="120"/>
  <c r="N263" i="120"/>
  <c r="BI113" i="120"/>
  <c r="AK252" i="120"/>
  <c r="AN252" i="120" s="1"/>
  <c r="BI157" i="120"/>
  <c r="AN157" i="120"/>
  <c r="AK223" i="120"/>
  <c r="AN223" i="120" s="1"/>
  <c r="BD227" i="120"/>
  <c r="CB227" i="120" s="1"/>
  <c r="S259" i="120"/>
  <c r="AH85" i="120"/>
  <c r="Q85" i="120"/>
  <c r="BI47" i="120"/>
  <c r="AN47" i="120"/>
  <c r="Y29" i="120"/>
  <c r="Y158" i="120" s="1"/>
  <c r="Y160" i="120" s="1"/>
  <c r="Y204" i="120"/>
  <c r="BH47" i="120"/>
  <c r="AM47" i="120"/>
  <c r="DF22" i="121"/>
  <c r="DG14" i="121"/>
  <c r="BY198" i="120"/>
  <c r="CE32" i="120"/>
  <c r="CH32" i="120" s="1"/>
  <c r="N206" i="120"/>
  <c r="N239" i="120"/>
  <c r="AI39" i="120"/>
  <c r="BG39" i="120" s="1"/>
  <c r="CE39" i="120" s="1"/>
  <c r="AI24" i="120"/>
  <c r="AI191" i="120" s="1"/>
  <c r="AM24" i="120"/>
  <c r="AJ191" i="120"/>
  <c r="AJ22" i="120"/>
  <c r="BY46" i="120"/>
  <c r="V53" i="120"/>
  <c r="AE53" i="120" s="1"/>
  <c r="AE71" i="120"/>
  <c r="AC71" i="120" s="1"/>
  <c r="BY50" i="120"/>
  <c r="CF50" i="120"/>
  <c r="CI50" i="120" s="1"/>
  <c r="AS38" i="121"/>
  <c r="C8" i="124"/>
  <c r="AS12" i="121"/>
  <c r="AS13" i="121" s="1"/>
  <c r="AS77" i="121"/>
  <c r="AR77" i="121" s="1"/>
  <c r="AR14" i="121"/>
  <c r="AR38" i="121" s="1"/>
  <c r="AK164" i="122"/>
  <c r="BI111" i="122"/>
  <c r="M19" i="125"/>
  <c r="C14" i="127" s="1"/>
  <c r="C159" i="120"/>
  <c r="B14" i="120"/>
  <c r="C181" i="120"/>
  <c r="C225" i="120" s="1"/>
  <c r="AH90" i="122"/>
  <c r="S81" i="122"/>
  <c r="CJ64" i="120"/>
  <c r="CG65" i="120"/>
  <c r="CJ65" i="120" s="1"/>
  <c r="BI92" i="122"/>
  <c r="CJ85" i="120"/>
  <c r="CG259" i="120"/>
  <c r="CJ259" i="120" s="1"/>
  <c r="CC9" i="121"/>
  <c r="AH176" i="122"/>
  <c r="AN176" i="122" s="1"/>
  <c r="AQ123" i="122"/>
  <c r="AN123" i="122"/>
  <c r="O14" i="125"/>
  <c r="Q176" i="120"/>
  <c r="CL9" i="120"/>
  <c r="BL32" i="120"/>
  <c r="BD32" i="120"/>
  <c r="BJ32" i="120" s="1"/>
  <c r="AM75" i="120"/>
  <c r="BR52" i="121"/>
  <c r="S207" i="120"/>
  <c r="AQ59" i="121" s="1"/>
  <c r="AH110" i="120"/>
  <c r="S250" i="120"/>
  <c r="AF121" i="120"/>
  <c r="AP121" i="120"/>
  <c r="AG267" i="120"/>
  <c r="CM118" i="120"/>
  <c r="AP117" i="120"/>
  <c r="BE117" i="120" s="1"/>
  <c r="BN118" i="120"/>
  <c r="AO118" i="120"/>
  <c r="B50" i="124"/>
  <c r="FF62" i="123"/>
  <c r="AL69" i="32"/>
  <c r="AN69" i="32" s="1"/>
  <c r="AL61" i="32"/>
  <c r="AL70" i="32" s="1"/>
  <c r="AN63" i="32"/>
  <c r="BO112" i="120"/>
  <c r="AQ251" i="120"/>
  <c r="BR24" i="19"/>
  <c r="BR36" i="19"/>
  <c r="AL122" i="120"/>
  <c r="N16" i="126"/>
  <c r="AX50" i="72"/>
  <c r="AO50" i="72"/>
  <c r="CQ100" i="8"/>
  <c r="CQ52" i="8" s="1"/>
  <c r="CC50" i="19"/>
  <c r="CS103" i="8"/>
  <c r="CS101" i="8"/>
  <c r="BG69" i="8"/>
  <c r="BJ105" i="8"/>
  <c r="J10" i="100"/>
  <c r="K8" i="100"/>
  <c r="BR39" i="19"/>
  <c r="AQ42" i="120"/>
  <c r="BF42" i="120" s="1"/>
  <c r="AH242" i="120"/>
  <c r="AN242" i="120" s="1"/>
  <c r="AN42" i="120"/>
  <c r="BS96" i="8"/>
  <c r="BT48" i="8"/>
  <c r="M54" i="97"/>
  <c r="M56" i="97" s="1"/>
  <c r="J54" i="97"/>
  <c r="K36" i="111" s="1"/>
  <c r="CK37" i="8" s="1"/>
  <c r="CL37" i="8" s="1"/>
  <c r="F54" i="97"/>
  <c r="AQ207" i="122"/>
  <c r="BF207" i="122" s="1"/>
  <c r="BO63" i="122"/>
  <c r="BO207" i="122" s="1"/>
  <c r="T36" i="66"/>
  <c r="S37" i="66"/>
  <c r="AM48" i="3"/>
  <c r="BS28" i="71"/>
  <c r="BR28" i="71"/>
  <c r="V30" i="71"/>
  <c r="AT30" i="71"/>
  <c r="U30" i="71"/>
  <c r="BQ29" i="121"/>
  <c r="O42" i="128"/>
  <c r="BR30" i="71"/>
  <c r="BS30" i="71"/>
  <c r="BQ30" i="121"/>
  <c r="BZ30" i="121" s="1"/>
  <c r="BR33" i="71"/>
  <c r="BS33" i="71"/>
  <c r="BJ82" i="6"/>
  <c r="AY82" i="6"/>
  <c r="AZ82" i="6" s="1"/>
  <c r="O41" i="8"/>
  <c r="N37" i="8"/>
  <c r="O37" i="8" s="1"/>
  <c r="Q249" i="120"/>
  <c r="DP39" i="121"/>
  <c r="DY39" i="121" s="1"/>
  <c r="DY29" i="121"/>
  <c r="BI103" i="6"/>
  <c r="R24" i="8"/>
  <c r="R25" i="8" s="1"/>
  <c r="P25" i="8"/>
  <c r="Q24" i="8"/>
  <c r="Q25" i="8" s="1"/>
  <c r="Q45" i="120"/>
  <c r="AH45" i="120"/>
  <c r="CM51" i="120"/>
  <c r="AD12" i="120"/>
  <c r="BZ16" i="121"/>
  <c r="BY16" i="121" s="1"/>
  <c r="CF138" i="120"/>
  <c r="AI19" i="120"/>
  <c r="AI186" i="120" s="1"/>
  <c r="AV223" i="122"/>
  <c r="FR14" i="121"/>
  <c r="FR38" i="121" s="1"/>
  <c r="E35" i="132"/>
  <c r="G35" i="132" s="1"/>
  <c r="AK24" i="98"/>
  <c r="AK28" i="98" s="1"/>
  <c r="DT50" i="19"/>
  <c r="DJ99" i="8"/>
  <c r="BG93" i="122"/>
  <c r="BY222" i="122"/>
  <c r="H19" i="90"/>
  <c r="AF13" i="10"/>
  <c r="BH42" i="11"/>
  <c r="BF12" i="121"/>
  <c r="BF13" i="121" s="1"/>
  <c r="BD14" i="121"/>
  <c r="BD38" i="121" s="1"/>
  <c r="BF38" i="121"/>
  <c r="BF77" i="121"/>
  <c r="I99" i="120"/>
  <c r="O106" i="120"/>
  <c r="D23" i="133"/>
  <c r="D31" i="133" s="1"/>
  <c r="E24" i="133"/>
  <c r="S48" i="96"/>
  <c r="S58" i="96"/>
  <c r="F26" i="132"/>
  <c r="F36" i="132" s="1"/>
  <c r="D26" i="132"/>
  <c r="E26" i="132" s="1"/>
  <c r="H26" i="132"/>
  <c r="H36" i="132" s="1"/>
  <c r="D37" i="132"/>
  <c r="D16" i="127"/>
  <c r="DM77" i="121"/>
  <c r="DM38" i="121"/>
  <c r="AQ152" i="120"/>
  <c r="BF152" i="120" s="1"/>
  <c r="AH218" i="120"/>
  <c r="AN218" i="120" s="1"/>
  <c r="BO66" i="123"/>
  <c r="BO63" i="123"/>
  <c r="M70" i="121"/>
  <c r="V70" i="121" s="1"/>
  <c r="BL14" i="121"/>
  <c r="BJ14" i="121" s="1"/>
  <c r="BJ38" i="121" s="1"/>
  <c r="BJ22" i="121"/>
  <c r="BJ42" i="121" s="1"/>
  <c r="DC26" i="123"/>
  <c r="AA25" i="125"/>
  <c r="BM187" i="120"/>
  <c r="BR40" i="122"/>
  <c r="CA49" i="122"/>
  <c r="DK51" i="8"/>
  <c r="DK53" i="8" s="1"/>
  <c r="CH65" i="123"/>
  <c r="EG65" i="123" s="1"/>
  <c r="GF65" i="123" s="1"/>
  <c r="BH107" i="122"/>
  <c r="CF107" i="122" s="1"/>
  <c r="CI107" i="122" s="1"/>
  <c r="AM107" i="122"/>
  <c r="BI144" i="122"/>
  <c r="AN144" i="122"/>
  <c r="AP50" i="122"/>
  <c r="BE50" i="122" s="1"/>
  <c r="AM50" i="122"/>
  <c r="AG160" i="122"/>
  <c r="AM160" i="122" s="1"/>
  <c r="Z21" i="125"/>
  <c r="BF183" i="120"/>
  <c r="AF180" i="122"/>
  <c r="BD180" i="122" s="1"/>
  <c r="CB180" i="122" s="1"/>
  <c r="Y94" i="122"/>
  <c r="Y159" i="122"/>
  <c r="BU223" i="122"/>
  <c r="FQ75" i="121"/>
  <c r="AW53" i="120"/>
  <c r="BC71" i="120"/>
  <c r="BA71" i="120" s="1"/>
  <c r="F29" i="120"/>
  <c r="F158" i="120" s="1"/>
  <c r="F160" i="120" s="1"/>
  <c r="F204" i="120"/>
  <c r="C39" i="128"/>
  <c r="E39" i="128" s="1"/>
  <c r="J39" i="128" s="1"/>
  <c r="O39" i="128" s="1"/>
  <c r="E41" i="128"/>
  <c r="C17" i="128"/>
  <c r="E18" i="128"/>
  <c r="J18" i="128" s="1"/>
  <c r="O18" i="128" s="1"/>
  <c r="T18" i="128" s="1"/>
  <c r="DU43" i="123"/>
  <c r="EG43" i="123" s="1"/>
  <c r="GF43" i="123" s="1"/>
  <c r="N198" i="120"/>
  <c r="M12" i="120"/>
  <c r="M159" i="120"/>
  <c r="P159" i="120" s="1"/>
  <c r="M181" i="120"/>
  <c r="M225" i="120" s="1"/>
  <c r="K14" i="120"/>
  <c r="AN56" i="120"/>
  <c r="AQ56" i="120"/>
  <c r="BF56" i="120" s="1"/>
  <c r="BL56" i="120" s="1"/>
  <c r="FC67" i="123"/>
  <c r="B146" i="122"/>
  <c r="AF146" i="122" s="1"/>
  <c r="BD146" i="122" s="1"/>
  <c r="CB146" i="122" s="1"/>
  <c r="CL12" i="122"/>
  <c r="AN88" i="120"/>
  <c r="BI88" i="120"/>
  <c r="AK249" i="120"/>
  <c r="AY77" i="121"/>
  <c r="AX77" i="121" s="1"/>
  <c r="AX14" i="121"/>
  <c r="B9" i="124"/>
  <c r="EI17" i="121"/>
  <c r="CH43" i="121"/>
  <c r="CJ43" i="121"/>
  <c r="K87" i="121"/>
  <c r="B85" i="121"/>
  <c r="AN93" i="120"/>
  <c r="AQ93" i="120"/>
  <c r="BF93" i="120" s="1"/>
  <c r="AF93" i="120"/>
  <c r="AH264" i="120"/>
  <c r="BR53" i="120"/>
  <c r="CA53" i="120" s="1"/>
  <c r="CA71" i="120"/>
  <c r="BY245" i="120"/>
  <c r="CE44" i="120"/>
  <c r="CH44" i="120" s="1"/>
  <c r="AE19" i="125"/>
  <c r="I14" i="127" s="1"/>
  <c r="CB14" i="120"/>
  <c r="CC181" i="120"/>
  <c r="CC225" i="120" s="1"/>
  <c r="AJ263" i="120"/>
  <c r="BH48" i="120"/>
  <c r="EC31" i="121"/>
  <c r="V123" i="120"/>
  <c r="T123" i="120" s="1"/>
  <c r="T130" i="120"/>
  <c r="AQ64" i="120"/>
  <c r="BF64" i="120" s="1"/>
  <c r="AH65" i="120"/>
  <c r="AN65" i="120" s="1"/>
  <c r="AF19" i="125"/>
  <c r="I15" i="127" s="1"/>
  <c r="CD181" i="120"/>
  <c r="CD225" i="120" s="1"/>
  <c r="AI106" i="122"/>
  <c r="BG106" i="122" s="1"/>
  <c r="CE106" i="122" s="1"/>
  <c r="CH106" i="122" s="1"/>
  <c r="DW26" i="123"/>
  <c r="EI25" i="123"/>
  <c r="FY15" i="121"/>
  <c r="FW15" i="121" s="1"/>
  <c r="FN15" i="121"/>
  <c r="FN39" i="121" s="1"/>
  <c r="FP14" i="121"/>
  <c r="AK161" i="122"/>
  <c r="BE82" i="122"/>
  <c r="BN82" i="122"/>
  <c r="BP15" i="121"/>
  <c r="CC15" i="121"/>
  <c r="BE9" i="120"/>
  <c r="S14" i="125"/>
  <c r="AG176" i="120"/>
  <c r="AF9" i="120"/>
  <c r="BO255" i="120"/>
  <c r="CN81" i="120"/>
  <c r="BM81" i="120"/>
  <c r="AQ142" i="120"/>
  <c r="AN142" i="120"/>
  <c r="CF50" i="19"/>
  <c r="CP46" i="8"/>
  <c r="Q120" i="120"/>
  <c r="AG120" i="120"/>
  <c r="R119" i="120"/>
  <c r="R266" i="120"/>
  <c r="B49" i="124"/>
  <c r="EW62" i="123"/>
  <c r="FO62" i="123" s="1"/>
  <c r="AC53" i="126" s="1"/>
  <c r="CL33" i="7"/>
  <c r="CL27" i="7" s="1"/>
  <c r="CL140" i="7"/>
  <c r="BF210" i="120"/>
  <c r="BL210" i="120" s="1"/>
  <c r="BL144" i="120"/>
  <c r="BG71" i="8"/>
  <c r="B20" i="73"/>
  <c r="D20" i="73" s="1"/>
  <c r="D19" i="73"/>
  <c r="BD122" i="120"/>
  <c r="BK122" i="120"/>
  <c r="CM66" i="120"/>
  <c r="AO66" i="120"/>
  <c r="CL66" i="120" s="1"/>
  <c r="BN66" i="120"/>
  <c r="BM66" i="120" s="1"/>
  <c r="J56" i="97"/>
  <c r="K35" i="111"/>
  <c r="AQ68" i="122"/>
  <c r="AF68" i="122"/>
  <c r="AL68" i="122" s="1"/>
  <c r="AN68" i="122"/>
  <c r="I37" i="85"/>
  <c r="J36" i="85"/>
  <c r="AQ205" i="120"/>
  <c r="CP57" i="121" s="1"/>
  <c r="AQ238" i="120"/>
  <c r="D70" i="68"/>
  <c r="D72" i="68" s="1"/>
  <c r="AF9" i="122"/>
  <c r="BF9" i="122"/>
  <c r="BD9" i="122" s="1"/>
  <c r="Z36" i="61"/>
  <c r="AA36" i="61" s="1"/>
  <c r="AB36" i="61" s="1"/>
  <c r="AC36" i="61" s="1"/>
  <c r="AD36" i="61" s="1"/>
  <c r="AY36" i="61"/>
  <c r="Y36" i="61"/>
  <c r="CR51" i="8"/>
  <c r="CR53" i="8" s="1"/>
  <c r="BV34" i="19"/>
  <c r="BV24" i="19"/>
  <c r="BV29" i="19"/>
  <c r="BV28" i="19"/>
  <c r="BV37" i="19"/>
  <c r="BV36" i="19"/>
  <c r="BV39" i="19"/>
  <c r="BV40" i="19"/>
  <c r="BV18" i="19"/>
  <c r="I70" i="85"/>
  <c r="J69" i="85"/>
  <c r="BV42" i="19"/>
  <c r="X42" i="92"/>
  <c r="G35" i="86" s="1"/>
  <c r="G39" i="86" s="1"/>
  <c r="M19" i="87" s="1"/>
  <c r="G26" i="86"/>
  <c r="G30" i="86" s="1"/>
  <c r="L19" i="87" s="1"/>
  <c r="AN64" i="122"/>
  <c r="AQ64" i="122"/>
  <c r="H119" i="106"/>
  <c r="H121" i="106" s="1"/>
  <c r="H122" i="106" s="1"/>
  <c r="BT37" i="19"/>
  <c r="BT40" i="19"/>
  <c r="BT18" i="19"/>
  <c r="BT34" i="19"/>
  <c r="BT31" i="19"/>
  <c r="BT39" i="19"/>
  <c r="BT29" i="19"/>
  <c r="BT21" i="19"/>
  <c r="BT33" i="19"/>
  <c r="G8" i="92"/>
  <c r="F14" i="92"/>
  <c r="AN64" i="121"/>
  <c r="N49" i="125"/>
  <c r="C3" i="85"/>
  <c r="D3" i="85" s="1"/>
  <c r="K47" i="61"/>
  <c r="AD29" i="121"/>
  <c r="J25" i="21"/>
  <c r="K25" i="21"/>
  <c r="BS27" i="71"/>
  <c r="BR27" i="71"/>
  <c r="BS26" i="71"/>
  <c r="BR26" i="71"/>
  <c r="F15" i="68"/>
  <c r="BK55" i="7"/>
  <c r="BK52" i="7" s="1"/>
  <c r="BI52" i="7"/>
  <c r="BI144" i="7" s="1"/>
  <c r="BI150" i="7" s="1"/>
  <c r="BB29" i="71"/>
  <c r="BA29" i="71" s="1"/>
  <c r="C34" i="73"/>
  <c r="D33" i="73"/>
  <c r="AZ18" i="8"/>
  <c r="BB18" i="8" s="1"/>
  <c r="BG54" i="9"/>
  <c r="BB44" i="8"/>
  <c r="BC44" i="8" s="1"/>
  <c r="BB100" i="8"/>
  <c r="AZ76" i="8"/>
  <c r="BB76" i="8" s="1"/>
  <c r="BB20" i="8"/>
  <c r="BA50" i="8"/>
  <c r="AZ98" i="8"/>
  <c r="BA98" i="8" s="1"/>
  <c r="AG135" i="120"/>
  <c r="P14" i="8"/>
  <c r="Q13" i="8"/>
  <c r="R13" i="8"/>
  <c r="X270" i="120"/>
  <c r="BH262" i="120"/>
  <c r="CE72" i="121"/>
  <c r="FX22" i="121"/>
  <c r="FW22" i="121" s="1"/>
  <c r="BY71" i="120"/>
  <c r="G34" i="133"/>
  <c r="BG37" i="122"/>
  <c r="CE37" i="122" s="1"/>
  <c r="CH37" i="122" s="1"/>
  <c r="AI72" i="120"/>
  <c r="BS270" i="120"/>
  <c r="AN34" i="120"/>
  <c r="F9" i="21"/>
  <c r="BB42" i="8"/>
  <c r="BB93" i="8" s="1"/>
  <c r="F15" i="65" s="1"/>
  <c r="CJ78" i="121"/>
  <c r="Q14" i="121"/>
  <c r="Q38" i="121" s="1"/>
  <c r="S12" i="121"/>
  <c r="S77" i="121"/>
  <c r="S38" i="121"/>
  <c r="C31" i="124"/>
  <c r="ER38" i="121"/>
  <c r="ER77" i="121"/>
  <c r="DL26" i="123"/>
  <c r="DL62" i="123"/>
  <c r="FT48" i="123"/>
  <c r="F27" i="133"/>
  <c r="F31" i="133" s="1"/>
  <c r="DC62" i="123"/>
  <c r="DU62" i="123" s="1"/>
  <c r="EG62" i="123" s="1"/>
  <c r="DU9" i="123"/>
  <c r="EG9" i="123" s="1"/>
  <c r="L64" i="123"/>
  <c r="B64" i="123"/>
  <c r="DG94" i="8"/>
  <c r="DG117" i="8" s="1"/>
  <c r="AS11" i="65" s="1"/>
  <c r="AS10" i="65" s="1"/>
  <c r="DF46" i="8"/>
  <c r="DF94" i="8" s="1"/>
  <c r="Z14" i="121"/>
  <c r="Z38" i="121" s="1"/>
  <c r="AA12" i="121"/>
  <c r="AA13" i="121" s="1"/>
  <c r="AA77" i="121"/>
  <c r="AA38" i="121"/>
  <c r="AL47" i="95"/>
  <c r="AL52" i="95" s="1"/>
  <c r="U53" i="120"/>
  <c r="T53" i="120" s="1"/>
  <c r="T71" i="120"/>
  <c r="FH39" i="121"/>
  <c r="FH41" i="121"/>
  <c r="DA27" i="7"/>
  <c r="G17" i="134"/>
  <c r="BF66" i="123"/>
  <c r="BF63" i="123"/>
  <c r="GF48" i="123"/>
  <c r="CW87" i="8"/>
  <c r="M68" i="121"/>
  <c r="V68" i="121" s="1"/>
  <c r="W39" i="121"/>
  <c r="W41" i="121"/>
  <c r="AQ150" i="120"/>
  <c r="BF150" i="120" s="1"/>
  <c r="AH216" i="120"/>
  <c r="AN216" i="120" s="1"/>
  <c r="CM21" i="123"/>
  <c r="EF21" i="123"/>
  <c r="DI17" i="8"/>
  <c r="AA21" i="125"/>
  <c r="BM183" i="120"/>
  <c r="AK153" i="122"/>
  <c r="AN153" i="122" s="1"/>
  <c r="AN96" i="122"/>
  <c r="B262" i="120"/>
  <c r="R194" i="122"/>
  <c r="AG194" i="122" s="1"/>
  <c r="R160" i="122"/>
  <c r="AP44" i="123" s="1"/>
  <c r="AY44" i="123" s="1"/>
  <c r="GC75" i="121"/>
  <c r="BI110" i="120"/>
  <c r="AK250" i="120"/>
  <c r="AK207" i="120"/>
  <c r="AN110" i="120"/>
  <c r="X29" i="120"/>
  <c r="W29" i="120" s="1"/>
  <c r="W37" i="120"/>
  <c r="S42" i="128"/>
  <c r="P39" i="128"/>
  <c r="S39" i="128" s="1"/>
  <c r="I41" i="128"/>
  <c r="J41" i="128" s="1"/>
  <c r="O41" i="128" s="1"/>
  <c r="T41" i="128" s="1"/>
  <c r="DC76" i="121"/>
  <c r="GB35" i="121"/>
  <c r="GK35" i="121" s="1"/>
  <c r="EL35" i="121"/>
  <c r="AU42" i="121"/>
  <c r="BV34" i="121"/>
  <c r="V99" i="120"/>
  <c r="AE106" i="120"/>
  <c r="AN54" i="120"/>
  <c r="BI54" i="120"/>
  <c r="O189" i="120"/>
  <c r="O14" i="120"/>
  <c r="N22" i="120"/>
  <c r="N189" i="120" s="1"/>
  <c r="P185" i="120"/>
  <c r="AK18" i="120"/>
  <c r="P14" i="120"/>
  <c r="S89" i="120"/>
  <c r="AH89" i="120" s="1"/>
  <c r="Q93" i="120"/>
  <c r="Q264" i="120" s="1"/>
  <c r="S264" i="120"/>
  <c r="S260" i="120" s="1"/>
  <c r="BA254" i="120"/>
  <c r="BG45" i="120"/>
  <c r="AN98" i="120"/>
  <c r="AK269" i="120"/>
  <c r="AN269" i="120" s="1"/>
  <c r="BI98" i="120"/>
  <c r="U17" i="126"/>
  <c r="EC10" i="123"/>
  <c r="AA17" i="126" s="1"/>
  <c r="O22" i="125"/>
  <c r="CL17" i="120"/>
  <c r="Q184" i="120"/>
  <c r="S181" i="120"/>
  <c r="S225" i="120" s="1"/>
  <c r="Q14" i="120"/>
  <c r="Q19" i="125"/>
  <c r="D15" i="127" s="1"/>
  <c r="S159" i="120"/>
  <c r="BT29" i="120"/>
  <c r="BS29" i="120" s="1"/>
  <c r="BS37" i="120"/>
  <c r="BG51" i="120"/>
  <c r="CE51" i="120" s="1"/>
  <c r="CH51" i="120" s="1"/>
  <c r="AL51" i="120"/>
  <c r="BV39" i="121"/>
  <c r="CH29" i="121"/>
  <c r="BU179" i="120"/>
  <c r="BU180" i="120" s="1"/>
  <c r="BU13" i="120"/>
  <c r="BG22" i="61"/>
  <c r="CY175" i="7"/>
  <c r="BR94" i="122"/>
  <c r="CA101" i="122"/>
  <c r="BP101" i="122"/>
  <c r="S62" i="120"/>
  <c r="S65" i="120"/>
  <c r="BY205" i="120"/>
  <c r="GM9" i="121"/>
  <c r="Q17" i="126"/>
  <c r="CC10" i="123"/>
  <c r="BP10" i="123"/>
  <c r="BZ10" i="123"/>
  <c r="BY10" i="123" s="1"/>
  <c r="AE52" i="121"/>
  <c r="BF80" i="122"/>
  <c r="BL80" i="122" s="1"/>
  <c r="AQ86" i="120"/>
  <c r="BF86" i="120" s="1"/>
  <c r="BF244" i="120" s="1"/>
  <c r="AH244" i="120"/>
  <c r="D53" i="120"/>
  <c r="AN152" i="120"/>
  <c r="H130" i="120"/>
  <c r="AE46" i="123"/>
  <c r="BI143" i="120"/>
  <c r="AZ13" i="120"/>
  <c r="AZ179" i="120"/>
  <c r="AZ180" i="120" s="1"/>
  <c r="N209" i="122"/>
  <c r="N162" i="122"/>
  <c r="GM15" i="121"/>
  <c r="GM39" i="121" s="1"/>
  <c r="AO22" i="120"/>
  <c r="AQ189" i="120"/>
  <c r="W27" i="125"/>
  <c r="AQ14" i="120"/>
  <c r="AK198" i="120"/>
  <c r="BL72" i="120"/>
  <c r="S139" i="120"/>
  <c r="FP52" i="121"/>
  <c r="GA74" i="121"/>
  <c r="Y59" i="125"/>
  <c r="EK74" i="121"/>
  <c r="BH45" i="3"/>
  <c r="BH44" i="3" s="1"/>
  <c r="BA36" i="61"/>
  <c r="CM151" i="7"/>
  <c r="AG141" i="120"/>
  <c r="Q141" i="120"/>
  <c r="R268" i="120"/>
  <c r="BF121" i="120"/>
  <c r="S75" i="122"/>
  <c r="AH75" i="122" s="1"/>
  <c r="S79" i="122"/>
  <c r="B44" i="124"/>
  <c r="B51" i="124" s="1"/>
  <c r="BH62" i="123"/>
  <c r="BQ62" i="123" s="1"/>
  <c r="Q53" i="126" s="1"/>
  <c r="BQ9" i="123"/>
  <c r="Q16" i="126" s="1"/>
  <c r="AF142" i="120"/>
  <c r="AL142" i="120" s="1"/>
  <c r="C15" i="118"/>
  <c r="D15" i="118" s="1"/>
  <c r="D49" i="118" s="1"/>
  <c r="D14" i="118"/>
  <c r="BO144" i="120"/>
  <c r="BO210" i="120" s="1"/>
  <c r="EO62" i="121" s="1"/>
  <c r="AQ210" i="120"/>
  <c r="CP62" i="121" s="1"/>
  <c r="D9" i="118"/>
  <c r="C10" i="118"/>
  <c r="D10" i="118" s="1"/>
  <c r="FO9" i="123"/>
  <c r="AC16" i="126" s="1"/>
  <c r="BV38" i="17"/>
  <c r="BV24" i="17"/>
  <c r="BV39" i="17" s="1"/>
  <c r="CN46" i="8"/>
  <c r="CN94" i="8" s="1"/>
  <c r="CO94" i="8"/>
  <c r="CO117" i="8" s="1"/>
  <c r="AK11" i="65" s="1"/>
  <c r="AQ70" i="32"/>
  <c r="M48" i="97"/>
  <c r="J48" i="97"/>
  <c r="K30" i="111" s="1"/>
  <c r="CF28" i="7" s="1"/>
  <c r="AQ116" i="120"/>
  <c r="AH249" i="120"/>
  <c r="AN116" i="120"/>
  <c r="BC41" i="3"/>
  <c r="BC39" i="3" s="1"/>
  <c r="Z11" i="95" s="1"/>
  <c r="AE36" i="64"/>
  <c r="AX50" i="19"/>
  <c r="Q143" i="122"/>
  <c r="CL9" i="122"/>
  <c r="Q125" i="122"/>
  <c r="BU36" i="19"/>
  <c r="BU33" i="19"/>
  <c r="BU24" i="19"/>
  <c r="N15" i="102"/>
  <c r="O13" i="102"/>
  <c r="BO100" i="120"/>
  <c r="CN100" i="120" s="1"/>
  <c r="AX43" i="3"/>
  <c r="AX39" i="3"/>
  <c r="H7" i="96" s="1"/>
  <c r="BV21" i="19"/>
  <c r="BR104" i="8"/>
  <c r="BR106" i="8"/>
  <c r="BR18" i="19"/>
  <c r="CN63" i="7"/>
  <c r="CN65" i="7" s="1"/>
  <c r="AQ245" i="120"/>
  <c r="BO44" i="120"/>
  <c r="BF44" i="120"/>
  <c r="BP17" i="7"/>
  <c r="BP63" i="7" s="1"/>
  <c r="BP65" i="7" s="1"/>
  <c r="BY25" i="7"/>
  <c r="BZ25" i="7" s="1"/>
  <c r="G38" i="97"/>
  <c r="F40" i="97"/>
  <c r="F43" i="97" s="1"/>
  <c r="Y33" i="98"/>
  <c r="U33" i="98"/>
  <c r="BS60" i="72"/>
  <c r="BV60" i="72"/>
  <c r="BO54" i="72"/>
  <c r="BP54" i="72" s="1"/>
  <c r="BO52" i="72"/>
  <c r="V33" i="71"/>
  <c r="U33" i="71"/>
  <c r="AX33" i="71"/>
  <c r="AP14" i="71"/>
  <c r="AM14" i="71" s="1"/>
  <c r="EM30" i="121"/>
  <c r="FO30" i="121"/>
  <c r="FX30" i="121" s="1"/>
  <c r="BH144" i="7"/>
  <c r="BH150" i="7" s="1"/>
  <c r="BH63" i="7"/>
  <c r="O41" i="7"/>
  <c r="P40" i="7"/>
  <c r="P41" i="7" s="1"/>
  <c r="AF30" i="8"/>
  <c r="Z30" i="8"/>
  <c r="Z31" i="8" s="1"/>
  <c r="Z27" i="8" s="1"/>
  <c r="AJ30" i="8"/>
  <c r="Y31" i="8"/>
  <c r="Y27" i="8" s="1"/>
  <c r="AF27" i="8" s="1"/>
  <c r="S50" i="120"/>
  <c r="S268" i="120"/>
  <c r="S265" i="120" s="1"/>
  <c r="S270" i="120" s="1"/>
  <c r="Q52" i="120"/>
  <c r="AH52" i="120"/>
  <c r="B249" i="120"/>
  <c r="BC30" i="71"/>
  <c r="S27" i="59"/>
  <c r="AG9" i="59"/>
  <c r="Z175" i="6"/>
  <c r="BA62" i="9"/>
  <c r="L69" i="9"/>
  <c r="BF24" i="7"/>
  <c r="BF17" i="7" s="1"/>
  <c r="AZ17" i="7"/>
  <c r="BD82" i="6"/>
  <c r="AS74" i="8"/>
  <c r="AS75" i="8" s="1"/>
  <c r="AS68" i="8"/>
  <c r="AT33" i="71"/>
  <c r="BC32" i="17"/>
  <c r="AX32" i="17"/>
  <c r="AT32" i="17"/>
  <c r="U32" i="17"/>
  <c r="Y13" i="8" s="1"/>
  <c r="V32" i="17"/>
  <c r="Q110" i="120"/>
  <c r="BK52" i="120"/>
  <c r="AP250" i="120"/>
  <c r="BN110" i="120"/>
  <c r="CM110" i="120" s="1"/>
  <c r="AP207" i="120"/>
  <c r="CO59" i="121" s="1"/>
  <c r="CX59" i="121" s="1"/>
  <c r="K59" i="121"/>
  <c r="U59" i="121"/>
  <c r="T59" i="121" s="1"/>
  <c r="BY213" i="122"/>
  <c r="BY152" i="122"/>
  <c r="BT94" i="122"/>
  <c r="BZ101" i="122"/>
  <c r="BY101" i="122" s="1"/>
  <c r="BS101" i="122"/>
  <c r="BS159" i="122" s="1"/>
  <c r="BY9" i="122"/>
  <c r="BY143" i="122" s="1"/>
  <c r="BY178" i="122" s="1"/>
  <c r="FQ42" i="121"/>
  <c r="EY42" i="121"/>
  <c r="BS14" i="120"/>
  <c r="BT181" i="120"/>
  <c r="BT225" i="120" s="1"/>
  <c r="BT159" i="120"/>
  <c r="BZ159" i="120" s="1"/>
  <c r="BY159" i="120" s="1"/>
  <c r="C15" i="124"/>
  <c r="EZ12" i="121"/>
  <c r="EZ77" i="121"/>
  <c r="EY77" i="121" s="1"/>
  <c r="EZ38" i="121"/>
  <c r="FR39" i="121"/>
  <c r="FR41" i="121"/>
  <c r="FQ15" i="121"/>
  <c r="EY41" i="121"/>
  <c r="EY39" i="121"/>
  <c r="CJ17" i="120"/>
  <c r="FR27" i="123"/>
  <c r="FR28" i="123"/>
  <c r="BT13" i="120"/>
  <c r="BT179" i="120"/>
  <c r="BT180" i="120" s="1"/>
  <c r="BS12" i="120"/>
  <c r="D36" i="132"/>
  <c r="DJ101" i="8"/>
  <c r="DJ103" i="8"/>
  <c r="Q74" i="123"/>
  <c r="Q63" i="123"/>
  <c r="CE93" i="122"/>
  <c r="CH93" i="122" s="1"/>
  <c r="BD125" i="120"/>
  <c r="BK125" i="120"/>
  <c r="BE198" i="120"/>
  <c r="BG157" i="7"/>
  <c r="BG155" i="7"/>
  <c r="AR91" i="8"/>
  <c r="AR17" i="8"/>
  <c r="AR51" i="8" s="1"/>
  <c r="BP179" i="120"/>
  <c r="BP180" i="120" s="1"/>
  <c r="BP13" i="120"/>
  <c r="C39" i="132"/>
  <c r="C40" i="132" s="1"/>
  <c r="C38" i="132"/>
  <c r="DP50" i="19"/>
  <c r="DR50" i="19"/>
  <c r="DN50" i="19"/>
  <c r="DQ50" i="19"/>
  <c r="DS50" i="19"/>
  <c r="AR11" i="65"/>
  <c r="DL74" i="123"/>
  <c r="DL63" i="123"/>
  <c r="AU74" i="123"/>
  <c r="BV61" i="123"/>
  <c r="AU63" i="123"/>
  <c r="BL108" i="120"/>
  <c r="N34" i="125"/>
  <c r="AN49" i="121"/>
  <c r="AR99" i="8"/>
  <c r="C27" i="75"/>
  <c r="C28" i="75" s="1"/>
  <c r="C30" i="75" s="1"/>
  <c r="BD111" i="120"/>
  <c r="BK111" i="120"/>
  <c r="AL16" i="121"/>
  <c r="AN14" i="121"/>
  <c r="BL111" i="120"/>
  <c r="BF243" i="120"/>
  <c r="BL243" i="120" s="1"/>
  <c r="AG50" i="5"/>
  <c r="BD34" i="7" s="1"/>
  <c r="AG51" i="5"/>
  <c r="BD42" i="7" s="1"/>
  <c r="AG47" i="5"/>
  <c r="AG49" i="5"/>
  <c r="BD26" i="7" s="1"/>
  <c r="BE26" i="7" s="1"/>
  <c r="AG48" i="5"/>
  <c r="BD16" i="7" s="1"/>
  <c r="E27" i="75"/>
  <c r="E28" i="75" s="1"/>
  <c r="E30" i="75" s="1"/>
  <c r="I15" i="65"/>
  <c r="BF240" i="120"/>
  <c r="BL240" i="120" s="1"/>
  <c r="BL40" i="120"/>
  <c r="DA21" i="19"/>
  <c r="DA38" i="19"/>
  <c r="DA43" i="19"/>
  <c r="DA36" i="19"/>
  <c r="DA15" i="19"/>
  <c r="DA23" i="19"/>
  <c r="DA26" i="19"/>
  <c r="DA48" i="19"/>
  <c r="DA42" i="19"/>
  <c r="DA19" i="19"/>
  <c r="DA46" i="19"/>
  <c r="DA47" i="19"/>
  <c r="DA25" i="19"/>
  <c r="DA37" i="19"/>
  <c r="DA35" i="19"/>
  <c r="DA33" i="19"/>
  <c r="DA40" i="19"/>
  <c r="DA29" i="19"/>
  <c r="DA31" i="19"/>
  <c r="DA18" i="19"/>
  <c r="DA41" i="19"/>
  <c r="DA44" i="19"/>
  <c r="DA34" i="19"/>
  <c r="DA22" i="19"/>
  <c r="DA8" i="19"/>
  <c r="DA30" i="19"/>
  <c r="DA45" i="19"/>
  <c r="DA39" i="19"/>
  <c r="DA28" i="19"/>
  <c r="DA32" i="19"/>
  <c r="DA20" i="19"/>
  <c r="DA24" i="19"/>
  <c r="DA17" i="19"/>
  <c r="CY56" i="8" s="1"/>
  <c r="AN210" i="122"/>
  <c r="AT82" i="7"/>
  <c r="AT80" i="7"/>
  <c r="AT83" i="7"/>
  <c r="CE88" i="120"/>
  <c r="CH88" i="120" s="1"/>
  <c r="AH56" i="122"/>
  <c r="BA155" i="122"/>
  <c r="BP181" i="120"/>
  <c r="BP225" i="120" s="1"/>
  <c r="BM14" i="121"/>
  <c r="BM38" i="121" s="1"/>
  <c r="BO77" i="121"/>
  <c r="BO38" i="121"/>
  <c r="CD174" i="122"/>
  <c r="CN115" i="122"/>
  <c r="D121" i="122"/>
  <c r="C35" i="133"/>
  <c r="C33" i="133"/>
  <c r="G29" i="132"/>
  <c r="G28" i="132" s="1"/>
  <c r="E28" i="132"/>
  <c r="D19" i="132"/>
  <c r="E19" i="132" s="1"/>
  <c r="E18" i="132"/>
  <c r="DA123" i="8"/>
  <c r="AP17" i="65"/>
  <c r="AQ17" i="65" s="1"/>
  <c r="C25" i="122"/>
  <c r="CB25" i="122"/>
  <c r="CB114" i="122"/>
  <c r="C114" i="122"/>
  <c r="CI114" i="122"/>
  <c r="CC167" i="122"/>
  <c r="CI167" i="122" s="1"/>
  <c r="AJ15" i="95"/>
  <c r="AJ20" i="95" s="1"/>
  <c r="AJ8" i="95"/>
  <c r="AJ13" i="95" s="1"/>
  <c r="CB33" i="120"/>
  <c r="C33" i="120"/>
  <c r="AN37" i="66"/>
  <c r="CO18" i="121"/>
  <c r="EN18" i="121"/>
  <c r="C18" i="121"/>
  <c r="EW18" i="121"/>
  <c r="EV18" i="121" s="1"/>
  <c r="BH18" i="121"/>
  <c r="BG18" i="121" s="1"/>
  <c r="U18" i="121"/>
  <c r="T18" i="121" s="1"/>
  <c r="L18" i="121"/>
  <c r="K18" i="121" s="1"/>
  <c r="FF18" i="121"/>
  <c r="FE18" i="121" s="1"/>
  <c r="CX18" i="121"/>
  <c r="CW18" i="121" s="1"/>
  <c r="DG18" i="121"/>
  <c r="DF18" i="121" s="1"/>
  <c r="AY18" i="121"/>
  <c r="AX18" i="121" s="1"/>
  <c r="FZ18" i="121"/>
  <c r="AP18" i="121"/>
  <c r="CC175" i="120"/>
  <c r="CC177" i="120" s="1"/>
  <c r="BN8" i="120"/>
  <c r="CC10" i="120"/>
  <c r="AE15" i="125" s="1"/>
  <c r="CC11" i="120"/>
  <c r="AE13" i="125"/>
  <c r="AP8" i="120"/>
  <c r="R8" i="120"/>
  <c r="C8" i="120"/>
  <c r="CB8" i="120"/>
  <c r="CZ100" i="8"/>
  <c r="CZ52" i="8" s="1"/>
  <c r="DA52" i="8"/>
  <c r="BD61" i="32"/>
  <c r="DC17" i="8"/>
  <c r="AQ12" i="66"/>
  <c r="AQ11" i="66" s="1"/>
  <c r="DB64" i="7"/>
  <c r="DA151" i="7"/>
  <c r="DA64" i="7" s="1"/>
  <c r="AL11" i="95"/>
  <c r="BT39" i="3"/>
  <c r="AP12" i="66"/>
  <c r="DA50" i="7"/>
  <c r="DA140" i="7"/>
  <c r="DK125" i="8"/>
  <c r="DF152" i="7"/>
  <c r="DF154" i="7"/>
  <c r="BC22" i="61"/>
  <c r="CS175" i="7"/>
  <c r="AQ54" i="122"/>
  <c r="BF54" i="122" s="1"/>
  <c r="CY145" i="7"/>
  <c r="CX58" i="7"/>
  <c r="CX145" i="7" s="1"/>
  <c r="T58" i="96"/>
  <c r="T53" i="96"/>
  <c r="T48" i="96"/>
  <c r="CY64" i="7"/>
  <c r="CX151" i="7"/>
  <c r="CX64" i="7" s="1"/>
  <c r="CC80" i="122"/>
  <c r="CZ32" i="8"/>
  <c r="CT63" i="123"/>
  <c r="CT74" i="123"/>
  <c r="DU61" i="123"/>
  <c r="H63" i="123"/>
  <c r="H74" i="123"/>
  <c r="AI61" i="123"/>
  <c r="DJ51" i="8"/>
  <c r="DJ53" i="8" s="1"/>
  <c r="R63" i="123"/>
  <c r="R66" i="123"/>
  <c r="AJ61" i="123"/>
  <c r="C67" i="120"/>
  <c r="CB67" i="120"/>
  <c r="CV117" i="8"/>
  <c r="CT48" i="8"/>
  <c r="CT96" i="8" s="1"/>
  <c r="CU96" i="8"/>
  <c r="CC101" i="120"/>
  <c r="CU29" i="7"/>
  <c r="AI52" i="123"/>
  <c r="CQ13" i="19"/>
  <c r="CX13" i="19" s="1"/>
  <c r="CT14" i="19"/>
  <c r="CT13" i="19" s="1"/>
  <c r="DA13" i="19" s="1"/>
  <c r="DA10" i="19" s="1"/>
  <c r="DA11" i="19" s="1"/>
  <c r="CV14" i="19"/>
  <c r="CV13" i="19" s="1"/>
  <c r="DC13" i="19" s="1"/>
  <c r="DC10" i="19" s="1"/>
  <c r="DC11" i="19" s="1"/>
  <c r="CS14" i="19"/>
  <c r="CS13" i="19" s="1"/>
  <c r="CZ13" i="19" s="1"/>
  <c r="CZ10" i="19" s="1"/>
  <c r="CZ11" i="19" s="1"/>
  <c r="AC166" i="122"/>
  <c r="AI113" i="122"/>
  <c r="N196" i="122"/>
  <c r="AI84" i="122"/>
  <c r="AK79" i="122"/>
  <c r="BI78" i="122"/>
  <c r="BI67" i="122"/>
  <c r="CG67" i="122" s="1"/>
  <c r="CJ67" i="122" s="1"/>
  <c r="AN67" i="122"/>
  <c r="AR15" i="65"/>
  <c r="DD121" i="8"/>
  <c r="DD125" i="8" s="1"/>
  <c r="CC113" i="122"/>
  <c r="CZ44" i="8"/>
  <c r="CZ152" i="7"/>
  <c r="AN82" i="122"/>
  <c r="BI82" i="122"/>
  <c r="CG82" i="122" s="1"/>
  <c r="CJ82" i="122" s="1"/>
  <c r="BI69" i="122"/>
  <c r="AN69" i="122"/>
  <c r="BI55" i="122"/>
  <c r="AN55" i="122"/>
  <c r="BI215" i="122"/>
  <c r="CG215" i="122" s="1"/>
  <c r="X21" i="122"/>
  <c r="W21" i="122" s="1"/>
  <c r="W29" i="122"/>
  <c r="L82" i="68"/>
  <c r="L83" i="68"/>
  <c r="L81" i="68"/>
  <c r="L80" i="68"/>
  <c r="CZ158" i="7"/>
  <c r="FT61" i="121"/>
  <c r="ES76" i="121"/>
  <c r="AC21" i="126"/>
  <c r="FN14" i="123"/>
  <c r="AB21" i="126" s="1"/>
  <c r="GG30" i="121"/>
  <c r="GG40" i="121" s="1"/>
  <c r="EH40" i="121"/>
  <c r="AR39" i="121"/>
  <c r="AR41" i="121"/>
  <c r="AG186" i="120"/>
  <c r="AF19" i="120"/>
  <c r="S24" i="125"/>
  <c r="BE19" i="120"/>
  <c r="DO19" i="121"/>
  <c r="CT89" i="121"/>
  <c r="CC19" i="121"/>
  <c r="EC24" i="123"/>
  <c r="CM24" i="123"/>
  <c r="AW223" i="122"/>
  <c r="DZ19" i="121"/>
  <c r="DY21" i="121"/>
  <c r="DX21" i="121" s="1"/>
  <c r="O200" i="122"/>
  <c r="AJ200" i="122" s="1"/>
  <c r="N56" i="122"/>
  <c r="N200" i="122" s="1"/>
  <c r="AG66" i="122"/>
  <c r="R214" i="122"/>
  <c r="AG214" i="122" s="1"/>
  <c r="AM214" i="122" s="1"/>
  <c r="FB26" i="123"/>
  <c r="B210" i="122"/>
  <c r="EZ55" i="121"/>
  <c r="EY53" i="121"/>
  <c r="EY55" i="121" s="1"/>
  <c r="BY139" i="120"/>
  <c r="L123" i="120"/>
  <c r="K130" i="120"/>
  <c r="K204" i="120" s="1"/>
  <c r="L204" i="120"/>
  <c r="O130" i="120"/>
  <c r="BI74" i="120"/>
  <c r="AK241" i="120"/>
  <c r="AN74" i="120"/>
  <c r="AZ29" i="120"/>
  <c r="AZ204" i="120"/>
  <c r="AX37" i="120"/>
  <c r="BH33" i="120"/>
  <c r="AC223" i="120"/>
  <c r="AI157" i="120"/>
  <c r="BY89" i="120"/>
  <c r="CJ72" i="120"/>
  <c r="BA217" i="122"/>
  <c r="BG217" i="122" s="1"/>
  <c r="C14" i="121"/>
  <c r="B22" i="121"/>
  <c r="GM22" i="121" s="1"/>
  <c r="CG102" i="120"/>
  <c r="BI198" i="120"/>
  <c r="AK244" i="120"/>
  <c r="AN244" i="120" s="1"/>
  <c r="BI86" i="120"/>
  <c r="AN86" i="120"/>
  <c r="AI67" i="120"/>
  <c r="N199" i="120"/>
  <c r="BW29" i="120"/>
  <c r="BV37" i="120"/>
  <c r="BW204" i="120"/>
  <c r="BG38" i="120"/>
  <c r="FH54" i="121"/>
  <c r="FQ54" i="121" s="1"/>
  <c r="FS54" i="121"/>
  <c r="FJ55" i="121"/>
  <c r="BT123" i="120"/>
  <c r="BS130" i="120"/>
  <c r="BS204" i="120" s="1"/>
  <c r="BZ130" i="120"/>
  <c r="AQ57" i="120"/>
  <c r="BF57" i="120" s="1"/>
  <c r="AN57" i="120"/>
  <c r="AF57" i="120"/>
  <c r="AF198" i="120" s="1"/>
  <c r="AH198" i="120"/>
  <c r="AN198" i="120" s="1"/>
  <c r="CH230" i="120"/>
  <c r="AJ56" i="122"/>
  <c r="BT204" i="120"/>
  <c r="CO151" i="7"/>
  <c r="CO64" i="7" s="1"/>
  <c r="CP64" i="7"/>
  <c r="R65" i="125"/>
  <c r="CK80" i="121"/>
  <c r="CN120" i="120"/>
  <c r="AQ119" i="120"/>
  <c r="BO120" i="120"/>
  <c r="AQ266" i="120"/>
  <c r="DX65" i="123"/>
  <c r="V56" i="126"/>
  <c r="CZ28" i="8"/>
  <c r="CC76" i="122"/>
  <c r="CC155" i="122" s="1"/>
  <c r="BE257" i="120"/>
  <c r="AC60" i="125"/>
  <c r="FY75" i="121"/>
  <c r="EA86" i="121"/>
  <c r="BO133" i="120"/>
  <c r="AG139" i="120"/>
  <c r="Q139" i="120"/>
  <c r="R130" i="120"/>
  <c r="EW80" i="121"/>
  <c r="EM80" i="121"/>
  <c r="CN135" i="120"/>
  <c r="AK36" i="64"/>
  <c r="BK41" i="3"/>
  <c r="BK39" i="3" s="1"/>
  <c r="CF47" i="7"/>
  <c r="CF137" i="7" s="1"/>
  <c r="CG137" i="7"/>
  <c r="Q47" i="125"/>
  <c r="CA62" i="121"/>
  <c r="BO103" i="8"/>
  <c r="BO101" i="8"/>
  <c r="BM70" i="3"/>
  <c r="BM63" i="3" s="1"/>
  <c r="BE63" i="3"/>
  <c r="BV147" i="7"/>
  <c r="BW38" i="7"/>
  <c r="BV139" i="7"/>
  <c r="G6" i="105"/>
  <c r="G15" i="105"/>
  <c r="G20" i="105" s="1"/>
  <c r="CJ13" i="19"/>
  <c r="CO14" i="19"/>
  <c r="CO13" i="19" s="1"/>
  <c r="CL14" i="19"/>
  <c r="CL13" i="19" s="1"/>
  <c r="CM14" i="19"/>
  <c r="CM13" i="19" s="1"/>
  <c r="AP211" i="120"/>
  <c r="CO63" i="121" s="1"/>
  <c r="BN145" i="120"/>
  <c r="CM145" i="120" s="1"/>
  <c r="BW47" i="19"/>
  <c r="DO27" i="123"/>
  <c r="AN31" i="120"/>
  <c r="AH197" i="120"/>
  <c r="AN197" i="120" s="1"/>
  <c r="AQ31" i="120"/>
  <c r="BF31" i="120" s="1"/>
  <c r="AT20" i="6"/>
  <c r="AT18" i="6" s="1"/>
  <c r="AP18" i="6"/>
  <c r="J11" i="95"/>
  <c r="J16" i="95" s="1"/>
  <c r="J21" i="95" s="1"/>
  <c r="J50" i="95" s="1"/>
  <c r="M13" i="64" s="1"/>
  <c r="AQ39" i="3"/>
  <c r="AQ43" i="3" s="1"/>
  <c r="R19" i="64"/>
  <c r="S19" i="61"/>
  <c r="X18" i="65"/>
  <c r="L43" i="68"/>
  <c r="J45" i="68"/>
  <c r="J52" i="85"/>
  <c r="I53" i="85"/>
  <c r="AH201" i="120"/>
  <c r="AQ34" i="120"/>
  <c r="BF34" i="120" s="1"/>
  <c r="CQ176" i="7"/>
  <c r="AK12" i="64"/>
  <c r="AK11" i="64" s="1"/>
  <c r="BK106" i="8"/>
  <c r="BJ103" i="8"/>
  <c r="BJ104" i="8" s="1"/>
  <c r="BK104" i="8"/>
  <c r="G16" i="105"/>
  <c r="H8" i="105" s="1"/>
  <c r="AH64" i="32"/>
  <c r="BZ57" i="7"/>
  <c r="BY57" i="7" s="1"/>
  <c r="P30" i="105"/>
  <c r="AB13" i="98"/>
  <c r="AH13" i="98" s="1"/>
  <c r="W13" i="98"/>
  <c r="BA41" i="3"/>
  <c r="BA39" i="3" s="1"/>
  <c r="BX79" i="7"/>
  <c r="AN127" i="120"/>
  <c r="AQ127" i="120"/>
  <c r="BF127" i="120" s="1"/>
  <c r="BL127" i="120" s="1"/>
  <c r="BG80" i="7"/>
  <c r="BG82" i="7"/>
  <c r="BG85" i="7"/>
  <c r="BG86" i="7" s="1"/>
  <c r="BG83" i="7"/>
  <c r="BO24" i="7"/>
  <c r="BI17" i="7"/>
  <c r="BI63" i="7" s="1"/>
  <c r="C9" i="73"/>
  <c r="D8" i="73"/>
  <c r="B28" i="89"/>
  <c r="AO54" i="72"/>
  <c r="AX54" i="72"/>
  <c r="CS45" i="7"/>
  <c r="G16" i="81"/>
  <c r="R43" i="3"/>
  <c r="AW56" i="72"/>
  <c r="AW57" i="72" s="1"/>
  <c r="S18" i="82"/>
  <c r="S19" i="82" s="1"/>
  <c r="AW58" i="72"/>
  <c r="AW59" i="72" s="1"/>
  <c r="AW58" i="9"/>
  <c r="AW59" i="9" s="1"/>
  <c r="AW56" i="9"/>
  <c r="AW57" i="9" s="1"/>
  <c r="B198" i="120"/>
  <c r="X25" i="95"/>
  <c r="Y23" i="95"/>
  <c r="C2" i="91"/>
  <c r="A2" i="91" s="1"/>
  <c r="S129" i="120"/>
  <c r="BL54" i="72"/>
  <c r="BM54" i="72" s="1"/>
  <c r="E12" i="87" s="1"/>
  <c r="BL52" i="72"/>
  <c r="B48" i="32"/>
  <c r="D48" i="32" s="1"/>
  <c r="M12" i="87"/>
  <c r="M11" i="87" s="1"/>
  <c r="M10" i="87" s="1"/>
  <c r="P13" i="66" s="1"/>
  <c r="AS106" i="8"/>
  <c r="AS101" i="8"/>
  <c r="M28" i="3"/>
  <c r="Y16" i="11"/>
  <c r="I28" i="21"/>
  <c r="L28" i="21"/>
  <c r="N28" i="21" s="1"/>
  <c r="AN14" i="17"/>
  <c r="P40" i="17"/>
  <c r="P31" i="17"/>
  <c r="AO14" i="17"/>
  <c r="AQ29" i="7"/>
  <c r="AR29" i="7" s="1"/>
  <c r="AD12" i="6"/>
  <c r="AC45" i="6"/>
  <c r="O12" i="70"/>
  <c r="W10" i="70"/>
  <c r="M51" i="8"/>
  <c r="L68" i="8"/>
  <c r="H63" i="7"/>
  <c r="N63" i="7"/>
  <c r="G80" i="7"/>
  <c r="AJ158" i="7"/>
  <c r="AJ160" i="7"/>
  <c r="AJ161" i="7" s="1"/>
  <c r="BB29" i="11"/>
  <c r="BA41" i="11"/>
  <c r="BC29" i="11"/>
  <c r="AF47" i="19"/>
  <c r="AM47" i="19"/>
  <c r="AQ10" i="7"/>
  <c r="AD10" i="7"/>
  <c r="AC138" i="7"/>
  <c r="AD28" i="7"/>
  <c r="AD27" i="7" s="1"/>
  <c r="AQ28" i="7"/>
  <c r="Y26" i="8"/>
  <c r="X52" i="6"/>
  <c r="AA42" i="95"/>
  <c r="W42" i="95"/>
  <c r="T54" i="72"/>
  <c r="Q54" i="72"/>
  <c r="P55" i="72"/>
  <c r="AU26" i="6"/>
  <c r="AU25" i="6" s="1"/>
  <c r="AN25" i="6"/>
  <c r="AN45" i="6" s="1"/>
  <c r="AN46" i="6" s="1"/>
  <c r="AP26" i="6"/>
  <c r="AO26" i="6"/>
  <c r="AO25" i="6" s="1"/>
  <c r="AO45" i="6" s="1"/>
  <c r="AO46" i="6" s="1"/>
  <c r="AM29" i="19"/>
  <c r="AF29" i="19"/>
  <c r="AM37" i="19"/>
  <c r="AF37" i="19"/>
  <c r="AM27" i="19"/>
  <c r="AF27" i="19"/>
  <c r="AF20" i="19"/>
  <c r="AM23" i="19"/>
  <c r="AF23" i="19"/>
  <c r="AF16" i="19"/>
  <c r="AM16" i="19"/>
  <c r="AF36" i="19"/>
  <c r="AM36" i="19"/>
  <c r="J30" i="21"/>
  <c r="K30" i="21"/>
  <c r="AF87" i="8"/>
  <c r="AJ87" i="8"/>
  <c r="K51" i="8"/>
  <c r="K68" i="8" s="1"/>
  <c r="BW54" i="72"/>
  <c r="CK54" i="72"/>
  <c r="BQ50" i="72"/>
  <c r="BT50" i="72"/>
  <c r="O9" i="59"/>
  <c r="O27" i="59" s="1"/>
  <c r="N27" i="59"/>
  <c r="BC45" i="8"/>
  <c r="BC42" i="8" s="1"/>
  <c r="AJ82" i="7"/>
  <c r="AJ83" i="7"/>
  <c r="AJ85" i="7"/>
  <c r="AJ86" i="7" s="1"/>
  <c r="AJ80" i="7"/>
  <c r="AH63" i="7"/>
  <c r="AO10" i="17"/>
  <c r="T26" i="17"/>
  <c r="AP10" i="17"/>
  <c r="Q23" i="7" s="1"/>
  <c r="AN10" i="17"/>
  <c r="P26" i="17"/>
  <c r="W49" i="19"/>
  <c r="AD14" i="19"/>
  <c r="Y23" i="8"/>
  <c r="U31" i="17"/>
  <c r="T31" i="17" s="1"/>
  <c r="BI65" i="121"/>
  <c r="BV29" i="71"/>
  <c r="BU29" i="71" s="1"/>
  <c r="BD54" i="72"/>
  <c r="BF54" i="72"/>
  <c r="AQ81" i="7"/>
  <c r="AR81" i="7" s="1"/>
  <c r="Q24" i="35"/>
  <c r="AG45" i="6"/>
  <c r="AH14" i="6"/>
  <c r="AH45" i="6" s="1"/>
  <c r="AS84" i="7"/>
  <c r="AQ39" i="7"/>
  <c r="AR39" i="7" s="1"/>
  <c r="H37" i="8"/>
  <c r="M37" i="8"/>
  <c r="AC26" i="7"/>
  <c r="AI26" i="7"/>
  <c r="AP26" i="7"/>
  <c r="AB26" i="7"/>
  <c r="AA143" i="7"/>
  <c r="AI143" i="7" s="1"/>
  <c r="AK11" i="19"/>
  <c r="AK49" i="19" s="1"/>
  <c r="CN99" i="8"/>
  <c r="CN101" i="8" s="1"/>
  <c r="AG251" i="120"/>
  <c r="AM251" i="120" s="1"/>
  <c r="AF112" i="120"/>
  <c r="AF251" i="120" s="1"/>
  <c r="AP112" i="120"/>
  <c r="BE112" i="120" s="1"/>
  <c r="AO20" i="8"/>
  <c r="AO87" i="8" s="1"/>
  <c r="BE90" i="122"/>
  <c r="AY158" i="7"/>
  <c r="AY160" i="7"/>
  <c r="AY161" i="7" s="1"/>
  <c r="X43" i="123"/>
  <c r="L163" i="122"/>
  <c r="X47" i="123" s="1"/>
  <c r="L177" i="122"/>
  <c r="L179" i="122" s="1"/>
  <c r="EX64" i="123"/>
  <c r="FG64" i="123" s="1"/>
  <c r="AF113" i="120"/>
  <c r="AP113" i="120"/>
  <c r="BE113" i="120" s="1"/>
  <c r="AG252" i="120"/>
  <c r="D110" i="118"/>
  <c r="DQ64" i="123"/>
  <c r="BN40" i="120"/>
  <c r="CM40" i="120" s="1"/>
  <c r="AO40" i="120"/>
  <c r="AO240" i="120" s="1"/>
  <c r="AP240" i="120"/>
  <c r="GH67" i="121"/>
  <c r="GH76" i="121" s="1"/>
  <c r="EI76" i="121"/>
  <c r="BX84" i="121"/>
  <c r="GH37" i="121"/>
  <c r="AJ16" i="95"/>
  <c r="AJ21" i="95" s="1"/>
  <c r="CI101" i="120"/>
  <c r="DX19" i="121"/>
  <c r="DR25" i="123"/>
  <c r="K223" i="122"/>
  <c r="BR51" i="123"/>
  <c r="ET63" i="123"/>
  <c r="ET66" i="123"/>
  <c r="FU61" i="123"/>
  <c r="FU63" i="123" s="1"/>
  <c r="ES74" i="123"/>
  <c r="FT61" i="123"/>
  <c r="FM12" i="121"/>
  <c r="FM77" i="121"/>
  <c r="FK14" i="121"/>
  <c r="FK38" i="121" s="1"/>
  <c r="FM38" i="121"/>
  <c r="ES62" i="123"/>
  <c r="FT62" i="123" s="1"/>
  <c r="GF62" i="123" s="1"/>
  <c r="FT9" i="123"/>
  <c r="ES26" i="123"/>
  <c r="E15" i="133"/>
  <c r="G15" i="133" s="1"/>
  <c r="I15" i="133" s="1"/>
  <c r="I16" i="133" s="1"/>
  <c r="CC176" i="122"/>
  <c r="CI176" i="122" s="1"/>
  <c r="CI123" i="122"/>
  <c r="C123" i="122"/>
  <c r="CB123" i="122"/>
  <c r="CB176" i="122" s="1"/>
  <c r="CD156" i="122"/>
  <c r="D46" i="122"/>
  <c r="AP14" i="65"/>
  <c r="DA120" i="8"/>
  <c r="CC223" i="120"/>
  <c r="CI223" i="120" s="1"/>
  <c r="C157" i="120"/>
  <c r="CB157" i="120"/>
  <c r="CB223" i="120" s="1"/>
  <c r="CI157" i="120"/>
  <c r="DG13" i="123"/>
  <c r="DF13" i="123" s="1"/>
  <c r="U13" i="123"/>
  <c r="T13" i="123" s="1"/>
  <c r="EW13" i="123"/>
  <c r="EV13" i="123" s="1"/>
  <c r="AF20" i="126"/>
  <c r="L13" i="123"/>
  <c r="K13" i="123" s="1"/>
  <c r="EN13" i="123"/>
  <c r="FZ13" i="123"/>
  <c r="AE20" i="126" s="1"/>
  <c r="CX13" i="123"/>
  <c r="CW13" i="123" s="1"/>
  <c r="AY13" i="123"/>
  <c r="AX13" i="123" s="1"/>
  <c r="CO13" i="123"/>
  <c r="AP13" i="123"/>
  <c r="BH13" i="123"/>
  <c r="BG13" i="123" s="1"/>
  <c r="FF13" i="123"/>
  <c r="FE13" i="123" s="1"/>
  <c r="C13" i="123"/>
  <c r="BF72" i="32"/>
  <c r="DA16" i="19"/>
  <c r="BE16" i="61"/>
  <c r="CV172" i="7"/>
  <c r="FG8" i="123"/>
  <c r="FE8" i="123" s="1"/>
  <c r="AG15" i="126"/>
  <c r="DH8" i="123"/>
  <c r="DF8" i="123" s="1"/>
  <c r="M8" i="123"/>
  <c r="K8" i="123" s="1"/>
  <c r="EX8" i="123"/>
  <c r="EV8" i="123" s="1"/>
  <c r="CP8" i="123"/>
  <c r="D8" i="123"/>
  <c r="BI8" i="123"/>
  <c r="BG8" i="123" s="1"/>
  <c r="CY8" i="123"/>
  <c r="CW8" i="123" s="1"/>
  <c r="V8" i="123"/>
  <c r="T8" i="123" s="1"/>
  <c r="AQ8" i="123"/>
  <c r="AZ8" i="123"/>
  <c r="AX8" i="123" s="1"/>
  <c r="EO8" i="123"/>
  <c r="FZ8" i="123"/>
  <c r="AE15" i="126" s="1"/>
  <c r="AE23" i="125"/>
  <c r="BN18" i="120"/>
  <c r="CC185" i="120"/>
  <c r="CB18" i="120"/>
  <c r="C18" i="120"/>
  <c r="R18" i="120"/>
  <c r="AP18" i="120"/>
  <c r="DA9" i="19"/>
  <c r="AZ67" i="32"/>
  <c r="AX68" i="32"/>
  <c r="AZ68" i="32" s="1"/>
  <c r="BH13" i="61"/>
  <c r="DD52" i="8"/>
  <c r="DC100" i="8"/>
  <c r="DC52" i="8" s="1"/>
  <c r="DD99" i="8"/>
  <c r="DC86" i="8"/>
  <c r="DC99" i="8" s="1"/>
  <c r="CD111" i="122"/>
  <c r="DB93" i="8"/>
  <c r="C126" i="120"/>
  <c r="CB126" i="120"/>
  <c r="DA17" i="7"/>
  <c r="BC73" i="32"/>
  <c r="CY53" i="7" s="1"/>
  <c r="AQ60" i="122"/>
  <c r="BF60" i="122" s="1"/>
  <c r="BL60" i="122" s="1"/>
  <c r="AN60" i="122"/>
  <c r="AP13" i="64"/>
  <c r="AP11" i="64" s="1"/>
  <c r="CZ176" i="7"/>
  <c r="DE52" i="7"/>
  <c r="DE144" i="7" s="1"/>
  <c r="DE172" i="7" s="1"/>
  <c r="DD53" i="7"/>
  <c r="DD52" i="7" s="1"/>
  <c r="DD144" i="7" s="1"/>
  <c r="AL26" i="98"/>
  <c r="AL24" i="98" s="1"/>
  <c r="AL28" i="98" s="1"/>
  <c r="AL9" i="98"/>
  <c r="AL13" i="98" s="1"/>
  <c r="CC23" i="122"/>
  <c r="CZ10" i="8"/>
  <c r="DA87" i="8"/>
  <c r="DA124" i="8" s="1"/>
  <c r="AP21" i="65" s="1"/>
  <c r="AM10" i="95"/>
  <c r="AM8" i="95" s="1"/>
  <c r="AM12" i="95" s="1"/>
  <c r="BU43" i="3"/>
  <c r="BU39" i="3"/>
  <c r="T7" i="96" s="1"/>
  <c r="AQ67" i="122"/>
  <c r="BO67" i="122" s="1"/>
  <c r="DC63" i="123"/>
  <c r="DC74" i="123"/>
  <c r="CC124" i="120"/>
  <c r="CU36" i="7"/>
  <c r="AH50" i="122"/>
  <c r="D215" i="120"/>
  <c r="D67" i="121" s="1"/>
  <c r="AI74" i="122"/>
  <c r="BG74" i="122" s="1"/>
  <c r="CE74" i="122" s="1"/>
  <c r="CH74" i="122" s="1"/>
  <c r="AC222" i="122"/>
  <c r="FI43" i="123"/>
  <c r="FI61" i="123" s="1"/>
  <c r="FI66" i="123" s="1"/>
  <c r="BW163" i="122"/>
  <c r="FI47" i="123" s="1"/>
  <c r="BW177" i="122"/>
  <c r="BW179" i="122" s="1"/>
  <c r="AB94" i="122"/>
  <c r="AE101" i="122"/>
  <c r="BY216" i="122"/>
  <c r="CE216" i="122" s="1"/>
  <c r="CE68" i="122"/>
  <c r="CH68" i="122" s="1"/>
  <c r="CX42" i="8"/>
  <c r="CX93" i="8" s="1"/>
  <c r="N79" i="68"/>
  <c r="P77" i="68"/>
  <c r="CD71" i="121"/>
  <c r="N56" i="125"/>
  <c r="AN71" i="121"/>
  <c r="BV56" i="121"/>
  <c r="AU76" i="121"/>
  <c r="AN104" i="122"/>
  <c r="BI104" i="122"/>
  <c r="GF61" i="121"/>
  <c r="GF51" i="121"/>
  <c r="AQ154" i="120"/>
  <c r="BF154" i="120" s="1"/>
  <c r="AH220" i="120"/>
  <c r="AN220" i="120" s="1"/>
  <c r="AN154" i="120"/>
  <c r="AG183" i="120"/>
  <c r="AF16" i="120"/>
  <c r="S21" i="125"/>
  <c r="BE16" i="120"/>
  <c r="AG14" i="120"/>
  <c r="AM16" i="120"/>
  <c r="EB20" i="121"/>
  <c r="EA20" i="121" s="1"/>
  <c r="CB20" i="121"/>
  <c r="C30" i="124"/>
  <c r="DK77" i="121"/>
  <c r="DK38" i="121"/>
  <c r="CE74" i="121"/>
  <c r="GC65" i="121"/>
  <c r="BR72" i="121"/>
  <c r="BP16" i="123"/>
  <c r="CC16" i="123"/>
  <c r="CG20" i="121"/>
  <c r="AN20" i="121"/>
  <c r="AL20" i="121" s="1"/>
  <c r="AF20" i="121"/>
  <c r="DO14" i="121"/>
  <c r="DQ77" i="121"/>
  <c r="AC16" i="123"/>
  <c r="FX19" i="121"/>
  <c r="FW19" i="121" s="1"/>
  <c r="G29" i="120"/>
  <c r="G204" i="120"/>
  <c r="E37" i="120"/>
  <c r="AJ87" i="122"/>
  <c r="O210" i="122"/>
  <c r="AJ210" i="122" s="1"/>
  <c r="N87" i="122"/>
  <c r="EH13" i="123"/>
  <c r="GG13" i="123" s="1"/>
  <c r="AE69" i="121"/>
  <c r="DO16" i="121"/>
  <c r="DO40" i="121" s="1"/>
  <c r="BY222" i="120"/>
  <c r="CJ142" i="120"/>
  <c r="P71" i="120"/>
  <c r="G53" i="120"/>
  <c r="BY248" i="120"/>
  <c r="CG94" i="120"/>
  <c r="CJ94" i="120" s="1"/>
  <c r="U22" i="126"/>
  <c r="EC15" i="123"/>
  <c r="AA22" i="126" s="1"/>
  <c r="N205" i="120"/>
  <c r="N238" i="120"/>
  <c r="S222" i="120"/>
  <c r="AQ74" i="121" s="1"/>
  <c r="AH156" i="120"/>
  <c r="Q156" i="120"/>
  <c r="AU130" i="120"/>
  <c r="AV123" i="120"/>
  <c r="AU123" i="120" s="1"/>
  <c r="AQ67" i="120"/>
  <c r="BF67" i="120" s="1"/>
  <c r="BL67" i="120" s="1"/>
  <c r="ER56" i="121"/>
  <c r="BR208" i="120"/>
  <c r="ER60" i="121" s="1"/>
  <c r="BG47" i="120"/>
  <c r="AL47" i="120"/>
  <c r="N143" i="120"/>
  <c r="N209" i="120" s="1"/>
  <c r="O209" i="120"/>
  <c r="J204" i="120"/>
  <c r="H71" i="120"/>
  <c r="J53" i="120"/>
  <c r="H62" i="120"/>
  <c r="P62" i="120"/>
  <c r="P37" i="120"/>
  <c r="AK50" i="120"/>
  <c r="N50" i="120"/>
  <c r="AI50" i="120" s="1"/>
  <c r="BG102" i="120"/>
  <c r="AN37" i="122"/>
  <c r="AF37" i="122"/>
  <c r="AL37" i="122" s="1"/>
  <c r="AQ37" i="122"/>
  <c r="DQ80" i="121"/>
  <c r="BL107" i="120"/>
  <c r="BF238" i="120"/>
  <c r="BF205" i="120"/>
  <c r="CK65" i="123"/>
  <c r="S56" i="126"/>
  <c r="EA65" i="123"/>
  <c r="AT70" i="32"/>
  <c r="BF135" i="120"/>
  <c r="BL135" i="120" s="1"/>
  <c r="AQ114" i="120"/>
  <c r="BF114" i="120" s="1"/>
  <c r="AH253" i="120"/>
  <c r="AN253" i="120" s="1"/>
  <c r="AN114" i="120"/>
  <c r="AF114" i="120"/>
  <c r="AF253" i="120" s="1"/>
  <c r="BF120" i="120"/>
  <c r="S65" i="125"/>
  <c r="CL80" i="121"/>
  <c r="EB80" i="121"/>
  <c r="BN131" i="120"/>
  <c r="BM131" i="120" s="1"/>
  <c r="AO131" i="120"/>
  <c r="D204" i="120"/>
  <c r="AL77" i="120"/>
  <c r="AF248" i="120"/>
  <c r="W56" i="126"/>
  <c r="DY65" i="123"/>
  <c r="EB65" i="123"/>
  <c r="V65" i="125"/>
  <c r="DY80" i="121"/>
  <c r="CC100" i="120"/>
  <c r="CU28" i="7"/>
  <c r="CV139" i="7"/>
  <c r="F18" i="119"/>
  <c r="F17" i="119"/>
  <c r="BN125" i="120"/>
  <c r="CM125" i="120" s="1"/>
  <c r="AO125" i="120"/>
  <c r="AP198" i="120"/>
  <c r="CO50" i="121" s="1"/>
  <c r="AE35" i="95"/>
  <c r="BX65" i="8"/>
  <c r="BX100" i="8" s="1"/>
  <c r="BX52" i="8" s="1"/>
  <c r="AE36" i="66"/>
  <c r="Y12" i="98"/>
  <c r="O7" i="102"/>
  <c r="N21" i="102"/>
  <c r="BH107" i="8"/>
  <c r="BH109" i="8"/>
  <c r="BH110" i="8" s="1"/>
  <c r="CH28" i="7"/>
  <c r="CF64" i="7"/>
  <c r="CG28" i="7"/>
  <c r="CI58" i="7"/>
  <c r="CK145" i="7"/>
  <c r="BZ79" i="7"/>
  <c r="AE36" i="61"/>
  <c r="AF36" i="61" s="1"/>
  <c r="AI47" i="65"/>
  <c r="AN45" i="65"/>
  <c r="AI51" i="65"/>
  <c r="AI52" i="65" s="1"/>
  <c r="D20" i="105"/>
  <c r="D6" i="105"/>
  <c r="CQ99" i="8"/>
  <c r="CQ101" i="8" s="1"/>
  <c r="BW12" i="8"/>
  <c r="BL126" i="120"/>
  <c r="BI107" i="8"/>
  <c r="BI109" i="8"/>
  <c r="BI110" i="8" s="1"/>
  <c r="AQ14" i="10"/>
  <c r="AP18" i="10"/>
  <c r="AP19" i="10" s="1"/>
  <c r="BT37" i="8"/>
  <c r="BS88" i="8"/>
  <c r="J21" i="85"/>
  <c r="I22" i="85"/>
  <c r="A31" i="91"/>
  <c r="B60" i="85" s="1"/>
  <c r="C30" i="91"/>
  <c r="S201" i="120"/>
  <c r="AQ53" i="121" s="1"/>
  <c r="CQ51" i="8"/>
  <c r="CQ53" i="8" s="1"/>
  <c r="C92" i="116"/>
  <c r="D92" i="116" s="1"/>
  <c r="D91" i="116"/>
  <c r="Q23" i="64"/>
  <c r="Q10" i="64"/>
  <c r="Q35" i="64" s="1"/>
  <c r="Q37" i="64" s="1"/>
  <c r="W64" i="32"/>
  <c r="V64" i="32"/>
  <c r="J21" i="98"/>
  <c r="J14" i="98"/>
  <c r="J19" i="98" s="1"/>
  <c r="BH50" i="19"/>
  <c r="S38" i="66"/>
  <c r="S35" i="66"/>
  <c r="W46" i="95"/>
  <c r="AZ49" i="121"/>
  <c r="BI49" i="121" s="1"/>
  <c r="AH36" i="64"/>
  <c r="AF36" i="64"/>
  <c r="Y36" i="64"/>
  <c r="Z36" i="64"/>
  <c r="AA36" i="64" s="1"/>
  <c r="AB36" i="64" s="1"/>
  <c r="AC36" i="64" s="1"/>
  <c r="AD36" i="64" s="1"/>
  <c r="J32" i="85"/>
  <c r="I33" i="85"/>
  <c r="J33" i="85" s="1"/>
  <c r="A2" i="89"/>
  <c r="AY41" i="3"/>
  <c r="AY39" i="3" s="1"/>
  <c r="AY48" i="3"/>
  <c r="D56" i="85"/>
  <c r="T27" i="98"/>
  <c r="S32" i="98"/>
  <c r="S37" i="98" s="1"/>
  <c r="BU18" i="8" s="1"/>
  <c r="C77" i="78"/>
  <c r="AJ30" i="95"/>
  <c r="CV45" i="7"/>
  <c r="F50" i="68"/>
  <c r="F52" i="68" s="1"/>
  <c r="CQ25" i="17" s="1"/>
  <c r="F51" i="68"/>
  <c r="CJ60" i="72"/>
  <c r="D25" i="84"/>
  <c r="M50" i="121"/>
  <c r="B50" i="121"/>
  <c r="H25" i="87"/>
  <c r="F19" i="90"/>
  <c r="CR55" i="72"/>
  <c r="CS52" i="72"/>
  <c r="BT35" i="17"/>
  <c r="BS35" i="17"/>
  <c r="AG144" i="7"/>
  <c r="AG150" i="7" s="1"/>
  <c r="AG63" i="7"/>
  <c r="H10" i="3"/>
  <c r="P19" i="9"/>
  <c r="L16" i="11"/>
  <c r="P19" i="72"/>
  <c r="G28" i="3"/>
  <c r="AG12" i="19"/>
  <c r="AN12" i="19"/>
  <c r="P12" i="21"/>
  <c r="N16" i="21"/>
  <c r="O27" i="21" s="1"/>
  <c r="R30" i="8"/>
  <c r="R31" i="8" s="1"/>
  <c r="P31" i="8"/>
  <c r="P27" i="8" s="1"/>
  <c r="Q30" i="8"/>
  <c r="Q31" i="8" s="1"/>
  <c r="G68" i="8"/>
  <c r="H68" i="8" s="1"/>
  <c r="H51" i="8"/>
  <c r="W109" i="8"/>
  <c r="W110" i="8" s="1"/>
  <c r="W107" i="8"/>
  <c r="P12" i="70"/>
  <c r="P20" i="70" s="1"/>
  <c r="W8" i="70"/>
  <c r="AD12" i="7"/>
  <c r="AD139" i="7" s="1"/>
  <c r="AC139" i="7"/>
  <c r="AD36" i="7"/>
  <c r="AQ36" i="7"/>
  <c r="P89" i="7"/>
  <c r="AK9" i="71"/>
  <c r="AJ8" i="71"/>
  <c r="AM31" i="19"/>
  <c r="AF31" i="19"/>
  <c r="AM13" i="19"/>
  <c r="AF13" i="19"/>
  <c r="AM39" i="19"/>
  <c r="AF39" i="19"/>
  <c r="AF34" i="19"/>
  <c r="AM26" i="19"/>
  <c r="AF26" i="19"/>
  <c r="AF18" i="19"/>
  <c r="AM18" i="19"/>
  <c r="F15" i="3"/>
  <c r="D15" i="3"/>
  <c r="F10" i="21"/>
  <c r="AH43" i="122"/>
  <c r="CB29" i="121"/>
  <c r="BP39" i="121"/>
  <c r="BY29" i="121"/>
  <c r="BB10" i="5"/>
  <c r="BB8" i="5" s="1"/>
  <c r="AX8" i="5"/>
  <c r="AQ91" i="8"/>
  <c r="AQ99" i="8" s="1"/>
  <c r="AQ17" i="8"/>
  <c r="AQ51" i="8" s="1"/>
  <c r="AB107" i="8"/>
  <c r="AB109" i="8"/>
  <c r="AB110" i="8" s="1"/>
  <c r="P27" i="21"/>
  <c r="Q111" i="7"/>
  <c r="Q112" i="7" s="1"/>
  <c r="Y99" i="7"/>
  <c r="AA99" i="7" s="1"/>
  <c r="AA98" i="7" s="1"/>
  <c r="AG47" i="19"/>
  <c r="AN47" i="19"/>
  <c r="CH30" i="123"/>
  <c r="EG12" i="123"/>
  <c r="AP9" i="71"/>
  <c r="AN9" i="71"/>
  <c r="AO9" i="71"/>
  <c r="T25" i="71"/>
  <c r="P25" i="71"/>
  <c r="C20" i="63"/>
  <c r="D20" i="63" s="1"/>
  <c r="D19" i="63"/>
  <c r="CD24" i="17"/>
  <c r="BD25" i="7"/>
  <c r="AF17" i="7"/>
  <c r="AF63" i="7" s="1"/>
  <c r="BC33" i="11"/>
  <c r="BB33" i="11"/>
  <c r="BA43" i="11"/>
  <c r="Z59" i="19"/>
  <c r="AP42" i="120"/>
  <c r="BE42" i="120" s="1"/>
  <c r="AG242" i="120"/>
  <c r="AF42" i="120"/>
  <c r="AF242" i="120" s="1"/>
  <c r="R18" i="7"/>
  <c r="T18" i="7"/>
  <c r="S18" i="7"/>
  <c r="Z18" i="7"/>
  <c r="AW85" i="7"/>
  <c r="AW86" i="7" s="1"/>
  <c r="AX86" i="7"/>
  <c r="BB40" i="8"/>
  <c r="AK39" i="8"/>
  <c r="AV15" i="8"/>
  <c r="AL11" i="19"/>
  <c r="AE57" i="121"/>
  <c r="BL134" i="120"/>
  <c r="BD134" i="120"/>
  <c r="DG59" i="121"/>
  <c r="Q162" i="122"/>
  <c r="Q209" i="122"/>
  <c r="AF209" i="122" s="1"/>
  <c r="AY51" i="8"/>
  <c r="AR18" i="7"/>
  <c r="AS18" i="7" s="1"/>
  <c r="AX158" i="7"/>
  <c r="AX160" i="7"/>
  <c r="AX161" i="7" s="1"/>
  <c r="AF115" i="120"/>
  <c r="AP115" i="120"/>
  <c r="BE115" i="120" s="1"/>
  <c r="AG254" i="120"/>
  <c r="AO109" i="120"/>
  <c r="BN109" i="120"/>
  <c r="CH76" i="121"/>
  <c r="F99" i="118"/>
  <c r="K15" i="129"/>
  <c r="K19" i="129" s="1"/>
  <c r="K21" i="129" s="1"/>
  <c r="F94" i="116"/>
  <c r="F32" i="118"/>
  <c r="W14" i="120"/>
  <c r="AM242" i="120"/>
  <c r="AI196" i="122"/>
  <c r="AJ37" i="120"/>
  <c r="CH25" i="122"/>
  <c r="DI77" i="121"/>
  <c r="AF70" i="123"/>
  <c r="FK63" i="123"/>
  <c r="FK74" i="123"/>
  <c r="FM66" i="123"/>
  <c r="FM63" i="123"/>
  <c r="FV61" i="123"/>
  <c r="CT14" i="121"/>
  <c r="CT38" i="121" s="1"/>
  <c r="CV77" i="121"/>
  <c r="CV12" i="121"/>
  <c r="CV38" i="121"/>
  <c r="H14" i="121"/>
  <c r="H38" i="121" s="1"/>
  <c r="I12" i="121"/>
  <c r="I77" i="121"/>
  <c r="I38" i="121"/>
  <c r="BD12" i="121"/>
  <c r="BD13" i="121" s="1"/>
  <c r="BE13" i="121"/>
  <c r="G32" i="133"/>
  <c r="G20" i="127"/>
  <c r="I20" i="127" s="1"/>
  <c r="G24" i="132"/>
  <c r="D27" i="122"/>
  <c r="CD28" i="122"/>
  <c r="CJ27" i="122"/>
  <c r="CZ88" i="8"/>
  <c r="C34" i="122"/>
  <c r="CM30" i="122"/>
  <c r="CB34" i="122"/>
  <c r="BN13" i="122"/>
  <c r="BM13" i="122" s="1"/>
  <c r="AP13" i="122"/>
  <c r="AO13" i="122" s="1"/>
  <c r="C13" i="122"/>
  <c r="R13" i="122"/>
  <c r="Q13" i="122" s="1"/>
  <c r="CB13" i="122"/>
  <c r="CC209" i="120"/>
  <c r="AI27" i="98"/>
  <c r="AI32" i="98" s="1"/>
  <c r="AI37" i="98" s="1"/>
  <c r="DB43" i="7"/>
  <c r="DA47" i="7"/>
  <c r="DA43" i="7" s="1"/>
  <c r="CU50" i="19"/>
  <c r="DB50" i="19" s="1"/>
  <c r="DB9" i="19" s="1"/>
  <c r="CR50" i="19"/>
  <c r="CY50" i="19" s="1"/>
  <c r="CS50" i="19"/>
  <c r="CZ50" i="19" s="1"/>
  <c r="CZ27" i="19" s="1"/>
  <c r="CQ50" i="19"/>
  <c r="AI26" i="98"/>
  <c r="AI9" i="98"/>
  <c r="CY27" i="19"/>
  <c r="DA27" i="19"/>
  <c r="D112" i="122"/>
  <c r="CJ112" i="122"/>
  <c r="CD165" i="122"/>
  <c r="CJ165" i="122" s="1"/>
  <c r="AL35" i="95"/>
  <c r="AL33" i="95" s="1"/>
  <c r="AL37" i="95" s="1"/>
  <c r="BS40" i="3"/>
  <c r="BS48" i="3"/>
  <c r="CU45" i="8"/>
  <c r="W31" i="104"/>
  <c r="AQ69" i="122"/>
  <c r="BF69" i="122" s="1"/>
  <c r="DF99" i="8"/>
  <c r="DF101" i="8" s="1"/>
  <c r="AK35" i="95"/>
  <c r="AK33" i="95" s="1"/>
  <c r="AK37" i="95" s="1"/>
  <c r="BQ48" i="3"/>
  <c r="BQ40" i="3"/>
  <c r="AK11" i="95"/>
  <c r="BR39" i="3"/>
  <c r="DE176" i="7"/>
  <c r="CC95" i="122"/>
  <c r="CZ35" i="8"/>
  <c r="CV103" i="8"/>
  <c r="CV101" i="8"/>
  <c r="AQ52" i="122"/>
  <c r="BO52" i="122" s="1"/>
  <c r="AN52" i="122"/>
  <c r="AQ73" i="122"/>
  <c r="BF73" i="122" s="1"/>
  <c r="BL73" i="122" s="1"/>
  <c r="AN73" i="122"/>
  <c r="BM74" i="123"/>
  <c r="BM63" i="123"/>
  <c r="DI31" i="8"/>
  <c r="DI27" i="8" s="1"/>
  <c r="DI51" i="8" s="1"/>
  <c r="DI53" i="8" s="1"/>
  <c r="DI89" i="8"/>
  <c r="DD50" i="7"/>
  <c r="DD43" i="7"/>
  <c r="DD140" i="7"/>
  <c r="CS142" i="7"/>
  <c r="CR19" i="7"/>
  <c r="CR142" i="7" s="1"/>
  <c r="BD63" i="123"/>
  <c r="BD74" i="123"/>
  <c r="Z63" i="123"/>
  <c r="Z74" i="123"/>
  <c r="CB97" i="122"/>
  <c r="C97" i="122"/>
  <c r="CU120" i="8"/>
  <c r="AM14" i="65"/>
  <c r="CV50" i="19"/>
  <c r="DC50" i="19" s="1"/>
  <c r="DC27" i="19" s="1"/>
  <c r="CC31" i="120"/>
  <c r="CI31" i="120" s="1"/>
  <c r="CU10" i="7"/>
  <c r="CV138" i="7"/>
  <c r="AH16" i="98"/>
  <c r="AQ71" i="122"/>
  <c r="BF71" i="122" s="1"/>
  <c r="BL71" i="122" s="1"/>
  <c r="AN71" i="122"/>
  <c r="S221" i="120"/>
  <c r="AQ73" i="121" s="1"/>
  <c r="DU52" i="123"/>
  <c r="N222" i="122"/>
  <c r="AI110" i="122"/>
  <c r="AQ82" i="122"/>
  <c r="BF82" i="122" s="1"/>
  <c r="AF82" i="122"/>
  <c r="AT40" i="122"/>
  <c r="AR40" i="122" s="1"/>
  <c r="AR49" i="122"/>
  <c r="BC49" i="122"/>
  <c r="BI208" i="122"/>
  <c r="AN208" i="122"/>
  <c r="AZ70" i="121"/>
  <c r="BI70" i="121" s="1"/>
  <c r="H18" i="129"/>
  <c r="H16" i="129"/>
  <c r="H17" i="129" s="1"/>
  <c r="AK186" i="120"/>
  <c r="BI19" i="120"/>
  <c r="AN19" i="120"/>
  <c r="AN186" i="120" s="1"/>
  <c r="CZ155" i="7"/>
  <c r="Q74" i="122"/>
  <c r="R222" i="122"/>
  <c r="AG222" i="122" s="1"/>
  <c r="AM222" i="122" s="1"/>
  <c r="DO14" i="123"/>
  <c r="V21" i="126" s="1"/>
  <c r="W21" i="126"/>
  <c r="AH155" i="120"/>
  <c r="Q89" i="121"/>
  <c r="EL19" i="121"/>
  <c r="GE19" i="121"/>
  <c r="GK19" i="121" s="1"/>
  <c r="ED80" i="121"/>
  <c r="AI42" i="123"/>
  <c r="CH41" i="123"/>
  <c r="L21" i="125"/>
  <c r="B183" i="120"/>
  <c r="CL16" i="120"/>
  <c r="Z24" i="125"/>
  <c r="BF186" i="120"/>
  <c r="CH23" i="123"/>
  <c r="AI29" i="123"/>
  <c r="M94" i="122"/>
  <c r="P101" i="122"/>
  <c r="M159" i="122"/>
  <c r="K101" i="122"/>
  <c r="K159" i="122" s="1"/>
  <c r="K163" i="122" s="1"/>
  <c r="AJ200" i="120"/>
  <c r="AL36" i="64"/>
  <c r="AM36" i="64" s="1"/>
  <c r="BM41" i="3"/>
  <c r="BM39" i="3" s="1"/>
  <c r="BV125" i="122"/>
  <c r="BV143" i="122"/>
  <c r="BV178" i="122" s="1"/>
  <c r="W22" i="126"/>
  <c r="DO15" i="123"/>
  <c r="V22" i="126" s="1"/>
  <c r="CD16" i="121"/>
  <c r="AE14" i="121"/>
  <c r="BM188" i="120"/>
  <c r="AA26" i="125"/>
  <c r="AA24" i="125"/>
  <c r="BM186" i="120"/>
  <c r="EG13" i="123"/>
  <c r="GF13" i="123" s="1"/>
  <c r="Z26" i="123"/>
  <c r="AI25" i="123"/>
  <c r="AC16" i="121"/>
  <c r="AK183" i="120"/>
  <c r="BI16" i="120"/>
  <c r="AN16" i="120"/>
  <c r="AK14" i="120"/>
  <c r="AI16" i="120"/>
  <c r="AI183" i="120" s="1"/>
  <c r="CL21" i="120"/>
  <c r="GE16" i="121"/>
  <c r="GK16" i="121" s="1"/>
  <c r="AB123" i="120"/>
  <c r="AE123" i="120" s="1"/>
  <c r="AE130" i="120"/>
  <c r="BI103" i="120"/>
  <c r="AK105" i="120"/>
  <c r="AN103" i="120"/>
  <c r="AK89" i="120"/>
  <c r="N89" i="120"/>
  <c r="AT56" i="121"/>
  <c r="V208" i="120"/>
  <c r="AT60" i="121" s="1"/>
  <c r="V224" i="120"/>
  <c r="V226" i="120" s="1"/>
  <c r="BI117" i="120"/>
  <c r="P106" i="120"/>
  <c r="G99" i="120"/>
  <c r="N105" i="120"/>
  <c r="N201" i="120"/>
  <c r="AI103" i="120"/>
  <c r="AK245" i="120"/>
  <c r="AN245" i="120" s="1"/>
  <c r="AN79" i="120"/>
  <c r="BI79" i="120"/>
  <c r="CA14" i="123"/>
  <c r="BY14" i="123" s="1"/>
  <c r="M74" i="121"/>
  <c r="B74" i="121"/>
  <c r="BI91" i="120"/>
  <c r="AK262" i="120"/>
  <c r="AN91" i="120"/>
  <c r="N246" i="120"/>
  <c r="AI78" i="120"/>
  <c r="AI54" i="120"/>
  <c r="AC222" i="120"/>
  <c r="AI156" i="120"/>
  <c r="G123" i="120"/>
  <c r="P130" i="120"/>
  <c r="R56" i="126"/>
  <c r="CD65" i="123"/>
  <c r="CA65" i="123"/>
  <c r="AI95" i="120"/>
  <c r="BL190" i="120"/>
  <c r="BN136" i="120"/>
  <c r="BM136" i="120" s="1"/>
  <c r="AO136" i="120"/>
  <c r="CN108" i="120"/>
  <c r="BO108" i="120"/>
  <c r="CO139" i="7"/>
  <c r="CO8" i="7"/>
  <c r="E71" i="120"/>
  <c r="BO141" i="120"/>
  <c r="CN141" i="120" s="1"/>
  <c r="AQ139" i="120"/>
  <c r="AN59" i="121"/>
  <c r="N44" i="125"/>
  <c r="AY63" i="121"/>
  <c r="AP257" i="120"/>
  <c r="BN83" i="120"/>
  <c r="CM83" i="120" s="1"/>
  <c r="BE248" i="120"/>
  <c r="BK248" i="120" s="1"/>
  <c r="BK77" i="120"/>
  <c r="BD77" i="120"/>
  <c r="AF140" i="120"/>
  <c r="AP140" i="120"/>
  <c r="BE140" i="120" s="1"/>
  <c r="AG266" i="120"/>
  <c r="EM65" i="123"/>
  <c r="EW65" i="123"/>
  <c r="BO111" i="120"/>
  <c r="CN111" i="120" s="1"/>
  <c r="AQ243" i="120"/>
  <c r="CS70" i="7"/>
  <c r="CS69" i="7" s="1"/>
  <c r="Y9" i="102"/>
  <c r="CS59" i="7"/>
  <c r="Y21" i="102"/>
  <c r="AM79" i="121"/>
  <c r="M64" i="125"/>
  <c r="BD43" i="3"/>
  <c r="BD39" i="3"/>
  <c r="BJ43" i="3"/>
  <c r="BJ39" i="3"/>
  <c r="O7" i="96" s="1"/>
  <c r="U63" i="121"/>
  <c r="L65" i="68"/>
  <c r="N63" i="68"/>
  <c r="G33" i="97"/>
  <c r="F34" i="97"/>
  <c r="Q36" i="125"/>
  <c r="CA51" i="121"/>
  <c r="AT18" i="10"/>
  <c r="AT19" i="10" s="1"/>
  <c r="CL10" i="8"/>
  <c r="D48" i="116"/>
  <c r="F27" i="116" s="1"/>
  <c r="BE145" i="120"/>
  <c r="O61" i="109"/>
  <c r="O2" i="109" s="1"/>
  <c r="B30" i="110"/>
  <c r="B33" i="110" s="1"/>
  <c r="N8" i="109"/>
  <c r="N2" i="109" s="1"/>
  <c r="AH199" i="120"/>
  <c r="AN199" i="120" s="1"/>
  <c r="AZ47" i="3"/>
  <c r="H5" i="106"/>
  <c r="AO19" i="10"/>
  <c r="B24" i="85"/>
  <c r="D12" i="85"/>
  <c r="D24" i="85" s="1"/>
  <c r="CM168" i="7"/>
  <c r="BN101" i="8"/>
  <c r="BN103" i="8"/>
  <c r="CF54" i="7"/>
  <c r="S41" i="98"/>
  <c r="J31" i="98"/>
  <c r="J24" i="98"/>
  <c r="H69" i="68"/>
  <c r="H67" i="68"/>
  <c r="H66" i="68"/>
  <c r="H68" i="68"/>
  <c r="U35" i="66"/>
  <c r="R17" i="92"/>
  <c r="M36" i="61"/>
  <c r="L36" i="61" s="1"/>
  <c r="AP47" i="3"/>
  <c r="AP45" i="3" s="1"/>
  <c r="AP44" i="3" s="1"/>
  <c r="I5" i="79"/>
  <c r="Y36" i="95"/>
  <c r="Y41" i="95" s="1"/>
  <c r="X41" i="95"/>
  <c r="D31" i="65"/>
  <c r="E31" i="65"/>
  <c r="AQ13" i="10"/>
  <c r="AA22" i="61" s="1"/>
  <c r="AR7" i="10"/>
  <c r="AR13" i="10" s="1"/>
  <c r="AB22" i="61" s="1"/>
  <c r="AC22" i="61" s="1"/>
  <c r="AD22" i="61" s="1"/>
  <c r="H19" i="94"/>
  <c r="BX53" i="7"/>
  <c r="M19" i="104"/>
  <c r="AT50" i="19"/>
  <c r="AR50" i="19" s="1"/>
  <c r="T36" i="64"/>
  <c r="S37" i="64"/>
  <c r="B56" i="85"/>
  <c r="F75" i="78"/>
  <c r="F77" i="78" s="1"/>
  <c r="M12" i="82"/>
  <c r="O12" i="82"/>
  <c r="L16" i="82"/>
  <c r="O16" i="82" s="1"/>
  <c r="CA64" i="121"/>
  <c r="CD64" i="121"/>
  <c r="Q49" i="125"/>
  <c r="CG29" i="7"/>
  <c r="AA41" i="95"/>
  <c r="AA46" i="95" s="1"/>
  <c r="AB37" i="95"/>
  <c r="U79" i="10"/>
  <c r="AA85" i="10"/>
  <c r="AA87" i="10" s="1"/>
  <c r="J30" i="105" s="1"/>
  <c r="F69" i="68"/>
  <c r="F66" i="68"/>
  <c r="F67" i="68"/>
  <c r="F68" i="68"/>
  <c r="AJ18" i="10"/>
  <c r="AJ19" i="10" s="1"/>
  <c r="AK14" i="10"/>
  <c r="M11" i="82"/>
  <c r="P7" i="82"/>
  <c r="L64" i="121"/>
  <c r="B64" i="121"/>
  <c r="H30" i="84"/>
  <c r="J30" i="84" s="1"/>
  <c r="G30" i="84"/>
  <c r="D7" i="102"/>
  <c r="D21" i="102" s="1"/>
  <c r="B21" i="102"/>
  <c r="CH10" i="7"/>
  <c r="G37" i="64"/>
  <c r="AQ103" i="120"/>
  <c r="BO103" i="120" s="1"/>
  <c r="CN51" i="72"/>
  <c r="K33" i="32"/>
  <c r="N33" i="32" s="1"/>
  <c r="AJ45" i="3"/>
  <c r="AJ44" i="3" s="1"/>
  <c r="AJ48" i="3" s="1"/>
  <c r="E32" i="84"/>
  <c r="H32" i="84" s="1"/>
  <c r="AF19" i="10"/>
  <c r="T25" i="17"/>
  <c r="P25" i="17"/>
  <c r="AN9" i="17"/>
  <c r="AO9" i="17"/>
  <c r="AP9" i="17"/>
  <c r="K31" i="21"/>
  <c r="J31" i="21"/>
  <c r="R27" i="8"/>
  <c r="AQ54" i="7"/>
  <c r="AN54" i="7"/>
  <c r="AL54" i="7" s="1"/>
  <c r="AI151" i="7"/>
  <c r="AM151" i="7"/>
  <c r="AI91" i="8"/>
  <c r="AW19" i="8"/>
  <c r="AJ19" i="8"/>
  <c r="BH64" i="121"/>
  <c r="BG64" i="121" s="1"/>
  <c r="AX64" i="121"/>
  <c r="L70" i="72"/>
  <c r="BA63" i="72"/>
  <c r="AQ63" i="72"/>
  <c r="P27" i="59"/>
  <c r="R9" i="59"/>
  <c r="BC27" i="5"/>
  <c r="BC26" i="5" s="1"/>
  <c r="AN27" i="5"/>
  <c r="AN26" i="5" s="1"/>
  <c r="AX27" i="5"/>
  <c r="AM26" i="5"/>
  <c r="AM28" i="19"/>
  <c r="AF28" i="19"/>
  <c r="AM33" i="19"/>
  <c r="AF33" i="19"/>
  <c r="AM42" i="19"/>
  <c r="AF42" i="19"/>
  <c r="AM41" i="19"/>
  <c r="AF41" i="19"/>
  <c r="AF17" i="19"/>
  <c r="AM17" i="19"/>
  <c r="AM8" i="19"/>
  <c r="AF8" i="19"/>
  <c r="AF24" i="19"/>
  <c r="AM24" i="19"/>
  <c r="AF22" i="19"/>
  <c r="F10" i="3"/>
  <c r="F28" i="3" s="1"/>
  <c r="C16" i="11"/>
  <c r="D10" i="3"/>
  <c r="T24" i="8"/>
  <c r="T25" i="8" s="1"/>
  <c r="S25" i="8"/>
  <c r="BL39" i="17"/>
  <c r="BS54" i="72"/>
  <c r="N50" i="125"/>
  <c r="AN65" i="121"/>
  <c r="AP10" i="71"/>
  <c r="T26" i="71"/>
  <c r="P26" i="71"/>
  <c r="AN10" i="71"/>
  <c r="AO10" i="71"/>
  <c r="BS26" i="17"/>
  <c r="BT26" i="17"/>
  <c r="AM11" i="5"/>
  <c r="AM12" i="5" s="1"/>
  <c r="C9" i="86"/>
  <c r="C12" i="86" s="1"/>
  <c r="C9" i="74"/>
  <c r="C12" i="74" s="1"/>
  <c r="BE52" i="7"/>
  <c r="BE144" i="7" s="1"/>
  <c r="BD53" i="7"/>
  <c r="BD52" i="7" s="1"/>
  <c r="BD144" i="7" s="1"/>
  <c r="AF155" i="7"/>
  <c r="AF157" i="7"/>
  <c r="AP71" i="8"/>
  <c r="AP70" i="8"/>
  <c r="AP74" i="8"/>
  <c r="AP75" i="8" s="1"/>
  <c r="AP68" i="8"/>
  <c r="AM12" i="19"/>
  <c r="BC32" i="11"/>
  <c r="BB32" i="11"/>
  <c r="J27" i="21"/>
  <c r="K27" i="21"/>
  <c r="I32" i="21"/>
  <c r="K32" i="21" s="1"/>
  <c r="Z101" i="7"/>
  <c r="T115" i="7" s="1"/>
  <c r="C72" i="56"/>
  <c r="B73" i="56"/>
  <c r="B72" i="56" s="1"/>
  <c r="O83" i="7"/>
  <c r="P83" i="7" s="1"/>
  <c r="P63" i="7"/>
  <c r="O80" i="7"/>
  <c r="P80" i="7" s="1"/>
  <c r="R245" i="120"/>
  <c r="Q44" i="120"/>
  <c r="D20" i="75"/>
  <c r="D21" i="75" s="1"/>
  <c r="D23" i="75" s="1"/>
  <c r="D24" i="75" s="1"/>
  <c r="BT25" i="17"/>
  <c r="BS25" i="17"/>
  <c r="BS27" i="17"/>
  <c r="BT27" i="17"/>
  <c r="BT32" i="17"/>
  <c r="BS32" i="17"/>
  <c r="H10" i="68"/>
  <c r="H9" i="68"/>
  <c r="H12" i="68"/>
  <c r="H11" i="68"/>
  <c r="CG24" i="17"/>
  <c r="AE158" i="7"/>
  <c r="AE160" i="7"/>
  <c r="AE161" i="7" s="1"/>
  <c r="AW88" i="8"/>
  <c r="AU142" i="7"/>
  <c r="AU17" i="7"/>
  <c r="AH150" i="7"/>
  <c r="P29" i="21"/>
  <c r="O29" i="21"/>
  <c r="AQ60" i="72"/>
  <c r="AM54" i="72"/>
  <c r="AP54" i="72" s="1"/>
  <c r="AM52" i="72"/>
  <c r="BA60" i="72"/>
  <c r="AI25" i="8"/>
  <c r="V48" i="72"/>
  <c r="Q51" i="72"/>
  <c r="AG44" i="120"/>
  <c r="CK63" i="7"/>
  <c r="BN41" i="120"/>
  <c r="CM41" i="120" s="1"/>
  <c r="AP241" i="120"/>
  <c r="AO41" i="120"/>
  <c r="AO53" i="7"/>
  <c r="AO52" i="7" s="1"/>
  <c r="AO144" i="7" s="1"/>
  <c r="BC141" i="7"/>
  <c r="AZ14" i="7"/>
  <c r="BC15" i="7"/>
  <c r="BC8" i="7" s="1"/>
  <c r="CM79" i="121"/>
  <c r="T64" i="125"/>
  <c r="EC79" i="121"/>
  <c r="AY90" i="8"/>
  <c r="AY99" i="8" s="1"/>
  <c r="AY25" i="8"/>
  <c r="AV24" i="8"/>
  <c r="AO134" i="120"/>
  <c r="BO134" i="120"/>
  <c r="BM134" i="120" s="1"/>
  <c r="Q240" i="120"/>
  <c r="B254" i="120"/>
  <c r="BO100" i="122"/>
  <c r="BE109" i="120"/>
  <c r="BD109" i="120" s="1"/>
  <c r="BH59" i="121"/>
  <c r="F64" i="118"/>
  <c r="F74" i="118"/>
  <c r="CX47" i="8" s="1"/>
  <c r="F84" i="118"/>
  <c r="F94" i="118"/>
  <c r="F104" i="118"/>
  <c r="AL40" i="120"/>
  <c r="AF240" i="120"/>
  <c r="AL240" i="120" s="1"/>
  <c r="AP249" i="120"/>
  <c r="AO116" i="120"/>
  <c r="BN116" i="120"/>
  <c r="CM116" i="120" s="1"/>
  <c r="FP79" i="121"/>
  <c r="F84" i="116"/>
  <c r="D8" i="120"/>
  <c r="AF13" i="125"/>
  <c r="BO8" i="120"/>
  <c r="AQ8" i="120"/>
  <c r="S8" i="120"/>
  <c r="CD10" i="120"/>
  <c r="AF15" i="125" s="1"/>
  <c r="CD175" i="120"/>
  <c r="CD177" i="120" s="1"/>
  <c r="CD11" i="120"/>
  <c r="AI89" i="120"/>
  <c r="DX40" i="121"/>
  <c r="CH126" i="120"/>
  <c r="BA260" i="120"/>
  <c r="BA49" i="122"/>
  <c r="FT18" i="121"/>
  <c r="GF18" i="121" s="1"/>
  <c r="BM12" i="121"/>
  <c r="BM13" i="121" s="1"/>
  <c r="FD63" i="123"/>
  <c r="FV62" i="123"/>
  <c r="GH62" i="123" s="1"/>
  <c r="DD13" i="121"/>
  <c r="DC12" i="121"/>
  <c r="DC13" i="121" s="1"/>
  <c r="Z12" i="121"/>
  <c r="Z13" i="121" s="1"/>
  <c r="E32" i="132"/>
  <c r="E36" i="132" s="1"/>
  <c r="E38" i="132" s="1"/>
  <c r="G34" i="132"/>
  <c r="G32" i="132" s="1"/>
  <c r="FB74" i="123"/>
  <c r="FB63" i="123"/>
  <c r="FC13" i="121"/>
  <c r="FB12" i="121"/>
  <c r="FB13" i="121" s="1"/>
  <c r="E14" i="133"/>
  <c r="CD143" i="120"/>
  <c r="CW144" i="7"/>
  <c r="C144" i="120"/>
  <c r="CC210" i="120"/>
  <c r="CB144" i="120"/>
  <c r="CB210" i="120" s="1"/>
  <c r="CB45" i="122"/>
  <c r="C45" i="122"/>
  <c r="CV64" i="7"/>
  <c r="CU151" i="7"/>
  <c r="CU64" i="7" s="1"/>
  <c r="CU139" i="7"/>
  <c r="FG11" i="123"/>
  <c r="BI11" i="123"/>
  <c r="V11" i="123"/>
  <c r="AG18" i="126"/>
  <c r="D11" i="123"/>
  <c r="DH11" i="123"/>
  <c r="EX11" i="123"/>
  <c r="M11" i="123"/>
  <c r="CY11" i="123"/>
  <c r="EO11" i="123"/>
  <c r="AZ11" i="123"/>
  <c r="CP11" i="123"/>
  <c r="FZ11" i="123"/>
  <c r="AE18" i="126" s="1"/>
  <c r="AQ11" i="123"/>
  <c r="AG16" i="126"/>
  <c r="EX9" i="123"/>
  <c r="D9" i="123"/>
  <c r="DH9" i="123"/>
  <c r="AQ9" i="123"/>
  <c r="FG9" i="123"/>
  <c r="CY9" i="123"/>
  <c r="V9" i="123"/>
  <c r="AZ9" i="123"/>
  <c r="BI9" i="123"/>
  <c r="M9" i="123"/>
  <c r="EO9" i="123"/>
  <c r="CP9" i="123"/>
  <c r="FZ9" i="123"/>
  <c r="AE16" i="126" s="1"/>
  <c r="CO8" i="121"/>
  <c r="U8" i="121"/>
  <c r="DG8" i="121"/>
  <c r="GA11" i="121"/>
  <c r="BH8" i="121"/>
  <c r="GA10" i="121"/>
  <c r="L8" i="121"/>
  <c r="EN8" i="121"/>
  <c r="C8" i="121"/>
  <c r="CX8" i="121"/>
  <c r="FF8" i="121"/>
  <c r="AP8" i="121"/>
  <c r="AY8" i="121"/>
  <c r="EW8" i="121"/>
  <c r="FZ8" i="121"/>
  <c r="FZ10" i="121" s="1"/>
  <c r="CC69" i="120"/>
  <c r="C70" i="120"/>
  <c r="CB70" i="120"/>
  <c r="CH70" i="120" s="1"/>
  <c r="AR13" i="65"/>
  <c r="DC58" i="7"/>
  <c r="DO50" i="19"/>
  <c r="AJ26" i="98"/>
  <c r="AJ24" i="98" s="1"/>
  <c r="AJ28" i="98" s="1"/>
  <c r="AJ9" i="98"/>
  <c r="AJ13" i="98" s="1"/>
  <c r="DG124" i="8"/>
  <c r="AS21" i="65" s="1"/>
  <c r="DG99" i="8"/>
  <c r="DE93" i="8"/>
  <c r="DE51" i="8"/>
  <c r="DE53" i="8" s="1"/>
  <c r="DH52" i="8"/>
  <c r="DH53" i="8" s="1"/>
  <c r="AK9" i="98"/>
  <c r="AK13" i="98" s="1"/>
  <c r="DK99" i="8"/>
  <c r="DD138" i="7"/>
  <c r="DD150" i="7" s="1"/>
  <c r="DD152" i="7" s="1"/>
  <c r="DD8" i="7"/>
  <c r="DD63" i="7" s="1"/>
  <c r="DD65" i="7" s="1"/>
  <c r="DC51" i="8"/>
  <c r="DC53" i="8" s="1"/>
  <c r="CS151" i="7"/>
  <c r="BC36" i="61"/>
  <c r="BD36" i="61" s="1"/>
  <c r="BL45" i="3"/>
  <c r="BL44" i="3" s="1"/>
  <c r="AQ61" i="122"/>
  <c r="BF61" i="122" s="1"/>
  <c r="BL61" i="122" s="1"/>
  <c r="AN61" i="122"/>
  <c r="DF50" i="19"/>
  <c r="CC43" i="122"/>
  <c r="CZ20" i="8"/>
  <c r="CC112" i="122"/>
  <c r="DA42" i="8"/>
  <c r="CZ43" i="8"/>
  <c r="CZ42" i="8" s="1"/>
  <c r="CZ93" i="8" s="1"/>
  <c r="AQ57" i="122"/>
  <c r="BF57" i="122" s="1"/>
  <c r="BL57" i="122" s="1"/>
  <c r="AN57" i="122"/>
  <c r="DI92" i="8"/>
  <c r="J81" i="68"/>
  <c r="J83" i="68"/>
  <c r="J80" i="68"/>
  <c r="J82" i="68"/>
  <c r="BV52" i="123"/>
  <c r="AM11" i="65"/>
  <c r="H80" i="68"/>
  <c r="H81" i="68"/>
  <c r="H83" i="68"/>
  <c r="H82" i="68"/>
  <c r="CC56" i="120"/>
  <c r="CU20" i="7"/>
  <c r="CX52" i="8"/>
  <c r="M73" i="121"/>
  <c r="V73" i="121" s="1"/>
  <c r="DD53" i="8"/>
  <c r="D85" i="68"/>
  <c r="D86" i="68" s="1"/>
  <c r="S149" i="120"/>
  <c r="S215" i="120" s="1"/>
  <c r="AQ67" i="121" s="1"/>
  <c r="Q72" i="122"/>
  <c r="Q220" i="122" s="1"/>
  <c r="AF220" i="122" s="1"/>
  <c r="R220" i="122"/>
  <c r="AG220" i="122" s="1"/>
  <c r="CZ161" i="7"/>
  <c r="AG72" i="122"/>
  <c r="AH18" i="121"/>
  <c r="FN16" i="121"/>
  <c r="FO14" i="121"/>
  <c r="FO40" i="121"/>
  <c r="FX40" i="121" s="1"/>
  <c r="AC21" i="121"/>
  <c r="CC21" i="121"/>
  <c r="AM21" i="121"/>
  <c r="AL21" i="121" s="1"/>
  <c r="BZ164" i="122"/>
  <c r="BY111" i="122"/>
  <c r="BY164" i="122" s="1"/>
  <c r="F21" i="122"/>
  <c r="E21" i="122" s="1"/>
  <c r="E29" i="122"/>
  <c r="CH56" i="121"/>
  <c r="EG56" i="121" s="1"/>
  <c r="GF56" i="121" s="1"/>
  <c r="FT30" i="123"/>
  <c r="GF24" i="123"/>
  <c r="Q21" i="126"/>
  <c r="BP14" i="123"/>
  <c r="P21" i="126" s="1"/>
  <c r="O24" i="125"/>
  <c r="Q186" i="120"/>
  <c r="GM19" i="121"/>
  <c r="N21" i="126"/>
  <c r="CC14" i="123"/>
  <c r="AC14" i="123"/>
  <c r="M21" i="126" s="1"/>
  <c r="AK187" i="120"/>
  <c r="BI20" i="120"/>
  <c r="AN20" i="120"/>
  <c r="AN187" i="120" s="1"/>
  <c r="BP16" i="121"/>
  <c r="BP40" i="121" s="1"/>
  <c r="BY40" i="121" s="1"/>
  <c r="BQ14" i="121"/>
  <c r="BQ40" i="121"/>
  <c r="BZ40" i="121" s="1"/>
  <c r="O19" i="126"/>
  <c r="CD12" i="123"/>
  <c r="AC12" i="123"/>
  <c r="M19" i="126" s="1"/>
  <c r="AK196" i="120"/>
  <c r="BI30" i="120"/>
  <c r="AK108" i="122"/>
  <c r="FH27" i="123"/>
  <c r="FH28" i="123"/>
  <c r="C50" i="124"/>
  <c r="FI62" i="123"/>
  <c r="FR62" i="123" s="1"/>
  <c r="FX62" i="123" s="1"/>
  <c r="FR9" i="123"/>
  <c r="FI26" i="123"/>
  <c r="N22" i="126"/>
  <c r="AC15" i="123"/>
  <c r="M22" i="126" s="1"/>
  <c r="CC15" i="123"/>
  <c r="GM16" i="121"/>
  <c r="BI188" i="120"/>
  <c r="CG21" i="120"/>
  <c r="BL21" i="120"/>
  <c r="BL188" i="120" s="1"/>
  <c r="U204" i="120"/>
  <c r="T37" i="120"/>
  <c r="T204" i="120" s="1"/>
  <c r="U29" i="120"/>
  <c r="AU26" i="123"/>
  <c r="BV25" i="123"/>
  <c r="BV26" i="123" s="1"/>
  <c r="CD14" i="123"/>
  <c r="CC16" i="121"/>
  <c r="EF21" i="121"/>
  <c r="BI95" i="122"/>
  <c r="AK152" i="122"/>
  <c r="AN95" i="122"/>
  <c r="GG50" i="121"/>
  <c r="EH76" i="121"/>
  <c r="BX123" i="120"/>
  <c r="CA130" i="120"/>
  <c r="BX204" i="120"/>
  <c r="CJ56" i="120"/>
  <c r="BG33" i="120"/>
  <c r="FH53" i="121"/>
  <c r="FQ53" i="121" s="1"/>
  <c r="AK266" i="120"/>
  <c r="BI120" i="120"/>
  <c r="AN120" i="120"/>
  <c r="BA256" i="120"/>
  <c r="BG82" i="120"/>
  <c r="H37" i="120"/>
  <c r="H204" i="120" s="1"/>
  <c r="I204" i="120"/>
  <c r="I29" i="120"/>
  <c r="GB36" i="121"/>
  <c r="GK36" i="121" s="1"/>
  <c r="EL36" i="121"/>
  <c r="BW123" i="120"/>
  <c r="BV130" i="120"/>
  <c r="AC244" i="120"/>
  <c r="AI86" i="120"/>
  <c r="AN67" i="120"/>
  <c r="GC64" i="121"/>
  <c r="AG61" i="121"/>
  <c r="W61" i="121"/>
  <c r="AF61" i="121" s="1"/>
  <c r="CE61" i="121" s="1"/>
  <c r="BI139" i="120"/>
  <c r="BU99" i="120"/>
  <c r="BU204" i="120"/>
  <c r="AK257" i="120"/>
  <c r="BI83" i="120"/>
  <c r="AN83" i="120"/>
  <c r="BC261" i="120"/>
  <c r="BC260" i="120" s="1"/>
  <c r="BC270" i="120" s="1"/>
  <c r="BI69" i="120"/>
  <c r="AB29" i="120"/>
  <c r="Z37" i="120"/>
  <c r="AB204" i="120"/>
  <c r="AJ238" i="120"/>
  <c r="AL17" i="121"/>
  <c r="FL67" i="123"/>
  <c r="FL68" i="123" s="1"/>
  <c r="EX80" i="121"/>
  <c r="FG80" i="121" s="1"/>
  <c r="AL230" i="120"/>
  <c r="N139" i="120"/>
  <c r="AI139" i="120" s="1"/>
  <c r="AN132" i="120"/>
  <c r="AQ132" i="120"/>
  <c r="AQ206" i="120" s="1"/>
  <c r="CP58" i="121" s="1"/>
  <c r="AH239" i="120"/>
  <c r="AH206" i="120"/>
  <c r="AN206" i="120" s="1"/>
  <c r="BK142" i="120"/>
  <c r="AN115" i="120"/>
  <c r="AQ115" i="120"/>
  <c r="BF115" i="120" s="1"/>
  <c r="AH254" i="120"/>
  <c r="AN254" i="120" s="1"/>
  <c r="BE136" i="120"/>
  <c r="BE249" i="120" s="1"/>
  <c r="GC66" i="121"/>
  <c r="BF141" i="120"/>
  <c r="AN137" i="120"/>
  <c r="AF137" i="120"/>
  <c r="CN140" i="120"/>
  <c r="CX96" i="8"/>
  <c r="CW48" i="8"/>
  <c r="CW96" i="8" s="1"/>
  <c r="CI67" i="120"/>
  <c r="AO77" i="120"/>
  <c r="AP248" i="120"/>
  <c r="BN77" i="120"/>
  <c r="BF133" i="120"/>
  <c r="BN133" i="120"/>
  <c r="BM133" i="120" s="1"/>
  <c r="AO133" i="120"/>
  <c r="Q266" i="120"/>
  <c r="DF80" i="121"/>
  <c r="DO80" i="121" s="1"/>
  <c r="U65" i="125" s="1"/>
  <c r="BO205" i="120"/>
  <c r="EO57" i="121" s="1"/>
  <c r="BO238" i="120"/>
  <c r="CK48" i="8"/>
  <c r="CK96" i="8" s="1"/>
  <c r="CL96" i="8"/>
  <c r="CD51" i="121"/>
  <c r="N36" i="125"/>
  <c r="AN51" i="121"/>
  <c r="CX120" i="8"/>
  <c r="AN14" i="65"/>
  <c r="AY79" i="121"/>
  <c r="AO79" i="121"/>
  <c r="AJ13" i="64"/>
  <c r="AJ11" i="64" s="1"/>
  <c r="CN176" i="7"/>
  <c r="BF39" i="3"/>
  <c r="M7" i="96" s="1"/>
  <c r="BF43" i="3"/>
  <c r="Q16" i="66"/>
  <c r="Q14" i="66" s="1"/>
  <c r="Q11" i="66" s="1"/>
  <c r="Q10" i="66" s="1"/>
  <c r="Q35" i="66" s="1"/>
  <c r="Q38" i="66" s="1"/>
  <c r="BO125" i="8"/>
  <c r="BF109" i="8"/>
  <c r="BF110" i="8" s="1"/>
  <c r="BF107" i="8"/>
  <c r="AE62" i="121"/>
  <c r="AD63" i="121"/>
  <c r="J68" i="68"/>
  <c r="J67" i="68"/>
  <c r="J69" i="68"/>
  <c r="J66" i="68"/>
  <c r="M49" i="97"/>
  <c r="M50" i="97" s="1"/>
  <c r="E50" i="97"/>
  <c r="J49" i="97"/>
  <c r="F49" i="97"/>
  <c r="D14" i="116"/>
  <c r="C15" i="116"/>
  <c r="D15" i="116" s="1"/>
  <c r="D46" i="116" s="1"/>
  <c r="BO126" i="120"/>
  <c r="AQ199" i="120"/>
  <c r="CP51" i="121" s="1"/>
  <c r="BQ106" i="8"/>
  <c r="BQ104" i="8"/>
  <c r="BP103" i="8"/>
  <c r="BP104" i="8" s="1"/>
  <c r="BE109" i="8"/>
  <c r="BE110" i="8" s="1"/>
  <c r="BE107" i="8"/>
  <c r="BP25" i="19"/>
  <c r="BW25" i="19"/>
  <c r="AN46" i="5"/>
  <c r="AN47" i="5" s="1"/>
  <c r="H46" i="68"/>
  <c r="H47" i="68"/>
  <c r="H48" i="68"/>
  <c r="H49" i="68"/>
  <c r="M53" i="121"/>
  <c r="V53" i="121" s="1"/>
  <c r="CQ152" i="7"/>
  <c r="CQ154" i="7"/>
  <c r="CI151" i="7"/>
  <c r="CI64" i="7" s="1"/>
  <c r="CK64" i="7"/>
  <c r="BN157" i="7"/>
  <c r="BN158" i="7" s="1"/>
  <c r="BN155" i="7"/>
  <c r="Y18" i="98"/>
  <c r="Y22" i="98" s="1"/>
  <c r="U18" i="98"/>
  <c r="T22" i="98"/>
  <c r="BV57" i="7"/>
  <c r="G30" i="105"/>
  <c r="BW57" i="7" s="1"/>
  <c r="X37" i="66"/>
  <c r="Z36" i="66"/>
  <c r="Y36" i="66"/>
  <c r="D63" i="32"/>
  <c r="CG56" i="72"/>
  <c r="CG57" i="72" s="1"/>
  <c r="AN43" i="3"/>
  <c r="E7" i="96"/>
  <c r="AN19" i="10"/>
  <c r="G39" i="105"/>
  <c r="K66" i="121"/>
  <c r="U66" i="121"/>
  <c r="F19" i="94"/>
  <c r="T65" i="32"/>
  <c r="S65" i="32"/>
  <c r="S72" i="32" s="1"/>
  <c r="N19" i="104" s="1"/>
  <c r="AF65" i="32"/>
  <c r="AH65" i="32" s="1"/>
  <c r="AH72" i="32" s="1"/>
  <c r="B16" i="82"/>
  <c r="E16" i="82" s="1"/>
  <c r="I16" i="82" s="1"/>
  <c r="F16" i="82"/>
  <c r="J16" i="82" s="1"/>
  <c r="M36" i="123"/>
  <c r="V36" i="123" s="1"/>
  <c r="T35" i="66"/>
  <c r="T38" i="66"/>
  <c r="F18" i="94"/>
  <c r="CH29" i="7"/>
  <c r="R37" i="64"/>
  <c r="I30" i="89"/>
  <c r="I28" i="89" s="1"/>
  <c r="BJ56" i="72"/>
  <c r="W43" i="3"/>
  <c r="D7" i="96"/>
  <c r="M48" i="78"/>
  <c r="P47" i="78" s="1"/>
  <c r="G46" i="78"/>
  <c r="C5" i="108" s="1"/>
  <c r="H5" i="108" s="1"/>
  <c r="X85" i="10"/>
  <c r="X87" i="10" s="1"/>
  <c r="I30" i="105" s="1"/>
  <c r="F83" i="68"/>
  <c r="F82" i="68"/>
  <c r="F81" i="68"/>
  <c r="F80" i="68"/>
  <c r="D14" i="73"/>
  <c r="C15" i="73"/>
  <c r="D15" i="73" s="1"/>
  <c r="AM146" i="120"/>
  <c r="AF146" i="120"/>
  <c r="BE146" i="120"/>
  <c r="AG212" i="120"/>
  <c r="AM212" i="120" s="1"/>
  <c r="AP146" i="120"/>
  <c r="CG10" i="7"/>
  <c r="CG138" i="7" s="1"/>
  <c r="BF101" i="120"/>
  <c r="BL101" i="120" s="1"/>
  <c r="AH128" i="120"/>
  <c r="A31" i="89"/>
  <c r="B28" i="85" s="1"/>
  <c r="B15" i="92"/>
  <c r="C16" i="92" s="1"/>
  <c r="I26" i="87"/>
  <c r="I25" i="87" s="1"/>
  <c r="P22" i="61" s="1"/>
  <c r="H9" i="87"/>
  <c r="BM58" i="72"/>
  <c r="BL50" i="72" s="1"/>
  <c r="BM50" i="72" s="1"/>
  <c r="B13" i="87" s="1"/>
  <c r="C13" i="87" s="1"/>
  <c r="Y40" i="3"/>
  <c r="Y39" i="3" s="1"/>
  <c r="P31" i="21"/>
  <c r="O31" i="21"/>
  <c r="P39" i="8"/>
  <c r="Q38" i="8"/>
  <c r="P34" i="8"/>
  <c r="R38" i="8"/>
  <c r="BB40" i="7"/>
  <c r="BB140" i="7"/>
  <c r="BQ64" i="121"/>
  <c r="CF33" i="17"/>
  <c r="CE33" i="17" s="1"/>
  <c r="CI33" i="17"/>
  <c r="CH33" i="17" s="1"/>
  <c r="AZ23" i="8"/>
  <c r="CC33" i="17"/>
  <c r="CB33" i="17" s="1"/>
  <c r="BT28" i="17"/>
  <c r="BS28" i="17"/>
  <c r="BA37" i="71"/>
  <c r="BL29" i="71"/>
  <c r="BC18" i="8"/>
  <c r="CD31" i="17"/>
  <c r="CG32" i="17"/>
  <c r="CG31" i="17" s="1"/>
  <c r="AM35" i="19"/>
  <c r="AF35" i="19"/>
  <c r="AM38" i="19"/>
  <c r="AF38" i="19"/>
  <c r="AF32" i="19"/>
  <c r="AM19" i="19"/>
  <c r="AF19" i="19"/>
  <c r="AM9" i="19"/>
  <c r="AF9" i="19"/>
  <c r="AF30" i="19"/>
  <c r="AM30" i="19"/>
  <c r="AF21" i="19"/>
  <c r="F12" i="21"/>
  <c r="F15" i="21"/>
  <c r="F29" i="21"/>
  <c r="K16" i="21"/>
  <c r="F27" i="21"/>
  <c r="F11" i="21"/>
  <c r="F25" i="21"/>
  <c r="F14" i="21"/>
  <c r="F13" i="21"/>
  <c r="F26" i="21"/>
  <c r="F31" i="21"/>
  <c r="F30" i="21"/>
  <c r="P30" i="21"/>
  <c r="O30" i="21"/>
  <c r="Z87" i="8"/>
  <c r="W45" i="6"/>
  <c r="W46" i="6" s="1"/>
  <c r="X49" i="6"/>
  <c r="P46" i="6"/>
  <c r="X47" i="6"/>
  <c r="Y16" i="8" s="1"/>
  <c r="X50" i="6"/>
  <c r="N71" i="8"/>
  <c r="N72" i="8" s="1"/>
  <c r="N68" i="8"/>
  <c r="O51" i="8"/>
  <c r="T18" i="8"/>
  <c r="T17" i="8" s="1"/>
  <c r="T51" i="8" s="1"/>
  <c r="S17" i="8"/>
  <c r="S51" i="8" s="1"/>
  <c r="BS34" i="17"/>
  <c r="BT34" i="17"/>
  <c r="AZ9" i="8"/>
  <c r="BD55" i="9"/>
  <c r="BG52" i="9"/>
  <c r="BH43" i="11"/>
  <c r="BH45" i="11" s="1"/>
  <c r="AZ93" i="8"/>
  <c r="BA93" i="8" s="1"/>
  <c r="BA42" i="8"/>
  <c r="AP101" i="8"/>
  <c r="AP106" i="8"/>
  <c r="AO14" i="19"/>
  <c r="AC10" i="19"/>
  <c r="N16" i="65"/>
  <c r="K16" i="65"/>
  <c r="AK13" i="65"/>
  <c r="AK10" i="65" s="1"/>
  <c r="AK9" i="65" s="1"/>
  <c r="AK35" i="65" s="1"/>
  <c r="AK38" i="65" s="1"/>
  <c r="BV24" i="71"/>
  <c r="BH36" i="71"/>
  <c r="J8" i="68"/>
  <c r="L5" i="68"/>
  <c r="K16" i="64"/>
  <c r="K14" i="64" s="1"/>
  <c r="D11" i="77"/>
  <c r="B103" i="56"/>
  <c r="B102" i="56" s="1"/>
  <c r="C102" i="56"/>
  <c r="BD52" i="72"/>
  <c r="BF52" i="72"/>
  <c r="BC55" i="72"/>
  <c r="BF55" i="72" s="1"/>
  <c r="AT157" i="7"/>
  <c r="AT155" i="7"/>
  <c r="Y160" i="7"/>
  <c r="Y161" i="7" s="1"/>
  <c r="Y158" i="7"/>
  <c r="AB46" i="5"/>
  <c r="R40" i="7"/>
  <c r="R41" i="7" s="1"/>
  <c r="Z40" i="7"/>
  <c r="T40" i="7"/>
  <c r="T41" i="7" s="1"/>
  <c r="T35" i="7" s="1"/>
  <c r="Q41" i="7"/>
  <c r="S40" i="7"/>
  <c r="S41" i="7" s="1"/>
  <c r="K29" i="21"/>
  <c r="J29" i="21"/>
  <c r="AA41" i="7"/>
  <c r="AB40" i="7"/>
  <c r="AB41" i="7" s="1"/>
  <c r="AP40" i="7"/>
  <c r="AD40" i="7"/>
  <c r="AD41" i="7" s="1"/>
  <c r="AD35" i="7" s="1"/>
  <c r="BA60" i="9"/>
  <c r="AQ60" i="9"/>
  <c r="AM52" i="9"/>
  <c r="AM54" i="9"/>
  <c r="C82" i="56"/>
  <c r="R82" i="56" s="1"/>
  <c r="B83" i="56"/>
  <c r="B82" i="56" s="1"/>
  <c r="AB34" i="7"/>
  <c r="AI34" i="7"/>
  <c r="AP34" i="7"/>
  <c r="AC34" i="7"/>
  <c r="AD34" i="7" s="1"/>
  <c r="AD143" i="7" s="1"/>
  <c r="B242" i="120"/>
  <c r="BA140" i="7"/>
  <c r="AW158" i="7"/>
  <c r="AW160" i="7"/>
  <c r="AW161" i="7" s="1"/>
  <c r="BD41" i="120"/>
  <c r="BE241" i="120"/>
  <c r="BD49" i="120"/>
  <c r="BK49" i="120"/>
  <c r="BC140" i="7"/>
  <c r="BC150" i="7" s="1"/>
  <c r="AM138" i="7"/>
  <c r="AN58" i="121"/>
  <c r="N43" i="125"/>
  <c r="CD58" i="121"/>
  <c r="CA58" i="121"/>
  <c r="Q43" i="125"/>
  <c r="CL49" i="120"/>
  <c r="BE109" i="122"/>
  <c r="BN109" i="122"/>
  <c r="AO109" i="122"/>
  <c r="CC209" i="122"/>
  <c r="CO125" i="8"/>
  <c r="BN111" i="120"/>
  <c r="CM111" i="120"/>
  <c r="AO111" i="120"/>
  <c r="DP59" i="121"/>
  <c r="V44" i="125" s="1"/>
  <c r="EH37" i="121"/>
  <c r="U55" i="126"/>
  <c r="CM64" i="123"/>
  <c r="EC64" i="123"/>
  <c r="BE240" i="120"/>
  <c r="BK240" i="120" s="1"/>
  <c r="BD40" i="120"/>
  <c r="BD240" i="120" s="1"/>
  <c r="AF249" i="120"/>
  <c r="GF37" i="121"/>
  <c r="BO40" i="120"/>
  <c r="BO240" i="120" s="1"/>
  <c r="AQ240" i="120"/>
  <c r="AZ65" i="32"/>
  <c r="AZ70" i="32" s="1"/>
  <c r="AZ8" i="121"/>
  <c r="GB11" i="121"/>
  <c r="GB12" i="121" s="1"/>
  <c r="GB13" i="121" s="1"/>
  <c r="BI8" i="121"/>
  <c r="CP8" i="121"/>
  <c r="AQ8" i="121"/>
  <c r="GB10" i="121"/>
  <c r="D8" i="121"/>
  <c r="DH8" i="121"/>
  <c r="M8" i="121"/>
  <c r="V8" i="121"/>
  <c r="CY8" i="121"/>
  <c r="FG8" i="121"/>
  <c r="EO8" i="121"/>
  <c r="EX8" i="121"/>
  <c r="J22" i="129"/>
  <c r="BZ213" i="122"/>
  <c r="BZ223" i="122" s="1"/>
  <c r="BP223" i="122"/>
  <c r="BQ177" i="122"/>
  <c r="BQ179" i="122" s="1"/>
  <c r="BY29" i="122"/>
  <c r="BZ21" i="122"/>
  <c r="BY21" i="122" s="1"/>
  <c r="CJ23" i="122"/>
  <c r="CG28" i="122"/>
  <c r="CJ28" i="122" s="1"/>
  <c r="CJ26" i="122"/>
  <c r="BY156" i="122"/>
  <c r="BY158" i="122" s="1"/>
  <c r="BY28" i="122"/>
  <c r="FS55" i="121"/>
  <c r="EP85" i="121"/>
  <c r="FQ86" i="121"/>
  <c r="FR67" i="121"/>
  <c r="EP67" i="121"/>
  <c r="FQ67" i="121" s="1"/>
  <c r="BZ261" i="120"/>
  <c r="BZ260" i="120" s="1"/>
  <c r="BZ270" i="120" s="1"/>
  <c r="BY69" i="120"/>
  <c r="BY261" i="120" s="1"/>
  <c r="BY260" i="120" s="1"/>
  <c r="BY270" i="120" s="1"/>
  <c r="BP53" i="120"/>
  <c r="BY201" i="120"/>
  <c r="BY203" i="120" s="1"/>
  <c r="BY36" i="120"/>
  <c r="BZ106" i="120"/>
  <c r="BQ99" i="120"/>
  <c r="BP204" i="120"/>
  <c r="BP208" i="120" s="1"/>
  <c r="BP40" i="122"/>
  <c r="BQ124" i="122"/>
  <c r="BQ126" i="122" s="1"/>
  <c r="BQ226" i="120"/>
  <c r="EQ56" i="121"/>
  <c r="BQ208" i="120"/>
  <c r="EQ60" i="121" s="1"/>
  <c r="FR55" i="121"/>
  <c r="EP55" i="121"/>
  <c r="BZ185" i="120"/>
  <c r="BY18" i="120"/>
  <c r="BY185" i="120" s="1"/>
  <c r="FQ21" i="121"/>
  <c r="FX21" i="121"/>
  <c r="FW21" i="121" s="1"/>
  <c r="FQ18" i="121"/>
  <c r="EP14" i="121"/>
  <c r="EP38" i="121" s="1"/>
  <c r="C14" i="124"/>
  <c r="EQ38" i="121"/>
  <c r="EQ77" i="121"/>
  <c r="FR12" i="121"/>
  <c r="BZ14" i="120"/>
  <c r="BZ189" i="120"/>
  <c r="BY22" i="120"/>
  <c r="BY189" i="120" s="1"/>
  <c r="BQ13" i="120"/>
  <c r="BQ179" i="120"/>
  <c r="BQ180" i="120" s="1"/>
  <c r="CI15" i="122"/>
  <c r="CH15" i="122" s="1"/>
  <c r="FS13" i="121"/>
  <c r="CA12" i="120"/>
  <c r="CA181" i="120"/>
  <c r="CA225" i="120" s="1"/>
  <c r="EQ12" i="121"/>
  <c r="EP11" i="121"/>
  <c r="AL181" i="122"/>
  <c r="BG181" i="122"/>
  <c r="CE181" i="122" s="1"/>
  <c r="CH181" i="122" s="1"/>
  <c r="BH220" i="120"/>
  <c r="CG116" i="122"/>
  <c r="BA210" i="122"/>
  <c r="BA199" i="122"/>
  <c r="BG199" i="122" s="1"/>
  <c r="BG54" i="122"/>
  <c r="CE54" i="122" s="1"/>
  <c r="CH54" i="122" s="1"/>
  <c r="BB40" i="122"/>
  <c r="BK55" i="122"/>
  <c r="BA111" i="122"/>
  <c r="BA164" i="122" s="1"/>
  <c r="BB164" i="122"/>
  <c r="BA218" i="122"/>
  <c r="AY177" i="122"/>
  <c r="AY179" i="122" s="1"/>
  <c r="DJ42" i="123"/>
  <c r="BA158" i="122"/>
  <c r="AY21" i="122"/>
  <c r="AX21" i="122" s="1"/>
  <c r="AX29" i="122"/>
  <c r="AX159" i="122" s="1"/>
  <c r="CF84" i="122"/>
  <c r="CI84" i="122" s="1"/>
  <c r="BB159" i="122"/>
  <c r="BB163" i="122" s="1"/>
  <c r="O42" i="126"/>
  <c r="AN51" i="123"/>
  <c r="CD51" i="123"/>
  <c r="AJ101" i="122"/>
  <c r="AC101" i="122"/>
  <c r="BH151" i="122"/>
  <c r="AP74" i="122"/>
  <c r="AM74" i="122"/>
  <c r="AF74" i="122"/>
  <c r="AL74" i="122" s="1"/>
  <c r="Q51" i="122"/>
  <c r="S195" i="122"/>
  <c r="AH195" i="122" s="1"/>
  <c r="S65" i="122"/>
  <c r="AH65" i="122" s="1"/>
  <c r="Q66" i="122"/>
  <c r="S214" i="122"/>
  <c r="AH214" i="122" s="1"/>
  <c r="Q73" i="122"/>
  <c r="Q221" i="122" s="1"/>
  <c r="R221" i="122"/>
  <c r="AG221" i="122" s="1"/>
  <c r="Q63" i="122"/>
  <c r="Q207" i="122" s="1"/>
  <c r="AG63" i="122"/>
  <c r="R207" i="122"/>
  <c r="AG207" i="122" s="1"/>
  <c r="Q59" i="122"/>
  <c r="Q203" i="122" s="1"/>
  <c r="AG59" i="122"/>
  <c r="R203" i="122"/>
  <c r="AG203" i="122" s="1"/>
  <c r="Q53" i="122"/>
  <c r="Q198" i="122" s="1"/>
  <c r="AG53" i="122"/>
  <c r="R198" i="122"/>
  <c r="AG198" i="122" s="1"/>
  <c r="B38" i="122"/>
  <c r="C218" i="122"/>
  <c r="C29" i="122"/>
  <c r="B208" i="122"/>
  <c r="AF208" i="122" s="1"/>
  <c r="AL208" i="122" s="1"/>
  <c r="EQ66" i="123"/>
  <c r="EQ63" i="123"/>
  <c r="B205" i="122"/>
  <c r="B201" i="122"/>
  <c r="Q32" i="122"/>
  <c r="Q196" i="122" s="1"/>
  <c r="R196" i="122"/>
  <c r="AG196" i="122" s="1"/>
  <c r="S106" i="122"/>
  <c r="AH107" i="122"/>
  <c r="Q107" i="122"/>
  <c r="S215" i="122"/>
  <c r="AH215" i="122" s="1"/>
  <c r="BP143" i="122"/>
  <c r="BP178" i="122" s="1"/>
  <c r="BP125" i="122"/>
  <c r="P213" i="122"/>
  <c r="AK213" i="122" s="1"/>
  <c r="N90" i="122"/>
  <c r="AQ83" i="122"/>
  <c r="AN83" i="122"/>
  <c r="AF83" i="122"/>
  <c r="AL83" i="122" s="1"/>
  <c r="R70" i="122"/>
  <c r="AN16" i="123"/>
  <c r="AL16" i="123" s="1"/>
  <c r="AF16" i="123"/>
  <c r="V159" i="122"/>
  <c r="V75" i="122"/>
  <c r="AE81" i="122"/>
  <c r="M44" i="123"/>
  <c r="V44" i="123" s="1"/>
  <c r="AE44" i="123" s="1"/>
  <c r="B44" i="123"/>
  <c r="F168" i="122"/>
  <c r="F52" i="123" s="1"/>
  <c r="O115" i="122"/>
  <c r="E115" i="122"/>
  <c r="E168" i="122" s="1"/>
  <c r="B202" i="122"/>
  <c r="AJ175" i="122"/>
  <c r="AM175" i="122" s="1"/>
  <c r="BH122" i="122"/>
  <c r="AM122" i="122"/>
  <c r="CG99" i="122"/>
  <c r="BI100" i="122"/>
  <c r="BL100" i="122" s="1"/>
  <c r="BL99" i="122"/>
  <c r="BX21" i="122"/>
  <c r="BX159" i="122"/>
  <c r="BV29" i="122"/>
  <c r="BV159" i="122" s="1"/>
  <c r="BV163" i="122" s="1"/>
  <c r="CG204" i="122"/>
  <c r="AH39" i="122"/>
  <c r="S38" i="122"/>
  <c r="AH38" i="122" s="1"/>
  <c r="S219" i="122"/>
  <c r="AH219" i="122" s="1"/>
  <c r="CL31" i="122"/>
  <c r="B161" i="122"/>
  <c r="B195" i="122"/>
  <c r="CA158" i="122"/>
  <c r="BH201" i="122"/>
  <c r="AK194" i="122"/>
  <c r="P223" i="122"/>
  <c r="BH52" i="122"/>
  <c r="AM52" i="122"/>
  <c r="AB21" i="122"/>
  <c r="AB124" i="122" s="1"/>
  <c r="AB126" i="122" s="1"/>
  <c r="AB159" i="122"/>
  <c r="S212" i="122"/>
  <c r="AH212" i="122" s="1"/>
  <c r="AH34" i="122"/>
  <c r="S161" i="122"/>
  <c r="AQ45" i="123" s="1"/>
  <c r="BN24" i="122"/>
  <c r="AO24" i="122"/>
  <c r="AP153" i="122"/>
  <c r="CO37" i="123" s="1"/>
  <c r="BO24" i="122"/>
  <c r="BO153" i="122" s="1"/>
  <c r="EO37" i="123" s="1"/>
  <c r="AQ153" i="122"/>
  <c r="CP37" i="123" s="1"/>
  <c r="AQ78" i="122"/>
  <c r="BF78" i="122" s="1"/>
  <c r="AN78" i="122"/>
  <c r="AH79" i="122"/>
  <c r="AN79" i="122" s="1"/>
  <c r="BH44" i="123"/>
  <c r="DQ51" i="123"/>
  <c r="CF203" i="122"/>
  <c r="AQ51" i="122"/>
  <c r="BF51" i="122" s="1"/>
  <c r="AH161" i="122"/>
  <c r="AN161" i="122" s="1"/>
  <c r="AN51" i="122"/>
  <c r="B65" i="122"/>
  <c r="D213" i="122"/>
  <c r="B221" i="122"/>
  <c r="B207" i="122"/>
  <c r="B203" i="122"/>
  <c r="B198" i="122"/>
  <c r="Q39" i="122"/>
  <c r="Q219" i="122" s="1"/>
  <c r="AG39" i="122"/>
  <c r="R38" i="122"/>
  <c r="R219" i="122"/>
  <c r="AG219" i="122" s="1"/>
  <c r="AP64" i="122"/>
  <c r="AF64" i="122"/>
  <c r="AL64" i="122" s="1"/>
  <c r="AP60" i="122"/>
  <c r="BE60" i="122" s="1"/>
  <c r="AM60" i="122"/>
  <c r="AF60" i="122"/>
  <c r="AL60" i="122" s="1"/>
  <c r="AP56" i="122"/>
  <c r="BE56" i="122" s="1"/>
  <c r="AF56" i="122"/>
  <c r="B197" i="122"/>
  <c r="AF197" i="122" s="1"/>
  <c r="AL197" i="122" s="1"/>
  <c r="B196" i="122"/>
  <c r="FH62" i="123"/>
  <c r="FH26" i="123"/>
  <c r="AC176" i="122"/>
  <c r="AI123" i="122"/>
  <c r="H100" i="122"/>
  <c r="H157" i="122"/>
  <c r="H158" i="122" s="1"/>
  <c r="AT21" i="122"/>
  <c r="AT159" i="122"/>
  <c r="AR29" i="122"/>
  <c r="AP71" i="122"/>
  <c r="BE71" i="122" s="1"/>
  <c r="AF71" i="122"/>
  <c r="FQ72" i="123"/>
  <c r="FQ70" i="123" s="1"/>
  <c r="EY70" i="123"/>
  <c r="O174" i="122"/>
  <c r="N121" i="122"/>
  <c r="N174" i="122" s="1"/>
  <c r="CG96" i="122"/>
  <c r="BI153" i="122"/>
  <c r="BL96" i="122"/>
  <c r="BV40" i="122"/>
  <c r="BW124" i="122"/>
  <c r="BI54" i="122"/>
  <c r="AN54" i="122"/>
  <c r="AE218" i="122"/>
  <c r="AK70" i="122"/>
  <c r="BH58" i="122"/>
  <c r="CG222" i="122"/>
  <c r="R51" i="126"/>
  <c r="CA60" i="123"/>
  <c r="DG59" i="123"/>
  <c r="BS40" i="122"/>
  <c r="BT124" i="122"/>
  <c r="U37" i="123"/>
  <c r="AD37" i="123" s="1"/>
  <c r="BK107" i="122"/>
  <c r="BO103" i="122"/>
  <c r="BM103" i="122" s="1"/>
  <c r="AO103" i="122"/>
  <c r="V38" i="123"/>
  <c r="FF59" i="123"/>
  <c r="BL26" i="122"/>
  <c r="R42" i="126"/>
  <c r="CA51" i="123"/>
  <c r="Z21" i="122"/>
  <c r="BG219" i="122"/>
  <c r="AY124" i="122"/>
  <c r="AX124" i="122" s="1"/>
  <c r="AX131" i="122" s="1"/>
  <c r="D49" i="122"/>
  <c r="AN200" i="122"/>
  <c r="AH66" i="122"/>
  <c r="AP62" i="122"/>
  <c r="BE62" i="122" s="1"/>
  <c r="AF62" i="122"/>
  <c r="AP52" i="122"/>
  <c r="BE52" i="122" s="1"/>
  <c r="AF52" i="122"/>
  <c r="AL52" i="122" s="1"/>
  <c r="B219" i="122"/>
  <c r="CG12" i="123"/>
  <c r="CA12" i="123"/>
  <c r="CG10" i="123"/>
  <c r="AN10" i="123"/>
  <c r="AL10" i="123" s="1"/>
  <c r="AF10" i="123"/>
  <c r="Q56" i="122"/>
  <c r="AF15" i="122"/>
  <c r="BE15" i="122"/>
  <c r="EM70" i="123"/>
  <c r="EV73" i="123"/>
  <c r="Q35" i="122"/>
  <c r="AG35" i="122"/>
  <c r="AF56" i="123"/>
  <c r="AP33" i="122"/>
  <c r="BE33" i="122" s="1"/>
  <c r="BD33" i="122" s="1"/>
  <c r="AF33" i="122"/>
  <c r="EY62" i="123"/>
  <c r="EY26" i="123"/>
  <c r="T101" i="122"/>
  <c r="U94" i="122"/>
  <c r="AK90" i="122"/>
  <c r="BR21" i="122"/>
  <c r="BR159" i="122"/>
  <c r="BP29" i="122"/>
  <c r="BP159" i="122" s="1"/>
  <c r="CJ45" i="122"/>
  <c r="BI196" i="122"/>
  <c r="AN196" i="122"/>
  <c r="N70" i="122"/>
  <c r="N218" i="122" s="1"/>
  <c r="O218" i="122"/>
  <c r="BI219" i="122"/>
  <c r="AN219" i="122"/>
  <c r="CA223" i="122"/>
  <c r="BI206" i="122"/>
  <c r="AN206" i="122"/>
  <c r="BH202" i="122"/>
  <c r="H223" i="122"/>
  <c r="BI217" i="122"/>
  <c r="AN217" i="122"/>
  <c r="AL182" i="122"/>
  <c r="CG48" i="123"/>
  <c r="EF48" i="123" s="1"/>
  <c r="GE48" i="123" s="1"/>
  <c r="O50" i="126"/>
  <c r="AN59" i="123"/>
  <c r="BG60" i="122"/>
  <c r="BH59" i="123"/>
  <c r="AX59" i="123"/>
  <c r="BF162" i="122"/>
  <c r="BL162" i="122" s="1"/>
  <c r="BL85" i="122"/>
  <c r="BO105" i="122"/>
  <c r="AQ197" i="122"/>
  <c r="BF197" i="122" s="1"/>
  <c r="AO105" i="122"/>
  <c r="EZ43" i="123"/>
  <c r="FR43" i="123" s="1"/>
  <c r="BT163" i="122"/>
  <c r="EZ47" i="123" s="1"/>
  <c r="BT177" i="122"/>
  <c r="BT179" i="122" s="1"/>
  <c r="AP106" i="122"/>
  <c r="BN107" i="122"/>
  <c r="AN22" i="122"/>
  <c r="AQ22" i="122"/>
  <c r="BF22" i="122" s="1"/>
  <c r="BL207" i="122"/>
  <c r="CD207" i="122"/>
  <c r="CJ207" i="122" s="1"/>
  <c r="V50" i="123"/>
  <c r="AE50" i="123" s="1"/>
  <c r="V54" i="123"/>
  <c r="AF14" i="123"/>
  <c r="AR159" i="122"/>
  <c r="AQ56" i="122"/>
  <c r="BF56" i="122" s="1"/>
  <c r="BL56" i="122" s="1"/>
  <c r="AN56" i="122"/>
  <c r="AP73" i="122"/>
  <c r="BE73" i="122" s="1"/>
  <c r="AF73" i="122"/>
  <c r="AL73" i="122" s="1"/>
  <c r="AM73" i="122"/>
  <c r="CG15" i="123"/>
  <c r="AN15" i="123"/>
  <c r="AL15" i="123" s="1"/>
  <c r="Q61" i="122"/>
  <c r="Q205" i="122" s="1"/>
  <c r="AF205" i="122" s="1"/>
  <c r="AG61" i="122"/>
  <c r="R205" i="122"/>
  <c r="AG205" i="122" s="1"/>
  <c r="Q57" i="122"/>
  <c r="Q201" i="122" s="1"/>
  <c r="AF201" i="122" s="1"/>
  <c r="AG57" i="122"/>
  <c r="R201" i="122"/>
  <c r="AG201" i="122" s="1"/>
  <c r="AP54" i="122"/>
  <c r="BE54" i="122" s="1"/>
  <c r="AF54" i="122"/>
  <c r="AL54" i="122" s="1"/>
  <c r="AP32" i="122"/>
  <c r="AF32" i="122"/>
  <c r="BL16" i="122"/>
  <c r="BJ16" i="122" s="1"/>
  <c r="CG16" i="122"/>
  <c r="CJ16" i="122" s="1"/>
  <c r="BF15" i="122"/>
  <c r="BL15" i="122" s="1"/>
  <c r="AN15" i="122"/>
  <c r="AL15" i="122" s="1"/>
  <c r="E58" i="123"/>
  <c r="AF58" i="123" s="1"/>
  <c r="AG58" i="123"/>
  <c r="CF58" i="123" s="1"/>
  <c r="AH106" i="122"/>
  <c r="D101" i="122"/>
  <c r="B106" i="122"/>
  <c r="AQ102" i="122"/>
  <c r="AN102" i="122"/>
  <c r="AF102" i="122"/>
  <c r="AL102" i="122" s="1"/>
  <c r="E209" i="122"/>
  <c r="E223" i="122" s="1"/>
  <c r="E162" i="122"/>
  <c r="BN216" i="122"/>
  <c r="CC216" i="122" s="1"/>
  <c r="CI216" i="122" s="1"/>
  <c r="AP36" i="122"/>
  <c r="AM36" i="122"/>
  <c r="AF36" i="122"/>
  <c r="AL36" i="122" s="1"/>
  <c r="N99" i="122"/>
  <c r="O100" i="122"/>
  <c r="O157" i="122"/>
  <c r="S160" i="122"/>
  <c r="AQ44" i="123" s="1"/>
  <c r="Q30" i="122"/>
  <c r="AH30" i="122"/>
  <c r="S194" i="122"/>
  <c r="AH194" i="122" s="1"/>
  <c r="B206" i="122"/>
  <c r="AF206" i="122" s="1"/>
  <c r="U159" i="122"/>
  <c r="T29" i="122"/>
  <c r="T159" i="122" s="1"/>
  <c r="U21" i="122"/>
  <c r="D29" i="122"/>
  <c r="D218" i="122"/>
  <c r="D223" i="122" s="1"/>
  <c r="L45" i="123"/>
  <c r="B45" i="123"/>
  <c r="BV158" i="122"/>
  <c r="E49" i="122"/>
  <c r="E159" i="122" s="1"/>
  <c r="F159" i="122"/>
  <c r="F40" i="122"/>
  <c r="O49" i="122"/>
  <c r="J21" i="122"/>
  <c r="H29" i="122"/>
  <c r="H159" i="122" s="1"/>
  <c r="H163" i="122" s="1"/>
  <c r="J159" i="122"/>
  <c r="N160" i="122"/>
  <c r="N194" i="122"/>
  <c r="BI205" i="122"/>
  <c r="AN205" i="122"/>
  <c r="BI199" i="122"/>
  <c r="AN199" i="122"/>
  <c r="BI50" i="122"/>
  <c r="AK160" i="122"/>
  <c r="AN50" i="122"/>
  <c r="CE44" i="122"/>
  <c r="CH44" i="122" s="1"/>
  <c r="BJ44" i="122"/>
  <c r="K59" i="123"/>
  <c r="U59" i="123"/>
  <c r="T59" i="123" s="1"/>
  <c r="DP59" i="123"/>
  <c r="AQ209" i="122"/>
  <c r="BF209" i="122" s="1"/>
  <c r="BL209" i="122" s="1"/>
  <c r="BO85" i="122"/>
  <c r="AQ162" i="122"/>
  <c r="CP46" i="123" s="1"/>
  <c r="AO85" i="122"/>
  <c r="BF105" i="122"/>
  <c r="BD105" i="122" s="1"/>
  <c r="BZ40" i="122"/>
  <c r="BZ159" i="122"/>
  <c r="BY49" i="122"/>
  <c r="BF103" i="122"/>
  <c r="BD24" i="122"/>
  <c r="BO84" i="122"/>
  <c r="BF84" i="122"/>
  <c r="AQ196" i="122"/>
  <c r="BF196" i="122" s="1"/>
  <c r="AO84" i="122"/>
  <c r="BL24" i="122"/>
  <c r="BF153" i="122"/>
  <c r="BD85" i="122"/>
  <c r="BD162" i="122" s="1"/>
  <c r="R37" i="126"/>
  <c r="CA46" i="123"/>
  <c r="CD46" i="123"/>
  <c r="AD42" i="126"/>
  <c r="FY51" i="123"/>
  <c r="O35" i="126"/>
  <c r="AN44" i="123"/>
  <c r="FY57" i="123"/>
  <c r="AD48" i="126"/>
  <c r="BS15" i="123"/>
  <c r="BZ15" i="123"/>
  <c r="BY15" i="123" s="1"/>
  <c r="CE59" i="123"/>
  <c r="BI197" i="122"/>
  <c r="BC223" i="122"/>
  <c r="AX73" i="123"/>
  <c r="BG73" i="123" s="1"/>
  <c r="CD57" i="123"/>
  <c r="O48" i="126"/>
  <c r="O30" i="126"/>
  <c r="AN39" i="123"/>
  <c r="CD39" i="123"/>
  <c r="CD55" i="123"/>
  <c r="BH46" i="123"/>
  <c r="BG46" i="123" s="1"/>
  <c r="AX46" i="123"/>
  <c r="EP26" i="123"/>
  <c r="EP62" i="123"/>
  <c r="AN60" i="123"/>
  <c r="O51" i="126"/>
  <c r="CD60" i="123"/>
  <c r="V45" i="123"/>
  <c r="K45" i="123"/>
  <c r="EY27" i="123"/>
  <c r="EY28" i="123"/>
  <c r="AN14" i="123"/>
  <c r="CG14" i="123"/>
  <c r="FX14" i="123"/>
  <c r="FW14" i="123" s="1"/>
  <c r="FQ14" i="123"/>
  <c r="EF10" i="123"/>
  <c r="DZ10" i="123"/>
  <c r="DX10" i="123" s="1"/>
  <c r="CD59" i="123"/>
  <c r="R50" i="126"/>
  <c r="CA59" i="123"/>
  <c r="CG161" i="122"/>
  <c r="CJ161" i="122" s="1"/>
  <c r="CJ103" i="122"/>
  <c r="BP71" i="123"/>
  <c r="FG55" i="123"/>
  <c r="AN57" i="123"/>
  <c r="BS35" i="123"/>
  <c r="EF16" i="123"/>
  <c r="CM16" i="123"/>
  <c r="FQ13" i="123"/>
  <c r="DR15" i="123"/>
  <c r="DY15" i="123"/>
  <c r="DX15" i="123" s="1"/>
  <c r="CM13" i="123"/>
  <c r="EF13" i="123"/>
  <c r="V37" i="123"/>
  <c r="T37" i="123" s="1"/>
  <c r="K37" i="123"/>
  <c r="FQ42" i="123"/>
  <c r="AL72" i="123"/>
  <c r="O47" i="126"/>
  <c r="CD56" i="123"/>
  <c r="U42" i="126"/>
  <c r="CM51" i="123"/>
  <c r="EC51" i="123"/>
  <c r="FG54" i="123"/>
  <c r="FP39" i="123"/>
  <c r="BZ8" i="123"/>
  <c r="AL14" i="123"/>
  <c r="FS62" i="123"/>
  <c r="AO72" i="123"/>
  <c r="T70" i="123"/>
  <c r="CG105" i="122"/>
  <c r="CJ105" i="122" s="1"/>
  <c r="BL105" i="122"/>
  <c r="AC73" i="123"/>
  <c r="GD59" i="123"/>
  <c r="GE59" i="123"/>
  <c r="BH37" i="123"/>
  <c r="AX37" i="123"/>
  <c r="FW72" i="123"/>
  <c r="U44" i="123"/>
  <c r="K44" i="123"/>
  <c r="CY39" i="123"/>
  <c r="DH39" i="123" s="1"/>
  <c r="BP46" i="123"/>
  <c r="AY163" i="122"/>
  <c r="DJ47" i="123" s="1"/>
  <c r="DI47" i="123" s="1"/>
  <c r="DJ61" i="123"/>
  <c r="DJ66" i="123" s="1"/>
  <c r="DI42" i="123"/>
  <c r="DI61" i="123"/>
  <c r="DI74" i="123" s="1"/>
  <c r="BA29" i="120"/>
  <c r="BB203" i="120"/>
  <c r="DR54" i="121"/>
  <c r="AY204" i="120"/>
  <c r="DJ56" i="121" s="1"/>
  <c r="DJ76" i="121" s="1"/>
  <c r="AY53" i="120"/>
  <c r="AX53" i="120" s="1"/>
  <c r="AX270" i="120"/>
  <c r="BA143" i="120"/>
  <c r="BA209" i="120" s="1"/>
  <c r="BB209" i="120"/>
  <c r="BA265" i="120"/>
  <c r="AX130" i="120"/>
  <c r="AX204" i="120" s="1"/>
  <c r="AY123" i="120"/>
  <c r="BK19" i="120"/>
  <c r="BA18" i="120"/>
  <c r="BA185" i="120" s="1"/>
  <c r="DK69" i="123"/>
  <c r="AX143" i="122"/>
  <c r="AX178" i="122" s="1"/>
  <c r="AX125" i="122"/>
  <c r="DI62" i="123"/>
  <c r="DI26" i="123"/>
  <c r="AY13" i="120"/>
  <c r="AY179" i="120"/>
  <c r="AY180" i="120" s="1"/>
  <c r="BH191" i="120"/>
  <c r="BK24" i="120"/>
  <c r="BG24" i="120"/>
  <c r="BG191" i="120" s="1"/>
  <c r="CF23" i="120"/>
  <c r="BG23" i="120"/>
  <c r="BG190" i="120" s="1"/>
  <c r="BH190" i="120"/>
  <c r="BH22" i="120"/>
  <c r="AX159" i="120"/>
  <c r="CF183" i="120"/>
  <c r="BA11" i="120"/>
  <c r="BA178" i="120" s="1"/>
  <c r="BB12" i="120"/>
  <c r="DT11" i="121"/>
  <c r="DT10" i="121"/>
  <c r="AX13" i="120"/>
  <c r="AX179" i="120"/>
  <c r="AX180" i="120" s="1"/>
  <c r="DI12" i="121"/>
  <c r="DI13" i="121" s="1"/>
  <c r="DK13" i="121"/>
  <c r="CE110" i="120"/>
  <c r="BH250" i="120"/>
  <c r="BK250" i="120" s="1"/>
  <c r="BI174" i="122"/>
  <c r="AK174" i="122"/>
  <c r="Z270" i="120"/>
  <c r="CG121" i="122"/>
  <c r="CG174" i="122" s="1"/>
  <c r="CJ174" i="122" s="1"/>
  <c r="DR73" i="121"/>
  <c r="DR85" i="121"/>
  <c r="DX85" i="121" s="1"/>
  <c r="DX86" i="121"/>
  <c r="BA115" i="122"/>
  <c r="BA168" i="122" s="1"/>
  <c r="DB61" i="123"/>
  <c r="DB63" i="123" s="1"/>
  <c r="CJ118" i="122"/>
  <c r="CG171" i="122"/>
  <c r="CJ171" i="122" s="1"/>
  <c r="AU159" i="122"/>
  <c r="AU163" i="122" s="1"/>
  <c r="DR36" i="123"/>
  <c r="AV159" i="122"/>
  <c r="DA43" i="123" s="1"/>
  <c r="CZ43" i="123" s="1"/>
  <c r="CZ61" i="123" s="1"/>
  <c r="CZ74" i="123" s="1"/>
  <c r="AV40" i="122"/>
  <c r="AU177" i="122"/>
  <c r="AU184" i="122" s="1"/>
  <c r="BA29" i="122"/>
  <c r="BA159" i="122" s="1"/>
  <c r="BA163" i="122" s="1"/>
  <c r="CF34" i="122"/>
  <c r="CI34" i="122" s="1"/>
  <c r="BK24" i="122"/>
  <c r="CF24" i="122"/>
  <c r="AW226" i="120"/>
  <c r="DB76" i="121"/>
  <c r="BA203" i="120"/>
  <c r="AU204" i="120"/>
  <c r="AU208" i="120" s="1"/>
  <c r="BA252" i="120"/>
  <c r="BA240" i="120"/>
  <c r="BG40" i="120"/>
  <c r="AV53" i="120"/>
  <c r="AV204" i="120"/>
  <c r="DA56" i="121" s="1"/>
  <c r="CZ56" i="121" s="1"/>
  <c r="CE64" i="120"/>
  <c r="CF255" i="120"/>
  <c r="CI255" i="120" s="1"/>
  <c r="CI81" i="120"/>
  <c r="BB270" i="120"/>
  <c r="CF41" i="120"/>
  <c r="CI41" i="120" s="1"/>
  <c r="BK41" i="120"/>
  <c r="EE24" i="123"/>
  <c r="GE30" i="121"/>
  <c r="GK30" i="121" s="1"/>
  <c r="EL30" i="121"/>
  <c r="GD23" i="123"/>
  <c r="GJ23" i="123" s="1"/>
  <c r="EK23" i="123"/>
  <c r="DR14" i="123"/>
  <c r="DY14" i="123"/>
  <c r="DX14" i="123" s="1"/>
  <c r="BB143" i="122"/>
  <c r="BB178" i="122" s="1"/>
  <c r="BA9" i="122"/>
  <c r="BA143" i="122" s="1"/>
  <c r="BA178" i="122" s="1"/>
  <c r="BB125" i="122"/>
  <c r="BA125" i="122" s="1"/>
  <c r="AU143" i="122"/>
  <c r="AU178" i="122" s="1"/>
  <c r="AU125" i="122"/>
  <c r="CZ62" i="123"/>
  <c r="CZ26" i="123"/>
  <c r="DR27" i="123"/>
  <c r="DX27" i="123" s="1"/>
  <c r="DR28" i="123"/>
  <c r="EE19" i="121"/>
  <c r="CE19" i="121"/>
  <c r="DR42" i="121"/>
  <c r="AV13" i="120"/>
  <c r="CF191" i="120"/>
  <c r="CE24" i="120"/>
  <c r="CE191" i="120" s="1"/>
  <c r="CI24" i="120"/>
  <c r="GJ24" i="121"/>
  <c r="GI24" i="121" s="1"/>
  <c r="GC24" i="121"/>
  <c r="EK23" i="121"/>
  <c r="GD23" i="121"/>
  <c r="C12" i="124"/>
  <c r="DA77" i="121"/>
  <c r="DA38" i="121"/>
  <c r="DZ14" i="121"/>
  <c r="DT77" i="121"/>
  <c r="DZ77" i="121" s="1"/>
  <c r="EF14" i="121"/>
  <c r="GE17" i="121"/>
  <c r="GC43" i="121" s="1"/>
  <c r="EL17" i="121"/>
  <c r="DR9" i="121"/>
  <c r="DY9" i="121"/>
  <c r="DX9" i="121" s="1"/>
  <c r="CZ11" i="121"/>
  <c r="DA12" i="121"/>
  <c r="DS11" i="121"/>
  <c r="DS10" i="121"/>
  <c r="DR8" i="121"/>
  <c r="CF152" i="120"/>
  <c r="EE70" i="121"/>
  <c r="BH61" i="120"/>
  <c r="BB99" i="120"/>
  <c r="BA99" i="120" s="1"/>
  <c r="ED70" i="121"/>
  <c r="BH218" i="120"/>
  <c r="CF90" i="122"/>
  <c r="CI90" i="122" s="1"/>
  <c r="BK90" i="122"/>
  <c r="BB213" i="122"/>
  <c r="BB223" i="122" s="1"/>
  <c r="BA90" i="122"/>
  <c r="CF118" i="122"/>
  <c r="CF169" i="122"/>
  <c r="BG118" i="122"/>
  <c r="BH173" i="122"/>
  <c r="CF120" i="122"/>
  <c r="BH170" i="122"/>
  <c r="CF117" i="122"/>
  <c r="BH79" i="122"/>
  <c r="AR163" i="122"/>
  <c r="AR223" i="122"/>
  <c r="CF217" i="122"/>
  <c r="CR61" i="123"/>
  <c r="CR66" i="123" s="1"/>
  <c r="AS177" i="122"/>
  <c r="AS179" i="122" s="1"/>
  <c r="AS163" i="122"/>
  <c r="CR47" i="123" s="1"/>
  <c r="AR75" i="122"/>
  <c r="BB75" i="122"/>
  <c r="BA75" i="122" s="1"/>
  <c r="DS42" i="123"/>
  <c r="BH194" i="122"/>
  <c r="CF194" i="122" s="1"/>
  <c r="AS126" i="122"/>
  <c r="CE57" i="122"/>
  <c r="CH57" i="122" s="1"/>
  <c r="CF102" i="122"/>
  <c r="CI102" i="122" s="1"/>
  <c r="CE201" i="122"/>
  <c r="AR177" i="122"/>
  <c r="AR184" i="122" s="1"/>
  <c r="CQ42" i="123"/>
  <c r="DR41" i="123"/>
  <c r="DT42" i="123"/>
  <c r="AT177" i="122"/>
  <c r="AT179" i="122" s="1"/>
  <c r="CS52" i="123"/>
  <c r="CG169" i="122"/>
  <c r="CJ169" i="122" s="1"/>
  <c r="CJ116" i="122"/>
  <c r="DX73" i="123"/>
  <c r="DR70" i="123"/>
  <c r="BA149" i="120"/>
  <c r="BA215" i="120" s="1"/>
  <c r="CQ67" i="121"/>
  <c r="DR67" i="121" s="1"/>
  <c r="DT55" i="121"/>
  <c r="BA270" i="120"/>
  <c r="DS67" i="121"/>
  <c r="AS123" i="120"/>
  <c r="AS204" i="120"/>
  <c r="AR130" i="120"/>
  <c r="AR204" i="120" s="1"/>
  <c r="BB130" i="120"/>
  <c r="DR53" i="121"/>
  <c r="CQ55" i="121"/>
  <c r="DS55" i="121"/>
  <c r="DS62" i="123"/>
  <c r="DS26" i="123"/>
  <c r="DY9" i="123"/>
  <c r="EE28" i="123"/>
  <c r="AS13" i="120"/>
  <c r="AR12" i="120"/>
  <c r="CQ41" i="121"/>
  <c r="CQ39" i="121"/>
  <c r="DR41" i="121"/>
  <c r="DR39" i="121"/>
  <c r="DX39" i="121" s="1"/>
  <c r="C11" i="124"/>
  <c r="CR77" i="121"/>
  <c r="CR13" i="121"/>
  <c r="CQ12" i="121"/>
  <c r="CQ13" i="121" s="1"/>
  <c r="DS77" i="121"/>
  <c r="DY14" i="121"/>
  <c r="DR14" i="121"/>
  <c r="DR38" i="121" s="1"/>
  <c r="DS38" i="121"/>
  <c r="BA159" i="120"/>
  <c r="BG15" i="122"/>
  <c r="DR13" i="123"/>
  <c r="CQ18" i="121"/>
  <c r="DS18" i="121"/>
  <c r="DT62" i="123"/>
  <c r="AR143" i="122"/>
  <c r="AR178" i="122" s="1"/>
  <c r="AR125" i="122"/>
  <c r="DT26" i="123"/>
  <c r="DR9" i="123"/>
  <c r="DR26" i="123" s="1"/>
  <c r="CQ62" i="123"/>
  <c r="CQ26" i="123"/>
  <c r="BA10" i="120"/>
  <c r="BB13" i="120"/>
  <c r="AI16" i="122"/>
  <c r="BJ182" i="122"/>
  <c r="CE182" i="122"/>
  <c r="CH182" i="122" s="1"/>
  <c r="ED72" i="123"/>
  <c r="BJ129" i="122"/>
  <c r="CE129" i="122"/>
  <c r="CH129" i="122" s="1"/>
  <c r="AI121" i="122"/>
  <c r="AC174" i="122"/>
  <c r="BS52" i="123"/>
  <c r="AI173" i="122"/>
  <c r="BG120" i="122"/>
  <c r="BG119" i="122"/>
  <c r="AI172" i="122"/>
  <c r="BU52" i="123"/>
  <c r="CG52" i="123" s="1"/>
  <c r="BI117" i="122"/>
  <c r="AK170" i="122"/>
  <c r="AN170" i="122" s="1"/>
  <c r="AN117" i="122"/>
  <c r="Z213" i="122"/>
  <c r="BH45" i="122"/>
  <c r="CE24" i="122"/>
  <c r="CH24" i="122" s="1"/>
  <c r="BJ24" i="122"/>
  <c r="AI56" i="122"/>
  <c r="AC200" i="122"/>
  <c r="AI200" i="122" s="1"/>
  <c r="AD164" i="122"/>
  <c r="AJ111" i="122"/>
  <c r="CF49" i="123"/>
  <c r="BG112" i="122"/>
  <c r="AI165" i="122"/>
  <c r="CE49" i="123"/>
  <c r="CF50" i="123"/>
  <c r="CF48" i="123"/>
  <c r="AC164" i="122"/>
  <c r="AI111" i="122"/>
  <c r="CE50" i="123"/>
  <c r="CE48" i="123"/>
  <c r="CE30" i="122"/>
  <c r="CH30" i="122" s="1"/>
  <c r="BK30" i="122"/>
  <c r="CF30" i="122"/>
  <c r="CI30" i="122" s="1"/>
  <c r="CE51" i="122"/>
  <c r="CH51" i="122" s="1"/>
  <c r="CF51" i="122"/>
  <c r="CI51" i="122" s="1"/>
  <c r="AI48" i="122"/>
  <c r="BG46" i="122"/>
  <c r="AC48" i="122"/>
  <c r="CJ46" i="122"/>
  <c r="CK88" i="121"/>
  <c r="ED88" i="121"/>
  <c r="ED87" i="121"/>
  <c r="ED86" i="121"/>
  <c r="CK86" i="121"/>
  <c r="AC227" i="120"/>
  <c r="AI227" i="120" s="1"/>
  <c r="AI228" i="120"/>
  <c r="BH143" i="120"/>
  <c r="AJ209" i="120"/>
  <c r="GD62" i="121"/>
  <c r="ED62" i="121"/>
  <c r="AC209" i="120"/>
  <c r="AI143" i="120"/>
  <c r="CE210" i="120"/>
  <c r="CH210" i="120" s="1"/>
  <c r="CH144" i="120"/>
  <c r="GD63" i="121"/>
  <c r="ED63" i="121"/>
  <c r="AC211" i="120"/>
  <c r="AI145" i="120"/>
  <c r="CF151" i="120"/>
  <c r="BH217" i="120"/>
  <c r="BI35" i="120"/>
  <c r="AK36" i="120"/>
  <c r="AK202" i="120"/>
  <c r="BI221" i="120"/>
  <c r="CG155" i="120"/>
  <c r="BG154" i="120"/>
  <c r="CG220" i="120"/>
  <c r="CJ220" i="120" s="1"/>
  <c r="CJ154" i="120"/>
  <c r="CG152" i="120"/>
  <c r="BI218" i="120"/>
  <c r="AI218" i="120"/>
  <c r="BG152" i="120"/>
  <c r="CG151" i="120"/>
  <c r="BL151" i="120"/>
  <c r="BI217" i="120"/>
  <c r="BL217" i="120" s="1"/>
  <c r="EF69" i="121"/>
  <c r="AC217" i="120"/>
  <c r="AI151" i="120"/>
  <c r="AI216" i="120"/>
  <c r="BG150" i="120"/>
  <c r="CG216" i="120"/>
  <c r="CJ216" i="120" s="1"/>
  <c r="CJ150" i="120"/>
  <c r="AN201" i="120"/>
  <c r="AK203" i="120"/>
  <c r="CF78" i="122"/>
  <c r="Z159" i="122"/>
  <c r="CE77" i="122"/>
  <c r="BG79" i="122"/>
  <c r="BG63" i="122"/>
  <c r="Z40" i="122"/>
  <c r="AA124" i="122"/>
  <c r="Z124" i="122" s="1"/>
  <c r="Z131" i="122" s="1"/>
  <c r="AD223" i="122"/>
  <c r="AD49" i="122"/>
  <c r="AA159" i="122"/>
  <c r="AA177" i="122" s="1"/>
  <c r="AA179" i="122" s="1"/>
  <c r="BH71" i="122"/>
  <c r="AM71" i="122"/>
  <c r="CF219" i="122"/>
  <c r="BG71" i="122"/>
  <c r="AL71" i="122"/>
  <c r="CF204" i="122"/>
  <c r="CE55" i="122"/>
  <c r="CH55" i="122" s="1"/>
  <c r="BJ55" i="122"/>
  <c r="AC154" i="122"/>
  <c r="AI42" i="122"/>
  <c r="AC206" i="122"/>
  <c r="AI206" i="122" s="1"/>
  <c r="AI62" i="122"/>
  <c r="CF206" i="122"/>
  <c r="BH62" i="122"/>
  <c r="AM62" i="122"/>
  <c r="Z223" i="122"/>
  <c r="AC65" i="122"/>
  <c r="AJ65" i="122"/>
  <c r="BG59" i="122"/>
  <c r="CE203" i="122"/>
  <c r="BG66" i="122"/>
  <c r="BG22" i="122"/>
  <c r="CF22" i="122"/>
  <c r="CF25" i="122"/>
  <c r="CI25" i="122" s="1"/>
  <c r="BG34" i="122"/>
  <c r="CF104" i="122"/>
  <c r="CI104" i="122" s="1"/>
  <c r="BK104" i="122"/>
  <c r="CE96" i="122"/>
  <c r="BG153" i="122"/>
  <c r="CE97" i="122"/>
  <c r="CH97" i="122" s="1"/>
  <c r="CF97" i="122"/>
  <c r="CI97" i="122" s="1"/>
  <c r="CE219" i="122"/>
  <c r="Z177" i="122"/>
  <c r="Z184" i="122" s="1"/>
  <c r="Z163" i="122"/>
  <c r="BH101" i="122"/>
  <c r="BK43" i="123"/>
  <c r="AA163" i="122"/>
  <c r="BK47" i="123" s="1"/>
  <c r="BH99" i="122"/>
  <c r="AJ157" i="122"/>
  <c r="BH98" i="122"/>
  <c r="AJ100" i="122"/>
  <c r="CE98" i="122"/>
  <c r="BH95" i="122"/>
  <c r="BK61" i="123"/>
  <c r="BK66" i="123" s="1"/>
  <c r="BJ36" i="123"/>
  <c r="BH68" i="120"/>
  <c r="CE68" i="120"/>
  <c r="BH30" i="120"/>
  <c r="AJ196" i="120"/>
  <c r="CE43" i="120"/>
  <c r="CH43" i="120" s="1"/>
  <c r="BJ43" i="120"/>
  <c r="BH43" i="120"/>
  <c r="AM43" i="120"/>
  <c r="CE34" i="120"/>
  <c r="CE31" i="120"/>
  <c r="BG250" i="120"/>
  <c r="AC251" i="120"/>
  <c r="AI112" i="120"/>
  <c r="CF120" i="120"/>
  <c r="CI120" i="120" s="1"/>
  <c r="CE120" i="120"/>
  <c r="CH120" i="120" s="1"/>
  <c r="CE116" i="120"/>
  <c r="CH116" i="120" s="1"/>
  <c r="AI105" i="120"/>
  <c r="BG104" i="120"/>
  <c r="CF105" i="120"/>
  <c r="CE74" i="120"/>
  <c r="CH74" i="120" s="1"/>
  <c r="CE96" i="120"/>
  <c r="CH96" i="120" s="1"/>
  <c r="CE91" i="120"/>
  <c r="CH91" i="120" s="1"/>
  <c r="BG42" i="120"/>
  <c r="AL42" i="120"/>
  <c r="BH37" i="120"/>
  <c r="BH87" i="120"/>
  <c r="AM87" i="120"/>
  <c r="AA53" i="120"/>
  <c r="Z53" i="120" s="1"/>
  <c r="Z204" i="120"/>
  <c r="Z224" i="120" s="1"/>
  <c r="AC94" i="120"/>
  <c r="AI94" i="120" s="1"/>
  <c r="AJ94" i="120"/>
  <c r="CF76" i="120"/>
  <c r="CI76" i="120" s="1"/>
  <c r="BH200" i="120"/>
  <c r="CF55" i="120"/>
  <c r="CE93" i="120"/>
  <c r="CI93" i="120"/>
  <c r="CF264" i="120"/>
  <c r="CI264" i="120" s="1"/>
  <c r="AC245" i="120"/>
  <c r="AI79" i="120"/>
  <c r="CF245" i="120"/>
  <c r="CI245" i="120" s="1"/>
  <c r="CI79" i="120"/>
  <c r="AA226" i="120"/>
  <c r="BH132" i="120"/>
  <c r="AJ239" i="120"/>
  <c r="AM132" i="120"/>
  <c r="AJ206" i="120"/>
  <c r="BG132" i="120"/>
  <c r="AI206" i="120"/>
  <c r="AL132" i="120"/>
  <c r="AI239" i="120"/>
  <c r="Z208" i="120"/>
  <c r="AC137" i="120"/>
  <c r="AI137" i="120" s="1"/>
  <c r="AJ137" i="120"/>
  <c r="AC247" i="120"/>
  <c r="AI80" i="120"/>
  <c r="AA208" i="120"/>
  <c r="BK60" i="121" s="1"/>
  <c r="BK56" i="121"/>
  <c r="BH128" i="120"/>
  <c r="AJ129" i="120"/>
  <c r="AC129" i="120"/>
  <c r="AI128" i="120"/>
  <c r="BS17" i="121"/>
  <c r="CF17" i="121"/>
  <c r="EF37" i="121"/>
  <c r="GC36" i="121"/>
  <c r="AJ184" i="120"/>
  <c r="AM17" i="120"/>
  <c r="BH17" i="120"/>
  <c r="AI17" i="120"/>
  <c r="AI184" i="120" s="1"/>
  <c r="C10" i="124"/>
  <c r="BK38" i="121"/>
  <c r="AA179" i="120"/>
  <c r="AA180" i="120" s="1"/>
  <c r="CE25" i="123"/>
  <c r="GC24" i="123"/>
  <c r="GE25" i="123"/>
  <c r="GD21" i="123"/>
  <c r="ED21" i="123"/>
  <c r="AM10" i="122"/>
  <c r="AL10" i="122" s="1"/>
  <c r="BH10" i="122"/>
  <c r="W26" i="123"/>
  <c r="W62" i="123"/>
  <c r="AI12" i="122"/>
  <c r="BH12" i="122"/>
  <c r="AM12" i="122"/>
  <c r="AL12" i="122" s="1"/>
  <c r="E26" i="123"/>
  <c r="E62" i="123"/>
  <c r="AF9" i="123"/>
  <c r="AF26" i="123" s="1"/>
  <c r="AG26" i="123"/>
  <c r="AM9" i="123"/>
  <c r="AG62" i="123"/>
  <c r="BT30" i="123"/>
  <c r="BZ12" i="123"/>
  <c r="BY12" i="123" s="1"/>
  <c r="CF12" i="123"/>
  <c r="CE12" i="123" s="1"/>
  <c r="CE30" i="123" s="1"/>
  <c r="Z125" i="122"/>
  <c r="Z143" i="122"/>
  <c r="Z178" i="122" s="1"/>
  <c r="AI11" i="122"/>
  <c r="AN11" i="122"/>
  <c r="AL11" i="122" s="1"/>
  <c r="BJ62" i="123"/>
  <c r="BJ26" i="123"/>
  <c r="CF21" i="121"/>
  <c r="BS21" i="121"/>
  <c r="AM188" i="120"/>
  <c r="AL21" i="120"/>
  <c r="AL188" i="120" s="1"/>
  <c r="BH188" i="120"/>
  <c r="BK21" i="120"/>
  <c r="CF21" i="120"/>
  <c r="BG21" i="120"/>
  <c r="BG188" i="120" s="1"/>
  <c r="CE20" i="121"/>
  <c r="EE20" i="121"/>
  <c r="CL20" i="121"/>
  <c r="BH20" i="120"/>
  <c r="AM20" i="120"/>
  <c r="AI20" i="120"/>
  <c r="AI187" i="120" s="1"/>
  <c r="AJ187" i="120"/>
  <c r="BH186" i="120"/>
  <c r="BG19" i="120"/>
  <c r="BG186" i="120" s="1"/>
  <c r="AF18" i="121"/>
  <c r="CF186" i="120"/>
  <c r="CI19" i="120"/>
  <c r="AL19" i="120"/>
  <c r="AL186" i="120" s="1"/>
  <c r="AM186" i="120"/>
  <c r="O185" i="120"/>
  <c r="N18" i="120"/>
  <c r="N185" i="120" s="1"/>
  <c r="AJ18" i="120"/>
  <c r="BK186" i="120"/>
  <c r="BG16" i="122"/>
  <c r="CF16" i="122"/>
  <c r="CF14" i="123"/>
  <c r="CE14" i="123" s="1"/>
  <c r="AM14" i="122"/>
  <c r="AL14" i="122" s="1"/>
  <c r="BH14" i="122"/>
  <c r="EE16" i="123"/>
  <c r="CE16" i="123"/>
  <c r="CL16" i="123"/>
  <c r="CK16" i="123" s="1"/>
  <c r="EE15" i="123"/>
  <c r="CE15" i="123"/>
  <c r="BS13" i="123"/>
  <c r="AJ13" i="122"/>
  <c r="BH13" i="122" s="1"/>
  <c r="CF13" i="123"/>
  <c r="AF13" i="123"/>
  <c r="T12" i="120"/>
  <c r="U13" i="120"/>
  <c r="U179" i="120"/>
  <c r="U180" i="120" s="1"/>
  <c r="AJ176" i="120"/>
  <c r="AJ177" i="120" s="1"/>
  <c r="AM9" i="120"/>
  <c r="AI9" i="120"/>
  <c r="AI176" i="120" s="1"/>
  <c r="AJ10" i="120"/>
  <c r="BH9" i="120"/>
  <c r="BH11" i="120" s="1"/>
  <c r="BH178" i="120" s="1"/>
  <c r="E12" i="121"/>
  <c r="E13" i="121" s="1"/>
  <c r="F13" i="121"/>
  <c r="AG10" i="121"/>
  <c r="AG11" i="121"/>
  <c r="AF9" i="121"/>
  <c r="AF10" i="121" s="1"/>
  <c r="AM9" i="121"/>
  <c r="F179" i="120"/>
  <c r="F180" i="120" s="1"/>
  <c r="E12" i="120"/>
  <c r="F13" i="120"/>
  <c r="BH10" i="120"/>
  <c r="CF8" i="120"/>
  <c r="CE8" i="120" s="1"/>
  <c r="BH175" i="120"/>
  <c r="AI175" i="120"/>
  <c r="AB179" i="120"/>
  <c r="AB180" i="120" s="1"/>
  <c r="AB13" i="120"/>
  <c r="Z12" i="120"/>
  <c r="CF220" i="120"/>
  <c r="GD70" i="121"/>
  <c r="CF68" i="121"/>
  <c r="CE69" i="121"/>
  <c r="CF219" i="120"/>
  <c r="CE68" i="121"/>
  <c r="CF69" i="121"/>
  <c r="EU69" i="123"/>
  <c r="BN69" i="123"/>
  <c r="I68" i="123"/>
  <c r="H67" i="123"/>
  <c r="AA68" i="123"/>
  <c r="BW67" i="123"/>
  <c r="AV69" i="123"/>
  <c r="BW68" i="123"/>
  <c r="BJ183" i="122"/>
  <c r="CE183" i="122"/>
  <c r="CH183" i="122" s="1"/>
  <c r="AL180" i="122"/>
  <c r="BG180" i="122"/>
  <c r="ED73" i="123"/>
  <c r="BJ130" i="122"/>
  <c r="CE130" i="122"/>
  <c r="CH130" i="122" s="1"/>
  <c r="BG127" i="122"/>
  <c r="CE127" i="122" s="1"/>
  <c r="CH127" i="122" s="1"/>
  <c r="BS70" i="123"/>
  <c r="CE71" i="123"/>
  <c r="BY71" i="123"/>
  <c r="BJ181" i="122"/>
  <c r="BJ164" i="120"/>
  <c r="CE164" i="120"/>
  <c r="CH164" i="120" s="1"/>
  <c r="BJ229" i="120"/>
  <c r="CE229" i="120"/>
  <c r="CH229" i="120" s="1"/>
  <c r="CE162" i="120"/>
  <c r="CH162" i="120" s="1"/>
  <c r="BJ162" i="120"/>
  <c r="AL161" i="120"/>
  <c r="BG161" i="120"/>
  <c r="AJ149" i="120"/>
  <c r="AD215" i="120"/>
  <c r="AJ221" i="120"/>
  <c r="BH155" i="120"/>
  <c r="AC221" i="120"/>
  <c r="AI155" i="120"/>
  <c r="ED72" i="121"/>
  <c r="GD72" i="121"/>
  <c r="ED71" i="121"/>
  <c r="EE71" i="121"/>
  <c r="CF218" i="120"/>
  <c r="EF73" i="121"/>
  <c r="AC219" i="120"/>
  <c r="AI153" i="120"/>
  <c r="BI153" i="120"/>
  <c r="AN153" i="120"/>
  <c r="AK219" i="120"/>
  <c r="AN219" i="120" s="1"/>
  <c r="GE71" i="121"/>
  <c r="AE215" i="120"/>
  <c r="AC149" i="120"/>
  <c r="AK149" i="120"/>
  <c r="GE70" i="121"/>
  <c r="BA67" i="121"/>
  <c r="BS67" i="121" s="1"/>
  <c r="BU67" i="121"/>
  <c r="GC70" i="121"/>
  <c r="EF68" i="121"/>
  <c r="EE55" i="123"/>
  <c r="BH174" i="122"/>
  <c r="CF121" i="122"/>
  <c r="EE58" i="123"/>
  <c r="EE57" i="123"/>
  <c r="CF119" i="122"/>
  <c r="BH172" i="122"/>
  <c r="EE56" i="123"/>
  <c r="EE54" i="123"/>
  <c r="AD168" i="122"/>
  <c r="AJ115" i="122"/>
  <c r="BG117" i="122"/>
  <c r="AI170" i="122"/>
  <c r="CF53" i="123"/>
  <c r="CE53" i="123"/>
  <c r="CE58" i="123"/>
  <c r="CJ121" i="122"/>
  <c r="CG58" i="123"/>
  <c r="CA57" i="123"/>
  <c r="CG57" i="123"/>
  <c r="CJ120" i="122"/>
  <c r="CG173" i="122"/>
  <c r="CJ173" i="122" s="1"/>
  <c r="CE57" i="123"/>
  <c r="CG56" i="123"/>
  <c r="CA56" i="123"/>
  <c r="AE168" i="122"/>
  <c r="AC115" i="122"/>
  <c r="AK115" i="122"/>
  <c r="CG172" i="122"/>
  <c r="CJ172" i="122" s="1"/>
  <c r="CJ119" i="122"/>
  <c r="CE56" i="123"/>
  <c r="CE55" i="123"/>
  <c r="CG55" i="123"/>
  <c r="CA55" i="123"/>
  <c r="CA54" i="123"/>
  <c r="CG54" i="123"/>
  <c r="CE54" i="123"/>
  <c r="CE169" i="122"/>
  <c r="EF53" i="123"/>
  <c r="EF40" i="123"/>
  <c r="BU42" i="123"/>
  <c r="CG41" i="123"/>
  <c r="AK158" i="122"/>
  <c r="CG48" i="122"/>
  <c r="CG35" i="123"/>
  <c r="AK151" i="122"/>
  <c r="BI41" i="122"/>
  <c r="CF211" i="122"/>
  <c r="CI211" i="122" s="1"/>
  <c r="BK211" i="122"/>
  <c r="BH76" i="122"/>
  <c r="AJ155" i="122"/>
  <c r="CE76" i="122"/>
  <c r="CE86" i="122"/>
  <c r="CH86" i="122" s="1"/>
  <c r="BJ86" i="122"/>
  <c r="W159" i="122"/>
  <c r="W177" i="122" s="1"/>
  <c r="W184" i="122" s="1"/>
  <c r="CE83" i="122"/>
  <c r="CH83" i="122" s="1"/>
  <c r="AC194" i="122"/>
  <c r="AI194" i="122" s="1"/>
  <c r="BG194" i="122" s="1"/>
  <c r="AC160" i="122"/>
  <c r="AI82" i="122"/>
  <c r="CF82" i="122"/>
  <c r="CI82" i="122" s="1"/>
  <c r="BK82" i="122"/>
  <c r="CE80" i="122"/>
  <c r="CF80" i="122"/>
  <c r="CI80" i="122" s="1"/>
  <c r="AI41" i="122"/>
  <c r="AC151" i="122"/>
  <c r="X40" i="122"/>
  <c r="AD159" i="122"/>
  <c r="AD163" i="122" s="1"/>
  <c r="AC49" i="122"/>
  <c r="X159" i="122"/>
  <c r="X177" i="122" s="1"/>
  <c r="X179" i="122" s="1"/>
  <c r="CE52" i="122"/>
  <c r="CH52" i="122" s="1"/>
  <c r="CE207" i="122"/>
  <c r="BG72" i="122"/>
  <c r="BH70" i="122"/>
  <c r="BG220" i="122"/>
  <c r="AL220" i="122"/>
  <c r="BH72" i="122"/>
  <c r="AM72" i="122"/>
  <c r="AC218" i="122"/>
  <c r="AI218" i="122" s="1"/>
  <c r="AI70" i="122"/>
  <c r="CF220" i="122"/>
  <c r="BH209" i="122"/>
  <c r="AM209" i="122"/>
  <c r="BH162" i="122"/>
  <c r="BK162" i="122" s="1"/>
  <c r="BK85" i="122"/>
  <c r="CF85" i="122"/>
  <c r="AC209" i="122"/>
  <c r="AI209" i="122" s="1"/>
  <c r="AC162" i="122"/>
  <c r="AI85" i="122"/>
  <c r="BH215" i="122"/>
  <c r="AM215" i="122"/>
  <c r="BH67" i="122"/>
  <c r="BG67" i="122"/>
  <c r="AI155" i="122"/>
  <c r="BG45" i="122"/>
  <c r="CE199" i="122"/>
  <c r="CF199" i="122"/>
  <c r="CE204" i="122"/>
  <c r="CF38" i="123"/>
  <c r="CE38" i="123"/>
  <c r="W223" i="122"/>
  <c r="CF69" i="122"/>
  <c r="CI69" i="122" s="1"/>
  <c r="CE217" i="122"/>
  <c r="CF48" i="122"/>
  <c r="CE43" i="122"/>
  <c r="CE35" i="123"/>
  <c r="CF35" i="123"/>
  <c r="AM196" i="122"/>
  <c r="BH196" i="122"/>
  <c r="BG196" i="122"/>
  <c r="BG32" i="122"/>
  <c r="AL32" i="122"/>
  <c r="CF35" i="122"/>
  <c r="CI35" i="122" s="1"/>
  <c r="AJ29" i="122"/>
  <c r="AD21" i="122"/>
  <c r="AC29" i="122"/>
  <c r="AI29" i="122" s="1"/>
  <c r="BG35" i="122"/>
  <c r="CE212" i="122"/>
  <c r="CF212" i="122"/>
  <c r="CF214" i="122"/>
  <c r="CE214" i="122"/>
  <c r="BH197" i="122"/>
  <c r="AM197" i="122"/>
  <c r="W163" i="122"/>
  <c r="BH33" i="122"/>
  <c r="AM33" i="122"/>
  <c r="BG33" i="122"/>
  <c r="AL33" i="122"/>
  <c r="BG197" i="122"/>
  <c r="CF37" i="123"/>
  <c r="CE37" i="123"/>
  <c r="AJ156" i="122"/>
  <c r="BH26" i="122"/>
  <c r="AC156" i="122"/>
  <c r="AC158" i="122" s="1"/>
  <c r="AI26" i="122"/>
  <c r="AC28" i="122"/>
  <c r="CI23" i="122"/>
  <c r="CF46" i="123"/>
  <c r="CE46" i="123"/>
  <c r="BY46" i="123"/>
  <c r="AJ81" i="122"/>
  <c r="AC81" i="122"/>
  <c r="AI81" i="122" s="1"/>
  <c r="CF39" i="123"/>
  <c r="CE39" i="123"/>
  <c r="BJ105" i="122"/>
  <c r="CE105" i="122"/>
  <c r="CH105" i="122" s="1"/>
  <c r="CE64" i="122"/>
  <c r="CH64" i="122" s="1"/>
  <c r="CF208" i="122"/>
  <c r="BG89" i="122"/>
  <c r="AL89" i="122"/>
  <c r="BG208" i="122"/>
  <c r="CE44" i="123"/>
  <c r="CE102" i="122"/>
  <c r="BG195" i="122"/>
  <c r="CF161" i="122"/>
  <c r="CI161" i="122" s="1"/>
  <c r="CI103" i="122"/>
  <c r="BG103" i="122"/>
  <c r="AI161" i="122"/>
  <c r="AL103" i="122"/>
  <c r="CF36" i="123"/>
  <c r="BG95" i="122"/>
  <c r="AI152" i="122"/>
  <c r="CF40" i="123"/>
  <c r="CE40" i="123"/>
  <c r="BT41" i="123"/>
  <c r="BA41" i="123"/>
  <c r="BB42" i="123"/>
  <c r="CF160" i="122"/>
  <c r="CI160" i="122" s="1"/>
  <c r="CI50" i="122"/>
  <c r="EE44" i="123"/>
  <c r="CE45" i="123"/>
  <c r="CF45" i="123"/>
  <c r="AC196" i="120"/>
  <c r="AI30" i="120"/>
  <c r="CJ34" i="120"/>
  <c r="CG53" i="121"/>
  <c r="BU55" i="121"/>
  <c r="CG48" i="121"/>
  <c r="CE138" i="120"/>
  <c r="CH138" i="120" s="1"/>
  <c r="W62" i="120"/>
  <c r="AD62" i="120"/>
  <c r="AJ69" i="120"/>
  <c r="AJ261" i="120" s="1"/>
  <c r="AC69" i="120"/>
  <c r="AD261" i="120"/>
  <c r="AD260" i="120" s="1"/>
  <c r="AD270" i="120" s="1"/>
  <c r="AI65" i="120"/>
  <c r="BG63" i="120"/>
  <c r="AJ203" i="120"/>
  <c r="CE66" i="120"/>
  <c r="CH66" i="120" s="1"/>
  <c r="BJ66" i="120"/>
  <c r="AC29" i="120"/>
  <c r="AJ29" i="120"/>
  <c r="AC36" i="120"/>
  <c r="AI35" i="120"/>
  <c r="AC202" i="120"/>
  <c r="AC203" i="120" s="1"/>
  <c r="BH36" i="120"/>
  <c r="CF35" i="120"/>
  <c r="AM109" i="120"/>
  <c r="BH109" i="120"/>
  <c r="AJ241" i="120"/>
  <c r="AM241" i="120" s="1"/>
  <c r="BG109" i="120"/>
  <c r="AL109" i="120"/>
  <c r="AC241" i="120"/>
  <c r="CH118" i="120"/>
  <c r="BH117" i="120"/>
  <c r="AM117" i="120"/>
  <c r="AD106" i="120"/>
  <c r="X99" i="120"/>
  <c r="BG117" i="120"/>
  <c r="BH100" i="120"/>
  <c r="CE100" i="120"/>
  <c r="CE119" i="120"/>
  <c r="CH119" i="120" s="1"/>
  <c r="BH119" i="120"/>
  <c r="CF50" i="121"/>
  <c r="BZ50" i="121"/>
  <c r="CF48" i="121"/>
  <c r="CE48" i="121"/>
  <c r="BK83" i="120"/>
  <c r="CF83" i="120"/>
  <c r="BH257" i="120"/>
  <c r="BK257" i="120" s="1"/>
  <c r="AC259" i="120"/>
  <c r="AI85" i="120"/>
  <c r="CF259" i="120"/>
  <c r="CI259" i="120" s="1"/>
  <c r="CI85" i="120"/>
  <c r="CE87" i="120"/>
  <c r="CH87" i="120" s="1"/>
  <c r="CF91" i="120"/>
  <c r="CI91" i="120" s="1"/>
  <c r="BG75" i="120"/>
  <c r="AL75" i="120"/>
  <c r="AI242" i="120"/>
  <c r="AL242" i="120" s="1"/>
  <c r="CF242" i="120"/>
  <c r="CI242" i="120" s="1"/>
  <c r="CI75" i="120"/>
  <c r="CF240" i="120"/>
  <c r="CI240" i="120" s="1"/>
  <c r="CI40" i="120"/>
  <c r="BH90" i="120"/>
  <c r="BG200" i="120"/>
  <c r="CE55" i="120"/>
  <c r="CE52" i="121"/>
  <c r="CF52" i="121"/>
  <c r="AJ258" i="120"/>
  <c r="AM258" i="120" s="1"/>
  <c r="AM84" i="120"/>
  <c r="BH84" i="120"/>
  <c r="AC258" i="120"/>
  <c r="AI84" i="120"/>
  <c r="AD53" i="120"/>
  <c r="AC53" i="120" s="1"/>
  <c r="BH249" i="120"/>
  <c r="BK88" i="120"/>
  <c r="CF88" i="120"/>
  <c r="BH71" i="120"/>
  <c r="CF57" i="121"/>
  <c r="CE57" i="121"/>
  <c r="AL133" i="120"/>
  <c r="AI241" i="120"/>
  <c r="BG133" i="120"/>
  <c r="CE135" i="120"/>
  <c r="CH135" i="120" s="1"/>
  <c r="AI249" i="120"/>
  <c r="AL249" i="120" s="1"/>
  <c r="BG136" i="120"/>
  <c r="CE125" i="120"/>
  <c r="CH125" i="120" s="1"/>
  <c r="BJ125" i="120"/>
  <c r="CE124" i="120"/>
  <c r="CF124" i="120"/>
  <c r="CI124" i="120" s="1"/>
  <c r="CI140" i="120"/>
  <c r="CI138" i="120"/>
  <c r="BH115" i="120"/>
  <c r="AJ254" i="120"/>
  <c r="AM254" i="120" s="1"/>
  <c r="AM115" i="120"/>
  <c r="BG115" i="120"/>
  <c r="AL115" i="120"/>
  <c r="AI254" i="120"/>
  <c r="CF250" i="120"/>
  <c r="CI250" i="120" s="1"/>
  <c r="CF207" i="120"/>
  <c r="CI207" i="120" s="1"/>
  <c r="CI110" i="120"/>
  <c r="BG114" i="120"/>
  <c r="AI253" i="120"/>
  <c r="AL253" i="120" s="1"/>
  <c r="AL114" i="120"/>
  <c r="CE111" i="120"/>
  <c r="CH111" i="120" s="1"/>
  <c r="BJ111" i="120"/>
  <c r="CH110" i="120"/>
  <c r="CE250" i="120"/>
  <c r="CH250" i="120" s="1"/>
  <c r="CE207" i="120"/>
  <c r="CH207" i="120" s="1"/>
  <c r="BA54" i="121"/>
  <c r="BS54" i="121" s="1"/>
  <c r="BT54" i="121"/>
  <c r="BT55" i="121" s="1"/>
  <c r="ED50" i="121"/>
  <c r="CF59" i="120"/>
  <c r="CE58" i="120"/>
  <c r="AI197" i="120"/>
  <c r="BG56" i="120"/>
  <c r="AI198" i="120"/>
  <c r="AL198" i="120" s="1"/>
  <c r="AL57" i="120"/>
  <c r="BG57" i="120"/>
  <c r="CF57" i="120"/>
  <c r="BK57" i="120"/>
  <c r="BH198" i="120"/>
  <c r="BK198" i="120" s="1"/>
  <c r="CE51" i="121"/>
  <c r="BG59" i="120"/>
  <c r="CF49" i="121"/>
  <c r="CI56" i="120"/>
  <c r="CE49" i="121"/>
  <c r="CE131" i="120"/>
  <c r="BH205" i="120"/>
  <c r="CF131" i="120"/>
  <c r="BH238" i="120"/>
  <c r="BK131" i="120"/>
  <c r="CE58" i="121"/>
  <c r="CF58" i="121"/>
  <c r="CI133" i="120"/>
  <c r="AC268" i="120"/>
  <c r="AC265" i="120" s="1"/>
  <c r="AI141" i="120"/>
  <c r="CF141" i="120"/>
  <c r="BH268" i="120"/>
  <c r="BH139" i="120"/>
  <c r="AM139" i="120"/>
  <c r="CE59" i="121"/>
  <c r="CF59" i="121"/>
  <c r="W130" i="120"/>
  <c r="W204" i="120" s="1"/>
  <c r="X204" i="120"/>
  <c r="AD130" i="120"/>
  <c r="X123" i="120"/>
  <c r="CF51" i="121"/>
  <c r="CH140" i="120"/>
  <c r="BH129" i="120"/>
  <c r="BH201" i="120"/>
  <c r="CF127" i="120"/>
  <c r="CE127" i="120"/>
  <c r="BS53" i="121"/>
  <c r="CF53" i="121"/>
  <c r="GD34" i="121"/>
  <c r="BA42" i="121"/>
  <c r="BS34" i="121"/>
  <c r="CF37" i="121"/>
  <c r="GD35" i="121"/>
  <c r="ED30" i="121"/>
  <c r="BA18" i="121"/>
  <c r="BT18" i="121"/>
  <c r="X159" i="120"/>
  <c r="AD159" i="120" s="1"/>
  <c r="ED22" i="121"/>
  <c r="W159" i="120"/>
  <c r="W181" i="120"/>
  <c r="W225" i="120" s="1"/>
  <c r="EE16" i="121"/>
  <c r="CE16" i="121"/>
  <c r="CE40" i="121" s="1"/>
  <c r="CF40" i="121"/>
  <c r="CL16" i="121"/>
  <c r="ED22" i="123"/>
  <c r="ED25" i="123"/>
  <c r="CF25" i="123"/>
  <c r="BG146" i="122"/>
  <c r="BJ146" i="122" s="1"/>
  <c r="CF146" i="122"/>
  <c r="BK146" i="122"/>
  <c r="C43" i="124"/>
  <c r="AD125" i="122"/>
  <c r="AD143" i="122"/>
  <c r="AJ9" i="122"/>
  <c r="GD10" i="123"/>
  <c r="BA9" i="123"/>
  <c r="BT9" i="123"/>
  <c r="BS9" i="123" s="1"/>
  <c r="BS26" i="123" s="1"/>
  <c r="BB26" i="123"/>
  <c r="ED10" i="123"/>
  <c r="BG144" i="122"/>
  <c r="BJ144" i="122" s="1"/>
  <c r="BK144" i="122"/>
  <c r="CF144" i="122"/>
  <c r="GD28" i="123"/>
  <c r="BT62" i="123"/>
  <c r="BS8" i="123"/>
  <c r="EE8" i="123"/>
  <c r="CE8" i="123"/>
  <c r="CL8" i="123"/>
  <c r="CA77" i="121"/>
  <c r="CG77" i="121"/>
  <c r="CG38" i="121"/>
  <c r="AI11" i="120"/>
  <c r="AI178" i="120" s="1"/>
  <c r="AK178" i="120"/>
  <c r="BL184" i="120"/>
  <c r="CJ184" i="120"/>
  <c r="X179" i="120"/>
  <c r="X180" i="120" s="1"/>
  <c r="BB77" i="121"/>
  <c r="BA77" i="121" s="1"/>
  <c r="BB38" i="121"/>
  <c r="C9" i="124"/>
  <c r="BT38" i="121"/>
  <c r="BS14" i="121"/>
  <c r="BS38" i="121" s="1"/>
  <c r="BT77" i="121"/>
  <c r="BS39" i="121"/>
  <c r="BY39" i="121" s="1"/>
  <c r="BS41" i="121"/>
  <c r="AJ14" i="120"/>
  <c r="AJ182" i="120"/>
  <c r="AI15" i="120"/>
  <c r="AI182" i="120" s="1"/>
  <c r="AM15" i="120"/>
  <c r="BH15" i="120"/>
  <c r="AD179" i="120"/>
  <c r="AD180" i="120" s="1"/>
  <c r="AD13" i="120"/>
  <c r="BY15" i="121"/>
  <c r="BZ14" i="121"/>
  <c r="BA41" i="121"/>
  <c r="BA39" i="121"/>
  <c r="CL15" i="121"/>
  <c r="EE15" i="121"/>
  <c r="CF14" i="121"/>
  <c r="CF39" i="121"/>
  <c r="CE15" i="121"/>
  <c r="CF41" i="121"/>
  <c r="CE9" i="121"/>
  <c r="EE9" i="121"/>
  <c r="CL9" i="121"/>
  <c r="CK9" i="121" s="1"/>
  <c r="BT11" i="121"/>
  <c r="BT12" i="121" s="1"/>
  <c r="BT13" i="121" s="1"/>
  <c r="BT10" i="121"/>
  <c r="CF8" i="121"/>
  <c r="Y13" i="120"/>
  <c r="Y179" i="120"/>
  <c r="Y180" i="120" s="1"/>
  <c r="W12" i="120"/>
  <c r="BA12" i="121"/>
  <c r="BA13" i="121" s="1"/>
  <c r="BC13" i="121"/>
  <c r="CE8" i="122"/>
  <c r="CJ8" i="122"/>
  <c r="CH8" i="122" s="1"/>
  <c r="GK8" i="123"/>
  <c r="C68" i="124"/>
  <c r="BU62" i="123"/>
  <c r="AE125" i="122"/>
  <c r="AC9" i="122"/>
  <c r="AC143" i="122" s="1"/>
  <c r="AC178" i="122" s="1"/>
  <c r="AE143" i="122"/>
  <c r="AK9" i="122"/>
  <c r="AR62" i="123"/>
  <c r="AR26" i="123"/>
  <c r="T143" i="122"/>
  <c r="T178" i="122" s="1"/>
  <c r="T125" i="122"/>
  <c r="BG11" i="122"/>
  <c r="BL11" i="122"/>
  <c r="BJ11" i="122" s="1"/>
  <c r="CG11" i="122"/>
  <c r="BL145" i="122"/>
  <c r="CG145" i="122"/>
  <c r="BG145" i="122"/>
  <c r="BJ145" i="122" s="1"/>
  <c r="GE29" i="123"/>
  <c r="GK11" i="123"/>
  <c r="BU26" i="123"/>
  <c r="CG9" i="123"/>
  <c r="BU10" i="121"/>
  <c r="BS8" i="121"/>
  <c r="BS10" i="121" s="1"/>
  <c r="CG8" i="121"/>
  <c r="BU11" i="121"/>
  <c r="BG175" i="120"/>
  <c r="AC10" i="120"/>
  <c r="AC175" i="120"/>
  <c r="AC177" i="120" s="1"/>
  <c r="CG11" i="120"/>
  <c r="CG10" i="120"/>
  <c r="CG175" i="120"/>
  <c r="CJ8" i="120"/>
  <c r="AE12" i="120"/>
  <c r="AC11" i="120"/>
  <c r="AC178" i="120" s="1"/>
  <c r="AE178" i="120"/>
  <c r="AR12" i="121"/>
  <c r="AR13" i="121" s="1"/>
  <c r="AT13" i="121"/>
  <c r="AP93" i="122" l="1"/>
  <c r="AF93" i="122"/>
  <c r="AL93" i="122" s="1"/>
  <c r="AM93" i="122"/>
  <c r="BE93" i="122"/>
  <c r="W19" i="56"/>
  <c r="W59" i="56"/>
  <c r="W39" i="56"/>
  <c r="BK93" i="120"/>
  <c r="BE264" i="120"/>
  <c r="BK264" i="120" s="1"/>
  <c r="AU33" i="7"/>
  <c r="N111" i="56"/>
  <c r="N121" i="56" s="1"/>
  <c r="I121" i="56"/>
  <c r="I123" i="56" s="1"/>
  <c r="I113" i="56"/>
  <c r="N113" i="56" s="1"/>
  <c r="K30" i="121"/>
  <c r="AC30" i="121" s="1"/>
  <c r="AD30" i="121"/>
  <c r="C81" i="122"/>
  <c r="B92" i="122"/>
  <c r="B108" i="122"/>
  <c r="C101" i="122"/>
  <c r="M31" i="32"/>
  <c r="N31" i="32"/>
  <c r="P31" i="32" s="1"/>
  <c r="V62" i="32"/>
  <c r="W62" i="32"/>
  <c r="AO143" i="122"/>
  <c r="AO178" i="122" s="1"/>
  <c r="AO125" i="122"/>
  <c r="CM84" i="120"/>
  <c r="BN258" i="120"/>
  <c r="BM84" i="120"/>
  <c r="AF54" i="121"/>
  <c r="AF55" i="121" s="1"/>
  <c r="W55" i="121"/>
  <c r="FV82" i="121"/>
  <c r="FM83" i="121"/>
  <c r="FD78" i="121"/>
  <c r="FD84" i="121"/>
  <c r="AO58" i="120"/>
  <c r="BN58" i="120"/>
  <c r="BM58" i="120" s="1"/>
  <c r="BE58" i="120"/>
  <c r="DC83" i="121"/>
  <c r="DU83" i="121" s="1"/>
  <c r="DD84" i="121"/>
  <c r="DV83" i="121"/>
  <c r="CG246" i="120"/>
  <c r="CJ246" i="120" s="1"/>
  <c r="CJ78" i="120"/>
  <c r="CG80" i="120"/>
  <c r="BI247" i="120"/>
  <c r="BL247" i="120" s="1"/>
  <c r="BL80" i="120"/>
  <c r="R161" i="122"/>
  <c r="AP45" i="123" s="1"/>
  <c r="R195" i="122"/>
  <c r="AG195" i="122" s="1"/>
  <c r="AM195" i="122" s="1"/>
  <c r="AG51" i="122"/>
  <c r="S169" i="122"/>
  <c r="AQ53" i="123" s="1"/>
  <c r="AH116" i="122"/>
  <c r="DD67" i="123"/>
  <c r="DD68" i="123" s="1"/>
  <c r="DD69" i="123" s="1"/>
  <c r="AD33" i="8"/>
  <c r="AD27" i="8" s="1"/>
  <c r="AC27" i="8"/>
  <c r="AD23" i="8"/>
  <c r="AD89" i="8" s="1"/>
  <c r="AC89" i="8"/>
  <c r="FN27" i="123"/>
  <c r="FW21" i="123"/>
  <c r="GG54" i="121"/>
  <c r="GG55" i="121" s="1"/>
  <c r="EH55" i="121"/>
  <c r="H37" i="132"/>
  <c r="H16" i="127"/>
  <c r="H18" i="132"/>
  <c r="H19" i="132" s="1"/>
  <c r="BI263" i="120"/>
  <c r="BL263" i="120" s="1"/>
  <c r="BL92" i="120"/>
  <c r="CG92" i="120"/>
  <c r="AM102" i="122"/>
  <c r="AP102" i="122"/>
  <c r="AC22" i="121"/>
  <c r="AD14" i="121"/>
  <c r="AD77" i="121" s="1"/>
  <c r="BC33" i="7"/>
  <c r="BC27" i="7" s="1"/>
  <c r="AZ32" i="7"/>
  <c r="G15" i="132"/>
  <c r="G14" i="132"/>
  <c r="GG76" i="121"/>
  <c r="FW27" i="123"/>
  <c r="AE72" i="121"/>
  <c r="N57" i="125" s="1"/>
  <c r="BP38" i="17"/>
  <c r="AO42" i="8"/>
  <c r="AO93" i="8" s="1"/>
  <c r="AN93" i="8"/>
  <c r="AT26" i="8"/>
  <c r="AT20" i="8"/>
  <c r="AT45" i="8"/>
  <c r="AU45" i="8" s="1"/>
  <c r="AT18" i="8"/>
  <c r="AT100" i="8"/>
  <c r="AT46" i="8"/>
  <c r="AT44" i="8"/>
  <c r="AT24" i="8"/>
  <c r="AT23" i="8"/>
  <c r="AT33" i="8"/>
  <c r="AT19" i="8"/>
  <c r="BL114" i="122"/>
  <c r="BF167" i="122"/>
  <c r="BL167" i="122" s="1"/>
  <c r="BN72" i="120"/>
  <c r="BM72" i="120" s="1"/>
  <c r="AO72" i="120"/>
  <c r="BV78" i="121"/>
  <c r="BV89" i="121"/>
  <c r="AA17" i="95"/>
  <c r="AA26" i="95" s="1"/>
  <c r="W17" i="95"/>
  <c r="V26" i="95"/>
  <c r="V27" i="95" s="1"/>
  <c r="W38" i="121"/>
  <c r="AF37" i="121"/>
  <c r="CE37" i="121" s="1"/>
  <c r="ED37" i="121" s="1"/>
  <c r="T60" i="125"/>
  <c r="EC75" i="121"/>
  <c r="CM75" i="121"/>
  <c r="AN222" i="122"/>
  <c r="G43" i="123"/>
  <c r="G61" i="123" s="1"/>
  <c r="G163" i="122"/>
  <c r="G47" i="123" s="1"/>
  <c r="G177" i="122"/>
  <c r="G179" i="122" s="1"/>
  <c r="AN46" i="120"/>
  <c r="AQ46" i="120"/>
  <c r="CN46" i="120" s="1"/>
  <c r="FB77" i="121"/>
  <c r="FB78" i="121" s="1"/>
  <c r="M91" i="56"/>
  <c r="M101" i="56" s="1"/>
  <c r="AU13" i="6"/>
  <c r="AP13" i="6"/>
  <c r="V12" i="82"/>
  <c r="V16" i="82" s="1"/>
  <c r="U16" i="82"/>
  <c r="AC43" i="59"/>
  <c r="AE44" i="59"/>
  <c r="Q45" i="65"/>
  <c r="K51" i="65"/>
  <c r="K52" i="65" s="1"/>
  <c r="K47" i="65"/>
  <c r="CY59" i="123"/>
  <c r="CN59" i="123"/>
  <c r="EU78" i="121"/>
  <c r="EU84" i="121"/>
  <c r="AP87" i="122"/>
  <c r="BE87" i="122"/>
  <c r="AB84" i="121"/>
  <c r="AB78" i="121"/>
  <c r="AD26" i="8"/>
  <c r="AD92" i="8" s="1"/>
  <c r="AC92" i="8"/>
  <c r="AD44" i="8"/>
  <c r="AD42" i="8" s="1"/>
  <c r="AD93" i="8" s="1"/>
  <c r="AC42" i="8"/>
  <c r="AC93" i="8" s="1"/>
  <c r="AD46" i="8"/>
  <c r="AD94" i="8" s="1"/>
  <c r="AC94" i="8"/>
  <c r="C10" i="63"/>
  <c r="D10" i="63" s="1"/>
  <c r="D9" i="63"/>
  <c r="I52" i="65"/>
  <c r="N50" i="65"/>
  <c r="N51" i="65" s="1"/>
  <c r="N52" i="65" s="1"/>
  <c r="BF15" i="61"/>
  <c r="AY15" i="61"/>
  <c r="CM72" i="120"/>
  <c r="AQ83" i="120"/>
  <c r="AH257" i="120"/>
  <c r="AN257" i="120" s="1"/>
  <c r="BF83" i="120"/>
  <c r="AF83" i="120"/>
  <c r="AF257" i="120" s="1"/>
  <c r="Q67" i="122"/>
  <c r="Q215" i="122" s="1"/>
  <c r="AF215" i="122" s="1"/>
  <c r="AG67" i="122"/>
  <c r="R65" i="122"/>
  <c r="AM22" i="121"/>
  <c r="AL23" i="121"/>
  <c r="GB29" i="121"/>
  <c r="GK29" i="121" s="1"/>
  <c r="EL29" i="121"/>
  <c r="BC63" i="7"/>
  <c r="AC40" i="121"/>
  <c r="AL40" i="121" s="1"/>
  <c r="FB84" i="121"/>
  <c r="AN22" i="120"/>
  <c r="AN189" i="120" s="1"/>
  <c r="DC84" i="121"/>
  <c r="D124" i="56"/>
  <c r="D123" i="56"/>
  <c r="B8" i="122"/>
  <c r="CL8" i="122" s="1"/>
  <c r="AH8" i="122"/>
  <c r="CF248" i="120"/>
  <c r="CI248" i="120" s="1"/>
  <c r="CI77" i="120"/>
  <c r="BF32" i="122"/>
  <c r="BL32" i="122" s="1"/>
  <c r="BO32" i="122"/>
  <c r="R108" i="122"/>
  <c r="AG108" i="122" s="1"/>
  <c r="Q110" i="122"/>
  <c r="FT12" i="121"/>
  <c r="FT13" i="121" s="1"/>
  <c r="FT38" i="121"/>
  <c r="AZ65" i="3"/>
  <c r="BB65" i="3" s="1"/>
  <c r="BB63" i="3" s="1"/>
  <c r="S11" i="98"/>
  <c r="N37" i="105"/>
  <c r="AZ62" i="3"/>
  <c r="I45" i="96" s="1"/>
  <c r="BT65" i="8"/>
  <c r="Z36" i="65"/>
  <c r="R20" i="70"/>
  <c r="W19" i="70"/>
  <c r="AQ202" i="122"/>
  <c r="BF202" i="122" s="1"/>
  <c r="BL202" i="122" s="1"/>
  <c r="BO58" i="122"/>
  <c r="BO202" i="122" s="1"/>
  <c r="CD202" i="122" s="1"/>
  <c r="CJ202" i="122" s="1"/>
  <c r="CG213" i="120"/>
  <c r="CJ213" i="120" s="1"/>
  <c r="CJ147" i="120"/>
  <c r="BD84" i="120"/>
  <c r="BD258" i="120" s="1"/>
  <c r="BE258" i="120"/>
  <c r="AQ93" i="122"/>
  <c r="AN93" i="122"/>
  <c r="BN93" i="120"/>
  <c r="AP264" i="120"/>
  <c r="BL68" i="120"/>
  <c r="CG68" i="120"/>
  <c r="CJ68" i="120" s="1"/>
  <c r="DM67" i="123"/>
  <c r="DM68" i="123"/>
  <c r="DM69" i="123" s="1"/>
  <c r="AT11" i="6"/>
  <c r="AT9" i="6" s="1"/>
  <c r="AT12" i="6" s="1"/>
  <c r="AP9" i="6"/>
  <c r="W63" i="32"/>
  <c r="V63" i="32"/>
  <c r="N9" i="56"/>
  <c r="W9" i="56" s="1"/>
  <c r="AD50" i="65"/>
  <c r="AD46" i="65"/>
  <c r="BO175" i="122"/>
  <c r="EO59" i="123" s="1"/>
  <c r="BM122" i="122"/>
  <c r="AH256" i="120"/>
  <c r="AN256" i="120" s="1"/>
  <c r="AQ82" i="120"/>
  <c r="AN82" i="120"/>
  <c r="BF82" i="120"/>
  <c r="DV82" i="121"/>
  <c r="DC82" i="121"/>
  <c r="DU82" i="121" s="1"/>
  <c r="K40" i="122"/>
  <c r="L124" i="122"/>
  <c r="L126" i="122" s="1"/>
  <c r="R210" i="122"/>
  <c r="AG210" i="122" s="1"/>
  <c r="Q87" i="122"/>
  <c r="Q210" i="122" s="1"/>
  <c r="AF210" i="122" s="1"/>
  <c r="Z82" i="121"/>
  <c r="AA83" i="121"/>
  <c r="Z83" i="121" s="1"/>
  <c r="BD131" i="120"/>
  <c r="BJ131" i="120" s="1"/>
  <c r="AD18" i="8"/>
  <c r="AC17" i="8"/>
  <c r="AC51" i="8" s="1"/>
  <c r="AC86" i="8"/>
  <c r="AC91" i="8"/>
  <c r="AD19" i="8"/>
  <c r="AD91" i="8" s="1"/>
  <c r="N15" i="126"/>
  <c r="C18" i="127" s="1"/>
  <c r="AM8" i="123"/>
  <c r="AX21" i="123"/>
  <c r="BQ21" i="123"/>
  <c r="CD22" i="121"/>
  <c r="CM22" i="121" s="1"/>
  <c r="CM23" i="121"/>
  <c r="CK23" i="121" s="1"/>
  <c r="EC23" i="121"/>
  <c r="AI257" i="120"/>
  <c r="AL257" i="120" s="1"/>
  <c r="AL83" i="120"/>
  <c r="BG83" i="120"/>
  <c r="DV77" i="121"/>
  <c r="DV78" i="121" s="1"/>
  <c r="DV38" i="121"/>
  <c r="DV12" i="121"/>
  <c r="DV13" i="121" s="1"/>
  <c r="H14" i="68"/>
  <c r="BO61" i="120"/>
  <c r="CN61" i="120" s="1"/>
  <c r="U32" i="7"/>
  <c r="BL39" i="120"/>
  <c r="GB75" i="121"/>
  <c r="O270" i="120"/>
  <c r="H111" i="56"/>
  <c r="H121" i="56" s="1"/>
  <c r="C121" i="56"/>
  <c r="M111" i="56"/>
  <c r="M121" i="56" s="1"/>
  <c r="BO138" i="120"/>
  <c r="BO137" i="120" s="1"/>
  <c r="BF138" i="120"/>
  <c r="BL138" i="120" s="1"/>
  <c r="AQ137" i="120"/>
  <c r="CN138" i="120"/>
  <c r="CG81" i="120"/>
  <c r="BI255" i="120"/>
  <c r="BL255" i="120" s="1"/>
  <c r="R202" i="122"/>
  <c r="AG202" i="122" s="1"/>
  <c r="AM202" i="122" s="1"/>
  <c r="AG58" i="122"/>
  <c r="Q58" i="122"/>
  <c r="Q202" i="122" s="1"/>
  <c r="AF202" i="122" s="1"/>
  <c r="R92" i="122"/>
  <c r="AG92" i="122" s="1"/>
  <c r="Q93" i="122"/>
  <c r="AM110" i="122"/>
  <c r="AF110" i="122"/>
  <c r="AP110" i="122"/>
  <c r="BE110" i="122"/>
  <c r="FV78" i="121"/>
  <c r="FT77" i="121"/>
  <c r="FT78" i="121" s="1"/>
  <c r="FX15" i="123"/>
  <c r="FW15" i="123" s="1"/>
  <c r="FN15" i="123"/>
  <c r="AB22" i="126" s="1"/>
  <c r="AC22" i="126"/>
  <c r="BP58" i="72"/>
  <c r="AE48" i="3"/>
  <c r="AG48" i="3" s="1"/>
  <c r="AE40" i="3"/>
  <c r="AG44" i="3"/>
  <c r="B33" i="124"/>
  <c r="FG77" i="121"/>
  <c r="FE77" i="121" s="1"/>
  <c r="FE14" i="121"/>
  <c r="GB34" i="121"/>
  <c r="GK34" i="121" s="1"/>
  <c r="EL34" i="121"/>
  <c r="AN255" i="120"/>
  <c r="AH55" i="121"/>
  <c r="CG54" i="121"/>
  <c r="EF54" i="121" s="1"/>
  <c r="S49" i="56"/>
  <c r="I50" i="56"/>
  <c r="N50" i="56" s="1"/>
  <c r="N49" i="56" s="1"/>
  <c r="W49" i="56" s="1"/>
  <c r="AU12" i="6"/>
  <c r="AU45" i="6" s="1"/>
  <c r="AU46" i="6" s="1"/>
  <c r="BR157" i="7"/>
  <c r="BR155" i="7"/>
  <c r="BP154" i="7"/>
  <c r="F16" i="127"/>
  <c r="K16" i="127" s="1"/>
  <c r="F37" i="132"/>
  <c r="F18" i="132"/>
  <c r="F19" i="132" s="1"/>
  <c r="G19" i="132" s="1"/>
  <c r="I19" i="132" s="1"/>
  <c r="I20" i="132" s="1"/>
  <c r="AN53" i="123"/>
  <c r="O44" i="126"/>
  <c r="AD20" i="8"/>
  <c r="AD87" i="8" s="1"/>
  <c r="AC87" i="8"/>
  <c r="AC90" i="8"/>
  <c r="AC25" i="8"/>
  <c r="AD24" i="8"/>
  <c r="C19" i="56"/>
  <c r="B20" i="56"/>
  <c r="B19" i="56" s="1"/>
  <c r="FO27" i="123"/>
  <c r="FX27" i="123" s="1"/>
  <c r="FX21" i="123"/>
  <c r="BM125" i="122"/>
  <c r="CL125" i="122" s="1"/>
  <c r="BM143" i="122"/>
  <c r="BM178" i="122" s="1"/>
  <c r="AH117" i="120"/>
  <c r="Q117" i="120"/>
  <c r="S106" i="120"/>
  <c r="AH106" i="120" s="1"/>
  <c r="AG69" i="122"/>
  <c r="R217" i="122"/>
  <c r="AG217" i="122" s="1"/>
  <c r="Q69" i="122"/>
  <c r="Q217" i="122" s="1"/>
  <c r="AF217" i="122" s="1"/>
  <c r="P75" i="122"/>
  <c r="BO101" i="120"/>
  <c r="CN101" i="120" s="1"/>
  <c r="E23" i="79"/>
  <c r="E25" i="79"/>
  <c r="I20" i="79"/>
  <c r="E24" i="79"/>
  <c r="E26" i="79"/>
  <c r="E21" i="79"/>
  <c r="D18" i="79"/>
  <c r="E19" i="79" s="1"/>
  <c r="F19" i="79" s="1"/>
  <c r="H19" i="79" s="1"/>
  <c r="E22" i="79"/>
  <c r="BF214" i="120"/>
  <c r="BL214" i="120" s="1"/>
  <c r="BL148" i="120"/>
  <c r="BL42" i="122"/>
  <c r="BF154" i="122"/>
  <c r="BL154" i="122" s="1"/>
  <c r="AL215" i="122"/>
  <c r="BG215" i="122"/>
  <c r="BF218" i="120"/>
  <c r="BL152" i="120"/>
  <c r="BD102" i="120"/>
  <c r="BL102" i="120"/>
  <c r="AL19" i="8"/>
  <c r="AA91" i="8"/>
  <c r="H39" i="132"/>
  <c r="H40" i="132" s="1"/>
  <c r="H41" i="132" s="1"/>
  <c r="H38" i="132"/>
  <c r="BD91" i="120"/>
  <c r="BJ91" i="120" s="1"/>
  <c r="BK91" i="120"/>
  <c r="AI177" i="120"/>
  <c r="AA158" i="120"/>
  <c r="AA160" i="120" s="1"/>
  <c r="BY159" i="122"/>
  <c r="J71" i="68"/>
  <c r="H85" i="68"/>
  <c r="J85" i="68"/>
  <c r="F71" i="68"/>
  <c r="H71" i="68"/>
  <c r="CM136" i="120"/>
  <c r="O12" i="21"/>
  <c r="AN241" i="120"/>
  <c r="EX56" i="123"/>
  <c r="FG56" i="123" s="1"/>
  <c r="BI200" i="120"/>
  <c r="BL200" i="120" s="1"/>
  <c r="CG55" i="120"/>
  <c r="BL55" i="120"/>
  <c r="E159" i="120"/>
  <c r="E181" i="120"/>
  <c r="E225" i="120" s="1"/>
  <c r="CG73" i="120"/>
  <c r="CJ73" i="120" s="1"/>
  <c r="BL73" i="120"/>
  <c r="BC50" i="9"/>
  <c r="BG58" i="9"/>
  <c r="BG58" i="72"/>
  <c r="BC50" i="72"/>
  <c r="L16" i="81"/>
  <c r="V18" i="82"/>
  <c r="AA27" i="125"/>
  <c r="BM189" i="120"/>
  <c r="N202" i="120"/>
  <c r="AI60" i="120"/>
  <c r="CN90" i="120"/>
  <c r="AN72" i="121"/>
  <c r="FA43" i="123"/>
  <c r="FA61" i="123" s="1"/>
  <c r="BU163" i="122"/>
  <c r="FA47" i="123" s="1"/>
  <c r="BU177" i="122"/>
  <c r="BU179" i="122" s="1"/>
  <c r="BG134" i="120"/>
  <c r="AL134" i="120"/>
  <c r="AV33" i="7"/>
  <c r="AP52" i="7"/>
  <c r="AQ52" i="7" s="1"/>
  <c r="AR52" i="7" s="1"/>
  <c r="AS52" i="7" s="1"/>
  <c r="AB52" i="7"/>
  <c r="AB144" i="7" s="1"/>
  <c r="AA144" i="7"/>
  <c r="AI144" i="7" s="1"/>
  <c r="AI52" i="7"/>
  <c r="AF138" i="120"/>
  <c r="AL138" i="120" s="1"/>
  <c r="AP138" i="120"/>
  <c r="AM138" i="120"/>
  <c r="CM15" i="121"/>
  <c r="EC15" i="121"/>
  <c r="EL15" i="121" s="1"/>
  <c r="Q247" i="120"/>
  <c r="CF114" i="120"/>
  <c r="BK114" i="120"/>
  <c r="BH253" i="120"/>
  <c r="BK253" i="120" s="1"/>
  <c r="AP259" i="120"/>
  <c r="BN85" i="120"/>
  <c r="CG175" i="122"/>
  <c r="CJ175" i="122" s="1"/>
  <c r="CJ122" i="122"/>
  <c r="AD46" i="123"/>
  <c r="N37" i="126" s="1"/>
  <c r="BI199" i="120"/>
  <c r="CG58" i="120"/>
  <c r="BL58" i="120"/>
  <c r="AQ217" i="120"/>
  <c r="CP69" i="121" s="1"/>
  <c r="BO151" i="120"/>
  <c r="AV89" i="8"/>
  <c r="AW89" i="8" s="1"/>
  <c r="AX38" i="8"/>
  <c r="AW38" i="8"/>
  <c r="T48" i="9"/>
  <c r="P51" i="9"/>
  <c r="T51" i="9" s="1"/>
  <c r="Q48" i="9"/>
  <c r="AV83" i="121"/>
  <c r="BW82" i="121"/>
  <c r="AU82" i="121"/>
  <c r="BV82" i="121" s="1"/>
  <c r="BO113" i="120"/>
  <c r="BO252" i="120" s="1"/>
  <c r="AQ252" i="120"/>
  <c r="BF113" i="120"/>
  <c r="BF252" i="120" s="1"/>
  <c r="N267" i="120"/>
  <c r="N265" i="120" s="1"/>
  <c r="AI121" i="120"/>
  <c r="O215" i="120"/>
  <c r="N149" i="120"/>
  <c r="N215" i="120" s="1"/>
  <c r="BR66" i="121"/>
  <c r="BF188" i="120"/>
  <c r="Z26" i="125"/>
  <c r="BN80" i="120"/>
  <c r="AO80" i="120"/>
  <c r="AO247" i="120" s="1"/>
  <c r="AP247" i="120"/>
  <c r="BY14" i="121"/>
  <c r="H84" i="68"/>
  <c r="BF52" i="122"/>
  <c r="BL52" i="122" s="1"/>
  <c r="BA37" i="120"/>
  <c r="D108" i="118"/>
  <c r="BF172" i="122"/>
  <c r="BL172" i="122" s="1"/>
  <c r="BL119" i="122"/>
  <c r="AI248" i="120"/>
  <c r="BG77" i="120"/>
  <c r="AJ252" i="120"/>
  <c r="AM252" i="120" s="1"/>
  <c r="BH113" i="120"/>
  <c r="AM113" i="120"/>
  <c r="BO148" i="120"/>
  <c r="BO214" i="120" s="1"/>
  <c r="EO66" i="121" s="1"/>
  <c r="EX66" i="121" s="1"/>
  <c r="FG66" i="121" s="1"/>
  <c r="FP66" i="121" s="1"/>
  <c r="AQ214" i="120"/>
  <c r="CP66" i="121" s="1"/>
  <c r="CY66" i="121" s="1"/>
  <c r="DH66" i="121" s="1"/>
  <c r="DQ66" i="121" s="1"/>
  <c r="AG94" i="120"/>
  <c r="AF94" i="120" s="1"/>
  <c r="Q94" i="120"/>
  <c r="BF191" i="120"/>
  <c r="Z29" i="125"/>
  <c r="BL24" i="120"/>
  <c r="BF22" i="120"/>
  <c r="BD24" i="120"/>
  <c r="CN70" i="120"/>
  <c r="AQ69" i="120"/>
  <c r="BO70" i="120"/>
  <c r="BO69" i="120" s="1"/>
  <c r="BO261" i="120" s="1"/>
  <c r="AF98" i="120"/>
  <c r="AL98" i="120" s="1"/>
  <c r="AP98" i="120"/>
  <c r="AM98" i="120"/>
  <c r="AG269" i="120"/>
  <c r="AM269" i="120" s="1"/>
  <c r="Q269" i="120"/>
  <c r="AV58" i="7"/>
  <c r="AV145" i="7" s="1"/>
  <c r="AU145" i="7"/>
  <c r="BE40" i="11"/>
  <c r="AA39" i="3"/>
  <c r="AC40" i="3"/>
  <c r="E10" i="84"/>
  <c r="G10" i="84" s="1"/>
  <c r="BN159" i="120"/>
  <c r="BM159" i="120" s="1"/>
  <c r="BN181" i="120"/>
  <c r="BN225" i="120" s="1"/>
  <c r="AB19" i="125"/>
  <c r="H14" i="127" s="1"/>
  <c r="H13" i="127" s="1"/>
  <c r="BM14" i="120"/>
  <c r="ES77" i="121"/>
  <c r="ES84" i="121" s="1"/>
  <c r="ET78" i="121"/>
  <c r="ET84" i="121"/>
  <c r="AM46" i="123"/>
  <c r="BL90" i="120"/>
  <c r="AF182" i="120"/>
  <c r="R20" i="125"/>
  <c r="CG75" i="120"/>
  <c r="BI242" i="120"/>
  <c r="BU124" i="122"/>
  <c r="BU126" i="122" s="1"/>
  <c r="BS75" i="122"/>
  <c r="AQ219" i="120"/>
  <c r="CP71" i="121" s="1"/>
  <c r="BO153" i="120"/>
  <c r="AM19" i="8"/>
  <c r="Z91" i="8"/>
  <c r="BN253" i="120"/>
  <c r="CM114" i="120"/>
  <c r="AQ53" i="7"/>
  <c r="AR53" i="7" s="1"/>
  <c r="AS53" i="7" s="1"/>
  <c r="I40" i="122"/>
  <c r="I124" i="122" s="1"/>
  <c r="I126" i="122" s="1"/>
  <c r="I159" i="122"/>
  <c r="AQ94" i="120"/>
  <c r="BO95" i="120"/>
  <c r="BE87" i="120"/>
  <c r="BD87" i="120" s="1"/>
  <c r="BJ87" i="120" s="1"/>
  <c r="BN87" i="120"/>
  <c r="BM87" i="120" s="1"/>
  <c r="AO87" i="120"/>
  <c r="K29" i="120"/>
  <c r="M158" i="120"/>
  <c r="M160" i="120" s="1"/>
  <c r="AC14" i="120"/>
  <c r="AC181" i="120" s="1"/>
  <c r="AC225" i="120" s="1"/>
  <c r="BP24" i="17"/>
  <c r="BN39" i="17"/>
  <c r="BP39" i="17" s="1"/>
  <c r="AP48" i="120"/>
  <c r="AM48" i="120"/>
  <c r="AF48" i="120"/>
  <c r="AG263" i="120"/>
  <c r="AG67" i="121"/>
  <c r="CF67" i="121" s="1"/>
  <c r="E67" i="121"/>
  <c r="AF67" i="121" s="1"/>
  <c r="U20" i="126"/>
  <c r="EC13" i="123"/>
  <c r="AA20" i="126" s="1"/>
  <c r="AF262" i="120"/>
  <c r="AL262" i="120" s="1"/>
  <c r="AL91" i="120"/>
  <c r="AL153" i="122"/>
  <c r="CK15" i="121"/>
  <c r="EY47" i="123"/>
  <c r="CB50" i="19"/>
  <c r="AC46" i="123"/>
  <c r="AJ65" i="3"/>
  <c r="AJ62" i="3"/>
  <c r="AP256" i="120"/>
  <c r="BN82" i="120"/>
  <c r="AO82" i="120"/>
  <c r="AI113" i="120"/>
  <c r="N252" i="120"/>
  <c r="BK92" i="120"/>
  <c r="CF92" i="120"/>
  <c r="CI92" i="120" s="1"/>
  <c r="R29" i="125"/>
  <c r="AF191" i="120"/>
  <c r="AM50" i="120"/>
  <c r="AP50" i="120"/>
  <c r="BE50" i="120" s="1"/>
  <c r="BK50" i="120" s="1"/>
  <c r="AQ154" i="122"/>
  <c r="CP38" i="123" s="1"/>
  <c r="CY38" i="123" s="1"/>
  <c r="DH38" i="123" s="1"/>
  <c r="BO42" i="122"/>
  <c r="BO154" i="122" s="1"/>
  <c r="EO38" i="123" s="1"/>
  <c r="CE122" i="122"/>
  <c r="BJ122" i="122"/>
  <c r="BG175" i="122"/>
  <c r="BJ175" i="122" s="1"/>
  <c r="DW84" i="121"/>
  <c r="DW78" i="121"/>
  <c r="DU77" i="121"/>
  <c r="EK11" i="123"/>
  <c r="GD11" i="123"/>
  <c r="ED11" i="123"/>
  <c r="ED29" i="123" s="1"/>
  <c r="EB17" i="121"/>
  <c r="EA17" i="121" s="1"/>
  <c r="CB17" i="121"/>
  <c r="CA75" i="122"/>
  <c r="BY75" i="122" s="1"/>
  <c r="BP75" i="122"/>
  <c r="CG97" i="122"/>
  <c r="BI155" i="122"/>
  <c r="BL155" i="122" s="1"/>
  <c r="BL97" i="122"/>
  <c r="DN67" i="123"/>
  <c r="DL66" i="123"/>
  <c r="AW30" i="8"/>
  <c r="AI31" i="8"/>
  <c r="BO124" i="120"/>
  <c r="CN124" i="120" s="1"/>
  <c r="AI14" i="121"/>
  <c r="AJ77" i="121"/>
  <c r="AJ12" i="121"/>
  <c r="AJ13" i="121" s="1"/>
  <c r="AJ38" i="121"/>
  <c r="BN96" i="122"/>
  <c r="BM96" i="122" s="1"/>
  <c r="AO96" i="122"/>
  <c r="CG127" i="120"/>
  <c r="BI129" i="120"/>
  <c r="CF144" i="120"/>
  <c r="BH210" i="120"/>
  <c r="BK72" i="120"/>
  <c r="CF72" i="120"/>
  <c r="CI72" i="120" s="1"/>
  <c r="BL31" i="17"/>
  <c r="BA40" i="17"/>
  <c r="BL40" i="17" s="1"/>
  <c r="AU140" i="7"/>
  <c r="BM47" i="120"/>
  <c r="CL47" i="120" s="1"/>
  <c r="CM47" i="120"/>
  <c r="AQ262" i="120"/>
  <c r="AQ117" i="120"/>
  <c r="BF117" i="120" s="1"/>
  <c r="BF118" i="120"/>
  <c r="BO118" i="120"/>
  <c r="CN118" i="120" s="1"/>
  <c r="GG23" i="121"/>
  <c r="GG22" i="121" s="1"/>
  <c r="EH22" i="121"/>
  <c r="GH8" i="121"/>
  <c r="EI10" i="121"/>
  <c r="EI11" i="121"/>
  <c r="AZ50" i="121"/>
  <c r="AO50" i="121"/>
  <c r="BH121" i="120"/>
  <c r="AJ267" i="120"/>
  <c r="AJ265" i="120" s="1"/>
  <c r="AM121" i="120"/>
  <c r="AM134" i="120"/>
  <c r="BH134" i="120"/>
  <c r="AJ243" i="120"/>
  <c r="BF176" i="120"/>
  <c r="Z14" i="125"/>
  <c r="BL9" i="120"/>
  <c r="BL176" i="120" s="1"/>
  <c r="CU67" i="123"/>
  <c r="DV67" i="123" s="1"/>
  <c r="DV66" i="123"/>
  <c r="BO51" i="120"/>
  <c r="AO51" i="120"/>
  <c r="BN96" i="120"/>
  <c r="AO96" i="120"/>
  <c r="BN91" i="120"/>
  <c r="AO91" i="120"/>
  <c r="BL218" i="120"/>
  <c r="AE53" i="121"/>
  <c r="AM46" i="5"/>
  <c r="AM47" i="5" s="1"/>
  <c r="N203" i="120"/>
  <c r="AL248" i="120"/>
  <c r="L84" i="68"/>
  <c r="AC59" i="121"/>
  <c r="AM263" i="120"/>
  <c r="BE82" i="6"/>
  <c r="DF17" i="8"/>
  <c r="DF51" i="8" s="1"/>
  <c r="DF53" i="8" s="1"/>
  <c r="AG47" i="65"/>
  <c r="AG51" i="65"/>
  <c r="AG52" i="65" s="1"/>
  <c r="CY56" i="123"/>
  <c r="DH56" i="123" s="1"/>
  <c r="BE82" i="120"/>
  <c r="BG122" i="120"/>
  <c r="AI269" i="120"/>
  <c r="CG210" i="120"/>
  <c r="CJ210" i="120" s="1"/>
  <c r="CJ144" i="120"/>
  <c r="BL60" i="120"/>
  <c r="BF61" i="120"/>
  <c r="AI243" i="120"/>
  <c r="BG76" i="120"/>
  <c r="T27" i="125"/>
  <c r="AH189" i="120"/>
  <c r="DE67" i="123"/>
  <c r="DC66" i="123"/>
  <c r="Z33" i="7"/>
  <c r="Q27" i="7"/>
  <c r="AV29" i="7"/>
  <c r="AV138" i="7" s="1"/>
  <c r="AU138" i="7"/>
  <c r="AU150" i="7" s="1"/>
  <c r="AU141" i="7"/>
  <c r="AU41" i="7"/>
  <c r="AU35" i="7" s="1"/>
  <c r="AV40" i="7"/>
  <c r="AV41" i="7" s="1"/>
  <c r="AV35" i="7" s="1"/>
  <c r="BE178" i="122"/>
  <c r="CC143" i="122"/>
  <c r="CC178" i="122" s="1"/>
  <c r="O213" i="122"/>
  <c r="AJ213" i="122" s="1"/>
  <c r="N65" i="122"/>
  <c r="N261" i="120"/>
  <c r="N260" i="120" s="1"/>
  <c r="N270" i="120" s="1"/>
  <c r="AI90" i="120"/>
  <c r="BG90" i="120" s="1"/>
  <c r="BD15" i="120"/>
  <c r="Z20" i="125"/>
  <c r="BF182" i="120"/>
  <c r="BL15" i="120"/>
  <c r="BL182" i="120" s="1"/>
  <c r="AL81" i="120"/>
  <c r="AI255" i="120"/>
  <c r="AL255" i="120" s="1"/>
  <c r="BG81" i="120"/>
  <c r="CG10" i="122"/>
  <c r="CJ10" i="122" s="1"/>
  <c r="BL10" i="122"/>
  <c r="BL96" i="120"/>
  <c r="CG96" i="120"/>
  <c r="BI268" i="120"/>
  <c r="BL146" i="122"/>
  <c r="CG146" i="122"/>
  <c r="CJ146" i="122" s="1"/>
  <c r="Q9" i="8"/>
  <c r="R9" i="8"/>
  <c r="G7" i="11"/>
  <c r="G9" i="11"/>
  <c r="G8" i="11"/>
  <c r="G11" i="11"/>
  <c r="G10" i="11"/>
  <c r="AU27" i="7"/>
  <c r="AU63" i="7" s="1"/>
  <c r="EG28" i="123"/>
  <c r="GF10" i="123"/>
  <c r="EG27" i="123"/>
  <c r="AQ74" i="120"/>
  <c r="BF74" i="120" s="1"/>
  <c r="AF74" i="120"/>
  <c r="BE96" i="122"/>
  <c r="BE259" i="120"/>
  <c r="BK259" i="120" s="1"/>
  <c r="BK85" i="120"/>
  <c r="CF51" i="120"/>
  <c r="BH266" i="120"/>
  <c r="B29" i="124"/>
  <c r="B34" i="124" s="1"/>
  <c r="CY77" i="121"/>
  <c r="CW77" i="121" s="1"/>
  <c r="CW14" i="121"/>
  <c r="Y56" i="121"/>
  <c r="Y76" i="121" s="1"/>
  <c r="M208" i="120"/>
  <c r="Y60" i="121" s="1"/>
  <c r="M224" i="120"/>
  <c r="M226" i="120" s="1"/>
  <c r="GH23" i="121"/>
  <c r="GH22" i="121" s="1"/>
  <c r="EI22" i="121"/>
  <c r="AK57" i="19"/>
  <c r="AK60" i="19" s="1"/>
  <c r="BN31" i="17"/>
  <c r="AV15" i="7"/>
  <c r="AV8" i="7" s="1"/>
  <c r="AV140" i="7"/>
  <c r="AG46" i="120"/>
  <c r="Q46" i="120"/>
  <c r="CI14" i="121"/>
  <c r="CI42" i="121"/>
  <c r="E75" i="122"/>
  <c r="O75" i="122"/>
  <c r="B14" i="124"/>
  <c r="EM14" i="121"/>
  <c r="EN77" i="121"/>
  <c r="EM77" i="121" s="1"/>
  <c r="GG29" i="121"/>
  <c r="GG39" i="121" s="1"/>
  <c r="EH39" i="121"/>
  <c r="F12" i="63"/>
  <c r="BB47" i="8" s="1"/>
  <c r="F32" i="63"/>
  <c r="F22" i="63"/>
  <c r="I17" i="65" s="1"/>
  <c r="CN60" i="120"/>
  <c r="BL51" i="120"/>
  <c r="BD51" i="120"/>
  <c r="BJ51" i="120" s="1"/>
  <c r="BD96" i="120"/>
  <c r="BJ96" i="120" s="1"/>
  <c r="BK96" i="120"/>
  <c r="AG262" i="120"/>
  <c r="AM262" i="120" s="1"/>
  <c r="BE247" i="120"/>
  <c r="BK247" i="120" s="1"/>
  <c r="BD80" i="120"/>
  <c r="BD247" i="120" s="1"/>
  <c r="BK80" i="120"/>
  <c r="BV177" i="122"/>
  <c r="BZ53" i="120"/>
  <c r="BY53" i="120" s="1"/>
  <c r="GD27" i="123"/>
  <c r="FI63" i="123"/>
  <c r="GJ10" i="123"/>
  <c r="FQ37" i="121"/>
  <c r="FQ14" i="121"/>
  <c r="FX14" i="121"/>
  <c r="FR77" i="121"/>
  <c r="L44" i="125"/>
  <c r="AL59" i="121"/>
  <c r="F35" i="133"/>
  <c r="F33" i="133"/>
  <c r="D48" i="118"/>
  <c r="F7" i="118" s="1"/>
  <c r="D46" i="118"/>
  <c r="F38" i="132"/>
  <c r="F39" i="132"/>
  <c r="F40" i="132" s="1"/>
  <c r="F41" i="132" s="1"/>
  <c r="D35" i="133"/>
  <c r="D33" i="133"/>
  <c r="BD95" i="120"/>
  <c r="BK95" i="120"/>
  <c r="BD93" i="120"/>
  <c r="BJ93" i="120" s="1"/>
  <c r="BL93" i="120"/>
  <c r="BF264" i="120"/>
  <c r="BF65" i="120"/>
  <c r="BL65" i="120" s="1"/>
  <c r="BL64" i="120"/>
  <c r="BK50" i="122"/>
  <c r="BD62" i="122"/>
  <c r="F16" i="21"/>
  <c r="AE36" i="123"/>
  <c r="BF132" i="120"/>
  <c r="BF239" i="120" s="1"/>
  <c r="AE73" i="121"/>
  <c r="BP64" i="121"/>
  <c r="BR70" i="121"/>
  <c r="DI99" i="8"/>
  <c r="DI101" i="8" s="1"/>
  <c r="DC101" i="8"/>
  <c r="BN207" i="120"/>
  <c r="EN59" i="121" s="1"/>
  <c r="BN250" i="120"/>
  <c r="Q250" i="120"/>
  <c r="Q207" i="120"/>
  <c r="AN52" i="120"/>
  <c r="AH268" i="120"/>
  <c r="AQ52" i="120"/>
  <c r="BF52" i="120" s="1"/>
  <c r="AF52" i="120"/>
  <c r="AL52" i="120" s="1"/>
  <c r="P29" i="71"/>
  <c r="AN14" i="71"/>
  <c r="AO14" i="71"/>
  <c r="CM60" i="72"/>
  <c r="BU54" i="72"/>
  <c r="BY60" i="72"/>
  <c r="BU52" i="72"/>
  <c r="BF245" i="120"/>
  <c r="BL44" i="120"/>
  <c r="H35" i="96"/>
  <c r="I35" i="96" s="1"/>
  <c r="H25" i="96"/>
  <c r="H10" i="96"/>
  <c r="I10" i="96" s="1"/>
  <c r="H20" i="96"/>
  <c r="H30" i="96"/>
  <c r="H15" i="96"/>
  <c r="P13" i="102"/>
  <c r="O15" i="102"/>
  <c r="BF267" i="120"/>
  <c r="BL267" i="120" s="1"/>
  <c r="BL121" i="120"/>
  <c r="CM64" i="7"/>
  <c r="CL151" i="7"/>
  <c r="CL64" i="7" s="1"/>
  <c r="AH139" i="120"/>
  <c r="AN139" i="120" s="1"/>
  <c r="S130" i="120"/>
  <c r="BI209" i="120"/>
  <c r="CG143" i="120"/>
  <c r="CG209" i="120" s="1"/>
  <c r="P17" i="126"/>
  <c r="AK185" i="120"/>
  <c r="BI18" i="120"/>
  <c r="AN18" i="120"/>
  <c r="AN185" i="120" s="1"/>
  <c r="T99" i="120"/>
  <c r="AE99" i="120"/>
  <c r="AE68" i="121"/>
  <c r="K64" i="123"/>
  <c r="U64" i="123"/>
  <c r="S13" i="121"/>
  <c r="Q12" i="121"/>
  <c r="Q13" i="121" s="1"/>
  <c r="AL146" i="122"/>
  <c r="AP135" i="120"/>
  <c r="AF135" i="120"/>
  <c r="AL135" i="120" s="1"/>
  <c r="AM135" i="120"/>
  <c r="BB78" i="8"/>
  <c r="BC76" i="8"/>
  <c r="BR24" i="71"/>
  <c r="D5" i="85"/>
  <c r="C5" i="85" s="1"/>
  <c r="F5" i="85" s="1"/>
  <c r="F3" i="85"/>
  <c r="G14" i="92"/>
  <c r="T8" i="92"/>
  <c r="W8" i="92" s="1"/>
  <c r="G10" i="92"/>
  <c r="BF64" i="122"/>
  <c r="BL64" i="122" s="1"/>
  <c r="AQ208" i="122"/>
  <c r="BF208" i="122" s="1"/>
  <c r="BO64" i="122"/>
  <c r="BO208" i="122" s="1"/>
  <c r="AQ216" i="122"/>
  <c r="BF216" i="122" s="1"/>
  <c r="BL216" i="122" s="1"/>
  <c r="BO68" i="122"/>
  <c r="AO68" i="122"/>
  <c r="AO216" i="122" s="1"/>
  <c r="BD216" i="122" s="1"/>
  <c r="BJ216" i="122" s="1"/>
  <c r="BF68" i="122"/>
  <c r="R265" i="120"/>
  <c r="CP94" i="8"/>
  <c r="CP51" i="8"/>
  <c r="CP53" i="8" s="1"/>
  <c r="CL81" i="120"/>
  <c r="BM255" i="120"/>
  <c r="FP77" i="121"/>
  <c r="FY14" i="121"/>
  <c r="AK159" i="120"/>
  <c r="N159" i="120"/>
  <c r="BC53" i="120"/>
  <c r="AW158" i="120"/>
  <c r="AW160" i="120" s="1"/>
  <c r="Y124" i="122"/>
  <c r="Y126" i="122" s="1"/>
  <c r="W94" i="122"/>
  <c r="C27" i="124"/>
  <c r="BL77" i="121"/>
  <c r="BJ77" i="121" s="1"/>
  <c r="BL12" i="121"/>
  <c r="BL38" i="121"/>
  <c r="BM66" i="123"/>
  <c r="BO67" i="123"/>
  <c r="H99" i="120"/>
  <c r="O99" i="120"/>
  <c r="CN51" i="8"/>
  <c r="CN53" i="8" s="1"/>
  <c r="BQ39" i="121"/>
  <c r="BZ39" i="121" s="1"/>
  <c r="BZ29" i="121"/>
  <c r="T37" i="66"/>
  <c r="U36" i="66"/>
  <c r="I36" i="111"/>
  <c r="F56" i="97"/>
  <c r="BT96" i="8"/>
  <c r="BT122" i="8" s="1"/>
  <c r="Z16" i="65"/>
  <c r="BG105" i="8"/>
  <c r="BG106" i="8" s="1"/>
  <c r="BD69" i="8"/>
  <c r="BG70" i="8"/>
  <c r="BO251" i="120"/>
  <c r="CN112" i="120"/>
  <c r="BN117" i="120"/>
  <c r="BM118" i="120"/>
  <c r="AO121" i="120"/>
  <c r="BN121" i="120"/>
  <c r="AP267" i="120"/>
  <c r="BE121" i="120"/>
  <c r="AZ59" i="121"/>
  <c r="AO59" i="121"/>
  <c r="EB9" i="121"/>
  <c r="EA9" i="121" s="1"/>
  <c r="CB9" i="121"/>
  <c r="CG111" i="122"/>
  <c r="CG164" i="122" s="1"/>
  <c r="BI164" i="122"/>
  <c r="AL24" i="120"/>
  <c r="AL191" i="120" s="1"/>
  <c r="AM191" i="120"/>
  <c r="AM22" i="120"/>
  <c r="S71" i="120"/>
  <c r="P37" i="128"/>
  <c r="S37" i="128" s="1"/>
  <c r="S17" i="128"/>
  <c r="BG88" i="122"/>
  <c r="AL88" i="122"/>
  <c r="CH147" i="120"/>
  <c r="CB213" i="120"/>
  <c r="CH213" i="120" s="1"/>
  <c r="R147" i="120"/>
  <c r="AG147" i="120" s="1"/>
  <c r="C213" i="120"/>
  <c r="C65" i="121" s="1"/>
  <c r="B147" i="120"/>
  <c r="FX29" i="121"/>
  <c r="FO39" i="121"/>
  <c r="BR29" i="71"/>
  <c r="BQ29" i="71" s="1"/>
  <c r="AA32" i="7"/>
  <c r="AM31" i="7"/>
  <c r="AB31" i="7"/>
  <c r="AC31" i="7"/>
  <c r="AD31" i="7" s="1"/>
  <c r="AI31" i="7"/>
  <c r="AP31" i="7"/>
  <c r="AY66" i="121"/>
  <c r="AO66" i="121"/>
  <c r="CY64" i="121"/>
  <c r="DH64" i="121" s="1"/>
  <c r="AQ113" i="122"/>
  <c r="BF113" i="122" s="1"/>
  <c r="AN113" i="122"/>
  <c r="AH166" i="122"/>
  <c r="AN166" i="122" s="1"/>
  <c r="AE11" i="95"/>
  <c r="AE16" i="95" s="1"/>
  <c r="AE21" i="95" s="1"/>
  <c r="AI65" i="32"/>
  <c r="AK65" i="32" s="1"/>
  <c r="AK70" i="32" s="1"/>
  <c r="BC181" i="120"/>
  <c r="BC225" i="120" s="1"/>
  <c r="BC12" i="120"/>
  <c r="BA14" i="120"/>
  <c r="BA181" i="120" s="1"/>
  <c r="BA225" i="120" s="1"/>
  <c r="BF91" i="122"/>
  <c r="BO91" i="122"/>
  <c r="AQ90" i="122"/>
  <c r="AO90" i="122" s="1"/>
  <c r="AO91" i="122"/>
  <c r="AP76" i="120"/>
  <c r="BE76" i="120" s="1"/>
  <c r="AF76" i="120"/>
  <c r="AG243" i="120"/>
  <c r="AM243" i="120" s="1"/>
  <c r="AM76" i="120"/>
  <c r="CE92" i="122"/>
  <c r="CH92" i="122" s="1"/>
  <c r="X26" i="125"/>
  <c r="BD188" i="120"/>
  <c r="CG124" i="120"/>
  <c r="BI197" i="120"/>
  <c r="BL124" i="120"/>
  <c r="AF187" i="120"/>
  <c r="R25" i="125"/>
  <c r="AH181" i="120"/>
  <c r="AH225" i="120" s="1"/>
  <c r="T19" i="125"/>
  <c r="E15" i="127" s="1"/>
  <c r="AK63" i="123"/>
  <c r="CJ61" i="123"/>
  <c r="P37" i="71"/>
  <c r="J70" i="68"/>
  <c r="J72" i="68" s="1"/>
  <c r="H86" i="68"/>
  <c r="Q268" i="120"/>
  <c r="Q265" i="120" s="1"/>
  <c r="H38" i="97"/>
  <c r="G40" i="97"/>
  <c r="G43" i="97" s="1"/>
  <c r="BO245" i="120"/>
  <c r="CN44" i="120"/>
  <c r="BR107" i="8"/>
  <c r="BR109" i="8"/>
  <c r="BR110" i="8" s="1"/>
  <c r="AQ249" i="120"/>
  <c r="BO116" i="120"/>
  <c r="BF116" i="120"/>
  <c r="CY62" i="121"/>
  <c r="DH62" i="121" s="1"/>
  <c r="F12" i="118"/>
  <c r="F22" i="118"/>
  <c r="F42" i="118"/>
  <c r="G43" i="118" s="1"/>
  <c r="O37" i="126"/>
  <c r="AN46" i="123"/>
  <c r="N37" i="125"/>
  <c r="AN52" i="121"/>
  <c r="CD52" i="121"/>
  <c r="T17" i="126"/>
  <c r="EB10" i="123"/>
  <c r="CB10" i="123"/>
  <c r="CL10" i="123"/>
  <c r="AH159" i="120"/>
  <c r="Q159" i="120"/>
  <c r="CE45" i="120"/>
  <c r="CH45" i="120" s="1"/>
  <c r="CG54" i="120"/>
  <c r="CJ54" i="120" s="1"/>
  <c r="BL54" i="120"/>
  <c r="BV42" i="121"/>
  <c r="CH34" i="121"/>
  <c r="DC89" i="121"/>
  <c r="DC78" i="121"/>
  <c r="AM194" i="122"/>
  <c r="GE21" i="123"/>
  <c r="GK21" i="123" s="1"/>
  <c r="EL21" i="123"/>
  <c r="AQ216" i="120"/>
  <c r="CP68" i="121" s="1"/>
  <c r="BO150" i="120"/>
  <c r="BO216" i="120" s="1"/>
  <c r="EO68" i="121" s="1"/>
  <c r="EX68" i="121" s="1"/>
  <c r="FG68" i="121" s="1"/>
  <c r="BF67" i="123"/>
  <c r="BD66" i="123"/>
  <c r="AL72" i="120"/>
  <c r="AI205" i="120"/>
  <c r="AI238" i="120"/>
  <c r="BI157" i="7"/>
  <c r="BI155" i="7"/>
  <c r="J37" i="85"/>
  <c r="I38" i="85"/>
  <c r="CK28" i="8"/>
  <c r="K32" i="111"/>
  <c r="Q119" i="120"/>
  <c r="AG119" i="120"/>
  <c r="GB31" i="121"/>
  <c r="GK31" i="121" s="1"/>
  <c r="EL31" i="121"/>
  <c r="AD19" i="125"/>
  <c r="CB181" i="120"/>
  <c r="CB225" i="120" s="1"/>
  <c r="AL93" i="120"/>
  <c r="AF264" i="120"/>
  <c r="AL264" i="120" s="1"/>
  <c r="T87" i="121"/>
  <c r="K85" i="121"/>
  <c r="EI43" i="121"/>
  <c r="GH17" i="121"/>
  <c r="EG43" i="121"/>
  <c r="AN249" i="120"/>
  <c r="M13" i="120"/>
  <c r="M179" i="120"/>
  <c r="M180" i="120" s="1"/>
  <c r="K12" i="120"/>
  <c r="F56" i="121"/>
  <c r="F76" i="121" s="1"/>
  <c r="F208" i="120"/>
  <c r="F60" i="121" s="1"/>
  <c r="F224" i="120"/>
  <c r="F226" i="120" s="1"/>
  <c r="CG144" i="122"/>
  <c r="CJ144" i="122" s="1"/>
  <c r="BL144" i="122"/>
  <c r="AE70" i="121"/>
  <c r="DL77" i="121"/>
  <c r="DM84" i="121"/>
  <c r="DM78" i="121"/>
  <c r="G26" i="132"/>
  <c r="E23" i="133"/>
  <c r="E31" i="133" s="1"/>
  <c r="G24" i="133"/>
  <c r="G23" i="133" s="1"/>
  <c r="G31" i="133" s="1"/>
  <c r="G35" i="133" s="1"/>
  <c r="BD77" i="121"/>
  <c r="BF84" i="121"/>
  <c r="BF78" i="121"/>
  <c r="T42" i="128"/>
  <c r="U29" i="71"/>
  <c r="T29" i="71" s="1"/>
  <c r="K10" i="100"/>
  <c r="BZ47" i="7" s="1"/>
  <c r="L8" i="100"/>
  <c r="AN73" i="32"/>
  <c r="AN70" i="32"/>
  <c r="AO117" i="120"/>
  <c r="AF267" i="120"/>
  <c r="AL121" i="120"/>
  <c r="L19" i="125"/>
  <c r="B181" i="120"/>
  <c r="B225" i="120" s="1"/>
  <c r="Q259" i="120"/>
  <c r="BI252" i="120"/>
  <c r="BL252" i="120" s="1"/>
  <c r="CG113" i="120"/>
  <c r="BL113" i="120"/>
  <c r="R28" i="125"/>
  <c r="AF190" i="120"/>
  <c r="DF72" i="123"/>
  <c r="CW70" i="123"/>
  <c r="BI61" i="120"/>
  <c r="BL61" i="120" s="1"/>
  <c r="BL59" i="120"/>
  <c r="CG59" i="120"/>
  <c r="CG74" i="122"/>
  <c r="CJ74" i="122" s="1"/>
  <c r="BL74" i="122"/>
  <c r="BG211" i="122"/>
  <c r="AL211" i="122"/>
  <c r="R17" i="8"/>
  <c r="U55" i="9"/>
  <c r="T55" i="9"/>
  <c r="AQ48" i="3"/>
  <c r="AR42" i="3"/>
  <c r="CS58" i="72"/>
  <c r="CR50" i="72" s="1"/>
  <c r="CS50" i="72" s="1"/>
  <c r="H13" i="87" s="1"/>
  <c r="I13" i="87" s="1"/>
  <c r="AR48" i="3"/>
  <c r="BF143" i="122"/>
  <c r="AH178" i="122"/>
  <c r="BN132" i="120"/>
  <c r="CM132" i="120" s="1"/>
  <c r="CN146" i="120"/>
  <c r="AZ50" i="123"/>
  <c r="BI50" i="123" s="1"/>
  <c r="BR50" i="123"/>
  <c r="CD50" i="123" s="1"/>
  <c r="CO99" i="8"/>
  <c r="CL65" i="123"/>
  <c r="T56" i="126"/>
  <c r="BH46" i="120"/>
  <c r="CF46" i="120" s="1"/>
  <c r="CI46" i="120" s="1"/>
  <c r="AM46" i="120"/>
  <c r="BI211" i="120"/>
  <c r="CG145" i="120"/>
  <c r="CG87" i="120"/>
  <c r="BI254" i="120"/>
  <c r="BL87" i="120"/>
  <c r="FK82" i="121"/>
  <c r="FT82" i="121" s="1"/>
  <c r="FL83" i="121"/>
  <c r="FU82" i="121"/>
  <c r="CG109" i="120"/>
  <c r="CJ109" i="120" s="1"/>
  <c r="BL109" i="120"/>
  <c r="BF187" i="120"/>
  <c r="Z25" i="125"/>
  <c r="CG77" i="122"/>
  <c r="BL77" i="122"/>
  <c r="BI156" i="122"/>
  <c r="BF185" i="120"/>
  <c r="Z23" i="125"/>
  <c r="Q254" i="120"/>
  <c r="Q17" i="8"/>
  <c r="BC204" i="120"/>
  <c r="BG72" i="120"/>
  <c r="EB8" i="123"/>
  <c r="Z15" i="126" s="1"/>
  <c r="G18" i="127" s="1"/>
  <c r="I18" i="127" s="1"/>
  <c r="T15" i="126"/>
  <c r="E18" i="127" s="1"/>
  <c r="CL53" i="7"/>
  <c r="CL52" i="7" s="1"/>
  <c r="CM52" i="7"/>
  <c r="U40" i="7"/>
  <c r="U41" i="7" s="1"/>
  <c r="U35" i="7" s="1"/>
  <c r="U63" i="7" s="1"/>
  <c r="H51" i="68"/>
  <c r="H13" i="68"/>
  <c r="F70" i="68"/>
  <c r="H70" i="68"/>
  <c r="H72" i="68" s="1"/>
  <c r="Y14" i="8"/>
  <c r="AJ13" i="8"/>
  <c r="AF13" i="8"/>
  <c r="Z13" i="8"/>
  <c r="BH82" i="7"/>
  <c r="BH83" i="7"/>
  <c r="BH85" i="7"/>
  <c r="BH86" i="7" s="1"/>
  <c r="BH80" i="7"/>
  <c r="BR52" i="72"/>
  <c r="BO55" i="72"/>
  <c r="BP52" i="72"/>
  <c r="BS52" i="72" s="1"/>
  <c r="Z33" i="98"/>
  <c r="V33" i="98"/>
  <c r="AA11" i="95"/>
  <c r="AA16" i="95" s="1"/>
  <c r="AA21" i="95" s="1"/>
  <c r="AA31" i="95" s="1"/>
  <c r="Z16" i="95"/>
  <c r="Z21" i="95" s="1"/>
  <c r="AD11" i="95"/>
  <c r="AD16" i="95" s="1"/>
  <c r="AC11" i="95"/>
  <c r="AC16" i="95" s="1"/>
  <c r="AB11" i="95"/>
  <c r="AB16" i="95" s="1"/>
  <c r="CN144" i="120"/>
  <c r="BH48" i="3"/>
  <c r="AG35" i="95"/>
  <c r="AG33" i="95" s="1"/>
  <c r="AG37" i="95" s="1"/>
  <c r="BH40" i="3"/>
  <c r="AE59" i="125"/>
  <c r="GJ74" i="121"/>
  <c r="AO189" i="120"/>
  <c r="U27" i="125"/>
  <c r="CL22" i="120"/>
  <c r="AH62" i="120"/>
  <c r="S53" i="120"/>
  <c r="AH53" i="120" s="1"/>
  <c r="CA94" i="122"/>
  <c r="BP94" i="122"/>
  <c r="D13" i="127"/>
  <c r="CG98" i="120"/>
  <c r="BI269" i="120"/>
  <c r="BL98" i="120"/>
  <c r="CG110" i="120"/>
  <c r="BI207" i="120"/>
  <c r="BI250" i="120"/>
  <c r="Z77" i="121"/>
  <c r="Z78" i="121" s="1"/>
  <c r="AA78" i="121"/>
  <c r="BL55" i="7"/>
  <c r="CC29" i="121"/>
  <c r="AD39" i="121"/>
  <c r="AM39" i="121" s="1"/>
  <c r="AM29" i="121"/>
  <c r="K19" i="87"/>
  <c r="Q15" i="65"/>
  <c r="R15" i="65" s="1"/>
  <c r="J70" i="85"/>
  <c r="I71" i="85"/>
  <c r="J71" i="85" s="1"/>
  <c r="AF120" i="120"/>
  <c r="AL120" i="120" s="1"/>
  <c r="AP120" i="120"/>
  <c r="BE120" i="120" s="1"/>
  <c r="AM120" i="120"/>
  <c r="Y14" i="125"/>
  <c r="BE176" i="120"/>
  <c r="BD9" i="120"/>
  <c r="BO64" i="120"/>
  <c r="AQ65" i="120"/>
  <c r="BH263" i="120"/>
  <c r="CF48" i="120"/>
  <c r="BO93" i="120"/>
  <c r="AO93" i="120"/>
  <c r="AO264" i="120" s="1"/>
  <c r="AQ89" i="120"/>
  <c r="BF89" i="120" s="1"/>
  <c r="AQ264" i="120"/>
  <c r="BL88" i="120"/>
  <c r="BI249" i="120"/>
  <c r="CG88" i="120"/>
  <c r="FB67" i="123"/>
  <c r="FC68" i="123"/>
  <c r="K159" i="120"/>
  <c r="K181" i="120"/>
  <c r="K225" i="120" s="1"/>
  <c r="E17" i="128"/>
  <c r="J17" i="128" s="1"/>
  <c r="C37" i="128"/>
  <c r="E37" i="128" s="1"/>
  <c r="J37" i="128" s="1"/>
  <c r="CA159" i="122"/>
  <c r="CA40" i="122"/>
  <c r="BY40" i="122" s="1"/>
  <c r="BL42" i="120"/>
  <c r="BF242" i="120"/>
  <c r="BL242" i="120" s="1"/>
  <c r="CS106" i="8"/>
  <c r="CS104" i="8"/>
  <c r="AZ50" i="72"/>
  <c r="AZ51" i="72" s="1"/>
  <c r="AX51" i="72" s="1"/>
  <c r="BE50" i="72"/>
  <c r="Q37" i="125"/>
  <c r="CA52" i="121"/>
  <c r="BF123" i="122"/>
  <c r="BO123" i="122"/>
  <c r="BO176" i="122" s="1"/>
  <c r="EO60" i="123" s="1"/>
  <c r="AQ176" i="122"/>
  <c r="CP60" i="123" s="1"/>
  <c r="CY60" i="123" s="1"/>
  <c r="DH60" i="123" s="1"/>
  <c r="DQ60" i="123" s="1"/>
  <c r="AH81" i="122"/>
  <c r="AG159" i="120"/>
  <c r="CM159" i="120"/>
  <c r="B159" i="120"/>
  <c r="AJ189" i="120"/>
  <c r="AI22" i="120"/>
  <c r="AI189" i="120" s="1"/>
  <c r="CF47" i="120"/>
  <c r="CI47" i="120" s="1"/>
  <c r="BK47" i="120"/>
  <c r="CG47" i="120"/>
  <c r="CJ47" i="120" s="1"/>
  <c r="BL47" i="120"/>
  <c r="AN85" i="120"/>
  <c r="AH259" i="120"/>
  <c r="AN259" i="120" s="1"/>
  <c r="AQ85" i="120"/>
  <c r="BF85" i="120" s="1"/>
  <c r="AF85" i="120"/>
  <c r="AF259" i="120" s="1"/>
  <c r="S27" i="125"/>
  <c r="AG189" i="120"/>
  <c r="AF22" i="120"/>
  <c r="CG108" i="120"/>
  <c r="BI239" i="120"/>
  <c r="BI206" i="120"/>
  <c r="GF87" i="121"/>
  <c r="GF85" i="121" s="1"/>
  <c r="EG85" i="121"/>
  <c r="J82" i="121"/>
  <c r="AK82" i="121" s="1"/>
  <c r="CJ82" i="121" s="1"/>
  <c r="EI82" i="121" s="1"/>
  <c r="GH82" i="121" s="1"/>
  <c r="AK81" i="121"/>
  <c r="CJ81" i="121" s="1"/>
  <c r="EI81" i="121" s="1"/>
  <c r="GH81" i="121" s="1"/>
  <c r="DW66" i="123"/>
  <c r="CV67" i="123"/>
  <c r="CV68" i="123" s="1"/>
  <c r="CT66" i="123"/>
  <c r="DU66" i="123" s="1"/>
  <c r="N41" i="123"/>
  <c r="O42" i="123"/>
  <c r="AG41" i="123"/>
  <c r="AG42" i="123" s="1"/>
  <c r="T39" i="128"/>
  <c r="CR121" i="8"/>
  <c r="CR125" i="8" s="1"/>
  <c r="AL15" i="65"/>
  <c r="AL13" i="65" s="1"/>
  <c r="AL10" i="65" s="1"/>
  <c r="AL9" i="65" s="1"/>
  <c r="AL35" i="65" s="1"/>
  <c r="AL38" i="65" s="1"/>
  <c r="CR99" i="8"/>
  <c r="Q55" i="9"/>
  <c r="V54" i="9"/>
  <c r="Y18" i="8"/>
  <c r="BA24" i="71"/>
  <c r="BA35" i="71"/>
  <c r="BL35" i="71" s="1"/>
  <c r="T34" i="32"/>
  <c r="V34" i="32" s="1"/>
  <c r="BF213" i="120"/>
  <c r="BL213" i="120" s="1"/>
  <c r="BL147" i="120"/>
  <c r="AQ206" i="122"/>
  <c r="BF206" i="122" s="1"/>
  <c r="BO62" i="122"/>
  <c r="BO206" i="122" s="1"/>
  <c r="BF53" i="122"/>
  <c r="BL53" i="122" s="1"/>
  <c r="AQ198" i="122"/>
  <c r="BF198" i="122" s="1"/>
  <c r="BL198" i="122" s="1"/>
  <c r="BO53" i="122"/>
  <c r="BO198" i="122" s="1"/>
  <c r="CC62" i="123"/>
  <c r="BM122" i="120"/>
  <c r="CL122" i="120" s="1"/>
  <c r="BL146" i="120"/>
  <c r="BF212" i="120"/>
  <c r="BL212" i="120" s="1"/>
  <c r="AO95" i="120"/>
  <c r="AP94" i="120"/>
  <c r="BN95" i="120"/>
  <c r="EB22" i="121"/>
  <c r="EA23" i="121"/>
  <c r="BE187" i="120"/>
  <c r="Y25" i="125"/>
  <c r="BD20" i="120"/>
  <c r="AT158" i="120"/>
  <c r="AT160" i="120" s="1"/>
  <c r="AR29" i="120"/>
  <c r="CE46" i="120"/>
  <c r="CH46" i="120" s="1"/>
  <c r="AF86" i="120"/>
  <c r="AF244" i="120" s="1"/>
  <c r="AG244" i="120"/>
  <c r="AM244" i="120" s="1"/>
  <c r="AP86" i="120"/>
  <c r="BE86" i="120" s="1"/>
  <c r="AM86" i="120"/>
  <c r="GA33" i="121"/>
  <c r="GJ33" i="121" s="1"/>
  <c r="EK33" i="121"/>
  <c r="L37" i="128"/>
  <c r="N37" i="128" s="1"/>
  <c r="N17" i="128"/>
  <c r="AK49" i="122"/>
  <c r="AE40" i="122"/>
  <c r="AK40" i="122" s="1"/>
  <c r="AJ82" i="121"/>
  <c r="CI82" i="121" s="1"/>
  <c r="EH82" i="121" s="1"/>
  <c r="I83" i="121"/>
  <c r="H82" i="121"/>
  <c r="AI82" i="121" s="1"/>
  <c r="CH82" i="121" s="1"/>
  <c r="EG82" i="121" s="1"/>
  <c r="GF82" i="121" s="1"/>
  <c r="AQ22" i="66"/>
  <c r="AQ10" i="66" s="1"/>
  <c r="AQ35" i="66" s="1"/>
  <c r="AQ38" i="66" s="1"/>
  <c r="DH99" i="8"/>
  <c r="DH124" i="8"/>
  <c r="DH125" i="8" s="1"/>
  <c r="BR158" i="120"/>
  <c r="BR160" i="120" s="1"/>
  <c r="CN155" i="7"/>
  <c r="CN157" i="7"/>
  <c r="K18" i="127"/>
  <c r="AD59" i="121"/>
  <c r="CL14" i="123"/>
  <c r="FW14" i="121"/>
  <c r="H50" i="68"/>
  <c r="BD117" i="120"/>
  <c r="FX39" i="121"/>
  <c r="AH50" i="120"/>
  <c r="S37" i="120"/>
  <c r="S204" i="120" s="1"/>
  <c r="Q50" i="120"/>
  <c r="BH155" i="7"/>
  <c r="BH157" i="7"/>
  <c r="FN30" i="121"/>
  <c r="FW30" i="121" s="1"/>
  <c r="GM30" i="121"/>
  <c r="Q178" i="122"/>
  <c r="AF143" i="122"/>
  <c r="EX62" i="121"/>
  <c r="FG62" i="121" s="1"/>
  <c r="AP141" i="120"/>
  <c r="BE141" i="120" s="1"/>
  <c r="BD141" i="120" s="1"/>
  <c r="AG268" i="120"/>
  <c r="AM268" i="120" s="1"/>
  <c r="AF141" i="120"/>
  <c r="AF268" i="120" s="1"/>
  <c r="AM141" i="120"/>
  <c r="AC37" i="125"/>
  <c r="FY52" i="121"/>
  <c r="AO14" i="120"/>
  <c r="AQ181" i="120"/>
  <c r="AQ225" i="120" s="1"/>
  <c r="AQ159" i="120"/>
  <c r="AO159" i="120" s="1"/>
  <c r="W19" i="125"/>
  <c r="F15" i="127" s="1"/>
  <c r="F13" i="127" s="1"/>
  <c r="AQ244" i="120"/>
  <c r="BO86" i="120"/>
  <c r="BO244" i="120" s="1"/>
  <c r="EG29" i="121"/>
  <c r="CH39" i="121"/>
  <c r="Q181" i="120"/>
  <c r="Q225" i="120" s="1"/>
  <c r="O19" i="125"/>
  <c r="P181" i="120"/>
  <c r="P225" i="120" s="1"/>
  <c r="P12" i="120"/>
  <c r="O181" i="120"/>
  <c r="O225" i="120" s="1"/>
  <c r="N14" i="120"/>
  <c r="N181" i="120" s="1"/>
  <c r="N225" i="120" s="1"/>
  <c r="O12" i="120"/>
  <c r="BF216" i="120"/>
  <c r="BL216" i="120" s="1"/>
  <c r="BL150" i="120"/>
  <c r="Q77" i="121"/>
  <c r="S78" i="121"/>
  <c r="S84" i="121"/>
  <c r="Q14" i="8"/>
  <c r="Q15" i="8" s="1"/>
  <c r="Q8" i="8" s="1"/>
  <c r="P15" i="8"/>
  <c r="P8" i="8" s="1"/>
  <c r="P51" i="8" s="1"/>
  <c r="R14" i="8"/>
  <c r="R15" i="8" s="1"/>
  <c r="R8" i="8" s="1"/>
  <c r="BC20" i="8"/>
  <c r="BC87" i="8" s="1"/>
  <c r="F22" i="66" s="1"/>
  <c r="I22" i="66" s="1"/>
  <c r="N22" i="66" s="1"/>
  <c r="BB87" i="8"/>
  <c r="D34" i="73"/>
  <c r="C35" i="73"/>
  <c r="D35" i="73" s="1"/>
  <c r="BK144" i="7"/>
  <c r="BK150" i="7" s="1"/>
  <c r="BK63" i="7"/>
  <c r="P46" i="61"/>
  <c r="K52" i="61"/>
  <c r="K53" i="61" s="1"/>
  <c r="K48" i="61"/>
  <c r="F16" i="92"/>
  <c r="F17" i="92" s="1"/>
  <c r="M17" i="87"/>
  <c r="P16" i="66"/>
  <c r="P14" i="66" s="1"/>
  <c r="CY57" i="121"/>
  <c r="DH57" i="121" s="1"/>
  <c r="BO142" i="120"/>
  <c r="BO139" i="120" s="1"/>
  <c r="CN139" i="120" s="1"/>
  <c r="AQ269" i="120"/>
  <c r="AO142" i="120"/>
  <c r="BF142" i="120"/>
  <c r="R14" i="125"/>
  <c r="AF176" i="120"/>
  <c r="EB15" i="121"/>
  <c r="EA15" i="121" s="1"/>
  <c r="CB15" i="121"/>
  <c r="EI26" i="123"/>
  <c r="GH25" i="123"/>
  <c r="GH26" i="123" s="1"/>
  <c r="AN264" i="120"/>
  <c r="AH260" i="120"/>
  <c r="CN56" i="120"/>
  <c r="BO56" i="120"/>
  <c r="BC43" i="123"/>
  <c r="BC61" i="123" s="1"/>
  <c r="Y163" i="122"/>
  <c r="BC47" i="123" s="1"/>
  <c r="Y177" i="122"/>
  <c r="Y179" i="122" s="1"/>
  <c r="BN50" i="122"/>
  <c r="AP160" i="122"/>
  <c r="CO44" i="123" s="1"/>
  <c r="AP194" i="122"/>
  <c r="BE194" i="122" s="1"/>
  <c r="BK194" i="122" s="1"/>
  <c r="AQ218" i="120"/>
  <c r="CP70" i="121" s="1"/>
  <c r="BO152" i="120"/>
  <c r="BO218" i="120" s="1"/>
  <c r="EO70" i="121" s="1"/>
  <c r="EI14" i="121"/>
  <c r="AN45" i="120"/>
  <c r="AQ45" i="120"/>
  <c r="BF45" i="120" s="1"/>
  <c r="AF45" i="120"/>
  <c r="AL45" i="120" s="1"/>
  <c r="AQ242" i="120"/>
  <c r="BO42" i="120"/>
  <c r="CC9" i="123"/>
  <c r="AF269" i="120"/>
  <c r="AL269" i="120" s="1"/>
  <c r="AQ110" i="120"/>
  <c r="AH250" i="120"/>
  <c r="AN250" i="120" s="1"/>
  <c r="AH207" i="120"/>
  <c r="AN207" i="120" s="1"/>
  <c r="AF110" i="120"/>
  <c r="BF110" i="120"/>
  <c r="CG92" i="122"/>
  <c r="CJ92" i="122" s="1"/>
  <c r="BF90" i="122"/>
  <c r="BD90" i="122" s="1"/>
  <c r="K14" i="127"/>
  <c r="C13" i="127"/>
  <c r="B13" i="124"/>
  <c r="DG77" i="121"/>
  <c r="DF77" i="121" s="1"/>
  <c r="DF14" i="121"/>
  <c r="BC56" i="121"/>
  <c r="BC76" i="121" s="1"/>
  <c r="Y208" i="120"/>
  <c r="BC60" i="121" s="1"/>
  <c r="Y224" i="120"/>
  <c r="Y226" i="120" s="1"/>
  <c r="BI223" i="120"/>
  <c r="BL223" i="120" s="1"/>
  <c r="BL157" i="120"/>
  <c r="CG157" i="120"/>
  <c r="AI263" i="120"/>
  <c r="BG48" i="120"/>
  <c r="Y28" i="125"/>
  <c r="BE190" i="120"/>
  <c r="BE22" i="120"/>
  <c r="BD23" i="120"/>
  <c r="BK23" i="120"/>
  <c r="CF148" i="120"/>
  <c r="BH214" i="120"/>
  <c r="BO55" i="122"/>
  <c r="BM55" i="122" s="1"/>
  <c r="AO55" i="122"/>
  <c r="BJ73" i="120"/>
  <c r="CE73" i="120"/>
  <c r="CH73" i="120" s="1"/>
  <c r="AW67" i="123"/>
  <c r="BX66" i="123"/>
  <c r="AU66" i="123"/>
  <c r="BV66" i="123" s="1"/>
  <c r="DU26" i="123"/>
  <c r="CM52" i="120"/>
  <c r="AQ213" i="120"/>
  <c r="CP65" i="121" s="1"/>
  <c r="CY65" i="121" s="1"/>
  <c r="DH65" i="121" s="1"/>
  <c r="BO147" i="120"/>
  <c r="BO213" i="120" s="1"/>
  <c r="EO65" i="121" s="1"/>
  <c r="AP148" i="120"/>
  <c r="AG214" i="120"/>
  <c r="AM214" i="120" s="1"/>
  <c r="AF148" i="120"/>
  <c r="AO102" i="120"/>
  <c r="BO102" i="120"/>
  <c r="BM102" i="120" s="1"/>
  <c r="CM122" i="120"/>
  <c r="FY64" i="121"/>
  <c r="AC49" i="125"/>
  <c r="M37" i="126"/>
  <c r="AL46" i="123"/>
  <c r="BF87" i="122"/>
  <c r="AQ210" i="122"/>
  <c r="BF210" i="122" s="1"/>
  <c r="BO87" i="122"/>
  <c r="AO87" i="122"/>
  <c r="AM90" i="122"/>
  <c r="AF90" i="122"/>
  <c r="CB22" i="121"/>
  <c r="CL22" i="121"/>
  <c r="CK22" i="121" s="1"/>
  <c r="CE108" i="122"/>
  <c r="CH108" i="122" s="1"/>
  <c r="BY218" i="122"/>
  <c r="BY223" i="122" s="1"/>
  <c r="BI205" i="120"/>
  <c r="BL205" i="120" s="1"/>
  <c r="CG38" i="120"/>
  <c r="BI238" i="120"/>
  <c r="BL238" i="120" s="1"/>
  <c r="BL38" i="120"/>
  <c r="CS56" i="121"/>
  <c r="CS76" i="121" s="1"/>
  <c r="CS81" i="121" s="1"/>
  <c r="AT208" i="120"/>
  <c r="CS60" i="121" s="1"/>
  <c r="AT224" i="120"/>
  <c r="AT226" i="120" s="1"/>
  <c r="AI214" i="120"/>
  <c r="BG148" i="120"/>
  <c r="Q243" i="120"/>
  <c r="CG118" i="120"/>
  <c r="CJ118" i="120" s="1"/>
  <c r="BL118" i="120"/>
  <c r="BC94" i="122"/>
  <c r="BA94" i="122" s="1"/>
  <c r="AR94" i="122"/>
  <c r="CH40" i="121"/>
  <c r="EG30" i="121"/>
  <c r="S67" i="123"/>
  <c r="AK66" i="123"/>
  <c r="AB67" i="123"/>
  <c r="Z66" i="123"/>
  <c r="S145" i="120"/>
  <c r="D211" i="120"/>
  <c r="D63" i="121" s="1"/>
  <c r="B145" i="120"/>
  <c r="B211" i="120" s="1"/>
  <c r="D143" i="120"/>
  <c r="D209" i="120" s="1"/>
  <c r="D61" i="121" s="1"/>
  <c r="AH145" i="120"/>
  <c r="V158" i="120"/>
  <c r="V160" i="120" s="1"/>
  <c r="CI50" i="19"/>
  <c r="FR47" i="123"/>
  <c r="BS177" i="122"/>
  <c r="BS163" i="122"/>
  <c r="BS94" i="122"/>
  <c r="BZ94" i="122"/>
  <c r="BY94" i="122" s="1"/>
  <c r="BS159" i="120"/>
  <c r="BS181" i="120"/>
  <c r="BS225" i="120" s="1"/>
  <c r="FQ39" i="121"/>
  <c r="FW39" i="121" s="1"/>
  <c r="FQ41" i="121"/>
  <c r="EZ13" i="121"/>
  <c r="EY12" i="121"/>
  <c r="EY13" i="121" s="1"/>
  <c r="BS13" i="120"/>
  <c r="BS179" i="120"/>
  <c r="BS180" i="120" s="1"/>
  <c r="AZ19" i="8"/>
  <c r="BH51" i="11"/>
  <c r="CT27" i="17"/>
  <c r="CU27" i="17" s="1"/>
  <c r="BY31" i="7" s="1"/>
  <c r="CT34" i="17"/>
  <c r="CU34" i="17" s="1"/>
  <c r="BW29" i="8" s="1"/>
  <c r="CT33" i="17"/>
  <c r="CU33" i="17" s="1"/>
  <c r="BV23" i="8" s="1"/>
  <c r="BG139" i="120"/>
  <c r="DI32" i="17"/>
  <c r="DJ32" i="17" s="1"/>
  <c r="DI35" i="17"/>
  <c r="DJ35" i="17" s="1"/>
  <c r="CX38" i="8" s="1"/>
  <c r="DI29" i="17"/>
  <c r="DJ29" i="17" s="1"/>
  <c r="CS48" i="7" s="1"/>
  <c r="DI28" i="17"/>
  <c r="DJ28" i="17" s="1"/>
  <c r="CS39" i="7" s="1"/>
  <c r="DI26" i="17"/>
  <c r="DJ26" i="17" s="1"/>
  <c r="CS23" i="7" s="1"/>
  <c r="F72" i="68"/>
  <c r="CT25" i="17" s="1"/>
  <c r="CU25" i="17" s="1"/>
  <c r="BL31" i="120"/>
  <c r="BF197" i="120"/>
  <c r="BL197" i="120" s="1"/>
  <c r="CY58" i="121"/>
  <c r="DH58" i="121" s="1"/>
  <c r="CT29" i="17"/>
  <c r="CU29" i="17" s="1"/>
  <c r="BZ48" i="7" s="1"/>
  <c r="CT28" i="17"/>
  <c r="CU28" i="17" s="1"/>
  <c r="BY39" i="7" s="1"/>
  <c r="CT32" i="17"/>
  <c r="CU32" i="17" s="1"/>
  <c r="CT35" i="17"/>
  <c r="CU35" i="17" s="1"/>
  <c r="BW38" i="8" s="1"/>
  <c r="CT26" i="17"/>
  <c r="CU26" i="17" s="1"/>
  <c r="BY23" i="7" s="1"/>
  <c r="AQ70" i="8"/>
  <c r="AQ74" i="8"/>
  <c r="AQ75" i="8" s="1"/>
  <c r="AQ71" i="8"/>
  <c r="AQ68" i="8"/>
  <c r="BD113" i="120"/>
  <c r="BD252" i="120" s="1"/>
  <c r="BE252" i="120"/>
  <c r="BK113" i="120"/>
  <c r="BE251" i="120"/>
  <c r="BK251" i="120" s="1"/>
  <c r="BD112" i="120"/>
  <c r="BD251" i="120" s="1"/>
  <c r="BK112" i="120"/>
  <c r="G26" i="105"/>
  <c r="C41" i="132"/>
  <c r="BL115" i="120"/>
  <c r="D27" i="75"/>
  <c r="D28" i="75" s="1"/>
  <c r="D30" i="75" s="1"/>
  <c r="BL82" i="122"/>
  <c r="BD82" i="122"/>
  <c r="AQ101" i="8"/>
  <c r="AQ106" i="8"/>
  <c r="DL25" i="17"/>
  <c r="DM25" i="17" s="1"/>
  <c r="CW25" i="17"/>
  <c r="CX25" i="17" s="1"/>
  <c r="CR25" i="17"/>
  <c r="AO47" i="6"/>
  <c r="AO50" i="6"/>
  <c r="AO49" i="6"/>
  <c r="AO48" i="6"/>
  <c r="FL69" i="123"/>
  <c r="O49" i="125"/>
  <c r="BY64" i="121"/>
  <c r="BD140" i="120"/>
  <c r="BJ140" i="120" s="1"/>
  <c r="BK140" i="120"/>
  <c r="BS208" i="120"/>
  <c r="BS224" i="120"/>
  <c r="CF197" i="120"/>
  <c r="CF262" i="120"/>
  <c r="BK249" i="120"/>
  <c r="AI10" i="120"/>
  <c r="AA126" i="122"/>
  <c r="DX14" i="121"/>
  <c r="AE37" i="123"/>
  <c r="FQ62" i="123"/>
  <c r="FG10" i="121"/>
  <c r="FG11" i="121"/>
  <c r="FG12" i="121" s="1"/>
  <c r="FG13" i="121" s="1"/>
  <c r="DH11" i="121"/>
  <c r="DH12" i="121" s="1"/>
  <c r="DH13" i="121" s="1"/>
  <c r="DH10" i="121"/>
  <c r="DQ8" i="121"/>
  <c r="CP11" i="121"/>
  <c r="CP12" i="121" s="1"/>
  <c r="CP13" i="121" s="1"/>
  <c r="CP10" i="121"/>
  <c r="BM109" i="122"/>
  <c r="BC155" i="7"/>
  <c r="AP52" i="9"/>
  <c r="AN52" i="9"/>
  <c r="AM55" i="9"/>
  <c r="AP55" i="9" s="1"/>
  <c r="AQ40" i="7"/>
  <c r="AR40" i="7" s="1"/>
  <c r="J10" i="68"/>
  <c r="J9" i="68"/>
  <c r="J12" i="68"/>
  <c r="J11" i="68"/>
  <c r="J13" i="68" s="1"/>
  <c r="S68" i="8"/>
  <c r="S71" i="8"/>
  <c r="Y33" i="8"/>
  <c r="X53" i="6"/>
  <c r="BC86" i="8"/>
  <c r="P49" i="125"/>
  <c r="BZ64" i="121"/>
  <c r="J26" i="87"/>
  <c r="J25" i="87" s="1"/>
  <c r="P22" i="64" s="1"/>
  <c r="B40" i="85"/>
  <c r="D28" i="85"/>
  <c r="D40" i="85" s="1"/>
  <c r="BN146" i="120"/>
  <c r="CM146" i="120" s="1"/>
  <c r="AO146" i="120"/>
  <c r="AP212" i="120"/>
  <c r="CO64" i="121" s="1"/>
  <c r="F84" i="68"/>
  <c r="F85" i="68"/>
  <c r="BX9" i="8"/>
  <c r="CQ155" i="7"/>
  <c r="CQ157" i="7"/>
  <c r="CY51" i="121"/>
  <c r="DH51" i="121" s="1"/>
  <c r="I31" i="111"/>
  <c r="F50" i="97"/>
  <c r="M20" i="96"/>
  <c r="M25" i="96"/>
  <c r="M35" i="96"/>
  <c r="M30" i="96"/>
  <c r="M10" i="96"/>
  <c r="M15" i="96"/>
  <c r="BH79" i="121"/>
  <c r="AX79" i="121"/>
  <c r="CL133" i="120"/>
  <c r="FP80" i="121"/>
  <c r="AB158" i="120"/>
  <c r="Z29" i="120"/>
  <c r="BL83" i="120"/>
  <c r="BI257" i="120"/>
  <c r="CG83" i="120"/>
  <c r="BG256" i="120"/>
  <c r="CE82" i="120"/>
  <c r="AK265" i="120"/>
  <c r="AN266" i="120"/>
  <c r="CE33" i="120"/>
  <c r="CH33" i="120" s="1"/>
  <c r="CB16" i="121"/>
  <c r="EB16" i="121"/>
  <c r="CC14" i="121"/>
  <c r="T29" i="120"/>
  <c r="T158" i="120" s="1"/>
  <c r="U158" i="120"/>
  <c r="U160" i="120" s="1"/>
  <c r="CG30" i="120"/>
  <c r="BI196" i="120"/>
  <c r="CB14" i="123"/>
  <c r="S21" i="126" s="1"/>
  <c r="EB14" i="123"/>
  <c r="T21" i="126"/>
  <c r="FN14" i="121"/>
  <c r="FO77" i="121"/>
  <c r="J84" i="68"/>
  <c r="J86" i="68" s="1"/>
  <c r="BO57" i="122"/>
  <c r="BO201" i="122" s="1"/>
  <c r="AQ201" i="122"/>
  <c r="BF201" i="122" s="1"/>
  <c r="BL201" i="122" s="1"/>
  <c r="AY11" i="121"/>
  <c r="AY10" i="121"/>
  <c r="AX8" i="121"/>
  <c r="AX10" i="121" s="1"/>
  <c r="C11" i="121"/>
  <c r="C10" i="121"/>
  <c r="AD8" i="121"/>
  <c r="B8" i="121"/>
  <c r="BH10" i="121"/>
  <c r="BH11" i="121"/>
  <c r="BG8" i="121"/>
  <c r="BG10" i="121" s="1"/>
  <c r="CO10" i="121"/>
  <c r="CO11" i="121"/>
  <c r="DP8" i="121"/>
  <c r="CN8" i="121"/>
  <c r="CN10" i="121" s="1"/>
  <c r="B57" i="124"/>
  <c r="M62" i="123"/>
  <c r="K9" i="123"/>
  <c r="K62" i="123" s="1"/>
  <c r="CY62" i="123"/>
  <c r="B63" i="124"/>
  <c r="CW9" i="123"/>
  <c r="CW62" i="123" s="1"/>
  <c r="AE9" i="123"/>
  <c r="D62" i="123"/>
  <c r="B56" i="124"/>
  <c r="B9" i="123"/>
  <c r="CW11" i="123"/>
  <c r="B11" i="123"/>
  <c r="AE11" i="123"/>
  <c r="FE11" i="123"/>
  <c r="CW172" i="7"/>
  <c r="AN16" i="64" s="1"/>
  <c r="BI16" i="61"/>
  <c r="BI14" i="61" s="1"/>
  <c r="E16" i="133"/>
  <c r="G14" i="133"/>
  <c r="S175" i="120"/>
  <c r="S177" i="120" s="1"/>
  <c r="S10" i="120"/>
  <c r="Q15" i="125" s="1"/>
  <c r="S11" i="120"/>
  <c r="Q13" i="125"/>
  <c r="AH8" i="120"/>
  <c r="N13" i="125"/>
  <c r="D175" i="120"/>
  <c r="D177" i="120" s="1"/>
  <c r="D11" i="120"/>
  <c r="D10" i="120"/>
  <c r="N15" i="125" s="1"/>
  <c r="BN249" i="120"/>
  <c r="BM116" i="120"/>
  <c r="BM249" i="120" s="1"/>
  <c r="CW47" i="8"/>
  <c r="CW95" i="8" s="1"/>
  <c r="CX95" i="8"/>
  <c r="CL134" i="120"/>
  <c r="AY101" i="8"/>
  <c r="BC80" i="7"/>
  <c r="BC81" i="7"/>
  <c r="BC156" i="7" s="1"/>
  <c r="BC157" i="7" s="1"/>
  <c r="BN241" i="120"/>
  <c r="BM41" i="120"/>
  <c r="O51" i="72"/>
  <c r="S51" i="72" s="1"/>
  <c r="V51" i="72"/>
  <c r="AH157" i="7"/>
  <c r="AH155" i="7"/>
  <c r="H15" i="68"/>
  <c r="U115" i="7"/>
  <c r="U116" i="7" s="1"/>
  <c r="T116" i="7"/>
  <c r="AF160" i="7"/>
  <c r="AF161" i="7" s="1"/>
  <c r="AF158" i="7"/>
  <c r="BB27" i="5"/>
  <c r="BB26" i="5" s="1"/>
  <c r="AX26" i="5"/>
  <c r="AJ91" i="8"/>
  <c r="AW91" i="8"/>
  <c r="AR54" i="7"/>
  <c r="AS54" i="7" s="1"/>
  <c r="Q13" i="7"/>
  <c r="AP8" i="17"/>
  <c r="AM8" i="17" s="1"/>
  <c r="U25" i="17"/>
  <c r="AX25" i="17"/>
  <c r="V25" i="17"/>
  <c r="BC25" i="17"/>
  <c r="AT25" i="17"/>
  <c r="W25" i="17"/>
  <c r="CH138" i="7"/>
  <c r="CH175" i="7" s="1"/>
  <c r="AG22" i="64" s="1"/>
  <c r="AL14" i="10"/>
  <c r="AL18" i="10" s="1"/>
  <c r="AL19" i="10" s="1"/>
  <c r="AK18" i="10"/>
  <c r="AK19" i="10" s="1"/>
  <c r="B66" i="32"/>
  <c r="AP48" i="3"/>
  <c r="BM103" i="8"/>
  <c r="BM104" i="8" s="1"/>
  <c r="BN104" i="8"/>
  <c r="BN106" i="8"/>
  <c r="BE211" i="120"/>
  <c r="BK211" i="120" s="1"/>
  <c r="BK145" i="120"/>
  <c r="CK10" i="8"/>
  <c r="CK87" i="8" s="1"/>
  <c r="EV65" i="123"/>
  <c r="FF65" i="123"/>
  <c r="AF266" i="120"/>
  <c r="AF265" i="120" s="1"/>
  <c r="AL140" i="120"/>
  <c r="BH63" i="121"/>
  <c r="AQ239" i="120"/>
  <c r="CL136" i="120"/>
  <c r="P123" i="120"/>
  <c r="E123" i="120"/>
  <c r="BL117" i="120"/>
  <c r="CG117" i="120"/>
  <c r="CJ117" i="120" s="1"/>
  <c r="BI105" i="120"/>
  <c r="CG103" i="120"/>
  <c r="BI201" i="120"/>
  <c r="AN183" i="120"/>
  <c r="AN14" i="120"/>
  <c r="AN181" i="120" s="1"/>
  <c r="AC14" i="121"/>
  <c r="AE77" i="121"/>
  <c r="P94" i="122"/>
  <c r="M124" i="122"/>
  <c r="K94" i="122"/>
  <c r="AL110" i="122"/>
  <c r="BG110" i="122"/>
  <c r="AZ73" i="121"/>
  <c r="BI73" i="121" s="1"/>
  <c r="CC197" i="120"/>
  <c r="C31" i="120"/>
  <c r="CB31" i="120"/>
  <c r="AK10" i="95"/>
  <c r="AK8" i="95" s="1"/>
  <c r="AK12" i="95" s="1"/>
  <c r="BQ43" i="3"/>
  <c r="BQ39" i="3"/>
  <c r="R7" i="96" s="1"/>
  <c r="D165" i="122"/>
  <c r="D49" i="123" s="1"/>
  <c r="M49" i="123" s="1"/>
  <c r="V49" i="123" s="1"/>
  <c r="D111" i="122"/>
  <c r="S112" i="122"/>
  <c r="AH112" i="122" s="1"/>
  <c r="CY18" i="19"/>
  <c r="CY34" i="19"/>
  <c r="CY37" i="19"/>
  <c r="CY44" i="19"/>
  <c r="CY36" i="19"/>
  <c r="CY39" i="19"/>
  <c r="CY21" i="19"/>
  <c r="CY45" i="19"/>
  <c r="CY43" i="19"/>
  <c r="CY30" i="19"/>
  <c r="CY33" i="19"/>
  <c r="CY20" i="19"/>
  <c r="CY32" i="19"/>
  <c r="CY35" i="19"/>
  <c r="CY19" i="19"/>
  <c r="CY40" i="19"/>
  <c r="CY24" i="19"/>
  <c r="CY46" i="19"/>
  <c r="CY23" i="19"/>
  <c r="CY25" i="19"/>
  <c r="CY15" i="19"/>
  <c r="CY22" i="19"/>
  <c r="CY31" i="19"/>
  <c r="CY42" i="19"/>
  <c r="CY28" i="19"/>
  <c r="CY26" i="19"/>
  <c r="CY38" i="19"/>
  <c r="CY29" i="19"/>
  <c r="CY41" i="19"/>
  <c r="CY48" i="19"/>
  <c r="CY8" i="19"/>
  <c r="CY17" i="19"/>
  <c r="CY47" i="19"/>
  <c r="C212" i="122"/>
  <c r="C223" i="122" s="1"/>
  <c r="R34" i="122"/>
  <c r="B34" i="122"/>
  <c r="B212" i="122" s="1"/>
  <c r="AG34" i="122"/>
  <c r="S27" i="122"/>
  <c r="AH27" i="122" s="1"/>
  <c r="D28" i="122"/>
  <c r="H12" i="121"/>
  <c r="H13" i="121" s="1"/>
  <c r="I13" i="121"/>
  <c r="CT77" i="121"/>
  <c r="CV84" i="121"/>
  <c r="CV78" i="121"/>
  <c r="FM68" i="123"/>
  <c r="FK68" i="123" s="1"/>
  <c r="FK69" i="123" s="1"/>
  <c r="FM67" i="123"/>
  <c r="FV67" i="123" s="1"/>
  <c r="BM109" i="120"/>
  <c r="CM109" i="120"/>
  <c r="AO115" i="120"/>
  <c r="BN115" i="120"/>
  <c r="CM115" i="120" s="1"/>
  <c r="AP254" i="120"/>
  <c r="AL53" i="7"/>
  <c r="BE25" i="7"/>
  <c r="AP8" i="71"/>
  <c r="AM8" i="71" s="1"/>
  <c r="BB11" i="5"/>
  <c r="BB46" i="5" s="1"/>
  <c r="BB47" i="5" s="1"/>
  <c r="AN43" i="122"/>
  <c r="AQ43" i="122"/>
  <c r="AH152" i="122"/>
  <c r="L10" i="11"/>
  <c r="AP10" i="11" s="1"/>
  <c r="AM32" i="11" s="1"/>
  <c r="AL32" i="11" s="1"/>
  <c r="AP32" i="11" s="1"/>
  <c r="L11" i="11"/>
  <c r="AP11" i="11" s="1"/>
  <c r="AM33" i="11" s="1"/>
  <c r="AL33" i="11" s="1"/>
  <c r="AP33" i="11" s="1"/>
  <c r="L8" i="11"/>
  <c r="AP8" i="11" s="1"/>
  <c r="L7" i="11"/>
  <c r="AP7" i="11" s="1"/>
  <c r="L9" i="11"/>
  <c r="AP9" i="11" s="1"/>
  <c r="AM31" i="11" s="1"/>
  <c r="AL31" i="11" s="1"/>
  <c r="AP31" i="11" s="1"/>
  <c r="AG157" i="7"/>
  <c r="AG155" i="7"/>
  <c r="CC68" i="120"/>
  <c r="CU45" i="7"/>
  <c r="U27" i="98"/>
  <c r="T32" i="98"/>
  <c r="T37" i="98" s="1"/>
  <c r="D108" i="116"/>
  <c r="D110" i="116"/>
  <c r="C28" i="91"/>
  <c r="A30" i="91"/>
  <c r="A28" i="91" s="1"/>
  <c r="AR14" i="10"/>
  <c r="AR18" i="10" s="1"/>
  <c r="AR19" i="10" s="1"/>
  <c r="AQ18" i="10"/>
  <c r="AQ19" i="10" s="1"/>
  <c r="BF199" i="120"/>
  <c r="BL199" i="120" s="1"/>
  <c r="AE37" i="66"/>
  <c r="AF37" i="66" s="1"/>
  <c r="AF36" i="66"/>
  <c r="CX50" i="121"/>
  <c r="CB100" i="120"/>
  <c r="CH100" i="120" s="1"/>
  <c r="C100" i="120"/>
  <c r="Y65" i="125"/>
  <c r="EK80" i="121"/>
  <c r="AQ253" i="120"/>
  <c r="BO114" i="120"/>
  <c r="CN114" i="120" s="1"/>
  <c r="AO114" i="120"/>
  <c r="BF37" i="122"/>
  <c r="BO37" i="122"/>
  <c r="AQ35" i="122"/>
  <c r="BF35" i="122" s="1"/>
  <c r="BL35" i="122" s="1"/>
  <c r="AQ217" i="122"/>
  <c r="BF217" i="122" s="1"/>
  <c r="AO37" i="122"/>
  <c r="AK62" i="120"/>
  <c r="N62" i="120"/>
  <c r="P56" i="121"/>
  <c r="P76" i="121" s="1"/>
  <c r="J208" i="120"/>
  <c r="P60" i="121" s="1"/>
  <c r="J224" i="120"/>
  <c r="J226" i="120" s="1"/>
  <c r="CE47" i="120"/>
  <c r="BJ47" i="120"/>
  <c r="BG262" i="120"/>
  <c r="BO67" i="120"/>
  <c r="BO62" i="120" s="1"/>
  <c r="AQ62" i="120"/>
  <c r="AK71" i="120"/>
  <c r="N71" i="120"/>
  <c r="AI71" i="120" s="1"/>
  <c r="E204" i="120"/>
  <c r="Q57" i="125"/>
  <c r="CD72" i="121"/>
  <c r="ED74" i="121"/>
  <c r="Y21" i="125"/>
  <c r="BE183" i="120"/>
  <c r="BD16" i="120"/>
  <c r="BE14" i="120"/>
  <c r="BK16" i="120"/>
  <c r="P79" i="68"/>
  <c r="R77" i="68"/>
  <c r="FP68" i="121"/>
  <c r="AQ50" i="122"/>
  <c r="BF50" i="122" s="1"/>
  <c r="AF50" i="122"/>
  <c r="AL50" i="122" s="1"/>
  <c r="C23" i="122"/>
  <c r="CC152" i="122"/>
  <c r="CB23" i="122"/>
  <c r="BO60" i="122"/>
  <c r="BO204" i="122" s="1"/>
  <c r="AQ204" i="122"/>
  <c r="BF204" i="122" s="1"/>
  <c r="BL204" i="122" s="1"/>
  <c r="CJ111" i="122"/>
  <c r="CD164" i="122"/>
  <c r="CJ164" i="122" s="1"/>
  <c r="AD23" i="125"/>
  <c r="CB185" i="120"/>
  <c r="DQ8" i="123"/>
  <c r="CN8" i="123"/>
  <c r="CY16" i="19"/>
  <c r="B13" i="123"/>
  <c r="AD13" i="123"/>
  <c r="DP13" i="123"/>
  <c r="CN13" i="123"/>
  <c r="EM13" i="123"/>
  <c r="FO13" i="123"/>
  <c r="R157" i="120"/>
  <c r="AG157" i="120" s="1"/>
  <c r="B157" i="120"/>
  <c r="C223" i="120"/>
  <c r="C75" i="121" s="1"/>
  <c r="AQ14" i="65"/>
  <c r="ES63" i="123"/>
  <c r="F17" i="116"/>
  <c r="AF252" i="120"/>
  <c r="AL113" i="120"/>
  <c r="AG49" i="6"/>
  <c r="AG46" i="6"/>
  <c r="AG50" i="6"/>
  <c r="AG47" i="6"/>
  <c r="AG48" i="6"/>
  <c r="BQ54" i="72"/>
  <c r="BX54" i="72" s="1"/>
  <c r="AX31" i="17"/>
  <c r="V31" i="17"/>
  <c r="AT31" i="17"/>
  <c r="T40" i="17"/>
  <c r="BC31" i="17"/>
  <c r="BC93" i="8"/>
  <c r="F16" i="66"/>
  <c r="CK50" i="72"/>
  <c r="AF26" i="8"/>
  <c r="Z26" i="8"/>
  <c r="AM26" i="8" s="1"/>
  <c r="AD138" i="7"/>
  <c r="BC39" i="11"/>
  <c r="M68" i="8"/>
  <c r="AD45" i="6"/>
  <c r="AC46" i="6"/>
  <c r="Q27" i="8"/>
  <c r="AS107" i="8"/>
  <c r="AS109" i="8"/>
  <c r="AS110" i="8" s="1"/>
  <c r="AZ54" i="72"/>
  <c r="BE54" i="72"/>
  <c r="BR54" i="72" s="1"/>
  <c r="BO127" i="120"/>
  <c r="CN127" i="120" s="1"/>
  <c r="G21" i="105"/>
  <c r="G27" i="105" s="1"/>
  <c r="G36" i="105" s="1"/>
  <c r="AA50" i="95"/>
  <c r="BO34" i="120"/>
  <c r="AQ201" i="120"/>
  <c r="CP53" i="121" s="1"/>
  <c r="J53" i="85"/>
  <c r="I54" i="85"/>
  <c r="CX63" i="121"/>
  <c r="EV80" i="121"/>
  <c r="FF80" i="121"/>
  <c r="AF139" i="120"/>
  <c r="AL139" i="120" s="1"/>
  <c r="FZ86" i="121"/>
  <c r="BS123" i="120"/>
  <c r="BT158" i="120"/>
  <c r="BT160" i="120" s="1"/>
  <c r="BZ123" i="120"/>
  <c r="FH55" i="121"/>
  <c r="BV204" i="120"/>
  <c r="K208" i="120"/>
  <c r="K224" i="120"/>
  <c r="R24" i="125"/>
  <c r="AF186" i="120"/>
  <c r="L85" i="68"/>
  <c r="CG69" i="122"/>
  <c r="CJ69" i="122" s="1"/>
  <c r="BL69" i="122"/>
  <c r="CW13" i="19"/>
  <c r="CW10" i="19" s="1"/>
  <c r="CX10" i="19"/>
  <c r="CX11" i="19" s="1"/>
  <c r="CW11" i="19" s="1"/>
  <c r="CU122" i="8"/>
  <c r="AM16" i="65"/>
  <c r="R67" i="123"/>
  <c r="R68" i="123" s="1"/>
  <c r="Q66" i="123"/>
  <c r="AI66" i="123" s="1"/>
  <c r="CH66" i="123" s="1"/>
  <c r="EG66" i="123" s="1"/>
  <c r="AJ66" i="123"/>
  <c r="CI66" i="123" s="1"/>
  <c r="EH66" i="123" s="1"/>
  <c r="AP10" i="120"/>
  <c r="V15" i="125" s="1"/>
  <c r="AP175" i="120"/>
  <c r="AP177" i="120" s="1"/>
  <c r="AP11" i="120"/>
  <c r="V13" i="125"/>
  <c r="AO8" i="120"/>
  <c r="BN11" i="120"/>
  <c r="AB13" i="125"/>
  <c r="BN175" i="120"/>
  <c r="BN177" i="120" s="1"/>
  <c r="BN10" i="120"/>
  <c r="AB15" i="125" s="1"/>
  <c r="BM8" i="120"/>
  <c r="AD18" i="121"/>
  <c r="B18" i="121"/>
  <c r="CB199" i="120"/>
  <c r="C36" i="133"/>
  <c r="C37" i="133" s="1"/>
  <c r="DA49" i="19"/>
  <c r="CY46" i="8" s="1"/>
  <c r="CY94" i="8" s="1"/>
  <c r="AS9" i="65"/>
  <c r="AS35" i="65" s="1"/>
  <c r="AS38" i="65" s="1"/>
  <c r="BV74" i="123"/>
  <c r="BV63" i="123"/>
  <c r="DE63" i="7"/>
  <c r="DE65" i="7" s="1"/>
  <c r="AR68" i="8"/>
  <c r="AR71" i="8"/>
  <c r="AR74" i="8"/>
  <c r="AR75" i="8" s="1"/>
  <c r="AR70" i="8"/>
  <c r="CY11" i="121"/>
  <c r="CY12" i="121" s="1"/>
  <c r="CY13" i="121" s="1"/>
  <c r="CY10" i="121"/>
  <c r="D11" i="121"/>
  <c r="D12" i="121" s="1"/>
  <c r="D13" i="121" s="1"/>
  <c r="AE8" i="121"/>
  <c r="D10" i="121"/>
  <c r="BI11" i="121"/>
  <c r="BI12" i="121" s="1"/>
  <c r="BI13" i="121" s="1"/>
  <c r="BI10" i="121"/>
  <c r="BD109" i="122"/>
  <c r="BJ109" i="122" s="1"/>
  <c r="BK109" i="122"/>
  <c r="BJ41" i="120"/>
  <c r="U80" i="7"/>
  <c r="U83" i="7"/>
  <c r="AC11" i="19"/>
  <c r="AC49" i="19" s="1"/>
  <c r="T71" i="8"/>
  <c r="T68" i="8"/>
  <c r="X54" i="6"/>
  <c r="Y41" i="8"/>
  <c r="BL37" i="71"/>
  <c r="BA23" i="8"/>
  <c r="BB23" i="8"/>
  <c r="BC23" i="8" s="1"/>
  <c r="AH129" i="120"/>
  <c r="AN129" i="120" s="1"/>
  <c r="AQ128" i="120"/>
  <c r="BF128" i="120" s="1"/>
  <c r="AN128" i="120"/>
  <c r="D49" i="73"/>
  <c r="F12" i="73" s="1"/>
  <c r="D35" i="96"/>
  <c r="D15" i="96"/>
  <c r="I15" i="96" s="1"/>
  <c r="D25" i="96"/>
  <c r="D20" i="96"/>
  <c r="I20" i="96" s="1"/>
  <c r="D10" i="96"/>
  <c r="D30" i="96"/>
  <c r="W65" i="32"/>
  <c r="V65" i="32"/>
  <c r="V72" i="32" s="1"/>
  <c r="O19" i="104" s="1"/>
  <c r="AA36" i="66"/>
  <c r="Z37" i="66"/>
  <c r="AN51" i="5"/>
  <c r="AN48" i="5"/>
  <c r="AN50" i="5"/>
  <c r="AN49" i="5"/>
  <c r="BO199" i="120"/>
  <c r="EO51" i="121" s="1"/>
  <c r="J50" i="97"/>
  <c r="K31" i="111"/>
  <c r="BL141" i="120"/>
  <c r="BD136" i="120"/>
  <c r="BK136" i="120"/>
  <c r="BL132" i="120"/>
  <c r="BD132" i="120"/>
  <c r="BI261" i="120"/>
  <c r="CG69" i="120"/>
  <c r="I158" i="120"/>
  <c r="H29" i="120"/>
  <c r="CA123" i="120"/>
  <c r="BX158" i="120"/>
  <c r="BX160" i="120" s="1"/>
  <c r="AN152" i="122"/>
  <c r="U21" i="126"/>
  <c r="EC14" i="123"/>
  <c r="AA21" i="126" s="1"/>
  <c r="T208" i="120"/>
  <c r="T224" i="120"/>
  <c r="CB15" i="123"/>
  <c r="S22" i="126" s="1"/>
  <c r="EB15" i="123"/>
  <c r="T22" i="126"/>
  <c r="CL15" i="123"/>
  <c r="FR26" i="123"/>
  <c r="FX9" i="123"/>
  <c r="FQ9" i="123"/>
  <c r="FQ26" i="123" s="1"/>
  <c r="BI187" i="120"/>
  <c r="CG20" i="120"/>
  <c r="BL20" i="120"/>
  <c r="BL187" i="120" s="1"/>
  <c r="EB21" i="121"/>
  <c r="EA21" i="121" s="1"/>
  <c r="CB21" i="121"/>
  <c r="AZ67" i="121"/>
  <c r="BI67" i="121" s="1"/>
  <c r="N58" i="125"/>
  <c r="AN73" i="121"/>
  <c r="CB56" i="120"/>
  <c r="C56" i="120"/>
  <c r="C43" i="122"/>
  <c r="CB43" i="122"/>
  <c r="CH43" i="122" s="1"/>
  <c r="CR151" i="7"/>
  <c r="CR64" i="7" s="1"/>
  <c r="CS64" i="7"/>
  <c r="AP16" i="66"/>
  <c r="AP14" i="66" s="1"/>
  <c r="AP11" i="66" s="1"/>
  <c r="AP10" i="66" s="1"/>
  <c r="AP35" i="66" s="1"/>
  <c r="AP38" i="66" s="1"/>
  <c r="DE121" i="8"/>
  <c r="DE125" i="8" s="1"/>
  <c r="DE99" i="8"/>
  <c r="CC90" i="120"/>
  <c r="CB69" i="120"/>
  <c r="AP11" i="121"/>
  <c r="BQ8" i="121"/>
  <c r="AP10" i="121"/>
  <c r="AO8" i="121"/>
  <c r="AO10" i="121" s="1"/>
  <c r="EN10" i="121"/>
  <c r="FO8" i="121"/>
  <c r="EN11" i="121"/>
  <c r="EM8" i="121"/>
  <c r="EM10" i="121" s="1"/>
  <c r="GA12" i="121"/>
  <c r="FZ11" i="121"/>
  <c r="B61" i="124"/>
  <c r="BI62" i="123"/>
  <c r="BG9" i="123"/>
  <c r="BG62" i="123" s="1"/>
  <c r="FG62" i="123"/>
  <c r="B67" i="124"/>
  <c r="FE9" i="123"/>
  <c r="FE62" i="123" s="1"/>
  <c r="B66" i="124"/>
  <c r="EX62" i="123"/>
  <c r="EV9" i="123"/>
  <c r="EV62" i="123" s="1"/>
  <c r="CN11" i="123"/>
  <c r="DQ11" i="123"/>
  <c r="K11" i="123"/>
  <c r="R45" i="122"/>
  <c r="Q45" i="122" s="1"/>
  <c r="AG45" i="122"/>
  <c r="B45" i="122"/>
  <c r="CD209" i="120"/>
  <c r="CJ209" i="120" s="1"/>
  <c r="CJ143" i="120"/>
  <c r="BG89" i="120"/>
  <c r="AF16" i="125"/>
  <c r="CD12" i="120"/>
  <c r="CD178" i="120"/>
  <c r="AQ10" i="120"/>
  <c r="W15" i="125" s="1"/>
  <c r="AQ175" i="120"/>
  <c r="AQ177" i="120" s="1"/>
  <c r="AQ11" i="120"/>
  <c r="W13" i="125"/>
  <c r="CL116" i="120"/>
  <c r="AO249" i="120"/>
  <c r="GB79" i="121"/>
  <c r="Z64" i="125"/>
  <c r="EL79" i="121"/>
  <c r="AZ15" i="7"/>
  <c r="CL41" i="120"/>
  <c r="CK65" i="7"/>
  <c r="Q245" i="120"/>
  <c r="C9" i="11"/>
  <c r="C10" i="11"/>
  <c r="C7" i="11"/>
  <c r="C8" i="11"/>
  <c r="C11" i="11"/>
  <c r="K64" i="121"/>
  <c r="U64" i="121"/>
  <c r="T64" i="121" s="1"/>
  <c r="U36" i="64"/>
  <c r="T37" i="64"/>
  <c r="H33" i="97"/>
  <c r="G34" i="97"/>
  <c r="AE10" i="95"/>
  <c r="AI61" i="32"/>
  <c r="CS173" i="7"/>
  <c r="CR59" i="7"/>
  <c r="CR147" i="7" s="1"/>
  <c r="CS147" i="7"/>
  <c r="BC17" i="61"/>
  <c r="BD17" i="61" s="1"/>
  <c r="AL95" i="120"/>
  <c r="AI266" i="120"/>
  <c r="AL266" i="120" s="1"/>
  <c r="BG95" i="120"/>
  <c r="BG156" i="120"/>
  <c r="AI222" i="120"/>
  <c r="BG54" i="120"/>
  <c r="AK260" i="120"/>
  <c r="AN260" i="120" s="1"/>
  <c r="AN262" i="120"/>
  <c r="P99" i="120"/>
  <c r="E99" i="120"/>
  <c r="BI89" i="120"/>
  <c r="AN89" i="120"/>
  <c r="AK130" i="120"/>
  <c r="AE204" i="120"/>
  <c r="AE208" i="120" s="1"/>
  <c r="BI183" i="120"/>
  <c r="CG16" i="120"/>
  <c r="BL16" i="120"/>
  <c r="BG16" i="120"/>
  <c r="BG183" i="120" s="1"/>
  <c r="BI14" i="120"/>
  <c r="AI26" i="123"/>
  <c r="CH25" i="123"/>
  <c r="EC16" i="121"/>
  <c r="CD14" i="121"/>
  <c r="CM16" i="121"/>
  <c r="GC80" i="121"/>
  <c r="H20" i="129"/>
  <c r="H21" i="129" s="1"/>
  <c r="H22" i="129" s="1"/>
  <c r="CG208" i="122"/>
  <c r="BL208" i="122"/>
  <c r="AH21" i="98"/>
  <c r="AH14" i="98"/>
  <c r="DC39" i="19"/>
  <c r="DC36" i="19"/>
  <c r="DC20" i="19"/>
  <c r="DC29" i="19"/>
  <c r="DC38" i="19"/>
  <c r="DC28" i="19"/>
  <c r="DC8" i="19"/>
  <c r="DC33" i="19"/>
  <c r="DC26" i="19"/>
  <c r="DC47" i="19"/>
  <c r="DC48" i="19"/>
  <c r="DC40" i="19"/>
  <c r="DC23" i="19"/>
  <c r="DC46" i="19"/>
  <c r="DC42" i="19"/>
  <c r="DC37" i="19"/>
  <c r="DC31" i="19"/>
  <c r="DC22" i="19"/>
  <c r="DC41" i="19"/>
  <c r="DC44" i="19"/>
  <c r="DC30" i="19"/>
  <c r="DC43" i="19"/>
  <c r="DC45" i="19"/>
  <c r="DC17" i="19"/>
  <c r="DC15" i="19"/>
  <c r="DC24" i="19"/>
  <c r="DC19" i="19"/>
  <c r="DC21" i="19"/>
  <c r="DC25" i="19"/>
  <c r="DC35" i="19"/>
  <c r="DC34" i="19"/>
  <c r="DC18" i="19"/>
  <c r="DC32" i="19"/>
  <c r="R97" i="122"/>
  <c r="Q97" i="122" s="1"/>
  <c r="B97" i="122"/>
  <c r="CT45" i="8"/>
  <c r="CT42" i="8" s="1"/>
  <c r="CU42" i="8"/>
  <c r="AI31" i="98"/>
  <c r="AI36" i="98" s="1"/>
  <c r="DA18" i="8" s="1"/>
  <c r="AI24" i="98"/>
  <c r="AI29" i="98" s="1"/>
  <c r="AI34" i="98" s="1"/>
  <c r="DB15" i="19"/>
  <c r="DB18" i="19"/>
  <c r="DB32" i="19"/>
  <c r="DB42" i="19"/>
  <c r="DB48" i="19"/>
  <c r="DB22" i="19"/>
  <c r="DB26" i="19"/>
  <c r="DB30" i="19"/>
  <c r="DB36" i="19"/>
  <c r="DB46" i="19"/>
  <c r="DB34" i="19"/>
  <c r="DB40" i="19"/>
  <c r="DB21" i="19"/>
  <c r="DB28" i="19"/>
  <c r="DB38" i="19"/>
  <c r="DB24" i="19"/>
  <c r="DB19" i="19"/>
  <c r="DB44" i="19"/>
  <c r="DB35" i="19"/>
  <c r="DB23" i="19"/>
  <c r="DB17" i="19"/>
  <c r="CW68" i="7" s="1"/>
  <c r="DB43" i="19"/>
  <c r="DB29" i="19"/>
  <c r="DB41" i="19"/>
  <c r="DB47" i="19"/>
  <c r="DB33" i="19"/>
  <c r="DB25" i="19"/>
  <c r="DB37" i="19"/>
  <c r="DB45" i="19"/>
  <c r="DB31" i="19"/>
  <c r="DB8" i="19"/>
  <c r="DB39" i="19"/>
  <c r="DB20" i="19"/>
  <c r="AM266" i="120"/>
  <c r="CL109" i="120"/>
  <c r="AY68" i="8"/>
  <c r="AY69" i="8"/>
  <c r="AY105" i="8" s="1"/>
  <c r="AY106" i="8" s="1"/>
  <c r="AK40" i="8"/>
  <c r="BK42" i="120"/>
  <c r="BE242" i="120"/>
  <c r="BK242" i="120" s="1"/>
  <c r="BD42" i="120"/>
  <c r="BD242" i="120" s="1"/>
  <c r="U25" i="71"/>
  <c r="AX25" i="71"/>
  <c r="BC25" i="71"/>
  <c r="W25" i="71"/>
  <c r="AT25" i="71"/>
  <c r="V25" i="71"/>
  <c r="EG30" i="123"/>
  <c r="GF12" i="123"/>
  <c r="GF30" i="123" s="1"/>
  <c r="O13" i="21"/>
  <c r="O25" i="21"/>
  <c r="O32" i="21" s="1"/>
  <c r="O14" i="21"/>
  <c r="O10" i="21"/>
  <c r="O15" i="21"/>
  <c r="O11" i="21"/>
  <c r="O26" i="21"/>
  <c r="P16" i="21"/>
  <c r="O9" i="21"/>
  <c r="P21" i="9"/>
  <c r="P22" i="9" s="1"/>
  <c r="AP22" i="9" s="1"/>
  <c r="AN59" i="9" s="1"/>
  <c r="P20" i="9"/>
  <c r="AP20" i="9" s="1"/>
  <c r="AN57" i="9" s="1"/>
  <c r="CI54" i="72"/>
  <c r="CJ54" i="72" s="1"/>
  <c r="CI52" i="72"/>
  <c r="C56" i="85"/>
  <c r="H30" i="65"/>
  <c r="D60" i="85"/>
  <c r="D72" i="85" s="1"/>
  <c r="B72" i="85"/>
  <c r="D19" i="105"/>
  <c r="D26" i="105"/>
  <c r="D25" i="105" s="1"/>
  <c r="BY79" i="7"/>
  <c r="BY151" i="7" s="1"/>
  <c r="BY64" i="7" s="1"/>
  <c r="BZ151" i="7"/>
  <c r="BZ64" i="7" s="1"/>
  <c r="Z56" i="126"/>
  <c r="EK65" i="123"/>
  <c r="D56" i="121"/>
  <c r="D208" i="120"/>
  <c r="D60" i="121" s="1"/>
  <c r="CL131" i="120"/>
  <c r="BG50" i="120"/>
  <c r="Q222" i="120"/>
  <c r="N210" i="122"/>
  <c r="AI210" i="122" s="1"/>
  <c r="AI87" i="122"/>
  <c r="G56" i="121"/>
  <c r="G208" i="120"/>
  <c r="G60" i="121" s="1"/>
  <c r="G224" i="120"/>
  <c r="G226" i="120" s="1"/>
  <c r="W62" i="125"/>
  <c r="DO77" i="121"/>
  <c r="U62" i="125" s="1"/>
  <c r="CM20" i="121"/>
  <c r="EF20" i="121"/>
  <c r="AQ220" i="120"/>
  <c r="CP72" i="121" s="1"/>
  <c r="BO154" i="120"/>
  <c r="CN154" i="120" s="1"/>
  <c r="CG104" i="122"/>
  <c r="CJ104" i="122" s="1"/>
  <c r="BL104" i="122"/>
  <c r="N80" i="68"/>
  <c r="N83" i="68"/>
  <c r="N81" i="68"/>
  <c r="N82" i="68"/>
  <c r="AI222" i="122"/>
  <c r="BF67" i="122"/>
  <c r="BL67" i="122" s="1"/>
  <c r="AP23" i="64"/>
  <c r="AP10" i="64"/>
  <c r="AP35" i="64" s="1"/>
  <c r="AP37" i="64" s="1"/>
  <c r="CY52" i="7"/>
  <c r="CX53" i="7"/>
  <c r="CX52" i="7" s="1"/>
  <c r="AP185" i="120"/>
  <c r="AO18" i="120"/>
  <c r="V23" i="125"/>
  <c r="FP8" i="123"/>
  <c r="EM8" i="123"/>
  <c r="DC16" i="19"/>
  <c r="DB16" i="19"/>
  <c r="FV66" i="123"/>
  <c r="GF9" i="123"/>
  <c r="FT26" i="123"/>
  <c r="FM78" i="121"/>
  <c r="FK77" i="121"/>
  <c r="FK78" i="121" s="1"/>
  <c r="BM40" i="120"/>
  <c r="BN240" i="120"/>
  <c r="F89" i="118"/>
  <c r="F59" i="118"/>
  <c r="F79" i="118"/>
  <c r="F69" i="118"/>
  <c r="CS61" i="7" s="1"/>
  <c r="FP64" i="123"/>
  <c r="GB64" i="123" s="1"/>
  <c r="AC143" i="7"/>
  <c r="AS39" i="7"/>
  <c r="BU37" i="71"/>
  <c r="BW29" i="71"/>
  <c r="AF23" i="8"/>
  <c r="Y24" i="8"/>
  <c r="Y89" i="8"/>
  <c r="Z23" i="8"/>
  <c r="AA23" i="8" s="1"/>
  <c r="Y17" i="8"/>
  <c r="AJ23" i="8"/>
  <c r="AH83" i="7"/>
  <c r="AH82" i="7"/>
  <c r="AH85" i="7"/>
  <c r="AH80" i="7"/>
  <c r="X42" i="95"/>
  <c r="AB42" i="95"/>
  <c r="AR28" i="7"/>
  <c r="AS28" i="7" s="1"/>
  <c r="AR10" i="7"/>
  <c r="AS10" i="7" s="1"/>
  <c r="BC41" i="11"/>
  <c r="BB41" i="11"/>
  <c r="H80" i="7"/>
  <c r="N80" i="7"/>
  <c r="P28" i="21"/>
  <c r="O28" i="21"/>
  <c r="BM52" i="72"/>
  <c r="BL55" i="72"/>
  <c r="CR45" i="7"/>
  <c r="CS43" i="7"/>
  <c r="C10" i="73"/>
  <c r="D10" i="73" s="1"/>
  <c r="D9" i="73"/>
  <c r="BX151" i="7"/>
  <c r="BX64" i="7" s="1"/>
  <c r="BV79" i="7"/>
  <c r="H16" i="105"/>
  <c r="H21" i="105" s="1"/>
  <c r="H27" i="105" s="1"/>
  <c r="H36" i="105" s="1"/>
  <c r="M8" i="105"/>
  <c r="BK107" i="8"/>
  <c r="BJ106" i="8"/>
  <c r="BJ107" i="8" s="1"/>
  <c r="BO104" i="8"/>
  <c r="BO106" i="8"/>
  <c r="BO107" i="8" s="1"/>
  <c r="Q130" i="120"/>
  <c r="AG130" i="120"/>
  <c r="BO119" i="120"/>
  <c r="BO266" i="120"/>
  <c r="EA80" i="121"/>
  <c r="EJ80" i="121" s="1"/>
  <c r="EZ56" i="121"/>
  <c r="BT208" i="120"/>
  <c r="EZ60" i="121" s="1"/>
  <c r="BT224" i="120"/>
  <c r="BT226" i="120" s="1"/>
  <c r="BO57" i="120"/>
  <c r="CN57" i="120" s="1"/>
  <c r="AO57" i="120"/>
  <c r="AQ198" i="120"/>
  <c r="CP50" i="121" s="1"/>
  <c r="BV29" i="120"/>
  <c r="BW158" i="120"/>
  <c r="BW160" i="120" s="1"/>
  <c r="CG86" i="120"/>
  <c r="BI244" i="120"/>
  <c r="BL244" i="120" s="1"/>
  <c r="BL86" i="120"/>
  <c r="DK56" i="121"/>
  <c r="AZ208" i="120"/>
  <c r="DK60" i="121" s="1"/>
  <c r="DT60" i="121" s="1"/>
  <c r="AZ224" i="120"/>
  <c r="AZ226" i="120" s="1"/>
  <c r="CG74" i="120"/>
  <c r="BI241" i="120"/>
  <c r="O123" i="120"/>
  <c r="N123" i="120" s="1"/>
  <c r="L158" i="120"/>
  <c r="L160" i="120" s="1"/>
  <c r="K123" i="120"/>
  <c r="K158" i="120" s="1"/>
  <c r="BH200" i="122"/>
  <c r="CF200" i="122" s="1"/>
  <c r="AM200" i="122"/>
  <c r="ES78" i="121"/>
  <c r="ES89" i="121"/>
  <c r="K177" i="122"/>
  <c r="AL84" i="122"/>
  <c r="BG84" i="122"/>
  <c r="CE84" i="122" s="1"/>
  <c r="CH84" i="122" s="1"/>
  <c r="CH52" i="123"/>
  <c r="EG52" i="123" s="1"/>
  <c r="GF52" i="123" s="1"/>
  <c r="CY168" i="7"/>
  <c r="BG12" i="61"/>
  <c r="BD69" i="32"/>
  <c r="BF69" i="32" s="1"/>
  <c r="BD70" i="32"/>
  <c r="CB175" i="120"/>
  <c r="CB177" i="120" s="1"/>
  <c r="CB10" i="120"/>
  <c r="AD15" i="125" s="1"/>
  <c r="AD13" i="125"/>
  <c r="EM18" i="121"/>
  <c r="FO18" i="121"/>
  <c r="CC199" i="120"/>
  <c r="BE42" i="7"/>
  <c r="BF42" i="7" s="1"/>
  <c r="F36" i="133"/>
  <c r="F37" i="133" s="1"/>
  <c r="F38" i="133" s="1"/>
  <c r="BF206" i="120"/>
  <c r="BL206" i="120" s="1"/>
  <c r="DM50" i="19"/>
  <c r="AC59" i="123"/>
  <c r="CL103" i="122"/>
  <c r="BD71" i="122"/>
  <c r="EX11" i="121"/>
  <c r="EX12" i="121" s="1"/>
  <c r="EX13" i="121" s="1"/>
  <c r="EX10" i="121"/>
  <c r="V11" i="121"/>
  <c r="V12" i="121" s="1"/>
  <c r="V13" i="121" s="1"/>
  <c r="V10" i="121"/>
  <c r="CN40" i="120"/>
  <c r="EL64" i="123"/>
  <c r="AA55" i="126"/>
  <c r="GG37" i="121"/>
  <c r="BM111" i="120"/>
  <c r="T43" i="125"/>
  <c r="CM58" i="121"/>
  <c r="BD264" i="120"/>
  <c r="BJ264" i="120" s="1"/>
  <c r="BJ49" i="120"/>
  <c r="AQ34" i="7"/>
  <c r="AR34" i="7" s="1"/>
  <c r="AI41" i="7"/>
  <c r="AN40" i="7"/>
  <c r="AP41" i="7"/>
  <c r="AA35" i="7"/>
  <c r="AO40" i="7"/>
  <c r="AO41" i="7" s="1"/>
  <c r="BQ52" i="72"/>
  <c r="BX52" i="72" s="1"/>
  <c r="BG52" i="72"/>
  <c r="BD55" i="72"/>
  <c r="AO10" i="19"/>
  <c r="AP14" i="19"/>
  <c r="AQ14" i="19" s="1"/>
  <c r="AP109" i="8"/>
  <c r="AP110" i="8" s="1"/>
  <c r="AP107" i="8"/>
  <c r="BB55" i="9"/>
  <c r="BE55" i="9" s="1"/>
  <c r="BI61" i="9"/>
  <c r="BG55" i="9"/>
  <c r="CF34" i="17"/>
  <c r="CE34" i="17" s="1"/>
  <c r="CI34" i="17"/>
  <c r="CH34" i="17" s="1"/>
  <c r="AZ29" i="8"/>
  <c r="CC34" i="17"/>
  <c r="CB34" i="17" s="1"/>
  <c r="Y92" i="8"/>
  <c r="AF92" i="8" s="1"/>
  <c r="Z16" i="8"/>
  <c r="AF16" i="8"/>
  <c r="CF28" i="17"/>
  <c r="CE28" i="17" s="1"/>
  <c r="CC28" i="17"/>
  <c r="CB28" i="17" s="1"/>
  <c r="CI28" i="17"/>
  <c r="CH28" i="17" s="1"/>
  <c r="BD39" i="7"/>
  <c r="BB41" i="7"/>
  <c r="BB35" i="7" s="1"/>
  <c r="BB63" i="7" s="1"/>
  <c r="AZ40" i="7"/>
  <c r="AZ141" i="7" s="1"/>
  <c r="BB141" i="7"/>
  <c r="BB150" i="7" s="1"/>
  <c r="BM56" i="72"/>
  <c r="BL48" i="72" s="1"/>
  <c r="Y43" i="3"/>
  <c r="C9" i="87"/>
  <c r="B43" i="32"/>
  <c r="BD146" i="120"/>
  <c r="BK146" i="120"/>
  <c r="BE212" i="120"/>
  <c r="BK212" i="120" s="1"/>
  <c r="X52" i="66"/>
  <c r="Y37" i="66"/>
  <c r="T41" i="98"/>
  <c r="Z13" i="66" s="1"/>
  <c r="BV25" i="19"/>
  <c r="BV49" i="19" s="1"/>
  <c r="BS25" i="19"/>
  <c r="BS49" i="19" s="1"/>
  <c r="BU25" i="19"/>
  <c r="BU49" i="19" s="1"/>
  <c r="BT25" i="19"/>
  <c r="BT49" i="19" s="1"/>
  <c r="BR25" i="19"/>
  <c r="BR49" i="19" s="1"/>
  <c r="BQ25" i="19"/>
  <c r="BQ49" i="19" s="1"/>
  <c r="BP49" i="19"/>
  <c r="BQ109" i="8"/>
  <c r="BQ110" i="8" s="1"/>
  <c r="BQ107" i="8"/>
  <c r="BP106" i="8"/>
  <c r="D49" i="116"/>
  <c r="F12" i="116" s="1"/>
  <c r="AN62" i="121"/>
  <c r="N47" i="125"/>
  <c r="CD62" i="121"/>
  <c r="AJ23" i="64"/>
  <c r="AJ10" i="64"/>
  <c r="AJ35" i="64" s="1"/>
  <c r="AJ37" i="64" s="1"/>
  <c r="AO14" i="65"/>
  <c r="CM51" i="121"/>
  <c r="T36" i="125"/>
  <c r="BL133" i="120"/>
  <c r="AO248" i="120"/>
  <c r="AN16" i="65"/>
  <c r="CX122" i="8"/>
  <c r="AN239" i="120"/>
  <c r="FK67" i="123"/>
  <c r="BL56" i="121"/>
  <c r="BL76" i="121" s="1"/>
  <c r="AB208" i="120"/>
  <c r="BL60" i="121" s="1"/>
  <c r="BJ60" i="121" s="1"/>
  <c r="AB224" i="120"/>
  <c r="AB226" i="120" s="1"/>
  <c r="FA56" i="121"/>
  <c r="FA76" i="121" s="1"/>
  <c r="BU208" i="120"/>
  <c r="FA60" i="121" s="1"/>
  <c r="BU224" i="120"/>
  <c r="BU226" i="120" s="1"/>
  <c r="BV123" i="120"/>
  <c r="I208" i="120"/>
  <c r="O60" i="121" s="1"/>
  <c r="I224" i="120"/>
  <c r="I226" i="120" s="1"/>
  <c r="O56" i="121"/>
  <c r="CG95" i="122"/>
  <c r="BI152" i="122"/>
  <c r="BL95" i="122"/>
  <c r="AS56" i="121"/>
  <c r="U224" i="120"/>
  <c r="U226" i="120" s="1"/>
  <c r="U208" i="120"/>
  <c r="AS60" i="121" s="1"/>
  <c r="AR60" i="121" s="1"/>
  <c r="CG188" i="120"/>
  <c r="CJ21" i="120"/>
  <c r="CJ188" i="120" s="1"/>
  <c r="BI108" i="122"/>
  <c r="AN108" i="122"/>
  <c r="BQ77" i="121"/>
  <c r="BP14" i="121"/>
  <c r="CG18" i="121"/>
  <c r="AN18" i="121"/>
  <c r="CC111" i="122"/>
  <c r="DA93" i="8"/>
  <c r="BO61" i="122"/>
  <c r="BO205" i="122" s="1"/>
  <c r="AQ205" i="122"/>
  <c r="BF205" i="122" s="1"/>
  <c r="DK103" i="8"/>
  <c r="DK101" i="8"/>
  <c r="DG101" i="8"/>
  <c r="DG103" i="8"/>
  <c r="FF11" i="121"/>
  <c r="FF10" i="121"/>
  <c r="FE8" i="121"/>
  <c r="FE10" i="121" s="1"/>
  <c r="L11" i="121"/>
  <c r="L10" i="121"/>
  <c r="K8" i="121"/>
  <c r="K10" i="121" s="1"/>
  <c r="DG10" i="121"/>
  <c r="DG11" i="121"/>
  <c r="DF8" i="121"/>
  <c r="DF10" i="121" s="1"/>
  <c r="B62" i="124"/>
  <c r="CP62" i="123"/>
  <c r="DQ9" i="123"/>
  <c r="CN9" i="123"/>
  <c r="CN62" i="123" s="1"/>
  <c r="AZ62" i="123"/>
  <c r="B60" i="124"/>
  <c r="AX9" i="123"/>
  <c r="AX62" i="123" s="1"/>
  <c r="AQ62" i="123"/>
  <c r="B59" i="124"/>
  <c r="BR9" i="123"/>
  <c r="AO9" i="123"/>
  <c r="AO62" i="123" s="1"/>
  <c r="BP62" i="123" s="1"/>
  <c r="P53" i="126" s="1"/>
  <c r="AX11" i="123"/>
  <c r="EV11" i="123"/>
  <c r="T11" i="123"/>
  <c r="C210" i="120"/>
  <c r="C62" i="121" s="1"/>
  <c r="B144" i="120"/>
  <c r="R144" i="120"/>
  <c r="C143" i="120"/>
  <c r="AC13" i="125"/>
  <c r="BO10" i="120"/>
  <c r="AC15" i="125" s="1"/>
  <c r="BO175" i="120"/>
  <c r="BO177" i="120" s="1"/>
  <c r="BO11" i="120"/>
  <c r="CN134" i="120"/>
  <c r="AV17" i="8"/>
  <c r="AW24" i="8"/>
  <c r="AV25" i="8"/>
  <c r="AW25" i="8" s="1"/>
  <c r="AP44" i="120"/>
  <c r="BE44" i="120" s="1"/>
  <c r="AG245" i="120"/>
  <c r="AM245" i="120" s="1"/>
  <c r="AF44" i="120"/>
  <c r="AM44" i="120"/>
  <c r="AM55" i="72"/>
  <c r="AP55" i="72" s="1"/>
  <c r="AN52" i="72"/>
  <c r="AP52" i="72"/>
  <c r="BD31" i="7"/>
  <c r="CI27" i="17"/>
  <c r="CH27" i="17" s="1"/>
  <c r="CF27" i="17"/>
  <c r="CE27" i="17" s="1"/>
  <c r="CC27" i="17"/>
  <c r="CB27" i="17" s="1"/>
  <c r="BC12" i="5"/>
  <c r="BC11" i="5" s="1"/>
  <c r="BC46" i="5" s="1"/>
  <c r="BC47" i="5" s="1"/>
  <c r="AX12" i="5"/>
  <c r="BD23" i="7"/>
  <c r="BE23" i="7" s="1"/>
  <c r="BE24" i="7" s="1"/>
  <c r="BD24" i="7" s="1"/>
  <c r="CI26" i="17"/>
  <c r="CH26" i="17" s="1"/>
  <c r="CC26" i="17"/>
  <c r="CB26" i="17" s="1"/>
  <c r="CF26" i="17"/>
  <c r="CE26" i="17" s="1"/>
  <c r="W26" i="71"/>
  <c r="U26" i="71"/>
  <c r="BC26" i="71"/>
  <c r="AX26" i="71"/>
  <c r="AT26" i="71"/>
  <c r="V26" i="71"/>
  <c r="AJ42" i="3"/>
  <c r="CB58" i="72"/>
  <c r="CA50" i="72" s="1"/>
  <c r="CB50" i="72" s="1"/>
  <c r="B7" i="77" s="1"/>
  <c r="C7" i="77" s="1"/>
  <c r="BF103" i="120"/>
  <c r="BL103" i="120" s="1"/>
  <c r="U81" i="10"/>
  <c r="AB85" i="10" s="1"/>
  <c r="AB87" i="10" s="1"/>
  <c r="K30" i="105" s="1"/>
  <c r="J10" i="79"/>
  <c r="J9" i="79" s="1"/>
  <c r="J6" i="79" s="1"/>
  <c r="H31" i="61"/>
  <c r="C24" i="85"/>
  <c r="F7" i="116"/>
  <c r="P63" i="68"/>
  <c r="N65" i="68"/>
  <c r="BO243" i="120"/>
  <c r="BD133" i="120"/>
  <c r="BF139" i="120"/>
  <c r="BL139" i="120" s="1"/>
  <c r="AQ130" i="120"/>
  <c r="BG78" i="120"/>
  <c r="AL78" i="120"/>
  <c r="AI246" i="120"/>
  <c r="AL246" i="120" s="1"/>
  <c r="CG91" i="120"/>
  <c r="BL91" i="120"/>
  <c r="BI262" i="120"/>
  <c r="BG103" i="120"/>
  <c r="AI201" i="120"/>
  <c r="AK106" i="120"/>
  <c r="N106" i="120"/>
  <c r="AK123" i="120"/>
  <c r="AI11" i="95"/>
  <c r="AI16" i="95" s="1"/>
  <c r="AI21" i="95" s="1"/>
  <c r="AU65" i="32"/>
  <c r="Y43" i="123"/>
  <c r="Y61" i="123" s="1"/>
  <c r="M163" i="122"/>
  <c r="Y47" i="123" s="1"/>
  <c r="W47" i="123" s="1"/>
  <c r="M177" i="122"/>
  <c r="M179" i="122" s="1"/>
  <c r="EG23" i="123"/>
  <c r="CH29" i="123"/>
  <c r="EG41" i="123"/>
  <c r="CH42" i="123"/>
  <c r="DX80" i="121"/>
  <c r="BI186" i="120"/>
  <c r="CG19" i="120"/>
  <c r="BL19" i="120"/>
  <c r="BC159" i="122"/>
  <c r="BI49" i="122"/>
  <c r="BC40" i="122"/>
  <c r="BE22" i="61"/>
  <c r="CV175" i="7"/>
  <c r="BO73" i="122"/>
  <c r="BO221" i="122" s="1"/>
  <c r="AQ221" i="122"/>
  <c r="BF221" i="122" s="1"/>
  <c r="BL221" i="122" s="1"/>
  <c r="C95" i="122"/>
  <c r="CB95" i="122"/>
  <c r="DB27" i="19"/>
  <c r="CX50" i="19"/>
  <c r="CP50" i="19"/>
  <c r="CB143" i="120"/>
  <c r="CB209" i="120" s="1"/>
  <c r="AG13" i="122"/>
  <c r="AM13" i="122" s="1"/>
  <c r="AL13" i="122" s="1"/>
  <c r="B13" i="122"/>
  <c r="CL13" i="122" s="1"/>
  <c r="G36" i="132"/>
  <c r="FV63" i="123"/>
  <c r="CI43" i="122"/>
  <c r="K16" i="129"/>
  <c r="K17" i="129" s="1"/>
  <c r="K22" i="129" s="1"/>
  <c r="CH89" i="121"/>
  <c r="N42" i="125"/>
  <c r="AN57" i="121"/>
  <c r="CD57" i="121"/>
  <c r="AL49" i="19"/>
  <c r="AP242" i="120"/>
  <c r="BN42" i="120"/>
  <c r="AO42" i="120"/>
  <c r="AK8" i="71"/>
  <c r="AH8" i="71"/>
  <c r="AI8" i="71" s="1"/>
  <c r="AR36" i="7"/>
  <c r="AS36" i="7" s="1"/>
  <c r="K13" i="87"/>
  <c r="CS55" i="72"/>
  <c r="CQ55" i="72" s="1"/>
  <c r="CN103" i="120"/>
  <c r="K50" i="121"/>
  <c r="V50" i="121"/>
  <c r="BR49" i="121"/>
  <c r="AZ53" i="121"/>
  <c r="BI53" i="121" s="1"/>
  <c r="J22" i="85"/>
  <c r="I23" i="85"/>
  <c r="J23" i="85" s="1"/>
  <c r="BT88" i="8"/>
  <c r="CK168" i="7"/>
  <c r="CK150" i="7"/>
  <c r="O21" i="102"/>
  <c r="P7" i="102"/>
  <c r="CM131" i="120"/>
  <c r="CP53" i="7"/>
  <c r="W10" i="104"/>
  <c r="W14" i="104" s="1"/>
  <c r="Y56" i="126"/>
  <c r="EJ65" i="123"/>
  <c r="W65" i="125"/>
  <c r="DZ80" i="121"/>
  <c r="EC80" i="121"/>
  <c r="BI50" i="120"/>
  <c r="AN50" i="120"/>
  <c r="H53" i="120"/>
  <c r="J158" i="120"/>
  <c r="J160" i="120" s="1"/>
  <c r="ER76" i="121"/>
  <c r="AN156" i="120"/>
  <c r="AQ156" i="120"/>
  <c r="BF156" i="120" s="1"/>
  <c r="AF156" i="120"/>
  <c r="AF222" i="120" s="1"/>
  <c r="AH222" i="120"/>
  <c r="AN222" i="120" s="1"/>
  <c r="CA204" i="120"/>
  <c r="CD69" i="121"/>
  <c r="N54" i="125"/>
  <c r="AN69" i="121"/>
  <c r="AM210" i="122"/>
  <c r="BH210" i="122"/>
  <c r="E29" i="120"/>
  <c r="G158" i="120"/>
  <c r="EB16" i="123"/>
  <c r="EA16" i="123" s="1"/>
  <c r="CB16" i="123"/>
  <c r="AM183" i="120"/>
  <c r="AL16" i="120"/>
  <c r="AL183" i="120" s="1"/>
  <c r="R21" i="125"/>
  <c r="AF183" i="120"/>
  <c r="EG76" i="121"/>
  <c r="AK101" i="122"/>
  <c r="BI101" i="122" s="1"/>
  <c r="CG101" i="122" s="1"/>
  <c r="CJ101" i="122" s="1"/>
  <c r="AH149" i="120"/>
  <c r="C124" i="120"/>
  <c r="CB124" i="120"/>
  <c r="CH124" i="120" s="1"/>
  <c r="B126" i="120"/>
  <c r="R126" i="120"/>
  <c r="Q126" i="120" s="1"/>
  <c r="DC9" i="19"/>
  <c r="R185" i="120"/>
  <c r="Q18" i="120"/>
  <c r="P23" i="125"/>
  <c r="AB23" i="125"/>
  <c r="BN185" i="120"/>
  <c r="BM18" i="120"/>
  <c r="S46" i="122"/>
  <c r="S156" i="122" s="1"/>
  <c r="AQ40" i="123" s="1"/>
  <c r="D156" i="122"/>
  <c r="D40" i="123" s="1"/>
  <c r="B123" i="122"/>
  <c r="R123" i="122"/>
  <c r="C176" i="122"/>
  <c r="C60" i="123" s="1"/>
  <c r="FM13" i="121"/>
  <c r="FK12" i="121"/>
  <c r="FK13" i="121" s="1"/>
  <c r="DY59" i="121"/>
  <c r="Z123" i="120"/>
  <c r="DZ64" i="123"/>
  <c r="X55" i="126"/>
  <c r="F37" i="116"/>
  <c r="G38" i="116" s="1"/>
  <c r="X61" i="123"/>
  <c r="AP251" i="120"/>
  <c r="BN112" i="120"/>
  <c r="CM112" i="120" s="1"/>
  <c r="AO112" i="120"/>
  <c r="AB143" i="7"/>
  <c r="BR65" i="121"/>
  <c r="AF14" i="19"/>
  <c r="AE14" i="19"/>
  <c r="AD10" i="19"/>
  <c r="AM14" i="19"/>
  <c r="R23" i="7"/>
  <c r="S23" i="7"/>
  <c r="T23" i="7"/>
  <c r="Z23" i="7"/>
  <c r="Q24" i="7"/>
  <c r="AT26" i="6"/>
  <c r="AT25" i="6" s="1"/>
  <c r="AT45" i="6" s="1"/>
  <c r="AT46" i="6" s="1"/>
  <c r="AP25" i="6"/>
  <c r="U55" i="72"/>
  <c r="T55" i="72"/>
  <c r="J28" i="21"/>
  <c r="J32" i="21" s="1"/>
  <c r="K28" i="21"/>
  <c r="L12" i="87"/>
  <c r="B49" i="32"/>
  <c r="D49" i="32" s="1"/>
  <c r="G12" i="87"/>
  <c r="G11" i="87" s="1"/>
  <c r="G10" i="87" s="1"/>
  <c r="Z23" i="95"/>
  <c r="Y25" i="95"/>
  <c r="F9" i="81"/>
  <c r="I9" i="81" s="1"/>
  <c r="F10" i="81"/>
  <c r="I10" i="81" s="1"/>
  <c r="F11" i="81"/>
  <c r="I11" i="81" s="1"/>
  <c r="F12" i="81"/>
  <c r="I12" i="81" s="1"/>
  <c r="F13" i="81"/>
  <c r="I13" i="81" s="1"/>
  <c r="F7" i="81"/>
  <c r="I7" i="81" s="1"/>
  <c r="A30" i="89"/>
  <c r="A28" i="89" s="1"/>
  <c r="BI85" i="7"/>
  <c r="BI86" i="7" s="1"/>
  <c r="BI82" i="7"/>
  <c r="BI80" i="7"/>
  <c r="BI83" i="7"/>
  <c r="N35" i="105"/>
  <c r="T11" i="95"/>
  <c r="AK23" i="64"/>
  <c r="AK10" i="64"/>
  <c r="AK35" i="64" s="1"/>
  <c r="AK37" i="64" s="1"/>
  <c r="BF201" i="120"/>
  <c r="BL34" i="120"/>
  <c r="J48" i="68"/>
  <c r="J49" i="68"/>
  <c r="J47" i="68"/>
  <c r="J46" i="68"/>
  <c r="BO31" i="120"/>
  <c r="BO197" i="120" s="1"/>
  <c r="EO49" i="121" s="1"/>
  <c r="AQ197" i="120"/>
  <c r="CP49" i="121" s="1"/>
  <c r="BN211" i="120"/>
  <c r="EN63" i="121" s="1"/>
  <c r="G14" i="105"/>
  <c r="H7" i="105"/>
  <c r="AD12" i="98"/>
  <c r="AD9" i="98" s="1"/>
  <c r="CM100" i="8"/>
  <c r="AG36" i="66"/>
  <c r="BD62" i="3"/>
  <c r="CN133" i="120"/>
  <c r="C76" i="122"/>
  <c r="CB76" i="122"/>
  <c r="CH76" i="122" s="1"/>
  <c r="CN119" i="120"/>
  <c r="BF119" i="120"/>
  <c r="BL119" i="120" s="1"/>
  <c r="AQ106" i="120"/>
  <c r="AM56" i="122"/>
  <c r="BH56" i="122"/>
  <c r="CF56" i="122" s="1"/>
  <c r="CI56" i="122" s="1"/>
  <c r="BY130" i="120"/>
  <c r="CE38" i="120"/>
  <c r="CG198" i="120"/>
  <c r="CJ198" i="120" s="1"/>
  <c r="CJ102" i="120"/>
  <c r="C77" i="121"/>
  <c r="B77" i="121" s="1"/>
  <c r="GM77" i="121" s="1"/>
  <c r="B5" i="124"/>
  <c r="B14" i="121"/>
  <c r="GM14" i="121" s="1"/>
  <c r="CF33" i="120"/>
  <c r="CI33" i="120" s="1"/>
  <c r="AZ158" i="120"/>
  <c r="AX29" i="120"/>
  <c r="N130" i="120"/>
  <c r="O204" i="120"/>
  <c r="CG139" i="120"/>
  <c r="CJ139" i="120" s="1"/>
  <c r="EL24" i="123"/>
  <c r="GB24" i="123"/>
  <c r="CB19" i="121"/>
  <c r="EB19" i="121"/>
  <c r="EA19" i="121" s="1"/>
  <c r="CL19" i="121"/>
  <c r="CK19" i="121" s="1"/>
  <c r="BD19" i="120"/>
  <c r="Y24" i="125"/>
  <c r="BE186" i="120"/>
  <c r="L86" i="68"/>
  <c r="CG55" i="122"/>
  <c r="CJ55" i="122" s="1"/>
  <c r="BL55" i="122"/>
  <c r="CC166" i="122"/>
  <c r="CI166" i="122" s="1"/>
  <c r="CI113" i="122"/>
  <c r="C113" i="122"/>
  <c r="CB113" i="122"/>
  <c r="CB166" i="122" s="1"/>
  <c r="CV125" i="8"/>
  <c r="AK12" i="66"/>
  <c r="AK11" i="66" s="1"/>
  <c r="AK10" i="66" s="1"/>
  <c r="AK35" i="66" s="1"/>
  <c r="AK38" i="66" s="1"/>
  <c r="B67" i="120"/>
  <c r="R67" i="120"/>
  <c r="Q67" i="120" s="1"/>
  <c r="DU74" i="123"/>
  <c r="DU63" i="123"/>
  <c r="C80" i="122"/>
  <c r="CB80" i="122"/>
  <c r="CH80" i="122" s="1"/>
  <c r="DF155" i="7"/>
  <c r="DF157" i="7"/>
  <c r="M13" i="125"/>
  <c r="C10" i="120"/>
  <c r="M15" i="125" s="1"/>
  <c r="C11" i="120"/>
  <c r="C175" i="120"/>
  <c r="C177" i="120" s="1"/>
  <c r="AG8" i="120"/>
  <c r="B8" i="120"/>
  <c r="CC12" i="120"/>
  <c r="AE16" i="125"/>
  <c r="CC178" i="120"/>
  <c r="CB11" i="120"/>
  <c r="BQ18" i="121"/>
  <c r="BP18" i="121" s="1"/>
  <c r="AO18" i="121"/>
  <c r="DP18" i="121"/>
  <c r="DO18" i="121" s="1"/>
  <c r="CN18" i="121"/>
  <c r="CV9" i="7"/>
  <c r="AJ18" i="95"/>
  <c r="AJ28" i="95" s="1"/>
  <c r="R114" i="122"/>
  <c r="AG114" i="122" s="1"/>
  <c r="C167" i="122"/>
  <c r="C51" i="123" s="1"/>
  <c r="B114" i="122"/>
  <c r="S121" i="122"/>
  <c r="AH121" i="122" s="1"/>
  <c r="D115" i="122"/>
  <c r="D174" i="122"/>
  <c r="D58" i="123" s="1"/>
  <c r="M58" i="123" s="1"/>
  <c r="V58" i="123" s="1"/>
  <c r="AE58" i="123" s="1"/>
  <c r="BM77" i="121"/>
  <c r="BO78" i="121"/>
  <c r="BO84" i="121"/>
  <c r="BL210" i="122"/>
  <c r="N15" i="65"/>
  <c r="I13" i="65"/>
  <c r="BE16" i="7"/>
  <c r="BF16" i="7"/>
  <c r="BD143" i="7"/>
  <c r="BE34" i="7"/>
  <c r="BF34" i="7" s="1"/>
  <c r="AR101" i="8"/>
  <c r="AR106" i="8"/>
  <c r="AR10" i="65"/>
  <c r="AR9" i="65" s="1"/>
  <c r="AR35" i="65" s="1"/>
  <c r="AR38" i="65" s="1"/>
  <c r="DJ106" i="8"/>
  <c r="DJ104" i="8"/>
  <c r="DI103" i="8"/>
  <c r="DI104" i="8" s="1"/>
  <c r="CK16" i="121"/>
  <c r="CK20" i="121"/>
  <c r="CH31" i="120"/>
  <c r="EO10" i="121"/>
  <c r="EO11" i="121"/>
  <c r="EO12" i="121" s="1"/>
  <c r="EO13" i="121" s="1"/>
  <c r="FP8" i="121"/>
  <c r="M11" i="121"/>
  <c r="M12" i="121" s="1"/>
  <c r="M13" i="121" s="1"/>
  <c r="M10" i="121"/>
  <c r="BR8" i="121"/>
  <c r="AQ11" i="121"/>
  <c r="AQ12" i="121" s="1"/>
  <c r="AQ13" i="121" s="1"/>
  <c r="AQ10" i="121"/>
  <c r="AZ10" i="121"/>
  <c r="AZ11" i="121"/>
  <c r="AZ12" i="121" s="1"/>
  <c r="AZ13" i="121" s="1"/>
  <c r="CL111" i="120"/>
  <c r="CL109" i="122"/>
  <c r="AP54" i="9"/>
  <c r="AN54" i="9"/>
  <c r="Z41" i="7"/>
  <c r="Q35" i="7"/>
  <c r="AC46" i="5"/>
  <c r="AB47" i="5"/>
  <c r="AT158" i="7"/>
  <c r="AT160" i="7"/>
  <c r="AT161" i="7" s="1"/>
  <c r="N5" i="68"/>
  <c r="L8" i="68"/>
  <c r="BU35" i="71"/>
  <c r="BU24" i="71"/>
  <c r="O16" i="65"/>
  <c r="O13" i="65" s="1"/>
  <c r="Q16" i="65"/>
  <c r="F14" i="77"/>
  <c r="K13" i="65"/>
  <c r="BB9" i="8"/>
  <c r="AZ86" i="8"/>
  <c r="F32" i="21"/>
  <c r="R39" i="8"/>
  <c r="R40" i="8" s="1"/>
  <c r="P40" i="8"/>
  <c r="Q39" i="8"/>
  <c r="Q40" i="8" s="1"/>
  <c r="C17" i="92"/>
  <c r="E35" i="86" s="1"/>
  <c r="E39" i="86" s="1"/>
  <c r="G19" i="87" s="1"/>
  <c r="G17" i="87" s="1"/>
  <c r="E26" i="86"/>
  <c r="E30" i="86" s="1"/>
  <c r="F19" i="87" s="1"/>
  <c r="CG175" i="7"/>
  <c r="AX22" i="61"/>
  <c r="BD22" i="61" s="1"/>
  <c r="AF212" i="120"/>
  <c r="AL212" i="120" s="1"/>
  <c r="AL146" i="120"/>
  <c r="M46" i="78"/>
  <c r="AN36" i="123"/>
  <c r="CD36" i="123"/>
  <c r="O27" i="126"/>
  <c r="S19" i="104"/>
  <c r="CA53" i="7"/>
  <c r="T66" i="121"/>
  <c r="AD66" i="121"/>
  <c r="E35" i="96"/>
  <c r="E15" i="96"/>
  <c r="E10" i="96"/>
  <c r="E30" i="96"/>
  <c r="I30" i="96" s="1"/>
  <c r="E25" i="96"/>
  <c r="I25" i="96" s="1"/>
  <c r="E20" i="96"/>
  <c r="U22" i="98"/>
  <c r="Z18" i="98"/>
  <c r="Z22" i="98" s="1"/>
  <c r="V18" i="98"/>
  <c r="N38" i="125"/>
  <c r="AN53" i="121"/>
  <c r="H52" i="68"/>
  <c r="CN126" i="120"/>
  <c r="M48" i="125"/>
  <c r="AM63" i="121"/>
  <c r="AI16" i="65"/>
  <c r="CL122" i="8"/>
  <c r="EX57" i="121"/>
  <c r="FG57" i="121" s="1"/>
  <c r="CM133" i="120"/>
  <c r="BN248" i="120"/>
  <c r="BM77" i="120"/>
  <c r="BM248" i="120" s="1"/>
  <c r="CM77" i="120"/>
  <c r="BO115" i="120"/>
  <c r="CN115" i="120" s="1"/>
  <c r="AQ254" i="120"/>
  <c r="BO132" i="120"/>
  <c r="BM132" i="120" s="1"/>
  <c r="AO132" i="120"/>
  <c r="BS99" i="120"/>
  <c r="BS158" i="120" s="1"/>
  <c r="CA99" i="120"/>
  <c r="BU158" i="120"/>
  <c r="CF61" i="121"/>
  <c r="BG86" i="120"/>
  <c r="AI244" i="120"/>
  <c r="AL244" i="120" s="1"/>
  <c r="AL86" i="120"/>
  <c r="H208" i="120"/>
  <c r="H224" i="120"/>
  <c r="CG120" i="120"/>
  <c r="BI266" i="120"/>
  <c r="BL120" i="120"/>
  <c r="FJ56" i="121"/>
  <c r="FJ76" i="121" s="1"/>
  <c r="BX224" i="120"/>
  <c r="BX226" i="120" s="1"/>
  <c r="BX208" i="120"/>
  <c r="FJ60" i="121" s="1"/>
  <c r="GF76" i="121"/>
  <c r="GE21" i="121"/>
  <c r="GK21" i="121" s="1"/>
  <c r="EL21" i="121"/>
  <c r="EC12" i="123"/>
  <c r="EC30" i="123" s="1"/>
  <c r="U19" i="126"/>
  <c r="CB12" i="123"/>
  <c r="S19" i="126" s="1"/>
  <c r="AP72" i="122"/>
  <c r="AF72" i="122"/>
  <c r="AL72" i="122" s="1"/>
  <c r="AM220" i="122"/>
  <c r="CI112" i="122"/>
  <c r="CC165" i="122"/>
  <c r="CI165" i="122" s="1"/>
  <c r="C112" i="122"/>
  <c r="CB112" i="122"/>
  <c r="CB165" i="122" s="1"/>
  <c r="BL40" i="3"/>
  <c r="AI33" i="95"/>
  <c r="BL48" i="3"/>
  <c r="DC145" i="7"/>
  <c r="DC63" i="7"/>
  <c r="DC65" i="7" s="1"/>
  <c r="DA58" i="7"/>
  <c r="DA145" i="7" s="1"/>
  <c r="C69" i="120"/>
  <c r="B70" i="120"/>
  <c r="R70" i="120"/>
  <c r="AG70" i="120" s="1"/>
  <c r="EW10" i="121"/>
  <c r="EW11" i="121"/>
  <c r="EV8" i="121"/>
  <c r="EV10" i="121" s="1"/>
  <c r="CX10" i="121"/>
  <c r="CX11" i="121"/>
  <c r="CW8" i="121"/>
  <c r="CW10" i="121" s="1"/>
  <c r="U10" i="121"/>
  <c r="U11" i="121"/>
  <c r="T8" i="121"/>
  <c r="T10" i="121" s="1"/>
  <c r="B65" i="124"/>
  <c r="EO62" i="123"/>
  <c r="FP62" i="123" s="1"/>
  <c r="AD53" i="126" s="1"/>
  <c r="FP9" i="123"/>
  <c r="EM9" i="123"/>
  <c r="EM62" i="123" s="1"/>
  <c r="FN62" i="123" s="1"/>
  <c r="AB53" i="126" s="1"/>
  <c r="B58" i="124"/>
  <c r="V62" i="123"/>
  <c r="T9" i="123"/>
  <c r="T62" i="123" s="1"/>
  <c r="DH62" i="123"/>
  <c r="B64" i="124"/>
  <c r="DF9" i="123"/>
  <c r="DF62" i="123" s="1"/>
  <c r="AO11" i="123"/>
  <c r="BR11" i="123"/>
  <c r="EM11" i="123"/>
  <c r="FP11" i="123"/>
  <c r="DF11" i="123"/>
  <c r="BG11" i="123"/>
  <c r="AC64" i="125"/>
  <c r="FY79" i="121"/>
  <c r="BQ59" i="121"/>
  <c r="CI32" i="17"/>
  <c r="CF32" i="17"/>
  <c r="CC32" i="17"/>
  <c r="AZ13" i="8"/>
  <c r="BS31" i="17"/>
  <c r="BR31" i="17" s="1"/>
  <c r="BS24" i="17"/>
  <c r="CI25" i="17"/>
  <c r="CF25" i="17"/>
  <c r="BD13" i="7"/>
  <c r="CC25" i="17"/>
  <c r="AM51" i="5"/>
  <c r="AM49" i="5"/>
  <c r="AM48" i="5"/>
  <c r="AM50" i="5"/>
  <c r="AM54" i="7"/>
  <c r="BA54" i="7"/>
  <c r="P32" i="21"/>
  <c r="AD64" i="121"/>
  <c r="K11" i="82"/>
  <c r="N11" i="82" s="1"/>
  <c r="P11" i="82"/>
  <c r="AC37" i="95"/>
  <c r="AB41" i="95"/>
  <c r="AB46" i="95" s="1"/>
  <c r="T49" i="125"/>
  <c r="CM64" i="121"/>
  <c r="P12" i="82"/>
  <c r="M16" i="82"/>
  <c r="CJ58" i="72"/>
  <c r="CI50" i="72" s="1"/>
  <c r="CJ50" i="72" s="1"/>
  <c r="AP40" i="3"/>
  <c r="AP39" i="3" s="1"/>
  <c r="AO48" i="3"/>
  <c r="J36" i="98"/>
  <c r="J34" i="98" s="1"/>
  <c r="J29" i="98"/>
  <c r="BB47" i="3"/>
  <c r="BB45" i="3" s="1"/>
  <c r="BB44" i="3" s="1"/>
  <c r="AZ48" i="3"/>
  <c r="BB48" i="3" s="1"/>
  <c r="K66" i="32"/>
  <c r="AZ45" i="3"/>
  <c r="AZ44" i="3" s="1"/>
  <c r="L67" i="68"/>
  <c r="L66" i="68"/>
  <c r="L71" i="68" s="1"/>
  <c r="L68" i="68"/>
  <c r="L69" i="68"/>
  <c r="O20" i="96"/>
  <c r="O10" i="96"/>
  <c r="O30" i="96"/>
  <c r="O25" i="96"/>
  <c r="O35" i="96"/>
  <c r="O15" i="96"/>
  <c r="AO140" i="120"/>
  <c r="AP139" i="120"/>
  <c r="BN140" i="120"/>
  <c r="CM140" i="120" s="1"/>
  <c r="AP266" i="120"/>
  <c r="BD248" i="120"/>
  <c r="BJ77" i="120"/>
  <c r="BN257" i="120"/>
  <c r="S208" i="120"/>
  <c r="AQ60" i="121" s="1"/>
  <c r="AQ56" i="121"/>
  <c r="U56" i="126"/>
  <c r="EC65" i="123"/>
  <c r="CM65" i="123"/>
  <c r="V74" i="121"/>
  <c r="T74" i="121" s="1"/>
  <c r="K74" i="121"/>
  <c r="AC74" i="121" s="1"/>
  <c r="CG79" i="120"/>
  <c r="BL79" i="120"/>
  <c r="BI245" i="120"/>
  <c r="BL245" i="120" s="1"/>
  <c r="BU56" i="121"/>
  <c r="AT76" i="121"/>
  <c r="AK181" i="120"/>
  <c r="AK225" i="120" s="1"/>
  <c r="AN225" i="120" s="1"/>
  <c r="AK12" i="120"/>
  <c r="P159" i="122"/>
  <c r="N101" i="122"/>
  <c r="AI101" i="122" s="1"/>
  <c r="BG101" i="122" s="1"/>
  <c r="CE101" i="122" s="1"/>
  <c r="AQ155" i="120"/>
  <c r="AQ149" i="120" s="1"/>
  <c r="AH221" i="120"/>
  <c r="AN221" i="120" s="1"/>
  <c r="AN155" i="120"/>
  <c r="Q55" i="125"/>
  <c r="CD70" i="121"/>
  <c r="BO82" i="122"/>
  <c r="BM82" i="122" s="1"/>
  <c r="AO82" i="122"/>
  <c r="CL82" i="122" s="1"/>
  <c r="BO71" i="122"/>
  <c r="BO70" i="122" s="1"/>
  <c r="AQ70" i="122"/>
  <c r="BF70" i="122" s="1"/>
  <c r="CU138" i="7"/>
  <c r="CV104" i="8"/>
  <c r="CV106" i="8"/>
  <c r="BO69" i="122"/>
  <c r="BS43" i="3"/>
  <c r="BS39" i="3"/>
  <c r="S7" i="96" s="1"/>
  <c r="AL10" i="95"/>
  <c r="AL8" i="95" s="1"/>
  <c r="AL12" i="95" s="1"/>
  <c r="CZ8" i="19"/>
  <c r="CZ33" i="19"/>
  <c r="CZ46" i="19"/>
  <c r="CZ47" i="19"/>
  <c r="CZ24" i="19"/>
  <c r="CZ25" i="19"/>
  <c r="CZ26" i="19"/>
  <c r="CZ48" i="19"/>
  <c r="CZ20" i="19"/>
  <c r="CZ19" i="19"/>
  <c r="CZ31" i="19"/>
  <c r="CZ18" i="19"/>
  <c r="CZ21" i="19"/>
  <c r="CZ15" i="19"/>
  <c r="CZ23" i="19"/>
  <c r="CZ35" i="19"/>
  <c r="CZ29" i="19"/>
  <c r="CZ44" i="19"/>
  <c r="CZ30" i="19"/>
  <c r="CZ39" i="19"/>
  <c r="CZ28" i="19"/>
  <c r="CZ37" i="19"/>
  <c r="CZ42" i="19"/>
  <c r="CZ34" i="19"/>
  <c r="CZ22" i="19"/>
  <c r="CZ38" i="19"/>
  <c r="CZ40" i="19"/>
  <c r="CZ43" i="19"/>
  <c r="CZ45" i="19"/>
  <c r="CZ36" i="19"/>
  <c r="CZ32" i="19"/>
  <c r="CZ17" i="19"/>
  <c r="CX56" i="8" s="1"/>
  <c r="CZ41" i="19"/>
  <c r="H77" i="121"/>
  <c r="H78" i="121" s="1"/>
  <c r="I78" i="121"/>
  <c r="CV13" i="121"/>
  <c r="CT12" i="121"/>
  <c r="CT13" i="121" s="1"/>
  <c r="BD115" i="120"/>
  <c r="BC14" i="8"/>
  <c r="AV8" i="8"/>
  <c r="AN52" i="7"/>
  <c r="BB43" i="11"/>
  <c r="BC43" i="11"/>
  <c r="AF80" i="7"/>
  <c r="AF83" i="7" s="1"/>
  <c r="AF85" i="7"/>
  <c r="AF82" i="7"/>
  <c r="D36" i="63"/>
  <c r="D38" i="63"/>
  <c r="AX11" i="5"/>
  <c r="AX46" i="5" s="1"/>
  <c r="AX47" i="5" s="1"/>
  <c r="EA29" i="121"/>
  <c r="CB39" i="121"/>
  <c r="CK29" i="121"/>
  <c r="P20" i="72"/>
  <c r="AP20" i="72" s="1"/>
  <c r="AN57" i="72" s="1"/>
  <c r="P21" i="72"/>
  <c r="P22" i="72" s="1"/>
  <c r="AP22" i="72" s="1"/>
  <c r="AN59" i="72" s="1"/>
  <c r="AG83" i="7"/>
  <c r="AG85" i="7"/>
  <c r="AG86" i="7" s="1"/>
  <c r="AG80" i="7"/>
  <c r="AG82" i="7"/>
  <c r="CI35" i="17"/>
  <c r="CH35" i="17" s="1"/>
  <c r="AZ38" i="8"/>
  <c r="CC35" i="17"/>
  <c r="CB35" i="17" s="1"/>
  <c r="CF35" i="17"/>
  <c r="CE35" i="17" s="1"/>
  <c r="BU86" i="8"/>
  <c r="J38" i="98"/>
  <c r="Z64" i="32"/>
  <c r="Y64" i="32"/>
  <c r="AN46" i="65"/>
  <c r="AN50" i="65"/>
  <c r="CI145" i="7"/>
  <c r="Y27" i="98"/>
  <c r="Z12" i="98"/>
  <c r="Z27" i="98" s="1"/>
  <c r="Z32" i="98" s="1"/>
  <c r="Z37" i="98" s="1"/>
  <c r="AC12" i="98"/>
  <c r="AC27" i="98" s="1"/>
  <c r="AB12" i="98"/>
  <c r="AB27" i="98" s="1"/>
  <c r="AB32" i="98" s="1"/>
  <c r="AA12" i="98"/>
  <c r="AA27" i="98" s="1"/>
  <c r="AA32" i="98" s="1"/>
  <c r="BM125" i="120"/>
  <c r="CL125" i="120" s="1"/>
  <c r="BN198" i="120"/>
  <c r="EN50" i="121" s="1"/>
  <c r="BF266" i="120"/>
  <c r="BL114" i="120"/>
  <c r="BF253" i="120"/>
  <c r="BL253" i="120" s="1"/>
  <c r="BD114" i="120"/>
  <c r="BD253" i="120" s="1"/>
  <c r="CE102" i="120"/>
  <c r="CH102" i="120" s="1"/>
  <c r="BJ102" i="120"/>
  <c r="P29" i="120"/>
  <c r="AK37" i="120"/>
  <c r="P204" i="120"/>
  <c r="N37" i="120"/>
  <c r="AZ74" i="121"/>
  <c r="AO74" i="121"/>
  <c r="P53" i="120"/>
  <c r="E53" i="120"/>
  <c r="AM87" i="122"/>
  <c r="BH87" i="122"/>
  <c r="C34" i="124"/>
  <c r="S19" i="125"/>
  <c r="E14" i="127" s="1"/>
  <c r="E13" i="127" s="1"/>
  <c r="AG181" i="120"/>
  <c r="AG225" i="120" s="1"/>
  <c r="AF14" i="120"/>
  <c r="BF220" i="120"/>
  <c r="BL220" i="120" s="1"/>
  <c r="BL154" i="120"/>
  <c r="AU89" i="121"/>
  <c r="AU78" i="121"/>
  <c r="T56" i="125"/>
  <c r="CM71" i="121"/>
  <c r="CX121" i="8"/>
  <c r="AN15" i="65"/>
  <c r="AE94" i="122"/>
  <c r="Z94" i="122"/>
  <c r="M67" i="121"/>
  <c r="V67" i="121" s="1"/>
  <c r="AE67" i="121"/>
  <c r="T30" i="96"/>
  <c r="T20" i="96"/>
  <c r="T25" i="96"/>
  <c r="T35" i="96"/>
  <c r="T15" i="96"/>
  <c r="T10" i="96"/>
  <c r="CZ87" i="8"/>
  <c r="DE150" i="7"/>
  <c r="DB121" i="8"/>
  <c r="AT15" i="65"/>
  <c r="AT13" i="65" s="1"/>
  <c r="DD101" i="8"/>
  <c r="DD103" i="8"/>
  <c r="CZ9" i="19"/>
  <c r="CY9" i="19"/>
  <c r="C185" i="120"/>
  <c r="AG18" i="120"/>
  <c r="M23" i="125"/>
  <c r="B18" i="120"/>
  <c r="BR8" i="123"/>
  <c r="AO8" i="123"/>
  <c r="AE8" i="123"/>
  <c r="B8" i="123"/>
  <c r="BE14" i="61"/>
  <c r="CZ16" i="19"/>
  <c r="AO13" i="123"/>
  <c r="BQ13" i="123"/>
  <c r="FK66" i="123"/>
  <c r="FT63" i="123"/>
  <c r="FT74" i="123"/>
  <c r="FU66" i="123"/>
  <c r="ES66" i="123"/>
  <c r="FT66" i="123" s="1"/>
  <c r="ET67" i="123"/>
  <c r="AJ31" i="95"/>
  <c r="CW9" i="7"/>
  <c r="BN113" i="120"/>
  <c r="CM113" i="120" s="1"/>
  <c r="AO113" i="120"/>
  <c r="AP252" i="120"/>
  <c r="AJ56" i="19"/>
  <c r="AQ26" i="7"/>
  <c r="AR26" i="7" s="1"/>
  <c r="AH47" i="6"/>
  <c r="AZ16" i="8" s="1"/>
  <c r="AH49" i="6"/>
  <c r="AZ33" i="8" s="1"/>
  <c r="AH48" i="6"/>
  <c r="AZ26" i="8" s="1"/>
  <c r="AH50" i="6"/>
  <c r="AZ41" i="8" s="1"/>
  <c r="AH46" i="6"/>
  <c r="AS81" i="7"/>
  <c r="V26" i="17"/>
  <c r="BC26" i="17"/>
  <c r="AT26" i="17"/>
  <c r="AX26" i="17"/>
  <c r="U26" i="17"/>
  <c r="AA23" i="7" s="1"/>
  <c r="W26" i="17"/>
  <c r="AN47" i="6"/>
  <c r="AN50" i="6"/>
  <c r="AN48" i="6"/>
  <c r="AN49" i="6"/>
  <c r="V54" i="72"/>
  <c r="Q55" i="72"/>
  <c r="O20" i="70"/>
  <c r="W12" i="70"/>
  <c r="AS29" i="7"/>
  <c r="Y7" i="11"/>
  <c r="Y9" i="11"/>
  <c r="Y10" i="11"/>
  <c r="Y11" i="11"/>
  <c r="D50" i="32"/>
  <c r="D53" i="32" s="1"/>
  <c r="E9" i="86" s="1"/>
  <c r="AN54" i="72"/>
  <c r="AQ54" i="72" s="1"/>
  <c r="BM24" i="7"/>
  <c r="BO141" i="7"/>
  <c r="BO150" i="7" s="1"/>
  <c r="X13" i="98"/>
  <c r="AD13" i="98" s="1"/>
  <c r="AC13" i="98"/>
  <c r="L45" i="68"/>
  <c r="N43" i="68"/>
  <c r="AL36" i="66"/>
  <c r="CY100" i="8"/>
  <c r="AH12" i="98"/>
  <c r="AH9" i="98" s="1"/>
  <c r="BL62" i="3"/>
  <c r="P45" i="96" s="1"/>
  <c r="BL57" i="120"/>
  <c r="BD57" i="120"/>
  <c r="BD198" i="120" s="1"/>
  <c r="BF198" i="120"/>
  <c r="BL198" i="120" s="1"/>
  <c r="FI56" i="121"/>
  <c r="BW224" i="120"/>
  <c r="BW226" i="120" s="1"/>
  <c r="BW208" i="120"/>
  <c r="FI60" i="121" s="1"/>
  <c r="FH60" i="121" s="1"/>
  <c r="BG67" i="120"/>
  <c r="AI199" i="120"/>
  <c r="BG157" i="120"/>
  <c r="AI223" i="120"/>
  <c r="X56" i="121"/>
  <c r="L208" i="120"/>
  <c r="X60" i="121" s="1"/>
  <c r="W60" i="121" s="1"/>
  <c r="L224" i="120"/>
  <c r="L226" i="120" s="1"/>
  <c r="AP66" i="122"/>
  <c r="BE66" i="122"/>
  <c r="BK66" i="122" s="1"/>
  <c r="AM66" i="122"/>
  <c r="BI79" i="122"/>
  <c r="CG78" i="122"/>
  <c r="BI157" i="122"/>
  <c r="BI158" i="122" s="1"/>
  <c r="BG113" i="122"/>
  <c r="AI166" i="122"/>
  <c r="CB101" i="120"/>
  <c r="CH101" i="120" s="1"/>
  <c r="C101" i="120"/>
  <c r="AJ63" i="123"/>
  <c r="CI61" i="123"/>
  <c r="AI63" i="123"/>
  <c r="AI74" i="123"/>
  <c r="CH61" i="123"/>
  <c r="BO54" i="122"/>
  <c r="BO199" i="122" s="1"/>
  <c r="AQ199" i="122"/>
  <c r="BF199" i="122" s="1"/>
  <c r="BL199" i="122" s="1"/>
  <c r="R11" i="120"/>
  <c r="P13" i="125"/>
  <c r="R175" i="120"/>
  <c r="R177" i="120" s="1"/>
  <c r="R10" i="120"/>
  <c r="P15" i="125" s="1"/>
  <c r="Q8" i="120"/>
  <c r="B33" i="120"/>
  <c r="R33" i="120"/>
  <c r="AG33" i="120" s="1"/>
  <c r="C199" i="120"/>
  <c r="C51" i="121" s="1"/>
  <c r="CH114" i="122"/>
  <c r="CB167" i="122"/>
  <c r="CH167" i="122" s="1"/>
  <c r="R25" i="122"/>
  <c r="AG25" i="122"/>
  <c r="B25" i="122"/>
  <c r="C155" i="122"/>
  <c r="C39" i="123" s="1"/>
  <c r="G18" i="132"/>
  <c r="E20" i="132"/>
  <c r="DG125" i="8"/>
  <c r="DQ65" i="121"/>
  <c r="BG158" i="7"/>
  <c r="BG160" i="7"/>
  <c r="BG161" i="7" s="1"/>
  <c r="D38" i="132"/>
  <c r="D39" i="132"/>
  <c r="E39" i="132" s="1"/>
  <c r="G39" i="132" s="1"/>
  <c r="I39" i="132" s="1"/>
  <c r="FW86" i="121"/>
  <c r="FQ85" i="121"/>
  <c r="FW85" i="121" s="1"/>
  <c r="BP99" i="120"/>
  <c r="BP158" i="120" s="1"/>
  <c r="BP165" i="120" s="1"/>
  <c r="BQ158" i="120"/>
  <c r="BZ99" i="120"/>
  <c r="BY99" i="120" s="1"/>
  <c r="BY106" i="120"/>
  <c r="BZ204" i="120"/>
  <c r="BP224" i="120"/>
  <c r="BP231" i="120" s="1"/>
  <c r="EP60" i="121"/>
  <c r="FR56" i="121"/>
  <c r="EP56" i="121"/>
  <c r="EQ76" i="121"/>
  <c r="EQ78" i="121" s="1"/>
  <c r="FQ55" i="121"/>
  <c r="FX77" i="121"/>
  <c r="FQ77" i="121"/>
  <c r="EP77" i="121"/>
  <c r="BZ12" i="120"/>
  <c r="BY12" i="120" s="1"/>
  <c r="BZ181" i="120"/>
  <c r="BZ225" i="120" s="1"/>
  <c r="FR13" i="121"/>
  <c r="BY14" i="120"/>
  <c r="BY181" i="120" s="1"/>
  <c r="BY225" i="120" s="1"/>
  <c r="FQ12" i="121"/>
  <c r="FQ13" i="121" s="1"/>
  <c r="CA179" i="120"/>
  <c r="CA180" i="120" s="1"/>
  <c r="CA13" i="120"/>
  <c r="EQ13" i="121"/>
  <c r="EP12" i="121"/>
  <c r="EP13" i="121" s="1"/>
  <c r="CF171" i="122"/>
  <c r="BJ127" i="122"/>
  <c r="AY126" i="122"/>
  <c r="BB177" i="122"/>
  <c r="AX126" i="122"/>
  <c r="BH213" i="122"/>
  <c r="AX177" i="122"/>
  <c r="AX184" i="122" s="1"/>
  <c r="AX163" i="122"/>
  <c r="N28" i="126"/>
  <c r="AM37" i="123"/>
  <c r="BD56" i="122"/>
  <c r="BK56" i="122"/>
  <c r="BL51" i="122"/>
  <c r="AE49" i="123"/>
  <c r="BD103" i="122"/>
  <c r="BL103" i="122"/>
  <c r="AD59" i="123"/>
  <c r="J124" i="122"/>
  <c r="H21" i="122"/>
  <c r="E177" i="122"/>
  <c r="E163" i="122"/>
  <c r="U45" i="123"/>
  <c r="AD45" i="123" s="1"/>
  <c r="U124" i="122"/>
  <c r="T21" i="122"/>
  <c r="Q160" i="122"/>
  <c r="Q194" i="122"/>
  <c r="AF194" i="122" s="1"/>
  <c r="N100" i="122"/>
  <c r="N157" i="122"/>
  <c r="AI99" i="122"/>
  <c r="AO36" i="122"/>
  <c r="AP35" i="122"/>
  <c r="BN36" i="122"/>
  <c r="BO102" i="122"/>
  <c r="AO102" i="122"/>
  <c r="BN32" i="122"/>
  <c r="AO32" i="122"/>
  <c r="AP196" i="122"/>
  <c r="AP61" i="122"/>
  <c r="BE61" i="122" s="1"/>
  <c r="AM61" i="122"/>
  <c r="AF61" i="122"/>
  <c r="AL61" i="122" s="1"/>
  <c r="CM15" i="123"/>
  <c r="CK15" i="123" s="1"/>
  <c r="EF15" i="123"/>
  <c r="BE106" i="122"/>
  <c r="EY43" i="123"/>
  <c r="EY61" i="123" s="1"/>
  <c r="EZ61" i="123"/>
  <c r="CE60" i="122"/>
  <c r="CH60" i="122" s="1"/>
  <c r="CG217" i="122"/>
  <c r="BL217" i="122"/>
  <c r="BP163" i="122"/>
  <c r="BP177" i="122"/>
  <c r="T94" i="122"/>
  <c r="AD94" i="122"/>
  <c r="BD15" i="122"/>
  <c r="BN52" i="122"/>
  <c r="BM52" i="122" s="1"/>
  <c r="AO52" i="122"/>
  <c r="FO59" i="123"/>
  <c r="BI70" i="122"/>
  <c r="AN70" i="122"/>
  <c r="CG54" i="122"/>
  <c r="CJ54" i="122" s="1"/>
  <c r="BL54" i="122"/>
  <c r="BL153" i="122"/>
  <c r="AR21" i="122"/>
  <c r="AT124" i="122"/>
  <c r="BN64" i="122"/>
  <c r="AO64" i="122"/>
  <c r="AP208" i="122"/>
  <c r="BE208" i="122" s="1"/>
  <c r="BK208" i="122" s="1"/>
  <c r="Q38" i="122"/>
  <c r="R29" i="122"/>
  <c r="R218" i="122"/>
  <c r="BK15" i="122"/>
  <c r="BJ15" i="122" s="1"/>
  <c r="X42" i="126"/>
  <c r="DZ51" i="123"/>
  <c r="BO78" i="122"/>
  <c r="AQ79" i="122"/>
  <c r="AO153" i="122"/>
  <c r="BL43" i="123"/>
  <c r="BL61" i="123" s="1"/>
  <c r="AB163" i="122"/>
  <c r="BL47" i="123" s="1"/>
  <c r="BJ47" i="123" s="1"/>
  <c r="AB177" i="122"/>
  <c r="AB179" i="122" s="1"/>
  <c r="FJ43" i="123"/>
  <c r="BX163" i="122"/>
  <c r="FJ47" i="123" s="1"/>
  <c r="FH47" i="123" s="1"/>
  <c r="BX177" i="122"/>
  <c r="BX179" i="122" s="1"/>
  <c r="CJ99" i="122"/>
  <c r="CG100" i="122"/>
  <c r="CJ100" i="122" s="1"/>
  <c r="N115" i="122"/>
  <c r="N168" i="122" s="1"/>
  <c r="O168" i="122"/>
  <c r="AK81" i="122"/>
  <c r="AE159" i="122"/>
  <c r="AE163" i="122" s="1"/>
  <c r="AF196" i="122"/>
  <c r="EQ67" i="123"/>
  <c r="AF198" i="122"/>
  <c r="AM207" i="122"/>
  <c r="AF221" i="122"/>
  <c r="AN195" i="122"/>
  <c r="BY163" i="122"/>
  <c r="BY177" i="122"/>
  <c r="AO209" i="122"/>
  <c r="BD209" i="122" s="1"/>
  <c r="AO162" i="122"/>
  <c r="W50" i="126"/>
  <c r="DY59" i="123"/>
  <c r="CG199" i="122"/>
  <c r="O40" i="122"/>
  <c r="N40" i="122" s="1"/>
  <c r="O159" i="122"/>
  <c r="O163" i="122" s="1"/>
  <c r="N49" i="122"/>
  <c r="BV184" i="122"/>
  <c r="BV179" i="122"/>
  <c r="T177" i="122"/>
  <c r="T184" i="122" s="1"/>
  <c r="T163" i="122"/>
  <c r="AZ44" i="123"/>
  <c r="AO44" i="123"/>
  <c r="BE36" i="122"/>
  <c r="BD54" i="122"/>
  <c r="BJ54" i="122" s="1"/>
  <c r="BK54" i="122"/>
  <c r="AP57" i="122"/>
  <c r="BE57" i="122" s="1"/>
  <c r="AM57" i="122"/>
  <c r="AF57" i="122"/>
  <c r="AL57" i="122" s="1"/>
  <c r="AL205" i="122"/>
  <c r="AL202" i="122"/>
  <c r="O41" i="126"/>
  <c r="AN50" i="123"/>
  <c r="BL22" i="122"/>
  <c r="CG206" i="122"/>
  <c r="BL206" i="122"/>
  <c r="CG219" i="122"/>
  <c r="BL196" i="122"/>
  <c r="ER43" i="123"/>
  <c r="BR163" i="122"/>
  <c r="ER47" i="123" s="1"/>
  <c r="BR177" i="122"/>
  <c r="BR179" i="122" s="1"/>
  <c r="CM10" i="123"/>
  <c r="CK10" i="123" s="1"/>
  <c r="CE10" i="123"/>
  <c r="AQ66" i="122"/>
  <c r="BF66" i="122" s="1"/>
  <c r="AF66" i="122"/>
  <c r="AL66" i="122" s="1"/>
  <c r="AN66" i="122"/>
  <c r="BS124" i="122"/>
  <c r="BZ124" i="122"/>
  <c r="BT126" i="122"/>
  <c r="AE223" i="122"/>
  <c r="AK223" i="122" s="1"/>
  <c r="AK218" i="122"/>
  <c r="BW126" i="122"/>
  <c r="CJ96" i="122"/>
  <c r="CG153" i="122"/>
  <c r="CJ153" i="122" s="1"/>
  <c r="BN71" i="122"/>
  <c r="AO71" i="122"/>
  <c r="AP70" i="122"/>
  <c r="BN56" i="122"/>
  <c r="AO56" i="122"/>
  <c r="AO200" i="122" s="1"/>
  <c r="AP200" i="122"/>
  <c r="BE200" i="122" s="1"/>
  <c r="BK200" i="122" s="1"/>
  <c r="BN60" i="122"/>
  <c r="AO60" i="122"/>
  <c r="AP204" i="122"/>
  <c r="BE204" i="122" s="1"/>
  <c r="BK204" i="122" s="1"/>
  <c r="AP39" i="122"/>
  <c r="BE39" i="122" s="1"/>
  <c r="AF39" i="122"/>
  <c r="AL39" i="122" s="1"/>
  <c r="AM39" i="122"/>
  <c r="B213" i="122"/>
  <c r="BO51" i="122"/>
  <c r="AQ195" i="122"/>
  <c r="BF195" i="122" s="1"/>
  <c r="BL195" i="122" s="1"/>
  <c r="AQ161" i="122"/>
  <c r="CP45" i="123" s="1"/>
  <c r="CY45" i="123" s="1"/>
  <c r="DH45" i="123" s="1"/>
  <c r="DQ45" i="123" s="1"/>
  <c r="BQ44" i="123"/>
  <c r="CY37" i="123"/>
  <c r="DH37" i="123" s="1"/>
  <c r="BM24" i="122"/>
  <c r="BM153" i="122" s="1"/>
  <c r="BN153" i="122"/>
  <c r="EN37" i="123" s="1"/>
  <c r="BI194" i="122"/>
  <c r="AN194" i="122"/>
  <c r="BV21" i="122"/>
  <c r="BX124" i="122"/>
  <c r="BX126" i="122" s="1"/>
  <c r="AG52" i="123"/>
  <c r="E52" i="123"/>
  <c r="AF52" i="123" s="1"/>
  <c r="T75" i="122"/>
  <c r="AE75" i="122"/>
  <c r="V124" i="122"/>
  <c r="Q70" i="122"/>
  <c r="AG70" i="122"/>
  <c r="R49" i="122"/>
  <c r="BO83" i="122"/>
  <c r="AO83" i="122"/>
  <c r="AQ107" i="122"/>
  <c r="BF107" i="122" s="1"/>
  <c r="AN107" i="122"/>
  <c r="AF107" i="122"/>
  <c r="AL107" i="122" s="1"/>
  <c r="AL217" i="122"/>
  <c r="B49" i="122"/>
  <c r="B218" i="122"/>
  <c r="AM203" i="122"/>
  <c r="AP63" i="122"/>
  <c r="BE63" i="122" s="1"/>
  <c r="AF63" i="122"/>
  <c r="AL63" i="122" s="1"/>
  <c r="AM63" i="122"/>
  <c r="AN214" i="122"/>
  <c r="Q195" i="122"/>
  <c r="AF195" i="122" s="1"/>
  <c r="Q161" i="122"/>
  <c r="BN74" i="122"/>
  <c r="AO74" i="122"/>
  <c r="AP222" i="122"/>
  <c r="BE222" i="122" s="1"/>
  <c r="BK222" i="122" s="1"/>
  <c r="AE38" i="123"/>
  <c r="BS179" i="122"/>
  <c r="BS184" i="122"/>
  <c r="BI223" i="122"/>
  <c r="BL84" i="122"/>
  <c r="BD84" i="122"/>
  <c r="BJ84" i="122" s="1"/>
  <c r="BZ163" i="122"/>
  <c r="BZ177" i="122"/>
  <c r="BZ179" i="122" s="1"/>
  <c r="CY46" i="123"/>
  <c r="CN46" i="123"/>
  <c r="P43" i="123"/>
  <c r="J163" i="122"/>
  <c r="P47" i="123" s="1"/>
  <c r="J177" i="122"/>
  <c r="J179" i="122" s="1"/>
  <c r="F124" i="122"/>
  <c r="E40" i="122"/>
  <c r="D159" i="122"/>
  <c r="D21" i="122"/>
  <c r="U163" i="122"/>
  <c r="AS47" i="123" s="1"/>
  <c r="AS43" i="123"/>
  <c r="U177" i="122"/>
  <c r="U179" i="122" s="1"/>
  <c r="O158" i="122"/>
  <c r="D94" i="122"/>
  <c r="B101" i="122"/>
  <c r="AL201" i="122"/>
  <c r="BN73" i="122"/>
  <c r="AO73" i="122"/>
  <c r="AP221" i="122"/>
  <c r="BE221" i="122" s="1"/>
  <c r="BK221" i="122" s="1"/>
  <c r="AE54" i="123"/>
  <c r="BO22" i="122"/>
  <c r="BR124" i="122"/>
  <c r="BP21" i="122"/>
  <c r="BN33" i="122"/>
  <c r="AO33" i="122"/>
  <c r="AP197" i="122"/>
  <c r="BE197" i="122" s="1"/>
  <c r="BE35" i="122"/>
  <c r="AF35" i="122"/>
  <c r="AL35" i="122" s="1"/>
  <c r="AM35" i="122"/>
  <c r="FE73" i="123"/>
  <c r="EV70" i="123"/>
  <c r="Q200" i="122"/>
  <c r="AF200" i="122" s="1"/>
  <c r="BD200" i="122" s="1"/>
  <c r="BN62" i="122"/>
  <c r="AO62" i="122"/>
  <c r="AP206" i="122"/>
  <c r="BE206" i="122" s="1"/>
  <c r="BK206" i="122" s="1"/>
  <c r="CF58" i="122"/>
  <c r="CI58" i="122" s="1"/>
  <c r="H177" i="122"/>
  <c r="BE64" i="122"/>
  <c r="AF219" i="122"/>
  <c r="EX37" i="123"/>
  <c r="AQ34" i="122"/>
  <c r="AN34" i="122"/>
  <c r="AF34" i="122"/>
  <c r="AL34" i="122" s="1"/>
  <c r="AM201" i="122"/>
  <c r="S29" i="122"/>
  <c r="AH29" i="122" s="1"/>
  <c r="S218" i="122"/>
  <c r="BH175" i="122"/>
  <c r="BK175" i="122" s="1"/>
  <c r="CF122" i="122"/>
  <c r="BK122" i="122"/>
  <c r="AT43" i="123"/>
  <c r="V163" i="122"/>
  <c r="AT47" i="123" s="1"/>
  <c r="BU47" i="123" s="1"/>
  <c r="V177" i="122"/>
  <c r="V179" i="122" s="1"/>
  <c r="BF83" i="122"/>
  <c r="BF161" i="122" s="1"/>
  <c r="BL161" i="122" s="1"/>
  <c r="AI90" i="122"/>
  <c r="AL90" i="122" s="1"/>
  <c r="N213" i="122"/>
  <c r="N223" i="122" s="1"/>
  <c r="S101" i="122"/>
  <c r="AH101" i="122" s="1"/>
  <c r="Q106" i="122"/>
  <c r="AG38" i="122"/>
  <c r="AM198" i="122"/>
  <c r="AP59" i="122"/>
  <c r="BE59" i="122" s="1"/>
  <c r="AF59" i="122"/>
  <c r="AL59" i="122" s="1"/>
  <c r="AM59" i="122"/>
  <c r="AF207" i="122"/>
  <c r="Q214" i="122"/>
  <c r="AF214" i="122" s="1"/>
  <c r="BE74" i="122"/>
  <c r="DQ39" i="123"/>
  <c r="DZ39" i="123" s="1"/>
  <c r="BO196" i="122"/>
  <c r="CD196" i="122" s="1"/>
  <c r="BM84" i="122"/>
  <c r="CL84" i="122" s="1"/>
  <c r="BO162" i="122"/>
  <c r="EO46" i="123" s="1"/>
  <c r="BO209" i="122"/>
  <c r="CD209" i="122" s="1"/>
  <c r="CJ209" i="122" s="1"/>
  <c r="BM85" i="122"/>
  <c r="BI160" i="122"/>
  <c r="CG50" i="122"/>
  <c r="CG205" i="122"/>
  <c r="BL205" i="122"/>
  <c r="F43" i="123"/>
  <c r="F163" i="122"/>
  <c r="F47" i="123" s="1"/>
  <c r="F177" i="122"/>
  <c r="F179" i="122" s="1"/>
  <c r="AN38" i="122"/>
  <c r="AQ30" i="122"/>
  <c r="AF30" i="122"/>
  <c r="AN30" i="122"/>
  <c r="AH160" i="122"/>
  <c r="AN160" i="122" s="1"/>
  <c r="BF102" i="122"/>
  <c r="AN106" i="122"/>
  <c r="AF106" i="122"/>
  <c r="AL106" i="122" s="1"/>
  <c r="BE32" i="122"/>
  <c r="BN54" i="122"/>
  <c r="AO54" i="122"/>
  <c r="AP199" i="122"/>
  <c r="BE199" i="122" s="1"/>
  <c r="BK199" i="122" s="1"/>
  <c r="AM205" i="122"/>
  <c r="FI67" i="123"/>
  <c r="BK73" i="122"/>
  <c r="BD73" i="122"/>
  <c r="BJ73" i="122" s="1"/>
  <c r="BO56" i="122"/>
  <c r="BO200" i="122" s="1"/>
  <c r="AQ200" i="122"/>
  <c r="BF200" i="122" s="1"/>
  <c r="BL200" i="122" s="1"/>
  <c r="BN106" i="122"/>
  <c r="BO197" i="122"/>
  <c r="CD197" i="122" s="1"/>
  <c r="BM105" i="122"/>
  <c r="CL105" i="122" s="1"/>
  <c r="BQ59" i="123"/>
  <c r="BG59" i="123"/>
  <c r="CF202" i="122"/>
  <c r="CG196" i="122"/>
  <c r="BI90" i="122"/>
  <c r="AN90" i="122"/>
  <c r="AF27" i="123"/>
  <c r="AL27" i="123" s="1"/>
  <c r="AF28" i="123"/>
  <c r="CM12" i="123"/>
  <c r="EF12" i="123"/>
  <c r="CS43" i="123"/>
  <c r="CS61" i="123" s="1"/>
  <c r="AT163" i="122"/>
  <c r="CS47" i="123" s="1"/>
  <c r="DT47" i="123" s="1"/>
  <c r="AI176" i="122"/>
  <c r="BG123" i="122"/>
  <c r="BD60" i="122"/>
  <c r="BJ60" i="122" s="1"/>
  <c r="BK60" i="122"/>
  <c r="AM219" i="122"/>
  <c r="AN65" i="122"/>
  <c r="BF79" i="122"/>
  <c r="BL79" i="122" s="1"/>
  <c r="BL78" i="122"/>
  <c r="CX37" i="123"/>
  <c r="CN37" i="123"/>
  <c r="AO45" i="123"/>
  <c r="AZ45" i="123"/>
  <c r="AN212" i="122"/>
  <c r="CF52" i="122"/>
  <c r="CI52" i="122" s="1"/>
  <c r="BK52" i="122"/>
  <c r="CF201" i="122"/>
  <c r="AQ39" i="122"/>
  <c r="BF39" i="122" s="1"/>
  <c r="BL39" i="122" s="1"/>
  <c r="AN39" i="122"/>
  <c r="BI213" i="122"/>
  <c r="AN215" i="122"/>
  <c r="BE196" i="122"/>
  <c r="AG29" i="122"/>
  <c r="B29" i="122"/>
  <c r="C159" i="122"/>
  <c r="AP53" i="122"/>
  <c r="BE53" i="122" s="1"/>
  <c r="AF53" i="122"/>
  <c r="AL53" i="122" s="1"/>
  <c r="AM53" i="122"/>
  <c r="AF203" i="122"/>
  <c r="AM221" i="122"/>
  <c r="S213" i="122"/>
  <c r="AH213" i="122" s="1"/>
  <c r="S49" i="122"/>
  <c r="AJ218" i="122"/>
  <c r="FY39" i="123"/>
  <c r="AD30" i="126"/>
  <c r="FP54" i="123"/>
  <c r="AA42" i="126"/>
  <c r="GB51" i="123"/>
  <c r="EL51" i="123"/>
  <c r="EL13" i="123"/>
  <c r="GE13" i="123"/>
  <c r="GK13" i="123" s="1"/>
  <c r="CM14" i="123"/>
  <c r="CK14" i="123" s="1"/>
  <c r="EF14" i="123"/>
  <c r="BQ46" i="123"/>
  <c r="EC57" i="123"/>
  <c r="U48" i="126"/>
  <c r="P37" i="126"/>
  <c r="CB46" i="123"/>
  <c r="AC44" i="123"/>
  <c r="BG37" i="123"/>
  <c r="BP37" i="123" s="1"/>
  <c r="BQ37" i="123"/>
  <c r="AL73" i="123"/>
  <c r="GE10" i="123"/>
  <c r="GK10" i="123" s="1"/>
  <c r="GI10" i="123" s="1"/>
  <c r="EL10" i="123"/>
  <c r="AC70" i="123"/>
  <c r="AL70" i="123" s="1"/>
  <c r="CM39" i="123"/>
  <c r="U30" i="126"/>
  <c r="EC39" i="123"/>
  <c r="BP73" i="123"/>
  <c r="BY73" i="123" s="1"/>
  <c r="ED59" i="123"/>
  <c r="AE45" i="123"/>
  <c r="U37" i="126"/>
  <c r="CM46" i="123"/>
  <c r="T44" i="123"/>
  <c r="AD44" i="123"/>
  <c r="DQ38" i="123"/>
  <c r="U47" i="126"/>
  <c r="AC37" i="123"/>
  <c r="EL16" i="123"/>
  <c r="GE16" i="123"/>
  <c r="GK16" i="123" s="1"/>
  <c r="U51" i="126"/>
  <c r="CM60" i="123"/>
  <c r="EC60" i="123"/>
  <c r="EC55" i="123"/>
  <c r="U46" i="126"/>
  <c r="CG223" i="122"/>
  <c r="X30" i="126"/>
  <c r="AX72" i="123"/>
  <c r="AO70" i="123"/>
  <c r="O28" i="126"/>
  <c r="AN37" i="123"/>
  <c r="CD37" i="123"/>
  <c r="FP55" i="123"/>
  <c r="CB71" i="123"/>
  <c r="U50" i="126"/>
  <c r="CM59" i="123"/>
  <c r="CG197" i="122"/>
  <c r="CJ197" i="122" s="1"/>
  <c r="BL197" i="122"/>
  <c r="DJ63" i="123"/>
  <c r="DI66" i="123"/>
  <c r="DJ67" i="123"/>
  <c r="DI63" i="123"/>
  <c r="BB53" i="120"/>
  <c r="BA53" i="120" s="1"/>
  <c r="AY208" i="120"/>
  <c r="DJ60" i="121" s="1"/>
  <c r="DI60" i="121" s="1"/>
  <c r="DI56" i="121"/>
  <c r="AY224" i="120"/>
  <c r="AY226" i="120" s="1"/>
  <c r="AX208" i="120"/>
  <c r="AX224" i="120"/>
  <c r="AX123" i="120"/>
  <c r="AX158" i="120" s="1"/>
  <c r="AY158" i="120"/>
  <c r="AY160" i="120" s="1"/>
  <c r="ED27" i="123"/>
  <c r="BK191" i="120"/>
  <c r="BJ24" i="120"/>
  <c r="BJ191" i="120" s="1"/>
  <c r="BH189" i="120"/>
  <c r="BG22" i="120"/>
  <c r="BG189" i="120" s="1"/>
  <c r="CE23" i="120"/>
  <c r="CE190" i="120" s="1"/>
  <c r="CF190" i="120"/>
  <c r="CI23" i="120"/>
  <c r="CF22" i="120"/>
  <c r="BB179" i="120"/>
  <c r="BB180" i="120" s="1"/>
  <c r="DR10" i="121"/>
  <c r="DT12" i="121"/>
  <c r="DT13" i="121" s="1"/>
  <c r="Z179" i="122"/>
  <c r="DB66" i="123"/>
  <c r="DB67" i="123" s="1"/>
  <c r="DB68" i="123" s="1"/>
  <c r="DB69" i="123" s="1"/>
  <c r="AU179" i="122"/>
  <c r="DA61" i="123"/>
  <c r="DA66" i="123" s="1"/>
  <c r="DS66" i="123" s="1"/>
  <c r="AV177" i="122"/>
  <c r="AV179" i="122" s="1"/>
  <c r="AV163" i="122"/>
  <c r="DA47" i="123" s="1"/>
  <c r="CZ47" i="123" s="1"/>
  <c r="AU40" i="122"/>
  <c r="AV124" i="122"/>
  <c r="DS43" i="123"/>
  <c r="CI24" i="122"/>
  <c r="CF153" i="122"/>
  <c r="CI153" i="122" s="1"/>
  <c r="DB78" i="121"/>
  <c r="DB81" i="121"/>
  <c r="DB82" i="121" s="1"/>
  <c r="DB83" i="121" s="1"/>
  <c r="DB84" i="121" s="1"/>
  <c r="AV208" i="120"/>
  <c r="DA60" i="121" s="1"/>
  <c r="CZ60" i="121" s="1"/>
  <c r="AU224" i="120"/>
  <c r="AU231" i="120" s="1"/>
  <c r="DJ81" i="121"/>
  <c r="DJ78" i="121"/>
  <c r="AV224" i="120"/>
  <c r="AV226" i="120" s="1"/>
  <c r="DA76" i="121"/>
  <c r="DA78" i="121" s="1"/>
  <c r="BG240" i="120"/>
  <c r="BJ240" i="120" s="1"/>
  <c r="BJ40" i="120"/>
  <c r="CE40" i="120"/>
  <c r="AU53" i="120"/>
  <c r="AU158" i="120" s="1"/>
  <c r="AV158" i="120"/>
  <c r="AV160" i="120" s="1"/>
  <c r="BB179" i="122"/>
  <c r="GD24" i="123"/>
  <c r="CZ63" i="123"/>
  <c r="GD19" i="121"/>
  <c r="EK19" i="121"/>
  <c r="EJ19" i="121" s="1"/>
  <c r="ED19" i="121"/>
  <c r="CI191" i="120"/>
  <c r="CH24" i="120"/>
  <c r="CH191" i="120" s="1"/>
  <c r="CZ77" i="121"/>
  <c r="GD22" i="121"/>
  <c r="GC23" i="121"/>
  <c r="GJ23" i="121"/>
  <c r="GI23" i="121" s="1"/>
  <c r="EF77" i="121"/>
  <c r="GE14" i="121"/>
  <c r="GK17" i="121"/>
  <c r="DR11" i="121"/>
  <c r="DA13" i="121"/>
  <c r="CZ12" i="121"/>
  <c r="CZ13" i="121" s="1"/>
  <c r="DS12" i="121"/>
  <c r="EE67" i="121"/>
  <c r="BG90" i="122"/>
  <c r="BA213" i="122"/>
  <c r="BA223" i="122" s="1"/>
  <c r="CF173" i="122"/>
  <c r="BG171" i="122"/>
  <c r="CE118" i="122"/>
  <c r="CF170" i="122"/>
  <c r="CF79" i="122"/>
  <c r="CR63" i="123"/>
  <c r="DS47" i="123"/>
  <c r="BA177" i="122"/>
  <c r="BA184" i="122" s="1"/>
  <c r="AR179" i="122"/>
  <c r="CR67" i="123"/>
  <c r="DR42" i="123"/>
  <c r="DT52" i="123"/>
  <c r="CQ52" i="123"/>
  <c r="CS78" i="121"/>
  <c r="CS82" i="121"/>
  <c r="BA130" i="120"/>
  <c r="BA204" i="120" s="1"/>
  <c r="BB204" i="120"/>
  <c r="AR208" i="120"/>
  <c r="AR224" i="120"/>
  <c r="CR56" i="121"/>
  <c r="AS208" i="120"/>
  <c r="CR60" i="121" s="1"/>
  <c r="AS224" i="120"/>
  <c r="AS226" i="120" s="1"/>
  <c r="AR123" i="120"/>
  <c r="AR158" i="120" s="1"/>
  <c r="AS158" i="120"/>
  <c r="BB123" i="120"/>
  <c r="BA123" i="120" s="1"/>
  <c r="DR55" i="121"/>
  <c r="DY62" i="123"/>
  <c r="AR179" i="120"/>
  <c r="AR180" i="120" s="1"/>
  <c r="AR13" i="120"/>
  <c r="CQ77" i="121"/>
  <c r="DR77" i="121"/>
  <c r="DY77" i="121"/>
  <c r="DR18" i="121"/>
  <c r="DY18" i="121"/>
  <c r="DX18" i="121" s="1"/>
  <c r="DR62" i="123"/>
  <c r="BG11" i="120"/>
  <c r="BG178" i="120" s="1"/>
  <c r="AI13" i="122"/>
  <c r="EE14" i="123"/>
  <c r="GD14" i="123" s="1"/>
  <c r="GC72" i="123"/>
  <c r="AI174" i="122"/>
  <c r="BG121" i="122"/>
  <c r="CE120" i="122"/>
  <c r="BG173" i="122"/>
  <c r="CE119" i="122"/>
  <c r="BG172" i="122"/>
  <c r="CG117" i="122"/>
  <c r="BL117" i="122"/>
  <c r="BI170" i="122"/>
  <c r="BL170" i="122" s="1"/>
  <c r="CF45" i="122"/>
  <c r="CI45" i="122" s="1"/>
  <c r="BG200" i="122"/>
  <c r="AL200" i="122"/>
  <c r="AL56" i="122"/>
  <c r="BG56" i="122"/>
  <c r="BH111" i="122"/>
  <c r="AJ164" i="122"/>
  <c r="ED49" i="123"/>
  <c r="BG165" i="122"/>
  <c r="CE112" i="122"/>
  <c r="EE49" i="123"/>
  <c r="ED48" i="123"/>
  <c r="BG111" i="122"/>
  <c r="AI164" i="122"/>
  <c r="ED50" i="123"/>
  <c r="EE48" i="123"/>
  <c r="EE50" i="123"/>
  <c r="CE46" i="122"/>
  <c r="BG48" i="122"/>
  <c r="EJ88" i="121"/>
  <c r="GC88" i="121"/>
  <c r="GI88" i="121" s="1"/>
  <c r="GC87" i="121"/>
  <c r="AL228" i="120"/>
  <c r="BG228" i="120"/>
  <c r="BG227" i="120"/>
  <c r="AL227" i="120"/>
  <c r="EJ86" i="121"/>
  <c r="ED85" i="121"/>
  <c r="GC86" i="121"/>
  <c r="GC62" i="121"/>
  <c r="BG143" i="120"/>
  <c r="AI209" i="120"/>
  <c r="BH209" i="120"/>
  <c r="CF143" i="120"/>
  <c r="AI211" i="120"/>
  <c r="BG145" i="120"/>
  <c r="GC63" i="121"/>
  <c r="ED61" i="121"/>
  <c r="GD73" i="121"/>
  <c r="CF217" i="120"/>
  <c r="GE54" i="121"/>
  <c r="BI202" i="120"/>
  <c r="CG35" i="120"/>
  <c r="BI36" i="120"/>
  <c r="CJ155" i="120"/>
  <c r="CG221" i="120"/>
  <c r="CJ221" i="120" s="1"/>
  <c r="BG220" i="120"/>
  <c r="CE154" i="120"/>
  <c r="BG218" i="120"/>
  <c r="CE152" i="120"/>
  <c r="CG218" i="120"/>
  <c r="CJ218" i="120" s="1"/>
  <c r="CJ152" i="120"/>
  <c r="GE69" i="121"/>
  <c r="BG151" i="120"/>
  <c r="AI217" i="120"/>
  <c r="CG217" i="120"/>
  <c r="CJ217" i="120" s="1"/>
  <c r="CJ151" i="120"/>
  <c r="BG216" i="120"/>
  <c r="CE150" i="120"/>
  <c r="AD177" i="122"/>
  <c r="Z126" i="122"/>
  <c r="CE79" i="122"/>
  <c r="CE63" i="122"/>
  <c r="CH63" i="122" s="1"/>
  <c r="AD40" i="122"/>
  <c r="AJ49" i="122"/>
  <c r="CE71" i="122"/>
  <c r="CH71" i="122" s="1"/>
  <c r="BJ71" i="122"/>
  <c r="CF71" i="122"/>
  <c r="CI71" i="122" s="1"/>
  <c r="BK71" i="122"/>
  <c r="BG42" i="122"/>
  <c r="AI154" i="122"/>
  <c r="BG62" i="122"/>
  <c r="AL62" i="122"/>
  <c r="CF62" i="122"/>
  <c r="CI62" i="122" s="1"/>
  <c r="BK62" i="122"/>
  <c r="AL206" i="122"/>
  <c r="BG206" i="122"/>
  <c r="AI65" i="122"/>
  <c r="AC213" i="122"/>
  <c r="BH65" i="122"/>
  <c r="CE59" i="122"/>
  <c r="CH59" i="122" s="1"/>
  <c r="CE66" i="122"/>
  <c r="CH66" i="122" s="1"/>
  <c r="CE22" i="122"/>
  <c r="CF151" i="122"/>
  <c r="CF213" i="122"/>
  <c r="CE34" i="122"/>
  <c r="CH34" i="122" s="1"/>
  <c r="CH96" i="122"/>
  <c r="CE153" i="122"/>
  <c r="CH153" i="122" s="1"/>
  <c r="CF101" i="122"/>
  <c r="CF99" i="122"/>
  <c r="BH157" i="122"/>
  <c r="BK63" i="123"/>
  <c r="CF98" i="122"/>
  <c r="BH100" i="122"/>
  <c r="BK67" i="123"/>
  <c r="CF95" i="122"/>
  <c r="BH152" i="122"/>
  <c r="BS36" i="123"/>
  <c r="CF68" i="120"/>
  <c r="CI68" i="120" s="1"/>
  <c r="CF30" i="120"/>
  <c r="BH196" i="120"/>
  <c r="BK43" i="120"/>
  <c r="CF43" i="120"/>
  <c r="CI43" i="120" s="1"/>
  <c r="AL112" i="120"/>
  <c r="AI251" i="120"/>
  <c r="AL251" i="120" s="1"/>
  <c r="BG112" i="120"/>
  <c r="BG105" i="120"/>
  <c r="CE104" i="120"/>
  <c r="BJ42" i="120"/>
  <c r="CE42" i="120"/>
  <c r="CH42" i="120" s="1"/>
  <c r="CF37" i="120"/>
  <c r="CF87" i="120"/>
  <c r="CI87" i="120" s="1"/>
  <c r="BK87" i="120"/>
  <c r="BH94" i="120"/>
  <c r="AM94" i="120"/>
  <c r="AL94" i="120"/>
  <c r="BG94" i="120"/>
  <c r="CF200" i="120"/>
  <c r="CE264" i="120"/>
  <c r="CH264" i="120" s="1"/>
  <c r="CH93" i="120"/>
  <c r="AL79" i="120"/>
  <c r="BG79" i="120"/>
  <c r="AI245" i="120"/>
  <c r="BG206" i="120"/>
  <c r="BG239" i="120"/>
  <c r="BJ132" i="120"/>
  <c r="CE132" i="120"/>
  <c r="BH206" i="120"/>
  <c r="BK132" i="120"/>
  <c r="BH239" i="120"/>
  <c r="CF132" i="120"/>
  <c r="Z231" i="120"/>
  <c r="Z226" i="120"/>
  <c r="AL137" i="120"/>
  <c r="BG137" i="120"/>
  <c r="BH137" i="120"/>
  <c r="AM137" i="120"/>
  <c r="AI247" i="120"/>
  <c r="AL247" i="120" s="1"/>
  <c r="AL80" i="120"/>
  <c r="BG80" i="120"/>
  <c r="BJ56" i="121"/>
  <c r="BK76" i="121"/>
  <c r="BG128" i="120"/>
  <c r="AI129" i="120"/>
  <c r="CF128" i="120"/>
  <c r="BH202" i="120"/>
  <c r="CL17" i="121"/>
  <c r="CK17" i="121" s="1"/>
  <c r="EE17" i="121"/>
  <c r="EE14" i="121" s="1"/>
  <c r="CE17" i="121"/>
  <c r="CF42" i="121"/>
  <c r="EF38" i="121"/>
  <c r="GE37" i="121"/>
  <c r="AM184" i="120"/>
  <c r="AL17" i="120"/>
  <c r="AL184" i="120" s="1"/>
  <c r="BK17" i="120"/>
  <c r="CF17" i="120"/>
  <c r="BH184" i="120"/>
  <c r="BG17" i="120"/>
  <c r="BG184" i="120" s="1"/>
  <c r="GC21" i="123"/>
  <c r="CF10" i="122"/>
  <c r="BK10" i="122"/>
  <c r="BJ10" i="122" s="1"/>
  <c r="BG10" i="122"/>
  <c r="EE12" i="123"/>
  <c r="GD12" i="123" s="1"/>
  <c r="AM62" i="123"/>
  <c r="BG12" i="122"/>
  <c r="BK12" i="122"/>
  <c r="BJ12" i="122" s="1"/>
  <c r="CF12" i="122"/>
  <c r="CL12" i="123"/>
  <c r="CK12" i="123" s="1"/>
  <c r="AF62" i="123"/>
  <c r="CF30" i="123"/>
  <c r="ED28" i="123"/>
  <c r="EE21" i="121"/>
  <c r="CE21" i="121"/>
  <c r="CL21" i="121"/>
  <c r="CK21" i="121" s="1"/>
  <c r="BJ21" i="120"/>
  <c r="BJ188" i="120" s="1"/>
  <c r="BK188" i="120"/>
  <c r="CF188" i="120"/>
  <c r="CE21" i="120"/>
  <c r="CE188" i="120" s="1"/>
  <c r="CI21" i="120"/>
  <c r="BG20" i="120"/>
  <c r="BG187" i="120" s="1"/>
  <c r="CF20" i="120"/>
  <c r="BH187" i="120"/>
  <c r="BK20" i="120"/>
  <c r="ED20" i="121"/>
  <c r="GD20" i="121"/>
  <c r="EK20" i="121"/>
  <c r="AL20" i="120"/>
  <c r="AL187" i="120" s="1"/>
  <c r="AM187" i="120"/>
  <c r="CI186" i="120"/>
  <c r="AI18" i="120"/>
  <c r="AI185" i="120" s="1"/>
  <c r="BH18" i="120"/>
  <c r="AJ185" i="120"/>
  <c r="AM18" i="120"/>
  <c r="CI16" i="122"/>
  <c r="CH16" i="122" s="1"/>
  <c r="CE16" i="122"/>
  <c r="BK14" i="122"/>
  <c r="BJ14" i="122" s="1"/>
  <c r="BG14" i="122"/>
  <c r="CF14" i="122"/>
  <c r="GD16" i="123"/>
  <c r="ED16" i="123"/>
  <c r="EK16" i="123"/>
  <c r="ED15" i="123"/>
  <c r="GD15" i="123"/>
  <c r="EK15" i="123"/>
  <c r="EK14" i="123"/>
  <c r="EE13" i="123"/>
  <c r="CE13" i="123"/>
  <c r="T13" i="120"/>
  <c r="T179" i="120"/>
  <c r="T180" i="120" s="1"/>
  <c r="AM176" i="120"/>
  <c r="AL9" i="120"/>
  <c r="AL176" i="120" s="1"/>
  <c r="BG9" i="120"/>
  <c r="BK9" i="120"/>
  <c r="CF9" i="120"/>
  <c r="CF10" i="120" s="1"/>
  <c r="BH176" i="120"/>
  <c r="BH177" i="120" s="1"/>
  <c r="E179" i="120"/>
  <c r="E180" i="120" s="1"/>
  <c r="E13" i="120"/>
  <c r="AL9" i="121"/>
  <c r="AF11" i="121"/>
  <c r="AG12" i="121"/>
  <c r="CF175" i="120"/>
  <c r="CI8" i="120"/>
  <c r="Z179" i="120"/>
  <c r="Z180" i="120" s="1"/>
  <c r="Z13" i="120"/>
  <c r="ED68" i="121"/>
  <c r="ED69" i="121"/>
  <c r="EE69" i="121"/>
  <c r="EE68" i="121"/>
  <c r="H68" i="123"/>
  <c r="H69" i="123" s="1"/>
  <c r="I69" i="123"/>
  <c r="AA69" i="123"/>
  <c r="BW69" i="123"/>
  <c r="CE180" i="122"/>
  <c r="CH180" i="122" s="1"/>
  <c r="BJ180" i="122"/>
  <c r="GC73" i="123"/>
  <c r="CE70" i="123"/>
  <c r="CK71" i="123"/>
  <c r="ED71" i="123"/>
  <c r="CE161" i="120"/>
  <c r="CH161" i="120" s="1"/>
  <c r="BJ161" i="120"/>
  <c r="AI221" i="120"/>
  <c r="BG155" i="120"/>
  <c r="BH221" i="120"/>
  <c r="CF155" i="120"/>
  <c r="BH149" i="120"/>
  <c r="AJ215" i="120"/>
  <c r="GC72" i="121"/>
  <c r="GD71" i="121"/>
  <c r="GC71" i="121"/>
  <c r="GE73" i="121"/>
  <c r="ED73" i="121"/>
  <c r="CG153" i="120"/>
  <c r="BI219" i="120"/>
  <c r="BL219" i="120" s="1"/>
  <c r="BL153" i="120"/>
  <c r="BG153" i="120"/>
  <c r="AI219" i="120"/>
  <c r="CG67" i="121"/>
  <c r="AK215" i="120"/>
  <c r="BI149" i="120"/>
  <c r="AN149" i="120"/>
  <c r="CE67" i="121"/>
  <c r="AI149" i="120"/>
  <c r="AC215" i="120"/>
  <c r="GE68" i="121"/>
  <c r="GD55" i="123"/>
  <c r="GD58" i="123"/>
  <c r="CF174" i="122"/>
  <c r="GD57" i="123"/>
  <c r="GD56" i="123"/>
  <c r="CF172" i="122"/>
  <c r="BH115" i="122"/>
  <c r="AJ168" i="122"/>
  <c r="BG170" i="122"/>
  <c r="CE117" i="122"/>
  <c r="GD54" i="123"/>
  <c r="ED53" i="123"/>
  <c r="EE53" i="123"/>
  <c r="EF58" i="123"/>
  <c r="ED58" i="123"/>
  <c r="ED57" i="123"/>
  <c r="EF57" i="123"/>
  <c r="CM57" i="123"/>
  <c r="ED56" i="123"/>
  <c r="AI115" i="122"/>
  <c r="AC168" i="122"/>
  <c r="AK168" i="122"/>
  <c r="BI115" i="122"/>
  <c r="CM56" i="123"/>
  <c r="EF56" i="123"/>
  <c r="EF55" i="123"/>
  <c r="CM55" i="123"/>
  <c r="ED55" i="123"/>
  <c r="ED54" i="123"/>
  <c r="EF54" i="123"/>
  <c r="GE53" i="123"/>
  <c r="GE40" i="123"/>
  <c r="W179" i="122"/>
  <c r="CG42" i="123"/>
  <c r="EF41" i="123"/>
  <c r="CG41" i="122"/>
  <c r="BI151" i="122"/>
  <c r="EF35" i="123"/>
  <c r="CF76" i="122"/>
  <c r="BH155" i="122"/>
  <c r="X163" i="122"/>
  <c r="BB47" i="123" s="1"/>
  <c r="BT47" i="123" s="1"/>
  <c r="AL82" i="122"/>
  <c r="BG82" i="122"/>
  <c r="AI160" i="122"/>
  <c r="AI151" i="122"/>
  <c r="BG41" i="122"/>
  <c r="BB43" i="123"/>
  <c r="BB61" i="123" s="1"/>
  <c r="W40" i="122"/>
  <c r="X124" i="122"/>
  <c r="CF70" i="122"/>
  <c r="CF72" i="122"/>
  <c r="CI72" i="122" s="1"/>
  <c r="BG70" i="122"/>
  <c r="BG218" i="122"/>
  <c r="CE220" i="122"/>
  <c r="CE72" i="122"/>
  <c r="CH72" i="122" s="1"/>
  <c r="AI162" i="122"/>
  <c r="AL162" i="122" s="1"/>
  <c r="BG85" i="122"/>
  <c r="AL85" i="122"/>
  <c r="BG209" i="122"/>
  <c r="AL209" i="122"/>
  <c r="CF162" i="122"/>
  <c r="CI162" i="122" s="1"/>
  <c r="CI85" i="122"/>
  <c r="BK209" i="122"/>
  <c r="CF209" i="122"/>
  <c r="CI209" i="122" s="1"/>
  <c r="CE67" i="122"/>
  <c r="CH67" i="122" s="1"/>
  <c r="CF67" i="122"/>
  <c r="CI67" i="122" s="1"/>
  <c r="CE215" i="122"/>
  <c r="CF215" i="122"/>
  <c r="CE45" i="122"/>
  <c r="BG155" i="122"/>
  <c r="ED38" i="123"/>
  <c r="EE38" i="123"/>
  <c r="EE35" i="123"/>
  <c r="ED35" i="123"/>
  <c r="CE196" i="122"/>
  <c r="CF196" i="122"/>
  <c r="BK196" i="122"/>
  <c r="CE32" i="122"/>
  <c r="CH32" i="122" s="1"/>
  <c r="AC21" i="122"/>
  <c r="AI21" i="122" s="1"/>
  <c r="AJ21" i="122"/>
  <c r="CE35" i="122"/>
  <c r="CH35" i="122" s="1"/>
  <c r="AM29" i="122"/>
  <c r="BH29" i="122"/>
  <c r="BG29" i="122"/>
  <c r="BJ33" i="122"/>
  <c r="CE33" i="122"/>
  <c r="CH33" i="122" s="1"/>
  <c r="CE197" i="122"/>
  <c r="CF33" i="122"/>
  <c r="CI33" i="122" s="1"/>
  <c r="BK33" i="122"/>
  <c r="BK197" i="122"/>
  <c r="CF197" i="122"/>
  <c r="ED37" i="123"/>
  <c r="EE37" i="123"/>
  <c r="CF26" i="122"/>
  <c r="BH156" i="122"/>
  <c r="BH28" i="122"/>
  <c r="BG26" i="122"/>
  <c r="AI28" i="122"/>
  <c r="AI156" i="122"/>
  <c r="AJ158" i="122"/>
  <c r="AC159" i="122"/>
  <c r="AC163" i="122" s="1"/>
  <c r="CK46" i="123"/>
  <c r="ED46" i="123"/>
  <c r="BG81" i="122"/>
  <c r="BH81" i="122"/>
  <c r="EE46" i="123"/>
  <c r="ED39" i="123"/>
  <c r="EE39" i="123"/>
  <c r="CE208" i="122"/>
  <c r="BJ89" i="122"/>
  <c r="CE89" i="122"/>
  <c r="CH89" i="122" s="1"/>
  <c r="ED44" i="123"/>
  <c r="CH102" i="122"/>
  <c r="BJ103" i="122"/>
  <c r="CE103" i="122"/>
  <c r="BG161" i="122"/>
  <c r="CE195" i="122"/>
  <c r="CE95" i="122"/>
  <c r="BG152" i="122"/>
  <c r="EE36" i="123"/>
  <c r="ED40" i="123"/>
  <c r="EE40" i="123"/>
  <c r="BA42" i="123"/>
  <c r="BS41" i="123"/>
  <c r="BT42" i="123"/>
  <c r="CF41" i="123"/>
  <c r="GD44" i="123"/>
  <c r="CE194" i="122"/>
  <c r="EE45" i="123"/>
  <c r="ED45" i="123"/>
  <c r="AI196" i="120"/>
  <c r="BG30" i="120"/>
  <c r="CG55" i="121"/>
  <c r="EF53" i="121"/>
  <c r="EF48" i="121"/>
  <c r="BH69" i="120"/>
  <c r="AC62" i="120"/>
  <c r="AI62" i="120" s="1"/>
  <c r="AJ62" i="120"/>
  <c r="AI69" i="120"/>
  <c r="AC261" i="120"/>
  <c r="AC260" i="120" s="1"/>
  <c r="AC270" i="120" s="1"/>
  <c r="CE63" i="120"/>
  <c r="BG65" i="120"/>
  <c r="BH29" i="120"/>
  <c r="BA55" i="121"/>
  <c r="AI36" i="120"/>
  <c r="BG35" i="120"/>
  <c r="AI202" i="120"/>
  <c r="CF36" i="120"/>
  <c r="CE109" i="120"/>
  <c r="CH109" i="120" s="1"/>
  <c r="BJ109" i="120"/>
  <c r="BK109" i="120"/>
  <c r="CF109" i="120"/>
  <c r="BH241" i="120"/>
  <c r="BK241" i="120" s="1"/>
  <c r="BJ117" i="120"/>
  <c r="CE117" i="120"/>
  <c r="CH117" i="120" s="1"/>
  <c r="CF117" i="120"/>
  <c r="CI117" i="120" s="1"/>
  <c r="BK117" i="120"/>
  <c r="W99" i="120"/>
  <c r="AD99" i="120"/>
  <c r="AC106" i="120"/>
  <c r="AI106" i="120" s="1"/>
  <c r="AJ106" i="120"/>
  <c r="CF100" i="120"/>
  <c r="BH199" i="120"/>
  <c r="CF119" i="120"/>
  <c r="CI119" i="120" s="1"/>
  <c r="EE50" i="121"/>
  <c r="CL50" i="121"/>
  <c r="ED48" i="121"/>
  <c r="EE48" i="121"/>
  <c r="CI83" i="120"/>
  <c r="CF257" i="120"/>
  <c r="CI257" i="120" s="1"/>
  <c r="AI259" i="120"/>
  <c r="AL259" i="120" s="1"/>
  <c r="AL85" i="120"/>
  <c r="BG85" i="120"/>
  <c r="ED51" i="121"/>
  <c r="GC51" i="121" s="1"/>
  <c r="BG242" i="120"/>
  <c r="BJ242" i="120" s="1"/>
  <c r="BJ75" i="120"/>
  <c r="CE75" i="120"/>
  <c r="BH261" i="120"/>
  <c r="CF90" i="120"/>
  <c r="AJ260" i="120"/>
  <c r="CE90" i="120"/>
  <c r="CE200" i="120"/>
  <c r="EE52" i="121"/>
  <c r="ED52" i="121"/>
  <c r="BK84" i="120"/>
  <c r="CF84" i="120"/>
  <c r="BH258" i="120"/>
  <c r="BK258" i="120" s="1"/>
  <c r="AI258" i="120"/>
  <c r="AL258" i="120" s="1"/>
  <c r="BG84" i="120"/>
  <c r="AL84" i="120"/>
  <c r="AJ53" i="120"/>
  <c r="BH53" i="120" s="1"/>
  <c r="CF249" i="120"/>
  <c r="CI249" i="120" s="1"/>
  <c r="CI88" i="120"/>
  <c r="CF61" i="120"/>
  <c r="CF71" i="120"/>
  <c r="ED57" i="121"/>
  <c r="EE57" i="121"/>
  <c r="CE133" i="120"/>
  <c r="BJ133" i="120"/>
  <c r="BG241" i="120"/>
  <c r="BJ136" i="120"/>
  <c r="BG249" i="120"/>
  <c r="CE136" i="120"/>
  <c r="CI262" i="120"/>
  <c r="CE114" i="120"/>
  <c r="BJ114" i="120"/>
  <c r="BG253" i="120"/>
  <c r="BJ253" i="120" s="1"/>
  <c r="BG254" i="120"/>
  <c r="CE115" i="120"/>
  <c r="BJ115" i="120"/>
  <c r="BH254" i="120"/>
  <c r="CF115" i="120"/>
  <c r="BK115" i="120"/>
  <c r="CE59" i="120"/>
  <c r="CF198" i="120"/>
  <c r="CI198" i="120" s="1"/>
  <c r="CI57" i="120"/>
  <c r="CE57" i="120"/>
  <c r="BG198" i="120"/>
  <c r="BJ198" i="120" s="1"/>
  <c r="BJ57" i="120"/>
  <c r="CE56" i="120"/>
  <c r="BG197" i="120"/>
  <c r="CH58" i="120"/>
  <c r="GC50" i="121"/>
  <c r="CF54" i="121"/>
  <c r="CF55" i="121" s="1"/>
  <c r="CE54" i="121"/>
  <c r="ED49" i="121"/>
  <c r="EE49" i="121"/>
  <c r="CH131" i="120"/>
  <c r="CF238" i="120"/>
  <c r="CI131" i="120"/>
  <c r="CF205" i="120"/>
  <c r="EE58" i="121"/>
  <c r="ED58" i="121"/>
  <c r="CF139" i="120"/>
  <c r="CI139" i="120" s="1"/>
  <c r="CI141" i="120"/>
  <c r="CF268" i="120"/>
  <c r="AL141" i="120"/>
  <c r="BG141" i="120"/>
  <c r="AI268" i="120"/>
  <c r="EE59" i="121"/>
  <c r="ED59" i="121"/>
  <c r="BB56" i="121"/>
  <c r="X224" i="120"/>
  <c r="X226" i="120" s="1"/>
  <c r="X208" i="120"/>
  <c r="BB60" i="121" s="1"/>
  <c r="AC130" i="120"/>
  <c r="AJ130" i="120"/>
  <c r="AD204" i="120"/>
  <c r="W208" i="120"/>
  <c r="W224" i="120"/>
  <c r="W231" i="120" s="1"/>
  <c r="W123" i="120"/>
  <c r="W158" i="120" s="1"/>
  <c r="W165" i="120" s="1"/>
  <c r="AD123" i="120"/>
  <c r="X158" i="120"/>
  <c r="EE51" i="121"/>
  <c r="CF129" i="120"/>
  <c r="CF201" i="120"/>
  <c r="CE53" i="121"/>
  <c r="BS55" i="121"/>
  <c r="EE53" i="121"/>
  <c r="GE43" i="121"/>
  <c r="EE37" i="121"/>
  <c r="CE34" i="121"/>
  <c r="BS42" i="121"/>
  <c r="GC37" i="121"/>
  <c r="GC30" i="121"/>
  <c r="CF18" i="121"/>
  <c r="BS18" i="121"/>
  <c r="BZ18" i="121"/>
  <c r="BY18" i="121" s="1"/>
  <c r="AJ159" i="120"/>
  <c r="AC159" i="120"/>
  <c r="GD16" i="121"/>
  <c r="ED16" i="121"/>
  <c r="ED40" i="121" s="1"/>
  <c r="EK16" i="121"/>
  <c r="EE40" i="121"/>
  <c r="GC22" i="123"/>
  <c r="GC25" i="123"/>
  <c r="EE25" i="123"/>
  <c r="BG13" i="122"/>
  <c r="CF13" i="122"/>
  <c r="C51" i="124"/>
  <c r="CE146" i="122"/>
  <c r="CH146" i="122" s="1"/>
  <c r="CI146" i="122"/>
  <c r="BA26" i="123"/>
  <c r="BA62" i="123"/>
  <c r="BS62" i="123" s="1"/>
  <c r="AJ125" i="122"/>
  <c r="BH9" i="122"/>
  <c r="AM9" i="122"/>
  <c r="BT26" i="123"/>
  <c r="CF9" i="123"/>
  <c r="CE9" i="123" s="1"/>
  <c r="CE26" i="123" s="1"/>
  <c r="BZ9" i="123"/>
  <c r="AD178" i="122"/>
  <c r="AJ143" i="122"/>
  <c r="BZ62" i="123"/>
  <c r="CF62" i="123"/>
  <c r="CE144" i="122"/>
  <c r="CH144" i="122" s="1"/>
  <c r="CI144" i="122"/>
  <c r="GD8" i="123"/>
  <c r="EK8" i="123"/>
  <c r="ED8" i="123"/>
  <c r="EK15" i="121"/>
  <c r="EJ15" i="121" s="1"/>
  <c r="ED15" i="121"/>
  <c r="EE39" i="121"/>
  <c r="EE41" i="121"/>
  <c r="GD15" i="121"/>
  <c r="C17" i="124"/>
  <c r="CE39" i="121"/>
  <c r="CK39" i="121" s="1"/>
  <c r="CE41" i="121"/>
  <c r="BZ77" i="121"/>
  <c r="BS77" i="121"/>
  <c r="CF15" i="120"/>
  <c r="BH182" i="120"/>
  <c r="BG15" i="120"/>
  <c r="BG182" i="120" s="1"/>
  <c r="BK15" i="120"/>
  <c r="BH14" i="120"/>
  <c r="AJ181" i="120"/>
  <c r="AJ225" i="120" s="1"/>
  <c r="AJ12" i="120"/>
  <c r="AI14" i="120"/>
  <c r="AI181" i="120" s="1"/>
  <c r="AI225" i="120" s="1"/>
  <c r="CL14" i="121"/>
  <c r="CF38" i="121"/>
  <c r="CF77" i="121"/>
  <c r="CE14" i="121"/>
  <c r="CE38" i="121" s="1"/>
  <c r="AM182" i="120"/>
  <c r="AL15" i="120"/>
  <c r="AL182" i="120" s="1"/>
  <c r="AM14" i="120"/>
  <c r="EK9" i="121"/>
  <c r="EJ9" i="121" s="1"/>
  <c r="GD9" i="121"/>
  <c r="ED9" i="121"/>
  <c r="EE8" i="121"/>
  <c r="CF11" i="121"/>
  <c r="CF10" i="121"/>
  <c r="W179" i="120"/>
  <c r="W180" i="120" s="1"/>
  <c r="W13" i="120"/>
  <c r="CJ145" i="122"/>
  <c r="CE145" i="122"/>
  <c r="CH145" i="122" s="1"/>
  <c r="EF9" i="123"/>
  <c r="CG26" i="123"/>
  <c r="AN9" i="122"/>
  <c r="BI9" i="122"/>
  <c r="AI9" i="122"/>
  <c r="AK125" i="122"/>
  <c r="AC125" i="122"/>
  <c r="CE11" i="122"/>
  <c r="CJ11" i="122"/>
  <c r="CH11" i="122" s="1"/>
  <c r="AK143" i="122"/>
  <c r="AE178" i="122"/>
  <c r="CG62" i="123"/>
  <c r="CJ175" i="120"/>
  <c r="CJ177" i="120" s="1"/>
  <c r="CH8" i="120"/>
  <c r="CH175" i="120" s="1"/>
  <c r="CJ11" i="120"/>
  <c r="CG178" i="120"/>
  <c r="CG11" i="121"/>
  <c r="CG10" i="121"/>
  <c r="CE8" i="121"/>
  <c r="CE10" i="121" s="1"/>
  <c r="EF8" i="121"/>
  <c r="CE175" i="120"/>
  <c r="AE179" i="120"/>
  <c r="AE180" i="120" s="1"/>
  <c r="AC12" i="120"/>
  <c r="AE13" i="120"/>
  <c r="CJ10" i="120"/>
  <c r="CG177" i="120"/>
  <c r="BU12" i="121"/>
  <c r="BS11" i="121"/>
  <c r="AU49" i="6" l="1"/>
  <c r="DA33" i="8" s="1"/>
  <c r="AU48" i="6"/>
  <c r="DA26" i="8" s="1"/>
  <c r="AU50" i="6"/>
  <c r="DA41" i="8" s="1"/>
  <c r="AU47" i="6"/>
  <c r="DA16" i="8" s="1"/>
  <c r="AM92" i="122"/>
  <c r="AF92" i="122"/>
  <c r="AL92" i="122" s="1"/>
  <c r="AF108" i="122"/>
  <c r="AL108" i="122" s="1"/>
  <c r="AM108" i="122"/>
  <c r="CL102" i="120"/>
  <c r="CN147" i="120"/>
  <c r="CN152" i="120"/>
  <c r="DQ64" i="121"/>
  <c r="EC64" i="121" s="1"/>
  <c r="AQ31" i="7"/>
  <c r="AR31" i="7" s="1"/>
  <c r="AS31" i="7" s="1"/>
  <c r="CL96" i="122"/>
  <c r="AM217" i="122"/>
  <c r="AN117" i="120"/>
  <c r="AF117" i="120"/>
  <c r="AL117" i="120" s="1"/>
  <c r="AP58" i="122"/>
  <c r="AM58" i="122"/>
  <c r="AF58" i="122"/>
  <c r="AL58" i="122" s="1"/>
  <c r="AF60" i="125"/>
  <c r="GK75" i="121"/>
  <c r="CE83" i="120"/>
  <c r="BG257" i="120"/>
  <c r="AC99" i="8"/>
  <c r="BF256" i="120"/>
  <c r="BL256" i="120" s="1"/>
  <c r="BL82" i="120"/>
  <c r="BM175" i="122"/>
  <c r="CL122" i="122"/>
  <c r="I62" i="96"/>
  <c r="L45" i="96"/>
  <c r="I52" i="96"/>
  <c r="BF8" i="122"/>
  <c r="AF8" i="122"/>
  <c r="AN8" i="122"/>
  <c r="AL8" i="122" s="1"/>
  <c r="AA84" i="121"/>
  <c r="AQ257" i="120"/>
  <c r="BO83" i="120"/>
  <c r="CN83" i="120" s="1"/>
  <c r="AO83" i="120"/>
  <c r="AO257" i="120" s="1"/>
  <c r="Q50" i="65"/>
  <c r="Q52" i="65" s="1"/>
  <c r="Q47" i="65"/>
  <c r="T16" i="82"/>
  <c r="W16" i="82"/>
  <c r="CL72" i="120"/>
  <c r="AU33" i="8"/>
  <c r="AT27" i="8"/>
  <c r="AT94" i="8"/>
  <c r="AU46" i="8"/>
  <c r="AU94" i="8" s="1"/>
  <c r="AU20" i="8"/>
  <c r="AU87" i="8" s="1"/>
  <c r="AT87" i="8"/>
  <c r="G37" i="132"/>
  <c r="G38" i="132" s="1"/>
  <c r="G16" i="127"/>
  <c r="I16" i="127" s="1"/>
  <c r="AZ53" i="123"/>
  <c r="BI53" i="123" s="1"/>
  <c r="BD58" i="120"/>
  <c r="BJ58" i="120" s="1"/>
  <c r="BK58" i="120"/>
  <c r="N123" i="56"/>
  <c r="N122" i="56" s="1"/>
  <c r="W122" i="56" s="1"/>
  <c r="AF38" i="121"/>
  <c r="BK93" i="122"/>
  <c r="J24" i="85"/>
  <c r="T35" i="32"/>
  <c r="V35" i="32" s="1"/>
  <c r="DQ56" i="123"/>
  <c r="EC56" i="123" s="1"/>
  <c r="AP69" i="122"/>
  <c r="BE69" i="122"/>
  <c r="AM69" i="122"/>
  <c r="AF69" i="122"/>
  <c r="AL69" i="122" s="1"/>
  <c r="AG40" i="3"/>
  <c r="AE39" i="3"/>
  <c r="BD110" i="122"/>
  <c r="BK110" i="122"/>
  <c r="CN137" i="120"/>
  <c r="BF137" i="120"/>
  <c r="BL137" i="120" s="1"/>
  <c r="AC74" i="8"/>
  <c r="AC75" i="8" s="1"/>
  <c r="AC71" i="8"/>
  <c r="AC70" i="8"/>
  <c r="AC68" i="8"/>
  <c r="EM59" i="123"/>
  <c r="EX59" i="123"/>
  <c r="AQ222" i="122"/>
  <c r="BF222" i="122" s="1"/>
  <c r="BL222" i="122" s="1"/>
  <c r="AQ92" i="122"/>
  <c r="BO93" i="122"/>
  <c r="R16" i="92"/>
  <c r="R15" i="92" s="1"/>
  <c r="N39" i="105"/>
  <c r="AL22" i="121"/>
  <c r="AM14" i="121"/>
  <c r="AL14" i="121" s="1"/>
  <c r="AP210" i="122"/>
  <c r="BN87" i="122"/>
  <c r="BN210" i="122" s="1"/>
  <c r="DH59" i="123"/>
  <c r="CW59" i="123"/>
  <c r="AP12" i="6"/>
  <c r="BF46" i="120"/>
  <c r="BL46" i="120" s="1"/>
  <c r="AU23" i="8"/>
  <c r="AU89" i="8" s="1"/>
  <c r="AT89" i="8"/>
  <c r="AU26" i="8"/>
  <c r="AU92" i="8" s="1"/>
  <c r="AT92" i="8"/>
  <c r="BA32" i="7"/>
  <c r="AZ33" i="7"/>
  <c r="BE102" i="122"/>
  <c r="BN102" i="122"/>
  <c r="AF51" i="122"/>
  <c r="AG161" i="122"/>
  <c r="AM161" i="122" s="1"/>
  <c r="AP51" i="122"/>
  <c r="AM51" i="122"/>
  <c r="DV84" i="121"/>
  <c r="CM58" i="120"/>
  <c r="AD40" i="121"/>
  <c r="AM40" i="121" s="1"/>
  <c r="CC30" i="121"/>
  <c r="AM30" i="121"/>
  <c r="FP56" i="123"/>
  <c r="BP155" i="7"/>
  <c r="BP157" i="7"/>
  <c r="BN110" i="122"/>
  <c r="AO110" i="122"/>
  <c r="AP108" i="122"/>
  <c r="BE108" i="122" s="1"/>
  <c r="Q92" i="122"/>
  <c r="R81" i="122"/>
  <c r="Q81" i="122" s="1"/>
  <c r="CC21" i="123"/>
  <c r="BZ21" i="123"/>
  <c r="BQ27" i="123"/>
  <c r="BZ27" i="123" s="1"/>
  <c r="AD86" i="8"/>
  <c r="AD17" i="8"/>
  <c r="AD51" i="8" s="1"/>
  <c r="AQ256" i="120"/>
  <c r="BO82" i="120"/>
  <c r="BO256" i="120" s="1"/>
  <c r="AE45" i="65"/>
  <c r="AD51" i="65"/>
  <c r="AD52" i="65" s="1"/>
  <c r="AD47" i="65"/>
  <c r="Y63" i="32"/>
  <c r="Z63" i="32"/>
  <c r="CM93" i="120"/>
  <c r="BN264" i="120"/>
  <c r="AB36" i="65"/>
  <c r="AC36" i="65" s="1"/>
  <c r="AD36" i="65" s="1"/>
  <c r="AE36" i="65" s="1"/>
  <c r="AF36" i="65" s="1"/>
  <c r="AA36" i="65"/>
  <c r="AJ36" i="65"/>
  <c r="T11" i="98"/>
  <c r="S16" i="98"/>
  <c r="S26" i="98"/>
  <c r="S9" i="98"/>
  <c r="AG65" i="122"/>
  <c r="R213" i="122"/>
  <c r="AG213" i="122" s="1"/>
  <c r="AM213" i="122" s="1"/>
  <c r="Q65" i="122"/>
  <c r="Q213" i="122" s="1"/>
  <c r="AF213" i="122" s="1"/>
  <c r="BF257" i="120"/>
  <c r="BL257" i="120" s="1"/>
  <c r="BD83" i="120"/>
  <c r="BD257" i="120" s="1"/>
  <c r="AC47" i="59"/>
  <c r="AE47" i="59" s="1"/>
  <c r="AC39" i="59"/>
  <c r="AE43" i="59"/>
  <c r="G63" i="123"/>
  <c r="G66" i="123"/>
  <c r="G67" i="123" s="1"/>
  <c r="G68" i="123" s="1"/>
  <c r="Z60" i="125"/>
  <c r="EL75" i="121"/>
  <c r="AT90" i="8"/>
  <c r="AU24" i="8"/>
  <c r="AT25" i="8"/>
  <c r="AT86" i="8"/>
  <c r="AU18" i="8"/>
  <c r="AT17" i="8"/>
  <c r="CG247" i="120"/>
  <c r="CJ247" i="120" s="1"/>
  <c r="CJ80" i="120"/>
  <c r="FV83" i="121"/>
  <c r="FV84" i="121" s="1"/>
  <c r="FM84" i="121"/>
  <c r="BM258" i="120"/>
  <c r="CL84" i="120"/>
  <c r="AL30" i="121"/>
  <c r="CB30" i="121"/>
  <c r="W29" i="56"/>
  <c r="AP45" i="6"/>
  <c r="AP46" i="6" s="1"/>
  <c r="AL210" i="122"/>
  <c r="CN102" i="120"/>
  <c r="DQ57" i="121"/>
  <c r="J83" i="121"/>
  <c r="CM87" i="120"/>
  <c r="AD25" i="8"/>
  <c r="AD90" i="8"/>
  <c r="AD99" i="8" s="1"/>
  <c r="BO50" i="72"/>
  <c r="BP50" i="72" s="1"/>
  <c r="BW50" i="72" s="1"/>
  <c r="BS58" i="72"/>
  <c r="BV58" i="72"/>
  <c r="CG255" i="120"/>
  <c r="CJ255" i="120" s="1"/>
  <c r="CJ81" i="120"/>
  <c r="EC22" i="121"/>
  <c r="EL22" i="121" s="1"/>
  <c r="EL23" i="121"/>
  <c r="EJ23" i="121" s="1"/>
  <c r="BP21" i="123"/>
  <c r="BE210" i="122"/>
  <c r="BF93" i="122"/>
  <c r="BL93" i="122" s="1"/>
  <c r="BT100" i="8"/>
  <c r="BT52" i="8" s="1"/>
  <c r="BS65" i="8"/>
  <c r="Y11" i="98"/>
  <c r="AG36" i="65"/>
  <c r="AH36" i="65" s="1"/>
  <c r="BW65" i="8"/>
  <c r="BB62" i="3"/>
  <c r="J45" i="96" s="1"/>
  <c r="R101" i="122"/>
  <c r="AG101" i="122" s="1"/>
  <c r="Q108" i="122"/>
  <c r="B124" i="56"/>
  <c r="C123" i="56"/>
  <c r="AP67" i="122"/>
  <c r="AM67" i="122"/>
  <c r="AF67" i="122"/>
  <c r="AL67" i="122" s="1"/>
  <c r="X17" i="95"/>
  <c r="W26" i="95"/>
  <c r="W27" i="95" s="1"/>
  <c r="AB17" i="95"/>
  <c r="AT91" i="8"/>
  <c r="AU19" i="8"/>
  <c r="AU91" i="8" s="1"/>
  <c r="AU44" i="8"/>
  <c r="AU42" i="8" s="1"/>
  <c r="AU93" i="8" s="1"/>
  <c r="AT42" i="8"/>
  <c r="AT93" i="8" s="1"/>
  <c r="M62" i="125"/>
  <c r="AM77" i="121"/>
  <c r="CJ92" i="120"/>
  <c r="CG263" i="120"/>
  <c r="CJ263" i="120" s="1"/>
  <c r="AN116" i="122"/>
  <c r="AQ116" i="122"/>
  <c r="AH169" i="122"/>
  <c r="AN169" i="122" s="1"/>
  <c r="AY45" i="123"/>
  <c r="BH45" i="123" s="1"/>
  <c r="CL58" i="120"/>
  <c r="Z62" i="32"/>
  <c r="Y62" i="32"/>
  <c r="AG81" i="122"/>
  <c r="B81" i="122"/>
  <c r="N112" i="56"/>
  <c r="W112" i="56" s="1"/>
  <c r="Q222" i="122"/>
  <c r="AF222" i="122" s="1"/>
  <c r="AP92" i="122"/>
  <c r="AP81" i="122" s="1"/>
  <c r="BN93" i="122"/>
  <c r="AO93" i="122"/>
  <c r="E20" i="79"/>
  <c r="AU155" i="7"/>
  <c r="AU157" i="7"/>
  <c r="AL59" i="19"/>
  <c r="AL56" i="19"/>
  <c r="BD74" i="120"/>
  <c r="BJ74" i="120" s="1"/>
  <c r="BL74" i="120"/>
  <c r="BF241" i="120"/>
  <c r="AU82" i="7"/>
  <c r="AU80" i="7"/>
  <c r="AU83" i="7" s="1"/>
  <c r="AU85" i="7"/>
  <c r="AK67" i="123"/>
  <c r="CL55" i="122"/>
  <c r="FP62" i="121"/>
  <c r="FY62" i="121" s="1"/>
  <c r="CI77" i="121"/>
  <c r="CI12" i="121"/>
  <c r="CI13" i="121" s="1"/>
  <c r="CI38" i="121"/>
  <c r="CH14" i="121"/>
  <c r="CI51" i="120"/>
  <c r="CF266" i="120"/>
  <c r="CI266" i="120" s="1"/>
  <c r="GF27" i="123"/>
  <c r="GF28" i="123"/>
  <c r="CE122" i="120"/>
  <c r="BG269" i="120"/>
  <c r="GH10" i="121"/>
  <c r="GH11" i="121"/>
  <c r="BF262" i="120"/>
  <c r="BD118" i="120"/>
  <c r="AJ78" i="121"/>
  <c r="AI77" i="121"/>
  <c r="AI78" i="121" s="1"/>
  <c r="AW31" i="8"/>
  <c r="BA31" i="8"/>
  <c r="GJ11" i="123"/>
  <c r="GI11" i="123" s="1"/>
  <c r="GC11" i="123"/>
  <c r="GC29" i="123" s="1"/>
  <c r="EX38" i="123"/>
  <c r="FG38" i="123" s="1"/>
  <c r="FP38" i="123"/>
  <c r="CM82" i="120"/>
  <c r="BN256" i="120"/>
  <c r="BM82" i="120"/>
  <c r="BM256" i="120" s="1"/>
  <c r="AL48" i="120"/>
  <c r="AF263" i="120"/>
  <c r="CL87" i="120"/>
  <c r="CN95" i="120"/>
  <c r="BO94" i="120"/>
  <c r="CN94" i="120" s="1"/>
  <c r="I163" i="122"/>
  <c r="O47" i="123" s="1"/>
  <c r="O43" i="123"/>
  <c r="O61" i="123" s="1"/>
  <c r="O66" i="123" s="1"/>
  <c r="I177" i="122"/>
  <c r="I179" i="122" s="1"/>
  <c r="CY71" i="121"/>
  <c r="DH71" i="121" s="1"/>
  <c r="CJ75" i="120"/>
  <c r="CG242" i="120"/>
  <c r="CJ242" i="120" s="1"/>
  <c r="E18" i="84"/>
  <c r="K19" i="32"/>
  <c r="AC39" i="3"/>
  <c r="AA43" i="3"/>
  <c r="AC43" i="3" s="1"/>
  <c r="BD56" i="72"/>
  <c r="BD56" i="9"/>
  <c r="BD191" i="120"/>
  <c r="X29" i="125"/>
  <c r="CN148" i="120"/>
  <c r="BO217" i="120"/>
  <c r="EO69" i="121" s="1"/>
  <c r="EX69" i="121" s="1"/>
  <c r="FG69" i="121" s="1"/>
  <c r="CN151" i="120"/>
  <c r="CM85" i="120"/>
  <c r="BN259" i="120"/>
  <c r="CF253" i="120"/>
  <c r="CI253" i="120" s="1"/>
  <c r="CI114" i="120"/>
  <c r="AV141" i="7"/>
  <c r="BF50" i="72"/>
  <c r="BS50" i="72" s="1"/>
  <c r="BD50" i="72"/>
  <c r="BG50" i="72" s="1"/>
  <c r="AU226" i="120"/>
  <c r="BL262" i="120"/>
  <c r="N75" i="122"/>
  <c r="AJ75" i="122"/>
  <c r="BH75" i="122" s="1"/>
  <c r="BP31" i="17"/>
  <c r="BN40" i="17"/>
  <c r="BP40" i="17" s="1"/>
  <c r="AL74" i="120"/>
  <c r="AF241" i="120"/>
  <c r="AL241" i="120" s="1"/>
  <c r="CJ96" i="120"/>
  <c r="CG268" i="120"/>
  <c r="CJ268" i="120" s="1"/>
  <c r="BJ81" i="120"/>
  <c r="CE81" i="120"/>
  <c r="BG255" i="120"/>
  <c r="BJ255" i="120" s="1"/>
  <c r="CE76" i="120"/>
  <c r="BG243" i="120"/>
  <c r="BK82" i="120"/>
  <c r="BE256" i="120"/>
  <c r="BK256" i="120" s="1"/>
  <c r="BD82" i="120"/>
  <c r="BM96" i="120"/>
  <c r="CL96" i="120" s="1"/>
  <c r="CM96" i="120"/>
  <c r="CU68" i="123"/>
  <c r="BI50" i="121"/>
  <c r="AX50" i="121"/>
  <c r="EH42" i="121"/>
  <c r="EH14" i="121"/>
  <c r="CF210" i="120"/>
  <c r="CI210" i="120" s="1"/>
  <c r="CI144" i="120"/>
  <c r="AI38" i="121"/>
  <c r="AI12" i="121"/>
  <c r="AI13" i="121" s="1"/>
  <c r="BF94" i="120"/>
  <c r="BL94" i="120" s="1"/>
  <c r="AA19" i="125"/>
  <c r="BM181" i="120"/>
  <c r="BM225" i="120" s="1"/>
  <c r="K10" i="84"/>
  <c r="BD35" i="11"/>
  <c r="BH35" i="11" s="1"/>
  <c r="BD30" i="11"/>
  <c r="BH30" i="11" s="1"/>
  <c r="BD34" i="11"/>
  <c r="BH34" i="11" s="1"/>
  <c r="BD29" i="11"/>
  <c r="BH29" i="11" s="1"/>
  <c r="BD32" i="11"/>
  <c r="BH32" i="11" s="1"/>
  <c r="BD33" i="11"/>
  <c r="BH33" i="11" s="1"/>
  <c r="BD31" i="11"/>
  <c r="BH31" i="11" s="1"/>
  <c r="CN69" i="120"/>
  <c r="BF189" i="120"/>
  <c r="Z27" i="125"/>
  <c r="BF14" i="120"/>
  <c r="AC51" i="125"/>
  <c r="FY66" i="121"/>
  <c r="BG248" i="120"/>
  <c r="BJ248" i="120" s="1"/>
  <c r="CE77" i="120"/>
  <c r="AI267" i="120"/>
  <c r="BG121" i="120"/>
  <c r="CN113" i="120"/>
  <c r="BW83" i="121"/>
  <c r="BW84" i="121" s="1"/>
  <c r="AU83" i="121"/>
  <c r="AV84" i="121"/>
  <c r="CY69" i="121"/>
  <c r="DH69" i="121" s="1"/>
  <c r="DQ69" i="121"/>
  <c r="AV27" i="7"/>
  <c r="AV63" i="7" s="1"/>
  <c r="CJ55" i="120"/>
  <c r="CG200" i="120"/>
  <c r="CJ200" i="120" s="1"/>
  <c r="H40" i="122"/>
  <c r="AE179" i="122"/>
  <c r="AE177" i="122"/>
  <c r="D40" i="132"/>
  <c r="D41" i="132" s="1"/>
  <c r="CN31" i="120"/>
  <c r="BD241" i="120"/>
  <c r="BJ241" i="120" s="1"/>
  <c r="N85" i="68"/>
  <c r="AL263" i="120"/>
  <c r="N17" i="65"/>
  <c r="N13" i="65" s="1"/>
  <c r="G34" i="63"/>
  <c r="L21" i="87" s="1"/>
  <c r="K21" i="87" s="1"/>
  <c r="AP46" i="120"/>
  <c r="AO46" i="120" s="1"/>
  <c r="AF46" i="120"/>
  <c r="AL46" i="120" s="1"/>
  <c r="BE46" i="120"/>
  <c r="AL57" i="19"/>
  <c r="BO74" i="120"/>
  <c r="AO74" i="120"/>
  <c r="AO241" i="120" s="1"/>
  <c r="AQ241" i="120"/>
  <c r="AV150" i="7"/>
  <c r="DE68" i="123"/>
  <c r="DC67" i="123"/>
  <c r="X47" i="126"/>
  <c r="DZ56" i="123"/>
  <c r="GG14" i="121"/>
  <c r="GG42" i="121"/>
  <c r="CJ97" i="122"/>
  <c r="CG155" i="122"/>
  <c r="CJ155" i="122" s="1"/>
  <c r="DU78" i="121"/>
  <c r="DU84" i="121"/>
  <c r="AI252" i="120"/>
  <c r="AL252" i="120" s="1"/>
  <c r="BG113" i="120"/>
  <c r="BZ18" i="8"/>
  <c r="BZ19" i="8" s="1"/>
  <c r="F3" i="77"/>
  <c r="E3" i="77" s="1"/>
  <c r="F20" i="77" s="1"/>
  <c r="F19" i="77" s="1"/>
  <c r="K21" i="65" s="1"/>
  <c r="O21" i="65" s="1"/>
  <c r="CB60" i="72"/>
  <c r="K36" i="65"/>
  <c r="O36" i="65" s="1"/>
  <c r="N36" i="65"/>
  <c r="BE48" i="120"/>
  <c r="AP263" i="120"/>
  <c r="AO48" i="120"/>
  <c r="AO263" i="120" s="1"/>
  <c r="BN48" i="120"/>
  <c r="AM91" i="8"/>
  <c r="AN19" i="8"/>
  <c r="AN91" i="8" s="1"/>
  <c r="E11" i="84"/>
  <c r="G11" i="84" s="1"/>
  <c r="K11" i="84" s="1"/>
  <c r="AQ261" i="120"/>
  <c r="AQ260" i="120" s="1"/>
  <c r="BF69" i="120"/>
  <c r="BL191" i="120"/>
  <c r="BL22" i="120"/>
  <c r="BL189" i="120" s="1"/>
  <c r="CM80" i="120"/>
  <c r="BN247" i="120"/>
  <c r="BM80" i="120"/>
  <c r="BM247" i="120" s="1"/>
  <c r="CD66" i="121"/>
  <c r="CA66" i="121"/>
  <c r="Q51" i="125"/>
  <c r="Q51" i="9"/>
  <c r="AA9" i="7"/>
  <c r="V48" i="9"/>
  <c r="AX39" i="8"/>
  <c r="AX89" i="8"/>
  <c r="BE138" i="120"/>
  <c r="AP262" i="120"/>
  <c r="AO138" i="120"/>
  <c r="AO262" i="120" s="1"/>
  <c r="AP137" i="120"/>
  <c r="BN138" i="120"/>
  <c r="FA66" i="123"/>
  <c r="FA67" i="123" s="1"/>
  <c r="FA63" i="123"/>
  <c r="BG60" i="120"/>
  <c r="AI61" i="120"/>
  <c r="U7" i="82"/>
  <c r="V20" i="82"/>
  <c r="U9" i="82" s="1"/>
  <c r="V9" i="82" s="1"/>
  <c r="AM267" i="120"/>
  <c r="BD52" i="122"/>
  <c r="BJ52" i="122" s="1"/>
  <c r="AL91" i="8"/>
  <c r="AK19" i="8"/>
  <c r="AK91" i="8" s="1"/>
  <c r="BF155" i="120"/>
  <c r="EY60" i="121"/>
  <c r="FQ60" i="121" s="1"/>
  <c r="J72" i="85"/>
  <c r="AL267" i="120"/>
  <c r="Z84" i="121"/>
  <c r="AZ47" i="8"/>
  <c r="AZ95" i="8" s="1"/>
  <c r="BB95" i="8"/>
  <c r="F17" i="65" s="1"/>
  <c r="F13" i="65" s="1"/>
  <c r="Y81" i="121"/>
  <c r="Y78" i="121"/>
  <c r="BK96" i="122"/>
  <c r="BD96" i="122"/>
  <c r="BE153" i="122"/>
  <c r="BK153" i="122" s="1"/>
  <c r="X20" i="125"/>
  <c r="BD182" i="120"/>
  <c r="S27" i="7"/>
  <c r="Z27" i="7"/>
  <c r="R27" i="7"/>
  <c r="CM91" i="120"/>
  <c r="BM91" i="120"/>
  <c r="CN51" i="120"/>
  <c r="BM51" i="120"/>
  <c r="CL51" i="120" s="1"/>
  <c r="CF134" i="120"/>
  <c r="BK134" i="120"/>
  <c r="BH243" i="120"/>
  <c r="BH267" i="120"/>
  <c r="BH265" i="120" s="1"/>
  <c r="CF121" i="120"/>
  <c r="BO262" i="120"/>
  <c r="BO117" i="120"/>
  <c r="CN117" i="120" s="1"/>
  <c r="CG129" i="120"/>
  <c r="CJ129" i="120" s="1"/>
  <c r="CJ127" i="120"/>
  <c r="DN68" i="123"/>
  <c r="DL67" i="123"/>
  <c r="CH122" i="122"/>
  <c r="CE175" i="122"/>
  <c r="CH175" i="122" s="1"/>
  <c r="BN50" i="120"/>
  <c r="CM50" i="120" s="1"/>
  <c r="AO256" i="120"/>
  <c r="CL82" i="120"/>
  <c r="O223" i="122"/>
  <c r="AJ223" i="122" s="1"/>
  <c r="BH223" i="122" s="1"/>
  <c r="CF223" i="122" s="1"/>
  <c r="CN153" i="120"/>
  <c r="BO219" i="120"/>
  <c r="EO71" i="121" s="1"/>
  <c r="EX71" i="121" s="1"/>
  <c r="FG71" i="121" s="1"/>
  <c r="BE98" i="120"/>
  <c r="BN98" i="120"/>
  <c r="BN94" i="120" s="1"/>
  <c r="AO98" i="120"/>
  <c r="AP269" i="120"/>
  <c r="W51" i="125"/>
  <c r="DZ66" i="121"/>
  <c r="CF113" i="120"/>
  <c r="BH252" i="120"/>
  <c r="BK252" i="120" s="1"/>
  <c r="BJ122" i="120"/>
  <c r="CJ58" i="120"/>
  <c r="CG199" i="120"/>
  <c r="CJ199" i="120" s="1"/>
  <c r="BJ134" i="120"/>
  <c r="CE134" i="120"/>
  <c r="CH134" i="120" s="1"/>
  <c r="K7" i="81"/>
  <c r="N7" i="81" s="1"/>
  <c r="K13" i="81"/>
  <c r="N13" i="81" s="1"/>
  <c r="P13" i="81" s="1"/>
  <c r="K10" i="81"/>
  <c r="N10" i="81" s="1"/>
  <c r="P10" i="81" s="1"/>
  <c r="K12" i="81"/>
  <c r="N12" i="81" s="1"/>
  <c r="P12" i="81" s="1"/>
  <c r="K11" i="81"/>
  <c r="N11" i="81" s="1"/>
  <c r="P11" i="81" s="1"/>
  <c r="K9" i="81"/>
  <c r="N9" i="81" s="1"/>
  <c r="P9" i="81" s="1"/>
  <c r="BF50" i="9"/>
  <c r="BD50" i="9"/>
  <c r="FY56" i="123"/>
  <c r="AD47" i="126"/>
  <c r="BY204" i="120"/>
  <c r="BY208" i="120" s="1"/>
  <c r="FQ38" i="121"/>
  <c r="M31" i="66"/>
  <c r="I72" i="85"/>
  <c r="BL52" i="120"/>
  <c r="BD52" i="120"/>
  <c r="BJ52" i="120" s="1"/>
  <c r="BF268" i="120"/>
  <c r="BL268" i="120" s="1"/>
  <c r="BL45" i="120"/>
  <c r="BD45" i="120"/>
  <c r="BJ45" i="120" s="1"/>
  <c r="BF254" i="120"/>
  <c r="BL254" i="120" s="1"/>
  <c r="BK120" i="120"/>
  <c r="BE266" i="120"/>
  <c r="BD120" i="120"/>
  <c r="BD266" i="120" s="1"/>
  <c r="P68" i="8"/>
  <c r="Q68" i="8" s="1"/>
  <c r="P71" i="8"/>
  <c r="BL113" i="122"/>
  <c r="BF166" i="122"/>
  <c r="BL166" i="122" s="1"/>
  <c r="AG213" i="120"/>
  <c r="AM213" i="120" s="1"/>
  <c r="AF147" i="120"/>
  <c r="AM147" i="120"/>
  <c r="AP147" i="120"/>
  <c r="BE147" i="120" s="1"/>
  <c r="CM50" i="123"/>
  <c r="U41" i="126"/>
  <c r="W43" i="123"/>
  <c r="W61" i="123" s="1"/>
  <c r="W74" i="123" s="1"/>
  <c r="AM29" i="11"/>
  <c r="AL29" i="11" s="1"/>
  <c r="AP29" i="11" s="1"/>
  <c r="F86" i="68"/>
  <c r="M63" i="121"/>
  <c r="B63" i="121"/>
  <c r="CJ66" i="123"/>
  <c r="EI66" i="123" s="1"/>
  <c r="GH66" i="123" s="1"/>
  <c r="BG214" i="120"/>
  <c r="CE148" i="120"/>
  <c r="BO210" i="122"/>
  <c r="CD210" i="122" s="1"/>
  <c r="CJ210" i="122" s="1"/>
  <c r="BM87" i="122"/>
  <c r="BM210" i="122" s="1"/>
  <c r="AF214" i="120"/>
  <c r="AL214" i="120" s="1"/>
  <c r="AL148" i="120"/>
  <c r="EX65" i="121"/>
  <c r="FG65" i="121" s="1"/>
  <c r="AW68" i="123"/>
  <c r="BX67" i="123"/>
  <c r="CJ67" i="123" s="1"/>
  <c r="AU67" i="123"/>
  <c r="X28" i="125"/>
  <c r="BD190" i="120"/>
  <c r="BG263" i="120"/>
  <c r="CE48" i="120"/>
  <c r="BL110" i="120"/>
  <c r="BF207" i="120"/>
  <c r="BL207" i="120" s="1"/>
  <c r="BD110" i="120"/>
  <c r="BF250" i="120"/>
  <c r="BL250" i="120" s="1"/>
  <c r="AQ207" i="120"/>
  <c r="CP59" i="121" s="1"/>
  <c r="BO110" i="120"/>
  <c r="CN110" i="120" s="1"/>
  <c r="AQ250" i="120"/>
  <c r="AO110" i="120"/>
  <c r="CN42" i="120"/>
  <c r="BO242" i="120"/>
  <c r="EX70" i="121"/>
  <c r="FG70" i="121" s="1"/>
  <c r="BN160" i="122"/>
  <c r="EN44" i="123" s="1"/>
  <c r="BN194" i="122"/>
  <c r="CC194" i="122" s="1"/>
  <c r="CI194" i="122" s="1"/>
  <c r="BK155" i="7"/>
  <c r="BK157" i="7"/>
  <c r="Q84" i="121"/>
  <c r="Q78" i="121"/>
  <c r="CN86" i="120"/>
  <c r="BN141" i="120"/>
  <c r="CM141" i="120" s="1"/>
  <c r="AO141" i="120"/>
  <c r="AP268" i="120"/>
  <c r="AP265" i="120" s="1"/>
  <c r="BD143" i="122"/>
  <c r="AF178" i="122"/>
  <c r="BH158" i="7"/>
  <c r="BH160" i="7"/>
  <c r="BH161" i="7" s="1"/>
  <c r="AF50" i="120"/>
  <c r="AL50" i="120" s="1"/>
  <c r="AH37" i="120"/>
  <c r="AQ50" i="120"/>
  <c r="BF50" i="120" s="1"/>
  <c r="DH103" i="8"/>
  <c r="DH101" i="8"/>
  <c r="GG82" i="121"/>
  <c r="AO86" i="120"/>
  <c r="AO244" i="120" s="1"/>
  <c r="BN86" i="120"/>
  <c r="CM86" i="120" s="1"/>
  <c r="AP244" i="120"/>
  <c r="CM95" i="120"/>
  <c r="BM95" i="120"/>
  <c r="CL95" i="120" s="1"/>
  <c r="CD198" i="122"/>
  <c r="CJ198" i="122" s="1"/>
  <c r="CD206" i="122"/>
  <c r="CJ206" i="122" s="1"/>
  <c r="CT67" i="123"/>
  <c r="DW67" i="123"/>
  <c r="CL159" i="120"/>
  <c r="O37" i="128"/>
  <c r="T37" i="128" s="1"/>
  <c r="FC69" i="123"/>
  <c r="FB68" i="123"/>
  <c r="FB69" i="123" s="1"/>
  <c r="BO89" i="120"/>
  <c r="CN89" i="120" s="1"/>
  <c r="BM93" i="120"/>
  <c r="BO264" i="120"/>
  <c r="BO65" i="120"/>
  <c r="CN65" i="120" s="1"/>
  <c r="CN64" i="120"/>
  <c r="CC39" i="121"/>
  <c r="CL39" i="121" s="1"/>
  <c r="EB29" i="121"/>
  <c r="CL29" i="121"/>
  <c r="CM63" i="7"/>
  <c r="CM65" i="7" s="1"/>
  <c r="CM144" i="7"/>
  <c r="BJ72" i="120"/>
  <c r="CE72" i="120"/>
  <c r="BG238" i="120"/>
  <c r="BG205" i="120"/>
  <c r="CJ77" i="122"/>
  <c r="CG156" i="122"/>
  <c r="CJ156" i="122" s="1"/>
  <c r="CG211" i="120"/>
  <c r="CJ211" i="120" s="1"/>
  <c r="CJ145" i="120"/>
  <c r="CJ59" i="120"/>
  <c r="CG61" i="120"/>
  <c r="CJ61" i="120" s="1"/>
  <c r="DF70" i="123"/>
  <c r="DO72" i="123"/>
  <c r="CJ113" i="120"/>
  <c r="CG252" i="120"/>
  <c r="CJ252" i="120" s="1"/>
  <c r="CM117" i="120"/>
  <c r="AX29" i="71"/>
  <c r="AT29" i="71"/>
  <c r="V29" i="71"/>
  <c r="T37" i="71"/>
  <c r="BC29" i="71"/>
  <c r="BD78" i="121"/>
  <c r="BD84" i="121"/>
  <c r="F78" i="121"/>
  <c r="F81" i="121"/>
  <c r="AF119" i="120"/>
  <c r="AL119" i="120" s="1"/>
  <c r="AM119" i="120"/>
  <c r="I39" i="85"/>
  <c r="J39" i="85" s="1"/>
  <c r="J38" i="85"/>
  <c r="CN150" i="120"/>
  <c r="BF159" i="120"/>
  <c r="CD159" i="120" s="1"/>
  <c r="T37" i="125"/>
  <c r="CM52" i="121"/>
  <c r="EC52" i="121"/>
  <c r="DQ62" i="121"/>
  <c r="CJ63" i="123"/>
  <c r="EI61" i="123"/>
  <c r="CJ124" i="120"/>
  <c r="CG197" i="120"/>
  <c r="CJ197" i="120" s="1"/>
  <c r="AF243" i="120"/>
  <c r="AL243" i="120" s="1"/>
  <c r="AL76" i="120"/>
  <c r="BO90" i="122"/>
  <c r="BM90" i="122" s="1"/>
  <c r="CL90" i="122" s="1"/>
  <c r="BM91" i="122"/>
  <c r="AA33" i="7"/>
  <c r="AM32" i="7"/>
  <c r="AC32" i="7"/>
  <c r="AI32" i="7"/>
  <c r="AB32" i="7"/>
  <c r="AP32" i="7"/>
  <c r="B213" i="120"/>
  <c r="BK121" i="120"/>
  <c r="BE267" i="120"/>
  <c r="BK267" i="120" s="1"/>
  <c r="BD121" i="120"/>
  <c r="AO267" i="120"/>
  <c r="BG107" i="8"/>
  <c r="BG109" i="8"/>
  <c r="BG110" i="8" s="1"/>
  <c r="BV37" i="8"/>
  <c r="I32" i="111"/>
  <c r="BJ12" i="121"/>
  <c r="BJ13" i="121" s="1"/>
  <c r="BL13" i="121"/>
  <c r="BI159" i="120"/>
  <c r="AN159" i="120"/>
  <c r="BL68" i="122"/>
  <c r="BD68" i="122"/>
  <c r="BJ68" i="122" s="1"/>
  <c r="CD208" i="122"/>
  <c r="CJ208" i="122" s="1"/>
  <c r="BQ24" i="71"/>
  <c r="BQ35" i="71"/>
  <c r="BS35" i="71" s="1"/>
  <c r="AN68" i="121"/>
  <c r="N53" i="125"/>
  <c r="CD68" i="121"/>
  <c r="Q35" i="96"/>
  <c r="L35" i="96"/>
  <c r="D36" i="133"/>
  <c r="D37" i="133" s="1"/>
  <c r="BJ43" i="123"/>
  <c r="BJ61" i="123" s="1"/>
  <c r="BJ74" i="123" s="1"/>
  <c r="AH46" i="122"/>
  <c r="FS60" i="121"/>
  <c r="BR50" i="19"/>
  <c r="BV50" i="19"/>
  <c r="E36" i="133"/>
  <c r="G36" i="133" s="1"/>
  <c r="I36" i="133" s="1"/>
  <c r="AA26" i="8"/>
  <c r="AA92" i="8" s="1"/>
  <c r="BR73" i="121"/>
  <c r="CD73" i="121" s="1"/>
  <c r="J14" i="68"/>
  <c r="AQ145" i="120"/>
  <c r="AF145" i="120"/>
  <c r="AN145" i="120"/>
  <c r="AH211" i="120"/>
  <c r="AN211" i="120" s="1"/>
  <c r="S143" i="120"/>
  <c r="Q145" i="120"/>
  <c r="Q211" i="120" s="1"/>
  <c r="S211" i="120"/>
  <c r="AQ63" i="121" s="1"/>
  <c r="S68" i="123"/>
  <c r="Y27" i="125"/>
  <c r="BE189" i="120"/>
  <c r="BD22" i="120"/>
  <c r="AF207" i="120"/>
  <c r="AL207" i="120" s="1"/>
  <c r="AF250" i="120"/>
  <c r="AL250" i="120" s="1"/>
  <c r="AL110" i="120"/>
  <c r="CY70" i="121"/>
  <c r="DH70" i="121" s="1"/>
  <c r="BO269" i="120"/>
  <c r="BM142" i="120"/>
  <c r="CN142" i="120"/>
  <c r="BE268" i="120"/>
  <c r="BK268" i="120" s="1"/>
  <c r="BK141" i="120"/>
  <c r="AG265" i="120"/>
  <c r="AM265" i="120" s="1"/>
  <c r="BD86" i="120"/>
  <c r="BD244" i="120" s="1"/>
  <c r="BK86" i="120"/>
  <c r="BE244" i="120"/>
  <c r="BK244" i="120" s="1"/>
  <c r="AO94" i="120"/>
  <c r="BE94" i="120"/>
  <c r="BD94" i="120" s="1"/>
  <c r="V55" i="9"/>
  <c r="O55" i="9"/>
  <c r="S55" i="9" s="1"/>
  <c r="N42" i="123"/>
  <c r="AF41" i="123"/>
  <c r="AF42" i="123" s="1"/>
  <c r="CG206" i="120"/>
  <c r="CJ206" i="120" s="1"/>
  <c r="CJ108" i="120"/>
  <c r="CG239" i="120"/>
  <c r="CJ239" i="120" s="1"/>
  <c r="DZ60" i="123"/>
  <c r="X51" i="126"/>
  <c r="CS107" i="8"/>
  <c r="CS109" i="8"/>
  <c r="CS110" i="8" s="1"/>
  <c r="O17" i="128"/>
  <c r="T17" i="128" s="1"/>
  <c r="CF263" i="120"/>
  <c r="CI263" i="120" s="1"/>
  <c r="CI48" i="120"/>
  <c r="BD176" i="120"/>
  <c r="X14" i="125"/>
  <c r="AA33" i="98"/>
  <c r="AA37" i="98" s="1"/>
  <c r="W33" i="98"/>
  <c r="AF254" i="120"/>
  <c r="AL254" i="120" s="1"/>
  <c r="CL144" i="7"/>
  <c r="CL150" i="7" s="1"/>
  <c r="CL152" i="7" s="1"/>
  <c r="CL63" i="7"/>
  <c r="CL65" i="7" s="1"/>
  <c r="BC208" i="120"/>
  <c r="BC224" i="120"/>
  <c r="BC226" i="120" s="1"/>
  <c r="T32" i="32"/>
  <c r="AR40" i="3"/>
  <c r="AR39" i="3" s="1"/>
  <c r="CE211" i="122"/>
  <c r="CH211" i="122" s="1"/>
  <c r="BJ211" i="122"/>
  <c r="L10" i="100"/>
  <c r="M8" i="100"/>
  <c r="M10" i="100" s="1"/>
  <c r="K179" i="120"/>
  <c r="K180" i="120" s="1"/>
  <c r="K13" i="120"/>
  <c r="AO87" i="121"/>
  <c r="T85" i="121"/>
  <c r="AC87" i="121"/>
  <c r="EG34" i="121"/>
  <c r="CH42" i="121"/>
  <c r="CN159" i="120"/>
  <c r="S17" i="126"/>
  <c r="AO76" i="120"/>
  <c r="BN76" i="120"/>
  <c r="CM76" i="120" s="1"/>
  <c r="AP243" i="120"/>
  <c r="BL91" i="122"/>
  <c r="BD91" i="122"/>
  <c r="BJ91" i="122" s="1"/>
  <c r="BS29" i="71"/>
  <c r="BQ37" i="71"/>
  <c r="BS37" i="71" s="1"/>
  <c r="AB16" i="65"/>
  <c r="AC16" i="65" s="1"/>
  <c r="AD16" i="65" s="1"/>
  <c r="AE16" i="65" s="1"/>
  <c r="AF16" i="65" s="1"/>
  <c r="AH16" i="65"/>
  <c r="U38" i="66"/>
  <c r="V36" i="66"/>
  <c r="U37" i="66"/>
  <c r="BO68" i="123"/>
  <c r="BM67" i="123"/>
  <c r="BI185" i="120"/>
  <c r="BL18" i="120"/>
  <c r="BL185" i="120" s="1"/>
  <c r="CG18" i="120"/>
  <c r="CG14" i="120" s="1"/>
  <c r="AH130" i="120"/>
  <c r="S123" i="120"/>
  <c r="AH123" i="120" s="1"/>
  <c r="CL54" i="72"/>
  <c r="BV54" i="72"/>
  <c r="AN268" i="120"/>
  <c r="AH265" i="120"/>
  <c r="AH270" i="120" s="1"/>
  <c r="G33" i="133"/>
  <c r="BL264" i="120"/>
  <c r="Z158" i="120"/>
  <c r="Z165" i="120" s="1"/>
  <c r="M61" i="121"/>
  <c r="V61" i="121" s="1"/>
  <c r="BD87" i="122"/>
  <c r="BL87" i="122"/>
  <c r="AO148" i="120"/>
  <c r="BN148" i="120"/>
  <c r="CM148" i="120" s="1"/>
  <c r="AP214" i="120"/>
  <c r="CO66" i="121" s="1"/>
  <c r="CF214" i="120"/>
  <c r="CI214" i="120" s="1"/>
  <c r="CI148" i="120"/>
  <c r="CG223" i="120"/>
  <c r="CJ223" i="120" s="1"/>
  <c r="CJ157" i="120"/>
  <c r="EI77" i="121"/>
  <c r="EI78" i="121" s="1"/>
  <c r="EG14" i="121"/>
  <c r="EI12" i="121"/>
  <c r="EI13" i="121" s="1"/>
  <c r="EI38" i="121"/>
  <c r="BL142" i="120"/>
  <c r="BD142" i="120"/>
  <c r="BF269" i="120"/>
  <c r="BL269" i="120" s="1"/>
  <c r="DZ57" i="121"/>
  <c r="W42" i="125"/>
  <c r="P47" i="61"/>
  <c r="P51" i="61"/>
  <c r="P179" i="120"/>
  <c r="P180" i="120" s="1"/>
  <c r="P13" i="120"/>
  <c r="CL14" i="120"/>
  <c r="U19" i="125"/>
  <c r="AO181" i="120"/>
  <c r="AO225" i="120" s="1"/>
  <c r="AC47" i="125"/>
  <c r="BA36" i="71"/>
  <c r="BL36" i="71" s="1"/>
  <c r="BL24" i="71"/>
  <c r="CR101" i="8"/>
  <c r="CR103" i="8"/>
  <c r="CV69" i="123"/>
  <c r="DW68" i="123"/>
  <c r="DW69" i="123" s="1"/>
  <c r="CT68" i="123"/>
  <c r="AF189" i="120"/>
  <c r="R27" i="125"/>
  <c r="BF259" i="120"/>
  <c r="BL259" i="120" s="1"/>
  <c r="BD85" i="120"/>
  <c r="BD259" i="120" s="1"/>
  <c r="BL85" i="120"/>
  <c r="BE159" i="120"/>
  <c r="AF159" i="120"/>
  <c r="EX60" i="123"/>
  <c r="FG60" i="123" s="1"/>
  <c r="CG249" i="120"/>
  <c r="CJ249" i="120" s="1"/>
  <c r="CJ88" i="120"/>
  <c r="BN120" i="120"/>
  <c r="AP119" i="120"/>
  <c r="AO120" i="120"/>
  <c r="CM120" i="120"/>
  <c r="CJ98" i="120"/>
  <c r="CG269" i="120"/>
  <c r="CJ269" i="120" s="1"/>
  <c r="BH39" i="3"/>
  <c r="N7" i="96" s="1"/>
  <c r="BH43" i="3"/>
  <c r="FN40" i="121"/>
  <c r="FW40" i="121" s="1"/>
  <c r="CO101" i="8"/>
  <c r="CO103" i="8"/>
  <c r="BF178" i="122"/>
  <c r="CD143" i="122"/>
  <c r="CD178" i="122" s="1"/>
  <c r="BY47" i="7"/>
  <c r="BY137" i="7" s="1"/>
  <c r="BZ137" i="7"/>
  <c r="E33" i="133"/>
  <c r="E35" i="133"/>
  <c r="DL84" i="121"/>
  <c r="DL78" i="121"/>
  <c r="GH43" i="121"/>
  <c r="GF43" i="121"/>
  <c r="GH14" i="121"/>
  <c r="BI160" i="7"/>
  <c r="BI161" i="7" s="1"/>
  <c r="BI158" i="7"/>
  <c r="CY68" i="121"/>
  <c r="DH68" i="121" s="1"/>
  <c r="Z17" i="126"/>
  <c r="EA10" i="123"/>
  <c r="EK10" i="123"/>
  <c r="EJ10" i="123" s="1"/>
  <c r="BL116" i="120"/>
  <c r="BF249" i="120"/>
  <c r="BL249" i="120" s="1"/>
  <c r="BD116" i="120"/>
  <c r="I38" i="97"/>
  <c r="I40" i="97" s="1"/>
  <c r="I43" i="97" s="1"/>
  <c r="H40" i="97"/>
  <c r="H43" i="97" s="1"/>
  <c r="CL91" i="122"/>
  <c r="AE31" i="95"/>
  <c r="CH9" i="7"/>
  <c r="CH136" i="7" s="1"/>
  <c r="CH169" i="7" s="1"/>
  <c r="AG13" i="64" s="1"/>
  <c r="AQ166" i="122"/>
  <c r="CP50" i="123" s="1"/>
  <c r="CY50" i="123" s="1"/>
  <c r="DH50" i="123" s="1"/>
  <c r="DQ50" i="123" s="1"/>
  <c r="BO113" i="122"/>
  <c r="BO166" i="122" s="1"/>
  <c r="EO50" i="123" s="1"/>
  <c r="BH66" i="121"/>
  <c r="AX66" i="121"/>
  <c r="B65" i="121"/>
  <c r="L65" i="121"/>
  <c r="AH71" i="120"/>
  <c r="BM121" i="120"/>
  <c r="BM267" i="120" s="1"/>
  <c r="BN267" i="120"/>
  <c r="AC62" i="125"/>
  <c r="FY77" i="121"/>
  <c r="CP117" i="8"/>
  <c r="CP99" i="8"/>
  <c r="BO216" i="122"/>
  <c r="CD216" i="122" s="1"/>
  <c r="CJ216" i="122" s="1"/>
  <c r="BM68" i="122"/>
  <c r="BN135" i="120"/>
  <c r="BM135" i="120" s="1"/>
  <c r="AO135" i="120"/>
  <c r="AD64" i="123"/>
  <c r="AP64" i="123"/>
  <c r="T64" i="123"/>
  <c r="AC64" i="123" s="1"/>
  <c r="Q13" i="102"/>
  <c r="P15" i="102"/>
  <c r="Q10" i="96"/>
  <c r="L10" i="96"/>
  <c r="EW59" i="121"/>
  <c r="FF59" i="121" s="1"/>
  <c r="BL239" i="120"/>
  <c r="CL118" i="120"/>
  <c r="F37" i="118"/>
  <c r="G38" i="118" s="1"/>
  <c r="F17" i="118"/>
  <c r="F46" i="118" s="1"/>
  <c r="F27" i="118"/>
  <c r="BR62" i="123"/>
  <c r="N84" i="68"/>
  <c r="N86" i="68" s="1"/>
  <c r="FP69" i="121"/>
  <c r="AB68" i="123"/>
  <c r="Z67" i="123"/>
  <c r="GF30" i="121"/>
  <c r="GF40" i="121" s="1"/>
  <c r="EG40" i="121"/>
  <c r="CJ38" i="120"/>
  <c r="CG205" i="120"/>
  <c r="CJ205" i="120" s="1"/>
  <c r="CG238" i="120"/>
  <c r="CJ238" i="120" s="1"/>
  <c r="AO210" i="122"/>
  <c r="BD210" i="122" s="1"/>
  <c r="BE148" i="120"/>
  <c r="BJ23" i="120"/>
  <c r="BJ190" i="120" s="1"/>
  <c r="BK190" i="120"/>
  <c r="BK22" i="120"/>
  <c r="BC81" i="121"/>
  <c r="BC78" i="121"/>
  <c r="T16" i="126"/>
  <c r="EB9" i="123"/>
  <c r="Z16" i="126" s="1"/>
  <c r="BO45" i="120"/>
  <c r="BM45" i="120" s="1"/>
  <c r="AO45" i="120"/>
  <c r="CX44" i="123"/>
  <c r="DG44" i="123" s="1"/>
  <c r="BC63" i="123"/>
  <c r="BC66" i="123"/>
  <c r="BC67" i="123" s="1"/>
  <c r="AO269" i="120"/>
  <c r="CL142" i="120"/>
  <c r="BK82" i="7"/>
  <c r="BK83" i="7"/>
  <c r="BK85" i="7"/>
  <c r="BK86" i="7" s="1"/>
  <c r="BK80" i="7"/>
  <c r="N12" i="120"/>
  <c r="O179" i="120"/>
  <c r="O180" i="120" s="1"/>
  <c r="O13" i="120"/>
  <c r="GF29" i="121"/>
  <c r="GF39" i="121" s="1"/>
  <c r="EG39" i="121"/>
  <c r="K13" i="127"/>
  <c r="AM59" i="121"/>
  <c r="M44" i="125"/>
  <c r="CN158" i="7"/>
  <c r="CN160" i="7"/>
  <c r="CN161" i="7" s="1"/>
  <c r="I84" i="121"/>
  <c r="AJ83" i="121"/>
  <c r="H83" i="121"/>
  <c r="AI83" i="121" s="1"/>
  <c r="AI84" i="121" s="1"/>
  <c r="X25" i="125"/>
  <c r="BD187" i="120"/>
  <c r="EA22" i="121"/>
  <c r="EK22" i="121"/>
  <c r="EJ22" i="121" s="1"/>
  <c r="T53" i="126"/>
  <c r="EB62" i="123"/>
  <c r="Y86" i="8"/>
  <c r="AF18" i="8"/>
  <c r="Z18" i="8"/>
  <c r="AA18" i="8" s="1"/>
  <c r="AK83" i="121"/>
  <c r="J84" i="121"/>
  <c r="AQ259" i="120"/>
  <c r="BO85" i="120"/>
  <c r="CN85" i="120" s="1"/>
  <c r="AO85" i="120"/>
  <c r="AQ71" i="120"/>
  <c r="AQ53" i="120" s="1"/>
  <c r="BF176" i="122"/>
  <c r="BL176" i="122" s="1"/>
  <c r="BL123" i="122"/>
  <c r="CA163" i="122"/>
  <c r="CA177" i="122"/>
  <c r="CA179" i="122" s="1"/>
  <c r="BJ55" i="7"/>
  <c r="BJ52" i="7" s="1"/>
  <c r="BT55" i="7"/>
  <c r="BU55" i="7" s="1"/>
  <c r="BU52" i="7" s="1"/>
  <c r="BL52" i="7"/>
  <c r="CG250" i="120"/>
  <c r="CJ250" i="120" s="1"/>
  <c r="CG207" i="120"/>
  <c r="CJ207" i="120" s="1"/>
  <c r="CJ110" i="120"/>
  <c r="K15" i="127"/>
  <c r="CA9" i="7"/>
  <c r="CA136" i="7" s="1"/>
  <c r="CA169" i="7" s="1"/>
  <c r="AE13" i="64" s="1"/>
  <c r="Z31" i="95"/>
  <c r="Z50" i="95" s="1"/>
  <c r="BW52" i="72"/>
  <c r="BP55" i="72"/>
  <c r="Z14" i="8"/>
  <c r="Z15" i="8" s="1"/>
  <c r="Y15" i="8"/>
  <c r="AF14" i="8"/>
  <c r="FL84" i="121"/>
  <c r="FK83" i="121"/>
  <c r="FU83" i="121"/>
  <c r="FU84" i="121" s="1"/>
  <c r="CJ87" i="120"/>
  <c r="CG254" i="120"/>
  <c r="CJ254" i="120" s="1"/>
  <c r="CA50" i="123"/>
  <c r="R41" i="126"/>
  <c r="U10" i="104"/>
  <c r="U14" i="104" s="1"/>
  <c r="CJ53" i="7"/>
  <c r="AN70" i="121"/>
  <c r="N55" i="125"/>
  <c r="CL28" i="8"/>
  <c r="CL88" i="8" s="1"/>
  <c r="CK88" i="8"/>
  <c r="BF68" i="123"/>
  <c r="BD67" i="123"/>
  <c r="CN116" i="120"/>
  <c r="BO249" i="120"/>
  <c r="BD76" i="120"/>
  <c r="BE243" i="120"/>
  <c r="BK243" i="120" s="1"/>
  <c r="BK76" i="120"/>
  <c r="BC179" i="120"/>
  <c r="BC180" i="120" s="1"/>
  <c r="BC13" i="120"/>
  <c r="W49" i="125"/>
  <c r="DZ64" i="121"/>
  <c r="R213" i="120"/>
  <c r="AP65" i="121" s="1"/>
  <c r="Q147" i="120"/>
  <c r="Q213" i="120" s="1"/>
  <c r="BJ88" i="122"/>
  <c r="CE88" i="122"/>
  <c r="CH88" i="122" s="1"/>
  <c r="AM189" i="120"/>
  <c r="AL22" i="120"/>
  <c r="AL189" i="120" s="1"/>
  <c r="BI59" i="121"/>
  <c r="BG59" i="121" s="1"/>
  <c r="BP59" i="121" s="1"/>
  <c r="CB59" i="121" s="1"/>
  <c r="AX59" i="121"/>
  <c r="CM121" i="120"/>
  <c r="BD105" i="8"/>
  <c r="BD106" i="8" s="1"/>
  <c r="BD71" i="8"/>
  <c r="BD70" i="8"/>
  <c r="BD74" i="8"/>
  <c r="BD75" i="8" s="1"/>
  <c r="BE135" i="120"/>
  <c r="CN93" i="120"/>
  <c r="BV52" i="72"/>
  <c r="CL52" i="72"/>
  <c r="BU55" i="72"/>
  <c r="BO52" i="120"/>
  <c r="CN52" i="120" s="1"/>
  <c r="AO52" i="120"/>
  <c r="AQ268" i="120"/>
  <c r="AQ265" i="120" s="1"/>
  <c r="BA12" i="120"/>
  <c r="FR60" i="121"/>
  <c r="AT47" i="6"/>
  <c r="CX16" i="8" s="1"/>
  <c r="AT50" i="6"/>
  <c r="CX41" i="8" s="1"/>
  <c r="CW41" i="8" s="1"/>
  <c r="AT49" i="6"/>
  <c r="CX33" i="8" s="1"/>
  <c r="CW33" i="8" s="1"/>
  <c r="AT48" i="6"/>
  <c r="CX26" i="8" s="1"/>
  <c r="CW26" i="8" s="1"/>
  <c r="AZ150" i="7"/>
  <c r="GK64" i="123"/>
  <c r="AG55" i="126"/>
  <c r="R69" i="123"/>
  <c r="Q68" i="123"/>
  <c r="Q69" i="123" s="1"/>
  <c r="AJ68" i="123"/>
  <c r="AJ69" i="123" s="1"/>
  <c r="AG223" i="120"/>
  <c r="AM223" i="120" s="1"/>
  <c r="AF157" i="120"/>
  <c r="AM157" i="120"/>
  <c r="AP157" i="120"/>
  <c r="BE157" i="120" s="1"/>
  <c r="BD50" i="122"/>
  <c r="BJ50" i="122" s="1"/>
  <c r="BL50" i="122"/>
  <c r="BB48" i="5"/>
  <c r="CS16" i="7" s="1"/>
  <c r="BB50" i="5"/>
  <c r="CS34" i="7" s="1"/>
  <c r="CR34" i="7" s="1"/>
  <c r="BB51" i="5"/>
  <c r="CS42" i="7" s="1"/>
  <c r="CR42" i="7" s="1"/>
  <c r="BB49" i="5"/>
  <c r="CS26" i="7" s="1"/>
  <c r="CR26" i="7" s="1"/>
  <c r="BC158" i="7"/>
  <c r="BC160" i="7"/>
  <c r="BC161" i="7" s="1"/>
  <c r="AQ215" i="120"/>
  <c r="CP67" i="121" s="1"/>
  <c r="AH174" i="122"/>
  <c r="AN174" i="122" s="1"/>
  <c r="AN121" i="122"/>
  <c r="AQ121" i="122"/>
  <c r="BF121" i="122" s="1"/>
  <c r="AY107" i="8"/>
  <c r="AY109" i="8"/>
  <c r="P103" i="56"/>
  <c r="L59" i="125"/>
  <c r="AL74" i="121"/>
  <c r="AM70" i="120"/>
  <c r="BE70" i="120"/>
  <c r="AF70" i="120"/>
  <c r="AL70" i="120" s="1"/>
  <c r="AP70" i="120"/>
  <c r="BF222" i="120"/>
  <c r="BL222" i="120" s="1"/>
  <c r="BL156" i="120"/>
  <c r="BD156" i="120"/>
  <c r="BD222" i="120" s="1"/>
  <c r="I24" i="85"/>
  <c r="M31" i="61"/>
  <c r="BL128" i="120"/>
  <c r="BF129" i="120"/>
  <c r="BL129" i="120" s="1"/>
  <c r="AN112" i="122"/>
  <c r="AH165" i="122"/>
  <c r="AN165" i="122" s="1"/>
  <c r="AQ112" i="122"/>
  <c r="DI30" i="17"/>
  <c r="DJ30" i="17" s="1"/>
  <c r="DI25" i="17"/>
  <c r="DJ25" i="17" s="1"/>
  <c r="BB155" i="7"/>
  <c r="BA47" i="123"/>
  <c r="O177" i="122"/>
  <c r="O179" i="122" s="1"/>
  <c r="CQ47" i="123"/>
  <c r="DR47" i="123" s="1"/>
  <c r="DQ37" i="123"/>
  <c r="CL52" i="122"/>
  <c r="DZ65" i="121"/>
  <c r="W50" i="125"/>
  <c r="G20" i="132"/>
  <c r="I18" i="132"/>
  <c r="Q25" i="122"/>
  <c r="Q33" i="120"/>
  <c r="EG61" i="123"/>
  <c r="CH74" i="123"/>
  <c r="CH63" i="123"/>
  <c r="CG79" i="122"/>
  <c r="CJ79" i="122" s="1"/>
  <c r="CJ78" i="122"/>
  <c r="CG157" i="122"/>
  <c r="P53" i="96"/>
  <c r="P48" i="96"/>
  <c r="P58" i="96"/>
  <c r="H9" i="86"/>
  <c r="E12" i="86"/>
  <c r="V55" i="72"/>
  <c r="O55" i="72"/>
  <c r="S55" i="72" s="1"/>
  <c r="AN54" i="6"/>
  <c r="AP54" i="6" s="1"/>
  <c r="AP50" i="6" s="1"/>
  <c r="CL41" i="8" s="1"/>
  <c r="CK41" i="8" s="1"/>
  <c r="BT41" i="8"/>
  <c r="BS41" i="8" s="1"/>
  <c r="AZ92" i="8"/>
  <c r="BB16" i="8"/>
  <c r="BN252" i="120"/>
  <c r="BM113" i="120"/>
  <c r="BM252" i="120" s="1"/>
  <c r="CD30" i="120"/>
  <c r="CJ30" i="120" s="1"/>
  <c r="CW136" i="7"/>
  <c r="CW169" i="7"/>
  <c r="AN13" i="64" s="1"/>
  <c r="Q20" i="126"/>
  <c r="BP13" i="123"/>
  <c r="P20" i="126" s="1"/>
  <c r="BZ13" i="123"/>
  <c r="BY13" i="123" s="1"/>
  <c r="R15" i="126"/>
  <c r="D19" i="127" s="1"/>
  <c r="D17" i="127" s="1"/>
  <c r="BP8" i="123"/>
  <c r="P15" i="126" s="1"/>
  <c r="CA8" i="123"/>
  <c r="BY8" i="123" s="1"/>
  <c r="R19" i="125"/>
  <c r="AF181" i="120"/>
  <c r="AF225" i="120" s="1"/>
  <c r="AK53" i="120"/>
  <c r="N53" i="120"/>
  <c r="AI53" i="120" s="1"/>
  <c r="N204" i="120"/>
  <c r="AI37" i="120"/>
  <c r="AH27" i="98"/>
  <c r="AH32" i="98" s="1"/>
  <c r="AH37" i="98" s="1"/>
  <c r="AC32" i="98"/>
  <c r="AQ59" i="72"/>
  <c r="L68" i="72"/>
  <c r="BA59" i="72"/>
  <c r="AM50" i="72"/>
  <c r="BC8" i="8"/>
  <c r="CZ49" i="19"/>
  <c r="CX46" i="8" s="1"/>
  <c r="AK179" i="120"/>
  <c r="AK180" i="120" s="1"/>
  <c r="AK13" i="120"/>
  <c r="BU76" i="121"/>
  <c r="AZ60" i="121"/>
  <c r="BI60" i="121" s="1"/>
  <c r="AO139" i="120"/>
  <c r="AP130" i="120"/>
  <c r="BE130" i="120" s="1"/>
  <c r="L70" i="68"/>
  <c r="L72" i="68" s="1"/>
  <c r="Q66" i="32"/>
  <c r="K61" i="32"/>
  <c r="N66" i="32"/>
  <c r="AM64" i="121"/>
  <c r="CC64" i="121"/>
  <c r="M49" i="125"/>
  <c r="BW26" i="7"/>
  <c r="BV26" i="7" s="1"/>
  <c r="AM53" i="5"/>
  <c r="AX53" i="5" s="1"/>
  <c r="AX49" i="5" s="1"/>
  <c r="CG26" i="7"/>
  <c r="CF26" i="7" s="1"/>
  <c r="CH25" i="17"/>
  <c r="CI24" i="17"/>
  <c r="CC31" i="17"/>
  <c r="CB31" i="17" s="1"/>
  <c r="CB32" i="17"/>
  <c r="EW12" i="121"/>
  <c r="EV11" i="121"/>
  <c r="BL43" i="3"/>
  <c r="BL39" i="3"/>
  <c r="AA19" i="126"/>
  <c r="EA12" i="123"/>
  <c r="Y19" i="126" s="1"/>
  <c r="CG266" i="120"/>
  <c r="CJ120" i="120"/>
  <c r="BU160" i="120"/>
  <c r="CA158" i="120"/>
  <c r="CA160" i="120" s="1"/>
  <c r="CL132" i="120"/>
  <c r="FP57" i="121"/>
  <c r="Q30" i="96"/>
  <c r="J30" i="96"/>
  <c r="L30" i="96"/>
  <c r="AM66" i="121"/>
  <c r="M51" i="125"/>
  <c r="E19" i="87"/>
  <c r="E17" i="87" s="1"/>
  <c r="H15" i="65"/>
  <c r="H13" i="65" s="1"/>
  <c r="F17" i="87"/>
  <c r="P5" i="68"/>
  <c r="N8" i="68"/>
  <c r="FP11" i="121"/>
  <c r="FY8" i="121"/>
  <c r="FP10" i="121"/>
  <c r="FY10" i="121" s="1"/>
  <c r="AR109" i="8"/>
  <c r="AR110" i="8" s="1"/>
  <c r="AR107" i="8"/>
  <c r="CB155" i="122"/>
  <c r="Q114" i="122"/>
  <c r="Q167" i="122" s="1"/>
  <c r="R167" i="122"/>
  <c r="AP51" i="123" s="1"/>
  <c r="AG175" i="120"/>
  <c r="AG177" i="120" s="1"/>
  <c r="AG11" i="120"/>
  <c r="AG10" i="120"/>
  <c r="S13" i="125"/>
  <c r="BE8" i="120"/>
  <c r="AM8" i="120"/>
  <c r="AF8" i="120"/>
  <c r="AZ160" i="120"/>
  <c r="BC158" i="120"/>
  <c r="BC160" i="120" s="1"/>
  <c r="B17" i="124"/>
  <c r="EW63" i="121"/>
  <c r="J51" i="68"/>
  <c r="J50" i="68"/>
  <c r="U11" i="95"/>
  <c r="T16" i="95"/>
  <c r="T21" i="95" s="1"/>
  <c r="J7" i="81"/>
  <c r="I15" i="81"/>
  <c r="O7" i="81"/>
  <c r="J10" i="81"/>
  <c r="F12" i="87"/>
  <c r="AF10" i="19"/>
  <c r="AD11" i="19"/>
  <c r="AD49" i="19" s="1"/>
  <c r="AM10" i="19"/>
  <c r="B176" i="122"/>
  <c r="AG126" i="120"/>
  <c r="R124" i="120"/>
  <c r="AG124" i="120" s="1"/>
  <c r="B124" i="120"/>
  <c r="E158" i="120"/>
  <c r="ER81" i="121"/>
  <c r="ER78" i="121"/>
  <c r="BR53" i="121"/>
  <c r="Q34" i="125"/>
  <c r="CA49" i="121"/>
  <c r="CD49" i="121"/>
  <c r="AO242" i="120"/>
  <c r="CD221" i="122"/>
  <c r="CJ221" i="122" s="1"/>
  <c r="BA40" i="122"/>
  <c r="BI40" i="122"/>
  <c r="CG40" i="122" s="1"/>
  <c r="CG186" i="120"/>
  <c r="CJ19" i="120"/>
  <c r="CE19" i="120"/>
  <c r="CE186" i="120" s="1"/>
  <c r="EG29" i="123"/>
  <c r="GF23" i="123"/>
  <c r="GF29" i="123" s="1"/>
  <c r="BU60" i="121"/>
  <c r="CE103" i="120"/>
  <c r="BO206" i="120"/>
  <c r="EO58" i="121" s="1"/>
  <c r="BC49" i="5"/>
  <c r="CV26" i="7" s="1"/>
  <c r="BC48" i="5"/>
  <c r="CV16" i="7" s="1"/>
  <c r="BC51" i="5"/>
  <c r="CV42" i="7" s="1"/>
  <c r="BC50" i="5"/>
  <c r="CV34" i="7" s="1"/>
  <c r="BE31" i="7"/>
  <c r="BF31" i="7" s="1"/>
  <c r="AN55" i="72"/>
  <c r="AQ52" i="72"/>
  <c r="BA52" i="72"/>
  <c r="AP15" i="65"/>
  <c r="DA121" i="8"/>
  <c r="CM18" i="121"/>
  <c r="EF18" i="121"/>
  <c r="P62" i="125"/>
  <c r="BP77" i="121"/>
  <c r="O62" i="125" s="1"/>
  <c r="BL81" i="121"/>
  <c r="BL82" i="121" s="1"/>
  <c r="BL83" i="121" s="1"/>
  <c r="BL84" i="121" s="1"/>
  <c r="BL78" i="121"/>
  <c r="BP107" i="8"/>
  <c r="BP109" i="8"/>
  <c r="BP110" i="8" s="1"/>
  <c r="BY58" i="7"/>
  <c r="BQ50" i="19"/>
  <c r="BV46" i="8"/>
  <c r="BS50" i="19"/>
  <c r="Q34" i="8"/>
  <c r="BE39" i="7"/>
  <c r="BF39" i="7" s="1"/>
  <c r="AQ41" i="7"/>
  <c r="AR41" i="7" s="1"/>
  <c r="AS34" i="7"/>
  <c r="M50" i="126"/>
  <c r="AL59" i="123"/>
  <c r="BF73" i="32"/>
  <c r="DB53" i="7" s="1"/>
  <c r="BF70" i="32"/>
  <c r="K184" i="122"/>
  <c r="K179" i="122"/>
  <c r="CY50" i="121"/>
  <c r="DH50" i="121" s="1"/>
  <c r="I8" i="105"/>
  <c r="M16" i="105"/>
  <c r="P16" i="105" s="1"/>
  <c r="D46" i="73"/>
  <c r="D48" i="73"/>
  <c r="F7" i="73" s="1"/>
  <c r="E13" i="87"/>
  <c r="BM55" i="72"/>
  <c r="Y42" i="95"/>
  <c r="AC42" i="95"/>
  <c r="Z89" i="8"/>
  <c r="AM23" i="8"/>
  <c r="F108" i="118"/>
  <c r="FY8" i="123"/>
  <c r="FW8" i="123" s="1"/>
  <c r="AD15" i="126"/>
  <c r="H19" i="127" s="1"/>
  <c r="H17" i="127" s="1"/>
  <c r="FN8" i="123"/>
  <c r="AB15" i="126" s="1"/>
  <c r="CX144" i="7"/>
  <c r="CX150" i="7" s="1"/>
  <c r="CX152" i="7" s="1"/>
  <c r="CX63" i="7"/>
  <c r="CX65" i="7" s="1"/>
  <c r="GE20" i="121"/>
  <c r="GK20" i="121" s="1"/>
  <c r="EL20" i="121"/>
  <c r="EJ20" i="121" s="1"/>
  <c r="AY74" i="8"/>
  <c r="AY75" i="8" s="1"/>
  <c r="CU93" i="8"/>
  <c r="CU51" i="8"/>
  <c r="CU53" i="8" s="1"/>
  <c r="DC49" i="19"/>
  <c r="CX9" i="8"/>
  <c r="CD77" i="121"/>
  <c r="CM14" i="121"/>
  <c r="CK14" i="121" s="1"/>
  <c r="BI12" i="120"/>
  <c r="BI181" i="120"/>
  <c r="BI225" i="120" s="1"/>
  <c r="BL89" i="120"/>
  <c r="CG89" i="120"/>
  <c r="CJ89" i="120" s="1"/>
  <c r="BG222" i="120"/>
  <c r="BJ222" i="120" s="1"/>
  <c r="BJ156" i="120"/>
  <c r="CE156" i="120"/>
  <c r="AF64" i="125"/>
  <c r="GK79" i="121"/>
  <c r="W16" i="125"/>
  <c r="AQ178" i="120"/>
  <c r="AQ12" i="120"/>
  <c r="AF17" i="125"/>
  <c r="CD13" i="120"/>
  <c r="AF18" i="125" s="1"/>
  <c r="CD179" i="120"/>
  <c r="CD180" i="120" s="1"/>
  <c r="DO11" i="123"/>
  <c r="V18" i="126" s="1"/>
  <c r="X18" i="126"/>
  <c r="DZ11" i="123"/>
  <c r="DX11" i="123" s="1"/>
  <c r="GA13" i="121"/>
  <c r="FZ12" i="121"/>
  <c r="FZ13" i="121" s="1"/>
  <c r="AP12" i="121"/>
  <c r="AO11" i="121"/>
  <c r="T58" i="125"/>
  <c r="CM73" i="121"/>
  <c r="H158" i="120"/>
  <c r="AN52" i="5"/>
  <c r="BY16" i="7"/>
  <c r="AA37" i="66"/>
  <c r="AB36" i="66"/>
  <c r="AE10" i="121"/>
  <c r="AN10" i="121" s="1"/>
  <c r="AN8" i="121"/>
  <c r="AN11" i="121" s="1"/>
  <c r="AN12" i="121" s="1"/>
  <c r="AE11" i="121"/>
  <c r="AE12" i="121" s="1"/>
  <c r="AE13" i="121" s="1"/>
  <c r="AN13" i="121" s="1"/>
  <c r="CD8" i="121"/>
  <c r="AC18" i="121"/>
  <c r="CC18" i="121"/>
  <c r="CL18" i="121" s="1"/>
  <c r="CK18" i="121" s="1"/>
  <c r="AM18" i="121"/>
  <c r="AL18" i="121" s="1"/>
  <c r="AP178" i="120"/>
  <c r="V16" i="125"/>
  <c r="AP12" i="120"/>
  <c r="AO11" i="120"/>
  <c r="CW49" i="19"/>
  <c r="BV208" i="120"/>
  <c r="BV224" i="120"/>
  <c r="I55" i="85"/>
  <c r="J55" i="85" s="1"/>
  <c r="J54" i="85"/>
  <c r="AC48" i="6"/>
  <c r="AC47" i="6"/>
  <c r="AC49" i="6"/>
  <c r="AD46" i="6"/>
  <c r="AC50" i="6"/>
  <c r="CD204" i="122"/>
  <c r="CJ204" i="122" s="1"/>
  <c r="B23" i="122"/>
  <c r="R23" i="122"/>
  <c r="AG23" i="122" s="1"/>
  <c r="C152" i="122"/>
  <c r="C36" i="123" s="1"/>
  <c r="AC53" i="125"/>
  <c r="FY68" i="121"/>
  <c r="Y19" i="125"/>
  <c r="G14" i="127" s="1"/>
  <c r="BE181" i="120"/>
  <c r="BE225" i="120" s="1"/>
  <c r="BD14" i="120"/>
  <c r="GC74" i="121"/>
  <c r="E208" i="120"/>
  <c r="E224" i="120"/>
  <c r="CN67" i="120"/>
  <c r="CH47" i="120"/>
  <c r="CE262" i="120"/>
  <c r="CH262" i="120" s="1"/>
  <c r="C68" i="120"/>
  <c r="CB68" i="120"/>
  <c r="CH68" i="120" s="1"/>
  <c r="L29" i="11"/>
  <c r="K29" i="11" s="1"/>
  <c r="O29" i="11" s="1"/>
  <c r="O39" i="11" s="1"/>
  <c r="AA19" i="7" s="1"/>
  <c r="S28" i="122"/>
  <c r="D164" i="122"/>
  <c r="D48" i="123" s="1"/>
  <c r="AN77" i="121"/>
  <c r="AC77" i="121"/>
  <c r="N62" i="125"/>
  <c r="BL201" i="120"/>
  <c r="FE65" i="123"/>
  <c r="FN65" i="123" s="1"/>
  <c r="FO65" i="123"/>
  <c r="X46" i="95"/>
  <c r="AC64" i="121"/>
  <c r="BC85" i="7"/>
  <c r="O16" i="126"/>
  <c r="CD9" i="123"/>
  <c r="AC9" i="123"/>
  <c r="M16" i="126" s="1"/>
  <c r="AN9" i="123"/>
  <c r="AL9" i="123" s="1"/>
  <c r="DP10" i="121"/>
  <c r="DY10" i="121" s="1"/>
  <c r="DP11" i="121"/>
  <c r="DO8" i="121"/>
  <c r="DO10" i="121" s="1"/>
  <c r="DY8" i="121"/>
  <c r="BH12" i="121"/>
  <c r="BG11" i="121"/>
  <c r="AY12" i="121"/>
  <c r="AX11" i="121"/>
  <c r="AB62" i="125"/>
  <c r="FN77" i="121"/>
  <c r="AA62" i="125" s="1"/>
  <c r="EA16" i="121"/>
  <c r="EB14" i="121"/>
  <c r="EK14" i="121" s="1"/>
  <c r="CE256" i="120"/>
  <c r="CH256" i="120" s="1"/>
  <c r="CH82" i="120"/>
  <c r="CO79" i="121"/>
  <c r="BG79" i="121"/>
  <c r="BP79" i="121" s="1"/>
  <c r="BQ79" i="121"/>
  <c r="I26" i="111"/>
  <c r="BY38" i="7"/>
  <c r="BN212" i="120"/>
  <c r="EN64" i="121" s="1"/>
  <c r="BM146" i="120"/>
  <c r="BM212" i="120" s="1"/>
  <c r="J15" i="68"/>
  <c r="BG210" i="122"/>
  <c r="CI197" i="120"/>
  <c r="BK266" i="120"/>
  <c r="AO51" i="6"/>
  <c r="BW16" i="8"/>
  <c r="Q71" i="8"/>
  <c r="P72" i="8"/>
  <c r="G33" i="105"/>
  <c r="G25" i="105"/>
  <c r="CC101" i="122"/>
  <c r="CZ41" i="8"/>
  <c r="CU31" i="17"/>
  <c r="CT31" i="17" s="1"/>
  <c r="CT40" i="17" s="1"/>
  <c r="BV13" i="8"/>
  <c r="DQ58" i="121"/>
  <c r="CW38" i="8"/>
  <c r="CX40" i="8"/>
  <c r="CX34" i="8"/>
  <c r="BV24" i="8"/>
  <c r="L39" i="123"/>
  <c r="B39" i="123"/>
  <c r="AF33" i="120"/>
  <c r="AP33" i="120"/>
  <c r="BE33" i="120" s="1"/>
  <c r="AM33" i="120"/>
  <c r="Q175" i="120"/>
  <c r="Q177" i="120" s="1"/>
  <c r="Q10" i="120"/>
  <c r="O15" i="125" s="1"/>
  <c r="O13" i="125"/>
  <c r="R178" i="120"/>
  <c r="R12" i="120"/>
  <c r="P16" i="125"/>
  <c r="Q11" i="120"/>
  <c r="R101" i="120"/>
  <c r="Q101" i="120" s="1"/>
  <c r="B101" i="120"/>
  <c r="W56" i="121"/>
  <c r="X76" i="121"/>
  <c r="AI13" i="98"/>
  <c r="AD16" i="98"/>
  <c r="BT16" i="8"/>
  <c r="AN51" i="6"/>
  <c r="AP51" i="6" s="1"/>
  <c r="AP47" i="6" s="1"/>
  <c r="CL16" i="8" s="1"/>
  <c r="BB41" i="8"/>
  <c r="B185" i="120"/>
  <c r="CL18" i="120"/>
  <c r="L23" i="125"/>
  <c r="BK87" i="122"/>
  <c r="CF87" i="122"/>
  <c r="CI87" i="122" s="1"/>
  <c r="P208" i="120"/>
  <c r="P224" i="120"/>
  <c r="P226" i="120" s="1"/>
  <c r="AQ57" i="72"/>
  <c r="BA57" i="72"/>
  <c r="AM48" i="72"/>
  <c r="F27" i="63"/>
  <c r="N18" i="61" s="1"/>
  <c r="F7" i="63"/>
  <c r="AF86" i="7"/>
  <c r="AE85" i="7"/>
  <c r="AE86" i="7" s="1"/>
  <c r="AL52" i="7"/>
  <c r="AN144" i="7"/>
  <c r="T55" i="125"/>
  <c r="CM70" i="121"/>
  <c r="BF221" i="120"/>
  <c r="BL221" i="120" s="1"/>
  <c r="BL155" i="120"/>
  <c r="AO266" i="120"/>
  <c r="J10" i="95"/>
  <c r="J15" i="95" s="1"/>
  <c r="J20" i="95" s="1"/>
  <c r="J49" i="95" s="1"/>
  <c r="M13" i="61" s="1"/>
  <c r="CJ56" i="72"/>
  <c r="CI48" i="72" s="1"/>
  <c r="AP43" i="3"/>
  <c r="AC41" i="95"/>
  <c r="AC46" i="95" s="1"/>
  <c r="AD37" i="95"/>
  <c r="AM55" i="5"/>
  <c r="AX55" i="5" s="1"/>
  <c r="AX51" i="5" s="1"/>
  <c r="CF42" i="7" s="1"/>
  <c r="BV42" i="7"/>
  <c r="CB25" i="17"/>
  <c r="CC24" i="17"/>
  <c r="BR38" i="17"/>
  <c r="BR24" i="17"/>
  <c r="CE32" i="17"/>
  <c r="CF31" i="17"/>
  <c r="CE31" i="17" s="1"/>
  <c r="R18" i="126"/>
  <c r="CA11" i="123"/>
  <c r="BY11" i="123" s="1"/>
  <c r="BP11" i="123"/>
  <c r="P18" i="126" s="1"/>
  <c r="CX12" i="121"/>
  <c r="CW11" i="121"/>
  <c r="B69" i="120"/>
  <c r="DC168" i="7"/>
  <c r="DC150" i="7"/>
  <c r="AP220" i="122"/>
  <c r="BE220" i="122" s="1"/>
  <c r="BK220" i="122" s="1"/>
  <c r="AO72" i="122"/>
  <c r="BN72" i="122"/>
  <c r="BN70" i="122" s="1"/>
  <c r="FJ81" i="121"/>
  <c r="FJ78" i="121"/>
  <c r="H231" i="120"/>
  <c r="H226" i="120"/>
  <c r="BG244" i="120"/>
  <c r="BJ244" i="120" s="1"/>
  <c r="BJ86" i="120"/>
  <c r="CE86" i="120"/>
  <c r="CQ29" i="17"/>
  <c r="CQ26" i="17"/>
  <c r="CQ28" i="17"/>
  <c r="CQ32" i="17"/>
  <c r="CQ35" i="17"/>
  <c r="W18" i="98"/>
  <c r="V22" i="98"/>
  <c r="AA18" i="98"/>
  <c r="AA22" i="98" s="1"/>
  <c r="U27" i="126"/>
  <c r="CM36" i="123"/>
  <c r="BB86" i="8"/>
  <c r="E14" i="77"/>
  <c r="E11" i="77" s="1"/>
  <c r="F11" i="77"/>
  <c r="BU36" i="71"/>
  <c r="BW24" i="71"/>
  <c r="Z35" i="7"/>
  <c r="R35" i="7"/>
  <c r="S35" i="7"/>
  <c r="BR10" i="121"/>
  <c r="CA10" i="121" s="1"/>
  <c r="BR11" i="121"/>
  <c r="BR12" i="121" s="1"/>
  <c r="BR13" i="121" s="1"/>
  <c r="CA8" i="121"/>
  <c r="CA11" i="121" s="1"/>
  <c r="BF143" i="7"/>
  <c r="AN58" i="123"/>
  <c r="O49" i="126"/>
  <c r="AF114" i="122"/>
  <c r="AM114" i="122"/>
  <c r="AG167" i="122"/>
  <c r="AM167" i="122" s="1"/>
  <c r="AP114" i="122"/>
  <c r="BE114" i="122" s="1"/>
  <c r="DF158" i="7"/>
  <c r="DF160" i="7"/>
  <c r="DF161" i="7" s="1"/>
  <c r="B113" i="122"/>
  <c r="C166" i="122"/>
  <c r="C50" i="123" s="1"/>
  <c r="R113" i="122"/>
  <c r="X24" i="125"/>
  <c r="BD186" i="120"/>
  <c r="O208" i="120"/>
  <c r="O224" i="120"/>
  <c r="O226" i="120" s="1"/>
  <c r="M7" i="105"/>
  <c r="H15" i="105"/>
  <c r="H20" i="105" s="1"/>
  <c r="H6" i="105"/>
  <c r="J13" i="81"/>
  <c r="O13" i="81"/>
  <c r="J9" i="81"/>
  <c r="O9" i="81"/>
  <c r="AG14" i="19"/>
  <c r="AE10" i="19"/>
  <c r="AN14" i="19"/>
  <c r="X66" i="123"/>
  <c r="X63" i="123"/>
  <c r="M40" i="123"/>
  <c r="V40" i="123" s="1"/>
  <c r="AA23" i="125"/>
  <c r="BM185" i="120"/>
  <c r="Q185" i="120"/>
  <c r="O23" i="125"/>
  <c r="AH215" i="120"/>
  <c r="BF149" i="120"/>
  <c r="BF215" i="120" s="1"/>
  <c r="BK210" i="122"/>
  <c r="CF210" i="122"/>
  <c r="T54" i="125"/>
  <c r="EC69" i="121"/>
  <c r="CM69" i="121"/>
  <c r="FS56" i="121"/>
  <c r="CG50" i="120"/>
  <c r="CJ50" i="120" s="1"/>
  <c r="CP52" i="7"/>
  <c r="CO53" i="7"/>
  <c r="CO52" i="7" s="1"/>
  <c r="T50" i="121"/>
  <c r="AE50" i="121"/>
  <c r="L13" i="87"/>
  <c r="L11" i="87" s="1"/>
  <c r="L10" i="87" s="1"/>
  <c r="Q12" i="65" s="1"/>
  <c r="R12" i="65" s="1"/>
  <c r="K11" i="87"/>
  <c r="K10" i="87" s="1"/>
  <c r="BN242" i="120"/>
  <c r="BM42" i="120"/>
  <c r="BM242" i="120" s="1"/>
  <c r="AW65" i="32"/>
  <c r="AU61" i="32"/>
  <c r="AU70" i="32" s="1"/>
  <c r="AU69" i="32"/>
  <c r="AW69" i="32" s="1"/>
  <c r="AW73" i="32" s="1"/>
  <c r="CS53" i="7" s="1"/>
  <c r="N68" i="68"/>
  <c r="N66" i="68"/>
  <c r="N69" i="68"/>
  <c r="N67" i="68"/>
  <c r="AU158" i="7"/>
  <c r="AU160" i="7"/>
  <c r="AU161" i="7" s="1"/>
  <c r="BK44" i="120"/>
  <c r="BD44" i="120"/>
  <c r="BE245" i="120"/>
  <c r="BK245" i="120" s="1"/>
  <c r="B210" i="120"/>
  <c r="DO62" i="123"/>
  <c r="V53" i="126" s="1"/>
  <c r="FF12" i="121"/>
  <c r="FE11" i="121"/>
  <c r="DK106" i="8"/>
  <c r="DI106" i="8" s="1"/>
  <c r="DK104" i="8"/>
  <c r="CC164" i="122"/>
  <c r="CB111" i="122"/>
  <c r="CB164" i="122" s="1"/>
  <c r="N60" i="121"/>
  <c r="AG60" i="121"/>
  <c r="FA78" i="121"/>
  <c r="FA81" i="121"/>
  <c r="CL77" i="120"/>
  <c r="BD212" i="120"/>
  <c r="BJ212" i="120" s="1"/>
  <c r="BJ146" i="120"/>
  <c r="BL51" i="72"/>
  <c r="BM48" i="72"/>
  <c r="BA29" i="8"/>
  <c r="BB29" i="8"/>
  <c r="AO11" i="19"/>
  <c r="AO49" i="19" s="1"/>
  <c r="AQ10" i="19"/>
  <c r="AN41" i="7"/>
  <c r="AL40" i="7"/>
  <c r="K165" i="120"/>
  <c r="K160" i="120"/>
  <c r="BL241" i="120"/>
  <c r="DK76" i="121"/>
  <c r="DT56" i="121"/>
  <c r="CG244" i="120"/>
  <c r="CJ244" i="120" s="1"/>
  <c r="CJ86" i="120"/>
  <c r="AO198" i="120"/>
  <c r="BO106" i="120"/>
  <c r="CG30" i="7"/>
  <c r="CA30" i="7"/>
  <c r="BZ28" i="7"/>
  <c r="CA29" i="7"/>
  <c r="BW29" i="7"/>
  <c r="CH55" i="7"/>
  <c r="CA55" i="7"/>
  <c r="CA10" i="7"/>
  <c r="BX29" i="7"/>
  <c r="BZ30" i="7"/>
  <c r="BW10" i="7"/>
  <c r="CA12" i="7"/>
  <c r="CG55" i="7"/>
  <c r="BV151" i="7"/>
  <c r="BV64" i="7" s="1"/>
  <c r="CH30" i="7"/>
  <c r="BZ55" i="7"/>
  <c r="CA28" i="7"/>
  <c r="BX10" i="7"/>
  <c r="BX138" i="7" s="1"/>
  <c r="BX175" i="7" s="1"/>
  <c r="X22" i="64" s="1"/>
  <c r="BW54" i="7"/>
  <c r="BW28" i="7"/>
  <c r="BW139" i="7" s="1"/>
  <c r="BX30" i="7"/>
  <c r="BX54" i="7"/>
  <c r="BX28" i="7"/>
  <c r="BW55" i="7"/>
  <c r="BW30" i="7"/>
  <c r="BX12" i="7"/>
  <c r="BX55" i="7"/>
  <c r="BZ29" i="7"/>
  <c r="BZ10" i="7"/>
  <c r="BW59" i="7"/>
  <c r="AF89" i="8"/>
  <c r="AJ89" i="8"/>
  <c r="BW37" i="71"/>
  <c r="BX37" i="71"/>
  <c r="FY64" i="123"/>
  <c r="AD55" i="126"/>
  <c r="CY144" i="7"/>
  <c r="CY63" i="7"/>
  <c r="CY65" i="7" s="1"/>
  <c r="AH60" i="121"/>
  <c r="E60" i="121"/>
  <c r="M60" i="121"/>
  <c r="V60" i="121" s="1"/>
  <c r="AE60" i="121"/>
  <c r="AC50" i="121"/>
  <c r="AQ57" i="9"/>
  <c r="BA57" i="9"/>
  <c r="AM48" i="9"/>
  <c r="CT93" i="8"/>
  <c r="CT99" i="8" s="1"/>
  <c r="CT101" i="8" s="1"/>
  <c r="CT51" i="8"/>
  <c r="CT53" i="8" s="1"/>
  <c r="EC14" i="121"/>
  <c r="EL16" i="121"/>
  <c r="EJ16" i="121" s="1"/>
  <c r="CE54" i="120"/>
  <c r="AL156" i="120"/>
  <c r="I33" i="97"/>
  <c r="I34" i="97" s="1"/>
  <c r="H34" i="97"/>
  <c r="T231" i="120"/>
  <c r="T226" i="120"/>
  <c r="O158" i="120"/>
  <c r="I160" i="120"/>
  <c r="CG261" i="120"/>
  <c r="CJ69" i="120"/>
  <c r="EX51" i="121"/>
  <c r="FG51" i="121" s="1"/>
  <c r="BY42" i="7"/>
  <c r="AN55" i="5"/>
  <c r="Q20" i="96"/>
  <c r="L20" i="96"/>
  <c r="AQ129" i="120"/>
  <c r="BO128" i="120"/>
  <c r="BO129" i="120" s="1"/>
  <c r="C38" i="133"/>
  <c r="AA13" i="125"/>
  <c r="BM175" i="120"/>
  <c r="BM177" i="120" s="1"/>
  <c r="BM10" i="120"/>
  <c r="AA15" i="125" s="1"/>
  <c r="BN12" i="120"/>
  <c r="AB16" i="125"/>
  <c r="BN178" i="120"/>
  <c r="BM11" i="120"/>
  <c r="GG66" i="123"/>
  <c r="AC54" i="125"/>
  <c r="FY69" i="121"/>
  <c r="BE139" i="120"/>
  <c r="AZ55" i="72"/>
  <c r="BG55" i="72" s="1"/>
  <c r="BA54" i="72"/>
  <c r="F14" i="66"/>
  <c r="I16" i="66"/>
  <c r="AT40" i="17"/>
  <c r="AX40" i="17"/>
  <c r="BC40" i="17"/>
  <c r="V40" i="17"/>
  <c r="AA40" i="17"/>
  <c r="AO40" i="17"/>
  <c r="B75" i="121"/>
  <c r="L75" i="121"/>
  <c r="W20" i="126"/>
  <c r="DO13" i="123"/>
  <c r="V20" i="126" s="1"/>
  <c r="DY13" i="123"/>
  <c r="DX13" i="123" s="1"/>
  <c r="CB152" i="122"/>
  <c r="CH23" i="122"/>
  <c r="R79" i="68"/>
  <c r="T77" i="68"/>
  <c r="T79" i="68" s="1"/>
  <c r="BD183" i="120"/>
  <c r="X21" i="125"/>
  <c r="BG71" i="120"/>
  <c r="BI62" i="120"/>
  <c r="AN62" i="120"/>
  <c r="BO35" i="122"/>
  <c r="BO217" i="122"/>
  <c r="BM37" i="122"/>
  <c r="BO253" i="120"/>
  <c r="BM114" i="120"/>
  <c r="BM253" i="120" s="1"/>
  <c r="F59" i="116"/>
  <c r="F99" i="116"/>
  <c r="F79" i="116"/>
  <c r="F69" i="116"/>
  <c r="J40" i="98"/>
  <c r="M12" i="65" s="1"/>
  <c r="U32" i="98"/>
  <c r="U37" i="98" s="1"/>
  <c r="U41" i="98" s="1"/>
  <c r="AA13" i="66" s="1"/>
  <c r="V27" i="98"/>
  <c r="AP39" i="11"/>
  <c r="BO43" i="122"/>
  <c r="BO152" i="122" s="1"/>
  <c r="EO36" i="123" s="1"/>
  <c r="AQ152" i="122"/>
  <c r="CP36" i="123" s="1"/>
  <c r="AM34" i="122"/>
  <c r="AP34" i="122"/>
  <c r="BE34" i="122" s="1"/>
  <c r="BK34" i="122" s="1"/>
  <c r="CB197" i="120"/>
  <c r="Q58" i="125"/>
  <c r="CA73" i="121"/>
  <c r="AA13" i="7"/>
  <c r="U24" i="17"/>
  <c r="AH158" i="7"/>
  <c r="AH160" i="7"/>
  <c r="CX123" i="8"/>
  <c r="AN17" i="65"/>
  <c r="AO17" i="65" s="1"/>
  <c r="AH175" i="120"/>
  <c r="AH177" i="120" s="1"/>
  <c r="AN8" i="120"/>
  <c r="T13" i="125"/>
  <c r="AH11" i="120"/>
  <c r="BF8" i="120"/>
  <c r="AH10" i="120"/>
  <c r="AN14" i="64"/>
  <c r="CD11" i="123"/>
  <c r="O18" i="126"/>
  <c r="AN11" i="123"/>
  <c r="AL11" i="123" s="1"/>
  <c r="AC11" i="123"/>
  <c r="M18" i="126" s="1"/>
  <c r="B62" i="123"/>
  <c r="AC62" i="123" s="1"/>
  <c r="AL62" i="123" s="1"/>
  <c r="CO12" i="121"/>
  <c r="CN11" i="121"/>
  <c r="C12" i="121"/>
  <c r="B11" i="121"/>
  <c r="T165" i="120"/>
  <c r="T160" i="120"/>
  <c r="AC66" i="121"/>
  <c r="CX64" i="121"/>
  <c r="CN64" i="121"/>
  <c r="H31" i="64"/>
  <c r="B18" i="99" s="1"/>
  <c r="C40" i="85"/>
  <c r="R34" i="8"/>
  <c r="R51" i="8" s="1"/>
  <c r="F13" i="66"/>
  <c r="I13" i="66" s="1"/>
  <c r="N13" i="66" s="1"/>
  <c r="AS40" i="7"/>
  <c r="DQ10" i="121"/>
  <c r="DZ10" i="121" s="1"/>
  <c r="DQ11" i="121"/>
  <c r="DZ8" i="121"/>
  <c r="AO52" i="6"/>
  <c r="BV26" i="8"/>
  <c r="BV13" i="7"/>
  <c r="G19" i="105"/>
  <c r="CC49" i="122"/>
  <c r="CZ26" i="8"/>
  <c r="BO130" i="120"/>
  <c r="BZ39" i="7"/>
  <c r="CA39" i="7"/>
  <c r="CR23" i="7"/>
  <c r="CR25" i="7" s="1"/>
  <c r="CS25" i="7"/>
  <c r="CX13" i="8"/>
  <c r="BV29" i="8"/>
  <c r="BW30" i="8"/>
  <c r="CI101" i="122"/>
  <c r="DX10" i="121"/>
  <c r="CJ196" i="122"/>
  <c r="BV124" i="122"/>
  <c r="BV126" i="122" s="1"/>
  <c r="CD199" i="122"/>
  <c r="CJ199" i="122" s="1"/>
  <c r="BG166" i="122"/>
  <c r="CE113" i="122"/>
  <c r="AP214" i="122"/>
  <c r="BE214" i="122" s="1"/>
  <c r="BK214" i="122" s="1"/>
  <c r="BN66" i="122"/>
  <c r="BN214" i="122" s="1"/>
  <c r="CC214" i="122" s="1"/>
  <c r="CI214" i="122" s="1"/>
  <c r="FH56" i="121"/>
  <c r="FI76" i="121"/>
  <c r="CY52" i="8"/>
  <c r="CW100" i="8"/>
  <c r="CW52" i="8" s="1"/>
  <c r="N45" i="68"/>
  <c r="P43" i="68"/>
  <c r="BO152" i="7"/>
  <c r="BO154" i="7"/>
  <c r="AN53" i="6"/>
  <c r="AP53" i="6" s="1"/>
  <c r="AP49" i="6" s="1"/>
  <c r="CK33" i="8" s="1"/>
  <c r="CL33" i="8" s="1"/>
  <c r="BS33" i="8"/>
  <c r="BT33" i="8" s="1"/>
  <c r="AA24" i="7"/>
  <c r="AB23" i="7"/>
  <c r="AM23" i="7"/>
  <c r="AP23" i="7"/>
  <c r="AI23" i="7"/>
  <c r="AC23" i="7"/>
  <c r="BB26" i="8"/>
  <c r="BC26" i="8" s="1"/>
  <c r="AS26" i="7"/>
  <c r="ET68" i="123"/>
  <c r="FU67" i="123"/>
  <c r="ES67" i="123"/>
  <c r="FT67" i="123" s="1"/>
  <c r="O15" i="126"/>
  <c r="C19" i="127" s="1"/>
  <c r="CD8" i="123"/>
  <c r="AC8" i="123"/>
  <c r="M15" i="126" s="1"/>
  <c r="AN8" i="123"/>
  <c r="AL8" i="123" s="1"/>
  <c r="BI37" i="120"/>
  <c r="AK204" i="120"/>
  <c r="AN37" i="120"/>
  <c r="AD27" i="98"/>
  <c r="AD32" i="98" s="1"/>
  <c r="AD37" i="98" s="1"/>
  <c r="Y32" i="98"/>
  <c r="Y37" i="98" s="1"/>
  <c r="AN51" i="65"/>
  <c r="AN52" i="65" s="1"/>
  <c r="AN47" i="65"/>
  <c r="AB64" i="32"/>
  <c r="AC64" i="32"/>
  <c r="BB38" i="8"/>
  <c r="BA38" i="8"/>
  <c r="S35" i="96"/>
  <c r="S25" i="96"/>
  <c r="S15" i="96"/>
  <c r="S30" i="96"/>
  <c r="S10" i="96"/>
  <c r="S20" i="96"/>
  <c r="CV109" i="8"/>
  <c r="CV110" i="8" s="1"/>
  <c r="CV107" i="8"/>
  <c r="AQ221" i="120"/>
  <c r="CP73" i="121" s="1"/>
  <c r="BO155" i="120"/>
  <c r="BO221" i="120" s="1"/>
  <c r="EO73" i="121" s="1"/>
  <c r="P163" i="122"/>
  <c r="P177" i="122"/>
  <c r="P179" i="122" s="1"/>
  <c r="BB40" i="3"/>
  <c r="Z33" i="95"/>
  <c r="AM54" i="5"/>
  <c r="AX54" i="5" s="1"/>
  <c r="AX50" i="5" s="1"/>
  <c r="CF34" i="7" s="1"/>
  <c r="BV34" i="7"/>
  <c r="BD140" i="7"/>
  <c r="BE13" i="7"/>
  <c r="BF13" i="7" s="1"/>
  <c r="BR40" i="17"/>
  <c r="BT31" i="17"/>
  <c r="CH32" i="17"/>
  <c r="CI31" i="17"/>
  <c r="CH31" i="17" s="1"/>
  <c r="FY11" i="123"/>
  <c r="FW11" i="123" s="1"/>
  <c r="AD18" i="126"/>
  <c r="FN11" i="123"/>
  <c r="AB18" i="126" s="1"/>
  <c r="AD16" i="126"/>
  <c r="FN9" i="123"/>
  <c r="AB16" i="126" s="1"/>
  <c r="FY9" i="123"/>
  <c r="FW9" i="123" s="1"/>
  <c r="U12" i="121"/>
  <c r="T11" i="121"/>
  <c r="C165" i="122"/>
  <c r="C49" i="123" s="1"/>
  <c r="R112" i="122"/>
  <c r="AG112" i="122" s="1"/>
  <c r="C111" i="122"/>
  <c r="B112" i="122"/>
  <c r="GF89" i="121"/>
  <c r="EE61" i="121"/>
  <c r="BS165" i="120"/>
  <c r="BS160" i="120"/>
  <c r="Z41" i="98"/>
  <c r="L20" i="87"/>
  <c r="R16" i="65"/>
  <c r="BX35" i="71"/>
  <c r="BW35" i="71"/>
  <c r="DJ107" i="8"/>
  <c r="DJ109" i="8"/>
  <c r="DJ110" i="8" s="1"/>
  <c r="BE143" i="7"/>
  <c r="D168" i="122"/>
  <c r="D52" i="123" s="1"/>
  <c r="B167" i="122"/>
  <c r="CC30" i="120"/>
  <c r="CI30" i="120" s="1"/>
  <c r="CU9" i="7"/>
  <c r="AE17" i="125"/>
  <c r="CC13" i="120"/>
  <c r="AE18" i="125" s="1"/>
  <c r="CC179" i="120"/>
  <c r="CC180" i="120" s="1"/>
  <c r="CB12" i="120"/>
  <c r="M16" i="125"/>
  <c r="C178" i="120"/>
  <c r="C12" i="120"/>
  <c r="B11" i="120"/>
  <c r="R80" i="122"/>
  <c r="Q80" i="122" s="1"/>
  <c r="B80" i="122"/>
  <c r="AG67" i="120"/>
  <c r="GB30" i="123"/>
  <c r="GK24" i="123"/>
  <c r="AG37" i="66"/>
  <c r="AH36" i="66"/>
  <c r="AO36" i="66"/>
  <c r="CY49" i="121"/>
  <c r="DH49" i="121" s="1"/>
  <c r="J12" i="81"/>
  <c r="O12" i="81"/>
  <c r="S24" i="7"/>
  <c r="S25" i="7" s="1"/>
  <c r="S17" i="7" s="1"/>
  <c r="Q25" i="7"/>
  <c r="R24" i="7"/>
  <c r="R25" i="7" s="1"/>
  <c r="R17" i="7" s="1"/>
  <c r="T24" i="7"/>
  <c r="T25" i="7" s="1"/>
  <c r="T17" i="7" s="1"/>
  <c r="T63" i="7" s="1"/>
  <c r="T80" i="7" s="1"/>
  <c r="T83" i="7" s="1"/>
  <c r="Z24" i="7"/>
  <c r="AO251" i="120"/>
  <c r="L60" i="123"/>
  <c r="B60" i="123"/>
  <c r="AZ40" i="123"/>
  <c r="BI40" i="123" s="1"/>
  <c r="CA208" i="120"/>
  <c r="CA224" i="120"/>
  <c r="CA226" i="120" s="1"/>
  <c r="AQ222" i="120"/>
  <c r="CP74" i="121" s="1"/>
  <c r="BO156" i="120"/>
  <c r="AO156" i="120"/>
  <c r="CN156" i="120"/>
  <c r="Z65" i="125"/>
  <c r="GB80" i="121"/>
  <c r="EL80" i="121"/>
  <c r="CK154" i="7"/>
  <c r="CK152" i="7"/>
  <c r="AJ57" i="19"/>
  <c r="CX15" i="19"/>
  <c r="CX33" i="19"/>
  <c r="CX46" i="19"/>
  <c r="CX8" i="19"/>
  <c r="CX19" i="19"/>
  <c r="CX31" i="19"/>
  <c r="CX47" i="19"/>
  <c r="CX48" i="19"/>
  <c r="CX20" i="19"/>
  <c r="CX30" i="19"/>
  <c r="CX21" i="19"/>
  <c r="CX41" i="19"/>
  <c r="CX42" i="19"/>
  <c r="CX25" i="19"/>
  <c r="CX35" i="19"/>
  <c r="CX22" i="19"/>
  <c r="CX45" i="19"/>
  <c r="CX44" i="19"/>
  <c r="CX34" i="19"/>
  <c r="CX18" i="19"/>
  <c r="CX29" i="19"/>
  <c r="CX17" i="19"/>
  <c r="CX39" i="19"/>
  <c r="CX32" i="19"/>
  <c r="CX37" i="19"/>
  <c r="CX24" i="19"/>
  <c r="CX36" i="19"/>
  <c r="CX23" i="19"/>
  <c r="CX40" i="19"/>
  <c r="CX38" i="19"/>
  <c r="CX26" i="19"/>
  <c r="CX28" i="19"/>
  <c r="CX43" i="19"/>
  <c r="CW50" i="19"/>
  <c r="CX27" i="19"/>
  <c r="CX9" i="19"/>
  <c r="CX16" i="19"/>
  <c r="R95" i="122"/>
  <c r="AG95" i="122" s="1"/>
  <c r="B95" i="122"/>
  <c r="BC163" i="122"/>
  <c r="BC177" i="122"/>
  <c r="BC179" i="122" s="1"/>
  <c r="GF41" i="123"/>
  <c r="GF42" i="123" s="1"/>
  <c r="EG42" i="123"/>
  <c r="CT9" i="7"/>
  <c r="CT136" i="7" s="1"/>
  <c r="AI31" i="95"/>
  <c r="AN106" i="120"/>
  <c r="BI106" i="120"/>
  <c r="BG246" i="120"/>
  <c r="BJ246" i="120" s="1"/>
  <c r="BJ78" i="120"/>
  <c r="CE78" i="120"/>
  <c r="P65" i="68"/>
  <c r="R63" i="68"/>
  <c r="AC85" i="10"/>
  <c r="AC87" i="10" s="1"/>
  <c r="L30" i="105" s="1"/>
  <c r="U83" i="10"/>
  <c r="E31" i="84"/>
  <c r="K32" i="32"/>
  <c r="AJ40" i="3"/>
  <c r="AJ39" i="3" s="1"/>
  <c r="AJ43" i="3" s="1"/>
  <c r="AP245" i="120"/>
  <c r="AO44" i="120"/>
  <c r="BN44" i="120"/>
  <c r="CM44" i="120" s="1"/>
  <c r="AC16" i="125"/>
  <c r="BO12" i="120"/>
  <c r="BO178" i="120"/>
  <c r="C209" i="120"/>
  <c r="C61" i="121" s="1"/>
  <c r="B143" i="120"/>
  <c r="L62" i="121"/>
  <c r="B62" i="121"/>
  <c r="X16" i="126"/>
  <c r="DO9" i="123"/>
  <c r="V16" i="126" s="1"/>
  <c r="DZ9" i="123"/>
  <c r="DX9" i="123" s="1"/>
  <c r="DG12" i="121"/>
  <c r="DF11" i="121"/>
  <c r="L12" i="121"/>
  <c r="K11" i="121"/>
  <c r="DG104" i="8"/>
  <c r="DF103" i="8"/>
  <c r="DF104" i="8" s="1"/>
  <c r="DG106" i="8"/>
  <c r="CD205" i="122"/>
  <c r="CJ205" i="122" s="1"/>
  <c r="CG108" i="122"/>
  <c r="CJ108" i="122" s="1"/>
  <c r="BL108" i="122"/>
  <c r="CJ95" i="122"/>
  <c r="CG152" i="122"/>
  <c r="CJ152" i="122" s="1"/>
  <c r="F22" i="116"/>
  <c r="F32" i="116"/>
  <c r="F42" i="116"/>
  <c r="G43" i="116" s="1"/>
  <c r="BT50" i="19"/>
  <c r="AZ41" i="7"/>
  <c r="BA40" i="7"/>
  <c r="FN18" i="121"/>
  <c r="FX18" i="121"/>
  <c r="FW18" i="121" s="1"/>
  <c r="CJ74" i="120"/>
  <c r="CG241" i="120"/>
  <c r="CJ241" i="120" s="1"/>
  <c r="EY56" i="121"/>
  <c r="EZ76" i="121"/>
  <c r="X65" i="125"/>
  <c r="P8" i="105"/>
  <c r="M21" i="105"/>
  <c r="BC45" i="11"/>
  <c r="AH86" i="7"/>
  <c r="AF17" i="8"/>
  <c r="Z24" i="8"/>
  <c r="AA24" i="8" s="1"/>
  <c r="AF24" i="8"/>
  <c r="Y25" i="8"/>
  <c r="AZ25" i="8" s="1"/>
  <c r="Y90" i="8"/>
  <c r="AJ24" i="8"/>
  <c r="CR61" i="7"/>
  <c r="CR146" i="7" s="1"/>
  <c r="BC18" i="61"/>
  <c r="BD18" i="61" s="1"/>
  <c r="CS146" i="7"/>
  <c r="CS174" i="7"/>
  <c r="U23" i="125"/>
  <c r="AO185" i="120"/>
  <c r="AL222" i="122"/>
  <c r="BG222" i="122"/>
  <c r="CE222" i="122" s="1"/>
  <c r="BO220" i="120"/>
  <c r="EO72" i="121" s="1"/>
  <c r="AH56" i="121"/>
  <c r="G76" i="121"/>
  <c r="E56" i="121"/>
  <c r="M56" i="121"/>
  <c r="V56" i="121" s="1"/>
  <c r="C72" i="85"/>
  <c r="H31" i="66"/>
  <c r="AM50" i="9"/>
  <c r="L67" i="9"/>
  <c r="BA59" i="9"/>
  <c r="AQ59" i="9"/>
  <c r="U24" i="71"/>
  <c r="AY71" i="8"/>
  <c r="EG25" i="123"/>
  <c r="CH26" i="123"/>
  <c r="BL183" i="120"/>
  <c r="BL14" i="120"/>
  <c r="BL181" i="120" s="1"/>
  <c r="BI130" i="120"/>
  <c r="AN130" i="120"/>
  <c r="N99" i="120"/>
  <c r="AK99" i="120"/>
  <c r="BG266" i="120"/>
  <c r="BJ95" i="120"/>
  <c r="CE95" i="120"/>
  <c r="V36" i="64"/>
  <c r="V37" i="64" s="1"/>
  <c r="U37" i="64"/>
  <c r="AU86" i="7"/>
  <c r="AZ8" i="7"/>
  <c r="CE89" i="120"/>
  <c r="EN12" i="121"/>
  <c r="EM11" i="121"/>
  <c r="CB90" i="120"/>
  <c r="C90" i="120"/>
  <c r="CC89" i="120"/>
  <c r="CI89" i="120" s="1"/>
  <c r="CC261" i="120"/>
  <c r="CC260" i="120" s="1"/>
  <c r="B43" i="122"/>
  <c r="R43" i="122"/>
  <c r="Q43" i="122" s="1"/>
  <c r="BR67" i="121"/>
  <c r="BI260" i="120"/>
  <c r="AN53" i="5"/>
  <c r="BZ26" i="7"/>
  <c r="BY26" i="7" s="1"/>
  <c r="Z65" i="32"/>
  <c r="Y65" i="32"/>
  <c r="Y72" i="32" s="1"/>
  <c r="P19" i="104" s="1"/>
  <c r="F32" i="73"/>
  <c r="F42" i="73"/>
  <c r="G43" i="73" s="1"/>
  <c r="Q17" i="65" s="1"/>
  <c r="Q13" i="65" s="1"/>
  <c r="F22" i="73"/>
  <c r="BC89" i="8"/>
  <c r="U13" i="125"/>
  <c r="AO10" i="120"/>
  <c r="U15" i="125" s="1"/>
  <c r="AO175" i="120"/>
  <c r="AO177" i="120" s="1"/>
  <c r="GF66" i="123"/>
  <c r="K231" i="120"/>
  <c r="K226" i="120"/>
  <c r="BY123" i="120"/>
  <c r="CY53" i="121"/>
  <c r="DH53" i="121" s="1"/>
  <c r="AN26" i="8"/>
  <c r="AO26" i="8"/>
  <c r="AO92" i="8" s="1"/>
  <c r="BG54" i="72"/>
  <c r="B223" i="120"/>
  <c r="FN13" i="123"/>
  <c r="AB20" i="126" s="1"/>
  <c r="AC20" i="126"/>
  <c r="FX13" i="123"/>
  <c r="FW13" i="123" s="1"/>
  <c r="N20" i="126"/>
  <c r="CC13" i="123"/>
  <c r="AC13" i="123"/>
  <c r="M20" i="126" s="1"/>
  <c r="AM13" i="123"/>
  <c r="AL13" i="123" s="1"/>
  <c r="X15" i="126"/>
  <c r="F19" i="127" s="1"/>
  <c r="F17" i="127" s="1"/>
  <c r="DO8" i="123"/>
  <c r="V15" i="126" s="1"/>
  <c r="DZ8" i="123"/>
  <c r="DX8" i="123" s="1"/>
  <c r="P80" i="68"/>
  <c r="P83" i="68"/>
  <c r="P82" i="68"/>
  <c r="P81" i="68"/>
  <c r="P84" i="68" s="1"/>
  <c r="T57" i="125"/>
  <c r="CM72" i="121"/>
  <c r="BI71" i="120"/>
  <c r="AN71" i="120"/>
  <c r="BD37" i="122"/>
  <c r="BJ37" i="122" s="1"/>
  <c r="BL37" i="122"/>
  <c r="BF106" i="120"/>
  <c r="DG50" i="121"/>
  <c r="DF50" i="121" s="1"/>
  <c r="AG158" i="7"/>
  <c r="AG160" i="7"/>
  <c r="AG161" i="7" s="1"/>
  <c r="AO8" i="71"/>
  <c r="P24" i="71"/>
  <c r="P36" i="71"/>
  <c r="AN8" i="71"/>
  <c r="BM115" i="120"/>
  <c r="BN254" i="120"/>
  <c r="CT84" i="121"/>
  <c r="CT78" i="121"/>
  <c r="AN27" i="122"/>
  <c r="AH28" i="122"/>
  <c r="AN28" i="122" s="1"/>
  <c r="AQ27" i="122"/>
  <c r="CT68" i="7"/>
  <c r="R35" i="96"/>
  <c r="R25" i="96"/>
  <c r="R15" i="96"/>
  <c r="R20" i="96"/>
  <c r="R10" i="96"/>
  <c r="R30" i="96"/>
  <c r="M126" i="122"/>
  <c r="K124" i="122"/>
  <c r="CG105" i="120"/>
  <c r="CJ103" i="120"/>
  <c r="CG201" i="120"/>
  <c r="CJ201" i="120" s="1"/>
  <c r="AM22" i="64"/>
  <c r="AN8" i="17"/>
  <c r="P24" i="17"/>
  <c r="AO8" i="17"/>
  <c r="P39" i="17"/>
  <c r="BC83" i="7"/>
  <c r="D12" i="120"/>
  <c r="D178" i="120"/>
  <c r="N16" i="125"/>
  <c r="I14" i="133"/>
  <c r="G16" i="133"/>
  <c r="B68" i="124"/>
  <c r="B10" i="121"/>
  <c r="GM10" i="121" s="1"/>
  <c r="GM8" i="121"/>
  <c r="CD201" i="122"/>
  <c r="CJ201" i="122" s="1"/>
  <c r="AK270" i="120"/>
  <c r="AN270" i="120" s="1"/>
  <c r="AN265" i="120"/>
  <c r="CG257" i="120"/>
  <c r="CJ257" i="120" s="1"/>
  <c r="CJ83" i="120"/>
  <c r="AB160" i="120"/>
  <c r="AE158" i="120"/>
  <c r="DQ51" i="121"/>
  <c r="BX8" i="8"/>
  <c r="FY62" i="123"/>
  <c r="AE74" i="121"/>
  <c r="AO53" i="6"/>
  <c r="BV33" i="8"/>
  <c r="BW33" i="8" s="1"/>
  <c r="CF13" i="7"/>
  <c r="AQ107" i="8"/>
  <c r="AQ109" i="8"/>
  <c r="AQ110" i="8" s="1"/>
  <c r="E40" i="132"/>
  <c r="CC81" i="122"/>
  <c r="CZ33" i="8"/>
  <c r="BZ23" i="7"/>
  <c r="BZ24" i="7" s="1"/>
  <c r="BY24" i="7"/>
  <c r="BY48" i="7"/>
  <c r="CS41" i="7"/>
  <c r="CS35" i="7" s="1"/>
  <c r="CR39" i="7"/>
  <c r="CR41" i="7" s="1"/>
  <c r="CR35" i="7" s="1"/>
  <c r="CE139" i="120"/>
  <c r="CH139" i="120" s="1"/>
  <c r="BY32" i="7"/>
  <c r="BZ31" i="7"/>
  <c r="BZ32" i="7" s="1"/>
  <c r="CA31" i="7"/>
  <c r="CA32" i="7" s="1"/>
  <c r="AZ91" i="8"/>
  <c r="BA91" i="8" s="1"/>
  <c r="BA19" i="8"/>
  <c r="BB19" i="8"/>
  <c r="AF25" i="122"/>
  <c r="AM25" i="122"/>
  <c r="AP25" i="122"/>
  <c r="B51" i="121"/>
  <c r="L51" i="121"/>
  <c r="EH61" i="123"/>
  <c r="CI63" i="123"/>
  <c r="CE157" i="120"/>
  <c r="BG223" i="120"/>
  <c r="CE67" i="120"/>
  <c r="BG199" i="120"/>
  <c r="AL37" i="66"/>
  <c r="AM37" i="66" s="1"/>
  <c r="AM36" i="66"/>
  <c r="L48" i="68"/>
  <c r="L49" i="68"/>
  <c r="L47" i="68"/>
  <c r="L46" i="68"/>
  <c r="BM141" i="7"/>
  <c r="BM150" i="7" s="1"/>
  <c r="BM152" i="7" s="1"/>
  <c r="BM25" i="7"/>
  <c r="BM17" i="7" s="1"/>
  <c r="BM63" i="7" s="1"/>
  <c r="BM65" i="7" s="1"/>
  <c r="W20" i="70"/>
  <c r="V21" i="70"/>
  <c r="AN52" i="6"/>
  <c r="AP52" i="6" s="1"/>
  <c r="AP48" i="6" s="1"/>
  <c r="CK26" i="8" s="1"/>
  <c r="BS26" i="8"/>
  <c r="BB33" i="8"/>
  <c r="BC33" i="8" s="1"/>
  <c r="BC27" i="8" s="1"/>
  <c r="AJ60" i="19"/>
  <c r="AO252" i="120"/>
  <c r="CL113" i="120"/>
  <c r="S23" i="125"/>
  <c r="AF18" i="120"/>
  <c r="AG185" i="120"/>
  <c r="BE18" i="120"/>
  <c r="DD106" i="8"/>
  <c r="DD104" i="8"/>
  <c r="DE152" i="7"/>
  <c r="DE154" i="7"/>
  <c r="N52" i="125"/>
  <c r="CD67" i="121"/>
  <c r="CM67" i="121" s="1"/>
  <c r="AN67" i="121"/>
  <c r="BI74" i="121"/>
  <c r="AX74" i="121"/>
  <c r="N29" i="120"/>
  <c r="AI29" i="120" s="1"/>
  <c r="AK29" i="120"/>
  <c r="EW50" i="121"/>
  <c r="BU118" i="8"/>
  <c r="X13" i="66" s="1"/>
  <c r="Y13" i="66" s="1"/>
  <c r="FZ29" i="121"/>
  <c r="EA39" i="121"/>
  <c r="EJ29" i="121"/>
  <c r="F17" i="63"/>
  <c r="I18" i="61" s="1"/>
  <c r="I14" i="61" s="1"/>
  <c r="AT81" i="121"/>
  <c r="AT78" i="121"/>
  <c r="CJ79" i="120"/>
  <c r="CG245" i="120"/>
  <c r="CJ245" i="120" s="1"/>
  <c r="AA56" i="126"/>
  <c r="EL65" i="123"/>
  <c r="GB65" i="123"/>
  <c r="AZ56" i="121"/>
  <c r="BI56" i="121" s="1"/>
  <c r="BM140" i="120"/>
  <c r="CL140" i="120" s="1"/>
  <c r="BN139" i="120"/>
  <c r="CM139" i="120" s="1"/>
  <c r="BN266" i="120"/>
  <c r="T33" i="95"/>
  <c r="T35" i="95"/>
  <c r="AZ40" i="3"/>
  <c r="K16" i="82"/>
  <c r="N16" i="82" s="1"/>
  <c r="P16" i="82"/>
  <c r="Z49" i="125"/>
  <c r="EL64" i="121"/>
  <c r="GB64" i="121"/>
  <c r="BV16" i="7"/>
  <c r="AM52" i="5"/>
  <c r="AX52" i="5" s="1"/>
  <c r="AX48" i="5" s="1"/>
  <c r="CF16" i="7" s="1"/>
  <c r="CE25" i="17"/>
  <c r="CF24" i="17"/>
  <c r="AZ89" i="8"/>
  <c r="BA89" i="8" s="1"/>
  <c r="BB13" i="8"/>
  <c r="BA13" i="8"/>
  <c r="CC59" i="121"/>
  <c r="P44" i="125"/>
  <c r="BZ59" i="121"/>
  <c r="Q70" i="120"/>
  <c r="R69" i="120"/>
  <c r="Q69" i="120" s="1"/>
  <c r="AI35" i="95"/>
  <c r="BE72" i="122"/>
  <c r="BI265" i="120"/>
  <c r="BL266" i="120"/>
  <c r="CN132" i="120"/>
  <c r="AJ16" i="65"/>
  <c r="AQ16" i="65"/>
  <c r="Q25" i="96"/>
  <c r="L25" i="96"/>
  <c r="L12" i="68"/>
  <c r="L11" i="68"/>
  <c r="L10" i="68"/>
  <c r="L9" i="68"/>
  <c r="AB48" i="5"/>
  <c r="AC47" i="5"/>
  <c r="AB51" i="5"/>
  <c r="AB49" i="5"/>
  <c r="AB50" i="5"/>
  <c r="AQ54" i="9"/>
  <c r="AI18" i="8"/>
  <c r="BA54" i="9"/>
  <c r="BM78" i="121"/>
  <c r="BM84" i="121"/>
  <c r="S174" i="122"/>
  <c r="AQ58" i="123" s="1"/>
  <c r="S115" i="122"/>
  <c r="S168" i="122" s="1"/>
  <c r="AQ52" i="123" s="1"/>
  <c r="B51" i="123"/>
  <c r="L51" i="123"/>
  <c r="AD16" i="125"/>
  <c r="CB178" i="120"/>
  <c r="B10" i="120"/>
  <c r="L13" i="125"/>
  <c r="CL8" i="120"/>
  <c r="B175" i="120"/>
  <c r="B177" i="120" s="1"/>
  <c r="R76" i="122"/>
  <c r="R155" i="122" s="1"/>
  <c r="AP39" i="123" s="1"/>
  <c r="B76" i="122"/>
  <c r="B155" i="122" s="1"/>
  <c r="CM52" i="8"/>
  <c r="CK100" i="8"/>
  <c r="EX49" i="121"/>
  <c r="FG49" i="121" s="1"/>
  <c r="J11" i="81"/>
  <c r="O11" i="81"/>
  <c r="Z25" i="95"/>
  <c r="Z27" i="95" s="1"/>
  <c r="AA23" i="95"/>
  <c r="CA65" i="121"/>
  <c r="Q50" i="125"/>
  <c r="CD65" i="121"/>
  <c r="BM112" i="120"/>
  <c r="BM251" i="120" s="1"/>
  <c r="BN251" i="120"/>
  <c r="AG123" i="122"/>
  <c r="R176" i="122"/>
  <c r="AP60" i="123" s="1"/>
  <c r="Q123" i="122"/>
  <c r="Q176" i="122" s="1"/>
  <c r="AH156" i="122"/>
  <c r="AN156" i="122" s="1"/>
  <c r="AN46" i="122"/>
  <c r="AQ46" i="122"/>
  <c r="BF46" i="122" s="1"/>
  <c r="EG89" i="121"/>
  <c r="G160" i="120"/>
  <c r="P158" i="120"/>
  <c r="P160" i="120" s="1"/>
  <c r="Q7" i="102"/>
  <c r="P21" i="102"/>
  <c r="AI12" i="64"/>
  <c r="AI11" i="64" s="1"/>
  <c r="CK176" i="7"/>
  <c r="CM42" i="120"/>
  <c r="T42" i="125"/>
  <c r="CM57" i="121"/>
  <c r="EC57" i="121"/>
  <c r="AF13" i="122"/>
  <c r="BE13" i="122"/>
  <c r="BF22" i="61"/>
  <c r="BL186" i="120"/>
  <c r="BJ19" i="120"/>
  <c r="BJ186" i="120" s="1"/>
  <c r="Y66" i="123"/>
  <c r="Y63" i="123"/>
  <c r="BI123" i="120"/>
  <c r="AN123" i="120"/>
  <c r="CJ91" i="120"/>
  <c r="CG262" i="120"/>
  <c r="CJ262" i="120" s="1"/>
  <c r="BO239" i="120"/>
  <c r="CN130" i="120"/>
  <c r="AQ123" i="120"/>
  <c r="BF130" i="120"/>
  <c r="F46" i="116"/>
  <c r="AF245" i="120"/>
  <c r="AL245" i="120" s="1"/>
  <c r="AL44" i="120"/>
  <c r="R210" i="120"/>
  <c r="AP62" i="121" s="1"/>
  <c r="Q144" i="120"/>
  <c r="Q210" i="120" s="1"/>
  <c r="R143" i="120"/>
  <c r="AG144" i="120"/>
  <c r="R16" i="126"/>
  <c r="BP9" i="123"/>
  <c r="P16" i="126" s="1"/>
  <c r="CA9" i="123"/>
  <c r="BY9" i="123" s="1"/>
  <c r="DQ62" i="123"/>
  <c r="AR56" i="121"/>
  <c r="AS76" i="121"/>
  <c r="N56" i="121"/>
  <c r="O76" i="121"/>
  <c r="AG56" i="121"/>
  <c r="AO16" i="65"/>
  <c r="AN13" i="65"/>
  <c r="CM62" i="121"/>
  <c r="T47" i="125"/>
  <c r="EC62" i="121"/>
  <c r="BU50" i="19"/>
  <c r="B9" i="87"/>
  <c r="C26" i="87" s="1"/>
  <c r="C25" i="87" s="1"/>
  <c r="H22" i="61" s="1"/>
  <c r="BB80" i="7"/>
  <c r="BB81" i="7"/>
  <c r="BB82" i="7" s="1"/>
  <c r="M40" i="56" s="1"/>
  <c r="AZ63" i="7"/>
  <c r="BB55" i="72"/>
  <c r="AB35" i="7"/>
  <c r="AP35" i="7"/>
  <c r="AI35" i="7"/>
  <c r="BV158" i="120"/>
  <c r="BM57" i="120"/>
  <c r="BM198" i="120" s="1"/>
  <c r="BO198" i="120"/>
  <c r="EO50" i="121" s="1"/>
  <c r="EM50" i="121" s="1"/>
  <c r="AF130" i="120"/>
  <c r="AL23" i="8"/>
  <c r="AA89" i="8"/>
  <c r="BM240" i="120"/>
  <c r="CL40" i="120"/>
  <c r="CY72" i="121"/>
  <c r="DH72" i="121" s="1"/>
  <c r="AL87" i="122"/>
  <c r="BG87" i="122"/>
  <c r="CE50" i="120"/>
  <c r="CH50" i="120" s="1"/>
  <c r="B19" i="99"/>
  <c r="CI55" i="72"/>
  <c r="CJ52" i="72"/>
  <c r="CJ55" i="72" s="1"/>
  <c r="O16" i="21"/>
  <c r="AY70" i="8"/>
  <c r="DB49" i="19"/>
  <c r="CC41" i="122"/>
  <c r="AG97" i="122"/>
  <c r="AH19" i="98"/>
  <c r="CJ16" i="120"/>
  <c r="CG183" i="120"/>
  <c r="CE16" i="120"/>
  <c r="CE183" i="120" s="1"/>
  <c r="AL222" i="120"/>
  <c r="AE8" i="95"/>
  <c r="AE13" i="95" s="1"/>
  <c r="AE15" i="95"/>
  <c r="AE20" i="95" s="1"/>
  <c r="CG9" i="7" s="1"/>
  <c r="AF45" i="122"/>
  <c r="AL45" i="122" s="1"/>
  <c r="AM45" i="122"/>
  <c r="AP45" i="122"/>
  <c r="BE45" i="122" s="1"/>
  <c r="FO10" i="121"/>
  <c r="FX10" i="121" s="1"/>
  <c r="FX8" i="121"/>
  <c r="FO11" i="121"/>
  <c r="FN8" i="121"/>
  <c r="FN10" i="121" s="1"/>
  <c r="FW10" i="121" s="1"/>
  <c r="BQ10" i="121"/>
  <c r="BZ10" i="121" s="1"/>
  <c r="BQ11" i="121"/>
  <c r="BP8" i="121"/>
  <c r="BP10" i="121" s="1"/>
  <c r="BY10" i="121" s="1"/>
  <c r="BZ8" i="121"/>
  <c r="DE103" i="8"/>
  <c r="DE101" i="8"/>
  <c r="R56" i="120"/>
  <c r="Q56" i="120" s="1"/>
  <c r="B56" i="120"/>
  <c r="CG187" i="120"/>
  <c r="CJ20" i="120"/>
  <c r="CJ187" i="120" s="1"/>
  <c r="Z22" i="126"/>
  <c r="EA15" i="123"/>
  <c r="Y22" i="126" s="1"/>
  <c r="CG123" i="120"/>
  <c r="CF38" i="7"/>
  <c r="K26" i="111"/>
  <c r="BY34" i="7"/>
  <c r="AN54" i="5"/>
  <c r="Q15" i="96"/>
  <c r="L15" i="96"/>
  <c r="AF41" i="8"/>
  <c r="Z41" i="8"/>
  <c r="Z34" i="8" s="1"/>
  <c r="Y34" i="8"/>
  <c r="AF34" i="8" s="1"/>
  <c r="AH59" i="19"/>
  <c r="AC50" i="19"/>
  <c r="AJ50" i="19"/>
  <c r="AE224" i="120"/>
  <c r="AE226" i="120" s="1"/>
  <c r="GM18" i="121"/>
  <c r="Q67" i="123"/>
  <c r="AJ67" i="123"/>
  <c r="CI67" i="123" s="1"/>
  <c r="EH67" i="123" s="1"/>
  <c r="GG67" i="123" s="1"/>
  <c r="FE80" i="121"/>
  <c r="FN80" i="121" s="1"/>
  <c r="FZ80" i="121" s="1"/>
  <c r="FO80" i="121"/>
  <c r="DG63" i="121"/>
  <c r="BO201" i="120"/>
  <c r="EO53" i="121" s="1"/>
  <c r="CN34" i="120"/>
  <c r="Q51" i="8"/>
  <c r="Q157" i="120"/>
  <c r="Q223" i="120" s="1"/>
  <c r="R223" i="120"/>
  <c r="AP75" i="121" s="1"/>
  <c r="BO50" i="122"/>
  <c r="BM50" i="122" s="1"/>
  <c r="AO50" i="122"/>
  <c r="BK183" i="120"/>
  <c r="BJ16" i="120"/>
  <c r="BJ183" i="120" s="1"/>
  <c r="BF62" i="120"/>
  <c r="CN62" i="120"/>
  <c r="P81" i="121"/>
  <c r="P78" i="121"/>
  <c r="CD217" i="122"/>
  <c r="CJ217" i="122" s="1"/>
  <c r="AO253" i="120"/>
  <c r="CL114" i="120"/>
  <c r="B100" i="120"/>
  <c r="B199" i="120" s="1"/>
  <c r="R100" i="120"/>
  <c r="Q100" i="120" s="1"/>
  <c r="CN50" i="121"/>
  <c r="F89" i="116"/>
  <c r="BF43" i="122"/>
  <c r="AM53" i="7"/>
  <c r="BA53" i="7"/>
  <c r="AO254" i="120"/>
  <c r="CL115" i="120"/>
  <c r="FM69" i="123"/>
  <c r="FV68" i="123"/>
  <c r="FV69" i="123" s="1"/>
  <c r="R212" i="122"/>
  <c r="AG212" i="122" s="1"/>
  <c r="Q34" i="122"/>
  <c r="Q212" i="122" s="1"/>
  <c r="AF212" i="122" s="1"/>
  <c r="CY49" i="19"/>
  <c r="CT58" i="7" s="1"/>
  <c r="CT145" i="7" s="1"/>
  <c r="S111" i="122"/>
  <c r="S164" i="122" s="1"/>
  <c r="AQ48" i="123" s="1"/>
  <c r="S165" i="122"/>
  <c r="AQ49" i="123" s="1"/>
  <c r="B31" i="120"/>
  <c r="C197" i="120"/>
  <c r="C49" i="121" s="1"/>
  <c r="R31" i="120"/>
  <c r="AG31" i="120" s="1"/>
  <c r="CE110" i="122"/>
  <c r="CH110" i="122" s="1"/>
  <c r="BJ110" i="122"/>
  <c r="AK94" i="122"/>
  <c r="BI94" i="122" s="1"/>
  <c r="CG94" i="122" s="1"/>
  <c r="CJ94" i="122" s="1"/>
  <c r="N94" i="122"/>
  <c r="BQ63" i="121"/>
  <c r="BM106" i="8"/>
  <c r="BM107" i="8" s="1"/>
  <c r="BN107" i="8"/>
  <c r="B67" i="32"/>
  <c r="B68" i="32" s="1"/>
  <c r="B61" i="32"/>
  <c r="S13" i="7"/>
  <c r="Q14" i="7"/>
  <c r="Z13" i="7"/>
  <c r="R13" i="7"/>
  <c r="T13" i="7"/>
  <c r="U13" i="7" s="1"/>
  <c r="BC82" i="7"/>
  <c r="P40" i="56" s="1"/>
  <c r="Q16" i="125"/>
  <c r="S178" i="120"/>
  <c r="S12" i="120"/>
  <c r="AE62" i="123"/>
  <c r="AD11" i="121"/>
  <c r="CC8" i="121"/>
  <c r="AD10" i="121"/>
  <c r="AM10" i="121" s="1"/>
  <c r="AM8" i="121"/>
  <c r="AC8" i="121"/>
  <c r="AC10" i="121" s="1"/>
  <c r="AL10" i="121" s="1"/>
  <c r="DI36" i="17"/>
  <c r="DJ36" i="17" s="1"/>
  <c r="CY23" i="8" s="1"/>
  <c r="DI34" i="17"/>
  <c r="DJ34" i="17" s="1"/>
  <c r="CX29" i="8" s="1"/>
  <c r="DI33" i="17"/>
  <c r="DJ33" i="17" s="1"/>
  <c r="CX23" i="8" s="1"/>
  <c r="DI27" i="17"/>
  <c r="DJ27" i="17" s="1"/>
  <c r="CS31" i="7" s="1"/>
  <c r="Z21" i="126"/>
  <c r="EA14" i="123"/>
  <c r="Y21" i="126" s="1"/>
  <c r="CG196" i="120"/>
  <c r="CC77" i="121"/>
  <c r="CB14" i="121"/>
  <c r="AC65" i="125"/>
  <c r="FY80" i="121"/>
  <c r="CQ158" i="7"/>
  <c r="CQ160" i="7"/>
  <c r="CQ161" i="7" s="1"/>
  <c r="CL146" i="120"/>
  <c r="AO212" i="120"/>
  <c r="AF33" i="8"/>
  <c r="Z33" i="8"/>
  <c r="AN55" i="9"/>
  <c r="AI9" i="8"/>
  <c r="BA52" i="9"/>
  <c r="AQ52" i="9"/>
  <c r="FW62" i="123"/>
  <c r="W63" i="123"/>
  <c r="BG201" i="120"/>
  <c r="BS231" i="120"/>
  <c r="BS226" i="120"/>
  <c r="BW41" i="8"/>
  <c r="BV41" i="8" s="1"/>
  <c r="AO54" i="6"/>
  <c r="CV13" i="7"/>
  <c r="CC29" i="122"/>
  <c r="DA92" i="8"/>
  <c r="CZ16" i="8"/>
  <c r="BW39" i="8"/>
  <c r="BV38" i="8"/>
  <c r="BY13" i="7"/>
  <c r="CU24" i="17"/>
  <c r="CR48" i="7"/>
  <c r="CR50" i="7" s="1"/>
  <c r="CS50" i="7"/>
  <c r="BP160" i="120"/>
  <c r="BZ158" i="120"/>
  <c r="BQ160" i="120"/>
  <c r="BZ224" i="120"/>
  <c r="BZ226" i="120" s="1"/>
  <c r="BZ208" i="120"/>
  <c r="BP226" i="120"/>
  <c r="FR76" i="121"/>
  <c r="EQ81" i="121"/>
  <c r="EP76" i="121"/>
  <c r="EP89" i="121" s="1"/>
  <c r="FW77" i="121"/>
  <c r="BZ179" i="120"/>
  <c r="BZ180" i="120" s="1"/>
  <c r="BZ13" i="120"/>
  <c r="BY13" i="120"/>
  <c r="BY179" i="120"/>
  <c r="BY180" i="120" s="1"/>
  <c r="AX179" i="122"/>
  <c r="BK53" i="122"/>
  <c r="BD53" i="122"/>
  <c r="BJ53" i="122" s="1"/>
  <c r="AN29" i="122"/>
  <c r="BD63" i="122"/>
  <c r="BJ63" i="122" s="1"/>
  <c r="BK63" i="122"/>
  <c r="N36" i="126"/>
  <c r="AM45" i="123"/>
  <c r="EJ16" i="123"/>
  <c r="AN213" i="122"/>
  <c r="BG176" i="122"/>
  <c r="CE123" i="122"/>
  <c r="EF30" i="123"/>
  <c r="EL30" i="123" s="1"/>
  <c r="EL12" i="123"/>
  <c r="GE12" i="123"/>
  <c r="BP59" i="123"/>
  <c r="BD32" i="122"/>
  <c r="BJ32" i="122" s="1"/>
  <c r="BK32" i="122"/>
  <c r="BL102" i="122"/>
  <c r="BD102" i="122"/>
  <c r="BJ102" i="122" s="1"/>
  <c r="AF160" i="122"/>
  <c r="AL160" i="122" s="1"/>
  <c r="AL30" i="122"/>
  <c r="AL214" i="122"/>
  <c r="BD59" i="122"/>
  <c r="BJ59" i="122" s="1"/>
  <c r="BK59" i="122"/>
  <c r="S94" i="122"/>
  <c r="Q101" i="122"/>
  <c r="CF175" i="122"/>
  <c r="CI175" i="122" s="1"/>
  <c r="CI122" i="122"/>
  <c r="BO34" i="122"/>
  <c r="AQ212" i="122"/>
  <c r="BF212" i="122" s="1"/>
  <c r="BL212" i="122" s="1"/>
  <c r="AO34" i="122"/>
  <c r="FG37" i="123"/>
  <c r="FP37" i="123" s="1"/>
  <c r="BD64" i="122"/>
  <c r="BJ64" i="122" s="1"/>
  <c r="BK64" i="122"/>
  <c r="AO197" i="122"/>
  <c r="BD197" i="122" s="1"/>
  <c r="BJ197" i="122" s="1"/>
  <c r="AO221" i="122"/>
  <c r="BD221" i="122" s="1"/>
  <c r="BJ221" i="122" s="1"/>
  <c r="AH94" i="122"/>
  <c r="O124" i="122"/>
  <c r="E124" i="122"/>
  <c r="F126" i="122"/>
  <c r="T45" i="123"/>
  <c r="AL195" i="122"/>
  <c r="CE52" i="123"/>
  <c r="AL212" i="122"/>
  <c r="X36" i="126"/>
  <c r="DZ45" i="123"/>
  <c r="AO39" i="122"/>
  <c r="BN39" i="122"/>
  <c r="AP38" i="122"/>
  <c r="AP219" i="122"/>
  <c r="BE219" i="122" s="1"/>
  <c r="BK219" i="122" s="1"/>
  <c r="BI44" i="123"/>
  <c r="AX44" i="123"/>
  <c r="BY179" i="122"/>
  <c r="BY184" i="122"/>
  <c r="BL66" i="123"/>
  <c r="BL63" i="123"/>
  <c r="R223" i="122"/>
  <c r="AG223" i="122" s="1"/>
  <c r="AG218" i="122"/>
  <c r="AM218" i="122" s="1"/>
  <c r="AO208" i="122"/>
  <c r="BD208" i="122" s="1"/>
  <c r="BJ208" i="122" s="1"/>
  <c r="CG70" i="122"/>
  <c r="BL70" i="122"/>
  <c r="AH49" i="122"/>
  <c r="AH159" i="122" s="1"/>
  <c r="BK106" i="122"/>
  <c r="AO35" i="122"/>
  <c r="N50" i="126"/>
  <c r="CC59" i="123"/>
  <c r="AM59" i="123"/>
  <c r="O40" i="126"/>
  <c r="AN49" i="123"/>
  <c r="C43" i="123"/>
  <c r="C163" i="122"/>
  <c r="C47" i="123" s="1"/>
  <c r="DG37" i="123"/>
  <c r="DF37" i="123" s="1"/>
  <c r="CW37" i="123"/>
  <c r="Q50" i="126"/>
  <c r="BZ59" i="123"/>
  <c r="AQ160" i="122"/>
  <c r="CP44" i="123" s="1"/>
  <c r="AO30" i="122"/>
  <c r="BO30" i="122"/>
  <c r="AQ194" i="122"/>
  <c r="BF194" i="122" s="1"/>
  <c r="BM209" i="122"/>
  <c r="CB209" i="122" s="1"/>
  <c r="BM162" i="122"/>
  <c r="AF38" i="122"/>
  <c r="AL38" i="122" s="1"/>
  <c r="AM38" i="122"/>
  <c r="BE38" i="122"/>
  <c r="BM33" i="122"/>
  <c r="BM197" i="122" s="1"/>
  <c r="BN197" i="122"/>
  <c r="CC197" i="122" s="1"/>
  <c r="CI197" i="122" s="1"/>
  <c r="O45" i="126"/>
  <c r="CD54" i="123"/>
  <c r="AN54" i="123"/>
  <c r="BM73" i="122"/>
  <c r="BM221" i="122" s="1"/>
  <c r="BN221" i="122"/>
  <c r="CC221" i="122" s="1"/>
  <c r="CI221" i="122" s="1"/>
  <c r="AN101" i="122"/>
  <c r="AO222" i="122"/>
  <c r="BD222" i="122" s="1"/>
  <c r="BL107" i="122"/>
  <c r="BD107" i="122"/>
  <c r="BJ107" i="122" s="1"/>
  <c r="BM83" i="122"/>
  <c r="AE124" i="122"/>
  <c r="V126" i="122"/>
  <c r="CF52" i="123"/>
  <c r="EW37" i="123"/>
  <c r="FF37" i="123" s="1"/>
  <c r="EM37" i="123"/>
  <c r="Q35" i="126"/>
  <c r="BZ44" i="123"/>
  <c r="BD39" i="122"/>
  <c r="BJ39" i="122" s="1"/>
  <c r="BK39" i="122"/>
  <c r="BM71" i="122"/>
  <c r="CL71" i="122" s="1"/>
  <c r="BZ126" i="122"/>
  <c r="FS47" i="123"/>
  <c r="EP47" i="123"/>
  <c r="FQ47" i="123" s="1"/>
  <c r="CL85" i="122"/>
  <c r="AL198" i="122"/>
  <c r="EQ68" i="123"/>
  <c r="FJ61" i="123"/>
  <c r="FH43" i="123"/>
  <c r="FH61" i="123" s="1"/>
  <c r="Q29" i="122"/>
  <c r="R159" i="122"/>
  <c r="BM64" i="122"/>
  <c r="BM208" i="122" s="1"/>
  <c r="BN208" i="122"/>
  <c r="CC208" i="122" s="1"/>
  <c r="CI208" i="122" s="1"/>
  <c r="AC94" i="122"/>
  <c r="AJ94" i="122"/>
  <c r="EZ63" i="123"/>
  <c r="FR61" i="123"/>
  <c r="EZ66" i="123"/>
  <c r="EL15" i="123"/>
  <c r="EJ15" i="123" s="1"/>
  <c r="GE15" i="123"/>
  <c r="GK15" i="123" s="1"/>
  <c r="BK61" i="122"/>
  <c r="BD61" i="122"/>
  <c r="BJ61" i="122" s="1"/>
  <c r="AO196" i="122"/>
  <c r="BD196" i="122" s="1"/>
  <c r="BJ196" i="122" s="1"/>
  <c r="BM102" i="122"/>
  <c r="CL102" i="122" s="1"/>
  <c r="U126" i="122"/>
  <c r="T124" i="122"/>
  <c r="E184" i="122"/>
  <c r="E179" i="122"/>
  <c r="B159" i="122"/>
  <c r="BI45" i="123"/>
  <c r="BG45" i="123" s="1"/>
  <c r="AX45" i="123"/>
  <c r="CD200" i="122"/>
  <c r="CJ200" i="122" s="1"/>
  <c r="FI68" i="123"/>
  <c r="AO199" i="122"/>
  <c r="BD199" i="122" s="1"/>
  <c r="BJ199" i="122" s="1"/>
  <c r="E47" i="123"/>
  <c r="AG47" i="123"/>
  <c r="AL207" i="122"/>
  <c r="AO59" i="122"/>
  <c r="BN59" i="122"/>
  <c r="AP203" i="122"/>
  <c r="BE203" i="122" s="1"/>
  <c r="BK203" i="122" s="1"/>
  <c r="BU43" i="123"/>
  <c r="AT61" i="123"/>
  <c r="AH218" i="122"/>
  <c r="AN218" i="122" s="1"/>
  <c r="S223" i="122"/>
  <c r="AH223" i="122" s="1"/>
  <c r="AN223" i="122" s="1"/>
  <c r="BF34" i="122"/>
  <c r="H179" i="122"/>
  <c r="H184" i="122"/>
  <c r="AO206" i="122"/>
  <c r="BD206" i="122" s="1"/>
  <c r="BJ206" i="122" s="1"/>
  <c r="BD35" i="122"/>
  <c r="BJ35" i="122" s="1"/>
  <c r="BK35" i="122"/>
  <c r="AR43" i="123"/>
  <c r="AR61" i="123" s="1"/>
  <c r="AS61" i="123"/>
  <c r="BT61" i="123" s="1"/>
  <c r="D163" i="122"/>
  <c r="D47" i="123" s="1"/>
  <c r="D43" i="123"/>
  <c r="N47" i="123"/>
  <c r="AH47" i="123"/>
  <c r="BM74" i="122"/>
  <c r="BN222" i="122"/>
  <c r="CC222" i="122" s="1"/>
  <c r="CI222" i="122" s="1"/>
  <c r="B223" i="122"/>
  <c r="AQ106" i="122"/>
  <c r="BO107" i="122"/>
  <c r="AQ215" i="122"/>
  <c r="BF215" i="122" s="1"/>
  <c r="BL215" i="122" s="1"/>
  <c r="AO107" i="122"/>
  <c r="Q49" i="122"/>
  <c r="AG49" i="122"/>
  <c r="AK75" i="122"/>
  <c r="AC75" i="122"/>
  <c r="AI75" i="122" s="1"/>
  <c r="CG194" i="122"/>
  <c r="BL194" i="122"/>
  <c r="BO195" i="122"/>
  <c r="CD195" i="122" s="1"/>
  <c r="CJ195" i="122" s="1"/>
  <c r="BO161" i="122"/>
  <c r="EO45" i="123" s="1"/>
  <c r="AO204" i="122"/>
  <c r="BD204" i="122" s="1"/>
  <c r="BJ204" i="122" s="1"/>
  <c r="BM56" i="122"/>
  <c r="BM200" i="122" s="1"/>
  <c r="CB200" i="122" s="1"/>
  <c r="BN200" i="122"/>
  <c r="CC200" i="122" s="1"/>
  <c r="CI200" i="122" s="1"/>
  <c r="BI218" i="122"/>
  <c r="BS131" i="122"/>
  <c r="BS126" i="122"/>
  <c r="BO66" i="122"/>
  <c r="AQ65" i="122"/>
  <c r="AQ214" i="122"/>
  <c r="BF214" i="122" s="1"/>
  <c r="BL214" i="122" s="1"/>
  <c r="AO66" i="122"/>
  <c r="FS43" i="123"/>
  <c r="ER61" i="123"/>
  <c r="EP43" i="123"/>
  <c r="AO57" i="122"/>
  <c r="BN57" i="122"/>
  <c r="AP201" i="122"/>
  <c r="BE201" i="122" s="1"/>
  <c r="BK201" i="122" s="1"/>
  <c r="BK36" i="122"/>
  <c r="BD36" i="122"/>
  <c r="BJ36" i="122" s="1"/>
  <c r="N159" i="122"/>
  <c r="N163" i="122" s="1"/>
  <c r="AI49" i="122"/>
  <c r="AL221" i="122"/>
  <c r="AN81" i="122"/>
  <c r="BI81" i="122"/>
  <c r="AK159" i="122"/>
  <c r="CL24" i="122"/>
  <c r="Q218" i="122"/>
  <c r="BC124" i="122"/>
  <c r="AT126" i="122"/>
  <c r="AR124" i="122"/>
  <c r="EY74" i="123"/>
  <c r="EY63" i="123"/>
  <c r="AO61" i="122"/>
  <c r="BN61" i="122"/>
  <c r="AP205" i="122"/>
  <c r="BE205" i="122" s="1"/>
  <c r="BK205" i="122" s="1"/>
  <c r="BM32" i="122"/>
  <c r="BM196" i="122" s="1"/>
  <c r="BN196" i="122"/>
  <c r="CC196" i="122" s="1"/>
  <c r="CI196" i="122" s="1"/>
  <c r="AI157" i="122"/>
  <c r="AI100" i="122"/>
  <c r="BG99" i="122"/>
  <c r="AL194" i="122"/>
  <c r="BH218" i="122"/>
  <c r="AL203" i="122"/>
  <c r="AO53" i="122"/>
  <c r="BN53" i="122"/>
  <c r="AP198" i="122"/>
  <c r="BE198" i="122" s="1"/>
  <c r="BK198" i="122" s="1"/>
  <c r="AF29" i="122"/>
  <c r="CG213" i="122"/>
  <c r="AQ38" i="122"/>
  <c r="BO39" i="122"/>
  <c r="AQ219" i="122"/>
  <c r="BF219" i="122" s="1"/>
  <c r="BL219" i="122" s="1"/>
  <c r="DT43" i="123"/>
  <c r="CQ43" i="123"/>
  <c r="DR43" i="123" s="1"/>
  <c r="CG90" i="122"/>
  <c r="CJ90" i="122" s="1"/>
  <c r="BL90" i="122"/>
  <c r="BM54" i="122"/>
  <c r="BM199" i="122" s="1"/>
  <c r="BN199" i="122"/>
  <c r="CC199" i="122" s="1"/>
  <c r="CI199" i="122" s="1"/>
  <c r="BF30" i="122"/>
  <c r="E43" i="123"/>
  <c r="F61" i="123"/>
  <c r="CJ50" i="122"/>
  <c r="CG160" i="122"/>
  <c r="CJ160" i="122" s="1"/>
  <c r="EX46" i="123"/>
  <c r="EM46" i="123"/>
  <c r="BD74" i="122"/>
  <c r="BJ74" i="122" s="1"/>
  <c r="BK74" i="122"/>
  <c r="BL83" i="122"/>
  <c r="BD83" i="122"/>
  <c r="BJ83" i="122" s="1"/>
  <c r="S159" i="122"/>
  <c r="S21" i="122"/>
  <c r="AL219" i="122"/>
  <c r="BM62" i="122"/>
  <c r="BM206" i="122" s="1"/>
  <c r="BN206" i="122"/>
  <c r="CC206" i="122" s="1"/>
  <c r="CI206" i="122" s="1"/>
  <c r="FE70" i="123"/>
  <c r="FN73" i="123"/>
  <c r="BR126" i="122"/>
  <c r="CA124" i="122"/>
  <c r="BY124" i="122" s="1"/>
  <c r="BP124" i="122"/>
  <c r="AR47" i="123"/>
  <c r="BS47" i="123" s="1"/>
  <c r="AH43" i="123"/>
  <c r="P61" i="123"/>
  <c r="DH46" i="123"/>
  <c r="DF46" i="123" s="1"/>
  <c r="CW46" i="123"/>
  <c r="O29" i="126"/>
  <c r="CD38" i="123"/>
  <c r="AN38" i="123"/>
  <c r="AO63" i="122"/>
  <c r="BN63" i="122"/>
  <c r="AP207" i="122"/>
  <c r="BE207" i="122" s="1"/>
  <c r="BK207" i="122" s="1"/>
  <c r="CL83" i="122"/>
  <c r="AF70" i="122"/>
  <c r="AL70" i="122" s="1"/>
  <c r="BE70" i="122"/>
  <c r="AM70" i="122"/>
  <c r="DZ37" i="123"/>
  <c r="X28" i="126"/>
  <c r="BM60" i="122"/>
  <c r="BM204" i="122" s="1"/>
  <c r="BN204" i="122"/>
  <c r="CC204" i="122" s="1"/>
  <c r="CI204" i="122" s="1"/>
  <c r="AO70" i="122"/>
  <c r="BL66" i="122"/>
  <c r="BD66" i="122"/>
  <c r="BJ66" i="122" s="1"/>
  <c r="CE28" i="123"/>
  <c r="CE27" i="123"/>
  <c r="BK57" i="122"/>
  <c r="BD57" i="122"/>
  <c r="BJ57" i="122" s="1"/>
  <c r="AL196" i="122"/>
  <c r="BO79" i="122"/>
  <c r="FX59" i="123"/>
  <c r="AC50" i="126"/>
  <c r="BP179" i="122"/>
  <c r="BP184" i="122"/>
  <c r="BM36" i="122"/>
  <c r="CL36" i="122" s="1"/>
  <c r="BN35" i="122"/>
  <c r="N158" i="122"/>
  <c r="P124" i="122"/>
  <c r="P126" i="122" s="1"/>
  <c r="J126" i="122"/>
  <c r="H124" i="122"/>
  <c r="T179" i="122"/>
  <c r="P28" i="126"/>
  <c r="BY37" i="123"/>
  <c r="G69" i="123"/>
  <c r="EA71" i="123"/>
  <c r="AM44" i="123"/>
  <c r="N35" i="126"/>
  <c r="CC44" i="123"/>
  <c r="EL39" i="123"/>
  <c r="AA30" i="126"/>
  <c r="GB39" i="123"/>
  <c r="Q28" i="126"/>
  <c r="CC37" i="123"/>
  <c r="BZ37" i="123"/>
  <c r="AD46" i="126"/>
  <c r="FY55" i="123"/>
  <c r="EC37" i="123"/>
  <c r="CM37" i="123"/>
  <c r="U28" i="126"/>
  <c r="AA51" i="126"/>
  <c r="EL60" i="123"/>
  <c r="AL37" i="123"/>
  <c r="CB37" i="123"/>
  <c r="M28" i="126"/>
  <c r="GC59" i="123"/>
  <c r="GB57" i="123"/>
  <c r="AG48" i="126" s="1"/>
  <c r="AA48" i="126"/>
  <c r="AG42" i="126"/>
  <c r="GK51" i="123"/>
  <c r="GB55" i="123"/>
  <c r="AG46" i="126" s="1"/>
  <c r="AA46" i="126"/>
  <c r="AA47" i="126"/>
  <c r="GB56" i="123"/>
  <c r="AG47" i="126" s="1"/>
  <c r="CB73" i="123"/>
  <c r="M35" i="126"/>
  <c r="AL44" i="123"/>
  <c r="S37" i="126"/>
  <c r="GC10" i="123"/>
  <c r="GC28" i="123" s="1"/>
  <c r="BG72" i="123"/>
  <c r="AX70" i="123"/>
  <c r="X29" i="126"/>
  <c r="DZ38" i="123"/>
  <c r="EC38" i="123"/>
  <c r="O36" i="126"/>
  <c r="AN45" i="123"/>
  <c r="Q37" i="126"/>
  <c r="CC46" i="123"/>
  <c r="BZ46" i="123"/>
  <c r="EL14" i="123"/>
  <c r="EJ14" i="123" s="1"/>
  <c r="GE14" i="123"/>
  <c r="GK14" i="123" s="1"/>
  <c r="FY54" i="123"/>
  <c r="AD45" i="126"/>
  <c r="DJ68" i="123"/>
  <c r="DI67" i="123"/>
  <c r="AX165" i="120"/>
  <c r="AX160" i="120"/>
  <c r="AX231" i="120"/>
  <c r="AX226" i="120"/>
  <c r="BH203" i="120"/>
  <c r="CF189" i="120"/>
  <c r="CE22" i="120"/>
  <c r="CE189" i="120" s="1"/>
  <c r="CH23" i="120"/>
  <c r="CH190" i="120" s="1"/>
  <c r="CI22" i="120"/>
  <c r="CI190" i="120"/>
  <c r="ED12" i="123"/>
  <c r="ED30" i="123" s="1"/>
  <c r="DS61" i="123"/>
  <c r="EF52" i="123"/>
  <c r="CZ66" i="123"/>
  <c r="DA67" i="123"/>
  <c r="CZ67" i="123" s="1"/>
  <c r="DA63" i="123"/>
  <c r="AU124" i="122"/>
  <c r="BB124" i="122"/>
  <c r="AV126" i="122"/>
  <c r="GD67" i="121"/>
  <c r="DJ82" i="121"/>
  <c r="CZ76" i="121"/>
  <c r="CZ89" i="121" s="1"/>
  <c r="DA81" i="121"/>
  <c r="CE240" i="120"/>
  <c r="CH240" i="120" s="1"/>
  <c r="CH40" i="120"/>
  <c r="AU165" i="120"/>
  <c r="AU160" i="120"/>
  <c r="EE30" i="123"/>
  <c r="EK12" i="123"/>
  <c r="EJ12" i="123" s="1"/>
  <c r="GC19" i="121"/>
  <c r="GJ19" i="121"/>
  <c r="GI19" i="121" s="1"/>
  <c r="GC22" i="121"/>
  <c r="GJ22" i="121"/>
  <c r="GI22" i="121" s="1"/>
  <c r="GE77" i="121"/>
  <c r="GK77" i="121" s="1"/>
  <c r="GK14" i="121"/>
  <c r="DR12" i="121"/>
  <c r="DR13" i="121" s="1"/>
  <c r="DS13" i="121"/>
  <c r="CE201" i="120"/>
  <c r="CE90" i="122"/>
  <c r="CH90" i="122" s="1"/>
  <c r="BJ90" i="122"/>
  <c r="CE171" i="122"/>
  <c r="BA179" i="122"/>
  <c r="CR68" i="123"/>
  <c r="DR52" i="123"/>
  <c r="CS66" i="123"/>
  <c r="DT61" i="123"/>
  <c r="CS63" i="123"/>
  <c r="CS83" i="121"/>
  <c r="AR231" i="120"/>
  <c r="AR226" i="120"/>
  <c r="BB158" i="120"/>
  <c r="AS160" i="120"/>
  <c r="CQ60" i="121"/>
  <c r="DR60" i="121" s="1"/>
  <c r="DS60" i="121"/>
  <c r="BB208" i="120"/>
  <c r="BB224" i="120"/>
  <c r="BB226" i="120" s="1"/>
  <c r="AR165" i="120"/>
  <c r="AR160" i="120"/>
  <c r="DS56" i="121"/>
  <c r="CQ56" i="121"/>
  <c r="DR56" i="121" s="1"/>
  <c r="CR76" i="121"/>
  <c r="BA208" i="120"/>
  <c r="BA224" i="120"/>
  <c r="CF202" i="120"/>
  <c r="DX77" i="121"/>
  <c r="DX62" i="123"/>
  <c r="CF11" i="120"/>
  <c r="ED14" i="123"/>
  <c r="BG174" i="122"/>
  <c r="CE121" i="122"/>
  <c r="CE173" i="122"/>
  <c r="CE172" i="122"/>
  <c r="CG170" i="122"/>
  <c r="CJ170" i="122" s="1"/>
  <c r="CJ117" i="122"/>
  <c r="BJ56" i="122"/>
  <c r="CE56" i="122"/>
  <c r="CH56" i="122" s="1"/>
  <c r="BJ200" i="122"/>
  <c r="CE200" i="122"/>
  <c r="GC49" i="123"/>
  <c r="GD49" i="123"/>
  <c r="CE165" i="122"/>
  <c r="CH165" i="122" s="1"/>
  <c r="CH112" i="122"/>
  <c r="BH164" i="122"/>
  <c r="CF111" i="122"/>
  <c r="GD48" i="123"/>
  <c r="GD50" i="123"/>
  <c r="GC50" i="123"/>
  <c r="CE111" i="122"/>
  <c r="BG164" i="122"/>
  <c r="GC48" i="123"/>
  <c r="CE48" i="122"/>
  <c r="CE228" i="120"/>
  <c r="CH228" i="120" s="1"/>
  <c r="BJ228" i="120"/>
  <c r="GI86" i="121"/>
  <c r="GC85" i="121"/>
  <c r="BJ227" i="120"/>
  <c r="CE227" i="120"/>
  <c r="CH227" i="120" s="1"/>
  <c r="CI143" i="120"/>
  <c r="CF209" i="120"/>
  <c r="CI209" i="120" s="1"/>
  <c r="CE143" i="120"/>
  <c r="BG209" i="120"/>
  <c r="GC61" i="121"/>
  <c r="BG211" i="120"/>
  <c r="CE145" i="120"/>
  <c r="BI203" i="120"/>
  <c r="CG36" i="120"/>
  <c r="CG202" i="120"/>
  <c r="CE220" i="120"/>
  <c r="CE218" i="120"/>
  <c r="BG217" i="120"/>
  <c r="CE151" i="120"/>
  <c r="CE216" i="120"/>
  <c r="AD179" i="122"/>
  <c r="AC177" i="122"/>
  <c r="AC184" i="122" s="1"/>
  <c r="BH49" i="122"/>
  <c r="AJ159" i="122"/>
  <c r="AC40" i="122"/>
  <c r="AI40" i="122" s="1"/>
  <c r="AJ40" i="122"/>
  <c r="BG154" i="122"/>
  <c r="CE42" i="122"/>
  <c r="CE206" i="122"/>
  <c r="CE62" i="122"/>
  <c r="CH62" i="122" s="1"/>
  <c r="BJ62" i="122"/>
  <c r="AI213" i="122"/>
  <c r="AC223" i="122"/>
  <c r="AI223" i="122" s="1"/>
  <c r="CF65" i="122"/>
  <c r="CI65" i="122" s="1"/>
  <c r="BG65" i="122"/>
  <c r="BJ63" i="123"/>
  <c r="CF157" i="122"/>
  <c r="CF100" i="122"/>
  <c r="CE36" i="123"/>
  <c r="CI95" i="122"/>
  <c r="CF152" i="122"/>
  <c r="CI152" i="122" s="1"/>
  <c r="BK68" i="123"/>
  <c r="CF196" i="120"/>
  <c r="BG251" i="120"/>
  <c r="BJ251" i="120" s="1"/>
  <c r="CE112" i="120"/>
  <c r="BJ112" i="120"/>
  <c r="CE105" i="120"/>
  <c r="BJ94" i="120"/>
  <c r="CE94" i="120"/>
  <c r="CH94" i="120" s="1"/>
  <c r="CF94" i="120"/>
  <c r="CI94" i="120" s="1"/>
  <c r="BK94" i="120"/>
  <c r="CE79" i="120"/>
  <c r="BJ79" i="120"/>
  <c r="BG245" i="120"/>
  <c r="CF206" i="120"/>
  <c r="CI132" i="120"/>
  <c r="CF239" i="120"/>
  <c r="CE239" i="120"/>
  <c r="CH132" i="120"/>
  <c r="CE206" i="120"/>
  <c r="CE137" i="120"/>
  <c r="CH137" i="120" s="1"/>
  <c r="CF137" i="120"/>
  <c r="CI137" i="120" s="1"/>
  <c r="CE80" i="120"/>
  <c r="BG247" i="120"/>
  <c r="BJ247" i="120" s="1"/>
  <c r="BJ80" i="120"/>
  <c r="BJ76" i="121"/>
  <c r="BK81" i="121"/>
  <c r="BK78" i="121"/>
  <c r="CE128" i="120"/>
  <c r="BG129" i="120"/>
  <c r="EK17" i="121"/>
  <c r="EJ17" i="121" s="1"/>
  <c r="GD17" i="121"/>
  <c r="ED17" i="121"/>
  <c r="EE42" i="121"/>
  <c r="GE38" i="121"/>
  <c r="CF184" i="120"/>
  <c r="CI17" i="120"/>
  <c r="CE17" i="120"/>
  <c r="CE184" i="120" s="1"/>
  <c r="BK184" i="120"/>
  <c r="BJ17" i="120"/>
  <c r="BJ184" i="120" s="1"/>
  <c r="CE10" i="122"/>
  <c r="CI10" i="122"/>
  <c r="CH10" i="122" s="1"/>
  <c r="AL9" i="122"/>
  <c r="CI12" i="122"/>
  <c r="CH12" i="122" s="1"/>
  <c r="CE12" i="122"/>
  <c r="GC12" i="123"/>
  <c r="GC30" i="123" s="1"/>
  <c r="GJ12" i="123"/>
  <c r="GD30" i="123"/>
  <c r="ED21" i="121"/>
  <c r="EK21" i="121"/>
  <c r="EJ21" i="121" s="1"/>
  <c r="GD21" i="121"/>
  <c r="CH21" i="120"/>
  <c r="CH188" i="120" s="1"/>
  <c r="CI188" i="120"/>
  <c r="GJ20" i="121"/>
  <c r="GI20" i="121" s="1"/>
  <c r="GC20" i="121"/>
  <c r="BJ20" i="120"/>
  <c r="BJ187" i="120" s="1"/>
  <c r="BK187" i="120"/>
  <c r="CI20" i="120"/>
  <c r="CF187" i="120"/>
  <c r="CE20" i="120"/>
  <c r="CE187" i="120" s="1"/>
  <c r="AL18" i="120"/>
  <c r="AL185" i="120" s="1"/>
  <c r="AM185" i="120"/>
  <c r="CF18" i="120"/>
  <c r="BG18" i="120"/>
  <c r="BG185" i="120" s="1"/>
  <c r="BH185" i="120"/>
  <c r="BK18" i="120"/>
  <c r="CI14" i="122"/>
  <c r="CH14" i="122" s="1"/>
  <c r="CE14" i="122"/>
  <c r="GC16" i="123"/>
  <c r="GJ16" i="123"/>
  <c r="GI16" i="123" s="1"/>
  <c r="GC15" i="123"/>
  <c r="GJ15" i="123"/>
  <c r="GI15" i="123" s="1"/>
  <c r="GC14" i="123"/>
  <c r="GJ14" i="123"/>
  <c r="ED13" i="123"/>
  <c r="GD13" i="123"/>
  <c r="CI9" i="120"/>
  <c r="CE9" i="120"/>
  <c r="CF176" i="120"/>
  <c r="BG176" i="120"/>
  <c r="BG177" i="120" s="1"/>
  <c r="BG10" i="120"/>
  <c r="BK176" i="120"/>
  <c r="BJ9" i="120"/>
  <c r="BJ176" i="120" s="1"/>
  <c r="AG13" i="121"/>
  <c r="AF12" i="121"/>
  <c r="AF13" i="121" s="1"/>
  <c r="CF177" i="120"/>
  <c r="CI10" i="120"/>
  <c r="CI175" i="120"/>
  <c r="CI11" i="120"/>
  <c r="CI178" i="120" s="1"/>
  <c r="GD68" i="121"/>
  <c r="GC69" i="121"/>
  <c r="GD69" i="121"/>
  <c r="GC68" i="121"/>
  <c r="CI68" i="123"/>
  <c r="CI69" i="123" s="1"/>
  <c r="GC71" i="123"/>
  <c r="EJ71" i="123"/>
  <c r="ED70" i="123"/>
  <c r="CF149" i="120"/>
  <c r="BH215" i="120"/>
  <c r="CE155" i="120"/>
  <c r="BG221" i="120"/>
  <c r="CF221" i="120"/>
  <c r="GC73" i="121"/>
  <c r="CE153" i="120"/>
  <c r="BG219" i="120"/>
  <c r="CG219" i="120"/>
  <c r="CJ219" i="120" s="1"/>
  <c r="CJ153" i="120"/>
  <c r="AI215" i="120"/>
  <c r="BG149" i="120"/>
  <c r="BL149" i="120"/>
  <c r="CG149" i="120"/>
  <c r="BI215" i="120"/>
  <c r="AK224" i="120"/>
  <c r="AN215" i="120"/>
  <c r="ED67" i="121"/>
  <c r="EF67" i="121"/>
  <c r="CE170" i="122"/>
  <c r="CF115" i="122"/>
  <c r="BH168" i="122"/>
  <c r="GD53" i="123"/>
  <c r="GC53" i="123"/>
  <c r="GC58" i="123"/>
  <c r="GE58" i="123"/>
  <c r="GE57" i="123"/>
  <c r="EL57" i="123"/>
  <c r="GC57" i="123"/>
  <c r="BG115" i="122"/>
  <c r="AI168" i="122"/>
  <c r="BI168" i="122"/>
  <c r="CG115" i="122"/>
  <c r="GC56" i="123"/>
  <c r="EL56" i="123"/>
  <c r="GE56" i="123"/>
  <c r="GC55" i="123"/>
  <c r="EL55" i="123"/>
  <c r="GE55" i="123"/>
  <c r="GE54" i="123"/>
  <c r="GC54" i="123"/>
  <c r="GE52" i="123"/>
  <c r="BC68" i="123"/>
  <c r="BC69" i="123" s="1"/>
  <c r="GE41" i="123"/>
  <c r="EF42" i="123"/>
  <c r="GE35" i="123"/>
  <c r="CG151" i="122"/>
  <c r="BA43" i="123"/>
  <c r="BA61" i="123" s="1"/>
  <c r="BT43" i="123"/>
  <c r="CF155" i="122"/>
  <c r="CI155" i="122" s="1"/>
  <c r="CI76" i="122"/>
  <c r="CE82" i="122"/>
  <c r="BJ82" i="122"/>
  <c r="BG160" i="122"/>
  <c r="BG151" i="122"/>
  <c r="CE41" i="122"/>
  <c r="W124" i="122"/>
  <c r="AD124" i="122"/>
  <c r="X126" i="122"/>
  <c r="CE218" i="122"/>
  <c r="CE70" i="122"/>
  <c r="CH70" i="122" s="1"/>
  <c r="CI70" i="122"/>
  <c r="BJ209" i="122"/>
  <c r="CE209" i="122"/>
  <c r="CH209" i="122" s="1"/>
  <c r="BG162" i="122"/>
  <c r="BJ162" i="122" s="1"/>
  <c r="CE85" i="122"/>
  <c r="BJ85" i="122"/>
  <c r="CH45" i="122"/>
  <c r="CE155" i="122"/>
  <c r="CH155" i="122" s="1"/>
  <c r="GD38" i="123"/>
  <c r="GC38" i="123"/>
  <c r="GC35" i="123"/>
  <c r="GD35" i="123"/>
  <c r="CE29" i="122"/>
  <c r="CF29" i="122"/>
  <c r="CI29" i="122" s="1"/>
  <c r="BH21" i="122"/>
  <c r="BG21" i="122"/>
  <c r="GD37" i="123"/>
  <c r="GC37" i="123"/>
  <c r="BH158" i="122"/>
  <c r="BG156" i="122"/>
  <c r="CE26" i="122"/>
  <c r="BG28" i="122"/>
  <c r="CF156" i="122"/>
  <c r="CF28" i="122"/>
  <c r="GC46" i="123"/>
  <c r="CE81" i="122"/>
  <c r="CF81" i="122"/>
  <c r="GD46" i="123"/>
  <c r="GD39" i="123"/>
  <c r="GC39" i="123"/>
  <c r="CF75" i="122"/>
  <c r="GC44" i="123"/>
  <c r="CE161" i="122"/>
  <c r="CH161" i="122" s="1"/>
  <c r="CH103" i="122"/>
  <c r="CH95" i="122"/>
  <c r="CE152" i="122"/>
  <c r="CH152" i="122" s="1"/>
  <c r="GD36" i="123"/>
  <c r="GD40" i="123"/>
  <c r="GC40" i="123"/>
  <c r="EE41" i="123"/>
  <c r="CF42" i="123"/>
  <c r="CE41" i="123"/>
  <c r="BS42" i="123"/>
  <c r="BB66" i="123"/>
  <c r="BB63" i="123"/>
  <c r="CF47" i="123"/>
  <c r="BA63" i="123"/>
  <c r="GC45" i="123"/>
  <c r="GD45" i="123"/>
  <c r="CE30" i="120"/>
  <c r="BG196" i="120"/>
  <c r="GE53" i="121"/>
  <c r="EF55" i="121"/>
  <c r="GE48" i="121"/>
  <c r="BH62" i="120"/>
  <c r="BG62" i="120"/>
  <c r="BG69" i="120"/>
  <c r="AI261" i="120"/>
  <c r="CF69" i="120"/>
  <c r="CI69" i="120" s="1"/>
  <c r="CE65" i="120"/>
  <c r="CF29" i="120"/>
  <c r="CE35" i="120"/>
  <c r="BG36" i="120"/>
  <c r="BG202" i="120"/>
  <c r="AI203" i="120"/>
  <c r="CI109" i="120"/>
  <c r="CF241" i="120"/>
  <c r="CI241" i="120" s="1"/>
  <c r="BH106" i="120"/>
  <c r="BG106" i="120"/>
  <c r="AJ99" i="120"/>
  <c r="AC99" i="120"/>
  <c r="AI99" i="120" s="1"/>
  <c r="CI100" i="120"/>
  <c r="CF199" i="120"/>
  <c r="CI199" i="120" s="1"/>
  <c r="GD50" i="121"/>
  <c r="GD48" i="121"/>
  <c r="GC48" i="121"/>
  <c r="CE85" i="120"/>
  <c r="BJ85" i="120"/>
  <c r="BG259" i="120"/>
  <c r="BJ259" i="120" s="1"/>
  <c r="CE242" i="120"/>
  <c r="CH242" i="120" s="1"/>
  <c r="CH75" i="120"/>
  <c r="CH90" i="120"/>
  <c r="AJ270" i="120"/>
  <c r="CI90" i="120"/>
  <c r="BH260" i="120"/>
  <c r="GD52" i="121"/>
  <c r="GC52" i="121"/>
  <c r="CF258" i="120"/>
  <c r="CI258" i="120" s="1"/>
  <c r="CI84" i="120"/>
  <c r="BJ84" i="120"/>
  <c r="BG258" i="120"/>
  <c r="BJ258" i="120" s="1"/>
  <c r="CE84" i="120"/>
  <c r="CF53" i="120"/>
  <c r="GD57" i="121"/>
  <c r="GC57" i="121"/>
  <c r="CH133" i="120"/>
  <c r="CE241" i="120"/>
  <c r="CH241" i="120" s="1"/>
  <c r="CE249" i="120"/>
  <c r="CH249" i="120" s="1"/>
  <c r="CH136" i="120"/>
  <c r="CI115" i="120"/>
  <c r="CF254" i="120"/>
  <c r="CI254" i="120" s="1"/>
  <c r="CH115" i="120"/>
  <c r="CE254" i="120"/>
  <c r="CH254" i="120" s="1"/>
  <c r="CE253" i="120"/>
  <c r="CH253" i="120" s="1"/>
  <c r="CH114" i="120"/>
  <c r="EE54" i="121"/>
  <c r="EE55" i="121" s="1"/>
  <c r="CH56" i="120"/>
  <c r="CE197" i="120"/>
  <c r="CH197" i="120" s="1"/>
  <c r="ED54" i="121"/>
  <c r="CH57" i="120"/>
  <c r="CE198" i="120"/>
  <c r="CH198" i="120" s="1"/>
  <c r="GD49" i="121"/>
  <c r="GC49" i="121"/>
  <c r="GC58" i="121"/>
  <c r="GD58" i="121"/>
  <c r="BG268" i="120"/>
  <c r="BJ141" i="120"/>
  <c r="CE141" i="120"/>
  <c r="CI268" i="120"/>
  <c r="AL268" i="120"/>
  <c r="AI265" i="120"/>
  <c r="W160" i="120"/>
  <c r="GC59" i="121"/>
  <c r="GD59" i="121"/>
  <c r="AC123" i="120"/>
  <c r="AI123" i="120" s="1"/>
  <c r="AJ123" i="120"/>
  <c r="AD224" i="120"/>
  <c r="AD226" i="120" s="1"/>
  <c r="AD208" i="120"/>
  <c r="BH130" i="120"/>
  <c r="AM130" i="120"/>
  <c r="AJ204" i="120"/>
  <c r="BT56" i="121"/>
  <c r="BB76" i="121"/>
  <c r="BA56" i="121"/>
  <c r="BS56" i="121" s="1"/>
  <c r="BA60" i="121"/>
  <c r="BS60" i="121" s="1"/>
  <c r="BT60" i="121"/>
  <c r="AD158" i="120"/>
  <c r="X160" i="120"/>
  <c r="AI130" i="120"/>
  <c r="AC204" i="120"/>
  <c r="W226" i="120"/>
  <c r="GD51" i="121"/>
  <c r="GD53" i="121"/>
  <c r="ED53" i="121"/>
  <c r="CE55" i="121"/>
  <c r="ED34" i="121"/>
  <c r="CE42" i="121"/>
  <c r="GD37" i="121"/>
  <c r="EE18" i="121"/>
  <c r="CE18" i="121"/>
  <c r="AI159" i="120"/>
  <c r="BH159" i="120"/>
  <c r="AM159" i="120"/>
  <c r="GJ16" i="121"/>
  <c r="GI16" i="121" s="1"/>
  <c r="GC16" i="121"/>
  <c r="GC40" i="121" s="1"/>
  <c r="GD40" i="121"/>
  <c r="GD25" i="123"/>
  <c r="CE13" i="122"/>
  <c r="CI13" i="122"/>
  <c r="CH13" i="122" s="1"/>
  <c r="BH143" i="122"/>
  <c r="AM143" i="122"/>
  <c r="AJ178" i="122"/>
  <c r="BH125" i="122"/>
  <c r="AM125" i="122"/>
  <c r="CF26" i="123"/>
  <c r="CL9" i="123"/>
  <c r="EE9" i="123"/>
  <c r="CF9" i="122"/>
  <c r="CI9" i="122" s="1"/>
  <c r="BK9" i="122"/>
  <c r="EE62" i="123"/>
  <c r="CL62" i="123"/>
  <c r="GJ8" i="123"/>
  <c r="GI8" i="123" s="1"/>
  <c r="GC8" i="123"/>
  <c r="AJ179" i="120"/>
  <c r="AJ180" i="120" s="1"/>
  <c r="AJ13" i="120"/>
  <c r="AI12" i="120"/>
  <c r="EE38" i="121"/>
  <c r="ED14" i="121"/>
  <c r="EE77" i="121"/>
  <c r="AM225" i="120"/>
  <c r="BG14" i="120"/>
  <c r="BG181" i="120" s="1"/>
  <c r="BG225" i="120" s="1"/>
  <c r="BH181" i="120"/>
  <c r="BH225" i="120" s="1"/>
  <c r="BH12" i="120"/>
  <c r="CE15" i="120"/>
  <c r="CE182" i="120" s="1"/>
  <c r="CF182" i="120"/>
  <c r="CF14" i="120"/>
  <c r="CI15" i="120"/>
  <c r="GD39" i="121"/>
  <c r="GD41" i="121"/>
  <c r="GD14" i="121"/>
  <c r="GC15" i="121"/>
  <c r="GJ15" i="121"/>
  <c r="GI15" i="121" s="1"/>
  <c r="ED41" i="121"/>
  <c r="ED39" i="121"/>
  <c r="EJ39" i="121" s="1"/>
  <c r="AM181" i="120"/>
  <c r="AL14" i="120"/>
  <c r="AL181" i="120" s="1"/>
  <c r="CL77" i="121"/>
  <c r="CE77" i="121"/>
  <c r="AL225" i="120"/>
  <c r="BK182" i="120"/>
  <c r="BJ15" i="120"/>
  <c r="BJ182" i="120" s="1"/>
  <c r="BK14" i="120"/>
  <c r="GC9" i="121"/>
  <c r="GJ9" i="121"/>
  <c r="GI9" i="121" s="1"/>
  <c r="CF12" i="121"/>
  <c r="GD8" i="121"/>
  <c r="EE10" i="121"/>
  <c r="EE11" i="121"/>
  <c r="AI125" i="122"/>
  <c r="CG9" i="122"/>
  <c r="BL9" i="122"/>
  <c r="BG9" i="122"/>
  <c r="BY62" i="123"/>
  <c r="CE62" i="123"/>
  <c r="EF62" i="123"/>
  <c r="AI143" i="122"/>
  <c r="AK178" i="122"/>
  <c r="BI143" i="122"/>
  <c r="AN143" i="122"/>
  <c r="BI125" i="122"/>
  <c r="AN125" i="122"/>
  <c r="EF26" i="123"/>
  <c r="GE9" i="123"/>
  <c r="AC13" i="120"/>
  <c r="AC179" i="120"/>
  <c r="AC180" i="120" s="1"/>
  <c r="CA12" i="121"/>
  <c r="ED8" i="121"/>
  <c r="ED10" i="121" s="1"/>
  <c r="EF11" i="121"/>
  <c r="EF10" i="121"/>
  <c r="GE8" i="121"/>
  <c r="CE11" i="121"/>
  <c r="CG12" i="121"/>
  <c r="CJ178" i="120"/>
  <c r="BS12" i="121"/>
  <c r="BS13" i="121" s="1"/>
  <c r="BU13" i="121"/>
  <c r="CA13" i="121" s="1"/>
  <c r="CL93" i="122" l="1"/>
  <c r="AD101" i="8"/>
  <c r="AD106" i="8"/>
  <c r="AM101" i="122"/>
  <c r="AF101" i="122"/>
  <c r="AL101" i="122" s="1"/>
  <c r="BD108" i="122"/>
  <c r="BJ108" i="122" s="1"/>
  <c r="BK108" i="122"/>
  <c r="BR45" i="123"/>
  <c r="CD45" i="123" s="1"/>
  <c r="CL26" i="8"/>
  <c r="BX139" i="7"/>
  <c r="AQ270" i="120"/>
  <c r="BN92" i="122"/>
  <c r="BN81" i="122" s="1"/>
  <c r="BM93" i="122"/>
  <c r="AB62" i="32"/>
  <c r="AC62" i="32"/>
  <c r="AE62" i="32" s="1"/>
  <c r="BE67" i="122"/>
  <c r="BN67" i="122"/>
  <c r="AP215" i="122"/>
  <c r="BE215" i="122" s="1"/>
  <c r="BK215" i="122" s="1"/>
  <c r="AP65" i="122"/>
  <c r="AO67" i="122"/>
  <c r="AB11" i="98"/>
  <c r="AA11" i="98"/>
  <c r="Y26" i="98"/>
  <c r="Z11" i="98"/>
  <c r="Y16" i="98"/>
  <c r="Y9" i="98"/>
  <c r="AC11" i="98"/>
  <c r="AE39" i="59"/>
  <c r="AC38" i="59"/>
  <c r="S31" i="98"/>
  <c r="S36" i="98" s="1"/>
  <c r="BT18" i="8" s="1"/>
  <c r="BS18" i="8" s="1"/>
  <c r="S24" i="98"/>
  <c r="S29" i="98" s="1"/>
  <c r="S34" i="98" s="1"/>
  <c r="T26" i="98"/>
  <c r="AB63" i="32"/>
  <c r="AC63" i="32"/>
  <c r="AE63" i="32" s="1"/>
  <c r="AE46" i="65"/>
  <c r="AE50" i="65"/>
  <c r="AD68" i="8"/>
  <c r="AD71" i="8"/>
  <c r="AD70" i="8"/>
  <c r="AD74" i="8"/>
  <c r="AD75" i="8" s="1"/>
  <c r="EB21" i="123"/>
  <c r="CL21" i="123"/>
  <c r="CC27" i="123"/>
  <c r="CL27" i="123" s="1"/>
  <c r="BE51" i="122"/>
  <c r="BN51" i="122"/>
  <c r="AO51" i="122"/>
  <c r="AP195" i="122"/>
  <c r="BE195" i="122" s="1"/>
  <c r="BK195" i="122" s="1"/>
  <c r="AP161" i="122"/>
  <c r="CO45" i="123" s="1"/>
  <c r="BK102" i="122"/>
  <c r="BE160" i="122"/>
  <c r="BK160" i="122" s="1"/>
  <c r="FG59" i="123"/>
  <c r="EV59" i="123"/>
  <c r="BN69" i="122"/>
  <c r="AP217" i="122"/>
  <c r="BE217" i="122" s="1"/>
  <c r="BK217" i="122" s="1"/>
  <c r="AO69" i="122"/>
  <c r="BD8" i="122"/>
  <c r="BL8" i="122"/>
  <c r="BJ8" i="122" s="1"/>
  <c r="AC106" i="8"/>
  <c r="AC101" i="8"/>
  <c r="BE58" i="122"/>
  <c r="BN58" i="122"/>
  <c r="AO58" i="122"/>
  <c r="AO202" i="122" s="1"/>
  <c r="BD202" i="122" s="1"/>
  <c r="BJ202" i="122" s="1"/>
  <c r="AP202" i="122"/>
  <c r="BE202" i="122" s="1"/>
  <c r="BK202" i="122" s="1"/>
  <c r="AG159" i="122"/>
  <c r="DQ72" i="121"/>
  <c r="EC72" i="121" s="1"/>
  <c r="AE40" i="123"/>
  <c r="BE81" i="122"/>
  <c r="BK81" i="122" s="1"/>
  <c r="AM81" i="122"/>
  <c r="BF116" i="122"/>
  <c r="BO116" i="122"/>
  <c r="BO169" i="122" s="1"/>
  <c r="EO53" i="123" s="1"/>
  <c r="AQ169" i="122"/>
  <c r="CP53" i="123" s="1"/>
  <c r="CY53" i="123" s="1"/>
  <c r="DH53" i="123" s="1"/>
  <c r="AC17" i="95"/>
  <c r="X26" i="95"/>
  <c r="X27" i="95" s="1"/>
  <c r="Y17" i="95"/>
  <c r="B123" i="56"/>
  <c r="B122" i="56" s="1"/>
  <c r="C122" i="56"/>
  <c r="J52" i="96"/>
  <c r="J55" i="96" s="1"/>
  <c r="J67" i="96" s="1"/>
  <c r="J62" i="96"/>
  <c r="J65" i="96" s="1"/>
  <c r="BT20" i="8"/>
  <c r="BT87" i="8" s="1"/>
  <c r="BT124" i="8" s="1"/>
  <c r="Z21" i="65" s="1"/>
  <c r="BU20" i="8"/>
  <c r="BU87" i="8" s="1"/>
  <c r="BU124" i="8" s="1"/>
  <c r="X22" i="66" s="1"/>
  <c r="BS100" i="8"/>
  <c r="BS52" i="8" s="1"/>
  <c r="CK30" i="121"/>
  <c r="EA30" i="121"/>
  <c r="CB40" i="121"/>
  <c r="CK40" i="121" s="1"/>
  <c r="AT51" i="8"/>
  <c r="AU90" i="8"/>
  <c r="AU25" i="8"/>
  <c r="S21" i="98"/>
  <c r="S40" i="98" s="1"/>
  <c r="S14" i="98"/>
  <c r="CN82" i="120"/>
  <c r="BM110" i="122"/>
  <c r="CL110" i="122" s="1"/>
  <c r="BN108" i="122"/>
  <c r="BA33" i="7"/>
  <c r="AZ27" i="7"/>
  <c r="AT99" i="8"/>
  <c r="BO222" i="122"/>
  <c r="CD222" i="122" s="1"/>
  <c r="CJ222" i="122" s="1"/>
  <c r="BO92" i="122"/>
  <c r="BM92" i="122" s="1"/>
  <c r="BD93" i="122"/>
  <c r="BJ93" i="122" s="1"/>
  <c r="Q52" i="96"/>
  <c r="Q55" i="96" s="1"/>
  <c r="Q67" i="96" s="1"/>
  <c r="DA19" i="8" s="1"/>
  <c r="I55" i="96"/>
  <c r="L52" i="96"/>
  <c r="L55" i="96" s="1"/>
  <c r="BJ83" i="120"/>
  <c r="BM222" i="122"/>
  <c r="BD130" i="120"/>
  <c r="CL121" i="120"/>
  <c r="BQ45" i="123"/>
  <c r="BV65" i="8"/>
  <c r="BW100" i="8"/>
  <c r="BW52" i="8" s="1"/>
  <c r="CB21" i="123"/>
  <c r="BY21" i="123"/>
  <c r="BP27" i="123"/>
  <c r="BY27" i="123" s="1"/>
  <c r="AF81" i="122"/>
  <c r="AL81" i="122" s="1"/>
  <c r="AU86" i="8"/>
  <c r="AU99" i="8" s="1"/>
  <c r="AU17" i="8"/>
  <c r="AU51" i="8" s="1"/>
  <c r="AF65" i="122"/>
  <c r="AL65" i="122" s="1"/>
  <c r="AM65" i="122"/>
  <c r="U11" i="98"/>
  <c r="T16" i="98"/>
  <c r="T9" i="98"/>
  <c r="AF161" i="122"/>
  <c r="AL161" i="122" s="1"/>
  <c r="AL51" i="122"/>
  <c r="DQ59" i="123"/>
  <c r="DF59" i="123"/>
  <c r="AO92" i="122"/>
  <c r="BF92" i="122"/>
  <c r="AQ81" i="122"/>
  <c r="BR53" i="123"/>
  <c r="BJ257" i="120"/>
  <c r="BE92" i="122"/>
  <c r="BK92" i="122" s="1"/>
  <c r="AO215" i="122"/>
  <c r="BD215" i="122" s="1"/>
  <c r="BJ215" i="122" s="1"/>
  <c r="FO37" i="123"/>
  <c r="AE56" i="121"/>
  <c r="EA40" i="121"/>
  <c r="EJ40" i="121" s="1"/>
  <c r="DP44" i="123"/>
  <c r="FO59" i="121"/>
  <c r="AB26" i="95"/>
  <c r="AB21" i="95"/>
  <c r="AB31" i="95" s="1"/>
  <c r="AB50" i="95" s="1"/>
  <c r="CM58" i="72"/>
  <c r="BY58" i="72"/>
  <c r="BU50" i="72"/>
  <c r="AO108" i="122"/>
  <c r="AP101" i="122"/>
  <c r="BE101" i="122" s="1"/>
  <c r="BK101" i="122" s="1"/>
  <c r="CC40" i="121"/>
  <c r="CL40" i="121" s="1"/>
  <c r="EB30" i="121"/>
  <c r="CL30" i="121"/>
  <c r="CC210" i="122"/>
  <c r="CI210" i="122" s="1"/>
  <c r="O37" i="105"/>
  <c r="O38" i="105"/>
  <c r="AG39" i="3"/>
  <c r="AE43" i="3"/>
  <c r="AG43" i="3" s="1"/>
  <c r="BP56" i="72"/>
  <c r="BK69" i="122"/>
  <c r="BD69" i="122"/>
  <c r="BJ69" i="122" s="1"/>
  <c r="BR50" i="72"/>
  <c r="BO257" i="120"/>
  <c r="BM83" i="120"/>
  <c r="Q62" i="96"/>
  <c r="Q65" i="96" s="1"/>
  <c r="L62" i="96"/>
  <c r="L65" i="96" s="1"/>
  <c r="I65" i="96"/>
  <c r="CE257" i="120"/>
  <c r="CH257" i="120" s="1"/>
  <c r="CH83" i="120"/>
  <c r="E18" i="79"/>
  <c r="F20" i="79"/>
  <c r="O67" i="123"/>
  <c r="O68" i="123" s="1"/>
  <c r="O69" i="123" s="1"/>
  <c r="BD50" i="120"/>
  <c r="BJ50" i="120" s="1"/>
  <c r="BL50" i="120"/>
  <c r="BM94" i="120"/>
  <c r="CM94" i="120"/>
  <c r="AV83" i="7"/>
  <c r="AV80" i="7"/>
  <c r="AV85" i="7"/>
  <c r="AV82" i="7"/>
  <c r="BJ266" i="120"/>
  <c r="DN69" i="123"/>
  <c r="DL68" i="123"/>
  <c r="DL69" i="123" s="1"/>
  <c r="BJ96" i="122"/>
  <c r="BD153" i="122"/>
  <c r="BJ153" i="122" s="1"/>
  <c r="V7" i="82"/>
  <c r="V11" i="82" s="1"/>
  <c r="U11" i="82"/>
  <c r="BF261" i="120"/>
  <c r="BL69" i="120"/>
  <c r="CM48" i="120"/>
  <c r="BN263" i="120"/>
  <c r="BM48" i="120"/>
  <c r="BN46" i="120"/>
  <c r="GG12" i="121"/>
  <c r="GG13" i="121" s="1"/>
  <c r="GG77" i="121"/>
  <c r="GG78" i="121" s="1"/>
  <c r="BD46" i="120"/>
  <c r="BJ46" i="120" s="1"/>
  <c r="BK46" i="120"/>
  <c r="CH81" i="120"/>
  <c r="CE255" i="120"/>
  <c r="CH255" i="120" s="1"/>
  <c r="AP20" i="19"/>
  <c r="AP47" i="19"/>
  <c r="AP24" i="19"/>
  <c r="F22" i="61" s="1"/>
  <c r="AP27" i="19"/>
  <c r="AP42" i="19"/>
  <c r="AP29" i="19"/>
  <c r="AP33" i="19"/>
  <c r="AP34" i="19"/>
  <c r="AP39" i="19"/>
  <c r="AP22" i="19"/>
  <c r="AP40" i="19"/>
  <c r="AP9" i="19"/>
  <c r="AP23" i="19"/>
  <c r="AP13" i="19"/>
  <c r="AP46" i="19"/>
  <c r="AP26" i="19"/>
  <c r="AP19" i="19"/>
  <c r="AP36" i="19"/>
  <c r="AP8" i="19"/>
  <c r="AP41" i="19"/>
  <c r="AP25" i="19"/>
  <c r="AP17" i="19"/>
  <c r="AP28" i="19"/>
  <c r="AP31" i="19"/>
  <c r="AL60" i="19"/>
  <c r="AP35" i="19"/>
  <c r="AP37" i="19"/>
  <c r="AP45" i="19"/>
  <c r="AP38" i="19"/>
  <c r="AP44" i="19"/>
  <c r="AP21" i="19"/>
  <c r="B8" i="77" s="1"/>
  <c r="C8" i="77" s="1"/>
  <c r="AP16" i="19"/>
  <c r="AP32" i="19"/>
  <c r="AP18" i="19"/>
  <c r="AP43" i="19"/>
  <c r="AP30" i="19"/>
  <c r="AP48" i="19"/>
  <c r="BY77" i="121"/>
  <c r="AM49" i="122"/>
  <c r="CB206" i="122"/>
  <c r="CH206" i="122" s="1"/>
  <c r="AG43" i="123"/>
  <c r="CF43" i="123" s="1"/>
  <c r="EE43" i="123" s="1"/>
  <c r="AI67" i="123"/>
  <c r="BB85" i="7"/>
  <c r="BM254" i="120"/>
  <c r="CW50" i="121"/>
  <c r="DO50" i="121" s="1"/>
  <c r="CL37" i="122"/>
  <c r="BO149" i="120"/>
  <c r="BO215" i="120" s="1"/>
  <c r="EO67" i="121" s="1"/>
  <c r="AP10" i="19"/>
  <c r="H84" i="121"/>
  <c r="O44" i="125"/>
  <c r="CL87" i="122"/>
  <c r="FP71" i="121"/>
  <c r="BD268" i="120"/>
  <c r="DQ70" i="121"/>
  <c r="EC70" i="121" s="1"/>
  <c r="CI113" i="120"/>
  <c r="CF252" i="120"/>
  <c r="CI252" i="120" s="1"/>
  <c r="CI121" i="120"/>
  <c r="CF267" i="120"/>
  <c r="CF243" i="120"/>
  <c r="CI243" i="120" s="1"/>
  <c r="CI134" i="120"/>
  <c r="BN137" i="120"/>
  <c r="BN262" i="120"/>
  <c r="BM138" i="120"/>
  <c r="CL138" i="120" s="1"/>
  <c r="CM138" i="120"/>
  <c r="BD138" i="120"/>
  <c r="BJ138" i="120" s="1"/>
  <c r="BK138" i="120"/>
  <c r="BE262" i="120"/>
  <c r="BK262" i="120" s="1"/>
  <c r="BJ113" i="120"/>
  <c r="CE113" i="120"/>
  <c r="BG252" i="120"/>
  <c r="BJ252" i="120" s="1"/>
  <c r="CL91" i="120"/>
  <c r="DE69" i="123"/>
  <c r="DC68" i="123"/>
  <c r="DC69" i="123" s="1"/>
  <c r="CL80" i="120"/>
  <c r="AU84" i="121"/>
  <c r="BV83" i="121"/>
  <c r="G12" i="84"/>
  <c r="K12" i="84" s="1"/>
  <c r="BC48" i="9"/>
  <c r="BG56" i="9"/>
  <c r="DQ71" i="121"/>
  <c r="CH122" i="120"/>
  <c r="CE269" i="120"/>
  <c r="CH269" i="120" s="1"/>
  <c r="CI78" i="121"/>
  <c r="CH77" i="121"/>
  <c r="CH78" i="121" s="1"/>
  <c r="AX90" i="8"/>
  <c r="AX40" i="8"/>
  <c r="AV39" i="8"/>
  <c r="CE121" i="120"/>
  <c r="BG267" i="120"/>
  <c r="BS43" i="123"/>
  <c r="GK56" i="123"/>
  <c r="CH200" i="122"/>
  <c r="FA68" i="123"/>
  <c r="BJ222" i="122"/>
  <c r="BY224" i="120"/>
  <c r="BY231" i="120" s="1"/>
  <c r="Z92" i="8"/>
  <c r="CN155" i="120"/>
  <c r="N71" i="68"/>
  <c r="BJ120" i="120"/>
  <c r="O10" i="81"/>
  <c r="Z160" i="120"/>
  <c r="CN45" i="120"/>
  <c r="CB210" i="122"/>
  <c r="DQ68" i="121"/>
  <c r="FP60" i="123"/>
  <c r="GB60" i="123" s="1"/>
  <c r="O63" i="123"/>
  <c r="BO260" i="120"/>
  <c r="DU67" i="123"/>
  <c r="P7" i="81"/>
  <c r="P15" i="81" s="1"/>
  <c r="K21" i="61" s="1"/>
  <c r="N15" i="81"/>
  <c r="CM98" i="120"/>
  <c r="BM98" i="120"/>
  <c r="CL98" i="120" s="1"/>
  <c r="BN269" i="120"/>
  <c r="DQ53" i="123"/>
  <c r="CE60" i="120"/>
  <c r="CE61" i="120" s="1"/>
  <c r="BG61" i="120"/>
  <c r="BE137" i="120"/>
  <c r="AO137" i="120"/>
  <c r="AX99" i="8"/>
  <c r="AX101" i="8" s="1"/>
  <c r="AA136" i="7"/>
  <c r="AP9" i="7"/>
  <c r="AI9" i="7"/>
  <c r="AC9" i="7"/>
  <c r="AB9" i="7"/>
  <c r="AB136" i="7" s="1"/>
  <c r="AB150" i="7" s="1"/>
  <c r="AD9" i="7"/>
  <c r="T51" i="125"/>
  <c r="CM66" i="121"/>
  <c r="EC66" i="121"/>
  <c r="CA52" i="72"/>
  <c r="CA54" i="72"/>
  <c r="CB54" i="72" s="1"/>
  <c r="E6" i="77" s="1"/>
  <c r="AV155" i="7"/>
  <c r="AV157" i="7"/>
  <c r="CN74" i="120"/>
  <c r="BM74" i="120"/>
  <c r="BO241" i="120"/>
  <c r="W54" i="125"/>
  <c r="DZ69" i="121"/>
  <c r="CE248" i="120"/>
  <c r="CH248" i="120" s="1"/>
  <c r="CH77" i="120"/>
  <c r="BF181" i="120"/>
  <c r="BF225" i="120" s="1"/>
  <c r="BL225" i="120" s="1"/>
  <c r="Z19" i="125"/>
  <c r="G15" i="127" s="1"/>
  <c r="G13" i="127" s="1"/>
  <c r="I13" i="127" s="1"/>
  <c r="BG50" i="121"/>
  <c r="BP50" i="121" s="1"/>
  <c r="BR50" i="121"/>
  <c r="BD256" i="120"/>
  <c r="BJ256" i="120" s="1"/>
  <c r="BJ82" i="120"/>
  <c r="CH76" i="120"/>
  <c r="CE243" i="120"/>
  <c r="CH243" i="120" s="1"/>
  <c r="BC48" i="72"/>
  <c r="BG56" i="72"/>
  <c r="FY38" i="123"/>
  <c r="AD29" i="126"/>
  <c r="BD262" i="120"/>
  <c r="BJ262" i="120" s="1"/>
  <c r="BJ118" i="120"/>
  <c r="CH38" i="121"/>
  <c r="CH12" i="121"/>
  <c r="CH13" i="121" s="1"/>
  <c r="BM117" i="120"/>
  <c r="CL117" i="120" s="1"/>
  <c r="DO46" i="123"/>
  <c r="N43" i="123"/>
  <c r="N61" i="123" s="1"/>
  <c r="BO81" i="122"/>
  <c r="CZ92" i="8"/>
  <c r="CH55" i="72"/>
  <c r="BM269" i="120"/>
  <c r="BD18" i="7"/>
  <c r="BG50" i="9"/>
  <c r="BD98" i="120"/>
  <c r="BJ98" i="120" s="1"/>
  <c r="BK98" i="120"/>
  <c r="BE269" i="120"/>
  <c r="Y82" i="121"/>
  <c r="Y83" i="121" s="1"/>
  <c r="Y84" i="121" s="1"/>
  <c r="AX34" i="8"/>
  <c r="AX51" i="8" s="1"/>
  <c r="O51" i="9"/>
  <c r="S51" i="9" s="1"/>
  <c r="V51" i="9"/>
  <c r="AO19" i="8"/>
  <c r="AO91" i="8" s="1"/>
  <c r="BK48" i="120"/>
  <c r="BE263" i="120"/>
  <c r="BK263" i="120" s="1"/>
  <c r="BD48" i="120"/>
  <c r="AQ35" i="19"/>
  <c r="AQ40" i="19"/>
  <c r="AQ19" i="19"/>
  <c r="AQ23" i="19"/>
  <c r="AQ18" i="19"/>
  <c r="AQ31" i="19"/>
  <c r="AQ22" i="19"/>
  <c r="AQ43" i="19"/>
  <c r="AQ30" i="19"/>
  <c r="AQ24" i="19"/>
  <c r="F21" i="65" s="1"/>
  <c r="I21" i="65" s="1"/>
  <c r="N21" i="65" s="1"/>
  <c r="AQ41" i="19"/>
  <c r="AQ16" i="19"/>
  <c r="AQ17" i="19"/>
  <c r="F10" i="77" s="1"/>
  <c r="E10" i="77" s="1"/>
  <c r="AQ25" i="19"/>
  <c r="AQ32" i="19"/>
  <c r="AQ13" i="19"/>
  <c r="AQ39" i="19"/>
  <c r="AQ28" i="19"/>
  <c r="AQ45" i="19"/>
  <c r="AQ38" i="19"/>
  <c r="AQ44" i="19"/>
  <c r="AQ21" i="19"/>
  <c r="F8" i="77" s="1"/>
  <c r="E8" i="77" s="1"/>
  <c r="AQ9" i="19"/>
  <c r="AQ33" i="19"/>
  <c r="AQ29" i="19"/>
  <c r="AQ36" i="19"/>
  <c r="AQ8" i="19"/>
  <c r="AQ47" i="19"/>
  <c r="AQ34" i="19"/>
  <c r="AQ27" i="19"/>
  <c r="AQ42" i="19"/>
  <c r="AQ46" i="19"/>
  <c r="AQ26" i="19"/>
  <c r="AQ20" i="19"/>
  <c r="AQ37" i="19"/>
  <c r="AQ48" i="19"/>
  <c r="GG38" i="121"/>
  <c r="BH39" i="11"/>
  <c r="BD19" i="7" s="1"/>
  <c r="EH77" i="121"/>
  <c r="EH78" i="121" s="1"/>
  <c r="EH12" i="121"/>
  <c r="EH13" i="121" s="1"/>
  <c r="EH38" i="121"/>
  <c r="CU69" i="123"/>
  <c r="DV68" i="123"/>
  <c r="DV69" i="123" s="1"/>
  <c r="BV131" i="122"/>
  <c r="FQ56" i="121"/>
  <c r="GC27" i="123"/>
  <c r="BU63" i="7"/>
  <c r="BU144" i="7"/>
  <c r="BU150" i="7" s="1"/>
  <c r="D38" i="133"/>
  <c r="E37" i="133"/>
  <c r="AL18" i="8"/>
  <c r="AL86" i="8" s="1"/>
  <c r="AL99" i="8" s="1"/>
  <c r="AA86" i="8"/>
  <c r="AA99" i="8" s="1"/>
  <c r="CQ61" i="123"/>
  <c r="CQ63" i="123" s="1"/>
  <c r="CB204" i="122"/>
  <c r="CH204" i="122" s="1"/>
  <c r="DP37" i="123"/>
  <c r="CL50" i="122"/>
  <c r="L50" i="68"/>
  <c r="P85" i="68"/>
  <c r="N70" i="68"/>
  <c r="AO13" i="64"/>
  <c r="AO268" i="120"/>
  <c r="BF69" i="123"/>
  <c r="BD68" i="123"/>
  <c r="BD69" i="123" s="1"/>
  <c r="N179" i="120"/>
  <c r="N180" i="120" s="1"/>
  <c r="N13" i="120"/>
  <c r="CL45" i="120"/>
  <c r="AY64" i="123"/>
  <c r="AO64" i="123"/>
  <c r="CM135" i="120"/>
  <c r="CP125" i="8"/>
  <c r="AI12" i="66"/>
  <c r="AI11" i="66" s="1"/>
  <c r="AI10" i="66" s="1"/>
  <c r="AI35" i="66" s="1"/>
  <c r="AI38" i="66" s="1"/>
  <c r="X41" i="126"/>
  <c r="DZ50" i="123"/>
  <c r="CO104" i="8"/>
  <c r="CO106" i="8"/>
  <c r="CC159" i="120"/>
  <c r="BD159" i="120"/>
  <c r="AO214" i="120"/>
  <c r="AE61" i="121"/>
  <c r="BO254" i="120"/>
  <c r="AC85" i="121"/>
  <c r="AL85" i="121" s="1"/>
  <c r="AL87" i="121"/>
  <c r="CL94" i="120"/>
  <c r="BD189" i="120"/>
  <c r="X27" i="125"/>
  <c r="S69" i="123"/>
  <c r="AK68" i="123"/>
  <c r="CG159" i="120"/>
  <c r="CJ159" i="120" s="1"/>
  <c r="BL159" i="120"/>
  <c r="BW37" i="8"/>
  <c r="BV88" i="8"/>
  <c r="J40" i="85"/>
  <c r="GA29" i="121"/>
  <c r="EB39" i="121"/>
  <c r="EK39" i="121" s="1"/>
  <c r="EK29" i="121"/>
  <c r="BN244" i="120"/>
  <c r="BM86" i="120"/>
  <c r="DH106" i="8"/>
  <c r="DH104" i="8"/>
  <c r="BD178" i="122"/>
  <c r="CB143" i="122"/>
  <c r="CB178" i="122" s="1"/>
  <c r="BN268" i="120"/>
  <c r="BM141" i="120"/>
  <c r="CL141" i="120" s="1"/>
  <c r="BK158" i="7"/>
  <c r="BK160" i="7"/>
  <c r="BK161" i="7" s="1"/>
  <c r="FP70" i="121"/>
  <c r="CN59" i="121"/>
  <c r="CY59" i="121"/>
  <c r="FP65" i="121"/>
  <c r="BN147" i="120"/>
  <c r="AP213" i="120"/>
  <c r="CO65" i="121" s="1"/>
  <c r="AO147" i="120"/>
  <c r="AO213" i="120" s="1"/>
  <c r="AA41" i="98"/>
  <c r="BY59" i="121"/>
  <c r="BY52" i="72"/>
  <c r="CM52" i="72"/>
  <c r="BV55" i="72"/>
  <c r="AY65" i="121"/>
  <c r="AO65" i="121"/>
  <c r="BJ76" i="120"/>
  <c r="BD243" i="120"/>
  <c r="BJ243" i="120" s="1"/>
  <c r="AI15" i="8"/>
  <c r="Y8" i="8"/>
  <c r="AF8" i="8" s="1"/>
  <c r="AZ15" i="8"/>
  <c r="BT52" i="7"/>
  <c r="BS55" i="7"/>
  <c r="BS52" i="7" s="1"/>
  <c r="AO259" i="120"/>
  <c r="AK84" i="121"/>
  <c r="CJ83" i="121"/>
  <c r="AF86" i="8"/>
  <c r="Y99" i="8"/>
  <c r="CI83" i="121"/>
  <c r="AJ84" i="121"/>
  <c r="W35" i="126"/>
  <c r="DY44" i="123"/>
  <c r="BC82" i="121"/>
  <c r="BC83" i="121" s="1"/>
  <c r="BC84" i="121" s="1"/>
  <c r="BE214" i="120"/>
  <c r="BK214" i="120" s="1"/>
  <c r="BD148" i="120"/>
  <c r="BK148" i="120"/>
  <c r="R53" i="126"/>
  <c r="CA62" i="123"/>
  <c r="AB44" i="125"/>
  <c r="FX59" i="121"/>
  <c r="AM64" i="123"/>
  <c r="N55" i="126"/>
  <c r="BM216" i="122"/>
  <c r="CB216" i="122" s="1"/>
  <c r="CH216" i="122" s="1"/>
  <c r="CL68" i="122"/>
  <c r="W53" i="125"/>
  <c r="DZ68" i="121"/>
  <c r="GF14" i="121"/>
  <c r="GH77" i="121"/>
  <c r="GH12" i="121"/>
  <c r="GH13" i="121" s="1"/>
  <c r="GH38" i="121"/>
  <c r="AO119" i="120"/>
  <c r="AD51" i="126"/>
  <c r="BY54" i="72"/>
  <c r="CM54" i="72"/>
  <c r="CJ18" i="120"/>
  <c r="CJ185" i="120" s="1"/>
  <c r="CG185" i="120"/>
  <c r="BO69" i="123"/>
  <c r="BM68" i="123"/>
  <c r="BM69" i="123" s="1"/>
  <c r="BM76" i="120"/>
  <c r="BM243" i="120" s="1"/>
  <c r="BN243" i="120"/>
  <c r="AB33" i="98"/>
  <c r="AB37" i="98" s="1"/>
  <c r="X33" i="98"/>
  <c r="AC33" i="98" s="1"/>
  <c r="AZ63" i="121"/>
  <c r="AO63" i="121"/>
  <c r="BD267" i="120"/>
  <c r="BJ267" i="120" s="1"/>
  <c r="BJ121" i="120"/>
  <c r="AC33" i="7"/>
  <c r="AC27" i="7" s="1"/>
  <c r="AD32" i="7"/>
  <c r="F82" i="121"/>
  <c r="F83" i="121" s="1"/>
  <c r="F84" i="121" s="1"/>
  <c r="DO70" i="123"/>
  <c r="DX70" i="123" s="1"/>
  <c r="DX72" i="123"/>
  <c r="CM172" i="7"/>
  <c r="CM176" i="7" s="1"/>
  <c r="BA16" i="61"/>
  <c r="BA14" i="61" s="1"/>
  <c r="BA11" i="61" s="1"/>
  <c r="CM150" i="7"/>
  <c r="CL93" i="120"/>
  <c r="BM264" i="120"/>
  <c r="AO207" i="120"/>
  <c r="AO250" i="120"/>
  <c r="CE263" i="120"/>
  <c r="CH263" i="120" s="1"/>
  <c r="CH48" i="120"/>
  <c r="BV67" i="123"/>
  <c r="CH67" i="123" s="1"/>
  <c r="EG67" i="123" s="1"/>
  <c r="GF67" i="123" s="1"/>
  <c r="CB222" i="122"/>
  <c r="CH222" i="122" s="1"/>
  <c r="AI94" i="122"/>
  <c r="CB208" i="122"/>
  <c r="CH208" i="122" s="1"/>
  <c r="DO37" i="123"/>
  <c r="L14" i="68"/>
  <c r="BZ138" i="7"/>
  <c r="J56" i="85"/>
  <c r="J52" i="68"/>
  <c r="AC37" i="98"/>
  <c r="BA179" i="120"/>
  <c r="BA180" i="120" s="1"/>
  <c r="BA13" i="120"/>
  <c r="BM52" i="120"/>
  <c r="BM268" i="120" s="1"/>
  <c r="BO268" i="120"/>
  <c r="BO265" i="120" s="1"/>
  <c r="BR59" i="121"/>
  <c r="FK84" i="121"/>
  <c r="FT83" i="121"/>
  <c r="FT84" i="121" s="1"/>
  <c r="BB15" i="8"/>
  <c r="Z8" i="8"/>
  <c r="BJ144" i="7"/>
  <c r="BJ150" i="7" s="1"/>
  <c r="BJ63" i="7"/>
  <c r="BO259" i="120"/>
  <c r="BM85" i="120"/>
  <c r="BM259" i="120" s="1"/>
  <c r="BO71" i="120"/>
  <c r="Z86" i="8"/>
  <c r="Z99" i="8" s="1"/>
  <c r="AM18" i="8"/>
  <c r="Z53" i="126"/>
  <c r="GA62" i="123"/>
  <c r="AF53" i="126" s="1"/>
  <c r="BK189" i="120"/>
  <c r="BJ22" i="120"/>
  <c r="BJ189" i="120" s="1"/>
  <c r="AB69" i="123"/>
  <c r="Z68" i="123"/>
  <c r="Q15" i="102"/>
  <c r="R13" i="102"/>
  <c r="R15" i="102" s="1"/>
  <c r="CL135" i="120"/>
  <c r="BF71" i="120"/>
  <c r="BG66" i="121"/>
  <c r="BP66" i="121" s="1"/>
  <c r="BQ66" i="121"/>
  <c r="BJ116" i="120"/>
  <c r="BD249" i="120"/>
  <c r="BJ249" i="120" s="1"/>
  <c r="N30" i="96"/>
  <c r="N20" i="96"/>
  <c r="N15" i="96"/>
  <c r="N10" i="96"/>
  <c r="N35" i="96"/>
  <c r="N25" i="96"/>
  <c r="BN119" i="120"/>
  <c r="BM119" i="120" s="1"/>
  <c r="BM120" i="120"/>
  <c r="DU68" i="123"/>
  <c r="DU69" i="123" s="1"/>
  <c r="CT69" i="123"/>
  <c r="CX66" i="121"/>
  <c r="CN66" i="121"/>
  <c r="CL55" i="72"/>
  <c r="AO243" i="120"/>
  <c r="AX87" i="121"/>
  <c r="AO85" i="121"/>
  <c r="CS56" i="72"/>
  <c r="CR48" i="72" s="1"/>
  <c r="AR43" i="3"/>
  <c r="AF211" i="120"/>
  <c r="AL211" i="120" s="1"/>
  <c r="AL145" i="120"/>
  <c r="BF265" i="120"/>
  <c r="AQ32" i="7"/>
  <c r="AR32" i="7" s="1"/>
  <c r="EI63" i="123"/>
  <c r="GH61" i="123"/>
  <c r="GH63" i="123" s="1"/>
  <c r="DZ62" i="121"/>
  <c r="W47" i="125"/>
  <c r="CB159" i="120"/>
  <c r="AT37" i="71"/>
  <c r="V37" i="71"/>
  <c r="AA37" i="71"/>
  <c r="AX37" i="71"/>
  <c r="AO37" i="71"/>
  <c r="BC37" i="71"/>
  <c r="BO50" i="120"/>
  <c r="CN50" i="120" s="1"/>
  <c r="AO50" i="120"/>
  <c r="AQ37" i="120"/>
  <c r="BJ110" i="120"/>
  <c r="BD250" i="120"/>
  <c r="BJ250" i="120" s="1"/>
  <c r="BD207" i="120"/>
  <c r="BJ207" i="120" s="1"/>
  <c r="EI67" i="123"/>
  <c r="GH67" i="123" s="1"/>
  <c r="CE214" i="120"/>
  <c r="CH214" i="120" s="1"/>
  <c r="CH148" i="120"/>
  <c r="EC50" i="123"/>
  <c r="AF213" i="120"/>
  <c r="AL213" i="120" s="1"/>
  <c r="AL147" i="120"/>
  <c r="CF261" i="120"/>
  <c r="CI261" i="120" s="1"/>
  <c r="BY27" i="7"/>
  <c r="AO265" i="120"/>
  <c r="AG101" i="120"/>
  <c r="BK135" i="120"/>
  <c r="BD135" i="120"/>
  <c r="BE254" i="120"/>
  <c r="BK254" i="120" s="1"/>
  <c r="BD109" i="8"/>
  <c r="BD110" i="8" s="1"/>
  <c r="BD107" i="8"/>
  <c r="CI53" i="7"/>
  <c r="CI52" i="7" s="1"/>
  <c r="CJ52" i="7"/>
  <c r="BS55" i="72"/>
  <c r="BN55" i="72"/>
  <c r="BQ55" i="72" s="1"/>
  <c r="BX55" i="72" s="1"/>
  <c r="BL63" i="7"/>
  <c r="BL144" i="7"/>
  <c r="BL150" i="7" s="1"/>
  <c r="M55" i="126"/>
  <c r="AL64" i="123"/>
  <c r="CP101" i="8"/>
  <c r="CP103" i="8"/>
  <c r="K65" i="121"/>
  <c r="U65" i="121"/>
  <c r="T65" i="121" s="1"/>
  <c r="EX50" i="123"/>
  <c r="FG50" i="123" s="1"/>
  <c r="Y17" i="126"/>
  <c r="CR106" i="8"/>
  <c r="CQ103" i="8"/>
  <c r="CQ104" i="8" s="1"/>
  <c r="CR104" i="8"/>
  <c r="X46" i="61"/>
  <c r="P52" i="61"/>
  <c r="P53" i="61" s="1"/>
  <c r="P48" i="61"/>
  <c r="BJ142" i="120"/>
  <c r="EG12" i="121"/>
  <c r="EG13" i="121" s="1"/>
  <c r="EG77" i="121"/>
  <c r="EG78" i="121" s="1"/>
  <c r="EG38" i="121"/>
  <c r="BM148" i="120"/>
  <c r="BM214" i="120" s="1"/>
  <c r="BN214" i="120"/>
  <c r="EN66" i="121" s="1"/>
  <c r="V37" i="66"/>
  <c r="V38" i="66"/>
  <c r="W36" i="66"/>
  <c r="GF34" i="121"/>
  <c r="GF42" i="121" s="1"/>
  <c r="EG42" i="121"/>
  <c r="T29" i="32"/>
  <c r="V32" i="32"/>
  <c r="V36" i="32" s="1"/>
  <c r="V39" i="32" s="1"/>
  <c r="G9" i="86" s="1"/>
  <c r="G12" i="86" s="1"/>
  <c r="I19" i="87" s="1"/>
  <c r="W55" i="125"/>
  <c r="DZ70" i="121"/>
  <c r="AH143" i="120"/>
  <c r="S209" i="120"/>
  <c r="AQ61" i="121" s="1"/>
  <c r="AO145" i="120"/>
  <c r="AO211" i="120" s="1"/>
  <c r="AQ143" i="120"/>
  <c r="BF145" i="120"/>
  <c r="AQ211" i="120"/>
  <c r="CP63" i="121" s="1"/>
  <c r="BO145" i="120"/>
  <c r="CN145" i="120" s="1"/>
  <c r="CM68" i="121"/>
  <c r="T53" i="125"/>
  <c r="EC68" i="121"/>
  <c r="BS24" i="71"/>
  <c r="BQ36" i="71"/>
  <c r="BS36" i="71" s="1"/>
  <c r="AI33" i="7"/>
  <c r="AP33" i="7"/>
  <c r="AA27" i="7"/>
  <c r="AM33" i="7"/>
  <c r="Z37" i="125"/>
  <c r="EL52" i="121"/>
  <c r="GB52" i="121"/>
  <c r="BE119" i="120"/>
  <c r="CH72" i="120"/>
  <c r="CE205" i="120"/>
  <c r="CE238" i="120"/>
  <c r="AH204" i="120"/>
  <c r="AH208" i="120" s="1"/>
  <c r="EW44" i="123"/>
  <c r="FF44" i="123" s="1"/>
  <c r="FO44" i="123"/>
  <c r="BM110" i="120"/>
  <c r="BO207" i="120"/>
  <c r="EO59" i="121" s="1"/>
  <c r="BO250" i="120"/>
  <c r="AW69" i="123"/>
  <c r="BX68" i="123"/>
  <c r="BX69" i="123" s="1"/>
  <c r="AU68" i="123"/>
  <c r="V63" i="121"/>
  <c r="T63" i="121" s="1"/>
  <c r="K63" i="121"/>
  <c r="AC63" i="121" s="1"/>
  <c r="BK147" i="120"/>
  <c r="BE213" i="120"/>
  <c r="BK213" i="120" s="1"/>
  <c r="BD147" i="120"/>
  <c r="AD65" i="125"/>
  <c r="GI80" i="121"/>
  <c r="M39" i="56"/>
  <c r="CG16" i="7"/>
  <c r="CH16" i="7"/>
  <c r="CH143" i="7" s="1"/>
  <c r="CF143" i="7"/>
  <c r="AF95" i="122"/>
  <c r="AL95" i="122" s="1"/>
  <c r="AM95" i="122"/>
  <c r="AP95" i="122"/>
  <c r="CH34" i="7"/>
  <c r="CG34" i="7"/>
  <c r="BD45" i="122"/>
  <c r="BJ45" i="122" s="1"/>
  <c r="BK45" i="122"/>
  <c r="Z57" i="125"/>
  <c r="EL72" i="121"/>
  <c r="AO39" i="123"/>
  <c r="AY39" i="123"/>
  <c r="AO50" i="19"/>
  <c r="AO51" i="19"/>
  <c r="AM59" i="19"/>
  <c r="AM56" i="19"/>
  <c r="AM57" i="19"/>
  <c r="AZ46" i="8" s="1"/>
  <c r="CH42" i="7"/>
  <c r="CG42" i="7"/>
  <c r="CK16" i="8"/>
  <c r="CK92" i="8" s="1"/>
  <c r="CL92" i="8"/>
  <c r="AM23" i="122"/>
  <c r="AF23" i="122"/>
  <c r="AP23" i="122"/>
  <c r="BE23" i="122" s="1"/>
  <c r="BE223" i="120"/>
  <c r="BK223" i="120" s="1"/>
  <c r="BD157" i="120"/>
  <c r="BK157" i="120"/>
  <c r="AA25" i="8"/>
  <c r="AA90" i="8"/>
  <c r="AA17" i="8"/>
  <c r="AA51" i="8" s="1"/>
  <c r="H19" i="105"/>
  <c r="H26" i="105"/>
  <c r="BD33" i="120"/>
  <c r="BK33" i="120"/>
  <c r="BF32" i="7"/>
  <c r="BF27" i="7"/>
  <c r="AF124" i="120"/>
  <c r="AL124" i="120" s="1"/>
  <c r="AM124" i="120"/>
  <c r="AP124" i="120"/>
  <c r="CQ27" i="17"/>
  <c r="CQ33" i="17"/>
  <c r="CQ34" i="17"/>
  <c r="AP112" i="122"/>
  <c r="AF112" i="122"/>
  <c r="AG165" i="122"/>
  <c r="AM165" i="122" s="1"/>
  <c r="AM112" i="122"/>
  <c r="CB199" i="122"/>
  <c r="CH199" i="122" s="1"/>
  <c r="CL32" i="122"/>
  <c r="CL64" i="122"/>
  <c r="CT38" i="17"/>
  <c r="CT24" i="17"/>
  <c r="CT39" i="17" s="1"/>
  <c r="AQ55" i="9"/>
  <c r="BA55" i="9"/>
  <c r="AL55" i="9"/>
  <c r="AO55" i="9" s="1"/>
  <c r="CX25" i="8"/>
  <c r="CW23" i="8"/>
  <c r="CW25" i="8" s="1"/>
  <c r="AL8" i="121"/>
  <c r="AM11" i="121"/>
  <c r="O53" i="126"/>
  <c r="CD62" i="123"/>
  <c r="AN62" i="123"/>
  <c r="K40" i="56"/>
  <c r="K39" i="56" s="1"/>
  <c r="T39" i="56" s="1"/>
  <c r="P39" i="56"/>
  <c r="D67" i="32"/>
  <c r="K67" i="32"/>
  <c r="R197" i="120"/>
  <c r="AP49" i="121" s="1"/>
  <c r="Q31" i="120"/>
  <c r="B197" i="120"/>
  <c r="P82" i="121"/>
  <c r="P83" i="121" s="1"/>
  <c r="P84" i="121" s="1"/>
  <c r="AB65" i="125"/>
  <c r="FX80" i="121"/>
  <c r="GA80" i="121"/>
  <c r="AG56" i="120"/>
  <c r="DE104" i="8"/>
  <c r="DE106" i="8"/>
  <c r="AE18" i="95"/>
  <c r="C41" i="122"/>
  <c r="CI41" i="122"/>
  <c r="B17" i="99"/>
  <c r="AQ35" i="7"/>
  <c r="D26" i="87"/>
  <c r="D25" i="87" s="1"/>
  <c r="H22" i="64" s="1"/>
  <c r="AG76" i="121"/>
  <c r="BD13" i="122"/>
  <c r="BK13" i="122"/>
  <c r="BJ13" i="122" s="1"/>
  <c r="AI23" i="64"/>
  <c r="AI10" i="64"/>
  <c r="AI35" i="64" s="1"/>
  <c r="AI37" i="64" s="1"/>
  <c r="BO46" i="122"/>
  <c r="BO156" i="122" s="1"/>
  <c r="EO40" i="123" s="1"/>
  <c r="AQ156" i="122"/>
  <c r="CP40" i="123" s="1"/>
  <c r="CY40" i="123" s="1"/>
  <c r="DH40" i="123" s="1"/>
  <c r="DQ40" i="123" s="1"/>
  <c r="AB23" i="95"/>
  <c r="AA25" i="95"/>
  <c r="AA27" i="95" s="1"/>
  <c r="AZ58" i="123"/>
  <c r="BI58" i="123" s="1"/>
  <c r="AJ18" i="8"/>
  <c r="BA18" i="8"/>
  <c r="AW18" i="8"/>
  <c r="AK18" i="8"/>
  <c r="AB55" i="5"/>
  <c r="AN42" i="7"/>
  <c r="AO42" i="7" s="1"/>
  <c r="AO35" i="7" s="1"/>
  <c r="AF49" i="125"/>
  <c r="GK64" i="121"/>
  <c r="T40" i="95"/>
  <c r="T45" i="95" s="1"/>
  <c r="BW18" i="7" s="1"/>
  <c r="BV18" i="7" s="1"/>
  <c r="U35" i="95"/>
  <c r="FF50" i="121"/>
  <c r="T52" i="125"/>
  <c r="DC103" i="8"/>
  <c r="DC104" i="8" s="1"/>
  <c r="N17" i="125"/>
  <c r="D13" i="120"/>
  <c r="N18" i="125" s="1"/>
  <c r="D179" i="120"/>
  <c r="D180" i="120" s="1"/>
  <c r="K131" i="122"/>
  <c r="K126" i="122"/>
  <c r="P86" i="68"/>
  <c r="AG43" i="122"/>
  <c r="CH95" i="120"/>
  <c r="CE266" i="120"/>
  <c r="CH266" i="120" s="1"/>
  <c r="AP50" i="9"/>
  <c r="AN50" i="9"/>
  <c r="EX67" i="121"/>
  <c r="FG67" i="121" s="1"/>
  <c r="BC25" i="8"/>
  <c r="BC24" i="8" s="1"/>
  <c r="BB25" i="8"/>
  <c r="BB24" i="8" s="1"/>
  <c r="BA25" i="8"/>
  <c r="Y51" i="8"/>
  <c r="AG143" i="120"/>
  <c r="BL106" i="120"/>
  <c r="CG106" i="120"/>
  <c r="CJ106" i="120" s="1"/>
  <c r="AF65" i="125"/>
  <c r="GK80" i="121"/>
  <c r="BM156" i="120"/>
  <c r="BM222" i="120" s="1"/>
  <c r="BO222" i="120"/>
  <c r="EO74" i="121" s="1"/>
  <c r="DQ49" i="121"/>
  <c r="EC49" i="121" s="1"/>
  <c r="AG80" i="122"/>
  <c r="M17" i="125"/>
  <c r="C13" i="120"/>
  <c r="M18" i="125" s="1"/>
  <c r="C179" i="120"/>
  <c r="C180" i="120" s="1"/>
  <c r="B12" i="120"/>
  <c r="M52" i="123"/>
  <c r="V52" i="123" s="1"/>
  <c r="GD61" i="121"/>
  <c r="B165" i="122"/>
  <c r="BW34" i="7"/>
  <c r="BX34" i="7"/>
  <c r="EX73" i="121"/>
  <c r="FG73" i="121" s="1"/>
  <c r="BB34" i="8"/>
  <c r="BB39" i="8"/>
  <c r="P45" i="68"/>
  <c r="R43" i="68"/>
  <c r="FI81" i="121"/>
  <c r="FI78" i="121"/>
  <c r="FH76" i="121"/>
  <c r="BV30" i="8"/>
  <c r="BV31" i="8" s="1"/>
  <c r="BV27" i="8" s="1"/>
  <c r="BW31" i="8"/>
  <c r="BW27" i="8" s="1"/>
  <c r="BO123" i="120"/>
  <c r="BW26" i="8"/>
  <c r="BX26" i="8"/>
  <c r="BX92" i="8" s="1"/>
  <c r="DG64" i="121"/>
  <c r="CW64" i="121"/>
  <c r="CO13" i="121"/>
  <c r="CN12" i="121"/>
  <c r="CN13" i="121" s="1"/>
  <c r="AA14" i="7"/>
  <c r="AP13" i="7"/>
  <c r="AB13" i="7"/>
  <c r="AB140" i="7" s="1"/>
  <c r="AI13" i="7"/>
  <c r="AA140" i="7"/>
  <c r="AM13" i="7"/>
  <c r="AC13" i="7"/>
  <c r="AC140" i="7" s="1"/>
  <c r="EX36" i="123"/>
  <c r="FG36" i="123" s="1"/>
  <c r="F108" i="116"/>
  <c r="U75" i="121"/>
  <c r="K75" i="121"/>
  <c r="BM178" i="120"/>
  <c r="AA16" i="125"/>
  <c r="G37" i="133"/>
  <c r="E38" i="133"/>
  <c r="FP51" i="121"/>
  <c r="AM51" i="9"/>
  <c r="AP51" i="9" s="1"/>
  <c r="AN48" i="9"/>
  <c r="AP48" i="9"/>
  <c r="AF60" i="121"/>
  <c r="CA139" i="7"/>
  <c r="CA138" i="7"/>
  <c r="CL57" i="120"/>
  <c r="DK78" i="121"/>
  <c r="DK81" i="121"/>
  <c r="DI76" i="121"/>
  <c r="AM40" i="7"/>
  <c r="AL41" i="7"/>
  <c r="AM41" i="7" s="1"/>
  <c r="FA82" i="121"/>
  <c r="FA83" i="121" s="1"/>
  <c r="FA84" i="121" s="1"/>
  <c r="DK109" i="8"/>
  <c r="DK110" i="8" s="1"/>
  <c r="DK107" i="8"/>
  <c r="AN50" i="121"/>
  <c r="N35" i="125"/>
  <c r="CP144" i="7"/>
  <c r="CP63" i="7"/>
  <c r="CP65" i="7" s="1"/>
  <c r="CN106" i="120"/>
  <c r="L50" i="123"/>
  <c r="B50" i="123"/>
  <c r="BX36" i="71"/>
  <c r="BW36" i="71"/>
  <c r="DL32" i="17"/>
  <c r="DM32" i="17" s="1"/>
  <c r="CW32" i="17"/>
  <c r="CX32" i="17" s="1"/>
  <c r="CR32" i="17"/>
  <c r="BM72" i="122"/>
  <c r="BM220" i="122" s="1"/>
  <c r="BN220" i="122"/>
  <c r="CC220" i="122" s="1"/>
  <c r="CI220" i="122" s="1"/>
  <c r="AQ12" i="64"/>
  <c r="AQ11" i="64" s="1"/>
  <c r="DC176" i="7"/>
  <c r="BR39" i="17"/>
  <c r="BT24" i="17"/>
  <c r="BX42" i="7"/>
  <c r="BW42" i="7"/>
  <c r="GB70" i="121"/>
  <c r="Z55" i="125"/>
  <c r="EL70" i="121"/>
  <c r="AN48" i="72"/>
  <c r="AM51" i="72"/>
  <c r="AP51" i="72" s="1"/>
  <c r="AP48" i="72"/>
  <c r="BS16" i="8"/>
  <c r="BS92" i="8" s="1"/>
  <c r="W76" i="121"/>
  <c r="X81" i="121"/>
  <c r="X78" i="121"/>
  <c r="K39" i="123"/>
  <c r="U39" i="123"/>
  <c r="T39" i="123" s="1"/>
  <c r="CW40" i="8"/>
  <c r="CW34" i="8"/>
  <c r="BZ38" i="7"/>
  <c r="BY139" i="7"/>
  <c r="CX79" i="121"/>
  <c r="CN79" i="121"/>
  <c r="EB77" i="121"/>
  <c r="Y62" i="125" s="1"/>
  <c r="EA14" i="121"/>
  <c r="EA77" i="121" s="1"/>
  <c r="X62" i="125" s="1"/>
  <c r="DX8" i="121"/>
  <c r="AC56" i="126"/>
  <c r="FX65" i="123"/>
  <c r="GA65" i="123"/>
  <c r="AH111" i="122"/>
  <c r="AI19" i="7"/>
  <c r="AA142" i="7"/>
  <c r="AI142" i="7" s="1"/>
  <c r="AP19" i="7"/>
  <c r="AC19" i="7"/>
  <c r="AC142" i="7" s="1"/>
  <c r="AB19" i="7"/>
  <c r="AB142" i="7" s="1"/>
  <c r="E226" i="120"/>
  <c r="E231" i="120"/>
  <c r="BD181" i="120"/>
  <c r="BD225" i="120" s="1"/>
  <c r="X19" i="125"/>
  <c r="B152" i="122"/>
  <c r="V113" i="6"/>
  <c r="AI41" i="8"/>
  <c r="AC54" i="6"/>
  <c r="AI26" i="8"/>
  <c r="AI17" i="8" s="1"/>
  <c r="V74" i="6"/>
  <c r="AC52" i="6"/>
  <c r="Z17" i="8"/>
  <c r="Z51" i="8" s="1"/>
  <c r="F13" i="87"/>
  <c r="F11" i="87" s="1"/>
  <c r="F10" i="87" s="1"/>
  <c r="H12" i="65" s="1"/>
  <c r="E11" i="87"/>
  <c r="E10" i="87" s="1"/>
  <c r="DQ50" i="121"/>
  <c r="BE40" i="7"/>
  <c r="BP50" i="19"/>
  <c r="EL18" i="121"/>
  <c r="GE18" i="121"/>
  <c r="GK18" i="121" s="1"/>
  <c r="CC37" i="120"/>
  <c r="CU16" i="7"/>
  <c r="CV143" i="7"/>
  <c r="Q38" i="125"/>
  <c r="CA53" i="121"/>
  <c r="CD53" i="121"/>
  <c r="AF11" i="19"/>
  <c r="AM11" i="19"/>
  <c r="O15" i="81"/>
  <c r="U16" i="95"/>
  <c r="U21" i="95" s="1"/>
  <c r="U31" i="95" s="1"/>
  <c r="U50" i="95" s="1"/>
  <c r="Z13" i="64" s="1"/>
  <c r="AH13" i="64" s="1"/>
  <c r="V11" i="95"/>
  <c r="AY51" i="123"/>
  <c r="AO51" i="123"/>
  <c r="S49" i="125"/>
  <c r="CL64" i="121"/>
  <c r="BR60" i="121"/>
  <c r="Q45" i="125" s="1"/>
  <c r="N208" i="120"/>
  <c r="N224" i="120"/>
  <c r="BI13" i="61"/>
  <c r="CG158" i="122"/>
  <c r="BF112" i="122"/>
  <c r="BO112" i="122"/>
  <c r="AQ165" i="122"/>
  <c r="CP49" i="123" s="1"/>
  <c r="CY49" i="123" s="1"/>
  <c r="DH49" i="123" s="1"/>
  <c r="DQ49" i="123" s="1"/>
  <c r="AQ111" i="122"/>
  <c r="AQ164" i="122" s="1"/>
  <c r="CP48" i="123" s="1"/>
  <c r="AO70" i="120"/>
  <c r="BN70" i="120"/>
  <c r="AP69" i="120"/>
  <c r="AO69" i="120" s="1"/>
  <c r="DP50" i="121"/>
  <c r="AQ115" i="122"/>
  <c r="AQ168" i="122" s="1"/>
  <c r="CP52" i="123" s="1"/>
  <c r="CY52" i="123" s="1"/>
  <c r="DH52" i="123" s="1"/>
  <c r="DQ52" i="123" s="1"/>
  <c r="BO121" i="122"/>
  <c r="AQ174" i="122"/>
  <c r="CP58" i="123" s="1"/>
  <c r="CN149" i="120"/>
  <c r="AZ155" i="7"/>
  <c r="R44" i="125"/>
  <c r="CK59" i="121"/>
  <c r="CL60" i="122"/>
  <c r="Q159" i="122"/>
  <c r="FE37" i="123"/>
  <c r="BY140" i="7"/>
  <c r="BY14" i="7"/>
  <c r="BZ13" i="7"/>
  <c r="CA13" i="7"/>
  <c r="CC34" i="120"/>
  <c r="CU13" i="7"/>
  <c r="CW29" i="8"/>
  <c r="CW31" i="8" s="1"/>
  <c r="CW27" i="8" s="1"/>
  <c r="CX31" i="8"/>
  <c r="CX27" i="8" s="1"/>
  <c r="Q17" i="125"/>
  <c r="S179" i="120"/>
  <c r="S180" i="120" s="1"/>
  <c r="S13" i="120"/>
  <c r="Q18" i="125" s="1"/>
  <c r="K68" i="32"/>
  <c r="D68" i="32"/>
  <c r="P48" i="125"/>
  <c r="BZ63" i="121"/>
  <c r="CC63" i="121"/>
  <c r="AZ49" i="123"/>
  <c r="BI49" i="123" s="1"/>
  <c r="AM212" i="122"/>
  <c r="BL43" i="122"/>
  <c r="BF152" i="122"/>
  <c r="BL152" i="122" s="1"/>
  <c r="AG100" i="120"/>
  <c r="AO75" i="121"/>
  <c r="AY75" i="121"/>
  <c r="EX53" i="121"/>
  <c r="FG53" i="121" s="1"/>
  <c r="AA65" i="125"/>
  <c r="FW80" i="121"/>
  <c r="CH38" i="7"/>
  <c r="CH139" i="7" s="1"/>
  <c r="CG38" i="7"/>
  <c r="CG139" i="7" s="1"/>
  <c r="CF139" i="7"/>
  <c r="BZ11" i="121"/>
  <c r="BY8" i="121"/>
  <c r="BN45" i="122"/>
  <c r="BM45" i="122" s="1"/>
  <c r="AO45" i="122"/>
  <c r="AF97" i="122"/>
  <c r="AL97" i="122" s="1"/>
  <c r="AM97" i="122"/>
  <c r="AP97" i="122"/>
  <c r="BE97" i="122" s="1"/>
  <c r="BV160" i="120"/>
  <c r="BV165" i="120"/>
  <c r="O78" i="121"/>
  <c r="O81" i="121"/>
  <c r="N76" i="121"/>
  <c r="X53" i="126"/>
  <c r="DZ62" i="123"/>
  <c r="AO62" i="121"/>
  <c r="AY62" i="121"/>
  <c r="CN123" i="120"/>
  <c r="AY60" i="123"/>
  <c r="AO60" i="123"/>
  <c r="EC65" i="121"/>
  <c r="T50" i="125"/>
  <c r="CM65" i="121"/>
  <c r="BZ45" i="7"/>
  <c r="CK52" i="8"/>
  <c r="CL20" i="8"/>
  <c r="CL87" i="8" s="1"/>
  <c r="CL124" i="8" s="1"/>
  <c r="AI21" i="65" s="1"/>
  <c r="CM20" i="8"/>
  <c r="CM87" i="8" s="1"/>
  <c r="CM124" i="8" s="1"/>
  <c r="AG22" i="66" s="1"/>
  <c r="AG76" i="122"/>
  <c r="Q76" i="122"/>
  <c r="Q155" i="122" s="1"/>
  <c r="L15" i="125"/>
  <c r="CL10" i="120"/>
  <c r="U51" i="123"/>
  <c r="T51" i="123" s="1"/>
  <c r="K51" i="123"/>
  <c r="L13" i="68"/>
  <c r="L15" i="68" s="1"/>
  <c r="BI270" i="120"/>
  <c r="BL265" i="120"/>
  <c r="S44" i="125"/>
  <c r="EB59" i="121"/>
  <c r="CL59" i="121"/>
  <c r="BB89" i="8"/>
  <c r="U33" i="95"/>
  <c r="T38" i="95"/>
  <c r="T43" i="95" s="1"/>
  <c r="BR56" i="121"/>
  <c r="AT82" i="121"/>
  <c r="BU81" i="121"/>
  <c r="FZ39" i="121"/>
  <c r="GI29" i="121"/>
  <c r="BG74" i="121"/>
  <c r="BP74" i="121" s="1"/>
  <c r="BR74" i="121"/>
  <c r="R23" i="125"/>
  <c r="AF185" i="120"/>
  <c r="L51" i="68"/>
  <c r="L52" i="68" s="1"/>
  <c r="CH67" i="120"/>
  <c r="CE199" i="120"/>
  <c r="CH199" i="120" s="1"/>
  <c r="AL25" i="122"/>
  <c r="CB81" i="122"/>
  <c r="CH81" i="122" s="1"/>
  <c r="DZ51" i="121"/>
  <c r="W36" i="125"/>
  <c r="EC51" i="121"/>
  <c r="DQ53" i="121"/>
  <c r="AC65" i="32"/>
  <c r="AE65" i="32" s="1"/>
  <c r="AE72" i="32" s="1"/>
  <c r="R19" i="104" s="1"/>
  <c r="AB65" i="32"/>
  <c r="AB72" i="32" s="1"/>
  <c r="Q19" i="104" s="1"/>
  <c r="EN13" i="121"/>
  <c r="EM12" i="121"/>
  <c r="EM13" i="121" s="1"/>
  <c r="T35" i="71"/>
  <c r="T24" i="71"/>
  <c r="AF56" i="121"/>
  <c r="CE56" i="121" s="1"/>
  <c r="EX72" i="121"/>
  <c r="FG72" i="121" s="1"/>
  <c r="CR43" i="7"/>
  <c r="DF106" i="8"/>
  <c r="DG109" i="8"/>
  <c r="DG110" i="8" s="1"/>
  <c r="DG107" i="8"/>
  <c r="L13" i="121"/>
  <c r="K12" i="121"/>
  <c r="K13" i="121" s="1"/>
  <c r="K62" i="121"/>
  <c r="U62" i="121"/>
  <c r="L61" i="121"/>
  <c r="B61" i="121"/>
  <c r="BN245" i="120"/>
  <c r="BM44" i="120"/>
  <c r="BM245" i="120" s="1"/>
  <c r="CC56" i="72"/>
  <c r="CB56" i="72"/>
  <c r="CA48" i="72" s="1"/>
  <c r="CE246" i="120"/>
  <c r="CH246" i="120" s="1"/>
  <c r="CH78" i="120"/>
  <c r="CX49" i="19"/>
  <c r="CS58" i="7" s="1"/>
  <c r="CN74" i="121"/>
  <c r="CY74" i="121"/>
  <c r="BR40" i="123"/>
  <c r="K60" i="123"/>
  <c r="U60" i="123"/>
  <c r="C30" i="120"/>
  <c r="CB30" i="120"/>
  <c r="AH115" i="122"/>
  <c r="C164" i="122"/>
  <c r="C48" i="123" s="1"/>
  <c r="L48" i="123" s="1"/>
  <c r="B111" i="122"/>
  <c r="CY73" i="121"/>
  <c r="DH73" i="121" s="1"/>
  <c r="N46" i="68"/>
  <c r="N47" i="68"/>
  <c r="N48" i="68"/>
  <c r="N49" i="68"/>
  <c r="CE166" i="122"/>
  <c r="CH166" i="122" s="1"/>
  <c r="CH113" i="122"/>
  <c r="BX13" i="7"/>
  <c r="BW13" i="7"/>
  <c r="BV14" i="7"/>
  <c r="L51" i="125"/>
  <c r="AL66" i="121"/>
  <c r="CB66" i="121"/>
  <c r="GM11" i="121"/>
  <c r="T15" i="125"/>
  <c r="AN10" i="120"/>
  <c r="AN177" i="120" s="1"/>
  <c r="AN175" i="120"/>
  <c r="AN11" i="120"/>
  <c r="BM39" i="11"/>
  <c r="BN39" i="11" s="1"/>
  <c r="AN19" i="7"/>
  <c r="T83" i="68"/>
  <c r="T82" i="68"/>
  <c r="T81" i="68"/>
  <c r="T80" i="68"/>
  <c r="N16" i="66"/>
  <c r="N14" i="66" s="1"/>
  <c r="I14" i="66"/>
  <c r="CN128" i="120"/>
  <c r="N158" i="120"/>
  <c r="O160" i="120"/>
  <c r="CG60" i="121"/>
  <c r="AN60" i="121"/>
  <c r="BW138" i="7"/>
  <c r="BZ139" i="7"/>
  <c r="AN35" i="7"/>
  <c r="AP11" i="19"/>
  <c r="AQ11" i="19"/>
  <c r="AQ49" i="19" s="1"/>
  <c r="BB30" i="8"/>
  <c r="AZ30" i="8" s="1"/>
  <c r="AW72" i="32"/>
  <c r="CT53" i="7" s="1"/>
  <c r="CT52" i="7" s="1"/>
  <c r="CT144" i="7" s="1"/>
  <c r="CT172" i="7" s="1"/>
  <c r="AL16" i="64" s="1"/>
  <c r="AW70" i="32"/>
  <c r="X10" i="104" s="1"/>
  <c r="X14" i="104" s="1"/>
  <c r="GB69" i="121"/>
  <c r="Z54" i="125"/>
  <c r="EL69" i="121"/>
  <c r="B166" i="122"/>
  <c r="AP167" i="122"/>
  <c r="CO51" i="123" s="1"/>
  <c r="AO114" i="122"/>
  <c r="BN114" i="122"/>
  <c r="AL114" i="122"/>
  <c r="AF167" i="122"/>
  <c r="AL167" i="122" s="1"/>
  <c r="DL28" i="17"/>
  <c r="DM28" i="17" s="1"/>
  <c r="CV39" i="7" s="1"/>
  <c r="CR28" i="17"/>
  <c r="BV39" i="7" s="1"/>
  <c r="CW28" i="17"/>
  <c r="CX28" i="17" s="1"/>
  <c r="CF39" i="7" s="1"/>
  <c r="CH86" i="120"/>
  <c r="CE244" i="120"/>
  <c r="CH244" i="120" s="1"/>
  <c r="AO220" i="122"/>
  <c r="BD220" i="122" s="1"/>
  <c r="BJ220" i="122" s="1"/>
  <c r="CL72" i="122"/>
  <c r="CX13" i="121"/>
  <c r="CW12" i="121"/>
  <c r="CW13" i="121" s="1"/>
  <c r="BF123" i="120"/>
  <c r="BL123" i="120" s="1"/>
  <c r="CI51" i="72"/>
  <c r="CJ48" i="72"/>
  <c r="CJ51" i="72" s="1"/>
  <c r="AD21" i="98"/>
  <c r="AD14" i="98"/>
  <c r="R179" i="120"/>
  <c r="R180" i="120" s="1"/>
  <c r="P17" i="125"/>
  <c r="R13" i="120"/>
  <c r="P18" i="125" s="1"/>
  <c r="Q12" i="120"/>
  <c r="W43" i="125"/>
  <c r="DZ58" i="121"/>
  <c r="EC58" i="121"/>
  <c r="CB101" i="122"/>
  <c r="CH101" i="122" s="1"/>
  <c r="CE210" i="122"/>
  <c r="CH210" i="122" s="1"/>
  <c r="BJ210" i="122"/>
  <c r="EM64" i="121"/>
  <c r="EW64" i="121"/>
  <c r="AY13" i="121"/>
  <c r="AX12" i="121"/>
  <c r="AX13" i="121" s="1"/>
  <c r="FW65" i="123"/>
  <c r="AB56" i="126"/>
  <c r="FZ65" i="123"/>
  <c r="L62" i="125"/>
  <c r="AL77" i="121"/>
  <c r="I56" i="85"/>
  <c r="D19" i="99"/>
  <c r="M30" i="65"/>
  <c r="AO178" i="120"/>
  <c r="U16" i="125"/>
  <c r="CA16" i="7"/>
  <c r="BY143" i="7"/>
  <c r="BZ16" i="7"/>
  <c r="AP13" i="121"/>
  <c r="AO12" i="121"/>
  <c r="AO13" i="121" s="1"/>
  <c r="BI13" i="120"/>
  <c r="BI179" i="120"/>
  <c r="BI180" i="120" s="1"/>
  <c r="CW9" i="8"/>
  <c r="CU121" i="8"/>
  <c r="CU125" i="8" s="1"/>
  <c r="AM15" i="65"/>
  <c r="AM13" i="65" s="1"/>
  <c r="AM10" i="65" s="1"/>
  <c r="AM9" i="65" s="1"/>
  <c r="AM35" i="65" s="1"/>
  <c r="AM38" i="65" s="1"/>
  <c r="CU99" i="8"/>
  <c r="AM89" i="8"/>
  <c r="AN23" i="8"/>
  <c r="AO23" i="8" s="1"/>
  <c r="AO89" i="8" s="1"/>
  <c r="F17" i="73"/>
  <c r="F37" i="73"/>
  <c r="G38" i="73" s="1"/>
  <c r="F27" i="73"/>
  <c r="I16" i="105"/>
  <c r="J8" i="105" s="1"/>
  <c r="DB52" i="7"/>
  <c r="DA53" i="7"/>
  <c r="DA52" i="7" s="1"/>
  <c r="AS41" i="7"/>
  <c r="BY145" i="7"/>
  <c r="CA58" i="7"/>
  <c r="CA145" i="7" s="1"/>
  <c r="BZ58" i="7"/>
  <c r="BZ145" i="7" s="1"/>
  <c r="BE32" i="7"/>
  <c r="BD32" i="7" s="1"/>
  <c r="BD27" i="7" s="1"/>
  <c r="CC71" i="120"/>
  <c r="CU26" i="7"/>
  <c r="CL42" i="120"/>
  <c r="CM49" i="121"/>
  <c r="T34" i="125"/>
  <c r="AM126" i="120"/>
  <c r="AF126" i="120"/>
  <c r="AL126" i="120" s="1"/>
  <c r="AP126" i="120"/>
  <c r="BE126" i="120" s="1"/>
  <c r="AF10" i="120"/>
  <c r="AF175" i="120"/>
  <c r="AF177" i="120" s="1"/>
  <c r="R13" i="125"/>
  <c r="S15" i="125"/>
  <c r="AM10" i="120"/>
  <c r="AM177" i="120" s="1"/>
  <c r="AC42" i="125"/>
  <c r="FY57" i="121"/>
  <c r="AI10" i="95"/>
  <c r="P7" i="96"/>
  <c r="EW13" i="121"/>
  <c r="EV12" i="121"/>
  <c r="EV13" i="121" s="1"/>
  <c r="CH38" i="17"/>
  <c r="CH24" i="17"/>
  <c r="AO130" i="120"/>
  <c r="BU78" i="121"/>
  <c r="AN50" i="72"/>
  <c r="AP50" i="72"/>
  <c r="BG53" i="120"/>
  <c r="D30" i="120"/>
  <c r="CD196" i="120"/>
  <c r="H12" i="86"/>
  <c r="C19" i="87"/>
  <c r="EG74" i="123"/>
  <c r="GF61" i="123"/>
  <c r="EG63" i="123"/>
  <c r="P102" i="56"/>
  <c r="K103" i="56"/>
  <c r="K102" i="56" s="1"/>
  <c r="T102" i="56" s="1"/>
  <c r="CY67" i="121"/>
  <c r="DH67" i="121" s="1"/>
  <c r="AO157" i="120"/>
  <c r="AO223" i="120" s="1"/>
  <c r="BN157" i="120"/>
  <c r="AP223" i="120"/>
  <c r="CO75" i="121" s="1"/>
  <c r="S62" i="125"/>
  <c r="CB77" i="121"/>
  <c r="R62" i="125" s="1"/>
  <c r="CY89" i="8"/>
  <c r="CY117" i="8" s="1"/>
  <c r="CY25" i="8"/>
  <c r="CC11" i="121"/>
  <c r="CC10" i="121"/>
  <c r="CL10" i="121" s="1"/>
  <c r="EB8" i="121"/>
  <c r="CB8" i="121"/>
  <c r="CB10" i="121" s="1"/>
  <c r="CK10" i="121" s="1"/>
  <c r="CL8" i="121"/>
  <c r="L49" i="121"/>
  <c r="B49" i="121"/>
  <c r="AZ48" i="123"/>
  <c r="BI48" i="123" s="1"/>
  <c r="FO12" i="121"/>
  <c r="FN11" i="121"/>
  <c r="FX11" i="121"/>
  <c r="CJ183" i="120"/>
  <c r="CH16" i="120"/>
  <c r="CH183" i="120" s="1"/>
  <c r="CJ14" i="120"/>
  <c r="W57" i="125"/>
  <c r="DZ72" i="121"/>
  <c r="AZ80" i="7"/>
  <c r="BB86" i="7"/>
  <c r="M30" i="56"/>
  <c r="AM144" i="120"/>
  <c r="AF144" i="120"/>
  <c r="AG210" i="120"/>
  <c r="AM210" i="120" s="1"/>
  <c r="AP144" i="120"/>
  <c r="BE144" i="120" s="1"/>
  <c r="Y67" i="123"/>
  <c r="Y68" i="123" s="1"/>
  <c r="Y69" i="123" s="1"/>
  <c r="Z42" i="125"/>
  <c r="EL57" i="121"/>
  <c r="GB57" i="121"/>
  <c r="R7" i="102"/>
  <c r="Q21" i="102"/>
  <c r="AF123" i="122"/>
  <c r="AM123" i="122"/>
  <c r="AG176" i="122"/>
  <c r="AM176" i="122" s="1"/>
  <c r="AP123" i="122"/>
  <c r="AC51" i="123"/>
  <c r="AB54" i="5"/>
  <c r="AN34" i="7"/>
  <c r="AO34" i="7" s="1"/>
  <c r="AO27" i="7" s="1"/>
  <c r="AB52" i="5"/>
  <c r="AN16" i="7"/>
  <c r="BD72" i="122"/>
  <c r="BJ72" i="122" s="1"/>
  <c r="BK72" i="122"/>
  <c r="BI29" i="120"/>
  <c r="DE155" i="7"/>
  <c r="DE157" i="7"/>
  <c r="DD154" i="7"/>
  <c r="DD109" i="8"/>
  <c r="DD110" i="8" s="1"/>
  <c r="DC106" i="8"/>
  <c r="DD107" i="8"/>
  <c r="BT26" i="8"/>
  <c r="BT92" i="8" s="1"/>
  <c r="BU26" i="8"/>
  <c r="BU92" i="8" s="1"/>
  <c r="GG61" i="123"/>
  <c r="GG63" i="123" s="1"/>
  <c r="EH63" i="123"/>
  <c r="BE25" i="122"/>
  <c r="AO25" i="122"/>
  <c r="BN25" i="122"/>
  <c r="G40" i="132"/>
  <c r="E41" i="132"/>
  <c r="CH13" i="7"/>
  <c r="CG13" i="7"/>
  <c r="AK158" i="120"/>
  <c r="AE160" i="120"/>
  <c r="BO27" i="122"/>
  <c r="AQ28" i="122"/>
  <c r="BL71" i="120"/>
  <c r="CG71" i="120"/>
  <c r="CJ71" i="120" s="1"/>
  <c r="EB13" i="123"/>
  <c r="T20" i="126"/>
  <c r="CB13" i="123"/>
  <c r="S20" i="126" s="1"/>
  <c r="CL13" i="123"/>
  <c r="CK13" i="123" s="1"/>
  <c r="AA17" i="65"/>
  <c r="R17" i="65"/>
  <c r="R13" i="65" s="1"/>
  <c r="B90" i="120"/>
  <c r="R90" i="120"/>
  <c r="AG90" i="120" s="1"/>
  <c r="C89" i="120"/>
  <c r="C261" i="120"/>
  <c r="C260" i="120" s="1"/>
  <c r="BL130" i="120"/>
  <c r="CG130" i="120"/>
  <c r="CJ130" i="120" s="1"/>
  <c r="GF25" i="123"/>
  <c r="GF26" i="123" s="1"/>
  <c r="EG26" i="123"/>
  <c r="G78" i="121"/>
  <c r="G81" i="121"/>
  <c r="E76" i="121"/>
  <c r="P21" i="105"/>
  <c r="M27" i="105"/>
  <c r="EZ81" i="121"/>
  <c r="EY76" i="121"/>
  <c r="EZ78" i="121"/>
  <c r="AO245" i="120"/>
  <c r="K29" i="32"/>
  <c r="N32" i="32"/>
  <c r="P32" i="32" s="1"/>
  <c r="P36" i="32" s="1"/>
  <c r="M32" i="32"/>
  <c r="M36" i="32" s="1"/>
  <c r="M39" i="32" s="1"/>
  <c r="E9" i="74" s="1"/>
  <c r="E12" i="74" s="1"/>
  <c r="C13" i="77" s="1"/>
  <c r="T63" i="68"/>
  <c r="T65" i="68" s="1"/>
  <c r="R65" i="68"/>
  <c r="CK157" i="7"/>
  <c r="CK155" i="7"/>
  <c r="CL112" i="120"/>
  <c r="K20" i="87"/>
  <c r="K17" i="87" s="1"/>
  <c r="L17" i="87"/>
  <c r="R165" i="122"/>
  <c r="AP49" i="123" s="1"/>
  <c r="R111" i="122"/>
  <c r="Q112" i="122"/>
  <c r="Q165" i="122" s="1"/>
  <c r="BF140" i="7"/>
  <c r="BF14" i="7"/>
  <c r="Z35" i="95"/>
  <c r="Z40" i="95" s="1"/>
  <c r="Z45" i="95" s="1"/>
  <c r="AA33" i="95"/>
  <c r="Z38" i="95"/>
  <c r="Z43" i="95" s="1"/>
  <c r="BZ18" i="7" s="1"/>
  <c r="AE64" i="32"/>
  <c r="BX18" i="8"/>
  <c r="Y41" i="98"/>
  <c r="AK208" i="120"/>
  <c r="AN208" i="120" s="1"/>
  <c r="AN204" i="120"/>
  <c r="U15" i="126"/>
  <c r="E19" i="127" s="1"/>
  <c r="E17" i="127" s="1"/>
  <c r="EC8" i="123"/>
  <c r="CB8" i="123"/>
  <c r="S15" i="126" s="1"/>
  <c r="CM8" i="123"/>
  <c r="CK8" i="123" s="1"/>
  <c r="FU68" i="123"/>
  <c r="FU69" i="123" s="1"/>
  <c r="ET69" i="123"/>
  <c r="ES68" i="123"/>
  <c r="AP24" i="7"/>
  <c r="AA25" i="7"/>
  <c r="AB24" i="7"/>
  <c r="AI24" i="7"/>
  <c r="AC24" i="7"/>
  <c r="AC25" i="7" s="1"/>
  <c r="AC17" i="7" s="1"/>
  <c r="BO157" i="7"/>
  <c r="BO158" i="7" s="1"/>
  <c r="BO155" i="7"/>
  <c r="BM154" i="7"/>
  <c r="DJ31" i="17"/>
  <c r="DI31" i="17" s="1"/>
  <c r="DI40" i="17" s="1"/>
  <c r="CB49" i="122"/>
  <c r="C13" i="121"/>
  <c r="B12" i="121"/>
  <c r="CB62" i="123"/>
  <c r="CK62" i="123" s="1"/>
  <c r="M53" i="126"/>
  <c r="EC11" i="123"/>
  <c r="U18" i="126"/>
  <c r="CB11" i="123"/>
  <c r="S18" i="126" s="1"/>
  <c r="CM11" i="123"/>
  <c r="CK11" i="123" s="1"/>
  <c r="BF10" i="120"/>
  <c r="BF175" i="120"/>
  <c r="BF177" i="120" s="1"/>
  <c r="BF11" i="120"/>
  <c r="Z13" i="125"/>
  <c r="BL8" i="120"/>
  <c r="AH161" i="7"/>
  <c r="AP212" i="122"/>
  <c r="BE212" i="122" s="1"/>
  <c r="BK212" i="122" s="1"/>
  <c r="BN34" i="122"/>
  <c r="BN212" i="122" s="1"/>
  <c r="V32" i="98"/>
  <c r="V37" i="98" s="1"/>
  <c r="V41" i="98" s="1"/>
  <c r="AB13" i="66" s="1"/>
  <c r="W27" i="98"/>
  <c r="CE71" i="120"/>
  <c r="R80" i="68"/>
  <c r="R83" i="68"/>
  <c r="R82" i="68"/>
  <c r="R81" i="68"/>
  <c r="AX55" i="72"/>
  <c r="BA55" i="72"/>
  <c r="BD139" i="120"/>
  <c r="BJ139" i="120" s="1"/>
  <c r="BK139" i="120"/>
  <c r="CD60" i="121"/>
  <c r="N45" i="125"/>
  <c r="BW173" i="7"/>
  <c r="M9" i="102"/>
  <c r="N9" i="102" s="1"/>
  <c r="X17" i="61"/>
  <c r="BW147" i="7"/>
  <c r="BX59" i="7"/>
  <c r="Y22" i="64"/>
  <c r="Z22" i="64"/>
  <c r="FF13" i="121"/>
  <c r="FE12" i="121"/>
  <c r="FE13" i="121" s="1"/>
  <c r="W66" i="123"/>
  <c r="X67" i="123"/>
  <c r="X68" i="123" s="1"/>
  <c r="AG10" i="19"/>
  <c r="AE11" i="19"/>
  <c r="AE49" i="19" s="1"/>
  <c r="AN10" i="19"/>
  <c r="H14" i="105"/>
  <c r="M15" i="105"/>
  <c r="I7" i="105"/>
  <c r="AB18" i="98"/>
  <c r="AB22" i="98" s="1"/>
  <c r="AB41" i="98" s="1"/>
  <c r="W22" i="98"/>
  <c r="X18" i="98"/>
  <c r="DL26" i="17"/>
  <c r="DM26" i="17" s="1"/>
  <c r="CW26" i="17"/>
  <c r="CX26" i="17" s="1"/>
  <c r="CR26" i="17"/>
  <c r="AG69" i="120"/>
  <c r="CB38" i="17"/>
  <c r="CB24" i="17"/>
  <c r="AE37" i="95"/>
  <c r="AD41" i="95"/>
  <c r="BE61" i="7"/>
  <c r="F36" i="63"/>
  <c r="AI16" i="98"/>
  <c r="AI17" i="98"/>
  <c r="AI22" i="98" s="1"/>
  <c r="AL33" i="120"/>
  <c r="BW13" i="8"/>
  <c r="BV89" i="8"/>
  <c r="BV14" i="8"/>
  <c r="BZ79" i="121"/>
  <c r="P64" i="125"/>
  <c r="CC79" i="121"/>
  <c r="DP12" i="121"/>
  <c r="DO11" i="121"/>
  <c r="DY11" i="121"/>
  <c r="U16" i="126"/>
  <c r="EC9" i="123"/>
  <c r="CB9" i="123"/>
  <c r="S16" i="126" s="1"/>
  <c r="CM9" i="123"/>
  <c r="CK9" i="123" s="1"/>
  <c r="AL64" i="121"/>
  <c r="L49" i="125"/>
  <c r="CB64" i="121"/>
  <c r="L36" i="123"/>
  <c r="B36" i="123"/>
  <c r="AI33" i="8"/>
  <c r="V100" i="6"/>
  <c r="AC53" i="6"/>
  <c r="BV231" i="120"/>
  <c r="BV226" i="120"/>
  <c r="V17" i="125"/>
  <c r="AP13" i="120"/>
  <c r="V18" i="125" s="1"/>
  <c r="AP179" i="120"/>
  <c r="AP180" i="120" s="1"/>
  <c r="AO12" i="120"/>
  <c r="CB18" i="121"/>
  <c r="EB18" i="121"/>
  <c r="EA18" i="121" s="1"/>
  <c r="CD11" i="121"/>
  <c r="CD10" i="121"/>
  <c r="CM10" i="121" s="1"/>
  <c r="EC8" i="121"/>
  <c r="CM8" i="121"/>
  <c r="AD42" i="95"/>
  <c r="Y46" i="95"/>
  <c r="AQ55" i="72"/>
  <c r="AL55" i="72"/>
  <c r="AO55" i="72" s="1"/>
  <c r="CC106" i="120"/>
  <c r="CU34" i="7"/>
  <c r="EX58" i="121"/>
  <c r="FG58" i="121" s="1"/>
  <c r="CA60" i="121"/>
  <c r="CJ186" i="120"/>
  <c r="CH19" i="120"/>
  <c r="CH186" i="120" s="1"/>
  <c r="FS81" i="121"/>
  <c r="ER82" i="121"/>
  <c r="J15" i="81"/>
  <c r="AM175" i="120"/>
  <c r="AL8" i="120"/>
  <c r="AL175" i="120" s="1"/>
  <c r="AM11" i="120"/>
  <c r="AG178" i="120"/>
  <c r="S16" i="125"/>
  <c r="AG12" i="120"/>
  <c r="AF11" i="120"/>
  <c r="FW8" i="121"/>
  <c r="N12" i="68"/>
  <c r="N11" i="68"/>
  <c r="N10" i="68"/>
  <c r="N9" i="68"/>
  <c r="CG265" i="120"/>
  <c r="CJ266" i="120"/>
  <c r="T66" i="32"/>
  <c r="Q67" i="32"/>
  <c r="Q68" i="32" s="1"/>
  <c r="AF66" i="32"/>
  <c r="AF61" i="32" s="1"/>
  <c r="Q61" i="32"/>
  <c r="CX94" i="8"/>
  <c r="CW46" i="8"/>
  <c r="CW94" i="8" s="1"/>
  <c r="CY18" i="8"/>
  <c r="AH41" i="98"/>
  <c r="AN53" i="120"/>
  <c r="BI53" i="120"/>
  <c r="R199" i="120"/>
  <c r="AP51" i="121" s="1"/>
  <c r="CS13" i="7"/>
  <c r="DJ24" i="17"/>
  <c r="BD70" i="120"/>
  <c r="BJ70" i="120" s="1"/>
  <c r="BK70" i="120"/>
  <c r="AY110" i="8"/>
  <c r="P93" i="56"/>
  <c r="BF174" i="122"/>
  <c r="BL174" i="122" s="1"/>
  <c r="BL121" i="122"/>
  <c r="CS143" i="7"/>
  <c r="CR16" i="7"/>
  <c r="CR143" i="7" s="1"/>
  <c r="DP63" i="121"/>
  <c r="CX92" i="8"/>
  <c r="CW16" i="8"/>
  <c r="CW92" i="8" s="1"/>
  <c r="BV39" i="8"/>
  <c r="BV34" i="8" s="1"/>
  <c r="CC159" i="122"/>
  <c r="CC163" i="122" s="1"/>
  <c r="CB29" i="122"/>
  <c r="CH29" i="122" s="1"/>
  <c r="AW9" i="8"/>
  <c r="AJ9" i="8"/>
  <c r="AI86" i="8"/>
  <c r="AK9" i="8"/>
  <c r="BA9" i="8"/>
  <c r="CJ196" i="120"/>
  <c r="CS33" i="7"/>
  <c r="CS27" i="7" s="1"/>
  <c r="AD12" i="121"/>
  <c r="AC11" i="121"/>
  <c r="T14" i="7"/>
  <c r="U14" i="7" s="1"/>
  <c r="Z14" i="7"/>
  <c r="S14" i="7"/>
  <c r="S8" i="7" s="1"/>
  <c r="S63" i="7" s="1"/>
  <c r="Q15" i="7"/>
  <c r="R14" i="7"/>
  <c r="R8" i="7" s="1"/>
  <c r="R63" i="7" s="1"/>
  <c r="AG197" i="120"/>
  <c r="AM197" i="120" s="1"/>
  <c r="AF31" i="120"/>
  <c r="AM31" i="120"/>
  <c r="AP31" i="120"/>
  <c r="BE31" i="120" s="1"/>
  <c r="BF53" i="120"/>
  <c r="CA34" i="7"/>
  <c r="CA27" i="7" s="1"/>
  <c r="BZ34" i="7"/>
  <c r="BZ27" i="7" s="1"/>
  <c r="BQ12" i="121"/>
  <c r="BP11" i="121"/>
  <c r="CF9" i="7"/>
  <c r="CG181" i="120"/>
  <c r="CG225" i="120" s="1"/>
  <c r="CJ225" i="120" s="1"/>
  <c r="CG12" i="120"/>
  <c r="BJ87" i="122"/>
  <c r="CE87" i="122"/>
  <c r="CH87" i="122" s="1"/>
  <c r="AL89" i="8"/>
  <c r="AK23" i="8"/>
  <c r="AK89" i="8" s="1"/>
  <c r="AL24" i="8"/>
  <c r="EX50" i="121"/>
  <c r="FG50" i="121" s="1"/>
  <c r="BE55" i="72"/>
  <c r="BR55" i="72" s="1"/>
  <c r="BB156" i="7"/>
  <c r="BB157" i="7" s="1"/>
  <c r="AZ81" i="7"/>
  <c r="AZ83" i="7" s="1"/>
  <c r="BB83" i="7"/>
  <c r="GB62" i="121"/>
  <c r="Z47" i="125"/>
  <c r="EL62" i="121"/>
  <c r="AS81" i="121"/>
  <c r="AR76" i="121"/>
  <c r="AS78" i="121"/>
  <c r="Q143" i="120"/>
  <c r="Q209" i="120" s="1"/>
  <c r="R209" i="120"/>
  <c r="AP61" i="121" s="1"/>
  <c r="BL46" i="122"/>
  <c r="BF156" i="122"/>
  <c r="BL156" i="122" s="1"/>
  <c r="FP49" i="121"/>
  <c r="AZ52" i="123"/>
  <c r="BI52" i="123" s="1"/>
  <c r="AB53" i="5"/>
  <c r="AN26" i="7"/>
  <c r="AL26" i="7" s="1"/>
  <c r="CE24" i="17"/>
  <c r="CE38" i="17"/>
  <c r="BW16" i="7"/>
  <c r="BW143" i="7" s="1"/>
  <c r="BX16" i="7"/>
  <c r="BX143" i="7" s="1"/>
  <c r="BV143" i="7"/>
  <c r="AZ43" i="3"/>
  <c r="AZ39" i="3"/>
  <c r="BM139" i="120"/>
  <c r="CL139" i="120" s="1"/>
  <c r="BN130" i="120"/>
  <c r="AG56" i="126"/>
  <c r="GK65" i="123"/>
  <c r="BG29" i="120"/>
  <c r="Y23" i="125"/>
  <c r="BE185" i="120"/>
  <c r="BD18" i="120"/>
  <c r="CH157" i="120"/>
  <c r="CE223" i="120"/>
  <c r="CH223" i="120" s="1"/>
  <c r="U51" i="121"/>
  <c r="T51" i="121" s="1"/>
  <c r="K51" i="121"/>
  <c r="BB91" i="8"/>
  <c r="BB17" i="8"/>
  <c r="N59" i="125"/>
  <c r="CD74" i="121"/>
  <c r="AN74" i="121"/>
  <c r="BF27" i="122"/>
  <c r="Q52" i="125"/>
  <c r="CA67" i="121"/>
  <c r="CB89" i="120"/>
  <c r="CH89" i="120" s="1"/>
  <c r="CB261" i="120"/>
  <c r="CB260" i="120" s="1"/>
  <c r="BI99" i="120"/>
  <c r="N41" i="125"/>
  <c r="CD56" i="121"/>
  <c r="CG56" i="121"/>
  <c r="AN56" i="121"/>
  <c r="AH76" i="121"/>
  <c r="AF90" i="8"/>
  <c r="Z25" i="8"/>
  <c r="Z90" i="8"/>
  <c r="AM24" i="8"/>
  <c r="AZ35" i="7"/>
  <c r="BA41" i="7"/>
  <c r="DG13" i="121"/>
  <c r="DF12" i="121"/>
  <c r="DF13" i="121" s="1"/>
  <c r="B209" i="120"/>
  <c r="BO179" i="120"/>
  <c r="BO180" i="120" s="1"/>
  <c r="AC17" i="125"/>
  <c r="BO13" i="120"/>
  <c r="AC18" i="125" s="1"/>
  <c r="H31" i="84"/>
  <c r="J31" i="84" s="1"/>
  <c r="J35" i="84" s="1"/>
  <c r="J36" i="84" s="1"/>
  <c r="G31" i="84"/>
  <c r="G35" i="84" s="1"/>
  <c r="G38" i="84" s="1"/>
  <c r="E28" i="84"/>
  <c r="P69" i="68"/>
  <c r="P67" i="68"/>
  <c r="P68" i="68"/>
  <c r="P66" i="68"/>
  <c r="Q95" i="122"/>
  <c r="CS68" i="7"/>
  <c r="AO222" i="120"/>
  <c r="CL156" i="120"/>
  <c r="Q17" i="7"/>
  <c r="Z17" i="7" s="1"/>
  <c r="Z25" i="7"/>
  <c r="AH37" i="66"/>
  <c r="AO37" i="66"/>
  <c r="AF67" i="120"/>
  <c r="AL67" i="120" s="1"/>
  <c r="AM67" i="120"/>
  <c r="AP67" i="120"/>
  <c r="BE67" i="120" s="1"/>
  <c r="CL11" i="120"/>
  <c r="L16" i="125"/>
  <c r="B178" i="120"/>
  <c r="CB13" i="120"/>
  <c r="AD18" i="125" s="1"/>
  <c r="AD17" i="125"/>
  <c r="CB179" i="120"/>
  <c r="CB180" i="120" s="1"/>
  <c r="DI109" i="8"/>
  <c r="DI110" i="8" s="1"/>
  <c r="DI107" i="8"/>
  <c r="L49" i="123"/>
  <c r="B49" i="123"/>
  <c r="U13" i="121"/>
  <c r="T12" i="121"/>
  <c r="T13" i="121" s="1"/>
  <c r="BE140" i="7"/>
  <c r="BE14" i="7"/>
  <c r="BB39" i="3"/>
  <c r="BB43" i="3"/>
  <c r="CM18" i="8"/>
  <c r="AD41" i="98"/>
  <c r="BI204" i="120"/>
  <c r="BI224" i="120" s="1"/>
  <c r="CG37" i="120"/>
  <c r="K19" i="127"/>
  <c r="C17" i="127"/>
  <c r="K17" i="127" s="1"/>
  <c r="BC92" i="8"/>
  <c r="AQ23" i="7"/>
  <c r="AR23" i="7" s="1"/>
  <c r="CX89" i="8"/>
  <c r="CX117" i="8" s="1"/>
  <c r="CX15" i="8"/>
  <c r="CX8" i="8" s="1"/>
  <c r="CW13" i="8"/>
  <c r="DQ12" i="121"/>
  <c r="DZ11" i="121"/>
  <c r="AH12" i="120"/>
  <c r="AH178" i="120"/>
  <c r="T16" i="125"/>
  <c r="T24" i="17"/>
  <c r="T38" i="17"/>
  <c r="CY36" i="123"/>
  <c r="DH36" i="123" s="1"/>
  <c r="CG62" i="120"/>
  <c r="CJ62" i="120" s="1"/>
  <c r="BL62" i="120"/>
  <c r="AB17" i="125"/>
  <c r="BN13" i="120"/>
  <c r="AB18" i="125" s="1"/>
  <c r="BN179" i="120"/>
  <c r="BN180" i="120" s="1"/>
  <c r="BM12" i="120"/>
  <c r="CN129" i="120"/>
  <c r="BZ42" i="7"/>
  <c r="CA42" i="7"/>
  <c r="CG260" i="120"/>
  <c r="CJ260" i="120" s="1"/>
  <c r="CJ261" i="120"/>
  <c r="EC77" i="121"/>
  <c r="EL14" i="121"/>
  <c r="EJ14" i="121" s="1"/>
  <c r="L35" i="125"/>
  <c r="AL50" i="121"/>
  <c r="CB50" i="121"/>
  <c r="BG16" i="61"/>
  <c r="BG14" i="61" s="1"/>
  <c r="BG11" i="61" s="1"/>
  <c r="CY172" i="7"/>
  <c r="CY176" i="7" s="1"/>
  <c r="CY150" i="7"/>
  <c r="AE22" i="61"/>
  <c r="BZ175" i="7"/>
  <c r="DT76" i="121"/>
  <c r="BM51" i="72"/>
  <c r="B12" i="87"/>
  <c r="D12" i="87" s="1"/>
  <c r="D11" i="87" s="1"/>
  <c r="BD245" i="120"/>
  <c r="BJ245" i="120" s="1"/>
  <c r="BJ44" i="120"/>
  <c r="CR53" i="7"/>
  <c r="CR52" i="7" s="1"/>
  <c r="CR144" i="7" s="1"/>
  <c r="CS52" i="7"/>
  <c r="CS144" i="7" s="1"/>
  <c r="CO144" i="7"/>
  <c r="CO150" i="7" s="1"/>
  <c r="CO152" i="7" s="1"/>
  <c r="CO63" i="7"/>
  <c r="CO65" i="7" s="1"/>
  <c r="FS76" i="121"/>
  <c r="FQ76" i="121" s="1"/>
  <c r="O31" i="126"/>
  <c r="CD40" i="123"/>
  <c r="AN40" i="123"/>
  <c r="M20" i="105"/>
  <c r="P7" i="105"/>
  <c r="P6" i="105" s="1"/>
  <c r="M6" i="105"/>
  <c r="AG113" i="122"/>
  <c r="R166" i="122"/>
  <c r="AP50" i="123" s="1"/>
  <c r="Q113" i="122"/>
  <c r="Q166" i="122" s="1"/>
  <c r="BK114" i="122"/>
  <c r="BE167" i="122"/>
  <c r="BK167" i="122" s="1"/>
  <c r="BD114" i="122"/>
  <c r="DL35" i="17"/>
  <c r="DM35" i="17" s="1"/>
  <c r="DA38" i="8" s="1"/>
  <c r="CR35" i="17"/>
  <c r="BT38" i="8" s="1"/>
  <c r="CW35" i="17"/>
  <c r="CX35" i="17" s="1"/>
  <c r="CK38" i="8" s="1"/>
  <c r="DL29" i="17"/>
  <c r="DM29" i="17" s="1"/>
  <c r="CV48" i="7" s="1"/>
  <c r="CR29" i="17"/>
  <c r="BW48" i="7" s="1"/>
  <c r="CW29" i="17"/>
  <c r="CX29" i="17" s="1"/>
  <c r="CF48" i="7" s="1"/>
  <c r="FJ82" i="121"/>
  <c r="FJ83" i="121" s="1"/>
  <c r="FJ84" i="121" s="1"/>
  <c r="DC154" i="7"/>
  <c r="DC152" i="7"/>
  <c r="AM52" i="7"/>
  <c r="AL144" i="7"/>
  <c r="BA52" i="7"/>
  <c r="AF101" i="120"/>
  <c r="AL101" i="120" s="1"/>
  <c r="AM101" i="120"/>
  <c r="AP101" i="120"/>
  <c r="BE101" i="120" s="1"/>
  <c r="Q178" i="120"/>
  <c r="O16" i="125"/>
  <c r="AO33" i="120"/>
  <c r="BN33" i="120"/>
  <c r="CM33" i="120" s="1"/>
  <c r="BV16" i="8"/>
  <c r="BV92" i="8" s="1"/>
  <c r="BW92" i="8"/>
  <c r="BY79" i="121"/>
  <c r="O64" i="125"/>
  <c r="CB79" i="121"/>
  <c r="BH13" i="121"/>
  <c r="BG12" i="121"/>
  <c r="BG13" i="121" s="1"/>
  <c r="BC86" i="7"/>
  <c r="P30" i="56"/>
  <c r="B48" i="123"/>
  <c r="M48" i="123"/>
  <c r="V48" i="123" s="1"/>
  <c r="AE48" i="123" s="1"/>
  <c r="R68" i="120"/>
  <c r="Q68" i="120" s="1"/>
  <c r="B68" i="120"/>
  <c r="Q23" i="122"/>
  <c r="R152" i="122"/>
  <c r="AP36" i="123" s="1"/>
  <c r="AI16" i="8"/>
  <c r="AC51" i="6"/>
  <c r="V64" i="6"/>
  <c r="AK16" i="8"/>
  <c r="AC36" i="66"/>
  <c r="AB37" i="66"/>
  <c r="H160" i="120"/>
  <c r="H165" i="120"/>
  <c r="AQ179" i="120"/>
  <c r="AQ180" i="120" s="1"/>
  <c r="AQ13" i="120"/>
  <c r="W18" i="125" s="1"/>
  <c r="W17" i="125"/>
  <c r="CE222" i="120"/>
  <c r="CH222" i="120" s="1"/>
  <c r="CH156" i="120"/>
  <c r="T62" i="125"/>
  <c r="CM77" i="121"/>
  <c r="F46" i="73"/>
  <c r="BF40" i="7"/>
  <c r="BF41" i="7" s="1"/>
  <c r="BF35" i="7" s="1"/>
  <c r="BV94" i="8"/>
  <c r="BW46" i="8"/>
  <c r="BW94" i="8" s="1"/>
  <c r="BX46" i="8"/>
  <c r="BX94" i="8" s="1"/>
  <c r="AP13" i="65"/>
  <c r="CC130" i="120"/>
  <c r="CB130" i="120" s="1"/>
  <c r="CU42" i="7"/>
  <c r="E160" i="120"/>
  <c r="E165" i="120"/>
  <c r="Q124" i="120"/>
  <c r="AD50" i="19"/>
  <c r="AF49" i="19"/>
  <c r="AH56" i="19"/>
  <c r="AK50" i="19"/>
  <c r="AM49" i="19"/>
  <c r="BX9" i="7"/>
  <c r="BX136" i="7" s="1"/>
  <c r="T31" i="95"/>
  <c r="T50" i="95" s="1"/>
  <c r="FF63" i="121"/>
  <c r="Y13" i="125"/>
  <c r="BE175" i="120"/>
  <c r="BE177" i="120" s="1"/>
  <c r="BE11" i="120"/>
  <c r="BE10" i="120"/>
  <c r="BD8" i="120"/>
  <c r="BK8" i="120"/>
  <c r="FP12" i="121"/>
  <c r="FY11" i="121"/>
  <c r="R5" i="68"/>
  <c r="P8" i="68"/>
  <c r="BG37" i="120"/>
  <c r="BB92" i="8"/>
  <c r="Q199" i="120"/>
  <c r="CT13" i="7"/>
  <c r="CT31" i="7"/>
  <c r="CT33" i="7" s="1"/>
  <c r="CT27" i="7" s="1"/>
  <c r="AF223" i="120"/>
  <c r="AL223" i="120" s="1"/>
  <c r="AL157" i="120"/>
  <c r="AD39" i="123"/>
  <c r="BY226" i="120"/>
  <c r="BY158" i="120"/>
  <c r="BZ160" i="120"/>
  <c r="EP78" i="121"/>
  <c r="EQ82" i="121"/>
  <c r="EP81" i="121"/>
  <c r="FR78" i="121"/>
  <c r="CF49" i="122"/>
  <c r="CI49" i="122" s="1"/>
  <c r="V37" i="126"/>
  <c r="DX46" i="123"/>
  <c r="EA46" i="123"/>
  <c r="EJ46" i="123" s="1"/>
  <c r="AH163" i="122"/>
  <c r="V28" i="126"/>
  <c r="DX37" i="123"/>
  <c r="GK55" i="123"/>
  <c r="GK57" i="123"/>
  <c r="H131" i="122"/>
  <c r="H126" i="122"/>
  <c r="N177" i="122"/>
  <c r="U29" i="126"/>
  <c r="CM38" i="123"/>
  <c r="N63" i="123"/>
  <c r="N74" i="123"/>
  <c r="FW73" i="123"/>
  <c r="FN70" i="123"/>
  <c r="FW70" i="123" s="1"/>
  <c r="F66" i="123"/>
  <c r="AG61" i="123"/>
  <c r="AG63" i="123" s="1"/>
  <c r="F63" i="123"/>
  <c r="BO38" i="122"/>
  <c r="BO219" i="122"/>
  <c r="CD219" i="122" s="1"/>
  <c r="CJ219" i="122" s="1"/>
  <c r="AG163" i="122"/>
  <c r="BM53" i="122"/>
  <c r="BM198" i="122" s="1"/>
  <c r="BN198" i="122"/>
  <c r="CC198" i="122" s="1"/>
  <c r="CI198" i="122" s="1"/>
  <c r="AI158" i="122"/>
  <c r="BM61" i="122"/>
  <c r="BM205" i="122" s="1"/>
  <c r="BN205" i="122"/>
  <c r="CC205" i="122" s="1"/>
  <c r="CI205" i="122" s="1"/>
  <c r="AF218" i="122"/>
  <c r="Q223" i="122"/>
  <c r="AF223" i="122" s="1"/>
  <c r="AL223" i="122" s="1"/>
  <c r="CG81" i="122"/>
  <c r="CJ81" i="122" s="1"/>
  <c r="BI159" i="122"/>
  <c r="AI159" i="122"/>
  <c r="AI177" i="122" s="1"/>
  <c r="BG49" i="122"/>
  <c r="FQ43" i="123"/>
  <c r="EP61" i="123"/>
  <c r="EX45" i="123"/>
  <c r="FG45" i="123" s="1"/>
  <c r="AF49" i="122"/>
  <c r="AL49" i="122" s="1"/>
  <c r="CG47" i="123"/>
  <c r="M47" i="123"/>
  <c r="V47" i="123" s="1"/>
  <c r="CL62" i="122"/>
  <c r="BL34" i="122"/>
  <c r="BD34" i="122"/>
  <c r="BJ34" i="122" s="1"/>
  <c r="CL54" i="122"/>
  <c r="BP45" i="123"/>
  <c r="FR63" i="123"/>
  <c r="EQ69" i="123"/>
  <c r="BM70" i="122"/>
  <c r="CL70" i="122" s="1"/>
  <c r="EE52" i="123"/>
  <c r="AO160" i="122"/>
  <c r="AO194" i="122"/>
  <c r="BD194" i="122" s="1"/>
  <c r="BJ194" i="122" s="1"/>
  <c r="CG49" i="122"/>
  <c r="CJ70" i="122"/>
  <c r="AM223" i="122"/>
  <c r="BN38" i="122"/>
  <c r="BM39" i="122"/>
  <c r="BM219" i="122" s="1"/>
  <c r="BN219" i="122"/>
  <c r="CC219" i="122" s="1"/>
  <c r="CI219" i="122" s="1"/>
  <c r="CL33" i="122"/>
  <c r="AO212" i="122"/>
  <c r="BD212" i="122" s="1"/>
  <c r="BJ212" i="122" s="1"/>
  <c r="P50" i="126"/>
  <c r="CB59" i="123"/>
  <c r="BY59" i="123"/>
  <c r="BD70" i="122"/>
  <c r="BJ70" i="122" s="1"/>
  <c r="BK70" i="122"/>
  <c r="BM63" i="122"/>
  <c r="BM207" i="122" s="1"/>
  <c r="BN207" i="122"/>
  <c r="CC207" i="122" s="1"/>
  <c r="CI207" i="122" s="1"/>
  <c r="BP126" i="122"/>
  <c r="BP131" i="122"/>
  <c r="FG46" i="123"/>
  <c r="FE46" i="123" s="1"/>
  <c r="EV46" i="123"/>
  <c r="AF43" i="123"/>
  <c r="E61" i="123"/>
  <c r="AQ29" i="122"/>
  <c r="AQ218" i="122"/>
  <c r="BF218" i="122" s="1"/>
  <c r="BL218" i="122" s="1"/>
  <c r="BF38" i="122"/>
  <c r="BL38" i="122" s="1"/>
  <c r="AO198" i="122"/>
  <c r="BD198" i="122" s="1"/>
  <c r="BJ198" i="122" s="1"/>
  <c r="CF218" i="122"/>
  <c r="CE99" i="122"/>
  <c r="BG100" i="122"/>
  <c r="BG157" i="122"/>
  <c r="AO205" i="122"/>
  <c r="BD205" i="122" s="1"/>
  <c r="BJ205" i="122" s="1"/>
  <c r="CL61" i="122"/>
  <c r="AR131" i="122"/>
  <c r="AR126" i="122"/>
  <c r="BM57" i="122"/>
  <c r="BM201" i="122" s="1"/>
  <c r="BN201" i="122"/>
  <c r="CC201" i="122" s="1"/>
  <c r="CI201" i="122" s="1"/>
  <c r="ER66" i="123"/>
  <c r="ER63" i="123"/>
  <c r="FS61" i="123"/>
  <c r="AQ213" i="122"/>
  <c r="BF213" i="122" s="1"/>
  <c r="BL213" i="122" s="1"/>
  <c r="AQ49" i="122"/>
  <c r="BF49" i="122" s="1"/>
  <c r="BL49" i="122" s="1"/>
  <c r="BF65" i="122"/>
  <c r="BO106" i="122"/>
  <c r="BO215" i="122"/>
  <c r="CD215" i="122" s="1"/>
  <c r="CJ215" i="122" s="1"/>
  <c r="BM107" i="122"/>
  <c r="AS66" i="123"/>
  <c r="BT66" i="123" s="1"/>
  <c r="AS63" i="123"/>
  <c r="AP43" i="123"/>
  <c r="R163" i="122"/>
  <c r="AP47" i="123" s="1"/>
  <c r="BY131" i="122"/>
  <c r="BY126" i="122"/>
  <c r="FX37" i="123"/>
  <c r="AC28" i="126"/>
  <c r="CL74" i="122"/>
  <c r="CB221" i="122"/>
  <c r="CH221" i="122" s="1"/>
  <c r="CN44" i="123"/>
  <c r="CY44" i="123"/>
  <c r="T50" i="126"/>
  <c r="CL59" i="123"/>
  <c r="EB59" i="123"/>
  <c r="AO219" i="122"/>
  <c r="BD219" i="122" s="1"/>
  <c r="BJ219" i="122" s="1"/>
  <c r="AH21" i="122"/>
  <c r="CL73" i="122"/>
  <c r="GK12" i="123"/>
  <c r="GI12" i="123" s="1"/>
  <c r="GE30" i="123"/>
  <c r="GK30" i="123" s="1"/>
  <c r="DQ46" i="123"/>
  <c r="GI14" i="123"/>
  <c r="BM35" i="122"/>
  <c r="CL35" i="122" s="1"/>
  <c r="AO207" i="122"/>
  <c r="BD207" i="122" s="1"/>
  <c r="BJ207" i="122" s="1"/>
  <c r="P63" i="123"/>
  <c r="AH61" i="123"/>
  <c r="P66" i="123"/>
  <c r="CA126" i="122"/>
  <c r="AL29" i="122"/>
  <c r="CB196" i="122"/>
  <c r="CH196" i="122" s="1"/>
  <c r="AO201" i="122"/>
  <c r="BD201" i="122" s="1"/>
  <c r="BJ201" i="122" s="1"/>
  <c r="BO65" i="122"/>
  <c r="BO214" i="122"/>
  <c r="CD214" i="122" s="1"/>
  <c r="CJ214" i="122" s="1"/>
  <c r="BM66" i="122"/>
  <c r="BM214" i="122" s="1"/>
  <c r="CG218" i="122"/>
  <c r="BG75" i="122"/>
  <c r="BF106" i="122"/>
  <c r="AO106" i="122"/>
  <c r="AQ101" i="122"/>
  <c r="AR74" i="123"/>
  <c r="AR63" i="123"/>
  <c r="BM59" i="122"/>
  <c r="BM203" i="122" s="1"/>
  <c r="BN203" i="122"/>
  <c r="CC203" i="122" s="1"/>
  <c r="CI203" i="122" s="1"/>
  <c r="W28" i="126"/>
  <c r="DY37" i="123"/>
  <c r="B163" i="122"/>
  <c r="BH94" i="122"/>
  <c r="FH74" i="123"/>
  <c r="FH63" i="123"/>
  <c r="CB197" i="122"/>
  <c r="CH197" i="122" s="1"/>
  <c r="L47" i="123"/>
  <c r="B47" i="123"/>
  <c r="BL67" i="123"/>
  <c r="BJ66" i="123"/>
  <c r="BG44" i="123"/>
  <c r="BP44" i="123" s="1"/>
  <c r="BR44" i="123"/>
  <c r="E131" i="122"/>
  <c r="E126" i="122"/>
  <c r="CL56" i="122"/>
  <c r="AD28" i="126"/>
  <c r="FY37" i="123"/>
  <c r="BO212" i="122"/>
  <c r="CD212" i="122" s="1"/>
  <c r="CJ212" i="122" s="1"/>
  <c r="BM34" i="122"/>
  <c r="BM212" i="122" s="1"/>
  <c r="CB212" i="122" s="1"/>
  <c r="CH212" i="122" s="1"/>
  <c r="CE176" i="122"/>
  <c r="CH176" i="122" s="1"/>
  <c r="CH123" i="122"/>
  <c r="CG43" i="123"/>
  <c r="S163" i="122"/>
  <c r="AQ47" i="123" s="1"/>
  <c r="AQ43" i="123"/>
  <c r="BL30" i="122"/>
  <c r="BD30" i="122"/>
  <c r="BF160" i="122"/>
  <c r="BL160" i="122" s="1"/>
  <c r="BC126" i="122"/>
  <c r="AK163" i="122"/>
  <c r="AN163" i="122" s="1"/>
  <c r="AN159" i="122"/>
  <c r="AK177" i="122"/>
  <c r="AK179" i="122" s="1"/>
  <c r="AO214" i="122"/>
  <c r="BD214" i="122" s="1"/>
  <c r="BJ214" i="122" s="1"/>
  <c r="BI75" i="122"/>
  <c r="AN75" i="122"/>
  <c r="M43" i="123"/>
  <c r="AO65" i="122"/>
  <c r="AT66" i="123"/>
  <c r="AT63" i="123"/>
  <c r="BU61" i="123"/>
  <c r="BU63" i="123" s="1"/>
  <c r="AO203" i="122"/>
  <c r="BD203" i="122" s="1"/>
  <c r="BJ203" i="122" s="1"/>
  <c r="AF47" i="123"/>
  <c r="FI69" i="123"/>
  <c r="R36" i="126"/>
  <c r="CA45" i="123"/>
  <c r="T131" i="122"/>
  <c r="T126" i="122"/>
  <c r="EZ67" i="123"/>
  <c r="FR66" i="123"/>
  <c r="EY66" i="123"/>
  <c r="BG94" i="122"/>
  <c r="Q163" i="122"/>
  <c r="FJ66" i="123"/>
  <c r="FJ63" i="123"/>
  <c r="AK124" i="122"/>
  <c r="BI124" i="122" s="1"/>
  <c r="BI126" i="122" s="1"/>
  <c r="AE126" i="122"/>
  <c r="EC54" i="123"/>
  <c r="U45" i="126"/>
  <c r="CM54" i="123"/>
  <c r="BD38" i="122"/>
  <c r="BJ38" i="122" s="1"/>
  <c r="BK38" i="122"/>
  <c r="BO160" i="122"/>
  <c r="EO44" i="123" s="1"/>
  <c r="BM30" i="122"/>
  <c r="BO194" i="122"/>
  <c r="CD194" i="122" s="1"/>
  <c r="CJ194" i="122" s="1"/>
  <c r="L43" i="123"/>
  <c r="B43" i="123"/>
  <c r="AN49" i="122"/>
  <c r="AO38" i="122"/>
  <c r="AP29" i="122"/>
  <c r="AP218" i="122"/>
  <c r="AC45" i="123"/>
  <c r="N124" i="122"/>
  <c r="O126" i="122"/>
  <c r="AN94" i="122"/>
  <c r="EV37" i="123"/>
  <c r="EC45" i="123"/>
  <c r="U36" i="126"/>
  <c r="CM45" i="123"/>
  <c r="T37" i="126"/>
  <c r="EB46" i="123"/>
  <c r="CL46" i="123"/>
  <c r="EL38" i="123"/>
  <c r="AA29" i="126"/>
  <c r="GB38" i="123"/>
  <c r="S28" i="126"/>
  <c r="EA37" i="123"/>
  <c r="CK37" i="123"/>
  <c r="FA69" i="123"/>
  <c r="GK39" i="123"/>
  <c r="AG30" i="126"/>
  <c r="G4" i="129" s="1"/>
  <c r="T35" i="126"/>
  <c r="EB44" i="123"/>
  <c r="CL44" i="123"/>
  <c r="FZ71" i="123"/>
  <c r="GI71" i="123" s="1"/>
  <c r="BG70" i="123"/>
  <c r="BP72" i="123"/>
  <c r="Y37" i="126"/>
  <c r="EA73" i="123"/>
  <c r="CK73" i="123"/>
  <c r="AG51" i="126"/>
  <c r="GK60" i="123"/>
  <c r="GB37" i="123"/>
  <c r="AA28" i="126"/>
  <c r="EL37" i="123"/>
  <c r="T28" i="126"/>
  <c r="EB37" i="123"/>
  <c r="CL37" i="123"/>
  <c r="DJ69" i="123"/>
  <c r="DI68" i="123"/>
  <c r="DI69" i="123" s="1"/>
  <c r="DS63" i="123"/>
  <c r="CF203" i="120"/>
  <c r="DJ83" i="121"/>
  <c r="CI189" i="120"/>
  <c r="CH22" i="120"/>
  <c r="CH189" i="120" s="1"/>
  <c r="CH11" i="120"/>
  <c r="CH178" i="120" s="1"/>
  <c r="DS67" i="123"/>
  <c r="DA68" i="123"/>
  <c r="CZ68" i="123" s="1"/>
  <c r="CZ69" i="123" s="1"/>
  <c r="BB126" i="122"/>
  <c r="BA124" i="122"/>
  <c r="AU131" i="122"/>
  <c r="AU126" i="122"/>
  <c r="CZ78" i="121"/>
  <c r="CZ81" i="121"/>
  <c r="DA82" i="121"/>
  <c r="CR69" i="123"/>
  <c r="ED52" i="123"/>
  <c r="CQ74" i="123"/>
  <c r="DT63" i="123"/>
  <c r="CQ66" i="123"/>
  <c r="DR66" i="123" s="1"/>
  <c r="DT66" i="123"/>
  <c r="CS67" i="123"/>
  <c r="CS68" i="123" s="1"/>
  <c r="CS84" i="121"/>
  <c r="BA231" i="120"/>
  <c r="BA226" i="120"/>
  <c r="DS76" i="121"/>
  <c r="BA158" i="120"/>
  <c r="BB160" i="120"/>
  <c r="CQ76" i="121"/>
  <c r="CR81" i="121"/>
  <c r="CR78" i="121"/>
  <c r="CF178" i="120"/>
  <c r="CE11" i="120"/>
  <c r="CE178" i="120" s="1"/>
  <c r="CE174" i="122"/>
  <c r="AC179" i="122"/>
  <c r="CF164" i="122"/>
  <c r="CI164" i="122" s="1"/>
  <c r="CI111" i="122"/>
  <c r="CE164" i="122"/>
  <c r="CH164" i="122" s="1"/>
  <c r="CH111" i="122"/>
  <c r="CH143" i="120"/>
  <c r="CE209" i="120"/>
  <c r="CH209" i="120" s="1"/>
  <c r="CE211" i="120"/>
  <c r="CH211" i="120" s="1"/>
  <c r="CH145" i="120"/>
  <c r="CG203" i="120"/>
  <c r="CE217" i="120"/>
  <c r="BG40" i="122"/>
  <c r="BH159" i="122"/>
  <c r="BH40" i="122"/>
  <c r="AJ163" i="122"/>
  <c r="AM163" i="122" s="1"/>
  <c r="AJ177" i="122"/>
  <c r="AJ179" i="122" s="1"/>
  <c r="AM159" i="122"/>
  <c r="CE154" i="122"/>
  <c r="BG223" i="122"/>
  <c r="CE65" i="122"/>
  <c r="CH65" i="122" s="1"/>
  <c r="BG213" i="122"/>
  <c r="AL213" i="122"/>
  <c r="ED36" i="123"/>
  <c r="BK69" i="123"/>
  <c r="CH112" i="120"/>
  <c r="CE251" i="120"/>
  <c r="CH251" i="120" s="1"/>
  <c r="CH79" i="120"/>
  <c r="CE245" i="120"/>
  <c r="CH245" i="120" s="1"/>
  <c r="CE247" i="120"/>
  <c r="CH247" i="120" s="1"/>
  <c r="CH80" i="120"/>
  <c r="BJ81" i="121"/>
  <c r="BK82" i="121"/>
  <c r="BJ82" i="121" s="1"/>
  <c r="BJ89" i="121"/>
  <c r="BJ78" i="121"/>
  <c r="CE129" i="120"/>
  <c r="GJ17" i="121"/>
  <c r="GI17" i="121" s="1"/>
  <c r="GC17" i="121"/>
  <c r="GD42" i="121"/>
  <c r="CI184" i="120"/>
  <c r="CH17" i="120"/>
  <c r="CH184" i="120" s="1"/>
  <c r="BJ9" i="122"/>
  <c r="GJ21" i="121"/>
  <c r="GI21" i="121" s="1"/>
  <c r="GC21" i="121"/>
  <c r="CI187" i="120"/>
  <c r="CH20" i="120"/>
  <c r="CH187" i="120" s="1"/>
  <c r="BK185" i="120"/>
  <c r="BJ18" i="120"/>
  <c r="BJ185" i="120" s="1"/>
  <c r="CF185" i="120"/>
  <c r="CI18" i="120"/>
  <c r="CE18" i="120"/>
  <c r="CE185" i="120" s="1"/>
  <c r="GC13" i="123"/>
  <c r="GJ13" i="123"/>
  <c r="GI13" i="123" s="1"/>
  <c r="CE176" i="120"/>
  <c r="CE10" i="120"/>
  <c r="CI176" i="120"/>
  <c r="CI177" i="120" s="1"/>
  <c r="CH9" i="120"/>
  <c r="CH176" i="120" s="1"/>
  <c r="CH177" i="120" s="1"/>
  <c r="EH68" i="123"/>
  <c r="EH69" i="123" s="1"/>
  <c r="GC70" i="123"/>
  <c r="CE221" i="120"/>
  <c r="CF215" i="120"/>
  <c r="CE219" i="120"/>
  <c r="GE67" i="121"/>
  <c r="AK226" i="120"/>
  <c r="BL215" i="120"/>
  <c r="CE149" i="120"/>
  <c r="BG215" i="120"/>
  <c r="GC67" i="121"/>
  <c r="CG215" i="120"/>
  <c r="CF168" i="122"/>
  <c r="BI177" i="122"/>
  <c r="CJ115" i="122"/>
  <c r="CG168" i="122"/>
  <c r="CJ168" i="122" s="1"/>
  <c r="BG168" i="122"/>
  <c r="CE115" i="122"/>
  <c r="GE42" i="123"/>
  <c r="CH82" i="122"/>
  <c r="CE160" i="122"/>
  <c r="CH160" i="122" s="1"/>
  <c r="CE151" i="122"/>
  <c r="AJ124" i="122"/>
  <c r="AC124" i="122"/>
  <c r="AD126" i="122"/>
  <c r="W131" i="122"/>
  <c r="W126" i="122"/>
  <c r="CE162" i="122"/>
  <c r="CH162" i="122" s="1"/>
  <c r="CH85" i="122"/>
  <c r="BG158" i="122"/>
  <c r="CE21" i="122"/>
  <c r="CF21" i="122"/>
  <c r="CF158" i="122"/>
  <c r="CE156" i="122"/>
  <c r="CE28" i="122"/>
  <c r="CI81" i="122"/>
  <c r="GD41" i="123"/>
  <c r="EE42" i="123"/>
  <c r="ED41" i="123"/>
  <c r="CE42" i="123"/>
  <c r="BS61" i="123"/>
  <c r="BA74" i="123"/>
  <c r="BT63" i="123"/>
  <c r="CF61" i="123"/>
  <c r="CE43" i="123"/>
  <c r="EE47" i="123"/>
  <c r="BA66" i="123"/>
  <c r="BB67" i="123"/>
  <c r="CH30" i="120"/>
  <c r="CE196" i="120"/>
  <c r="GE55" i="121"/>
  <c r="CE62" i="120"/>
  <c r="AI260" i="120"/>
  <c r="AI270" i="120" s="1"/>
  <c r="CF62" i="120"/>
  <c r="CE69" i="120"/>
  <c r="BG261" i="120"/>
  <c r="BG203" i="120"/>
  <c r="CE36" i="120"/>
  <c r="CE106" i="120"/>
  <c r="BG99" i="120"/>
  <c r="BH99" i="120"/>
  <c r="CF106" i="120"/>
  <c r="CI106" i="120" s="1"/>
  <c r="CE259" i="120"/>
  <c r="CH259" i="120" s="1"/>
  <c r="CH85" i="120"/>
  <c r="BH270" i="120"/>
  <c r="CH84" i="120"/>
  <c r="CE258" i="120"/>
  <c r="CH258" i="120" s="1"/>
  <c r="GC54" i="121"/>
  <c r="GD54" i="121"/>
  <c r="AL265" i="120"/>
  <c r="CE268" i="120"/>
  <c r="CH141" i="120"/>
  <c r="BJ268" i="120"/>
  <c r="BG265" i="120"/>
  <c r="AC158" i="120"/>
  <c r="AJ158" i="120"/>
  <c r="AD160" i="120"/>
  <c r="BB81" i="121"/>
  <c r="BA76" i="121"/>
  <c r="BB78" i="121"/>
  <c r="CF130" i="120"/>
  <c r="BH204" i="120"/>
  <c r="BK130" i="120"/>
  <c r="BG123" i="120"/>
  <c r="AC208" i="120"/>
  <c r="AC224" i="120"/>
  <c r="CF60" i="121"/>
  <c r="CF56" i="121"/>
  <c r="BT76" i="121"/>
  <c r="BG130" i="120"/>
  <c r="AI204" i="120"/>
  <c r="AL130" i="120"/>
  <c r="CE60" i="121"/>
  <c r="AJ224" i="120"/>
  <c r="AJ208" i="120"/>
  <c r="BH123" i="120"/>
  <c r="GC53" i="121"/>
  <c r="ED55" i="121"/>
  <c r="GC34" i="121"/>
  <c r="ED42" i="121"/>
  <c r="ED18" i="121"/>
  <c r="GD18" i="121"/>
  <c r="EK18" i="121"/>
  <c r="EJ18" i="121" s="1"/>
  <c r="BK159" i="120"/>
  <c r="CF159" i="120"/>
  <c r="AL159" i="120"/>
  <c r="BG159" i="120"/>
  <c r="EE26" i="123"/>
  <c r="GD9" i="123"/>
  <c r="GC9" i="123" s="1"/>
  <c r="GC26" i="123" s="1"/>
  <c r="EK9" i="123"/>
  <c r="BH178" i="122"/>
  <c r="CF143" i="122"/>
  <c r="BK143" i="122"/>
  <c r="BK125" i="122"/>
  <c r="CF125" i="122"/>
  <c r="ED9" i="123"/>
  <c r="ED26" i="123" s="1"/>
  <c r="AM178" i="122"/>
  <c r="EK62" i="123"/>
  <c r="GD62" i="123"/>
  <c r="CK77" i="121"/>
  <c r="CI182" i="120"/>
  <c r="CI14" i="120"/>
  <c r="CH15" i="120"/>
  <c r="CH182" i="120" s="1"/>
  <c r="BH13" i="120"/>
  <c r="BG12" i="120"/>
  <c r="BH179" i="120"/>
  <c r="BH180" i="120" s="1"/>
  <c r="CE14" i="120"/>
  <c r="CE181" i="120" s="1"/>
  <c r="CE225" i="120" s="1"/>
  <c r="CF181" i="120"/>
  <c r="CF225" i="120" s="1"/>
  <c r="CF12" i="120"/>
  <c r="BK225" i="120"/>
  <c r="EK77" i="121"/>
  <c r="AI179" i="120"/>
  <c r="AI180" i="120" s="1"/>
  <c r="AI13" i="120"/>
  <c r="BK181" i="120"/>
  <c r="BJ14" i="120"/>
  <c r="BJ181" i="120" s="1"/>
  <c r="GC39" i="121"/>
  <c r="GI39" i="121" s="1"/>
  <c r="GC41" i="121"/>
  <c r="BJ225" i="120"/>
  <c r="GC14" i="121"/>
  <c r="GC38" i="121" s="1"/>
  <c r="GJ14" i="121"/>
  <c r="GI14" i="121" s="1"/>
  <c r="GD38" i="121"/>
  <c r="GD77" i="121"/>
  <c r="ED38" i="121"/>
  <c r="ED77" i="121"/>
  <c r="GJ8" i="121"/>
  <c r="GD11" i="121"/>
  <c r="GD10" i="121"/>
  <c r="GJ10" i="121" s="1"/>
  <c r="EE12" i="121"/>
  <c r="CF13" i="121"/>
  <c r="CG143" i="122"/>
  <c r="BL143" i="122"/>
  <c r="BI178" i="122"/>
  <c r="BG143" i="122"/>
  <c r="ED62" i="123"/>
  <c r="GE26" i="123"/>
  <c r="GK9" i="123"/>
  <c r="BL125" i="122"/>
  <c r="CG125" i="122"/>
  <c r="AN178" i="122"/>
  <c r="CJ9" i="122"/>
  <c r="CH9" i="122" s="1"/>
  <c r="CE9" i="122"/>
  <c r="AL143" i="122"/>
  <c r="AI178" i="122"/>
  <c r="BG125" i="122"/>
  <c r="AL125" i="122"/>
  <c r="GE62" i="123"/>
  <c r="GC8" i="121"/>
  <c r="GC10" i="121" s="1"/>
  <c r="GI10" i="121" s="1"/>
  <c r="GE10" i="121"/>
  <c r="GK10" i="121" s="1"/>
  <c r="GK8" i="121"/>
  <c r="GE11" i="121"/>
  <c r="EF12" i="121"/>
  <c r="ED11" i="121"/>
  <c r="CE12" i="121"/>
  <c r="CE13" i="121" s="1"/>
  <c r="CG13" i="121"/>
  <c r="AU106" i="8" l="1"/>
  <c r="AU101" i="8"/>
  <c r="AO81" i="122"/>
  <c r="AQ75" i="122"/>
  <c r="BF75" i="122" s="1"/>
  <c r="BF81" i="122"/>
  <c r="X50" i="126"/>
  <c r="DZ59" i="123"/>
  <c r="EC59" i="123"/>
  <c r="T21" i="98"/>
  <c r="T14" i="98"/>
  <c r="AU70" i="8"/>
  <c r="AU71" i="8"/>
  <c r="AU68" i="8"/>
  <c r="AU74" i="8"/>
  <c r="AU75" i="8" s="1"/>
  <c r="Q36" i="126"/>
  <c r="BZ45" i="123"/>
  <c r="CC45" i="123"/>
  <c r="AT101" i="8"/>
  <c r="AT106" i="8"/>
  <c r="EJ30" i="121"/>
  <c r="FZ30" i="121"/>
  <c r="AB21" i="65"/>
  <c r="AC21" i="65" s="1"/>
  <c r="AD21" i="65" s="1"/>
  <c r="AE21" i="65" s="1"/>
  <c r="AF21" i="65" s="1"/>
  <c r="AA21" i="65"/>
  <c r="BD58" i="122"/>
  <c r="BJ58" i="122" s="1"/>
  <c r="BK58" i="122"/>
  <c r="BN161" i="122"/>
  <c r="EN45" i="123" s="1"/>
  <c r="BM51" i="122"/>
  <c r="BN195" i="122"/>
  <c r="CC195" i="122" s="1"/>
  <c r="CI195" i="122" s="1"/>
  <c r="GA21" i="123"/>
  <c r="EK21" i="123"/>
  <c r="EB27" i="123"/>
  <c r="EK27" i="123" s="1"/>
  <c r="AC42" i="59"/>
  <c r="AE42" i="59" s="1"/>
  <c r="AE38" i="59"/>
  <c r="Y14" i="98"/>
  <c r="Y21" i="98"/>
  <c r="AB16" i="98"/>
  <c r="AB14" i="98" s="1"/>
  <c r="AB9" i="98"/>
  <c r="AB26" i="98"/>
  <c r="BM67" i="122"/>
  <c r="CL67" i="122" s="1"/>
  <c r="BN65" i="122"/>
  <c r="BN215" i="122"/>
  <c r="CC215" i="122" s="1"/>
  <c r="CI215" i="122" s="1"/>
  <c r="AD65" i="121"/>
  <c r="BO270" i="120"/>
  <c r="BM257" i="120"/>
  <c r="CL83" i="120"/>
  <c r="S17" i="92"/>
  <c r="G17" i="92" s="1"/>
  <c r="H38" i="105"/>
  <c r="N34" i="104" s="1"/>
  <c r="G38" i="105"/>
  <c r="M34" i="104" s="1"/>
  <c r="GA30" i="121"/>
  <c r="EK30" i="121"/>
  <c r="EB40" i="121"/>
  <c r="EK40" i="121" s="1"/>
  <c r="CL50" i="72"/>
  <c r="BX50" i="72"/>
  <c r="BV50" i="72"/>
  <c r="BD92" i="122"/>
  <c r="BJ92" i="122" s="1"/>
  <c r="BL92" i="122"/>
  <c r="U16" i="98"/>
  <c r="U9" i="98"/>
  <c r="V11" i="98"/>
  <c r="EA21" i="123"/>
  <c r="CK21" i="123"/>
  <c r="CB27" i="123"/>
  <c r="CK27" i="123" s="1"/>
  <c r="L67" i="96"/>
  <c r="CL92" i="122"/>
  <c r="AD17" i="95"/>
  <c r="Y26" i="95"/>
  <c r="Y27" i="95" s="1"/>
  <c r="EX53" i="123"/>
  <c r="FG53" i="123" s="1"/>
  <c r="AO217" i="122"/>
  <c r="BD217" i="122" s="1"/>
  <c r="BJ217" i="122" s="1"/>
  <c r="FP59" i="123"/>
  <c r="FE59" i="123"/>
  <c r="FN59" i="123" s="1"/>
  <c r="CX45" i="123"/>
  <c r="CN45" i="123"/>
  <c r="BK51" i="122"/>
  <c r="BD51" i="122"/>
  <c r="BE161" i="122"/>
  <c r="BK161" i="122" s="1"/>
  <c r="T24" i="98"/>
  <c r="T29" i="98" s="1"/>
  <c r="T34" i="98" s="1"/>
  <c r="U26" i="98"/>
  <c r="T31" i="98"/>
  <c r="T36" i="98" s="1"/>
  <c r="Z9" i="98"/>
  <c r="Z26" i="98"/>
  <c r="Z16" i="98"/>
  <c r="BK67" i="122"/>
  <c r="BD67" i="122"/>
  <c r="BJ67" i="122" s="1"/>
  <c r="AD109" i="8"/>
  <c r="AD110" i="8" s="1"/>
  <c r="AD107" i="8"/>
  <c r="BV56" i="72"/>
  <c r="BS56" i="72"/>
  <c r="BO48" i="72"/>
  <c r="S16" i="92"/>
  <c r="G16" i="92" s="1"/>
  <c r="M27" i="104" s="1"/>
  <c r="H37" i="105"/>
  <c r="G37" i="105"/>
  <c r="M26" i="104" s="1"/>
  <c r="I67" i="96"/>
  <c r="BT19" i="8" s="1"/>
  <c r="S19" i="98"/>
  <c r="S42" i="98"/>
  <c r="AT74" i="8"/>
  <c r="AT75" i="8" s="1"/>
  <c r="AT70" i="8"/>
  <c r="AT71" i="8"/>
  <c r="AT68" i="8"/>
  <c r="BV19" i="8"/>
  <c r="CL19" i="8"/>
  <c r="BF169" i="122"/>
  <c r="BL169" i="122" s="1"/>
  <c r="BL116" i="122"/>
  <c r="AC109" i="8"/>
  <c r="AC110" i="8" s="1"/>
  <c r="AC107" i="8"/>
  <c r="AF45" i="65"/>
  <c r="AE47" i="65"/>
  <c r="AE51" i="65"/>
  <c r="AE52" i="65" s="1"/>
  <c r="AC26" i="98"/>
  <c r="AC9" i="98"/>
  <c r="AC16" i="98"/>
  <c r="AC14" i="98" s="1"/>
  <c r="Y31" i="98"/>
  <c r="Y36" i="98" s="1"/>
  <c r="BW18" i="8" s="1"/>
  <c r="Y24" i="98"/>
  <c r="Y29" i="98" s="1"/>
  <c r="Y34" i="98" s="1"/>
  <c r="AD26" i="98"/>
  <c r="BE65" i="122"/>
  <c r="BK65" i="122" s="1"/>
  <c r="AP213" i="122"/>
  <c r="BE213" i="122" s="1"/>
  <c r="BK213" i="122" s="1"/>
  <c r="AP49" i="122"/>
  <c r="BE49" i="122" s="1"/>
  <c r="BK49" i="122" s="1"/>
  <c r="BM65" i="122"/>
  <c r="DQ36" i="123"/>
  <c r="DQ73" i="121"/>
  <c r="N72" i="68"/>
  <c r="R44" i="126"/>
  <c r="CA53" i="123"/>
  <c r="CD53" i="123"/>
  <c r="BX23" i="8"/>
  <c r="BX20" i="8"/>
  <c r="BX87" i="8" s="1"/>
  <c r="BW20" i="8"/>
  <c r="BW87" i="8" s="1"/>
  <c r="BW124" i="8" s="1"/>
  <c r="AG21" i="65" s="1"/>
  <c r="AH21" i="65" s="1"/>
  <c r="BW23" i="8"/>
  <c r="BW24" i="8" s="1"/>
  <c r="BV100" i="8"/>
  <c r="BV52" i="8" s="1"/>
  <c r="DA91" i="8"/>
  <c r="CC42" i="122"/>
  <c r="CZ19" i="8"/>
  <c r="CZ91" i="8" s="1"/>
  <c r="DO59" i="123"/>
  <c r="BM108" i="122"/>
  <c r="CL108" i="122" s="1"/>
  <c r="BN101" i="122"/>
  <c r="Y22" i="66"/>
  <c r="Z22" i="66"/>
  <c r="AA22" i="66" s="1"/>
  <c r="AB22" i="66" s="1"/>
  <c r="AC22" i="66" s="1"/>
  <c r="AD22" i="66" s="1"/>
  <c r="AC26" i="95"/>
  <c r="AC21" i="95"/>
  <c r="AC31" i="95" s="1"/>
  <c r="AC50" i="95" s="1"/>
  <c r="BM58" i="122"/>
  <c r="BN202" i="122"/>
  <c r="CC202" i="122" s="1"/>
  <c r="CI202" i="122" s="1"/>
  <c r="BN217" i="122"/>
  <c r="CC217" i="122" s="1"/>
  <c r="CI217" i="122" s="1"/>
  <c r="BM69" i="122"/>
  <c r="BM217" i="122" s="1"/>
  <c r="AO161" i="122"/>
  <c r="AO195" i="122"/>
  <c r="BD195" i="122" s="1"/>
  <c r="BJ195" i="122" s="1"/>
  <c r="AA26" i="98"/>
  <c r="AA9" i="98"/>
  <c r="AA16" i="98"/>
  <c r="H20" i="79"/>
  <c r="F24" i="79"/>
  <c r="H24" i="79" s="1"/>
  <c r="F22" i="79"/>
  <c r="H22" i="79" s="1"/>
  <c r="F26" i="79"/>
  <c r="H26" i="79" s="1"/>
  <c r="F21" i="79"/>
  <c r="H21" i="79" s="1"/>
  <c r="F23" i="79"/>
  <c r="H23" i="79" s="1"/>
  <c r="F25" i="79"/>
  <c r="H25" i="79" s="1"/>
  <c r="CE202" i="120"/>
  <c r="U35" i="125"/>
  <c r="DX50" i="121"/>
  <c r="BM81" i="122"/>
  <c r="BO75" i="122"/>
  <c r="CA50" i="121"/>
  <c r="Q35" i="125"/>
  <c r="AD8" i="7"/>
  <c r="AD63" i="7" s="1"/>
  <c r="AD136" i="7"/>
  <c r="AD150" i="7" s="1"/>
  <c r="BD137" i="120"/>
  <c r="BJ137" i="120" s="1"/>
  <c r="BK137" i="120"/>
  <c r="AV90" i="8"/>
  <c r="AV99" i="8" s="1"/>
  <c r="AV40" i="8"/>
  <c r="AW39" i="8"/>
  <c r="AV34" i="8"/>
  <c r="AV51" i="8" s="1"/>
  <c r="FY71" i="121"/>
  <c r="AC56" i="125"/>
  <c r="W11" i="82"/>
  <c r="T11" i="82"/>
  <c r="CF260" i="120"/>
  <c r="CI260" i="120" s="1"/>
  <c r="DR61" i="123"/>
  <c r="CL59" i="122"/>
  <c r="AM17" i="8"/>
  <c r="CB159" i="122"/>
  <c r="CB163" i="122" s="1"/>
  <c r="CK8" i="121"/>
  <c r="BR48" i="123"/>
  <c r="DQ67" i="121"/>
  <c r="AP49" i="19"/>
  <c r="AP50" i="19" s="1"/>
  <c r="BU82" i="121"/>
  <c r="BB14" i="8"/>
  <c r="BB8" i="8" s="1"/>
  <c r="BB51" i="8" s="1"/>
  <c r="F12" i="65"/>
  <c r="BD269" i="120"/>
  <c r="BJ269" i="120" s="1"/>
  <c r="FY60" i="123"/>
  <c r="CL85" i="120"/>
  <c r="BA15" i="8"/>
  <c r="BJ48" i="120"/>
  <c r="BD263" i="120"/>
  <c r="BJ263" i="120" s="1"/>
  <c r="O35" i="125"/>
  <c r="BY50" i="121"/>
  <c r="CL74" i="120"/>
  <c r="BM241" i="120"/>
  <c r="F6" i="77"/>
  <c r="GB66" i="121"/>
  <c r="Z51" i="125"/>
  <c r="EL66" i="121"/>
  <c r="AB155" i="7"/>
  <c r="AB157" i="7"/>
  <c r="AI136" i="7"/>
  <c r="AA150" i="7"/>
  <c r="BF48" i="9"/>
  <c r="BC51" i="9"/>
  <c r="BF51" i="9" s="1"/>
  <c r="BD48" i="9"/>
  <c r="CI267" i="120"/>
  <c r="CF265" i="120"/>
  <c r="CI265" i="120" s="1"/>
  <c r="B10" i="77"/>
  <c r="C10" i="77" s="1"/>
  <c r="CM46" i="120"/>
  <c r="BM46" i="120"/>
  <c r="CL46" i="120" s="1"/>
  <c r="BM262" i="120"/>
  <c r="CL66" i="122"/>
  <c r="P70" i="68"/>
  <c r="AC51" i="121"/>
  <c r="BY55" i="72"/>
  <c r="CL44" i="120"/>
  <c r="CD50" i="121"/>
  <c r="AC65" i="121"/>
  <c r="L50" i="125" s="1"/>
  <c r="I12" i="65"/>
  <c r="CL76" i="120"/>
  <c r="BK269" i="120"/>
  <c r="BE265" i="120"/>
  <c r="BK265" i="120" s="1"/>
  <c r="BE18" i="7"/>
  <c r="BD17" i="7"/>
  <c r="CB52" i="72"/>
  <c r="CA55" i="72"/>
  <c r="AQ9" i="7"/>
  <c r="AR9" i="7" s="1"/>
  <c r="AS9" i="7" s="1"/>
  <c r="AC8" i="7"/>
  <c r="AC63" i="7" s="1"/>
  <c r="AC136" i="7"/>
  <c r="AC150" i="7" s="1"/>
  <c r="CH113" i="120"/>
  <c r="CE252" i="120"/>
  <c r="CH252" i="120" s="1"/>
  <c r="CM137" i="120"/>
  <c r="BM137" i="120"/>
  <c r="CL137" i="120" s="1"/>
  <c r="BM263" i="120"/>
  <c r="CL48" i="120"/>
  <c r="BF260" i="120"/>
  <c r="BL260" i="120" s="1"/>
  <c r="BL261" i="120"/>
  <c r="AV86" i="7"/>
  <c r="AT85" i="7"/>
  <c r="AT86" i="7" s="1"/>
  <c r="N13" i="68"/>
  <c r="R21" i="102"/>
  <c r="BN265" i="120"/>
  <c r="BD142" i="7"/>
  <c r="BE19" i="7"/>
  <c r="BE142" i="7" s="1"/>
  <c r="AX69" i="8"/>
  <c r="AX70" i="8" s="1"/>
  <c r="AX68" i="8"/>
  <c r="BC51" i="72"/>
  <c r="BF51" i="72" s="1"/>
  <c r="BF48" i="72"/>
  <c r="BD48" i="72"/>
  <c r="AV160" i="7"/>
  <c r="AV161" i="7" s="1"/>
  <c r="AV158" i="7"/>
  <c r="X44" i="126"/>
  <c r="DZ53" i="123"/>
  <c r="EC53" i="123"/>
  <c r="CE267" i="120"/>
  <c r="CH267" i="120" s="1"/>
  <c r="CH121" i="120"/>
  <c r="W56" i="125"/>
  <c r="DZ71" i="121"/>
  <c r="EC71" i="121"/>
  <c r="BV84" i="121"/>
  <c r="CH83" i="121"/>
  <c r="FR81" i="121"/>
  <c r="L48" i="125"/>
  <c r="AL63" i="121"/>
  <c r="AL65" i="121"/>
  <c r="CL57" i="122"/>
  <c r="P71" i="68"/>
  <c r="N14" i="68"/>
  <c r="T85" i="68"/>
  <c r="AT83" i="121"/>
  <c r="AC39" i="123"/>
  <c r="AE52" i="123"/>
  <c r="BR58" i="123"/>
  <c r="BV68" i="123"/>
  <c r="BV69" i="123" s="1"/>
  <c r="AU69" i="123"/>
  <c r="EX59" i="121"/>
  <c r="EM59" i="121"/>
  <c r="BK119" i="120"/>
  <c r="BD119" i="120"/>
  <c r="BJ119" i="120" s="1"/>
  <c r="BF211" i="120"/>
  <c r="BL211" i="120" s="1"/>
  <c r="BL145" i="120"/>
  <c r="BD145" i="120"/>
  <c r="AH209" i="120"/>
  <c r="AN209" i="120" s="1"/>
  <c r="AN143" i="120"/>
  <c r="BF143" i="120"/>
  <c r="CI144" i="7"/>
  <c r="CI150" i="7" s="1"/>
  <c r="CI152" i="7" s="1"/>
  <c r="CI63" i="7"/>
  <c r="CI65" i="7" s="1"/>
  <c r="BO37" i="120"/>
  <c r="BO204" i="120" s="1"/>
  <c r="BM50" i="120"/>
  <c r="BI63" i="121"/>
  <c r="AX63" i="121"/>
  <c r="CJ84" i="121"/>
  <c r="EI83" i="121"/>
  <c r="BS144" i="7"/>
  <c r="BS150" i="7" s="1"/>
  <c r="BS152" i="7" s="1"/>
  <c r="BS63" i="7"/>
  <c r="BS65" i="7" s="1"/>
  <c r="AK15" i="8"/>
  <c r="AK14" i="8" s="1"/>
  <c r="AI14" i="8"/>
  <c r="AW15" i="8"/>
  <c r="FY65" i="121"/>
  <c r="AC50" i="125"/>
  <c r="AC55" i="125"/>
  <c r="FY70" i="121"/>
  <c r="DH109" i="8"/>
  <c r="DH110" i="8" s="1"/>
  <c r="DH107" i="8"/>
  <c r="BW88" i="8"/>
  <c r="BW34" i="8"/>
  <c r="CO109" i="8"/>
  <c r="CO110" i="8" s="1"/>
  <c r="CO107" i="8"/>
  <c r="BE218" i="122"/>
  <c r="BK218" i="122" s="1"/>
  <c r="CL65" i="122"/>
  <c r="AG68" i="120"/>
  <c r="BB27" i="8"/>
  <c r="AL35" i="7"/>
  <c r="AM35" i="7" s="1"/>
  <c r="N51" i="68"/>
  <c r="BR49" i="123"/>
  <c r="FP36" i="123"/>
  <c r="FP67" i="121"/>
  <c r="BM250" i="120"/>
  <c r="BM207" i="120"/>
  <c r="AF37" i="125"/>
  <c r="GK52" i="121"/>
  <c r="AB27" i="7"/>
  <c r="AP27" i="7"/>
  <c r="AQ27" i="7" s="1"/>
  <c r="AR27" i="7" s="1"/>
  <c r="AI27" i="7"/>
  <c r="BO211" i="120"/>
  <c r="EO63" i="121" s="1"/>
  <c r="BO143" i="120"/>
  <c r="BO209" i="120" s="1"/>
  <c r="EO61" i="121" s="1"/>
  <c r="BM145" i="120"/>
  <c r="AQ209" i="120"/>
  <c r="CP61" i="121" s="1"/>
  <c r="FP50" i="123"/>
  <c r="GB50" i="123" s="1"/>
  <c r="BF37" i="120"/>
  <c r="CN37" i="120"/>
  <c r="AQ204" i="120"/>
  <c r="AS32" i="7"/>
  <c r="BG87" i="121"/>
  <c r="BG85" i="121" s="1"/>
  <c r="AX85" i="121"/>
  <c r="BM266" i="120"/>
  <c r="BM265" i="120" s="1"/>
  <c r="CL120" i="120"/>
  <c r="CC66" i="121"/>
  <c r="P51" i="125"/>
  <c r="BZ66" i="121"/>
  <c r="AM86" i="8"/>
  <c r="AM99" i="8" s="1"/>
  <c r="AN18" i="8"/>
  <c r="AN86" i="8" s="1"/>
  <c r="AN99" i="8" s="1"/>
  <c r="CD59" i="121"/>
  <c r="CA59" i="121"/>
  <c r="Q44" i="125"/>
  <c r="CL110" i="120"/>
  <c r="CM55" i="72"/>
  <c r="CK55" i="72" s="1"/>
  <c r="CL119" i="120"/>
  <c r="GF77" i="121"/>
  <c r="GF78" i="121" s="1"/>
  <c r="GH78" i="121"/>
  <c r="CI84" i="121"/>
  <c r="EH83" i="121"/>
  <c r="BT144" i="7"/>
  <c r="BT150" i="7" s="1"/>
  <c r="BT63" i="7"/>
  <c r="BH65" i="121"/>
  <c r="BG65" i="121" s="1"/>
  <c r="AX65" i="121"/>
  <c r="CL86" i="120"/>
  <c r="BM244" i="120"/>
  <c r="GA39" i="121"/>
  <c r="GJ39" i="121" s="1"/>
  <c r="GJ29" i="121"/>
  <c r="AK69" i="123"/>
  <c r="CJ68" i="123"/>
  <c r="AX64" i="123"/>
  <c r="BH64" i="123"/>
  <c r="AA101" i="8"/>
  <c r="AA106" i="8"/>
  <c r="BA35" i="7"/>
  <c r="AC35" i="126"/>
  <c r="FX44" i="123"/>
  <c r="AQ33" i="7"/>
  <c r="AR33" i="7" s="1"/>
  <c r="EL68" i="121"/>
  <c r="GB68" i="121"/>
  <c r="Z53" i="125"/>
  <c r="CY63" i="121"/>
  <c r="CN63" i="121"/>
  <c r="EM66" i="121"/>
  <c r="EW66" i="121"/>
  <c r="CR109" i="8"/>
  <c r="CR110" i="8" s="1"/>
  <c r="CQ106" i="8"/>
  <c r="CR107" i="8"/>
  <c r="CP106" i="8"/>
  <c r="CN106" i="8" s="1"/>
  <c r="CP104" i="8"/>
  <c r="BL157" i="7"/>
  <c r="BL155" i="7"/>
  <c r="BJ135" i="120"/>
  <c r="BD254" i="120"/>
  <c r="BJ254" i="120" s="1"/>
  <c r="EL50" i="123"/>
  <c r="AA41" i="126"/>
  <c r="CL50" i="120"/>
  <c r="CR51" i="72"/>
  <c r="CS48" i="72"/>
  <c r="DG66" i="121"/>
  <c r="DF66" i="121" s="1"/>
  <c r="CW66" i="121"/>
  <c r="BY66" i="121"/>
  <c r="O51" i="125"/>
  <c r="Z101" i="8"/>
  <c r="Z106" i="8"/>
  <c r="BJ80" i="7"/>
  <c r="BJ85" i="7"/>
  <c r="BJ86" i="7" s="1"/>
  <c r="BJ83" i="7"/>
  <c r="BJ82" i="7"/>
  <c r="CM154" i="7"/>
  <c r="CM152" i="7"/>
  <c r="CM119" i="120"/>
  <c r="GF12" i="121"/>
  <c r="GF13" i="121" s="1"/>
  <c r="GF38" i="121"/>
  <c r="BD214" i="120"/>
  <c r="BJ214" i="120" s="1"/>
  <c r="BJ148" i="120"/>
  <c r="Y101" i="8"/>
  <c r="AF101" i="8" s="1"/>
  <c r="Y106" i="8"/>
  <c r="AF99" i="8"/>
  <c r="BT55" i="72"/>
  <c r="BW55" i="72" s="1"/>
  <c r="N12" i="65"/>
  <c r="CX65" i="121"/>
  <c r="CN65" i="121"/>
  <c r="DH59" i="121"/>
  <c r="DF59" i="121" s="1"/>
  <c r="CW59" i="121"/>
  <c r="I40" i="85"/>
  <c r="M31" i="64"/>
  <c r="D18" i="99"/>
  <c r="N46" i="125"/>
  <c r="AN61" i="121"/>
  <c r="AL101" i="8"/>
  <c r="AL106" i="8"/>
  <c r="BU154" i="7"/>
  <c r="BU152" i="7"/>
  <c r="Q152" i="122"/>
  <c r="R84" i="68"/>
  <c r="N50" i="68"/>
  <c r="AG152" i="122"/>
  <c r="AM152" i="122" s="1"/>
  <c r="BD213" i="120"/>
  <c r="BJ213" i="120" s="1"/>
  <c r="BJ147" i="120"/>
  <c r="AZ61" i="121"/>
  <c r="BI61" i="121" s="1"/>
  <c r="H19" i="87"/>
  <c r="P16" i="61"/>
  <c r="W37" i="66"/>
  <c r="W38" i="66"/>
  <c r="X51" i="61"/>
  <c r="X47" i="61"/>
  <c r="AM65" i="121"/>
  <c r="M50" i="125"/>
  <c r="BL85" i="7"/>
  <c r="BL86" i="7" s="1"/>
  <c r="BL83" i="7"/>
  <c r="BL80" i="7"/>
  <c r="BL82" i="7"/>
  <c r="CJ63" i="7"/>
  <c r="CJ65" i="7" s="1"/>
  <c r="CJ144" i="7"/>
  <c r="AI68" i="123"/>
  <c r="Z69" i="123"/>
  <c r="BO53" i="120"/>
  <c r="CN53" i="120" s="1"/>
  <c r="CN71" i="120"/>
  <c r="BJ155" i="7"/>
  <c r="BJ157" i="7"/>
  <c r="BA23" i="61"/>
  <c r="BA10" i="61"/>
  <c r="BA35" i="61" s="1"/>
  <c r="BA38" i="61" s="1"/>
  <c r="CM147" i="120"/>
  <c r="BM147" i="120"/>
  <c r="BN213" i="120"/>
  <c r="EN65" i="121" s="1"/>
  <c r="CL148" i="120"/>
  <c r="CN103" i="8"/>
  <c r="CN104" i="8" s="1"/>
  <c r="CL52" i="120"/>
  <c r="BD265" i="120"/>
  <c r="AE63" i="121"/>
  <c r="BU78" i="7"/>
  <c r="BU65" i="7"/>
  <c r="D10" i="87"/>
  <c r="H13" i="64"/>
  <c r="L36" i="125"/>
  <c r="AL51" i="121"/>
  <c r="AF68" i="32"/>
  <c r="AH68" i="32" s="1"/>
  <c r="S68" i="32"/>
  <c r="N15" i="68"/>
  <c r="P72" i="68"/>
  <c r="AM51" i="8"/>
  <c r="BE210" i="120"/>
  <c r="BK210" i="120" s="1"/>
  <c r="BD144" i="120"/>
  <c r="BK144" i="120"/>
  <c r="BK67" i="120"/>
  <c r="BD67" i="120"/>
  <c r="BJ67" i="120" s="1"/>
  <c r="BD31" i="120"/>
  <c r="BK31" i="120"/>
  <c r="O59" i="125"/>
  <c r="BY74" i="121"/>
  <c r="CB74" i="121"/>
  <c r="AF90" i="120"/>
  <c r="AG261" i="120"/>
  <c r="AM90" i="120"/>
  <c r="AP90" i="120"/>
  <c r="AJ17" i="8"/>
  <c r="AW17" i="8"/>
  <c r="N52" i="68"/>
  <c r="CL39" i="122"/>
  <c r="FN46" i="123"/>
  <c r="FZ46" i="123" s="1"/>
  <c r="AE37" i="126" s="1"/>
  <c r="CB205" i="122"/>
  <c r="CH205" i="122" s="1"/>
  <c r="N30" i="126"/>
  <c r="AM39" i="123"/>
  <c r="CT140" i="7"/>
  <c r="CT15" i="7"/>
  <c r="CT8" i="7" s="1"/>
  <c r="CT63" i="7" s="1"/>
  <c r="CT65" i="7" s="1"/>
  <c r="R8" i="68"/>
  <c r="T5" i="68"/>
  <c r="T8" i="68" s="1"/>
  <c r="X13" i="125"/>
  <c r="BD175" i="120"/>
  <c r="BD177" i="120" s="1"/>
  <c r="BD10" i="120"/>
  <c r="BX169" i="7"/>
  <c r="X13" i="64" s="1"/>
  <c r="AC37" i="66"/>
  <c r="AD36" i="66"/>
  <c r="AD37" i="66" s="1"/>
  <c r="AI92" i="8"/>
  <c r="AW16" i="8"/>
  <c r="AJ16" i="8"/>
  <c r="BA16" i="8"/>
  <c r="AM144" i="7"/>
  <c r="BA144" i="7"/>
  <c r="CG48" i="7"/>
  <c r="BT39" i="8"/>
  <c r="BT34" i="8" s="1"/>
  <c r="BS38" i="8"/>
  <c r="AF113" i="122"/>
  <c r="AG166" i="122"/>
  <c r="AM166" i="122" s="1"/>
  <c r="AM113" i="122"/>
  <c r="AP113" i="122"/>
  <c r="BE113" i="122" s="1"/>
  <c r="T39" i="17"/>
  <c r="BC24" i="17"/>
  <c r="AT24" i="17"/>
  <c r="V24" i="17"/>
  <c r="AX24" i="17"/>
  <c r="CG204" i="120"/>
  <c r="CJ37" i="120"/>
  <c r="BD14" i="7"/>
  <c r="BE141" i="7"/>
  <c r="BE15" i="7"/>
  <c r="BL27" i="122"/>
  <c r="BF28" i="122"/>
  <c r="BL28" i="122" s="1"/>
  <c r="BR52" i="123"/>
  <c r="BB160" i="7"/>
  <c r="BB161" i="7" s="1"/>
  <c r="BB168" i="7" s="1"/>
  <c r="BB170" i="7" s="1"/>
  <c r="BB158" i="7"/>
  <c r="BQ13" i="121"/>
  <c r="BZ13" i="121" s="1"/>
  <c r="BP12" i="121"/>
  <c r="BP13" i="121" s="1"/>
  <c r="BY13" i="121" s="1"/>
  <c r="AJ86" i="8"/>
  <c r="AW86" i="8"/>
  <c r="BA86" i="8"/>
  <c r="CS140" i="7"/>
  <c r="CR13" i="7"/>
  <c r="CS15" i="7"/>
  <c r="FP58" i="121"/>
  <c r="CD12" i="121"/>
  <c r="CM11" i="121"/>
  <c r="AA16" i="126"/>
  <c r="EA9" i="123"/>
  <c r="Y16" i="126" s="1"/>
  <c r="EL9" i="123"/>
  <c r="EJ9" i="123" s="1"/>
  <c r="DP13" i="121"/>
  <c r="DY13" i="121" s="1"/>
  <c r="DO12" i="121"/>
  <c r="DO13" i="121" s="1"/>
  <c r="DX13" i="121" s="1"/>
  <c r="DY12" i="121"/>
  <c r="BW14" i="8"/>
  <c r="BW90" i="8" s="1"/>
  <c r="BW89" i="8"/>
  <c r="AI14" i="98"/>
  <c r="AI21" i="98"/>
  <c r="AD46" i="95"/>
  <c r="CF23" i="7"/>
  <c r="P15" i="105"/>
  <c r="P14" i="105" s="1"/>
  <c r="M14" i="105"/>
  <c r="AG11" i="19"/>
  <c r="AN11" i="19"/>
  <c r="AQ24" i="7"/>
  <c r="AR24" i="7" s="1"/>
  <c r="C11" i="77"/>
  <c r="K16" i="61"/>
  <c r="K14" i="61" s="1"/>
  <c r="B13" i="77"/>
  <c r="B11" i="77" s="1"/>
  <c r="B261" i="120"/>
  <c r="B260" i="120" s="1"/>
  <c r="BO28" i="122"/>
  <c r="G41" i="132"/>
  <c r="I40" i="132"/>
  <c r="I41" i="132" s="1"/>
  <c r="BD25" i="122"/>
  <c r="BJ25" i="122" s="1"/>
  <c r="BK25" i="122"/>
  <c r="DC109" i="8"/>
  <c r="DC110" i="8" s="1"/>
  <c r="DC107" i="8"/>
  <c r="BE123" i="122"/>
  <c r="BN123" i="122"/>
  <c r="AO123" i="122"/>
  <c r="AP176" i="122"/>
  <c r="CO60" i="123" s="1"/>
  <c r="M29" i="56"/>
  <c r="CC12" i="121"/>
  <c r="CB11" i="121"/>
  <c r="CL11" i="121"/>
  <c r="CK11" i="121" s="1"/>
  <c r="B19" i="87"/>
  <c r="B17" i="87" s="1"/>
  <c r="H16" i="61"/>
  <c r="H14" i="61" s="1"/>
  <c r="C17" i="87"/>
  <c r="BN126" i="120"/>
  <c r="BM126" i="120" s="1"/>
  <c r="AO126" i="120"/>
  <c r="BE27" i="7"/>
  <c r="I21" i="105"/>
  <c r="I27" i="105" s="1"/>
  <c r="I36" i="105" s="1"/>
  <c r="CU103" i="8"/>
  <c r="CU101" i="8"/>
  <c r="CH51" i="72"/>
  <c r="CH39" i="7"/>
  <c r="CG39" i="7"/>
  <c r="CX51" i="123"/>
  <c r="CN51" i="123"/>
  <c r="AL14" i="64"/>
  <c r="X22" i="61"/>
  <c r="BW175" i="7"/>
  <c r="N165" i="120"/>
  <c r="N160" i="120"/>
  <c r="AN12" i="120"/>
  <c r="AN179" i="120" s="1"/>
  <c r="AN178" i="120"/>
  <c r="CB48" i="72"/>
  <c r="CA51" i="72"/>
  <c r="FP72" i="121"/>
  <c r="W38" i="125"/>
  <c r="DZ53" i="121"/>
  <c r="Q59" i="125"/>
  <c r="CA74" i="121"/>
  <c r="AF76" i="122"/>
  <c r="AM76" i="122"/>
  <c r="AP76" i="122"/>
  <c r="AG155" i="122"/>
  <c r="AM155" i="122" s="1"/>
  <c r="BH62" i="121"/>
  <c r="AX62" i="121"/>
  <c r="FP53" i="121"/>
  <c r="S48" i="125"/>
  <c r="EB63" i="121"/>
  <c r="CL63" i="121"/>
  <c r="N68" i="32"/>
  <c r="P68" i="32" s="1"/>
  <c r="M68" i="32"/>
  <c r="CA14" i="7"/>
  <c r="CA140" i="7"/>
  <c r="DY50" i="121"/>
  <c r="V35" i="125"/>
  <c r="EB50" i="121"/>
  <c r="CY48" i="123"/>
  <c r="DH48" i="123" s="1"/>
  <c r="CU143" i="7"/>
  <c r="AW41" i="8"/>
  <c r="AI34" i="8"/>
  <c r="AJ41" i="8"/>
  <c r="BA41" i="8"/>
  <c r="AF55" i="125"/>
  <c r="GK70" i="121"/>
  <c r="CB220" i="122"/>
  <c r="CH220" i="122" s="1"/>
  <c r="DI89" i="121"/>
  <c r="DI78" i="121"/>
  <c r="CA8" i="7"/>
  <c r="I37" i="133"/>
  <c r="I38" i="133" s="1"/>
  <c r="G38" i="133"/>
  <c r="FI82" i="121"/>
  <c r="FH82" i="121" s="1"/>
  <c r="FH81" i="121"/>
  <c r="W34" i="125"/>
  <c r="DZ49" i="121"/>
  <c r="AZ24" i="8"/>
  <c r="AQ50" i="9"/>
  <c r="AN18" i="7"/>
  <c r="AL18" i="7" s="1"/>
  <c r="BA50" i="9"/>
  <c r="EV50" i="121"/>
  <c r="X31" i="126"/>
  <c r="DZ40" i="123"/>
  <c r="B20" i="99"/>
  <c r="C17" i="99" s="1"/>
  <c r="R41" i="122"/>
  <c r="N67" i="32"/>
  <c r="M67" i="32"/>
  <c r="AF165" i="122"/>
  <c r="AL165" i="122" s="1"/>
  <c r="AL112" i="122"/>
  <c r="DL27" i="17"/>
  <c r="DM27" i="17" s="1"/>
  <c r="CV31" i="7" s="1"/>
  <c r="CR27" i="17"/>
  <c r="BV31" i="7" s="1"/>
  <c r="CW27" i="17"/>
  <c r="CX27" i="17" s="1"/>
  <c r="CF31" i="7" s="1"/>
  <c r="AA68" i="8"/>
  <c r="AA71" i="8"/>
  <c r="AA70" i="8"/>
  <c r="AA74" i="8"/>
  <c r="AA75" i="8" s="1"/>
  <c r="AZ94" i="8"/>
  <c r="BB46" i="8"/>
  <c r="BB94" i="8" s="1"/>
  <c r="BE95" i="122"/>
  <c r="BN95" i="122"/>
  <c r="AO95" i="122"/>
  <c r="AD51" i="123"/>
  <c r="CE37" i="120"/>
  <c r="Y15" i="125"/>
  <c r="BK10" i="120"/>
  <c r="BK177" i="120" s="1"/>
  <c r="AM16" i="8"/>
  <c r="AM92" i="8" s="1"/>
  <c r="AO36" i="123"/>
  <c r="AY36" i="123"/>
  <c r="AF68" i="120"/>
  <c r="AL68" i="120" s="1"/>
  <c r="AM68" i="120"/>
  <c r="AP68" i="120"/>
  <c r="BE68" i="120" s="1"/>
  <c r="BD101" i="120"/>
  <c r="BJ101" i="120" s="1"/>
  <c r="BK101" i="120"/>
  <c r="DC157" i="7"/>
  <c r="DC155" i="7"/>
  <c r="BV48" i="7"/>
  <c r="BW49" i="7"/>
  <c r="BW43" i="7" s="1"/>
  <c r="CC98" i="122"/>
  <c r="CZ38" i="8"/>
  <c r="U31" i="126"/>
  <c r="CM40" i="123"/>
  <c r="EC40" i="123"/>
  <c r="DT78" i="121"/>
  <c r="BG23" i="61"/>
  <c r="BG10" i="61"/>
  <c r="BG35" i="61" s="1"/>
  <c r="BG38" i="61" s="1"/>
  <c r="AA17" i="125"/>
  <c r="BM13" i="120"/>
  <c r="AA18" i="125" s="1"/>
  <c r="BM179" i="120"/>
  <c r="BM180" i="120" s="1"/>
  <c r="X27" i="126"/>
  <c r="DZ36" i="123"/>
  <c r="EC36" i="123"/>
  <c r="CW89" i="8"/>
  <c r="CW15" i="8"/>
  <c r="CW8" i="8" s="1"/>
  <c r="AS23" i="7"/>
  <c r="BI208" i="120"/>
  <c r="U49" i="123"/>
  <c r="K49" i="123"/>
  <c r="AS27" i="7"/>
  <c r="EF56" i="121"/>
  <c r="CM56" i="121"/>
  <c r="CG76" i="121"/>
  <c r="CG99" i="120"/>
  <c r="CE29" i="120"/>
  <c r="BM130" i="120"/>
  <c r="AR89" i="121"/>
  <c r="AR78" i="121"/>
  <c r="GK62" i="121"/>
  <c r="AF47" i="125"/>
  <c r="AL90" i="8"/>
  <c r="AL25" i="8"/>
  <c r="AK24" i="8"/>
  <c r="BN31" i="120"/>
  <c r="CM31" i="120" s="1"/>
  <c r="AO31" i="120"/>
  <c r="AD13" i="121"/>
  <c r="AM13" i="121" s="1"/>
  <c r="AC12" i="121"/>
  <c r="AC13" i="121" s="1"/>
  <c r="AL13" i="121" s="1"/>
  <c r="DY63" i="121"/>
  <c r="V48" i="125"/>
  <c r="AF69" i="32"/>
  <c r="AH69" i="32" s="1"/>
  <c r="CG270" i="120"/>
  <c r="CJ270" i="120" s="1"/>
  <c r="CJ265" i="120"/>
  <c r="AF178" i="120"/>
  <c r="R16" i="125"/>
  <c r="AM178" i="120"/>
  <c r="AL11" i="120"/>
  <c r="AL178" i="120" s="1"/>
  <c r="AM12" i="120"/>
  <c r="V104" i="6"/>
  <c r="V107" i="6"/>
  <c r="V112" i="6"/>
  <c r="V105" i="6"/>
  <c r="V106" i="6"/>
  <c r="X100" i="6"/>
  <c r="AK33" i="8" s="1"/>
  <c r="AK27" i="8" s="1"/>
  <c r="V101" i="6"/>
  <c r="V108" i="6"/>
  <c r="V102" i="6"/>
  <c r="V110" i="6"/>
  <c r="U36" i="123"/>
  <c r="T36" i="123" s="1"/>
  <c r="K36" i="123"/>
  <c r="CL79" i="121"/>
  <c r="S64" i="125"/>
  <c r="AJ37" i="95"/>
  <c r="AI37" i="95"/>
  <c r="AE41" i="95"/>
  <c r="AE46" i="95" s="1"/>
  <c r="AE50" i="95" s="1"/>
  <c r="AE38" i="95"/>
  <c r="AE43" i="95" s="1"/>
  <c r="CG18" i="7" s="1"/>
  <c r="AE40" i="95"/>
  <c r="AE45" i="95" s="1"/>
  <c r="CV23" i="7"/>
  <c r="DM24" i="17"/>
  <c r="Y17" i="61"/>
  <c r="AY17" i="61"/>
  <c r="AF17" i="61"/>
  <c r="T45" i="125"/>
  <c r="CC212" i="122"/>
  <c r="CI212" i="122" s="1"/>
  <c r="BF12" i="120"/>
  <c r="Z16" i="125"/>
  <c r="BF178" i="120"/>
  <c r="S53" i="126"/>
  <c r="EA62" i="123"/>
  <c r="BM155" i="7"/>
  <c r="BM157" i="7"/>
  <c r="BM158" i="7" s="1"/>
  <c r="ES69" i="123"/>
  <c r="FT68" i="123"/>
  <c r="FT69" i="123" s="1"/>
  <c r="N16" i="61"/>
  <c r="N14" i="61" s="1"/>
  <c r="P37" i="32"/>
  <c r="EY78" i="121"/>
  <c r="EY89" i="121"/>
  <c r="E78" i="121"/>
  <c r="E89" i="121"/>
  <c r="AO16" i="7"/>
  <c r="AO143" i="7" s="1"/>
  <c r="AN143" i="7"/>
  <c r="AF210" i="120"/>
  <c r="AL210" i="120" s="1"/>
  <c r="AL144" i="120"/>
  <c r="AZ82" i="7"/>
  <c r="FW11" i="121"/>
  <c r="CA48" i="123"/>
  <c r="R39" i="126"/>
  <c r="K49" i="121"/>
  <c r="U49" i="121"/>
  <c r="T49" i="121" s="1"/>
  <c r="CX75" i="121"/>
  <c r="CN75" i="121"/>
  <c r="W52" i="125"/>
  <c r="DZ67" i="121"/>
  <c r="CE53" i="120"/>
  <c r="CL130" i="120"/>
  <c r="P20" i="96"/>
  <c r="P25" i="96"/>
  <c r="P10" i="96"/>
  <c r="P35" i="96"/>
  <c r="P30" i="96"/>
  <c r="P15" i="96"/>
  <c r="BD126" i="120"/>
  <c r="BJ126" i="120" s="1"/>
  <c r="BK126" i="120"/>
  <c r="EL49" i="121"/>
  <c r="GB49" i="121"/>
  <c r="Z34" i="125"/>
  <c r="J16" i="105"/>
  <c r="K8" i="105" s="1"/>
  <c r="CA143" i="7"/>
  <c r="D17" i="99"/>
  <c r="FF64" i="121"/>
  <c r="FE64" i="121" s="1"/>
  <c r="EV64" i="121"/>
  <c r="BX39" i="7"/>
  <c r="BW39" i="7"/>
  <c r="BV40" i="7"/>
  <c r="R51" i="125"/>
  <c r="CK66" i="121"/>
  <c r="W58" i="125"/>
  <c r="DZ73" i="121"/>
  <c r="EC73" i="121"/>
  <c r="B164" i="122"/>
  <c r="AH168" i="122"/>
  <c r="AN168" i="122" s="1"/>
  <c r="BF115" i="122"/>
  <c r="AN115" i="122"/>
  <c r="R30" i="120"/>
  <c r="B30" i="120"/>
  <c r="R31" i="126"/>
  <c r="CA40" i="123"/>
  <c r="CR58" i="7"/>
  <c r="CR145" i="7" s="1"/>
  <c r="CS145" i="7"/>
  <c r="CC57" i="72"/>
  <c r="CD57" i="72"/>
  <c r="CD48" i="72" s="1"/>
  <c r="U61" i="121"/>
  <c r="T61" i="121" s="1"/>
  <c r="K61" i="121"/>
  <c r="DF107" i="8"/>
  <c r="DF109" i="8"/>
  <c r="DF110" i="8" s="1"/>
  <c r="Z36" i="125"/>
  <c r="EL51" i="121"/>
  <c r="GB51" i="121"/>
  <c r="AT84" i="121"/>
  <c r="BU83" i="121"/>
  <c r="V33" i="95"/>
  <c r="U38" i="95"/>
  <c r="U43" i="95" s="1"/>
  <c r="GA59" i="121"/>
  <c r="Y44" i="125"/>
  <c r="EK59" i="121"/>
  <c r="AM22" i="66"/>
  <c r="AH22" i="66"/>
  <c r="AX60" i="123"/>
  <c r="BH60" i="123"/>
  <c r="BG60" i="123" s="1"/>
  <c r="N89" i="121"/>
  <c r="N78" i="121"/>
  <c r="BD97" i="122"/>
  <c r="BJ97" i="122" s="1"/>
  <c r="BK97" i="122"/>
  <c r="BZ12" i="121"/>
  <c r="BY12" i="121" s="1"/>
  <c r="BY11" i="121"/>
  <c r="AF100" i="120"/>
  <c r="AM100" i="120"/>
  <c r="AP100" i="120"/>
  <c r="BE100" i="120" s="1"/>
  <c r="AG199" i="120"/>
  <c r="AM199" i="120" s="1"/>
  <c r="BZ14" i="7"/>
  <c r="BZ140" i="7"/>
  <c r="CY58" i="123"/>
  <c r="DH58" i="123" s="1"/>
  <c r="DZ49" i="123"/>
  <c r="X40" i="126"/>
  <c r="BH51" i="123"/>
  <c r="BG51" i="123" s="1"/>
  <c r="AX51" i="123"/>
  <c r="CC38" i="120"/>
  <c r="CC39" i="120"/>
  <c r="CB37" i="120"/>
  <c r="CC204" i="120"/>
  <c r="CI37" i="120"/>
  <c r="BE41" i="7"/>
  <c r="BE35" i="7" s="1"/>
  <c r="BD40" i="7"/>
  <c r="BD41" i="7" s="1"/>
  <c r="BD35" i="7" s="1"/>
  <c r="Z74" i="8"/>
  <c r="Z75" i="8" s="1"/>
  <c r="Z70" i="8"/>
  <c r="Z71" i="8"/>
  <c r="Z68" i="8"/>
  <c r="V76" i="6"/>
  <c r="V80" i="6"/>
  <c r="V85" i="6"/>
  <c r="V89" i="6"/>
  <c r="V94" i="6"/>
  <c r="V99" i="6"/>
  <c r="V77" i="6"/>
  <c r="V81" i="6"/>
  <c r="V86" i="6"/>
  <c r="V91" i="6"/>
  <c r="V96" i="6"/>
  <c r="V78" i="6"/>
  <c r="V83" i="6"/>
  <c r="X74" i="6"/>
  <c r="AK26" i="8" s="1"/>
  <c r="V92" i="6"/>
  <c r="V97" i="6"/>
  <c r="V75" i="6"/>
  <c r="V79" i="6"/>
  <c r="V84" i="6"/>
  <c r="V93" i="6"/>
  <c r="V98" i="6"/>
  <c r="V117" i="6"/>
  <c r="V116" i="6"/>
  <c r="X113" i="6"/>
  <c r="AK41" i="8" s="1"/>
  <c r="AK34" i="8" s="1"/>
  <c r="V119" i="6"/>
  <c r="V122" i="6"/>
  <c r="V121" i="6"/>
  <c r="V115" i="6"/>
  <c r="V114" i="6"/>
  <c r="AH164" i="122"/>
  <c r="AN164" i="122" s="1"/>
  <c r="BF111" i="122"/>
  <c r="AN111" i="122"/>
  <c r="M30" i="126"/>
  <c r="AL39" i="123"/>
  <c r="W81" i="121"/>
  <c r="X82" i="121"/>
  <c r="W82" i="121" s="1"/>
  <c r="X83" i="121"/>
  <c r="AQ48" i="72"/>
  <c r="BA48" i="72"/>
  <c r="AN51" i="72"/>
  <c r="BS13" i="8"/>
  <c r="BB16" i="61"/>
  <c r="BB14" i="61" s="1"/>
  <c r="BB11" i="61" s="1"/>
  <c r="CP172" i="7"/>
  <c r="CP176" i="7" s="1"/>
  <c r="CP150" i="7"/>
  <c r="DK82" i="121"/>
  <c r="DT81" i="121"/>
  <c r="DI81" i="121"/>
  <c r="CA175" i="7"/>
  <c r="AE22" i="64" s="1"/>
  <c r="AF22" i="64" s="1"/>
  <c r="AD27" i="126"/>
  <c r="FY36" i="123"/>
  <c r="AI140" i="7"/>
  <c r="AM140" i="7"/>
  <c r="AQ13" i="7"/>
  <c r="AR13" i="7" s="1"/>
  <c r="R45" i="68"/>
  <c r="T43" i="68"/>
  <c r="T45" i="68" s="1"/>
  <c r="O43" i="126"/>
  <c r="AN52" i="123"/>
  <c r="CD52" i="123"/>
  <c r="BC17" i="8"/>
  <c r="AF43" i="122"/>
  <c r="AL43" i="122" s="1"/>
  <c r="AM43" i="122"/>
  <c r="AP43" i="122"/>
  <c r="BE43" i="122" s="1"/>
  <c r="EX40" i="123"/>
  <c r="FG40" i="123" s="1"/>
  <c r="AF76" i="121"/>
  <c r="AG78" i="121"/>
  <c r="AF56" i="120"/>
  <c r="AL56" i="120" s="1"/>
  <c r="AM56" i="120"/>
  <c r="AP56" i="120"/>
  <c r="AP197" i="120" s="1"/>
  <c r="CO49" i="121" s="1"/>
  <c r="D73" i="32"/>
  <c r="D10" i="104" s="1"/>
  <c r="D14" i="104" s="1"/>
  <c r="M16" i="61" s="1"/>
  <c r="M14" i="61" s="1"/>
  <c r="D70" i="32"/>
  <c r="AM12" i="121"/>
  <c r="AL12" i="121" s="1"/>
  <c r="AL11" i="121"/>
  <c r="AO112" i="122"/>
  <c r="AO165" i="122" s="1"/>
  <c r="AP111" i="122"/>
  <c r="AP165" i="122"/>
  <c r="CO49" i="123" s="1"/>
  <c r="BN112" i="122"/>
  <c r="BN124" i="120"/>
  <c r="BM124" i="120" s="1"/>
  <c r="AO124" i="120"/>
  <c r="BJ33" i="120"/>
  <c r="BD223" i="120"/>
  <c r="BJ223" i="120" s="1"/>
  <c r="BJ157" i="120"/>
  <c r="AL23" i="122"/>
  <c r="BD58" i="7"/>
  <c r="AM60" i="19"/>
  <c r="FP13" i="121"/>
  <c r="FY13" i="121" s="1"/>
  <c r="FY12" i="121"/>
  <c r="BE178" i="120"/>
  <c r="Y16" i="125"/>
  <c r="BE12" i="120"/>
  <c r="BD11" i="120"/>
  <c r="FO63" i="121"/>
  <c r="V67" i="6"/>
  <c r="V73" i="6"/>
  <c r="X64" i="6"/>
  <c r="Y64" i="6" s="1"/>
  <c r="V68" i="6"/>
  <c r="V123" i="6"/>
  <c r="V124" i="6" s="1"/>
  <c r="V65" i="6"/>
  <c r="V70" i="6"/>
  <c r="V66" i="6"/>
  <c r="V71" i="6"/>
  <c r="P29" i="56"/>
  <c r="K30" i="56"/>
  <c r="K29" i="56" s="1"/>
  <c r="T29" i="56" s="1"/>
  <c r="R64" i="125"/>
  <c r="CK79" i="121"/>
  <c r="CC63" i="120"/>
  <c r="CU48" i="7"/>
  <c r="AF22" i="61"/>
  <c r="EA50" i="121"/>
  <c r="R35" i="125"/>
  <c r="CK50" i="121"/>
  <c r="DQ13" i="121"/>
  <c r="DZ13" i="121" s="1"/>
  <c r="DZ12" i="121"/>
  <c r="AN24" i="8"/>
  <c r="AN90" i="8" s="1"/>
  <c r="AM90" i="8"/>
  <c r="T41" i="125"/>
  <c r="BD185" i="120"/>
  <c r="X23" i="125"/>
  <c r="AM26" i="7"/>
  <c r="BA26" i="7"/>
  <c r="FY49" i="121"/>
  <c r="AC34" i="125"/>
  <c r="AY61" i="121"/>
  <c r="AO61" i="121"/>
  <c r="AR81" i="121"/>
  <c r="AS82" i="121"/>
  <c r="AR82" i="121" s="1"/>
  <c r="FP50" i="121"/>
  <c r="P92" i="56"/>
  <c r="K93" i="56"/>
  <c r="K92" i="56" s="1"/>
  <c r="T92" i="56" s="1"/>
  <c r="AY51" i="121"/>
  <c r="AO51" i="121"/>
  <c r="CY17" i="8"/>
  <c r="CY55" i="8"/>
  <c r="CY54" i="8" s="1"/>
  <c r="CY86" i="8"/>
  <c r="AF67" i="32"/>
  <c r="AH67" i="32" s="1"/>
  <c r="S67" i="32"/>
  <c r="S17" i="125"/>
  <c r="AG179" i="120"/>
  <c r="AG180" i="120" s="1"/>
  <c r="AG13" i="120"/>
  <c r="AF12" i="120"/>
  <c r="EC11" i="121"/>
  <c r="EC10" i="121"/>
  <c r="EL10" i="121" s="1"/>
  <c r="EL8" i="121"/>
  <c r="AW33" i="8"/>
  <c r="AI27" i="8"/>
  <c r="AJ33" i="8"/>
  <c r="BA33" i="8"/>
  <c r="DX11" i="121"/>
  <c r="BV90" i="8"/>
  <c r="AF69" i="120"/>
  <c r="AL69" i="120" s="1"/>
  <c r="BE69" i="120"/>
  <c r="AM69" i="120"/>
  <c r="AC18" i="98"/>
  <c r="X22" i="98"/>
  <c r="X69" i="123"/>
  <c r="W68" i="123"/>
  <c r="W69" i="123" s="1"/>
  <c r="Z17" i="61"/>
  <c r="O9" i="102"/>
  <c r="R85" i="68"/>
  <c r="R86" i="68" s="1"/>
  <c r="B13" i="121"/>
  <c r="GM13" i="121" s="1"/>
  <c r="GM12" i="121"/>
  <c r="AA15" i="126"/>
  <c r="G19" i="127" s="1"/>
  <c r="EA8" i="123"/>
  <c r="Y15" i="126" s="1"/>
  <c r="EL8" i="123"/>
  <c r="EJ8" i="123" s="1"/>
  <c r="BY18" i="7"/>
  <c r="R164" i="122"/>
  <c r="AP48" i="123" s="1"/>
  <c r="Q111" i="122"/>
  <c r="Q164" i="122" s="1"/>
  <c r="R66" i="68"/>
  <c r="R70" i="68" s="1"/>
  <c r="R67" i="68"/>
  <c r="R69" i="68"/>
  <c r="R68" i="68"/>
  <c r="EZ82" i="121"/>
  <c r="EY82" i="121" s="1"/>
  <c r="EY81" i="121"/>
  <c r="G82" i="121"/>
  <c r="G83" i="121" s="1"/>
  <c r="AH81" i="121"/>
  <c r="E81" i="121"/>
  <c r="B89" i="120"/>
  <c r="C71" i="120"/>
  <c r="BI158" i="120"/>
  <c r="AK160" i="120"/>
  <c r="BM25" i="122"/>
  <c r="DD157" i="7"/>
  <c r="DD155" i="7"/>
  <c r="CG29" i="120"/>
  <c r="BN144" i="120"/>
  <c r="AO144" i="120"/>
  <c r="AP210" i="120"/>
  <c r="CO62" i="121" s="1"/>
  <c r="AP143" i="120"/>
  <c r="CM144" i="120"/>
  <c r="CJ181" i="120"/>
  <c r="CJ12" i="120"/>
  <c r="CJ179" i="120" s="1"/>
  <c r="EB10" i="121"/>
  <c r="EK10" i="121" s="1"/>
  <c r="EB11" i="121"/>
  <c r="EA8" i="121"/>
  <c r="EA10" i="121" s="1"/>
  <c r="EJ10" i="121" s="1"/>
  <c r="EK8" i="121"/>
  <c r="AL12" i="66"/>
  <c r="BM157" i="120"/>
  <c r="BM223" i="120" s="1"/>
  <c r="BN223" i="120"/>
  <c r="EN75" i="121" s="1"/>
  <c r="CM157" i="120"/>
  <c r="GF74" i="123"/>
  <c r="GF63" i="123"/>
  <c r="AQ50" i="72"/>
  <c r="BA50" i="72"/>
  <c r="AI15" i="95"/>
  <c r="AI20" i="95" s="1"/>
  <c r="AI8" i="95"/>
  <c r="AI13" i="95" s="1"/>
  <c r="R15" i="125"/>
  <c r="AL10" i="120"/>
  <c r="AL177" i="120" s="1"/>
  <c r="DA144" i="7"/>
  <c r="DA150" i="7" s="1"/>
  <c r="DA152" i="7" s="1"/>
  <c r="DA63" i="7"/>
  <c r="DA65" i="7" s="1"/>
  <c r="AN89" i="8"/>
  <c r="AN17" i="8"/>
  <c r="AO17" i="8" s="1"/>
  <c r="FN64" i="121"/>
  <c r="Q13" i="120"/>
  <c r="O18" i="125" s="1"/>
  <c r="Q179" i="120"/>
  <c r="Q180" i="120" s="1"/>
  <c r="O17" i="125"/>
  <c r="AD19" i="98"/>
  <c r="AB19" i="98"/>
  <c r="CC127" i="120"/>
  <c r="CU39" i="7"/>
  <c r="BN167" i="122"/>
  <c r="EN51" i="123" s="1"/>
  <c r="BM114" i="122"/>
  <c r="BM167" i="122" s="1"/>
  <c r="AF54" i="125"/>
  <c r="GK69" i="121"/>
  <c r="BA30" i="8"/>
  <c r="AZ27" i="8"/>
  <c r="BA27" i="8" s="1"/>
  <c r="EF60" i="121"/>
  <c r="CM60" i="121"/>
  <c r="AN142" i="7"/>
  <c r="AL19" i="7"/>
  <c r="BW14" i="7"/>
  <c r="BX14" i="7"/>
  <c r="BV15" i="7"/>
  <c r="AG111" i="122"/>
  <c r="DH74" i="121"/>
  <c r="DF74" i="121" s="1"/>
  <c r="CW74" i="121"/>
  <c r="AD61" i="121"/>
  <c r="BC24" i="71"/>
  <c r="AT24" i="71"/>
  <c r="V24" i="71"/>
  <c r="T36" i="71"/>
  <c r="AX24" i="71"/>
  <c r="AZ14" i="8"/>
  <c r="BB90" i="8"/>
  <c r="BB99" i="8" s="1"/>
  <c r="AJ21" i="65"/>
  <c r="AO21" i="65"/>
  <c r="AQ21" i="65"/>
  <c r="BY45" i="7"/>
  <c r="EL65" i="121"/>
  <c r="GB65" i="121"/>
  <c r="Z50" i="125"/>
  <c r="O82" i="121"/>
  <c r="O83" i="121" s="1"/>
  <c r="N81" i="121"/>
  <c r="AG81" i="121"/>
  <c r="BN97" i="122"/>
  <c r="BM97" i="122" s="1"/>
  <c r="AO97" i="122"/>
  <c r="CL97" i="122" s="1"/>
  <c r="BH75" i="121"/>
  <c r="BG75" i="121" s="1"/>
  <c r="AX75" i="121"/>
  <c r="R40" i="126"/>
  <c r="CA49" i="123"/>
  <c r="CD49" i="123"/>
  <c r="BO174" i="122"/>
  <c r="EO58" i="123" s="1"/>
  <c r="EX58" i="123" s="1"/>
  <c r="FG58" i="123" s="1"/>
  <c r="FP58" i="123" s="1"/>
  <c r="BO115" i="122"/>
  <c r="BO168" i="122" s="1"/>
  <c r="EO52" i="123" s="1"/>
  <c r="BM70" i="120"/>
  <c r="CL70" i="120" s="1"/>
  <c r="BN69" i="120"/>
  <c r="CM70" i="120"/>
  <c r="BO111" i="122"/>
  <c r="BO164" i="122" s="1"/>
  <c r="EO48" i="123" s="1"/>
  <c r="BO165" i="122"/>
  <c r="EO49" i="123" s="1"/>
  <c r="N231" i="120"/>
  <c r="N226" i="120"/>
  <c r="W11" i="95"/>
  <c r="V16" i="95"/>
  <c r="V21" i="95" s="1"/>
  <c r="V31" i="95" s="1"/>
  <c r="V50" i="95" s="1"/>
  <c r="AA13" i="64" s="1"/>
  <c r="DZ50" i="121"/>
  <c r="W35" i="125"/>
  <c r="AW26" i="8"/>
  <c r="AJ26" i="8"/>
  <c r="BA26" i="8"/>
  <c r="AQ19" i="7"/>
  <c r="AR19" i="7" s="1"/>
  <c r="AF56" i="126"/>
  <c r="GJ65" i="123"/>
  <c r="DG79" i="121"/>
  <c r="CW79" i="121"/>
  <c r="W89" i="121"/>
  <c r="W78" i="121"/>
  <c r="AQ23" i="64"/>
  <c r="AQ10" i="64"/>
  <c r="AQ35" i="64" s="1"/>
  <c r="AQ37" i="64" s="1"/>
  <c r="CK13" i="8"/>
  <c r="U50" i="123"/>
  <c r="T50" i="123" s="1"/>
  <c r="K50" i="123"/>
  <c r="AC36" i="125"/>
  <c r="FY51" i="121"/>
  <c r="AA15" i="7"/>
  <c r="AP14" i="7"/>
  <c r="AI14" i="7"/>
  <c r="AB14" i="7"/>
  <c r="AB141" i="7" s="1"/>
  <c r="AA141" i="7"/>
  <c r="AI141" i="7" s="1"/>
  <c r="AC14" i="7"/>
  <c r="AC141" i="7" s="1"/>
  <c r="FH89" i="121"/>
  <c r="FH78" i="121"/>
  <c r="P48" i="68"/>
  <c r="P46" i="68"/>
  <c r="P49" i="68"/>
  <c r="P47" i="68"/>
  <c r="Y71" i="8"/>
  <c r="AF71" i="8" s="1"/>
  <c r="Y70" i="8"/>
  <c r="Y74" i="8"/>
  <c r="AF51" i="8"/>
  <c r="Y68" i="8"/>
  <c r="AF68" i="8" s="1"/>
  <c r="AC52" i="125"/>
  <c r="FY67" i="121"/>
  <c r="EC67" i="121"/>
  <c r="CA58" i="123"/>
  <c r="R49" i="126"/>
  <c r="CD58" i="123"/>
  <c r="AR35" i="7"/>
  <c r="AS35" i="7" s="1"/>
  <c r="AE65" i="125"/>
  <c r="GJ80" i="121"/>
  <c r="Q197" i="120"/>
  <c r="BE112" i="122"/>
  <c r="DL34" i="17"/>
  <c r="DM34" i="17" s="1"/>
  <c r="DA29" i="8" s="1"/>
  <c r="CR34" i="17"/>
  <c r="BT29" i="8" s="1"/>
  <c r="CW34" i="17"/>
  <c r="CX34" i="17" s="1"/>
  <c r="CK29" i="8" s="1"/>
  <c r="H33" i="105"/>
  <c r="H25" i="105"/>
  <c r="BD23" i="122"/>
  <c r="BJ23" i="122" s="1"/>
  <c r="BK23" i="122"/>
  <c r="CG143" i="7"/>
  <c r="P10" i="68"/>
  <c r="P9" i="68"/>
  <c r="P12" i="68"/>
  <c r="P11" i="68"/>
  <c r="BJ8" i="120"/>
  <c r="BJ175" i="120" s="1"/>
  <c r="BK175" i="120"/>
  <c r="BK11" i="120"/>
  <c r="AN58" i="7"/>
  <c r="O39" i="126"/>
  <c r="AN48" i="123"/>
  <c r="CD48" i="123"/>
  <c r="BM33" i="120"/>
  <c r="CL33" i="120" s="1"/>
  <c r="AO101" i="120"/>
  <c r="BN101" i="120"/>
  <c r="BM101" i="120" s="1"/>
  <c r="CL38" i="8"/>
  <c r="BJ114" i="122"/>
  <c r="BD167" i="122"/>
  <c r="BJ167" i="122" s="1"/>
  <c r="AY50" i="123"/>
  <c r="AO50" i="123"/>
  <c r="M19" i="105"/>
  <c r="P20" i="105"/>
  <c r="P19" i="105" s="1"/>
  <c r="M26" i="105"/>
  <c r="FS78" i="121"/>
  <c r="BC16" i="61"/>
  <c r="CS172" i="7"/>
  <c r="C12" i="87"/>
  <c r="C11" i="87" s="1"/>
  <c r="C10" i="87" s="1"/>
  <c r="H13" i="61" s="1"/>
  <c r="B11" i="87"/>
  <c r="B10" i="87" s="1"/>
  <c r="CY154" i="7"/>
  <c r="CY152" i="7"/>
  <c r="Z62" i="125"/>
  <c r="EL77" i="121"/>
  <c r="BC38" i="17"/>
  <c r="AT38" i="17"/>
  <c r="T17" i="125"/>
  <c r="AH179" i="120"/>
  <c r="AH180" i="120" s="1"/>
  <c r="AH13" i="120"/>
  <c r="AN11" i="65"/>
  <c r="CM86" i="8"/>
  <c r="Z10" i="95"/>
  <c r="J7" i="96"/>
  <c r="AO67" i="120"/>
  <c r="BN67" i="120"/>
  <c r="BM67" i="120" s="1"/>
  <c r="AH78" i="121"/>
  <c r="T59" i="125"/>
  <c r="CM74" i="121"/>
  <c r="I7" i="96"/>
  <c r="N34" i="105"/>
  <c r="T10" i="95"/>
  <c r="AZ156" i="7"/>
  <c r="CG179" i="120"/>
  <c r="CG180" i="120" s="1"/>
  <c r="CG13" i="120"/>
  <c r="CJ13" i="120" s="1"/>
  <c r="CJ180" i="120" s="1"/>
  <c r="AF197" i="120"/>
  <c r="AL197" i="120" s="1"/>
  <c r="AL31" i="120"/>
  <c r="Z15" i="7"/>
  <c r="Q8" i="7"/>
  <c r="CR31" i="7"/>
  <c r="CR33" i="7" s="1"/>
  <c r="CR27" i="7" s="1"/>
  <c r="AK86" i="8"/>
  <c r="AK99" i="8" s="1"/>
  <c r="AK8" i="8"/>
  <c r="DI24" i="17"/>
  <c r="DI39" i="17" s="1"/>
  <c r="DI38" i="17"/>
  <c r="BL53" i="120"/>
  <c r="CG53" i="120"/>
  <c r="CJ53" i="120" s="1"/>
  <c r="W66" i="32"/>
  <c r="T67" i="32"/>
  <c r="V67" i="32" s="1"/>
  <c r="T61" i="32"/>
  <c r="FS82" i="121"/>
  <c r="ER83" i="121"/>
  <c r="CC107" i="120"/>
  <c r="CC108" i="120"/>
  <c r="CB106" i="120"/>
  <c r="CH106" i="120" s="1"/>
  <c r="U17" i="125"/>
  <c r="AO13" i="120"/>
  <c r="U18" i="125" s="1"/>
  <c r="AO179" i="120"/>
  <c r="AO180" i="120" s="1"/>
  <c r="AD36" i="123"/>
  <c r="R49" i="125"/>
  <c r="CK64" i="121"/>
  <c r="AI41" i="98"/>
  <c r="DB18" i="8"/>
  <c r="BD61" i="7"/>
  <c r="BD146" i="7" s="1"/>
  <c r="BE146" i="7"/>
  <c r="F18" i="61" s="1"/>
  <c r="F14" i="61" s="1"/>
  <c r="BV23" i="7"/>
  <c r="CR24" i="17"/>
  <c r="I6" i="105"/>
  <c r="I15" i="105"/>
  <c r="I20" i="105" s="1"/>
  <c r="AE50" i="19"/>
  <c r="AG49" i="19"/>
  <c r="AH57" i="19"/>
  <c r="AI46" i="8" s="1"/>
  <c r="BA46" i="8" s="1"/>
  <c r="AL50" i="19"/>
  <c r="AN49" i="19"/>
  <c r="AA22" i="64"/>
  <c r="AB22" i="64" s="1"/>
  <c r="AC22" i="64" s="1"/>
  <c r="AD22" i="64" s="1"/>
  <c r="AH22" i="64"/>
  <c r="BX173" i="7"/>
  <c r="BX147" i="7"/>
  <c r="M12" i="102"/>
  <c r="N12" i="102" s="1"/>
  <c r="X17" i="64"/>
  <c r="AF17" i="64" s="1"/>
  <c r="W32" i="98"/>
  <c r="W37" i="98" s="1"/>
  <c r="W41" i="98" s="1"/>
  <c r="AC13" i="66" s="1"/>
  <c r="X27" i="98"/>
  <c r="X32" i="98" s="1"/>
  <c r="X37" i="98" s="1"/>
  <c r="BL175" i="120"/>
  <c r="BL11" i="120"/>
  <c r="Z15" i="125"/>
  <c r="BL10" i="120"/>
  <c r="BL177" i="120" s="1"/>
  <c r="EA11" i="123"/>
  <c r="Y18" i="126" s="1"/>
  <c r="AA18" i="126"/>
  <c r="EL11" i="123"/>
  <c r="EJ11" i="123" s="1"/>
  <c r="AP25" i="7"/>
  <c r="AI25" i="7"/>
  <c r="AN24" i="7"/>
  <c r="AL24" i="7" s="1"/>
  <c r="AA17" i="7"/>
  <c r="AN25" i="7"/>
  <c r="BX86" i="8"/>
  <c r="AB33" i="95"/>
  <c r="AA38" i="95"/>
  <c r="AA43" i="95" s="1"/>
  <c r="AA35" i="95"/>
  <c r="AA40" i="95" s="1"/>
  <c r="AA45" i="95" s="1"/>
  <c r="BF15" i="7"/>
  <c r="BF141" i="7"/>
  <c r="AY49" i="123"/>
  <c r="AO49" i="123"/>
  <c r="CK160" i="7"/>
  <c r="CK161" i="7" s="1"/>
  <c r="CK158" i="7"/>
  <c r="T66" i="68"/>
  <c r="T68" i="68"/>
  <c r="T67" i="68"/>
  <c r="T69" i="68"/>
  <c r="P27" i="105"/>
  <c r="P36" i="105" s="1"/>
  <c r="M36" i="105"/>
  <c r="R89" i="120"/>
  <c r="Q90" i="120"/>
  <c r="Q261" i="120" s="1"/>
  <c r="Q260" i="120" s="1"/>
  <c r="R261" i="120"/>
  <c r="R260" i="120" s="1"/>
  <c r="EA13" i="123"/>
  <c r="Y20" i="126" s="1"/>
  <c r="Z20" i="126"/>
  <c r="EK13" i="123"/>
  <c r="EJ13" i="123" s="1"/>
  <c r="CL25" i="122"/>
  <c r="DE158" i="7"/>
  <c r="DE160" i="7"/>
  <c r="DE161" i="7" s="1"/>
  <c r="AN27" i="7"/>
  <c r="AL27" i="7" s="1"/>
  <c r="AL34" i="7"/>
  <c r="M42" i="126"/>
  <c r="AL51" i="123"/>
  <c r="AF176" i="122"/>
  <c r="AL176" i="122" s="1"/>
  <c r="AL123" i="122"/>
  <c r="GK57" i="121"/>
  <c r="AF42" i="125"/>
  <c r="W67" i="123"/>
  <c r="AZ85" i="7"/>
  <c r="FO13" i="121"/>
  <c r="FX13" i="121" s="1"/>
  <c r="FN12" i="121"/>
  <c r="FN13" i="121" s="1"/>
  <c r="FW13" i="121" s="1"/>
  <c r="FX12" i="121"/>
  <c r="AC49" i="121"/>
  <c r="D196" i="120"/>
  <c r="S30" i="120"/>
  <c r="AH30" i="120" s="1"/>
  <c r="CM130" i="120"/>
  <c r="BV18" i="8"/>
  <c r="BV17" i="8" s="1"/>
  <c r="CB71" i="120"/>
  <c r="CH71" i="120" s="1"/>
  <c r="CI71" i="120"/>
  <c r="DB144" i="7"/>
  <c r="DB63" i="7"/>
  <c r="DB65" i="7" s="1"/>
  <c r="I21" i="87"/>
  <c r="P18" i="61"/>
  <c r="BZ143" i="7"/>
  <c r="GI65" i="123"/>
  <c r="AE56" i="126"/>
  <c r="GB58" i="121"/>
  <c r="Z43" i="125"/>
  <c r="EL58" i="121"/>
  <c r="CL9" i="8"/>
  <c r="AB21" i="98"/>
  <c r="AO167" i="122"/>
  <c r="AQ50" i="19"/>
  <c r="T84" i="68"/>
  <c r="T86" i="68" s="1"/>
  <c r="U48" i="123"/>
  <c r="K48" i="123"/>
  <c r="T60" i="123"/>
  <c r="AC60" i="123" s="1"/>
  <c r="AD60" i="123"/>
  <c r="T62" i="121"/>
  <c r="AC62" i="121" s="1"/>
  <c r="AD62" i="121"/>
  <c r="AT35" i="71"/>
  <c r="BC35" i="71"/>
  <c r="Q41" i="125"/>
  <c r="CA56" i="121"/>
  <c r="BQ60" i="123"/>
  <c r="CL45" i="122"/>
  <c r="BQ75" i="121"/>
  <c r="C34" i="120"/>
  <c r="CB34" i="120"/>
  <c r="CI34" i="120"/>
  <c r="X43" i="126"/>
  <c r="DZ52" i="123"/>
  <c r="BF165" i="122"/>
  <c r="BL165" i="122" s="1"/>
  <c r="BL112" i="122"/>
  <c r="EC53" i="121"/>
  <c r="T38" i="125"/>
  <c r="CM53" i="121"/>
  <c r="DA13" i="8"/>
  <c r="EC50" i="121"/>
  <c r="CM50" i="121"/>
  <c r="T35" i="125"/>
  <c r="BA48" i="9"/>
  <c r="AQ48" i="9"/>
  <c r="AN9" i="7"/>
  <c r="AN51" i="9"/>
  <c r="T75" i="121"/>
  <c r="AD75" i="121"/>
  <c r="AD13" i="7"/>
  <c r="AD140" i="7" s="1"/>
  <c r="DF64" i="121"/>
  <c r="DP64" i="121"/>
  <c r="FP73" i="121"/>
  <c r="L17" i="125"/>
  <c r="CL12" i="120"/>
  <c r="B179" i="120"/>
  <c r="B180" i="120" s="1"/>
  <c r="B13" i="120"/>
  <c r="AF80" i="122"/>
  <c r="AL80" i="122" s="1"/>
  <c r="AM80" i="122"/>
  <c r="AP80" i="122"/>
  <c r="AP152" i="122" s="1"/>
  <c r="CO36" i="123" s="1"/>
  <c r="EX74" i="121"/>
  <c r="EM74" i="121"/>
  <c r="BE143" i="120"/>
  <c r="AG209" i="120"/>
  <c r="AM209" i="120" s="1"/>
  <c r="AF143" i="120"/>
  <c r="AM143" i="120"/>
  <c r="CL157" i="120"/>
  <c r="FE50" i="121"/>
  <c r="FO50" i="121"/>
  <c r="V35" i="95"/>
  <c r="U40" i="95"/>
  <c r="U45" i="95" s="1"/>
  <c r="AL42" i="7"/>
  <c r="AC23" i="95"/>
  <c r="AB25" i="95"/>
  <c r="AB27" i="95" s="1"/>
  <c r="DE107" i="8"/>
  <c r="DE109" i="8"/>
  <c r="DE110" i="8" s="1"/>
  <c r="AO49" i="121"/>
  <c r="AY49" i="121"/>
  <c r="U53" i="126"/>
  <c r="EC62" i="123"/>
  <c r="CM62" i="123"/>
  <c r="DL33" i="17"/>
  <c r="DM33" i="17" s="1"/>
  <c r="DA23" i="8" s="1"/>
  <c r="CR33" i="17"/>
  <c r="BS23" i="8" s="1"/>
  <c r="CW33" i="17"/>
  <c r="CX33" i="17" s="1"/>
  <c r="CK23" i="8" s="1"/>
  <c r="BE124" i="120"/>
  <c r="BN23" i="122"/>
  <c r="AO23" i="122"/>
  <c r="BH39" i="123"/>
  <c r="AX39" i="123"/>
  <c r="AD51" i="121"/>
  <c r="BY165" i="120"/>
  <c r="BY160" i="120"/>
  <c r="CF159" i="122"/>
  <c r="CF163" i="122" s="1"/>
  <c r="CI163" i="122" s="1"/>
  <c r="EQ83" i="121"/>
  <c r="EP82" i="121"/>
  <c r="FQ89" i="121"/>
  <c r="FQ78" i="121"/>
  <c r="BM160" i="122"/>
  <c r="BM194" i="122"/>
  <c r="CB194" i="122" s="1"/>
  <c r="CH194" i="122" s="1"/>
  <c r="AA45" i="126"/>
  <c r="EL54" i="123"/>
  <c r="GB54" i="123"/>
  <c r="FJ67" i="123"/>
  <c r="FH66" i="123"/>
  <c r="CE94" i="122"/>
  <c r="CL107" i="122"/>
  <c r="BD160" i="122"/>
  <c r="BJ160" i="122" s="1"/>
  <c r="BJ30" i="122"/>
  <c r="AZ47" i="123"/>
  <c r="BI47" i="123" s="1"/>
  <c r="EF43" i="123"/>
  <c r="P35" i="126"/>
  <c r="BY44" i="123"/>
  <c r="CB44" i="123"/>
  <c r="FN37" i="123"/>
  <c r="CB203" i="122"/>
  <c r="CH203" i="122" s="1"/>
  <c r="AQ94" i="122"/>
  <c r="AO101" i="122"/>
  <c r="BF101" i="122"/>
  <c r="CE75" i="122"/>
  <c r="CB214" i="122"/>
  <c r="CH214" i="122" s="1"/>
  <c r="AF159" i="122"/>
  <c r="AH63" i="123"/>
  <c r="CG61" i="123"/>
  <c r="AY43" i="123"/>
  <c r="AO43" i="123"/>
  <c r="AR66" i="123"/>
  <c r="BS66" i="123" s="1"/>
  <c r="AS67" i="123"/>
  <c r="AS68" i="123" s="1"/>
  <c r="ER67" i="123"/>
  <c r="EP66" i="123"/>
  <c r="FS66" i="123"/>
  <c r="CE157" i="122"/>
  <c r="CE158" i="122" s="1"/>
  <c r="CE100" i="122"/>
  <c r="EA59" i="123"/>
  <c r="S50" i="126"/>
  <c r="CK59" i="123"/>
  <c r="CB219" i="122"/>
  <c r="CH219" i="122" s="1"/>
  <c r="AO213" i="122"/>
  <c r="BD213" i="122" s="1"/>
  <c r="BJ213" i="122" s="1"/>
  <c r="AE47" i="123"/>
  <c r="BD49" i="122"/>
  <c r="FQ61" i="123"/>
  <c r="EP74" i="123"/>
  <c r="EP63" i="123"/>
  <c r="FP46" i="123"/>
  <c r="N131" i="122"/>
  <c r="N126" i="122"/>
  <c r="AO29" i="122"/>
  <c r="AP159" i="122"/>
  <c r="BE29" i="122"/>
  <c r="EX44" i="123"/>
  <c r="EM44" i="123"/>
  <c r="U47" i="123"/>
  <c r="K47" i="123"/>
  <c r="CF94" i="122"/>
  <c r="CG124" i="122"/>
  <c r="CG126" i="122" s="1"/>
  <c r="EK59" i="123"/>
  <c r="Z50" i="126"/>
  <c r="GA59" i="123"/>
  <c r="AQ223" i="122"/>
  <c r="BF223" i="122" s="1"/>
  <c r="BL223" i="122" s="1"/>
  <c r="AB37" i="126"/>
  <c r="FW46" i="123"/>
  <c r="CB207" i="122"/>
  <c r="CH207" i="122" s="1"/>
  <c r="BM38" i="122"/>
  <c r="BM218" i="122" s="1"/>
  <c r="BN29" i="122"/>
  <c r="BN218" i="122"/>
  <c r="CJ49" i="122"/>
  <c r="CG159" i="122"/>
  <c r="AL218" i="122"/>
  <c r="AL45" i="123"/>
  <c r="CB45" i="123"/>
  <c r="M36" i="126"/>
  <c r="AO218" i="122"/>
  <c r="U43" i="123"/>
  <c r="K43" i="123"/>
  <c r="AK126" i="122"/>
  <c r="CE47" i="123"/>
  <c r="V43" i="123"/>
  <c r="CG75" i="122"/>
  <c r="CJ75" i="122" s="1"/>
  <c r="BL75" i="122"/>
  <c r="BL68" i="123"/>
  <c r="BJ67" i="123"/>
  <c r="BL106" i="122"/>
  <c r="BD106" i="122"/>
  <c r="BJ106" i="122" s="1"/>
  <c r="BO213" i="122"/>
  <c r="CD213" i="122" s="1"/>
  <c r="CJ213" i="122" s="1"/>
  <c r="BO49" i="122"/>
  <c r="CL63" i="122"/>
  <c r="DZ46" i="123"/>
  <c r="X37" i="126"/>
  <c r="EC46" i="123"/>
  <c r="FS63" i="123"/>
  <c r="CB201" i="122"/>
  <c r="CH201" i="122" s="1"/>
  <c r="CL53" i="122"/>
  <c r="AQ159" i="122"/>
  <c r="AQ21" i="122"/>
  <c r="BF29" i="122"/>
  <c r="AF61" i="123"/>
  <c r="CE61" i="123" s="1"/>
  <c r="E74" i="123"/>
  <c r="E63" i="123"/>
  <c r="AO49" i="122"/>
  <c r="CL34" i="122"/>
  <c r="CL30" i="122"/>
  <c r="FP45" i="123"/>
  <c r="GB45" i="123" s="1"/>
  <c r="CE49" i="122"/>
  <c r="BJ49" i="122"/>
  <c r="BG159" i="122"/>
  <c r="BI163" i="122"/>
  <c r="N184" i="122"/>
  <c r="AI184" i="122" s="1"/>
  <c r="N179" i="122"/>
  <c r="FR67" i="123"/>
  <c r="EZ68" i="123"/>
  <c r="EY67" i="123"/>
  <c r="AT67" i="123"/>
  <c r="BU66" i="123"/>
  <c r="AZ43" i="123"/>
  <c r="R35" i="126"/>
  <c r="CA44" i="123"/>
  <c r="CD44" i="123"/>
  <c r="P67" i="123"/>
  <c r="AH66" i="123"/>
  <c r="N66" i="123"/>
  <c r="AN21" i="122"/>
  <c r="BF21" i="122"/>
  <c r="BL21" i="122" s="1"/>
  <c r="DH44" i="123"/>
  <c r="DF44" i="123" s="1"/>
  <c r="CW44" i="123"/>
  <c r="AY47" i="123"/>
  <c r="AO47" i="123"/>
  <c r="BO101" i="122"/>
  <c r="BM106" i="122"/>
  <c r="CL106" i="122" s="1"/>
  <c r="BL65" i="122"/>
  <c r="BD65" i="122"/>
  <c r="BJ65" i="122" s="1"/>
  <c r="GD52" i="123"/>
  <c r="P36" i="126"/>
  <c r="BY45" i="123"/>
  <c r="EF47" i="123"/>
  <c r="AI163" i="122"/>
  <c r="CB198" i="122"/>
  <c r="CH198" i="122" s="1"/>
  <c r="BO29" i="122"/>
  <c r="BO218" i="122"/>
  <c r="E66" i="123"/>
  <c r="F67" i="123"/>
  <c r="AG66" i="123"/>
  <c r="CF66" i="123" s="1"/>
  <c r="Z28" i="126"/>
  <c r="GA37" i="123"/>
  <c r="EK37" i="123"/>
  <c r="GK37" i="123"/>
  <c r="AG28" i="126"/>
  <c r="AG29" i="126"/>
  <c r="GK38" i="123"/>
  <c r="GI46" i="123"/>
  <c r="FZ73" i="123"/>
  <c r="GI73" i="123" s="1"/>
  <c r="EJ73" i="123"/>
  <c r="BY72" i="123"/>
  <c r="CB72" i="123"/>
  <c r="BP70" i="123"/>
  <c r="BY70" i="123" s="1"/>
  <c r="FZ37" i="123"/>
  <c r="Y28" i="126"/>
  <c r="EJ37" i="123"/>
  <c r="GA44" i="123"/>
  <c r="Z35" i="126"/>
  <c r="EK44" i="123"/>
  <c r="AA36" i="126"/>
  <c r="EL45" i="123"/>
  <c r="G5" i="129"/>
  <c r="G8" i="129"/>
  <c r="Z37" i="126"/>
  <c r="GA46" i="123"/>
  <c r="EK46" i="123"/>
  <c r="DJ84" i="121"/>
  <c r="DS68" i="123"/>
  <c r="DS69" i="123" s="1"/>
  <c r="DA69" i="123"/>
  <c r="BA131" i="122"/>
  <c r="BA126" i="122"/>
  <c r="DA83" i="121"/>
  <c r="CZ82" i="121"/>
  <c r="GD55" i="121"/>
  <c r="CS69" i="123"/>
  <c r="DT68" i="123"/>
  <c r="CQ68" i="123"/>
  <c r="DR74" i="123"/>
  <c r="DR63" i="123"/>
  <c r="DT67" i="123"/>
  <c r="CQ67" i="123"/>
  <c r="DR67" i="123" s="1"/>
  <c r="GC52" i="123"/>
  <c r="BA165" i="120"/>
  <c r="BA160" i="120"/>
  <c r="CR82" i="121"/>
  <c r="DS81" i="121"/>
  <c r="CQ81" i="121"/>
  <c r="DR81" i="121" s="1"/>
  <c r="DS78" i="121"/>
  <c r="DR76" i="121"/>
  <c r="CQ89" i="121"/>
  <c r="CQ78" i="121"/>
  <c r="CF40" i="122"/>
  <c r="CE40" i="122"/>
  <c r="BH163" i="122"/>
  <c r="BH177" i="122"/>
  <c r="CE223" i="122"/>
  <c r="CE213" i="122"/>
  <c r="GC36" i="123"/>
  <c r="BK83" i="121"/>
  <c r="BJ83" i="121" s="1"/>
  <c r="BJ84" i="121" s="1"/>
  <c r="CH18" i="120"/>
  <c r="CH185" i="120" s="1"/>
  <c r="CI185" i="120"/>
  <c r="CH10" i="120"/>
  <c r="CE177" i="120"/>
  <c r="GG68" i="123"/>
  <c r="GG69" i="123" s="1"/>
  <c r="CG224" i="120"/>
  <c r="CE215" i="120"/>
  <c r="BI226" i="120"/>
  <c r="BG177" i="122"/>
  <c r="CE168" i="122"/>
  <c r="AC126" i="122"/>
  <c r="AC131" i="122"/>
  <c r="AI124" i="122"/>
  <c r="AJ126" i="122"/>
  <c r="BH124" i="122"/>
  <c r="ED42" i="123"/>
  <c r="GC41" i="123"/>
  <c r="GD42" i="123"/>
  <c r="EE61" i="123"/>
  <c r="CF63" i="123"/>
  <c r="BB68" i="123"/>
  <c r="BA67" i="123"/>
  <c r="GD47" i="123"/>
  <c r="GD43" i="123"/>
  <c r="ED43" i="123"/>
  <c r="BS74" i="123"/>
  <c r="BS63" i="123"/>
  <c r="CH69" i="120"/>
  <c r="CE261" i="120"/>
  <c r="BG260" i="120"/>
  <c r="CE203" i="120"/>
  <c r="CE99" i="120"/>
  <c r="CF99" i="120"/>
  <c r="CF270" i="120"/>
  <c r="CH268" i="120"/>
  <c r="CE265" i="120"/>
  <c r="BJ265" i="120"/>
  <c r="BG270" i="120"/>
  <c r="CF123" i="120"/>
  <c r="AJ226" i="120"/>
  <c r="BS76" i="121"/>
  <c r="BT78" i="121"/>
  <c r="AC226" i="120"/>
  <c r="AC231" i="120"/>
  <c r="AI231" i="120" s="1"/>
  <c r="BA89" i="121"/>
  <c r="BA78" i="121"/>
  <c r="AC165" i="120"/>
  <c r="AI165" i="120" s="1"/>
  <c r="AI158" i="120"/>
  <c r="AC160" i="120"/>
  <c r="ED56" i="121"/>
  <c r="AI224" i="120"/>
  <c r="AI208" i="120"/>
  <c r="EE56" i="121"/>
  <c r="CF76" i="121"/>
  <c r="BH208" i="120"/>
  <c r="BH224" i="120"/>
  <c r="BT81" i="121"/>
  <c r="BA81" i="121"/>
  <c r="BS81" i="121" s="1"/>
  <c r="BB82" i="121"/>
  <c r="ED60" i="121"/>
  <c r="CE130" i="120"/>
  <c r="BG204" i="120"/>
  <c r="BJ130" i="120"/>
  <c r="CF204" i="120"/>
  <c r="CI130" i="120"/>
  <c r="EE60" i="121"/>
  <c r="CE123" i="120"/>
  <c r="BH158" i="120"/>
  <c r="AJ160" i="120"/>
  <c r="GC55" i="121"/>
  <c r="GC42" i="121"/>
  <c r="GJ18" i="121"/>
  <c r="GI18" i="121" s="1"/>
  <c r="CE159" i="120"/>
  <c r="BJ159" i="120"/>
  <c r="CI159" i="120"/>
  <c r="GD26" i="123"/>
  <c r="GJ9" i="123"/>
  <c r="GI9" i="123" s="1"/>
  <c r="CI125" i="122"/>
  <c r="CF178" i="122"/>
  <c r="CI143" i="122"/>
  <c r="BK178" i="122"/>
  <c r="GJ62" i="123"/>
  <c r="GI8" i="121"/>
  <c r="EJ77" i="121"/>
  <c r="CF179" i="120"/>
  <c r="CF180" i="120" s="1"/>
  <c r="CF13" i="120"/>
  <c r="CI13" i="120" s="1"/>
  <c r="CI180" i="120" s="1"/>
  <c r="CE12" i="120"/>
  <c r="CI225" i="120"/>
  <c r="CI181" i="120"/>
  <c r="CH14" i="120"/>
  <c r="CH181" i="120" s="1"/>
  <c r="CI12" i="120"/>
  <c r="GJ77" i="121"/>
  <c r="GC77" i="121"/>
  <c r="CH225" i="120"/>
  <c r="BG13" i="120"/>
  <c r="BG179" i="120"/>
  <c r="BG180" i="120" s="1"/>
  <c r="GJ11" i="121"/>
  <c r="GD12" i="121"/>
  <c r="EE13" i="121"/>
  <c r="AI179" i="122"/>
  <c r="AL178" i="122"/>
  <c r="BG178" i="122"/>
  <c r="BJ143" i="122"/>
  <c r="EJ62" i="123"/>
  <c r="GC62" i="123"/>
  <c r="BI179" i="122"/>
  <c r="BL178" i="122"/>
  <c r="CJ125" i="122"/>
  <c r="CE125" i="122"/>
  <c r="BJ125" i="122"/>
  <c r="CJ143" i="122"/>
  <c r="CE143" i="122"/>
  <c r="CG178" i="122"/>
  <c r="EF13" i="121"/>
  <c r="ED12" i="121"/>
  <c r="ED13" i="121" s="1"/>
  <c r="GC11" i="121"/>
  <c r="GK11" i="121"/>
  <c r="GE12" i="121"/>
  <c r="AI131" i="122" l="1"/>
  <c r="AO223" i="122"/>
  <c r="BD223" i="122" s="1"/>
  <c r="BJ223" i="122" s="1"/>
  <c r="P50" i="68"/>
  <c r="BR61" i="121"/>
  <c r="CD61" i="121" s="1"/>
  <c r="AX74" i="8"/>
  <c r="AX75" i="8" s="1"/>
  <c r="V50" i="126"/>
  <c r="DX59" i="123"/>
  <c r="BX89" i="8"/>
  <c r="BX24" i="8"/>
  <c r="BX90" i="8" s="1"/>
  <c r="BM215" i="122"/>
  <c r="CB215" i="122" s="1"/>
  <c r="CH215" i="122" s="1"/>
  <c r="BY56" i="72"/>
  <c r="BU48" i="72"/>
  <c r="CM56" i="72"/>
  <c r="BJ51" i="122"/>
  <c r="BD161" i="122"/>
  <c r="BJ161" i="122" s="1"/>
  <c r="FW59" i="123"/>
  <c r="AB50" i="126"/>
  <c r="FP53" i="123"/>
  <c r="FZ21" i="123"/>
  <c r="EJ21" i="123"/>
  <c r="EA27" i="123"/>
  <c r="EJ27" i="123" s="1"/>
  <c r="BU45" i="8"/>
  <c r="AB31" i="98"/>
  <c r="AB36" i="98" s="1"/>
  <c r="AB24" i="98"/>
  <c r="AB29" i="98" s="1"/>
  <c r="Y42" i="98"/>
  <c r="Y19" i="98"/>
  <c r="Y38" i="98" s="1"/>
  <c r="Y43" i="98" s="1"/>
  <c r="EM45" i="123"/>
  <c r="EW45" i="123"/>
  <c r="T42" i="98"/>
  <c r="T19" i="98"/>
  <c r="T38" i="98" s="1"/>
  <c r="T43" i="98" s="1"/>
  <c r="AP223" i="122"/>
  <c r="BE223" i="122" s="1"/>
  <c r="BK223" i="122" s="1"/>
  <c r="FP40" i="123"/>
  <c r="BP60" i="123"/>
  <c r="AL16" i="7"/>
  <c r="DP66" i="121"/>
  <c r="CN143" i="120"/>
  <c r="CL81" i="122"/>
  <c r="AA21" i="98"/>
  <c r="AA14" i="98"/>
  <c r="BM202" i="122"/>
  <c r="CB202" i="122" s="1"/>
  <c r="CH202" i="122" s="1"/>
  <c r="CL58" i="122"/>
  <c r="AD31" i="98"/>
  <c r="AD36" i="98" s="1"/>
  <c r="AD24" i="98"/>
  <c r="AD29" i="98" s="1"/>
  <c r="AF50" i="65"/>
  <c r="AF46" i="65"/>
  <c r="S38" i="98"/>
  <c r="S43" i="98" s="1"/>
  <c r="BT9" i="8"/>
  <c r="BT43" i="8"/>
  <c r="N27" i="104"/>
  <c r="Z14" i="98"/>
  <c r="Z21" i="98"/>
  <c r="U31" i="98"/>
  <c r="U36" i="98" s="1"/>
  <c r="U24" i="98"/>
  <c r="U29" i="98" s="1"/>
  <c r="U34" i="98" s="1"/>
  <c r="V26" i="98"/>
  <c r="AD50" i="126"/>
  <c r="FY59" i="123"/>
  <c r="V16" i="98"/>
  <c r="V9" i="98"/>
  <c r="W11" i="98"/>
  <c r="GA27" i="123"/>
  <c r="GJ27" i="123" s="1"/>
  <c r="GJ21" i="123"/>
  <c r="FZ40" i="121"/>
  <c r="GI40" i="121" s="1"/>
  <c r="GI30" i="121"/>
  <c r="T36" i="126"/>
  <c r="CL45" i="123"/>
  <c r="T40" i="98"/>
  <c r="AB12" i="65" s="1"/>
  <c r="BD81" i="122"/>
  <c r="BJ81" i="122" s="1"/>
  <c r="BL81" i="122"/>
  <c r="AB40" i="98"/>
  <c r="P51" i="68"/>
  <c r="BF270" i="120"/>
  <c r="BL270" i="120" s="1"/>
  <c r="CB217" i="122"/>
  <c r="CH217" i="122" s="1"/>
  <c r="CB42" i="122"/>
  <c r="C42" i="122"/>
  <c r="CI42" i="122"/>
  <c r="CC154" i="122"/>
  <c r="CI154" i="122" s="1"/>
  <c r="U44" i="126"/>
  <c r="CM53" i="123"/>
  <c r="AH26" i="98"/>
  <c r="AC31" i="98"/>
  <c r="AC36" i="98" s="1"/>
  <c r="AC24" i="98"/>
  <c r="AC29" i="98" s="1"/>
  <c r="CL91" i="8"/>
  <c r="CK19" i="8"/>
  <c r="CK91" i="8" s="1"/>
  <c r="BT91" i="8"/>
  <c r="BS19" i="8"/>
  <c r="BS91" i="8" s="1"/>
  <c r="BO51" i="72"/>
  <c r="BR48" i="72"/>
  <c r="BP48" i="72"/>
  <c r="Z31" i="98"/>
  <c r="Z36" i="98" s="1"/>
  <c r="Z24" i="98"/>
  <c r="Z29" i="98" s="1"/>
  <c r="Z34" i="98" s="1"/>
  <c r="CL69" i="122"/>
  <c r="BY50" i="72"/>
  <c r="CM50" i="72"/>
  <c r="M35" i="104"/>
  <c r="M39" i="104" s="1"/>
  <c r="Z16" i="66" s="1"/>
  <c r="Z14" i="66" s="1"/>
  <c r="H17" i="92"/>
  <c r="BN213" i="122"/>
  <c r="CC213" i="122" s="1"/>
  <c r="CI213" i="122" s="1"/>
  <c r="BN49" i="122"/>
  <c r="EL59" i="123"/>
  <c r="AA50" i="126"/>
  <c r="GB59" i="123"/>
  <c r="AU107" i="8"/>
  <c r="AU109" i="8"/>
  <c r="AU110" i="8" s="1"/>
  <c r="AA31" i="98"/>
  <c r="AA36" i="98" s="1"/>
  <c r="AA24" i="98"/>
  <c r="AA29" i="98" s="1"/>
  <c r="AA34" i="98" s="1"/>
  <c r="BX124" i="8"/>
  <c r="AE22" i="66"/>
  <c r="AF22" i="66" s="1"/>
  <c r="BX19" i="8"/>
  <c r="BV91" i="8"/>
  <c r="BW19" i="8"/>
  <c r="BT45" i="8"/>
  <c r="BS45" i="8" s="1"/>
  <c r="N26" i="104"/>
  <c r="M31" i="104"/>
  <c r="CW45" i="123"/>
  <c r="DG45" i="123"/>
  <c r="AD21" i="95"/>
  <c r="AD31" i="95" s="1"/>
  <c r="AD50" i="95" s="1"/>
  <c r="AD26" i="95"/>
  <c r="U14" i="98"/>
  <c r="U21" i="98"/>
  <c r="U40" i="98" s="1"/>
  <c r="AC12" i="65" s="1"/>
  <c r="GJ30" i="121"/>
  <c r="GA40" i="121"/>
  <c r="GJ40" i="121" s="1"/>
  <c r="BW9" i="8"/>
  <c r="Y40" i="98"/>
  <c r="BM195" i="122"/>
  <c r="CB195" i="122" s="1"/>
  <c r="CH195" i="122" s="1"/>
  <c r="BM161" i="122"/>
  <c r="CL51" i="122"/>
  <c r="AT107" i="8"/>
  <c r="AT109" i="8"/>
  <c r="AT110" i="8" s="1"/>
  <c r="AC82" i="7"/>
  <c r="AC80" i="7"/>
  <c r="AC83" i="7" s="1"/>
  <c r="AC85" i="7"/>
  <c r="CL124" i="120"/>
  <c r="FQ81" i="121"/>
  <c r="CL126" i="120"/>
  <c r="AA44" i="126"/>
  <c r="EL53" i="123"/>
  <c r="GB53" i="123"/>
  <c r="AA157" i="7"/>
  <c r="AA155" i="7"/>
  <c r="AI155" i="7" s="1"/>
  <c r="AI150" i="7"/>
  <c r="EG83" i="121"/>
  <c r="CH84" i="121"/>
  <c r="BG48" i="72"/>
  <c r="BD51" i="72"/>
  <c r="BE17" i="7"/>
  <c r="BD9" i="7"/>
  <c r="BG48" i="9"/>
  <c r="BD51" i="9"/>
  <c r="AW40" i="8"/>
  <c r="BC39" i="8"/>
  <c r="T71" i="68"/>
  <c r="AN17" i="7"/>
  <c r="AL17" i="7" s="1"/>
  <c r="AD14" i="7"/>
  <c r="AD141" i="7" s="1"/>
  <c r="Y113" i="6"/>
  <c r="AL41" i="8" s="1"/>
  <c r="AL34" i="8" s="1"/>
  <c r="DO59" i="121"/>
  <c r="EA59" i="121" s="1"/>
  <c r="AB158" i="7"/>
  <c r="AB160" i="7"/>
  <c r="AB161" i="7" s="1"/>
  <c r="AF51" i="125"/>
  <c r="GK66" i="121"/>
  <c r="AV101" i="8"/>
  <c r="AD157" i="7"/>
  <c r="AD155" i="7"/>
  <c r="R71" i="68"/>
  <c r="AK92" i="8"/>
  <c r="GB71" i="121"/>
  <c r="Z56" i="125"/>
  <c r="EL71" i="121"/>
  <c r="AX71" i="8"/>
  <c r="AV69" i="8"/>
  <c r="AV105" i="8" s="1"/>
  <c r="AV106" i="8" s="1"/>
  <c r="AX105" i="8"/>
  <c r="AX106" i="8" s="1"/>
  <c r="AC157" i="7"/>
  <c r="AC155" i="7"/>
  <c r="CB55" i="72"/>
  <c r="BZ55" i="72" s="1"/>
  <c r="E7" i="77"/>
  <c r="AV68" i="8"/>
  <c r="AD85" i="7"/>
  <c r="AD86" i="7" s="1"/>
  <c r="AD83" i="7"/>
  <c r="AD80" i="7"/>
  <c r="AD82" i="7"/>
  <c r="FI83" i="121"/>
  <c r="FH83" i="121" s="1"/>
  <c r="FH84" i="121" s="1"/>
  <c r="FW12" i="121"/>
  <c r="CM61" i="121"/>
  <c r="T46" i="125"/>
  <c r="U44" i="125"/>
  <c r="DX59" i="121"/>
  <c r="BT67" i="123"/>
  <c r="F11" i="65"/>
  <c r="CL114" i="122"/>
  <c r="P52" i="68"/>
  <c r="DQ58" i="123"/>
  <c r="AC61" i="121"/>
  <c r="AL61" i="121" s="1"/>
  <c r="Y100" i="6"/>
  <c r="AL33" i="8" s="1"/>
  <c r="AL27" i="8" s="1"/>
  <c r="BU80" i="7"/>
  <c r="BU82" i="7"/>
  <c r="CJ172" i="7"/>
  <c r="CJ176" i="7" s="1"/>
  <c r="AZ16" i="61"/>
  <c r="AZ14" i="61" s="1"/>
  <c r="AZ11" i="61" s="1"/>
  <c r="CJ150" i="7"/>
  <c r="DO66" i="121"/>
  <c r="CP107" i="8"/>
  <c r="CP109" i="8"/>
  <c r="CP110" i="8" s="1"/>
  <c r="FF66" i="121"/>
  <c r="FE66" i="121" s="1"/>
  <c r="EV66" i="121"/>
  <c r="AA107" i="8"/>
  <c r="AA109" i="8"/>
  <c r="AA110" i="8" s="1"/>
  <c r="EI68" i="123"/>
  <c r="CJ69" i="123"/>
  <c r="BT65" i="7"/>
  <c r="BT78" i="7"/>
  <c r="AO18" i="8"/>
  <c r="AO86" i="8" s="1"/>
  <c r="AO99" i="8" s="1"/>
  <c r="CY61" i="121"/>
  <c r="DH61" i="121" s="1"/>
  <c r="EM63" i="121"/>
  <c r="EX63" i="121"/>
  <c r="BO208" i="120"/>
  <c r="EO60" i="121" s="1"/>
  <c r="EO56" i="121"/>
  <c r="EX56" i="121" s="1"/>
  <c r="FG56" i="121" s="1"/>
  <c r="FG59" i="121"/>
  <c r="FE59" i="121" s="1"/>
  <c r="EV59" i="121"/>
  <c r="FP59" i="121"/>
  <c r="FQ66" i="123"/>
  <c r="BE80" i="122"/>
  <c r="CM101" i="120"/>
  <c r="P14" i="68"/>
  <c r="AC50" i="123"/>
  <c r="BP75" i="121"/>
  <c r="AN63" i="121"/>
  <c r="N48" i="125"/>
  <c r="EM65" i="121"/>
  <c r="EW65" i="121"/>
  <c r="X52" i="61"/>
  <c r="X53" i="61" s="1"/>
  <c r="AX46" i="61"/>
  <c r="X48" i="61"/>
  <c r="AE46" i="61"/>
  <c r="Z46" i="61"/>
  <c r="BU155" i="7"/>
  <c r="BU157" i="7"/>
  <c r="DG65" i="121"/>
  <c r="CW65" i="121"/>
  <c r="AF106" i="8"/>
  <c r="Y109" i="8"/>
  <c r="Y107" i="8"/>
  <c r="AF107" i="8" s="1"/>
  <c r="CM155" i="7"/>
  <c r="CL154" i="7"/>
  <c r="CM157" i="7"/>
  <c r="H12" i="87"/>
  <c r="CS51" i="72"/>
  <c r="CQ51" i="72" s="1"/>
  <c r="AG41" i="126"/>
  <c r="GK50" i="123"/>
  <c r="AF53" i="125"/>
  <c r="GK68" i="121"/>
  <c r="BT154" i="7"/>
  <c r="BT152" i="7"/>
  <c r="AN106" i="8"/>
  <c r="AN101" i="8"/>
  <c r="EB66" i="121"/>
  <c r="CL66" i="121"/>
  <c r="S51" i="125"/>
  <c r="BL37" i="120"/>
  <c r="BF204" i="120"/>
  <c r="BG63" i="121"/>
  <c r="BR63" i="121"/>
  <c r="CD63" i="121" s="1"/>
  <c r="R72" i="68"/>
  <c r="CH37" i="120"/>
  <c r="BM213" i="120"/>
  <c r="CL147" i="120"/>
  <c r="BJ160" i="7"/>
  <c r="BJ161" i="7" s="1"/>
  <c r="BJ158" i="7"/>
  <c r="AL109" i="8"/>
  <c r="P83" i="56"/>
  <c r="AL107" i="8"/>
  <c r="Z109" i="8"/>
  <c r="Z110" i="8" s="1"/>
  <c r="Z107" i="8"/>
  <c r="DY66" i="121"/>
  <c r="V51" i="125"/>
  <c r="BL160" i="7"/>
  <c r="BL161" i="7" s="1"/>
  <c r="BL158" i="7"/>
  <c r="CQ109" i="8"/>
  <c r="CQ110" i="8" s="1"/>
  <c r="CQ107" i="8"/>
  <c r="BQ64" i="123"/>
  <c r="CO64" i="123"/>
  <c r="BG64" i="123"/>
  <c r="BP64" i="123" s="1"/>
  <c r="EH84" i="121"/>
  <c r="GG83" i="121"/>
  <c r="GG84" i="121" s="1"/>
  <c r="AM106" i="8"/>
  <c r="AM101" i="8"/>
  <c r="BM211" i="120"/>
  <c r="CL145" i="120"/>
  <c r="AJ14" i="8"/>
  <c r="AI90" i="8"/>
  <c r="AW14" i="8"/>
  <c r="AI8" i="8"/>
  <c r="GH83" i="121"/>
  <c r="GH84" i="121" s="1"/>
  <c r="EI84" i="121"/>
  <c r="BD211" i="120"/>
  <c r="BJ211" i="120" s="1"/>
  <c r="BJ145" i="120"/>
  <c r="DQ59" i="121"/>
  <c r="EC59" i="121" s="1"/>
  <c r="CL101" i="120"/>
  <c r="DO74" i="121"/>
  <c r="U59" i="125" s="1"/>
  <c r="AO24" i="8"/>
  <c r="AO90" i="8" s="1"/>
  <c r="AK17" i="8"/>
  <c r="CX24" i="17"/>
  <c r="AI69" i="123"/>
  <c r="CH68" i="123"/>
  <c r="Q46" i="125"/>
  <c r="CA61" i="121"/>
  <c r="DH63" i="121"/>
  <c r="DF63" i="121" s="1"/>
  <c r="CW63" i="121"/>
  <c r="AS33" i="7"/>
  <c r="BP65" i="121"/>
  <c r="T44" i="125"/>
  <c r="CM59" i="121"/>
  <c r="AQ208" i="120"/>
  <c r="CP60" i="121" s="1"/>
  <c r="CY60" i="121" s="1"/>
  <c r="DH60" i="121" s="1"/>
  <c r="CP56" i="121"/>
  <c r="CY56" i="121" s="1"/>
  <c r="DH56" i="121" s="1"/>
  <c r="AD41" i="126"/>
  <c r="FY50" i="123"/>
  <c r="EX61" i="121"/>
  <c r="FG61" i="121" s="1"/>
  <c r="CN109" i="8"/>
  <c r="CN110" i="8" s="1"/>
  <c r="CN107" i="8"/>
  <c r="BF209" i="120"/>
  <c r="BL209" i="120" s="1"/>
  <c r="BL143" i="120"/>
  <c r="BP87" i="121"/>
  <c r="BQ65" i="121"/>
  <c r="CF177" i="122"/>
  <c r="CF179" i="122" s="1"/>
  <c r="CI159" i="122"/>
  <c r="FR82" i="121"/>
  <c r="FQ82" i="121"/>
  <c r="EZ83" i="121"/>
  <c r="EZ84" i="121" s="1"/>
  <c r="CB60" i="123"/>
  <c r="AL60" i="123"/>
  <c r="M51" i="126"/>
  <c r="O84" i="121"/>
  <c r="N83" i="121"/>
  <c r="N84" i="121" s="1"/>
  <c r="AG83" i="121"/>
  <c r="BB101" i="8"/>
  <c r="DX74" i="121"/>
  <c r="L47" i="125"/>
  <c r="AL62" i="121"/>
  <c r="I26" i="105"/>
  <c r="I19" i="105"/>
  <c r="O60" i="125"/>
  <c r="BY75" i="121"/>
  <c r="BD43" i="122"/>
  <c r="BJ43" i="122" s="1"/>
  <c r="BK43" i="122"/>
  <c r="BE152" i="122"/>
  <c r="BK152" i="122" s="1"/>
  <c r="L46" i="125"/>
  <c r="BD68" i="120"/>
  <c r="BJ68" i="120" s="1"/>
  <c r="BK68" i="120"/>
  <c r="CN49" i="121"/>
  <c r="CX49" i="121"/>
  <c r="BD100" i="120"/>
  <c r="BK100" i="120"/>
  <c r="BE199" i="120"/>
  <c r="BK199" i="120" s="1"/>
  <c r="CL38" i="122"/>
  <c r="BG39" i="123"/>
  <c r="BP39" i="123" s="1"/>
  <c r="BQ39" i="123"/>
  <c r="BD124" i="120"/>
  <c r="BJ124" i="120" s="1"/>
  <c r="BK124" i="120"/>
  <c r="AX49" i="121"/>
  <c r="BH49" i="121"/>
  <c r="V40" i="95"/>
  <c r="V45" i="95" s="1"/>
  <c r="W35" i="95"/>
  <c r="BE209" i="120"/>
  <c r="BK209" i="120" s="1"/>
  <c r="BD143" i="120"/>
  <c r="BK143" i="120"/>
  <c r="DY64" i="121"/>
  <c r="V49" i="125"/>
  <c r="EB64" i="121"/>
  <c r="AC75" i="121"/>
  <c r="AQ51" i="9"/>
  <c r="AL51" i="9"/>
  <c r="AO51" i="9" s="1"/>
  <c r="BA51" i="9"/>
  <c r="CC26" i="122"/>
  <c r="DA89" i="8"/>
  <c r="CZ13" i="8"/>
  <c r="Q51" i="126"/>
  <c r="BZ60" i="123"/>
  <c r="AD48" i="123"/>
  <c r="T48" i="123"/>
  <c r="AC48" i="123" s="1"/>
  <c r="S196" i="120"/>
  <c r="D48" i="121"/>
  <c r="AM27" i="7"/>
  <c r="BA27" i="7"/>
  <c r="AB38" i="95"/>
  <c r="AB43" i="95" s="1"/>
  <c r="AC33" i="95"/>
  <c r="AB35" i="95"/>
  <c r="AB40" i="95" s="1"/>
  <c r="AB45" i="95" s="1"/>
  <c r="AI17" i="7"/>
  <c r="AB17" i="7"/>
  <c r="AP17" i="7"/>
  <c r="O12" i="102"/>
  <c r="Z17" i="64"/>
  <c r="AH17" i="64" s="1"/>
  <c r="CB107" i="120"/>
  <c r="CH107" i="120" s="1"/>
  <c r="C107" i="120"/>
  <c r="CI107" i="120"/>
  <c r="T68" i="32"/>
  <c r="V68" i="32" s="1"/>
  <c r="Z8" i="7"/>
  <c r="Q63" i="7"/>
  <c r="T15" i="95"/>
  <c r="T20" i="95" s="1"/>
  <c r="U10" i="95"/>
  <c r="T8" i="95"/>
  <c r="T13" i="95" s="1"/>
  <c r="CM67" i="120"/>
  <c r="AD10" i="95"/>
  <c r="AA10" i="95"/>
  <c r="AC10" i="95"/>
  <c r="Z8" i="95"/>
  <c r="Z13" i="95" s="1"/>
  <c r="Z15" i="95"/>
  <c r="Z20" i="95" s="1"/>
  <c r="AB10" i="95"/>
  <c r="P26" i="105"/>
  <c r="M33" i="105"/>
  <c r="M25" i="105"/>
  <c r="CM48" i="123"/>
  <c r="U39" i="126"/>
  <c r="AN145" i="7"/>
  <c r="AO58" i="7"/>
  <c r="AO145" i="7" s="1"/>
  <c r="P13" i="68"/>
  <c r="BD112" i="122"/>
  <c r="BK112" i="122"/>
  <c r="BE165" i="122"/>
  <c r="BK165" i="122" s="1"/>
  <c r="BM69" i="120"/>
  <c r="CL69" i="120" s="1"/>
  <c r="CM69" i="120"/>
  <c r="U40" i="126"/>
  <c r="EC49" i="123"/>
  <c r="CM49" i="123"/>
  <c r="AL142" i="7"/>
  <c r="BA19" i="7"/>
  <c r="AM19" i="7"/>
  <c r="AO143" i="120"/>
  <c r="AP209" i="120"/>
  <c r="CO61" i="121" s="1"/>
  <c r="DD158" i="7"/>
  <c r="DD160" i="7"/>
  <c r="DD161" i="7" s="1"/>
  <c r="B71" i="120"/>
  <c r="AF81" i="121"/>
  <c r="I19" i="127"/>
  <c r="I17" i="127" s="1"/>
  <c r="G17" i="127"/>
  <c r="AC22" i="98"/>
  <c r="AC41" i="98" s="1"/>
  <c r="AC21" i="98"/>
  <c r="AC40" i="98" s="1"/>
  <c r="R17" i="125"/>
  <c r="AF179" i="120"/>
  <c r="AF180" i="120" s="1"/>
  <c r="AF13" i="120"/>
  <c r="AS83" i="121"/>
  <c r="V69" i="6"/>
  <c r="X70" i="6"/>
  <c r="Y70" i="6" s="1"/>
  <c r="Z70" i="6"/>
  <c r="X123" i="6"/>
  <c r="X124" i="6" s="1"/>
  <c r="BE13" i="120"/>
  <c r="Y17" i="125"/>
  <c r="BE179" i="120"/>
  <c r="BE180" i="120" s="1"/>
  <c r="BD12" i="120"/>
  <c r="AF152" i="122"/>
  <c r="AL152" i="122" s="1"/>
  <c r="AO111" i="122"/>
  <c r="AO164" i="122" s="1"/>
  <c r="AP164" i="122"/>
  <c r="CO48" i="123" s="1"/>
  <c r="BE56" i="120"/>
  <c r="BB23" i="61"/>
  <c r="BB10" i="61"/>
  <c r="BB35" i="61" s="1"/>
  <c r="BB38" i="61" s="1"/>
  <c r="BA51" i="72"/>
  <c r="AQ51" i="72"/>
  <c r="AL51" i="72"/>
  <c r="AO51" i="72" s="1"/>
  <c r="Y114" i="6"/>
  <c r="Z114" i="6"/>
  <c r="X114" i="6"/>
  <c r="X122" i="6"/>
  <c r="Y122" i="6" s="1"/>
  <c r="Z122" i="6"/>
  <c r="Z117" i="6"/>
  <c r="X117" i="6"/>
  <c r="Y117" i="6" s="1"/>
  <c r="Z84" i="6"/>
  <c r="X84" i="6"/>
  <c r="Y84" i="6" s="1"/>
  <c r="X92" i="6"/>
  <c r="Y92" i="6" s="1"/>
  <c r="Z92" i="6"/>
  <c r="X96" i="6"/>
  <c r="AV96" i="6"/>
  <c r="BH96" i="6"/>
  <c r="BA96" i="6"/>
  <c r="Y96" i="6"/>
  <c r="AX96" i="6"/>
  <c r="V95" i="6"/>
  <c r="BC96" i="6"/>
  <c r="Z96" i="6"/>
  <c r="BB96" i="6"/>
  <c r="AB96" i="6"/>
  <c r="BG96" i="6"/>
  <c r="AC96" i="6"/>
  <c r="BF96" i="6"/>
  <c r="AW96" i="6"/>
  <c r="X77" i="6"/>
  <c r="Y77" i="6" s="1"/>
  <c r="Z77" i="6"/>
  <c r="Z85" i="6"/>
  <c r="X85" i="6"/>
  <c r="Y85" i="6" s="1"/>
  <c r="CB204" i="120"/>
  <c r="BU84" i="121"/>
  <c r="J21" i="105"/>
  <c r="J27" i="105" s="1"/>
  <c r="J36" i="105" s="1"/>
  <c r="L40" i="56"/>
  <c r="AC19" i="98"/>
  <c r="FZ62" i="123"/>
  <c r="AE53" i="126" s="1"/>
  <c r="Y53" i="126"/>
  <c r="BF13" i="120"/>
  <c r="Z17" i="125"/>
  <c r="BF179" i="120"/>
  <c r="BF180" i="120" s="1"/>
  <c r="CC59" i="120"/>
  <c r="CU23" i="7"/>
  <c r="CV140" i="7"/>
  <c r="AI41" i="95"/>
  <c r="AI46" i="95" s="1"/>
  <c r="AI50" i="95" s="1"/>
  <c r="AI38" i="95"/>
  <c r="AI40" i="95"/>
  <c r="AI45" i="95" s="1"/>
  <c r="BA102" i="6"/>
  <c r="X102" i="6"/>
  <c r="Y102" i="6" s="1"/>
  <c r="X107" i="6"/>
  <c r="Y107" i="6" s="1"/>
  <c r="Z107" i="6"/>
  <c r="AF70" i="32"/>
  <c r="BM31" i="120"/>
  <c r="CL31" i="120" s="1"/>
  <c r="CG78" i="121"/>
  <c r="AD49" i="123"/>
  <c r="T49" i="123"/>
  <c r="AC49" i="123" s="1"/>
  <c r="GB36" i="123"/>
  <c r="AA27" i="126"/>
  <c r="EL36" i="123"/>
  <c r="CB98" i="122"/>
  <c r="CH98" i="122" s="1"/>
  <c r="C98" i="122"/>
  <c r="CI98" i="122"/>
  <c r="FP56" i="121"/>
  <c r="CH31" i="7"/>
  <c r="CG31" i="7"/>
  <c r="C15" i="99"/>
  <c r="C16" i="99"/>
  <c r="C19" i="99"/>
  <c r="C18" i="99"/>
  <c r="Y35" i="125"/>
  <c r="GA50" i="121"/>
  <c r="EK50" i="121"/>
  <c r="AL76" i="122"/>
  <c r="AF155" i="122"/>
  <c r="AL155" i="122" s="1"/>
  <c r="CM126" i="120"/>
  <c r="CC13" i="121"/>
  <c r="CL13" i="121" s="1"/>
  <c r="CB12" i="121"/>
  <c r="CB13" i="121" s="1"/>
  <c r="CK13" i="121" s="1"/>
  <c r="CL12" i="121"/>
  <c r="CX60" i="123"/>
  <c r="CN60" i="123"/>
  <c r="AS24" i="7"/>
  <c r="DA9" i="8"/>
  <c r="AI40" i="98"/>
  <c r="CD13" i="121"/>
  <c r="CM13" i="121" s="1"/>
  <c r="CM12" i="121"/>
  <c r="CS168" i="7"/>
  <c r="BC12" i="61"/>
  <c r="AO113" i="122"/>
  <c r="AP166" i="122"/>
  <c r="CO50" i="123" s="1"/>
  <c r="BN113" i="122"/>
  <c r="AF166" i="122"/>
  <c r="AL166" i="122" s="1"/>
  <c r="AL113" i="122"/>
  <c r="X15" i="125"/>
  <c r="BJ10" i="120"/>
  <c r="BJ177" i="120" s="1"/>
  <c r="R10" i="68"/>
  <c r="R9" i="68"/>
  <c r="R12" i="68"/>
  <c r="R11" i="68"/>
  <c r="AP89" i="120"/>
  <c r="AO90" i="120"/>
  <c r="AO261" i="120" s="1"/>
  <c r="AO260" i="120" s="1"/>
  <c r="BN90" i="120"/>
  <c r="CM90" i="120" s="1"/>
  <c r="AP261" i="120"/>
  <c r="AP260" i="120" s="1"/>
  <c r="BE90" i="120"/>
  <c r="AM74" i="8"/>
  <c r="AN51" i="8"/>
  <c r="AO51" i="8" s="1"/>
  <c r="BM213" i="122"/>
  <c r="CX36" i="123"/>
  <c r="CN36" i="123"/>
  <c r="CM23" i="8"/>
  <c r="CL23" i="8"/>
  <c r="AA53" i="126"/>
  <c r="GB62" i="123"/>
  <c r="EL62" i="123"/>
  <c r="AC25" i="95"/>
  <c r="AC27" i="95" s="1"/>
  <c r="AD23" i="95"/>
  <c r="FX50" i="121"/>
  <c r="AB35" i="125"/>
  <c r="EV74" i="121"/>
  <c r="FG74" i="121"/>
  <c r="FE74" i="121" s="1"/>
  <c r="BD80" i="122"/>
  <c r="BJ80" i="122" s="1"/>
  <c r="BK80" i="122"/>
  <c r="DO64" i="121"/>
  <c r="GM64" i="121"/>
  <c r="AO9" i="7"/>
  <c r="AO136" i="7" s="1"/>
  <c r="AN136" i="7"/>
  <c r="CH34" i="120"/>
  <c r="AM60" i="123"/>
  <c r="N51" i="126"/>
  <c r="CC60" i="123"/>
  <c r="GK58" i="121"/>
  <c r="AF43" i="125"/>
  <c r="BH16" i="61"/>
  <c r="BH14" i="61" s="1"/>
  <c r="BH11" i="61" s="1"/>
  <c r="DB172" i="7"/>
  <c r="DB176" i="7" s="1"/>
  <c r="DB150" i="7"/>
  <c r="Q89" i="120"/>
  <c r="R71" i="120"/>
  <c r="Q71" i="120" s="1"/>
  <c r="T70" i="68"/>
  <c r="T72" i="68" s="1"/>
  <c r="BX118" i="8"/>
  <c r="AE13" i="66" s="1"/>
  <c r="AF13" i="66" s="1"/>
  <c r="BA24" i="7"/>
  <c r="AM24" i="7"/>
  <c r="AL25" i="7"/>
  <c r="ER84" i="121"/>
  <c r="FS83" i="121"/>
  <c r="W67" i="32"/>
  <c r="Y67" i="32" s="1"/>
  <c r="Z66" i="32"/>
  <c r="W61" i="32"/>
  <c r="N36" i="105"/>
  <c r="O35" i="105" s="1"/>
  <c r="T18" i="125"/>
  <c r="AN13" i="120"/>
  <c r="AN180" i="120" s="1"/>
  <c r="CX154" i="7"/>
  <c r="CY155" i="7"/>
  <c r="CY157" i="7"/>
  <c r="BC14" i="61"/>
  <c r="AX50" i="123"/>
  <c r="BH50" i="123"/>
  <c r="BG50" i="123" s="1"/>
  <c r="AH60" i="19"/>
  <c r="CL29" i="8"/>
  <c r="AQ14" i="7"/>
  <c r="AR14" i="7"/>
  <c r="CK89" i="8"/>
  <c r="CL13" i="8"/>
  <c r="EX49" i="123"/>
  <c r="FG49" i="123" s="1"/>
  <c r="FP49" i="123"/>
  <c r="GK65" i="121"/>
  <c r="AF50" i="125"/>
  <c r="BA14" i="8"/>
  <c r="AZ8" i="8"/>
  <c r="CU15" i="7"/>
  <c r="GE60" i="121"/>
  <c r="AI51" i="95"/>
  <c r="EW75" i="121"/>
  <c r="EM75" i="121"/>
  <c r="CX62" i="121"/>
  <c r="CN62" i="121"/>
  <c r="AG89" i="120"/>
  <c r="CG81" i="121"/>
  <c r="EJ8" i="121"/>
  <c r="S18" i="125"/>
  <c r="AM13" i="120"/>
  <c r="AM180" i="120" s="1"/>
  <c r="X35" i="125"/>
  <c r="EJ50" i="121"/>
  <c r="AL16" i="8"/>
  <c r="X65" i="6"/>
  <c r="Y65" i="6" s="1"/>
  <c r="Z65" i="6"/>
  <c r="AB73" i="6"/>
  <c r="AB72" i="6" s="1"/>
  <c r="BA73" i="6"/>
  <c r="X73" i="6"/>
  <c r="Y73" i="6" s="1"/>
  <c r="AX73" i="6"/>
  <c r="AX72" i="6" s="1"/>
  <c r="BF73" i="6"/>
  <c r="BC73" i="6"/>
  <c r="BC72" i="6" s="1"/>
  <c r="Z73" i="6"/>
  <c r="AW73" i="6"/>
  <c r="AW72" i="6" s="1"/>
  <c r="AV73" i="6"/>
  <c r="AC73" i="6"/>
  <c r="AC72" i="6" s="1"/>
  <c r="BB73" i="6"/>
  <c r="BB72" i="6" s="1"/>
  <c r="V72" i="6"/>
  <c r="BG73" i="6"/>
  <c r="BG72" i="6" s="1"/>
  <c r="BH73" i="6"/>
  <c r="AB48" i="125"/>
  <c r="FX63" i="121"/>
  <c r="AF89" i="121"/>
  <c r="AF78" i="121"/>
  <c r="AO43" i="122"/>
  <c r="CL43" i="122" s="1"/>
  <c r="BN43" i="122"/>
  <c r="BM43" i="122" s="1"/>
  <c r="AS13" i="7"/>
  <c r="DK83" i="121"/>
  <c r="DT82" i="121"/>
  <c r="DI82" i="121"/>
  <c r="X115" i="6"/>
  <c r="Y115" i="6" s="1"/>
  <c r="X119" i="6"/>
  <c r="Y119" i="6" s="1"/>
  <c r="Y118" i="6" s="1"/>
  <c r="V118" i="6"/>
  <c r="X118" i="6" s="1"/>
  <c r="Z119" i="6"/>
  <c r="X98" i="6"/>
  <c r="Y98" i="6" s="1"/>
  <c r="Z98" i="6"/>
  <c r="Z79" i="6"/>
  <c r="X79" i="6"/>
  <c r="Y79" i="6" s="1"/>
  <c r="AW91" i="6"/>
  <c r="Z91" i="6"/>
  <c r="BG91" i="6"/>
  <c r="BF91" i="6"/>
  <c r="AC91" i="6"/>
  <c r="V90" i="6"/>
  <c r="X91" i="6"/>
  <c r="Y91" i="6" s="1"/>
  <c r="AV91" i="6"/>
  <c r="AB91" i="6"/>
  <c r="BC91" i="6"/>
  <c r="X99" i="6"/>
  <c r="Y99" i="6" s="1"/>
  <c r="Z99" i="6"/>
  <c r="Z80" i="6"/>
  <c r="X80" i="6"/>
  <c r="Y80" i="6" s="1"/>
  <c r="CB39" i="120"/>
  <c r="CI39" i="120"/>
  <c r="CC206" i="120"/>
  <c r="CI206" i="120" s="1"/>
  <c r="CC239" i="120"/>
  <c r="CI239" i="120" s="1"/>
  <c r="C39" i="120"/>
  <c r="BN100" i="120"/>
  <c r="CM100" i="120" s="1"/>
  <c r="AO100" i="120"/>
  <c r="AP199" i="120"/>
  <c r="CO51" i="121" s="1"/>
  <c r="P51" i="126"/>
  <c r="BY60" i="123"/>
  <c r="Q30" i="120"/>
  <c r="K16" i="105"/>
  <c r="L8" i="105" s="1"/>
  <c r="AM16" i="7"/>
  <c r="AL143" i="7"/>
  <c r="BA16" i="7"/>
  <c r="AJ41" i="95"/>
  <c r="AJ46" i="95" s="1"/>
  <c r="AJ50" i="95" s="1"/>
  <c r="CW67" i="7" s="1"/>
  <c r="CW66" i="7" s="1"/>
  <c r="AJ38" i="95"/>
  <c r="AJ51" i="95" s="1"/>
  <c r="AJ40" i="95"/>
  <c r="AJ45" i="95" s="1"/>
  <c r="X106" i="6"/>
  <c r="Y106" i="6" s="1"/>
  <c r="Z106" i="6"/>
  <c r="Z104" i="6"/>
  <c r="X104" i="6"/>
  <c r="Y104" i="6" s="1"/>
  <c r="AL12" i="120"/>
  <c r="AL179" i="120" s="1"/>
  <c r="AM179" i="120"/>
  <c r="DC158" i="7"/>
  <c r="DC160" i="7"/>
  <c r="DC161" i="7" s="1"/>
  <c r="BN68" i="120"/>
  <c r="BM68" i="120" s="1"/>
  <c r="AO68" i="120"/>
  <c r="AX36" i="123"/>
  <c r="BH36" i="123"/>
  <c r="BG36" i="123" s="1"/>
  <c r="BM95" i="122"/>
  <c r="CL95" i="122" s="1"/>
  <c r="BX31" i="7"/>
  <c r="BX140" i="7" s="1"/>
  <c r="BW31" i="7"/>
  <c r="BV32" i="7"/>
  <c r="BA18" i="7"/>
  <c r="AM18" i="7"/>
  <c r="Y22" i="61"/>
  <c r="AY22" i="61"/>
  <c r="DG51" i="123"/>
  <c r="DF51" i="123" s="1"/>
  <c r="CW51" i="123"/>
  <c r="CT103" i="8"/>
  <c r="CT104" i="8" s="1"/>
  <c r="CU106" i="8"/>
  <c r="CU104" i="8"/>
  <c r="AO176" i="122"/>
  <c r="AA85" i="7"/>
  <c r="AC86" i="7"/>
  <c r="CW24" i="17"/>
  <c r="CW39" i="17" s="1"/>
  <c r="AI19" i="98"/>
  <c r="AI38" i="98" s="1"/>
  <c r="AI42" i="98"/>
  <c r="AC36" i="123"/>
  <c r="FY58" i="121"/>
  <c r="AC43" i="125"/>
  <c r="R43" i="126"/>
  <c r="CA52" i="123"/>
  <c r="CG208" i="120"/>
  <c r="CJ208" i="120" s="1"/>
  <c r="CJ204" i="120"/>
  <c r="BD113" i="122"/>
  <c r="BK113" i="122"/>
  <c r="BE166" i="122"/>
  <c r="BK166" i="122" s="1"/>
  <c r="DQ74" i="121"/>
  <c r="R59" i="125"/>
  <c r="EA74" i="121"/>
  <c r="CK74" i="121"/>
  <c r="BD210" i="120"/>
  <c r="BJ210" i="120" s="1"/>
  <c r="BJ144" i="120"/>
  <c r="BR47" i="123"/>
  <c r="M36" i="125"/>
  <c r="AM51" i="121"/>
  <c r="BT23" i="8"/>
  <c r="BU23" i="8"/>
  <c r="BA42" i="7"/>
  <c r="AM42" i="7"/>
  <c r="AF209" i="120"/>
  <c r="AL209" i="120" s="1"/>
  <c r="AL143" i="120"/>
  <c r="AO80" i="122"/>
  <c r="AO152" i="122" s="1"/>
  <c r="BN80" i="122"/>
  <c r="BM80" i="122" s="1"/>
  <c r="L18" i="125"/>
  <c r="CL13" i="120"/>
  <c r="Z35" i="125"/>
  <c r="EL50" i="121"/>
  <c r="GB50" i="121"/>
  <c r="BZ75" i="121"/>
  <c r="P60" i="125"/>
  <c r="H11" i="65"/>
  <c r="H10" i="65" s="1"/>
  <c r="I11" i="65"/>
  <c r="R11" i="65"/>
  <c r="R10" i="65" s="1"/>
  <c r="F10" i="65"/>
  <c r="M11" i="65"/>
  <c r="M10" i="65" s="1"/>
  <c r="K11" i="65"/>
  <c r="M47" i="125"/>
  <c r="AM62" i="121"/>
  <c r="CK9" i="8"/>
  <c r="Y18" i="61"/>
  <c r="P14" i="61"/>
  <c r="L34" i="125"/>
  <c r="AL49" i="121"/>
  <c r="L30" i="56"/>
  <c r="AZ86" i="7"/>
  <c r="M37" i="105"/>
  <c r="M38" i="105"/>
  <c r="S34" i="104" s="1"/>
  <c r="J7" i="105"/>
  <c r="I14" i="105"/>
  <c r="CQ24" i="17"/>
  <c r="CQ39" i="17" s="1"/>
  <c r="CD41" i="122"/>
  <c r="DB86" i="8"/>
  <c r="DB55" i="8"/>
  <c r="DB54" i="8" s="1"/>
  <c r="CZ18" i="8"/>
  <c r="AM36" i="123"/>
  <c r="N27" i="126"/>
  <c r="AK101" i="8"/>
  <c r="AZ157" i="7"/>
  <c r="J24" i="96"/>
  <c r="J27" i="96" s="1"/>
  <c r="J29" i="96"/>
  <c r="J32" i="96" s="1"/>
  <c r="I34" i="96"/>
  <c r="L7" i="96"/>
  <c r="J19" i="96"/>
  <c r="J22" i="96" s="1"/>
  <c r="I9" i="96"/>
  <c r="I14" i="96"/>
  <c r="I19" i="96"/>
  <c r="I39" i="96"/>
  <c r="I42" i="96" s="1"/>
  <c r="I24" i="96"/>
  <c r="I29" i="96"/>
  <c r="CL67" i="120"/>
  <c r="CM118" i="8"/>
  <c r="AG13" i="66" s="1"/>
  <c r="AH13" i="66" s="1"/>
  <c r="BK178" i="120"/>
  <c r="BJ11" i="120"/>
  <c r="BJ178" i="120" s="1"/>
  <c r="BK12" i="120"/>
  <c r="BT30" i="8"/>
  <c r="BS29" i="8"/>
  <c r="GB67" i="121"/>
  <c r="Z52" i="125"/>
  <c r="EL67" i="121"/>
  <c r="AP15" i="7"/>
  <c r="AN14" i="7"/>
  <c r="AA8" i="7"/>
  <c r="AO14" i="7"/>
  <c r="CX31" i="17"/>
  <c r="CW31" i="17" s="1"/>
  <c r="CW40" i="17" s="1"/>
  <c r="EN79" i="121"/>
  <c r="DF79" i="121"/>
  <c r="DO79" i="121" s="1"/>
  <c r="DP79" i="121"/>
  <c r="AS19" i="7"/>
  <c r="X11" i="95"/>
  <c r="W16" i="95"/>
  <c r="W21" i="95" s="1"/>
  <c r="W31" i="95" s="1"/>
  <c r="W50" i="95" s="1"/>
  <c r="AB13" i="64" s="1"/>
  <c r="EX48" i="123"/>
  <c r="FG48" i="123" s="1"/>
  <c r="EX52" i="123"/>
  <c r="FG52" i="123" s="1"/>
  <c r="N82" i="121"/>
  <c r="AG82" i="121"/>
  <c r="BX15" i="7"/>
  <c r="C127" i="120"/>
  <c r="CB127" i="120"/>
  <c r="CH127" i="120" s="1"/>
  <c r="CI127" i="120"/>
  <c r="AA49" i="125"/>
  <c r="FW64" i="121"/>
  <c r="CS9" i="7"/>
  <c r="CS8" i="7" s="1"/>
  <c r="AI18" i="95"/>
  <c r="AI28" i="95" s="1"/>
  <c r="AI30" i="95"/>
  <c r="AI49" i="95" s="1"/>
  <c r="AO210" i="120"/>
  <c r="AH82" i="121"/>
  <c r="E82" i="121"/>
  <c r="BD69" i="120"/>
  <c r="BJ69" i="120" s="1"/>
  <c r="BK69" i="120"/>
  <c r="S73" i="32"/>
  <c r="N10" i="104" s="1"/>
  <c r="S70" i="32"/>
  <c r="CY118" i="8"/>
  <c r="BH51" i="121"/>
  <c r="AX51" i="121"/>
  <c r="AC35" i="125"/>
  <c r="FY50" i="121"/>
  <c r="X71" i="6"/>
  <c r="Y71" i="6"/>
  <c r="Z71" i="6"/>
  <c r="Z67" i="6"/>
  <c r="X67" i="6"/>
  <c r="Y67" i="6"/>
  <c r="BD145" i="7"/>
  <c r="BE58" i="7"/>
  <c r="BE145" i="7" s="1"/>
  <c r="BN165" i="122"/>
  <c r="EN49" i="123" s="1"/>
  <c r="BM112" i="122"/>
  <c r="BN111" i="122"/>
  <c r="BN56" i="120"/>
  <c r="BM56" i="120" s="1"/>
  <c r="AO56" i="120"/>
  <c r="AD31" i="126"/>
  <c r="FY40" i="123"/>
  <c r="T49" i="68"/>
  <c r="T47" i="68"/>
  <c r="T48" i="68"/>
  <c r="T46" i="68"/>
  <c r="CP152" i="7"/>
  <c r="CP154" i="7"/>
  <c r="CR31" i="17"/>
  <c r="CQ31" i="17" s="1"/>
  <c r="CQ40" i="17" s="1"/>
  <c r="BL111" i="122"/>
  <c r="BF164" i="122"/>
  <c r="BL164" i="122" s="1"/>
  <c r="Z121" i="6"/>
  <c r="BB121" i="6"/>
  <c r="AB121" i="6"/>
  <c r="AC121" i="6"/>
  <c r="BF121" i="6"/>
  <c r="AW121" i="6"/>
  <c r="BG121" i="6"/>
  <c r="X121" i="6"/>
  <c r="AV121" i="6"/>
  <c r="BH121" i="6"/>
  <c r="BA121" i="6"/>
  <c r="Y121" i="6"/>
  <c r="AX121" i="6"/>
  <c r="BC121" i="6"/>
  <c r="V120" i="6"/>
  <c r="X120" i="6" s="1"/>
  <c r="Z93" i="6"/>
  <c r="X93" i="6"/>
  <c r="Y93" i="6" s="1"/>
  <c r="Z75" i="6"/>
  <c r="X75" i="6"/>
  <c r="Y75" i="6" s="1"/>
  <c r="Z83" i="6"/>
  <c r="X83" i="6"/>
  <c r="Y83" i="6" s="1"/>
  <c r="Z86" i="6"/>
  <c r="X86" i="6"/>
  <c r="Y86" i="6" s="1"/>
  <c r="Z94" i="6"/>
  <c r="X94" i="6"/>
  <c r="Y94" i="6" s="1"/>
  <c r="X76" i="6"/>
  <c r="Y76" i="6" s="1"/>
  <c r="CB38" i="120"/>
  <c r="CC205" i="120"/>
  <c r="CI205" i="120" s="1"/>
  <c r="CI38" i="120"/>
  <c r="CC238" i="120"/>
  <c r="C38" i="120"/>
  <c r="AG30" i="120"/>
  <c r="BX40" i="7"/>
  <c r="BX41" i="7" s="1"/>
  <c r="BW40" i="7"/>
  <c r="BW41" i="7" s="1"/>
  <c r="BV41" i="7"/>
  <c r="DG75" i="121"/>
  <c r="DF75" i="121" s="1"/>
  <c r="CW75" i="121"/>
  <c r="CF18" i="7"/>
  <c r="X108" i="6"/>
  <c r="Y108" i="6" s="1"/>
  <c r="Z108" i="6"/>
  <c r="Z105" i="6"/>
  <c r="X105" i="6"/>
  <c r="Y105" i="6" s="1"/>
  <c r="AK25" i="8"/>
  <c r="AK90" i="8"/>
  <c r="GE56" i="121"/>
  <c r="EF76" i="121"/>
  <c r="GB40" i="123"/>
  <c r="EL40" i="123"/>
  <c r="AA31" i="126"/>
  <c r="BV49" i="7"/>
  <c r="BV50" i="7" s="1"/>
  <c r="BW50" i="7"/>
  <c r="BP36" i="123"/>
  <c r="N42" i="126"/>
  <c r="AM51" i="123"/>
  <c r="BD95" i="122"/>
  <c r="BK95" i="122"/>
  <c r="CC103" i="120"/>
  <c r="CU31" i="7"/>
  <c r="M73" i="32"/>
  <c r="M70" i="32"/>
  <c r="BV53" i="7" s="1"/>
  <c r="AG41" i="122"/>
  <c r="AJ34" i="8"/>
  <c r="AW34" i="8"/>
  <c r="DQ48" i="123"/>
  <c r="EC48" i="123" s="1"/>
  <c r="AC38" i="125"/>
  <c r="FY53" i="121"/>
  <c r="BG62" i="121"/>
  <c r="BP62" i="121" s="1"/>
  <c r="BQ62" i="121"/>
  <c r="CC62" i="121" s="1"/>
  <c r="BE76" i="122"/>
  <c r="AO76" i="122"/>
  <c r="BN76" i="122"/>
  <c r="AP155" i="122"/>
  <c r="CO39" i="123" s="1"/>
  <c r="DP51" i="123"/>
  <c r="I37" i="105"/>
  <c r="I38" i="105"/>
  <c r="O34" i="104" s="1"/>
  <c r="BM123" i="122"/>
  <c r="BM176" i="122" s="1"/>
  <c r="BN176" i="122"/>
  <c r="EN60" i="123" s="1"/>
  <c r="CG23" i="7"/>
  <c r="CF140" i="7"/>
  <c r="AG260" i="120"/>
  <c r="AM260" i="120" s="1"/>
  <c r="AM261" i="120"/>
  <c r="BJ31" i="120"/>
  <c r="BM23" i="122"/>
  <c r="BM152" i="122" s="1"/>
  <c r="CC46" i="122"/>
  <c r="CZ23" i="8"/>
  <c r="FN74" i="121"/>
  <c r="AC58" i="125"/>
  <c r="FY73" i="121"/>
  <c r="M60" i="125"/>
  <c r="CC75" i="121"/>
  <c r="AM75" i="121"/>
  <c r="DM31" i="17"/>
  <c r="DL31" i="17" s="1"/>
  <c r="DL40" i="17" s="1"/>
  <c r="Z38" i="125"/>
  <c r="GB53" i="121"/>
  <c r="EL53" i="121"/>
  <c r="R34" i="120"/>
  <c r="AG34" i="120" s="1"/>
  <c r="B34" i="120"/>
  <c r="H21" i="87"/>
  <c r="H17" i="87" s="1"/>
  <c r="I17" i="87"/>
  <c r="AH196" i="120"/>
  <c r="AN30" i="120"/>
  <c r="AQ30" i="120"/>
  <c r="AM34" i="7"/>
  <c r="BA34" i="7"/>
  <c r="P38" i="105"/>
  <c r="P37" i="105"/>
  <c r="BH49" i="123"/>
  <c r="BG49" i="123" s="1"/>
  <c r="AX49" i="123"/>
  <c r="BA17" i="7"/>
  <c r="AM17" i="7"/>
  <c r="AQ25" i="7"/>
  <c r="AR25" i="7" s="1"/>
  <c r="BL178" i="120"/>
  <c r="BL12" i="120"/>
  <c r="BL179" i="120" s="1"/>
  <c r="AI94" i="8"/>
  <c r="AJ46" i="8"/>
  <c r="AK46" i="8"/>
  <c r="AK94" i="8" s="1"/>
  <c r="AW46" i="8"/>
  <c r="BV24" i="7"/>
  <c r="BW23" i="7"/>
  <c r="BW140" i="7" s="1"/>
  <c r="BV140" i="7"/>
  <c r="CB108" i="120"/>
  <c r="CH108" i="120" s="1"/>
  <c r="CI108" i="120"/>
  <c r="C108" i="120"/>
  <c r="V70" i="32"/>
  <c r="V73" i="32"/>
  <c r="O10" i="104" s="1"/>
  <c r="J10" i="96"/>
  <c r="J15" i="96"/>
  <c r="J35" i="96"/>
  <c r="BQ50" i="123"/>
  <c r="CC77" i="122"/>
  <c r="CZ29" i="8"/>
  <c r="U49" i="126"/>
  <c r="EC58" i="123"/>
  <c r="CM58" i="123"/>
  <c r="Y75" i="8"/>
  <c r="AF75" i="8" s="1"/>
  <c r="AF74" i="8"/>
  <c r="M41" i="126"/>
  <c r="AL50" i="123"/>
  <c r="AD49" i="126"/>
  <c r="FY58" i="123"/>
  <c r="BC36" i="71"/>
  <c r="AO36" i="71"/>
  <c r="V36" i="71"/>
  <c r="AA36" i="71"/>
  <c r="AT36" i="71"/>
  <c r="AX36" i="71"/>
  <c r="M46" i="125"/>
  <c r="AM61" i="121"/>
  <c r="AG164" i="122"/>
  <c r="AM164" i="122" s="1"/>
  <c r="AF111" i="122"/>
  <c r="BE111" i="122"/>
  <c r="AM111" i="122"/>
  <c r="BW15" i="7"/>
  <c r="EW51" i="123"/>
  <c r="EM51" i="123"/>
  <c r="EB12" i="121"/>
  <c r="EA11" i="121"/>
  <c r="EK11" i="121"/>
  <c r="BN210" i="120"/>
  <c r="EN62" i="121" s="1"/>
  <c r="BM144" i="120"/>
  <c r="BM210" i="120" s="1"/>
  <c r="BN143" i="120"/>
  <c r="BI160" i="120"/>
  <c r="CG158" i="120"/>
  <c r="AH83" i="121"/>
  <c r="G84" i="121"/>
  <c r="E83" i="121"/>
  <c r="AY48" i="123"/>
  <c r="AO48" i="123"/>
  <c r="AA17" i="61"/>
  <c r="P9" i="102"/>
  <c r="X41" i="98"/>
  <c r="AD13" i="66" s="1"/>
  <c r="AJ27" i="8"/>
  <c r="AW27" i="8"/>
  <c r="EC12" i="121"/>
  <c r="EL11" i="121"/>
  <c r="AH70" i="32"/>
  <c r="BY53" i="7" s="1"/>
  <c r="AH73" i="32"/>
  <c r="AI51" i="8"/>
  <c r="BH61" i="121"/>
  <c r="BG61" i="121" s="1"/>
  <c r="AX61" i="121"/>
  <c r="BB68" i="8"/>
  <c r="BB69" i="8"/>
  <c r="BB74" i="8" s="1"/>
  <c r="CB63" i="120"/>
  <c r="CH63" i="120" s="1"/>
  <c r="C63" i="120"/>
  <c r="CI63" i="120"/>
  <c r="X66" i="6"/>
  <c r="Y66" i="6" s="1"/>
  <c r="X68" i="6"/>
  <c r="Y68" i="6" s="1"/>
  <c r="Z68" i="6"/>
  <c r="X16" i="125"/>
  <c r="BD178" i="120"/>
  <c r="CM124" i="120"/>
  <c r="CX49" i="123"/>
  <c r="CN49" i="123"/>
  <c r="U43" i="126"/>
  <c r="CM52" i="123"/>
  <c r="EC52" i="123"/>
  <c r="R48" i="68"/>
  <c r="R46" i="68"/>
  <c r="R47" i="68"/>
  <c r="R49" i="68"/>
  <c r="DQ60" i="121"/>
  <c r="BT13" i="8"/>
  <c r="BS89" i="8"/>
  <c r="W83" i="121"/>
  <c r="W84" i="121" s="1"/>
  <c r="X84" i="121"/>
  <c r="X116" i="6"/>
  <c r="Y116" i="6" s="1"/>
  <c r="Z116" i="6"/>
  <c r="Y74" i="6"/>
  <c r="AL26" i="8" s="1"/>
  <c r="AL17" i="8" s="1"/>
  <c r="Z97" i="6"/>
  <c r="X97" i="6"/>
  <c r="Y97" i="6" s="1"/>
  <c r="Z78" i="6"/>
  <c r="X78" i="6"/>
  <c r="Y78" i="6" s="1"/>
  <c r="Z81" i="6"/>
  <c r="X81" i="6"/>
  <c r="Y81" i="6" s="1"/>
  <c r="X89" i="6"/>
  <c r="Y89" i="6" s="1"/>
  <c r="Z89" i="6"/>
  <c r="BP51" i="123"/>
  <c r="X49" i="126"/>
  <c r="DZ58" i="123"/>
  <c r="AL100" i="120"/>
  <c r="AF199" i="120"/>
  <c r="AL199" i="120" s="1"/>
  <c r="AE44" i="125"/>
  <c r="GJ59" i="121"/>
  <c r="V38" i="95"/>
  <c r="V43" i="95" s="1"/>
  <c r="W33" i="95"/>
  <c r="AF36" i="125"/>
  <c r="D4" i="129" s="1"/>
  <c r="GK51" i="121"/>
  <c r="BF168" i="122"/>
  <c r="BL168" i="122" s="1"/>
  <c r="BL115" i="122"/>
  <c r="GB73" i="121"/>
  <c r="Z58" i="125"/>
  <c r="EL73" i="121"/>
  <c r="D20" i="99"/>
  <c r="E17" i="99" s="1"/>
  <c r="BN50" i="19" s="1"/>
  <c r="GK49" i="121"/>
  <c r="AF34" i="125"/>
  <c r="DL38" i="17"/>
  <c r="DL24" i="17"/>
  <c r="DL39" i="17" s="1"/>
  <c r="X110" i="6"/>
  <c r="Y110" i="6"/>
  <c r="Z110" i="6"/>
  <c r="V109" i="6"/>
  <c r="Z101" i="6"/>
  <c r="X101" i="6"/>
  <c r="Y101" i="6" s="1"/>
  <c r="V111" i="6"/>
  <c r="X112" i="6"/>
  <c r="Y112" i="6" s="1"/>
  <c r="Z112" i="6"/>
  <c r="BV43" i="7"/>
  <c r="BQ36" i="123"/>
  <c r="BA94" i="8"/>
  <c r="P67" i="32"/>
  <c r="N73" i="32"/>
  <c r="FN50" i="121"/>
  <c r="FZ50" i="121" s="1"/>
  <c r="GM50" i="121"/>
  <c r="BA24" i="8"/>
  <c r="AZ17" i="8"/>
  <c r="BA17" i="8" s="1"/>
  <c r="Y48" i="125"/>
  <c r="GA63" i="121"/>
  <c r="EK63" i="121"/>
  <c r="AC57" i="125"/>
  <c r="FY72" i="121"/>
  <c r="GB72" i="121"/>
  <c r="CB51" i="72"/>
  <c r="BZ51" i="72" s="1"/>
  <c r="CC48" i="72"/>
  <c r="B6" i="77"/>
  <c r="BK123" i="122"/>
  <c r="BE176" i="122"/>
  <c r="BK176" i="122" s="1"/>
  <c r="BD123" i="122"/>
  <c r="DX12" i="121"/>
  <c r="CR140" i="7"/>
  <c r="CR15" i="7"/>
  <c r="BD15" i="7"/>
  <c r="BD8" i="7" s="1"/>
  <c r="BD63" i="7" s="1"/>
  <c r="BD141" i="7"/>
  <c r="AX39" i="17"/>
  <c r="AT39" i="17"/>
  <c r="AA39" i="17"/>
  <c r="V39" i="17"/>
  <c r="AO39" i="17"/>
  <c r="BC39" i="17"/>
  <c r="BS39" i="8"/>
  <c r="BS40" i="8" s="1"/>
  <c r="BT40" i="8"/>
  <c r="DA40" i="8" s="1"/>
  <c r="DA39" i="8" s="1"/>
  <c r="CM68" i="120"/>
  <c r="AW92" i="8"/>
  <c r="AJ92" i="8"/>
  <c r="BA92" i="8"/>
  <c r="AF13" i="64"/>
  <c r="T9" i="68"/>
  <c r="T12" i="68"/>
  <c r="T11" i="68"/>
  <c r="T10" i="68"/>
  <c r="CT168" i="7"/>
  <c r="CT150" i="7"/>
  <c r="BQ51" i="123"/>
  <c r="CC51" i="123" s="1"/>
  <c r="AD49" i="121"/>
  <c r="AF261" i="120"/>
  <c r="AL90" i="120"/>
  <c r="AD50" i="123"/>
  <c r="FO64" i="121"/>
  <c r="EP83" i="121"/>
  <c r="EQ84" i="121"/>
  <c r="FQ63" i="123"/>
  <c r="FQ74" i="123"/>
  <c r="AR67" i="123"/>
  <c r="BS67" i="123" s="1"/>
  <c r="GE43" i="123"/>
  <c r="AF50" i="126"/>
  <c r="GJ59" i="123"/>
  <c r="BM49" i="122"/>
  <c r="P68" i="123"/>
  <c r="N67" i="123"/>
  <c r="AH67" i="123"/>
  <c r="BG184" i="122"/>
  <c r="CH49" i="122"/>
  <c r="CE159" i="122"/>
  <c r="CE177" i="122" s="1"/>
  <c r="ED47" i="123"/>
  <c r="AD47" i="123"/>
  <c r="T47" i="123"/>
  <c r="AC47" i="123" s="1"/>
  <c r="AP163" i="122"/>
  <c r="CO47" i="123" s="1"/>
  <c r="CO43" i="123"/>
  <c r="ER68" i="123"/>
  <c r="FS67" i="123"/>
  <c r="EP67" i="123"/>
  <c r="AS69" i="123"/>
  <c r="CB213" i="122"/>
  <c r="CH213" i="122" s="1"/>
  <c r="AF163" i="122"/>
  <c r="BL101" i="122"/>
  <c r="BD101" i="122"/>
  <c r="BJ101" i="122" s="1"/>
  <c r="R38" i="126"/>
  <c r="CA47" i="123"/>
  <c r="FJ68" i="123"/>
  <c r="FH67" i="123"/>
  <c r="CG66" i="123"/>
  <c r="AT68" i="123"/>
  <c r="BU67" i="123"/>
  <c r="CL49" i="122"/>
  <c r="BL29" i="122"/>
  <c r="BF159" i="122"/>
  <c r="BM223" i="122"/>
  <c r="CB223" i="122" s="1"/>
  <c r="E67" i="123"/>
  <c r="AF67" i="123" s="1"/>
  <c r="AG67" i="123"/>
  <c r="AF66" i="123"/>
  <c r="AL159" i="122"/>
  <c r="GE47" i="123"/>
  <c r="BH47" i="123"/>
  <c r="AX47" i="123"/>
  <c r="U35" i="126"/>
  <c r="CM44" i="123"/>
  <c r="EZ69" i="123"/>
  <c r="EY68" i="123"/>
  <c r="EY69" i="123" s="1"/>
  <c r="FR68" i="123"/>
  <c r="AD36" i="126"/>
  <c r="FY45" i="123"/>
  <c r="AQ163" i="122"/>
  <c r="CP47" i="123" s="1"/>
  <c r="CP43" i="123"/>
  <c r="GB46" i="123"/>
  <c r="EL46" i="123"/>
  <c r="AA37" i="126"/>
  <c r="CC218" i="122"/>
  <c r="CI218" i="122" s="1"/>
  <c r="BN223" i="122"/>
  <c r="CC223" i="122" s="1"/>
  <c r="CI223" i="122" s="1"/>
  <c r="FG44" i="123"/>
  <c r="FE44" i="123" s="1"/>
  <c r="EV44" i="123"/>
  <c r="AO159" i="122"/>
  <c r="AD37" i="126"/>
  <c r="FY46" i="123"/>
  <c r="CD47" i="123"/>
  <c r="O38" i="126"/>
  <c r="AN47" i="123"/>
  <c r="EJ59" i="123"/>
  <c r="Y50" i="126"/>
  <c r="FZ59" i="123"/>
  <c r="BH43" i="123"/>
  <c r="AX43" i="123"/>
  <c r="CG63" i="123"/>
  <c r="EF61" i="123"/>
  <c r="S35" i="126"/>
  <c r="CK44" i="123"/>
  <c r="AG45" i="126"/>
  <c r="GK54" i="123"/>
  <c r="BO159" i="122"/>
  <c r="BO21" i="122"/>
  <c r="CG163" i="122"/>
  <c r="CJ163" i="122" s="1"/>
  <c r="CJ159" i="122"/>
  <c r="CG177" i="122"/>
  <c r="CH223" i="122"/>
  <c r="F68" i="123"/>
  <c r="BO223" i="122"/>
  <c r="CD223" i="122" s="1"/>
  <c r="CJ223" i="122" s="1"/>
  <c r="CD218" i="122"/>
  <c r="CJ218" i="122" s="1"/>
  <c r="AL163" i="122"/>
  <c r="BO94" i="122"/>
  <c r="BM101" i="122"/>
  <c r="CL101" i="122" s="1"/>
  <c r="DO44" i="123"/>
  <c r="EA44" i="123" s="1"/>
  <c r="BI43" i="123"/>
  <c r="BG163" i="122"/>
  <c r="AF74" i="123"/>
  <c r="AF63" i="123"/>
  <c r="BL69" i="123"/>
  <c r="BJ68" i="123"/>
  <c r="BJ69" i="123" s="1"/>
  <c r="AE43" i="123"/>
  <c r="T43" i="123"/>
  <c r="AD43" i="123"/>
  <c r="S36" i="126"/>
  <c r="CK45" i="123"/>
  <c r="BD218" i="122"/>
  <c r="BJ218" i="122" s="1"/>
  <c r="BM29" i="122"/>
  <c r="BN159" i="122"/>
  <c r="BD29" i="122"/>
  <c r="BE159" i="122"/>
  <c r="BK29" i="122"/>
  <c r="BF94" i="122"/>
  <c r="AB28" i="126"/>
  <c r="FW37" i="123"/>
  <c r="DQ44" i="123"/>
  <c r="EC44" i="123" s="1"/>
  <c r="AF37" i="126"/>
  <c r="GJ46" i="123"/>
  <c r="G6" i="129"/>
  <c r="G9" i="129"/>
  <c r="G13" i="129" s="1"/>
  <c r="AF35" i="126"/>
  <c r="GJ44" i="123"/>
  <c r="AG36" i="126"/>
  <c r="GK45" i="123"/>
  <c r="EA72" i="123"/>
  <c r="CK72" i="123"/>
  <c r="CB70" i="123"/>
  <c r="AE28" i="126"/>
  <c r="GI37" i="123"/>
  <c r="AF28" i="126"/>
  <c r="GJ37" i="123"/>
  <c r="BH179" i="122"/>
  <c r="DA84" i="121"/>
  <c r="CZ83" i="121"/>
  <c r="CZ84" i="121" s="1"/>
  <c r="DR68" i="123"/>
  <c r="CQ69" i="123"/>
  <c r="DT69" i="123"/>
  <c r="DS82" i="121"/>
  <c r="CQ82" i="121"/>
  <c r="DR82" i="121" s="1"/>
  <c r="CR83" i="121"/>
  <c r="DR89" i="121"/>
  <c r="DR78" i="121"/>
  <c r="BK84" i="121"/>
  <c r="CG226" i="120"/>
  <c r="BG124" i="122"/>
  <c r="AI126" i="122"/>
  <c r="CF124" i="122"/>
  <c r="BH126" i="122"/>
  <c r="BG131" i="122"/>
  <c r="GC42" i="123"/>
  <c r="ED61" i="123"/>
  <c r="CE74" i="123"/>
  <c r="CE63" i="123"/>
  <c r="GC43" i="123"/>
  <c r="BB69" i="123"/>
  <c r="BA68" i="123"/>
  <c r="BT68" i="123"/>
  <c r="CF67" i="123"/>
  <c r="EE63" i="123"/>
  <c r="GD61" i="123"/>
  <c r="EE66" i="123"/>
  <c r="CH261" i="120"/>
  <c r="CE260" i="120"/>
  <c r="CH260" i="120" s="1"/>
  <c r="CH265" i="120"/>
  <c r="CH130" i="120"/>
  <c r="CE204" i="120"/>
  <c r="CE81" i="121"/>
  <c r="GC56" i="121"/>
  <c r="ED76" i="121"/>
  <c r="CI204" i="120"/>
  <c r="CF208" i="120"/>
  <c r="CF224" i="120"/>
  <c r="GC60" i="121"/>
  <c r="CF81" i="121"/>
  <c r="GD60" i="121"/>
  <c r="BH226" i="120"/>
  <c r="CE76" i="121"/>
  <c r="CF78" i="121"/>
  <c r="AI226" i="120"/>
  <c r="BG158" i="120"/>
  <c r="AI160" i="120"/>
  <c r="BG231" i="120"/>
  <c r="BS89" i="121"/>
  <c r="BS78" i="121"/>
  <c r="CF158" i="120"/>
  <c r="BH160" i="120"/>
  <c r="BG224" i="120"/>
  <c r="BG208" i="120"/>
  <c r="BB83" i="121"/>
  <c r="BA82" i="121"/>
  <c r="BS82" i="121" s="1"/>
  <c r="BT82" i="121"/>
  <c r="EE76" i="121"/>
  <c r="GD56" i="121"/>
  <c r="BG165" i="120"/>
  <c r="CH159" i="120"/>
  <c r="CI178" i="122"/>
  <c r="GI11" i="121"/>
  <c r="GI77" i="121"/>
  <c r="CI179" i="120"/>
  <c r="CH12" i="120"/>
  <c r="CH179" i="120" s="1"/>
  <c r="CE13" i="120"/>
  <c r="CH13" i="120" s="1"/>
  <c r="CH180" i="120" s="1"/>
  <c r="CE179" i="120"/>
  <c r="CE180" i="120" s="1"/>
  <c r="GJ12" i="121"/>
  <c r="GD13" i="121"/>
  <c r="GJ13" i="121" s="1"/>
  <c r="CH143" i="122"/>
  <c r="CE178" i="122"/>
  <c r="CH125" i="122"/>
  <c r="GI62" i="123"/>
  <c r="BJ178" i="122"/>
  <c r="BG179" i="122"/>
  <c r="CJ178" i="122"/>
  <c r="GE13" i="121"/>
  <c r="GK13" i="121" s="1"/>
  <c r="GK12" i="121"/>
  <c r="GC12" i="121"/>
  <c r="GC13" i="121" s="1"/>
  <c r="GI13" i="121" s="1"/>
  <c r="BP49" i="123" l="1"/>
  <c r="AF82" i="121"/>
  <c r="BV9" i="8"/>
  <c r="BW8" i="8"/>
  <c r="BW86" i="8"/>
  <c r="BW118" i="8" s="1"/>
  <c r="AG12" i="65" s="1"/>
  <c r="U42" i="98"/>
  <c r="U19" i="98"/>
  <c r="U38" i="98" s="1"/>
  <c r="U43" i="98" s="1"/>
  <c r="BW91" i="8"/>
  <c r="BW117" i="8" s="1"/>
  <c r="BW17" i="8"/>
  <c r="AG50" i="126"/>
  <c r="GK59" i="123"/>
  <c r="BW48" i="72"/>
  <c r="BP51" i="72"/>
  <c r="V24" i="98"/>
  <c r="V29" i="98" s="1"/>
  <c r="V34" i="98" s="1"/>
  <c r="V31" i="98"/>
  <c r="V36" i="98" s="1"/>
  <c r="W26" i="98"/>
  <c r="Z42" i="98"/>
  <c r="Z19" i="98"/>
  <c r="Z38" i="98" s="1"/>
  <c r="Z43" i="98" s="1"/>
  <c r="CL18" i="8"/>
  <c r="AD40" i="98"/>
  <c r="AA40" i="98"/>
  <c r="BU51" i="72"/>
  <c r="BV48" i="72"/>
  <c r="BX48" i="72"/>
  <c r="CL48" i="72"/>
  <c r="CL51" i="72" s="1"/>
  <c r="BX117" i="8"/>
  <c r="AE12" i="66" s="1"/>
  <c r="I17" i="92"/>
  <c r="BX43" i="8"/>
  <c r="BV43" i="8" s="1"/>
  <c r="S35" i="104"/>
  <c r="T35" i="104" s="1"/>
  <c r="AH31" i="98"/>
  <c r="AH36" i="98" s="1"/>
  <c r="AH24" i="98"/>
  <c r="AH29" i="98" s="1"/>
  <c r="V21" i="98"/>
  <c r="V40" i="98" s="1"/>
  <c r="AD12" i="65" s="1"/>
  <c r="V14" i="98"/>
  <c r="S27" i="104"/>
  <c r="O27" i="104"/>
  <c r="P27" i="104" s="1"/>
  <c r="Q27" i="104" s="1"/>
  <c r="R27" i="104" s="1"/>
  <c r="AF47" i="65"/>
  <c r="AF51" i="65"/>
  <c r="AF52" i="65" s="1"/>
  <c r="FZ27" i="123"/>
  <c r="GI27" i="123" s="1"/>
  <c r="GI21" i="123"/>
  <c r="BB70" i="8"/>
  <c r="O26" i="104"/>
  <c r="S26" i="104"/>
  <c r="N31" i="104"/>
  <c r="AB15" i="65" s="1"/>
  <c r="AB13" i="65" s="1"/>
  <c r="BX91" i="8"/>
  <c r="BX17" i="8"/>
  <c r="N35" i="104"/>
  <c r="BU43" i="8"/>
  <c r="BU42" i="8" s="1"/>
  <c r="BU93" i="8" s="1"/>
  <c r="BU121" i="8" s="1"/>
  <c r="X16" i="66" s="1"/>
  <c r="C154" i="122"/>
  <c r="C38" i="123" s="1"/>
  <c r="R42" i="122"/>
  <c r="B42" i="122"/>
  <c r="B154" i="122" s="1"/>
  <c r="BS48" i="72"/>
  <c r="BT42" i="8"/>
  <c r="BT93" i="8" s="1"/>
  <c r="BT121" i="8" s="1"/>
  <c r="Z15" i="65" s="1"/>
  <c r="FY53" i="123"/>
  <c r="AD44" i="126"/>
  <c r="DF45" i="123"/>
  <c r="DO45" i="123" s="1"/>
  <c r="DP45" i="123"/>
  <c r="AC34" i="98"/>
  <c r="AC38" i="98" s="1"/>
  <c r="AC43" i="98" s="1"/>
  <c r="AC42" i="98"/>
  <c r="CB154" i="122"/>
  <c r="CH154" i="122" s="1"/>
  <c r="CH42" i="122"/>
  <c r="X11" i="98"/>
  <c r="W16" i="98"/>
  <c r="W9" i="98"/>
  <c r="Z40" i="98"/>
  <c r="BS9" i="8"/>
  <c r="BS86" i="8" s="1"/>
  <c r="BT86" i="8"/>
  <c r="BT118" i="8" s="1"/>
  <c r="Z12" i="65" s="1"/>
  <c r="AA12" i="65" s="1"/>
  <c r="AD34" i="98"/>
  <c r="AD38" i="98" s="1"/>
  <c r="AD42" i="98"/>
  <c r="AA42" i="98"/>
  <c r="AA19" i="98"/>
  <c r="AA38" i="98" s="1"/>
  <c r="AA43" i="98" s="1"/>
  <c r="EV45" i="123"/>
  <c r="FF45" i="123"/>
  <c r="AB34" i="98"/>
  <c r="AB38" i="98" s="1"/>
  <c r="AB42" i="98"/>
  <c r="L103" i="56"/>
  <c r="AV109" i="8"/>
  <c r="AV107" i="8"/>
  <c r="BB71" i="8"/>
  <c r="CL68" i="120"/>
  <c r="GM74" i="121"/>
  <c r="FP61" i="121"/>
  <c r="AC46" i="125" s="1"/>
  <c r="AV70" i="8"/>
  <c r="GF83" i="121"/>
  <c r="GF84" i="121" s="1"/>
  <c r="EG84" i="121"/>
  <c r="AA158" i="7"/>
  <c r="AI158" i="7" s="1"/>
  <c r="AA160" i="7"/>
  <c r="AI157" i="7"/>
  <c r="AM75" i="8"/>
  <c r="FO66" i="121"/>
  <c r="GA66" i="121" s="1"/>
  <c r="AV71" i="8"/>
  <c r="AC160" i="7"/>
  <c r="AC161" i="7" s="1"/>
  <c r="AC158" i="7"/>
  <c r="BB51" i="9"/>
  <c r="BE51" i="9" s="1"/>
  <c r="BG51" i="9"/>
  <c r="BB51" i="72"/>
  <c r="BE51" i="72" s="1"/>
  <c r="BR51" i="72" s="1"/>
  <c r="BG51" i="72"/>
  <c r="AG44" i="126"/>
  <c r="GK53" i="123"/>
  <c r="T14" i="68"/>
  <c r="DO75" i="121"/>
  <c r="T50" i="68"/>
  <c r="DO63" i="121"/>
  <c r="GM66" i="121"/>
  <c r="AV74" i="8"/>
  <c r="AV75" i="8" s="1"/>
  <c r="F7" i="77"/>
  <c r="F5" i="77" s="1"/>
  <c r="F4" i="77" s="1"/>
  <c r="K12" i="65" s="1"/>
  <c r="O12" i="65" s="1"/>
  <c r="E5" i="77"/>
  <c r="E4" i="77" s="1"/>
  <c r="M103" i="56"/>
  <c r="AX107" i="8"/>
  <c r="AX109" i="8"/>
  <c r="AF56" i="125"/>
  <c r="GK71" i="121"/>
  <c r="AD160" i="7"/>
  <c r="AD161" i="7" s="1"/>
  <c r="AD158" i="7"/>
  <c r="BC34" i="8"/>
  <c r="BC51" i="8" s="1"/>
  <c r="AZ39" i="8"/>
  <c r="BC90" i="8"/>
  <c r="BD136" i="7"/>
  <c r="BE9" i="7"/>
  <c r="BF9" i="7" s="1"/>
  <c r="FQ67" i="123"/>
  <c r="FI84" i="121"/>
  <c r="T48" i="125"/>
  <c r="CM63" i="121"/>
  <c r="Z44" i="125"/>
  <c r="EL59" i="121"/>
  <c r="GB59" i="121"/>
  <c r="DX63" i="121"/>
  <c r="U48" i="125"/>
  <c r="BD150" i="7"/>
  <c r="CL56" i="120"/>
  <c r="FP52" i="123"/>
  <c r="BP50" i="123"/>
  <c r="P41" i="126" s="1"/>
  <c r="O34" i="105"/>
  <c r="DQ56" i="121"/>
  <c r="C20" i="99"/>
  <c r="AI43" i="95"/>
  <c r="CS18" i="7" s="1"/>
  <c r="P15" i="68"/>
  <c r="P50" i="125"/>
  <c r="BZ65" i="121"/>
  <c r="CC65" i="121"/>
  <c r="BF208" i="120"/>
  <c r="BL208" i="120" s="1"/>
  <c r="BL204" i="120"/>
  <c r="Y51" i="125"/>
  <c r="EK66" i="121"/>
  <c r="BT157" i="7"/>
  <c r="BT155" i="7"/>
  <c r="BS154" i="7"/>
  <c r="CL157" i="7"/>
  <c r="CL155" i="7"/>
  <c r="AX47" i="61"/>
  <c r="AX51" i="61"/>
  <c r="BT82" i="7"/>
  <c r="BS78" i="7"/>
  <c r="BT80" i="7"/>
  <c r="FN66" i="121"/>
  <c r="CJ154" i="7"/>
  <c r="CJ152" i="7"/>
  <c r="R50" i="68"/>
  <c r="BN152" i="122"/>
  <c r="EN36" i="123" s="1"/>
  <c r="EM36" i="123" s="1"/>
  <c r="CC208" i="120"/>
  <c r="CI208" i="120" s="1"/>
  <c r="T51" i="68"/>
  <c r="AI47" i="95"/>
  <c r="AI52" i="95" s="1"/>
  <c r="CL123" i="122"/>
  <c r="AH12" i="65"/>
  <c r="R14" i="68"/>
  <c r="BY87" i="121"/>
  <c r="BP85" i="121"/>
  <c r="BY85" i="121" s="1"/>
  <c r="CB87" i="121"/>
  <c r="DQ63" i="121"/>
  <c r="EC63" i="121" s="1"/>
  <c r="AW90" i="8"/>
  <c r="AJ90" i="8"/>
  <c r="P55" i="126"/>
  <c r="CB64" i="123"/>
  <c r="BY64" i="123"/>
  <c r="Z51" i="61"/>
  <c r="Z47" i="61"/>
  <c r="DQ61" i="121"/>
  <c r="AZ23" i="61"/>
  <c r="AZ10" i="61"/>
  <c r="AZ35" i="61" s="1"/>
  <c r="AZ38" i="61" s="1"/>
  <c r="X44" i="125"/>
  <c r="EJ59" i="121"/>
  <c r="FY61" i="121"/>
  <c r="EG68" i="123"/>
  <c r="CH69" i="123"/>
  <c r="W44" i="125"/>
  <c r="DZ59" i="121"/>
  <c r="AM107" i="8"/>
  <c r="AM109" i="8"/>
  <c r="AM110" i="8" s="1"/>
  <c r="CX64" i="123"/>
  <c r="CN64" i="123"/>
  <c r="K83" i="56"/>
  <c r="P82" i="56"/>
  <c r="CA63" i="121"/>
  <c r="Q48" i="125"/>
  <c r="AN107" i="8"/>
  <c r="AN109" i="8"/>
  <c r="AN110" i="8" s="1"/>
  <c r="H11" i="87"/>
  <c r="H10" i="87" s="1"/>
  <c r="J12" i="87"/>
  <c r="J11" i="87" s="1"/>
  <c r="J10" i="87" s="1"/>
  <c r="I12" i="87"/>
  <c r="I11" i="87" s="1"/>
  <c r="I10" i="87" s="1"/>
  <c r="P13" i="61" s="1"/>
  <c r="DP65" i="121"/>
  <c r="DF65" i="121"/>
  <c r="AE51" i="61"/>
  <c r="AE47" i="61"/>
  <c r="FY59" i="121"/>
  <c r="AC44" i="125"/>
  <c r="EX60" i="121"/>
  <c r="FG60" i="121" s="1"/>
  <c r="FP60" i="121"/>
  <c r="AB51" i="125"/>
  <c r="R51" i="68"/>
  <c r="J44" i="96"/>
  <c r="BZ19" i="7" s="1"/>
  <c r="BY19" i="7" s="1"/>
  <c r="BY65" i="121"/>
  <c r="O50" i="125"/>
  <c r="CB65" i="121"/>
  <c r="AJ8" i="8"/>
  <c r="AW8" i="8"/>
  <c r="Q55" i="126"/>
  <c r="BZ64" i="123"/>
  <c r="CC64" i="123"/>
  <c r="AL110" i="8"/>
  <c r="P73" i="56"/>
  <c r="BP63" i="121"/>
  <c r="CM158" i="7"/>
  <c r="CM160" i="7"/>
  <c r="CM161" i="7" s="1"/>
  <c r="Y110" i="8"/>
  <c r="AF110" i="8" s="1"/>
  <c r="AF109" i="8"/>
  <c r="BU160" i="7"/>
  <c r="BU161" i="7" s="1"/>
  <c r="BU158" i="7"/>
  <c r="FF65" i="121"/>
  <c r="EV65" i="121"/>
  <c r="GM59" i="121"/>
  <c r="FN59" i="121"/>
  <c r="FG63" i="121"/>
  <c r="FE63" i="121" s="1"/>
  <c r="EV63" i="121"/>
  <c r="GM63" i="121" s="1"/>
  <c r="AO101" i="8"/>
  <c r="AO106" i="8"/>
  <c r="GH68" i="123"/>
  <c r="GH69" i="123" s="1"/>
  <c r="EI69" i="123"/>
  <c r="DX66" i="121"/>
  <c r="U51" i="125"/>
  <c r="EA66" i="121"/>
  <c r="BU85" i="7"/>
  <c r="BU86" i="7" s="1"/>
  <c r="BU83" i="7"/>
  <c r="FR83" i="121"/>
  <c r="EY83" i="121"/>
  <c r="EY84" i="121" s="1"/>
  <c r="T42" i="126"/>
  <c r="CL51" i="123"/>
  <c r="EB51" i="123"/>
  <c r="BN32" i="19"/>
  <c r="BN46" i="19"/>
  <c r="BN29" i="19"/>
  <c r="BN9" i="19"/>
  <c r="BN17" i="19"/>
  <c r="BN41" i="19"/>
  <c r="BN42" i="19"/>
  <c r="BN33" i="19"/>
  <c r="BN8" i="19"/>
  <c r="BN40" i="19"/>
  <c r="BN13" i="19"/>
  <c r="BZ13" i="19" s="1"/>
  <c r="BN45" i="19"/>
  <c r="BN43" i="19"/>
  <c r="BN37" i="19"/>
  <c r="BN16" i="19"/>
  <c r="BN31" i="19"/>
  <c r="BN10" i="19"/>
  <c r="BN19" i="19"/>
  <c r="BN44" i="19"/>
  <c r="BN22" i="19"/>
  <c r="BN26" i="19"/>
  <c r="BN36" i="19"/>
  <c r="BN34" i="19"/>
  <c r="BZ50" i="19"/>
  <c r="BN38" i="19"/>
  <c r="BN30" i="19"/>
  <c r="BN27" i="19"/>
  <c r="BN11" i="19"/>
  <c r="BN20" i="19"/>
  <c r="BN35" i="19"/>
  <c r="BN48" i="19"/>
  <c r="BN24" i="19"/>
  <c r="BN21" i="19"/>
  <c r="BN39" i="19"/>
  <c r="BN18" i="19"/>
  <c r="BN28" i="19"/>
  <c r="BN23" i="19"/>
  <c r="BZ45" i="19"/>
  <c r="BZ34" i="19"/>
  <c r="BZ33" i="19"/>
  <c r="BZ37" i="19"/>
  <c r="BZ41" i="19"/>
  <c r="BZ38" i="19"/>
  <c r="BZ30" i="19"/>
  <c r="BZ35" i="19"/>
  <c r="BZ8" i="19"/>
  <c r="BZ9" i="19"/>
  <c r="BZ39" i="19"/>
  <c r="BZ20" i="19"/>
  <c r="BZ36" i="19"/>
  <c r="BZ31" i="19"/>
  <c r="BZ21" i="19"/>
  <c r="BZ32" i="19"/>
  <c r="BZ46" i="19"/>
  <c r="BZ28" i="19"/>
  <c r="BZ48" i="19"/>
  <c r="BZ40" i="19"/>
  <c r="BZ27" i="19"/>
  <c r="BZ44" i="19"/>
  <c r="BZ23" i="19"/>
  <c r="BZ42" i="19"/>
  <c r="BZ16" i="19"/>
  <c r="BZ17" i="19"/>
  <c r="BZ24" i="19"/>
  <c r="BZ29" i="19"/>
  <c r="BZ43" i="19"/>
  <c r="BZ26" i="19"/>
  <c r="BZ22" i="19"/>
  <c r="BZ18" i="19"/>
  <c r="BZ19" i="19"/>
  <c r="BN25" i="19"/>
  <c r="BN47" i="19"/>
  <c r="BZ25" i="19"/>
  <c r="BZ47" i="19"/>
  <c r="BY49" i="123"/>
  <c r="P40" i="126"/>
  <c r="U64" i="125"/>
  <c r="DX79" i="121"/>
  <c r="EA79" i="121"/>
  <c r="AD35" i="125"/>
  <c r="GI50" i="121"/>
  <c r="S47" i="125"/>
  <c r="CL62" i="121"/>
  <c r="AA39" i="126"/>
  <c r="EL48" i="123"/>
  <c r="DX75" i="121"/>
  <c r="U60" i="125"/>
  <c r="BY50" i="123"/>
  <c r="CB50" i="123"/>
  <c r="M39" i="126"/>
  <c r="AL48" i="123"/>
  <c r="FX64" i="121"/>
  <c r="AB49" i="125"/>
  <c r="M34" i="125"/>
  <c r="AM49" i="121"/>
  <c r="T13" i="68"/>
  <c r="AF57" i="125"/>
  <c r="GK72" i="121"/>
  <c r="AE48" i="125"/>
  <c r="GJ63" i="121"/>
  <c r="AO197" i="120"/>
  <c r="X111" i="6"/>
  <c r="Y111" i="6" s="1"/>
  <c r="D8" i="129"/>
  <c r="D5" i="129"/>
  <c r="BC89" i="6"/>
  <c r="AX89" i="6"/>
  <c r="AB89" i="6"/>
  <c r="BG89" i="6"/>
  <c r="BB89" i="6"/>
  <c r="AW89" i="6"/>
  <c r="AC89" i="6"/>
  <c r="BF89" i="6"/>
  <c r="BA89" i="6"/>
  <c r="BD89" i="6" s="1"/>
  <c r="AV89" i="6"/>
  <c r="BH89" i="6"/>
  <c r="BC78" i="6"/>
  <c r="BB78" i="6"/>
  <c r="AB78" i="6"/>
  <c r="BG78" i="6"/>
  <c r="BF78" i="6"/>
  <c r="AW78" i="6"/>
  <c r="AC78" i="6"/>
  <c r="AV78" i="6"/>
  <c r="BA78" i="6"/>
  <c r="BD78" i="6" s="1"/>
  <c r="AX78" i="6"/>
  <c r="BH78" i="6"/>
  <c r="W45" i="125"/>
  <c r="DZ60" i="121"/>
  <c r="EC60" i="121"/>
  <c r="EL52" i="123"/>
  <c r="AA43" i="126"/>
  <c r="GB52" i="123"/>
  <c r="B63" i="120"/>
  <c r="R63" i="120"/>
  <c r="AG63" i="120" s="1"/>
  <c r="BB105" i="8"/>
  <c r="AZ69" i="8"/>
  <c r="BH48" i="123"/>
  <c r="AX48" i="123"/>
  <c r="AH84" i="121"/>
  <c r="CG83" i="121"/>
  <c r="EJ11" i="121"/>
  <c r="Q41" i="126"/>
  <c r="BZ50" i="123"/>
  <c r="BW24" i="7"/>
  <c r="BV25" i="7"/>
  <c r="BV141" i="7"/>
  <c r="AJ94" i="8"/>
  <c r="AW94" i="8"/>
  <c r="AI99" i="8"/>
  <c r="AS25" i="7"/>
  <c r="AN196" i="120"/>
  <c r="AF38" i="125"/>
  <c r="GK53" i="121"/>
  <c r="S60" i="125"/>
  <c r="CL75" i="121"/>
  <c r="AA59" i="125"/>
  <c r="FW74" i="121"/>
  <c r="C46" i="122"/>
  <c r="CB46" i="122"/>
  <c r="CH46" i="122" s="1"/>
  <c r="CI46" i="122"/>
  <c r="DY51" i="123"/>
  <c r="W42" i="126"/>
  <c r="BM76" i="122"/>
  <c r="BM155" i="122" s="1"/>
  <c r="BN155" i="122"/>
  <c r="EN39" i="123" s="1"/>
  <c r="O47" i="125"/>
  <c r="BY62" i="121"/>
  <c r="AM41" i="122"/>
  <c r="AP41" i="122"/>
  <c r="BE41" i="122" s="1"/>
  <c r="CV50" i="7"/>
  <c r="CV49" i="7" s="1"/>
  <c r="CF50" i="7"/>
  <c r="BZ49" i="7"/>
  <c r="BZ43" i="7" s="1"/>
  <c r="CV41" i="7"/>
  <c r="BW35" i="7"/>
  <c r="C205" i="120"/>
  <c r="C57" i="121" s="1"/>
  <c r="R38" i="120"/>
  <c r="AG38" i="120" s="1"/>
  <c r="B38" i="120"/>
  <c r="C238" i="120"/>
  <c r="C37" i="120"/>
  <c r="BJ121" i="6"/>
  <c r="CM56" i="120"/>
  <c r="BM165" i="122"/>
  <c r="CL112" i="122"/>
  <c r="AX67" i="6"/>
  <c r="AB67" i="6"/>
  <c r="BG67" i="6"/>
  <c r="BB67" i="6"/>
  <c r="AW67" i="6"/>
  <c r="AC67" i="6"/>
  <c r="BF67" i="6"/>
  <c r="BA67" i="6"/>
  <c r="AV67" i="6"/>
  <c r="AY67" i="6" s="1"/>
  <c r="BH67" i="6"/>
  <c r="BC67" i="6"/>
  <c r="BP61" i="121"/>
  <c r="BG51" i="121"/>
  <c r="BP51" i="121" s="1"/>
  <c r="BQ51" i="121"/>
  <c r="CS67" i="7"/>
  <c r="CS66" i="7" s="1"/>
  <c r="CS169" i="7"/>
  <c r="B127" i="120"/>
  <c r="R127" i="120"/>
  <c r="AG127" i="120" s="1"/>
  <c r="FP48" i="123"/>
  <c r="AQ15" i="7"/>
  <c r="AR15" i="7" s="1"/>
  <c r="Q24" i="96"/>
  <c r="Q27" i="96" s="1"/>
  <c r="L24" i="96"/>
  <c r="L27" i="96" s="1"/>
  <c r="I27" i="96"/>
  <c r="Q9" i="96"/>
  <c r="Q12" i="96" s="1"/>
  <c r="I12" i="96"/>
  <c r="L9" i="96"/>
  <c r="L12" i="96" s="1"/>
  <c r="DB118" i="8"/>
  <c r="CQ38" i="17"/>
  <c r="BX45" i="8"/>
  <c r="BX42" i="8" s="1"/>
  <c r="T34" i="104"/>
  <c r="S39" i="104"/>
  <c r="L29" i="56"/>
  <c r="K10" i="65"/>
  <c r="O11" i="65"/>
  <c r="O10" i="65" s="1"/>
  <c r="N11" i="65"/>
  <c r="I10" i="65"/>
  <c r="AF35" i="125"/>
  <c r="GK50" i="121"/>
  <c r="CL80" i="122"/>
  <c r="BT24" i="8"/>
  <c r="BT17" i="8" s="1"/>
  <c r="X59" i="125"/>
  <c r="FZ74" i="121"/>
  <c r="EJ74" i="121"/>
  <c r="AL36" i="123"/>
  <c r="M27" i="126"/>
  <c r="CB36" i="123"/>
  <c r="CW38" i="17"/>
  <c r="BX32" i="7"/>
  <c r="BW32" i="7"/>
  <c r="BW33" i="7" s="1"/>
  <c r="BV33" i="7"/>
  <c r="AB104" i="6"/>
  <c r="BG104" i="6"/>
  <c r="BB104" i="6"/>
  <c r="AW104" i="6"/>
  <c r="AC104" i="6"/>
  <c r="BF104" i="6"/>
  <c r="BA104" i="6"/>
  <c r="AV104" i="6"/>
  <c r="AY104" i="6" s="1"/>
  <c r="BH104" i="6"/>
  <c r="BC104" i="6"/>
  <c r="AX104" i="6"/>
  <c r="AJ43" i="95"/>
  <c r="AJ49" i="95"/>
  <c r="CV67" i="7" s="1"/>
  <c r="AM143" i="7"/>
  <c r="BA143" i="7"/>
  <c r="K21" i="105"/>
  <c r="K27" i="105" s="1"/>
  <c r="K36" i="105" s="1"/>
  <c r="CX51" i="121"/>
  <c r="CN51" i="121"/>
  <c r="B39" i="120"/>
  <c r="C206" i="120"/>
  <c r="C58" i="121" s="1"/>
  <c r="R39" i="120"/>
  <c r="AG39" i="120" s="1"/>
  <c r="C239" i="120"/>
  <c r="BD91" i="6"/>
  <c r="X90" i="6"/>
  <c r="DK84" i="121"/>
  <c r="DT83" i="121"/>
  <c r="DI83" i="121"/>
  <c r="DI84" i="121" s="1"/>
  <c r="AC65" i="6"/>
  <c r="AB65" i="6"/>
  <c r="AV65" i="6"/>
  <c r="AX65" i="6"/>
  <c r="AW65" i="6"/>
  <c r="Z66" i="6"/>
  <c r="AL8" i="8"/>
  <c r="AL51" i="8" s="1"/>
  <c r="AN16" i="8"/>
  <c r="AN92" i="8" s="1"/>
  <c r="AL92" i="8"/>
  <c r="EF81" i="121"/>
  <c r="BA8" i="8"/>
  <c r="AE12" i="102"/>
  <c r="G35" i="105"/>
  <c r="AC66" i="32"/>
  <c r="Z67" i="32"/>
  <c r="AB67" i="32" s="1"/>
  <c r="Z61" i="32"/>
  <c r="DB154" i="7"/>
  <c r="DB152" i="7"/>
  <c r="AE23" i="95"/>
  <c r="AE25" i="95" s="1"/>
  <c r="AD25" i="95"/>
  <c r="AD27" i="95" s="1"/>
  <c r="AG53" i="126"/>
  <c r="GK62" i="123"/>
  <c r="CM89" i="8"/>
  <c r="BD90" i="120"/>
  <c r="BE261" i="120"/>
  <c r="BK90" i="120"/>
  <c r="AE35" i="125"/>
  <c r="GJ50" i="121"/>
  <c r="CB49" i="123"/>
  <c r="M40" i="126"/>
  <c r="AL49" i="123"/>
  <c r="AC107" i="6"/>
  <c r="BF107" i="6"/>
  <c r="BA107" i="6"/>
  <c r="AV107" i="6"/>
  <c r="BH107" i="6"/>
  <c r="BC107" i="6"/>
  <c r="AX107" i="6"/>
  <c r="AB107" i="6"/>
  <c r="BG107" i="6"/>
  <c r="BB107" i="6"/>
  <c r="AW107" i="6"/>
  <c r="BG102" i="6"/>
  <c r="BB102" i="6"/>
  <c r="BF102" i="6"/>
  <c r="BC102" i="6"/>
  <c r="BH102" i="6"/>
  <c r="CT67" i="7"/>
  <c r="CT66" i="7" s="1"/>
  <c r="CT169" i="7"/>
  <c r="AL13" i="64" s="1"/>
  <c r="AM13" i="64" s="1"/>
  <c r="CB59" i="120"/>
  <c r="C59" i="120"/>
  <c r="CI59" i="120"/>
  <c r="CC201" i="120"/>
  <c r="CI201" i="120" s="1"/>
  <c r="J38" i="105"/>
  <c r="P34" i="104" s="1"/>
  <c r="J37" i="105"/>
  <c r="AB77" i="6"/>
  <c r="BG77" i="6"/>
  <c r="AX77" i="6"/>
  <c r="AW77" i="6"/>
  <c r="AV77" i="6"/>
  <c r="BB77" i="6"/>
  <c r="BA77" i="6"/>
  <c r="BH77" i="6"/>
  <c r="BF77" i="6"/>
  <c r="BC77" i="6"/>
  <c r="AC77" i="6"/>
  <c r="BI96" i="6"/>
  <c r="AY96" i="6"/>
  <c r="BD56" i="120"/>
  <c r="BK56" i="120"/>
  <c r="BE197" i="120"/>
  <c r="BK197" i="120" s="1"/>
  <c r="AR83" i="121"/>
  <c r="AR84" i="121" s="1"/>
  <c r="AS84" i="121"/>
  <c r="AO209" i="120"/>
  <c r="GB49" i="123"/>
  <c r="AA40" i="126"/>
  <c r="EL49" i="123"/>
  <c r="H35" i="105"/>
  <c r="N17" i="104" s="1"/>
  <c r="N23" i="104" s="1"/>
  <c r="Z16" i="64" s="1"/>
  <c r="Z14" i="64" s="1"/>
  <c r="Z18" i="95"/>
  <c r="Z28" i="95" s="1"/>
  <c r="Z47" i="95" s="1"/>
  <c r="Z51" i="95"/>
  <c r="Q83" i="7"/>
  <c r="Z63" i="7"/>
  <c r="Q80" i="7"/>
  <c r="M48" i="121"/>
  <c r="N39" i="126"/>
  <c r="AM48" i="123"/>
  <c r="CB75" i="121"/>
  <c r="L60" i="125"/>
  <c r="AL75" i="121"/>
  <c r="W40" i="95"/>
  <c r="W45" i="95" s="1"/>
  <c r="X35" i="95"/>
  <c r="P30" i="126"/>
  <c r="BY39" i="123"/>
  <c r="CB39" i="123"/>
  <c r="BJ100" i="120"/>
  <c r="BD199" i="120"/>
  <c r="BJ199" i="120" s="1"/>
  <c r="I33" i="105"/>
  <c r="I25" i="105"/>
  <c r="FP74" i="121"/>
  <c r="AG84" i="121"/>
  <c r="N41" i="126"/>
  <c r="AM50" i="123"/>
  <c r="CC50" i="123"/>
  <c r="BZ51" i="123"/>
  <c r="Q42" i="126"/>
  <c r="CC99" i="122"/>
  <c r="CZ39" i="8"/>
  <c r="CZ34" i="8" s="1"/>
  <c r="DA34" i="8"/>
  <c r="CC94" i="122" s="1"/>
  <c r="BD155" i="7"/>
  <c r="C6" i="77"/>
  <c r="C5" i="77" s="1"/>
  <c r="C4" i="77" s="1"/>
  <c r="K13" i="61" s="1"/>
  <c r="B5" i="77"/>
  <c r="B4" i="77" s="1"/>
  <c r="D6" i="77"/>
  <c r="D5" i="77" s="1"/>
  <c r="D4" i="77" s="1"/>
  <c r="K13" i="64" s="1"/>
  <c r="FW50" i="121"/>
  <c r="AA35" i="125"/>
  <c r="Q27" i="126"/>
  <c r="BZ36" i="123"/>
  <c r="Z111" i="6"/>
  <c r="AX112" i="6"/>
  <c r="AX111" i="6" s="1"/>
  <c r="BF112" i="6"/>
  <c r="BG112" i="6"/>
  <c r="BG111" i="6" s="1"/>
  <c r="AW112" i="6"/>
  <c r="AW111" i="6" s="1"/>
  <c r="AC112" i="6"/>
  <c r="AC111" i="6" s="1"/>
  <c r="BH112" i="6"/>
  <c r="BB112" i="6"/>
  <c r="BB111" i="6" s="1"/>
  <c r="BC112" i="6"/>
  <c r="BC111" i="6" s="1"/>
  <c r="AB112" i="6"/>
  <c r="AB111" i="6" s="1"/>
  <c r="BA112" i="6"/>
  <c r="AV112" i="6"/>
  <c r="X109" i="6"/>
  <c r="Y109" i="6" s="1"/>
  <c r="E15" i="99"/>
  <c r="E16" i="99"/>
  <c r="E18" i="99"/>
  <c r="BL50" i="19" s="1"/>
  <c r="E19" i="99"/>
  <c r="BM50" i="19" s="1"/>
  <c r="W38" i="95"/>
  <c r="W43" i="95" s="1"/>
  <c r="X33" i="95"/>
  <c r="AW81" i="6"/>
  <c r="AV81" i="6"/>
  <c r="BB81" i="6"/>
  <c r="BA81" i="6"/>
  <c r="BD81" i="6" s="1"/>
  <c r="BH81" i="6"/>
  <c r="BF81" i="6"/>
  <c r="BC81" i="6"/>
  <c r="AC81" i="6"/>
  <c r="AB81" i="6"/>
  <c r="BG81" i="6"/>
  <c r="AX81" i="6"/>
  <c r="AC116" i="6"/>
  <c r="BF116" i="6"/>
  <c r="AB116" i="6"/>
  <c r="AV116" i="6"/>
  <c r="BH116" i="6"/>
  <c r="AX116" i="6"/>
  <c r="BC116" i="6"/>
  <c r="AW116" i="6"/>
  <c r="BB116" i="6"/>
  <c r="BG116" i="6"/>
  <c r="BA116" i="6"/>
  <c r="R52" i="68"/>
  <c r="BB75" i="8"/>
  <c r="AZ77" i="8" s="1"/>
  <c r="AZ78" i="8"/>
  <c r="BC78" i="8" s="1"/>
  <c r="BC77" i="8" s="1"/>
  <c r="BY77" i="8" s="1"/>
  <c r="AI68" i="8"/>
  <c r="AJ51" i="8"/>
  <c r="AW51" i="8"/>
  <c r="EC13" i="121"/>
  <c r="EL13" i="121" s="1"/>
  <c r="EL12" i="121"/>
  <c r="Q9" i="102"/>
  <c r="AB17" i="61"/>
  <c r="BM143" i="120"/>
  <c r="BM209" i="120" s="1"/>
  <c r="BN209" i="120"/>
  <c r="EN61" i="121" s="1"/>
  <c r="FF51" i="123"/>
  <c r="FE51" i="123" s="1"/>
  <c r="EV51" i="123"/>
  <c r="BD111" i="122"/>
  <c r="BE164" i="122"/>
  <c r="BK164" i="122" s="1"/>
  <c r="BK111" i="122"/>
  <c r="AQ196" i="120"/>
  <c r="BO30" i="120"/>
  <c r="CN30" i="120" s="1"/>
  <c r="BF30" i="120"/>
  <c r="AF34" i="120"/>
  <c r="AM34" i="120"/>
  <c r="AP34" i="120"/>
  <c r="BE34" i="120" s="1"/>
  <c r="EW36" i="123"/>
  <c r="AO155" i="122"/>
  <c r="CB103" i="120"/>
  <c r="CH103" i="120" s="1"/>
  <c r="C103" i="120"/>
  <c r="CI103" i="120"/>
  <c r="CU50" i="7"/>
  <c r="BY49" i="7"/>
  <c r="BY43" i="7" s="1"/>
  <c r="AG31" i="126"/>
  <c r="GK40" i="123"/>
  <c r="GE76" i="121"/>
  <c r="AC105" i="6"/>
  <c r="BF105" i="6"/>
  <c r="AB105" i="6"/>
  <c r="AV105" i="6"/>
  <c r="BH105" i="6"/>
  <c r="AW105" i="6"/>
  <c r="AX105" i="6"/>
  <c r="BC105" i="6"/>
  <c r="BA105" i="6"/>
  <c r="BB105" i="6"/>
  <c r="BG105" i="6"/>
  <c r="CW41" i="7"/>
  <c r="CW35" i="7" s="1"/>
  <c r="CD123" i="120" s="1"/>
  <c r="CJ123" i="120" s="1"/>
  <c r="BX35" i="7"/>
  <c r="CC270" i="120"/>
  <c r="CI270" i="120" s="1"/>
  <c r="CI238" i="120"/>
  <c r="CB205" i="120"/>
  <c r="CH205" i="120" s="1"/>
  <c r="CB238" i="120"/>
  <c r="CH38" i="120"/>
  <c r="AX94" i="6"/>
  <c r="AB94" i="6"/>
  <c r="BG94" i="6"/>
  <c r="BB94" i="6"/>
  <c r="AW94" i="6"/>
  <c r="AC94" i="6"/>
  <c r="AD94" i="6" s="1"/>
  <c r="BF94" i="6"/>
  <c r="BA94" i="6"/>
  <c r="AV94" i="6"/>
  <c r="BH94" i="6"/>
  <c r="BC94" i="6"/>
  <c r="AV75" i="6"/>
  <c r="AC75" i="6"/>
  <c r="AB75" i="6"/>
  <c r="AX75" i="6"/>
  <c r="AW75" i="6"/>
  <c r="Z76" i="6"/>
  <c r="AD75" i="6"/>
  <c r="AC93" i="6"/>
  <c r="BF93" i="6"/>
  <c r="BA93" i="6"/>
  <c r="AD93" i="6"/>
  <c r="AV93" i="6"/>
  <c r="BH93" i="6"/>
  <c r="BC93" i="6"/>
  <c r="AX93" i="6"/>
  <c r="AB93" i="6"/>
  <c r="BG93" i="6"/>
  <c r="BB93" i="6"/>
  <c r="AW93" i="6"/>
  <c r="AY121" i="6"/>
  <c r="BI121" i="6"/>
  <c r="Z120" i="6"/>
  <c r="AD121" i="6"/>
  <c r="AZ121" i="6" s="1"/>
  <c r="CP157" i="7"/>
  <c r="CP155" i="7"/>
  <c r="CO154" i="7"/>
  <c r="EW49" i="123"/>
  <c r="EM49" i="123"/>
  <c r="BB71" i="6"/>
  <c r="AW71" i="6"/>
  <c r="AC71" i="6"/>
  <c r="BF71" i="6"/>
  <c r="BA71" i="6"/>
  <c r="AV71" i="6"/>
  <c r="BH71" i="6"/>
  <c r="BC71" i="6"/>
  <c r="AX71" i="6"/>
  <c r="AB71" i="6"/>
  <c r="BG71" i="6"/>
  <c r="CG82" i="121"/>
  <c r="V64" i="125"/>
  <c r="DY79" i="121"/>
  <c r="EB79" i="121"/>
  <c r="AO141" i="7"/>
  <c r="AO15" i="7"/>
  <c r="AO8" i="7" s="1"/>
  <c r="AO63" i="7" s="1"/>
  <c r="BT31" i="8"/>
  <c r="BS30" i="8"/>
  <c r="BS31" i="8" s="1"/>
  <c r="BJ12" i="120"/>
  <c r="BJ179" i="120" s="1"/>
  <c r="BK179" i="120"/>
  <c r="BZ142" i="7"/>
  <c r="BZ17" i="7"/>
  <c r="CC36" i="123"/>
  <c r="M22" i="65"/>
  <c r="H22" i="65"/>
  <c r="CU109" i="8"/>
  <c r="CU110" i="8" s="1"/>
  <c r="CT106" i="8"/>
  <c r="CU107" i="8"/>
  <c r="BB106" i="6"/>
  <c r="BG106" i="6"/>
  <c r="BA106" i="6"/>
  <c r="AC106" i="6"/>
  <c r="BF106" i="6"/>
  <c r="AB106" i="6"/>
  <c r="AV106" i="6"/>
  <c r="BH106" i="6"/>
  <c r="AX106" i="6"/>
  <c r="BC106" i="6"/>
  <c r="AW106" i="6"/>
  <c r="CB206" i="120"/>
  <c r="CH206" i="120" s="1"/>
  <c r="CB239" i="120"/>
  <c r="CH239" i="120" s="1"/>
  <c r="CH39" i="120"/>
  <c r="BB99" i="6"/>
  <c r="AW99" i="6"/>
  <c r="AC99" i="6"/>
  <c r="BF99" i="6"/>
  <c r="BA99" i="6"/>
  <c r="AV99" i="6"/>
  <c r="BH99" i="6"/>
  <c r="BC99" i="6"/>
  <c r="AX99" i="6"/>
  <c r="AB99" i="6"/>
  <c r="AD99" i="6" s="1"/>
  <c r="BG99" i="6"/>
  <c r="Y90" i="6"/>
  <c r="BH72" i="6"/>
  <c r="BJ73" i="6"/>
  <c r="AD73" i="6"/>
  <c r="Z72" i="6"/>
  <c r="AD72" i="6" s="1"/>
  <c r="Y123" i="6"/>
  <c r="Y124" i="6" s="1"/>
  <c r="FY49" i="123"/>
  <c r="AD40" i="126"/>
  <c r="CX157" i="7"/>
  <c r="CX155" i="7"/>
  <c r="AE9" i="102"/>
  <c r="G34" i="105"/>
  <c r="M8" i="104" s="1"/>
  <c r="AM25" i="7"/>
  <c r="BA25" i="7"/>
  <c r="T51" i="126"/>
  <c r="CL60" i="123"/>
  <c r="AO150" i="7"/>
  <c r="AO89" i="120"/>
  <c r="AP71" i="120"/>
  <c r="AO71" i="120" s="1"/>
  <c r="BM113" i="122"/>
  <c r="BM166" i="122" s="1"/>
  <c r="BN166" i="122"/>
  <c r="EN50" i="123" s="1"/>
  <c r="CS176" i="7"/>
  <c r="CH140" i="7"/>
  <c r="N40" i="126"/>
  <c r="AM49" i="123"/>
  <c r="BN197" i="120"/>
  <c r="EN49" i="121" s="1"/>
  <c r="Z95" i="6"/>
  <c r="AD96" i="6"/>
  <c r="AZ96" i="6" s="1"/>
  <c r="CX48" i="123"/>
  <c r="CN48" i="123"/>
  <c r="Y18" i="125"/>
  <c r="BK13" i="120"/>
  <c r="BK180" i="120" s="1"/>
  <c r="R18" i="125"/>
  <c r="AL13" i="120"/>
  <c r="AL180" i="120" s="1"/>
  <c r="AM142" i="7"/>
  <c r="BA142" i="7"/>
  <c r="AC15" i="95"/>
  <c r="AC20" i="95" s="1"/>
  <c r="AC30" i="95" s="1"/>
  <c r="AC8" i="95"/>
  <c r="AC13" i="95" s="1"/>
  <c r="T18" i="95"/>
  <c r="T28" i="95" s="1"/>
  <c r="T47" i="95" s="1"/>
  <c r="T51" i="95"/>
  <c r="P12" i="102"/>
  <c r="AA17" i="64"/>
  <c r="AQ48" i="121"/>
  <c r="CZ89" i="8"/>
  <c r="CW49" i="121"/>
  <c r="DG49" i="121"/>
  <c r="DF49" i="121" s="1"/>
  <c r="CT154" i="7"/>
  <c r="CT152" i="7"/>
  <c r="CZ40" i="8"/>
  <c r="CK40" i="8"/>
  <c r="BD80" i="7"/>
  <c r="BD176" i="122"/>
  <c r="BJ176" i="122" s="1"/>
  <c r="BJ123" i="122"/>
  <c r="AV101" i="6"/>
  <c r="AX101" i="6"/>
  <c r="AB101" i="6"/>
  <c r="AC101" i="6"/>
  <c r="AW101" i="6"/>
  <c r="AV110" i="6"/>
  <c r="Z109" i="6"/>
  <c r="Z100" i="6" s="1"/>
  <c r="AX110" i="6"/>
  <c r="AX109" i="6" s="1"/>
  <c r="BF110" i="6"/>
  <c r="BG110" i="6"/>
  <c r="BG109" i="6" s="1"/>
  <c r="AW110" i="6"/>
  <c r="AW109" i="6" s="1"/>
  <c r="AC110" i="6"/>
  <c r="AC109" i="6" s="1"/>
  <c r="BH110" i="6"/>
  <c r="BB110" i="6"/>
  <c r="BB109" i="6" s="1"/>
  <c r="BC110" i="6"/>
  <c r="BC109" i="6" s="1"/>
  <c r="AB110" i="6"/>
  <c r="AB109" i="6" s="1"/>
  <c r="BA110" i="6"/>
  <c r="AV97" i="6"/>
  <c r="BH97" i="6"/>
  <c r="BC97" i="6"/>
  <c r="AX97" i="6"/>
  <c r="AB97" i="6"/>
  <c r="BG97" i="6"/>
  <c r="BB97" i="6"/>
  <c r="AW97" i="6"/>
  <c r="AC97" i="6"/>
  <c r="BF97" i="6"/>
  <c r="BA97" i="6"/>
  <c r="BD97" i="6" s="1"/>
  <c r="DG49" i="123"/>
  <c r="DF49" i="123" s="1"/>
  <c r="CW49" i="123"/>
  <c r="S10" i="104"/>
  <c r="BZ53" i="7"/>
  <c r="E84" i="121"/>
  <c r="AF83" i="121"/>
  <c r="EB13" i="121"/>
  <c r="EK13" i="121" s="1"/>
  <c r="EA12" i="121"/>
  <c r="EA13" i="121" s="1"/>
  <c r="EJ13" i="121" s="1"/>
  <c r="EK12" i="121"/>
  <c r="EJ12" i="121" s="1"/>
  <c r="AF164" i="122"/>
  <c r="AL164" i="122" s="1"/>
  <c r="AL111" i="122"/>
  <c r="GB58" i="123"/>
  <c r="EL58" i="123"/>
  <c r="AA49" i="126"/>
  <c r="C77" i="122"/>
  <c r="CB77" i="122"/>
  <c r="CH77" i="122" s="1"/>
  <c r="CI77" i="122"/>
  <c r="Q34" i="120"/>
  <c r="CG140" i="7"/>
  <c r="CX39" i="123"/>
  <c r="CN39" i="123"/>
  <c r="BD76" i="122"/>
  <c r="BK76" i="122"/>
  <c r="BE155" i="122"/>
  <c r="BK155" i="122" s="1"/>
  <c r="M10" i="104"/>
  <c r="BW53" i="7"/>
  <c r="AC108" i="6"/>
  <c r="BF108" i="6"/>
  <c r="AB108" i="6"/>
  <c r="AV108" i="6"/>
  <c r="BH108" i="6"/>
  <c r="AX108" i="6"/>
  <c r="BC108" i="6"/>
  <c r="AW108" i="6"/>
  <c r="BB108" i="6"/>
  <c r="BG108" i="6"/>
  <c r="BA108" i="6"/>
  <c r="AF30" i="120"/>
  <c r="AM30" i="120"/>
  <c r="AP30" i="120"/>
  <c r="Y120" i="6"/>
  <c r="F12" i="61"/>
  <c r="AL13" i="66"/>
  <c r="CS136" i="7"/>
  <c r="CR9" i="7"/>
  <c r="CR8" i="7" s="1"/>
  <c r="CW15" i="7"/>
  <c r="BX8" i="7"/>
  <c r="AD43" i="126"/>
  <c r="FY52" i="123"/>
  <c r="AA63" i="7"/>
  <c r="AB8" i="7"/>
  <c r="AP8" i="7"/>
  <c r="AI8" i="7"/>
  <c r="Q19" i="96"/>
  <c r="Q22" i="96" s="1"/>
  <c r="I22" i="96"/>
  <c r="L19" i="96"/>
  <c r="L22" i="96" s="1"/>
  <c r="AZ160" i="7"/>
  <c r="AZ158" i="7"/>
  <c r="D41" i="122"/>
  <c r="CD151" i="122"/>
  <c r="CJ41" i="122"/>
  <c r="CB41" i="122"/>
  <c r="CH41" i="122" s="1"/>
  <c r="J6" i="105"/>
  <c r="J15" i="105"/>
  <c r="J20" i="105" s="1"/>
  <c r="F22" i="65"/>
  <c r="W59" i="125"/>
  <c r="DZ74" i="121"/>
  <c r="EC74" i="121"/>
  <c r="BD166" i="122"/>
  <c r="BJ166" i="122" s="1"/>
  <c r="BJ113" i="122"/>
  <c r="AO199" i="120"/>
  <c r="AD91" i="6"/>
  <c r="Z90" i="6"/>
  <c r="AB79" i="6"/>
  <c r="BG79" i="6"/>
  <c r="AX79" i="6"/>
  <c r="AW79" i="6"/>
  <c r="AV79" i="6"/>
  <c r="BB79" i="6"/>
  <c r="BA79" i="6"/>
  <c r="BH79" i="6"/>
  <c r="BF79" i="6"/>
  <c r="BC79" i="6"/>
  <c r="AC79" i="6"/>
  <c r="BB119" i="6"/>
  <c r="BB118" i="6" s="1"/>
  <c r="AB119" i="6"/>
  <c r="AB118" i="6" s="1"/>
  <c r="BA119" i="6"/>
  <c r="AV119" i="6"/>
  <c r="BC119" i="6"/>
  <c r="BC118" i="6" s="1"/>
  <c r="Z118" i="6"/>
  <c r="AX119" i="6"/>
  <c r="AX118" i="6" s="1"/>
  <c r="BF119" i="6"/>
  <c r="AW119" i="6"/>
  <c r="AW118" i="6" s="1"/>
  <c r="AC119" i="6"/>
  <c r="AC118" i="6" s="1"/>
  <c r="BH119" i="6"/>
  <c r="BG119" i="6"/>
  <c r="BG118" i="6" s="1"/>
  <c r="AY73" i="6"/>
  <c r="AV72" i="6"/>
  <c r="AY72" i="6" s="1"/>
  <c r="BA72" i="6"/>
  <c r="BD72" i="6" s="1"/>
  <c r="BD73" i="6"/>
  <c r="AF89" i="120"/>
  <c r="AL89" i="120" s="1"/>
  <c r="BE89" i="120"/>
  <c r="AM89" i="120"/>
  <c r="EV75" i="121"/>
  <c r="FF75" i="121"/>
  <c r="FE75" i="121" s="1"/>
  <c r="AK51" i="8"/>
  <c r="W68" i="32"/>
  <c r="Y68" i="32" s="1"/>
  <c r="Y70" i="32" s="1"/>
  <c r="BH10" i="61"/>
  <c r="BH35" i="61" s="1"/>
  <c r="BH38" i="61" s="1"/>
  <c r="BH23" i="61"/>
  <c r="AL9" i="7"/>
  <c r="R13" i="68"/>
  <c r="R15" i="68" s="1"/>
  <c r="CN50" i="123"/>
  <c r="CX50" i="123"/>
  <c r="CC22" i="122"/>
  <c r="DA118" i="8"/>
  <c r="AP12" i="65" s="1"/>
  <c r="DA86" i="8"/>
  <c r="CZ9" i="8"/>
  <c r="CZ86" i="8" s="1"/>
  <c r="DA55" i="8"/>
  <c r="DA54" i="8" s="1"/>
  <c r="DG60" i="123"/>
  <c r="DF60" i="123" s="1"/>
  <c r="CW60" i="123"/>
  <c r="W41" i="125"/>
  <c r="DZ56" i="121"/>
  <c r="EC56" i="121"/>
  <c r="AC41" i="125"/>
  <c r="FY56" i="121"/>
  <c r="R98" i="122"/>
  <c r="B98" i="122"/>
  <c r="BM197" i="120"/>
  <c r="CR18" i="7"/>
  <c r="CR17" i="7" s="1"/>
  <c r="CS17" i="7"/>
  <c r="CS63" i="7" s="1"/>
  <c r="CS65" i="7" s="1"/>
  <c r="BD96" i="6"/>
  <c r="AC92" i="6"/>
  <c r="AC90" i="6" s="1"/>
  <c r="BF92" i="6"/>
  <c r="BA92" i="6"/>
  <c r="AV92" i="6"/>
  <c r="AV90" i="6" s="1"/>
  <c r="BH92" i="6"/>
  <c r="BC92" i="6"/>
  <c r="BC90" i="6" s="1"/>
  <c r="AX92" i="6"/>
  <c r="AB92" i="6"/>
  <c r="AB90" i="6" s="1"/>
  <c r="BG92" i="6"/>
  <c r="BG90" i="6" s="1"/>
  <c r="BB92" i="6"/>
  <c r="BB90" i="6" s="1"/>
  <c r="AW92" i="6"/>
  <c r="AX117" i="6"/>
  <c r="AB117" i="6"/>
  <c r="BG117" i="6"/>
  <c r="BB117" i="6"/>
  <c r="AW117" i="6"/>
  <c r="AC117" i="6"/>
  <c r="BF117" i="6"/>
  <c r="BA117" i="6"/>
  <c r="AD117" i="6"/>
  <c r="AV117" i="6"/>
  <c r="BH117" i="6"/>
  <c r="BC117" i="6"/>
  <c r="BD13" i="120"/>
  <c r="BD179" i="120"/>
  <c r="BD180" i="120" s="1"/>
  <c r="X17" i="125"/>
  <c r="X69" i="6"/>
  <c r="Y69" i="6" s="1"/>
  <c r="CM143" i="120"/>
  <c r="BD165" i="122"/>
  <c r="BJ165" i="122" s="1"/>
  <c r="BJ112" i="122"/>
  <c r="M35" i="105"/>
  <c r="M34" i="105"/>
  <c r="AB8" i="95"/>
  <c r="AB13" i="95" s="1"/>
  <c r="AB15" i="95"/>
  <c r="AB20" i="95" s="1"/>
  <c r="AB30" i="95" s="1"/>
  <c r="AB49" i="95" s="1"/>
  <c r="AA15" i="95"/>
  <c r="AA20" i="95" s="1"/>
  <c r="AA30" i="95" s="1"/>
  <c r="AA49" i="95" s="1"/>
  <c r="AA8" i="95"/>
  <c r="AA13" i="95" s="1"/>
  <c r="U15" i="95"/>
  <c r="U20" i="95" s="1"/>
  <c r="U30" i="95" s="1"/>
  <c r="U49" i="95" s="1"/>
  <c r="Z13" i="61" s="1"/>
  <c r="U8" i="95"/>
  <c r="U13" i="95" s="1"/>
  <c r="V10" i="95"/>
  <c r="Y49" i="125"/>
  <c r="EK64" i="121"/>
  <c r="GA64" i="121"/>
  <c r="BD209" i="120"/>
  <c r="BJ209" i="120" s="1"/>
  <c r="BJ143" i="120"/>
  <c r="CB62" i="121"/>
  <c r="S51" i="126"/>
  <c r="CK60" i="123"/>
  <c r="AF260" i="120"/>
  <c r="AL260" i="120" s="1"/>
  <c r="AL261" i="120"/>
  <c r="CT176" i="7"/>
  <c r="AL12" i="64"/>
  <c r="P73" i="32"/>
  <c r="P70" i="32"/>
  <c r="P71" i="32" s="1"/>
  <c r="AF58" i="125"/>
  <c r="GK73" i="121"/>
  <c r="P42" i="126"/>
  <c r="BY51" i="123"/>
  <c r="CB51" i="123"/>
  <c r="BT14" i="8"/>
  <c r="BT89" i="8"/>
  <c r="AV68" i="6"/>
  <c r="BH68" i="6"/>
  <c r="BC68" i="6"/>
  <c r="AX68" i="6"/>
  <c r="AB68" i="6"/>
  <c r="BG68" i="6"/>
  <c r="BB68" i="6"/>
  <c r="AW68" i="6"/>
  <c r="AC68" i="6"/>
  <c r="AD68" i="6" s="1"/>
  <c r="BF68" i="6"/>
  <c r="BA68" i="6"/>
  <c r="BD68" i="6" s="1"/>
  <c r="CG160" i="120"/>
  <c r="EW62" i="121"/>
  <c r="EM62" i="121"/>
  <c r="CV15" i="7"/>
  <c r="CF15" i="7"/>
  <c r="CL23" i="122"/>
  <c r="R108" i="120"/>
  <c r="Q108" i="120" s="1"/>
  <c r="B108" i="120"/>
  <c r="BS34" i="8"/>
  <c r="AG11" i="65"/>
  <c r="EW60" i="123"/>
  <c r="EM60" i="123"/>
  <c r="BZ62" i="121"/>
  <c r="P47" i="125"/>
  <c r="X39" i="126"/>
  <c r="DZ48" i="123"/>
  <c r="BD152" i="122"/>
  <c r="BJ152" i="122" s="1"/>
  <c r="BJ95" i="122"/>
  <c r="P27" i="126"/>
  <c r="BY36" i="123"/>
  <c r="EF78" i="121"/>
  <c r="CU41" i="7"/>
  <c r="CF41" i="7"/>
  <c r="BV35" i="7"/>
  <c r="BY40" i="7"/>
  <c r="AN75" i="8"/>
  <c r="AO75" i="8" s="1"/>
  <c r="AW86" i="6"/>
  <c r="AC86" i="6"/>
  <c r="AV86" i="6"/>
  <c r="BA86" i="6"/>
  <c r="AX86" i="6"/>
  <c r="BH86" i="6"/>
  <c r="BC86" i="6"/>
  <c r="BB86" i="6"/>
  <c r="AB86" i="6"/>
  <c r="BG86" i="6"/>
  <c r="BF86" i="6"/>
  <c r="BI86" i="6" s="1"/>
  <c r="AB83" i="6"/>
  <c r="BG83" i="6"/>
  <c r="AX83" i="6"/>
  <c r="AW83" i="6"/>
  <c r="AV83" i="6"/>
  <c r="BB83" i="6"/>
  <c r="BA83" i="6"/>
  <c r="BH83" i="6"/>
  <c r="BF83" i="6"/>
  <c r="BC83" i="6"/>
  <c r="AC83" i="6"/>
  <c r="BD121" i="6"/>
  <c r="BM111" i="122"/>
  <c r="BN164" i="122"/>
  <c r="EN48" i="123" s="1"/>
  <c r="BF58" i="7"/>
  <c r="CL144" i="120"/>
  <c r="Y11" i="95"/>
  <c r="Y16" i="95" s="1"/>
  <c r="Y21" i="95" s="1"/>
  <c r="Y31" i="95" s="1"/>
  <c r="Y50" i="95" s="1"/>
  <c r="AD13" i="64" s="1"/>
  <c r="X16" i="95"/>
  <c r="X21" i="95" s="1"/>
  <c r="X31" i="95" s="1"/>
  <c r="X50" i="95" s="1"/>
  <c r="AC13" i="64" s="1"/>
  <c r="EW79" i="121"/>
  <c r="EM79" i="121"/>
  <c r="AN15" i="7"/>
  <c r="AN8" i="7" s="1"/>
  <c r="AN141" i="7"/>
  <c r="AN150" i="7" s="1"/>
  <c r="AL14" i="7"/>
  <c r="AF52" i="125"/>
  <c r="GK67" i="121"/>
  <c r="Q29" i="96"/>
  <c r="Q32" i="96" s="1"/>
  <c r="L29" i="96"/>
  <c r="L32" i="96" s="1"/>
  <c r="I32" i="96"/>
  <c r="Q14" i="96"/>
  <c r="Q17" i="96" s="1"/>
  <c r="L14" i="96"/>
  <c r="L17" i="96" s="1"/>
  <c r="I17" i="96"/>
  <c r="Q34" i="96"/>
  <c r="Q37" i="96" s="1"/>
  <c r="I37" i="96"/>
  <c r="L34" i="96"/>
  <c r="L37" i="96" s="1"/>
  <c r="R9" i="65"/>
  <c r="R22" i="65"/>
  <c r="BU24" i="8"/>
  <c r="BU89" i="8"/>
  <c r="AI43" i="98"/>
  <c r="AA86" i="7"/>
  <c r="AP85" i="7"/>
  <c r="AI85" i="7"/>
  <c r="DO51" i="123"/>
  <c r="L16" i="105"/>
  <c r="L21" i="105" s="1"/>
  <c r="L27" i="105" s="1"/>
  <c r="L36" i="105" s="1"/>
  <c r="BM100" i="120"/>
  <c r="BM199" i="120" s="1"/>
  <c r="BN199" i="120"/>
  <c r="EN51" i="121" s="1"/>
  <c r="BC80" i="6"/>
  <c r="BB80" i="6"/>
  <c r="AB80" i="6"/>
  <c r="BG80" i="6"/>
  <c r="BF80" i="6"/>
  <c r="AW80" i="6"/>
  <c r="AC80" i="6"/>
  <c r="AV80" i="6"/>
  <c r="AY80" i="6" s="1"/>
  <c r="BA80" i="6"/>
  <c r="AX80" i="6"/>
  <c r="BH80" i="6"/>
  <c r="AY91" i="6"/>
  <c r="AW90" i="6"/>
  <c r="AV98" i="6"/>
  <c r="BH98" i="6"/>
  <c r="BH95" i="6" s="1"/>
  <c r="BC98" i="6"/>
  <c r="AX98" i="6"/>
  <c r="AB98" i="6"/>
  <c r="BG98" i="6"/>
  <c r="BB98" i="6"/>
  <c r="AW98" i="6"/>
  <c r="AC98" i="6"/>
  <c r="BF98" i="6"/>
  <c r="BA98" i="6"/>
  <c r="BD98" i="6" s="1"/>
  <c r="X72" i="6"/>
  <c r="Y72" i="6" s="1"/>
  <c r="BF72" i="6"/>
  <c r="BI72" i="6" s="1"/>
  <c r="BI73" i="6"/>
  <c r="CW62" i="121"/>
  <c r="DG62" i="121"/>
  <c r="CU14" i="7"/>
  <c r="CU8" i="7" s="1"/>
  <c r="CL89" i="8"/>
  <c r="AS14" i="7"/>
  <c r="CY158" i="7"/>
  <c r="CY160" i="7"/>
  <c r="CY161" i="7" s="1"/>
  <c r="FS84" i="121"/>
  <c r="DX64" i="121"/>
  <c r="U49" i="125"/>
  <c r="EA64" i="121"/>
  <c r="CW36" i="123"/>
  <c r="DG36" i="123"/>
  <c r="AN74" i="8"/>
  <c r="AO74" i="8" s="1"/>
  <c r="BN89" i="120"/>
  <c r="BM90" i="120"/>
  <c r="BN261" i="120"/>
  <c r="BN260" i="120" s="1"/>
  <c r="AO166" i="122"/>
  <c r="CL113" i="122"/>
  <c r="CK12" i="121"/>
  <c r="AG27" i="126"/>
  <c r="GK36" i="123"/>
  <c r="CU140" i="7"/>
  <c r="Z18" i="125"/>
  <c r="BL13" i="120"/>
  <c r="BL180" i="120" s="1"/>
  <c r="L39" i="56"/>
  <c r="AB85" i="6"/>
  <c r="BG85" i="6"/>
  <c r="AX85" i="6"/>
  <c r="AW85" i="6"/>
  <c r="AV85" i="6"/>
  <c r="BB85" i="6"/>
  <c r="BA85" i="6"/>
  <c r="BH85" i="6"/>
  <c r="BF85" i="6"/>
  <c r="BC85" i="6"/>
  <c r="AC85" i="6"/>
  <c r="X95" i="6"/>
  <c r="Y95" i="6" s="1"/>
  <c r="BJ96" i="6"/>
  <c r="BA84" i="6"/>
  <c r="AX84" i="6"/>
  <c r="BH84" i="6"/>
  <c r="BC84" i="6"/>
  <c r="BB84" i="6"/>
  <c r="AB84" i="6"/>
  <c r="BG84" i="6"/>
  <c r="BF84" i="6"/>
  <c r="AW84" i="6"/>
  <c r="AC84" i="6"/>
  <c r="AV84" i="6"/>
  <c r="AV122" i="6"/>
  <c r="AB122" i="6"/>
  <c r="BG122" i="6"/>
  <c r="BG120" i="6" s="1"/>
  <c r="BA122" i="6"/>
  <c r="BA120" i="6" s="1"/>
  <c r="AX122" i="6"/>
  <c r="AX120" i="6" s="1"/>
  <c r="BF122" i="6"/>
  <c r="AC122" i="6"/>
  <c r="AC120" i="6" s="1"/>
  <c r="BH122" i="6"/>
  <c r="BC122" i="6"/>
  <c r="BC120" i="6" s="1"/>
  <c r="AW122" i="6"/>
  <c r="AW120" i="6" s="1"/>
  <c r="BB122" i="6"/>
  <c r="BB120" i="6" s="1"/>
  <c r="AV114" i="6"/>
  <c r="AX114" i="6"/>
  <c r="AW114" i="6"/>
  <c r="Z115" i="6"/>
  <c r="Z113" i="6" s="1"/>
  <c r="AC114" i="6"/>
  <c r="AB114" i="6"/>
  <c r="AC70" i="6"/>
  <c r="BF70" i="6"/>
  <c r="BA70" i="6"/>
  <c r="AV70" i="6"/>
  <c r="BH70" i="6"/>
  <c r="BC70" i="6"/>
  <c r="BC69" i="6" s="1"/>
  <c r="AX70" i="6"/>
  <c r="AX69" i="6" s="1"/>
  <c r="AB70" i="6"/>
  <c r="AB69" i="6" s="1"/>
  <c r="BG70" i="6"/>
  <c r="Z69" i="6"/>
  <c r="BB70" i="6"/>
  <c r="BB69" i="6" s="1"/>
  <c r="AW70" i="6"/>
  <c r="AW69" i="6" s="1"/>
  <c r="AG71" i="120"/>
  <c r="CX61" i="121"/>
  <c r="CN61" i="121"/>
  <c r="H34" i="105"/>
  <c r="N8" i="104" s="1"/>
  <c r="N14" i="104" s="1"/>
  <c r="Z16" i="61" s="1"/>
  <c r="Z14" i="61" s="1"/>
  <c r="AL58" i="7"/>
  <c r="P33" i="105"/>
  <c r="P25" i="105"/>
  <c r="BZ9" i="7"/>
  <c r="Z30" i="95"/>
  <c r="Z49" i="95" s="1"/>
  <c r="AD8" i="95"/>
  <c r="AD13" i="95" s="1"/>
  <c r="AD15" i="95"/>
  <c r="AD20" i="95" s="1"/>
  <c r="T30" i="95"/>
  <c r="T49" i="95" s="1"/>
  <c r="BW9" i="7"/>
  <c r="BW8" i="7" s="1"/>
  <c r="R107" i="120"/>
  <c r="B107" i="120"/>
  <c r="C106" i="120"/>
  <c r="AQ17" i="7"/>
  <c r="AC35" i="95"/>
  <c r="AC40" i="95" s="1"/>
  <c r="AC45" i="95" s="1"/>
  <c r="AD33" i="95"/>
  <c r="AC38" i="95"/>
  <c r="AC43" i="95" s="1"/>
  <c r="CC156" i="122"/>
  <c r="CI156" i="122" s="1"/>
  <c r="C26" i="122"/>
  <c r="CB26" i="122"/>
  <c r="CI26" i="122"/>
  <c r="BG49" i="121"/>
  <c r="BQ49" i="121"/>
  <c r="Q30" i="126"/>
  <c r="BZ39" i="123"/>
  <c r="CC39" i="123"/>
  <c r="DP49" i="121"/>
  <c r="BQ61" i="121"/>
  <c r="DP75" i="121"/>
  <c r="BQ49" i="123"/>
  <c r="FQ83" i="121"/>
  <c r="EP84" i="121"/>
  <c r="FR84" i="121"/>
  <c r="CG179" i="122"/>
  <c r="BL94" i="122"/>
  <c r="EJ44" i="123"/>
  <c r="Y35" i="126"/>
  <c r="GE61" i="123"/>
  <c r="GE63" i="123" s="1"/>
  <c r="EF63" i="123"/>
  <c r="CE67" i="123"/>
  <c r="ED67" i="123" s="1"/>
  <c r="BE163" i="122"/>
  <c r="BK163" i="122" s="1"/>
  <c r="BK159" i="122"/>
  <c r="BM159" i="122"/>
  <c r="AC43" i="123"/>
  <c r="E68" i="123"/>
  <c r="AG68" i="123"/>
  <c r="CF68" i="123" s="1"/>
  <c r="F69" i="123"/>
  <c r="FN44" i="123"/>
  <c r="FZ44" i="123" s="1"/>
  <c r="CY47" i="123"/>
  <c r="DH47" i="123" s="1"/>
  <c r="BG47" i="123"/>
  <c r="BP47" i="123" s="1"/>
  <c r="BQ47" i="123"/>
  <c r="CB218" i="122"/>
  <c r="CH218" i="122" s="1"/>
  <c r="EF66" i="123"/>
  <c r="CN43" i="123"/>
  <c r="CX43" i="123"/>
  <c r="FR69" i="123"/>
  <c r="FJ69" i="123"/>
  <c r="FH68" i="123"/>
  <c r="FH69" i="123" s="1"/>
  <c r="CX47" i="123"/>
  <c r="CN47" i="123"/>
  <c r="GC47" i="123"/>
  <c r="CE184" i="122"/>
  <c r="P69" i="123"/>
  <c r="AH68" i="123"/>
  <c r="N68" i="123"/>
  <c r="N69" i="123" s="1"/>
  <c r="BD159" i="122"/>
  <c r="BJ29" i="122"/>
  <c r="O34" i="126"/>
  <c r="AN43" i="123"/>
  <c r="BQ43" i="123"/>
  <c r="AG37" i="126"/>
  <c r="GK46" i="123"/>
  <c r="AA35" i="126"/>
  <c r="EL44" i="123"/>
  <c r="CE66" i="123"/>
  <c r="ER69" i="123"/>
  <c r="EP68" i="123"/>
  <c r="FS68" i="123"/>
  <c r="X35" i="126"/>
  <c r="DZ44" i="123"/>
  <c r="BN163" i="122"/>
  <c r="EN47" i="123" s="1"/>
  <c r="EN43" i="123"/>
  <c r="N34" i="126"/>
  <c r="AM43" i="123"/>
  <c r="V35" i="126"/>
  <c r="DX44" i="123"/>
  <c r="BO163" i="122"/>
  <c r="EO47" i="123" s="1"/>
  <c r="EO43" i="123"/>
  <c r="AE50" i="126"/>
  <c r="GI59" i="123"/>
  <c r="CL29" i="122"/>
  <c r="AT69" i="123"/>
  <c r="BU68" i="123"/>
  <c r="AR68" i="123"/>
  <c r="AR69" i="123" s="1"/>
  <c r="M38" i="126"/>
  <c r="AL47" i="123"/>
  <c r="FP44" i="123"/>
  <c r="BG43" i="123"/>
  <c r="BR43" i="123"/>
  <c r="CD43" i="123" s="1"/>
  <c r="U38" i="126"/>
  <c r="CM47" i="123"/>
  <c r="AO163" i="122"/>
  <c r="CY43" i="123"/>
  <c r="BF163" i="122"/>
  <c r="BL163" i="122" s="1"/>
  <c r="BL159" i="122"/>
  <c r="CC47" i="123"/>
  <c r="N38" i="126"/>
  <c r="AM47" i="123"/>
  <c r="CH159" i="122"/>
  <c r="CE163" i="122"/>
  <c r="CH163" i="122" s="1"/>
  <c r="CG67" i="123"/>
  <c r="EF67" i="123" s="1"/>
  <c r="GE67" i="123" s="1"/>
  <c r="CK70" i="123"/>
  <c r="G15" i="129"/>
  <c r="G19" i="129" s="1"/>
  <c r="FZ72" i="123"/>
  <c r="EJ72" i="123"/>
  <c r="EA70" i="123"/>
  <c r="EJ70" i="123" s="1"/>
  <c r="G10" i="129"/>
  <c r="G14" i="129" s="1"/>
  <c r="G18" i="129" s="1"/>
  <c r="G7" i="129"/>
  <c r="CE270" i="120"/>
  <c r="DR69" i="123"/>
  <c r="CQ83" i="121"/>
  <c r="DS83" i="121"/>
  <c r="CR84" i="121"/>
  <c r="CF126" i="122"/>
  <c r="BG126" i="122"/>
  <c r="CE124" i="122"/>
  <c r="CE131" i="122"/>
  <c r="GD66" i="123"/>
  <c r="BT69" i="123"/>
  <c r="EE67" i="123"/>
  <c r="GD63" i="123"/>
  <c r="BS68" i="123"/>
  <c r="BA69" i="123"/>
  <c r="GC61" i="123"/>
  <c r="ED74" i="123"/>
  <c r="ED63" i="123"/>
  <c r="CE165" i="120"/>
  <c r="ED81" i="121"/>
  <c r="CF82" i="121"/>
  <c r="CE158" i="120"/>
  <c r="BG160" i="120"/>
  <c r="GD76" i="121"/>
  <c r="CE231" i="120"/>
  <c r="BG226" i="120"/>
  <c r="CE89" i="121"/>
  <c r="CE78" i="121"/>
  <c r="CE82" i="121"/>
  <c r="ED78" i="121"/>
  <c r="ED89" i="121"/>
  <c r="EE78" i="121"/>
  <c r="BB84" i="121"/>
  <c r="BT83" i="121"/>
  <c r="BA83" i="121"/>
  <c r="EE81" i="121"/>
  <c r="CF226" i="120"/>
  <c r="CE224" i="120"/>
  <c r="CE208" i="120"/>
  <c r="CH204" i="120"/>
  <c r="CF160" i="120"/>
  <c r="GI12" i="121"/>
  <c r="CH178" i="122"/>
  <c r="CE179" i="122"/>
  <c r="DX45" i="123" l="1"/>
  <c r="EA45" i="123"/>
  <c r="V36" i="126"/>
  <c r="Y16" i="66"/>
  <c r="X14" i="66"/>
  <c r="Y14" i="66" s="1"/>
  <c r="AD83" i="6"/>
  <c r="BD108" i="6"/>
  <c r="AD108" i="6"/>
  <c r="AD110" i="6"/>
  <c r="AB43" i="98"/>
  <c r="X9" i="98"/>
  <c r="X16" i="98"/>
  <c r="BS43" i="8"/>
  <c r="BS42" i="8" s="1"/>
  <c r="BS93" i="8" s="1"/>
  <c r="L38" i="123"/>
  <c r="B38" i="123"/>
  <c r="BN51" i="72"/>
  <c r="BQ51" i="72" s="1"/>
  <c r="BX51" i="72" s="1"/>
  <c r="I13" i="61"/>
  <c r="BS51" i="72"/>
  <c r="BJ80" i="6"/>
  <c r="AD79" i="6"/>
  <c r="BI99" i="6"/>
  <c r="AD78" i="6"/>
  <c r="FE45" i="123"/>
  <c r="FO45" i="123"/>
  <c r="AH34" i="98"/>
  <c r="AH38" i="98" s="1"/>
  <c r="AH43" i="98" s="1"/>
  <c r="AH42" i="98"/>
  <c r="W24" i="98"/>
  <c r="W29" i="98" s="1"/>
  <c r="W34" i="98" s="1"/>
  <c r="W31" i="98"/>
  <c r="W36" i="98" s="1"/>
  <c r="X26" i="98"/>
  <c r="AD98" i="6"/>
  <c r="T52" i="68"/>
  <c r="BY51" i="72"/>
  <c r="FN45" i="123"/>
  <c r="AD43" i="98"/>
  <c r="W36" i="126"/>
  <c r="DY45" i="123"/>
  <c r="EB45" i="123"/>
  <c r="O35" i="104"/>
  <c r="N39" i="104"/>
  <c r="AA16" i="66" s="1"/>
  <c r="AA14" i="66" s="1"/>
  <c r="S31" i="104"/>
  <c r="T26" i="104"/>
  <c r="BW45" i="8"/>
  <c r="BW42" i="8" s="1"/>
  <c r="CX18" i="8"/>
  <c r="AH40" i="98"/>
  <c r="BV51" i="72"/>
  <c r="BY48" i="72"/>
  <c r="CM48" i="72"/>
  <c r="CM51" i="72" s="1"/>
  <c r="CK51" i="72" s="1"/>
  <c r="CK18" i="8"/>
  <c r="CK86" i="8" s="1"/>
  <c r="CL86" i="8"/>
  <c r="CL118" i="8" s="1"/>
  <c r="AI12" i="65" s="1"/>
  <c r="AJ12" i="65" s="1"/>
  <c r="W21" i="98"/>
  <c r="W14" i="98"/>
  <c r="Z13" i="65"/>
  <c r="AA13" i="65" s="1"/>
  <c r="AA15" i="65"/>
  <c r="AG42" i="122"/>
  <c r="R154" i="122"/>
  <c r="AP38" i="123" s="1"/>
  <c r="Q42" i="122"/>
  <c r="Q154" i="122" s="1"/>
  <c r="O31" i="104"/>
  <c r="AC15" i="65" s="1"/>
  <c r="AC13" i="65" s="1"/>
  <c r="P26" i="104"/>
  <c r="V42" i="98"/>
  <c r="V19" i="98"/>
  <c r="V38" i="98" s="1"/>
  <c r="X35" i="104"/>
  <c r="CY43" i="8" s="1"/>
  <c r="CW43" i="8" s="1"/>
  <c r="CM43" i="8"/>
  <c r="CK43" i="8" s="1"/>
  <c r="BV86" i="8"/>
  <c r="BV8" i="8"/>
  <c r="BI84" i="6"/>
  <c r="AD86" i="6"/>
  <c r="CR63" i="7"/>
  <c r="CR65" i="7" s="1"/>
  <c r="DO49" i="121"/>
  <c r="AD116" i="6"/>
  <c r="AY81" i="6"/>
  <c r="BD102" i="6"/>
  <c r="BE102" i="6" s="1"/>
  <c r="T15" i="68"/>
  <c r="BN12" i="19"/>
  <c r="FX66" i="121"/>
  <c r="M93" i="56"/>
  <c r="M92" i="56" s="1"/>
  <c r="AX110" i="8"/>
  <c r="AX117" i="8" s="1"/>
  <c r="AX118" i="8" s="1"/>
  <c r="AA161" i="7"/>
  <c r="AI161" i="7" s="1"/>
  <c r="AI160" i="7"/>
  <c r="DO60" i="123"/>
  <c r="EA60" i="123" s="1"/>
  <c r="BG95" i="6"/>
  <c r="BI104" i="6"/>
  <c r="F12" i="66"/>
  <c r="BC99" i="8"/>
  <c r="AD80" i="6"/>
  <c r="AC95" i="6"/>
  <c r="BF136" i="7"/>
  <c r="F13" i="64" s="1"/>
  <c r="I13" i="64" s="1"/>
  <c r="N13" i="64" s="1"/>
  <c r="BF8" i="7"/>
  <c r="AZ34" i="8"/>
  <c r="AZ90" i="8"/>
  <c r="BA39" i="8"/>
  <c r="M102" i="56"/>
  <c r="H103" i="56"/>
  <c r="H102" i="56" s="1"/>
  <c r="AV110" i="8"/>
  <c r="L93" i="56"/>
  <c r="L92" i="56" s="1"/>
  <c r="AD101" i="6"/>
  <c r="AD105" i="6"/>
  <c r="AD107" i="6"/>
  <c r="FN63" i="121"/>
  <c r="AA48" i="125" s="1"/>
  <c r="BE136" i="7"/>
  <c r="BE8" i="7"/>
  <c r="BE63" i="7" s="1"/>
  <c r="BC68" i="8"/>
  <c r="BC70" i="8"/>
  <c r="BC71" i="8"/>
  <c r="BC74" i="8"/>
  <c r="BC75" i="8" s="1"/>
  <c r="G103" i="56"/>
  <c r="G102" i="56" s="1"/>
  <c r="Q102" i="56" s="1"/>
  <c r="L102" i="56"/>
  <c r="EL63" i="121"/>
  <c r="Z48" i="125"/>
  <c r="BG69" i="6"/>
  <c r="AC69" i="6"/>
  <c r="AD69" i="6" s="1"/>
  <c r="BI122" i="6"/>
  <c r="AD122" i="6"/>
  <c r="AD85" i="6"/>
  <c r="BD85" i="6"/>
  <c r="AB95" i="6"/>
  <c r="BD83" i="6"/>
  <c r="AX90" i="6"/>
  <c r="AY90" i="6" s="1"/>
  <c r="FN75" i="121"/>
  <c r="AA60" i="125" s="1"/>
  <c r="BI97" i="6"/>
  <c r="BB95" i="6"/>
  <c r="BC95" i="6"/>
  <c r="T52" i="95"/>
  <c r="BI94" i="6"/>
  <c r="BI116" i="6"/>
  <c r="AD81" i="6"/>
  <c r="AZ81" i="6" s="1"/>
  <c r="BE81" i="6" s="1"/>
  <c r="AD77" i="6"/>
  <c r="BD77" i="6"/>
  <c r="AD67" i="6"/>
  <c r="AZ67" i="6" s="1"/>
  <c r="X51" i="125"/>
  <c r="EJ66" i="121"/>
  <c r="FZ66" i="121"/>
  <c r="CL64" i="123"/>
  <c r="T55" i="126"/>
  <c r="V50" i="125"/>
  <c r="DY65" i="121"/>
  <c r="X82" i="56"/>
  <c r="X102" i="56"/>
  <c r="DO65" i="121"/>
  <c r="BS82" i="7"/>
  <c r="BS80" i="7"/>
  <c r="AX52" i="61"/>
  <c r="AX53" i="61" s="1"/>
  <c r="BC46" i="61"/>
  <c r="AX48" i="61"/>
  <c r="AO107" i="8"/>
  <c r="AO109" i="8"/>
  <c r="AO110" i="8" s="1"/>
  <c r="FE65" i="121"/>
  <c r="FN65" i="121" s="1"/>
  <c r="FO65" i="121"/>
  <c r="BY63" i="121"/>
  <c r="O48" i="125"/>
  <c r="CB63" i="121"/>
  <c r="CK65" i="121"/>
  <c r="R50" i="125"/>
  <c r="EA65" i="121"/>
  <c r="FY60" i="121"/>
  <c r="AC45" i="125"/>
  <c r="AE48" i="61"/>
  <c r="AE52" i="61"/>
  <c r="AE53" i="61" s="1"/>
  <c r="GF68" i="123"/>
  <c r="GF69" i="123" s="1"/>
  <c r="EG69" i="123"/>
  <c r="DZ61" i="121"/>
  <c r="W46" i="125"/>
  <c r="EC61" i="121"/>
  <c r="CJ157" i="7"/>
  <c r="CJ155" i="7"/>
  <c r="CI154" i="7"/>
  <c r="BT85" i="7"/>
  <c r="BT86" i="7" s="1"/>
  <c r="BT83" i="7"/>
  <c r="BT160" i="7"/>
  <c r="BT161" i="7" s="1"/>
  <c r="BT158" i="7"/>
  <c r="AF44" i="125"/>
  <c r="GK59" i="121"/>
  <c r="AY68" i="6"/>
  <c r="AZ68" i="6" s="1"/>
  <c r="BE68" i="6" s="1"/>
  <c r="AZ91" i="6"/>
  <c r="BE91" i="6" s="1"/>
  <c r="BH91" i="6" s="1"/>
  <c r="BI91" i="6" s="1"/>
  <c r="CR136" i="7"/>
  <c r="CR150" i="7" s="1"/>
  <c r="CR152" i="7" s="1"/>
  <c r="DO49" i="123"/>
  <c r="AD97" i="6"/>
  <c r="AV95" i="6"/>
  <c r="AY106" i="6"/>
  <c r="AD71" i="6"/>
  <c r="BI77" i="6"/>
  <c r="BI102" i="6"/>
  <c r="Z68" i="32"/>
  <c r="AB68" i="32" s="1"/>
  <c r="AB70" i="32" s="1"/>
  <c r="AD104" i="6"/>
  <c r="AZ104" i="6" s="1"/>
  <c r="BI78" i="6"/>
  <c r="BI89" i="6"/>
  <c r="AA44" i="125"/>
  <c r="FZ59" i="121"/>
  <c r="FW59" i="121"/>
  <c r="P72" i="56"/>
  <c r="K73" i="56"/>
  <c r="P13" i="64"/>
  <c r="Y13" i="64" s="1"/>
  <c r="H13" i="66"/>
  <c r="Z48" i="61"/>
  <c r="AA46" i="61"/>
  <c r="Z52" i="61"/>
  <c r="Z53" i="61" s="1"/>
  <c r="CK64" i="123"/>
  <c r="S55" i="126"/>
  <c r="DZ63" i="121"/>
  <c r="W48" i="125"/>
  <c r="AA51" i="125"/>
  <c r="FW66" i="121"/>
  <c r="CL158" i="7"/>
  <c r="CL160" i="7"/>
  <c r="CL161" i="7" s="1"/>
  <c r="AE51" i="125"/>
  <c r="GJ66" i="121"/>
  <c r="CH208" i="120"/>
  <c r="AD84" i="6"/>
  <c r="BI98" i="6"/>
  <c r="AW95" i="6"/>
  <c r="AX95" i="6"/>
  <c r="AW100" i="6"/>
  <c r="AZ73" i="6"/>
  <c r="AD106" i="6"/>
  <c r="BI81" i="6"/>
  <c r="CL143" i="120"/>
  <c r="CB208" i="120"/>
  <c r="AD89" i="6"/>
  <c r="FP63" i="121"/>
  <c r="CW64" i="123"/>
  <c r="DG64" i="123"/>
  <c r="EA87" i="121"/>
  <c r="CB85" i="121"/>
  <c r="CK85" i="121" s="1"/>
  <c r="CK87" i="121"/>
  <c r="BS155" i="7"/>
  <c r="BS157" i="7"/>
  <c r="CL65" i="121"/>
  <c r="S50" i="125"/>
  <c r="EB65" i="121"/>
  <c r="BD120" i="6"/>
  <c r="DX49" i="123"/>
  <c r="V40" i="126"/>
  <c r="L38" i="105"/>
  <c r="R34" i="104" s="1"/>
  <c r="L37" i="105"/>
  <c r="AN155" i="7"/>
  <c r="FW75" i="121"/>
  <c r="BK34" i="120"/>
  <c r="BD34" i="120"/>
  <c r="O36" i="125"/>
  <c r="BY51" i="121"/>
  <c r="CB51" i="121"/>
  <c r="BK41" i="122"/>
  <c r="P46" i="125"/>
  <c r="BZ61" i="121"/>
  <c r="CC61" i="121"/>
  <c r="V34" i="125"/>
  <c r="DY49" i="121"/>
  <c r="P34" i="125"/>
  <c r="BZ49" i="121"/>
  <c r="B106" i="120"/>
  <c r="Q107" i="120"/>
  <c r="R106" i="120"/>
  <c r="P34" i="105"/>
  <c r="T8" i="104" s="1"/>
  <c r="P35" i="105"/>
  <c r="AD70" i="6"/>
  <c r="BJ122" i="6"/>
  <c r="Q40" i="126"/>
  <c r="BZ49" i="123"/>
  <c r="T30" i="126"/>
  <c r="CL39" i="123"/>
  <c r="BP49" i="121"/>
  <c r="R26" i="122"/>
  <c r="B26" i="122"/>
  <c r="C156" i="122"/>
  <c r="C40" i="123" s="1"/>
  <c r="AG107" i="120"/>
  <c r="BV9" i="7"/>
  <c r="BW136" i="7"/>
  <c r="AL145" i="7"/>
  <c r="BA58" i="7"/>
  <c r="AM58" i="7"/>
  <c r="DG61" i="121"/>
  <c r="CW61" i="121"/>
  <c r="BD70" i="6"/>
  <c r="BA69" i="6"/>
  <c r="BD69" i="6" s="1"/>
  <c r="AY84" i="6"/>
  <c r="BJ84" i="6"/>
  <c r="BI85" i="6"/>
  <c r="AY85" i="6"/>
  <c r="AZ85" i="6" s="1"/>
  <c r="BE85" i="6" s="1"/>
  <c r="BM261" i="120"/>
  <c r="BM260" i="120" s="1"/>
  <c r="CL90" i="120"/>
  <c r="DF36" i="123"/>
  <c r="DO36" i="123" s="1"/>
  <c r="DP36" i="123"/>
  <c r="EB36" i="123" s="1"/>
  <c r="X49" i="125"/>
  <c r="FZ64" i="121"/>
  <c r="EJ64" i="121"/>
  <c r="BJ98" i="6"/>
  <c r="BD80" i="6"/>
  <c r="AL141" i="7"/>
  <c r="AL15" i="7"/>
  <c r="AM14" i="7"/>
  <c r="BA14" i="7"/>
  <c r="EW48" i="123"/>
  <c r="EM48" i="123"/>
  <c r="BI83" i="6"/>
  <c r="CA40" i="7"/>
  <c r="BY41" i="7"/>
  <c r="BY35" i="7" s="1"/>
  <c r="BZ40" i="7"/>
  <c r="BY141" i="7"/>
  <c r="FF60" i="123"/>
  <c r="EV60" i="123"/>
  <c r="BI68" i="6"/>
  <c r="W10" i="95"/>
  <c r="V15" i="95"/>
  <c r="V20" i="95" s="1"/>
  <c r="V30" i="95" s="1"/>
  <c r="V49" i="95" s="1"/>
  <c r="AA13" i="61" s="1"/>
  <c r="V8" i="95"/>
  <c r="V13" i="95" s="1"/>
  <c r="S17" i="104"/>
  <c r="CA56" i="7"/>
  <c r="CA52" i="7" s="1"/>
  <c r="CA144" i="7" s="1"/>
  <c r="CA172" i="7" s="1"/>
  <c r="AE16" i="64" s="1"/>
  <c r="AY117" i="6"/>
  <c r="BI92" i="6"/>
  <c r="Z41" i="125"/>
  <c r="GB56" i="121"/>
  <c r="EL56" i="121"/>
  <c r="AQ12" i="65"/>
  <c r="AD119" i="6"/>
  <c r="BI79" i="6"/>
  <c r="AY79" i="6"/>
  <c r="AZ79" i="6" s="1"/>
  <c r="K7" i="105"/>
  <c r="J14" i="105"/>
  <c r="D151" i="122"/>
  <c r="S41" i="122"/>
  <c r="AH41" i="122" s="1"/>
  <c r="B41" i="122"/>
  <c r="AA83" i="7"/>
  <c r="AB63" i="7"/>
  <c r="AP63" i="7"/>
  <c r="AA82" i="7"/>
  <c r="AI82" i="7" s="1"/>
  <c r="AA80" i="7"/>
  <c r="AI63" i="7"/>
  <c r="CW14" i="7"/>
  <c r="CW8" i="7" s="1"/>
  <c r="M12" i="61"/>
  <c r="M11" i="61" s="1"/>
  <c r="H12" i="61"/>
  <c r="H11" i="61" s="1"/>
  <c r="K12" i="61"/>
  <c r="I12" i="61"/>
  <c r="I11" i="61" s="1"/>
  <c r="BJ108" i="6"/>
  <c r="DG39" i="123"/>
  <c r="CW39" i="123"/>
  <c r="AF84" i="121"/>
  <c r="BJ97" i="6"/>
  <c r="BA109" i="6"/>
  <c r="BD109" i="6" s="1"/>
  <c r="BD110" i="6"/>
  <c r="BH109" i="6"/>
  <c r="BJ110" i="6"/>
  <c r="AV109" i="6"/>
  <c r="AY109" i="6" s="1"/>
  <c r="AY110" i="6"/>
  <c r="AZ48" i="121"/>
  <c r="CC49" i="123"/>
  <c r="BV45" i="8"/>
  <c r="BV42" i="8" s="1"/>
  <c r="Y73" i="32"/>
  <c r="P10" i="104" s="1"/>
  <c r="CX158" i="7"/>
  <c r="CX160" i="7"/>
  <c r="CX161" i="7" s="1"/>
  <c r="AZ72" i="6"/>
  <c r="BE72" i="6" s="1"/>
  <c r="AY99" i="6"/>
  <c r="BI106" i="6"/>
  <c r="CL36" i="123"/>
  <c r="T27" i="126"/>
  <c r="AO81" i="7"/>
  <c r="AO156" i="7" s="1"/>
  <c r="AO80" i="7"/>
  <c r="BD71" i="6"/>
  <c r="CO155" i="7"/>
  <c r="CO157" i="7"/>
  <c r="BJ93" i="6"/>
  <c r="BI93" i="6"/>
  <c r="AY94" i="6"/>
  <c r="AZ94" i="6" s="1"/>
  <c r="AY105" i="6"/>
  <c r="AZ105" i="6" s="1"/>
  <c r="CL76" i="122"/>
  <c r="EV36" i="123"/>
  <c r="FF36" i="123"/>
  <c r="BD164" i="122"/>
  <c r="BJ164" i="122" s="1"/>
  <c r="BJ111" i="122"/>
  <c r="E20" i="99"/>
  <c r="BO50" i="19"/>
  <c r="BD112" i="6"/>
  <c r="BA111" i="6"/>
  <c r="BD111" i="6" s="1"/>
  <c r="BH111" i="6"/>
  <c r="BJ112" i="6"/>
  <c r="CK39" i="123"/>
  <c r="S30" i="126"/>
  <c r="R83" i="7"/>
  <c r="Z83" i="7"/>
  <c r="BF95" i="6"/>
  <c r="BI95" i="6" s="1"/>
  <c r="BJ77" i="6"/>
  <c r="AY77" i="6"/>
  <c r="AZ77" i="6" s="1"/>
  <c r="CH59" i="120"/>
  <c r="CB201" i="120"/>
  <c r="CH201" i="120" s="1"/>
  <c r="AY107" i="6"/>
  <c r="AZ107" i="6" s="1"/>
  <c r="AB73" i="32"/>
  <c r="Q10" i="104" s="1"/>
  <c r="AC66" i="6"/>
  <c r="AW66" i="6"/>
  <c r="AV66" i="6"/>
  <c r="AX66" i="6"/>
  <c r="AB66" i="6"/>
  <c r="AD66" i="6" s="1"/>
  <c r="AY65" i="6"/>
  <c r="BF90" i="6"/>
  <c r="R239" i="120"/>
  <c r="R206" i="120"/>
  <c r="AP58" i="121" s="1"/>
  <c r="Q39" i="120"/>
  <c r="BD104" i="6"/>
  <c r="BE104" i="6" s="1"/>
  <c r="CV33" i="7"/>
  <c r="CF33" i="7"/>
  <c r="BW27" i="7"/>
  <c r="BT25" i="8"/>
  <c r="DA25" i="8" s="1"/>
  <c r="DA24" i="8" s="1"/>
  <c r="BS24" i="8"/>
  <c r="I22" i="65"/>
  <c r="I27" i="65"/>
  <c r="I9" i="65" s="1"/>
  <c r="I38" i="65" s="1"/>
  <c r="X34" i="104"/>
  <c r="CM45" i="8"/>
  <c r="CM42" i="8" s="1"/>
  <c r="CM93" i="8" s="1"/>
  <c r="CM121" i="8" s="1"/>
  <c r="AG16" i="66" s="1"/>
  <c r="T39" i="104"/>
  <c r="AN13" i="66"/>
  <c r="AO13" i="66" s="1"/>
  <c r="AT12" i="65"/>
  <c r="AS15" i="7"/>
  <c r="O46" i="125"/>
  <c r="BY61" i="121"/>
  <c r="CB61" i="121"/>
  <c r="BH120" i="6"/>
  <c r="C270" i="120"/>
  <c r="Q38" i="120"/>
  <c r="R238" i="120"/>
  <c r="R205" i="120"/>
  <c r="AP57" i="121" s="1"/>
  <c r="R37" i="120"/>
  <c r="Q63" i="120"/>
  <c r="Z45" i="125"/>
  <c r="GB60" i="121"/>
  <c r="EL60" i="121"/>
  <c r="AY89" i="6"/>
  <c r="D6" i="129"/>
  <c r="D9" i="129"/>
  <c r="D13" i="129" s="1"/>
  <c r="CC49" i="121"/>
  <c r="DP60" i="123"/>
  <c r="BN14" i="19"/>
  <c r="BN49" i="19"/>
  <c r="DY75" i="121"/>
  <c r="V60" i="125"/>
  <c r="AR17" i="7"/>
  <c r="AS17" i="7" s="1"/>
  <c r="BY9" i="7"/>
  <c r="BZ136" i="7"/>
  <c r="BZ8" i="7"/>
  <c r="AF71" i="120"/>
  <c r="AL71" i="120" s="1"/>
  <c r="BE71" i="120"/>
  <c r="AM71" i="120"/>
  <c r="BH69" i="6"/>
  <c r="BJ70" i="6"/>
  <c r="BF69" i="6"/>
  <c r="BI70" i="6"/>
  <c r="AD114" i="6"/>
  <c r="BJ85" i="6"/>
  <c r="BM89" i="120"/>
  <c r="CL89" i="120" s="1"/>
  <c r="BN71" i="120"/>
  <c r="CM89" i="120"/>
  <c r="AY98" i="6"/>
  <c r="AZ80" i="6"/>
  <c r="BE80" i="6" s="1"/>
  <c r="BI80" i="6"/>
  <c r="AP86" i="7"/>
  <c r="S90" i="7"/>
  <c r="S91" i="7" s="1"/>
  <c r="P91" i="7" s="1"/>
  <c r="P90" i="7" s="1"/>
  <c r="P92" i="7" s="1"/>
  <c r="AI86" i="7"/>
  <c r="BU90" i="8"/>
  <c r="BU25" i="8"/>
  <c r="DB25" i="8" s="1"/>
  <c r="DB24" i="8" s="1"/>
  <c r="FF79" i="121"/>
  <c r="FE79" i="121" s="1"/>
  <c r="EV79" i="121"/>
  <c r="BM164" i="122"/>
  <c r="CL111" i="122"/>
  <c r="BJ83" i="6"/>
  <c r="AY83" i="6"/>
  <c r="AZ83" i="6" s="1"/>
  <c r="BE83" i="6" s="1"/>
  <c r="BD86" i="6"/>
  <c r="BJ68" i="6"/>
  <c r="BS14" i="8"/>
  <c r="BT15" i="8"/>
  <c r="BT90" i="8"/>
  <c r="EJ60" i="123"/>
  <c r="Y51" i="126"/>
  <c r="R47" i="125"/>
  <c r="CK62" i="121"/>
  <c r="GJ64" i="121"/>
  <c r="AE49" i="125"/>
  <c r="U18" i="95"/>
  <c r="U28" i="95" s="1"/>
  <c r="U47" i="95" s="1"/>
  <c r="U51" i="95"/>
  <c r="X18" i="125"/>
  <c r="BJ13" i="120"/>
  <c r="BJ180" i="120" s="1"/>
  <c r="AZ117" i="6"/>
  <c r="BJ92" i="6"/>
  <c r="AG98" i="122"/>
  <c r="Q98" i="122"/>
  <c r="C22" i="122"/>
  <c r="CB22" i="122"/>
  <c r="CC151" i="122"/>
  <c r="CI22" i="122"/>
  <c r="BF118" i="6"/>
  <c r="BI119" i="6"/>
  <c r="AY119" i="6"/>
  <c r="AV118" i="6"/>
  <c r="AY118" i="6" s="1"/>
  <c r="BJ79" i="6"/>
  <c r="AD90" i="6"/>
  <c r="CL100" i="120"/>
  <c r="AL30" i="120"/>
  <c r="AY108" i="6"/>
  <c r="AZ108" i="6" s="1"/>
  <c r="BE108" i="6" s="1"/>
  <c r="BD155" i="122"/>
  <c r="BJ155" i="122" s="1"/>
  <c r="BJ76" i="122"/>
  <c r="AY97" i="6"/>
  <c r="AZ97" i="6" s="1"/>
  <c r="BE97" i="6" s="1"/>
  <c r="BF109" i="6"/>
  <c r="BI109" i="6" s="1"/>
  <c r="BI110" i="6"/>
  <c r="AB100" i="6"/>
  <c r="CT157" i="7"/>
  <c r="CT155" i="7"/>
  <c r="GM75" i="121"/>
  <c r="CW48" i="123"/>
  <c r="DG48" i="123"/>
  <c r="DF48" i="123" s="1"/>
  <c r="AO157" i="7"/>
  <c r="AO155" i="7"/>
  <c r="M14" i="104"/>
  <c r="BE73" i="6"/>
  <c r="BD99" i="6"/>
  <c r="BJ106" i="6"/>
  <c r="CT107" i="8"/>
  <c r="CT109" i="8"/>
  <c r="CT110" i="8" s="1"/>
  <c r="BI71" i="6"/>
  <c r="BF120" i="6"/>
  <c r="AY93" i="6"/>
  <c r="Z74" i="6"/>
  <c r="AY75" i="6"/>
  <c r="AZ75" i="6" s="1"/>
  <c r="BD94" i="6"/>
  <c r="GE78" i="121"/>
  <c r="B103" i="120"/>
  <c r="R103" i="120"/>
  <c r="Q103" i="120" s="1"/>
  <c r="AJ68" i="8"/>
  <c r="AW68" i="8"/>
  <c r="BM21" i="19"/>
  <c r="DE21" i="19" s="1"/>
  <c r="CC118" i="122" s="1"/>
  <c r="BM29" i="19"/>
  <c r="DE29" i="19" s="1"/>
  <c r="BM31" i="19"/>
  <c r="DE31" i="19" s="1"/>
  <c r="BM35" i="19"/>
  <c r="DE35" i="19" s="1"/>
  <c r="BM43" i="19"/>
  <c r="DE43" i="19" s="1"/>
  <c r="BM45" i="19"/>
  <c r="DE45" i="19" s="1"/>
  <c r="BM8" i="19"/>
  <c r="BM9" i="19"/>
  <c r="DE9" i="19" s="1"/>
  <c r="BM20" i="19"/>
  <c r="DE20" i="19" s="1"/>
  <c r="BM22" i="19"/>
  <c r="DE22" i="19" s="1"/>
  <c r="BM28" i="19"/>
  <c r="DE28" i="19" s="1"/>
  <c r="BM32" i="19"/>
  <c r="DE32" i="19" s="1"/>
  <c r="BM38" i="19"/>
  <c r="DE38" i="19" s="1"/>
  <c r="BM40" i="19"/>
  <c r="DE40" i="19" s="1"/>
  <c r="BM44" i="19"/>
  <c r="DE44" i="19" s="1"/>
  <c r="BM46" i="19"/>
  <c r="DE46" i="19" s="1"/>
  <c r="BM13" i="19"/>
  <c r="BY50" i="19"/>
  <c r="BY9" i="19"/>
  <c r="BY17" i="19"/>
  <c r="BY28" i="19"/>
  <c r="BY48" i="19"/>
  <c r="BY22" i="19"/>
  <c r="BY27" i="19"/>
  <c r="BY20" i="19"/>
  <c r="BY31" i="19"/>
  <c r="BY46" i="19"/>
  <c r="BY45" i="19"/>
  <c r="BY29" i="19"/>
  <c r="BY26" i="19"/>
  <c r="BY34" i="19"/>
  <c r="BY33" i="19"/>
  <c r="BY40" i="19"/>
  <c r="BY18" i="19"/>
  <c r="BY19" i="19"/>
  <c r="BY16" i="19"/>
  <c r="BY30" i="19"/>
  <c r="BY24" i="19"/>
  <c r="BY43" i="19"/>
  <c r="BY37" i="19"/>
  <c r="BY41" i="19"/>
  <c r="BY35" i="19"/>
  <c r="BY8" i="19"/>
  <c r="BY21" i="19"/>
  <c r="BY32" i="19"/>
  <c r="BY39" i="19"/>
  <c r="BY44" i="19"/>
  <c r="BY23" i="19"/>
  <c r="BY42" i="19"/>
  <c r="BY36" i="19"/>
  <c r="BY38" i="19"/>
  <c r="BM24" i="19"/>
  <c r="DE24" i="19" s="1"/>
  <c r="CC120" i="122" s="1"/>
  <c r="BM48" i="19"/>
  <c r="DE48" i="19" s="1"/>
  <c r="BM36" i="19"/>
  <c r="DE36" i="19" s="1"/>
  <c r="BM30" i="19"/>
  <c r="DE30" i="19" s="1"/>
  <c r="BM23" i="19"/>
  <c r="DE23" i="19" s="1"/>
  <c r="BM10" i="19"/>
  <c r="BM14" i="19" s="1"/>
  <c r="DE14" i="19" s="1"/>
  <c r="BM16" i="19"/>
  <c r="BM42" i="19"/>
  <c r="DE42" i="19" s="1"/>
  <c r="BM33" i="19"/>
  <c r="DE33" i="19" s="1"/>
  <c r="BM27" i="19"/>
  <c r="DE27" i="19" s="1"/>
  <c r="BM17" i="19"/>
  <c r="DE17" i="19" s="1"/>
  <c r="CC119" i="122" s="1"/>
  <c r="BM11" i="19"/>
  <c r="BM19" i="19"/>
  <c r="BM39" i="19"/>
  <c r="DE39" i="19" s="1"/>
  <c r="BM41" i="19"/>
  <c r="DE41" i="19" s="1"/>
  <c r="BM37" i="19"/>
  <c r="DE37" i="19" s="1"/>
  <c r="BM34" i="19"/>
  <c r="DE34" i="19" s="1"/>
  <c r="BM18" i="19"/>
  <c r="BM26" i="19"/>
  <c r="DE26" i="19" s="1"/>
  <c r="BM25" i="19"/>
  <c r="DE25" i="19" s="1"/>
  <c r="BM47" i="19"/>
  <c r="DE47" i="19" s="1"/>
  <c r="BY25" i="19"/>
  <c r="BY47" i="19"/>
  <c r="BF111" i="6"/>
  <c r="BI111" i="6" s="1"/>
  <c r="BI112" i="6"/>
  <c r="CB94" i="122"/>
  <c r="CH94" i="122" s="1"/>
  <c r="CI94" i="122"/>
  <c r="I34" i="105"/>
  <c r="O8" i="104" s="1"/>
  <c r="O14" i="104" s="1"/>
  <c r="AA16" i="61" s="1"/>
  <c r="AA14" i="61" s="1"/>
  <c r="I35" i="105"/>
  <c r="O17" i="104" s="1"/>
  <c r="O23" i="104" s="1"/>
  <c r="AA16" i="64" s="1"/>
  <c r="AA14" i="64" s="1"/>
  <c r="AD30" i="95"/>
  <c r="DA154" i="7"/>
  <c r="DB155" i="7"/>
  <c r="DB157" i="7"/>
  <c r="AC67" i="32"/>
  <c r="AE67" i="32" s="1"/>
  <c r="AC61" i="32"/>
  <c r="AW64" i="6"/>
  <c r="Z64" i="6"/>
  <c r="B58" i="121"/>
  <c r="L58" i="121"/>
  <c r="DG51" i="121"/>
  <c r="DF51" i="121" s="1"/>
  <c r="CW51" i="121"/>
  <c r="CV169" i="7"/>
  <c r="BE13" i="61" s="1"/>
  <c r="CV66" i="7"/>
  <c r="BX33" i="7"/>
  <c r="BX141" i="7"/>
  <c r="CK36" i="123"/>
  <c r="EA36" i="123"/>
  <c r="S27" i="126"/>
  <c r="AD59" i="125"/>
  <c r="GI74" i="121"/>
  <c r="N10" i="65"/>
  <c r="Q11" i="65"/>
  <c r="Q10" i="65" s="1"/>
  <c r="BX93" i="8"/>
  <c r="BX51" i="8"/>
  <c r="BX53" i="8" s="1"/>
  <c r="L44" i="96"/>
  <c r="CG19" i="7" s="1"/>
  <c r="AD39" i="126"/>
  <c r="FY48" i="123"/>
  <c r="AF127" i="120"/>
  <c r="AL127" i="120" s="1"/>
  <c r="AM127" i="120"/>
  <c r="AP127" i="120"/>
  <c r="BE127" i="120" s="1"/>
  <c r="BD67" i="6"/>
  <c r="BE67" i="6" s="1"/>
  <c r="B205" i="120"/>
  <c r="B238" i="120"/>
  <c r="L57" i="121"/>
  <c r="B57" i="121"/>
  <c r="CG50" i="7"/>
  <c r="CG49" i="7" s="1"/>
  <c r="CF49" i="7"/>
  <c r="EW39" i="123"/>
  <c r="EM39" i="123"/>
  <c r="AJ99" i="8"/>
  <c r="AI101" i="8"/>
  <c r="AW99" i="8"/>
  <c r="CU25" i="7"/>
  <c r="EF83" i="121"/>
  <c r="CG84" i="121"/>
  <c r="BG48" i="123"/>
  <c r="BP48" i="123" s="1"/>
  <c r="BQ48" i="123"/>
  <c r="AG43" i="126"/>
  <c r="GK52" i="123"/>
  <c r="FO51" i="123"/>
  <c r="GA51" i="123" s="1"/>
  <c r="FO75" i="121"/>
  <c r="EK51" i="123"/>
  <c r="Z42" i="126"/>
  <c r="AY70" i="6"/>
  <c r="AV69" i="6"/>
  <c r="AY69" i="6" s="1"/>
  <c r="AV115" i="6"/>
  <c r="AX115" i="6"/>
  <c r="AX113" i="6" s="1"/>
  <c r="AW115" i="6"/>
  <c r="AW113" i="6" s="1"/>
  <c r="AC115" i="6"/>
  <c r="AC113" i="6" s="1"/>
  <c r="AB115" i="6"/>
  <c r="AD115" i="6" s="1"/>
  <c r="AY114" i="6"/>
  <c r="AY122" i="6"/>
  <c r="AZ122" i="6" s="1"/>
  <c r="BD84" i="6"/>
  <c r="DF62" i="121"/>
  <c r="DP62" i="121"/>
  <c r="AZ98" i="6"/>
  <c r="BE98" i="6" s="1"/>
  <c r="EM51" i="121"/>
  <c r="EW51" i="121"/>
  <c r="V42" i="126"/>
  <c r="DX51" i="123"/>
  <c r="AN63" i="7"/>
  <c r="AL8" i="7"/>
  <c r="AB120" i="6"/>
  <c r="AD120" i="6" s="1"/>
  <c r="CG41" i="7"/>
  <c r="CH41" i="7"/>
  <c r="CF40" i="7"/>
  <c r="CF35" i="7" s="1"/>
  <c r="CH15" i="7"/>
  <c r="CG15" i="7"/>
  <c r="CF14" i="7"/>
  <c r="EV62" i="121"/>
  <c r="FF62" i="121"/>
  <c r="FE62" i="121" s="1"/>
  <c r="S42" i="126"/>
  <c r="CK51" i="123"/>
  <c r="EA51" i="123"/>
  <c r="U34" i="125"/>
  <c r="DX49" i="121"/>
  <c r="AB18" i="95"/>
  <c r="AB28" i="95" s="1"/>
  <c r="AB47" i="95" s="1"/>
  <c r="AB51" i="95"/>
  <c r="BD117" i="6"/>
  <c r="AY92" i="6"/>
  <c r="AL136" i="7"/>
  <c r="AM9" i="7"/>
  <c r="BA9" i="7"/>
  <c r="AK68" i="8"/>
  <c r="AK69" i="8"/>
  <c r="AK74" i="8" s="1"/>
  <c r="BH118" i="6"/>
  <c r="BJ119" i="6"/>
  <c r="BA118" i="6"/>
  <c r="BD118" i="6" s="1"/>
  <c r="BD119" i="6"/>
  <c r="BD79" i="6"/>
  <c r="BJ91" i="6"/>
  <c r="BH90" i="6"/>
  <c r="J19" i="105"/>
  <c r="J26" i="105"/>
  <c r="CJ151" i="122"/>
  <c r="AQ8" i="7"/>
  <c r="AR8" i="7" s="1"/>
  <c r="BC13" i="61"/>
  <c r="CS150" i="7"/>
  <c r="AM13" i="66"/>
  <c r="AG49" i="126"/>
  <c r="GK58" i="123"/>
  <c r="AZ110" i="6"/>
  <c r="BE110" i="6" s="1"/>
  <c r="AX100" i="6"/>
  <c r="CL40" i="8"/>
  <c r="CL39" i="8" s="1"/>
  <c r="CL34" i="8" s="1"/>
  <c r="CK39" i="8"/>
  <c r="CK34" i="8" s="1"/>
  <c r="AC51" i="95"/>
  <c r="AC18" i="95"/>
  <c r="AC28" i="95" s="1"/>
  <c r="AC47" i="95" s="1"/>
  <c r="BE96" i="6"/>
  <c r="EW50" i="123"/>
  <c r="EM50" i="123"/>
  <c r="AC49" i="95"/>
  <c r="AZ99" i="6"/>
  <c r="BD106" i="6"/>
  <c r="CZ31" i="8"/>
  <c r="CK31" i="8"/>
  <c r="BS27" i="8"/>
  <c r="Y64" i="125"/>
  <c r="EK79" i="121"/>
  <c r="BJ71" i="6"/>
  <c r="CP160" i="7"/>
  <c r="CP161" i="7" s="1"/>
  <c r="CP158" i="7"/>
  <c r="AZ93" i="6"/>
  <c r="AO34" i="120"/>
  <c r="BN34" i="120"/>
  <c r="CM34" i="120" s="1"/>
  <c r="AL34" i="120"/>
  <c r="BO196" i="120"/>
  <c r="FN51" i="123"/>
  <c r="R9" i="102"/>
  <c r="AD17" i="61" s="1"/>
  <c r="AC17" i="61"/>
  <c r="BJ116" i="6"/>
  <c r="BJ81" i="6"/>
  <c r="BL22" i="19"/>
  <c r="DD22" i="19" s="1"/>
  <c r="BL29" i="19"/>
  <c r="DD29" i="19" s="1"/>
  <c r="BL43" i="19"/>
  <c r="DD43" i="19" s="1"/>
  <c r="BL45" i="19"/>
  <c r="DD45" i="19" s="1"/>
  <c r="BL8" i="19"/>
  <c r="BL32" i="19"/>
  <c r="DD32" i="19" s="1"/>
  <c r="BL38" i="19"/>
  <c r="DD38" i="19" s="1"/>
  <c r="BL44" i="19"/>
  <c r="DD44" i="19" s="1"/>
  <c r="BL46" i="19"/>
  <c r="DD46" i="19" s="1"/>
  <c r="BL9" i="19"/>
  <c r="DD9" i="19" s="1"/>
  <c r="BL31" i="19"/>
  <c r="DD31" i="19" s="1"/>
  <c r="BL35" i="19"/>
  <c r="DD35" i="19" s="1"/>
  <c r="BL20" i="19"/>
  <c r="DD20" i="19" s="1"/>
  <c r="BL40" i="19"/>
  <c r="DD40" i="19" s="1"/>
  <c r="BL10" i="19"/>
  <c r="BL48" i="19"/>
  <c r="BL24" i="19"/>
  <c r="DD24" i="19" s="1"/>
  <c r="CC154" i="120" s="1"/>
  <c r="BL28" i="19"/>
  <c r="BK50" i="19"/>
  <c r="BL11" i="19"/>
  <c r="BX50" i="19"/>
  <c r="BX48" i="19"/>
  <c r="BX20" i="19"/>
  <c r="BX26" i="19"/>
  <c r="BX44" i="19"/>
  <c r="BX19" i="19"/>
  <c r="BX33" i="19"/>
  <c r="BX37" i="19"/>
  <c r="BX40" i="19"/>
  <c r="BX31" i="19"/>
  <c r="BX34" i="19"/>
  <c r="BX16" i="19"/>
  <c r="BX41" i="19"/>
  <c r="BX27" i="19"/>
  <c r="BX46" i="19"/>
  <c r="BX36" i="19"/>
  <c r="BX35" i="19"/>
  <c r="BX9" i="19"/>
  <c r="BX28" i="19"/>
  <c r="BX21" i="19"/>
  <c r="BX43" i="19"/>
  <c r="BX17" i="19"/>
  <c r="BX23" i="19"/>
  <c r="BX38" i="19"/>
  <c r="BX42" i="19"/>
  <c r="BX29" i="19"/>
  <c r="BX32" i="19"/>
  <c r="BX39" i="19"/>
  <c r="BX22" i="19"/>
  <c r="BX45" i="19"/>
  <c r="BX30" i="19"/>
  <c r="BX18" i="19"/>
  <c r="BX24" i="19"/>
  <c r="BL41" i="19"/>
  <c r="DD41" i="19" s="1"/>
  <c r="BL37" i="19"/>
  <c r="DD37" i="19" s="1"/>
  <c r="BL16" i="19"/>
  <c r="DD16" i="19" s="1"/>
  <c r="BL17" i="19"/>
  <c r="DD17" i="19" s="1"/>
  <c r="CC153" i="120" s="1"/>
  <c r="BL19" i="19"/>
  <c r="DD19" i="19" s="1"/>
  <c r="BL21" i="19"/>
  <c r="DD21" i="19" s="1"/>
  <c r="CC152" i="120" s="1"/>
  <c r="BL42" i="19"/>
  <c r="BL34" i="19"/>
  <c r="BL18" i="19"/>
  <c r="DD18" i="19" s="1"/>
  <c r="BL33" i="19"/>
  <c r="DD33" i="19" s="1"/>
  <c r="BL27" i="19"/>
  <c r="BL26" i="19"/>
  <c r="DD26" i="19" s="1"/>
  <c r="BL36" i="19"/>
  <c r="DD36" i="19" s="1"/>
  <c r="BL13" i="19"/>
  <c r="BL39" i="19"/>
  <c r="DD39" i="19" s="1"/>
  <c r="BL30" i="19"/>
  <c r="BL23" i="19"/>
  <c r="BL47" i="19"/>
  <c r="DD47" i="19" s="1"/>
  <c r="BL25" i="19"/>
  <c r="BX25" i="19"/>
  <c r="BX47" i="19"/>
  <c r="AD112" i="6"/>
  <c r="CL50" i="123"/>
  <c r="T41" i="126"/>
  <c r="S80" i="7"/>
  <c r="R80" i="7"/>
  <c r="Z80" i="7"/>
  <c r="Z52" i="95"/>
  <c r="AG40" i="126"/>
  <c r="GK49" i="123"/>
  <c r="BJ56" i="120"/>
  <c r="BD197" i="120"/>
  <c r="BJ197" i="120" s="1"/>
  <c r="BD107" i="6"/>
  <c r="BE260" i="120"/>
  <c r="BK260" i="120" s="1"/>
  <c r="BK261" i="120"/>
  <c r="AE27" i="95"/>
  <c r="AE51" i="95"/>
  <c r="M17" i="104"/>
  <c r="BW56" i="7"/>
  <c r="BW52" i="7" s="1"/>
  <c r="BW144" i="7" s="1"/>
  <c r="AX64" i="6"/>
  <c r="AB64" i="6"/>
  <c r="DT84" i="121"/>
  <c r="AM39" i="120"/>
  <c r="AF39" i="120"/>
  <c r="AP39" i="120"/>
  <c r="BE39" i="120" s="1"/>
  <c r="B206" i="120"/>
  <c r="B239" i="120"/>
  <c r="K37" i="105"/>
  <c r="K38" i="105"/>
  <c r="Q34" i="104" s="1"/>
  <c r="CV18" i="7"/>
  <c r="AJ47" i="95"/>
  <c r="AJ52" i="95" s="1"/>
  <c r="BJ104" i="6"/>
  <c r="O22" i="65"/>
  <c r="O27" i="65"/>
  <c r="O9" i="65" s="1"/>
  <c r="O38" i="65" s="1"/>
  <c r="I44" i="96"/>
  <c r="BW19" i="7" s="1"/>
  <c r="P36" i="125"/>
  <c r="BZ51" i="121"/>
  <c r="CC51" i="121"/>
  <c r="BJ67" i="6"/>
  <c r="BI67" i="6"/>
  <c r="AF38" i="120"/>
  <c r="AG205" i="120"/>
  <c r="AM205" i="120" s="1"/>
  <c r="AM38" i="120"/>
  <c r="AG238" i="120"/>
  <c r="AG37" i="120"/>
  <c r="AP38" i="120"/>
  <c r="CC64" i="120"/>
  <c r="CU49" i="7"/>
  <c r="CU43" i="7" s="1"/>
  <c r="CV43" i="7"/>
  <c r="R46" i="122"/>
  <c r="AG46" i="122" s="1"/>
  <c r="B46" i="122"/>
  <c r="BW25" i="7"/>
  <c r="BW141" i="7"/>
  <c r="AZ105" i="8"/>
  <c r="S41" i="126"/>
  <c r="CK50" i="123"/>
  <c r="X64" i="125"/>
  <c r="EJ79" i="121"/>
  <c r="DP49" i="123"/>
  <c r="CB156" i="122"/>
  <c r="CH156" i="122" s="1"/>
  <c r="CH26" i="122"/>
  <c r="AD35" i="95"/>
  <c r="AD40" i="95" s="1"/>
  <c r="AD45" i="95" s="1"/>
  <c r="AD38" i="95"/>
  <c r="AD43" i="95" s="1"/>
  <c r="AD18" i="95"/>
  <c r="AD28" i="95" s="1"/>
  <c r="BD122" i="6"/>
  <c r="BU17" i="8"/>
  <c r="FN79" i="121"/>
  <c r="BF145" i="7"/>
  <c r="BF63" i="7"/>
  <c r="BJ86" i="6"/>
  <c r="AY86" i="6"/>
  <c r="AZ86" i="6" s="1"/>
  <c r="BE86" i="6" s="1"/>
  <c r="AG108" i="120"/>
  <c r="AG206" i="120" s="1"/>
  <c r="AM206" i="120" s="1"/>
  <c r="CV14" i="7"/>
  <c r="CV8" i="7" s="1"/>
  <c r="AL11" i="64"/>
  <c r="AA51" i="95"/>
  <c r="AA18" i="95"/>
  <c r="AA28" i="95" s="1"/>
  <c r="AA47" i="95" s="1"/>
  <c r="S8" i="104"/>
  <c r="S14" i="104" s="1"/>
  <c r="BZ56" i="7"/>
  <c r="BY56" i="7" s="1"/>
  <c r="BY52" i="7" s="1"/>
  <c r="BY144" i="7" s="1"/>
  <c r="BJ117" i="6"/>
  <c r="BI117" i="6"/>
  <c r="AD92" i="6"/>
  <c r="BA90" i="6"/>
  <c r="BD90" i="6" s="1"/>
  <c r="BD92" i="6"/>
  <c r="BA95" i="6"/>
  <c r="BD95" i="6" s="1"/>
  <c r="DX60" i="123"/>
  <c r="V51" i="126"/>
  <c r="DG50" i="123"/>
  <c r="CW50" i="123"/>
  <c r="BD89" i="120"/>
  <c r="BJ89" i="120" s="1"/>
  <c r="BK89" i="120"/>
  <c r="AD118" i="6"/>
  <c r="AZ118" i="6" s="1"/>
  <c r="BE118" i="6" s="1"/>
  <c r="Z59" i="125"/>
  <c r="GB74" i="121"/>
  <c r="EL74" i="121"/>
  <c r="AZ161" i="7"/>
  <c r="BN30" i="120"/>
  <c r="CM30" i="120" s="1"/>
  <c r="AO30" i="120"/>
  <c r="BE30" i="120"/>
  <c r="BI108" i="6"/>
  <c r="R77" i="122"/>
  <c r="AG77" i="122" s="1"/>
  <c r="B77" i="122"/>
  <c r="AD109" i="6"/>
  <c r="AZ109" i="6" s="1"/>
  <c r="BE109" i="6" s="1"/>
  <c r="AC100" i="6"/>
  <c r="AD100" i="6" s="1"/>
  <c r="AY101" i="6"/>
  <c r="AZ101" i="6" s="1"/>
  <c r="Q12" i="102"/>
  <c r="AB17" i="64"/>
  <c r="DP48" i="123"/>
  <c r="AD95" i="6"/>
  <c r="EW49" i="121"/>
  <c r="EM49" i="121"/>
  <c r="BW93" i="8"/>
  <c r="BW51" i="8"/>
  <c r="BW53" i="8" s="1"/>
  <c r="BJ72" i="6"/>
  <c r="BJ99" i="6"/>
  <c r="BE80" i="7"/>
  <c r="BE81" i="7"/>
  <c r="BE83" i="7" s="1"/>
  <c r="BY142" i="7"/>
  <c r="BY17" i="7"/>
  <c r="DA31" i="8"/>
  <c r="CL31" i="8"/>
  <c r="BT27" i="8"/>
  <c r="EF82" i="121"/>
  <c r="AY71" i="6"/>
  <c r="AZ71" i="6" s="1"/>
  <c r="BE71" i="6" s="1"/>
  <c r="FF49" i="123"/>
  <c r="EV49" i="123"/>
  <c r="BE121" i="6"/>
  <c r="AV120" i="6"/>
  <c r="AY120" i="6" s="1"/>
  <c r="BD93" i="6"/>
  <c r="AC76" i="6"/>
  <c r="AC74" i="6" s="1"/>
  <c r="AX76" i="6"/>
  <c r="AX74" i="6" s="1"/>
  <c r="AB76" i="6"/>
  <c r="AB74" i="6" s="1"/>
  <c r="AW76" i="6"/>
  <c r="AW74" i="6" s="1"/>
  <c r="AV76" i="6"/>
  <c r="BJ94" i="6"/>
  <c r="CB270" i="120"/>
  <c r="CH270" i="120" s="1"/>
  <c r="CH238" i="120"/>
  <c r="BD105" i="6"/>
  <c r="BJ105" i="6"/>
  <c r="BI105" i="6"/>
  <c r="BF196" i="120"/>
  <c r="BL30" i="120"/>
  <c r="CP48" i="121"/>
  <c r="EM61" i="121"/>
  <c r="EW61" i="121"/>
  <c r="BD116" i="6"/>
  <c r="AY116" i="6"/>
  <c r="AZ116" i="6" s="1"/>
  <c r="BE116" i="6" s="1"/>
  <c r="Y33" i="95"/>
  <c r="Y38" i="95" s="1"/>
  <c r="Y43" i="95" s="1"/>
  <c r="X38" i="95"/>
  <c r="X43" i="95" s="1"/>
  <c r="AY112" i="6"/>
  <c r="AV111" i="6"/>
  <c r="AY111" i="6" s="1"/>
  <c r="AD111" i="6"/>
  <c r="CC100" i="122"/>
  <c r="CI100" i="122" s="1"/>
  <c r="C99" i="122"/>
  <c r="CB99" i="122"/>
  <c r="CI99" i="122"/>
  <c r="CM94" i="122"/>
  <c r="AC59" i="125"/>
  <c r="FY74" i="121"/>
  <c r="Y35" i="95"/>
  <c r="Y40" i="95" s="1"/>
  <c r="Y45" i="95" s="1"/>
  <c r="X40" i="95"/>
  <c r="X45" i="95" s="1"/>
  <c r="R60" i="125"/>
  <c r="EA75" i="121"/>
  <c r="CK75" i="121"/>
  <c r="V48" i="121"/>
  <c r="R59" i="120"/>
  <c r="AG59" i="120" s="1"/>
  <c r="B59" i="120"/>
  <c r="C201" i="120"/>
  <c r="C53" i="121" s="1"/>
  <c r="BJ102" i="6"/>
  <c r="BJ107" i="6"/>
  <c r="BI107" i="6"/>
  <c r="CK49" i="123"/>
  <c r="S40" i="126"/>
  <c r="EA49" i="123"/>
  <c r="BD261" i="120"/>
  <c r="BJ90" i="120"/>
  <c r="GE81" i="121"/>
  <c r="AL71" i="8"/>
  <c r="AL74" i="8"/>
  <c r="AL75" i="8" s="1"/>
  <c r="AL70" i="8"/>
  <c r="AL68" i="8"/>
  <c r="AD65" i="6"/>
  <c r="AZ65" i="6" s="1"/>
  <c r="AC64" i="6"/>
  <c r="DP51" i="121"/>
  <c r="CU33" i="7"/>
  <c r="BV27" i="7"/>
  <c r="K22" i="65"/>
  <c r="K27" i="65"/>
  <c r="M27" i="65" s="1"/>
  <c r="M9" i="65" s="1"/>
  <c r="M31" i="65" s="1"/>
  <c r="Z31" i="65" s="1"/>
  <c r="Q44" i="96"/>
  <c r="CV19" i="7" s="1"/>
  <c r="Q127" i="120"/>
  <c r="B37" i="120"/>
  <c r="C204" i="120"/>
  <c r="CV40" i="7"/>
  <c r="BN41" i="122"/>
  <c r="EB75" i="121"/>
  <c r="F27" i="65"/>
  <c r="BB106" i="8"/>
  <c r="AM63" i="120"/>
  <c r="AF63" i="120"/>
  <c r="AL63" i="120" s="1"/>
  <c r="AP63" i="120"/>
  <c r="BE63" i="120" s="1"/>
  <c r="BJ78" i="6"/>
  <c r="AY78" i="6"/>
  <c r="AZ78" i="6" s="1"/>
  <c r="BE78" i="6" s="1"/>
  <c r="BJ89" i="6"/>
  <c r="GB48" i="123"/>
  <c r="FQ84" i="121"/>
  <c r="P38" i="126"/>
  <c r="BY47" i="123"/>
  <c r="CB47" i="123"/>
  <c r="AD35" i="126"/>
  <c r="FY44" i="123"/>
  <c r="CG68" i="123"/>
  <c r="BU69" i="123"/>
  <c r="GB44" i="123"/>
  <c r="R34" i="126"/>
  <c r="CA43" i="123"/>
  <c r="EW43" i="123"/>
  <c r="EM43" i="123"/>
  <c r="FS69" i="123"/>
  <c r="ED66" i="123"/>
  <c r="DG47" i="123"/>
  <c r="DF47" i="123" s="1"/>
  <c r="CW47" i="123"/>
  <c r="Q38" i="126"/>
  <c r="BZ47" i="123"/>
  <c r="DQ47" i="123"/>
  <c r="AB35" i="126"/>
  <c r="FW44" i="123"/>
  <c r="EP69" i="123"/>
  <c r="FQ68" i="123"/>
  <c r="AH69" i="123"/>
  <c r="GE66" i="123"/>
  <c r="M34" i="126"/>
  <c r="AL43" i="123"/>
  <c r="BM163" i="122"/>
  <c r="AE35" i="126"/>
  <c r="GI44" i="123"/>
  <c r="T38" i="126"/>
  <c r="CL47" i="123"/>
  <c r="EX43" i="123"/>
  <c r="EW47" i="123"/>
  <c r="EM47" i="123"/>
  <c r="Q34" i="126"/>
  <c r="BZ43" i="123"/>
  <c r="BP43" i="123"/>
  <c r="CB43" i="123" s="1"/>
  <c r="EX47" i="123"/>
  <c r="FG47" i="123" s="1"/>
  <c r="CC43" i="123"/>
  <c r="BD163" i="122"/>
  <c r="BJ163" i="122" s="1"/>
  <c r="BJ159" i="122"/>
  <c r="CW43" i="123"/>
  <c r="DG43" i="123"/>
  <c r="AG69" i="123"/>
  <c r="DH43" i="123"/>
  <c r="U34" i="126"/>
  <c r="CM43" i="123"/>
  <c r="AF68" i="123"/>
  <c r="E69" i="123"/>
  <c r="GI72" i="123"/>
  <c r="FZ70" i="123"/>
  <c r="GI70" i="123" s="1"/>
  <c r="G20" i="129"/>
  <c r="G21" i="129" s="1"/>
  <c r="G11" i="129"/>
  <c r="G16" i="129"/>
  <c r="DS84" i="121"/>
  <c r="DR83" i="121"/>
  <c r="CQ84" i="121"/>
  <c r="CE126" i="122"/>
  <c r="CF69" i="123"/>
  <c r="EE68" i="123"/>
  <c r="GC63" i="123"/>
  <c r="GC74" i="123"/>
  <c r="GC67" i="123"/>
  <c r="BS69" i="123"/>
  <c r="CE68" i="123"/>
  <c r="GD67" i="123"/>
  <c r="BS83" i="121"/>
  <c r="BA84" i="121"/>
  <c r="ED82" i="121"/>
  <c r="GD78" i="121"/>
  <c r="GC76" i="121"/>
  <c r="CE160" i="120"/>
  <c r="GC81" i="121"/>
  <c r="EE82" i="121"/>
  <c r="BT84" i="121"/>
  <c r="CF83" i="121"/>
  <c r="CE226" i="120"/>
  <c r="GD81" i="121"/>
  <c r="Q26" i="104" l="1"/>
  <c r="P31" i="104"/>
  <c r="AD15" i="65" s="1"/>
  <c r="AD13" i="65" s="1"/>
  <c r="AG154" i="122"/>
  <c r="AM154" i="122" s="1"/>
  <c r="AF42" i="122"/>
  <c r="AM42" i="122"/>
  <c r="AP42" i="122"/>
  <c r="W42" i="98"/>
  <c r="W19" i="98"/>
  <c r="W38" i="98" s="1"/>
  <c r="CX17" i="8"/>
  <c r="CX51" i="8" s="1"/>
  <c r="CX53" i="8" s="1"/>
  <c r="CX118" i="8"/>
  <c r="CX86" i="8"/>
  <c r="CX99" i="8" s="1"/>
  <c r="CW18" i="8"/>
  <c r="CX55" i="8"/>
  <c r="CX54" i="8" s="1"/>
  <c r="W40" i="98"/>
  <c r="AE12" i="65" s="1"/>
  <c r="P35" i="104"/>
  <c r="O39" i="104"/>
  <c r="AB16" i="66" s="1"/>
  <c r="AB14" i="66" s="1"/>
  <c r="U38" i="123"/>
  <c r="K38" i="123"/>
  <c r="AZ111" i="6"/>
  <c r="BE111" i="6" s="1"/>
  <c r="AY76" i="6"/>
  <c r="AD76" i="6"/>
  <c r="V43" i="98"/>
  <c r="BT51" i="72"/>
  <c r="BW51" i="72" s="1"/>
  <c r="N13" i="61"/>
  <c r="CL45" i="8"/>
  <c r="CL42" i="8" s="1"/>
  <c r="CL93" i="8" s="1"/>
  <c r="T31" i="104"/>
  <c r="Z36" i="126"/>
  <c r="EK45" i="123"/>
  <c r="GA45" i="123"/>
  <c r="AB36" i="126"/>
  <c r="FW45" i="123"/>
  <c r="X31" i="98"/>
  <c r="X36" i="98" s="1"/>
  <c r="X24" i="98"/>
  <c r="X29" i="98" s="1"/>
  <c r="X34" i="98" s="1"/>
  <c r="FZ45" i="123"/>
  <c r="Y36" i="126"/>
  <c r="EJ45" i="123"/>
  <c r="AO38" i="123"/>
  <c r="AY38" i="123"/>
  <c r="AC36" i="126"/>
  <c r="FX45" i="123"/>
  <c r="X21" i="98"/>
  <c r="X40" i="98" s="1"/>
  <c r="AF12" i="65" s="1"/>
  <c r="X14" i="98"/>
  <c r="AG239" i="120"/>
  <c r="AM239" i="120" s="1"/>
  <c r="AA52" i="95"/>
  <c r="BE99" i="6"/>
  <c r="AO85" i="7"/>
  <c r="AZ84" i="6"/>
  <c r="FW63" i="121"/>
  <c r="J102" i="56"/>
  <c r="J103" i="56" s="1"/>
  <c r="O103" i="56" s="1"/>
  <c r="O102" i="56" s="1"/>
  <c r="R102" i="56"/>
  <c r="I104" i="56"/>
  <c r="G104" i="56" s="1"/>
  <c r="N104" i="56" s="1"/>
  <c r="L104" i="56" s="1"/>
  <c r="BA34" i="8"/>
  <c r="AZ51" i="8"/>
  <c r="F13" i="61"/>
  <c r="F11" i="61" s="1"/>
  <c r="BE150" i="7"/>
  <c r="BE155" i="7" s="1"/>
  <c r="BC106" i="8"/>
  <c r="BC101" i="8"/>
  <c r="FN62" i="121"/>
  <c r="AA47" i="125" s="1"/>
  <c r="AZ119" i="6"/>
  <c r="F11" i="66"/>
  <c r="H12" i="66"/>
  <c r="H11" i="66" s="1"/>
  <c r="K12" i="66"/>
  <c r="K11" i="66" s="1"/>
  <c r="I12" i="66"/>
  <c r="M12" i="66"/>
  <c r="M11" i="66" s="1"/>
  <c r="BE106" i="6"/>
  <c r="AK70" i="8"/>
  <c r="GM62" i="121"/>
  <c r="AZ106" i="6"/>
  <c r="BA90" i="8"/>
  <c r="AZ99" i="8"/>
  <c r="AV100" i="6"/>
  <c r="AY100" i="6" s="1"/>
  <c r="AZ100" i="6" s="1"/>
  <c r="DO47" i="123"/>
  <c r="AK71" i="8"/>
  <c r="AC68" i="32"/>
  <c r="AE68" i="32" s="1"/>
  <c r="DO48" i="123"/>
  <c r="R270" i="120"/>
  <c r="AY66" i="6"/>
  <c r="AZ66" i="6" s="1"/>
  <c r="BA66" i="6" s="1"/>
  <c r="BE77" i="6"/>
  <c r="BE105" i="6"/>
  <c r="BE79" i="6"/>
  <c r="GA65" i="121"/>
  <c r="Y50" i="125"/>
  <c r="EK65" i="121"/>
  <c r="DP64" i="123"/>
  <c r="DF64" i="123"/>
  <c r="DO64" i="123" s="1"/>
  <c r="EN64" i="123"/>
  <c r="BC47" i="61"/>
  <c r="BC51" i="61"/>
  <c r="DX65" i="121"/>
  <c r="U50" i="125"/>
  <c r="K9" i="65"/>
  <c r="BJ118" i="6"/>
  <c r="AZ120" i="6"/>
  <c r="BE120" i="6" s="1"/>
  <c r="BE122" i="6"/>
  <c r="DO51" i="121"/>
  <c r="U36" i="125" s="1"/>
  <c r="AG103" i="120"/>
  <c r="AG201" i="120" s="1"/>
  <c r="AM201" i="120" s="1"/>
  <c r="BI120" i="6"/>
  <c r="BJ69" i="6"/>
  <c r="AZ89" i="6"/>
  <c r="BE89" i="6" s="1"/>
  <c r="BE94" i="6"/>
  <c r="AD44" i="125"/>
  <c r="GI59" i="121"/>
  <c r="CJ158" i="7"/>
  <c r="CJ160" i="7"/>
  <c r="CJ161" i="7" s="1"/>
  <c r="AB50" i="125"/>
  <c r="FX65" i="121"/>
  <c r="AZ90" i="6"/>
  <c r="BE90" i="6" s="1"/>
  <c r="BE84" i="6"/>
  <c r="GB63" i="121"/>
  <c r="FY63" i="121"/>
  <c r="AC48" i="125"/>
  <c r="AA47" i="61"/>
  <c r="AA51" i="61"/>
  <c r="GB61" i="121"/>
  <c r="Z46" i="125"/>
  <c r="EL61" i="121"/>
  <c r="CK63" i="121"/>
  <c r="R48" i="125"/>
  <c r="EA63" i="121"/>
  <c r="AA50" i="125"/>
  <c r="FW65" i="121"/>
  <c r="GM65" i="121"/>
  <c r="U52" i="95"/>
  <c r="CK45" i="8"/>
  <c r="CK42" i="8" s="1"/>
  <c r="CK93" i="8" s="1"/>
  <c r="BS160" i="7"/>
  <c r="BS161" i="7" s="1"/>
  <c r="BS158" i="7"/>
  <c r="FZ87" i="121"/>
  <c r="EJ87" i="121"/>
  <c r="EA85" i="121"/>
  <c r="EJ85" i="121" s="1"/>
  <c r="X72" i="56"/>
  <c r="X92" i="56"/>
  <c r="AY95" i="6"/>
  <c r="AZ95" i="6" s="1"/>
  <c r="BE95" i="6" s="1"/>
  <c r="CI155" i="7"/>
  <c r="CI157" i="7"/>
  <c r="X50" i="125"/>
  <c r="EJ65" i="121"/>
  <c r="FZ65" i="121"/>
  <c r="BS85" i="7"/>
  <c r="BS86" i="7" s="1"/>
  <c r="BS83" i="7"/>
  <c r="GI66" i="121"/>
  <c r="AD51" i="125"/>
  <c r="FW62" i="121"/>
  <c r="BA101" i="6"/>
  <c r="BW172" i="7"/>
  <c r="X16" i="61"/>
  <c r="AF59" i="120"/>
  <c r="AM59" i="120"/>
  <c r="AP59" i="120"/>
  <c r="BE59" i="120" s="1"/>
  <c r="AF46" i="122"/>
  <c r="AL46" i="122" s="1"/>
  <c r="AM46" i="122"/>
  <c r="AP46" i="122"/>
  <c r="BE46" i="122" s="1"/>
  <c r="V39" i="126"/>
  <c r="DX48" i="123"/>
  <c r="T97" i="7"/>
  <c r="Q97" i="7" s="1"/>
  <c r="Q96" i="7" s="1"/>
  <c r="AK75" i="8"/>
  <c r="T96" i="7" s="1"/>
  <c r="GJ51" i="123"/>
  <c r="AF42" i="126"/>
  <c r="CC128" i="120"/>
  <c r="CU40" i="7"/>
  <c r="CU35" i="7" s="1"/>
  <c r="BL196" i="120"/>
  <c r="FF49" i="121"/>
  <c r="FE49" i="121" s="1"/>
  <c r="EV49" i="121"/>
  <c r="FN49" i="121" s="1"/>
  <c r="AF59" i="125"/>
  <c r="GK74" i="121"/>
  <c r="V36" i="125"/>
  <c r="DY51" i="121"/>
  <c r="FF61" i="121"/>
  <c r="EV61" i="121"/>
  <c r="CL30" i="8"/>
  <c r="CL27" i="8" s="1"/>
  <c r="BD30" i="120"/>
  <c r="BK30" i="120"/>
  <c r="AZ92" i="6"/>
  <c r="BE92" i="6" s="1"/>
  <c r="CC35" i="120"/>
  <c r="FW79" i="121"/>
  <c r="AA64" i="125"/>
  <c r="AD47" i="95"/>
  <c r="FZ79" i="121"/>
  <c r="AM238" i="120"/>
  <c r="AL38" i="120"/>
  <c r="EB51" i="121"/>
  <c r="S36" i="125"/>
  <c r="CL51" i="121"/>
  <c r="BW142" i="7"/>
  <c r="BV19" i="7"/>
  <c r="BN39" i="120"/>
  <c r="CM39" i="120" s="1"/>
  <c r="AO39" i="120"/>
  <c r="BX56" i="7"/>
  <c r="BX52" i="7" s="1"/>
  <c r="BX144" i="7" s="1"/>
  <c r="BX172" i="7" s="1"/>
  <c r="X16" i="64" s="1"/>
  <c r="AF16" i="64" s="1"/>
  <c r="M23" i="104"/>
  <c r="EO48" i="121"/>
  <c r="BM34" i="120"/>
  <c r="CL34" i="120" s="1"/>
  <c r="DO62" i="121"/>
  <c r="BZ52" i="7"/>
  <c r="BZ144" i="7" s="1"/>
  <c r="AB52" i="95"/>
  <c r="FZ51" i="123"/>
  <c r="Y42" i="126"/>
  <c r="EJ51" i="123"/>
  <c r="CH14" i="7"/>
  <c r="CH8" i="7" s="1"/>
  <c r="FF51" i="121"/>
  <c r="EV51" i="121"/>
  <c r="P39" i="126"/>
  <c r="BY48" i="123"/>
  <c r="CB48" i="123"/>
  <c r="AJ101" i="8"/>
  <c r="AW101" i="8"/>
  <c r="EV39" i="123"/>
  <c r="FF39" i="123"/>
  <c r="K57" i="121"/>
  <c r="U57" i="121"/>
  <c r="CG142" i="7"/>
  <c r="CF19" i="7"/>
  <c r="CF142" i="7" s="1"/>
  <c r="Q9" i="65"/>
  <c r="Q22" i="65"/>
  <c r="CW33" i="7"/>
  <c r="BX27" i="7"/>
  <c r="AD64" i="6"/>
  <c r="Z123" i="6"/>
  <c r="AE73" i="32"/>
  <c r="R10" i="104" s="1"/>
  <c r="AE70" i="32"/>
  <c r="AD49" i="95"/>
  <c r="BM12" i="19"/>
  <c r="BM49" i="19"/>
  <c r="BS46" i="8" s="1"/>
  <c r="AD74" i="6"/>
  <c r="R22" i="122"/>
  <c r="AG22" i="122" s="1"/>
  <c r="B22" i="122"/>
  <c r="C151" i="122"/>
  <c r="BS15" i="8"/>
  <c r="BS90" i="8"/>
  <c r="CD47" i="122"/>
  <c r="DB90" i="8"/>
  <c r="DB17" i="8"/>
  <c r="AQ86" i="7"/>
  <c r="AR86" i="7" s="1"/>
  <c r="AZ114" i="6"/>
  <c r="EB49" i="121"/>
  <c r="S34" i="125"/>
  <c r="CL49" i="121"/>
  <c r="AY57" i="121"/>
  <c r="AO57" i="121"/>
  <c r="BJ120" i="6"/>
  <c r="AH16" i="66"/>
  <c r="AG14" i="66"/>
  <c r="AO16" i="66"/>
  <c r="CH33" i="7"/>
  <c r="CG33" i="7"/>
  <c r="CF32" i="7"/>
  <c r="CF27" i="7" s="1"/>
  <c r="Q206" i="120"/>
  <c r="Q239" i="120"/>
  <c r="AV64" i="6"/>
  <c r="AO82" i="7"/>
  <c r="P20" i="56" s="1"/>
  <c r="AO83" i="7"/>
  <c r="I23" i="61"/>
  <c r="I28" i="61"/>
  <c r="I10" i="61" s="1"/>
  <c r="I38" i="61" s="1"/>
  <c r="S95" i="7"/>
  <c r="AB80" i="7"/>
  <c r="AP80" i="7"/>
  <c r="AI80" i="7"/>
  <c r="AB83" i="7"/>
  <c r="AP83" i="7"/>
  <c r="AI83" i="7"/>
  <c r="D35" i="123"/>
  <c r="V51" i="95"/>
  <c r="V18" i="95"/>
  <c r="V28" i="95" s="1"/>
  <c r="V47" i="95" s="1"/>
  <c r="CA41" i="7"/>
  <c r="CA35" i="7" s="1"/>
  <c r="CA63" i="7" s="1"/>
  <c r="CA65" i="7" s="1"/>
  <c r="CA141" i="7"/>
  <c r="FF48" i="123"/>
  <c r="EV48" i="123"/>
  <c r="AM141" i="7"/>
  <c r="BA141" i="7"/>
  <c r="W27" i="126"/>
  <c r="DY36" i="123"/>
  <c r="AZ69" i="6"/>
  <c r="BE69" i="6" s="1"/>
  <c r="AM107" i="120"/>
  <c r="AF107" i="120"/>
  <c r="AL107" i="120" s="1"/>
  <c r="AP107" i="120"/>
  <c r="BE107" i="120" s="1"/>
  <c r="O34" i="125"/>
  <c r="BY49" i="121"/>
  <c r="CB49" i="121"/>
  <c r="AI15" i="65"/>
  <c r="CL121" i="8"/>
  <c r="AZ70" i="6"/>
  <c r="BE70" i="6" s="1"/>
  <c r="BJ34" i="120"/>
  <c r="FO62" i="121"/>
  <c r="BD63" i="120"/>
  <c r="BJ63" i="120" s="1"/>
  <c r="BK63" i="120"/>
  <c r="C208" i="120"/>
  <c r="C60" i="121" s="1"/>
  <c r="C56" i="121"/>
  <c r="B53" i="121"/>
  <c r="L53" i="121"/>
  <c r="Q59" i="120"/>
  <c r="Q201" i="120" s="1"/>
  <c r="R201" i="120"/>
  <c r="AP53" i="121" s="1"/>
  <c r="X60" i="125"/>
  <c r="FZ75" i="121"/>
  <c r="EJ75" i="121"/>
  <c r="CB100" i="122"/>
  <c r="CH100" i="122" s="1"/>
  <c r="CH99" i="122"/>
  <c r="AZ76" i="6"/>
  <c r="DA30" i="8"/>
  <c r="DA27" i="8" s="1"/>
  <c r="CC75" i="122" s="1"/>
  <c r="F28" i="61"/>
  <c r="H28" i="61" s="1"/>
  <c r="BD81" i="7"/>
  <c r="BE156" i="7"/>
  <c r="BE157" i="7" s="1"/>
  <c r="W39" i="126"/>
  <c r="DY48" i="123"/>
  <c r="AF77" i="122"/>
  <c r="AL77" i="122" s="1"/>
  <c r="AM77" i="122"/>
  <c r="AP77" i="122"/>
  <c r="BE77" i="122" s="1"/>
  <c r="DF50" i="123"/>
  <c r="DO50" i="123" s="1"/>
  <c r="DP50" i="123"/>
  <c r="W40" i="126"/>
  <c r="DY49" i="123"/>
  <c r="C64" i="120"/>
  <c r="CB64" i="120"/>
  <c r="CC65" i="120"/>
  <c r="CI65" i="120" s="1"/>
  <c r="CI64" i="120"/>
  <c r="CC62" i="120"/>
  <c r="AX123" i="6"/>
  <c r="AX124" i="6" s="1"/>
  <c r="C153" i="120"/>
  <c r="CB153" i="120"/>
  <c r="CC219" i="120"/>
  <c r="CI219" i="120" s="1"/>
  <c r="CI153" i="120"/>
  <c r="BX8" i="19"/>
  <c r="CB154" i="120"/>
  <c r="C154" i="120"/>
  <c r="CC220" i="120"/>
  <c r="CI220" i="120" s="1"/>
  <c r="CI154" i="120"/>
  <c r="DD8" i="19"/>
  <c r="BL49" i="19"/>
  <c r="BV58" i="7" s="1"/>
  <c r="AS8" i="7"/>
  <c r="J25" i="105"/>
  <c r="J33" i="105"/>
  <c r="CH40" i="7"/>
  <c r="CH35" i="7" s="1"/>
  <c r="AM8" i="7"/>
  <c r="BA8" i="7"/>
  <c r="AV113" i="6"/>
  <c r="AY113" i="6" s="1"/>
  <c r="BD127" i="120"/>
  <c r="BJ127" i="120" s="1"/>
  <c r="BK127" i="120"/>
  <c r="N22" i="65"/>
  <c r="N27" i="65"/>
  <c r="N9" i="65" s="1"/>
  <c r="N38" i="65" s="1"/>
  <c r="EJ36" i="123"/>
  <c r="Y27" i="126"/>
  <c r="AW123" i="6"/>
  <c r="AW124" i="6" s="1"/>
  <c r="DB158" i="7"/>
  <c r="DB160" i="7"/>
  <c r="DB161" i="7" s="1"/>
  <c r="BE107" i="6"/>
  <c r="CB119" i="122"/>
  <c r="CC172" i="122"/>
  <c r="CI172" i="122" s="1"/>
  <c r="C119" i="122"/>
  <c r="CI119" i="122"/>
  <c r="CT158" i="7"/>
  <c r="CT160" i="7"/>
  <c r="CT161" i="7" s="1"/>
  <c r="CI151" i="122"/>
  <c r="BE117" i="6"/>
  <c r="BM71" i="120"/>
  <c r="CL71" i="120" s="1"/>
  <c r="CM71" i="120"/>
  <c r="D15" i="129"/>
  <c r="D19" i="129" s="1"/>
  <c r="AF45" i="125"/>
  <c r="GK60" i="121"/>
  <c r="R46" i="125"/>
  <c r="CK61" i="121"/>
  <c r="CY45" i="8"/>
  <c r="X39" i="104"/>
  <c r="BS25" i="8"/>
  <c r="BS17" i="8"/>
  <c r="CV32" i="7"/>
  <c r="CV27" i="7" s="1"/>
  <c r="CC99" i="120" s="1"/>
  <c r="AY58" i="121"/>
  <c r="AO58" i="121"/>
  <c r="BO45" i="19"/>
  <c r="BO22" i="19"/>
  <c r="BO13" i="19"/>
  <c r="CA13" i="19" s="1"/>
  <c r="BO43" i="19"/>
  <c r="BO36" i="19"/>
  <c r="BO48" i="19"/>
  <c r="BO26" i="19"/>
  <c r="BO27" i="19"/>
  <c r="BO23" i="19"/>
  <c r="CA50" i="19"/>
  <c r="BW50" i="19" s="1"/>
  <c r="BO29" i="19"/>
  <c r="BO38" i="19"/>
  <c r="BO44" i="19"/>
  <c r="BO18" i="19"/>
  <c r="BO39" i="19"/>
  <c r="BO24" i="19"/>
  <c r="BO20" i="19"/>
  <c r="BO46" i="19"/>
  <c r="BO35" i="19"/>
  <c r="BO30" i="19"/>
  <c r="BO42" i="19"/>
  <c r="BO19" i="19"/>
  <c r="BO17" i="19"/>
  <c r="BO32" i="19"/>
  <c r="BO9" i="19"/>
  <c r="BO8" i="19"/>
  <c r="BO41" i="19"/>
  <c r="BO31" i="19"/>
  <c r="BO34" i="19"/>
  <c r="BO33" i="19"/>
  <c r="BO10" i="19"/>
  <c r="BO14" i="19" s="1"/>
  <c r="BO28" i="19"/>
  <c r="BO11" i="19"/>
  <c r="BO21" i="19"/>
  <c r="BO16" i="19"/>
  <c r="BO40" i="19"/>
  <c r="BO37" i="19"/>
  <c r="CA8" i="19"/>
  <c r="CA31" i="19"/>
  <c r="CA21" i="19"/>
  <c r="CA46" i="19"/>
  <c r="CA24" i="19"/>
  <c r="CA29" i="19"/>
  <c r="CA43" i="19"/>
  <c r="CA39" i="19"/>
  <c r="CA18" i="19"/>
  <c r="CA44" i="19"/>
  <c r="CA42" i="19"/>
  <c r="CA36" i="19"/>
  <c r="CA17" i="19"/>
  <c r="CA32" i="19"/>
  <c r="CA28" i="19"/>
  <c r="CA37" i="19"/>
  <c r="CA41" i="19"/>
  <c r="CA22" i="19"/>
  <c r="CA23" i="19"/>
  <c r="CA26" i="19"/>
  <c r="CA34" i="19"/>
  <c r="CA20" i="19"/>
  <c r="CA19" i="19"/>
  <c r="CA38" i="19"/>
  <c r="CA16" i="19"/>
  <c r="CA9" i="19"/>
  <c r="CA45" i="19"/>
  <c r="CA33" i="19"/>
  <c r="CA48" i="19"/>
  <c r="CA40" i="19"/>
  <c r="CA27" i="19"/>
  <c r="CA30" i="19"/>
  <c r="CA35" i="19"/>
  <c r="BO47" i="19"/>
  <c r="BO25" i="19"/>
  <c r="CA47" i="19"/>
  <c r="CA25" i="19"/>
  <c r="FE36" i="123"/>
  <c r="FN36" i="123" s="1"/>
  <c r="FZ36" i="123" s="1"/>
  <c r="FO36" i="123"/>
  <c r="GA36" i="123" s="1"/>
  <c r="CO158" i="7"/>
  <c r="CO160" i="7"/>
  <c r="CO161" i="7" s="1"/>
  <c r="AO86" i="7"/>
  <c r="H96" i="7" s="1"/>
  <c r="H97" i="7"/>
  <c r="G97" i="7" s="1"/>
  <c r="G96" i="7" s="1"/>
  <c r="G98" i="7" s="1"/>
  <c r="P10" i="56"/>
  <c r="BI48" i="121"/>
  <c r="BR48" i="121" s="1"/>
  <c r="K11" i="61"/>
  <c r="N12" i="61"/>
  <c r="AH151" i="122"/>
  <c r="AN41" i="122"/>
  <c r="AQ41" i="122"/>
  <c r="BF41" i="122" s="1"/>
  <c r="AF41" i="122"/>
  <c r="AL41" i="122" s="1"/>
  <c r="AF41" i="125"/>
  <c r="GK56" i="121"/>
  <c r="V27" i="126"/>
  <c r="DX36" i="123"/>
  <c r="AB113" i="6"/>
  <c r="AD113" i="6" s="1"/>
  <c r="AM145" i="7"/>
  <c r="BA145" i="7"/>
  <c r="B40" i="123"/>
  <c r="L40" i="123"/>
  <c r="GM49" i="121"/>
  <c r="S46" i="125"/>
  <c r="CL61" i="121"/>
  <c r="AC123" i="6"/>
  <c r="AC124" i="6" s="1"/>
  <c r="FP47" i="123"/>
  <c r="AD38" i="126" s="1"/>
  <c r="AG39" i="126"/>
  <c r="GK48" i="123"/>
  <c r="BN63" i="120"/>
  <c r="CM63" i="120" s="1"/>
  <c r="AO63" i="120"/>
  <c r="BB109" i="8"/>
  <c r="M123" i="56"/>
  <c r="BB107" i="8"/>
  <c r="CV35" i="7"/>
  <c r="CC123" i="120" s="1"/>
  <c r="B204" i="120"/>
  <c r="B208" i="120" s="1"/>
  <c r="CC55" i="120"/>
  <c r="CU19" i="7"/>
  <c r="CU142" i="7" s="1"/>
  <c r="CV142" i="7"/>
  <c r="BA65" i="6"/>
  <c r="BD260" i="120"/>
  <c r="BJ260" i="120" s="1"/>
  <c r="BJ261" i="120"/>
  <c r="B201" i="120"/>
  <c r="C100" i="122"/>
  <c r="R99" i="122"/>
  <c r="AG99" i="122" s="1"/>
  <c r="B99" i="122"/>
  <c r="C94" i="122"/>
  <c r="GE82" i="121"/>
  <c r="BE85" i="7"/>
  <c r="AG15" i="65"/>
  <c r="BW121" i="8"/>
  <c r="BW125" i="8" s="1"/>
  <c r="BW99" i="8"/>
  <c r="FO49" i="121"/>
  <c r="AL10" i="64"/>
  <c r="AL23" i="64"/>
  <c r="AF108" i="120"/>
  <c r="AL108" i="120" s="1"/>
  <c r="AM108" i="120"/>
  <c r="AP108" i="120"/>
  <c r="AP206" i="120" s="1"/>
  <c r="CO58" i="121" s="1"/>
  <c r="BF83" i="7"/>
  <c r="BF85" i="7"/>
  <c r="BF82" i="7"/>
  <c r="P60" i="56" s="1"/>
  <c r="BF80" i="7"/>
  <c r="CV25" i="7"/>
  <c r="CF25" i="7"/>
  <c r="BW17" i="7"/>
  <c r="Q46" i="122"/>
  <c r="BN38" i="120"/>
  <c r="CM38" i="120" s="1"/>
  <c r="AO38" i="120"/>
  <c r="AP37" i="120"/>
  <c r="BE38" i="120"/>
  <c r="CC54" i="120"/>
  <c r="CU18" i="7"/>
  <c r="CU136" i="7" s="1"/>
  <c r="CV136" i="7"/>
  <c r="AL39" i="120"/>
  <c r="CG45" i="7"/>
  <c r="AE30" i="95"/>
  <c r="AE49" i="95" s="1"/>
  <c r="AE28" i="95"/>
  <c r="AE47" i="95" s="1"/>
  <c r="AE52" i="95" s="1"/>
  <c r="BL12" i="19"/>
  <c r="AB42" i="126"/>
  <c r="FW51" i="123"/>
  <c r="BA75" i="6"/>
  <c r="AC52" i="95"/>
  <c r="CS152" i="7"/>
  <c r="CS154" i="7"/>
  <c r="AK105" i="8"/>
  <c r="AK106" i="8" s="1"/>
  <c r="AI69" i="8"/>
  <c r="CF8" i="7"/>
  <c r="CG40" i="7"/>
  <c r="CG35" i="7" s="1"/>
  <c r="AL63" i="7"/>
  <c r="AN81" i="7"/>
  <c r="AN82" i="7" s="1"/>
  <c r="M20" i="56" s="1"/>
  <c r="AN80" i="7"/>
  <c r="V47" i="125"/>
  <c r="DY62" i="121"/>
  <c r="EB62" i="121"/>
  <c r="AB60" i="125"/>
  <c r="FX75" i="121"/>
  <c r="GE83" i="121"/>
  <c r="EF84" i="121"/>
  <c r="BN127" i="120"/>
  <c r="CM127" i="120" s="1"/>
  <c r="AO127" i="120"/>
  <c r="BX121" i="8"/>
  <c r="BX125" i="8" s="1"/>
  <c r="AE16" i="66"/>
  <c r="BX99" i="8"/>
  <c r="U58" i="121"/>
  <c r="K58" i="121"/>
  <c r="DE13" i="19"/>
  <c r="DE10" i="19" s="1"/>
  <c r="BY13" i="19"/>
  <c r="CB118" i="122"/>
  <c r="CC171" i="122"/>
  <c r="CI171" i="122" s="1"/>
  <c r="C118" i="122"/>
  <c r="CI118" i="122"/>
  <c r="AV74" i="6"/>
  <c r="AY74" i="6" s="1"/>
  <c r="BI118" i="6"/>
  <c r="BZ169" i="7"/>
  <c r="AE13" i="61"/>
  <c r="D10" i="129"/>
  <c r="D14" i="129" s="1"/>
  <c r="D18" i="129" s="1"/>
  <c r="D7" i="129"/>
  <c r="Q205" i="120"/>
  <c r="Q238" i="120"/>
  <c r="Q270" i="120" s="1"/>
  <c r="CC47" i="122"/>
  <c r="CZ24" i="8"/>
  <c r="CZ17" i="8" s="1"/>
  <c r="DA17" i="8"/>
  <c r="CC40" i="122" s="1"/>
  <c r="BJ111" i="6"/>
  <c r="EK36" i="123"/>
  <c r="Z27" i="126"/>
  <c r="BV93" i="8"/>
  <c r="BV99" i="8" s="1"/>
  <c r="BV101" i="8" s="1"/>
  <c r="BV51" i="8"/>
  <c r="BV53" i="8" s="1"/>
  <c r="DF39" i="123"/>
  <c r="DO39" i="123" s="1"/>
  <c r="DP39" i="123"/>
  <c r="F23" i="61"/>
  <c r="F10" i="61"/>
  <c r="CD35" i="120"/>
  <c r="AQ63" i="7"/>
  <c r="AR63" i="7" s="1"/>
  <c r="AR85" i="7" s="1"/>
  <c r="AQ85" i="7" s="1"/>
  <c r="AS85" i="7" s="1"/>
  <c r="BE119" i="6"/>
  <c r="AE14" i="64"/>
  <c r="X10" i="95"/>
  <c r="W15" i="95"/>
  <c r="W20" i="95" s="1"/>
  <c r="W30" i="95" s="1"/>
  <c r="W49" i="95" s="1"/>
  <c r="AB13" i="61" s="1"/>
  <c r="W8" i="95"/>
  <c r="W13" i="95" s="1"/>
  <c r="BZ41" i="7"/>
  <c r="BZ35" i="7" s="1"/>
  <c r="BZ141" i="7"/>
  <c r="BZ150" i="7" s="1"/>
  <c r="AD49" i="125"/>
  <c r="GI64" i="121"/>
  <c r="DF61" i="121"/>
  <c r="DO61" i="121" s="1"/>
  <c r="DP61" i="121"/>
  <c r="BW169" i="7"/>
  <c r="X13" i="61"/>
  <c r="Y13" i="61" s="1"/>
  <c r="B156" i="122"/>
  <c r="BJ95" i="6"/>
  <c r="T14" i="104"/>
  <c r="CG56" i="7"/>
  <c r="AE48" i="121"/>
  <c r="Y60" i="125"/>
  <c r="GA75" i="121"/>
  <c r="EK75" i="121"/>
  <c r="H27" i="65"/>
  <c r="H9" i="65" s="1"/>
  <c r="F9" i="65"/>
  <c r="K35" i="65"/>
  <c r="K38" i="65" s="1"/>
  <c r="C34" i="94"/>
  <c r="C31" i="94" s="1"/>
  <c r="Z33" i="65" s="1"/>
  <c r="Z34" i="65" s="1"/>
  <c r="AB34" i="65" s="1"/>
  <c r="EJ49" i="123"/>
  <c r="Y40" i="126"/>
  <c r="CY48" i="121"/>
  <c r="FE49" i="123"/>
  <c r="FO49" i="123"/>
  <c r="BE82" i="7"/>
  <c r="M60" i="56" s="1"/>
  <c r="R12" i="102"/>
  <c r="AD17" i="64" s="1"/>
  <c r="AC17" i="64"/>
  <c r="Q77" i="122"/>
  <c r="BM30" i="120"/>
  <c r="CL30" i="120" s="1"/>
  <c r="F12" i="64"/>
  <c r="BF150" i="7"/>
  <c r="AD51" i="95"/>
  <c r="BE37" i="120"/>
  <c r="AF37" i="120"/>
  <c r="AM37" i="120"/>
  <c r="BK39" i="120"/>
  <c r="BD39" i="120"/>
  <c r="BV56" i="7"/>
  <c r="BV52" i="7" s="1"/>
  <c r="BV144" i="7" s="1"/>
  <c r="AZ112" i="6"/>
  <c r="BE112" i="6" s="1"/>
  <c r="DD13" i="19"/>
  <c r="BX13" i="19"/>
  <c r="C152" i="120"/>
  <c r="CB152" i="120"/>
  <c r="CC218" i="120"/>
  <c r="CI218" i="120" s="1"/>
  <c r="CI152" i="120"/>
  <c r="BL14" i="19"/>
  <c r="DD14" i="19" s="1"/>
  <c r="BE93" i="6"/>
  <c r="CK30" i="8"/>
  <c r="CK27" i="8" s="1"/>
  <c r="FF50" i="123"/>
  <c r="FE50" i="123" s="1"/>
  <c r="EV50" i="123"/>
  <c r="BC11" i="61"/>
  <c r="BJ90" i="6"/>
  <c r="AL150" i="7"/>
  <c r="BA136" i="7"/>
  <c r="AM136" i="7"/>
  <c r="CG14" i="7"/>
  <c r="CG8" i="7" s="1"/>
  <c r="AY115" i="6"/>
  <c r="AZ115" i="6" s="1"/>
  <c r="FX51" i="123"/>
  <c r="AC42" i="126"/>
  <c r="Q39" i="126"/>
  <c r="BZ48" i="123"/>
  <c r="CC48" i="123"/>
  <c r="B270" i="120"/>
  <c r="DA155" i="7"/>
  <c r="DA157" i="7"/>
  <c r="CB120" i="122"/>
  <c r="CC173" i="122"/>
  <c r="CI173" i="122" s="1"/>
  <c r="C120" i="122"/>
  <c r="CI120" i="122"/>
  <c r="AF103" i="120"/>
  <c r="AL103" i="120" s="1"/>
  <c r="BE103" i="120"/>
  <c r="AM103" i="120"/>
  <c r="AP103" i="120"/>
  <c r="AO158" i="7"/>
  <c r="AO160" i="7"/>
  <c r="AO161" i="7" s="1"/>
  <c r="CB151" i="122"/>
  <c r="CH22" i="122"/>
  <c r="AF98" i="122"/>
  <c r="AM98" i="122"/>
  <c r="AP98" i="122"/>
  <c r="DA15" i="8"/>
  <c r="CL15" i="8"/>
  <c r="BT8" i="8"/>
  <c r="BI69" i="6"/>
  <c r="BD71" i="120"/>
  <c r="BJ71" i="120" s="1"/>
  <c r="BK71" i="120"/>
  <c r="BY136" i="7"/>
  <c r="BY150" i="7" s="1"/>
  <c r="BY152" i="7" s="1"/>
  <c r="BY8" i="7"/>
  <c r="BY63" i="7" s="1"/>
  <c r="BY65" i="7" s="1"/>
  <c r="W51" i="126"/>
  <c r="DY60" i="123"/>
  <c r="EB60" i="123"/>
  <c r="R204" i="120"/>
  <c r="Q37" i="120"/>
  <c r="BI90" i="6"/>
  <c r="CL49" i="123"/>
  <c r="T40" i="126"/>
  <c r="EB49" i="123"/>
  <c r="BJ109" i="6"/>
  <c r="H23" i="61"/>
  <c r="H10" i="61"/>
  <c r="S151" i="122"/>
  <c r="Q41" i="122"/>
  <c r="K15" i="105"/>
  <c r="K6" i="105"/>
  <c r="S23" i="104"/>
  <c r="T17" i="104"/>
  <c r="FE60" i="123"/>
  <c r="FO60" i="123"/>
  <c r="AM15" i="7"/>
  <c r="BA15" i="7"/>
  <c r="BV136" i="7"/>
  <c r="BV8" i="7"/>
  <c r="AG26" i="122"/>
  <c r="Q26" i="122"/>
  <c r="R156" i="122"/>
  <c r="AP40" i="123" s="1"/>
  <c r="Q106" i="120"/>
  <c r="AG106" i="120"/>
  <c r="R36" i="125"/>
  <c r="EA51" i="121"/>
  <c r="CK51" i="121"/>
  <c r="FO79" i="121"/>
  <c r="S34" i="126"/>
  <c r="CK43" i="123"/>
  <c r="DP43" i="123"/>
  <c r="EB43" i="123" s="1"/>
  <c r="FG43" i="123"/>
  <c r="V38" i="126"/>
  <c r="DX47" i="123"/>
  <c r="GC66" i="123"/>
  <c r="AF69" i="123"/>
  <c r="FF47" i="123"/>
  <c r="FE47" i="123" s="1"/>
  <c r="EV47" i="123"/>
  <c r="DF43" i="123"/>
  <c r="T34" i="126"/>
  <c r="CL43" i="123"/>
  <c r="FY47" i="123"/>
  <c r="P34" i="126"/>
  <c r="BY43" i="123"/>
  <c r="X38" i="126"/>
  <c r="DZ47" i="123"/>
  <c r="EC47" i="123"/>
  <c r="CG69" i="123"/>
  <c r="EF68" i="123"/>
  <c r="DP47" i="123"/>
  <c r="FQ69" i="123"/>
  <c r="FF43" i="123"/>
  <c r="EV43" i="123"/>
  <c r="AG35" i="126"/>
  <c r="GK44" i="123"/>
  <c r="EA47" i="123"/>
  <c r="S38" i="126"/>
  <c r="CK47" i="123"/>
  <c r="DQ43" i="123"/>
  <c r="G12" i="129"/>
  <c r="G17" i="129" s="1"/>
  <c r="G22" i="129" s="1"/>
  <c r="DR84" i="121"/>
  <c r="EE69" i="123"/>
  <c r="GD68" i="123"/>
  <c r="ED68" i="123"/>
  <c r="CE69" i="123"/>
  <c r="GD82" i="121"/>
  <c r="GC82" i="121"/>
  <c r="GC89" i="121"/>
  <c r="GC78" i="121"/>
  <c r="CF84" i="121"/>
  <c r="EE83" i="121"/>
  <c r="CE83" i="121"/>
  <c r="BS84" i="121"/>
  <c r="X42" i="98" l="1"/>
  <c r="X19" i="98"/>
  <c r="X38" i="98" s="1"/>
  <c r="X43" i="98" s="1"/>
  <c r="AX38" i="123"/>
  <c r="BH38" i="123"/>
  <c r="AE36" i="126"/>
  <c r="GI45" i="123"/>
  <c r="Q35" i="104"/>
  <c r="P39" i="104"/>
  <c r="AC16" i="66" s="1"/>
  <c r="AC14" i="66" s="1"/>
  <c r="CX101" i="8"/>
  <c r="CX103" i="8"/>
  <c r="AF36" i="126"/>
  <c r="GJ45" i="123"/>
  <c r="AN12" i="65"/>
  <c r="CX125" i="8"/>
  <c r="BE42" i="122"/>
  <c r="BN42" i="122"/>
  <c r="AO42" i="122"/>
  <c r="AP154" i="122"/>
  <c r="CO38" i="123" s="1"/>
  <c r="AD38" i="123"/>
  <c r="T38" i="123"/>
  <c r="AC38" i="123" s="1"/>
  <c r="R26" i="104"/>
  <c r="R31" i="104" s="1"/>
  <c r="AF15" i="65" s="1"/>
  <c r="AF13" i="65" s="1"/>
  <c r="Q31" i="104"/>
  <c r="AE15" i="65" s="1"/>
  <c r="AE13" i="65" s="1"/>
  <c r="Q156" i="122"/>
  <c r="AP238" i="120"/>
  <c r="CW17" i="8"/>
  <c r="CW86" i="8"/>
  <c r="W43" i="98"/>
  <c r="AL42" i="122"/>
  <c r="AF154" i="122"/>
  <c r="AL154" i="122" s="1"/>
  <c r="H32" i="66"/>
  <c r="P32" i="66" s="1"/>
  <c r="H10" i="66"/>
  <c r="H38" i="66" s="1"/>
  <c r="H40" i="66" s="1"/>
  <c r="H43" i="66" s="1"/>
  <c r="H23" i="66"/>
  <c r="BZ63" i="7"/>
  <c r="BZ65" i="7" s="1"/>
  <c r="AG270" i="120"/>
  <c r="AM270" i="120" s="1"/>
  <c r="I11" i="66"/>
  <c r="N12" i="66"/>
  <c r="AZ101" i="8"/>
  <c r="BA101" i="8" s="1"/>
  <c r="BA99" i="8"/>
  <c r="K23" i="66"/>
  <c r="K28" i="66"/>
  <c r="K10" i="66" s="1"/>
  <c r="K38" i="66" s="1"/>
  <c r="AZ106" i="8"/>
  <c r="AF13" i="61"/>
  <c r="M23" i="66"/>
  <c r="M32" i="66"/>
  <c r="M10" i="66"/>
  <c r="M38" i="66" s="1"/>
  <c r="F23" i="66"/>
  <c r="F10" i="66"/>
  <c r="F38" i="66" s="1"/>
  <c r="F40" i="66" s="1"/>
  <c r="P123" i="56"/>
  <c r="BC109" i="8"/>
  <c r="BC107" i="8"/>
  <c r="AZ70" i="8"/>
  <c r="AZ71" i="8"/>
  <c r="AZ74" i="8"/>
  <c r="AZ75" i="8" s="1"/>
  <c r="AZ68" i="8"/>
  <c r="BA68" i="8" s="1"/>
  <c r="BA51" i="8"/>
  <c r="H91" i="7"/>
  <c r="G91" i="7" s="1"/>
  <c r="FN47" i="123"/>
  <c r="BW13" i="19"/>
  <c r="BW10" i="19" s="1"/>
  <c r="BZ10" i="19" s="1"/>
  <c r="AN85" i="7"/>
  <c r="AN86" i="7" s="1"/>
  <c r="T90" i="7" s="1"/>
  <c r="AP205" i="120"/>
  <c r="CO57" i="121" s="1"/>
  <c r="BE108" i="120"/>
  <c r="BD108" i="120" s="1"/>
  <c r="DX51" i="121"/>
  <c r="AB46" i="61"/>
  <c r="AA52" i="61"/>
  <c r="AA53" i="61" s="1"/>
  <c r="AA48" i="61"/>
  <c r="EW64" i="123"/>
  <c r="EM64" i="123"/>
  <c r="AN83" i="7"/>
  <c r="H90" i="7" s="1"/>
  <c r="AZ113" i="6"/>
  <c r="AZ74" i="6"/>
  <c r="GI87" i="121"/>
  <c r="FZ85" i="121"/>
  <c r="GI85" i="121" s="1"/>
  <c r="X48" i="125"/>
  <c r="FZ63" i="121"/>
  <c r="EJ63" i="121"/>
  <c r="V55" i="126"/>
  <c r="DX64" i="123"/>
  <c r="EA64" i="123"/>
  <c r="GJ65" i="121"/>
  <c r="AE50" i="125"/>
  <c r="CI160" i="7"/>
  <c r="CI161" i="7" s="1"/>
  <c r="CI158" i="7"/>
  <c r="AF46" i="125"/>
  <c r="GK61" i="121"/>
  <c r="EB64" i="123"/>
  <c r="DY64" i="123"/>
  <c r="W55" i="126"/>
  <c r="GI65" i="121"/>
  <c r="AD50" i="125"/>
  <c r="GK63" i="121"/>
  <c r="AF48" i="125"/>
  <c r="BC48" i="61"/>
  <c r="BC52" i="61"/>
  <c r="BC53" i="61" s="1"/>
  <c r="BA115" i="6"/>
  <c r="BF151" i="122"/>
  <c r="BL41" i="122"/>
  <c r="BD41" i="122"/>
  <c r="BJ41" i="122" s="1"/>
  <c r="AE27" i="126"/>
  <c r="GI36" i="123"/>
  <c r="BK46" i="122"/>
  <c r="BD46" i="122"/>
  <c r="BJ46" i="122" s="1"/>
  <c r="BD59" i="120"/>
  <c r="BK59" i="120"/>
  <c r="BE201" i="120"/>
  <c r="BK201" i="120" s="1"/>
  <c r="BZ154" i="7"/>
  <c r="BZ152" i="7"/>
  <c r="AF99" i="122"/>
  <c r="AL99" i="122" s="1"/>
  <c r="AG100" i="122"/>
  <c r="AM100" i="122" s="1"/>
  <c r="AM99" i="122"/>
  <c r="AP99" i="122"/>
  <c r="AP94" i="122" s="1"/>
  <c r="AO94" i="122" s="1"/>
  <c r="CI99" i="120"/>
  <c r="DX50" i="123"/>
  <c r="V41" i="126"/>
  <c r="EA50" i="123"/>
  <c r="AI34" i="65"/>
  <c r="AG34" i="65"/>
  <c r="AH34" i="65" s="1"/>
  <c r="M19" i="56"/>
  <c r="H20" i="56"/>
  <c r="H19" i="56" s="1"/>
  <c r="BD77" i="122"/>
  <c r="BJ77" i="122" s="1"/>
  <c r="BK77" i="122"/>
  <c r="CN58" i="121"/>
  <c r="CX58" i="121"/>
  <c r="L7" i="105"/>
  <c r="K14" i="105"/>
  <c r="AF106" i="120"/>
  <c r="AL106" i="120" s="1"/>
  <c r="AM106" i="120"/>
  <c r="GA49" i="123"/>
  <c r="Z40" i="126"/>
  <c r="EK49" i="123"/>
  <c r="AG156" i="122"/>
  <c r="AM156" i="122" s="1"/>
  <c r="AF26" i="122"/>
  <c r="AM26" i="122"/>
  <c r="AP26" i="122"/>
  <c r="Q204" i="120"/>
  <c r="Q208" i="120" s="1"/>
  <c r="DA14" i="8"/>
  <c r="R120" i="122"/>
  <c r="B120" i="122"/>
  <c r="C173" i="122"/>
  <c r="C57" i="123" s="1"/>
  <c r="BW11" i="19"/>
  <c r="CA10" i="19"/>
  <c r="CA14" i="19" s="1"/>
  <c r="BW49" i="19"/>
  <c r="BY10" i="19"/>
  <c r="BD37" i="120"/>
  <c r="BK37" i="120"/>
  <c r="W18" i="95"/>
  <c r="W28" i="95" s="1"/>
  <c r="W47" i="95" s="1"/>
  <c r="W51" i="95"/>
  <c r="D20" i="129"/>
  <c r="D21" i="129" s="1"/>
  <c r="BK108" i="120"/>
  <c r="X36" i="125"/>
  <c r="EJ51" i="121"/>
  <c r="AP56" i="121"/>
  <c r="R208" i="120"/>
  <c r="AP60" i="121" s="1"/>
  <c r="BE98" i="122"/>
  <c r="AO98" i="122"/>
  <c r="BN98" i="122"/>
  <c r="CH151" i="122"/>
  <c r="AO103" i="120"/>
  <c r="BN103" i="120"/>
  <c r="BM103" i="120" s="1"/>
  <c r="EB48" i="123"/>
  <c r="T39" i="126"/>
  <c r="CL48" i="123"/>
  <c r="AL155" i="7"/>
  <c r="AM150" i="7"/>
  <c r="BA150" i="7"/>
  <c r="BC10" i="61"/>
  <c r="BC23" i="61"/>
  <c r="FN50" i="123"/>
  <c r="CB218" i="120"/>
  <c r="CH218" i="120" s="1"/>
  <c r="CH152" i="120"/>
  <c r="DD10" i="19"/>
  <c r="AG204" i="120"/>
  <c r="DH48" i="121"/>
  <c r="AE60" i="125"/>
  <c r="GJ75" i="121"/>
  <c r="D35" i="120"/>
  <c r="CD36" i="120"/>
  <c r="CJ36" i="120" s="1"/>
  <c r="CJ35" i="120"/>
  <c r="CD29" i="120"/>
  <c r="DX39" i="123"/>
  <c r="V30" i="126"/>
  <c r="EA39" i="123"/>
  <c r="CI40" i="122"/>
  <c r="B118" i="122"/>
  <c r="R118" i="122"/>
  <c r="C171" i="122"/>
  <c r="C55" i="123" s="1"/>
  <c r="CC116" i="122"/>
  <c r="DE11" i="19"/>
  <c r="BX101" i="8"/>
  <c r="BX103" i="8"/>
  <c r="GE84" i="121"/>
  <c r="AL80" i="7"/>
  <c r="AM63" i="7"/>
  <c r="BA63" i="7"/>
  <c r="AI105" i="8"/>
  <c r="AW69" i="8"/>
  <c r="AI71" i="8"/>
  <c r="AI74" i="8"/>
  <c r="AI70" i="8"/>
  <c r="BA69" i="8"/>
  <c r="BH75" i="6"/>
  <c r="BB75" i="6"/>
  <c r="BC75" i="6"/>
  <c r="BF75" i="6"/>
  <c r="BG75" i="6"/>
  <c r="AF206" i="120"/>
  <c r="AL206" i="120" s="1"/>
  <c r="BK38" i="120"/>
  <c r="BD38" i="120"/>
  <c r="BE238" i="120"/>
  <c r="BE205" i="120"/>
  <c r="BK205" i="120" s="1"/>
  <c r="BM38" i="120"/>
  <c r="BN37" i="120"/>
  <c r="P50" i="56"/>
  <c r="BF86" i="7"/>
  <c r="AL35" i="64"/>
  <c r="AB34" i="125"/>
  <c r="FX49" i="121"/>
  <c r="M50" i="56"/>
  <c r="BD129" i="7"/>
  <c r="BF129" i="7" s="1"/>
  <c r="BF128" i="7" s="1"/>
  <c r="CB128" i="7" s="1"/>
  <c r="L50" i="56"/>
  <c r="BE86" i="7"/>
  <c r="BD128" i="7" s="1"/>
  <c r="CC19" i="7"/>
  <c r="FN49" i="123"/>
  <c r="BB110" i="8"/>
  <c r="BB117" i="8" s="1"/>
  <c r="BB118" i="8" s="1"/>
  <c r="M113" i="56"/>
  <c r="K23" i="61"/>
  <c r="K28" i="61"/>
  <c r="M28" i="61" s="1"/>
  <c r="M10" i="61" s="1"/>
  <c r="M32" i="61" s="1"/>
  <c r="X32" i="61" s="1"/>
  <c r="AC27" i="126"/>
  <c r="FX36" i="123"/>
  <c r="CW45" i="8"/>
  <c r="CW42" i="8" s="1"/>
  <c r="CY42" i="8"/>
  <c r="J34" i="105"/>
  <c r="P8" i="104" s="1"/>
  <c r="P14" i="104" s="1"/>
  <c r="AB16" i="61" s="1"/>
  <c r="AB14" i="61" s="1"/>
  <c r="J35" i="105"/>
  <c r="P17" i="104" s="1"/>
  <c r="P23" i="104" s="1"/>
  <c r="AB16" i="64" s="1"/>
  <c r="AB14" i="64" s="1"/>
  <c r="CB219" i="120"/>
  <c r="CH219" i="120" s="1"/>
  <c r="CH153" i="120"/>
  <c r="AD60" i="125"/>
  <c r="GI75" i="121"/>
  <c r="K53" i="121"/>
  <c r="U53" i="121"/>
  <c r="L60" i="121"/>
  <c r="B60" i="121"/>
  <c r="AJ15" i="65"/>
  <c r="AI13" i="65"/>
  <c r="AO15" i="65"/>
  <c r="AQ15" i="65"/>
  <c r="AO107" i="120"/>
  <c r="AO238" i="120" s="1"/>
  <c r="BN107" i="120"/>
  <c r="AP106" i="120"/>
  <c r="AP204" i="120" s="1"/>
  <c r="AQ80" i="7"/>
  <c r="AR80" i="7" s="1"/>
  <c r="K20" i="56"/>
  <c r="P19" i="56"/>
  <c r="CG32" i="7"/>
  <c r="CG27" i="7" s="1"/>
  <c r="BH57" i="121"/>
  <c r="AX57" i="121"/>
  <c r="BA114" i="6"/>
  <c r="DB117" i="8"/>
  <c r="DB99" i="8"/>
  <c r="Q22" i="122"/>
  <c r="R151" i="122"/>
  <c r="Z124" i="6"/>
  <c r="T57" i="121"/>
  <c r="AD57" i="121"/>
  <c r="GI51" i="123"/>
  <c r="AE42" i="126"/>
  <c r="AP239" i="120"/>
  <c r="C128" i="120"/>
  <c r="CB128" i="120"/>
  <c r="CC129" i="120"/>
  <c r="CI129" i="120" s="1"/>
  <c r="CI128" i="120"/>
  <c r="BC101" i="6"/>
  <c r="BC100" i="6" s="1"/>
  <c r="BF101" i="6"/>
  <c r="BH101" i="6"/>
  <c r="BG101" i="6"/>
  <c r="BG100" i="6" s="1"/>
  <c r="BB101" i="6"/>
  <c r="BB100" i="6" s="1"/>
  <c r="BA100" i="6"/>
  <c r="AY40" i="123"/>
  <c r="AO40" i="123"/>
  <c r="EK60" i="123"/>
  <c r="Z51" i="126"/>
  <c r="GA60" i="123"/>
  <c r="CB173" i="122"/>
  <c r="CH173" i="122" s="1"/>
  <c r="CH120" i="122"/>
  <c r="C218" i="120"/>
  <c r="C70" i="121" s="1"/>
  <c r="R152" i="120"/>
  <c r="AG152" i="120" s="1"/>
  <c r="B152" i="120"/>
  <c r="BF155" i="7"/>
  <c r="BF157" i="7"/>
  <c r="M59" i="56"/>
  <c r="F38" i="65"/>
  <c r="F40" i="65" s="1"/>
  <c r="C34" i="90"/>
  <c r="C31" i="90" s="1"/>
  <c r="Q33" i="65" s="1"/>
  <c r="AN48" i="121"/>
  <c r="N33" i="125"/>
  <c r="CD48" i="121"/>
  <c r="V46" i="125"/>
  <c r="DY61" i="121"/>
  <c r="BZ168" i="7"/>
  <c r="AE12" i="61"/>
  <c r="X15" i="95"/>
  <c r="X20" i="95" s="1"/>
  <c r="X30" i="95" s="1"/>
  <c r="X49" i="95" s="1"/>
  <c r="AC13" i="61" s="1"/>
  <c r="Y10" i="95"/>
  <c r="X8" i="95"/>
  <c r="X13" i="95" s="1"/>
  <c r="C27" i="90"/>
  <c r="C24" i="90" s="1"/>
  <c r="P34" i="61" s="1"/>
  <c r="F38" i="61"/>
  <c r="F40" i="61" s="1"/>
  <c r="Q33" i="125"/>
  <c r="CA48" i="121"/>
  <c r="AF27" i="126"/>
  <c r="GJ36" i="123"/>
  <c r="AF16" i="66"/>
  <c r="AE14" i="66"/>
  <c r="BM127" i="120"/>
  <c r="CL127" i="120" s="1"/>
  <c r="M10" i="56"/>
  <c r="T91" i="7"/>
  <c r="Q91" i="7" s="1"/>
  <c r="M83" i="56"/>
  <c r="AK109" i="8"/>
  <c r="AK107" i="8"/>
  <c r="AP270" i="120"/>
  <c r="BW101" i="8"/>
  <c r="BW103" i="8"/>
  <c r="B94" i="122"/>
  <c r="CB123" i="120"/>
  <c r="CH123" i="120" s="1"/>
  <c r="CI123" i="120"/>
  <c r="BO41" i="122"/>
  <c r="AQ151" i="122"/>
  <c r="AO41" i="122"/>
  <c r="FW36" i="123"/>
  <c r="AB27" i="126"/>
  <c r="R119" i="122"/>
  <c r="AG119" i="122" s="1"/>
  <c r="B119" i="122"/>
  <c r="C172" i="122"/>
  <c r="C56" i="123" s="1"/>
  <c r="BX58" i="7"/>
  <c r="BV145" i="7"/>
  <c r="BW58" i="7"/>
  <c r="BW63" i="7" s="1"/>
  <c r="C220" i="120"/>
  <c r="C72" i="121" s="1"/>
  <c r="R154" i="120"/>
  <c r="AG154" i="120" s="1"/>
  <c r="B154" i="120"/>
  <c r="C219" i="120"/>
  <c r="C71" i="121" s="1"/>
  <c r="R153" i="120"/>
  <c r="AG153" i="120" s="1"/>
  <c r="B153" i="120"/>
  <c r="CB62" i="120"/>
  <c r="CH62" i="120" s="1"/>
  <c r="CI62" i="120"/>
  <c r="CB65" i="120"/>
  <c r="CH65" i="120" s="1"/>
  <c r="CH64" i="120"/>
  <c r="AO77" i="122"/>
  <c r="BN77" i="122"/>
  <c r="CC78" i="122"/>
  <c r="CZ30" i="8"/>
  <c r="CZ27" i="8" s="1"/>
  <c r="R34" i="125"/>
  <c r="EA49" i="121"/>
  <c r="CK49" i="121"/>
  <c r="V52" i="95"/>
  <c r="AQ83" i="7"/>
  <c r="AR83" i="7" s="1"/>
  <c r="CH32" i="7"/>
  <c r="CH141" i="7" s="1"/>
  <c r="D47" i="122"/>
  <c r="CD48" i="122"/>
  <c r="CJ48" i="122" s="1"/>
  <c r="CD157" i="122"/>
  <c r="CJ47" i="122"/>
  <c r="CN40" i="122"/>
  <c r="C35" i="123"/>
  <c r="D11" i="129"/>
  <c r="D12" i="129" s="1"/>
  <c r="EX48" i="121"/>
  <c r="AB123" i="6"/>
  <c r="AB124" i="6" s="1"/>
  <c r="AF205" i="120"/>
  <c r="AL205" i="120" s="1"/>
  <c r="Q98" i="7"/>
  <c r="T111" i="7"/>
  <c r="AO59" i="120"/>
  <c r="BN59" i="120"/>
  <c r="AP201" i="120"/>
  <c r="CO53" i="121" s="1"/>
  <c r="Y16" i="61"/>
  <c r="X14" i="61"/>
  <c r="Y14" i="61" s="1"/>
  <c r="FX60" i="123"/>
  <c r="AC51" i="126"/>
  <c r="FN60" i="123"/>
  <c r="CH56" i="7"/>
  <c r="CH52" i="7" s="1"/>
  <c r="CH144" i="7" s="1"/>
  <c r="CH172" i="7" s="1"/>
  <c r="AG16" i="64" s="1"/>
  <c r="T23" i="104"/>
  <c r="H32" i="61"/>
  <c r="H38" i="61"/>
  <c r="H40" i="61" s="1"/>
  <c r="H43" i="61" s="1"/>
  <c r="CL14" i="8"/>
  <c r="CL8" i="8" s="1"/>
  <c r="AF100" i="122"/>
  <c r="AL100" i="122" s="1"/>
  <c r="AL98" i="122"/>
  <c r="BD103" i="120"/>
  <c r="BJ103" i="120" s="1"/>
  <c r="BK103" i="120"/>
  <c r="DA158" i="7"/>
  <c r="DA160" i="7"/>
  <c r="DA161" i="7" s="1"/>
  <c r="BJ39" i="120"/>
  <c r="AF204" i="120"/>
  <c r="AL37" i="120"/>
  <c r="H12" i="64"/>
  <c r="H11" i="64" s="1"/>
  <c r="F11" i="64"/>
  <c r="K12" i="64"/>
  <c r="K11" i="64" s="1"/>
  <c r="M12" i="64"/>
  <c r="M11" i="64" s="1"/>
  <c r="I12" i="64"/>
  <c r="AC40" i="126"/>
  <c r="FX49" i="123"/>
  <c r="H31" i="65"/>
  <c r="Q31" i="65" s="1"/>
  <c r="H38" i="65"/>
  <c r="H40" i="65" s="1"/>
  <c r="CF56" i="7"/>
  <c r="CF52" i="7" s="1"/>
  <c r="CF144" i="7" s="1"/>
  <c r="CG52" i="7"/>
  <c r="CG144" i="7" s="1"/>
  <c r="U46" i="125"/>
  <c r="DX61" i="121"/>
  <c r="AS63" i="7"/>
  <c r="CC48" i="122"/>
  <c r="CI48" i="122" s="1"/>
  <c r="C47" i="122"/>
  <c r="CB47" i="122"/>
  <c r="CI47" i="122"/>
  <c r="CM40" i="122"/>
  <c r="CB171" i="122"/>
  <c r="CH171" i="122" s="1"/>
  <c r="CH118" i="122"/>
  <c r="T58" i="121"/>
  <c r="AC58" i="121" s="1"/>
  <c r="AD58" i="121"/>
  <c r="G90" i="7"/>
  <c r="G101" i="7"/>
  <c r="CR154" i="7"/>
  <c r="CS157" i="7"/>
  <c r="CS155" i="7"/>
  <c r="AO37" i="120"/>
  <c r="CM37" i="120"/>
  <c r="CX57" i="121"/>
  <c r="CN57" i="121"/>
  <c r="CG25" i="7"/>
  <c r="CF24" i="7"/>
  <c r="CF141" i="7" s="1"/>
  <c r="AO108" i="120"/>
  <c r="BN108" i="120"/>
  <c r="BM108" i="120" s="1"/>
  <c r="B100" i="122"/>
  <c r="BF65" i="6"/>
  <c r="BH65" i="6"/>
  <c r="BA64" i="6"/>
  <c r="BC65" i="6"/>
  <c r="BB65" i="6"/>
  <c r="BG65" i="6"/>
  <c r="C55" i="120"/>
  <c r="CC200" i="120"/>
  <c r="CI200" i="120" s="1"/>
  <c r="CB55" i="120"/>
  <c r="CI55" i="120"/>
  <c r="BO49" i="19"/>
  <c r="AX58" i="121"/>
  <c r="BH58" i="121"/>
  <c r="BG58" i="121" s="1"/>
  <c r="CZ25" i="8"/>
  <c r="CK25" i="8"/>
  <c r="EA61" i="121"/>
  <c r="D16" i="129"/>
  <c r="CB220" i="120"/>
  <c r="CH220" i="120" s="1"/>
  <c r="CH154" i="120"/>
  <c r="B64" i="120"/>
  <c r="C65" i="120"/>
  <c r="R64" i="120"/>
  <c r="AG64" i="120" s="1"/>
  <c r="C62" i="120"/>
  <c r="W41" i="126"/>
  <c r="DY50" i="123"/>
  <c r="EB50" i="123"/>
  <c r="BE160" i="7"/>
  <c r="BE161" i="7" s="1"/>
  <c r="BE168" i="7" s="1"/>
  <c r="BE170" i="7" s="1"/>
  <c r="BE158" i="7"/>
  <c r="CB75" i="122"/>
  <c r="CH75" i="122" s="1"/>
  <c r="CI75" i="122"/>
  <c r="AY53" i="121"/>
  <c r="AO53" i="121"/>
  <c r="AB47" i="125"/>
  <c r="FX62" i="121"/>
  <c r="BD107" i="120"/>
  <c r="BJ107" i="120" s="1"/>
  <c r="BK107" i="120"/>
  <c r="FE48" i="123"/>
  <c r="FO48" i="123"/>
  <c r="P95" i="7"/>
  <c r="S97" i="7"/>
  <c r="P97" i="7" s="1"/>
  <c r="AS86" i="7"/>
  <c r="AM22" i="122"/>
  <c r="AG151" i="122"/>
  <c r="AF22" i="122"/>
  <c r="AP22" i="122"/>
  <c r="BS94" i="8"/>
  <c r="BS99" i="8" s="1"/>
  <c r="BS101" i="8" s="1"/>
  <c r="BU46" i="8"/>
  <c r="BT46" i="8"/>
  <c r="BT51" i="8" s="1"/>
  <c r="BX63" i="7"/>
  <c r="FE39" i="123"/>
  <c r="FN39" i="123" s="1"/>
  <c r="FO39" i="123"/>
  <c r="CK48" i="123"/>
  <c r="EA48" i="123"/>
  <c r="S39" i="126"/>
  <c r="BZ172" i="7"/>
  <c r="AE16" i="61"/>
  <c r="BM39" i="120"/>
  <c r="CL39" i="120" s="1"/>
  <c r="BN239" i="120"/>
  <c r="BN206" i="120"/>
  <c r="EN58" i="121" s="1"/>
  <c r="AF238" i="120"/>
  <c r="GI79" i="121"/>
  <c r="AD64" i="125"/>
  <c r="C35" i="120"/>
  <c r="CB35" i="120"/>
  <c r="CC36" i="120"/>
  <c r="CI36" i="120" s="1"/>
  <c r="CI35" i="120"/>
  <c r="CC29" i="120"/>
  <c r="BJ30" i="120"/>
  <c r="BB66" i="6"/>
  <c r="BD66" i="6" s="1"/>
  <c r="BE66" i="6" s="1"/>
  <c r="BF66" i="6"/>
  <c r="BC66" i="6"/>
  <c r="BH66" i="6"/>
  <c r="BG66" i="6"/>
  <c r="FO50" i="123"/>
  <c r="AQ35" i="123"/>
  <c r="AB64" i="125"/>
  <c r="FX79" i="121"/>
  <c r="GA79" i="121"/>
  <c r="K20" i="105"/>
  <c r="Q151" i="122"/>
  <c r="W30" i="126"/>
  <c r="DY39" i="123"/>
  <c r="EB39" i="123"/>
  <c r="Y47" i="125"/>
  <c r="GA62" i="121"/>
  <c r="EK62" i="121"/>
  <c r="AL81" i="7"/>
  <c r="AN156" i="7"/>
  <c r="AN157" i="7" s="1"/>
  <c r="CG43" i="7"/>
  <c r="CF45" i="7"/>
  <c r="CG136" i="7"/>
  <c r="AF239" i="120"/>
  <c r="AL239" i="120" s="1"/>
  <c r="C54" i="120"/>
  <c r="CB54" i="120"/>
  <c r="CI54" i="120"/>
  <c r="CC196" i="120"/>
  <c r="AO205" i="120"/>
  <c r="CL38" i="120"/>
  <c r="CV24" i="7"/>
  <c r="CV17" i="7" s="1"/>
  <c r="P59" i="56"/>
  <c r="K60" i="56"/>
  <c r="K59" i="56" s="1"/>
  <c r="T59" i="56" s="1"/>
  <c r="AH15" i="65"/>
  <c r="AG13" i="65"/>
  <c r="R100" i="122"/>
  <c r="Q99" i="122"/>
  <c r="Q100" i="122" s="1"/>
  <c r="R94" i="122"/>
  <c r="Q94" i="122" s="1"/>
  <c r="H123" i="56"/>
  <c r="H122" i="56" s="1"/>
  <c r="M122" i="56"/>
  <c r="BM63" i="120"/>
  <c r="CL63" i="120" s="1"/>
  <c r="EB61" i="121"/>
  <c r="K40" i="123"/>
  <c r="U40" i="123"/>
  <c r="AN151" i="122"/>
  <c r="P12" i="61"/>
  <c r="P11" i="61" s="1"/>
  <c r="N11" i="61"/>
  <c r="K10" i="56"/>
  <c r="P9" i="56"/>
  <c r="BO12" i="19"/>
  <c r="CC104" i="120"/>
  <c r="CB172" i="122"/>
  <c r="CH172" i="122" s="1"/>
  <c r="CH119" i="122"/>
  <c r="AA34" i="125"/>
  <c r="FW49" i="121"/>
  <c r="BD156" i="7"/>
  <c r="BD157" i="7" s="1"/>
  <c r="BD82" i="7"/>
  <c r="L60" i="56" s="1"/>
  <c r="BD83" i="7"/>
  <c r="BD85" i="7"/>
  <c r="BD86" i="7" s="1"/>
  <c r="BA76" i="6"/>
  <c r="B56" i="121"/>
  <c r="L56" i="121"/>
  <c r="CA168" i="7"/>
  <c r="CA150" i="7"/>
  <c r="M35" i="123"/>
  <c r="AY64" i="6"/>
  <c r="AZ64" i="6" s="1"/>
  <c r="AV123" i="6"/>
  <c r="AH14" i="66"/>
  <c r="AO14" i="66"/>
  <c r="Y34" i="125"/>
  <c r="GA49" i="121"/>
  <c r="EK49" i="121"/>
  <c r="CD40" i="122"/>
  <c r="DB51" i="8"/>
  <c r="DB53" i="8" s="1"/>
  <c r="CZ15" i="8"/>
  <c r="CK15" i="8"/>
  <c r="BS8" i="8"/>
  <c r="BS51" i="8" s="1"/>
  <c r="B151" i="122"/>
  <c r="CW32" i="7"/>
  <c r="CU32" i="7" s="1"/>
  <c r="CU27" i="7" s="1"/>
  <c r="CW27" i="7"/>
  <c r="FE51" i="121"/>
  <c r="FN51" i="121" s="1"/>
  <c r="FZ51" i="121" s="1"/>
  <c r="FO51" i="121"/>
  <c r="U47" i="125"/>
  <c r="DX62" i="121"/>
  <c r="EA62" i="121"/>
  <c r="X14" i="64"/>
  <c r="Y14" i="64" s="1"/>
  <c r="Y16" i="64"/>
  <c r="AO239" i="120"/>
  <c r="AO206" i="120"/>
  <c r="BV142" i="7"/>
  <c r="BV17" i="7"/>
  <c r="BV63" i="7" s="1"/>
  <c r="BV65" i="7" s="1"/>
  <c r="Y36" i="125"/>
  <c r="GA51" i="121"/>
  <c r="EK51" i="121"/>
  <c r="AD52" i="95"/>
  <c r="FE61" i="121"/>
  <c r="FN61" i="121" s="1"/>
  <c r="FO61" i="121"/>
  <c r="BN46" i="122"/>
  <c r="AO46" i="122"/>
  <c r="AL59" i="120"/>
  <c r="AF201" i="120"/>
  <c r="AL201" i="120" s="1"/>
  <c r="FW47" i="123"/>
  <c r="AB38" i="126"/>
  <c r="X34" i="126"/>
  <c r="DZ43" i="123"/>
  <c r="EC43" i="123"/>
  <c r="FE43" i="123"/>
  <c r="W38" i="126"/>
  <c r="DY47" i="123"/>
  <c r="EB47" i="123"/>
  <c r="Z34" i="126"/>
  <c r="EK43" i="123"/>
  <c r="W34" i="126"/>
  <c r="DY43" i="123"/>
  <c r="GE68" i="123"/>
  <c r="EF69" i="123"/>
  <c r="GB47" i="123"/>
  <c r="AA38" i="126"/>
  <c r="EL47" i="123"/>
  <c r="FP43" i="123"/>
  <c r="Y38" i="126"/>
  <c r="FZ47" i="123"/>
  <c r="EJ47" i="123"/>
  <c r="DO43" i="123"/>
  <c r="FO43" i="123"/>
  <c r="FO47" i="123"/>
  <c r="ED69" i="123"/>
  <c r="GC68" i="123"/>
  <c r="GD69" i="123"/>
  <c r="ED83" i="121"/>
  <c r="CE84" i="121"/>
  <c r="EE84" i="121"/>
  <c r="GD83" i="121"/>
  <c r="M29" i="126" l="1"/>
  <c r="AL38" i="123"/>
  <c r="BM42" i="122"/>
  <c r="BM154" i="122" s="1"/>
  <c r="BN154" i="122"/>
  <c r="EN38" i="123" s="1"/>
  <c r="BG38" i="123"/>
  <c r="BP38" i="123" s="1"/>
  <c r="BQ38" i="123"/>
  <c r="AM38" i="123"/>
  <c r="N29" i="126"/>
  <c r="CC38" i="123"/>
  <c r="BE154" i="122"/>
  <c r="BK154" i="122" s="1"/>
  <c r="BD42" i="122"/>
  <c r="BK42" i="122"/>
  <c r="R35" i="104"/>
  <c r="R39" i="104" s="1"/>
  <c r="Q39" i="104"/>
  <c r="AD16" i="66" s="1"/>
  <c r="AD14" i="66" s="1"/>
  <c r="CX38" i="123"/>
  <c r="CN38" i="123"/>
  <c r="CX106" i="8"/>
  <c r="CX104" i="8"/>
  <c r="AO154" i="122"/>
  <c r="CL42" i="122"/>
  <c r="AO12" i="65"/>
  <c r="AN10" i="65"/>
  <c r="AN9" i="65" s="1"/>
  <c r="CL108" i="120"/>
  <c r="Q35" i="65"/>
  <c r="Q38" i="65" s="1"/>
  <c r="V59" i="56"/>
  <c r="BX10" i="19"/>
  <c r="BX14" i="19" s="1"/>
  <c r="P113" i="56"/>
  <c r="BC110" i="8"/>
  <c r="L123" i="56"/>
  <c r="AZ109" i="8"/>
  <c r="AZ107" i="8"/>
  <c r="BD65" i="6"/>
  <c r="BE65" i="6" s="1"/>
  <c r="K123" i="56"/>
  <c r="K122" i="56" s="1"/>
  <c r="T122" i="56" s="1"/>
  <c r="P122" i="56"/>
  <c r="X122" i="56" s="1"/>
  <c r="M50" i="66"/>
  <c r="X32" i="66"/>
  <c r="K40" i="66"/>
  <c r="P12" i="66"/>
  <c r="P11" i="66" s="1"/>
  <c r="N11" i="66"/>
  <c r="F46" i="66"/>
  <c r="J39" i="66"/>
  <c r="K39" i="66"/>
  <c r="K42" i="66" s="1"/>
  <c r="F43" i="66"/>
  <c r="I39" i="66"/>
  <c r="I42" i="66" s="1"/>
  <c r="I10" i="66"/>
  <c r="I38" i="66" s="1"/>
  <c r="I40" i="66" s="1"/>
  <c r="I23" i="66"/>
  <c r="BJ108" i="120"/>
  <c r="BD239" i="120"/>
  <c r="BJ239" i="120" s="1"/>
  <c r="BD206" i="120"/>
  <c r="BJ206" i="120" s="1"/>
  <c r="BP58" i="121"/>
  <c r="CM108" i="120"/>
  <c r="BD100" i="6"/>
  <c r="BE100" i="6" s="1"/>
  <c r="BD101" i="6"/>
  <c r="BE101" i="6" s="1"/>
  <c r="AD124" i="6"/>
  <c r="AO270" i="120"/>
  <c r="Y55" i="126"/>
  <c r="EJ64" i="123"/>
  <c r="AD48" i="125"/>
  <c r="GI63" i="121"/>
  <c r="AB51" i="61"/>
  <c r="AB47" i="61"/>
  <c r="BG64" i="6"/>
  <c r="EK64" i="123"/>
  <c r="Z55" i="126"/>
  <c r="FF64" i="123"/>
  <c r="EV64" i="123"/>
  <c r="BE239" i="120"/>
  <c r="BK239" i="120" s="1"/>
  <c r="BE206" i="120"/>
  <c r="BK206" i="120" s="1"/>
  <c r="BV150" i="7"/>
  <c r="BV152" i="7" s="1"/>
  <c r="BT68" i="8"/>
  <c r="BT53" i="8"/>
  <c r="BT70" i="8"/>
  <c r="BT71" i="8" s="1"/>
  <c r="FW61" i="121"/>
  <c r="AA46" i="125"/>
  <c r="AD36" i="125"/>
  <c r="GI51" i="121"/>
  <c r="AG65" i="120"/>
  <c r="AM65" i="120" s="1"/>
  <c r="AF64" i="120"/>
  <c r="AM64" i="120"/>
  <c r="AP64" i="120"/>
  <c r="BE64" i="120" s="1"/>
  <c r="R30" i="65"/>
  <c r="R31" i="65" s="1"/>
  <c r="O43" i="125"/>
  <c r="BY58" i="121"/>
  <c r="AF153" i="120"/>
  <c r="AG219" i="120"/>
  <c r="AM219" i="120" s="1"/>
  <c r="AM153" i="120"/>
  <c r="AP153" i="120"/>
  <c r="BE153" i="120" s="1"/>
  <c r="AB36" i="125"/>
  <c r="FX51" i="121"/>
  <c r="R54" i="120"/>
  <c r="AG54" i="120" s="1"/>
  <c r="B54" i="120"/>
  <c r="C196" i="120"/>
  <c r="X47" i="125"/>
  <c r="FZ62" i="121"/>
  <c r="EJ62" i="121"/>
  <c r="V35" i="123"/>
  <c r="K56" i="121"/>
  <c r="U56" i="121"/>
  <c r="P10" i="61"/>
  <c r="P23" i="61"/>
  <c r="T40" i="123"/>
  <c r="AC40" i="123" s="1"/>
  <c r="AD40" i="123"/>
  <c r="AN158" i="7"/>
  <c r="AN160" i="7"/>
  <c r="AN161" i="7" s="1"/>
  <c r="K26" i="105"/>
  <c r="K19" i="105"/>
  <c r="BI66" i="6"/>
  <c r="R35" i="120"/>
  <c r="AG35" i="120" s="1"/>
  <c r="C36" i="120"/>
  <c r="B35" i="120"/>
  <c r="C29" i="120"/>
  <c r="AC39" i="126"/>
  <c r="FX48" i="123"/>
  <c r="BH53" i="121"/>
  <c r="AX53" i="121"/>
  <c r="B62" i="120"/>
  <c r="BI65" i="6"/>
  <c r="BF64" i="6"/>
  <c r="BM46" i="122"/>
  <c r="CL46" i="122" s="1"/>
  <c r="AV124" i="6"/>
  <c r="AY124" i="6" s="1"/>
  <c r="AY123" i="6"/>
  <c r="X9" i="56"/>
  <c r="X29" i="56"/>
  <c r="X59" i="56"/>
  <c r="CG169" i="7"/>
  <c r="AX13" i="61"/>
  <c r="AL156" i="7"/>
  <c r="BA81" i="7"/>
  <c r="EK39" i="123"/>
  <c r="Z30" i="126"/>
  <c r="GJ79" i="121"/>
  <c r="AE64" i="125"/>
  <c r="GM51" i="121"/>
  <c r="GA39" i="123"/>
  <c r="AC30" i="126"/>
  <c r="FX39" i="123"/>
  <c r="CM46" i="8"/>
  <c r="CM94" i="8" s="1"/>
  <c r="BU94" i="8"/>
  <c r="BU51" i="8"/>
  <c r="AM151" i="122"/>
  <c r="FN48" i="123"/>
  <c r="EK50" i="123"/>
  <c r="Z41" i="126"/>
  <c r="GA50" i="123"/>
  <c r="B65" i="120"/>
  <c r="R55" i="120"/>
  <c r="B55" i="120"/>
  <c r="C200" i="120"/>
  <c r="C52" i="121" s="1"/>
  <c r="CG24" i="7"/>
  <c r="CG141" i="7" s="1"/>
  <c r="G102" i="7"/>
  <c r="H101" i="7"/>
  <c r="AX16" i="61"/>
  <c r="CG172" i="7"/>
  <c r="K10" i="64"/>
  <c r="K23" i="64"/>
  <c r="AF208" i="120"/>
  <c r="AL208" i="120" s="1"/>
  <c r="AL204" i="120"/>
  <c r="P32" i="61"/>
  <c r="AL32" i="61"/>
  <c r="AB51" i="126"/>
  <c r="FW60" i="123"/>
  <c r="FZ60" i="123"/>
  <c r="GM61" i="121"/>
  <c r="BM59" i="120"/>
  <c r="BM201" i="120" s="1"/>
  <c r="CM59" i="120"/>
  <c r="BN201" i="120"/>
  <c r="EN53" i="121" s="1"/>
  <c r="B35" i="123"/>
  <c r="L35" i="123"/>
  <c r="CH27" i="7"/>
  <c r="AS83" i="7"/>
  <c r="CC79" i="122"/>
  <c r="CI79" i="122" s="1"/>
  <c r="C78" i="122"/>
  <c r="CB78" i="122"/>
  <c r="CI78" i="122"/>
  <c r="CM75" i="122"/>
  <c r="B220" i="120"/>
  <c r="CG58" i="7"/>
  <c r="BW145" i="7"/>
  <c r="Q119" i="122"/>
  <c r="Q172" i="122" s="1"/>
  <c r="R172" i="122"/>
  <c r="AP56" i="123" s="1"/>
  <c r="BO151" i="122"/>
  <c r="BM41" i="122"/>
  <c r="CL41" i="122" s="1"/>
  <c r="AG94" i="122"/>
  <c r="F43" i="61"/>
  <c r="J39" i="61"/>
  <c r="J40" i="61" s="1"/>
  <c r="J43" i="61" s="1"/>
  <c r="K39" i="61"/>
  <c r="I39" i="61"/>
  <c r="F49" i="61"/>
  <c r="B218" i="120"/>
  <c r="CB129" i="120"/>
  <c r="CH129" i="120" s="1"/>
  <c r="CH128" i="120"/>
  <c r="AD123" i="6"/>
  <c r="AO106" i="120"/>
  <c r="AO204" i="120" s="1"/>
  <c r="AO208" i="120" s="1"/>
  <c r="BM37" i="120"/>
  <c r="CL37" i="120" s="1"/>
  <c r="AW70" i="8"/>
  <c r="BA70" i="8"/>
  <c r="AJ105" i="8"/>
  <c r="AW105" i="8"/>
  <c r="AI106" i="8"/>
  <c r="BA105" i="8"/>
  <c r="CB116" i="122"/>
  <c r="C116" i="122"/>
  <c r="CC169" i="122"/>
  <c r="CI169" i="122" s="1"/>
  <c r="CI116" i="122"/>
  <c r="B171" i="122"/>
  <c r="AG208" i="120"/>
  <c r="AM208" i="120" s="1"/>
  <c r="AM204" i="120"/>
  <c r="AB41" i="126"/>
  <c r="FW50" i="123"/>
  <c r="CM103" i="120"/>
  <c r="BD98" i="122"/>
  <c r="BJ98" i="122" s="1"/>
  <c r="BK98" i="122"/>
  <c r="BZ14" i="19"/>
  <c r="B173" i="122"/>
  <c r="AF156" i="122"/>
  <c r="AL156" i="122" s="1"/>
  <c r="AL26" i="122"/>
  <c r="BE106" i="120"/>
  <c r="CL102" i="8"/>
  <c r="CK102" i="8" s="1"/>
  <c r="AO34" i="65"/>
  <c r="AJ34" i="65"/>
  <c r="FX61" i="121"/>
  <c r="AB46" i="125"/>
  <c r="AE36" i="125"/>
  <c r="C4" i="129" s="1"/>
  <c r="GJ51" i="121"/>
  <c r="CD99" i="120"/>
  <c r="BS68" i="8"/>
  <c r="BS70" i="8"/>
  <c r="BS71" i="8" s="1"/>
  <c r="BS53" i="8"/>
  <c r="CD124" i="122"/>
  <c r="CJ40" i="122"/>
  <c r="CA154" i="7"/>
  <c r="BY154" i="7" s="1"/>
  <c r="CA152" i="7"/>
  <c r="Y46" i="125"/>
  <c r="GA61" i="121"/>
  <c r="EK61" i="121"/>
  <c r="I124" i="56"/>
  <c r="G124" i="56" s="1"/>
  <c r="N124" i="56" s="1"/>
  <c r="L124" i="56" s="1"/>
  <c r="R122" i="56"/>
  <c r="J122" i="56"/>
  <c r="J123" i="56" s="1"/>
  <c r="O123" i="56" s="1"/>
  <c r="O122" i="56" s="1"/>
  <c r="AH13" i="65"/>
  <c r="AG10" i="65"/>
  <c r="CC60" i="120"/>
  <c r="CU24" i="7"/>
  <c r="CV141" i="7"/>
  <c r="CH54" i="120"/>
  <c r="CB196" i="120"/>
  <c r="CF43" i="7"/>
  <c r="CF136" i="7"/>
  <c r="BJ66" i="6"/>
  <c r="CB29" i="120"/>
  <c r="CI29" i="120"/>
  <c r="BM206" i="120"/>
  <c r="BM239" i="120"/>
  <c r="AB30" i="126"/>
  <c r="FW39" i="123"/>
  <c r="P96" i="7"/>
  <c r="P98" i="7" s="1"/>
  <c r="Q64" i="120"/>
  <c r="Q65" i="120" s="1"/>
  <c r="R65" i="120"/>
  <c r="R62" i="120"/>
  <c r="AG62" i="120" s="1"/>
  <c r="G92" i="7"/>
  <c r="T92" i="7"/>
  <c r="F10" i="64"/>
  <c r="F23" i="64"/>
  <c r="AO201" i="120"/>
  <c r="B71" i="121"/>
  <c r="L71" i="121"/>
  <c r="R220" i="120"/>
  <c r="AP72" i="121" s="1"/>
  <c r="Q154" i="120"/>
  <c r="Q220" i="120" s="1"/>
  <c r="L56" i="123"/>
  <c r="B56" i="123"/>
  <c r="BW104" i="8"/>
  <c r="BV103" i="8"/>
  <c r="BV104" i="8" s="1"/>
  <c r="BW106" i="8"/>
  <c r="BW78" i="7"/>
  <c r="BW65" i="7"/>
  <c r="Q90" i="7"/>
  <c r="G104" i="7"/>
  <c r="AF14" i="66"/>
  <c r="AE11" i="66"/>
  <c r="BF158" i="7"/>
  <c r="BF160" i="7"/>
  <c r="BF161" i="7" s="1"/>
  <c r="R218" i="120"/>
  <c r="AP70" i="121" s="1"/>
  <c r="Q152" i="120"/>
  <c r="Q218" i="120" s="1"/>
  <c r="BH40" i="123"/>
  <c r="BG40" i="123" s="1"/>
  <c r="AX40" i="123"/>
  <c r="BJ101" i="6"/>
  <c r="BH100" i="6"/>
  <c r="C129" i="120"/>
  <c r="R128" i="120"/>
  <c r="B128" i="120"/>
  <c r="C123" i="120"/>
  <c r="AZ124" i="6"/>
  <c r="DB103" i="8"/>
  <c r="DB101" i="8"/>
  <c r="X19" i="56"/>
  <c r="X39" i="56"/>
  <c r="BM107" i="120"/>
  <c r="BM238" i="120" s="1"/>
  <c r="BM270" i="120" s="1"/>
  <c r="BN106" i="120"/>
  <c r="AJ13" i="65"/>
  <c r="AO13" i="65"/>
  <c r="AQ13" i="65"/>
  <c r="U60" i="121"/>
  <c r="T60" i="121" s="1"/>
  <c r="K60" i="121"/>
  <c r="L49" i="56"/>
  <c r="P49" i="56"/>
  <c r="X49" i="56" s="1"/>
  <c r="K50" i="56"/>
  <c r="K49" i="56" s="1"/>
  <c r="T49" i="56" s="1"/>
  <c r="BM205" i="120"/>
  <c r="BK238" i="120"/>
  <c r="BE270" i="120"/>
  <c r="BK270" i="120" s="1"/>
  <c r="AI75" i="8"/>
  <c r="AJ74" i="8"/>
  <c r="AW74" i="8"/>
  <c r="BA74" i="8"/>
  <c r="AL83" i="7"/>
  <c r="BX106" i="8"/>
  <c r="BX104" i="8"/>
  <c r="L55" i="123"/>
  <c r="B55" i="123"/>
  <c r="CC150" i="120"/>
  <c r="DD11" i="19"/>
  <c r="AY60" i="121"/>
  <c r="AO60" i="121"/>
  <c r="BY14" i="19"/>
  <c r="BX11" i="19"/>
  <c r="BZ11" i="19"/>
  <c r="BZ12" i="19" s="1"/>
  <c r="CA11" i="19"/>
  <c r="BY11" i="19"/>
  <c r="BY12" i="19" s="1"/>
  <c r="R173" i="122"/>
  <c r="AP57" i="123" s="1"/>
  <c r="Q120" i="122"/>
  <c r="Q173" i="122" s="1"/>
  <c r="BN26" i="122"/>
  <c r="AP156" i="122"/>
  <c r="CO40" i="123" s="1"/>
  <c r="AO26" i="122"/>
  <c r="AO156" i="122" s="1"/>
  <c r="AF40" i="126"/>
  <c r="GJ49" i="123"/>
  <c r="DG58" i="121"/>
  <c r="DF58" i="121" s="1"/>
  <c r="CW58" i="121"/>
  <c r="J19" i="56"/>
  <c r="I21" i="56"/>
  <c r="G21" i="56" s="1"/>
  <c r="N21" i="56" s="1"/>
  <c r="L21" i="56" s="1"/>
  <c r="R19" i="56"/>
  <c r="CD104" i="120"/>
  <c r="CW141" i="7"/>
  <c r="BG76" i="6"/>
  <c r="BG74" i="6" s="1"/>
  <c r="BF76" i="6"/>
  <c r="BF74" i="6" s="1"/>
  <c r="BC76" i="6"/>
  <c r="BC74" i="6" s="1"/>
  <c r="BB76" i="6"/>
  <c r="BB74" i="6" s="1"/>
  <c r="BH76" i="6"/>
  <c r="N23" i="61"/>
  <c r="N28" i="61"/>
  <c r="N10" i="61" s="1"/>
  <c r="N38" i="61" s="1"/>
  <c r="CI196" i="120"/>
  <c r="AE47" i="125"/>
  <c r="GJ62" i="121"/>
  <c r="AZ35" i="123"/>
  <c r="CB36" i="120"/>
  <c r="CH36" i="120" s="1"/>
  <c r="CH35" i="120"/>
  <c r="AL238" i="120"/>
  <c r="AF270" i="120"/>
  <c r="AL270" i="120" s="1"/>
  <c r="AE14" i="61"/>
  <c r="AF14" i="61" s="1"/>
  <c r="AF16" i="61"/>
  <c r="EJ48" i="123"/>
  <c r="Y39" i="126"/>
  <c r="FZ48" i="123"/>
  <c r="BX78" i="7"/>
  <c r="BX65" i="7"/>
  <c r="BN22" i="122"/>
  <c r="AP151" i="122"/>
  <c r="AO22" i="122"/>
  <c r="BE22" i="122"/>
  <c r="FZ61" i="121"/>
  <c r="X46" i="125"/>
  <c r="EJ61" i="121"/>
  <c r="CB200" i="120"/>
  <c r="CH200" i="120" s="1"/>
  <c r="CH55" i="120"/>
  <c r="BB64" i="6"/>
  <c r="BH64" i="6"/>
  <c r="BJ65" i="6"/>
  <c r="CS160" i="7"/>
  <c r="CS161" i="7" s="1"/>
  <c r="CS158" i="7"/>
  <c r="M43" i="125"/>
  <c r="AM58" i="121"/>
  <c r="D17" i="129"/>
  <c r="D22" i="129" s="1"/>
  <c r="CB48" i="122"/>
  <c r="CH48" i="122" s="1"/>
  <c r="CH47" i="122"/>
  <c r="N12" i="64"/>
  <c r="I11" i="64"/>
  <c r="H10" i="64"/>
  <c r="H23" i="64"/>
  <c r="AG14" i="64"/>
  <c r="AH16" i="64"/>
  <c r="AO16" i="64"/>
  <c r="AM16" i="64"/>
  <c r="U111" i="7"/>
  <c r="D48" i="122"/>
  <c r="S47" i="122"/>
  <c r="AH47" i="122" s="1"/>
  <c r="D157" i="122"/>
  <c r="D40" i="122"/>
  <c r="AN35" i="65"/>
  <c r="BM77" i="122"/>
  <c r="CL77" i="122" s="1"/>
  <c r="B219" i="120"/>
  <c r="AF154" i="120"/>
  <c r="AG220" i="120"/>
  <c r="AM220" i="120" s="1"/>
  <c r="AM154" i="120"/>
  <c r="AP154" i="120"/>
  <c r="BE154" i="120" s="1"/>
  <c r="CW58" i="7"/>
  <c r="CH58" i="7"/>
  <c r="CH145" i="7" s="1"/>
  <c r="CH150" i="7" s="1"/>
  <c r="BX145" i="7"/>
  <c r="AF119" i="122"/>
  <c r="AG172" i="122"/>
  <c r="AM172" i="122" s="1"/>
  <c r="AM119" i="122"/>
  <c r="AP119" i="122"/>
  <c r="BE119" i="122" s="1"/>
  <c r="AK110" i="8"/>
  <c r="M73" i="56"/>
  <c r="H10" i="56"/>
  <c r="H9" i="56" s="1"/>
  <c r="M9" i="56"/>
  <c r="X18" i="95"/>
  <c r="X28" i="95" s="1"/>
  <c r="X47" i="95" s="1"/>
  <c r="X51" i="95"/>
  <c r="BZ176" i="7"/>
  <c r="T33" i="125"/>
  <c r="CM48" i="121"/>
  <c r="F48" i="65"/>
  <c r="I39" i="65"/>
  <c r="F43" i="65"/>
  <c r="K39" i="65"/>
  <c r="AF152" i="120"/>
  <c r="AG218" i="120"/>
  <c r="AM218" i="120" s="1"/>
  <c r="AM152" i="120"/>
  <c r="AP152" i="120"/>
  <c r="BE152" i="120" s="1"/>
  <c r="M42" i="125"/>
  <c r="AM57" i="121"/>
  <c r="DB125" i="8"/>
  <c r="AT11" i="65"/>
  <c r="AT10" i="65" s="1"/>
  <c r="AT9" i="65" s="1"/>
  <c r="AT35" i="65" s="1"/>
  <c r="AT38" i="65" s="1"/>
  <c r="BG57" i="121"/>
  <c r="BP57" i="121" s="1"/>
  <c r="BQ57" i="121"/>
  <c r="CC57" i="121" s="1"/>
  <c r="CL107" i="120"/>
  <c r="T53" i="121"/>
  <c r="AD53" i="121"/>
  <c r="CY93" i="8"/>
  <c r="CY51" i="8"/>
  <c r="CY53" i="8" s="1"/>
  <c r="FW49" i="123"/>
  <c r="AB40" i="126"/>
  <c r="FZ49" i="123"/>
  <c r="BN205" i="120"/>
  <c r="EN57" i="121" s="1"/>
  <c r="BD205" i="120"/>
  <c r="BJ205" i="120" s="1"/>
  <c r="BD238" i="120"/>
  <c r="BJ38" i="120"/>
  <c r="BD75" i="6"/>
  <c r="BE75" i="6" s="1"/>
  <c r="BA74" i="6"/>
  <c r="AJ71" i="8"/>
  <c r="AW71" i="8"/>
  <c r="BA71" i="8"/>
  <c r="AL85" i="7"/>
  <c r="AM80" i="7"/>
  <c r="BA80" i="7"/>
  <c r="R171" i="122"/>
  <c r="AP55" i="123" s="1"/>
  <c r="Q118" i="122"/>
  <c r="Q171" i="122" s="1"/>
  <c r="CB40" i="122"/>
  <c r="CH40" i="122" s="1"/>
  <c r="CJ29" i="120"/>
  <c r="BC35" i="61"/>
  <c r="AM155" i="7"/>
  <c r="BA155" i="7"/>
  <c r="CL103" i="120"/>
  <c r="BM98" i="122"/>
  <c r="AO56" i="121"/>
  <c r="AY56" i="121"/>
  <c r="BJ37" i="120"/>
  <c r="B57" i="123"/>
  <c r="L57" i="123"/>
  <c r="CC27" i="122"/>
  <c r="DA90" i="8"/>
  <c r="CZ14" i="8"/>
  <c r="CZ90" i="8" s="1"/>
  <c r="V19" i="56"/>
  <c r="V39" i="56"/>
  <c r="EJ50" i="123"/>
  <c r="Y41" i="126"/>
  <c r="FZ50" i="123"/>
  <c r="BZ157" i="7"/>
  <c r="BZ155" i="7"/>
  <c r="BQ58" i="121"/>
  <c r="CC58" i="121" s="1"/>
  <c r="BH115" i="6"/>
  <c r="BG115" i="6"/>
  <c r="BB115" i="6"/>
  <c r="BC115" i="6"/>
  <c r="BF115" i="6"/>
  <c r="CK14" i="8"/>
  <c r="CK8" i="8" s="1"/>
  <c r="AE12" i="64"/>
  <c r="CA176" i="7"/>
  <c r="L59" i="56"/>
  <c r="CB104" i="120"/>
  <c r="CC105" i="120"/>
  <c r="CI105" i="120" s="1"/>
  <c r="C104" i="120"/>
  <c r="CI104" i="120"/>
  <c r="AA36" i="125"/>
  <c r="FW51" i="121"/>
  <c r="AE34" i="125"/>
  <c r="GJ49" i="121"/>
  <c r="BD158" i="7"/>
  <c r="BD160" i="7"/>
  <c r="BD161" i="7" s="1"/>
  <c r="AF14" i="64"/>
  <c r="FX50" i="123"/>
  <c r="AC41" i="126"/>
  <c r="EM58" i="121"/>
  <c r="EW58" i="121"/>
  <c r="CL46" i="8"/>
  <c r="BT94" i="8"/>
  <c r="AF151" i="122"/>
  <c r="AL22" i="122"/>
  <c r="CM25" i="8"/>
  <c r="CM24" i="8" s="1"/>
  <c r="CL25" i="8"/>
  <c r="CL24" i="8" s="1"/>
  <c r="CL17" i="8" s="1"/>
  <c r="CL51" i="8" s="1"/>
  <c r="CL53" i="8" s="1"/>
  <c r="CK24" i="8"/>
  <c r="CK17" i="8" s="1"/>
  <c r="BC64" i="6"/>
  <c r="CF17" i="7"/>
  <c r="CW57" i="121"/>
  <c r="DG57" i="121"/>
  <c r="AP208" i="120"/>
  <c r="CO60" i="121" s="1"/>
  <c r="CO56" i="121"/>
  <c r="CR157" i="7"/>
  <c r="CR155" i="7"/>
  <c r="L43" i="125"/>
  <c r="AL58" i="121"/>
  <c r="CB58" i="121"/>
  <c r="B47" i="122"/>
  <c r="C48" i="122"/>
  <c r="R47" i="122"/>
  <c r="C40" i="122"/>
  <c r="M10" i="64"/>
  <c r="M32" i="64" s="1"/>
  <c r="M23" i="64"/>
  <c r="CN53" i="121"/>
  <c r="CX53" i="121"/>
  <c r="FG48" i="121"/>
  <c r="CD158" i="122"/>
  <c r="CJ158" i="122" s="1"/>
  <c r="CJ157" i="122"/>
  <c r="CD177" i="122"/>
  <c r="FZ49" i="121"/>
  <c r="X34" i="125"/>
  <c r="EJ49" i="121"/>
  <c r="R219" i="120"/>
  <c r="AP71" i="121" s="1"/>
  <c r="Q153" i="120"/>
  <c r="Q219" i="120" s="1"/>
  <c r="B72" i="121"/>
  <c r="L72" i="121"/>
  <c r="B172" i="122"/>
  <c r="CP35" i="123"/>
  <c r="H83" i="56"/>
  <c r="M82" i="56"/>
  <c r="V122" i="56" s="1"/>
  <c r="Y15" i="95"/>
  <c r="Y20" i="95" s="1"/>
  <c r="Y30" i="95" s="1"/>
  <c r="Y49" i="95" s="1"/>
  <c r="AD13" i="61" s="1"/>
  <c r="Y8" i="95"/>
  <c r="Y13" i="95" s="1"/>
  <c r="B70" i="121"/>
  <c r="L70" i="121"/>
  <c r="AF51" i="126"/>
  <c r="GJ60" i="123"/>
  <c r="BQ40" i="123"/>
  <c r="BF100" i="6"/>
  <c r="BI101" i="6"/>
  <c r="AC57" i="121"/>
  <c r="AP35" i="123"/>
  <c r="BA113" i="6"/>
  <c r="BF114" i="6"/>
  <c r="BH114" i="6"/>
  <c r="BC114" i="6"/>
  <c r="BC113" i="6" s="1"/>
  <c r="BB114" i="6"/>
  <c r="BG114" i="6"/>
  <c r="AS80" i="7"/>
  <c r="CM107" i="120"/>
  <c r="AD60" i="121"/>
  <c r="CW93" i="8"/>
  <c r="CW99" i="8" s="1"/>
  <c r="CW101" i="8" s="1"/>
  <c r="CW51" i="8"/>
  <c r="CW53" i="8" s="1"/>
  <c r="K10" i="61"/>
  <c r="M112" i="56"/>
  <c r="M49" i="56"/>
  <c r="V49" i="56" s="1"/>
  <c r="AL37" i="64"/>
  <c r="BN238" i="120"/>
  <c r="BN270" i="120" s="1"/>
  <c r="BI75" i="6"/>
  <c r="BJ75" i="6"/>
  <c r="BH74" i="6"/>
  <c r="AL82" i="7"/>
  <c r="CC117" i="122"/>
  <c r="DE49" i="19"/>
  <c r="AG118" i="122"/>
  <c r="EJ39" i="123"/>
  <c r="Y30" i="126"/>
  <c r="FZ39" i="123"/>
  <c r="S35" i="120"/>
  <c r="D36" i="120"/>
  <c r="D29" i="120"/>
  <c r="DQ48" i="121"/>
  <c r="Z39" i="126"/>
  <c r="EK48" i="123"/>
  <c r="GA48" i="123"/>
  <c r="W52" i="95"/>
  <c r="AG120" i="122"/>
  <c r="DA8" i="8"/>
  <c r="BE26" i="122"/>
  <c r="L20" i="105"/>
  <c r="L6" i="105"/>
  <c r="L15" i="105"/>
  <c r="L14" i="105" s="1"/>
  <c r="BN99" i="122"/>
  <c r="BN94" i="122" s="1"/>
  <c r="BM94" i="122" s="1"/>
  <c r="CL94" i="122" s="1"/>
  <c r="AO99" i="122"/>
  <c r="AO100" i="122" s="1"/>
  <c r="AP100" i="122"/>
  <c r="BE99" i="122"/>
  <c r="BJ59" i="120"/>
  <c r="BD201" i="120"/>
  <c r="BJ201" i="120" s="1"/>
  <c r="BL151" i="122"/>
  <c r="V34" i="126"/>
  <c r="DX43" i="123"/>
  <c r="EA43" i="123"/>
  <c r="GE69" i="123"/>
  <c r="GA47" i="123"/>
  <c r="Z38" i="126"/>
  <c r="EK47" i="123"/>
  <c r="AC38" i="126"/>
  <c r="FX47" i="123"/>
  <c r="AE38" i="126"/>
  <c r="GI47" i="123"/>
  <c r="AD34" i="126"/>
  <c r="FY43" i="123"/>
  <c r="AC34" i="126"/>
  <c r="FX43" i="123"/>
  <c r="AG38" i="126"/>
  <c r="GK47" i="123"/>
  <c r="FN43" i="123"/>
  <c r="GA43" i="123"/>
  <c r="AA34" i="126"/>
  <c r="GB43" i="123"/>
  <c r="EL43" i="123"/>
  <c r="GC69" i="123"/>
  <c r="GD84" i="121"/>
  <c r="GC83" i="121"/>
  <c r="ED84" i="121"/>
  <c r="DO58" i="121" l="1"/>
  <c r="EW38" i="123"/>
  <c r="EM38" i="123"/>
  <c r="CW38" i="123"/>
  <c r="DO38" i="123" s="1"/>
  <c r="DG38" i="123"/>
  <c r="DF38" i="123" s="1"/>
  <c r="DP38" i="123"/>
  <c r="BD154" i="122"/>
  <c r="BJ154" i="122" s="1"/>
  <c r="BJ42" i="122"/>
  <c r="BD115" i="6"/>
  <c r="BE115" i="6" s="1"/>
  <c r="BZ38" i="123"/>
  <c r="Q29" i="126"/>
  <c r="CX107" i="8"/>
  <c r="CX109" i="8"/>
  <c r="CX110" i="8" s="1"/>
  <c r="T29" i="126"/>
  <c r="CL38" i="123"/>
  <c r="P29" i="126"/>
  <c r="BY38" i="123"/>
  <c r="CB38" i="123"/>
  <c r="P10" i="66"/>
  <c r="P23" i="66"/>
  <c r="AZ110" i="8"/>
  <c r="L113" i="56"/>
  <c r="L112" i="56" s="1"/>
  <c r="N39" i="66"/>
  <c r="N42" i="66" s="1"/>
  <c r="I46" i="66"/>
  <c r="J42" i="66"/>
  <c r="J40" i="66"/>
  <c r="J43" i="66" s="1"/>
  <c r="K43" i="66"/>
  <c r="O39" i="66"/>
  <c r="O40" i="66" s="1"/>
  <c r="K46" i="66"/>
  <c r="G123" i="56"/>
  <c r="G122" i="56" s="1"/>
  <c r="Q122" i="56" s="1"/>
  <c r="L122" i="56"/>
  <c r="BB113" i="6"/>
  <c r="BB123" i="6" s="1"/>
  <c r="BB124" i="6" s="1"/>
  <c r="AZ123" i="6"/>
  <c r="I43" i="66"/>
  <c r="F48" i="66"/>
  <c r="K45" i="66"/>
  <c r="K48" i="66" s="1"/>
  <c r="F47" i="66"/>
  <c r="I45" i="66"/>
  <c r="BI115" i="6"/>
  <c r="BJ76" i="6"/>
  <c r="N23" i="66"/>
  <c r="N10" i="66"/>
  <c r="N38" i="66" s="1"/>
  <c r="K113" i="56"/>
  <c r="K112" i="56" s="1"/>
  <c r="T112" i="56" s="1"/>
  <c r="P112" i="56"/>
  <c r="X112" i="56" s="1"/>
  <c r="P35" i="61"/>
  <c r="P38" i="61" s="1"/>
  <c r="X52" i="95"/>
  <c r="CG17" i="7"/>
  <c r="FE64" i="123"/>
  <c r="FN64" i="123" s="1"/>
  <c r="FO64" i="123"/>
  <c r="BD76" i="6"/>
  <c r="BE76" i="6" s="1"/>
  <c r="BI74" i="6"/>
  <c r="AC60" i="121"/>
  <c r="AL60" i="121" s="1"/>
  <c r="BJ100" i="6"/>
  <c r="BZ49" i="19"/>
  <c r="AC46" i="61"/>
  <c r="AB52" i="61"/>
  <c r="AB53" i="61" s="1"/>
  <c r="AB48" i="61"/>
  <c r="S42" i="125"/>
  <c r="CL57" i="121"/>
  <c r="L45" i="125"/>
  <c r="S43" i="125"/>
  <c r="CL58" i="121"/>
  <c r="BE218" i="120"/>
  <c r="BK218" i="120" s="1"/>
  <c r="BD152" i="120"/>
  <c r="BK152" i="120"/>
  <c r="BE220" i="120"/>
  <c r="BK220" i="120" s="1"/>
  <c r="BD154" i="120"/>
  <c r="BK154" i="120"/>
  <c r="BY155" i="7"/>
  <c r="BY157" i="7"/>
  <c r="BE172" i="122"/>
  <c r="BK172" i="122" s="1"/>
  <c r="BD119" i="122"/>
  <c r="BK119" i="122"/>
  <c r="AH48" i="122"/>
  <c r="AN48" i="122" s="1"/>
  <c r="AN47" i="122"/>
  <c r="AH157" i="122"/>
  <c r="AQ47" i="122"/>
  <c r="BF47" i="122" s="1"/>
  <c r="CH154" i="7"/>
  <c r="CH152" i="7"/>
  <c r="AF39" i="126"/>
  <c r="GJ48" i="123"/>
  <c r="S36" i="120"/>
  <c r="S29" i="120"/>
  <c r="L26" i="105"/>
  <c r="L19" i="105"/>
  <c r="W33" i="125"/>
  <c r="DZ48" i="121"/>
  <c r="AE30" i="126"/>
  <c r="GI39" i="123"/>
  <c r="BJ74" i="6"/>
  <c r="BD113" i="6"/>
  <c r="BE113" i="6" s="1"/>
  <c r="L42" i="125"/>
  <c r="CB57" i="121"/>
  <c r="AL57" i="121"/>
  <c r="BE156" i="122"/>
  <c r="BK26" i="122"/>
  <c r="BD26" i="122"/>
  <c r="CB117" i="122"/>
  <c r="CC170" i="122"/>
  <c r="CI170" i="122" s="1"/>
  <c r="C117" i="122"/>
  <c r="CI117" i="122"/>
  <c r="BD114" i="6"/>
  <c r="BE114" i="6" s="1"/>
  <c r="R43" i="125"/>
  <c r="EA58" i="121"/>
  <c r="CK58" i="121"/>
  <c r="CR158" i="7"/>
  <c r="CR160" i="7"/>
  <c r="CR161" i="7" s="1"/>
  <c r="AL151" i="122"/>
  <c r="CB105" i="120"/>
  <c r="CH105" i="120" s="1"/>
  <c r="CH104" i="120"/>
  <c r="U57" i="123"/>
  <c r="K57" i="123"/>
  <c r="AY55" i="123"/>
  <c r="AO55" i="123"/>
  <c r="J9" i="56"/>
  <c r="I11" i="56"/>
  <c r="G11" i="56" s="1"/>
  <c r="N11" i="56" s="1"/>
  <c r="L11" i="56" s="1"/>
  <c r="R9" i="56"/>
  <c r="BX150" i="7"/>
  <c r="BX168" i="7"/>
  <c r="BM99" i="122"/>
  <c r="BM100" i="122" s="1"/>
  <c r="CL100" i="122" s="1"/>
  <c r="BN100" i="122"/>
  <c r="CC21" i="122"/>
  <c r="CL98" i="122"/>
  <c r="BG113" i="6"/>
  <c r="BG123" i="6" s="1"/>
  <c r="BG124" i="6" s="1"/>
  <c r="BJ114" i="6"/>
  <c r="BH113" i="6"/>
  <c r="AO35" i="123"/>
  <c r="AY35" i="123"/>
  <c r="BI100" i="6"/>
  <c r="K70" i="121"/>
  <c r="U70" i="121"/>
  <c r="Y51" i="95"/>
  <c r="Y18" i="95"/>
  <c r="Y28" i="95" s="1"/>
  <c r="Y47" i="95" s="1"/>
  <c r="K72" i="121"/>
  <c r="U72" i="121"/>
  <c r="AD34" i="125"/>
  <c r="GI49" i="121"/>
  <c r="FP48" i="121"/>
  <c r="AG47" i="122"/>
  <c r="R48" i="122"/>
  <c r="Q47" i="122"/>
  <c r="Q48" i="122" s="1"/>
  <c r="R40" i="122"/>
  <c r="CN56" i="121"/>
  <c r="CX56" i="121"/>
  <c r="CM90" i="8"/>
  <c r="CM17" i="8"/>
  <c r="CM51" i="8" s="1"/>
  <c r="CM53" i="8" s="1"/>
  <c r="BT117" i="8"/>
  <c r="BT99" i="8"/>
  <c r="C105" i="120"/>
  <c r="R104" i="120"/>
  <c r="AG104" i="120" s="1"/>
  <c r="C99" i="120"/>
  <c r="CK90" i="8"/>
  <c r="BJ115" i="6"/>
  <c r="GI49" i="123"/>
  <c r="AE40" i="126"/>
  <c r="AL16" i="66"/>
  <c r="CY121" i="8"/>
  <c r="CY125" i="8" s="1"/>
  <c r="CY99" i="8"/>
  <c r="O42" i="125"/>
  <c r="BY57" i="121"/>
  <c r="H73" i="56"/>
  <c r="H72" i="56" s="1"/>
  <c r="M72" i="56"/>
  <c r="AN38" i="65"/>
  <c r="P12" i="64"/>
  <c r="P11" i="64" s="1"/>
  <c r="N11" i="64"/>
  <c r="BE151" i="122"/>
  <c r="BK22" i="122"/>
  <c r="BD22" i="122"/>
  <c r="BN151" i="122"/>
  <c r="BM22" i="122"/>
  <c r="BM151" i="122" s="1"/>
  <c r="CD105" i="120"/>
  <c r="CJ105" i="120" s="1"/>
  <c r="D104" i="120"/>
  <c r="B104" i="120" s="1"/>
  <c r="CJ104" i="120"/>
  <c r="CD202" i="120"/>
  <c r="E39" i="56"/>
  <c r="J20" i="56"/>
  <c r="O20" i="56" s="1"/>
  <c r="O19" i="56" s="1"/>
  <c r="E59" i="56"/>
  <c r="CC151" i="120"/>
  <c r="DD49" i="19"/>
  <c r="K55" i="123"/>
  <c r="U55" i="123"/>
  <c r="BM106" i="120"/>
  <c r="BP40" i="123"/>
  <c r="BW82" i="7"/>
  <c r="BV78" i="7"/>
  <c r="BW80" i="7"/>
  <c r="AY72" i="121"/>
  <c r="AO72" i="121"/>
  <c r="CL59" i="120"/>
  <c r="Q62" i="120"/>
  <c r="AG9" i="65"/>
  <c r="CJ99" i="120"/>
  <c r="CB99" i="120"/>
  <c r="CH99" i="120" s="1"/>
  <c r="BD106" i="120"/>
  <c r="BK106" i="120"/>
  <c r="BE204" i="120"/>
  <c r="BN204" i="120"/>
  <c r="CM106" i="120"/>
  <c r="CB79" i="122"/>
  <c r="CH79" i="122" s="1"/>
  <c r="CH78" i="122"/>
  <c r="CH63" i="7"/>
  <c r="CH65" i="7" s="1"/>
  <c r="BD64" i="6"/>
  <c r="BE64" i="6" s="1"/>
  <c r="B200" i="120"/>
  <c r="FW48" i="123"/>
  <c r="AB39" i="126"/>
  <c r="BU68" i="8"/>
  <c r="BU53" i="8"/>
  <c r="BU70" i="8"/>
  <c r="BU71" i="8" s="1"/>
  <c r="AM156" i="7"/>
  <c r="BA156" i="7"/>
  <c r="AL157" i="7"/>
  <c r="R36" i="120"/>
  <c r="Q35" i="120"/>
  <c r="R29" i="120"/>
  <c r="C48" i="121"/>
  <c r="Q54" i="120"/>
  <c r="Q196" i="120" s="1"/>
  <c r="R196" i="120"/>
  <c r="CH168" i="7"/>
  <c r="AP65" i="120"/>
  <c r="BN64" i="120"/>
  <c r="AO64" i="120"/>
  <c r="AO65" i="120" s="1"/>
  <c r="AP62" i="120"/>
  <c r="AF120" i="122"/>
  <c r="AG173" i="122"/>
  <c r="AM173" i="122" s="1"/>
  <c r="AM120" i="122"/>
  <c r="AP120" i="122"/>
  <c r="BE120" i="122" s="1"/>
  <c r="AG171" i="122"/>
  <c r="AM171" i="122" s="1"/>
  <c r="AM118" i="122"/>
  <c r="AF118" i="122"/>
  <c r="AP118" i="122"/>
  <c r="BE118" i="122" s="1"/>
  <c r="L20" i="56"/>
  <c r="AM82" i="7"/>
  <c r="BA82" i="7"/>
  <c r="V112" i="56"/>
  <c r="BI114" i="6"/>
  <c r="BF113" i="6"/>
  <c r="BZ40" i="123"/>
  <c r="Q31" i="126"/>
  <c r="CY35" i="123"/>
  <c r="AY71" i="121"/>
  <c r="AO71" i="121"/>
  <c r="CD179" i="122"/>
  <c r="CJ179" i="122" s="1"/>
  <c r="CJ177" i="122"/>
  <c r="CN60" i="121"/>
  <c r="CX60" i="121"/>
  <c r="BC123" i="6"/>
  <c r="BC124" i="6" s="1"/>
  <c r="CK46" i="8"/>
  <c r="CK51" i="8" s="1"/>
  <c r="CK53" i="8" s="1"/>
  <c r="CL94" i="8"/>
  <c r="P43" i="125"/>
  <c r="BZ58" i="121"/>
  <c r="AE41" i="126"/>
  <c r="GI50" i="123"/>
  <c r="C27" i="122"/>
  <c r="CC28" i="122"/>
  <c r="CI28" i="122" s="1"/>
  <c r="CB27" i="122"/>
  <c r="CC157" i="122"/>
  <c r="CI27" i="122"/>
  <c r="CM21" i="122"/>
  <c r="BJ238" i="120"/>
  <c r="BD270" i="120"/>
  <c r="BJ270" i="120" s="1"/>
  <c r="M38" i="125"/>
  <c r="AM53" i="121"/>
  <c r="I42" i="65"/>
  <c r="I48" i="65"/>
  <c r="I40" i="65"/>
  <c r="CD149" i="120"/>
  <c r="CW145" i="7"/>
  <c r="CW150" i="7" s="1"/>
  <c r="B40" i="122"/>
  <c r="D124" i="122"/>
  <c r="BI35" i="123"/>
  <c r="BR35" i="123" s="1"/>
  <c r="BI76" i="6"/>
  <c r="AY57" i="123"/>
  <c r="AO57" i="123"/>
  <c r="BX12" i="19"/>
  <c r="BX49" i="19"/>
  <c r="CB150" i="120"/>
  <c r="C150" i="120"/>
  <c r="CC216" i="120"/>
  <c r="CI216" i="120" s="1"/>
  <c r="CI150" i="120"/>
  <c r="DB106" i="8"/>
  <c r="DB104" i="8"/>
  <c r="B129" i="120"/>
  <c r="G105" i="7"/>
  <c r="H104" i="7"/>
  <c r="BW109" i="8"/>
  <c r="BW110" i="8" s="1"/>
  <c r="BV106" i="8"/>
  <c r="BW107" i="8"/>
  <c r="K71" i="121"/>
  <c r="AC71" i="121" s="1"/>
  <c r="U71" i="121"/>
  <c r="T71" i="121" s="1"/>
  <c r="CL90" i="8"/>
  <c r="CH29" i="120"/>
  <c r="CA155" i="7"/>
  <c r="CA157" i="7"/>
  <c r="AI109" i="8"/>
  <c r="AI107" i="8"/>
  <c r="L83" i="56"/>
  <c r="AJ106" i="8"/>
  <c r="AW106" i="8"/>
  <c r="BA106" i="8"/>
  <c r="CL106" i="120"/>
  <c r="I42" i="61"/>
  <c r="I40" i="61"/>
  <c r="I49" i="61" s="1"/>
  <c r="BW150" i="7"/>
  <c r="BW168" i="7"/>
  <c r="BW176" i="7" s="1"/>
  <c r="X12" i="61"/>
  <c r="R78" i="122"/>
  <c r="AG78" i="122" s="1"/>
  <c r="B78" i="122"/>
  <c r="C79" i="122"/>
  <c r="C75" i="122"/>
  <c r="AX14" i="61"/>
  <c r="AY16" i="61"/>
  <c r="BF16" i="61"/>
  <c r="BD16" i="61"/>
  <c r="CG63" i="7"/>
  <c r="CG65" i="7" s="1"/>
  <c r="R200" i="120"/>
  <c r="AP52" i="121" s="1"/>
  <c r="Q55" i="120"/>
  <c r="Q200" i="120" s="1"/>
  <c r="AF41" i="126"/>
  <c r="GJ50" i="123"/>
  <c r="BU99" i="8"/>
  <c r="BU117" i="8"/>
  <c r="AF30" i="126"/>
  <c r="F4" i="129" s="1"/>
  <c r="GJ39" i="123"/>
  <c r="AF62" i="120"/>
  <c r="AL62" i="120" s="1"/>
  <c r="BE62" i="120"/>
  <c r="AM62" i="120"/>
  <c r="B36" i="120"/>
  <c r="AD47" i="125"/>
  <c r="GI62" i="121"/>
  <c r="B196" i="120"/>
  <c r="BE219" i="120"/>
  <c r="BK219" i="120" s="1"/>
  <c r="BD153" i="120"/>
  <c r="BK153" i="120"/>
  <c r="DP58" i="121"/>
  <c r="DA46" i="8"/>
  <c r="DE66" i="19"/>
  <c r="C27" i="94"/>
  <c r="C24" i="94" s="1"/>
  <c r="X34" i="61" s="1"/>
  <c r="K35" i="61"/>
  <c r="K38" i="61" s="1"/>
  <c r="B48" i="122"/>
  <c r="DF57" i="121"/>
  <c r="DP57" i="121"/>
  <c r="FF58" i="121"/>
  <c r="FE58" i="121" s="1"/>
  <c r="EV58" i="121"/>
  <c r="U43" i="125"/>
  <c r="DX58" i="121"/>
  <c r="AL86" i="7"/>
  <c r="L10" i="56"/>
  <c r="AM85" i="7"/>
  <c r="BA85" i="7"/>
  <c r="BD74" i="6"/>
  <c r="BE74" i="6" s="1"/>
  <c r="AC53" i="121"/>
  <c r="BN152" i="120"/>
  <c r="CM152" i="120" s="1"/>
  <c r="AP218" i="120"/>
  <c r="CO70" i="121" s="1"/>
  <c r="AO152" i="120"/>
  <c r="AO218" i="120" s="1"/>
  <c r="AF218" i="120"/>
  <c r="AL218" i="120" s="1"/>
  <c r="AL152" i="120"/>
  <c r="EC48" i="121"/>
  <c r="V9" i="56"/>
  <c r="V29" i="56"/>
  <c r="BN119" i="122"/>
  <c r="AP172" i="122"/>
  <c r="CO56" i="123" s="1"/>
  <c r="AO119" i="122"/>
  <c r="AF172" i="122"/>
  <c r="AL172" i="122" s="1"/>
  <c r="AL119" i="122"/>
  <c r="BN154" i="120"/>
  <c r="AP220" i="120"/>
  <c r="CO72" i="121" s="1"/>
  <c r="AO154" i="120"/>
  <c r="AO220" i="120" s="1"/>
  <c r="AF220" i="120"/>
  <c r="AL220" i="120" s="1"/>
  <c r="AL154" i="120"/>
  <c r="D158" i="122"/>
  <c r="D41" i="123"/>
  <c r="D177" i="122"/>
  <c r="D179" i="122" s="1"/>
  <c r="H32" i="64"/>
  <c r="P32" i="64" s="1"/>
  <c r="H37" i="64"/>
  <c r="AO151" i="122"/>
  <c r="BX82" i="7"/>
  <c r="BX80" i="7"/>
  <c r="CN40" i="123"/>
  <c r="CX40" i="123"/>
  <c r="BY49" i="19"/>
  <c r="BH60" i="121"/>
  <c r="BG60" i="121" s="1"/>
  <c r="AX60" i="121"/>
  <c r="BX107" i="8"/>
  <c r="BX109" i="8"/>
  <c r="BX110" i="8" s="1"/>
  <c r="R129" i="120"/>
  <c r="Q128" i="120"/>
  <c r="Q129" i="120" s="1"/>
  <c r="R123" i="120"/>
  <c r="Q123" i="120" s="1"/>
  <c r="AY70" i="121"/>
  <c r="AO70" i="121"/>
  <c r="AE11" i="61"/>
  <c r="T110" i="7"/>
  <c r="Q92" i="7"/>
  <c r="K56" i="123"/>
  <c r="U56" i="123"/>
  <c r="T56" i="123" s="1"/>
  <c r="CU141" i="7"/>
  <c r="CU17" i="7"/>
  <c r="AE46" i="125"/>
  <c r="GJ61" i="121"/>
  <c r="C8" i="129"/>
  <c r="C5" i="129"/>
  <c r="B4" i="129"/>
  <c r="R116" i="122"/>
  <c r="AG116" i="122" s="1"/>
  <c r="B116" i="122"/>
  <c r="C169" i="122"/>
  <c r="C53" i="123" s="1"/>
  <c r="K42" i="61"/>
  <c r="EO35" i="123"/>
  <c r="CF58" i="7"/>
  <c r="CG145" i="7"/>
  <c r="CG150" i="7" s="1"/>
  <c r="K35" i="123"/>
  <c r="U35" i="123"/>
  <c r="CL99" i="122"/>
  <c r="AG55" i="120"/>
  <c r="AY13" i="61"/>
  <c r="BD13" i="61"/>
  <c r="BF13" i="61"/>
  <c r="B29" i="120"/>
  <c r="N31" i="126"/>
  <c r="AM40" i="123"/>
  <c r="CC40" i="123"/>
  <c r="AL40" i="123"/>
  <c r="M31" i="126"/>
  <c r="CB40" i="123"/>
  <c r="BD64" i="120"/>
  <c r="BE65" i="120"/>
  <c r="BK65" i="120" s="1"/>
  <c r="BK64" i="120"/>
  <c r="BD99" i="122"/>
  <c r="BE100" i="122"/>
  <c r="BK100" i="122" s="1"/>
  <c r="BK99" i="122"/>
  <c r="M45" i="125"/>
  <c r="AM60" i="121"/>
  <c r="AH35" i="120"/>
  <c r="V82" i="56"/>
  <c r="V102" i="56"/>
  <c r="DG53" i="121"/>
  <c r="CW53" i="121"/>
  <c r="FO58" i="121"/>
  <c r="AE11" i="64"/>
  <c r="BZ158" i="7"/>
  <c r="BZ160" i="7"/>
  <c r="BZ161" i="7" s="1"/>
  <c r="AX56" i="121"/>
  <c r="BH56" i="121"/>
  <c r="BC38" i="61"/>
  <c r="EM57" i="121"/>
  <c r="EW57" i="121"/>
  <c r="P42" i="125"/>
  <c r="BZ57" i="121"/>
  <c r="K42" i="65"/>
  <c r="K40" i="65"/>
  <c r="S48" i="122"/>
  <c r="S157" i="122"/>
  <c r="S40" i="122"/>
  <c r="S124" i="122" s="1"/>
  <c r="S126" i="122" s="1"/>
  <c r="AH14" i="64"/>
  <c r="AO14" i="64"/>
  <c r="AM14" i="64"/>
  <c r="I23" i="64"/>
  <c r="I10" i="64"/>
  <c r="I37" i="64" s="1"/>
  <c r="BH123" i="6"/>
  <c r="BJ64" i="6"/>
  <c r="AD46" i="125"/>
  <c r="GI61" i="121"/>
  <c r="CO35" i="123"/>
  <c r="AE39" i="126"/>
  <c r="GI48" i="123"/>
  <c r="CW168" i="7"/>
  <c r="BN156" i="122"/>
  <c r="EN40" i="123" s="1"/>
  <c r="BM26" i="122"/>
  <c r="CA12" i="19"/>
  <c r="CA49" i="19"/>
  <c r="AM83" i="7"/>
  <c r="BA83" i="7"/>
  <c r="AJ75" i="8"/>
  <c r="AW75" i="8"/>
  <c r="BA75" i="8"/>
  <c r="B123" i="120"/>
  <c r="AG123" i="120"/>
  <c r="AG128" i="120"/>
  <c r="AE10" i="66"/>
  <c r="C42" i="90"/>
  <c r="C39" i="90" s="1"/>
  <c r="P34" i="64" s="1"/>
  <c r="F37" i="64"/>
  <c r="CH196" i="120"/>
  <c r="C60" i="120"/>
  <c r="CC61" i="120"/>
  <c r="CI61" i="120" s="1"/>
  <c r="CB60" i="120"/>
  <c r="CI60" i="120"/>
  <c r="CC53" i="120"/>
  <c r="CC202" i="120"/>
  <c r="CD126" i="122"/>
  <c r="CJ126" i="122" s="1"/>
  <c r="CJ124" i="122"/>
  <c r="CW63" i="7"/>
  <c r="CW65" i="7" s="1"/>
  <c r="CB169" i="122"/>
  <c r="CH169" i="122" s="1"/>
  <c r="CH116" i="122"/>
  <c r="BM204" i="120"/>
  <c r="BM208" i="120" s="1"/>
  <c r="AM94" i="122"/>
  <c r="BE94" i="122"/>
  <c r="AF94" i="122"/>
  <c r="AL94" i="122" s="1"/>
  <c r="AO56" i="123"/>
  <c r="AY56" i="123"/>
  <c r="EW53" i="121"/>
  <c r="EM53" i="121"/>
  <c r="GI60" i="123"/>
  <c r="AE51" i="126"/>
  <c r="K35" i="64"/>
  <c r="K37" i="64"/>
  <c r="BA123" i="6"/>
  <c r="B52" i="121"/>
  <c r="L52" i="121"/>
  <c r="AE35" i="123"/>
  <c r="BI64" i="6"/>
  <c r="BF123" i="6"/>
  <c r="BG53" i="121"/>
  <c r="BP53" i="121" s="1"/>
  <c r="BQ53" i="121"/>
  <c r="CC53" i="121" s="1"/>
  <c r="AF35" i="120"/>
  <c r="AG36" i="120"/>
  <c r="AM36" i="120" s="1"/>
  <c r="AM35" i="120"/>
  <c r="AG29" i="120"/>
  <c r="AP35" i="120"/>
  <c r="BE35" i="120" s="1"/>
  <c r="K33" i="105"/>
  <c r="K25" i="105"/>
  <c r="T56" i="121"/>
  <c r="AD56" i="121"/>
  <c r="CZ8" i="8"/>
  <c r="AF54" i="120"/>
  <c r="AM54" i="120"/>
  <c r="AG196" i="120"/>
  <c r="AP54" i="120"/>
  <c r="BE54" i="120" s="1"/>
  <c r="BN153" i="120"/>
  <c r="CM153" i="120" s="1"/>
  <c r="AP219" i="120"/>
  <c r="CO71" i="121" s="1"/>
  <c r="AO153" i="120"/>
  <c r="AF219" i="120"/>
  <c r="AL219" i="120" s="1"/>
  <c r="AL153" i="120"/>
  <c r="AF65" i="120"/>
  <c r="AL65" i="120" s="1"/>
  <c r="AL64" i="120"/>
  <c r="AF34" i="126"/>
  <c r="GJ43" i="123"/>
  <c r="AB34" i="126"/>
  <c r="FW43" i="123"/>
  <c r="FZ43" i="123"/>
  <c r="Y34" i="126"/>
  <c r="EJ43" i="123"/>
  <c r="AG34" i="126"/>
  <c r="GK43" i="123"/>
  <c r="AF38" i="126"/>
  <c r="GJ47" i="123"/>
  <c r="GC84" i="121"/>
  <c r="DX38" i="123" l="1"/>
  <c r="V29" i="126"/>
  <c r="EA38" i="123"/>
  <c r="S29" i="126"/>
  <c r="CK38" i="123"/>
  <c r="EB38" i="123"/>
  <c r="W29" i="126"/>
  <c r="DY38" i="123"/>
  <c r="EV38" i="123"/>
  <c r="FN38" i="123" s="1"/>
  <c r="FF38" i="123"/>
  <c r="FE38" i="123" s="1"/>
  <c r="FO38" i="123"/>
  <c r="FN58" i="121"/>
  <c r="FW58" i="121" s="1"/>
  <c r="BP60" i="121"/>
  <c r="BY60" i="121" s="1"/>
  <c r="BI12" i="61"/>
  <c r="BI11" i="61" s="1"/>
  <c r="BI23" i="61" s="1"/>
  <c r="K47" i="66"/>
  <c r="O46" i="66"/>
  <c r="O43" i="66"/>
  <c r="N45" i="66"/>
  <c r="I47" i="66"/>
  <c r="P38" i="66"/>
  <c r="P39" i="66" s="1"/>
  <c r="P40" i="66" s="1"/>
  <c r="X39" i="66" s="1"/>
  <c r="P35" i="66"/>
  <c r="N40" i="66"/>
  <c r="I48" i="66"/>
  <c r="J48" i="66"/>
  <c r="GM58" i="121"/>
  <c r="FW64" i="123"/>
  <c r="FZ64" i="123"/>
  <c r="AB55" i="126"/>
  <c r="AC47" i="61"/>
  <c r="AC51" i="61"/>
  <c r="Y52" i="95"/>
  <c r="FX64" i="123"/>
  <c r="AC55" i="126"/>
  <c r="GA64" i="123"/>
  <c r="CW152" i="7"/>
  <c r="CW154" i="7"/>
  <c r="S38" i="125"/>
  <c r="CL53" i="121"/>
  <c r="AG169" i="122"/>
  <c r="AM169" i="122" s="1"/>
  <c r="AF116" i="122"/>
  <c r="AM116" i="122"/>
  <c r="AP116" i="122"/>
  <c r="CA35" i="123"/>
  <c r="R26" i="126"/>
  <c r="BD118" i="122"/>
  <c r="BE171" i="122"/>
  <c r="BK171" i="122" s="1"/>
  <c r="BK118" i="122"/>
  <c r="BE173" i="122"/>
  <c r="BK173" i="122" s="1"/>
  <c r="BD120" i="122"/>
  <c r="BK120" i="122"/>
  <c r="BD54" i="120"/>
  <c r="BK54" i="120"/>
  <c r="BE196" i="120"/>
  <c r="O45" i="125"/>
  <c r="CB60" i="121"/>
  <c r="AA43" i="125"/>
  <c r="P43" i="66"/>
  <c r="L56" i="125"/>
  <c r="AL71" i="121"/>
  <c r="AO219" i="120"/>
  <c r="K34" i="105"/>
  <c r="Q8" i="104" s="1"/>
  <c r="Q14" i="104" s="1"/>
  <c r="AC16" i="61" s="1"/>
  <c r="AC14" i="61" s="1"/>
  <c r="K35" i="105"/>
  <c r="Q17" i="104" s="1"/>
  <c r="Q23" i="104" s="1"/>
  <c r="AC16" i="64" s="1"/>
  <c r="AC14" i="64" s="1"/>
  <c r="AN35" i="123"/>
  <c r="O26" i="126"/>
  <c r="CD35" i="123"/>
  <c r="BH56" i="123"/>
  <c r="AX56" i="123"/>
  <c r="AN12" i="64"/>
  <c r="CW176" i="7"/>
  <c r="M41" i="125"/>
  <c r="AM56" i="121"/>
  <c r="O38" i="125"/>
  <c r="BY53" i="121"/>
  <c r="BA124" i="6"/>
  <c r="BD124" i="6" s="1"/>
  <c r="BE124" i="6" s="1"/>
  <c r="BD123" i="6"/>
  <c r="BE123" i="6" s="1"/>
  <c r="B60" i="120"/>
  <c r="AG60" i="120"/>
  <c r="C61" i="120"/>
  <c r="R60" i="120"/>
  <c r="C202" i="120"/>
  <c r="C53" i="120"/>
  <c r="AF128" i="120"/>
  <c r="AG129" i="120"/>
  <c r="AM129" i="120" s="1"/>
  <c r="AM128" i="120"/>
  <c r="AP128" i="120"/>
  <c r="BE128" i="120" s="1"/>
  <c r="EM40" i="123"/>
  <c r="EW40" i="123"/>
  <c r="P39" i="65"/>
  <c r="P40" i="65" s="1"/>
  <c r="P43" i="65" s="1"/>
  <c r="K43" i="65"/>
  <c r="Q39" i="65"/>
  <c r="O39" i="65"/>
  <c r="BD100" i="122"/>
  <c r="BJ100" i="122" s="1"/>
  <c r="BJ99" i="122"/>
  <c r="CK40" i="123"/>
  <c r="S31" i="126"/>
  <c r="BX65" i="19"/>
  <c r="CF145" i="7"/>
  <c r="CF150" i="7" s="1"/>
  <c r="CF152" i="7" s="1"/>
  <c r="BX85" i="7"/>
  <c r="BX83" i="7"/>
  <c r="BN220" i="120"/>
  <c r="EN72" i="121" s="1"/>
  <c r="BM154" i="120"/>
  <c r="CM154" i="120"/>
  <c r="Z33" i="125"/>
  <c r="GB48" i="121"/>
  <c r="EL48" i="121"/>
  <c r="CX70" i="121"/>
  <c r="CN70" i="121"/>
  <c r="BN219" i="120"/>
  <c r="EN71" i="121" s="1"/>
  <c r="BM153" i="120"/>
  <c r="BM219" i="120" s="1"/>
  <c r="AC56" i="121"/>
  <c r="AM29" i="120"/>
  <c r="BF124" i="6"/>
  <c r="BI123" i="6"/>
  <c r="AD71" i="121"/>
  <c r="K48" i="65"/>
  <c r="AD35" i="123"/>
  <c r="T35" i="123"/>
  <c r="L53" i="123"/>
  <c r="B53" i="123"/>
  <c r="U110" i="7"/>
  <c r="U112" i="7" s="1"/>
  <c r="T112" i="7"/>
  <c r="BH70" i="121"/>
  <c r="AX70" i="121"/>
  <c r="DG40" i="123"/>
  <c r="CW40" i="123"/>
  <c r="CL22" i="122"/>
  <c r="BN172" i="122"/>
  <c r="EN56" i="123" s="1"/>
  <c r="BM119" i="122"/>
  <c r="BM172" i="122" s="1"/>
  <c r="BN218" i="120"/>
  <c r="EN70" i="121" s="1"/>
  <c r="BM152" i="120"/>
  <c r="BM218" i="120" s="1"/>
  <c r="G10" i="56"/>
  <c r="G9" i="56" s="1"/>
  <c r="Q9" i="56" s="1"/>
  <c r="L9" i="56"/>
  <c r="AY14" i="61"/>
  <c r="BF14" i="61"/>
  <c r="BD14" i="61"/>
  <c r="B79" i="122"/>
  <c r="BW154" i="7"/>
  <c r="BW152" i="7"/>
  <c r="AJ109" i="8"/>
  <c r="L73" i="56"/>
  <c r="AI110" i="8"/>
  <c r="AW109" i="8"/>
  <c r="BA109" i="8"/>
  <c r="CL99" i="8"/>
  <c r="CL117" i="8"/>
  <c r="BV107" i="8"/>
  <c r="BV109" i="8"/>
  <c r="BV110" i="8" s="1"/>
  <c r="CB216" i="120"/>
  <c r="CH216" i="120" s="1"/>
  <c r="CH150" i="120"/>
  <c r="AH40" i="122"/>
  <c r="CD215" i="120"/>
  <c r="CJ215" i="120" s="1"/>
  <c r="CJ149" i="120"/>
  <c r="CD158" i="120"/>
  <c r="DG60" i="121"/>
  <c r="CW60" i="121"/>
  <c r="BI113" i="6"/>
  <c r="AO62" i="120"/>
  <c r="CH176" i="7"/>
  <c r="AG12" i="64"/>
  <c r="L48" i="121"/>
  <c r="B48" i="121"/>
  <c r="BE208" i="120"/>
  <c r="BK208" i="120" s="1"/>
  <c r="BK204" i="120"/>
  <c r="BV82" i="7"/>
  <c r="BV80" i="7"/>
  <c r="CV58" i="7"/>
  <c r="DD62" i="19"/>
  <c r="DE50" i="19" s="1"/>
  <c r="DD66" i="19"/>
  <c r="D41" i="56"/>
  <c r="E40" i="56"/>
  <c r="EN35" i="123"/>
  <c r="R105" i="120"/>
  <c r="R99" i="120"/>
  <c r="BT101" i="8"/>
  <c r="BT103" i="8"/>
  <c r="CF63" i="7"/>
  <c r="CF65" i="7" s="1"/>
  <c r="Q40" i="122"/>
  <c r="BJ113" i="6"/>
  <c r="CB21" i="122"/>
  <c r="CI21" i="122"/>
  <c r="X12" i="64"/>
  <c r="BX176" i="7"/>
  <c r="E49" i="56"/>
  <c r="J10" i="56"/>
  <c r="O10" i="56" s="1"/>
  <c r="O9" i="56" s="1"/>
  <c r="E29" i="56"/>
  <c r="AG40" i="122"/>
  <c r="CB170" i="122"/>
  <c r="CH170" i="122" s="1"/>
  <c r="CH117" i="122"/>
  <c r="BO47" i="122"/>
  <c r="AQ48" i="122"/>
  <c r="AQ157" i="122"/>
  <c r="AQ40" i="122"/>
  <c r="AQ124" i="122" s="1"/>
  <c r="AQ126" i="122" s="1"/>
  <c r="DO57" i="121"/>
  <c r="BN54" i="120"/>
  <c r="CM54" i="120" s="1"/>
  <c r="AO54" i="120"/>
  <c r="AP196" i="120"/>
  <c r="AL54" i="120"/>
  <c r="AF196" i="120"/>
  <c r="AF36" i="120"/>
  <c r="AL36" i="120" s="1"/>
  <c r="AL35" i="120"/>
  <c r="U52" i="121"/>
  <c r="T52" i="121" s="1"/>
  <c r="K52" i="121"/>
  <c r="BK94" i="122"/>
  <c r="BD94" i="122"/>
  <c r="BJ94" i="122" s="1"/>
  <c r="CC203" i="120"/>
  <c r="CI203" i="120" s="1"/>
  <c r="CI202" i="120"/>
  <c r="CB61" i="120"/>
  <c r="CH61" i="120" s="1"/>
  <c r="CH60" i="120"/>
  <c r="CB202" i="120"/>
  <c r="AF123" i="120"/>
  <c r="AL123" i="120" s="1"/>
  <c r="AM123" i="120"/>
  <c r="BI10" i="61"/>
  <c r="BI35" i="61" s="1"/>
  <c r="BI38" i="61" s="1"/>
  <c r="AQ41" i="123"/>
  <c r="S158" i="122"/>
  <c r="S177" i="122"/>
  <c r="S179" i="122" s="1"/>
  <c r="FF57" i="121"/>
  <c r="FE57" i="121" s="1"/>
  <c r="EV57" i="121"/>
  <c r="BG56" i="121"/>
  <c r="BP56" i="121" s="1"/>
  <c r="BQ56" i="121"/>
  <c r="CC56" i="121" s="1"/>
  <c r="DF53" i="121"/>
  <c r="DO53" i="121" s="1"/>
  <c r="DP53" i="121"/>
  <c r="AH36" i="120"/>
  <c r="AN36" i="120" s="1"/>
  <c r="AN35" i="120"/>
  <c r="AH29" i="120"/>
  <c r="AN29" i="120" s="1"/>
  <c r="AQ35" i="120"/>
  <c r="AG200" i="120"/>
  <c r="AM200" i="120" s="1"/>
  <c r="AF55" i="120"/>
  <c r="AM55" i="120"/>
  <c r="AP55" i="120"/>
  <c r="EX35" i="123"/>
  <c r="B169" i="122"/>
  <c r="C6" i="129"/>
  <c r="C7" i="129" s="1"/>
  <c r="C9" i="129"/>
  <c r="B5" i="129"/>
  <c r="AC56" i="123"/>
  <c r="AE23" i="61"/>
  <c r="AE10" i="61"/>
  <c r="M41" i="123"/>
  <c r="D42" i="123"/>
  <c r="D61" i="123"/>
  <c r="AM86" i="7"/>
  <c r="BA86" i="7"/>
  <c r="V43" i="125"/>
  <c r="DY58" i="121"/>
  <c r="F8" i="129"/>
  <c r="E8" i="129" s="1"/>
  <c r="F5" i="129"/>
  <c r="E4" i="129"/>
  <c r="I4" i="129" s="1"/>
  <c r="L4" i="129" s="1"/>
  <c r="B75" i="122"/>
  <c r="Q78" i="122"/>
  <c r="Q79" i="122" s="1"/>
  <c r="R79" i="122"/>
  <c r="R75" i="122"/>
  <c r="Q75" i="122" s="1"/>
  <c r="AH124" i="122"/>
  <c r="D126" i="122"/>
  <c r="N39" i="65"/>
  <c r="I43" i="65"/>
  <c r="CB157" i="122"/>
  <c r="CB28" i="122"/>
  <c r="CH28" i="122" s="1"/>
  <c r="CH27" i="122"/>
  <c r="L19" i="56"/>
  <c r="G20" i="56"/>
  <c r="G19" i="56" s="1"/>
  <c r="Q19" i="56" s="1"/>
  <c r="AP48" i="121"/>
  <c r="Q29" i="120"/>
  <c r="BW85" i="7"/>
  <c r="BW83" i="7"/>
  <c r="C151" i="120"/>
  <c r="CB151" i="120"/>
  <c r="CC217" i="120"/>
  <c r="CI217" i="120" s="1"/>
  <c r="CI151" i="120"/>
  <c r="CD203" i="120"/>
  <c r="CJ203" i="120" s="1"/>
  <c r="CJ202" i="120"/>
  <c r="BD151" i="122"/>
  <c r="BJ22" i="122"/>
  <c r="N23" i="64"/>
  <c r="N10" i="64"/>
  <c r="N37" i="64" s="1"/>
  <c r="V72" i="56"/>
  <c r="V92" i="56"/>
  <c r="CY103" i="8"/>
  <c r="CY101" i="8"/>
  <c r="Z11" i="65"/>
  <c r="BT125" i="8"/>
  <c r="CW56" i="121"/>
  <c r="DG56" i="121"/>
  <c r="DF56" i="121" s="1"/>
  <c r="AC33" i="125"/>
  <c r="FY48" i="121"/>
  <c r="T72" i="121"/>
  <c r="AC72" i="121" s="1"/>
  <c r="AD72" i="121"/>
  <c r="T70" i="121"/>
  <c r="AC70" i="121" s="1"/>
  <c r="AD70" i="121"/>
  <c r="BX152" i="7"/>
  <c r="BX154" i="7"/>
  <c r="T57" i="123"/>
  <c r="AD57" i="123"/>
  <c r="BK156" i="122"/>
  <c r="EA57" i="121"/>
  <c r="R42" i="125"/>
  <c r="CK57" i="121"/>
  <c r="AH158" i="122"/>
  <c r="AN158" i="122" s="1"/>
  <c r="AN157" i="122"/>
  <c r="AH177" i="122"/>
  <c r="AD56" i="123"/>
  <c r="AM196" i="120"/>
  <c r="P38" i="125"/>
  <c r="BZ53" i="121"/>
  <c r="FF53" i="121"/>
  <c r="EV53" i="121"/>
  <c r="AE35" i="66"/>
  <c r="CL26" i="122"/>
  <c r="BM156" i="122"/>
  <c r="CN35" i="123"/>
  <c r="CX35" i="123"/>
  <c r="BJ123" i="6"/>
  <c r="BH124" i="6"/>
  <c r="AE10" i="64"/>
  <c r="AE23" i="64"/>
  <c r="BD65" i="120"/>
  <c r="BJ65" i="120" s="1"/>
  <c r="BJ64" i="120"/>
  <c r="CG152" i="7"/>
  <c r="CG154" i="7"/>
  <c r="R169" i="122"/>
  <c r="AP53" i="123" s="1"/>
  <c r="Q116" i="122"/>
  <c r="Q169" i="122" s="1"/>
  <c r="B8" i="129"/>
  <c r="CX72" i="121"/>
  <c r="CN72" i="121"/>
  <c r="AO172" i="122"/>
  <c r="V42" i="125"/>
  <c r="DY57" i="121"/>
  <c r="M55" i="61"/>
  <c r="K40" i="61"/>
  <c r="CC115" i="122"/>
  <c r="CC124" i="122" s="1"/>
  <c r="DA94" i="8"/>
  <c r="CZ46" i="8"/>
  <c r="CZ94" i="8" s="1"/>
  <c r="CZ99" i="8" s="1"/>
  <c r="CZ101" i="8" s="1"/>
  <c r="BD62" i="120"/>
  <c r="BJ62" i="120" s="1"/>
  <c r="BK62" i="120"/>
  <c r="X12" i="66"/>
  <c r="BU125" i="8"/>
  <c r="AG79" i="122"/>
  <c r="AM79" i="122" s="1"/>
  <c r="AM78" i="122"/>
  <c r="AF78" i="122"/>
  <c r="AP78" i="122"/>
  <c r="BE12" i="61"/>
  <c r="X11" i="61"/>
  <c r="Z12" i="61"/>
  <c r="Y12" i="61"/>
  <c r="AF12" i="61"/>
  <c r="P45" i="66"/>
  <c r="P42" i="66"/>
  <c r="L82" i="56"/>
  <c r="G83" i="56"/>
  <c r="G82" i="56" s="1"/>
  <c r="Q82" i="56" s="1"/>
  <c r="CA158" i="7"/>
  <c r="CA160" i="7"/>
  <c r="CA161" i="7" s="1"/>
  <c r="CK94" i="8"/>
  <c r="CK99" i="8" s="1"/>
  <c r="CK101" i="8" s="1"/>
  <c r="BY65" i="19"/>
  <c r="BN118" i="122"/>
  <c r="AP171" i="122"/>
  <c r="CO55" i="123" s="1"/>
  <c r="AO118" i="122"/>
  <c r="BM64" i="120"/>
  <c r="BN65" i="120"/>
  <c r="CM65" i="120" s="1"/>
  <c r="BN62" i="120"/>
  <c r="CM64" i="120"/>
  <c r="AL160" i="7"/>
  <c r="AM157" i="7"/>
  <c r="AL158" i="7"/>
  <c r="BA157" i="7"/>
  <c r="CG168" i="7"/>
  <c r="CG176" i="7" s="1"/>
  <c r="BN208" i="120"/>
  <c r="EN60" i="121" s="1"/>
  <c r="EN56" i="121"/>
  <c r="BJ106" i="120"/>
  <c r="BD204" i="120"/>
  <c r="AG35" i="65"/>
  <c r="AO9" i="65"/>
  <c r="BH72" i="121"/>
  <c r="BG72" i="121" s="1"/>
  <c r="AX72" i="121"/>
  <c r="P31" i="126"/>
  <c r="BY40" i="123"/>
  <c r="T55" i="123"/>
  <c r="AD55" i="123"/>
  <c r="D61" i="56"/>
  <c r="E60" i="56"/>
  <c r="P23" i="64"/>
  <c r="P10" i="64"/>
  <c r="P35" i="64" s="1"/>
  <c r="P37" i="64" s="1"/>
  <c r="I74" i="56"/>
  <c r="G74" i="56" s="1"/>
  <c r="N74" i="56" s="1"/>
  <c r="L74" i="56" s="1"/>
  <c r="R72" i="56"/>
  <c r="J72" i="56"/>
  <c r="B105" i="120"/>
  <c r="AX35" i="123"/>
  <c r="BH35" i="123"/>
  <c r="AX55" i="123"/>
  <c r="BH55" i="123"/>
  <c r="X43" i="125"/>
  <c r="FZ58" i="121"/>
  <c r="EJ58" i="121"/>
  <c r="B117" i="122"/>
  <c r="C170" i="122"/>
  <c r="C54" i="123" s="1"/>
  <c r="R117" i="122"/>
  <c r="AG117" i="122" s="1"/>
  <c r="BD172" i="122"/>
  <c r="BJ172" i="122" s="1"/>
  <c r="BJ119" i="122"/>
  <c r="BD218" i="120"/>
  <c r="BJ218" i="120" s="1"/>
  <c r="BJ152" i="120"/>
  <c r="EB58" i="121"/>
  <c r="EB57" i="121"/>
  <c r="BE36" i="120"/>
  <c r="BK36" i="120" s="1"/>
  <c r="BK35" i="120"/>
  <c r="BE29" i="120"/>
  <c r="CB53" i="120"/>
  <c r="CI53" i="120"/>
  <c r="F38" i="64"/>
  <c r="F39" i="64" s="1"/>
  <c r="CX71" i="121"/>
  <c r="CN71" i="121"/>
  <c r="BN35" i="120"/>
  <c r="AP36" i="120"/>
  <c r="AO35" i="120"/>
  <c r="AP29" i="120"/>
  <c r="CM35" i="120"/>
  <c r="AB43" i="125"/>
  <c r="FX58" i="121"/>
  <c r="T31" i="126"/>
  <c r="CL40" i="123"/>
  <c r="CN56" i="123"/>
  <c r="CX56" i="123"/>
  <c r="L38" i="125"/>
  <c r="CB53" i="121"/>
  <c r="AL53" i="121"/>
  <c r="BD219" i="120"/>
  <c r="BJ219" i="120" s="1"/>
  <c r="BJ153" i="120"/>
  <c r="BU103" i="8"/>
  <c r="BU101" i="8"/>
  <c r="AY52" i="121"/>
  <c r="AO52" i="121"/>
  <c r="I43" i="61"/>
  <c r="N39" i="61"/>
  <c r="AJ107" i="8"/>
  <c r="AW107" i="8"/>
  <c r="BA107" i="8"/>
  <c r="DB109" i="8"/>
  <c r="DB110" i="8" s="1"/>
  <c r="DB107" i="8"/>
  <c r="C216" i="120"/>
  <c r="C68" i="121" s="1"/>
  <c r="R150" i="120"/>
  <c r="B150" i="120"/>
  <c r="AX57" i="123"/>
  <c r="BH57" i="123"/>
  <c r="CC158" i="122"/>
  <c r="CI158" i="122" s="1"/>
  <c r="CI157" i="122"/>
  <c r="R27" i="122"/>
  <c r="B27" i="122"/>
  <c r="C28" i="122"/>
  <c r="C157" i="122"/>
  <c r="C21" i="122"/>
  <c r="BH71" i="121"/>
  <c r="AX71" i="121"/>
  <c r="DH35" i="123"/>
  <c r="AF171" i="122"/>
  <c r="AL171" i="122" s="1"/>
  <c r="AL118" i="122"/>
  <c r="AO120" i="122"/>
  <c r="BN120" i="122"/>
  <c r="AP173" i="122"/>
  <c r="CO57" i="123" s="1"/>
  <c r="AF173" i="122"/>
  <c r="AL173" i="122" s="1"/>
  <c r="AL120" i="122"/>
  <c r="Q36" i="120"/>
  <c r="AX12" i="61"/>
  <c r="S104" i="120"/>
  <c r="Q104" i="120" s="1"/>
  <c r="D105" i="120"/>
  <c r="D99" i="120"/>
  <c r="B99" i="120" s="1"/>
  <c r="D202" i="120"/>
  <c r="BK151" i="122"/>
  <c r="AL14" i="66"/>
  <c r="AM16" i="66"/>
  <c r="AG105" i="120"/>
  <c r="AM105" i="120" s="1"/>
  <c r="AM104" i="120"/>
  <c r="AP104" i="120"/>
  <c r="BE104" i="120" s="1"/>
  <c r="CM99" i="8"/>
  <c r="CM117" i="8"/>
  <c r="AF47" i="122"/>
  <c r="BE47" i="122"/>
  <c r="AG48" i="122"/>
  <c r="AM48" i="122" s="1"/>
  <c r="AM47" i="122"/>
  <c r="AP47" i="122"/>
  <c r="DA51" i="8"/>
  <c r="DA53" i="8" s="1"/>
  <c r="BD156" i="122"/>
  <c r="BJ156" i="122" s="1"/>
  <c r="BJ26" i="122"/>
  <c r="L33" i="105"/>
  <c r="L25" i="105"/>
  <c r="CH155" i="7"/>
  <c r="CH157" i="7"/>
  <c r="BF48" i="122"/>
  <c r="BL48" i="122" s="1"/>
  <c r="BL47" i="122"/>
  <c r="BF157" i="122"/>
  <c r="BY160" i="7"/>
  <c r="BY161" i="7" s="1"/>
  <c r="BY158" i="7"/>
  <c r="BQ60" i="121"/>
  <c r="BD220" i="120"/>
  <c r="BJ220" i="120" s="1"/>
  <c r="BJ154" i="120"/>
  <c r="AE34" i="126"/>
  <c r="GI43" i="123"/>
  <c r="FW38" i="123" l="1"/>
  <c r="AB29" i="126"/>
  <c r="AC52" i="121"/>
  <c r="L37" i="125" s="1"/>
  <c r="P46" i="66"/>
  <c r="GA38" i="123"/>
  <c r="AC29" i="126"/>
  <c r="FX38" i="123"/>
  <c r="Y29" i="126"/>
  <c r="FZ38" i="123"/>
  <c r="EJ38" i="123"/>
  <c r="AG75" i="122"/>
  <c r="GM57" i="121"/>
  <c r="Z29" i="126"/>
  <c r="EK38" i="123"/>
  <c r="DO56" i="121"/>
  <c r="CD224" i="120"/>
  <c r="CZ51" i="8"/>
  <c r="CZ53" i="8" s="1"/>
  <c r="AH104" i="120"/>
  <c r="AD52" i="121"/>
  <c r="N46" i="66"/>
  <c r="N47" i="66" s="1"/>
  <c r="N43" i="66"/>
  <c r="DP56" i="121"/>
  <c r="BP72" i="121"/>
  <c r="O57" i="125" s="1"/>
  <c r="DD50" i="19"/>
  <c r="GI64" i="123"/>
  <c r="AE55" i="126"/>
  <c r="CL119" i="122"/>
  <c r="GJ64" i="123"/>
  <c r="AF55" i="126"/>
  <c r="BJ124" i="6"/>
  <c r="AD46" i="61"/>
  <c r="AC52" i="61"/>
  <c r="AC53" i="61" s="1"/>
  <c r="AC48" i="61"/>
  <c r="AL52" i="121"/>
  <c r="B7" i="129"/>
  <c r="U38" i="125"/>
  <c r="DX53" i="121"/>
  <c r="BD128" i="120"/>
  <c r="BE129" i="120"/>
  <c r="BK129" i="120" s="1"/>
  <c r="BK128" i="120"/>
  <c r="Q105" i="120"/>
  <c r="CC126" i="122"/>
  <c r="CI126" i="122" s="1"/>
  <c r="CI124" i="122"/>
  <c r="S41" i="125"/>
  <c r="EB56" i="121"/>
  <c r="CL56" i="121"/>
  <c r="O41" i="125"/>
  <c r="BY56" i="121"/>
  <c r="BM120" i="122"/>
  <c r="BM173" i="122" s="1"/>
  <c r="BN173" i="122"/>
  <c r="EN57" i="123" s="1"/>
  <c r="BU104" i="8"/>
  <c r="BU106" i="8"/>
  <c r="BM62" i="120"/>
  <c r="CX55" i="123"/>
  <c r="CN55" i="123"/>
  <c r="L34" i="105"/>
  <c r="R8" i="104" s="1"/>
  <c r="R14" i="104" s="1"/>
  <c r="AD16" i="61" s="1"/>
  <c r="AD14" i="61" s="1"/>
  <c r="L35" i="105"/>
  <c r="R17" i="104" s="1"/>
  <c r="R23" i="104" s="1"/>
  <c r="AD16" i="64" s="1"/>
  <c r="AD14" i="64" s="1"/>
  <c r="CM125" i="8"/>
  <c r="AG12" i="66"/>
  <c r="BE105" i="120"/>
  <c r="BK105" i="120" s="1"/>
  <c r="BK104" i="120"/>
  <c r="AO173" i="122"/>
  <c r="CL120" i="122"/>
  <c r="DQ35" i="123"/>
  <c r="C41" i="123"/>
  <c r="C158" i="122"/>
  <c r="Q27" i="122"/>
  <c r="R157" i="122"/>
  <c r="R28" i="122"/>
  <c r="R21" i="122"/>
  <c r="BG57" i="123"/>
  <c r="BP57" i="123" s="1"/>
  <c r="BQ57" i="123"/>
  <c r="BN36" i="120"/>
  <c r="BN29" i="120"/>
  <c r="K38" i="64"/>
  <c r="I38" i="64"/>
  <c r="J38" i="64"/>
  <c r="J39" i="64" s="1"/>
  <c r="J42" i="64" s="1"/>
  <c r="F42" i="64"/>
  <c r="CH53" i="120"/>
  <c r="GA58" i="121"/>
  <c r="Y43" i="125"/>
  <c r="EK58" i="121"/>
  <c r="B170" i="122"/>
  <c r="BQ55" i="123"/>
  <c r="BG55" i="123"/>
  <c r="E112" i="56"/>
  <c r="J73" i="56"/>
  <c r="O73" i="56" s="1"/>
  <c r="O72" i="56" s="1"/>
  <c r="E92" i="56"/>
  <c r="AC55" i="123"/>
  <c r="BD208" i="120"/>
  <c r="BJ208" i="120" s="1"/>
  <c r="BJ204" i="120"/>
  <c r="AM160" i="7"/>
  <c r="AL161" i="7"/>
  <c r="BA160" i="7"/>
  <c r="BN171" i="122"/>
  <c r="EN55" i="123" s="1"/>
  <c r="BM118" i="122"/>
  <c r="BM171" i="122" s="1"/>
  <c r="U82" i="56"/>
  <c r="U102" i="56"/>
  <c r="U122" i="56"/>
  <c r="BE78" i="122"/>
  <c r="BN78" i="122"/>
  <c r="AP79" i="122"/>
  <c r="AO78" i="122"/>
  <c r="AO79" i="122" s="1"/>
  <c r="AP75" i="122"/>
  <c r="AO75" i="122" s="1"/>
  <c r="AY53" i="123"/>
  <c r="AO53" i="123"/>
  <c r="FN57" i="121"/>
  <c r="N48" i="126"/>
  <c r="AM57" i="123"/>
  <c r="CC57" i="123"/>
  <c r="CB72" i="121"/>
  <c r="L57" i="125"/>
  <c r="AL72" i="121"/>
  <c r="CD226" i="120"/>
  <c r="CJ226" i="120" s="1"/>
  <c r="CJ224" i="120"/>
  <c r="U19" i="56"/>
  <c r="U39" i="56"/>
  <c r="U59" i="56"/>
  <c r="CB158" i="122"/>
  <c r="CH158" i="122" s="1"/>
  <c r="CH157" i="122"/>
  <c r="AH126" i="122"/>
  <c r="AN126" i="122" s="1"/>
  <c r="AN124" i="122"/>
  <c r="BF124" i="122"/>
  <c r="D63" i="123"/>
  <c r="D66" i="123"/>
  <c r="B9" i="129"/>
  <c r="C13" i="129"/>
  <c r="AP200" i="120"/>
  <c r="CO52" i="121" s="1"/>
  <c r="AO55" i="120"/>
  <c r="BN55" i="120"/>
  <c r="CM55" i="120" s="1"/>
  <c r="U42" i="125"/>
  <c r="DX57" i="121"/>
  <c r="AM40" i="122"/>
  <c r="AF40" i="122"/>
  <c r="AL40" i="122" s="1"/>
  <c r="D51" i="56"/>
  <c r="E50" i="56"/>
  <c r="AG11" i="64"/>
  <c r="AM12" i="64"/>
  <c r="CL62" i="120"/>
  <c r="CD160" i="120"/>
  <c r="CJ160" i="120" s="1"/>
  <c r="CJ158" i="120"/>
  <c r="BG70" i="121"/>
  <c r="BP70" i="121" s="1"/>
  <c r="O55" i="125" s="1"/>
  <c r="BQ70" i="121"/>
  <c r="P55" i="125" s="1"/>
  <c r="M56" i="125"/>
  <c r="AM71" i="121"/>
  <c r="BI124" i="6"/>
  <c r="AF33" i="125"/>
  <c r="GK48" i="121"/>
  <c r="BM220" i="120"/>
  <c r="CL154" i="120"/>
  <c r="Q40" i="65"/>
  <c r="Q43" i="65" s="1"/>
  <c r="P50" i="66" s="1"/>
  <c r="B53" i="120"/>
  <c r="AO12" i="64"/>
  <c r="AN11" i="64"/>
  <c r="P47" i="66"/>
  <c r="BJ54" i="120"/>
  <c r="BD196" i="120"/>
  <c r="CW157" i="7"/>
  <c r="CW155" i="7"/>
  <c r="P45" i="125"/>
  <c r="BZ60" i="121"/>
  <c r="CC60" i="121"/>
  <c r="V41" i="125"/>
  <c r="DY56" i="121"/>
  <c r="AX11" i="61"/>
  <c r="AY12" i="61"/>
  <c r="BD12" i="61"/>
  <c r="B21" i="122"/>
  <c r="R38" i="125"/>
  <c r="EA53" i="121"/>
  <c r="CK53" i="121"/>
  <c r="CM36" i="120"/>
  <c r="BG35" i="123"/>
  <c r="K43" i="61"/>
  <c r="P39" i="61"/>
  <c r="O39" i="61"/>
  <c r="O40" i="61" s="1"/>
  <c r="O43" i="61" s="1"/>
  <c r="K49" i="61"/>
  <c r="CH160" i="7"/>
  <c r="CH161" i="7" s="1"/>
  <c r="CH158" i="7"/>
  <c r="BK47" i="122"/>
  <c r="BE48" i="122"/>
  <c r="BK48" i="122" s="1"/>
  <c r="BD47" i="122"/>
  <c r="CM103" i="8"/>
  <c r="CM101" i="8"/>
  <c r="AM14" i="66"/>
  <c r="AL11" i="66"/>
  <c r="D54" i="121"/>
  <c r="D203" i="120"/>
  <c r="D224" i="120"/>
  <c r="D226" i="120" s="1"/>
  <c r="AN104" i="120"/>
  <c r="AH105" i="120"/>
  <c r="AN105" i="120" s="1"/>
  <c r="AQ104" i="120"/>
  <c r="BF104" i="120" s="1"/>
  <c r="AG27" i="122"/>
  <c r="R216" i="120"/>
  <c r="AP68" i="121" s="1"/>
  <c r="Q150" i="120"/>
  <c r="Q216" i="120" s="1"/>
  <c r="N42" i="61"/>
  <c r="N40" i="61"/>
  <c r="N43" i="61" s="1"/>
  <c r="AX52" i="121"/>
  <c r="BH52" i="121"/>
  <c r="G38" i="64"/>
  <c r="F48" i="64"/>
  <c r="BK29" i="120"/>
  <c r="AG170" i="122"/>
  <c r="AM170" i="122" s="1"/>
  <c r="AF117" i="122"/>
  <c r="AM117" i="122"/>
  <c r="AP117" i="122"/>
  <c r="U41" i="125"/>
  <c r="DX56" i="121"/>
  <c r="BM65" i="120"/>
  <c r="CL65" i="120" s="1"/>
  <c r="CL64" i="120"/>
  <c r="Z11" i="61"/>
  <c r="AA12" i="61"/>
  <c r="AF79" i="122"/>
  <c r="AL79" i="122" s="1"/>
  <c r="AL78" i="122"/>
  <c r="AN12" i="66"/>
  <c r="X11" i="66"/>
  <c r="Z12" i="66"/>
  <c r="Y12" i="66"/>
  <c r="AF12" i="66"/>
  <c r="DA117" i="8"/>
  <c r="DA125" i="8" s="1"/>
  <c r="DA99" i="8"/>
  <c r="DG72" i="121"/>
  <c r="CW72" i="121"/>
  <c r="CG155" i="7"/>
  <c r="CG157" i="7"/>
  <c r="CF154" i="7"/>
  <c r="DG35" i="123"/>
  <c r="CW35" i="123"/>
  <c r="FE53" i="121"/>
  <c r="GM53" i="121" s="1"/>
  <c r="FO53" i="121"/>
  <c r="X42" i="125"/>
  <c r="FZ57" i="121"/>
  <c r="EJ57" i="121"/>
  <c r="M55" i="125"/>
  <c r="AM70" i="121"/>
  <c r="AG99" i="120"/>
  <c r="CY106" i="8"/>
  <c r="CY104" i="8"/>
  <c r="CW103" i="8"/>
  <c r="CW104" i="8" s="1"/>
  <c r="CB217" i="120"/>
  <c r="CH217" i="120" s="1"/>
  <c r="CH151" i="120"/>
  <c r="BE75" i="122"/>
  <c r="AM75" i="122"/>
  <c r="AF75" i="122"/>
  <c r="AL75" i="122" s="1"/>
  <c r="F9" i="129"/>
  <c r="F6" i="129"/>
  <c r="E5" i="129"/>
  <c r="I5" i="129" s="1"/>
  <c r="L5" i="129" s="1"/>
  <c r="AL56" i="123"/>
  <c r="M47" i="126"/>
  <c r="C10" i="129"/>
  <c r="B6" i="129"/>
  <c r="AQ36" i="120"/>
  <c r="AQ202" i="120"/>
  <c r="BO35" i="120"/>
  <c r="BM35" i="120" s="1"/>
  <c r="AQ29" i="120"/>
  <c r="CN35" i="120"/>
  <c r="BF35" i="120"/>
  <c r="P41" i="125"/>
  <c r="BZ56" i="121"/>
  <c r="CB203" i="120"/>
  <c r="CH203" i="120" s="1"/>
  <c r="CH202" i="120"/>
  <c r="CO48" i="121"/>
  <c r="BO48" i="122"/>
  <c r="BO157" i="122"/>
  <c r="BO40" i="122"/>
  <c r="BO124" i="122" s="1"/>
  <c r="BO126" i="122" s="1"/>
  <c r="AC57" i="123"/>
  <c r="CH21" i="122"/>
  <c r="BT104" i="8"/>
  <c r="BT106" i="8"/>
  <c r="BS103" i="8"/>
  <c r="BS104" i="8" s="1"/>
  <c r="EW35" i="123"/>
  <c r="EM35" i="123"/>
  <c r="BV83" i="7"/>
  <c r="BV85" i="7"/>
  <c r="BV86" i="7" s="1"/>
  <c r="AI11" i="65"/>
  <c r="CL125" i="8"/>
  <c r="AJ110" i="8"/>
  <c r="AW110" i="8"/>
  <c r="BA110" i="8"/>
  <c r="BW157" i="7"/>
  <c r="BV154" i="7"/>
  <c r="BW155" i="7"/>
  <c r="U9" i="56"/>
  <c r="U29" i="56"/>
  <c r="U49" i="56"/>
  <c r="EM70" i="121"/>
  <c r="EW70" i="121"/>
  <c r="K53" i="123"/>
  <c r="U53" i="123"/>
  <c r="N26" i="126"/>
  <c r="AM35" i="123"/>
  <c r="FN53" i="121"/>
  <c r="EM72" i="121"/>
  <c r="EW72" i="121"/>
  <c r="BW65" i="19"/>
  <c r="EV40" i="123"/>
  <c r="FF40" i="123"/>
  <c r="C203" i="120"/>
  <c r="C54" i="121"/>
  <c r="AF60" i="120"/>
  <c r="AG61" i="120"/>
  <c r="AM61" i="120" s="1"/>
  <c r="AM60" i="120"/>
  <c r="AP60" i="120"/>
  <c r="BE60" i="120" s="1"/>
  <c r="AG202" i="120"/>
  <c r="CM35" i="123"/>
  <c r="U26" i="126"/>
  <c r="EC35" i="123"/>
  <c r="X42" i="66"/>
  <c r="X45" i="66"/>
  <c r="R45" i="125"/>
  <c r="CK60" i="121"/>
  <c r="AC35" i="123"/>
  <c r="BE116" i="122"/>
  <c r="AO116" i="122"/>
  <c r="AO169" i="122" s="1"/>
  <c r="BN116" i="122"/>
  <c r="AP169" i="122"/>
  <c r="CO53" i="123" s="1"/>
  <c r="B28" i="122"/>
  <c r="B157" i="122"/>
  <c r="B216" i="120"/>
  <c r="DG71" i="121"/>
  <c r="DF71" i="121" s="1"/>
  <c r="CW71" i="121"/>
  <c r="L54" i="123"/>
  <c r="B54" i="123"/>
  <c r="EW60" i="121"/>
  <c r="EM60" i="121"/>
  <c r="BL157" i="122"/>
  <c r="BF158" i="122"/>
  <c r="BL158" i="122" s="1"/>
  <c r="BF177" i="122"/>
  <c r="BN47" i="122"/>
  <c r="AP48" i="122"/>
  <c r="AO47" i="122"/>
  <c r="AP40" i="122"/>
  <c r="AO40" i="122" s="1"/>
  <c r="AL47" i="122"/>
  <c r="AF48" i="122"/>
  <c r="AL48" i="122" s="1"/>
  <c r="AP105" i="120"/>
  <c r="AO104" i="120"/>
  <c r="AO105" i="120" s="1"/>
  <c r="BN104" i="120"/>
  <c r="AP99" i="120"/>
  <c r="AF104" i="120"/>
  <c r="D158" i="120"/>
  <c r="S105" i="120"/>
  <c r="S99" i="120"/>
  <c r="S158" i="120" s="1"/>
  <c r="S160" i="120" s="1"/>
  <c r="S202" i="120"/>
  <c r="CN57" i="123"/>
  <c r="CX57" i="123"/>
  <c r="BG71" i="121"/>
  <c r="BP71" i="121" s="1"/>
  <c r="BQ71" i="121"/>
  <c r="P56" i="125" s="1"/>
  <c r="AG150" i="120"/>
  <c r="CW56" i="123"/>
  <c r="DG56" i="123"/>
  <c r="AO36" i="120"/>
  <c r="DO71" i="121"/>
  <c r="R170" i="122"/>
  <c r="AP54" i="123" s="1"/>
  <c r="Q117" i="122"/>
  <c r="Q170" i="122" s="1"/>
  <c r="AD43" i="125"/>
  <c r="GI58" i="121"/>
  <c r="B61" i="56"/>
  <c r="C60" i="56"/>
  <c r="AG38" i="65"/>
  <c r="EW56" i="121"/>
  <c r="EM56" i="121"/>
  <c r="AM158" i="7"/>
  <c r="BA158" i="7"/>
  <c r="AO171" i="122"/>
  <c r="CL118" i="122"/>
  <c r="X10" i="61"/>
  <c r="X23" i="61"/>
  <c r="Y11" i="61"/>
  <c r="CB115" i="122"/>
  <c r="CC168" i="122"/>
  <c r="CC121" i="122"/>
  <c r="CI115" i="122"/>
  <c r="AE38" i="66"/>
  <c r="AM56" i="123"/>
  <c r="N47" i="126"/>
  <c r="CB70" i="121"/>
  <c r="L55" i="125"/>
  <c r="AL70" i="121"/>
  <c r="C217" i="120"/>
  <c r="C69" i="121" s="1"/>
  <c r="R151" i="120"/>
  <c r="AG151" i="120" s="1"/>
  <c r="B151" i="120"/>
  <c r="AY48" i="121"/>
  <c r="AO48" i="121"/>
  <c r="N42" i="65"/>
  <c r="N40" i="65"/>
  <c r="N43" i="65" s="1"/>
  <c r="I8" i="129"/>
  <c r="L8" i="129" s="1"/>
  <c r="AF11" i="61"/>
  <c r="FG35" i="123"/>
  <c r="BE55" i="120"/>
  <c r="AH202" i="120"/>
  <c r="AL196" i="120"/>
  <c r="AO196" i="120"/>
  <c r="D31" i="56"/>
  <c r="E30" i="56"/>
  <c r="Y12" i="64"/>
  <c r="X11" i="64"/>
  <c r="Z12" i="64"/>
  <c r="AF12" i="64"/>
  <c r="U48" i="121"/>
  <c r="K48" i="121"/>
  <c r="CM62" i="120"/>
  <c r="CL101" i="8"/>
  <c r="CL103" i="8"/>
  <c r="G73" i="56"/>
  <c r="G72" i="56" s="1"/>
  <c r="Q72" i="56" s="1"/>
  <c r="L72" i="56"/>
  <c r="DF40" i="123"/>
  <c r="DP40" i="123"/>
  <c r="CL152" i="120"/>
  <c r="AF29" i="120"/>
  <c r="AL29" i="120" s="1"/>
  <c r="EM71" i="121"/>
  <c r="EW71" i="121"/>
  <c r="DG70" i="121"/>
  <c r="CW70" i="121"/>
  <c r="R61" i="120"/>
  <c r="Q60" i="120"/>
  <c r="R53" i="120"/>
  <c r="AG53" i="120" s="1"/>
  <c r="R202" i="120"/>
  <c r="B61" i="120"/>
  <c r="B202" i="120"/>
  <c r="BQ56" i="123"/>
  <c r="BG56" i="123"/>
  <c r="BP56" i="123" s="1"/>
  <c r="CB56" i="123" s="1"/>
  <c r="CL153" i="120"/>
  <c r="BQ72" i="121"/>
  <c r="P57" i="125" s="1"/>
  <c r="FO57" i="121"/>
  <c r="GA57" i="121" s="1"/>
  <c r="BK196" i="120"/>
  <c r="BD173" i="122"/>
  <c r="BJ173" i="122" s="1"/>
  <c r="BJ120" i="122"/>
  <c r="BD171" i="122"/>
  <c r="BJ171" i="122" s="1"/>
  <c r="BJ118" i="122"/>
  <c r="B68" i="121"/>
  <c r="L68" i="121"/>
  <c r="Y42" i="125"/>
  <c r="EK57" i="121"/>
  <c r="CC55" i="123"/>
  <c r="N46" i="126"/>
  <c r="AM55" i="123"/>
  <c r="BF12" i="61"/>
  <c r="BE11" i="61"/>
  <c r="AE35" i="64"/>
  <c r="AH179" i="122"/>
  <c r="AN179" i="122" s="1"/>
  <c r="AN177" i="122"/>
  <c r="BX157" i="7"/>
  <c r="BX155" i="7"/>
  <c r="M57" i="125"/>
  <c r="AM72" i="121"/>
  <c r="Z10" i="65"/>
  <c r="AP11" i="65"/>
  <c r="AB11" i="65"/>
  <c r="AA11" i="65"/>
  <c r="AH11" i="65"/>
  <c r="BJ151" i="122"/>
  <c r="M42" i="123"/>
  <c r="V41" i="123"/>
  <c r="M61" i="123"/>
  <c r="AE35" i="61"/>
  <c r="AF10" i="61"/>
  <c r="AF200" i="120"/>
  <c r="AL200" i="120" s="1"/>
  <c r="AL55" i="120"/>
  <c r="V38" i="125"/>
  <c r="DY53" i="121"/>
  <c r="AZ41" i="123"/>
  <c r="AQ42" i="123"/>
  <c r="AQ61" i="123"/>
  <c r="BM54" i="120"/>
  <c r="BM196" i="120" s="1"/>
  <c r="BN196" i="120"/>
  <c r="CP41" i="123"/>
  <c r="AQ158" i="122"/>
  <c r="AQ177" i="122"/>
  <c r="AQ179" i="122" s="1"/>
  <c r="B41" i="56"/>
  <c r="C40" i="56"/>
  <c r="CC149" i="120"/>
  <c r="CV145" i="7"/>
  <c r="CV150" i="7" s="1"/>
  <c r="CU58" i="7"/>
  <c r="CV63" i="7"/>
  <c r="CV65" i="7" s="1"/>
  <c r="DF60" i="121"/>
  <c r="DO60" i="121" s="1"/>
  <c r="DP60" i="121"/>
  <c r="AN40" i="122"/>
  <c r="BF40" i="122"/>
  <c r="BL40" i="122" s="1"/>
  <c r="EW56" i="123"/>
  <c r="EM56" i="123"/>
  <c r="L41" i="125"/>
  <c r="CB56" i="121"/>
  <c r="AL56" i="121"/>
  <c r="O42" i="65"/>
  <c r="O40" i="65"/>
  <c r="O43" i="65" s="1"/>
  <c r="BN128" i="120"/>
  <c r="AO128" i="120"/>
  <c r="AP129" i="120"/>
  <c r="AP123" i="120"/>
  <c r="CM128" i="120"/>
  <c r="AF129" i="120"/>
  <c r="AL129" i="120" s="1"/>
  <c r="AL128" i="120"/>
  <c r="BQ35" i="123"/>
  <c r="AL116" i="122"/>
  <c r="AF169" i="122"/>
  <c r="AL169" i="122" s="1"/>
  <c r="EB53" i="121"/>
  <c r="M37" i="125"/>
  <c r="AM52" i="121"/>
  <c r="GI38" i="123" l="1"/>
  <c r="AE29" i="126"/>
  <c r="GJ38" i="123"/>
  <c r="AF29" i="126"/>
  <c r="N49" i="61"/>
  <c r="N48" i="66"/>
  <c r="Q48" i="65"/>
  <c r="Q99" i="120"/>
  <c r="CC70" i="121"/>
  <c r="AD47" i="61"/>
  <c r="AD51" i="61"/>
  <c r="AF53" i="120"/>
  <c r="AL53" i="120" s="1"/>
  <c r="AM53" i="120"/>
  <c r="S47" i="126"/>
  <c r="CK56" i="123"/>
  <c r="O56" i="125"/>
  <c r="CB71" i="121"/>
  <c r="BM36" i="120"/>
  <c r="CL36" i="120" s="1"/>
  <c r="CL35" i="120"/>
  <c r="Y38" i="125"/>
  <c r="GA53" i="121"/>
  <c r="EK53" i="121"/>
  <c r="AO123" i="120"/>
  <c r="BE123" i="120"/>
  <c r="U45" i="125"/>
  <c r="DX60" i="121"/>
  <c r="CC155" i="120"/>
  <c r="CB149" i="120"/>
  <c r="CC215" i="120"/>
  <c r="CI149" i="120"/>
  <c r="CC158" i="120"/>
  <c r="AZ42" i="123"/>
  <c r="BI41" i="123"/>
  <c r="AZ61" i="123"/>
  <c r="V42" i="123"/>
  <c r="V61" i="123"/>
  <c r="AE61" i="123" s="1"/>
  <c r="AQ11" i="65"/>
  <c r="AP10" i="65"/>
  <c r="FX57" i="121"/>
  <c r="AB42" i="125"/>
  <c r="Q47" i="126"/>
  <c r="BZ56" i="123"/>
  <c r="R203" i="120"/>
  <c r="AP54" i="121"/>
  <c r="W31" i="126"/>
  <c r="DY40" i="123"/>
  <c r="EB40" i="123"/>
  <c r="BD55" i="120"/>
  <c r="BE200" i="120"/>
  <c r="BK55" i="120"/>
  <c r="BH48" i="121"/>
  <c r="AX48" i="121"/>
  <c r="AG217" i="120"/>
  <c r="AM217" i="120" s="1"/>
  <c r="AF151" i="120"/>
  <c r="AM151" i="120"/>
  <c r="AP151" i="120"/>
  <c r="BE151" i="120" s="1"/>
  <c r="R55" i="125"/>
  <c r="CK70" i="121"/>
  <c r="CB168" i="122"/>
  <c r="CH115" i="122"/>
  <c r="AQ54" i="121"/>
  <c r="S203" i="120"/>
  <c r="S224" i="120"/>
  <c r="S226" i="120" s="1"/>
  <c r="B158" i="122"/>
  <c r="CX53" i="123"/>
  <c r="CN53" i="123"/>
  <c r="M26" i="126"/>
  <c r="AL35" i="123"/>
  <c r="EL35" i="123"/>
  <c r="AA26" i="126"/>
  <c r="BN60" i="120"/>
  <c r="CM60" i="120" s="1"/>
  <c r="AO60" i="120"/>
  <c r="AP61" i="120"/>
  <c r="AP53" i="120"/>
  <c r="AP202" i="120"/>
  <c r="AF61" i="120"/>
  <c r="AL61" i="120" s="1"/>
  <c r="AL60" i="120"/>
  <c r="AF202" i="120"/>
  <c r="FE40" i="123"/>
  <c r="FN40" i="123" s="1"/>
  <c r="FO40" i="123"/>
  <c r="FF70" i="121"/>
  <c r="EV70" i="121"/>
  <c r="BW158" i="7"/>
  <c r="BW160" i="7"/>
  <c r="BW161" i="7" s="1"/>
  <c r="CB124" i="122"/>
  <c r="BF36" i="120"/>
  <c r="BL36" i="120" s="1"/>
  <c r="BF202" i="120"/>
  <c r="BL35" i="120"/>
  <c r="BF29" i="120"/>
  <c r="BD35" i="120"/>
  <c r="CP54" i="121"/>
  <c r="AQ203" i="120"/>
  <c r="AQ224" i="120"/>
  <c r="AQ226" i="120" s="1"/>
  <c r="F10" i="129"/>
  <c r="E6" i="129"/>
  <c r="I6" i="129" s="1"/>
  <c r="L6" i="129" s="1"/>
  <c r="F7" i="129"/>
  <c r="BK75" i="122"/>
  <c r="BD75" i="122"/>
  <c r="BJ75" i="122" s="1"/>
  <c r="S55" i="125"/>
  <c r="CL70" i="121"/>
  <c r="AD42" i="125"/>
  <c r="GI57" i="121"/>
  <c r="CG158" i="7"/>
  <c r="CG160" i="7"/>
  <c r="CG161" i="7" s="1"/>
  <c r="DA103" i="8"/>
  <c r="DA101" i="8"/>
  <c r="Z11" i="66"/>
  <c r="AA12" i="66"/>
  <c r="H38" i="64"/>
  <c r="H39" i="64" s="1"/>
  <c r="H42" i="64" s="1"/>
  <c r="G39" i="64"/>
  <c r="G42" i="64" s="1"/>
  <c r="FZ53" i="121"/>
  <c r="X38" i="125"/>
  <c r="EJ53" i="121"/>
  <c r="BE40" i="122"/>
  <c r="C15" i="129"/>
  <c r="B13" i="129"/>
  <c r="CL57" i="123"/>
  <c r="T48" i="126"/>
  <c r="BE79" i="122"/>
  <c r="BK79" i="122" s="1"/>
  <c r="BK78" i="122"/>
  <c r="BD78" i="122"/>
  <c r="AL55" i="123"/>
  <c r="M46" i="126"/>
  <c r="I41" i="64"/>
  <c r="I39" i="64"/>
  <c r="I48" i="64" s="1"/>
  <c r="AG21" i="122"/>
  <c r="Q21" i="122"/>
  <c r="X26" i="126"/>
  <c r="DZ35" i="123"/>
  <c r="BP55" i="123"/>
  <c r="C39" i="56"/>
  <c r="B40" i="56"/>
  <c r="H40" i="56"/>
  <c r="H39" i="56" s="1"/>
  <c r="AQ66" i="123"/>
  <c r="AQ63" i="123"/>
  <c r="Z9" i="65"/>
  <c r="AA10" i="65"/>
  <c r="AH10" i="65"/>
  <c r="AE42" i="125"/>
  <c r="GJ57" i="121"/>
  <c r="B203" i="120"/>
  <c r="Q53" i="120"/>
  <c r="DO40" i="123"/>
  <c r="CL106" i="8"/>
  <c r="CK103" i="8"/>
  <c r="CK104" i="8" s="1"/>
  <c r="CL104" i="8"/>
  <c r="B217" i="120"/>
  <c r="B69" i="121"/>
  <c r="L69" i="121"/>
  <c r="C59" i="56"/>
  <c r="B60" i="56"/>
  <c r="H60" i="56"/>
  <c r="H59" i="56" s="1"/>
  <c r="AG216" i="120"/>
  <c r="AM216" i="120" s="1"/>
  <c r="AF150" i="120"/>
  <c r="AM150" i="120"/>
  <c r="AP150" i="120"/>
  <c r="AH99" i="120"/>
  <c r="BN105" i="120"/>
  <c r="BN99" i="120"/>
  <c r="BM47" i="122"/>
  <c r="BM48" i="122" s="1"/>
  <c r="BN48" i="122"/>
  <c r="BN40" i="122"/>
  <c r="BM40" i="122" s="1"/>
  <c r="CL40" i="122" s="1"/>
  <c r="BN169" i="122"/>
  <c r="EN53" i="123" s="1"/>
  <c r="BM116" i="122"/>
  <c r="AI10" i="65"/>
  <c r="AJ11" i="65"/>
  <c r="AO11" i="65"/>
  <c r="BS106" i="8"/>
  <c r="BT107" i="8"/>
  <c r="BT109" i="8"/>
  <c r="BT110" i="8" s="1"/>
  <c r="AL57" i="123"/>
  <c r="M48" i="126"/>
  <c r="CB57" i="123"/>
  <c r="F13" i="129"/>
  <c r="E9" i="129"/>
  <c r="I9" i="129" s="1"/>
  <c r="L9" i="129" s="1"/>
  <c r="CY107" i="8"/>
  <c r="CY109" i="8"/>
  <c r="CY110" i="8" s="1"/>
  <c r="CW106" i="8"/>
  <c r="Y11" i="66"/>
  <c r="X10" i="66"/>
  <c r="AF11" i="66"/>
  <c r="AB12" i="61"/>
  <c r="AA11" i="61"/>
  <c r="BE117" i="122"/>
  <c r="BN117" i="122"/>
  <c r="AP170" i="122"/>
  <c r="CO54" i="123" s="1"/>
  <c r="AO117" i="122"/>
  <c r="AO170" i="122" s="1"/>
  <c r="BG52" i="121"/>
  <c r="BP52" i="121" s="1"/>
  <c r="BQ52" i="121"/>
  <c r="AF27" i="122"/>
  <c r="AM27" i="122"/>
  <c r="AG157" i="122"/>
  <c r="AG28" i="122"/>
  <c r="AM28" i="122" s="1"/>
  <c r="AP27" i="122"/>
  <c r="BF105" i="120"/>
  <c r="BL105" i="120" s="1"/>
  <c r="BL104" i="120"/>
  <c r="D55" i="121"/>
  <c r="M54" i="121"/>
  <c r="D76" i="121"/>
  <c r="CM104" i="8"/>
  <c r="CM106" i="8"/>
  <c r="P42" i="61"/>
  <c r="P40" i="61"/>
  <c r="BP35" i="123"/>
  <c r="CB35" i="123" s="1"/>
  <c r="EB60" i="121"/>
  <c r="S45" i="125"/>
  <c r="CL60" i="121"/>
  <c r="CW160" i="7"/>
  <c r="CW161" i="7" s="1"/>
  <c r="CW158" i="7"/>
  <c r="AG23" i="64"/>
  <c r="AG10" i="64"/>
  <c r="AM11" i="64"/>
  <c r="BM55" i="120"/>
  <c r="BM200" i="120" s="1"/>
  <c r="BN200" i="120"/>
  <c r="EN52" i="121" s="1"/>
  <c r="BF126" i="122"/>
  <c r="BL126" i="122" s="1"/>
  <c r="BL124" i="122"/>
  <c r="EW55" i="123"/>
  <c r="EM55" i="123"/>
  <c r="D94" i="56"/>
  <c r="E93" i="56"/>
  <c r="K41" i="64"/>
  <c r="K39" i="64"/>
  <c r="BD104" i="120"/>
  <c r="CW55" i="123"/>
  <c r="DG55" i="123"/>
  <c r="BU109" i="8"/>
  <c r="BU110" i="8" s="1"/>
  <c r="BU107" i="8"/>
  <c r="CM99" i="120"/>
  <c r="BD129" i="120"/>
  <c r="BJ129" i="120" s="1"/>
  <c r="BJ128" i="120"/>
  <c r="AO129" i="120"/>
  <c r="CU145" i="7"/>
  <c r="CU150" i="7" s="1"/>
  <c r="CU152" i="7" s="1"/>
  <c r="CU63" i="7"/>
  <c r="CU65" i="7" s="1"/>
  <c r="CY41" i="123"/>
  <c r="CP42" i="123"/>
  <c r="CP61" i="123"/>
  <c r="AE38" i="61"/>
  <c r="BX158" i="7"/>
  <c r="BX160" i="7"/>
  <c r="BX161" i="7" s="1"/>
  <c r="AE37" i="64"/>
  <c r="Q61" i="120"/>
  <c r="Q202" i="120"/>
  <c r="DF70" i="121"/>
  <c r="DP70" i="121"/>
  <c r="EB70" i="121" s="1"/>
  <c r="Z11" i="64"/>
  <c r="AA12" i="64"/>
  <c r="B31" i="56"/>
  <c r="C30" i="56"/>
  <c r="FP35" i="123"/>
  <c r="GB35" i="123" s="1"/>
  <c r="CC56" i="123"/>
  <c r="CC174" i="122"/>
  <c r="CI174" i="122" s="1"/>
  <c r="CB121" i="122"/>
  <c r="C121" i="122"/>
  <c r="CI121" i="122"/>
  <c r="CM115" i="122"/>
  <c r="EV56" i="121"/>
  <c r="FN56" i="121" s="1"/>
  <c r="FF56" i="121"/>
  <c r="FE56" i="121" s="1"/>
  <c r="AY54" i="123"/>
  <c r="AO54" i="123"/>
  <c r="CW57" i="123"/>
  <c r="DG57" i="123"/>
  <c r="DF57" i="123" s="1"/>
  <c r="AF105" i="120"/>
  <c r="AL105" i="120" s="1"/>
  <c r="AL104" i="120"/>
  <c r="BL177" i="122"/>
  <c r="BF179" i="122"/>
  <c r="BL179" i="122" s="1"/>
  <c r="FF60" i="121"/>
  <c r="FE60" i="121" s="1"/>
  <c r="EV60" i="121"/>
  <c r="U54" i="123"/>
  <c r="T54" i="123" s="1"/>
  <c r="AC54" i="123" s="1"/>
  <c r="K54" i="123"/>
  <c r="BE61" i="120"/>
  <c r="BK61" i="120" s="1"/>
  <c r="BD60" i="120"/>
  <c r="BK60" i="120"/>
  <c r="BE202" i="120"/>
  <c r="L54" i="121"/>
  <c r="C55" i="121"/>
  <c r="B54" i="121"/>
  <c r="T53" i="123"/>
  <c r="AC53" i="123" s="1"/>
  <c r="AD53" i="123"/>
  <c r="CX48" i="121"/>
  <c r="CN48" i="121"/>
  <c r="AF99" i="120"/>
  <c r="AL99" i="120" s="1"/>
  <c r="BE99" i="120"/>
  <c r="AM99" i="120"/>
  <c r="AB38" i="125"/>
  <c r="FX53" i="121"/>
  <c r="DF35" i="123"/>
  <c r="DP35" i="123"/>
  <c r="AO12" i="66"/>
  <c r="AN11" i="66"/>
  <c r="Z23" i="61"/>
  <c r="Z10" i="61"/>
  <c r="Z35" i="61" s="1"/>
  <c r="Z38" i="61" s="1"/>
  <c r="AL10" i="66"/>
  <c r="BD48" i="122"/>
  <c r="BJ48" i="122" s="1"/>
  <c r="BJ47" i="122"/>
  <c r="AX23" i="61"/>
  <c r="AY11" i="61"/>
  <c r="AX10" i="61"/>
  <c r="BD11" i="61"/>
  <c r="BJ196" i="120"/>
  <c r="AN23" i="64"/>
  <c r="AN10" i="64"/>
  <c r="AO11" i="64"/>
  <c r="AH12" i="64"/>
  <c r="C50" i="56"/>
  <c r="B51" i="56"/>
  <c r="AO200" i="120"/>
  <c r="CL55" i="120"/>
  <c r="AX53" i="123"/>
  <c r="BP53" i="123" s="1"/>
  <c r="BH53" i="123"/>
  <c r="BG53" i="123" s="1"/>
  <c r="Q46" i="126"/>
  <c r="BZ55" i="123"/>
  <c r="CM29" i="120"/>
  <c r="Q48" i="126"/>
  <c r="BZ57" i="123"/>
  <c r="AP41" i="123"/>
  <c r="R158" i="122"/>
  <c r="C42" i="123"/>
  <c r="L41" i="123"/>
  <c r="B41" i="123"/>
  <c r="BN53" i="120"/>
  <c r="BM53" i="120" s="1"/>
  <c r="DP71" i="121"/>
  <c r="CC35" i="123"/>
  <c r="Q26" i="126"/>
  <c r="BZ35" i="123"/>
  <c r="BN129" i="120"/>
  <c r="CM129" i="120" s="1"/>
  <c r="BM128" i="120"/>
  <c r="BM129" i="120" s="1"/>
  <c r="BN123" i="120"/>
  <c r="BM123" i="120" s="1"/>
  <c r="R41" i="125"/>
  <c r="EA56" i="121"/>
  <c r="CK56" i="121"/>
  <c r="FF56" i="123"/>
  <c r="EV56" i="123"/>
  <c r="V45" i="125"/>
  <c r="DY60" i="121"/>
  <c r="CV154" i="7"/>
  <c r="CV152" i="7"/>
  <c r="EN48" i="121"/>
  <c r="M66" i="123"/>
  <c r="M63" i="123"/>
  <c r="AB10" i="65"/>
  <c r="AB9" i="65" s="1"/>
  <c r="AB35" i="65" s="1"/>
  <c r="AB38" i="65" s="1"/>
  <c r="AC11" i="65"/>
  <c r="CC72" i="121"/>
  <c r="BE10" i="61"/>
  <c r="BF11" i="61"/>
  <c r="BE23" i="61"/>
  <c r="T46" i="126"/>
  <c r="CL55" i="123"/>
  <c r="K68" i="121"/>
  <c r="U68" i="121"/>
  <c r="P47" i="126"/>
  <c r="BY56" i="123"/>
  <c r="FF71" i="121"/>
  <c r="EV71" i="121"/>
  <c r="U72" i="56"/>
  <c r="U92" i="56"/>
  <c r="U112" i="56"/>
  <c r="GM60" i="121"/>
  <c r="T48" i="121"/>
  <c r="AC48" i="121" s="1"/>
  <c r="AD48" i="121"/>
  <c r="Y11" i="64"/>
  <c r="X10" i="64"/>
  <c r="X23" i="64"/>
  <c r="AF11" i="64"/>
  <c r="CL54" i="120"/>
  <c r="AH203" i="120"/>
  <c r="AN203" i="120" s="1"/>
  <c r="AN202" i="120"/>
  <c r="AH224" i="120"/>
  <c r="N48" i="65"/>
  <c r="BQ48" i="121"/>
  <c r="R217" i="120"/>
  <c r="AP69" i="121" s="1"/>
  <c r="Q151" i="120"/>
  <c r="Q217" i="120" s="1"/>
  <c r="CI168" i="122"/>
  <c r="CC177" i="122"/>
  <c r="Y10" i="61"/>
  <c r="X35" i="61"/>
  <c r="U56" i="125"/>
  <c r="DX71" i="121"/>
  <c r="DF56" i="123"/>
  <c r="DP56" i="123"/>
  <c r="DO57" i="123"/>
  <c r="AH158" i="120"/>
  <c r="D160" i="120"/>
  <c r="CM104" i="120"/>
  <c r="CM105" i="120"/>
  <c r="AO48" i="122"/>
  <c r="CL47" i="122"/>
  <c r="FO60" i="121"/>
  <c r="BE169" i="122"/>
  <c r="BK169" i="122" s="1"/>
  <c r="BD116" i="122"/>
  <c r="BK116" i="122"/>
  <c r="EA60" i="121"/>
  <c r="AG203" i="120"/>
  <c r="AM203" i="120" s="1"/>
  <c r="AM202" i="120"/>
  <c r="FF72" i="121"/>
  <c r="EV72" i="121"/>
  <c r="AA38" i="125"/>
  <c r="FW53" i="121"/>
  <c r="BV155" i="7"/>
  <c r="BV157" i="7"/>
  <c r="FF35" i="123"/>
  <c r="EV35" i="123"/>
  <c r="EO41" i="123"/>
  <c r="BO158" i="122"/>
  <c r="BO177" i="122"/>
  <c r="BO179" i="122" s="1"/>
  <c r="BO36" i="120"/>
  <c r="CN36" i="120" s="1"/>
  <c r="BO29" i="120"/>
  <c r="C14" i="129"/>
  <c r="B10" i="129"/>
  <c r="C11" i="129"/>
  <c r="CF155" i="7"/>
  <c r="CF157" i="7"/>
  <c r="DF72" i="121"/>
  <c r="DP72" i="121"/>
  <c r="AF170" i="122"/>
  <c r="AL170" i="122" s="1"/>
  <c r="AL117" i="122"/>
  <c r="AY68" i="121"/>
  <c r="AO68" i="121"/>
  <c r="AQ105" i="120"/>
  <c r="BO104" i="120"/>
  <c r="BO202" i="120" s="1"/>
  <c r="AQ99" i="120"/>
  <c r="AO99" i="120" s="1"/>
  <c r="CC71" i="121"/>
  <c r="CN52" i="121"/>
  <c r="CX52" i="121"/>
  <c r="R57" i="125"/>
  <c r="CK72" i="121"/>
  <c r="FW57" i="121"/>
  <c r="AA42" i="125"/>
  <c r="BN79" i="122"/>
  <c r="BM78" i="122"/>
  <c r="BN75" i="122"/>
  <c r="BM75" i="122" s="1"/>
  <c r="CL75" i="122" s="1"/>
  <c r="AM161" i="7"/>
  <c r="BA161" i="7"/>
  <c r="E113" i="56"/>
  <c r="D114" i="56"/>
  <c r="AE43" i="125"/>
  <c r="GJ58" i="121"/>
  <c r="AO29" i="120"/>
  <c r="P48" i="126"/>
  <c r="BY57" i="123"/>
  <c r="Q28" i="122"/>
  <c r="Q157" i="122"/>
  <c r="AG11" i="66"/>
  <c r="AH12" i="66"/>
  <c r="AM12" i="66"/>
  <c r="EM57" i="123"/>
  <c r="EW57" i="123"/>
  <c r="AE41" i="123"/>
  <c r="Y41" i="125"/>
  <c r="EK56" i="121"/>
  <c r="CN104" i="120" l="1"/>
  <c r="AD48" i="61"/>
  <c r="AD52" i="61"/>
  <c r="AD53" i="61" s="1"/>
  <c r="FN60" i="121"/>
  <c r="AA45" i="125" s="1"/>
  <c r="L33" i="125"/>
  <c r="AL48" i="121"/>
  <c r="GK35" i="123"/>
  <c r="AG26" i="126"/>
  <c r="P44" i="126"/>
  <c r="BY53" i="123"/>
  <c r="AA41" i="125"/>
  <c r="FW56" i="121"/>
  <c r="Y55" i="125"/>
  <c r="EK70" i="121"/>
  <c r="CK35" i="123"/>
  <c r="S26" i="126"/>
  <c r="O37" i="125"/>
  <c r="BY52" i="121"/>
  <c r="CB52" i="121"/>
  <c r="EO54" i="121"/>
  <c r="BO203" i="120"/>
  <c r="BO224" i="120"/>
  <c r="BO226" i="120" s="1"/>
  <c r="FW60" i="121"/>
  <c r="O52" i="126"/>
  <c r="AN61" i="123"/>
  <c r="AE63" i="123"/>
  <c r="CW52" i="121"/>
  <c r="DG52" i="121"/>
  <c r="BH68" i="121"/>
  <c r="AX68" i="121"/>
  <c r="FF57" i="123"/>
  <c r="EV57" i="123"/>
  <c r="AG10" i="66"/>
  <c r="AH11" i="66"/>
  <c r="CF160" i="7"/>
  <c r="CF161" i="7" s="1"/>
  <c r="CF158" i="7"/>
  <c r="B14" i="129"/>
  <c r="C18" i="129"/>
  <c r="DY56" i="123"/>
  <c r="W47" i="126"/>
  <c r="X38" i="61"/>
  <c r="Y35" i="61"/>
  <c r="AH226" i="120"/>
  <c r="AN226" i="120" s="1"/>
  <c r="AN224" i="120"/>
  <c r="M33" i="125"/>
  <c r="CC48" i="121"/>
  <c r="AM48" i="121"/>
  <c r="FE71" i="121"/>
  <c r="FN71" i="121" s="1"/>
  <c r="FO71" i="121"/>
  <c r="T68" i="121"/>
  <c r="AD68" i="121"/>
  <c r="S57" i="125"/>
  <c r="EB72" i="121"/>
  <c r="CL72" i="121"/>
  <c r="CV157" i="7"/>
  <c r="CV155" i="7"/>
  <c r="CU154" i="7"/>
  <c r="FE56" i="123"/>
  <c r="FN56" i="123" s="1"/>
  <c r="FO56" i="123"/>
  <c r="B50" i="56"/>
  <c r="C49" i="56"/>
  <c r="H50" i="56"/>
  <c r="H49" i="56" s="1"/>
  <c r="AN35" i="64"/>
  <c r="AO10" i="64"/>
  <c r="GM71" i="121"/>
  <c r="BE203" i="120"/>
  <c r="BK203" i="120" s="1"/>
  <c r="BK202" i="120"/>
  <c r="BH54" i="123"/>
  <c r="AX54" i="123"/>
  <c r="CB174" i="122"/>
  <c r="CH174" i="122" s="1"/>
  <c r="CH121" i="122"/>
  <c r="AA11" i="64"/>
  <c r="AB12" i="64"/>
  <c r="Q203" i="120"/>
  <c r="AF38" i="61"/>
  <c r="DH41" i="123"/>
  <c r="CY42" i="123"/>
  <c r="CY61" i="123"/>
  <c r="K42" i="64"/>
  <c r="P38" i="64"/>
  <c r="O38" i="64"/>
  <c r="O39" i="64" s="1"/>
  <c r="O42" i="64" s="1"/>
  <c r="CM107" i="8"/>
  <c r="CM109" i="8"/>
  <c r="CM110" i="8" s="1"/>
  <c r="AO27" i="122"/>
  <c r="BN27" i="122"/>
  <c r="AP157" i="122"/>
  <c r="AP28" i="122"/>
  <c r="AP21" i="122"/>
  <c r="BE27" i="122"/>
  <c r="AA23" i="61"/>
  <c r="AA10" i="61"/>
  <c r="AA35" i="61" s="1"/>
  <c r="AA38" i="61" s="1"/>
  <c r="EA57" i="123"/>
  <c r="S48" i="126"/>
  <c r="CK57" i="123"/>
  <c r="AJ10" i="65"/>
  <c r="AI9" i="65"/>
  <c r="AO10" i="65"/>
  <c r="EW53" i="123"/>
  <c r="EM53" i="123"/>
  <c r="BF99" i="120"/>
  <c r="BL99" i="120" s="1"/>
  <c r="AN99" i="120"/>
  <c r="AF216" i="120"/>
  <c r="AL216" i="120" s="1"/>
  <c r="AL150" i="120"/>
  <c r="CL109" i="8"/>
  <c r="CL110" i="8" s="1"/>
  <c r="CL107" i="8"/>
  <c r="CK106" i="8"/>
  <c r="B39" i="56"/>
  <c r="G40" i="56"/>
  <c r="G39" i="56" s="1"/>
  <c r="C16" i="129"/>
  <c r="B16" i="129" s="1"/>
  <c r="AD38" i="125"/>
  <c r="GI53" i="121"/>
  <c r="Z23" i="66"/>
  <c r="Z10" i="66"/>
  <c r="Z35" i="66" s="1"/>
  <c r="Z38" i="66" s="1"/>
  <c r="E7" i="129"/>
  <c r="DG53" i="123"/>
  <c r="CW53" i="123"/>
  <c r="CH168" i="122"/>
  <c r="CB177" i="122"/>
  <c r="BN151" i="120"/>
  <c r="CM151" i="120" s="1"/>
  <c r="AP217" i="120"/>
  <c r="CO69" i="121" s="1"/>
  <c r="AO151" i="120"/>
  <c r="AO217" i="120" s="1"/>
  <c r="Z31" i="126"/>
  <c r="EK40" i="123"/>
  <c r="AC68" i="121"/>
  <c r="CB215" i="120"/>
  <c r="CH149" i="120"/>
  <c r="CB158" i="120"/>
  <c r="BD123" i="120"/>
  <c r="BJ123" i="120" s="1"/>
  <c r="BK123" i="120"/>
  <c r="AE38" i="125"/>
  <c r="GJ53" i="121"/>
  <c r="DO70" i="121"/>
  <c r="FO56" i="121"/>
  <c r="Q158" i="122"/>
  <c r="C113" i="56"/>
  <c r="B114" i="56"/>
  <c r="FE35" i="123"/>
  <c r="FO35" i="123"/>
  <c r="BD169" i="122"/>
  <c r="BJ169" i="122" s="1"/>
  <c r="BJ116" i="122"/>
  <c r="AH160" i="120"/>
  <c r="AN160" i="120" s="1"/>
  <c r="AN158" i="120"/>
  <c r="AY69" i="121"/>
  <c r="AO69" i="121"/>
  <c r="AC10" i="65"/>
  <c r="AC9" i="65" s="1"/>
  <c r="AC35" i="65" s="1"/>
  <c r="AC38" i="65" s="1"/>
  <c r="AD11" i="65"/>
  <c r="CL35" i="123"/>
  <c r="T26" i="126"/>
  <c r="EB35" i="123"/>
  <c r="AY10" i="61"/>
  <c r="AX35" i="61"/>
  <c r="BD10" i="61"/>
  <c r="W26" i="126"/>
  <c r="DY35" i="123"/>
  <c r="CN29" i="120"/>
  <c r="N44" i="126"/>
  <c r="AM53" i="123"/>
  <c r="B55" i="121"/>
  <c r="M45" i="126"/>
  <c r="AL54" i="123"/>
  <c r="Z23" i="64"/>
  <c r="Z10" i="64"/>
  <c r="Z35" i="64" s="1"/>
  <c r="Z37" i="64" s="1"/>
  <c r="CP66" i="123"/>
  <c r="CP63" i="123"/>
  <c r="CL128" i="120"/>
  <c r="DF55" i="123"/>
  <c r="DP55" i="123"/>
  <c r="X39" i="61"/>
  <c r="P43" i="61"/>
  <c r="AL27" i="122"/>
  <c r="AF157" i="122"/>
  <c r="AF28" i="122"/>
  <c r="AL28" i="122" s="1"/>
  <c r="CX54" i="123"/>
  <c r="CN54" i="123"/>
  <c r="AC12" i="61"/>
  <c r="AB11" i="61"/>
  <c r="BS107" i="8"/>
  <c r="BS109" i="8"/>
  <c r="BS110" i="8" s="1"/>
  <c r="BN150" i="120"/>
  <c r="AP216" i="120"/>
  <c r="CO68" i="121" s="1"/>
  <c r="AO150" i="120"/>
  <c r="CM150" i="120"/>
  <c r="P46" i="126"/>
  <c r="BY55" i="123"/>
  <c r="BD79" i="122"/>
  <c r="BJ79" i="122" s="1"/>
  <c r="BJ78" i="122"/>
  <c r="GM56" i="121"/>
  <c r="CP55" i="121"/>
  <c r="CY54" i="121"/>
  <c r="CP76" i="121"/>
  <c r="BF203" i="120"/>
  <c r="BL203" i="120" s="1"/>
  <c r="BL202" i="120"/>
  <c r="BF224" i="120"/>
  <c r="GA40" i="123"/>
  <c r="AC31" i="126"/>
  <c r="FX40" i="123"/>
  <c r="BK200" i="120"/>
  <c r="AP55" i="121"/>
  <c r="AY54" i="121"/>
  <c r="AO54" i="121"/>
  <c r="AQ10" i="65"/>
  <c r="AP9" i="65"/>
  <c r="AZ66" i="123"/>
  <c r="AZ63" i="123"/>
  <c r="CC160" i="120"/>
  <c r="CI160" i="120" s="1"/>
  <c r="CI158" i="120"/>
  <c r="C155" i="120"/>
  <c r="CB155" i="120"/>
  <c r="CC221" i="120"/>
  <c r="CI221" i="120" s="1"/>
  <c r="CI155" i="120"/>
  <c r="CM123" i="120"/>
  <c r="DP57" i="123"/>
  <c r="AD54" i="123"/>
  <c r="AN41" i="123"/>
  <c r="O32" i="126"/>
  <c r="AE42" i="123"/>
  <c r="BM79" i="122"/>
  <c r="CL79" i="122" s="1"/>
  <c r="CL78" i="122"/>
  <c r="S56" i="125"/>
  <c r="EB71" i="121"/>
  <c r="CL71" i="121"/>
  <c r="V57" i="125"/>
  <c r="DY72" i="121"/>
  <c r="B11" i="129"/>
  <c r="B12" i="129" s="1"/>
  <c r="C12" i="129"/>
  <c r="C17" i="129" s="1"/>
  <c r="EX41" i="123"/>
  <c r="EO42" i="123"/>
  <c r="EO61" i="123"/>
  <c r="BV158" i="7"/>
  <c r="BV160" i="7"/>
  <c r="BV161" i="7" s="1"/>
  <c r="CC179" i="122"/>
  <c r="CI179" i="122" s="1"/>
  <c r="CI177" i="122"/>
  <c r="P33" i="125"/>
  <c r="BZ48" i="121"/>
  <c r="X35" i="64"/>
  <c r="Y10" i="64"/>
  <c r="AF10" i="64"/>
  <c r="EW48" i="121"/>
  <c r="EM48" i="121"/>
  <c r="X41" i="125"/>
  <c r="FZ56" i="121"/>
  <c r="EJ56" i="121"/>
  <c r="V56" i="125"/>
  <c r="DY71" i="121"/>
  <c r="B42" i="123"/>
  <c r="CM53" i="120"/>
  <c r="AM11" i="66"/>
  <c r="AQ158" i="120"/>
  <c r="DG48" i="121"/>
  <c r="CW48" i="121"/>
  <c r="M44" i="126"/>
  <c r="AL53" i="123"/>
  <c r="CB53" i="123"/>
  <c r="BD61" i="120"/>
  <c r="BJ61" i="120" s="1"/>
  <c r="BJ60" i="120"/>
  <c r="T47" i="126"/>
  <c r="EB56" i="123"/>
  <c r="CL56" i="123"/>
  <c r="C29" i="56"/>
  <c r="B30" i="56"/>
  <c r="H30" i="56"/>
  <c r="H29" i="56" s="1"/>
  <c r="V55" i="125"/>
  <c r="DY70" i="121"/>
  <c r="CL129" i="120"/>
  <c r="FF55" i="123"/>
  <c r="EV55" i="123"/>
  <c r="EM52" i="121"/>
  <c r="EW52" i="121"/>
  <c r="AH11" i="64"/>
  <c r="Y45" i="125"/>
  <c r="GA60" i="121"/>
  <c r="EK60" i="121"/>
  <c r="P49" i="61"/>
  <c r="P55" i="61" s="1"/>
  <c r="D81" i="121"/>
  <c r="D78" i="121"/>
  <c r="AG158" i="122"/>
  <c r="AM158" i="122" s="1"/>
  <c r="AM157" i="122"/>
  <c r="P37" i="125"/>
  <c r="BZ52" i="121"/>
  <c r="CC52" i="121"/>
  <c r="BN170" i="122"/>
  <c r="EN54" i="123" s="1"/>
  <c r="BM117" i="122"/>
  <c r="CW107" i="8"/>
  <c r="CW109" i="8"/>
  <c r="CW110" i="8" s="1"/>
  <c r="E13" i="129"/>
  <c r="I13" i="129" s="1"/>
  <c r="L13" i="129" s="1"/>
  <c r="F15" i="129"/>
  <c r="R59" i="56"/>
  <c r="J59" i="56"/>
  <c r="J60" i="56" s="1"/>
  <c r="O60" i="56" s="1"/>
  <c r="O59" i="56" s="1"/>
  <c r="I61" i="56"/>
  <c r="G61" i="56" s="1"/>
  <c r="N61" i="56" s="1"/>
  <c r="L61" i="56" s="1"/>
  <c r="EA40" i="123"/>
  <c r="V31" i="126"/>
  <c r="DX40" i="123"/>
  <c r="AM21" i="122"/>
  <c r="AF21" i="122"/>
  <c r="AL21" i="122" s="1"/>
  <c r="BE21" i="122"/>
  <c r="CB55" i="123"/>
  <c r="C19" i="129"/>
  <c r="B19" i="129" s="1"/>
  <c r="B15" i="129"/>
  <c r="DA104" i="8"/>
  <c r="CZ103" i="8"/>
  <c r="CZ104" i="8" s="1"/>
  <c r="DA106" i="8"/>
  <c r="F11" i="129"/>
  <c r="E11" i="129" s="1"/>
  <c r="I11" i="129" s="1"/>
  <c r="L11" i="129" s="1"/>
  <c r="F14" i="129"/>
  <c r="E10" i="129"/>
  <c r="I10" i="129" s="1"/>
  <c r="L10" i="129" s="1"/>
  <c r="BD36" i="120"/>
  <c r="BJ36" i="120" s="1"/>
  <c r="BD202" i="120"/>
  <c r="BJ35" i="120"/>
  <c r="FW40" i="123"/>
  <c r="AB31" i="126"/>
  <c r="AP203" i="120"/>
  <c r="CO54" i="121"/>
  <c r="AO61" i="120"/>
  <c r="AO202" i="120"/>
  <c r="AO203" i="120" s="1"/>
  <c r="AF217" i="120"/>
  <c r="AL217" i="120" s="1"/>
  <c r="AL151" i="120"/>
  <c r="BD200" i="120"/>
  <c r="BJ55" i="120"/>
  <c r="BI42" i="123"/>
  <c r="BI61" i="123"/>
  <c r="BR41" i="123"/>
  <c r="CL123" i="120"/>
  <c r="DO56" i="123"/>
  <c r="EA71" i="121"/>
  <c r="R56" i="125"/>
  <c r="CK71" i="121"/>
  <c r="BO105" i="120"/>
  <c r="CN105" i="120" s="1"/>
  <c r="BO99" i="120"/>
  <c r="BM99" i="120" s="1"/>
  <c r="CL99" i="120" s="1"/>
  <c r="FE72" i="121"/>
  <c r="FN72" i="121" s="1"/>
  <c r="FO72" i="121"/>
  <c r="X45" i="125"/>
  <c r="FZ60" i="121"/>
  <c r="EJ60" i="121"/>
  <c r="AB45" i="125"/>
  <c r="FX60" i="121"/>
  <c r="V48" i="126"/>
  <c r="DX57" i="123"/>
  <c r="BE35" i="61"/>
  <c r="BF10" i="61"/>
  <c r="K41" i="123"/>
  <c r="U41" i="123"/>
  <c r="L42" i="123"/>
  <c r="AY41" i="123"/>
  <c r="AP42" i="123"/>
  <c r="AO41" i="123"/>
  <c r="BM29" i="120"/>
  <c r="CL29" i="120" s="1"/>
  <c r="AM10" i="66"/>
  <c r="AL35" i="66"/>
  <c r="AO11" i="66"/>
  <c r="AN10" i="66"/>
  <c r="DO35" i="123"/>
  <c r="BD99" i="120"/>
  <c r="BJ99" i="120" s="1"/>
  <c r="BK99" i="120"/>
  <c r="K54" i="121"/>
  <c r="K55" i="121" s="1"/>
  <c r="U54" i="121"/>
  <c r="L55" i="121"/>
  <c r="C174" i="122"/>
  <c r="C58" i="123" s="1"/>
  <c r="R121" i="122"/>
  <c r="B121" i="122"/>
  <c r="C115" i="122"/>
  <c r="AD26" i="126"/>
  <c r="FY35" i="123"/>
  <c r="AF35" i="61"/>
  <c r="BD105" i="120"/>
  <c r="BJ105" i="120" s="1"/>
  <c r="BJ104" i="120"/>
  <c r="B94" i="56"/>
  <c r="C93" i="56"/>
  <c r="AH10" i="64"/>
  <c r="AG35" i="64"/>
  <c r="AM10" i="64"/>
  <c r="BY35" i="123"/>
  <c r="P26" i="126"/>
  <c r="V54" i="121"/>
  <c r="M55" i="121"/>
  <c r="M76" i="121"/>
  <c r="BE170" i="122"/>
  <c r="BK170" i="122" s="1"/>
  <c r="BD117" i="122"/>
  <c r="BK117" i="122"/>
  <c r="Y10" i="66"/>
  <c r="X35" i="66"/>
  <c r="AF10" i="66"/>
  <c r="BM169" i="122"/>
  <c r="CL116" i="122"/>
  <c r="BM104" i="120"/>
  <c r="BE150" i="120"/>
  <c r="B59" i="56"/>
  <c r="G60" i="56"/>
  <c r="G59" i="56" s="1"/>
  <c r="K69" i="121"/>
  <c r="U69" i="121"/>
  <c r="Z35" i="65"/>
  <c r="AA9" i="65"/>
  <c r="AH9" i="65"/>
  <c r="R39" i="56"/>
  <c r="I41" i="56"/>
  <c r="G41" i="56" s="1"/>
  <c r="N41" i="56" s="1"/>
  <c r="L41" i="56" s="1"/>
  <c r="J39" i="56"/>
  <c r="J40" i="56" s="1"/>
  <c r="O40" i="56" s="1"/>
  <c r="O39" i="56" s="1"/>
  <c r="I42" i="64"/>
  <c r="N38" i="64"/>
  <c r="BD40" i="122"/>
  <c r="BJ40" i="122" s="1"/>
  <c r="BK40" i="122"/>
  <c r="AA11" i="66"/>
  <c r="AB12" i="66"/>
  <c r="BL29" i="120"/>
  <c r="BD29" i="120"/>
  <c r="BJ29" i="120" s="1"/>
  <c r="CB126" i="122"/>
  <c r="CH126" i="122" s="1"/>
  <c r="CH124" i="122"/>
  <c r="FE70" i="121"/>
  <c r="FN70" i="121" s="1"/>
  <c r="FO70" i="121"/>
  <c r="AF203" i="120"/>
  <c r="AL203" i="120" s="1"/>
  <c r="AL202" i="120"/>
  <c r="AO53" i="120"/>
  <c r="CL53" i="120" s="1"/>
  <c r="BN61" i="120"/>
  <c r="CM61" i="120" s="1"/>
  <c r="BM60" i="120"/>
  <c r="BN202" i="120"/>
  <c r="AZ54" i="121"/>
  <c r="AQ55" i="121"/>
  <c r="AQ76" i="121"/>
  <c r="BE217" i="120"/>
  <c r="BK217" i="120" s="1"/>
  <c r="BD151" i="120"/>
  <c r="BK151" i="120"/>
  <c r="BG48" i="121"/>
  <c r="BP48" i="121" s="1"/>
  <c r="V63" i="123"/>
  <c r="V66" i="123"/>
  <c r="CI215" i="120"/>
  <c r="CC224" i="120"/>
  <c r="BQ53" i="123"/>
  <c r="CC53" i="123" s="1"/>
  <c r="DO72" i="121"/>
  <c r="BE53" i="120"/>
  <c r="Q39" i="56" l="1"/>
  <c r="GM72" i="121"/>
  <c r="CL53" i="123"/>
  <c r="T44" i="126"/>
  <c r="AA57" i="125"/>
  <c r="FW72" i="121"/>
  <c r="AB47" i="126"/>
  <c r="FW56" i="123"/>
  <c r="AA56" i="125"/>
  <c r="FW71" i="121"/>
  <c r="U57" i="125"/>
  <c r="DX72" i="121"/>
  <c r="EA72" i="121"/>
  <c r="BN203" i="120"/>
  <c r="EN54" i="121"/>
  <c r="CC226" i="120"/>
  <c r="CI226" i="120" s="1"/>
  <c r="CI224" i="120"/>
  <c r="O33" i="125"/>
  <c r="BY48" i="121"/>
  <c r="BI54" i="121"/>
  <c r="AZ55" i="121"/>
  <c r="AZ76" i="121"/>
  <c r="AA23" i="66"/>
  <c r="AA10" i="66"/>
  <c r="AA35" i="66" s="1"/>
  <c r="AA38" i="66" s="1"/>
  <c r="BM105" i="120"/>
  <c r="CL105" i="120" s="1"/>
  <c r="CL104" i="120"/>
  <c r="X53" i="66"/>
  <c r="Y35" i="66"/>
  <c r="X38" i="66"/>
  <c r="AF35" i="66"/>
  <c r="V55" i="121"/>
  <c r="V76" i="121"/>
  <c r="AG37" i="64"/>
  <c r="AH35" i="64"/>
  <c r="AM35" i="64"/>
  <c r="B115" i="122"/>
  <c r="C168" i="122"/>
  <c r="C124" i="122"/>
  <c r="AO10" i="66"/>
  <c r="AN35" i="66"/>
  <c r="U42" i="123"/>
  <c r="T41" i="123"/>
  <c r="AD41" i="123"/>
  <c r="BD203" i="120"/>
  <c r="BJ203" i="120" s="1"/>
  <c r="BJ202" i="120"/>
  <c r="E15" i="129"/>
  <c r="I15" i="129" s="1"/>
  <c r="L15" i="129" s="1"/>
  <c r="F19" i="129"/>
  <c r="E19" i="129" s="1"/>
  <c r="I19" i="129" s="1"/>
  <c r="L19" i="129" s="1"/>
  <c r="BM170" i="122"/>
  <c r="CL117" i="122"/>
  <c r="AE45" i="125"/>
  <c r="GJ60" i="121"/>
  <c r="EV52" i="121"/>
  <c r="FF52" i="121"/>
  <c r="I31" i="56"/>
  <c r="G31" i="56" s="1"/>
  <c r="N31" i="56" s="1"/>
  <c r="L31" i="56" s="1"/>
  <c r="R29" i="56"/>
  <c r="J29" i="56"/>
  <c r="J30" i="56" s="1"/>
  <c r="O30" i="56" s="1"/>
  <c r="O29" i="56" s="1"/>
  <c r="Z47" i="126"/>
  <c r="EK56" i="123"/>
  <c r="GA56" i="123"/>
  <c r="C221" i="120"/>
  <c r="C73" i="121" s="1"/>
  <c r="R155" i="120"/>
  <c r="B155" i="120"/>
  <c r="C149" i="120"/>
  <c r="AF158" i="122"/>
  <c r="AL158" i="122" s="1"/>
  <c r="AL157" i="122"/>
  <c r="W46" i="126"/>
  <c r="DY55" i="123"/>
  <c r="EB55" i="123"/>
  <c r="Z26" i="126"/>
  <c r="EK35" i="123"/>
  <c r="GA35" i="123"/>
  <c r="CH215" i="120"/>
  <c r="CB224" i="120"/>
  <c r="CB179" i="122"/>
  <c r="CH179" i="122" s="1"/>
  <c r="CH177" i="122"/>
  <c r="F12" i="129"/>
  <c r="AJ9" i="65"/>
  <c r="AI35" i="65"/>
  <c r="EJ57" i="123"/>
  <c r="Y48" i="126"/>
  <c r="AO21" i="122"/>
  <c r="AO157" i="122"/>
  <c r="AO28" i="122"/>
  <c r="P41" i="64"/>
  <c r="P39" i="64"/>
  <c r="P42" i="64" s="1"/>
  <c r="DH42" i="123"/>
  <c r="DH61" i="123"/>
  <c r="DQ41" i="123"/>
  <c r="B49" i="56"/>
  <c r="G50" i="56"/>
  <c r="G49" i="56" s="1"/>
  <c r="CU155" i="7"/>
  <c r="CU157" i="7"/>
  <c r="B18" i="129"/>
  <c r="C20" i="129"/>
  <c r="B20" i="129" s="1"/>
  <c r="FE57" i="123"/>
  <c r="FN57" i="123" s="1"/>
  <c r="FO57" i="123"/>
  <c r="GM70" i="121"/>
  <c r="CB48" i="121"/>
  <c r="BD53" i="120"/>
  <c r="BJ53" i="120" s="1"/>
  <c r="BK53" i="120"/>
  <c r="AQ81" i="121"/>
  <c r="AQ78" i="121"/>
  <c r="AB55" i="125"/>
  <c r="FX70" i="121"/>
  <c r="Q59" i="56"/>
  <c r="B174" i="122"/>
  <c r="BH41" i="123"/>
  <c r="AY42" i="123"/>
  <c r="AX41" i="123"/>
  <c r="K42" i="123"/>
  <c r="AD45" i="125"/>
  <c r="GI60" i="121"/>
  <c r="CA41" i="123"/>
  <c r="R32" i="126"/>
  <c r="BR42" i="123"/>
  <c r="BJ200" i="120"/>
  <c r="DA109" i="8"/>
  <c r="DA110" i="8" s="1"/>
  <c r="DA107" i="8"/>
  <c r="CZ106" i="8"/>
  <c r="EW54" i="123"/>
  <c r="EM54" i="123"/>
  <c r="B29" i="56"/>
  <c r="G30" i="56"/>
  <c r="G29" i="56" s="1"/>
  <c r="S44" i="126"/>
  <c r="CK53" i="123"/>
  <c r="AD41" i="125"/>
  <c r="GI56" i="121"/>
  <c r="FG41" i="123"/>
  <c r="EX42" i="123"/>
  <c r="EX61" i="123"/>
  <c r="Y56" i="125"/>
  <c r="GA71" i="121"/>
  <c r="EK71" i="121"/>
  <c r="AO55" i="121"/>
  <c r="AF31" i="126"/>
  <c r="GJ40" i="123"/>
  <c r="CP81" i="121"/>
  <c r="CP78" i="121"/>
  <c r="CX68" i="121"/>
  <c r="CN68" i="121"/>
  <c r="DG54" i="123"/>
  <c r="CW54" i="123"/>
  <c r="BO158" i="120"/>
  <c r="BO160" i="120" s="1"/>
  <c r="U55" i="125"/>
  <c r="DX70" i="121"/>
  <c r="EA70" i="121"/>
  <c r="L53" i="125"/>
  <c r="AL68" i="121"/>
  <c r="E12" i="129"/>
  <c r="I7" i="129"/>
  <c r="L7" i="129" s="1"/>
  <c r="AA39" i="61"/>
  <c r="AB11" i="64"/>
  <c r="AC12" i="64"/>
  <c r="FN35" i="123"/>
  <c r="AO35" i="64"/>
  <c r="AN37" i="64"/>
  <c r="Y57" i="125"/>
  <c r="GA72" i="121"/>
  <c r="EK72" i="121"/>
  <c r="AB56" i="125"/>
  <c r="FX71" i="121"/>
  <c r="S33" i="125"/>
  <c r="CL48" i="121"/>
  <c r="AE54" i="121"/>
  <c r="EO55" i="121"/>
  <c r="EX54" i="121"/>
  <c r="EO76" i="121"/>
  <c r="AA35" i="65"/>
  <c r="Z38" i="65"/>
  <c r="AH35" i="65"/>
  <c r="M81" i="121"/>
  <c r="M78" i="121"/>
  <c r="C92" i="56"/>
  <c r="B93" i="56"/>
  <c r="H93" i="56"/>
  <c r="H92" i="56" s="1"/>
  <c r="AG121" i="122"/>
  <c r="R174" i="122"/>
  <c r="AP58" i="123" s="1"/>
  <c r="Q121" i="122"/>
  <c r="Q174" i="122" s="1"/>
  <c r="R115" i="122"/>
  <c r="U55" i="121"/>
  <c r="T54" i="121"/>
  <c r="T55" i="121" s="1"/>
  <c r="V26" i="126"/>
  <c r="DX35" i="123"/>
  <c r="AL38" i="66"/>
  <c r="X56" i="125"/>
  <c r="FZ71" i="121"/>
  <c r="EJ71" i="121"/>
  <c r="BI66" i="123"/>
  <c r="BI63" i="123"/>
  <c r="BR61" i="123"/>
  <c r="EA55" i="123"/>
  <c r="CK55" i="123"/>
  <c r="S46" i="126"/>
  <c r="EJ40" i="123"/>
  <c r="Y31" i="126"/>
  <c r="FZ40" i="123"/>
  <c r="S37" i="125"/>
  <c r="CL52" i="121"/>
  <c r="DF48" i="121"/>
  <c r="DO48" i="121" s="1"/>
  <c r="DP48" i="121"/>
  <c r="FF48" i="121"/>
  <c r="EV48" i="121"/>
  <c r="Y35" i="64"/>
  <c r="X37" i="64"/>
  <c r="AF35" i="64"/>
  <c r="EO66" i="123"/>
  <c r="EO63" i="123"/>
  <c r="B17" i="129"/>
  <c r="CD41" i="123"/>
  <c r="AM54" i="123"/>
  <c r="N45" i="126"/>
  <c r="AQ9" i="65"/>
  <c r="AP35" i="65"/>
  <c r="BH54" i="121"/>
  <c r="AY55" i="121"/>
  <c r="AX54" i="121"/>
  <c r="AX55" i="121" s="1"/>
  <c r="BF226" i="120"/>
  <c r="BL226" i="120" s="1"/>
  <c r="BL224" i="120"/>
  <c r="BN216" i="120"/>
  <c r="EN68" i="121" s="1"/>
  <c r="BM150" i="120"/>
  <c r="BM216" i="120" s="1"/>
  <c r="AB23" i="61"/>
  <c r="AB10" i="61"/>
  <c r="AB35" i="61" s="1"/>
  <c r="AB38" i="61" s="1"/>
  <c r="AX38" i="61"/>
  <c r="AY35" i="61"/>
  <c r="BD35" i="61"/>
  <c r="AC26" i="126"/>
  <c r="FX35" i="123"/>
  <c r="CB160" i="120"/>
  <c r="CH160" i="120" s="1"/>
  <c r="CH158" i="120"/>
  <c r="CX69" i="121"/>
  <c r="CN69" i="121"/>
  <c r="FF53" i="123"/>
  <c r="EV53" i="123"/>
  <c r="CO41" i="123"/>
  <c r="AP158" i="122"/>
  <c r="CY63" i="123"/>
  <c r="CY66" i="123"/>
  <c r="AA10" i="64"/>
  <c r="AA35" i="64" s="1"/>
  <c r="AA37" i="64" s="1"/>
  <c r="AA23" i="64"/>
  <c r="BG54" i="123"/>
  <c r="BP54" i="123" s="1"/>
  <c r="BQ54" i="123"/>
  <c r="I51" i="56"/>
  <c r="G51" i="56" s="1"/>
  <c r="N51" i="56" s="1"/>
  <c r="L51" i="56" s="1"/>
  <c r="R49" i="56"/>
  <c r="J49" i="56"/>
  <c r="J50" i="56" s="1"/>
  <c r="O50" i="56" s="1"/>
  <c r="O49" i="56" s="1"/>
  <c r="AC47" i="126"/>
  <c r="FX56" i="123"/>
  <c r="CV168" i="7"/>
  <c r="CV176" i="7" s="1"/>
  <c r="CV160" i="7"/>
  <c r="CV161" i="7" s="1"/>
  <c r="CV158" i="7"/>
  <c r="X40" i="61"/>
  <c r="Y38" i="61"/>
  <c r="AG35" i="66"/>
  <c r="AH10" i="66"/>
  <c r="BG68" i="121"/>
  <c r="BP68" i="121" s="1"/>
  <c r="CB68" i="121" s="1"/>
  <c r="BQ68" i="121"/>
  <c r="O54" i="126"/>
  <c r="AN63" i="123"/>
  <c r="AD54" i="121"/>
  <c r="EA35" i="123"/>
  <c r="AE66" i="123"/>
  <c r="AA55" i="125"/>
  <c r="FW70" i="121"/>
  <c r="Q44" i="126"/>
  <c r="BZ53" i="123"/>
  <c r="BD217" i="120"/>
  <c r="BJ217" i="120" s="1"/>
  <c r="BJ151" i="120"/>
  <c r="BM61" i="120"/>
  <c r="CL61" i="120" s="1"/>
  <c r="BM202" i="120"/>
  <c r="CL60" i="120"/>
  <c r="AB11" i="66"/>
  <c r="AC12" i="66"/>
  <c r="N41" i="64"/>
  <c r="N39" i="64"/>
  <c r="N42" i="64" s="1"/>
  <c r="T69" i="121"/>
  <c r="AD69" i="121"/>
  <c r="BE216" i="120"/>
  <c r="BK216" i="120" s="1"/>
  <c r="BD150" i="120"/>
  <c r="BK150" i="120"/>
  <c r="BD170" i="122"/>
  <c r="BJ170" i="122" s="1"/>
  <c r="BJ117" i="122"/>
  <c r="B58" i="123"/>
  <c r="L58" i="123"/>
  <c r="AO42" i="123"/>
  <c r="BE38" i="61"/>
  <c r="BF35" i="61"/>
  <c r="AB57" i="125"/>
  <c r="FX72" i="121"/>
  <c r="V47" i="126"/>
  <c r="DX56" i="123"/>
  <c r="EA56" i="123"/>
  <c r="CO55" i="121"/>
  <c r="CN54" i="121"/>
  <c r="CX54" i="121"/>
  <c r="F16" i="129"/>
  <c r="E16" i="129" s="1"/>
  <c r="I16" i="129" s="1"/>
  <c r="L16" i="129" s="1"/>
  <c r="E14" i="129"/>
  <c r="I14" i="129" s="1"/>
  <c r="L14" i="129" s="1"/>
  <c r="F18" i="129"/>
  <c r="BD21" i="122"/>
  <c r="BJ21" i="122" s="1"/>
  <c r="BK21" i="122"/>
  <c r="FE55" i="123"/>
  <c r="FN55" i="123" s="1"/>
  <c r="FO55" i="123"/>
  <c r="AQ160" i="120"/>
  <c r="CN160" i="120" s="1"/>
  <c r="CN158" i="120"/>
  <c r="FP41" i="123"/>
  <c r="I12" i="129"/>
  <c r="L12" i="129" s="1"/>
  <c r="CN99" i="120"/>
  <c r="O33" i="126"/>
  <c r="AN42" i="123"/>
  <c r="DY57" i="123"/>
  <c r="W48" i="126"/>
  <c r="EB57" i="123"/>
  <c r="CB221" i="120"/>
  <c r="CH221" i="120" s="1"/>
  <c r="CH155" i="120"/>
  <c r="BQ54" i="121"/>
  <c r="DH54" i="121"/>
  <c r="CY55" i="121"/>
  <c r="CY76" i="121"/>
  <c r="AO216" i="120"/>
  <c r="CL150" i="120"/>
  <c r="AC11" i="61"/>
  <c r="AD12" i="61"/>
  <c r="AD11" i="61" s="1"/>
  <c r="X49" i="61"/>
  <c r="X58" i="61"/>
  <c r="X59" i="61" s="1"/>
  <c r="X60" i="61" s="1"/>
  <c r="X61" i="61" s="1"/>
  <c r="X42" i="61"/>
  <c r="AD10" i="65"/>
  <c r="AD9" i="65" s="1"/>
  <c r="AD35" i="65" s="1"/>
  <c r="AD38" i="65" s="1"/>
  <c r="AE11" i="65"/>
  <c r="BH69" i="121"/>
  <c r="AX69" i="121"/>
  <c r="BF158" i="120"/>
  <c r="B113" i="56"/>
  <c r="C112" i="56"/>
  <c r="H113" i="56"/>
  <c r="H112" i="56" s="1"/>
  <c r="AB41" i="125"/>
  <c r="FX56" i="121"/>
  <c r="GA56" i="121"/>
  <c r="BN217" i="120"/>
  <c r="EN69" i="121" s="1"/>
  <c r="BM151" i="120"/>
  <c r="DF53" i="123"/>
  <c r="DO53" i="123" s="1"/>
  <c r="DP53" i="123"/>
  <c r="CK109" i="8"/>
  <c r="CK110" i="8" s="1"/>
  <c r="CK107" i="8"/>
  <c r="BD27" i="122"/>
  <c r="BK27" i="122"/>
  <c r="BE157" i="122"/>
  <c r="BE28" i="122"/>
  <c r="BK28" i="122" s="1"/>
  <c r="BM27" i="122"/>
  <c r="BN157" i="122"/>
  <c r="BN28" i="122"/>
  <c r="BN21" i="122"/>
  <c r="M53" i="125"/>
  <c r="CC68" i="121"/>
  <c r="AM68" i="121"/>
  <c r="DF52" i="121"/>
  <c r="DP52" i="121"/>
  <c r="R37" i="125"/>
  <c r="CK52" i="121"/>
  <c r="GA70" i="121"/>
  <c r="Q49" i="56" l="1"/>
  <c r="N48" i="64"/>
  <c r="R53" i="125"/>
  <c r="CK68" i="121"/>
  <c r="U33" i="125"/>
  <c r="DX48" i="121"/>
  <c r="AE55" i="125"/>
  <c r="GJ70" i="121"/>
  <c r="V37" i="125"/>
  <c r="DY52" i="121"/>
  <c r="BM28" i="122"/>
  <c r="CL28" i="122" s="1"/>
  <c r="BM157" i="122"/>
  <c r="BJ27" i="122"/>
  <c r="BD157" i="122"/>
  <c r="BD28" i="122"/>
  <c r="BJ28" i="122" s="1"/>
  <c r="DX53" i="123"/>
  <c r="V44" i="126"/>
  <c r="B112" i="56"/>
  <c r="G113" i="56"/>
  <c r="G112" i="56" s="1"/>
  <c r="AE10" i="65"/>
  <c r="AE9" i="65" s="1"/>
  <c r="AE35" i="65" s="1"/>
  <c r="AE38" i="65" s="1"/>
  <c r="AF11" i="65"/>
  <c r="AF10" i="65" s="1"/>
  <c r="AF9" i="65" s="1"/>
  <c r="AF35" i="65" s="1"/>
  <c r="AF38" i="65" s="1"/>
  <c r="DH55" i="121"/>
  <c r="DH76" i="121"/>
  <c r="DQ54" i="121"/>
  <c r="EK57" i="123"/>
  <c r="Z48" i="126"/>
  <c r="GA57" i="123"/>
  <c r="AC46" i="126"/>
  <c r="FX55" i="123"/>
  <c r="E18" i="129"/>
  <c r="F20" i="129"/>
  <c r="E20" i="129" s="1"/>
  <c r="I20" i="129" s="1"/>
  <c r="L20" i="129" s="1"/>
  <c r="CW54" i="121"/>
  <c r="CW55" i="121" s="1"/>
  <c r="DG54" i="121"/>
  <c r="CX55" i="121"/>
  <c r="EJ56" i="123"/>
  <c r="Y47" i="126"/>
  <c r="FZ56" i="123"/>
  <c r="AC11" i="66"/>
  <c r="AD12" i="66"/>
  <c r="AD11" i="66" s="1"/>
  <c r="BZ54" i="123"/>
  <c r="Q45" i="126"/>
  <c r="CX41" i="123"/>
  <c r="CO42" i="123"/>
  <c r="CN41" i="123"/>
  <c r="DG69" i="121"/>
  <c r="CW69" i="121"/>
  <c r="CC54" i="123"/>
  <c r="R168" i="122"/>
  <c r="Q115" i="122"/>
  <c r="R124" i="122"/>
  <c r="R126" i="122" s="1"/>
  <c r="J92" i="56"/>
  <c r="J93" i="56" s="1"/>
  <c r="O93" i="56" s="1"/>
  <c r="O92" i="56" s="1"/>
  <c r="I94" i="56"/>
  <c r="G94" i="56" s="1"/>
  <c r="N94" i="56" s="1"/>
  <c r="L94" i="56" s="1"/>
  <c r="R92" i="56"/>
  <c r="EO78" i="121"/>
  <c r="EO81" i="121"/>
  <c r="N39" i="125"/>
  <c r="AE55" i="121"/>
  <c r="AN54" i="121"/>
  <c r="AE76" i="121"/>
  <c r="AE57" i="125"/>
  <c r="GJ72" i="121"/>
  <c r="AB26" i="126"/>
  <c r="FW35" i="123"/>
  <c r="EX63" i="123"/>
  <c r="EX66" i="123"/>
  <c r="CZ109" i="8"/>
  <c r="CZ110" i="8" s="1"/>
  <c r="CZ107" i="8"/>
  <c r="AB48" i="126"/>
  <c r="FW57" i="123"/>
  <c r="CU160" i="7"/>
  <c r="CU161" i="7" s="1"/>
  <c r="CU158" i="7"/>
  <c r="X32" i="126"/>
  <c r="DZ41" i="123"/>
  <c r="DQ42" i="123"/>
  <c r="F17" i="129"/>
  <c r="AF26" i="126"/>
  <c r="GJ35" i="123"/>
  <c r="GA55" i="123"/>
  <c r="Z46" i="126"/>
  <c r="EK55" i="123"/>
  <c r="B73" i="121"/>
  <c r="L73" i="121"/>
  <c r="AG115" i="122"/>
  <c r="AZ78" i="121"/>
  <c r="AZ81" i="121"/>
  <c r="EN55" i="121"/>
  <c r="EM54" i="121"/>
  <c r="EW54" i="121"/>
  <c r="AC69" i="121"/>
  <c r="BM21" i="122"/>
  <c r="BM217" i="120"/>
  <c r="CL151" i="120"/>
  <c r="BF160" i="120"/>
  <c r="BL160" i="120" s="1"/>
  <c r="BL158" i="120"/>
  <c r="P39" i="125"/>
  <c r="BQ55" i="121"/>
  <c r="BZ54" i="121"/>
  <c r="FW55" i="123"/>
  <c r="AB46" i="126"/>
  <c r="BD216" i="120"/>
  <c r="BJ216" i="120" s="1"/>
  <c r="BJ150" i="120"/>
  <c r="AB23" i="66"/>
  <c r="AB10" i="66"/>
  <c r="AB35" i="66" s="1"/>
  <c r="AB38" i="66" s="1"/>
  <c r="AG38" i="66"/>
  <c r="AM38" i="66" s="1"/>
  <c r="AH35" i="66"/>
  <c r="P45" i="126"/>
  <c r="BY54" i="123"/>
  <c r="CB54" i="123"/>
  <c r="AY38" i="61"/>
  <c r="BD38" i="61"/>
  <c r="BH55" i="121"/>
  <c r="BG54" i="121"/>
  <c r="BG55" i="121" s="1"/>
  <c r="GI40" i="123"/>
  <c r="AE31" i="126"/>
  <c r="BR66" i="123"/>
  <c r="AM35" i="66"/>
  <c r="B92" i="56"/>
  <c r="G93" i="56"/>
  <c r="G92" i="56" s="1"/>
  <c r="EX55" i="121"/>
  <c r="FG54" i="121"/>
  <c r="EX76" i="121"/>
  <c r="AC11" i="64"/>
  <c r="AD12" i="64"/>
  <c r="AD11" i="64" s="1"/>
  <c r="DG68" i="121"/>
  <c r="DF68" i="121" s="1"/>
  <c r="CW68" i="121"/>
  <c r="Q29" i="56"/>
  <c r="R33" i="126"/>
  <c r="CA42" i="123"/>
  <c r="AX42" i="123"/>
  <c r="EA48" i="121"/>
  <c r="R33" i="125"/>
  <c r="CK48" i="121"/>
  <c r="DH66" i="123"/>
  <c r="DQ66" i="123" s="1"/>
  <c r="DH63" i="123"/>
  <c r="DQ61" i="123"/>
  <c r="CL27" i="122"/>
  <c r="CL21" i="122"/>
  <c r="AI38" i="65"/>
  <c r="AJ35" i="65"/>
  <c r="AO35" i="65"/>
  <c r="B221" i="120"/>
  <c r="AF47" i="126"/>
  <c r="GJ56" i="123"/>
  <c r="AM41" i="123"/>
  <c r="AD42" i="123"/>
  <c r="N32" i="126"/>
  <c r="AO35" i="66"/>
  <c r="AN38" i="66"/>
  <c r="C52" i="123"/>
  <c r="C177" i="122"/>
  <c r="C179" i="122" s="1"/>
  <c r="AH37" i="64"/>
  <c r="AG38" i="64"/>
  <c r="AM37" i="64"/>
  <c r="X40" i="66"/>
  <c r="Y38" i="66"/>
  <c r="AF38" i="66"/>
  <c r="I114" i="56"/>
  <c r="G114" i="56" s="1"/>
  <c r="N114" i="56" s="1"/>
  <c r="L114" i="56" s="1"/>
  <c r="R112" i="56"/>
  <c r="J112" i="56"/>
  <c r="J113" i="56" s="1"/>
  <c r="O113" i="56" s="1"/>
  <c r="O112" i="56" s="1"/>
  <c r="AD23" i="61"/>
  <c r="AD10" i="61"/>
  <c r="AD35" i="61" s="1"/>
  <c r="AD38" i="61" s="1"/>
  <c r="CN55" i="121"/>
  <c r="BF38" i="61"/>
  <c r="FZ35" i="123"/>
  <c r="Y26" i="126"/>
  <c r="EJ35" i="123"/>
  <c r="P53" i="125"/>
  <c r="BZ68" i="121"/>
  <c r="FE53" i="123"/>
  <c r="FN53" i="123" s="1"/>
  <c r="FO53" i="123"/>
  <c r="AP38" i="65"/>
  <c r="AQ35" i="65"/>
  <c r="Y37" i="64"/>
  <c r="X38" i="64"/>
  <c r="X41" i="64" s="1"/>
  <c r="AF37" i="64"/>
  <c r="FE48" i="121"/>
  <c r="FZ55" i="123"/>
  <c r="EJ55" i="123"/>
  <c r="Y46" i="126"/>
  <c r="AY58" i="123"/>
  <c r="AO58" i="123"/>
  <c r="Z39" i="65"/>
  <c r="AA38" i="65"/>
  <c r="AH38" i="65"/>
  <c r="AO37" i="64"/>
  <c r="AB23" i="64"/>
  <c r="AB10" i="64"/>
  <c r="AB35" i="64" s="1"/>
  <c r="AB37" i="64" s="1"/>
  <c r="E17" i="129"/>
  <c r="X55" i="125"/>
  <c r="FZ70" i="121"/>
  <c r="EJ70" i="121"/>
  <c r="AC54" i="121"/>
  <c r="DF54" i="123"/>
  <c r="DP54" i="123"/>
  <c r="AE56" i="125"/>
  <c r="GJ71" i="121"/>
  <c r="FG42" i="123"/>
  <c r="FG61" i="123"/>
  <c r="EA53" i="123"/>
  <c r="I18" i="129"/>
  <c r="L18" i="129" s="1"/>
  <c r="R221" i="120"/>
  <c r="AP73" i="121" s="1"/>
  <c r="Q155" i="120"/>
  <c r="Q221" i="120" s="1"/>
  <c r="R149" i="120"/>
  <c r="B168" i="122"/>
  <c r="B177" i="122" s="1"/>
  <c r="V78" i="121"/>
  <c r="V81" i="121"/>
  <c r="AE81" i="121" s="1"/>
  <c r="AA39" i="66"/>
  <c r="AA40" i="66" s="1"/>
  <c r="BI55" i="121"/>
  <c r="BI76" i="121"/>
  <c r="BR54" i="121"/>
  <c r="CD54" i="121" s="1"/>
  <c r="X57" i="125"/>
  <c r="FZ72" i="121"/>
  <c r="EJ72" i="121"/>
  <c r="DO52" i="121"/>
  <c r="BK157" i="122"/>
  <c r="BE158" i="122"/>
  <c r="BK158" i="122" s="1"/>
  <c r="EM69" i="121"/>
  <c r="EW69" i="121"/>
  <c r="CY81" i="121"/>
  <c r="CY78" i="121"/>
  <c r="S53" i="125"/>
  <c r="CL68" i="121"/>
  <c r="EN41" i="123"/>
  <c r="BN158" i="122"/>
  <c r="W44" i="126"/>
  <c r="DY53" i="123"/>
  <c r="AE41" i="125"/>
  <c r="GJ56" i="121"/>
  <c r="BG69" i="121"/>
  <c r="BP69" i="121" s="1"/>
  <c r="BQ69" i="121"/>
  <c r="AC23" i="61"/>
  <c r="AC10" i="61"/>
  <c r="AC35" i="61" s="1"/>
  <c r="AC38" i="61" s="1"/>
  <c r="AD32" i="126"/>
  <c r="FP42" i="123"/>
  <c r="AD33" i="126" s="1"/>
  <c r="FY41" i="123"/>
  <c r="U58" i="123"/>
  <c r="K58" i="123"/>
  <c r="M54" i="125"/>
  <c r="AM69" i="121"/>
  <c r="BM203" i="120"/>
  <c r="C42" i="127"/>
  <c r="O57" i="126"/>
  <c r="AN66" i="123"/>
  <c r="CD66" i="123"/>
  <c r="CC54" i="121"/>
  <c r="M39" i="125"/>
  <c r="AD55" i="121"/>
  <c r="AM54" i="121"/>
  <c r="O53" i="125"/>
  <c r="BY68" i="121"/>
  <c r="X43" i="61"/>
  <c r="AX39" i="61"/>
  <c r="AX40" i="61" s="1"/>
  <c r="Z39" i="61"/>
  <c r="AE39" i="61"/>
  <c r="AA38" i="64"/>
  <c r="EM68" i="121"/>
  <c r="EW68" i="121"/>
  <c r="CM41" i="123"/>
  <c r="U32" i="126"/>
  <c r="CD42" i="123"/>
  <c r="EC41" i="123"/>
  <c r="V33" i="125"/>
  <c r="DY48" i="121"/>
  <c r="EB52" i="121"/>
  <c r="R52" i="126"/>
  <c r="BR63" i="123"/>
  <c r="CA61" i="123"/>
  <c r="CD61" i="123"/>
  <c r="AD56" i="125"/>
  <c r="GI71" i="121"/>
  <c r="AG174" i="122"/>
  <c r="AM174" i="122" s="1"/>
  <c r="AF121" i="122"/>
  <c r="AM121" i="122"/>
  <c r="AP121" i="122"/>
  <c r="EB48" i="121"/>
  <c r="AA40" i="61"/>
  <c r="FF54" i="123"/>
  <c r="EV54" i="123"/>
  <c r="BQ41" i="123"/>
  <c r="BH42" i="123"/>
  <c r="BG41" i="123"/>
  <c r="FX57" i="123"/>
  <c r="AC48" i="126"/>
  <c r="C21" i="129"/>
  <c r="AO158" i="122"/>
  <c r="FZ57" i="123"/>
  <c r="CB226" i="120"/>
  <c r="CH226" i="120" s="1"/>
  <c r="CH224" i="120"/>
  <c r="C215" i="120"/>
  <c r="B149" i="120"/>
  <c r="AG149" i="120"/>
  <c r="C158" i="120"/>
  <c r="AG155" i="120"/>
  <c r="FE52" i="121"/>
  <c r="FN52" i="121" s="1"/>
  <c r="FO52" i="121"/>
  <c r="T42" i="123"/>
  <c r="C126" i="122"/>
  <c r="B124" i="122"/>
  <c r="AG124" i="122"/>
  <c r="AC41" i="123"/>
  <c r="FO48" i="121"/>
  <c r="EB53" i="123"/>
  <c r="X39" i="64" l="1"/>
  <c r="BP54" i="121"/>
  <c r="CB54" i="121" s="1"/>
  <c r="DP68" i="121"/>
  <c r="EB68" i="121" s="1"/>
  <c r="O54" i="125"/>
  <c r="BY69" i="121"/>
  <c r="AA43" i="66"/>
  <c r="AB39" i="66"/>
  <c r="AA46" i="66"/>
  <c r="AB44" i="126"/>
  <c r="FW53" i="123"/>
  <c r="BC39" i="61"/>
  <c r="BE39" i="61"/>
  <c r="AX43" i="61"/>
  <c r="T39" i="125"/>
  <c r="CD55" i="121"/>
  <c r="EC54" i="121"/>
  <c r="CM54" i="121"/>
  <c r="CD76" i="121"/>
  <c r="N66" i="125"/>
  <c r="C38" i="127"/>
  <c r="AN81" i="121"/>
  <c r="X57" i="126"/>
  <c r="F42" i="127"/>
  <c r="K27" i="128" s="1"/>
  <c r="DZ66" i="123"/>
  <c r="AG215" i="120"/>
  <c r="AF149" i="120"/>
  <c r="AM149" i="120"/>
  <c r="U57" i="126"/>
  <c r="E42" i="127"/>
  <c r="EC66" i="123"/>
  <c r="CM66" i="123"/>
  <c r="P54" i="125"/>
  <c r="BZ69" i="121"/>
  <c r="EN42" i="123"/>
  <c r="EW41" i="123"/>
  <c r="EM41" i="123"/>
  <c r="U37" i="125"/>
  <c r="DX52" i="121"/>
  <c r="EA52" i="121"/>
  <c r="AD57" i="125"/>
  <c r="GI72" i="121"/>
  <c r="L39" i="125"/>
  <c r="AC55" i="121"/>
  <c r="AL54" i="121"/>
  <c r="Z42" i="65"/>
  <c r="AE46" i="126"/>
  <c r="GI55" i="123"/>
  <c r="X42" i="64"/>
  <c r="Z38" i="64"/>
  <c r="AE38" i="64"/>
  <c r="AQ38" i="65"/>
  <c r="AG41" i="64"/>
  <c r="B52" i="123"/>
  <c r="L52" i="123"/>
  <c r="C61" i="123"/>
  <c r="EX78" i="121"/>
  <c r="EX81" i="121"/>
  <c r="CB69" i="121"/>
  <c r="L54" i="125"/>
  <c r="AL69" i="121"/>
  <c r="DO68" i="121"/>
  <c r="AP52" i="123"/>
  <c r="R177" i="122"/>
  <c r="R179" i="122" s="1"/>
  <c r="CL54" i="123"/>
  <c r="T45" i="126"/>
  <c r="EB54" i="123"/>
  <c r="AE47" i="126"/>
  <c r="GI56" i="123"/>
  <c r="AF48" i="126"/>
  <c r="GJ57" i="123"/>
  <c r="DH78" i="121"/>
  <c r="DH81" i="121"/>
  <c r="Q112" i="56"/>
  <c r="AG126" i="122"/>
  <c r="AM126" i="122" s="1"/>
  <c r="AF124" i="122"/>
  <c r="AM124" i="122"/>
  <c r="AB33" i="125"/>
  <c r="FX48" i="121"/>
  <c r="AA37" i="125"/>
  <c r="FW52" i="121"/>
  <c r="BE121" i="122"/>
  <c r="AO121" i="122"/>
  <c r="AP174" i="122"/>
  <c r="CO58" i="123" s="1"/>
  <c r="BN121" i="122"/>
  <c r="AP115" i="122"/>
  <c r="CA63" i="123"/>
  <c r="R54" i="126"/>
  <c r="AC42" i="123"/>
  <c r="AL41" i="123"/>
  <c r="M32" i="126"/>
  <c r="AG221" i="120"/>
  <c r="AM221" i="120" s="1"/>
  <c r="AF155" i="120"/>
  <c r="AM155" i="120"/>
  <c r="AP155" i="120"/>
  <c r="BE155" i="120" s="1"/>
  <c r="B215" i="120"/>
  <c r="B224" i="120" s="1"/>
  <c r="B21" i="129"/>
  <c r="C22" i="129"/>
  <c r="B22" i="129" s="1"/>
  <c r="BG42" i="123"/>
  <c r="BP41" i="123"/>
  <c r="CB41" i="123" s="1"/>
  <c r="FO54" i="123"/>
  <c r="FE54" i="123"/>
  <c r="FN54" i="123" s="1"/>
  <c r="V53" i="125"/>
  <c r="DY68" i="121"/>
  <c r="AE42" i="61"/>
  <c r="AE40" i="61"/>
  <c r="AE43" i="61" s="1"/>
  <c r="M40" i="125"/>
  <c r="AM55" i="121"/>
  <c r="GM52" i="121"/>
  <c r="AY73" i="121"/>
  <c r="AO73" i="121"/>
  <c r="FZ53" i="123"/>
  <c r="EJ53" i="123"/>
  <c r="Y44" i="126"/>
  <c r="GM48" i="121"/>
  <c r="FN48" i="121"/>
  <c r="AC44" i="126"/>
  <c r="FX53" i="123"/>
  <c r="AO38" i="66"/>
  <c r="N33" i="126"/>
  <c r="AM42" i="123"/>
  <c r="AJ38" i="65"/>
  <c r="AO38" i="65"/>
  <c r="DZ61" i="123"/>
  <c r="X52" i="126"/>
  <c r="DQ63" i="123"/>
  <c r="FG55" i="121"/>
  <c r="FG76" i="121"/>
  <c r="FP54" i="121"/>
  <c r="CK54" i="123"/>
  <c r="S45" i="126"/>
  <c r="AH38" i="66"/>
  <c r="EM55" i="121"/>
  <c r="AF115" i="122"/>
  <c r="AM115" i="122"/>
  <c r="AG168" i="122"/>
  <c r="BE115" i="122"/>
  <c r="CN42" i="123"/>
  <c r="DF54" i="121"/>
  <c r="DG55" i="121"/>
  <c r="DP54" i="121"/>
  <c r="EB54" i="121" s="1"/>
  <c r="E21" i="129"/>
  <c r="I21" i="129" s="1"/>
  <c r="L21" i="129" s="1"/>
  <c r="BD158" i="122"/>
  <c r="BJ158" i="122" s="1"/>
  <c r="BJ157" i="122"/>
  <c r="DO54" i="123"/>
  <c r="EA54" i="123" s="1"/>
  <c r="C160" i="120"/>
  <c r="B158" i="120"/>
  <c r="C67" i="121"/>
  <c r="C224" i="120"/>
  <c r="C226" i="120" s="1"/>
  <c r="AE48" i="126"/>
  <c r="GI57" i="123"/>
  <c r="O39" i="125"/>
  <c r="BP55" i="121"/>
  <c r="BY54" i="121"/>
  <c r="AA43" i="61"/>
  <c r="AB39" i="61"/>
  <c r="AF174" i="122"/>
  <c r="AL174" i="122" s="1"/>
  <c r="AL121" i="122"/>
  <c r="CM61" i="123"/>
  <c r="CD63" i="123"/>
  <c r="U52" i="126"/>
  <c r="EC61" i="123"/>
  <c r="Y37" i="125"/>
  <c r="GA52" i="121"/>
  <c r="EK52" i="121"/>
  <c r="EL41" i="123"/>
  <c r="GB41" i="123"/>
  <c r="AA32" i="126"/>
  <c r="EC42" i="123"/>
  <c r="FF68" i="121"/>
  <c r="FE68" i="121" s="1"/>
  <c r="EV68" i="121"/>
  <c r="Z42" i="61"/>
  <c r="Z40" i="61"/>
  <c r="Z49" i="61" s="1"/>
  <c r="T58" i="123"/>
  <c r="AC58" i="123" s="1"/>
  <c r="AD58" i="123"/>
  <c r="Y53" i="125"/>
  <c r="EK68" i="121"/>
  <c r="FF69" i="121"/>
  <c r="FE69" i="121" s="1"/>
  <c r="EV69" i="121"/>
  <c r="Q39" i="125"/>
  <c r="BR55" i="121"/>
  <c r="CA54" i="121"/>
  <c r="BR76" i="121"/>
  <c r="AA45" i="66"/>
  <c r="AA48" i="66" s="1"/>
  <c r="B179" i="122"/>
  <c r="B184" i="122"/>
  <c r="FG63" i="123"/>
  <c r="FG66" i="123"/>
  <c r="FP61" i="123"/>
  <c r="W45" i="126"/>
  <c r="DY54" i="123"/>
  <c r="AD55" i="125"/>
  <c r="GI70" i="121"/>
  <c r="Z40" i="65"/>
  <c r="Z48" i="65" s="1"/>
  <c r="X55" i="61" s="1"/>
  <c r="AE39" i="66"/>
  <c r="AG39" i="66"/>
  <c r="X43" i="66"/>
  <c r="Z39" i="66"/>
  <c r="X46" i="66"/>
  <c r="X47" i="66" s="1"/>
  <c r="AG39" i="64"/>
  <c r="FZ48" i="121"/>
  <c r="X33" i="125"/>
  <c r="EJ48" i="121"/>
  <c r="AD23" i="64"/>
  <c r="AD10" i="64"/>
  <c r="AD35" i="64" s="1"/>
  <c r="AD37" i="64" s="1"/>
  <c r="CA66" i="123"/>
  <c r="D42" i="127"/>
  <c r="R57" i="126"/>
  <c r="I17" i="129"/>
  <c r="L17" i="129" s="1"/>
  <c r="AB40" i="66"/>
  <c r="P40" i="125"/>
  <c r="BZ55" i="121"/>
  <c r="K73" i="121"/>
  <c r="U73" i="121"/>
  <c r="AA49" i="61"/>
  <c r="N40" i="125"/>
  <c r="AN55" i="121"/>
  <c r="DF69" i="121"/>
  <c r="DO69" i="121" s="1"/>
  <c r="DP69" i="121"/>
  <c r="AD23" i="66"/>
  <c r="AD10" i="66"/>
  <c r="AD35" i="66" s="1"/>
  <c r="AD38" i="66" s="1"/>
  <c r="Z44" i="126"/>
  <c r="EK53" i="123"/>
  <c r="GA53" i="123"/>
  <c r="B131" i="122"/>
  <c r="B126" i="122"/>
  <c r="AB37" i="125"/>
  <c r="FX52" i="121"/>
  <c r="Q32" i="126"/>
  <c r="BQ42" i="123"/>
  <c r="BZ41" i="123"/>
  <c r="GA48" i="121"/>
  <c r="Y33" i="125"/>
  <c r="EK48" i="121"/>
  <c r="U33" i="126"/>
  <c r="CM42" i="123"/>
  <c r="FN68" i="121"/>
  <c r="AA39" i="64"/>
  <c r="AX42" i="61"/>
  <c r="AX49" i="61"/>
  <c r="S39" i="125"/>
  <c r="CC55" i="121"/>
  <c r="CL54" i="121"/>
  <c r="B27" i="128"/>
  <c r="CC69" i="121"/>
  <c r="FN69" i="121"/>
  <c r="BI78" i="121"/>
  <c r="BI81" i="121"/>
  <c r="R215" i="120"/>
  <c r="Q149" i="120"/>
  <c r="Q215" i="120" s="1"/>
  <c r="Q224" i="120" s="1"/>
  <c r="R158" i="120"/>
  <c r="AG158" i="120" s="1"/>
  <c r="AX58" i="123"/>
  <c r="BH58" i="123"/>
  <c r="BG58" i="123" s="1"/>
  <c r="AE26" i="126"/>
  <c r="GI35" i="123"/>
  <c r="CC41" i="123"/>
  <c r="AC10" i="64"/>
  <c r="AC35" i="64" s="1"/>
  <c r="AC37" i="64" s="1"/>
  <c r="AC23" i="64"/>
  <c r="Q92" i="56"/>
  <c r="FF54" i="121"/>
  <c r="EW55" i="121"/>
  <c r="EV54" i="121"/>
  <c r="EV55" i="121" s="1"/>
  <c r="AF46" i="126"/>
  <c r="GJ55" i="123"/>
  <c r="X33" i="126"/>
  <c r="DZ42" i="123"/>
  <c r="AE78" i="121"/>
  <c r="N61" i="125"/>
  <c r="AN76" i="121"/>
  <c r="Q168" i="122"/>
  <c r="Q177" i="122" s="1"/>
  <c r="Q124" i="122"/>
  <c r="CX42" i="123"/>
  <c r="CW41" i="123"/>
  <c r="DG41" i="123"/>
  <c r="AC23" i="66"/>
  <c r="AC10" i="66"/>
  <c r="AC35" i="66" s="1"/>
  <c r="AC38" i="66" s="1"/>
  <c r="F21" i="129"/>
  <c r="F22" i="129" s="1"/>
  <c r="W39" i="125"/>
  <c r="DQ55" i="121"/>
  <c r="DZ54" i="121"/>
  <c r="DQ76" i="121"/>
  <c r="BM158" i="122"/>
  <c r="BP58" i="123" l="1"/>
  <c r="P49" i="126" s="1"/>
  <c r="GM68" i="121"/>
  <c r="M49" i="126"/>
  <c r="AL58" i="123"/>
  <c r="AF158" i="120"/>
  <c r="AG160" i="120"/>
  <c r="AM160" i="120" s="1"/>
  <c r="AM158" i="120"/>
  <c r="EJ54" i="123"/>
  <c r="Y45" i="126"/>
  <c r="FZ54" i="123"/>
  <c r="W40" i="125"/>
  <c r="DZ55" i="121"/>
  <c r="FF55" i="121"/>
  <c r="FE54" i="121"/>
  <c r="FE55" i="121" s="1"/>
  <c r="FO54" i="121"/>
  <c r="AP67" i="121"/>
  <c r="R224" i="120"/>
  <c r="R226" i="120" s="1"/>
  <c r="AA54" i="125"/>
  <c r="FW69" i="121"/>
  <c r="AA53" i="125"/>
  <c r="FW68" i="121"/>
  <c r="Q33" i="126"/>
  <c r="BZ42" i="123"/>
  <c r="AB46" i="66"/>
  <c r="AC39" i="66"/>
  <c r="AB43" i="66"/>
  <c r="X48" i="66"/>
  <c r="AG42" i="66"/>
  <c r="AG45" i="66"/>
  <c r="AD52" i="126"/>
  <c r="FP63" i="123"/>
  <c r="FY61" i="123"/>
  <c r="Q61" i="125"/>
  <c r="BR78" i="121"/>
  <c r="CA76" i="121"/>
  <c r="Z43" i="61"/>
  <c r="AA42" i="61"/>
  <c r="AA52" i="126"/>
  <c r="GB61" i="123"/>
  <c r="EL61" i="123"/>
  <c r="EC63" i="123"/>
  <c r="DP55" i="121"/>
  <c r="V39" i="125"/>
  <c r="DY54" i="121"/>
  <c r="AM168" i="122"/>
  <c r="AG177" i="122"/>
  <c r="FG78" i="121"/>
  <c r="FG81" i="121"/>
  <c r="AE44" i="126"/>
  <c r="GI53" i="123"/>
  <c r="BY41" i="123"/>
  <c r="P32" i="126"/>
  <c r="BP42" i="123"/>
  <c r="BN155" i="120"/>
  <c r="AP221" i="120"/>
  <c r="CO73" i="121" s="1"/>
  <c r="AO155" i="120"/>
  <c r="AP149" i="120"/>
  <c r="CM155" i="120"/>
  <c r="M33" i="126"/>
  <c r="AL42" i="123"/>
  <c r="BM121" i="122"/>
  <c r="BM174" i="122" s="1"/>
  <c r="BN174" i="122"/>
  <c r="EN58" i="123" s="1"/>
  <c r="BN115" i="122"/>
  <c r="U53" i="125"/>
  <c r="DX68" i="121"/>
  <c r="EA68" i="121"/>
  <c r="Z41" i="64"/>
  <c r="Z39" i="64"/>
  <c r="CB55" i="121"/>
  <c r="R39" i="125"/>
  <c r="CK54" i="121"/>
  <c r="AA57" i="126"/>
  <c r="EL66" i="123"/>
  <c r="G42" i="127"/>
  <c r="BQ58" i="123"/>
  <c r="B23" i="128"/>
  <c r="FO69" i="121"/>
  <c r="N63" i="125"/>
  <c r="AN78" i="121"/>
  <c r="T32" i="126"/>
  <c r="CC42" i="123"/>
  <c r="CL41" i="123"/>
  <c r="S54" i="125"/>
  <c r="EB69" i="121"/>
  <c r="CL69" i="121"/>
  <c r="V54" i="125"/>
  <c r="DY69" i="121"/>
  <c r="AD33" i="125"/>
  <c r="GI48" i="121"/>
  <c r="AE42" i="66"/>
  <c r="AF39" i="66"/>
  <c r="AE45" i="66"/>
  <c r="AE40" i="66"/>
  <c r="AA33" i="126"/>
  <c r="EL42" i="123"/>
  <c r="O40" i="125"/>
  <c r="BY55" i="121"/>
  <c r="CK41" i="123"/>
  <c r="S32" i="126"/>
  <c r="CB42" i="123"/>
  <c r="CN58" i="123"/>
  <c r="CX58" i="123"/>
  <c r="GM69" i="121"/>
  <c r="EK54" i="123"/>
  <c r="GA54" i="123"/>
  <c r="Z45" i="126"/>
  <c r="AY52" i="123"/>
  <c r="AO52" i="123"/>
  <c r="AP61" i="123"/>
  <c r="U52" i="123"/>
  <c r="AD52" i="123" s="1"/>
  <c r="K52" i="123"/>
  <c r="K61" i="123" s="1"/>
  <c r="L61" i="123"/>
  <c r="L40" i="125"/>
  <c r="AL55" i="121"/>
  <c r="X37" i="125"/>
  <c r="FZ52" i="121"/>
  <c r="EJ52" i="121"/>
  <c r="P27" i="128"/>
  <c r="L27" i="128"/>
  <c r="R27" i="128"/>
  <c r="M27" i="128"/>
  <c r="Q27" i="128"/>
  <c r="GB54" i="121"/>
  <c r="Z39" i="125"/>
  <c r="EC55" i="121"/>
  <c r="EL54" i="121"/>
  <c r="EC76" i="121"/>
  <c r="BE42" i="61"/>
  <c r="C42" i="121"/>
  <c r="BE40" i="61"/>
  <c r="BE49" i="61" s="1"/>
  <c r="AA47" i="66"/>
  <c r="Q126" i="122"/>
  <c r="Q131" i="122"/>
  <c r="AF131" i="122" s="1"/>
  <c r="AL131" i="122" s="1"/>
  <c r="DQ78" i="121"/>
  <c r="W61" i="125"/>
  <c r="DZ76" i="121"/>
  <c r="DF41" i="123"/>
  <c r="DG42" i="123"/>
  <c r="DP41" i="123"/>
  <c r="Q184" i="122"/>
  <c r="Q179" i="122"/>
  <c r="Q158" i="120"/>
  <c r="R160" i="120"/>
  <c r="BR81" i="121"/>
  <c r="S40" i="125"/>
  <c r="CL55" i="121"/>
  <c r="AE33" i="125"/>
  <c r="GJ48" i="121"/>
  <c r="U54" i="125"/>
  <c r="DX69" i="121"/>
  <c r="Z42" i="66"/>
  <c r="Z45" i="66"/>
  <c r="Z40" i="66"/>
  <c r="Q40" i="125"/>
  <c r="CA55" i="121"/>
  <c r="N49" i="126"/>
  <c r="AM58" i="123"/>
  <c r="CC58" i="123"/>
  <c r="AE37" i="125"/>
  <c r="GJ52" i="121"/>
  <c r="U54" i="126"/>
  <c r="CM63" i="123"/>
  <c r="AB42" i="61"/>
  <c r="AB40" i="61"/>
  <c r="L67" i="121"/>
  <c r="B67" i="121"/>
  <c r="C76" i="121"/>
  <c r="AL115" i="122"/>
  <c r="AF168" i="122"/>
  <c r="X54" i="126"/>
  <c r="DZ63" i="123"/>
  <c r="AE49" i="61"/>
  <c r="FW54" i="123"/>
  <c r="AB45" i="126"/>
  <c r="BE221" i="120"/>
  <c r="BK221" i="120" s="1"/>
  <c r="BD155" i="120"/>
  <c r="BK155" i="120"/>
  <c r="AO174" i="122"/>
  <c r="CL121" i="122"/>
  <c r="AF126" i="122"/>
  <c r="AL126" i="122" s="1"/>
  <c r="AL124" i="122"/>
  <c r="B61" i="123"/>
  <c r="E22" i="129"/>
  <c r="I22" i="129" s="1"/>
  <c r="L22" i="129" s="1"/>
  <c r="EM42" i="123"/>
  <c r="AF215" i="120"/>
  <c r="AL149" i="120"/>
  <c r="FP66" i="123"/>
  <c r="GB66" i="123" s="1"/>
  <c r="T40" i="125"/>
  <c r="CM55" i="121"/>
  <c r="BC42" i="61"/>
  <c r="BC40" i="61"/>
  <c r="BC43" i="61" s="1"/>
  <c r="AB45" i="66"/>
  <c r="AB48" i="66" s="1"/>
  <c r="AB42" i="66"/>
  <c r="CW42" i="123"/>
  <c r="Q226" i="120"/>
  <c r="Q231" i="120"/>
  <c r="C27" i="128"/>
  <c r="H27" i="128"/>
  <c r="G27" i="128"/>
  <c r="F27" i="128"/>
  <c r="D27" i="128"/>
  <c r="GA54" i="121"/>
  <c r="EB55" i="121"/>
  <c r="Y39" i="125"/>
  <c r="EK54" i="121"/>
  <c r="AB38" i="64"/>
  <c r="AA42" i="64"/>
  <c r="AF44" i="126"/>
  <c r="GJ53" i="123"/>
  <c r="T73" i="121"/>
  <c r="AD73" i="121"/>
  <c r="AN38" i="64"/>
  <c r="AL38" i="64"/>
  <c r="AG42" i="64"/>
  <c r="AG39" i="65"/>
  <c r="AB39" i="65"/>
  <c r="Z43" i="65"/>
  <c r="AF184" i="122"/>
  <c r="AL184" i="122" s="1"/>
  <c r="AG32" i="126"/>
  <c r="GK41" i="123"/>
  <c r="GB42" i="123"/>
  <c r="B160" i="120"/>
  <c r="B165" i="120"/>
  <c r="V45" i="126"/>
  <c r="DX54" i="123"/>
  <c r="DF55" i="121"/>
  <c r="GM55" i="121" s="1"/>
  <c r="DO54" i="121"/>
  <c r="BE168" i="122"/>
  <c r="BK115" i="122"/>
  <c r="BD115" i="122"/>
  <c r="AG40" i="66"/>
  <c r="AC39" i="125"/>
  <c r="FP55" i="121"/>
  <c r="FY54" i="121"/>
  <c r="FP76" i="121"/>
  <c r="AA33" i="125"/>
  <c r="FW48" i="121"/>
  <c r="BH73" i="121"/>
  <c r="AX73" i="121"/>
  <c r="AC45" i="126"/>
  <c r="FX54" i="123"/>
  <c r="B226" i="120"/>
  <c r="B231" i="120"/>
  <c r="AF231" i="120" s="1"/>
  <c r="AF221" i="120"/>
  <c r="AL221" i="120" s="1"/>
  <c r="AL155" i="120"/>
  <c r="AP168" i="122"/>
  <c r="AO115" i="122"/>
  <c r="AP124" i="122"/>
  <c r="BE174" i="122"/>
  <c r="BK174" i="122" s="1"/>
  <c r="BD121" i="122"/>
  <c r="BK121" i="122"/>
  <c r="DQ81" i="121"/>
  <c r="FP81" i="121"/>
  <c r="EA69" i="121"/>
  <c r="R54" i="125"/>
  <c r="CK69" i="121"/>
  <c r="C63" i="123"/>
  <c r="C66" i="123"/>
  <c r="B66" i="123" s="1"/>
  <c r="AE41" i="64"/>
  <c r="AE39" i="64"/>
  <c r="AE42" i="64" s="1"/>
  <c r="FF41" i="123"/>
  <c r="EW42" i="123"/>
  <c r="EV41" i="123"/>
  <c r="AM215" i="120"/>
  <c r="AG224" i="120"/>
  <c r="T61" i="125"/>
  <c r="CD78" i="121"/>
  <c r="CM76" i="121"/>
  <c r="FO68" i="121"/>
  <c r="FN54" i="121" l="1"/>
  <c r="FN55" i="121" s="1"/>
  <c r="GM54" i="121"/>
  <c r="BY58" i="123"/>
  <c r="CB58" i="123"/>
  <c r="I27" i="128"/>
  <c r="N43" i="126"/>
  <c r="AM52" i="123"/>
  <c r="I42" i="127"/>
  <c r="GK66" i="123"/>
  <c r="AG57" i="126"/>
  <c r="AG226" i="120"/>
  <c r="AM226" i="120" s="1"/>
  <c r="AM224" i="120"/>
  <c r="AP126" i="122"/>
  <c r="BE124" i="122"/>
  <c r="AG42" i="65"/>
  <c r="AG40" i="65"/>
  <c r="AG43" i="65" s="1"/>
  <c r="M58" i="125"/>
  <c r="AM73" i="121"/>
  <c r="AL215" i="120"/>
  <c r="AF224" i="120"/>
  <c r="BD221" i="120"/>
  <c r="BJ221" i="120" s="1"/>
  <c r="BJ155" i="120"/>
  <c r="C78" i="121"/>
  <c r="C81" i="121"/>
  <c r="B76" i="121"/>
  <c r="AC39" i="61"/>
  <c r="AB43" i="61"/>
  <c r="Z43" i="66"/>
  <c r="Z46" i="66"/>
  <c r="Z47" i="66" s="1"/>
  <c r="AA42" i="66"/>
  <c r="DF42" i="123"/>
  <c r="B42" i="121"/>
  <c r="BH42" i="121"/>
  <c r="L42" i="121"/>
  <c r="C35" i="121"/>
  <c r="AY42" i="121"/>
  <c r="AP42" i="121"/>
  <c r="C41" i="121"/>
  <c r="U42" i="121"/>
  <c r="C32" i="121"/>
  <c r="C36" i="121"/>
  <c r="S27" i="128"/>
  <c r="AD37" i="125"/>
  <c r="GI52" i="121"/>
  <c r="L66" i="123"/>
  <c r="L63" i="123"/>
  <c r="AP63" i="123"/>
  <c r="AP66" i="123"/>
  <c r="Q49" i="126"/>
  <c r="BZ58" i="123"/>
  <c r="R40" i="125"/>
  <c r="CK55" i="121"/>
  <c r="AP215" i="120"/>
  <c r="AO149" i="120"/>
  <c r="AP158" i="120"/>
  <c r="BE149" i="120"/>
  <c r="P33" i="126"/>
  <c r="BY42" i="123"/>
  <c r="V40" i="125"/>
  <c r="DY55" i="121"/>
  <c r="GB63" i="123"/>
  <c r="AG52" i="126"/>
  <c r="GK61" i="123"/>
  <c r="AD54" i="126"/>
  <c r="FY63" i="123"/>
  <c r="AB47" i="66"/>
  <c r="AO67" i="121"/>
  <c r="AY67" i="121"/>
  <c r="AP76" i="121"/>
  <c r="AE45" i="126"/>
  <c r="GI54" i="123"/>
  <c r="FF42" i="123"/>
  <c r="FE41" i="123"/>
  <c r="FO41" i="123"/>
  <c r="AL231" i="120"/>
  <c r="BK168" i="122"/>
  <c r="BE177" i="122"/>
  <c r="AC73" i="121"/>
  <c r="Y40" i="125"/>
  <c r="EK55" i="121"/>
  <c r="B74" i="123"/>
  <c r="B63" i="123"/>
  <c r="AL168" i="122"/>
  <c r="AF177" i="122"/>
  <c r="W32" i="126"/>
  <c r="DY41" i="123"/>
  <c r="DP42" i="123"/>
  <c r="Z40" i="125"/>
  <c r="EL55" i="121"/>
  <c r="K74" i="123"/>
  <c r="K63" i="123"/>
  <c r="AF45" i="126"/>
  <c r="GJ54" i="123"/>
  <c r="CW58" i="123"/>
  <c r="DG58" i="123"/>
  <c r="DF58" i="123" s="1"/>
  <c r="AF40" i="66"/>
  <c r="AE43" i="66"/>
  <c r="AE46" i="66"/>
  <c r="AE47" i="66" s="1"/>
  <c r="Y54" i="125"/>
  <c r="GA69" i="121"/>
  <c r="EK69" i="121"/>
  <c r="T33" i="126"/>
  <c r="CL42" i="123"/>
  <c r="AB54" i="125"/>
  <c r="FX69" i="121"/>
  <c r="Z42" i="64"/>
  <c r="AA41" i="64"/>
  <c r="AO221" i="120"/>
  <c r="Q63" i="125"/>
  <c r="CA78" i="121"/>
  <c r="FO55" i="121"/>
  <c r="AB39" i="125"/>
  <c r="FX54" i="121"/>
  <c r="AB53" i="125"/>
  <c r="FX68" i="121"/>
  <c r="GA68" i="121"/>
  <c r="X54" i="125"/>
  <c r="FZ69" i="121"/>
  <c r="EJ69" i="121"/>
  <c r="AO168" i="122"/>
  <c r="AO177" i="122" s="1"/>
  <c r="AO124" i="122"/>
  <c r="FP78" i="121"/>
  <c r="AC61" i="125"/>
  <c r="FY76" i="121"/>
  <c r="AG43" i="66"/>
  <c r="AL39" i="66"/>
  <c r="AG46" i="66"/>
  <c r="AG47" i="66" s="1"/>
  <c r="AN39" i="66"/>
  <c r="T63" i="125"/>
  <c r="CM78" i="121"/>
  <c r="EV42" i="123"/>
  <c r="H38" i="127"/>
  <c r="AC66" i="125"/>
  <c r="FY81" i="121"/>
  <c r="BJ121" i="122"/>
  <c r="BD174" i="122"/>
  <c r="BJ174" i="122" s="1"/>
  <c r="CO52" i="123"/>
  <c r="AP177" i="122"/>
  <c r="AP179" i="122" s="1"/>
  <c r="BG73" i="121"/>
  <c r="BP73" i="121" s="1"/>
  <c r="BQ73" i="121"/>
  <c r="AA39" i="125"/>
  <c r="AG33" i="126"/>
  <c r="GK42" i="123"/>
  <c r="AL41" i="64"/>
  <c r="AL39" i="64"/>
  <c r="AL42" i="64" s="1"/>
  <c r="AB41" i="64"/>
  <c r="AB39" i="64"/>
  <c r="GA55" i="121"/>
  <c r="AE39" i="125"/>
  <c r="GJ54" i="121"/>
  <c r="AD57" i="126"/>
  <c r="H42" i="127"/>
  <c r="FY66" i="123"/>
  <c r="AB49" i="61"/>
  <c r="Q160" i="120"/>
  <c r="Q165" i="120"/>
  <c r="T52" i="123"/>
  <c r="U61" i="123"/>
  <c r="AO61" i="123"/>
  <c r="BN168" i="122"/>
  <c r="BM115" i="122"/>
  <c r="CL115" i="122" s="1"/>
  <c r="BN124" i="122"/>
  <c r="BN126" i="122" s="1"/>
  <c r="CX73" i="121"/>
  <c r="CN73" i="121"/>
  <c r="AA54" i="126"/>
  <c r="EL63" i="123"/>
  <c r="AF160" i="120"/>
  <c r="AL160" i="120" s="1"/>
  <c r="AL158" i="120"/>
  <c r="DO41" i="123"/>
  <c r="W66" i="125"/>
  <c r="F38" i="127"/>
  <c r="K23" i="128" s="1"/>
  <c r="DZ81" i="121"/>
  <c r="AC40" i="125"/>
  <c r="FY55" i="121"/>
  <c r="BD168" i="122"/>
  <c r="BJ115" i="122"/>
  <c r="U39" i="125"/>
  <c r="DO55" i="121"/>
  <c r="DX54" i="121"/>
  <c r="AF165" i="120"/>
  <c r="AB42" i="65"/>
  <c r="AB40" i="65"/>
  <c r="AB48" i="65" s="1"/>
  <c r="D43" i="121"/>
  <c r="AN41" i="64"/>
  <c r="AO38" i="64"/>
  <c r="AN39" i="64"/>
  <c r="E27" i="128"/>
  <c r="BC49" i="61"/>
  <c r="U67" i="121"/>
  <c r="K67" i="121"/>
  <c r="L76" i="121"/>
  <c r="T49" i="126"/>
  <c r="CL58" i="123"/>
  <c r="D38" i="127"/>
  <c r="Q66" i="125"/>
  <c r="CA81" i="121"/>
  <c r="CD81" i="121"/>
  <c r="W63" i="125"/>
  <c r="DZ78" i="121"/>
  <c r="CO42" i="121"/>
  <c r="BE43" i="61"/>
  <c r="EC78" i="121"/>
  <c r="Z61" i="125"/>
  <c r="EL76" i="121"/>
  <c r="GB55" i="121"/>
  <c r="AF39" i="125"/>
  <c r="GK54" i="121"/>
  <c r="GB76" i="121"/>
  <c r="N27" i="128"/>
  <c r="AX52" i="123"/>
  <c r="AX61" i="123" s="1"/>
  <c r="BH52" i="123"/>
  <c r="AY61" i="123"/>
  <c r="S33" i="126"/>
  <c r="CK42" i="123"/>
  <c r="EB41" i="123"/>
  <c r="C23" i="128"/>
  <c r="D23" i="128"/>
  <c r="G23" i="128"/>
  <c r="F23" i="128"/>
  <c r="H23" i="128"/>
  <c r="EA54" i="121"/>
  <c r="X53" i="125"/>
  <c r="FZ68" i="121"/>
  <c r="EJ68" i="121"/>
  <c r="EW58" i="123"/>
  <c r="EM58" i="123"/>
  <c r="BN221" i="120"/>
  <c r="EN73" i="121" s="1"/>
  <c r="BM155" i="120"/>
  <c r="BM221" i="120" s="1"/>
  <c r="BN149" i="120"/>
  <c r="AG179" i="122"/>
  <c r="AM179" i="122" s="1"/>
  <c r="AM177" i="122"/>
  <c r="AC42" i="66"/>
  <c r="AC45" i="66"/>
  <c r="AC40" i="66"/>
  <c r="CK58" i="123"/>
  <c r="S49" i="126"/>
  <c r="FN41" i="123" l="1"/>
  <c r="FW54" i="121"/>
  <c r="J27" i="128"/>
  <c r="O27" i="128" s="1"/>
  <c r="T27" i="128" s="1"/>
  <c r="AE48" i="66"/>
  <c r="E23" i="128"/>
  <c r="K38" i="127"/>
  <c r="DO58" i="123"/>
  <c r="EA58" i="123" s="1"/>
  <c r="AG48" i="65"/>
  <c r="O58" i="125"/>
  <c r="BY73" i="121"/>
  <c r="EV58" i="123"/>
  <c r="FF58" i="123"/>
  <c r="FE58" i="123" s="1"/>
  <c r="BG52" i="123"/>
  <c r="BG61" i="123" s="1"/>
  <c r="BH61" i="123"/>
  <c r="BQ61" i="123" s="1"/>
  <c r="AO63" i="123"/>
  <c r="AO74" i="123"/>
  <c r="BP61" i="123"/>
  <c r="AD54" i="125"/>
  <c r="GI69" i="121"/>
  <c r="BK177" i="122"/>
  <c r="BE179" i="122"/>
  <c r="BK179" i="122" s="1"/>
  <c r="CO67" i="121"/>
  <c r="AP224" i="120"/>
  <c r="AP226" i="120" s="1"/>
  <c r="B81" i="121"/>
  <c r="Y49" i="126"/>
  <c r="EJ58" i="123"/>
  <c r="FO58" i="123"/>
  <c r="BN215" i="120"/>
  <c r="BM149" i="120"/>
  <c r="BM215" i="120" s="1"/>
  <c r="BM224" i="120" s="1"/>
  <c r="BN158" i="120"/>
  <c r="CM158" i="120" s="1"/>
  <c r="FN58" i="123"/>
  <c r="FZ58" i="123" s="1"/>
  <c r="I23" i="128"/>
  <c r="GA41" i="123"/>
  <c r="EB42" i="123"/>
  <c r="EK41" i="123"/>
  <c r="Z32" i="126"/>
  <c r="AY63" i="123"/>
  <c r="AY66" i="123"/>
  <c r="AF61" i="125"/>
  <c r="GB78" i="121"/>
  <c r="GK76" i="121"/>
  <c r="DG42" i="121"/>
  <c r="EN42" i="121"/>
  <c r="CN42" i="121"/>
  <c r="CX42" i="121"/>
  <c r="CO36" i="121"/>
  <c r="FF42" i="121"/>
  <c r="CO35" i="121"/>
  <c r="D11" i="124"/>
  <c r="CO32" i="121"/>
  <c r="EW42" i="121"/>
  <c r="CO41" i="121"/>
  <c r="AN42" i="64"/>
  <c r="AO39" i="64"/>
  <c r="CP43" i="121"/>
  <c r="AB43" i="65"/>
  <c r="AI39" i="65"/>
  <c r="AC39" i="65"/>
  <c r="BJ168" i="122"/>
  <c r="BD177" i="122"/>
  <c r="Q23" i="128"/>
  <c r="R23" i="128"/>
  <c r="P23" i="128"/>
  <c r="M23" i="128"/>
  <c r="L23" i="128"/>
  <c r="N23" i="128" s="1"/>
  <c r="EN52" i="123"/>
  <c r="BN177" i="122"/>
  <c r="BN179" i="122" s="1"/>
  <c r="T61" i="123"/>
  <c r="AC52" i="123"/>
  <c r="P58" i="125"/>
  <c r="BZ73" i="121"/>
  <c r="AL45" i="66"/>
  <c r="AL42" i="66"/>
  <c r="AM39" i="66"/>
  <c r="AL40" i="66"/>
  <c r="AC63" i="125"/>
  <c r="FY78" i="121"/>
  <c r="DY42" i="123"/>
  <c r="W33" i="126"/>
  <c r="CB73" i="121"/>
  <c r="L58" i="125"/>
  <c r="AL73" i="121"/>
  <c r="BH67" i="121"/>
  <c r="AX67" i="121"/>
  <c r="AY76" i="121"/>
  <c r="GK63" i="123"/>
  <c r="AG54" i="126"/>
  <c r="AO215" i="120"/>
  <c r="AO224" i="120" s="1"/>
  <c r="CL149" i="120"/>
  <c r="B32" i="121"/>
  <c r="AY36" i="121"/>
  <c r="AX36" i="121" s="1"/>
  <c r="AX42" i="121"/>
  <c r="AY35" i="121"/>
  <c r="AY32" i="121"/>
  <c r="AX32" i="121" s="1"/>
  <c r="B89" i="121"/>
  <c r="B78" i="121"/>
  <c r="AG48" i="66"/>
  <c r="DP58" i="123"/>
  <c r="T67" i="121"/>
  <c r="AC67" i="121" s="1"/>
  <c r="U76" i="121"/>
  <c r="AD67" i="121"/>
  <c r="U40" i="125"/>
  <c r="DX55" i="121"/>
  <c r="DG73" i="121"/>
  <c r="DF73" i="121" s="1"/>
  <c r="CW73" i="121"/>
  <c r="DO73" i="121" s="1"/>
  <c r="K42" i="127"/>
  <c r="CL155" i="120"/>
  <c r="AC32" i="126"/>
  <c r="FO42" i="123"/>
  <c r="AC33" i="126" s="1"/>
  <c r="FX41" i="123"/>
  <c r="U32" i="121"/>
  <c r="T32" i="121" s="1"/>
  <c r="T42" i="121"/>
  <c r="U35" i="121"/>
  <c r="U36" i="121"/>
  <c r="T36" i="121" s="1"/>
  <c r="AF226" i="120"/>
  <c r="AL226" i="120" s="1"/>
  <c r="AL224" i="120"/>
  <c r="AD39" i="66"/>
  <c r="AC43" i="66"/>
  <c r="AC46" i="66"/>
  <c r="AC47" i="66" s="1"/>
  <c r="EM73" i="121"/>
  <c r="EW73" i="121"/>
  <c r="AX74" i="123"/>
  <c r="AX63" i="123"/>
  <c r="Z63" i="125"/>
  <c r="EL78" i="121"/>
  <c r="DX41" i="123"/>
  <c r="V32" i="126"/>
  <c r="DO42" i="123"/>
  <c r="EA41" i="123"/>
  <c r="AE40" i="125"/>
  <c r="GJ55" i="121"/>
  <c r="AA40" i="125"/>
  <c r="FW55" i="121"/>
  <c r="D29" i="123"/>
  <c r="AN45" i="66"/>
  <c r="AN42" i="66"/>
  <c r="AN40" i="66"/>
  <c r="AO126" i="122"/>
  <c r="AO131" i="122"/>
  <c r="BD131" i="122" s="1"/>
  <c r="BJ131" i="122" s="1"/>
  <c r="AE54" i="125"/>
  <c r="GJ69" i="121"/>
  <c r="BQ67" i="121"/>
  <c r="CM149" i="120"/>
  <c r="K66" i="123"/>
  <c r="B41" i="121"/>
  <c r="L41" i="121"/>
  <c r="C31" i="121"/>
  <c r="AY41" i="121"/>
  <c r="U41" i="121"/>
  <c r="BH41" i="121"/>
  <c r="AP41" i="121"/>
  <c r="L35" i="121"/>
  <c r="AD35" i="121" s="1"/>
  <c r="L32" i="121"/>
  <c r="K32" i="121" s="1"/>
  <c r="L36" i="121"/>
  <c r="K36" i="121" s="1"/>
  <c r="K42" i="121"/>
  <c r="CC73" i="121"/>
  <c r="BQ52" i="123"/>
  <c r="FZ54" i="121"/>
  <c r="X39" i="125"/>
  <c r="EA55" i="121"/>
  <c r="EJ54" i="121"/>
  <c r="AB40" i="125"/>
  <c r="FX55" i="121"/>
  <c r="BD149" i="120"/>
  <c r="BE215" i="120"/>
  <c r="BK149" i="120"/>
  <c r="B35" i="121"/>
  <c r="C34" i="121"/>
  <c r="AD53" i="125"/>
  <c r="GI68" i="121"/>
  <c r="AF40" i="125"/>
  <c r="GK55" i="121"/>
  <c r="E38" i="127"/>
  <c r="EC81" i="121"/>
  <c r="T66" i="125"/>
  <c r="CM81" i="121"/>
  <c r="K76" i="121"/>
  <c r="L78" i="121"/>
  <c r="L81" i="121"/>
  <c r="M43" i="121"/>
  <c r="AQ43" i="121"/>
  <c r="V43" i="121"/>
  <c r="B43" i="121"/>
  <c r="D33" i="121"/>
  <c r="BI43" i="121"/>
  <c r="AZ43" i="121"/>
  <c r="AL165" i="120"/>
  <c r="DP73" i="121"/>
  <c r="BM168" i="122"/>
  <c r="BM177" i="122" s="1"/>
  <c r="BM124" i="122"/>
  <c r="CL124" i="122" s="1"/>
  <c r="U63" i="123"/>
  <c r="U66" i="123"/>
  <c r="AD61" i="123"/>
  <c r="FN42" i="123"/>
  <c r="FW41" i="123"/>
  <c r="AB32" i="126"/>
  <c r="AB42" i="64"/>
  <c r="AC38" i="64"/>
  <c r="CX52" i="123"/>
  <c r="CN52" i="123"/>
  <c r="CN61" i="123" s="1"/>
  <c r="CO61" i="123"/>
  <c r="AO179" i="122"/>
  <c r="AO184" i="122"/>
  <c r="BD184" i="122" s="1"/>
  <c r="BJ184" i="122" s="1"/>
  <c r="AE53" i="125"/>
  <c r="GJ68" i="121"/>
  <c r="V49" i="126"/>
  <c r="DX58" i="123"/>
  <c r="AF179" i="122"/>
  <c r="AL179" i="122" s="1"/>
  <c r="AL177" i="122"/>
  <c r="FE42" i="123"/>
  <c r="AP81" i="121"/>
  <c r="AO76" i="121"/>
  <c r="AP78" i="121"/>
  <c r="AP160" i="120"/>
  <c r="AO158" i="120"/>
  <c r="BE158" i="120"/>
  <c r="AO66" i="123"/>
  <c r="B36" i="121"/>
  <c r="AP35" i="121"/>
  <c r="AP32" i="121"/>
  <c r="AP36" i="121"/>
  <c r="AO42" i="121"/>
  <c r="BG42" i="121"/>
  <c r="BH32" i="121"/>
  <c r="BG32" i="121" s="1"/>
  <c r="BH36" i="121"/>
  <c r="BG36" i="121" s="1"/>
  <c r="BH35" i="121"/>
  <c r="AC42" i="61"/>
  <c r="AC40" i="61"/>
  <c r="AC49" i="61" s="1"/>
  <c r="BK124" i="122"/>
  <c r="BE126" i="122"/>
  <c r="BK126" i="122" s="1"/>
  <c r="BD124" i="122"/>
  <c r="Z48" i="66"/>
  <c r="BP52" i="123" l="1"/>
  <c r="J23" i="128"/>
  <c r="O23" i="128" s="1"/>
  <c r="T23" i="128" s="1"/>
  <c r="S23" i="128"/>
  <c r="AD36" i="121"/>
  <c r="AE49" i="126"/>
  <c r="GI58" i="123"/>
  <c r="L52" i="125"/>
  <c r="AL67" i="121"/>
  <c r="AO32" i="121"/>
  <c r="BP32" i="121" s="1"/>
  <c r="BQ32" i="121"/>
  <c r="AO160" i="120"/>
  <c r="AO165" i="120"/>
  <c r="BD165" i="120" s="1"/>
  <c r="BJ165" i="120" s="1"/>
  <c r="CO63" i="123"/>
  <c r="CO66" i="123"/>
  <c r="AC41" i="64"/>
  <c r="AC39" i="64"/>
  <c r="AB33" i="126"/>
  <c r="FW42" i="123"/>
  <c r="BK215" i="120"/>
  <c r="BE224" i="120"/>
  <c r="B31" i="121"/>
  <c r="C37" i="121"/>
  <c r="AO35" i="121"/>
  <c r="BQ35" i="121"/>
  <c r="BZ35" i="121" s="1"/>
  <c r="AP34" i="121"/>
  <c r="AD63" i="123"/>
  <c r="AM61" i="123"/>
  <c r="N52" i="126"/>
  <c r="CC61" i="123"/>
  <c r="BM179" i="122"/>
  <c r="BM184" i="122"/>
  <c r="CB184" i="122" s="1"/>
  <c r="CH184" i="122" s="1"/>
  <c r="AX43" i="121"/>
  <c r="AZ33" i="121"/>
  <c r="V33" i="121"/>
  <c r="T43" i="121"/>
  <c r="Z66" i="125"/>
  <c r="GB81" i="121"/>
  <c r="G38" i="127"/>
  <c r="EL81" i="121"/>
  <c r="B34" i="121"/>
  <c r="BD215" i="120"/>
  <c r="BJ149" i="120"/>
  <c r="AD39" i="125"/>
  <c r="FZ55" i="121"/>
  <c r="GI54" i="121"/>
  <c r="BG41" i="121"/>
  <c r="BH31" i="121"/>
  <c r="K41" i="121"/>
  <c r="L31" i="121"/>
  <c r="BZ61" i="123"/>
  <c r="BQ63" i="123"/>
  <c r="Q52" i="126"/>
  <c r="CP29" i="123"/>
  <c r="AN46" i="66"/>
  <c r="AN47" i="66" s="1"/>
  <c r="AN43" i="66"/>
  <c r="M29" i="123"/>
  <c r="AQ29" i="123"/>
  <c r="B29" i="123"/>
  <c r="BI29" i="123"/>
  <c r="V29" i="123"/>
  <c r="D23" i="123"/>
  <c r="CC67" i="121"/>
  <c r="M52" i="125"/>
  <c r="AM67" i="121"/>
  <c r="AD76" i="121"/>
  <c r="AD32" i="121"/>
  <c r="BG67" i="121"/>
  <c r="BP67" i="121" s="1"/>
  <c r="CB67" i="121" s="1"/>
  <c r="BH76" i="121"/>
  <c r="AM40" i="66"/>
  <c r="AL46" i="66"/>
  <c r="AL43" i="66"/>
  <c r="T74" i="123"/>
  <c r="T63" i="123"/>
  <c r="AC61" i="123"/>
  <c r="AC42" i="65"/>
  <c r="AC40" i="65"/>
  <c r="AC48" i="65" s="1"/>
  <c r="CN32" i="121"/>
  <c r="CN36" i="121"/>
  <c r="DG36" i="121"/>
  <c r="DF36" i="121" s="1"/>
  <c r="DG32" i="121"/>
  <c r="DF32" i="121" s="1"/>
  <c r="DG35" i="121"/>
  <c r="DF42" i="121"/>
  <c r="AX66" i="123"/>
  <c r="Z33" i="126"/>
  <c r="EK42" i="123"/>
  <c r="BN160" i="120"/>
  <c r="CM160" i="120" s="1"/>
  <c r="BM158" i="120"/>
  <c r="BY61" i="123"/>
  <c r="P52" i="126"/>
  <c r="BP63" i="123"/>
  <c r="BP74" i="123"/>
  <c r="BY74" i="123" s="1"/>
  <c r="BG74" i="123"/>
  <c r="BG63" i="123"/>
  <c r="BD126" i="122"/>
  <c r="BJ126" i="122" s="1"/>
  <c r="BJ124" i="122"/>
  <c r="BG35" i="121"/>
  <c r="BH34" i="121"/>
  <c r="BG34" i="121" s="1"/>
  <c r="AC36" i="121"/>
  <c r="CN74" i="123"/>
  <c r="CN63" i="123"/>
  <c r="AD66" i="123"/>
  <c r="T66" i="123"/>
  <c r="AC66" i="123" s="1"/>
  <c r="V58" i="125"/>
  <c r="DY73" i="121"/>
  <c r="BG43" i="121"/>
  <c r="BI33" i="121"/>
  <c r="AO43" i="121"/>
  <c r="AQ33" i="121"/>
  <c r="K78" i="121"/>
  <c r="K89" i="121"/>
  <c r="BZ52" i="123"/>
  <c r="Q43" i="126"/>
  <c r="CC52" i="123"/>
  <c r="T41" i="121"/>
  <c r="U31" i="121"/>
  <c r="P43" i="126"/>
  <c r="BY52" i="123"/>
  <c r="U81" i="121"/>
  <c r="U78" i="121"/>
  <c r="T76" i="121"/>
  <c r="AX35" i="121"/>
  <c r="AY34" i="121"/>
  <c r="AX34" i="121" s="1"/>
  <c r="AC32" i="121"/>
  <c r="AI42" i="65"/>
  <c r="AI40" i="65"/>
  <c r="AI48" i="65" s="1"/>
  <c r="D15" i="124"/>
  <c r="D16" i="124"/>
  <c r="D13" i="124"/>
  <c r="D12" i="124"/>
  <c r="E11" i="124"/>
  <c r="D14" i="124"/>
  <c r="F11" i="124"/>
  <c r="CW42" i="121"/>
  <c r="CX32" i="121"/>
  <c r="CW32" i="121" s="1"/>
  <c r="CX35" i="121"/>
  <c r="CX36" i="121"/>
  <c r="CW36" i="121" s="1"/>
  <c r="GA42" i="123"/>
  <c r="GJ41" i="123"/>
  <c r="AF32" i="126"/>
  <c r="BM226" i="120"/>
  <c r="BM231" i="120"/>
  <c r="AC43" i="61"/>
  <c r="AD39" i="61"/>
  <c r="AO36" i="121"/>
  <c r="BP36" i="121" s="1"/>
  <c r="BY36" i="121" s="1"/>
  <c r="BQ36" i="121"/>
  <c r="BZ36" i="121" s="1"/>
  <c r="AM36" i="121"/>
  <c r="BD158" i="120"/>
  <c r="BE160" i="120"/>
  <c r="BK160" i="120" s="1"/>
  <c r="BK158" i="120"/>
  <c r="AO89" i="121"/>
  <c r="AO78" i="121"/>
  <c r="DG52" i="123"/>
  <c r="CW52" i="123"/>
  <c r="CW61" i="123" s="1"/>
  <c r="CX61" i="123"/>
  <c r="B33" i="121"/>
  <c r="D37" i="121"/>
  <c r="M33" i="121"/>
  <c r="AE33" i="121" s="1"/>
  <c r="K43" i="121"/>
  <c r="X40" i="125"/>
  <c r="EJ55" i="121"/>
  <c r="S58" i="125"/>
  <c r="EB73" i="121"/>
  <c r="CL73" i="121"/>
  <c r="K35" i="121"/>
  <c r="L34" i="121"/>
  <c r="K34" i="121" s="1"/>
  <c r="AX41" i="121"/>
  <c r="AY31" i="121"/>
  <c r="P52" i="125"/>
  <c r="BZ67" i="121"/>
  <c r="BQ76" i="121"/>
  <c r="EJ41" i="123"/>
  <c r="Y32" i="126"/>
  <c r="EA42" i="123"/>
  <c r="FZ41" i="123"/>
  <c r="FF73" i="121"/>
  <c r="FE73" i="121" s="1"/>
  <c r="EV73" i="121"/>
  <c r="AY81" i="121"/>
  <c r="AY78" i="121"/>
  <c r="AX76" i="121"/>
  <c r="EM52" i="123"/>
  <c r="EW52" i="123"/>
  <c r="EN61" i="123"/>
  <c r="BD179" i="122"/>
  <c r="BJ179" i="122" s="1"/>
  <c r="BJ177" i="122"/>
  <c r="CX41" i="121"/>
  <c r="EN41" i="121"/>
  <c r="CO31" i="121"/>
  <c r="DG41" i="121"/>
  <c r="CN41" i="121"/>
  <c r="EW41" i="121"/>
  <c r="FF41" i="121"/>
  <c r="CN35" i="121"/>
  <c r="CO34" i="121"/>
  <c r="AF63" i="125"/>
  <c r="GK78" i="121"/>
  <c r="EN67" i="121"/>
  <c r="BN224" i="120"/>
  <c r="BN226" i="120" s="1"/>
  <c r="AO81" i="121"/>
  <c r="BM131" i="122"/>
  <c r="CB131" i="122" s="1"/>
  <c r="CH131" i="122" s="1"/>
  <c r="BM126" i="122"/>
  <c r="CL126" i="122" s="1"/>
  <c r="K81" i="121"/>
  <c r="CC35" i="121"/>
  <c r="AM35" i="121"/>
  <c r="AP31" i="121"/>
  <c r="AO41" i="121"/>
  <c r="V33" i="126"/>
  <c r="DX42" i="123"/>
  <c r="AD42" i="66"/>
  <c r="AD45" i="66"/>
  <c r="AD40" i="66"/>
  <c r="U34" i="121"/>
  <c r="T34" i="121" s="1"/>
  <c r="T35" i="121"/>
  <c r="DY58" i="123"/>
  <c r="W49" i="126"/>
  <c r="EB58" i="123"/>
  <c r="AO231" i="120"/>
  <c r="BD231" i="120" s="1"/>
  <c r="BJ231" i="120" s="1"/>
  <c r="AO226" i="120"/>
  <c r="EA73" i="121"/>
  <c r="R58" i="125"/>
  <c r="CK73" i="121"/>
  <c r="M43" i="126"/>
  <c r="AL52" i="123"/>
  <c r="CB52" i="123"/>
  <c r="U58" i="125"/>
  <c r="DX73" i="121"/>
  <c r="D28" i="124"/>
  <c r="CN43" i="121"/>
  <c r="DH43" i="121"/>
  <c r="CP33" i="121"/>
  <c r="CY43" i="121"/>
  <c r="EX43" i="121"/>
  <c r="EO43" i="121"/>
  <c r="FG43" i="121"/>
  <c r="EV42" i="121"/>
  <c r="EW36" i="121"/>
  <c r="EV36" i="121" s="1"/>
  <c r="EW35" i="121"/>
  <c r="EW32" i="121"/>
  <c r="EV32" i="121" s="1"/>
  <c r="FF35" i="121"/>
  <c r="FE42" i="121"/>
  <c r="FF32" i="121"/>
  <c r="FE32" i="121" s="1"/>
  <c r="FF36" i="121"/>
  <c r="FE36" i="121" s="1"/>
  <c r="EN36" i="121"/>
  <c r="EN35" i="121"/>
  <c r="EN32" i="121"/>
  <c r="EM42" i="121"/>
  <c r="AB49" i="126"/>
  <c r="FW58" i="123"/>
  <c r="AC49" i="126"/>
  <c r="FX58" i="123"/>
  <c r="CX67" i="121"/>
  <c r="CN67" i="121"/>
  <c r="CO76" i="121"/>
  <c r="BH63" i="123"/>
  <c r="BH66" i="123"/>
  <c r="AC48" i="66"/>
  <c r="GM73" i="121" l="1"/>
  <c r="DP35" i="121"/>
  <c r="DY35" i="121" s="1"/>
  <c r="AD31" i="121"/>
  <c r="C24" i="127" s="1"/>
  <c r="G11" i="124"/>
  <c r="R52" i="125"/>
  <c r="CK67" i="121"/>
  <c r="EX33" i="121"/>
  <c r="EV43" i="121"/>
  <c r="S43" i="126"/>
  <c r="CK52" i="123"/>
  <c r="FO32" i="121"/>
  <c r="EM32" i="121"/>
  <c r="FN32" i="121" s="1"/>
  <c r="EW34" i="121"/>
  <c r="EV34" i="121" s="1"/>
  <c r="EV35" i="121"/>
  <c r="EO33" i="121"/>
  <c r="EM43" i="121"/>
  <c r="DF43" i="121"/>
  <c r="DH33" i="121"/>
  <c r="FE41" i="121"/>
  <c r="FF31" i="121"/>
  <c r="CN31" i="121"/>
  <c r="CO37" i="121"/>
  <c r="EM61" i="123"/>
  <c r="Y33" i="126"/>
  <c r="EJ42" i="123"/>
  <c r="K33" i="121"/>
  <c r="M37" i="121"/>
  <c r="CX63" i="123"/>
  <c r="CX66" i="123"/>
  <c r="CC36" i="121"/>
  <c r="AD42" i="61"/>
  <c r="AD40" i="61"/>
  <c r="AD43" i="61" s="1"/>
  <c r="CB231" i="120"/>
  <c r="CH231" i="120" s="1"/>
  <c r="AF33" i="126"/>
  <c r="GJ42" i="123"/>
  <c r="E12" i="124"/>
  <c r="F12" i="124"/>
  <c r="AP39" i="65"/>
  <c r="AI43" i="65"/>
  <c r="AN39" i="65"/>
  <c r="AL32" i="121"/>
  <c r="CB32" i="121"/>
  <c r="T78" i="121"/>
  <c r="T89" i="121"/>
  <c r="BG33" i="121"/>
  <c r="BI37" i="121"/>
  <c r="DP36" i="121"/>
  <c r="DY36" i="121" s="1"/>
  <c r="AC43" i="65"/>
  <c r="AD39" i="65"/>
  <c r="AC74" i="123"/>
  <c r="AL74" i="123" s="1"/>
  <c r="AL61" i="123"/>
  <c r="AC63" i="123"/>
  <c r="M52" i="126"/>
  <c r="CB61" i="123"/>
  <c r="AL47" i="66"/>
  <c r="AL48" i="66"/>
  <c r="CC32" i="121"/>
  <c r="AM32" i="121"/>
  <c r="S52" i="125"/>
  <c r="CL67" i="121"/>
  <c r="CC76" i="121"/>
  <c r="CN66" i="123"/>
  <c r="EN34" i="121"/>
  <c r="FO35" i="121"/>
  <c r="FX35" i="121" s="1"/>
  <c r="EM35" i="121"/>
  <c r="EK58" i="123"/>
  <c r="Z49" i="126"/>
  <c r="GA58" i="123"/>
  <c r="EV41" i="121"/>
  <c r="EW31" i="121"/>
  <c r="EN63" i="123"/>
  <c r="EN66" i="123"/>
  <c r="AX89" i="121"/>
  <c r="AX78" i="121"/>
  <c r="AN33" i="121"/>
  <c r="AE43" i="121"/>
  <c r="AN43" i="121" s="1"/>
  <c r="CW63" i="123"/>
  <c r="CW74" i="123"/>
  <c r="E13" i="124"/>
  <c r="F13" i="124"/>
  <c r="T31" i="121"/>
  <c r="U37" i="121"/>
  <c r="AD37" i="121" s="1"/>
  <c r="AL66" i="123"/>
  <c r="M57" i="126"/>
  <c r="DG34" i="121"/>
  <c r="DF34" i="121" s="1"/>
  <c r="DF35" i="121"/>
  <c r="DO36" i="121"/>
  <c r="DX36" i="121" s="1"/>
  <c r="M61" i="125"/>
  <c r="AD78" i="121"/>
  <c r="AC76" i="121"/>
  <c r="AM76" i="121"/>
  <c r="D25" i="123"/>
  <c r="B23" i="123"/>
  <c r="AO29" i="123"/>
  <c r="AQ23" i="123"/>
  <c r="D62" i="124"/>
  <c r="CY29" i="123"/>
  <c r="EO29" i="123"/>
  <c r="DH29" i="123"/>
  <c r="FG29" i="123"/>
  <c r="CN29" i="123"/>
  <c r="EX29" i="123"/>
  <c r="CP23" i="123"/>
  <c r="K31" i="121"/>
  <c r="L37" i="121"/>
  <c r="BJ215" i="120"/>
  <c r="BD224" i="120"/>
  <c r="V37" i="121"/>
  <c r="T33" i="121"/>
  <c r="N54" i="126"/>
  <c r="AM63" i="123"/>
  <c r="BP35" i="121"/>
  <c r="BY35" i="121" s="1"/>
  <c r="BE226" i="120"/>
  <c r="BK226" i="120" s="1"/>
  <c r="BK224" i="120"/>
  <c r="AD38" i="64"/>
  <c r="AC42" i="64"/>
  <c r="BZ32" i="121"/>
  <c r="BG66" i="123"/>
  <c r="BP66" i="123" s="1"/>
  <c r="BQ66" i="123"/>
  <c r="CW67" i="121"/>
  <c r="DG67" i="121"/>
  <c r="DP67" i="121" s="1"/>
  <c r="CX76" i="121"/>
  <c r="CN34" i="121"/>
  <c r="EM36" i="121"/>
  <c r="FN36" i="121" s="1"/>
  <c r="FW36" i="121" s="1"/>
  <c r="FO36" i="121"/>
  <c r="FX36" i="121" s="1"/>
  <c r="CW43" i="121"/>
  <c r="CY33" i="121"/>
  <c r="AD43" i="66"/>
  <c r="AD46" i="66"/>
  <c r="FN73" i="121"/>
  <c r="EM67" i="121"/>
  <c r="EW67" i="121"/>
  <c r="EN76" i="121"/>
  <c r="CX31" i="121"/>
  <c r="CW41" i="121"/>
  <c r="AX31" i="121"/>
  <c r="AY37" i="121"/>
  <c r="D82" i="121"/>
  <c r="D38" i="121"/>
  <c r="DF52" i="123"/>
  <c r="DG61" i="123"/>
  <c r="DP61" i="123" s="1"/>
  <c r="CW35" i="121"/>
  <c r="CX34" i="121"/>
  <c r="CW34" i="121" s="1"/>
  <c r="E14" i="124"/>
  <c r="F14" i="124"/>
  <c r="E16" i="124"/>
  <c r="F16" i="124"/>
  <c r="T81" i="121"/>
  <c r="AC81" i="121" s="1"/>
  <c r="AC35" i="121"/>
  <c r="AQ37" i="121"/>
  <c r="AO33" i="121"/>
  <c r="BR33" i="121"/>
  <c r="CD33" i="121" s="1"/>
  <c r="C41" i="127"/>
  <c r="AM66" i="123"/>
  <c r="N57" i="126"/>
  <c r="GM36" i="121"/>
  <c r="BM160" i="120"/>
  <c r="CL160" i="120" s="1"/>
  <c r="BM165" i="120"/>
  <c r="CB165" i="120" s="1"/>
  <c r="CH165" i="120" s="1"/>
  <c r="DP32" i="121"/>
  <c r="BH78" i="121"/>
  <c r="BG76" i="121"/>
  <c r="BH81" i="121"/>
  <c r="T29" i="123"/>
  <c r="V23" i="123"/>
  <c r="K29" i="123"/>
  <c r="AZ29" i="123"/>
  <c r="M23" i="123"/>
  <c r="AD40" i="125"/>
  <c r="GI55" i="121"/>
  <c r="AD34" i="121"/>
  <c r="I38" i="127"/>
  <c r="AF66" i="125"/>
  <c r="GK81" i="121"/>
  <c r="AX33" i="121"/>
  <c r="AZ37" i="121"/>
  <c r="T52" i="126"/>
  <c r="CL61" i="123"/>
  <c r="CC63" i="123"/>
  <c r="B37" i="121"/>
  <c r="C38" i="121"/>
  <c r="C82" i="121"/>
  <c r="CL158" i="120"/>
  <c r="BY32" i="121"/>
  <c r="AD81" i="121"/>
  <c r="FO73" i="121"/>
  <c r="CL35" i="121"/>
  <c r="EN31" i="121"/>
  <c r="EM41" i="121"/>
  <c r="FE35" i="121"/>
  <c r="FF34" i="121"/>
  <c r="FE34" i="121" s="1"/>
  <c r="D31" i="124"/>
  <c r="D30" i="124"/>
  <c r="D33" i="124"/>
  <c r="D29" i="124"/>
  <c r="D32" i="124"/>
  <c r="F28" i="124"/>
  <c r="E28" i="124"/>
  <c r="X58" i="125"/>
  <c r="FZ73" i="121"/>
  <c r="EJ73" i="121"/>
  <c r="CO78" i="121"/>
  <c r="CO81" i="121"/>
  <c r="CN76" i="121"/>
  <c r="FE43" i="121"/>
  <c r="FG33" i="121"/>
  <c r="CP37" i="121"/>
  <c r="CN33" i="121"/>
  <c r="BQ31" i="121"/>
  <c r="CC31" i="121" s="1"/>
  <c r="AP37" i="121"/>
  <c r="AO31" i="121"/>
  <c r="DO35" i="121"/>
  <c r="DX35" i="121" s="1"/>
  <c r="DG31" i="121"/>
  <c r="DF41" i="121"/>
  <c r="EV52" i="123"/>
  <c r="FF52" i="123"/>
  <c r="EW61" i="123"/>
  <c r="AX81" i="121"/>
  <c r="FZ42" i="123"/>
  <c r="GI41" i="123"/>
  <c r="AE32" i="126"/>
  <c r="P61" i="125"/>
  <c r="BQ78" i="121"/>
  <c r="BP76" i="121"/>
  <c r="BZ76" i="121"/>
  <c r="Y58" i="125"/>
  <c r="EK73" i="121"/>
  <c r="AC33" i="121"/>
  <c r="BD160" i="120"/>
  <c r="BJ160" i="120" s="1"/>
  <c r="BJ158" i="120"/>
  <c r="E15" i="124"/>
  <c r="F15" i="124"/>
  <c r="T43" i="126"/>
  <c r="CL52" i="123"/>
  <c r="CB36" i="121"/>
  <c r="AL36" i="121"/>
  <c r="BY63" i="123"/>
  <c r="P54" i="126"/>
  <c r="DO32" i="121"/>
  <c r="O52" i="125"/>
  <c r="BY67" i="121"/>
  <c r="BG29" i="123"/>
  <c r="BI23" i="123"/>
  <c r="BZ63" i="123"/>
  <c r="Q54" i="126"/>
  <c r="BH37" i="121"/>
  <c r="BG31" i="121"/>
  <c r="AC34" i="121"/>
  <c r="AC42" i="121" s="1"/>
  <c r="AL42" i="121" s="1"/>
  <c r="BQ34" i="121"/>
  <c r="BZ34" i="121" s="1"/>
  <c r="AO34" i="121"/>
  <c r="BP34" i="121" s="1"/>
  <c r="BY34" i="121" s="1"/>
  <c r="AC31" i="121"/>
  <c r="AN48" i="66"/>
  <c r="DP52" i="123"/>
  <c r="EB35" i="121" l="1"/>
  <c r="AD41" i="121"/>
  <c r="AM41" i="121" s="1"/>
  <c r="AE37" i="121"/>
  <c r="AM31" i="121"/>
  <c r="G28" i="124"/>
  <c r="AE23" i="123"/>
  <c r="AN23" i="123" s="1"/>
  <c r="BP33" i="121"/>
  <c r="G15" i="124"/>
  <c r="GM35" i="121"/>
  <c r="BP42" i="121"/>
  <c r="BY42" i="121" s="1"/>
  <c r="BP31" i="121"/>
  <c r="G14" i="124"/>
  <c r="DP34" i="121"/>
  <c r="DY34" i="121" s="1"/>
  <c r="G13" i="124"/>
  <c r="DP63" i="123"/>
  <c r="DY61" i="123"/>
  <c r="W52" i="126"/>
  <c r="EB61" i="123"/>
  <c r="CC41" i="121"/>
  <c r="CL41" i="121" s="1"/>
  <c r="E24" i="127"/>
  <c r="CL31" i="121"/>
  <c r="CD43" i="121"/>
  <c r="CM33" i="121"/>
  <c r="E30" i="124"/>
  <c r="F30" i="124"/>
  <c r="B38" i="121"/>
  <c r="V52" i="125"/>
  <c r="DY67" i="121"/>
  <c r="DP76" i="121"/>
  <c r="DF67" i="121"/>
  <c r="DO67" i="121" s="1"/>
  <c r="DG76" i="121"/>
  <c r="DF29" i="123"/>
  <c r="DH23" i="123"/>
  <c r="FO34" i="121"/>
  <c r="FX34" i="121" s="1"/>
  <c r="EM34" i="121"/>
  <c r="FE31" i="121"/>
  <c r="FF37" i="121"/>
  <c r="FW32" i="121"/>
  <c r="L66" i="125"/>
  <c r="AL81" i="121"/>
  <c r="GM32" i="121"/>
  <c r="EB52" i="123"/>
  <c r="W43" i="126"/>
  <c r="DY52" i="123"/>
  <c r="CN89" i="121"/>
  <c r="CN78" i="121"/>
  <c r="BI25" i="123"/>
  <c r="BG23" i="123"/>
  <c r="O61" i="125"/>
  <c r="BP78" i="121"/>
  <c r="BP89" i="121"/>
  <c r="BY89" i="121" s="1"/>
  <c r="BY76" i="121"/>
  <c r="EW66" i="123"/>
  <c r="EV66" i="123" s="1"/>
  <c r="EW63" i="123"/>
  <c r="DG37" i="121"/>
  <c r="DF31" i="121"/>
  <c r="AP82" i="121"/>
  <c r="BQ37" i="121"/>
  <c r="AP38" i="121"/>
  <c r="AO37" i="121"/>
  <c r="CP38" i="121"/>
  <c r="CP82" i="121"/>
  <c r="CN81" i="121"/>
  <c r="E29" i="124"/>
  <c r="F29" i="124"/>
  <c r="T54" i="126"/>
  <c r="CL63" i="123"/>
  <c r="AM34" i="121"/>
  <c r="CC34" i="121"/>
  <c r="AX29" i="123"/>
  <c r="AZ23" i="123"/>
  <c r="BG81" i="121"/>
  <c r="BP81" i="121" s="1"/>
  <c r="BQ81" i="121"/>
  <c r="AQ38" i="121"/>
  <c r="BR37" i="121"/>
  <c r="AQ82" i="121"/>
  <c r="G16" i="124"/>
  <c r="AD47" i="66"/>
  <c r="AD48" i="66"/>
  <c r="DO34" i="121"/>
  <c r="DX34" i="121" s="1"/>
  <c r="CC66" i="123"/>
  <c r="BZ66" i="123"/>
  <c r="Q57" i="126"/>
  <c r="D41" i="127"/>
  <c r="D40" i="127" s="1"/>
  <c r="K37" i="121"/>
  <c r="K38" i="121" s="1"/>
  <c r="L38" i="121"/>
  <c r="L82" i="121"/>
  <c r="CW29" i="123"/>
  <c r="CY23" i="123"/>
  <c r="AC89" i="121"/>
  <c r="AL89" i="121" s="1"/>
  <c r="L61" i="125"/>
  <c r="AC78" i="121"/>
  <c r="AL76" i="121"/>
  <c r="FN35" i="121"/>
  <c r="FW35" i="121" s="1"/>
  <c r="EB67" i="121"/>
  <c r="CC42" i="121"/>
  <c r="CL32" i="121"/>
  <c r="EB32" i="121"/>
  <c r="AD42" i="65"/>
  <c r="AD40" i="65"/>
  <c r="AD48" i="65" s="1"/>
  <c r="C30" i="123"/>
  <c r="AP42" i="65"/>
  <c r="AP40" i="65"/>
  <c r="AP48" i="65" s="1"/>
  <c r="AD49" i="61"/>
  <c r="M38" i="121"/>
  <c r="M82" i="121"/>
  <c r="M83" i="121" s="1"/>
  <c r="M84" i="121" s="1"/>
  <c r="CO38" i="121"/>
  <c r="CN37" i="121"/>
  <c r="CO82" i="121"/>
  <c r="DH37" i="121"/>
  <c r="DF33" i="121"/>
  <c r="CB31" i="121"/>
  <c r="AL31" i="121"/>
  <c r="AC41" i="121"/>
  <c r="AL41" i="121" s="1"/>
  <c r="CB33" i="121"/>
  <c r="AC43" i="121"/>
  <c r="AL43" i="121" s="1"/>
  <c r="AL33" i="121"/>
  <c r="EV61" i="123"/>
  <c r="AB58" i="125"/>
  <c r="FX73" i="121"/>
  <c r="AE38" i="121"/>
  <c r="AN38" i="121" s="1"/>
  <c r="AN37" i="121"/>
  <c r="CD37" i="121"/>
  <c r="C25" i="127"/>
  <c r="CW33" i="121"/>
  <c r="CY37" i="121"/>
  <c r="DQ37" i="121" s="1"/>
  <c r="P57" i="126"/>
  <c r="BY66" i="123"/>
  <c r="CN23" i="123"/>
  <c r="CP25" i="123"/>
  <c r="AO23" i="123"/>
  <c r="BR23" i="123"/>
  <c r="AQ25" i="123"/>
  <c r="CB66" i="123"/>
  <c r="AN42" i="65"/>
  <c r="AN40" i="65"/>
  <c r="AN43" i="65" s="1"/>
  <c r="BH38" i="121"/>
  <c r="BG37" i="121"/>
  <c r="BG38" i="121" s="1"/>
  <c r="BH82" i="121"/>
  <c r="DX32" i="121"/>
  <c r="EA36" i="121"/>
  <c r="CK36" i="121"/>
  <c r="GA73" i="121"/>
  <c r="P63" i="125"/>
  <c r="BZ78" i="121"/>
  <c r="AE33" i="126"/>
  <c r="GI42" i="123"/>
  <c r="FE52" i="123"/>
  <c r="FE61" i="123" s="1"/>
  <c r="FF61" i="123"/>
  <c r="FO52" i="123"/>
  <c r="BQ41" i="121"/>
  <c r="BZ41" i="121" s="1"/>
  <c r="BZ31" i="121"/>
  <c r="D24" i="127"/>
  <c r="FE33" i="121"/>
  <c r="FG37" i="121"/>
  <c r="E33" i="124"/>
  <c r="F33" i="124"/>
  <c r="GA35" i="121"/>
  <c r="GJ35" i="121" s="1"/>
  <c r="EK35" i="121"/>
  <c r="AD38" i="121"/>
  <c r="AM38" i="121" s="1"/>
  <c r="AM37" i="121"/>
  <c r="C23" i="127"/>
  <c r="CC37" i="121"/>
  <c r="BG78" i="121"/>
  <c r="BG89" i="121"/>
  <c r="C40" i="127"/>
  <c r="B26" i="128"/>
  <c r="CB35" i="121"/>
  <c r="AL35" i="121"/>
  <c r="D83" i="121"/>
  <c r="EV67" i="121"/>
  <c r="FF67" i="121"/>
  <c r="EW76" i="121"/>
  <c r="CX78" i="121"/>
  <c r="CX81" i="121"/>
  <c r="CW76" i="121"/>
  <c r="V38" i="121"/>
  <c r="V82" i="121"/>
  <c r="V83" i="121" s="1"/>
  <c r="V84" i="121" s="1"/>
  <c r="FE29" i="123"/>
  <c r="FG23" i="123"/>
  <c r="D65" i="124"/>
  <c r="D64" i="124"/>
  <c r="D67" i="124"/>
  <c r="D63" i="124"/>
  <c r="D66" i="124"/>
  <c r="F62" i="124"/>
  <c r="E62" i="124"/>
  <c r="M63" i="125"/>
  <c r="AM78" i="121"/>
  <c r="U82" i="121"/>
  <c r="T37" i="121"/>
  <c r="T38" i="121" s="1"/>
  <c r="U38" i="121"/>
  <c r="EM66" i="123"/>
  <c r="GJ58" i="123"/>
  <c r="AF49" i="126"/>
  <c r="M54" i="126"/>
  <c r="AL63" i="123"/>
  <c r="G12" i="124"/>
  <c r="CL36" i="121"/>
  <c r="EB36" i="121"/>
  <c r="EM63" i="123"/>
  <c r="EM74" i="123"/>
  <c r="EV33" i="121"/>
  <c r="EX37" i="121"/>
  <c r="DG66" i="123"/>
  <c r="DG63" i="123"/>
  <c r="AD41" i="64"/>
  <c r="AD39" i="64"/>
  <c r="AD42" i="64" s="1"/>
  <c r="DO33" i="121"/>
  <c r="T23" i="123"/>
  <c r="V25" i="123"/>
  <c r="CA33" i="121"/>
  <c r="BR43" i="121"/>
  <c r="CA43" i="121" s="1"/>
  <c r="CW31" i="121"/>
  <c r="CX37" i="121"/>
  <c r="BD226" i="120"/>
  <c r="BJ226" i="120" s="1"/>
  <c r="BJ224" i="120"/>
  <c r="D26" i="123"/>
  <c r="D67" i="123"/>
  <c r="D68" i="123" s="1"/>
  <c r="CC78" i="121"/>
  <c r="S61" i="125"/>
  <c r="CB76" i="121"/>
  <c r="CL76" i="121"/>
  <c r="CW66" i="123"/>
  <c r="AL34" i="121"/>
  <c r="CB34" i="121"/>
  <c r="BY31" i="121"/>
  <c r="BP41" i="121"/>
  <c r="BY41" i="121" s="1"/>
  <c r="DQ33" i="121"/>
  <c r="EC33" i="121" s="1"/>
  <c r="AD58" i="125"/>
  <c r="GI73" i="121"/>
  <c r="F32" i="124"/>
  <c r="G32" i="124" s="1"/>
  <c r="E32" i="124"/>
  <c r="E31" i="124"/>
  <c r="F31" i="124"/>
  <c r="FO31" i="121"/>
  <c r="EN37" i="121"/>
  <c r="EM31" i="121"/>
  <c r="CC81" i="121"/>
  <c r="M66" i="125"/>
  <c r="C37" i="127"/>
  <c r="AM81" i="121"/>
  <c r="B82" i="121"/>
  <c r="C83" i="121"/>
  <c r="AZ38" i="121"/>
  <c r="AZ82" i="121"/>
  <c r="AZ83" i="121" s="1"/>
  <c r="AZ84" i="121" s="1"/>
  <c r="K23" i="123"/>
  <c r="AC23" i="123" s="1"/>
  <c r="M25" i="123"/>
  <c r="AE25" i="123" s="1"/>
  <c r="DY32" i="121"/>
  <c r="DP42" i="121"/>
  <c r="DY42" i="121" s="1"/>
  <c r="BP43" i="121"/>
  <c r="BY43" i="121" s="1"/>
  <c r="BY33" i="121"/>
  <c r="DO52" i="123"/>
  <c r="DF61" i="123"/>
  <c r="AY38" i="121"/>
  <c r="AX37" i="121"/>
  <c r="AX38" i="121" s="1"/>
  <c r="AY82" i="121"/>
  <c r="EN78" i="121"/>
  <c r="EN81" i="121"/>
  <c r="EM76" i="121"/>
  <c r="AA58" i="125"/>
  <c r="FW73" i="121"/>
  <c r="BQ42" i="121"/>
  <c r="BZ42" i="121" s="1"/>
  <c r="EV29" i="123"/>
  <c r="EX23" i="123"/>
  <c r="EM29" i="123"/>
  <c r="EO23" i="123"/>
  <c r="EW37" i="121"/>
  <c r="EV31" i="121"/>
  <c r="AD42" i="121"/>
  <c r="AM42" i="121" s="1"/>
  <c r="CB74" i="123"/>
  <c r="CK74" i="123" s="1"/>
  <c r="S52" i="126"/>
  <c r="CK61" i="123"/>
  <c r="CB63" i="123"/>
  <c r="BI38" i="121"/>
  <c r="BI82" i="121"/>
  <c r="BI83" i="121" s="1"/>
  <c r="BI84" i="121" s="1"/>
  <c r="EA32" i="121"/>
  <c r="CB42" i="121"/>
  <c r="CK42" i="121" s="1"/>
  <c r="CK32" i="121"/>
  <c r="DP31" i="121"/>
  <c r="EO37" i="121"/>
  <c r="FP33" i="121"/>
  <c r="EM33" i="121"/>
  <c r="FN33" i="121" s="1"/>
  <c r="FO42" i="121"/>
  <c r="FX42" i="121" s="1"/>
  <c r="FX32" i="121"/>
  <c r="AE29" i="123" l="1"/>
  <c r="AN29" i="123" s="1"/>
  <c r="AN48" i="65"/>
  <c r="GM33" i="121"/>
  <c r="DQ23" i="123"/>
  <c r="DQ29" i="123" s="1"/>
  <c r="DZ29" i="123" s="1"/>
  <c r="AD82" i="121"/>
  <c r="M67" i="125" s="1"/>
  <c r="DO42" i="121"/>
  <c r="DX42" i="121" s="1"/>
  <c r="GM31" i="121"/>
  <c r="G62" i="124"/>
  <c r="DZ23" i="123"/>
  <c r="U52" i="125"/>
  <c r="DX67" i="121"/>
  <c r="EA67" i="121"/>
  <c r="AL23" i="123"/>
  <c r="AC29" i="123"/>
  <c r="AL29" i="123" s="1"/>
  <c r="FZ32" i="121"/>
  <c r="EJ32" i="121"/>
  <c r="V43" i="126"/>
  <c r="DX52" i="123"/>
  <c r="EA52" i="123"/>
  <c r="FN31" i="121"/>
  <c r="DO31" i="121"/>
  <c r="EA31" i="121" s="1"/>
  <c r="T82" i="121"/>
  <c r="U83" i="121"/>
  <c r="S57" i="126"/>
  <c r="CK66" i="123"/>
  <c r="CD38" i="121"/>
  <c r="CM38" i="121" s="1"/>
  <c r="E25" i="127"/>
  <c r="EC37" i="121"/>
  <c r="CM37" i="121"/>
  <c r="CB41" i="121"/>
  <c r="CK41" i="121" s="1"/>
  <c r="CK31" i="121"/>
  <c r="DQ38" i="121"/>
  <c r="DZ38" i="121" s="1"/>
  <c r="F25" i="127"/>
  <c r="K11" i="128" s="1"/>
  <c r="DZ37" i="121"/>
  <c r="FW33" i="121"/>
  <c r="FN43" i="121"/>
  <c r="FW43" i="121" s="1"/>
  <c r="FP23" i="123"/>
  <c r="EM23" i="123"/>
  <c r="EO25" i="123"/>
  <c r="EM81" i="121"/>
  <c r="FX31" i="121"/>
  <c r="H24" i="127"/>
  <c r="FO41" i="121"/>
  <c r="FX41" i="121" s="1"/>
  <c r="D69" i="123"/>
  <c r="EX82" i="121"/>
  <c r="EX83" i="121" s="1"/>
  <c r="EX84" i="121" s="1"/>
  <c r="EX38" i="121"/>
  <c r="F63" i="124"/>
  <c r="E63" i="124"/>
  <c r="FE23" i="123"/>
  <c r="FG25" i="123"/>
  <c r="CW89" i="121"/>
  <c r="CW78" i="121"/>
  <c r="FE67" i="121"/>
  <c r="FN67" i="121" s="1"/>
  <c r="FF76" i="121"/>
  <c r="B10" i="128"/>
  <c r="C22" i="127"/>
  <c r="AC43" i="126"/>
  <c r="FX52" i="123"/>
  <c r="BG82" i="121"/>
  <c r="BR29" i="123"/>
  <c r="CA29" i="123" s="1"/>
  <c r="CA23" i="123"/>
  <c r="DH82" i="121"/>
  <c r="DH83" i="121" s="1"/>
  <c r="DH84" i="121" s="1"/>
  <c r="DH38" i="121"/>
  <c r="GA32" i="121"/>
  <c r="EK32" i="121"/>
  <c r="CW23" i="123"/>
  <c r="DO23" i="123" s="1"/>
  <c r="CY25" i="123"/>
  <c r="CL66" i="123"/>
  <c r="T57" i="126"/>
  <c r="E41" i="127"/>
  <c r="E40" i="127" s="1"/>
  <c r="P66" i="125"/>
  <c r="D37" i="127"/>
  <c r="D36" i="127" s="1"/>
  <c r="D35" i="127" s="1"/>
  <c r="BZ81" i="121"/>
  <c r="BQ82" i="121"/>
  <c r="AO82" i="121"/>
  <c r="AP83" i="121"/>
  <c r="FN34" i="121"/>
  <c r="GM34" i="121"/>
  <c r="DF76" i="121"/>
  <c r="DG78" i="121"/>
  <c r="DG81" i="121"/>
  <c r="AC37" i="121"/>
  <c r="FO67" i="121"/>
  <c r="GA67" i="121" s="1"/>
  <c r="W54" i="126"/>
  <c r="DY63" i="123"/>
  <c r="AX82" i="121"/>
  <c r="AY83" i="121"/>
  <c r="GA36" i="121"/>
  <c r="GJ36" i="121" s="1"/>
  <c r="EK36" i="121"/>
  <c r="D84" i="121"/>
  <c r="AE83" i="121"/>
  <c r="O66" i="125"/>
  <c r="BY81" i="121"/>
  <c r="CB81" i="121"/>
  <c r="FP43" i="121"/>
  <c r="FY43" i="121" s="1"/>
  <c r="FY33" i="121"/>
  <c r="CK63" i="123"/>
  <c r="S54" i="126"/>
  <c r="DF63" i="123"/>
  <c r="DF74" i="123"/>
  <c r="DO61" i="123"/>
  <c r="S66" i="125"/>
  <c r="E37" i="127"/>
  <c r="E36" i="127" s="1"/>
  <c r="CL81" i="121"/>
  <c r="G31" i="124"/>
  <c r="FN52" i="123"/>
  <c r="CB89" i="121"/>
  <c r="CK89" i="121" s="1"/>
  <c r="CB78" i="121"/>
  <c r="R61" i="125"/>
  <c r="CK76" i="121"/>
  <c r="AN25" i="123"/>
  <c r="C30" i="127"/>
  <c r="AE26" i="123"/>
  <c r="AN26" i="123" s="1"/>
  <c r="CW37" i="121"/>
  <c r="CW38" i="121" s="1"/>
  <c r="CX38" i="121"/>
  <c r="CX82" i="121"/>
  <c r="V26" i="123"/>
  <c r="V67" i="123"/>
  <c r="F67" i="124"/>
  <c r="G67" i="124" s="1"/>
  <c r="E67" i="124"/>
  <c r="CW81" i="121"/>
  <c r="CX83" i="121"/>
  <c r="CK35" i="121"/>
  <c r="EA35" i="121"/>
  <c r="G33" i="124"/>
  <c r="FF63" i="123"/>
  <c r="FF66" i="123"/>
  <c r="FZ36" i="121"/>
  <c r="GI36" i="121" s="1"/>
  <c r="EJ36" i="121"/>
  <c r="B11" i="128"/>
  <c r="DP37" i="121"/>
  <c r="GM67" i="121"/>
  <c r="AP43" i="65"/>
  <c r="CO30" i="123"/>
  <c r="AD43" i="65"/>
  <c r="AE39" i="65"/>
  <c r="FO61" i="123"/>
  <c r="GA61" i="123" s="1"/>
  <c r="BR82" i="121"/>
  <c r="AQ83" i="121"/>
  <c r="BH83" i="121"/>
  <c r="EB34" i="121"/>
  <c r="CL34" i="121"/>
  <c r="G29" i="124"/>
  <c r="DP81" i="121"/>
  <c r="EB81" i="121" s="1"/>
  <c r="BP37" i="121"/>
  <c r="AO38" i="121"/>
  <c r="G30" i="124"/>
  <c r="Z52" i="126"/>
  <c r="EB63" i="123"/>
  <c r="EK61" i="123"/>
  <c r="F64" i="124"/>
  <c r="G64" i="124" s="1"/>
  <c r="E64" i="124"/>
  <c r="K82" i="121"/>
  <c r="AC82" i="121" s="1"/>
  <c r="L83" i="121"/>
  <c r="DF37" i="121"/>
  <c r="DF38" i="121" s="1"/>
  <c r="DG82" i="121"/>
  <c r="DG38" i="121"/>
  <c r="BI26" i="123"/>
  <c r="BI67" i="123"/>
  <c r="DH25" i="123"/>
  <c r="DF23" i="123"/>
  <c r="EO82" i="121"/>
  <c r="EO38" i="121"/>
  <c r="FP37" i="121"/>
  <c r="EX25" i="123"/>
  <c r="EV23" i="123"/>
  <c r="FE74" i="123"/>
  <c r="FE63" i="123"/>
  <c r="CP26" i="123"/>
  <c r="CP67" i="123"/>
  <c r="CP68" i="123" s="1"/>
  <c r="CN82" i="121"/>
  <c r="D5" i="124"/>
  <c r="CL42" i="121"/>
  <c r="D25" i="127"/>
  <c r="BR38" i="121"/>
  <c r="CA38" i="121" s="1"/>
  <c r="CA37" i="121"/>
  <c r="FE37" i="121"/>
  <c r="FE38" i="121" s="1"/>
  <c r="FF38" i="121"/>
  <c r="DO76" i="121"/>
  <c r="V61" i="125"/>
  <c r="DP78" i="121"/>
  <c r="DY76" i="121"/>
  <c r="EC43" i="121"/>
  <c r="EL43" i="121" s="1"/>
  <c r="GB33" i="121"/>
  <c r="EL33" i="121"/>
  <c r="DP41" i="121"/>
  <c r="DY41" i="121" s="1"/>
  <c r="DY31" i="121"/>
  <c r="F24" i="127"/>
  <c r="K24" i="127" s="1"/>
  <c r="EW38" i="121"/>
  <c r="EV37" i="121"/>
  <c r="EV38" i="121" s="1"/>
  <c r="EM78" i="121"/>
  <c r="EM89" i="121"/>
  <c r="M26" i="123"/>
  <c r="M67" i="123"/>
  <c r="M68" i="123" s="1"/>
  <c r="M69" i="123" s="1"/>
  <c r="C84" i="121"/>
  <c r="B83" i="121"/>
  <c r="B22" i="128"/>
  <c r="C36" i="127"/>
  <c r="EM37" i="121"/>
  <c r="FO37" i="121"/>
  <c r="EN38" i="121"/>
  <c r="EN82" i="121"/>
  <c r="EN83" i="121" s="1"/>
  <c r="DQ43" i="121"/>
  <c r="DZ43" i="121" s="1"/>
  <c r="DZ33" i="121"/>
  <c r="EA34" i="121"/>
  <c r="CK34" i="121"/>
  <c r="S63" i="125"/>
  <c r="CL78" i="121"/>
  <c r="DO43" i="121"/>
  <c r="DX43" i="121" s="1"/>
  <c r="DX33" i="121"/>
  <c r="DP66" i="123"/>
  <c r="DF66" i="123"/>
  <c r="DO66" i="123" s="1"/>
  <c r="EA66" i="123" s="1"/>
  <c r="FN61" i="123"/>
  <c r="F66" i="124"/>
  <c r="E66" i="124"/>
  <c r="F65" i="124"/>
  <c r="E65" i="124"/>
  <c r="EW81" i="121"/>
  <c r="EW78" i="121"/>
  <c r="EV76" i="121"/>
  <c r="AE82" i="121"/>
  <c r="H26" i="128"/>
  <c r="H25" i="128" s="1"/>
  <c r="F26" i="128"/>
  <c r="G26" i="128"/>
  <c r="G25" i="128" s="1"/>
  <c r="B25" i="128"/>
  <c r="D26" i="128"/>
  <c r="D25" i="128" s="1"/>
  <c r="C26" i="128"/>
  <c r="C25" i="128" s="1"/>
  <c r="CC38" i="121"/>
  <c r="CL38" i="121" s="1"/>
  <c r="E23" i="127"/>
  <c r="E22" i="127" s="1"/>
  <c r="EB37" i="121"/>
  <c r="CL37" i="121"/>
  <c r="FG38" i="121"/>
  <c r="FG82" i="121"/>
  <c r="FG83" i="121" s="1"/>
  <c r="FG84" i="121" s="1"/>
  <c r="AE58" i="125"/>
  <c r="GJ73" i="121"/>
  <c r="AQ26" i="123"/>
  <c r="AQ67" i="123"/>
  <c r="AQ68" i="123" s="1"/>
  <c r="CY82" i="121"/>
  <c r="CY83" i="121" s="1"/>
  <c r="CY84" i="121" s="1"/>
  <c r="CY38" i="121"/>
  <c r="EV74" i="123"/>
  <c r="EV63" i="123"/>
  <c r="CB43" i="121"/>
  <c r="CK43" i="121" s="1"/>
  <c r="EA33" i="121"/>
  <c r="CK33" i="121"/>
  <c r="CN38" i="121"/>
  <c r="C24" i="123"/>
  <c r="L30" i="123"/>
  <c r="B30" i="123"/>
  <c r="AP30" i="123"/>
  <c r="U30" i="123"/>
  <c r="BH30" i="123"/>
  <c r="C28" i="123"/>
  <c r="Y52" i="125"/>
  <c r="EK67" i="121"/>
  <c r="EB76" i="121"/>
  <c r="L63" i="125"/>
  <c r="AL78" i="121"/>
  <c r="AZ25" i="123"/>
  <c r="BR25" i="123" s="1"/>
  <c r="AX23" i="123"/>
  <c r="BP23" i="123" s="1"/>
  <c r="CO83" i="121"/>
  <c r="CP83" i="121"/>
  <c r="BQ38" i="121"/>
  <c r="BZ38" i="121" s="1"/>
  <c r="D23" i="127"/>
  <c r="BZ37" i="121"/>
  <c r="O63" i="125"/>
  <c r="BY78" i="121"/>
  <c r="Z43" i="126"/>
  <c r="GA52" i="123"/>
  <c r="EK52" i="123"/>
  <c r="D22" i="124"/>
  <c r="CM43" i="121"/>
  <c r="EB31" i="121"/>
  <c r="CD23" i="123"/>
  <c r="DF82" i="121" l="1"/>
  <c r="AM82" i="121"/>
  <c r="E35" i="127"/>
  <c r="AD83" i="121"/>
  <c r="E26" i="128"/>
  <c r="DO37" i="121"/>
  <c r="DO38" i="121" s="1"/>
  <c r="DX38" i="121" s="1"/>
  <c r="G65" i="124"/>
  <c r="D22" i="127"/>
  <c r="DQ25" i="123"/>
  <c r="DZ25" i="123" s="1"/>
  <c r="GM37" i="121"/>
  <c r="GM38" i="121" s="1"/>
  <c r="GJ61" i="123"/>
  <c r="AF52" i="126"/>
  <c r="GA63" i="123"/>
  <c r="BP29" i="123"/>
  <c r="BY29" i="123" s="1"/>
  <c r="BY23" i="123"/>
  <c r="CB23" i="123"/>
  <c r="D30" i="127"/>
  <c r="BR26" i="123"/>
  <c r="CA26" i="123" s="1"/>
  <c r="CA25" i="123"/>
  <c r="CD25" i="123"/>
  <c r="EN84" i="121"/>
  <c r="G37" i="127"/>
  <c r="G36" i="127" s="1"/>
  <c r="Y66" i="125"/>
  <c r="EK81" i="121"/>
  <c r="EJ66" i="123"/>
  <c r="Y57" i="126"/>
  <c r="L67" i="125"/>
  <c r="AL82" i="121"/>
  <c r="AA52" i="125"/>
  <c r="FW67" i="121"/>
  <c r="EB41" i="121"/>
  <c r="EK41" i="121" s="1"/>
  <c r="GA31" i="121"/>
  <c r="G24" i="127"/>
  <c r="EK31" i="121"/>
  <c r="CP84" i="121"/>
  <c r="DQ83" i="121"/>
  <c r="GJ52" i="123"/>
  <c r="AF43" i="126"/>
  <c r="DQ82" i="121"/>
  <c r="T30" i="123"/>
  <c r="U24" i="123"/>
  <c r="T24" i="123" s="1"/>
  <c r="B24" i="123"/>
  <c r="FZ33" i="121"/>
  <c r="EA43" i="121"/>
  <c r="EJ43" i="121" s="1"/>
  <c r="EJ33" i="121"/>
  <c r="E48" i="127"/>
  <c r="EV81" i="121"/>
  <c r="G66" i="124"/>
  <c r="W57" i="126"/>
  <c r="DY66" i="123"/>
  <c r="F41" i="127"/>
  <c r="FN37" i="121"/>
  <c r="EM38" i="121"/>
  <c r="M68" i="125"/>
  <c r="AD84" i="121"/>
  <c r="AM83" i="121"/>
  <c r="DP82" i="121"/>
  <c r="EX26" i="123"/>
  <c r="EX67" i="123"/>
  <c r="EX68" i="123" s="1"/>
  <c r="EX69" i="123" s="1"/>
  <c r="Q67" i="125"/>
  <c r="CA82" i="121"/>
  <c r="CO24" i="123"/>
  <c r="EN30" i="123"/>
  <c r="DG30" i="123"/>
  <c r="EW30" i="123"/>
  <c r="D45" i="124"/>
  <c r="CO28" i="123"/>
  <c r="CX30" i="123"/>
  <c r="CN30" i="123"/>
  <c r="FF30" i="123"/>
  <c r="FZ35" i="121"/>
  <c r="GI35" i="121" s="1"/>
  <c r="EJ35" i="121"/>
  <c r="CW82" i="121"/>
  <c r="DO82" i="121" s="1"/>
  <c r="B15" i="128"/>
  <c r="N68" i="125"/>
  <c r="AE84" i="121"/>
  <c r="AN83" i="121"/>
  <c r="AY84" i="121"/>
  <c r="AX83" i="121"/>
  <c r="AX84" i="121" s="1"/>
  <c r="AB52" i="125"/>
  <c r="FX67" i="121"/>
  <c r="FO76" i="121"/>
  <c r="DF78" i="121"/>
  <c r="DF89" i="121"/>
  <c r="BP82" i="121"/>
  <c r="CB82" i="121" s="1"/>
  <c r="C48" i="127"/>
  <c r="FG26" i="123"/>
  <c r="FG67" i="123"/>
  <c r="FN23" i="123"/>
  <c r="EA41" i="121"/>
  <c r="EJ41" i="121" s="1"/>
  <c r="FZ31" i="121"/>
  <c r="EJ31" i="121"/>
  <c r="FW31" i="121"/>
  <c r="FN41" i="121"/>
  <c r="FW41" i="121" s="1"/>
  <c r="D27" i="124"/>
  <c r="D23" i="124"/>
  <c r="D26" i="124"/>
  <c r="D25" i="124"/>
  <c r="D24" i="124"/>
  <c r="F22" i="124"/>
  <c r="E22" i="124"/>
  <c r="D48" i="127"/>
  <c r="CN83" i="121"/>
  <c r="CO84" i="121"/>
  <c r="AE52" i="125"/>
  <c r="GJ67" i="121"/>
  <c r="GA76" i="121"/>
  <c r="AO30" i="123"/>
  <c r="AP24" i="123"/>
  <c r="E25" i="128"/>
  <c r="CD82" i="121"/>
  <c r="N67" i="125"/>
  <c r="AN82" i="121"/>
  <c r="FN74" i="123"/>
  <c r="FW74" i="123" s="1"/>
  <c r="FN63" i="123"/>
  <c r="AB52" i="126"/>
  <c r="FW61" i="123"/>
  <c r="EM82" i="121"/>
  <c r="C35" i="127"/>
  <c r="B84" i="121"/>
  <c r="EW82" i="121"/>
  <c r="EV82" i="121" s="1"/>
  <c r="V63" i="125"/>
  <c r="DY78" i="121"/>
  <c r="H25" i="127"/>
  <c r="K25" i="127" s="1"/>
  <c r="FY37" i="121"/>
  <c r="FP38" i="121"/>
  <c r="FY38" i="121" s="1"/>
  <c r="DH26" i="123"/>
  <c r="DH67" i="123"/>
  <c r="Z54" i="126"/>
  <c r="EK63" i="123"/>
  <c r="BP38" i="121"/>
  <c r="BY38" i="121" s="1"/>
  <c r="BY37" i="121"/>
  <c r="GA34" i="121"/>
  <c r="GJ34" i="121" s="1"/>
  <c r="EK34" i="121"/>
  <c r="AC52" i="126"/>
  <c r="FX61" i="123"/>
  <c r="FO63" i="123"/>
  <c r="G11" i="128"/>
  <c r="F11" i="128"/>
  <c r="H11" i="128"/>
  <c r="D11" i="128"/>
  <c r="C11" i="128"/>
  <c r="FE66" i="123"/>
  <c r="FN66" i="123" s="1"/>
  <c r="FZ66" i="123" s="1"/>
  <c r="FO66" i="123"/>
  <c r="R63" i="125"/>
  <c r="CK78" i="121"/>
  <c r="R66" i="125"/>
  <c r="CK81" i="121"/>
  <c r="CB37" i="121"/>
  <c r="AC38" i="121"/>
  <c r="AL38" i="121" s="1"/>
  <c r="AL37" i="121"/>
  <c r="P67" i="125"/>
  <c r="BZ82" i="121"/>
  <c r="GJ32" i="121"/>
  <c r="G10" i="128"/>
  <c r="B9" i="128"/>
  <c r="C10" i="128"/>
  <c r="C9" i="128" s="1"/>
  <c r="H10" i="128"/>
  <c r="F10" i="128"/>
  <c r="D10" i="128"/>
  <c r="FP29" i="123"/>
  <c r="FY29" i="123" s="1"/>
  <c r="FY23" i="123"/>
  <c r="P11" i="128"/>
  <c r="M11" i="128"/>
  <c r="R11" i="128"/>
  <c r="L11" i="128"/>
  <c r="Q11" i="128"/>
  <c r="U84" i="121"/>
  <c r="T83" i="121"/>
  <c r="T84" i="121" s="1"/>
  <c r="Y43" i="126"/>
  <c r="EJ52" i="123"/>
  <c r="GI32" i="121"/>
  <c r="CC82" i="121"/>
  <c r="FZ67" i="121"/>
  <c r="X52" i="125"/>
  <c r="EJ67" i="121"/>
  <c r="EA76" i="121"/>
  <c r="Y61" i="125"/>
  <c r="EB78" i="121"/>
  <c r="EK76" i="121"/>
  <c r="DO29" i="123"/>
  <c r="DX29" i="123" s="1"/>
  <c r="DX23" i="123"/>
  <c r="EV78" i="121"/>
  <c r="EV89" i="121"/>
  <c r="FZ34" i="121"/>
  <c r="GI34" i="121" s="1"/>
  <c r="EJ34" i="121"/>
  <c r="GB43" i="121"/>
  <c r="GK43" i="121" s="1"/>
  <c r="GK33" i="121"/>
  <c r="CP69" i="123"/>
  <c r="BI68" i="123"/>
  <c r="BI69" i="123" s="1"/>
  <c r="V66" i="125"/>
  <c r="F37" i="127"/>
  <c r="DY81" i="121"/>
  <c r="BH84" i="121"/>
  <c r="BG83" i="121"/>
  <c r="BG84" i="121" s="1"/>
  <c r="AE42" i="65"/>
  <c r="AE40" i="65"/>
  <c r="CX84" i="121"/>
  <c r="CW83" i="121"/>
  <c r="CW84" i="121" s="1"/>
  <c r="AE67" i="123"/>
  <c r="V68" i="123"/>
  <c r="V69" i="123" s="1"/>
  <c r="EA61" i="123"/>
  <c r="DX61" i="123"/>
  <c r="DO74" i="123"/>
  <c r="DX74" i="123" s="1"/>
  <c r="DO63" i="123"/>
  <c r="V52" i="126"/>
  <c r="DF81" i="121"/>
  <c r="DO81" i="121" s="1"/>
  <c r="EA81" i="121" s="1"/>
  <c r="DG83" i="121"/>
  <c r="FW34" i="121"/>
  <c r="FN42" i="121"/>
  <c r="FW42" i="121" s="1"/>
  <c r="EB66" i="123"/>
  <c r="CY26" i="123"/>
  <c r="CY67" i="123"/>
  <c r="CY68" i="123" s="1"/>
  <c r="CY69" i="123" s="1"/>
  <c r="EB42" i="121"/>
  <c r="EK42" i="121" s="1"/>
  <c r="EA42" i="121"/>
  <c r="EJ42" i="121" s="1"/>
  <c r="CD29" i="123"/>
  <c r="EC23" i="123"/>
  <c r="CM23" i="123"/>
  <c r="BH28" i="123"/>
  <c r="L28" i="123"/>
  <c r="C22" i="123"/>
  <c r="AP28" i="123"/>
  <c r="U28" i="123"/>
  <c r="B28" i="123"/>
  <c r="AZ26" i="123"/>
  <c r="AZ67" i="123"/>
  <c r="AZ68" i="123" s="1"/>
  <c r="AZ69" i="123" s="1"/>
  <c r="BG30" i="123"/>
  <c r="BH24" i="123"/>
  <c r="BG24" i="123" s="1"/>
  <c r="K30" i="123"/>
  <c r="AY30" i="123"/>
  <c r="L24" i="123"/>
  <c r="K24" i="123" s="1"/>
  <c r="AQ69" i="123"/>
  <c r="GA37" i="121"/>
  <c r="G23" i="127"/>
  <c r="EB38" i="121"/>
  <c r="EK38" i="121" s="1"/>
  <c r="EK37" i="121"/>
  <c r="I26" i="128"/>
  <c r="J26" i="128" s="1"/>
  <c r="F25" i="128"/>
  <c r="I25" i="128" s="1"/>
  <c r="V57" i="126"/>
  <c r="DX66" i="123"/>
  <c r="FO38" i="121"/>
  <c r="FX38" i="121" s="1"/>
  <c r="H23" i="127"/>
  <c r="H22" i="127" s="1"/>
  <c r="FX37" i="121"/>
  <c r="C22" i="128"/>
  <c r="C21" i="128" s="1"/>
  <c r="C20" i="128" s="1"/>
  <c r="F22" i="128"/>
  <c r="H22" i="128"/>
  <c r="H21" i="128" s="1"/>
  <c r="H20" i="128" s="1"/>
  <c r="G22" i="128"/>
  <c r="G21" i="128" s="1"/>
  <c r="G20" i="128" s="1"/>
  <c r="B21" i="128"/>
  <c r="D22" i="128"/>
  <c r="D21" i="128" s="1"/>
  <c r="D20" i="128" s="1"/>
  <c r="DO78" i="121"/>
  <c r="U61" i="125"/>
  <c r="DO89" i="121"/>
  <c r="DX89" i="121" s="1"/>
  <c r="DX76" i="121"/>
  <c r="D6" i="124"/>
  <c r="D8" i="124"/>
  <c r="D9" i="124"/>
  <c r="D7" i="124"/>
  <c r="F5" i="124"/>
  <c r="D10" i="124"/>
  <c r="E5" i="124"/>
  <c r="FP82" i="121"/>
  <c r="EO83" i="121"/>
  <c r="EM83" i="121" s="1"/>
  <c r="L84" i="121"/>
  <c r="K83" i="121"/>
  <c r="K84" i="121" s="1"/>
  <c r="BR83" i="121"/>
  <c r="CD83" i="121" s="1"/>
  <c r="AQ84" i="121"/>
  <c r="DP38" i="121"/>
  <c r="DY38" i="121" s="1"/>
  <c r="F23" i="127"/>
  <c r="DY37" i="121"/>
  <c r="FZ52" i="123"/>
  <c r="AB43" i="126"/>
  <c r="FW52" i="123"/>
  <c r="BQ83" i="121"/>
  <c r="CC83" i="121" s="1"/>
  <c r="AO83" i="121"/>
  <c r="AP84" i="121"/>
  <c r="FF81" i="121"/>
  <c r="FO81" i="121" s="1"/>
  <c r="FF78" i="121"/>
  <c r="FE76" i="121"/>
  <c r="GM76" i="121" s="1"/>
  <c r="G63" i="124"/>
  <c r="FP25" i="123"/>
  <c r="EO26" i="123"/>
  <c r="EO67" i="123"/>
  <c r="EO68" i="123" s="1"/>
  <c r="GB37" i="121"/>
  <c r="G25" i="127"/>
  <c r="EC38" i="121"/>
  <c r="EL38" i="121" s="1"/>
  <c r="EL37" i="121"/>
  <c r="DO41" i="121"/>
  <c r="DX41" i="121" s="1"/>
  <c r="DX31" i="121"/>
  <c r="DX37" i="121" l="1"/>
  <c r="J25" i="128"/>
  <c r="N11" i="128"/>
  <c r="GA42" i="121"/>
  <c r="GJ42" i="121" s="1"/>
  <c r="E11" i="128"/>
  <c r="F30" i="127"/>
  <c r="K15" i="128" s="1"/>
  <c r="P15" i="128" s="1"/>
  <c r="AC83" i="121"/>
  <c r="DQ26" i="123"/>
  <c r="DZ26" i="123" s="1"/>
  <c r="S11" i="128"/>
  <c r="FZ42" i="121"/>
  <c r="GI42" i="121" s="1"/>
  <c r="E10" i="128"/>
  <c r="CC84" i="121"/>
  <c r="S68" i="125"/>
  <c r="CL83" i="121"/>
  <c r="AB66" i="125"/>
  <c r="H37" i="127"/>
  <c r="H36" i="127" s="1"/>
  <c r="FX81" i="121"/>
  <c r="GA81" i="121"/>
  <c r="R67" i="125"/>
  <c r="EA82" i="121"/>
  <c r="CK82" i="121"/>
  <c r="AE57" i="126"/>
  <c r="GI66" i="123"/>
  <c r="EC83" i="121"/>
  <c r="T68" i="125"/>
  <c r="CD84" i="121"/>
  <c r="CM83" i="121"/>
  <c r="FP26" i="123"/>
  <c r="FY26" i="123" s="1"/>
  <c r="H30" i="127"/>
  <c r="FY25" i="123"/>
  <c r="G22" i="127"/>
  <c r="U22" i="123"/>
  <c r="T28" i="123"/>
  <c r="EA78" i="121"/>
  <c r="EA89" i="121"/>
  <c r="EJ89" i="121" s="1"/>
  <c r="X61" i="125"/>
  <c r="EJ76" i="121"/>
  <c r="X66" i="125"/>
  <c r="EJ81" i="121"/>
  <c r="L68" i="125"/>
  <c r="AC84" i="121"/>
  <c r="AL83" i="121"/>
  <c r="F25" i="124"/>
  <c r="E25" i="124"/>
  <c r="FZ41" i="121"/>
  <c r="GI41" i="121" s="1"/>
  <c r="GI31" i="121"/>
  <c r="EM30" i="123"/>
  <c r="EN24" i="123"/>
  <c r="GB38" i="121"/>
  <c r="GK38" i="121" s="1"/>
  <c r="I25" i="127"/>
  <c r="GK37" i="121"/>
  <c r="F22" i="127"/>
  <c r="K10" i="128"/>
  <c r="EO69" i="123"/>
  <c r="BP83" i="121"/>
  <c r="AO84" i="121"/>
  <c r="AE43" i="126"/>
  <c r="GI52" i="123"/>
  <c r="EO84" i="121"/>
  <c r="FP83" i="121"/>
  <c r="G5" i="124"/>
  <c r="E6" i="124"/>
  <c r="F6" i="124"/>
  <c r="U63" i="125"/>
  <c r="DX78" i="121"/>
  <c r="K28" i="123"/>
  <c r="AY28" i="123"/>
  <c r="L22" i="123"/>
  <c r="D56" i="124"/>
  <c r="CM29" i="123"/>
  <c r="Y52" i="126"/>
  <c r="EA74" i="123"/>
  <c r="EJ74" i="123" s="1"/>
  <c r="EJ61" i="123"/>
  <c r="EA63" i="123"/>
  <c r="FZ61" i="123"/>
  <c r="AD52" i="125"/>
  <c r="GI67" i="121"/>
  <c r="H9" i="128"/>
  <c r="G9" i="128"/>
  <c r="U67" i="125"/>
  <c r="DX82" i="121"/>
  <c r="FW63" i="123"/>
  <c r="AB54" i="126"/>
  <c r="T67" i="125"/>
  <c r="EC82" i="121"/>
  <c r="CM82" i="121"/>
  <c r="AO24" i="123"/>
  <c r="E24" i="124"/>
  <c r="F24" i="124"/>
  <c r="F27" i="124"/>
  <c r="G27" i="124" s="1"/>
  <c r="E27" i="124"/>
  <c r="FP67" i="123"/>
  <c r="FG68" i="123"/>
  <c r="FG69" i="123" s="1"/>
  <c r="AB61" i="125"/>
  <c r="FO78" i="121"/>
  <c r="FN76" i="121"/>
  <c r="FX76" i="121"/>
  <c r="CW30" i="123"/>
  <c r="CX24" i="123"/>
  <c r="CW24" i="123" s="1"/>
  <c r="DF30" i="123"/>
  <c r="DG24" i="123"/>
  <c r="DF24" i="123" s="1"/>
  <c r="FZ43" i="121"/>
  <c r="GI43" i="121" s="1"/>
  <c r="GI33" i="121"/>
  <c r="DQ84" i="121"/>
  <c r="W68" i="125"/>
  <c r="DZ83" i="121"/>
  <c r="GA41" i="121"/>
  <c r="GJ41" i="121" s="1"/>
  <c r="I24" i="127"/>
  <c r="GJ31" i="121"/>
  <c r="I22" i="128"/>
  <c r="F21" i="128"/>
  <c r="AF39" i="65"/>
  <c r="AE43" i="65"/>
  <c r="FE81" i="121"/>
  <c r="FN81" i="121" s="1"/>
  <c r="FZ81" i="121" s="1"/>
  <c r="FF82" i="121"/>
  <c r="FE82" i="121" s="1"/>
  <c r="AC67" i="125"/>
  <c r="FY82" i="121"/>
  <c r="H48" i="127"/>
  <c r="BG28" i="123"/>
  <c r="BH22" i="123"/>
  <c r="AC57" i="126"/>
  <c r="H41" i="127"/>
  <c r="H40" i="127" s="1"/>
  <c r="FX66" i="123"/>
  <c r="W67" i="125"/>
  <c r="DZ82" i="121"/>
  <c r="U66" i="125"/>
  <c r="DX81" i="121"/>
  <c r="EM84" i="121"/>
  <c r="E9" i="124"/>
  <c r="F9" i="124"/>
  <c r="E21" i="128"/>
  <c r="B20" i="128"/>
  <c r="E20" i="128" s="1"/>
  <c r="E22" i="128"/>
  <c r="GA38" i="121"/>
  <c r="GJ38" i="121" s="1"/>
  <c r="I23" i="127"/>
  <c r="GJ37" i="121"/>
  <c r="AX30" i="123"/>
  <c r="AY24" i="123"/>
  <c r="AX24" i="123" s="1"/>
  <c r="AP22" i="123"/>
  <c r="AO28" i="123"/>
  <c r="DG84" i="121"/>
  <c r="DF83" i="121"/>
  <c r="DF84" i="121" s="1"/>
  <c r="AN67" i="123"/>
  <c r="O58" i="126"/>
  <c r="AE48" i="65"/>
  <c r="BR67" i="123"/>
  <c r="D9" i="128"/>
  <c r="C33" i="128"/>
  <c r="AC54" i="126"/>
  <c r="FX63" i="123"/>
  <c r="GA78" i="121"/>
  <c r="AE61" i="125"/>
  <c r="FZ76" i="121"/>
  <c r="GJ76" i="121"/>
  <c r="DP83" i="121"/>
  <c r="EB83" i="121" s="1"/>
  <c r="E26" i="124"/>
  <c r="F26" i="124"/>
  <c r="H15" i="128"/>
  <c r="G15" i="128"/>
  <c r="D15" i="128"/>
  <c r="C15" i="128"/>
  <c r="E15" i="128" s="1"/>
  <c r="F15" i="128"/>
  <c r="FE30" i="123"/>
  <c r="FF24" i="123"/>
  <c r="FE24" i="123" s="1"/>
  <c r="D49" i="124"/>
  <c r="D50" i="124"/>
  <c r="D47" i="124"/>
  <c r="D46" i="124"/>
  <c r="E45" i="124"/>
  <c r="D48" i="124"/>
  <c r="F45" i="124"/>
  <c r="CN24" i="123"/>
  <c r="M69" i="125"/>
  <c r="AM84" i="121"/>
  <c r="K26" i="128"/>
  <c r="F40" i="127"/>
  <c r="EW83" i="121"/>
  <c r="AC24" i="123"/>
  <c r="EC25" i="123"/>
  <c r="E30" i="127"/>
  <c r="CD26" i="123"/>
  <c r="CM26" i="123" s="1"/>
  <c r="CM25" i="123"/>
  <c r="EA23" i="123"/>
  <c r="CB29" i="123"/>
  <c r="CK29" i="123" s="1"/>
  <c r="CK23" i="123"/>
  <c r="P68" i="125"/>
  <c r="BQ84" i="121"/>
  <c r="BZ83" i="121"/>
  <c r="BR84" i="121"/>
  <c r="Q68" i="125"/>
  <c r="CA83" i="121"/>
  <c r="E7" i="124"/>
  <c r="F7" i="124"/>
  <c r="V54" i="126"/>
  <c r="DX63" i="123"/>
  <c r="EB82" i="121"/>
  <c r="S67" i="125"/>
  <c r="CL82" i="121"/>
  <c r="FN82" i="121"/>
  <c r="O67" i="125"/>
  <c r="BY82" i="121"/>
  <c r="CX28" i="123"/>
  <c r="EN28" i="123"/>
  <c r="EW28" i="123"/>
  <c r="DG28" i="123"/>
  <c r="CN28" i="123"/>
  <c r="FF28" i="123"/>
  <c r="CO22" i="123"/>
  <c r="FN38" i="121"/>
  <c r="FW38" i="121" s="1"/>
  <c r="FW37" i="121"/>
  <c r="AD24" i="123"/>
  <c r="AF54" i="126"/>
  <c r="GJ63" i="123"/>
  <c r="K23" i="127"/>
  <c r="FE78" i="121"/>
  <c r="FE89" i="121"/>
  <c r="E10" i="124"/>
  <c r="F10" i="124"/>
  <c r="E8" i="124"/>
  <c r="F8" i="124"/>
  <c r="BR68" i="123"/>
  <c r="C25" i="123"/>
  <c r="AD22" i="123"/>
  <c r="B22" i="123"/>
  <c r="EC29" i="123"/>
  <c r="EL29" i="123" s="1"/>
  <c r="GB23" i="123"/>
  <c r="EL23" i="123"/>
  <c r="AE68" i="123"/>
  <c r="EK66" i="123"/>
  <c r="G41" i="127"/>
  <c r="G40" i="127" s="1"/>
  <c r="G35" i="127" s="1"/>
  <c r="Z57" i="126"/>
  <c r="GA66" i="123"/>
  <c r="K22" i="128"/>
  <c r="F36" i="127"/>
  <c r="K37" i="127"/>
  <c r="Y63" i="125"/>
  <c r="EK78" i="121"/>
  <c r="F9" i="128"/>
  <c r="I10" i="128"/>
  <c r="J10" i="128" s="1"/>
  <c r="B33" i="128"/>
  <c r="E9" i="128"/>
  <c r="EA37" i="121"/>
  <c r="CB38" i="121"/>
  <c r="CK38" i="121" s="1"/>
  <c r="CK37" i="121"/>
  <c r="FW66" i="123"/>
  <c r="AB57" i="126"/>
  <c r="I11" i="128"/>
  <c r="J11" i="128" s="1"/>
  <c r="O11" i="128" s="1"/>
  <c r="DQ67" i="123"/>
  <c r="DH68" i="123"/>
  <c r="DH69" i="123" s="1"/>
  <c r="CN84" i="121"/>
  <c r="G22" i="124"/>
  <c r="E23" i="124"/>
  <c r="E34" i="124" s="1"/>
  <c r="F23" i="124"/>
  <c r="FW23" i="123"/>
  <c r="FN29" i="123"/>
  <c r="FW29" i="123" s="1"/>
  <c r="N69" i="125"/>
  <c r="AN84" i="121"/>
  <c r="EV30" i="123"/>
  <c r="EW24" i="123"/>
  <c r="EV24" i="123" s="1"/>
  <c r="V67" i="125"/>
  <c r="DY82" i="121"/>
  <c r="R15" i="128"/>
  <c r="M15" i="128" l="1"/>
  <c r="L15" i="128"/>
  <c r="DO83" i="121"/>
  <c r="K40" i="127"/>
  <c r="Q15" i="128"/>
  <c r="I22" i="127"/>
  <c r="K41" i="127"/>
  <c r="J22" i="128"/>
  <c r="K30" i="127"/>
  <c r="G24" i="124"/>
  <c r="G23" i="124"/>
  <c r="G10" i="124"/>
  <c r="DO24" i="123"/>
  <c r="DO30" i="123" s="1"/>
  <c r="DX30" i="123" s="1"/>
  <c r="G7" i="124"/>
  <c r="E17" i="124"/>
  <c r="G6" i="124"/>
  <c r="N15" i="128"/>
  <c r="T11" i="128"/>
  <c r="DP24" i="123"/>
  <c r="G9" i="124"/>
  <c r="EB84" i="121"/>
  <c r="Y68" i="125"/>
  <c r="EK83" i="121"/>
  <c r="AD66" i="125"/>
  <c r="GI81" i="121"/>
  <c r="F34" i="124"/>
  <c r="D34" i="124" s="1"/>
  <c r="I9" i="128"/>
  <c r="J9" i="128" s="1"/>
  <c r="F33" i="128"/>
  <c r="AM22" i="123"/>
  <c r="AD28" i="123"/>
  <c r="AM28" i="123" s="1"/>
  <c r="C29" i="127"/>
  <c r="AM24" i="123"/>
  <c r="AD30" i="123"/>
  <c r="AM30" i="123" s="1"/>
  <c r="FE28" i="123"/>
  <c r="FF22" i="123"/>
  <c r="EN22" i="123"/>
  <c r="EM28" i="123"/>
  <c r="AA67" i="125"/>
  <c r="FW82" i="121"/>
  <c r="P69" i="125"/>
  <c r="BZ84" i="121"/>
  <c r="EA29" i="123"/>
  <c r="EJ29" i="123" s="1"/>
  <c r="FZ23" i="123"/>
  <c r="EJ23" i="123"/>
  <c r="EC26" i="123"/>
  <c r="EL26" i="123" s="1"/>
  <c r="GB25" i="123"/>
  <c r="G30" i="127"/>
  <c r="EL25" i="123"/>
  <c r="E48" i="124"/>
  <c r="F48" i="124"/>
  <c r="E50" i="124"/>
  <c r="F50" i="124"/>
  <c r="I15" i="128"/>
  <c r="J15" i="128" s="1"/>
  <c r="O15" i="128" s="1"/>
  <c r="G26" i="124"/>
  <c r="D33" i="128"/>
  <c r="BP24" i="123"/>
  <c r="K22" i="123"/>
  <c r="L25" i="123"/>
  <c r="T22" i="123"/>
  <c r="U25" i="123"/>
  <c r="T69" i="125"/>
  <c r="CM84" i="121"/>
  <c r="I37" i="127"/>
  <c r="I36" i="127" s="1"/>
  <c r="AE66" i="125"/>
  <c r="GJ81" i="121"/>
  <c r="F35" i="127"/>
  <c r="K36" i="127"/>
  <c r="GB29" i="123"/>
  <c r="GK29" i="123" s="1"/>
  <c r="GK23" i="123"/>
  <c r="C26" i="123"/>
  <c r="B25" i="123"/>
  <c r="C67" i="123"/>
  <c r="CW28" i="123"/>
  <c r="CX22" i="123"/>
  <c r="DY24" i="123"/>
  <c r="DP30" i="123"/>
  <c r="DY30" i="123" s="1"/>
  <c r="E49" i="124"/>
  <c r="F49" i="124"/>
  <c r="AD61" i="125"/>
  <c r="FZ78" i="121"/>
  <c r="FZ89" i="121"/>
  <c r="GI89" i="121" s="1"/>
  <c r="GI76" i="121"/>
  <c r="CA67" i="123"/>
  <c r="R58" i="126"/>
  <c r="AO22" i="123"/>
  <c r="AP25" i="123"/>
  <c r="I48" i="127"/>
  <c r="G33" i="128"/>
  <c r="FZ74" i="123"/>
  <c r="GI74" i="123" s="1"/>
  <c r="AE52" i="126"/>
  <c r="FZ63" i="123"/>
  <c r="GI61" i="123"/>
  <c r="AY22" i="123"/>
  <c r="BQ22" i="123" s="1"/>
  <c r="AX28" i="123"/>
  <c r="AC68" i="125"/>
  <c r="FP84" i="121"/>
  <c r="FY83" i="121"/>
  <c r="P10" i="128"/>
  <c r="Q10" i="128"/>
  <c r="Q9" i="128" s="1"/>
  <c r="L10" i="128"/>
  <c r="L9" i="128" s="1"/>
  <c r="M10" i="128"/>
  <c r="M9" i="128" s="1"/>
  <c r="R10" i="128"/>
  <c r="R9" i="128" s="1"/>
  <c r="K9" i="128"/>
  <c r="L69" i="125"/>
  <c r="AL84" i="121"/>
  <c r="G48" i="127"/>
  <c r="U68" i="125"/>
  <c r="DO84" i="121"/>
  <c r="DX83" i="121"/>
  <c r="E33" i="128"/>
  <c r="R22" i="128"/>
  <c r="R21" i="128" s="1"/>
  <c r="P22" i="128"/>
  <c r="M22" i="128"/>
  <c r="M21" i="128" s="1"/>
  <c r="Q22" i="128"/>
  <c r="Q21" i="128" s="1"/>
  <c r="L22" i="128"/>
  <c r="L21" i="128" s="1"/>
  <c r="K21" i="128"/>
  <c r="BR69" i="123"/>
  <c r="CA68" i="123"/>
  <c r="R59" i="126"/>
  <c r="DF28" i="123"/>
  <c r="DG22" i="123"/>
  <c r="DP22" i="123" s="1"/>
  <c r="Q69" i="125"/>
  <c r="CA84" i="121"/>
  <c r="AC30" i="123"/>
  <c r="AL30" i="123" s="1"/>
  <c r="CB24" i="123"/>
  <c r="AL24" i="123"/>
  <c r="L26" i="128"/>
  <c r="L25" i="128" s="1"/>
  <c r="Q26" i="128"/>
  <c r="Q25" i="128" s="1"/>
  <c r="P26" i="128"/>
  <c r="M26" i="128"/>
  <c r="R26" i="128"/>
  <c r="R25" i="128" s="1"/>
  <c r="K25" i="128"/>
  <c r="E46" i="124"/>
  <c r="F46" i="124"/>
  <c r="AA66" i="125"/>
  <c r="FW81" i="121"/>
  <c r="AF42" i="65"/>
  <c r="AF40" i="65"/>
  <c r="AF43" i="65" s="1"/>
  <c r="W69" i="125"/>
  <c r="DZ84" i="121"/>
  <c r="FN78" i="121"/>
  <c r="AA61" i="125"/>
  <c r="FN89" i="121"/>
  <c r="FW89" i="121" s="1"/>
  <c r="FW76" i="121"/>
  <c r="FY67" i="123"/>
  <c r="AD58" i="126"/>
  <c r="GB82" i="121"/>
  <c r="Z67" i="125"/>
  <c r="EL82" i="121"/>
  <c r="FO82" i="121"/>
  <c r="GA82" i="121" s="1"/>
  <c r="H33" i="128"/>
  <c r="Y54" i="126"/>
  <c r="EJ63" i="123"/>
  <c r="BP84" i="121"/>
  <c r="O68" i="125"/>
  <c r="BY83" i="121"/>
  <c r="F48" i="127"/>
  <c r="K22" i="127"/>
  <c r="EM24" i="123"/>
  <c r="FO24" i="123"/>
  <c r="CB83" i="121"/>
  <c r="X63" i="125"/>
  <c r="EJ78" i="121"/>
  <c r="EC84" i="121"/>
  <c r="Z68" i="125"/>
  <c r="GB83" i="121"/>
  <c r="EL83" i="121"/>
  <c r="X67" i="125"/>
  <c r="FZ82" i="121"/>
  <c r="EJ82" i="121"/>
  <c r="H35" i="127"/>
  <c r="X58" i="126"/>
  <c r="DZ67" i="123"/>
  <c r="S15" i="128"/>
  <c r="EA38" i="121"/>
  <c r="EJ38" i="121" s="1"/>
  <c r="FZ37" i="121"/>
  <c r="EJ37" i="121"/>
  <c r="DQ68" i="123"/>
  <c r="GJ66" i="123"/>
  <c r="AF57" i="126"/>
  <c r="I41" i="127"/>
  <c r="I40" i="127" s="1"/>
  <c r="CD68" i="123"/>
  <c r="O59" i="126"/>
  <c r="AE69" i="123"/>
  <c r="AN68" i="123"/>
  <c r="G8" i="124"/>
  <c r="G17" i="124" s="1"/>
  <c r="CN22" i="123"/>
  <c r="CO25" i="123"/>
  <c r="EW22" i="123"/>
  <c r="EV28" i="123"/>
  <c r="Y67" i="125"/>
  <c r="EK82" i="121"/>
  <c r="EW84" i="121"/>
  <c r="EV83" i="121"/>
  <c r="G45" i="124"/>
  <c r="E47" i="124"/>
  <c r="F47" i="124"/>
  <c r="DP84" i="121"/>
  <c r="V68" i="125"/>
  <c r="DY83" i="121"/>
  <c r="AE63" i="125"/>
  <c r="GJ78" i="121"/>
  <c r="CD67" i="123"/>
  <c r="BH25" i="123"/>
  <c r="BG22" i="123"/>
  <c r="FF83" i="121"/>
  <c r="I21" i="128"/>
  <c r="J21" i="128" s="1"/>
  <c r="F20" i="128"/>
  <c r="I20" i="128" s="1"/>
  <c r="J20" i="128" s="1"/>
  <c r="AB63" i="125"/>
  <c r="FX78" i="121"/>
  <c r="BQ24" i="123"/>
  <c r="D61" i="124"/>
  <c r="D57" i="124"/>
  <c r="D60" i="124"/>
  <c r="D59" i="124"/>
  <c r="D58" i="124"/>
  <c r="F56" i="124"/>
  <c r="E56" i="124"/>
  <c r="F17" i="124"/>
  <c r="D17" i="124" s="1"/>
  <c r="FP68" i="123"/>
  <c r="G25" i="124"/>
  <c r="S69" i="125"/>
  <c r="CL84" i="121"/>
  <c r="DX24" i="123" l="1"/>
  <c r="G47" i="124"/>
  <c r="AD25" i="123"/>
  <c r="G48" i="124"/>
  <c r="N10" i="128"/>
  <c r="O10" i="128" s="1"/>
  <c r="AC22" i="123"/>
  <c r="G46" i="124"/>
  <c r="BZ22" i="123"/>
  <c r="D29" i="127"/>
  <c r="BQ28" i="123"/>
  <c r="BZ28" i="123" s="1"/>
  <c r="CC22" i="123"/>
  <c r="FP69" i="123"/>
  <c r="FY68" i="123"/>
  <c r="AD59" i="126"/>
  <c r="F59" i="124"/>
  <c r="E59" i="124"/>
  <c r="BQ30" i="123"/>
  <c r="BZ30" i="123" s="1"/>
  <c r="BZ24" i="123"/>
  <c r="AD67" i="125"/>
  <c r="GI82" i="121"/>
  <c r="R68" i="125"/>
  <c r="CB84" i="121"/>
  <c r="EA83" i="121"/>
  <c r="CK83" i="121"/>
  <c r="K48" i="127"/>
  <c r="O69" i="125"/>
  <c r="BY84" i="121"/>
  <c r="AF67" i="125"/>
  <c r="GK82" i="121"/>
  <c r="N22" i="128"/>
  <c r="O22" i="128" s="1"/>
  <c r="S22" i="128"/>
  <c r="P21" i="128"/>
  <c r="K33" i="128"/>
  <c r="N9" i="128"/>
  <c r="O9" i="128" s="1"/>
  <c r="Q33" i="128"/>
  <c r="GI63" i="123"/>
  <c r="AE54" i="126"/>
  <c r="C68" i="123"/>
  <c r="B67" i="123"/>
  <c r="L26" i="123"/>
  <c r="K25" i="123"/>
  <c r="K26" i="123" s="1"/>
  <c r="L67" i="123"/>
  <c r="FZ29" i="123"/>
  <c r="GI29" i="123" s="1"/>
  <c r="GI23" i="123"/>
  <c r="FE22" i="123"/>
  <c r="FF25" i="123"/>
  <c r="F60" i="124"/>
  <c r="E60" i="124"/>
  <c r="FF84" i="121"/>
  <c r="FE83" i="121"/>
  <c r="FE84" i="121" s="1"/>
  <c r="U58" i="126"/>
  <c r="CM67" i="123"/>
  <c r="EC67" i="123"/>
  <c r="EV22" i="123"/>
  <c r="EW25" i="123"/>
  <c r="O60" i="126"/>
  <c r="AN69" i="123"/>
  <c r="FZ38" i="121"/>
  <c r="GI38" i="121" s="1"/>
  <c r="GI37" i="121"/>
  <c r="Z69" i="125"/>
  <c r="EL84" i="121"/>
  <c r="FO30" i="123"/>
  <c r="FX30" i="123" s="1"/>
  <c r="FX24" i="123"/>
  <c r="AB67" i="125"/>
  <c r="FX82" i="121"/>
  <c r="N26" i="128"/>
  <c r="O26" i="128" s="1"/>
  <c r="M25" i="128"/>
  <c r="M20" i="128" s="1"/>
  <c r="L20" i="128"/>
  <c r="R20" i="128"/>
  <c r="U69" i="125"/>
  <c r="DX84" i="121"/>
  <c r="R33" i="128"/>
  <c r="P9" i="128"/>
  <c r="S10" i="128"/>
  <c r="T10" i="128" s="1"/>
  <c r="AO25" i="123"/>
  <c r="AP26" i="123"/>
  <c r="AP67" i="123"/>
  <c r="T15" i="128"/>
  <c r="AD26" i="123"/>
  <c r="AM26" i="123" s="1"/>
  <c r="AM25" i="123"/>
  <c r="C28" i="127"/>
  <c r="G34" i="124"/>
  <c r="I30" i="127"/>
  <c r="GB26" i="123"/>
  <c r="GK26" i="123" s="1"/>
  <c r="GK25" i="123"/>
  <c r="G56" i="124"/>
  <c r="F57" i="124"/>
  <c r="E57" i="124"/>
  <c r="V69" i="125"/>
  <c r="DY84" i="121"/>
  <c r="FO83" i="121"/>
  <c r="CO26" i="123"/>
  <c r="CN25" i="123"/>
  <c r="CO67" i="123"/>
  <c r="FN24" i="123"/>
  <c r="AA63" i="125"/>
  <c r="FW78" i="121"/>
  <c r="AF48" i="65"/>
  <c r="S26" i="128"/>
  <c r="P25" i="128"/>
  <c r="S25" i="128" s="1"/>
  <c r="CB30" i="123"/>
  <c r="CK30" i="123" s="1"/>
  <c r="EA24" i="123"/>
  <c r="CK24" i="123"/>
  <c r="DG25" i="123"/>
  <c r="DF22" i="123"/>
  <c r="R60" i="126"/>
  <c r="CA69" i="123"/>
  <c r="Q20" i="128"/>
  <c r="M33" i="128"/>
  <c r="AX22" i="123"/>
  <c r="AY25" i="123"/>
  <c r="G49" i="124"/>
  <c r="CW22" i="123"/>
  <c r="DO22" i="123" s="1"/>
  <c r="CX25" i="123"/>
  <c r="B26" i="123"/>
  <c r="U26" i="123"/>
  <c r="T25" i="123"/>
  <c r="T26" i="123" s="1"/>
  <c r="U67" i="123"/>
  <c r="BP30" i="123"/>
  <c r="BY30" i="123" s="1"/>
  <c r="BY24" i="123"/>
  <c r="CC24" i="123"/>
  <c r="I33" i="128"/>
  <c r="J33" i="128" s="1"/>
  <c r="F58" i="124"/>
  <c r="E58" i="124"/>
  <c r="F61" i="124"/>
  <c r="E61" i="124"/>
  <c r="BH26" i="123"/>
  <c r="BG25" i="123"/>
  <c r="BG26" i="123" s="1"/>
  <c r="BH67" i="123"/>
  <c r="EV84" i="121"/>
  <c r="AE67" i="125"/>
  <c r="GJ82" i="121"/>
  <c r="DP28" i="123"/>
  <c r="DY28" i="123" s="1"/>
  <c r="F29" i="127"/>
  <c r="DY22" i="123"/>
  <c r="AL22" i="123"/>
  <c r="AC28" i="123"/>
  <c r="AL28" i="123" s="1"/>
  <c r="CM68" i="123"/>
  <c r="U59" i="126"/>
  <c r="EC68" i="123"/>
  <c r="CD69" i="123"/>
  <c r="DQ69" i="123"/>
  <c r="X59" i="126"/>
  <c r="DZ68" i="123"/>
  <c r="GB84" i="121"/>
  <c r="AF68" i="125"/>
  <c r="GK83" i="121"/>
  <c r="N25" i="128"/>
  <c r="O25" i="128" s="1"/>
  <c r="N21" i="128"/>
  <c r="O21" i="128" s="1"/>
  <c r="K20" i="128"/>
  <c r="L33" i="128"/>
  <c r="AC69" i="125"/>
  <c r="FY84" i="121"/>
  <c r="AD63" i="125"/>
  <c r="GI78" i="121"/>
  <c r="K35" i="127"/>
  <c r="I35" i="127"/>
  <c r="G50" i="124"/>
  <c r="FO22" i="123"/>
  <c r="EN25" i="123"/>
  <c r="EM22" i="123"/>
  <c r="FN22" i="123" s="1"/>
  <c r="Y69" i="125"/>
  <c r="EK84" i="121"/>
  <c r="T26" i="128" l="1"/>
  <c r="T25" i="128"/>
  <c r="FN83" i="121"/>
  <c r="F68" i="124"/>
  <c r="D68" i="124" s="1"/>
  <c r="AC25" i="123"/>
  <c r="G61" i="124"/>
  <c r="E68" i="124"/>
  <c r="DX22" i="123"/>
  <c r="DO28" i="123"/>
  <c r="DX28" i="123" s="1"/>
  <c r="GB68" i="123"/>
  <c r="AA59" i="126"/>
  <c r="EL68" i="123"/>
  <c r="EC69" i="123"/>
  <c r="CW25" i="123"/>
  <c r="CW26" i="123" s="1"/>
  <c r="CX26" i="123"/>
  <c r="CX67" i="123"/>
  <c r="AY26" i="123"/>
  <c r="AX25" i="123"/>
  <c r="AX26" i="123" s="1"/>
  <c r="AY67" i="123"/>
  <c r="DG26" i="123"/>
  <c r="DF25" i="123"/>
  <c r="DF26" i="123" s="1"/>
  <c r="DG67" i="123"/>
  <c r="DP67" i="123" s="1"/>
  <c r="CN26" i="123"/>
  <c r="BQ25" i="123"/>
  <c r="S9" i="128"/>
  <c r="T9" i="128" s="1"/>
  <c r="P33" i="128"/>
  <c r="BG67" i="123"/>
  <c r="BH68" i="123"/>
  <c r="AL25" i="123"/>
  <c r="AC26" i="123"/>
  <c r="AL26" i="123" s="1"/>
  <c r="DP25" i="123"/>
  <c r="EL67" i="123"/>
  <c r="GB67" i="123"/>
  <c r="AA58" i="126"/>
  <c r="FF26" i="123"/>
  <c r="FE25" i="123"/>
  <c r="FE26" i="123" s="1"/>
  <c r="FF67" i="123"/>
  <c r="K67" i="123"/>
  <c r="L68" i="123"/>
  <c r="AD67" i="123"/>
  <c r="T22" i="128"/>
  <c r="X68" i="125"/>
  <c r="EA84" i="121"/>
  <c r="FZ83" i="121"/>
  <c r="EJ83" i="121"/>
  <c r="AD60" i="126"/>
  <c r="FY69" i="123"/>
  <c r="FO25" i="123"/>
  <c r="EN26" i="123"/>
  <c r="EM25" i="123"/>
  <c r="EN67" i="123"/>
  <c r="FO28" i="123"/>
  <c r="FX28" i="123" s="1"/>
  <c r="FX22" i="123"/>
  <c r="H29" i="127"/>
  <c r="K29" i="127" s="1"/>
  <c r="N20" i="128"/>
  <c r="O20" i="128" s="1"/>
  <c r="X60" i="126"/>
  <c r="DZ69" i="123"/>
  <c r="T67" i="123"/>
  <c r="AC67" i="123" s="1"/>
  <c r="U68" i="123"/>
  <c r="FZ24" i="123"/>
  <c r="EA30" i="123"/>
  <c r="EJ30" i="123" s="1"/>
  <c r="EJ24" i="123"/>
  <c r="FN30" i="123"/>
  <c r="FW30" i="123" s="1"/>
  <c r="FW24" i="123"/>
  <c r="C27" i="127"/>
  <c r="B14" i="128"/>
  <c r="AO26" i="123"/>
  <c r="BP25" i="123"/>
  <c r="N33" i="128"/>
  <c r="O33" i="128" s="1"/>
  <c r="R69" i="125"/>
  <c r="CK84" i="121"/>
  <c r="G59" i="124"/>
  <c r="FN28" i="123"/>
  <c r="FW28" i="123" s="1"/>
  <c r="FW22" i="123"/>
  <c r="AF69" i="125"/>
  <c r="GK84" i="121"/>
  <c r="CM69" i="123"/>
  <c r="U60" i="126"/>
  <c r="AA68" i="125"/>
  <c r="FN84" i="121"/>
  <c r="FW83" i="121"/>
  <c r="G58" i="124"/>
  <c r="CC30" i="123"/>
  <c r="EB24" i="123"/>
  <c r="CL24" i="123"/>
  <c r="BP22" i="123"/>
  <c r="CN67" i="123"/>
  <c r="CO68" i="123"/>
  <c r="FO84" i="121"/>
  <c r="AB68" i="125"/>
  <c r="FX83" i="121"/>
  <c r="GA83" i="121"/>
  <c r="G57" i="124"/>
  <c r="AP68" i="123"/>
  <c r="AO67" i="123"/>
  <c r="BQ67" i="123"/>
  <c r="EW26" i="123"/>
  <c r="EV25" i="123"/>
  <c r="EV26" i="123" s="1"/>
  <c r="EW67" i="123"/>
  <c r="G60" i="124"/>
  <c r="C69" i="123"/>
  <c r="B68" i="123"/>
  <c r="S21" i="128"/>
  <c r="T21" i="128" s="1"/>
  <c r="P20" i="128"/>
  <c r="S20" i="128" s="1"/>
  <c r="CL22" i="123"/>
  <c r="CC28" i="123"/>
  <c r="CL28" i="123" s="1"/>
  <c r="E29" i="127"/>
  <c r="EB22" i="123"/>
  <c r="DO25" i="123" l="1"/>
  <c r="EB28" i="123"/>
  <c r="EK28" i="123" s="1"/>
  <c r="GA22" i="123"/>
  <c r="G29" i="127"/>
  <c r="EK22" i="123"/>
  <c r="GA84" i="121"/>
  <c r="AE68" i="125"/>
  <c r="GJ83" i="121"/>
  <c r="EW68" i="123"/>
  <c r="EV67" i="123"/>
  <c r="W58" i="126"/>
  <c r="DY67" i="123"/>
  <c r="AD68" i="123"/>
  <c r="T68" i="123"/>
  <c r="T69" i="123" s="1"/>
  <c r="U69" i="123"/>
  <c r="T20" i="128"/>
  <c r="EM67" i="123"/>
  <c r="FO67" i="123"/>
  <c r="EN68" i="123"/>
  <c r="X69" i="125"/>
  <c r="EJ84" i="121"/>
  <c r="L69" i="123"/>
  <c r="K68" i="123"/>
  <c r="K69" i="123" s="1"/>
  <c r="DP26" i="123"/>
  <c r="DY26" i="123" s="1"/>
  <c r="F28" i="127"/>
  <c r="DY25" i="123"/>
  <c r="S33" i="128"/>
  <c r="T33" i="128" s="1"/>
  <c r="DO26" i="123"/>
  <c r="DX26" i="123" s="1"/>
  <c r="DX25" i="123"/>
  <c r="CW67" i="123"/>
  <c r="CX68" i="123"/>
  <c r="EB30" i="123"/>
  <c r="EK30" i="123" s="1"/>
  <c r="GA24" i="123"/>
  <c r="EK24" i="123"/>
  <c r="G68" i="124"/>
  <c r="C14" i="128"/>
  <c r="C13" i="128" s="1"/>
  <c r="F14" i="128"/>
  <c r="B13" i="128"/>
  <c r="G14" i="128"/>
  <c r="G13" i="128" s="1"/>
  <c r="D14" i="128"/>
  <c r="D13" i="128" s="1"/>
  <c r="H14" i="128"/>
  <c r="H13" i="128" s="1"/>
  <c r="M58" i="126"/>
  <c r="AL67" i="123"/>
  <c r="FN25" i="123"/>
  <c r="EM26" i="123"/>
  <c r="BH69" i="123"/>
  <c r="BG68" i="123"/>
  <c r="BG69" i="123" s="1"/>
  <c r="AX67" i="123"/>
  <c r="AY68" i="123"/>
  <c r="BQ68" i="123" s="1"/>
  <c r="CC67" i="123"/>
  <c r="BZ67" i="123"/>
  <c r="Q58" i="126"/>
  <c r="CO69" i="123"/>
  <c r="CN68" i="123"/>
  <c r="B69" i="123"/>
  <c r="AO68" i="123"/>
  <c r="AP69" i="123"/>
  <c r="AA69" i="125"/>
  <c r="FW84" i="121"/>
  <c r="AB69" i="125"/>
  <c r="FX84" i="121"/>
  <c r="BP28" i="123"/>
  <c r="BY28" i="123" s="1"/>
  <c r="BY22" i="123"/>
  <c r="CB22" i="123"/>
  <c r="D39" i="124"/>
  <c r="CL30" i="123"/>
  <c r="BP26" i="123"/>
  <c r="BY26" i="123" s="1"/>
  <c r="BY25" i="123"/>
  <c r="C50" i="127"/>
  <c r="C21" i="127"/>
  <c r="FE67" i="123"/>
  <c r="FN67" i="123" s="1"/>
  <c r="FF68" i="123"/>
  <c r="GK67" i="123"/>
  <c r="AG58" i="126"/>
  <c r="BP67" i="123"/>
  <c r="CB67" i="123" s="1"/>
  <c r="DF67" i="123"/>
  <c r="DO67" i="123" s="1"/>
  <c r="DG68" i="123"/>
  <c r="AG59" i="126"/>
  <c r="GB69" i="123"/>
  <c r="GK68" i="123"/>
  <c r="FZ30" i="123"/>
  <c r="GI30" i="123" s="1"/>
  <c r="GI24" i="123"/>
  <c r="FO26" i="123"/>
  <c r="FX26" i="123" s="1"/>
  <c r="H28" i="127"/>
  <c r="H27" i="127" s="1"/>
  <c r="FX25" i="123"/>
  <c r="AD68" i="125"/>
  <c r="FZ84" i="121"/>
  <c r="GI83" i="121"/>
  <c r="AM67" i="123"/>
  <c r="N58" i="126"/>
  <c r="CB25" i="123"/>
  <c r="BQ26" i="123"/>
  <c r="BZ26" i="123" s="1"/>
  <c r="D28" i="127"/>
  <c r="BZ25" i="123"/>
  <c r="CC25" i="123"/>
  <c r="AA60" i="126"/>
  <c r="EL69" i="123"/>
  <c r="AC68" i="123" l="1"/>
  <c r="M59" i="126" s="1"/>
  <c r="CK67" i="123"/>
  <c r="S58" i="126"/>
  <c r="EA67" i="123"/>
  <c r="D27" i="127"/>
  <c r="K28" i="127"/>
  <c r="DG69" i="123"/>
  <c r="DF68" i="123"/>
  <c r="DF69" i="123" s="1"/>
  <c r="C47" i="127"/>
  <c r="AC69" i="123"/>
  <c r="AX68" i="123"/>
  <c r="AX69" i="123" s="1"/>
  <c r="AY69" i="123"/>
  <c r="E14" i="128"/>
  <c r="CW68" i="123"/>
  <c r="CW69" i="123" s="1"/>
  <c r="CX69" i="123"/>
  <c r="H50" i="127"/>
  <c r="H47" i="127" s="1"/>
  <c r="H58" i="127" s="1"/>
  <c r="H59" i="127" s="1"/>
  <c r="H21" i="127"/>
  <c r="DX67" i="123"/>
  <c r="V58" i="126"/>
  <c r="FF69" i="123"/>
  <c r="FE68" i="123"/>
  <c r="FE69" i="123" s="1"/>
  <c r="D42" i="124"/>
  <c r="D43" i="124"/>
  <c r="D41" i="124"/>
  <c r="E39" i="124"/>
  <c r="D44" i="124"/>
  <c r="D40" i="124"/>
  <c r="F39" i="124"/>
  <c r="Q59" i="126"/>
  <c r="BQ69" i="123"/>
  <c r="BZ68" i="123"/>
  <c r="FN26" i="123"/>
  <c r="FW26" i="123" s="1"/>
  <c r="FW25" i="123"/>
  <c r="H35" i="128"/>
  <c r="H32" i="128" s="1"/>
  <c r="H43" i="128" s="1"/>
  <c r="H44" i="128" s="1"/>
  <c r="H8" i="128"/>
  <c r="E13" i="128"/>
  <c r="B35" i="128"/>
  <c r="B8" i="128"/>
  <c r="EM68" i="123"/>
  <c r="EN69" i="123"/>
  <c r="FO68" i="123"/>
  <c r="I29" i="127"/>
  <c r="GA28" i="123"/>
  <c r="GJ28" i="123" s="1"/>
  <c r="GJ22" i="123"/>
  <c r="E28" i="127"/>
  <c r="E27" i="127" s="1"/>
  <c r="EB25" i="123"/>
  <c r="CC26" i="123"/>
  <c r="CL26" i="123" s="1"/>
  <c r="CL25" i="123"/>
  <c r="EA25" i="123"/>
  <c r="CB26" i="123"/>
  <c r="CK26" i="123" s="1"/>
  <c r="CK25" i="123"/>
  <c r="AD69" i="125"/>
  <c r="GI84" i="121"/>
  <c r="GK69" i="123"/>
  <c r="AG60" i="126"/>
  <c r="P58" i="126"/>
  <c r="BY67" i="123"/>
  <c r="AB58" i="126"/>
  <c r="FW67" i="123"/>
  <c r="EA22" i="123"/>
  <c r="CB28" i="123"/>
  <c r="CK28" i="123" s="1"/>
  <c r="CK22" i="123"/>
  <c r="DP68" i="123"/>
  <c r="D35" i="128"/>
  <c r="D32" i="128" s="1"/>
  <c r="D43" i="128" s="1"/>
  <c r="D44" i="128" s="1"/>
  <c r="D8" i="128"/>
  <c r="I14" i="128"/>
  <c r="F13" i="128"/>
  <c r="GA30" i="123"/>
  <c r="GJ30" i="123" s="1"/>
  <c r="GJ24" i="123"/>
  <c r="AC58" i="126"/>
  <c r="FX67" i="123"/>
  <c r="AE69" i="125"/>
  <c r="GJ84" i="121"/>
  <c r="AO69" i="123"/>
  <c r="BP68" i="123"/>
  <c r="CN69" i="123"/>
  <c r="T58" i="126"/>
  <c r="CL67" i="123"/>
  <c r="EB67" i="123"/>
  <c r="G35" i="128"/>
  <c r="G32" i="128" s="1"/>
  <c r="G43" i="128" s="1"/>
  <c r="G44" i="128" s="1"/>
  <c r="G8" i="128"/>
  <c r="C35" i="128"/>
  <c r="C32" i="128" s="1"/>
  <c r="C43" i="128" s="1"/>
  <c r="C44" i="128" s="1"/>
  <c r="C8" i="128"/>
  <c r="F27" i="127"/>
  <c r="K14" i="128"/>
  <c r="AD69" i="123"/>
  <c r="N59" i="126"/>
  <c r="AM68" i="123"/>
  <c r="CC68" i="123"/>
  <c r="EW69" i="123"/>
  <c r="EV68" i="123"/>
  <c r="EV69" i="123" s="1"/>
  <c r="AL68" i="123" l="1"/>
  <c r="DO68" i="123"/>
  <c r="DO69" i="123" s="1"/>
  <c r="F50" i="127"/>
  <c r="F47" i="127" s="1"/>
  <c r="F58" i="127" s="1"/>
  <c r="F59" i="127" s="1"/>
  <c r="F21" i="127"/>
  <c r="Z58" i="126"/>
  <c r="GA67" i="123"/>
  <c r="EK67" i="123"/>
  <c r="EA26" i="123"/>
  <c r="EJ26" i="123" s="1"/>
  <c r="FZ25" i="123"/>
  <c r="EJ25" i="123"/>
  <c r="E50" i="127"/>
  <c r="E47" i="127" s="1"/>
  <c r="E58" i="127" s="1"/>
  <c r="E59" i="127" s="1"/>
  <c r="E21" i="127"/>
  <c r="FX68" i="123"/>
  <c r="FO69" i="123"/>
  <c r="AC59" i="126"/>
  <c r="E35" i="128"/>
  <c r="B32" i="128"/>
  <c r="J14" i="128"/>
  <c r="D50" i="127"/>
  <c r="D21" i="127"/>
  <c r="K21" i="127" s="1"/>
  <c r="K27" i="127"/>
  <c r="C46" i="128"/>
  <c r="C45" i="128"/>
  <c r="P59" i="126"/>
  <c r="BP69" i="123"/>
  <c r="BY68" i="123"/>
  <c r="FZ22" i="123"/>
  <c r="EA28" i="123"/>
  <c r="EJ28" i="123" s="1"/>
  <c r="EJ22" i="123"/>
  <c r="G39" i="124"/>
  <c r="E41" i="124"/>
  <c r="F41" i="124"/>
  <c r="H60" i="127"/>
  <c r="H61" i="127"/>
  <c r="H64" i="127" s="1"/>
  <c r="M60" i="126"/>
  <c r="AL69" i="123"/>
  <c r="Y58" i="126"/>
  <c r="EJ67" i="123"/>
  <c r="FZ67" i="123"/>
  <c r="D45" i="128"/>
  <c r="D46" i="128"/>
  <c r="CL68" i="123"/>
  <c r="CC69" i="123"/>
  <c r="T59" i="126"/>
  <c r="EB68" i="123"/>
  <c r="K13" i="128"/>
  <c r="Q14" i="128"/>
  <c r="Q13" i="128" s="1"/>
  <c r="R14" i="128"/>
  <c r="R13" i="128" s="1"/>
  <c r="P14" i="128"/>
  <c r="L14" i="128"/>
  <c r="L13" i="128" s="1"/>
  <c r="M14" i="128"/>
  <c r="M13" i="128" s="1"/>
  <c r="I13" i="128"/>
  <c r="J13" i="128" s="1"/>
  <c r="F35" i="128"/>
  <c r="F8" i="128"/>
  <c r="I8" i="128" s="1"/>
  <c r="W59" i="126"/>
  <c r="DP69" i="123"/>
  <c r="DY68" i="123"/>
  <c r="EM69" i="123"/>
  <c r="FN68" i="123"/>
  <c r="F40" i="124"/>
  <c r="E40" i="124"/>
  <c r="E43" i="124"/>
  <c r="F43" i="124"/>
  <c r="CB68" i="123"/>
  <c r="N60" i="126"/>
  <c r="AM69" i="123"/>
  <c r="G46" i="128"/>
  <c r="G45" i="128"/>
  <c r="V59" i="126"/>
  <c r="EB26" i="123"/>
  <c r="EK26" i="123" s="1"/>
  <c r="G28" i="127"/>
  <c r="G27" i="127" s="1"/>
  <c r="GA25" i="123"/>
  <c r="EK25" i="123"/>
  <c r="E8" i="128"/>
  <c r="H46" i="128"/>
  <c r="H45" i="128"/>
  <c r="BZ69" i="123"/>
  <c r="Q60" i="126"/>
  <c r="E44" i="124"/>
  <c r="F44" i="124"/>
  <c r="E42" i="124"/>
  <c r="F42" i="124"/>
  <c r="C58" i="127"/>
  <c r="G42" i="124" l="1"/>
  <c r="J8" i="128"/>
  <c r="G43" i="124"/>
  <c r="DX68" i="123"/>
  <c r="G41" i="124"/>
  <c r="E51" i="124"/>
  <c r="F51" i="124"/>
  <c r="D51" i="124" s="1"/>
  <c r="C59" i="127"/>
  <c r="G44" i="124"/>
  <c r="GA26" i="123"/>
  <c r="GJ26" i="123" s="1"/>
  <c r="I28" i="127"/>
  <c r="I27" i="127" s="1"/>
  <c r="GJ25" i="123"/>
  <c r="N14" i="128"/>
  <c r="O14" i="128" s="1"/>
  <c r="Q35" i="128"/>
  <c r="Q32" i="128" s="1"/>
  <c r="Q43" i="128" s="1"/>
  <c r="Q44" i="128" s="1"/>
  <c r="Q8" i="128"/>
  <c r="T60" i="126"/>
  <c r="CL69" i="123"/>
  <c r="AE58" i="126"/>
  <c r="GI67" i="123"/>
  <c r="P60" i="126"/>
  <c r="BY69" i="123"/>
  <c r="AC60" i="126"/>
  <c r="FX69" i="123"/>
  <c r="GJ67" i="123"/>
  <c r="AF58" i="126"/>
  <c r="V60" i="126"/>
  <c r="DX69" i="123"/>
  <c r="I35" i="128"/>
  <c r="J35" i="128" s="1"/>
  <c r="F32" i="128"/>
  <c r="L35" i="128"/>
  <c r="L32" i="128" s="1"/>
  <c r="L43" i="128" s="1"/>
  <c r="L44" i="128" s="1"/>
  <c r="L8" i="128"/>
  <c r="N13" i="128"/>
  <c r="O13" i="128" s="1"/>
  <c r="K35" i="128"/>
  <c r="K8" i="128"/>
  <c r="B43" i="128"/>
  <c r="E32" i="128"/>
  <c r="FZ26" i="123"/>
  <c r="GI26" i="123" s="1"/>
  <c r="GI25" i="123"/>
  <c r="CB69" i="123"/>
  <c r="S59" i="126"/>
  <c r="CK68" i="123"/>
  <c r="EA68" i="123"/>
  <c r="G40" i="124"/>
  <c r="W60" i="126"/>
  <c r="DY69" i="123"/>
  <c r="P13" i="128"/>
  <c r="S14" i="128"/>
  <c r="GA68" i="123"/>
  <c r="EB69" i="123"/>
  <c r="Z59" i="126"/>
  <c r="EK68" i="123"/>
  <c r="FZ28" i="123"/>
  <c r="GI28" i="123" s="1"/>
  <c r="GI22" i="123"/>
  <c r="D47" i="127"/>
  <c r="K50" i="127"/>
  <c r="G50" i="127"/>
  <c r="G47" i="127" s="1"/>
  <c r="G58" i="127" s="1"/>
  <c r="G59" i="127" s="1"/>
  <c r="G21" i="127"/>
  <c r="AB59" i="126"/>
  <c r="FW68" i="123"/>
  <c r="FN69" i="123"/>
  <c r="M35" i="128"/>
  <c r="M32" i="128" s="1"/>
  <c r="M43" i="128" s="1"/>
  <c r="M44" i="128" s="1"/>
  <c r="M8" i="128"/>
  <c r="R35" i="128"/>
  <c r="R32" i="128" s="1"/>
  <c r="R43" i="128" s="1"/>
  <c r="R44" i="128" s="1"/>
  <c r="R8" i="128"/>
  <c r="E61" i="127"/>
  <c r="E64" i="127" s="1"/>
  <c r="E60" i="127"/>
  <c r="F60" i="127"/>
  <c r="F61" i="127"/>
  <c r="F64" i="127" s="1"/>
  <c r="T14" i="128" l="1"/>
  <c r="G51" i="124"/>
  <c r="R45" i="128"/>
  <c r="R46" i="128"/>
  <c r="G61" i="127"/>
  <c r="G64" i="127" s="1"/>
  <c r="G60" i="127"/>
  <c r="GA69" i="123"/>
  <c r="AF59" i="126"/>
  <c r="GJ68" i="123"/>
  <c r="N35" i="128"/>
  <c r="O35" i="128" s="1"/>
  <c r="K32" i="128"/>
  <c r="F43" i="128"/>
  <c r="I32" i="128"/>
  <c r="J32" i="128" s="1"/>
  <c r="CK69" i="123"/>
  <c r="S60" i="126"/>
  <c r="M46" i="128"/>
  <c r="M45" i="128"/>
  <c r="D58" i="127"/>
  <c r="K47" i="127"/>
  <c r="S13" i="128"/>
  <c r="T13" i="128" s="1"/>
  <c r="P35" i="128"/>
  <c r="P8" i="128"/>
  <c r="S8" i="128" s="1"/>
  <c r="FZ68" i="123"/>
  <c r="EJ68" i="123"/>
  <c r="Y59" i="126"/>
  <c r="EA69" i="123"/>
  <c r="E43" i="128"/>
  <c r="B44" i="128"/>
  <c r="I50" i="127"/>
  <c r="I47" i="127" s="1"/>
  <c r="I58" i="127" s="1"/>
  <c r="I59" i="127" s="1"/>
  <c r="I21" i="127"/>
  <c r="C61" i="127"/>
  <c r="C60" i="127"/>
  <c r="AB60" i="126"/>
  <c r="FW69" i="123"/>
  <c r="EK69" i="123"/>
  <c r="Z60" i="126"/>
  <c r="N8" i="128"/>
  <c r="O8" i="128" s="1"/>
  <c r="L45" i="128"/>
  <c r="L46" i="128"/>
  <c r="Q46" i="128"/>
  <c r="Q45" i="128"/>
  <c r="T8" i="128" l="1"/>
  <c r="E44" i="128"/>
  <c r="B45" i="128"/>
  <c r="B46" i="128"/>
  <c r="E46" i="128" s="1"/>
  <c r="C64" i="127"/>
  <c r="AE59" i="126"/>
  <c r="FZ69" i="123"/>
  <c r="GI68" i="123"/>
  <c r="F44" i="128"/>
  <c r="I43" i="128"/>
  <c r="J43" i="128" s="1"/>
  <c r="EJ69" i="123"/>
  <c r="Y60" i="126"/>
  <c r="D59" i="127"/>
  <c r="K58" i="127"/>
  <c r="N32" i="128"/>
  <c r="O32" i="128" s="1"/>
  <c r="K43" i="128"/>
  <c r="GJ69" i="123"/>
  <c r="AF60" i="126"/>
  <c r="I60" i="127"/>
  <c r="I61" i="127"/>
  <c r="I64" i="127" s="1"/>
  <c r="S35" i="128"/>
  <c r="P32" i="128"/>
  <c r="T35" i="128"/>
  <c r="AE60" i="126" l="1"/>
  <c r="GI69" i="123"/>
  <c r="S32" i="128"/>
  <c r="T32" i="128" s="1"/>
  <c r="P43" i="128"/>
  <c r="D60" i="127"/>
  <c r="K60" i="127" s="1"/>
  <c r="D61" i="127"/>
  <c r="K59" i="127"/>
  <c r="F45" i="128"/>
  <c r="I44" i="128"/>
  <c r="I45" i="128" s="1"/>
  <c r="F46" i="128"/>
  <c r="I46" i="128" s="1"/>
  <c r="J46" i="128" s="1"/>
  <c r="E45" i="128"/>
  <c r="K44" i="128"/>
  <c r="N43" i="128"/>
  <c r="O43" i="128" s="1"/>
  <c r="D64" i="127" l="1"/>
  <c r="K61" i="127"/>
  <c r="K45" i="128"/>
  <c r="K46" i="128"/>
  <c r="N46" i="128" s="1"/>
  <c r="O46" i="128" s="1"/>
  <c r="N44" i="128"/>
  <c r="N45" i="128" s="1"/>
  <c r="J44" i="128"/>
  <c r="P44" i="128"/>
  <c r="S43" i="128"/>
  <c r="T43" i="128" s="1"/>
  <c r="J45" i="128" l="1"/>
  <c r="O44" i="128"/>
  <c r="S44" i="128"/>
  <c r="S45" i="128" s="1"/>
  <c r="P46" i="128"/>
  <c r="S46" i="128" s="1"/>
  <c r="T46" i="128" s="1"/>
  <c r="P45" i="128"/>
  <c r="T44" i="128" l="1"/>
  <c r="T45" i="128" s="1"/>
  <c r="O45" i="1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8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berdennikovasn</author>
  </authors>
  <commentList>
    <comment ref="Y81" authorId="0" shapeId="0" xr:uid="{00000000-0006-0000-1B00-000001000000}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sharedStrings.xml><?xml version="1.0" encoding="utf-8"?>
<sst xmlns="http://schemas.openxmlformats.org/spreadsheetml/2006/main" count="16224" uniqueCount="3986">
  <si>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</si>
  <si>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</si>
  <si>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</si>
  <si>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</si>
  <si>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</si>
  <si>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</si>
  <si>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</si>
  <si>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</si>
  <si>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</si>
  <si>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</si>
  <si>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</si>
  <si>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</si>
  <si>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</si>
  <si>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</si>
  <si>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</si>
  <si>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</si>
  <si>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</si>
  <si>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</si>
  <si>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</si>
  <si>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</si>
  <si>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</si>
  <si>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</si>
  <si>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</si>
  <si>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</si>
  <si>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</si>
  <si>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</si>
  <si>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</si>
  <si>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</si>
  <si>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</si>
  <si>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</si>
  <si>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</si>
  <si>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</si>
  <si>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</si>
  <si>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</si>
  <si>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</si>
  <si>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</si>
  <si>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</si>
  <si>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</si>
  <si>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</si>
  <si>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</si>
  <si>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</si>
  <si>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</si>
  <si>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</si>
  <si>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</si>
  <si>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</si>
  <si>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</si>
  <si>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</si>
  <si>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</si>
  <si>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</si>
  <si>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</si>
  <si>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</si>
  <si>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</si>
  <si>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</si>
  <si>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</si>
  <si>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</si>
  <si>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</si>
  <si>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</si>
  <si>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</si>
  <si>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</si>
  <si>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</si>
  <si>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</si>
  <si>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</si>
  <si>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</si>
  <si>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</si>
  <si>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</si>
  <si>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</si>
  <si>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</si>
  <si>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</si>
  <si>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</si>
  <si>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</si>
  <si>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</si>
  <si>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</si>
  <si>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</si>
  <si>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</si>
  <si>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</si>
  <si>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</si>
  <si>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</si>
  <si>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</si>
  <si>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</si>
  <si>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</si>
  <si>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</si>
  <si>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Охрана правого берега р. Лименда</t>
  </si>
  <si>
    <t>Котельная ФОС</t>
  </si>
  <si>
    <t>подъем воды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</si>
  <si>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</si>
  <si>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</si>
  <si>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</si>
  <si>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</si>
  <si>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</si>
  <si>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</si>
  <si>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</si>
  <si>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</si>
  <si>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</si>
  <si>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</si>
  <si>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</si>
  <si>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</si>
  <si>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</si>
  <si>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</si>
  <si>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</si>
  <si>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</si>
  <si>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</si>
  <si>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</si>
  <si>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</si>
  <si>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</si>
  <si>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</si>
  <si>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</si>
  <si>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</si>
  <si>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</si>
  <si>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</si>
  <si>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</si>
  <si>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</si>
  <si>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</si>
  <si>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</si>
  <si>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</si>
  <si>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</si>
  <si>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</si>
  <si>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</si>
  <si>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</si>
  <si>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</si>
  <si>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</si>
  <si>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</si>
  <si>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</si>
  <si>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</si>
  <si>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</si>
  <si>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</si>
  <si>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</si>
  <si>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</si>
  <si>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</si>
  <si>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</si>
  <si>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</si>
  <si>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</si>
  <si>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</si>
  <si>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</si>
  <si>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</si>
  <si>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</si>
  <si>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</si>
  <si>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</si>
  <si>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</si>
  <si>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</si>
  <si>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</si>
  <si>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</si>
  <si>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</si>
  <si>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</si>
  <si>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</si>
  <si>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</si>
  <si>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</si>
  <si>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</si>
  <si>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</si>
  <si>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</si>
  <si>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</si>
  <si>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</si>
  <si>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</si>
  <si>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</si>
  <si>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</si>
  <si>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</si>
  <si>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</si>
  <si>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</si>
  <si>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</si>
  <si>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</si>
  <si>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</si>
  <si>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</si>
  <si>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</si>
  <si>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</si>
  <si>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</si>
  <si>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</si>
  <si>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</si>
  <si>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</si>
  <si>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</si>
  <si>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</si>
  <si>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</si>
  <si>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</si>
  <si>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</si>
  <si>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</si>
  <si>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</si>
  <si>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</si>
  <si>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</si>
  <si>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</si>
  <si>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</si>
  <si>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</si>
  <si>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</si>
  <si>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</si>
  <si>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</si>
  <si>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</si>
  <si>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</si>
  <si>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</si>
  <si>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</si>
  <si>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</si>
  <si>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</si>
  <si>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</si>
  <si>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</si>
  <si>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</si>
  <si>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</si>
  <si>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</si>
  <si>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</si>
  <si>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</si>
  <si>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</si>
  <si>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</si>
  <si>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</si>
  <si>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</si>
  <si>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</si>
  <si>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</si>
  <si>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</si>
  <si>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</si>
  <si>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</si>
  <si>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</si>
  <si>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</si>
  <si>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</si>
  <si>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</si>
  <si>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</si>
  <si>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</si>
  <si>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</si>
  <si>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</si>
  <si>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</si>
  <si>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</si>
  <si>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</si>
  <si>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</si>
  <si>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</si>
  <si>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</si>
  <si>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</si>
  <si>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</si>
  <si>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</si>
  <si>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</si>
  <si>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</si>
  <si>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</si>
  <si>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</si>
  <si>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</si>
  <si>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</si>
  <si>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</si>
  <si>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</si>
  <si>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</si>
  <si>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</si>
  <si>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</si>
  <si>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</si>
  <si>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</si>
  <si>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</si>
  <si>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</si>
  <si>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</si>
  <si>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</si>
  <si>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</si>
  <si>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</si>
  <si>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</si>
  <si>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</si>
  <si>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</si>
  <si>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</si>
  <si>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</si>
  <si>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</si>
  <si>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</si>
  <si>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</si>
  <si>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</si>
  <si>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</si>
  <si>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</si>
  <si>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</si>
  <si>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</si>
  <si>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</si>
  <si>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</si>
  <si>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</si>
  <si>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</si>
  <si>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</si>
  <si>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</si>
  <si>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</si>
  <si>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</si>
  <si>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</si>
  <si>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</si>
  <si>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</si>
  <si>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</si>
  <si>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</si>
  <si>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</si>
  <si>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</si>
  <si>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</si>
  <si>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</si>
  <si>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</si>
  <si>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</si>
  <si>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</si>
  <si>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</si>
  <si>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</si>
  <si>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</si>
  <si>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</si>
  <si>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</si>
  <si>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</si>
  <si>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</si>
  <si>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</si>
  <si>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</si>
  <si>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</si>
  <si>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</si>
  <si>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</si>
  <si>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</si>
  <si>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</si>
  <si>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</si>
  <si>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</si>
  <si>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</si>
  <si>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</si>
  <si>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</si>
  <si>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</si>
  <si>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</si>
  <si>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</si>
  <si>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</si>
  <si>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</si>
  <si>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</si>
  <si>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</si>
  <si>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</si>
  <si>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</si>
  <si>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</si>
  <si>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</si>
  <si>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</si>
  <si>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</si>
  <si>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</si>
  <si>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</si>
  <si>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</si>
  <si>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</si>
  <si>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</si>
  <si>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</si>
  <si>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</si>
  <si>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</si>
  <si>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</si>
  <si>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</si>
  <si>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</si>
  <si>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</si>
  <si>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</si>
  <si>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</si>
  <si>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</si>
  <si>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</si>
  <si>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</si>
  <si>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</si>
  <si>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</si>
  <si>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</si>
  <si>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</si>
  <si>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</si>
  <si>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</si>
  <si>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</si>
  <si>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</si>
  <si>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</si>
  <si>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</si>
  <si>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</si>
  <si>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</si>
  <si>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</si>
  <si>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</si>
  <si>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</si>
  <si>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</si>
  <si>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</si>
  <si>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</si>
  <si>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</si>
  <si>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</si>
  <si>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</si>
  <si>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</si>
  <si>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</si>
  <si>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</si>
  <si>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</si>
  <si>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</si>
  <si>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</si>
  <si>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</si>
  <si>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</si>
  <si>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</si>
  <si>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</si>
  <si>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</si>
  <si>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</si>
  <si>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</si>
  <si>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</si>
  <si>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</si>
  <si>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</si>
  <si>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</si>
  <si>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</si>
  <si>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</si>
  <si>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</si>
  <si>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</si>
  <si>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</si>
  <si>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</si>
  <si>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</si>
  <si>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</si>
  <si>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</si>
  <si>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</si>
  <si>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</si>
  <si>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</si>
  <si>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</si>
  <si>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</si>
  <si>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</si>
  <si>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</si>
  <si>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</si>
  <si>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</si>
  <si>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</si>
  <si>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</si>
  <si>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</si>
  <si>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</si>
  <si>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</si>
  <si>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</si>
  <si>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</si>
  <si>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</si>
  <si>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</si>
  <si>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</si>
  <si>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</si>
  <si>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</si>
  <si>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</si>
  <si>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</si>
  <si>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</si>
  <si>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</si>
  <si>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</si>
  <si>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</si>
  <si>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</si>
  <si>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</si>
  <si>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</si>
  <si>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</si>
  <si>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</si>
  <si>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</si>
  <si>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</si>
  <si>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</si>
  <si>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</si>
  <si>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</si>
  <si>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</si>
  <si>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</si>
  <si>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</si>
  <si>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</si>
  <si>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</si>
  <si>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</si>
  <si>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</si>
  <si>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</si>
  <si>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</si>
  <si>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</si>
  <si>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</si>
  <si>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</si>
  <si>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</si>
  <si>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</si>
  <si>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</si>
  <si>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</si>
  <si>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</si>
  <si>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</si>
  <si>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</si>
  <si>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</si>
  <si>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</si>
  <si>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</si>
  <si>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</si>
  <si>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</si>
  <si>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</si>
  <si>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</si>
  <si>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</si>
  <si>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</si>
  <si>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</si>
  <si>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</si>
  <si>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</si>
  <si>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</si>
  <si>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</si>
  <si>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</si>
  <si>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</si>
  <si>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</si>
  <si>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</si>
  <si>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</si>
  <si>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</si>
  <si>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</si>
  <si>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</si>
  <si>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</si>
  <si>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</si>
  <si>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</si>
  <si>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</si>
  <si>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</si>
  <si>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</si>
  <si>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</si>
  <si>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</si>
  <si>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</si>
  <si>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</si>
  <si>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</si>
  <si>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</si>
  <si>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</si>
  <si>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</si>
  <si>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</si>
  <si>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</si>
  <si>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</si>
  <si>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</si>
  <si>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</si>
  <si>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</si>
  <si>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</si>
  <si>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</si>
  <si>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</si>
  <si>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</si>
  <si>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</si>
  <si>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</si>
  <si>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</si>
  <si>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</si>
  <si>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</si>
  <si>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</si>
  <si>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</si>
  <si>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</si>
  <si>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</si>
  <si>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</si>
  <si>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</si>
  <si>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</si>
  <si>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</si>
  <si>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</si>
  <si>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</si>
  <si>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</si>
  <si>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</si>
  <si>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</si>
  <si>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</si>
  <si>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</si>
  <si>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</si>
  <si>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</si>
  <si>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</si>
  <si>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</si>
  <si>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</si>
  <si>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</si>
  <si>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</si>
  <si>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</si>
  <si>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</si>
  <si>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</si>
  <si>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</si>
  <si>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</si>
  <si>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</si>
  <si>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</si>
  <si>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</si>
  <si>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</si>
  <si>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</si>
  <si>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</si>
  <si>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</si>
  <si>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</si>
  <si>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</si>
  <si>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</si>
  <si>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</si>
  <si>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</si>
  <si>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</si>
  <si>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</si>
  <si>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</si>
  <si>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</si>
  <si>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</si>
  <si>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</si>
  <si>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</si>
  <si>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</si>
  <si>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</si>
  <si>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</si>
  <si>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</si>
  <si>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</si>
  <si>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</si>
  <si>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</si>
  <si>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</si>
  <si>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</si>
  <si>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</si>
  <si>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</si>
  <si>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</si>
  <si>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</si>
  <si>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</si>
  <si>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</si>
  <si>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</si>
  <si>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</si>
  <si>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</si>
  <si>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</si>
  <si>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</si>
  <si>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</si>
  <si>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</si>
  <si>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</si>
  <si>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</si>
  <si>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</si>
  <si>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</si>
  <si>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</si>
  <si>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</si>
  <si>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</si>
  <si>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</si>
  <si>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</si>
  <si>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</si>
  <si>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</si>
  <si>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</si>
  <si>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</si>
  <si>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</si>
  <si>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</si>
  <si>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</si>
  <si>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</si>
  <si>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</si>
  <si>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</si>
  <si>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</si>
  <si>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</si>
  <si>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</si>
  <si>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</si>
  <si>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техосмотр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</si>
  <si>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</si>
  <si>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</si>
  <si>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</si>
  <si>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</si>
  <si>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</si>
  <si>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</si>
  <si>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</si>
  <si>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</si>
  <si>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</si>
  <si>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</si>
  <si>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</si>
  <si>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</si>
  <si>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</si>
  <si>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</si>
  <si>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</si>
  <si>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</si>
  <si>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</si>
  <si>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</si>
  <si>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</si>
  <si>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</si>
  <si>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</si>
  <si>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</si>
  <si>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</si>
  <si>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</si>
  <si>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</si>
  <si>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</si>
  <si>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</si>
  <si>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</si>
  <si>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</si>
  <si>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</si>
  <si>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</si>
  <si>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</si>
  <si>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</si>
  <si>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</si>
  <si>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</si>
  <si>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</si>
  <si>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</si>
  <si>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</si>
  <si>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</si>
  <si>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</si>
  <si>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</si>
  <si>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</si>
  <si>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</si>
  <si>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</si>
  <si>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</si>
  <si>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</si>
  <si>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</si>
  <si>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</si>
  <si>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</si>
  <si>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</si>
  <si>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</si>
  <si>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</si>
  <si>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</si>
  <si>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</si>
  <si>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</si>
  <si>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</si>
  <si>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</si>
  <si>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</si>
  <si>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</si>
  <si>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</si>
  <si>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</si>
  <si>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</si>
  <si>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</si>
  <si>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</si>
  <si>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</si>
  <si>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</si>
  <si>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</si>
  <si>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</si>
  <si>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</si>
  <si>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</si>
  <si>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</si>
  <si>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</si>
  <si>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</si>
  <si>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</si>
  <si>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</si>
  <si>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</si>
  <si>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Прочие расходы (договор временного управления, вознаграждение внешн. управл.)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</si>
  <si>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</si>
  <si>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</si>
  <si>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</si>
  <si>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</si>
  <si>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</si>
  <si>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</si>
  <si>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</si>
  <si>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</si>
  <si>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</si>
  <si>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</si>
  <si>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</si>
  <si>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</si>
  <si>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</si>
  <si>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</si>
  <si>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</si>
  <si>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</si>
  <si>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</si>
  <si>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</si>
  <si>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</si>
  <si>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</si>
  <si>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</si>
  <si>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</si>
  <si>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</si>
  <si>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</si>
  <si>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</si>
  <si>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</si>
  <si>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</si>
  <si>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</si>
  <si>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</si>
  <si>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</si>
  <si>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</si>
  <si>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</si>
  <si>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</si>
  <si>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</si>
  <si>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</si>
  <si>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</si>
  <si>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</si>
  <si>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</si>
  <si>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</si>
  <si>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</si>
  <si>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</si>
  <si>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</si>
  <si>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</si>
  <si>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</si>
  <si>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</si>
  <si>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</si>
  <si>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</si>
  <si>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</si>
  <si>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</si>
  <si>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</si>
  <si>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</si>
  <si>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</si>
  <si>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</si>
  <si>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</si>
  <si>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</si>
  <si>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</si>
  <si>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</si>
  <si>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</si>
  <si>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</si>
  <si>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</si>
  <si>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</si>
  <si>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</si>
  <si>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</si>
  <si>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</si>
  <si>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</si>
  <si>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</si>
  <si>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</si>
  <si>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</si>
  <si>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</si>
  <si>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</si>
  <si>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</si>
  <si>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</si>
  <si>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</si>
  <si>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</si>
  <si>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</si>
  <si>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</si>
  <si>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</si>
  <si>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</si>
  <si>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</si>
  <si>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</si>
  <si>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</si>
  <si>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</si>
  <si>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</si>
  <si>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</si>
  <si>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</si>
  <si>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</si>
  <si>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</si>
  <si>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</si>
  <si>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</si>
  <si>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</si>
  <si>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</si>
  <si>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</si>
  <si>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</si>
  <si>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</si>
  <si>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</si>
  <si>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</si>
  <si>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</si>
  <si>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</si>
  <si>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</si>
  <si>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</si>
  <si>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</si>
  <si>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</si>
  <si>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</si>
  <si>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</si>
  <si>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</si>
  <si>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</si>
  <si>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</si>
  <si>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</si>
  <si>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</si>
  <si>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</si>
  <si>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</si>
  <si>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</si>
  <si>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</si>
  <si>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</si>
  <si>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</si>
  <si>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</si>
  <si>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</si>
  <si>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</si>
  <si>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</si>
  <si>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</si>
  <si>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</si>
  <si>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</si>
  <si>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</si>
  <si>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</si>
  <si>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</si>
  <si>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</si>
  <si>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</si>
  <si>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</si>
  <si>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</si>
  <si>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</si>
  <si>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</si>
  <si>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</si>
  <si>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</si>
  <si>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</si>
  <si>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</si>
  <si>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</si>
  <si>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</si>
  <si>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</si>
  <si>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</si>
  <si>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</si>
  <si>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</si>
  <si>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</si>
  <si>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</si>
  <si>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</si>
  <si>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</si>
  <si>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</si>
  <si>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</si>
  <si>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</si>
  <si>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</si>
  <si>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</si>
  <si>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</si>
  <si>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</si>
  <si>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</si>
  <si>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</si>
  <si>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</si>
  <si>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</si>
  <si>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</si>
  <si>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</si>
  <si>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</si>
  <si>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</si>
  <si>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</si>
  <si>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</si>
  <si>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</si>
  <si>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</si>
  <si>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</si>
  <si>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</si>
  <si>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</si>
  <si>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</si>
  <si>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</si>
  <si>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</si>
  <si>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</si>
  <si>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</si>
  <si>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</si>
  <si>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</si>
  <si>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</si>
  <si>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</si>
  <si>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</si>
  <si>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</si>
  <si>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</si>
  <si>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</si>
  <si>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</si>
  <si>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</si>
  <si>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</si>
  <si>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</si>
  <si>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</si>
  <si>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</si>
  <si>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</si>
  <si>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</si>
  <si>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</si>
  <si>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</si>
  <si>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</si>
  <si>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</si>
  <si>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</si>
  <si>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</si>
  <si>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</si>
  <si>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</si>
  <si>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</si>
  <si>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</si>
  <si>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</si>
  <si>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</si>
  <si>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</si>
  <si>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</si>
  <si>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</si>
  <si>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</si>
  <si>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</si>
  <si>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</si>
  <si>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</si>
  <si>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</si>
  <si>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</si>
  <si>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</si>
  <si>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</si>
  <si>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</si>
  <si>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</si>
  <si>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</si>
  <si>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</si>
  <si>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</si>
  <si>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</si>
  <si>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</si>
  <si>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</si>
  <si>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</si>
  <si>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</si>
  <si>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</si>
  <si>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</si>
  <si>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</si>
  <si>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</si>
  <si>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</si>
  <si>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</si>
  <si>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</si>
  <si>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</si>
  <si>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</si>
  <si>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</si>
  <si>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</si>
  <si>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</si>
  <si>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</si>
  <si>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</si>
  <si>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</si>
  <si>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</si>
  <si>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</si>
  <si>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</si>
  <si>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</si>
  <si>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</si>
  <si>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</si>
  <si>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</si>
  <si>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</si>
  <si>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</si>
  <si>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</si>
  <si>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</si>
  <si>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</si>
  <si>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</si>
  <si>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</si>
  <si>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</si>
  <si>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</si>
  <si>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</si>
  <si>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</si>
  <si>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</si>
  <si>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</si>
  <si>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</si>
  <si>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</si>
  <si>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</si>
  <si>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</si>
  <si>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</si>
  <si>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</si>
  <si>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</si>
  <si>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</si>
  <si>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</si>
  <si>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</si>
  <si>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</si>
  <si>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</si>
  <si>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</si>
  <si>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</si>
  <si>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</si>
  <si>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</si>
  <si>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</si>
  <si>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</si>
  <si>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</si>
  <si>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</si>
  <si>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</si>
  <si>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</si>
  <si>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</si>
  <si>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</si>
  <si>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</si>
  <si>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</si>
  <si>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</si>
  <si>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</si>
  <si>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</si>
  <si>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</si>
  <si>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</si>
  <si>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</si>
  <si>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</si>
  <si>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</si>
  <si>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</si>
  <si>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</si>
  <si>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</si>
  <si>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</si>
  <si>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</si>
  <si>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</si>
  <si>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</si>
  <si>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</si>
  <si>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</si>
  <si>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</si>
  <si>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</si>
  <si>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</si>
  <si>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</si>
  <si>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</si>
  <si>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</si>
  <si>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</si>
  <si>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</si>
  <si>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</si>
  <si>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</si>
  <si>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</si>
  <si>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</si>
  <si>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</si>
  <si>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</si>
  <si>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</si>
  <si>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</si>
  <si>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</si>
  <si>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</si>
  <si>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</si>
  <si>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</si>
  <si>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</si>
  <si>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</si>
  <si>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</si>
  <si>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</si>
  <si>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</si>
  <si>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</si>
  <si>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</si>
  <si>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</si>
  <si>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</si>
  <si>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</si>
  <si>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</si>
  <si>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</si>
  <si>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</si>
  <si>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</si>
  <si>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</si>
  <si>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</si>
  <si>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</si>
  <si>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</si>
  <si>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</si>
  <si>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</si>
  <si>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</si>
  <si>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</si>
  <si>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</si>
  <si>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</si>
  <si>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</si>
  <si>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</si>
  <si>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</si>
  <si>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</si>
  <si>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</si>
  <si>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</si>
  <si>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</si>
  <si>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</si>
  <si>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</si>
  <si>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</si>
  <si>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</si>
  <si>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</si>
  <si>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</si>
  <si>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</si>
  <si>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</si>
  <si>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</si>
  <si>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</si>
  <si>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</si>
  <si>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</si>
  <si>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</si>
  <si>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</si>
  <si>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</si>
  <si>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</si>
  <si>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</si>
  <si>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</si>
  <si>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</si>
  <si>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</si>
  <si>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</si>
  <si>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</si>
  <si>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</si>
  <si>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</si>
  <si>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</si>
  <si>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</si>
  <si>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</si>
  <si>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</si>
  <si>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</si>
  <si>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</si>
  <si>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</si>
  <si>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</si>
  <si>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</si>
  <si>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</si>
  <si>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</si>
  <si>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</si>
  <si>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</si>
  <si>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</si>
  <si>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</si>
  <si>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</si>
  <si>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</si>
  <si>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</si>
  <si>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</si>
  <si>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</si>
  <si>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</si>
  <si>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</si>
  <si>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</si>
  <si>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</si>
  <si>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</si>
  <si>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</si>
  <si>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</si>
  <si>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</si>
  <si>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</si>
  <si>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</si>
  <si>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</si>
  <si>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</si>
  <si>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</si>
  <si>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</si>
  <si>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</si>
  <si>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</si>
  <si>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</si>
  <si>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</si>
  <si>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</si>
  <si>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</si>
  <si>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</si>
  <si>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</si>
  <si>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</si>
  <si>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</si>
  <si>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</si>
  <si>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</si>
  <si>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</si>
  <si>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</si>
  <si>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</si>
  <si>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</si>
  <si>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</si>
  <si>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</si>
  <si>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</si>
  <si>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</si>
  <si>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</si>
  <si>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</si>
  <si>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</si>
  <si>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</si>
  <si>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</si>
  <si>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</si>
  <si>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</si>
  <si>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</si>
  <si>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</si>
  <si>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</si>
  <si>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</si>
  <si>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</si>
  <si>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</si>
  <si>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</si>
  <si>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</si>
  <si>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</si>
  <si>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</si>
  <si>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</si>
  <si>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</si>
  <si>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</si>
  <si>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</si>
  <si>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</si>
  <si>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</si>
  <si>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</si>
  <si>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</si>
  <si>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</si>
  <si>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</si>
  <si>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</si>
  <si>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</si>
  <si>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</si>
  <si>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</si>
  <si>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</si>
  <si>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</si>
  <si>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</si>
  <si>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</si>
  <si>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</si>
  <si>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</si>
  <si>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</si>
  <si>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</si>
  <si>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</si>
  <si>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</si>
  <si>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</si>
  <si>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</si>
  <si>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</si>
  <si>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</si>
  <si>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</si>
  <si>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</si>
  <si>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</si>
  <si>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</si>
  <si>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</si>
  <si>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</si>
  <si>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</si>
  <si>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</si>
  <si>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</si>
  <si>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</si>
  <si>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</si>
  <si>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</si>
  <si>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</si>
  <si>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</si>
  <si>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</si>
  <si>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</si>
  <si>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</si>
  <si>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</si>
  <si>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</si>
  <si>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</si>
  <si>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</si>
  <si>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</si>
  <si>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</si>
  <si>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</si>
  <si>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</si>
  <si>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</si>
  <si>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</si>
  <si>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</si>
  <si>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</si>
  <si>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</si>
  <si>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</si>
  <si>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</si>
  <si>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</si>
  <si>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</si>
  <si>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</si>
  <si>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</si>
  <si>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</si>
  <si>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</si>
  <si>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</si>
  <si>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</si>
  <si>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</si>
  <si>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</si>
  <si>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</si>
  <si>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</si>
  <si>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</si>
  <si>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</si>
  <si>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</si>
  <si>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</si>
  <si>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</si>
  <si>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</si>
  <si>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</si>
  <si>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</si>
  <si>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</si>
  <si>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</si>
  <si>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</si>
  <si>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</si>
  <si>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</si>
  <si>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</si>
  <si>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</si>
  <si>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</si>
  <si>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</si>
  <si>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</si>
  <si>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</si>
  <si>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</si>
  <si>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</si>
  <si>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</si>
  <si>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</si>
  <si>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</si>
  <si>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</si>
  <si>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</si>
  <si>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</si>
  <si>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</si>
  <si>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</si>
  <si>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</si>
  <si>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</si>
  <si>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</si>
  <si>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</si>
  <si>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</si>
  <si>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</si>
  <si>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</si>
  <si>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</si>
  <si>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</si>
  <si>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</si>
  <si>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</si>
  <si>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</si>
  <si>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</si>
  <si>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</si>
  <si>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</si>
  <si>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</si>
  <si>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</si>
  <si>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</si>
  <si>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</si>
  <si>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</si>
  <si>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</si>
  <si>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</si>
  <si>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</si>
  <si>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</si>
  <si>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</si>
  <si>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</si>
  <si>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</si>
  <si>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</si>
  <si>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</si>
  <si>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</si>
  <si>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</si>
  <si>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</si>
  <si>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</si>
  <si>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</si>
  <si>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</si>
  <si>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</si>
  <si>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</si>
  <si>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</si>
  <si>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</si>
  <si>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</si>
  <si>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</si>
  <si>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</si>
  <si>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</si>
  <si>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</si>
  <si>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</si>
  <si>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</si>
  <si>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</si>
  <si>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</si>
  <si>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</si>
  <si>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</si>
  <si>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</si>
  <si>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</si>
  <si>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</si>
  <si>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</si>
  <si>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</si>
  <si>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</si>
  <si>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</si>
  <si>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</si>
  <si>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</si>
  <si>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</si>
  <si>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</si>
  <si>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</si>
  <si>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</si>
  <si>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</si>
  <si>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</si>
  <si>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</si>
  <si>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</si>
  <si>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</si>
  <si>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</si>
  <si>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</si>
  <si>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</si>
  <si>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</si>
  <si>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</si>
  <si>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</si>
  <si>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</si>
  <si>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</si>
  <si>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</si>
  <si>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</si>
  <si>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</si>
  <si>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</si>
  <si>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</si>
  <si>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</si>
  <si>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</si>
  <si>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</si>
  <si>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</si>
  <si>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</si>
  <si>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</si>
  <si>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</si>
  <si>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</si>
  <si>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</si>
  <si>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</si>
  <si>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</si>
  <si>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</si>
  <si>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</si>
  <si>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</si>
  <si>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</si>
  <si>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</si>
  <si>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</si>
  <si>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</si>
  <si>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</si>
  <si>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</si>
  <si>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</si>
  <si>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</si>
  <si>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</si>
  <si>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</si>
  <si>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</si>
  <si>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</si>
  <si>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</si>
  <si>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</si>
  <si>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</si>
  <si>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</si>
  <si>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</si>
  <si>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</si>
  <si>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</si>
  <si>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</si>
  <si>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</si>
  <si>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</si>
  <si>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</si>
  <si>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</si>
  <si>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</si>
  <si>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</si>
  <si>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</si>
  <si>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</si>
  <si>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</si>
  <si>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</si>
  <si>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</si>
  <si>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</si>
  <si>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</si>
  <si>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</si>
  <si>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</si>
  <si>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</si>
  <si>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</si>
  <si>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</si>
  <si>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</si>
  <si>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</si>
  <si>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</si>
  <si>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</si>
  <si>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</si>
  <si>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</si>
  <si>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</si>
  <si>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</si>
  <si>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</si>
  <si>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</si>
  <si>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</si>
  <si>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</si>
  <si>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</si>
  <si>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</si>
  <si>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</si>
  <si>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</si>
  <si>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</si>
  <si>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</si>
  <si>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</si>
  <si>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</si>
  <si>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</si>
  <si>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</si>
  <si>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</si>
  <si>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</si>
  <si>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</si>
  <si>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</si>
  <si>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</si>
  <si>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</si>
  <si>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</si>
  <si>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</si>
  <si>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</si>
  <si>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</si>
  <si>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</si>
  <si>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</si>
  <si>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</si>
  <si>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</si>
  <si>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</si>
  <si>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</si>
  <si>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</si>
  <si>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</si>
  <si>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</si>
  <si>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</si>
  <si>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</si>
  <si>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</si>
  <si>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</si>
  <si>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</si>
  <si>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</si>
  <si>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</si>
  <si>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</si>
  <si>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</si>
  <si>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</si>
  <si>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</si>
  <si>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</si>
  <si>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</si>
  <si>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</si>
  <si>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</si>
  <si>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</si>
  <si>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</si>
  <si>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</si>
  <si>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</si>
  <si>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</si>
  <si>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</si>
  <si>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</si>
  <si>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</si>
  <si>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</si>
  <si>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</si>
  <si>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</si>
  <si>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</si>
  <si>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</si>
  <si>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</si>
  <si>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</si>
  <si>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</si>
  <si>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</si>
  <si>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</si>
  <si>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</si>
  <si>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</si>
  <si>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</si>
  <si>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</si>
  <si>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</si>
  <si>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</si>
  <si>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</si>
  <si>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</si>
  <si>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</si>
  <si>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</si>
  <si>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</si>
  <si>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</si>
  <si>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</si>
  <si>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</si>
  <si>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</si>
  <si>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</si>
  <si>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</si>
  <si>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</si>
  <si>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</si>
  <si>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</si>
  <si>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</si>
  <si>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</si>
  <si>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</si>
  <si>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</si>
  <si>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</si>
  <si>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</si>
  <si>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</si>
  <si>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</si>
  <si>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</si>
  <si>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</si>
  <si>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</si>
  <si>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</si>
  <si>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</si>
  <si>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</si>
  <si>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</si>
  <si>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</si>
  <si>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</si>
  <si>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</si>
  <si>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</si>
  <si>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</si>
  <si>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</si>
  <si>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</si>
  <si>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</si>
  <si>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</si>
  <si>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</si>
  <si>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</si>
  <si>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</si>
  <si>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</si>
  <si>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</si>
  <si>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</si>
  <si>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</si>
  <si>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</si>
  <si>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</si>
  <si>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</si>
  <si>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</si>
  <si>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</si>
  <si>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</si>
  <si>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</si>
  <si>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</si>
  <si>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</si>
  <si>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</si>
  <si>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</si>
  <si>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</si>
  <si>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</si>
  <si>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</si>
  <si>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</si>
  <si>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</si>
  <si>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</si>
  <si>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</si>
  <si>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</si>
  <si>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</si>
  <si>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</si>
  <si>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</si>
  <si>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</si>
  <si>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</si>
  <si>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</si>
  <si>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</si>
  <si>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</si>
  <si>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</si>
  <si>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</si>
  <si>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</si>
  <si>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</si>
  <si>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</si>
  <si>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</si>
  <si>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</si>
  <si>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</si>
  <si>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</si>
  <si>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</si>
  <si>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</si>
  <si>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</si>
  <si>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</si>
  <si>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</si>
  <si>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</si>
  <si>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</si>
  <si>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</si>
  <si>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</si>
  <si>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</si>
  <si>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</si>
  <si>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</si>
  <si>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</si>
  <si>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</si>
  <si>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</si>
  <si>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</si>
  <si>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</si>
  <si>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</si>
  <si>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</si>
  <si>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</si>
  <si>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</si>
  <si>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</si>
  <si>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</si>
  <si>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</si>
  <si>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</si>
  <si>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</si>
  <si>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</si>
  <si>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</si>
  <si>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</si>
  <si>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</si>
  <si>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</si>
  <si>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</si>
  <si>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</si>
  <si>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</si>
  <si>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</si>
  <si>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</si>
  <si>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</si>
  <si>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</si>
  <si>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</si>
  <si>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</si>
  <si>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</si>
  <si>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</si>
  <si>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</si>
  <si>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</si>
  <si>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</si>
  <si>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</si>
  <si>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</si>
  <si>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</si>
  <si>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</si>
  <si>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</si>
  <si>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</si>
  <si>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</si>
  <si>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</si>
  <si>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</si>
  <si>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</si>
  <si>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</si>
  <si>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</si>
  <si>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</si>
  <si>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</si>
  <si>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</si>
  <si>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</si>
  <si>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</si>
  <si>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</si>
  <si>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</si>
  <si>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</si>
  <si>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</si>
  <si>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</si>
  <si>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</si>
  <si>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</si>
  <si>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</si>
  <si>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</si>
  <si>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</si>
  <si>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</si>
  <si>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</si>
  <si>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</si>
  <si>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</si>
  <si>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</si>
  <si>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</si>
  <si>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</si>
  <si>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</si>
  <si>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</si>
  <si>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</si>
  <si>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</si>
  <si>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</si>
  <si>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</si>
  <si>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</si>
  <si>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</si>
  <si>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</si>
  <si>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</si>
  <si>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</si>
  <si>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</si>
  <si>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</si>
  <si>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</si>
  <si>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</si>
  <si>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</si>
  <si>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</si>
  <si>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</si>
  <si>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</si>
  <si>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</si>
  <si>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</si>
  <si>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</si>
  <si>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</si>
  <si>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</si>
  <si>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</si>
  <si>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</si>
  <si>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</si>
  <si>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</si>
  <si>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</si>
  <si>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</si>
  <si>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</si>
  <si>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</si>
  <si>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</si>
  <si>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</si>
  <si>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</si>
  <si>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</si>
  <si>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</si>
  <si>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</si>
  <si>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</si>
  <si>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</si>
  <si>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</si>
  <si>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</si>
  <si>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</si>
  <si>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</si>
  <si>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</si>
  <si>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</si>
  <si>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</si>
  <si>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</si>
  <si>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</si>
  <si>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</si>
  <si>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</si>
  <si>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</si>
  <si>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</si>
  <si>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</si>
  <si>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</si>
  <si>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</si>
  <si>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</si>
  <si>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</si>
  <si>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</si>
  <si>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</si>
  <si>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</si>
  <si>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</si>
  <si>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</si>
  <si>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</si>
  <si>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</si>
  <si>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</si>
  <si>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</si>
  <si>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</si>
  <si>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</si>
  <si>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</si>
  <si>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</si>
  <si>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</si>
  <si>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</si>
  <si>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</si>
  <si>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</si>
  <si>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</si>
  <si>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</si>
  <si>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</si>
  <si>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</si>
  <si>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</si>
  <si>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</si>
  <si>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</si>
  <si>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</si>
  <si>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</si>
  <si>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</si>
  <si>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</si>
  <si>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</si>
  <si>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</si>
  <si>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</si>
  <si>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</si>
  <si>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</si>
  <si>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</si>
  <si>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</si>
  <si>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</si>
  <si>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</si>
  <si>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</si>
  <si>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</si>
  <si>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</si>
  <si>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</si>
  <si>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</si>
  <si>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</si>
  <si>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</si>
  <si>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</si>
  <si>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</si>
  <si>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</si>
  <si>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</si>
  <si>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</si>
  <si>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</si>
  <si>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</si>
  <si>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</si>
  <si>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</si>
  <si>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</si>
  <si>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</si>
  <si>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</si>
  <si>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</si>
  <si>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</si>
  <si>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</si>
  <si>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</si>
  <si>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</si>
  <si>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</si>
  <si>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</si>
  <si>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</si>
  <si>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</si>
  <si>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</si>
  <si>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</si>
  <si>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</si>
  <si>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</si>
  <si>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</si>
  <si>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</si>
  <si>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</si>
  <si>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</si>
  <si>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</si>
  <si>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</si>
  <si>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</si>
  <si>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</si>
  <si>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</si>
  <si>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</si>
  <si>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</si>
  <si>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</si>
  <si>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</si>
  <si>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</si>
  <si>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</si>
  <si>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</si>
  <si>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</si>
  <si>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</si>
  <si>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</si>
  <si>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</si>
  <si>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</si>
  <si>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</si>
  <si>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</si>
  <si>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</si>
  <si>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</si>
  <si>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</si>
  <si>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</si>
  <si>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</si>
  <si>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</si>
  <si>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</si>
  <si>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</si>
  <si>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</si>
  <si>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</si>
  <si>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</si>
  <si>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</si>
  <si>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</si>
  <si>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</si>
  <si>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</si>
  <si>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</si>
  <si>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</si>
  <si>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</si>
  <si>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</si>
  <si>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</si>
  <si>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</si>
  <si>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</si>
  <si>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</si>
  <si>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</si>
  <si>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</si>
  <si>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</si>
  <si>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</si>
  <si>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</si>
  <si>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</si>
  <si>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</si>
  <si>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</si>
  <si>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</si>
  <si>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</si>
  <si>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</si>
  <si>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</si>
  <si>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</si>
  <si>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</si>
  <si>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</si>
  <si>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</si>
  <si>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</si>
  <si>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</si>
  <si>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</si>
  <si>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</si>
  <si>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</si>
  <si>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</si>
  <si>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</si>
  <si>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</si>
  <si>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</si>
  <si>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</si>
  <si>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</si>
  <si>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</si>
  <si>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</si>
  <si>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</si>
  <si>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</si>
  <si>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</si>
  <si>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</si>
  <si>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</si>
  <si>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</si>
  <si>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</si>
  <si>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</si>
  <si>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</si>
  <si>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</si>
  <si>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</si>
  <si>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</si>
  <si>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</si>
  <si>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</si>
  <si>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</si>
  <si>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</si>
  <si>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</si>
  <si>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</si>
  <si>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</si>
  <si>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</si>
  <si>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</si>
  <si>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</si>
  <si>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</si>
  <si>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</si>
  <si>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</si>
  <si>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</si>
  <si>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</si>
  <si>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</si>
  <si>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</si>
  <si>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</si>
  <si>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</si>
  <si>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</si>
  <si>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</si>
  <si>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</si>
  <si>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</si>
  <si>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</si>
  <si>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</si>
  <si>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</si>
  <si>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</si>
  <si>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</si>
  <si>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</si>
  <si>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</si>
  <si>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</si>
  <si>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</si>
  <si>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</si>
  <si>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</si>
  <si>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</si>
  <si>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</si>
  <si>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</si>
  <si>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</si>
  <si>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</si>
  <si>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</si>
  <si>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</si>
  <si>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</si>
  <si>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</si>
  <si>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</si>
  <si>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</si>
  <si>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</si>
  <si>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</si>
  <si>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</si>
  <si>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</si>
  <si>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</si>
  <si>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</si>
  <si>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</si>
  <si>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</si>
  <si>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</si>
  <si>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</si>
  <si>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</si>
  <si>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</si>
  <si>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</si>
  <si>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</si>
  <si>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</si>
  <si>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</si>
  <si>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</si>
  <si>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</si>
  <si>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</si>
  <si>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</si>
  <si>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</si>
  <si>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</si>
  <si>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</si>
  <si>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</si>
  <si>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</si>
  <si>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</si>
  <si>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</si>
  <si>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</si>
  <si>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</si>
  <si>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</si>
  <si>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</si>
  <si>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</si>
  <si>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</si>
  <si>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</si>
  <si>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</si>
  <si>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</si>
  <si>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</si>
  <si>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</si>
  <si>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</si>
  <si>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</si>
  <si>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</si>
  <si>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</si>
  <si>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</si>
  <si>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</si>
  <si>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</si>
  <si>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</si>
  <si>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</si>
  <si>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</si>
  <si>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</si>
  <si>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</si>
  <si>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</si>
  <si>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</si>
  <si>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</si>
  <si>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</si>
  <si>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</si>
  <si>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</si>
  <si>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</si>
  <si>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</si>
  <si>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</si>
  <si>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</si>
  <si>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</si>
  <si>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</si>
  <si>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</si>
  <si>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</si>
  <si>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</si>
  <si>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</si>
  <si>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</si>
  <si>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</si>
  <si>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</si>
  <si>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</si>
  <si>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</si>
  <si>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</si>
  <si>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</si>
  <si>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</si>
  <si>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</si>
  <si>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</si>
  <si>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</si>
  <si>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</si>
  <si>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</si>
  <si>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</si>
  <si>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</si>
  <si>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</si>
  <si>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факт 2016 год</t>
  </si>
  <si>
    <t>Материалы (хим. реагенты)</t>
  </si>
  <si>
    <t>факт проверка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</si>
  <si>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</si>
  <si>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</si>
  <si>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</si>
  <si>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</si>
  <si>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</si>
  <si>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</si>
  <si>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</si>
  <si>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</si>
  <si>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</si>
  <si>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</si>
  <si>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</si>
  <si>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</si>
  <si>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</si>
  <si>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</si>
  <si>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</si>
  <si>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</si>
  <si>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</si>
  <si>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</si>
  <si>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</si>
  <si>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</si>
  <si>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Договор управления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</si>
  <si>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</si>
  <si>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</si>
  <si>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</si>
  <si>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</si>
  <si>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</si>
  <si>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</si>
  <si>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</si>
  <si>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</si>
  <si>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</si>
  <si>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</si>
  <si>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</si>
  <si>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</si>
  <si>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</si>
  <si>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</si>
  <si>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</si>
  <si>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</si>
  <si>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</si>
  <si>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</si>
  <si>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</si>
  <si>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</si>
  <si>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</si>
  <si>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</si>
  <si>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</si>
  <si>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</si>
  <si>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</si>
  <si>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</si>
  <si>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</si>
  <si>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</si>
  <si>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</si>
  <si>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</si>
  <si>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</si>
  <si>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</si>
  <si>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</si>
  <si>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</si>
  <si>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</si>
  <si>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</si>
  <si>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</si>
  <si>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</si>
  <si>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</si>
  <si>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</si>
  <si>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</si>
  <si>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</si>
  <si>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</si>
  <si>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</si>
  <si>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</si>
  <si>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</si>
  <si>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</si>
  <si>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</si>
  <si>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</si>
  <si>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</si>
  <si>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</si>
  <si>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</si>
  <si>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</si>
  <si>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</si>
  <si>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</si>
  <si>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</si>
  <si>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</si>
  <si>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</si>
  <si>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</si>
  <si>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</si>
  <si>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</si>
  <si>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</si>
  <si>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</si>
  <si>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</si>
  <si>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</si>
  <si>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</si>
  <si>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</si>
  <si>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</si>
  <si>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</si>
  <si>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</si>
  <si>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</si>
  <si>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</si>
  <si>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</si>
  <si>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</si>
  <si>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</si>
  <si>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</si>
  <si>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</si>
  <si>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</si>
  <si>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</si>
  <si>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</si>
  <si>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</si>
  <si>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</si>
  <si>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</si>
  <si>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</si>
  <si>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</si>
  <si>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</si>
  <si>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</si>
  <si>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</si>
  <si>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</si>
  <si>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</si>
  <si>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</si>
  <si>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</si>
  <si>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</si>
  <si>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</si>
  <si>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</si>
  <si>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</si>
  <si>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</si>
  <si>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</si>
  <si>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</si>
  <si>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</si>
  <si>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</si>
  <si>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</si>
  <si>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</si>
  <si>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</si>
  <si>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</si>
  <si>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</si>
  <si>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</si>
  <si>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</si>
  <si>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</si>
  <si>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</si>
  <si>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</si>
  <si>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</si>
  <si>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 xml:space="preserve">2017 год </t>
  </si>
  <si>
    <t>ИП корректировка</t>
  </si>
  <si>
    <t>5.</t>
  </si>
  <si>
    <t>6.</t>
  </si>
  <si>
    <t>7.</t>
  </si>
  <si>
    <t>5.1.</t>
  </si>
  <si>
    <t>Тариф на водоснабжение для НАСЕЛЕНИЯ (без НДС)</t>
  </si>
  <si>
    <t>6.1.</t>
  </si>
  <si>
    <t>8.</t>
  </si>
  <si>
    <t>9.</t>
  </si>
  <si>
    <t>рост 2019 к 2018 к, %</t>
  </si>
  <si>
    <t xml:space="preserve">по договору </t>
  </si>
  <si>
    <t>по договору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</si>
  <si>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</si>
  <si>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</si>
  <si>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</si>
  <si>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</si>
  <si>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</si>
  <si>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</si>
  <si>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</si>
  <si>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</si>
  <si>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</si>
  <si>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</si>
  <si>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</si>
  <si>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</si>
  <si>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</si>
  <si>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</si>
  <si>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</si>
  <si>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</si>
  <si>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</si>
  <si>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</si>
  <si>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</si>
  <si>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</si>
  <si>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</si>
  <si>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</si>
  <si>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</si>
  <si>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</si>
  <si>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</si>
  <si>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</si>
  <si>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</si>
  <si>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</si>
  <si>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</si>
  <si>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</si>
  <si>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</si>
  <si>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</si>
  <si>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</si>
  <si>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</si>
  <si>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</si>
  <si>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</si>
  <si>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</si>
  <si>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</si>
  <si>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</si>
  <si>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 xml:space="preserve">водоотведение </t>
  </si>
  <si>
    <t>Резерв (сомнительные долги)</t>
  </si>
  <si>
    <t>Сомнит. Долги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</si>
  <si>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</si>
  <si>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</si>
  <si>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</si>
  <si>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</si>
  <si>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</si>
  <si>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</si>
  <si>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</si>
  <si>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</si>
  <si>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</si>
  <si>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</si>
  <si>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</si>
  <si>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</si>
  <si>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</si>
  <si>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</si>
  <si>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</si>
  <si>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</si>
  <si>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</si>
  <si>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</si>
  <si>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</si>
  <si>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</si>
  <si>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</si>
  <si>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</si>
  <si>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</si>
  <si>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</si>
  <si>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</si>
  <si>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</si>
  <si>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</si>
  <si>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</si>
  <si>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</si>
  <si>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</si>
  <si>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</si>
  <si>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</si>
  <si>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</si>
  <si>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</si>
  <si>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</si>
  <si>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</si>
  <si>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</si>
  <si>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</si>
  <si>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</si>
  <si>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</si>
  <si>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</si>
  <si>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</si>
  <si>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</si>
  <si>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</si>
  <si>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</si>
  <si>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</si>
  <si>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</si>
  <si>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</si>
  <si>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</si>
  <si>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</si>
  <si>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</si>
  <si>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</si>
  <si>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</si>
  <si>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</si>
  <si>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</si>
  <si>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</si>
  <si>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</si>
  <si>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</si>
  <si>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</si>
  <si>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</si>
  <si>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</si>
  <si>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</si>
  <si>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</si>
  <si>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</si>
  <si>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</si>
  <si>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</si>
  <si>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</si>
  <si>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</si>
  <si>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</si>
  <si>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</si>
  <si>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</si>
  <si>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</si>
  <si>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объект построен за счет бюджета муниципального образования и передан в хоз ведения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</si>
  <si>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</si>
  <si>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</si>
  <si>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</si>
  <si>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</si>
  <si>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</si>
  <si>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</si>
  <si>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</si>
  <si>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</si>
  <si>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</si>
  <si>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</si>
  <si>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</si>
  <si>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</si>
  <si>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</si>
  <si>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</si>
  <si>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</si>
  <si>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</si>
  <si>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</si>
  <si>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</si>
  <si>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</si>
  <si>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</si>
  <si>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</si>
  <si>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</si>
  <si>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</si>
  <si>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</si>
  <si>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</si>
  <si>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</si>
  <si>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</si>
  <si>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</si>
  <si>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</si>
  <si>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</si>
  <si>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</si>
  <si>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</si>
  <si>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</si>
  <si>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</si>
  <si>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</si>
  <si>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</si>
  <si>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</si>
  <si>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</si>
  <si>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</si>
  <si>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</si>
  <si>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</si>
  <si>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</si>
  <si>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</si>
  <si>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</si>
  <si>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</si>
  <si>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</si>
  <si>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</si>
  <si>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</si>
  <si>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</si>
  <si>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</si>
  <si>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</si>
  <si>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</si>
  <si>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</si>
  <si>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</si>
  <si>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</si>
  <si>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</si>
  <si>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</si>
  <si>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</si>
  <si>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</si>
  <si>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</si>
  <si>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</si>
  <si>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</si>
  <si>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</si>
  <si>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</si>
  <si>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</si>
  <si>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</si>
  <si>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</si>
  <si>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</si>
  <si>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</si>
  <si>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</si>
  <si>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</si>
  <si>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</si>
  <si>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</si>
  <si>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</si>
  <si>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</si>
  <si>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</si>
  <si>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</si>
  <si>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</si>
  <si>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</si>
  <si>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</si>
  <si>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</si>
  <si>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</si>
  <si>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</si>
  <si>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</si>
  <si>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</si>
  <si>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</si>
  <si>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</si>
  <si>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</si>
  <si>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</si>
  <si>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</si>
  <si>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</si>
  <si>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</si>
  <si>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</si>
  <si>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</si>
  <si>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</si>
  <si>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</si>
  <si>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</si>
  <si>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</si>
  <si>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</si>
  <si>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</si>
  <si>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</si>
  <si>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</si>
  <si>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</si>
  <si>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</si>
  <si>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</si>
  <si>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</si>
  <si>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</si>
  <si>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</si>
  <si>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</si>
  <si>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</si>
  <si>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</si>
  <si>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</si>
  <si>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</si>
  <si>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</si>
  <si>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</si>
  <si>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</si>
  <si>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</si>
  <si>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</si>
  <si>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</si>
  <si>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</si>
  <si>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</si>
  <si>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</si>
  <si>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</si>
  <si>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</si>
  <si>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</si>
  <si>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</si>
  <si>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</si>
  <si>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</si>
  <si>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</si>
  <si>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</si>
  <si>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</si>
  <si>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</si>
  <si>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</si>
  <si>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</si>
  <si>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</si>
  <si>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</si>
  <si>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</si>
  <si>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</si>
  <si>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</si>
  <si>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</si>
  <si>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</si>
  <si>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</si>
  <si>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</si>
  <si>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</si>
  <si>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</si>
  <si>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</si>
  <si>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</si>
  <si>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</si>
  <si>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</si>
  <si>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</si>
  <si>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</si>
  <si>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</si>
  <si>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</si>
  <si>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</si>
  <si>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</si>
  <si>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</si>
  <si>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</si>
  <si>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</si>
  <si>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</si>
  <si>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</si>
  <si>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</si>
  <si>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</si>
  <si>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</si>
  <si>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</si>
  <si>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</si>
  <si>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</si>
  <si>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</si>
  <si>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</si>
  <si>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</si>
  <si>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</si>
  <si>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</si>
  <si>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</si>
  <si>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</si>
  <si>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</si>
  <si>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</si>
  <si>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</si>
  <si>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</si>
  <si>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</si>
  <si>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</si>
  <si>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</si>
  <si>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</si>
  <si>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</si>
  <si>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</si>
  <si>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</si>
  <si>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</si>
  <si>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</si>
  <si>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</si>
  <si>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</si>
  <si>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</si>
  <si>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</si>
  <si>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</si>
  <si>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</si>
  <si>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</si>
  <si>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</si>
  <si>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</si>
  <si>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</si>
  <si>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</si>
  <si>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</si>
  <si>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</si>
  <si>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</si>
  <si>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</si>
  <si>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</si>
  <si>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</si>
  <si>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</si>
  <si>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</si>
  <si>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</si>
  <si>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</si>
  <si>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</si>
  <si>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</si>
  <si>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</si>
  <si>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</si>
  <si>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</si>
  <si>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</si>
  <si>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</si>
  <si>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</si>
  <si>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</si>
  <si>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</si>
  <si>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</si>
  <si>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</si>
  <si>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</si>
  <si>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</si>
  <si>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</si>
  <si>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</si>
  <si>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</si>
  <si>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</si>
  <si>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</si>
  <si>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</si>
  <si>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</si>
  <si>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</si>
  <si>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</si>
  <si>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</si>
  <si>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</si>
  <si>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</si>
  <si>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</si>
  <si>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</si>
  <si>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</si>
  <si>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</si>
  <si>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</si>
  <si>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</si>
  <si>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</si>
  <si>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</si>
  <si>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</si>
  <si>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</si>
  <si>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</si>
  <si>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</si>
  <si>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</si>
  <si>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</si>
  <si>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</si>
  <si>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</si>
  <si>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</si>
  <si>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</si>
  <si>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</si>
  <si>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</si>
  <si>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</si>
  <si>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</si>
  <si>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</si>
  <si>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</si>
  <si>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</si>
  <si>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</si>
  <si>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</si>
  <si>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</si>
  <si>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</si>
  <si>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</si>
  <si>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</si>
  <si>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</si>
  <si>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</si>
  <si>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</si>
  <si>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</si>
  <si>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</si>
  <si>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</si>
  <si>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</si>
  <si>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</si>
  <si>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</si>
  <si>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</si>
  <si>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</si>
  <si>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</si>
  <si>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</si>
  <si>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</si>
  <si>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</si>
  <si>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</si>
  <si>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</si>
  <si>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</si>
  <si>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</si>
  <si>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</si>
  <si>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</si>
  <si>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</si>
  <si>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</si>
  <si>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</si>
  <si>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</si>
  <si>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</si>
  <si>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</si>
  <si>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</si>
  <si>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</si>
  <si>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</si>
  <si>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</si>
  <si>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</si>
  <si>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</si>
  <si>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</si>
  <si>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</si>
  <si>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</si>
  <si>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</si>
  <si>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</si>
  <si>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</si>
  <si>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</si>
  <si>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</si>
  <si>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</si>
  <si>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</si>
  <si>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</si>
  <si>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</si>
  <si>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</si>
  <si>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</si>
  <si>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</si>
  <si>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</si>
  <si>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</si>
  <si>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</si>
  <si>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</si>
  <si>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</si>
  <si>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</si>
  <si>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</si>
  <si>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</si>
  <si>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</si>
  <si>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</si>
  <si>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</si>
  <si>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</si>
  <si>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</si>
  <si>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</si>
  <si>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</si>
  <si>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</si>
  <si>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</si>
  <si>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</si>
  <si>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</si>
  <si>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</si>
  <si>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</si>
  <si>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</si>
  <si>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</si>
  <si>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</si>
  <si>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</si>
  <si>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</si>
  <si>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</si>
  <si>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</si>
  <si>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</si>
  <si>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</si>
  <si>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</si>
  <si>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</si>
  <si>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</si>
  <si>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</si>
  <si>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</si>
  <si>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</si>
  <si>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</si>
  <si>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</si>
  <si>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</si>
  <si>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</si>
  <si>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</si>
  <si>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</si>
  <si>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</si>
  <si>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</si>
  <si>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</si>
  <si>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</si>
  <si>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</si>
  <si>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</si>
  <si>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</si>
  <si>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</si>
  <si>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</si>
  <si>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</si>
  <si>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</si>
  <si>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</si>
  <si>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</si>
  <si>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</si>
  <si>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</si>
  <si>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</si>
  <si>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</si>
  <si>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</si>
  <si>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</si>
  <si>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</si>
  <si>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</si>
  <si>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</si>
  <si>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</si>
  <si>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</si>
  <si>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</si>
  <si>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</si>
  <si>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</si>
  <si>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</si>
  <si>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</si>
  <si>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</si>
  <si>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</si>
  <si>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</si>
  <si>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</si>
  <si>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</si>
  <si>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</si>
  <si>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</si>
  <si>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</si>
  <si>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</si>
  <si>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</si>
  <si>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</si>
  <si>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</si>
  <si>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</si>
  <si>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</si>
  <si>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</si>
  <si>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</si>
  <si>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</si>
  <si>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</si>
  <si>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</si>
  <si>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</si>
  <si>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</si>
  <si>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</si>
  <si>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</si>
  <si>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</si>
  <si>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</si>
  <si>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</si>
  <si>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</si>
  <si>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</si>
  <si>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</si>
  <si>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</si>
  <si>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</si>
  <si>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</si>
  <si>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</si>
  <si>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</si>
  <si>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</si>
  <si>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</si>
  <si>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</si>
  <si>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</si>
  <si>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</si>
  <si>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</si>
  <si>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</si>
  <si>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</si>
  <si>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</si>
  <si>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</si>
  <si>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</si>
  <si>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</si>
  <si>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</si>
  <si>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</si>
  <si>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</si>
  <si>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</si>
  <si>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</si>
  <si>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</si>
  <si>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</si>
  <si>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</si>
  <si>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</si>
  <si>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</si>
  <si>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</si>
  <si>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</si>
  <si>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</si>
  <si>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</si>
  <si>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</si>
  <si>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</si>
  <si>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</si>
  <si>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</si>
  <si>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</si>
  <si>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</si>
  <si>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</si>
  <si>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</si>
  <si>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</si>
  <si>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</si>
  <si>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</si>
  <si>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</si>
  <si>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</si>
  <si>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</si>
  <si>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</si>
  <si>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</si>
  <si>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</si>
  <si>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</si>
  <si>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</si>
  <si>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</si>
  <si>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</si>
  <si>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</si>
  <si>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</si>
  <si>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</si>
  <si>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</si>
  <si>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</si>
  <si>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</si>
  <si>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</si>
  <si>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</si>
  <si>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</si>
  <si>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</si>
  <si>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</si>
  <si>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</si>
  <si>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</si>
  <si>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</si>
  <si>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</si>
  <si>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</si>
  <si>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</si>
  <si>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</si>
  <si>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</si>
  <si>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</si>
  <si>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</si>
  <si>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</si>
  <si>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</si>
  <si>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</si>
  <si>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</si>
  <si>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</si>
  <si>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</si>
  <si>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</si>
  <si>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</si>
  <si>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</si>
  <si>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</si>
  <si>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</si>
  <si>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</si>
  <si>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</si>
  <si>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</si>
  <si>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</si>
  <si>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</si>
  <si>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</si>
  <si>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</si>
  <si>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</si>
  <si>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</si>
  <si>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</si>
  <si>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</si>
  <si>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</si>
  <si>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</si>
  <si>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</si>
  <si>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</si>
  <si>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</si>
  <si>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</si>
  <si>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</si>
  <si>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</si>
  <si>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</si>
  <si>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</si>
  <si>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</si>
  <si>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</si>
  <si>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</si>
  <si>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</si>
  <si>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</si>
  <si>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</si>
  <si>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</si>
  <si>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</si>
  <si>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</si>
  <si>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</si>
  <si>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</si>
  <si>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</si>
  <si>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</si>
  <si>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</si>
  <si>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</si>
  <si>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</si>
  <si>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</si>
  <si>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</si>
  <si>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</si>
  <si>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</si>
  <si>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</si>
  <si>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</si>
  <si>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</si>
  <si>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</si>
  <si>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</si>
  <si>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</si>
  <si>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</si>
  <si>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</si>
  <si>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</si>
  <si>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</si>
  <si>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</si>
  <si>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</si>
  <si>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</si>
  <si>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</si>
  <si>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</si>
  <si>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</si>
  <si>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</si>
  <si>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</si>
  <si>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</si>
  <si>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</si>
  <si>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</si>
  <si>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</si>
  <si>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</si>
  <si>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</si>
  <si>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</si>
  <si>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</si>
  <si>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</si>
  <si>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</si>
  <si>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</si>
  <si>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</si>
  <si>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</si>
  <si>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</si>
  <si>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</si>
  <si>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</si>
  <si>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</si>
  <si>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</si>
  <si>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</si>
  <si>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</si>
  <si>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</si>
  <si>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</si>
  <si>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</si>
  <si>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</si>
  <si>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</si>
  <si>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</si>
  <si>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</si>
  <si>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</si>
  <si>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</si>
  <si>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</si>
  <si>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</si>
  <si>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</si>
  <si>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</si>
  <si>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</si>
  <si>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</si>
  <si>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</si>
  <si>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</si>
  <si>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</si>
  <si>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</si>
  <si>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</si>
  <si>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</si>
  <si>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</si>
  <si>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</si>
  <si>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</si>
  <si>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</si>
  <si>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</si>
  <si>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</si>
  <si>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</si>
  <si>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</si>
  <si>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</si>
  <si>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</si>
  <si>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</si>
  <si>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</si>
  <si>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</si>
  <si>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</si>
  <si>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</si>
  <si>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</si>
  <si>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</si>
  <si>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</si>
  <si>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</si>
  <si>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</si>
  <si>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</si>
  <si>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</si>
  <si>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</si>
  <si>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</si>
  <si>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</si>
  <si>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</si>
  <si>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</si>
  <si>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</si>
  <si>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</si>
  <si>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</si>
  <si>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</si>
  <si>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</si>
  <si>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</si>
  <si>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</si>
  <si>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</si>
  <si>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</si>
  <si>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</si>
  <si>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</si>
  <si>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</si>
  <si>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</si>
  <si>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</si>
  <si>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</si>
  <si>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</si>
  <si>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</si>
  <si>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</si>
  <si>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</si>
  <si>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</si>
  <si>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</si>
  <si>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</si>
  <si>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</si>
  <si>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</si>
  <si>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</si>
  <si>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</si>
  <si>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</si>
  <si>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</si>
  <si>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</si>
  <si>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</si>
  <si>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</si>
  <si>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</si>
  <si>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</si>
  <si>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</si>
  <si>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</si>
  <si>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</si>
  <si>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</si>
  <si>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</si>
  <si>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</si>
  <si>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</si>
  <si>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</si>
  <si>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</si>
  <si>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</si>
  <si>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</si>
  <si>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</si>
  <si>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</si>
  <si>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</si>
  <si>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</si>
  <si>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</si>
  <si>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</si>
  <si>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</si>
  <si>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</si>
  <si>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</si>
  <si>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</si>
  <si>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</si>
  <si>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</si>
  <si>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</si>
  <si>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</si>
  <si>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</si>
  <si>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</si>
  <si>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</si>
  <si>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</si>
  <si>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</si>
  <si>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</si>
  <si>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</si>
  <si>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</si>
  <si>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</si>
  <si>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</si>
  <si>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</si>
  <si>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</si>
  <si>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</si>
  <si>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</si>
  <si>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</si>
  <si>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</si>
  <si>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</si>
  <si>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</si>
  <si>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</si>
  <si>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</si>
  <si>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</si>
  <si>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</si>
  <si>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</si>
  <si>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</si>
  <si>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</si>
  <si>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</si>
  <si>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</si>
  <si>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</si>
  <si>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</si>
  <si>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</si>
  <si>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</si>
  <si>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</si>
  <si>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</si>
  <si>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</si>
  <si>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</si>
  <si>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</si>
  <si>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</si>
  <si>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</si>
  <si>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</si>
  <si>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</si>
  <si>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</si>
  <si>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</si>
  <si>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</si>
  <si>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</si>
  <si>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</si>
  <si>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</si>
  <si>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</si>
  <si>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</si>
  <si>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</si>
  <si>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</si>
  <si>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</si>
  <si>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</si>
  <si>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</si>
  <si>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</si>
  <si>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</si>
  <si>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</si>
  <si>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</si>
  <si>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</si>
  <si>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</si>
  <si>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</si>
  <si>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</si>
  <si>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</si>
  <si>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</si>
  <si>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</si>
  <si>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</si>
  <si>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</si>
  <si>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</si>
  <si>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</si>
  <si>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</si>
  <si>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</si>
  <si>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</si>
  <si>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</si>
  <si>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</si>
  <si>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</si>
  <si>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</si>
  <si>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</si>
  <si>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</si>
  <si>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</si>
  <si>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</si>
  <si>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</si>
  <si>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</si>
  <si>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</si>
  <si>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</si>
  <si>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</si>
  <si>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</si>
  <si>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</si>
  <si>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</si>
  <si>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</si>
  <si>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</si>
  <si>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</si>
  <si>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</si>
  <si>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</si>
  <si>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</si>
  <si>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</si>
  <si>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</si>
  <si>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</si>
  <si>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</si>
  <si>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</si>
  <si>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</si>
  <si>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</si>
  <si>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</si>
  <si>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</si>
  <si>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</si>
  <si>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</si>
  <si>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</si>
  <si>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</si>
  <si>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</si>
  <si>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</si>
  <si>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</si>
  <si>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</si>
  <si>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</si>
  <si>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</si>
  <si>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</si>
  <si>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</si>
  <si>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</si>
  <si>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</si>
  <si>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</si>
  <si>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</si>
  <si>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</si>
  <si>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</si>
  <si>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</si>
  <si>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</si>
  <si>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</si>
  <si>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</si>
  <si>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</si>
  <si>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</si>
  <si>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</si>
  <si>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</si>
  <si>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</si>
  <si>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</si>
  <si>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</si>
  <si>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</si>
  <si>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</si>
  <si>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</si>
  <si>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</si>
  <si>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</si>
  <si>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</si>
  <si>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</si>
  <si>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</si>
  <si>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</si>
  <si>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</si>
  <si>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</si>
  <si>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</si>
  <si>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</si>
  <si>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</si>
  <si>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</si>
  <si>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</si>
  <si>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</si>
  <si>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</si>
  <si>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</si>
  <si>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</si>
  <si>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</si>
  <si>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</si>
  <si>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</si>
  <si>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</si>
  <si>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</si>
  <si>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</si>
  <si>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</si>
  <si>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</si>
  <si>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</si>
  <si>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</si>
  <si>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</si>
  <si>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</si>
  <si>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</si>
  <si>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</si>
  <si>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</si>
  <si>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</si>
  <si>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</si>
  <si>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</si>
  <si>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</si>
  <si>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</si>
  <si>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</si>
  <si>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</si>
  <si>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</si>
  <si>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</si>
  <si>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</si>
  <si>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</si>
  <si>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</si>
  <si>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</si>
  <si>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</si>
  <si>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</si>
  <si>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</si>
  <si>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</si>
  <si>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</si>
  <si>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</si>
  <si>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</si>
  <si>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</si>
  <si>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</si>
  <si>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</si>
  <si>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</si>
  <si>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</si>
  <si>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</si>
  <si>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</si>
  <si>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</si>
  <si>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</si>
  <si>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</si>
  <si>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</si>
  <si>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</si>
  <si>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</si>
  <si>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</si>
  <si>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</si>
  <si>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</si>
  <si>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</si>
  <si>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</si>
  <si>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</si>
  <si>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</si>
  <si>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</si>
  <si>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</si>
  <si>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</si>
  <si>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</si>
  <si>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</si>
  <si>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</si>
  <si>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</si>
  <si>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</si>
  <si>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</si>
  <si>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</si>
  <si>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</si>
  <si>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</si>
  <si>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</si>
  <si>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</si>
  <si>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</si>
  <si>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</si>
  <si>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</si>
  <si>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</si>
  <si>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</si>
  <si>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</si>
  <si>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</si>
  <si>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</si>
  <si>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</si>
  <si>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</si>
  <si>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</si>
  <si>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</si>
  <si>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</si>
  <si>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</si>
  <si>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</si>
  <si>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</si>
  <si>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</si>
  <si>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</si>
  <si>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</si>
  <si>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</si>
  <si>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</si>
  <si>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</si>
  <si>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</si>
  <si>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</si>
  <si>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</si>
  <si>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</si>
  <si>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</si>
  <si>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</si>
  <si>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</si>
  <si>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</si>
  <si>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</si>
  <si>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</si>
  <si>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</si>
  <si>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</si>
  <si>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</si>
  <si>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</si>
  <si>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</si>
  <si>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</si>
  <si>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</si>
  <si>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</si>
  <si>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</si>
  <si>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</si>
  <si>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</si>
  <si>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</si>
  <si>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</si>
  <si>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</si>
  <si>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</si>
  <si>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</si>
  <si>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</si>
  <si>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</si>
  <si>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</si>
  <si>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</si>
  <si>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</si>
  <si>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</si>
  <si>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</si>
  <si>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</si>
  <si>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</si>
  <si>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</si>
  <si>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</si>
  <si>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</si>
  <si>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</si>
  <si>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</si>
  <si>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</si>
  <si>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</si>
  <si>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</si>
  <si>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</si>
  <si>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</si>
  <si>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</si>
  <si>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</si>
  <si>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</si>
  <si>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</si>
  <si>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</si>
  <si>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</si>
  <si>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</si>
  <si>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</si>
  <si>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</si>
  <si>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</si>
  <si>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</si>
  <si>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</si>
  <si>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</si>
  <si>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</si>
  <si>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</si>
  <si>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</si>
  <si>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</si>
  <si>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</si>
  <si>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</si>
  <si>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</si>
  <si>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</si>
  <si>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</si>
  <si>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</si>
  <si>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</si>
  <si>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</si>
  <si>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</si>
  <si>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</si>
  <si>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</si>
  <si>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</si>
  <si>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</si>
  <si>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</si>
  <si>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</si>
  <si>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</si>
  <si>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</si>
  <si>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</si>
  <si>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</si>
  <si>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</si>
  <si>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</si>
  <si>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</si>
  <si>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</si>
  <si>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</si>
  <si>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</si>
  <si>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</si>
  <si>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</si>
  <si>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</si>
  <si>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</si>
  <si>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</si>
  <si>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</si>
  <si>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</si>
  <si>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</si>
  <si>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</si>
  <si>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</si>
  <si>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</si>
  <si>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</si>
  <si>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</si>
  <si>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</si>
  <si>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</si>
  <si>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</si>
  <si>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</si>
  <si>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</si>
  <si>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</si>
  <si>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</si>
  <si>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</si>
  <si>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</si>
  <si>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</si>
  <si>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</si>
  <si>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</si>
  <si>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</si>
  <si>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</si>
  <si>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</si>
  <si>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</si>
  <si>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</si>
  <si>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</si>
  <si>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</si>
  <si>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</si>
  <si>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</si>
  <si>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</si>
  <si>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</si>
  <si>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</si>
  <si>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</si>
  <si>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</si>
  <si>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</si>
  <si>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</si>
  <si>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</si>
  <si>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</si>
  <si>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</si>
  <si>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</si>
  <si>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</si>
  <si>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</si>
  <si>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</si>
  <si>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</si>
  <si>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</si>
  <si>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</si>
  <si>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</si>
  <si>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</si>
  <si>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</si>
  <si>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</si>
  <si>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</si>
  <si>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</si>
  <si>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</si>
  <si>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</si>
  <si>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</si>
  <si>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</si>
  <si>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</si>
  <si>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</si>
  <si>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</si>
  <si>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</si>
  <si>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</si>
  <si>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</si>
  <si>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</si>
  <si>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</si>
  <si>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</si>
  <si>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</si>
  <si>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</si>
  <si>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</si>
  <si>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</si>
  <si>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</si>
  <si>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</si>
  <si>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</si>
  <si>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</si>
  <si>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</si>
  <si>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</si>
  <si>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</si>
  <si>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</si>
  <si>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</si>
  <si>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</si>
  <si>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</si>
  <si>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</si>
  <si>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</si>
  <si>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</si>
  <si>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</si>
  <si>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</si>
  <si>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</si>
  <si>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</si>
  <si>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</si>
  <si>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</si>
  <si>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</si>
  <si>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</si>
  <si>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</si>
  <si>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</si>
  <si>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</si>
  <si>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</si>
  <si>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</si>
  <si>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</si>
  <si>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</si>
  <si>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</si>
  <si>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</si>
  <si>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</si>
  <si>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</si>
  <si>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</si>
  <si>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</si>
  <si>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</si>
  <si>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</si>
  <si>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</si>
  <si>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</si>
  <si>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</si>
  <si>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</si>
  <si>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</si>
  <si>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</si>
  <si>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</si>
  <si>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</si>
  <si>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</si>
  <si>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</si>
  <si>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</si>
  <si>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</si>
  <si>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</si>
  <si>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</si>
  <si>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</si>
  <si>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</si>
  <si>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</si>
  <si>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</si>
  <si>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</si>
  <si>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</si>
  <si>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</si>
  <si>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</si>
  <si>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</si>
  <si>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</si>
  <si>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</si>
  <si>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</si>
  <si>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</si>
  <si>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</si>
  <si>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</si>
  <si>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</si>
  <si>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</si>
  <si>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</si>
  <si>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</si>
  <si>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</si>
  <si>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</si>
  <si>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</si>
  <si>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</si>
  <si>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</si>
  <si>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</si>
  <si>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</si>
  <si>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</si>
  <si>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</si>
  <si>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</si>
  <si>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</si>
  <si>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</si>
  <si>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</si>
  <si>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</si>
  <si>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</si>
  <si>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</si>
  <si>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</si>
  <si>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</si>
  <si>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</si>
  <si>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</si>
  <si>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</si>
  <si>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</si>
  <si>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</si>
  <si>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</si>
  <si>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</si>
  <si>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</si>
  <si>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</si>
  <si>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</si>
  <si>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</si>
  <si>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</si>
  <si>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</si>
  <si>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</si>
  <si>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</si>
  <si>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</si>
  <si>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</si>
  <si>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</si>
  <si>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</si>
  <si>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</si>
  <si>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</si>
  <si>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</si>
  <si>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</si>
  <si>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</si>
  <si>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</si>
  <si>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</si>
  <si>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</si>
  <si>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</si>
  <si>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</si>
  <si>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</si>
  <si>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</si>
  <si>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</si>
  <si>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</si>
  <si>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</si>
  <si>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</si>
  <si>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</si>
  <si>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</si>
  <si>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</si>
  <si>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</si>
  <si>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</si>
  <si>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</si>
  <si>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</si>
  <si>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</si>
  <si>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</si>
  <si>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</si>
  <si>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</si>
  <si>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</si>
  <si>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</si>
  <si>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</si>
  <si>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</si>
  <si>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</si>
  <si>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</si>
  <si>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</si>
  <si>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</si>
  <si>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</si>
  <si>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</si>
  <si>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</si>
  <si>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</si>
  <si>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</si>
  <si>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</si>
  <si>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</si>
  <si>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</si>
  <si>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</si>
  <si>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</si>
  <si>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</si>
  <si>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</si>
  <si>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</si>
  <si>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</si>
  <si>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</si>
  <si>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</si>
  <si>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</si>
  <si>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</si>
  <si>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</si>
  <si>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</si>
  <si>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</si>
  <si>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</si>
  <si>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</si>
  <si>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</si>
  <si>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</si>
  <si>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</si>
  <si>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</si>
  <si>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</si>
  <si>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</si>
  <si>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</si>
  <si>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</si>
  <si>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</si>
  <si>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</si>
  <si>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</si>
  <si>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</si>
  <si>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</si>
  <si>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</si>
  <si>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</si>
  <si>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</si>
  <si>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</si>
  <si>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</si>
  <si>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</si>
  <si>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</si>
  <si>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</si>
  <si>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</si>
  <si>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</si>
  <si>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</si>
  <si>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</si>
  <si>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</si>
  <si>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</si>
  <si>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</si>
  <si>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</si>
  <si>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</si>
  <si>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</si>
  <si>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</si>
  <si>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</si>
  <si>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</si>
  <si>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</si>
  <si>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</si>
  <si>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</si>
  <si>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</si>
  <si>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</si>
  <si>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</si>
  <si>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</si>
  <si>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</si>
  <si>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</si>
  <si>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</si>
  <si>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</si>
  <si>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</si>
  <si>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</si>
  <si>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</si>
  <si>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</si>
  <si>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</si>
  <si>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</si>
  <si>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</si>
  <si>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</si>
  <si>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</si>
  <si>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</si>
  <si>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</si>
  <si>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</si>
  <si>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</si>
  <si>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</si>
  <si>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</si>
  <si>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</si>
  <si>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</si>
  <si>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</si>
  <si>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</si>
  <si>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</si>
  <si>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</si>
  <si>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</si>
  <si>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</si>
  <si>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</si>
  <si>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</si>
  <si>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</si>
  <si>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</si>
  <si>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</si>
  <si>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</si>
  <si>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</si>
  <si>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</si>
  <si>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</si>
  <si>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</si>
  <si>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</si>
  <si>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</si>
  <si>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</si>
  <si>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</si>
  <si>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</si>
  <si>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</si>
  <si>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</si>
  <si>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</si>
  <si>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</si>
  <si>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</si>
  <si>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</si>
  <si>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</si>
  <si>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</si>
  <si>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</si>
  <si>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</si>
  <si>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</si>
  <si>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2018 год ФАКТ</t>
  </si>
  <si>
    <t>ПРЕДПРИЯТИЕ</t>
  </si>
  <si>
    <t>Директор МП "Горводоканал"                                                                                                                                       А.В. Ерофеевский</t>
  </si>
  <si>
    <t>2019 - 2024 год</t>
  </si>
  <si>
    <t>предложение предприятия по корректировке</t>
  </si>
  <si>
    <t>Директор МП "Горводоканал"                                                                                                           А.В. Ерофеевский</t>
  </si>
  <si>
    <t>Объем электроэнергии на очистку воды</t>
  </si>
  <si>
    <t>Всего затрат на электроэнергию на водоснабжение</t>
  </si>
  <si>
    <t>Корректировка 2020 - 2024 год</t>
  </si>
  <si>
    <t>Объем электроэнергии на очистку стоков</t>
  </si>
  <si>
    <t>Объем электроэнергии на перекачку сточных вод</t>
  </si>
  <si>
    <t xml:space="preserve">Корректировка 2020 год </t>
  </si>
  <si>
    <t>Ремонтная программа МП "Горводоканал" на период 2019 - 2024 годы</t>
  </si>
  <si>
    <t>водоснабжение всего, в том числе по стадиям технологического процесса:</t>
  </si>
  <si>
    <t>водоотведение всего, в том числе по стадиям технологического процесса:</t>
  </si>
  <si>
    <t>канализационные сети (проведение аварийно восстановительных работ)</t>
  </si>
  <si>
    <t>водопроводные сети (проведение аварийно восстановительных работ)</t>
  </si>
  <si>
    <t>2018 год факт</t>
  </si>
  <si>
    <t>Директор МП "Горводоканал"                                                                                      А.В. Ерофеевский</t>
  </si>
  <si>
    <t>Факт 2018 год</t>
  </si>
  <si>
    <t>Локальный сметный расчет</t>
  </si>
  <si>
    <t>Директор МП "Горводоканал"                                                                                   Ерофеевский</t>
  </si>
  <si>
    <t>Примечание: Финансирование аварийно-восстановительных работ является необходимым условием  по поддержанию основных средств предприятия в работоспособном состоянии.</t>
  </si>
  <si>
    <t>Расчет среднемесячной заработной платы на 2019 год</t>
  </si>
  <si>
    <t>Расчет затрат на оплату труда согласно отраслевого тарифного соглашения</t>
  </si>
  <si>
    <t>Расчет среднемесячной заработной платы на 2020 год</t>
  </si>
  <si>
    <t>Базовая месячная тарифная ставка рабочего 1 разряда на 2020 год</t>
  </si>
  <si>
    <t>Директор МП "Горводоканал"                                                                               А.В. Ерофеевский</t>
  </si>
  <si>
    <t>Доплаты стимулирующего и (или) компенсирующего характера, связанные с режимом работы и условиями труда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</si>
  <si>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- 104,6%, на 2020 - 104,6%</t>
  </si>
  <si>
    <t>Директор МП "Горводоканал"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</si>
  <si>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А.В. Ерофеевский</t>
  </si>
  <si>
    <t>акредитация лаборатории</t>
  </si>
  <si>
    <t>Директор МП "Горводоканал"                                                                                       А.В. Ерофеевский</t>
  </si>
  <si>
    <t>экспертиза, пробы, лицензии</t>
  </si>
  <si>
    <t>технологическое присоединение</t>
  </si>
  <si>
    <t>водоотведение (очистка)</t>
  </si>
  <si>
    <t>Предложение предприятия по корректировке 2020 год</t>
  </si>
  <si>
    <t>Директор МП "Горводоканал"                                                                    А.В. Ерофеевский</t>
  </si>
  <si>
    <t>корректировка по предложению предприятия</t>
  </si>
  <si>
    <t xml:space="preserve">2018 год </t>
  </si>
  <si>
    <t>Технологическое подключение к сетям водоснабжения и водоотведения</t>
  </si>
  <si>
    <t>Директор МП "Горводоканал"                                                                   А.В. Ерофеевский</t>
  </si>
  <si>
    <t>Директор МП "Горводоканал"                                                              А.В. Ерофеевский</t>
  </si>
  <si>
    <t>2020 год корректировка</t>
  </si>
  <si>
    <t>2020 год корректировка предл. предприятия</t>
  </si>
  <si>
    <t>план 2018 ГОД</t>
  </si>
  <si>
    <t>факт 2018 ГОД</t>
  </si>
  <si>
    <t>Директор МП "Горводоканал"                                                                           А.В. Ерофеевский</t>
  </si>
  <si>
    <t>2018 год план</t>
  </si>
  <si>
    <t>Директор МП "Горводоканал"                                                                             А.В. Ерофеевский</t>
  </si>
  <si>
    <t>Директор МП "Горводоканал"                                                                                 А.В. Ерофеевский</t>
  </si>
  <si>
    <t>Директор МП "Горводоканал"                                                    А.В. Ерофеевский</t>
  </si>
  <si>
    <t>Транспортировка питьевой воды (КЭМЗ)</t>
  </si>
  <si>
    <t>Директор МП "Горводоканал"                   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</si>
  <si>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</si>
  <si>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</si>
  <si>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                               А.В. Ерофеевский</t>
  </si>
  <si>
    <t>рост 2020 к 2019 к, %</t>
  </si>
  <si>
    <t>РАСЧЕТ ТОВАРНОЙ ВЫРУЧКИ ЗА 2018 ГОД</t>
  </si>
  <si>
    <t>выручка, тыс. руб.</t>
  </si>
  <si>
    <t>ПЛАН</t>
  </si>
  <si>
    <t>Тариф на водоотведение для НАСЕЛЕНИЯ</t>
  </si>
  <si>
    <t>Тариф на водоотведение для НАСЕЛЕНИЯ (с НДС)</t>
  </si>
  <si>
    <t>Директор МП "Горводоканал"                                           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</si>
  <si>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                        А.В. Ерофеевский</t>
  </si>
  <si>
    <t>рост 2020 к 2019, %</t>
  </si>
  <si>
    <t>Расчет резерва по сомнительным долгам</t>
  </si>
  <si>
    <t>Водоснабжение на 2019 год</t>
  </si>
  <si>
    <t>Тариф 2017 года</t>
  </si>
  <si>
    <t>Объем реализации населению 2017 г</t>
  </si>
  <si>
    <t>Выручка 2017 год</t>
  </si>
  <si>
    <t>Водоотведение на 2019 год</t>
  </si>
  <si>
    <t>Водоснабжение на 2020 год</t>
  </si>
  <si>
    <t>Тариф 2018 года</t>
  </si>
  <si>
    <t>Объем реализации населению 2018 г</t>
  </si>
  <si>
    <t>Выручка 2018 год</t>
  </si>
  <si>
    <t>Водоотведение на 2020 год</t>
  </si>
  <si>
    <t>Водоснабжение на 2021 год</t>
  </si>
  <si>
    <t>Тариф 2019 года</t>
  </si>
  <si>
    <t>Объем реализации населению 2019 г</t>
  </si>
  <si>
    <t>Выручка 2019 год</t>
  </si>
  <si>
    <t>Водоотведение на 2021 год</t>
  </si>
  <si>
    <t>Водоснабжение на 2022 год</t>
  </si>
  <si>
    <t>Тариф 2020 года</t>
  </si>
  <si>
    <t>Объем реализации населению 2020 г</t>
  </si>
  <si>
    <t>Выручка 2020 год</t>
  </si>
  <si>
    <t>Водоотведение на 2022 год</t>
  </si>
  <si>
    <t>Водоснабжение на 2023 год</t>
  </si>
  <si>
    <t>Тариф 2021 года</t>
  </si>
  <si>
    <t>Объем реализации населению 2021 г</t>
  </si>
  <si>
    <t>Выручка 2021 год</t>
  </si>
  <si>
    <t>Водоотведение на 2023 год</t>
  </si>
  <si>
    <t>Средний тариф 2018 ВОДА</t>
  </si>
  <si>
    <t>Средний тариф 2018 СТОКИ</t>
  </si>
  <si>
    <t>Директор МП "Горводоканал"                                                                                                А.В. Ерофеевский</t>
  </si>
  <si>
    <t>Расчет суммы расходов прошлых периодов, неучтенных при установлении тарифов на 2016 год</t>
  </si>
  <si>
    <t>№              п/п</t>
  </si>
  <si>
    <t>Статьи затрат</t>
  </si>
  <si>
    <t>Учтено в тарифе на 2016 г.</t>
  </si>
  <si>
    <t>Фактические расходы 2016 г.</t>
  </si>
  <si>
    <t>Сумма неучтенных расходов</t>
  </si>
  <si>
    <t>Накладные расходы, в т.ч.</t>
  </si>
  <si>
    <t>3.1.</t>
  </si>
  <si>
    <t>охрана труда</t>
  </si>
  <si>
    <t>3.2.</t>
  </si>
  <si>
    <t>экспертиза, лаб. испытания, проекты, пробы воды</t>
  </si>
  <si>
    <t>3.3.</t>
  </si>
  <si>
    <t>проезд к месту отдыха</t>
  </si>
  <si>
    <t>Налоги, в т.ч.</t>
  </si>
  <si>
    <t>4.1.</t>
  </si>
  <si>
    <t>плата за водопользование</t>
  </si>
  <si>
    <t>4.2.</t>
  </si>
  <si>
    <t>№         п/п</t>
  </si>
  <si>
    <t xml:space="preserve">3. </t>
  </si>
  <si>
    <t>Цеховые расходы, в т.ч.</t>
  </si>
  <si>
    <t xml:space="preserve">2. </t>
  </si>
  <si>
    <t>3.4.</t>
  </si>
  <si>
    <t>3.5.</t>
  </si>
  <si>
    <t>Акредитация лаборатории</t>
  </si>
  <si>
    <t>3.6.</t>
  </si>
  <si>
    <t>Экспертизы, пробы, проекты, лицензии</t>
  </si>
  <si>
    <t>3.7.</t>
  </si>
  <si>
    <t>3.8.</t>
  </si>
  <si>
    <t>3.9.</t>
  </si>
  <si>
    <t>Командировочные расходы</t>
  </si>
  <si>
    <t>Транспортные услуги</t>
  </si>
  <si>
    <t>2.5.</t>
  </si>
  <si>
    <t>2.6.</t>
  </si>
  <si>
    <t>2.7.</t>
  </si>
  <si>
    <t>Факт 2019 год</t>
  </si>
  <si>
    <t>Факт 6 мес. 2019 год</t>
  </si>
  <si>
    <t>Факт 9 мес. 2019 год</t>
  </si>
  <si>
    <t>Факт              2019 год</t>
  </si>
  <si>
    <t>Факт                      2019 год</t>
  </si>
  <si>
    <t>Факт      2019 год</t>
  </si>
  <si>
    <t>Факт 6 мес. 2019 г.</t>
  </si>
  <si>
    <t>Факт 9 мес. 2019 г.</t>
  </si>
  <si>
    <t>Факт       2019 г.</t>
  </si>
  <si>
    <t>Факт 2019 г.</t>
  </si>
  <si>
    <t>Факт                       2019 г.</t>
  </si>
  <si>
    <t>ФАКТ 2019 ГОД</t>
  </si>
  <si>
    <t xml:space="preserve">Факт 12 мес. 2019 год </t>
  </si>
  <si>
    <t>Факт                2019 г.</t>
  </si>
  <si>
    <t>Факт               2019 г.</t>
  </si>
  <si>
    <t>Факт         2019 г.</t>
  </si>
  <si>
    <t>Факт                 2019 год</t>
  </si>
  <si>
    <t>В том числе</t>
  </si>
  <si>
    <t>Тех. Вода</t>
  </si>
  <si>
    <t>ТЕХНИЧЕСКАЯ ВОДА</t>
  </si>
  <si>
    <t>В СТАДИИ ОЧИСТКИ</t>
  </si>
  <si>
    <t>Объем электроэнергии на водоснабжение всего</t>
  </si>
  <si>
    <t>Тариф на электроэнергию (средний)</t>
  </si>
  <si>
    <t xml:space="preserve">Всего затрат на электроэнергию </t>
  </si>
  <si>
    <t>пит. вода, в т. ч.</t>
  </si>
  <si>
    <t>20 счет</t>
  </si>
  <si>
    <t>26 счет</t>
  </si>
  <si>
    <t>тех.вода 26 счет</t>
  </si>
  <si>
    <t xml:space="preserve">водоотведение в т.ч. </t>
  </si>
  <si>
    <t>очистка 26 счет</t>
  </si>
  <si>
    <t>Прочая деятельность 26 счет</t>
  </si>
  <si>
    <t>Тепловая энергия, природный газ</t>
  </si>
  <si>
    <t>Всего расходов, в том числе:</t>
  </si>
  <si>
    <t>Расходы на приобретение электрической энергии (мощности), тепловой энергии, топлива, других видов энергоресурсов и холодной воды ВСЕГО, в том числе:</t>
  </si>
  <si>
    <t>Аренда ВСЕГО, в том числе:</t>
  </si>
  <si>
    <t>отопление, природный газ</t>
  </si>
  <si>
    <t>прочим потребителям, в том числе:</t>
  </si>
  <si>
    <t>бюджетные потребители, в.т.ч.</t>
  </si>
  <si>
    <t>- областной бюджет;</t>
  </si>
  <si>
    <t>- федеральный бюджет;</t>
  </si>
  <si>
    <t>- местный бюджет.</t>
  </si>
  <si>
    <t>от прочих, в том числе:</t>
  </si>
  <si>
    <r>
      <t xml:space="preserve">корректировка на договорные объемы </t>
    </r>
    <r>
      <rPr>
        <b/>
        <sz val="10"/>
        <rFont val="Times New Roman"/>
        <family val="1"/>
        <charset val="204"/>
      </rPr>
      <t>р. Лименда и С. Двина</t>
    </r>
  </si>
  <si>
    <t>станция 3 подъема</t>
  </si>
  <si>
    <t>Аренда (справочно, учтено в цеховых)</t>
  </si>
  <si>
    <t>предложение МП Горводоканал 2019</t>
  </si>
  <si>
    <t>предложение эксперта 2019</t>
  </si>
  <si>
    <t>предложение 2019 год</t>
  </si>
  <si>
    <t xml:space="preserve">предложение предприятия по корректировке 2020 </t>
  </si>
  <si>
    <t xml:space="preserve">предложение эксперта по корректировке 2020 </t>
  </si>
  <si>
    <t>предложение по корректировке 2020 год</t>
  </si>
  <si>
    <t>Предложение эксперта</t>
  </si>
  <si>
    <t>Корректировка 2020 год</t>
  </si>
  <si>
    <t>предложение эксперта по корректировке</t>
  </si>
  <si>
    <t>корректир. 2020 год предлож. предпр.</t>
  </si>
  <si>
    <t>ДОПОЛНИТЕЛЬНО УЧЕСТЬ НАЛОГ НА ПРИБЫЛЬ ПО НАЛОГОВОМУ УЧЕТУ</t>
  </si>
  <si>
    <t>Ошибка эксперта - выпущены объемы по бюджетным потребителям</t>
  </si>
  <si>
    <t>2020 ГОД кор-ка. (эксп)</t>
  </si>
  <si>
    <t>Расчет резерва по сомнительным долгам (КОРРЕКТИРОВКА)</t>
  </si>
  <si>
    <t>Водоснабжение на 2024 год</t>
  </si>
  <si>
    <t>Тариф 2022 года</t>
  </si>
  <si>
    <t>Объем реализации населению 2022 г</t>
  </si>
  <si>
    <t>Выручка 2022 год</t>
  </si>
  <si>
    <t>Водоотведение на 2024 год</t>
  </si>
  <si>
    <t>Предприятие</t>
  </si>
  <si>
    <t>Предложение эксперта по корректировке 2020 год</t>
  </si>
  <si>
    <t>корректировка по предложению эксперта</t>
  </si>
  <si>
    <t>Показатели надежности, качнства и энергетической эффективности за 2018 год</t>
  </si>
  <si>
    <t>2018 год =3%</t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</si>
  <si>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2020</t>
    </r>
  </si>
  <si>
    <t>Себестоимость (корректировка), руб.</t>
  </si>
  <si>
    <t>НВВ с учетом корректировки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</si>
  <si>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</si>
  <si>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</si>
  <si>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</si>
  <si>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</si>
  <si>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</si>
  <si>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</si>
  <si>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</si>
  <si>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</si>
  <si>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Апрель</t>
  </si>
  <si>
    <t>ОТКЛ.</t>
  </si>
  <si>
    <t>Вода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</si>
  <si>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</si>
  <si>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</si>
  <si>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</si>
  <si>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</si>
  <si>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</si>
  <si>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</si>
  <si>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</si>
  <si>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</si>
  <si>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</si>
  <si>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</si>
  <si>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</si>
  <si>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</si>
  <si>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</si>
  <si>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</si>
  <si>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</si>
  <si>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</si>
  <si>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</si>
  <si>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</si>
  <si>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налог на имущество станции 3 подъема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</si>
  <si>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</si>
  <si>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</si>
  <si>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</si>
  <si>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</si>
  <si>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</si>
  <si>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</si>
  <si>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</si>
  <si>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Услуги по транспортировке питьевой воды пос. Вычегодский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</si>
  <si>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</si>
  <si>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</si>
  <si>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</si>
  <si>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</si>
  <si>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</si>
  <si>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</si>
  <si>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</si>
  <si>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</si>
  <si>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</si>
  <si>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</si>
  <si>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</si>
  <si>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</si>
  <si>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</si>
  <si>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</si>
  <si>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</si>
  <si>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</si>
  <si>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</si>
  <si>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</si>
  <si>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</si>
  <si>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</si>
  <si>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</si>
  <si>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</si>
  <si>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</si>
  <si>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</si>
  <si>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ОТКЛОНЕНИЕ, абс.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</si>
  <si>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</si>
  <si>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</si>
  <si>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</si>
  <si>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</si>
  <si>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</si>
  <si>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</si>
  <si>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</si>
  <si>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</si>
  <si>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</si>
  <si>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Корректировка НВВ, в том числе:</t>
  </si>
  <si>
    <t>Прибыль</t>
  </si>
  <si>
    <t>Всего расходов (с учетом прочих расходов)</t>
  </si>
  <si>
    <t>Ерофеевский А.В.</t>
  </si>
  <si>
    <t>ОБЪЕМНЫЕ ПОКАЗАТЕЛИ СИСТЕМЫ ВОДООТВЕДЕНИЯ</t>
  </si>
  <si>
    <t>Стоки</t>
  </si>
  <si>
    <t>Очистка</t>
  </si>
  <si>
    <t>Очищено стоков всего</t>
  </si>
  <si>
    <t>Принято стоков всего, в том числе</t>
  </si>
  <si>
    <t>в стадии очистки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</si>
  <si>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</si>
  <si>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</si>
  <si>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</si>
  <si>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</si>
  <si>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Выпад. расх. прошл. периодов</t>
  </si>
  <si>
    <t>ПРОЧИЕ РАСХОДЫ ВСЕГО, В Т.Ч.</t>
  </si>
  <si>
    <t>Услуги по транспортировке сточных вод пос. Вычегодский</t>
  </si>
  <si>
    <t>Технологическое присоединение к централизованной системе водоотведения</t>
  </si>
  <si>
    <t>Принято стоков, в том числе</t>
  </si>
  <si>
    <t>население (неканализованный жилфонд)</t>
  </si>
  <si>
    <t>ФАКТИЧЕСКИЕ ФИНАНСОВЫЕ ПОКАЗАТЕЛИ</t>
  </si>
  <si>
    <t>Неканализованный жилой фонд</t>
  </si>
  <si>
    <t>ПЛАН ФИНАНСОВЫХ ЗАТРАТ</t>
  </si>
  <si>
    <t>Выпадающие расходы прошлых периодов, в т.ч.</t>
  </si>
  <si>
    <t>ПОЛНАЯ СЕБЕСТОИМОСТЬ УСЛУГ ВОДООТВЕДЕНИЯ НА 2020 ГОД</t>
  </si>
  <si>
    <t>населению (повышающий коэффициент)</t>
  </si>
  <si>
    <t>население (повышающий коэффициент)</t>
  </si>
  <si>
    <t>Население (повышающий коэффициент)</t>
  </si>
  <si>
    <t>от прочих потребителей, в том числе:</t>
  </si>
  <si>
    <t>УТВЕРЖДАЮ:</t>
  </si>
  <si>
    <t>Директор МП "Горводоканал"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</si>
  <si>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</si>
  <si>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</si>
  <si>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</si>
  <si>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</si>
  <si>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</si>
  <si>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Корректировка НВВ в том числе:</t>
  </si>
  <si>
    <t xml:space="preserve">Прибыль </t>
  </si>
  <si>
    <t>Главный экономист МП "Горводоканал"</t>
  </si>
  <si>
    <t>А.Л. Горынцев</t>
  </si>
  <si>
    <t>Таблица 2.1.</t>
  </si>
  <si>
    <t>ПЛАНОВЫЕ ОБЪЕМНЫЕ ПОКАЗАТЕЛИ СИСТЕМЫ ВОДООТВЕДЕНИЯ</t>
  </si>
  <si>
    <t>платежи за сброс загрязняющих веществ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</si>
  <si>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</si>
  <si>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</si>
  <si>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</si>
  <si>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</si>
  <si>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</si>
  <si>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</si>
  <si>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</si>
  <si>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</si>
  <si>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</si>
  <si>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Водоснабжение, в том числе:</t>
  </si>
  <si>
    <t>тыс.м3</t>
  </si>
  <si>
    <t>Питьевое водоснабжение</t>
  </si>
  <si>
    <t>Транспортировка воды в пос. Вычегодский</t>
  </si>
  <si>
    <t>Водоотведение, в том числе:</t>
  </si>
  <si>
    <t>Водоотведение в стадии очистки</t>
  </si>
  <si>
    <t>Транспортировка стоков в пос. Вычегодский</t>
  </si>
  <si>
    <t>Доходная часть всего, в том числе:</t>
  </si>
  <si>
    <t>Водоснабжение, в том числе :</t>
  </si>
  <si>
    <t>Питьевое водоснабжение, в том числе:</t>
  </si>
  <si>
    <t>- возмещение убытков</t>
  </si>
  <si>
    <t>Прочие доходы (прочие платные услуги), в т.ч.</t>
  </si>
  <si>
    <t>Технологическое присоединение к сетям</t>
  </si>
  <si>
    <t>Расходная  часть всего, в том числе:</t>
  </si>
  <si>
    <t>Прочие расходы (прочие платные услуги )</t>
  </si>
  <si>
    <t>Валовая прибыль, в том числе:</t>
  </si>
  <si>
    <t>Прочие доходы (прочие платные услуги )</t>
  </si>
  <si>
    <t>Прочие доходы</t>
  </si>
  <si>
    <t>Прочие расходы всего, в том числе:</t>
  </si>
  <si>
    <t>плата за негативное воздействие сверх норматива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</si>
  <si>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</si>
  <si>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</si>
  <si>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</si>
  <si>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</si>
  <si>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</si>
  <si>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</si>
  <si>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</si>
  <si>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</si>
  <si>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____________________ А.В. Ерофеевский</t>
  </si>
  <si>
    <t>Доходная часть всего, в том числе</t>
  </si>
  <si>
    <t>Водоснабжение, том числе:</t>
  </si>
  <si>
    <t>Транспортировка воды в п. Вычегодский</t>
  </si>
  <si>
    <t>Транспортировка стоков в п. Вычегодский</t>
  </si>
  <si>
    <t>Гл. Экономист                                                                                                                                                           А.Л. Горынцев</t>
  </si>
  <si>
    <t>Период</t>
  </si>
  <si>
    <t>Техническая     вода</t>
  </si>
  <si>
    <t xml:space="preserve">ВСЕГО </t>
  </si>
  <si>
    <t>Гл. Экономист                                                                                       А.Л. Горынцев</t>
  </si>
  <si>
    <t xml:space="preserve">Объем воды поступившей в сеть </t>
  </si>
  <si>
    <t>Объем транспортируемой воды</t>
  </si>
  <si>
    <t>Расходы на приобретение материалов ГСМ</t>
  </si>
  <si>
    <t>Расходы на оплату труда ОПП</t>
  </si>
  <si>
    <t>прочие цеховые расходы</t>
  </si>
  <si>
    <t>Объем транспортируемых сточных вод</t>
  </si>
  <si>
    <t>ПЛАНОВЫЕ ОБЪЕМНЫЕ ПОКАЗАТЕЛИ ПО ТРАНСПОРТИРОВКЕ СТОЧНЫХ ВОД В ПОС. ВЫЧЕГОДСКИЙ</t>
  </si>
  <si>
    <t>ПЛАНОВЫЕ ОБЪЕМНЫЕ ПОКАЗАТЕЛИ ПО ТРАНСПОРТИРОВКЕ ПИТЬЕВОЙ ВОДЫ В ПОС. ВЫЧЕГОДСКИЙ</t>
  </si>
  <si>
    <t>вывоз мусора, обез.опасных отходов</t>
  </si>
  <si>
    <t>предложение по корректировке 2021 год</t>
  </si>
  <si>
    <t xml:space="preserve">предложение предприятия по корректировке 2021 </t>
  </si>
  <si>
    <t xml:space="preserve">предложение эксперта по корректировке 2021 </t>
  </si>
  <si>
    <t>Корректировка 2021 год</t>
  </si>
  <si>
    <t>БАЛАНС ВОДОСНАБЖЕНИЯ И ВОДООТВЕДЕНИЯ (КОРРЕКТИРОВКА 2021 ГОД)</t>
  </si>
  <si>
    <t>Дирктор МП "Горводоканал"                                                                                     А.В. Ерофеевский</t>
  </si>
  <si>
    <t>Расчет расходов на электроэнергию, приобретаемую для осуществления деятельности в сфере водоснабжения МП "Горводоканал" на 2019 - 2024 годы (КОРРЕКТИРОВКА 2021 ГОД)</t>
  </si>
  <si>
    <t>Расчет расходов на электроэнергию, приобретаемую для осуществления деятельности в сфере водоотведения МП "Горводоканал" на 2019 - 2024 годы (КОРРЕКТИРОВКА 2021 ГОД)</t>
  </si>
  <si>
    <t>Объем электроэнергии на водоотведение всего</t>
  </si>
  <si>
    <t>Директор МП "Горводоканал"                                                                                            А.В. Ерофеевский</t>
  </si>
  <si>
    <t>Амортизационные отчисления по МП "Горводоканал" г. Котласа (КОРРЕКТИРОВКА 2021 ГОД)</t>
  </si>
  <si>
    <t>Директор МП "Горводоканал"                                                                                                 А.В. Ерофеевский</t>
  </si>
  <si>
    <t>Расчет среднемесячной заработной платы на 2021 год</t>
  </si>
  <si>
    <t>Базовая месячная тарифная ставка рабочего 1 разряда на 2021 год</t>
  </si>
  <si>
    <t>Расчет расходов на оплату труда МП "Горводоканал" на 2020 год (КОРРЕКТИРОВКА 2021 ГОД)</t>
  </si>
  <si>
    <t>По предложению предприятия базовая ставка рабочего 1 разряда рассчитана исходя из МРОТ с 01.01.2020 в размере 12130 руб. и ИПЦ на 2021 год - 1,046.  Средний разряд основных производственных рабочих рабочих равен 4.</t>
  </si>
  <si>
    <t>Отнесение затрат на ремонт и техническое обслуживание (КОРРЕКТИРОВКА 2021 ГОД)</t>
  </si>
  <si>
    <t>Предложение предприятия по корректировке затрат на техническое обслуживание и ремонт на 2021 год</t>
  </si>
  <si>
    <t>корректир. 2020 год предлож. Эксперта</t>
  </si>
  <si>
    <t>корректир. 2021 год предлож. Эксперта</t>
  </si>
  <si>
    <t>корректир. 2021 год предлож. Предприятия</t>
  </si>
  <si>
    <t>Цеховые расходы по водоснабжению МП "Горводоканал" г. Котлас (КОРРЕКТИРОВКА 2021 ГОД)</t>
  </si>
  <si>
    <t>Цеховые расходы по водоотведению МП "Горводоканал" г. Котлас (КОРРЕКТИРОВКА 2021 ГОД)</t>
  </si>
  <si>
    <t>Расшифровка общехозяйственных расходов МП "Горводоканал" (тыс. руб.) (КОРРЕКТИРОВКА 2021 ГОД)</t>
  </si>
  <si>
    <t>Предложение предприятия по корректировке 2021 год</t>
  </si>
  <si>
    <t>КОРРЕКТИРОВКА 2021 ГОД</t>
  </si>
  <si>
    <t>Расчет тепловой энергии на станцию 3 подъема  (МП "Горводоканал") (КОРРЕКТИРОВКА 2021 год)</t>
  </si>
  <si>
    <t>Расчет расходов на траспортирвку пиьевой воды и сточных вод МП "Горводоканал" на 2019 -2024 годы (корректировка 2021 год)</t>
  </si>
  <si>
    <t>2021 год корректировка предл. предприятия</t>
  </si>
  <si>
    <t>2021 год предложение эксперта по корректировке</t>
  </si>
  <si>
    <t>Расчет арендной платы на землю (КОРРЕКТИРОВКА 2021 ГОД)</t>
  </si>
  <si>
    <t>Расчет налога на имущество (корректировка 2021 год)</t>
  </si>
  <si>
    <t>Декларация о плате за негативное воздействие на окружающую среду (КОРРЕКТИРОВКА 2021 ГОД)</t>
  </si>
  <si>
    <t>2021 год корректировка</t>
  </si>
  <si>
    <t>2020 ГОД кор. пред</t>
  </si>
  <si>
    <t>Расчет налоговых обязательств на 2019 - 2024 годы (МП "Горводоканал") КОРРЕКТИРОВКА 2021 год</t>
  </si>
  <si>
    <t>Расчет платы за водопользование на 2019 - 2024 годы МП "Горводоканал" (корректировка 2021 год)</t>
  </si>
  <si>
    <t>Средний тариф 2019 ВОДА</t>
  </si>
  <si>
    <t>Средний тариф 2019 СТОКИ</t>
  </si>
  <si>
    <t>РАСЧЕТ ТОВАРНОЙ ВЫРУЧКИ ЗА 2019 ГОД</t>
  </si>
  <si>
    <t>1. Расчет тарифов на питьевую воду, отпускаемую МП "Горводоканал" потребителям на территории г.Котласа на 2021 год (КОРРЕКТИРОВКА 2021 ГОД)</t>
  </si>
  <si>
    <t xml:space="preserve">Корректировка 2021 год </t>
  </si>
  <si>
    <t>1. Расчет тарифа на услуги водоотведения, оказываемые МП "Горводоканал" потребителям на территории г. Котласа на 2021 год (КОРРЕКТИРОВКА 2021 ГОД)</t>
  </si>
  <si>
    <t>1.1. Расчет тарифов на питьевую воду, отпускаемую МП "Горводоканал" потребителям на территории г.Котласа на 2021 год (СВОД) (КОРРЕКТИРОВКА 2021 ГОД)</t>
  </si>
  <si>
    <t>рост 2021 к 2020, %</t>
  </si>
  <si>
    <t>Расчет  на 2019 - 2024 годы тарифа на услуги водоотведения для МП "Горводоканал" МО "Котлас" (КОРРЕКТИРОВКА 2021 ГОД)</t>
  </si>
  <si>
    <t>Расчет на 2019 - 2024 годы тарифа на услуги водоотведения (в стадии очистки) для МП "Горводоканал" МО "Котлас" (КОРРЕКТИРОВКА 2021 ГОД)</t>
  </si>
  <si>
    <t>1.1. Расчет тарифа на услуги водоотведения, оказываемые МП "Горводоканал" потребителям на территории г. Котласа на 2021 год (СВОД) (КОРРЕКТИРОВКА 2021 год)</t>
  </si>
  <si>
    <t>Расчет на 2019 - 2024 годы тарифа на питьевую воду для МП "Горводоканал" МО "Котлас" (КОРРЕКТИРОВКА 2021 ГОД)</t>
  </si>
  <si>
    <t>Расчет на 2019 - 2024 годы тарифа на техническую воду воду для МП "Горводоканал" МО "Котлас" (КОРРЕКТИРОВКА 2021 ГОД)</t>
  </si>
  <si>
    <t>Расчет расходов на хим. реагенты и хим. реактивы  МП "Горводоканал" (КОРРЕКТИРОВКА 2021 ГОД)</t>
  </si>
  <si>
    <t>Расчет суммы расходов прошлых периодов, неучтенных при установлении тарифов на 2019 год</t>
  </si>
  <si>
    <t>Учтено в тарифе на 2019 г.</t>
  </si>
  <si>
    <t>Фактические расходы 2019 г.</t>
  </si>
  <si>
    <t>Расходы на обучение</t>
  </si>
  <si>
    <t>Факт 6 мес. 2020 год</t>
  </si>
  <si>
    <t>Факт 9 мес. 2020 год</t>
  </si>
  <si>
    <t>Факт 2020 год</t>
  </si>
  <si>
    <t>Факт 6 мес. 2020 г.</t>
  </si>
  <si>
    <t>Факт 9 мес. 2020 г.</t>
  </si>
  <si>
    <t>Факт         2020 г.</t>
  </si>
  <si>
    <t>Факт 2020 г.</t>
  </si>
  <si>
    <t>Факт               2020 г.</t>
  </si>
  <si>
    <t>Факт                 2020 год</t>
  </si>
  <si>
    <t>Факт                2020 г.</t>
  </si>
  <si>
    <t>ФАКТ 2020 ГОД</t>
  </si>
  <si>
    <t xml:space="preserve">Факт 12 мес. 2020 год </t>
  </si>
  <si>
    <t>Факт                       2020 г.</t>
  </si>
  <si>
    <t>Факт       2020 г.</t>
  </si>
  <si>
    <t>Факт      2020 год</t>
  </si>
  <si>
    <t>Факт                      2020 год</t>
  </si>
  <si>
    <t>Факт              2020 год</t>
  </si>
  <si>
    <t xml:space="preserve"> УЧЕТ ОТДЕЛЬНО</t>
  </si>
  <si>
    <t>Биорегулятор Bioxymin</t>
  </si>
  <si>
    <t>Проверка приборов, пробы воды, экспертиза</t>
  </si>
  <si>
    <t xml:space="preserve"> Природный газ не учтен</t>
  </si>
  <si>
    <t>ПОЛНАЯ СЕБЕСТОИМОСТЬ УСЛУГ ВОДОСНАБЖЕНИЯ НА 2021 ГОД</t>
  </si>
  <si>
    <t>УСЛУГ ВОДОСНАБЖЕНИЯ ЗА 2021 ГОД</t>
  </si>
  <si>
    <t>теплоэнергия (природный газ)</t>
  </si>
  <si>
    <t>отопление, (природный газ)</t>
  </si>
  <si>
    <t>ПОЛНАЯ СЕБЕСТОИМОСТЬ УСЛУГ ВОДООТВЕДЕНИЯ НА 2021 ГОД</t>
  </si>
  <si>
    <t xml:space="preserve">Тепловая энергия </t>
  </si>
  <si>
    <t>ЦЕХОВЫЕ РАСХОДЫ ПО ВОДОСНАБЖЕНИЮ НА 2021 год</t>
  </si>
  <si>
    <t>ЦЕХОВЫЕ РАСХОДЫ ПО ВОДООТВЕДЕНИЮ НА 2021 ГОД</t>
  </si>
  <si>
    <t>УСЛУГ ВОДООТВЕДЕНИЯ ЗА 2021 ГОД</t>
  </si>
  <si>
    <t>РАСЧЕТ ТОВАРНОЙ ВЫРУЧКИ ЗА 2021 ГОД</t>
  </si>
  <si>
    <t>"___" ___________________ 2021 г.</t>
  </si>
  <si>
    <t xml:space="preserve">План по формированию расходной части МП "Горводоканал" по статьям затрат на услуги водоснабжения на 2021 год </t>
  </si>
  <si>
    <t xml:space="preserve">План по формированию расходной части МП "Горводоканал" по статьям затрат на услуги водоотведения на 2021 год </t>
  </si>
  <si>
    <t>План по формированию расходной части МП "Горводоканал" по статьям затрат на услуги по транспортировке питьевой воды в пос. Вычегодский на 2021 год</t>
  </si>
  <si>
    <t>План по формированию расходной части МП "Горводоканал" по статьям затрат на услуги по транспортировке сточных вод в пос. Вычегодский на 2021 год</t>
  </si>
  <si>
    <t>План финансово-хозяйственной деятельности                                                                                                                               МП "Горводоканал" на 2021 год</t>
  </si>
  <si>
    <t>услуги банка, почты, прием платежей</t>
  </si>
  <si>
    <t>План финансово-хозяйственной деятельности МП "Горводоканал" на 2021 год (в разрезе по месяцам)</t>
  </si>
  <si>
    <t>Текущий ремонт и техническое обслуживание (план) на 2021 год</t>
  </si>
  <si>
    <t>Приложение № 1 к Порядку составления, утверждения и установления показателей планов финансово-хозяйственной деятельности МП "Горводоканал"</t>
  </si>
  <si>
    <t>СОГЛАСОВАНО:</t>
  </si>
  <si>
    <t>Начальник Управления городского хозяйства городского округа "Котлас"</t>
  </si>
  <si>
    <t xml:space="preserve">_________________________И.И. Рогатых </t>
  </si>
  <si>
    <t>А.В. Ерофеевский</t>
  </si>
  <si>
    <t>Малоценное по НУ до 100 тыс.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</si>
</sst>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  <numFmt numFmtId="193" formatCode="0.0000%"/>
    <numFmt numFmtId="194" formatCode="0.00000000"/>
  </numFmts>
  <fonts count="18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sz val="22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Arial Cyr"/>
      <charset val="204"/>
    </font>
    <font>
      <b/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b/>
      <i/>
      <sz val="11"/>
      <color theme="0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0"/>
      <color theme="4"/>
      <name val="Times New Roman"/>
      <family val="1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BFBC5"/>
        <bgColor indexed="64"/>
      </patternFill>
    </fill>
  </fills>
  <borders count="2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0000"/>
      </left>
      <right style="hair">
        <color rgb="FFFF0000"/>
      </right>
      <top style="hair">
        <color indexed="64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88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38" fillId="3" borderId="0" applyNumberFormat="0" applyBorder="0" applyAlignment="0" applyProtection="0"/>
    <xf numFmtId="0" fontId="30" fillId="20" borderId="1" applyNumberFormat="0" applyAlignment="0" applyProtection="0"/>
    <xf numFmtId="0" fontId="35" fillId="21" borderId="2" applyNumberFormat="0" applyAlignment="0" applyProtection="0"/>
    <xf numFmtId="0" fontId="39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28" fillId="7" borderId="1" applyNumberFormat="0" applyAlignment="0" applyProtection="0"/>
    <xf numFmtId="0" fontId="40" fillId="0" borderId="6" applyNumberFormat="0" applyFill="0" applyAlignment="0" applyProtection="0"/>
    <xf numFmtId="0" fontId="37" fillId="22" borderId="0" applyNumberFormat="0" applyBorder="0" applyAlignment="0" applyProtection="0"/>
    <xf numFmtId="0" fontId="26" fillId="23" borderId="7" applyNumberFormat="0" applyFont="0" applyAlignment="0" applyProtection="0"/>
    <xf numFmtId="0" fontId="29" fillId="20" borderId="8" applyNumberFormat="0" applyAlignment="0" applyProtection="0"/>
    <xf numFmtId="0" fontId="36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28" fillId="7" borderId="1" applyNumberFormat="0" applyAlignment="0" applyProtection="0"/>
    <xf numFmtId="0" fontId="29" fillId="20" borderId="8" applyNumberFormat="0" applyAlignment="0" applyProtection="0"/>
    <xf numFmtId="0" fontId="30" fillId="20" borderId="1" applyNumberFormat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21" borderId="2" applyNumberFormat="0" applyAlignment="0" applyProtection="0"/>
    <xf numFmtId="0" fontId="3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19" fillId="0" borderId="0"/>
    <xf numFmtId="0" fontId="19" fillId="0" borderId="0"/>
    <xf numFmtId="0" fontId="7" fillId="0" borderId="0"/>
    <xf numFmtId="0" fontId="19" fillId="0" borderId="0"/>
    <xf numFmtId="0" fontId="26" fillId="0" borderId="0"/>
    <xf numFmtId="0" fontId="38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7" fillId="23" borderId="7" applyNumberFormat="0" applyFont="0" applyAlignment="0" applyProtection="0"/>
    <xf numFmtId="9" fontId="7" fillId="0" borderId="0" applyFont="0" applyFill="0" applyBorder="0" applyAlignment="0" applyProtection="0"/>
    <xf numFmtId="9" fontId="25" fillId="0" borderId="0" applyFill="0" applyBorder="0" applyAlignment="0" applyProtection="0"/>
    <xf numFmtId="0" fontId="40" fillId="0" borderId="6" applyNumberFormat="0" applyFill="0" applyAlignment="0" applyProtection="0"/>
    <xf numFmtId="0" fontId="41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72" fontId="25" fillId="0" borderId="0" applyFill="0" applyBorder="0" applyAlignment="0" applyProtection="0"/>
    <xf numFmtId="172" fontId="25" fillId="0" borderId="0" applyFill="0" applyBorder="0" applyAlignment="0" applyProtection="0"/>
    <xf numFmtId="175" fontId="19" fillId="0" borderId="0" applyFont="0" applyFill="0" applyBorder="0" applyAlignment="0" applyProtection="0"/>
    <xf numFmtId="172" fontId="25" fillId="0" borderId="0" applyFill="0" applyBorder="0" applyAlignment="0" applyProtection="0"/>
    <xf numFmtId="173" fontId="25" fillId="0" borderId="0" applyFill="0" applyBorder="0" applyAlignment="0" applyProtection="0"/>
    <xf numFmtId="0" fontId="42" fillId="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8" fillId="39" borderId="0"/>
    <xf numFmtId="0" fontId="99" fillId="0" borderId="0">
      <alignment horizontal="left" vertical="center" wrapText="1"/>
    </xf>
    <xf numFmtId="0" fontId="100" fillId="0" borderId="0">
      <alignment horizontal="left" vertical="center" wrapText="1" indent="1"/>
    </xf>
    <xf numFmtId="0" fontId="100" fillId="0" borderId="0">
      <alignment horizontal="left" vertical="center" wrapText="1" indent="3"/>
    </xf>
    <xf numFmtId="179" fontId="25" fillId="0" borderId="0" applyFill="0" applyBorder="0" applyAlignment="0" applyProtection="0"/>
    <xf numFmtId="180" fontId="25" fillId="0" borderId="0" applyFill="0" applyBorder="0" applyAlignment="0" applyProtection="0"/>
    <xf numFmtId="181" fontId="25" fillId="0" borderId="0" applyFill="0" applyBorder="0" applyAlignment="0" applyProtection="0"/>
    <xf numFmtId="182" fontId="25" fillId="0" borderId="0" applyFill="0" applyBorder="0" applyAlignment="0" applyProtection="0"/>
    <xf numFmtId="0" fontId="98" fillId="0" borderId="159"/>
    <xf numFmtId="0" fontId="26" fillId="0" borderId="0"/>
    <xf numFmtId="0" fontId="26" fillId="0" borderId="0"/>
    <xf numFmtId="0" fontId="26" fillId="0" borderId="0"/>
    <xf numFmtId="0" fontId="19" fillId="0" borderId="0"/>
    <xf numFmtId="0" fontId="98" fillId="0" borderId="0"/>
    <xf numFmtId="0" fontId="19" fillId="0" borderId="0" applyNumberFormat="0" applyFill="0" applyBorder="0" applyAlignment="0" applyProtection="0"/>
    <xf numFmtId="0" fontId="19" fillId="0" borderId="0"/>
    <xf numFmtId="0" fontId="10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183" fontId="25" fillId="0" borderId="0" applyFill="0" applyBorder="0" applyAlignment="0" applyProtection="0"/>
    <xf numFmtId="183" fontId="25" fillId="0" borderId="0" applyFill="0" applyBorder="0" applyAlignment="0" applyProtection="0"/>
    <xf numFmtId="0" fontId="26" fillId="0" borderId="0"/>
    <xf numFmtId="0" fontId="25" fillId="0" borderId="0"/>
    <xf numFmtId="0" fontId="26" fillId="0" borderId="0"/>
    <xf numFmtId="0" fontId="19" fillId="0" borderId="0"/>
    <xf numFmtId="0" fontId="25" fillId="0" borderId="0"/>
    <xf numFmtId="0" fontId="26" fillId="0" borderId="0"/>
    <xf numFmtId="0" fontId="26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9" fontId="25" fillId="0" borderId="0" applyFill="0" applyBorder="0" applyAlignment="0" applyProtection="0"/>
    <xf numFmtId="9" fontId="7" fillId="0" borderId="0" applyFont="0" applyFill="0" applyBorder="0" applyAlignment="0" applyProtection="0"/>
    <xf numFmtId="9" fontId="26" fillId="0" borderId="0"/>
    <xf numFmtId="9" fontId="26" fillId="0" borderId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84" fontId="25" fillId="0" borderId="0" applyFill="0" applyBorder="0" applyAlignment="0" applyProtection="0"/>
    <xf numFmtId="185" fontId="25" fillId="0" borderId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3" fillId="0" borderId="0"/>
    <xf numFmtId="0" fontId="2" fillId="0" borderId="0"/>
    <xf numFmtId="0" fontId="30" fillId="20" borderId="280" applyNumberFormat="0" applyAlignment="0" applyProtection="0"/>
    <xf numFmtId="0" fontId="28" fillId="7" borderId="280" applyNumberFormat="0" applyAlignment="0" applyProtection="0"/>
    <xf numFmtId="0" fontId="26" fillId="23" borderId="228" applyNumberFormat="0" applyFont="0" applyAlignment="0" applyProtection="0"/>
    <xf numFmtId="0" fontId="29" fillId="20" borderId="281" applyNumberFormat="0" applyAlignment="0" applyProtection="0"/>
    <xf numFmtId="0" fontId="34" fillId="0" borderId="282" applyNumberFormat="0" applyFill="0" applyAlignment="0" applyProtection="0"/>
    <xf numFmtId="0" fontId="28" fillId="7" borderId="280" applyNumberFormat="0" applyAlignment="0" applyProtection="0"/>
    <xf numFmtId="0" fontId="29" fillId="20" borderId="281" applyNumberFormat="0" applyAlignment="0" applyProtection="0"/>
    <xf numFmtId="0" fontId="30" fillId="20" borderId="280" applyNumberFormat="0" applyAlignment="0" applyProtection="0"/>
    <xf numFmtId="0" fontId="34" fillId="0" borderId="282" applyNumberFormat="0" applyFill="0" applyAlignment="0" applyProtection="0"/>
    <xf numFmtId="0" fontId="7" fillId="23" borderId="22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0" fillId="20" borderId="283" applyNumberFormat="0" applyAlignment="0" applyProtection="0"/>
    <xf numFmtId="0" fontId="28" fillId="7" borderId="283" applyNumberFormat="0" applyAlignment="0" applyProtection="0"/>
    <xf numFmtId="0" fontId="26" fillId="23" borderId="284" applyNumberFormat="0" applyFont="0" applyAlignment="0" applyProtection="0"/>
    <xf numFmtId="0" fontId="29" fillId="20" borderId="281" applyNumberFormat="0" applyAlignment="0" applyProtection="0"/>
    <xf numFmtId="0" fontId="34" fillId="0" borderId="282" applyNumberFormat="0" applyFill="0" applyAlignment="0" applyProtection="0"/>
    <xf numFmtId="0" fontId="28" fillId="7" borderId="283" applyNumberFormat="0" applyAlignment="0" applyProtection="0"/>
    <xf numFmtId="0" fontId="29" fillId="20" borderId="281" applyNumberFormat="0" applyAlignment="0" applyProtection="0"/>
    <xf numFmtId="0" fontId="30" fillId="20" borderId="283" applyNumberFormat="0" applyAlignment="0" applyProtection="0"/>
    <xf numFmtId="0" fontId="34" fillId="0" borderId="282" applyNumberFormat="0" applyFill="0" applyAlignment="0" applyProtection="0"/>
    <xf numFmtId="0" fontId="7" fillId="23" borderId="28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0" fillId="20" borderId="285" applyNumberFormat="0" applyAlignment="0" applyProtection="0"/>
    <xf numFmtId="0" fontId="28" fillId="7" borderId="285" applyNumberFormat="0" applyAlignment="0" applyProtection="0"/>
    <xf numFmtId="0" fontId="26" fillId="23" borderId="286" applyNumberFormat="0" applyFont="0" applyAlignment="0" applyProtection="0"/>
    <xf numFmtId="0" fontId="29" fillId="20" borderId="287" applyNumberFormat="0" applyAlignment="0" applyProtection="0"/>
    <xf numFmtId="0" fontId="34" fillId="0" borderId="288" applyNumberFormat="0" applyFill="0" applyAlignment="0" applyProtection="0"/>
    <xf numFmtId="0" fontId="28" fillId="7" borderId="285" applyNumberFormat="0" applyAlignment="0" applyProtection="0"/>
    <xf numFmtId="0" fontId="29" fillId="20" borderId="287" applyNumberFormat="0" applyAlignment="0" applyProtection="0"/>
    <xf numFmtId="0" fontId="30" fillId="20" borderId="285" applyNumberFormat="0" applyAlignment="0" applyProtection="0"/>
    <xf numFmtId="0" fontId="34" fillId="0" borderId="288" applyNumberFormat="0" applyFill="0" applyAlignment="0" applyProtection="0"/>
    <xf numFmtId="0" fontId="7" fillId="23" borderId="286" applyNumberFormat="0" applyFont="0" applyAlignment="0" applyProtection="0"/>
  </cellStyleXfs>
  <cellXfs count="5669">
    <xf numFmtId="0" fontId="0" fillId="0" borderId="0" xfId="0"/>
    <xf numFmtId="0" fontId="8" fillId="0" borderId="0" xfId="0" applyFont="1" applyAlignment="1">
      <alignment horizontal="center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Border="1"/>
    <xf numFmtId="0" fontId="13" fillId="0" borderId="10" xfId="0" applyFont="1" applyBorder="1" applyAlignment="1">
      <alignment horizontal="center"/>
    </xf>
    <xf numFmtId="0" fontId="13" fillId="0" borderId="0" xfId="0" applyFont="1"/>
    <xf numFmtId="169" fontId="14" fillId="0" borderId="10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169" fontId="12" fillId="0" borderId="10" xfId="0" applyNumberFormat="1" applyFont="1" applyBorder="1" applyAlignment="1">
      <alignment horizontal="center"/>
    </xf>
    <xf numFmtId="169" fontId="13" fillId="0" borderId="10" xfId="0" applyNumberFormat="1" applyFont="1" applyBorder="1" applyAlignment="1">
      <alignment horizontal="center"/>
    </xf>
    <xf numFmtId="169" fontId="13" fillId="0" borderId="10" xfId="0" applyNumberFormat="1" applyFont="1" applyFill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0" fontId="12" fillId="0" borderId="10" xfId="0" applyFont="1" applyFill="1" applyBorder="1"/>
    <xf numFmtId="2" fontId="13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3" fillId="0" borderId="10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/>
    </xf>
    <xf numFmtId="169" fontId="13" fillId="0" borderId="11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wrapText="1"/>
    </xf>
    <xf numFmtId="2" fontId="13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2" fillId="0" borderId="0" xfId="0" applyFont="1" applyFill="1" applyBorder="1"/>
    <xf numFmtId="0" fontId="12" fillId="0" borderId="0" xfId="0" applyFont="1" applyBorder="1" applyAlignment="1">
      <alignment horizontal="center"/>
    </xf>
    <xf numFmtId="0" fontId="13" fillId="0" borderId="0" xfId="0" applyFont="1" applyBorder="1"/>
    <xf numFmtId="169" fontId="13" fillId="0" borderId="10" xfId="0" applyNumberFormat="1" applyFont="1" applyBorder="1" applyAlignment="1">
      <alignment horizontal="center" vertical="center" wrapText="1"/>
    </xf>
    <xf numFmtId="169" fontId="14" fillId="0" borderId="10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/>
    <xf numFmtId="0" fontId="13" fillId="0" borderId="12" xfId="0" applyFont="1" applyBorder="1"/>
    <xf numFmtId="0" fontId="13" fillId="0" borderId="14" xfId="0" applyFont="1" applyBorder="1" applyAlignment="1">
      <alignment wrapText="1"/>
    </xf>
    <xf numFmtId="0" fontId="13" fillId="0" borderId="15" xfId="0" applyFont="1" applyBorder="1"/>
    <xf numFmtId="0" fontId="13" fillId="0" borderId="13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169" fontId="13" fillId="0" borderId="12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169" fontId="14" fillId="0" borderId="18" xfId="0" applyNumberFormat="1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169" fontId="14" fillId="0" borderId="20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 vertical="center" wrapText="1"/>
    </xf>
    <xf numFmtId="169" fontId="14" fillId="0" borderId="20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169" fontId="14" fillId="0" borderId="23" xfId="0" applyNumberFormat="1" applyFont="1" applyBorder="1" applyAlignment="1">
      <alignment horizontal="center"/>
    </xf>
    <xf numFmtId="169" fontId="13" fillId="0" borderId="22" xfId="0" applyNumberFormat="1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169" fontId="14" fillId="0" borderId="22" xfId="0" applyNumberFormat="1" applyFont="1" applyBorder="1" applyAlignment="1">
      <alignment horizontal="center"/>
    </xf>
    <xf numFmtId="169" fontId="14" fillId="0" borderId="17" xfId="0" applyNumberFormat="1" applyFont="1" applyBorder="1" applyAlignment="1">
      <alignment horizontal="center"/>
    </xf>
    <xf numFmtId="0" fontId="13" fillId="0" borderId="12" xfId="0" applyFont="1" applyBorder="1" applyAlignment="1">
      <alignment vertical="center" wrapText="1"/>
    </xf>
    <xf numFmtId="0" fontId="13" fillId="0" borderId="19" xfId="0" applyFont="1" applyBorder="1" applyAlignment="1">
      <alignment horizontal="center" vertical="center"/>
    </xf>
    <xf numFmtId="168" fontId="13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2" fontId="16" fillId="0" borderId="0" xfId="0" applyNumberFormat="1" applyFont="1" applyAlignment="1">
      <alignment horizontal="center"/>
    </xf>
    <xf numFmtId="2" fontId="13" fillId="0" borderId="10" xfId="0" applyNumberFormat="1" applyFont="1" applyBorder="1"/>
    <xf numFmtId="168" fontId="12" fillId="0" borderId="10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2" fontId="12" fillId="0" borderId="25" xfId="0" applyNumberFormat="1" applyFont="1" applyBorder="1" applyAlignment="1">
      <alignment horizontal="center" vertical="top" wrapText="1"/>
    </xf>
    <xf numFmtId="168" fontId="13" fillId="0" borderId="19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8" fontId="13" fillId="0" borderId="10" xfId="0" applyNumberFormat="1" applyFont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top" wrapText="1"/>
    </xf>
    <xf numFmtId="169" fontId="13" fillId="0" borderId="25" xfId="0" applyNumberFormat="1" applyFont="1" applyBorder="1"/>
    <xf numFmtId="168" fontId="15" fillId="0" borderId="10" xfId="0" applyNumberFormat="1" applyFont="1" applyBorder="1" applyAlignment="1">
      <alignment horizontal="center" vertical="top" wrapText="1"/>
    </xf>
    <xf numFmtId="1" fontId="15" fillId="0" borderId="10" xfId="0" applyNumberFormat="1" applyFont="1" applyBorder="1" applyAlignment="1">
      <alignment horizontal="center" vertical="top" wrapText="1"/>
    </xf>
    <xf numFmtId="2" fontId="15" fillId="0" borderId="25" xfId="0" applyNumberFormat="1" applyFont="1" applyBorder="1" applyAlignment="1">
      <alignment horizontal="center" vertical="top" wrapText="1"/>
    </xf>
    <xf numFmtId="168" fontId="22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0" fontId="13" fillId="0" borderId="25" xfId="0" applyFont="1" applyBorder="1"/>
    <xf numFmtId="168" fontId="23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wrapText="1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68" fontId="21" fillId="0" borderId="10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1" fontId="24" fillId="0" borderId="10" xfId="0" applyNumberFormat="1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168" fontId="24" fillId="0" borderId="10" xfId="0" applyNumberFormat="1" applyFont="1" applyBorder="1" applyAlignment="1">
      <alignment horizontal="center"/>
    </xf>
    <xf numFmtId="2" fontId="20" fillId="0" borderId="10" xfId="0" applyNumberFormat="1" applyFont="1" applyBorder="1"/>
    <xf numFmtId="2" fontId="13" fillId="0" borderId="10" xfId="0" applyNumberFormat="1" applyFont="1" applyBorder="1" applyAlignment="1">
      <alignment horizontal="right"/>
    </xf>
    <xf numFmtId="2" fontId="13" fillId="0" borderId="10" xfId="0" applyNumberFormat="1" applyFont="1" applyBorder="1" applyAlignment="1">
      <alignment horizontal="center" vertical="center" wrapText="1"/>
    </xf>
    <xf numFmtId="168" fontId="13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68" fontId="12" fillId="0" borderId="10" xfId="0" applyNumberFormat="1" applyFont="1" applyBorder="1" applyAlignment="1">
      <alignment horizontal="center" vertical="center"/>
    </xf>
    <xf numFmtId="168" fontId="23" fillId="0" borderId="10" xfId="0" applyNumberFormat="1" applyFont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vertical="center"/>
    </xf>
    <xf numFmtId="0" fontId="13" fillId="0" borderId="25" xfId="0" applyFont="1" applyBorder="1" applyAlignment="1">
      <alignment vertical="center"/>
    </xf>
    <xf numFmtId="1" fontId="21" fillId="0" borderId="10" xfId="0" applyNumberFormat="1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168" fontId="21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2" fillId="0" borderId="10" xfId="0" applyNumberFormat="1" applyFont="1" applyBorder="1" applyAlignment="1">
      <alignment horizontal="center" vertical="center"/>
    </xf>
    <xf numFmtId="168" fontId="24" fillId="0" borderId="10" xfId="0" applyNumberFormat="1" applyFont="1" applyBorder="1" applyAlignment="1">
      <alignment horizontal="center" vertical="center"/>
    </xf>
    <xf numFmtId="0" fontId="13" fillId="0" borderId="0" xfId="0" applyFont="1" applyFill="1" applyBorder="1"/>
    <xf numFmtId="169" fontId="14" fillId="0" borderId="26" xfId="0" applyNumberFormat="1" applyFont="1" applyBorder="1" applyAlignment="1">
      <alignment horizontal="center"/>
    </xf>
    <xf numFmtId="169" fontId="14" fillId="0" borderId="27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 vertical="center"/>
    </xf>
    <xf numFmtId="169" fontId="13" fillId="0" borderId="10" xfId="0" applyNumberFormat="1" applyFont="1" applyBorder="1" applyAlignment="1">
      <alignment horizontal="center" vertical="top" wrapText="1"/>
    </xf>
    <xf numFmtId="169" fontId="12" fillId="0" borderId="10" xfId="0" applyNumberFormat="1" applyFont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/>
    </xf>
    <xf numFmtId="169" fontId="14" fillId="0" borderId="29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1" fontId="13" fillId="0" borderId="28" xfId="0" applyNumberFormat="1" applyFont="1" applyBorder="1" applyAlignment="1">
      <alignment horizontal="center" vertical="center"/>
    </xf>
    <xf numFmtId="169" fontId="14" fillId="0" borderId="33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/>
    </xf>
    <xf numFmtId="169" fontId="13" fillId="0" borderId="21" xfId="0" applyNumberFormat="1" applyFont="1" applyBorder="1" applyAlignment="1">
      <alignment horizontal="center"/>
    </xf>
    <xf numFmtId="168" fontId="13" fillId="24" borderId="10" xfId="0" applyNumberFormat="1" applyFont="1" applyFill="1" applyBorder="1" applyAlignment="1">
      <alignment horizontal="center" vertical="top" wrapText="1"/>
    </xf>
    <xf numFmtId="1" fontId="13" fillId="24" borderId="10" xfId="0" applyNumberFormat="1" applyFont="1" applyFill="1" applyBorder="1" applyAlignment="1">
      <alignment horizontal="center" vertical="top" wrapText="1"/>
    </xf>
    <xf numFmtId="2" fontId="13" fillId="24" borderId="10" xfId="0" applyNumberFormat="1" applyFont="1" applyFill="1" applyBorder="1" applyAlignment="1">
      <alignment horizontal="center" vertical="top" wrapText="1"/>
    </xf>
    <xf numFmtId="1" fontId="12" fillId="24" borderId="10" xfId="0" applyNumberFormat="1" applyFont="1" applyFill="1" applyBorder="1" applyAlignment="1">
      <alignment horizontal="center" vertical="top" wrapText="1"/>
    </xf>
    <xf numFmtId="2" fontId="12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3" fillId="0" borderId="0" xfId="0" applyNumberFormat="1" applyFont="1" applyAlignment="1">
      <alignment horizontal="center"/>
    </xf>
    <xf numFmtId="1" fontId="13" fillId="0" borderId="10" xfId="0" applyNumberFormat="1" applyFont="1" applyFill="1" applyBorder="1" applyAlignment="1">
      <alignment horizontal="center"/>
    </xf>
    <xf numFmtId="1" fontId="13" fillId="0" borderId="10" xfId="0" applyNumberFormat="1" applyFont="1" applyBorder="1" applyAlignment="1">
      <alignment horizontal="center" wrapText="1"/>
    </xf>
    <xf numFmtId="4" fontId="12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/>
    </xf>
    <xf numFmtId="4" fontId="13" fillId="0" borderId="10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center" wrapText="1"/>
    </xf>
    <xf numFmtId="4" fontId="13" fillId="0" borderId="10" xfId="0" applyNumberFormat="1" applyFont="1" applyBorder="1" applyAlignment="1">
      <alignment horizontal="center" vertical="top" wrapText="1"/>
    </xf>
    <xf numFmtId="4" fontId="13" fillId="0" borderId="0" xfId="0" applyNumberFormat="1" applyFont="1" applyAlignment="1">
      <alignment horizontal="center"/>
    </xf>
    <xf numFmtId="4" fontId="12" fillId="0" borderId="10" xfId="0" applyNumberFormat="1" applyFont="1" applyBorder="1" applyAlignment="1">
      <alignment horizontal="center" vertical="top" wrapText="1"/>
    </xf>
    <xf numFmtId="4" fontId="13" fillId="0" borderId="10" xfId="0" applyNumberFormat="1" applyFont="1" applyBorder="1" applyAlignment="1">
      <alignment horizontal="center" vertical="center"/>
    </xf>
    <xf numFmtId="168" fontId="13" fillId="0" borderId="10" xfId="0" applyNumberFormat="1" applyFont="1" applyBorder="1"/>
    <xf numFmtId="2" fontId="15" fillId="0" borderId="10" xfId="0" applyNumberFormat="1" applyFont="1" applyBorder="1" applyAlignment="1">
      <alignment wrapText="1"/>
    </xf>
    <xf numFmtId="2" fontId="21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3" fillId="0" borderId="11" xfId="0" applyFont="1" applyBorder="1" applyAlignment="1">
      <alignment horizontal="center"/>
    </xf>
    <xf numFmtId="167" fontId="13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3" fillId="0" borderId="34" xfId="0" applyFont="1" applyBorder="1" applyAlignment="1">
      <alignment wrapText="1"/>
    </xf>
    <xf numFmtId="0" fontId="13" fillId="0" borderId="34" xfId="0" applyFont="1" applyBorder="1" applyAlignment="1">
      <alignment horizontal="center"/>
    </xf>
    <xf numFmtId="169" fontId="14" fillId="0" borderId="35" xfId="0" applyNumberFormat="1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169" fontId="14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3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3" fillId="0" borderId="10" xfId="0" applyNumberFormat="1" applyFont="1" applyBorder="1" applyAlignment="1">
      <alignment horizontal="center"/>
    </xf>
    <xf numFmtId="2" fontId="44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3" fillId="0" borderId="10" xfId="0" applyNumberFormat="1" applyFont="1" applyBorder="1" applyAlignment="1">
      <alignment horizontal="center"/>
    </xf>
    <xf numFmtId="4" fontId="44" fillId="0" borderId="10" xfId="0" applyNumberFormat="1" applyFont="1" applyFill="1" applyBorder="1" applyAlignment="1">
      <alignment horizontal="center"/>
    </xf>
    <xf numFmtId="2" fontId="23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7" fillId="0" borderId="0" xfId="79"/>
    <xf numFmtId="0" fontId="50" fillId="0" borderId="0" xfId="79" applyFont="1"/>
    <xf numFmtId="0" fontId="7" fillId="0" borderId="0" xfId="79" applyFont="1" applyFill="1"/>
    <xf numFmtId="0" fontId="7" fillId="0" borderId="0" xfId="79" applyFont="1"/>
    <xf numFmtId="0" fontId="8" fillId="0" borderId="0" xfId="79" applyFont="1"/>
    <xf numFmtId="0" fontId="50" fillId="0" borderId="0" xfId="0" applyFont="1"/>
    <xf numFmtId="2" fontId="12" fillId="0" borderId="10" xfId="0" applyNumberFormat="1" applyFont="1" applyFill="1" applyBorder="1" applyAlignment="1">
      <alignment wrapText="1"/>
    </xf>
    <xf numFmtId="10" fontId="47" fillId="0" borderId="10" xfId="85" applyNumberFormat="1" applyFont="1" applyBorder="1"/>
    <xf numFmtId="0" fontId="54" fillId="0" borderId="0" xfId="81" applyFont="1" applyAlignment="1">
      <alignment horizontal="center"/>
    </xf>
    <xf numFmtId="0" fontId="26" fillId="0" borderId="0" xfId="81"/>
    <xf numFmtId="0" fontId="55" fillId="0" borderId="0" xfId="81" applyFont="1" applyAlignment="1">
      <alignment horizontal="left"/>
    </xf>
    <xf numFmtId="0" fontId="55" fillId="0" borderId="0" xfId="81" applyFont="1" applyAlignment="1">
      <alignment horizontal="center"/>
    </xf>
    <xf numFmtId="0" fontId="55" fillId="0" borderId="39" xfId="81" applyFont="1" applyBorder="1" applyAlignment="1">
      <alignment horizontal="center" vertical="center" wrapText="1"/>
    </xf>
    <xf numFmtId="0" fontId="55" fillId="0" borderId="22" xfId="81" applyFont="1" applyBorder="1" applyAlignment="1">
      <alignment horizontal="center" vertical="center"/>
    </xf>
    <xf numFmtId="0" fontId="55" fillId="0" borderId="22" xfId="81" applyFont="1" applyBorder="1" applyAlignment="1">
      <alignment horizontal="center" vertical="center" wrapText="1"/>
    </xf>
    <xf numFmtId="0" fontId="55" fillId="0" borderId="29" xfId="81" applyFont="1" applyBorder="1" applyAlignment="1">
      <alignment horizontal="center" vertical="center" wrapText="1"/>
    </xf>
    <xf numFmtId="0" fontId="55" fillId="0" borderId="21" xfId="81" applyFont="1" applyBorder="1" applyAlignment="1">
      <alignment horizontal="center" vertical="center" wrapText="1"/>
    </xf>
    <xf numFmtId="0" fontId="55" fillId="0" borderId="23" xfId="81" applyFont="1" applyBorder="1" applyAlignment="1">
      <alignment horizontal="center" vertical="center" wrapText="1"/>
    </xf>
    <xf numFmtId="0" fontId="55" fillId="0" borderId="40" xfId="81" applyFont="1" applyBorder="1"/>
    <xf numFmtId="0" fontId="55" fillId="0" borderId="34" xfId="81" applyFont="1" applyBorder="1" applyAlignment="1">
      <alignment horizontal="center"/>
    </xf>
    <xf numFmtId="0" fontId="55" fillId="0" borderId="31" xfId="81" applyFont="1" applyBorder="1" applyAlignment="1">
      <alignment horizontal="center"/>
    </xf>
    <xf numFmtId="4" fontId="55" fillId="0" borderId="11" xfId="81" applyNumberFormat="1" applyFont="1" applyBorder="1" applyAlignment="1">
      <alignment horizontal="center"/>
    </xf>
    <xf numFmtId="2" fontId="55" fillId="0" borderId="11" xfId="81" applyNumberFormat="1" applyFont="1" applyBorder="1" applyAlignment="1">
      <alignment horizontal="center"/>
    </xf>
    <xf numFmtId="165" fontId="55" fillId="0" borderId="35" xfId="89" applyFont="1" applyBorder="1" applyAlignment="1">
      <alignment horizontal="center"/>
    </xf>
    <xf numFmtId="0" fontId="55" fillId="0" borderId="37" xfId="81" applyFont="1" applyBorder="1" applyAlignment="1">
      <alignment horizontal="center"/>
    </xf>
    <xf numFmtId="165" fontId="55" fillId="0" borderId="11" xfId="89" applyFont="1" applyBorder="1" applyAlignment="1">
      <alignment horizontal="center"/>
    </xf>
    <xf numFmtId="169" fontId="55" fillId="0" borderId="38" xfId="81" applyNumberFormat="1" applyFont="1" applyBorder="1" applyAlignment="1">
      <alignment horizontal="center"/>
    </xf>
    <xf numFmtId="171" fontId="55" fillId="0" borderId="38" xfId="85" applyNumberFormat="1" applyFont="1" applyBorder="1" applyAlignment="1">
      <alignment horizontal="center"/>
    </xf>
    <xf numFmtId="0" fontId="55" fillId="0" borderId="41" xfId="81" applyFont="1" applyBorder="1"/>
    <xf numFmtId="0" fontId="55" fillId="0" borderId="12" xfId="81" applyFont="1" applyBorder="1" applyAlignment="1">
      <alignment horizontal="center"/>
    </xf>
    <xf numFmtId="0" fontId="55" fillId="0" borderId="28" xfId="81" applyFont="1" applyBorder="1" applyAlignment="1">
      <alignment horizontal="center"/>
    </xf>
    <xf numFmtId="2" fontId="55" fillId="0" borderId="10" xfId="81" applyNumberFormat="1" applyFont="1" applyBorder="1" applyAlignment="1">
      <alignment horizontal="center"/>
    </xf>
    <xf numFmtId="0" fontId="55" fillId="0" borderId="19" xfId="81" applyFont="1" applyBorder="1" applyAlignment="1">
      <alignment horizontal="center"/>
    </xf>
    <xf numFmtId="4" fontId="55" fillId="0" borderId="10" xfId="81" applyNumberFormat="1" applyFont="1" applyBorder="1" applyAlignment="1">
      <alignment horizontal="center"/>
    </xf>
    <xf numFmtId="2" fontId="55" fillId="0" borderId="28" xfId="81" applyNumberFormat="1" applyFont="1" applyBorder="1" applyAlignment="1">
      <alignment horizontal="center"/>
    </xf>
    <xf numFmtId="0" fontId="55" fillId="0" borderId="10" xfId="81" applyFont="1" applyBorder="1" applyAlignment="1">
      <alignment horizontal="center"/>
    </xf>
    <xf numFmtId="2" fontId="55" fillId="0" borderId="19" xfId="81" applyNumberFormat="1" applyFont="1" applyBorder="1" applyAlignment="1">
      <alignment horizontal="center"/>
    </xf>
    <xf numFmtId="0" fontId="55" fillId="0" borderId="42" xfId="81" applyFont="1" applyBorder="1"/>
    <xf numFmtId="0" fontId="55" fillId="0" borderId="15" xfId="81" applyFont="1" applyBorder="1" applyAlignment="1">
      <alignment horizontal="center"/>
    </xf>
    <xf numFmtId="0" fontId="55" fillId="0" borderId="39" xfId="81" applyFont="1" applyBorder="1" applyAlignment="1">
      <alignment horizontal="center"/>
    </xf>
    <xf numFmtId="4" fontId="55" fillId="0" borderId="43" xfId="81" applyNumberFormat="1" applyFont="1" applyBorder="1" applyAlignment="1">
      <alignment horizontal="center"/>
    </xf>
    <xf numFmtId="2" fontId="55" fillId="0" borderId="22" xfId="81" applyNumberFormat="1" applyFont="1" applyBorder="1" applyAlignment="1">
      <alignment horizontal="center"/>
    </xf>
    <xf numFmtId="165" fontId="55" fillId="0" borderId="29" xfId="89" applyFont="1" applyBorder="1" applyAlignment="1">
      <alignment horizontal="center"/>
    </xf>
    <xf numFmtId="2" fontId="55" fillId="0" borderId="21" xfId="81" applyNumberFormat="1" applyFont="1" applyBorder="1" applyAlignment="1">
      <alignment horizontal="center"/>
    </xf>
    <xf numFmtId="165" fontId="55" fillId="0" borderId="22" xfId="89" applyFont="1" applyBorder="1" applyAlignment="1">
      <alignment horizontal="center"/>
    </xf>
    <xf numFmtId="169" fontId="55" fillId="0" borderId="23" xfId="81" applyNumberFormat="1" applyFont="1" applyBorder="1" applyAlignment="1">
      <alignment horizontal="center"/>
    </xf>
    <xf numFmtId="0" fontId="55" fillId="0" borderId="22" xfId="81" applyFont="1" applyBorder="1" applyAlignment="1">
      <alignment horizontal="center"/>
    </xf>
    <xf numFmtId="171" fontId="55" fillId="0" borderId="44" xfId="85" applyNumberFormat="1" applyFont="1" applyBorder="1" applyAlignment="1">
      <alignment horizontal="center"/>
    </xf>
    <xf numFmtId="0" fontId="8" fillId="0" borderId="10" xfId="0" applyFont="1" applyBorder="1" applyAlignment="1">
      <alignment wrapText="1"/>
    </xf>
    <xf numFmtId="0" fontId="8" fillId="0" borderId="10" xfId="0" applyFont="1" applyBorder="1"/>
    <xf numFmtId="4" fontId="0" fillId="0" borderId="10" xfId="85" applyNumberFormat="1" applyFont="1" applyBorder="1"/>
    <xf numFmtId="4" fontId="63" fillId="0" borderId="10" xfId="0" applyNumberFormat="1" applyFont="1" applyBorder="1"/>
    <xf numFmtId="0" fontId="63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3" fillId="0" borderId="46" xfId="0" applyFont="1" applyFill="1" applyBorder="1"/>
    <xf numFmtId="3" fontId="18" fillId="0" borderId="10" xfId="0" applyNumberFormat="1" applyFont="1" applyBorder="1" applyAlignment="1">
      <alignment horizontal="right" vertical="center" indent="1"/>
    </xf>
    <xf numFmtId="1" fontId="18" fillId="0" borderId="19" xfId="0" applyNumberFormat="1" applyFont="1" applyBorder="1" applyAlignment="1">
      <alignment horizontal="right" vertical="center" indent="1"/>
    </xf>
    <xf numFmtId="170" fontId="18" fillId="0" borderId="10" xfId="0" applyNumberFormat="1" applyFont="1" applyBorder="1" applyAlignment="1">
      <alignment horizontal="right" vertical="center"/>
    </xf>
    <xf numFmtId="10" fontId="64" fillId="0" borderId="10" xfId="85" applyNumberFormat="1" applyFont="1" applyBorder="1"/>
    <xf numFmtId="3" fontId="58" fillId="0" borderId="10" xfId="0" applyNumberFormat="1" applyFont="1" applyBorder="1" applyAlignment="1">
      <alignment horizontal="right" vertical="center" indent="1"/>
    </xf>
    <xf numFmtId="1" fontId="58" fillId="0" borderId="19" xfId="0" applyNumberFormat="1" applyFont="1" applyBorder="1" applyAlignment="1">
      <alignment horizontal="right" vertical="center" indent="1"/>
    </xf>
    <xf numFmtId="170" fontId="58" fillId="0" borderId="10" xfId="0" applyNumberFormat="1" applyFont="1" applyBorder="1" applyAlignment="1">
      <alignment horizontal="right" vertical="center"/>
    </xf>
    <xf numFmtId="169" fontId="58" fillId="0" borderId="19" xfId="0" applyNumberFormat="1" applyFont="1" applyBorder="1" applyAlignment="1">
      <alignment horizontal="right" vertical="center" indent="1"/>
    </xf>
    <xf numFmtId="3" fontId="65" fillId="0" borderId="10" xfId="0" applyNumberFormat="1" applyFont="1" applyBorder="1" applyAlignment="1">
      <alignment horizontal="right" vertical="center" indent="1"/>
    </xf>
    <xf numFmtId="1" fontId="65" fillId="0" borderId="19" xfId="0" applyNumberFormat="1" applyFont="1" applyBorder="1" applyAlignment="1">
      <alignment horizontal="right" vertical="center" indent="1"/>
    </xf>
    <xf numFmtId="170" fontId="65" fillId="0" borderId="10" xfId="0" applyNumberFormat="1" applyFont="1" applyBorder="1" applyAlignment="1">
      <alignment horizontal="right" vertical="center"/>
    </xf>
    <xf numFmtId="2" fontId="12" fillId="0" borderId="25" xfId="0" applyNumberFormat="1" applyFont="1" applyBorder="1" applyAlignment="1">
      <alignment horizontal="center" vertical="center"/>
    </xf>
    <xf numFmtId="2" fontId="13" fillId="0" borderId="19" xfId="0" applyNumberFormat="1" applyFont="1" applyBorder="1" applyAlignment="1">
      <alignment horizontal="center" wrapText="1"/>
    </xf>
    <xf numFmtId="2" fontId="12" fillId="0" borderId="20" xfId="0" applyNumberFormat="1" applyFont="1" applyBorder="1" applyAlignment="1">
      <alignment horizontal="center" vertical="center"/>
    </xf>
    <xf numFmtId="4" fontId="13" fillId="0" borderId="20" xfId="0" applyNumberFormat="1" applyFont="1" applyBorder="1" applyAlignment="1">
      <alignment horizontal="center" wrapText="1"/>
    </xf>
    <xf numFmtId="4" fontId="13" fillId="0" borderId="20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/>
    </xf>
    <xf numFmtId="4" fontId="13" fillId="0" borderId="20" xfId="0" applyNumberFormat="1" applyFont="1" applyBorder="1" applyAlignment="1">
      <alignment horizontal="center"/>
    </xf>
    <xf numFmtId="4" fontId="13" fillId="0" borderId="23" xfId="0" applyNumberFormat="1" applyFont="1" applyBorder="1" applyAlignment="1">
      <alignment horizontal="center"/>
    </xf>
    <xf numFmtId="0" fontId="13" fillId="0" borderId="19" xfId="0" applyFont="1" applyBorder="1"/>
    <xf numFmtId="0" fontId="12" fillId="0" borderId="19" xfId="0" applyFont="1" applyBorder="1"/>
    <xf numFmtId="0" fontId="12" fillId="0" borderId="19" xfId="0" applyFont="1" applyBorder="1" applyAlignment="1">
      <alignment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right" vertical="center" indent="1"/>
    </xf>
    <xf numFmtId="170" fontId="58" fillId="0" borderId="22" xfId="0" applyNumberFormat="1" applyFont="1" applyBorder="1" applyAlignment="1">
      <alignment horizontal="right" vertical="center"/>
    </xf>
    <xf numFmtId="10" fontId="64" fillId="0" borderId="22" xfId="85" applyNumberFormat="1" applyFont="1" applyBorder="1"/>
    <xf numFmtId="1" fontId="58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3" fillId="0" borderId="2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13" fillId="0" borderId="19" xfId="0" applyNumberFormat="1" applyFont="1" applyBorder="1" applyAlignment="1">
      <alignment horizontal="center"/>
    </xf>
    <xf numFmtId="2" fontId="13" fillId="0" borderId="35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 wrapText="1"/>
    </xf>
    <xf numFmtId="0" fontId="7" fillId="0" borderId="0" xfId="79" applyFill="1"/>
    <xf numFmtId="0" fontId="7" fillId="0" borderId="0" xfId="79" applyFill="1" applyAlignment="1">
      <alignment horizontal="center"/>
    </xf>
    <xf numFmtId="170" fontId="7" fillId="0" borderId="0" xfId="79" applyNumberFormat="1" applyFill="1"/>
    <xf numFmtId="167" fontId="13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3" fillId="0" borderId="11" xfId="0" applyNumberFormat="1" applyFont="1" applyBorder="1" applyAlignment="1">
      <alignment horizontal="center"/>
    </xf>
    <xf numFmtId="169" fontId="14" fillId="0" borderId="11" xfId="0" applyNumberFormat="1" applyFont="1" applyBorder="1" applyAlignment="1">
      <alignment horizontal="center"/>
    </xf>
    <xf numFmtId="4" fontId="13" fillId="0" borderId="11" xfId="0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0" fillId="0" borderId="0" xfId="0" applyBorder="1"/>
    <xf numFmtId="0" fontId="13" fillId="0" borderId="17" xfId="0" applyFont="1" applyBorder="1"/>
    <xf numFmtId="2" fontId="13" fillId="0" borderId="20" xfId="0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/>
    </xf>
    <xf numFmtId="0" fontId="12" fillId="0" borderId="19" xfId="0" applyFont="1" applyBorder="1" applyAlignment="1">
      <alignment wrapText="1"/>
    </xf>
    <xf numFmtId="2" fontId="43" fillId="0" borderId="20" xfId="0" applyNumberFormat="1" applyFont="1" applyBorder="1" applyAlignment="1">
      <alignment horizontal="center"/>
    </xf>
    <xf numFmtId="2" fontId="44" fillId="0" borderId="20" xfId="0" applyNumberFormat="1" applyFont="1" applyFill="1" applyBorder="1" applyAlignment="1">
      <alignment horizontal="center"/>
    </xf>
    <xf numFmtId="0" fontId="13" fillId="0" borderId="19" xfId="0" applyFont="1" applyFill="1" applyBorder="1"/>
    <xf numFmtId="0" fontId="13" fillId="0" borderId="49" xfId="0" applyFont="1" applyFill="1" applyBorder="1"/>
    <xf numFmtId="169" fontId="12" fillId="0" borderId="20" xfId="0" applyNumberFormat="1" applyFont="1" applyBorder="1" applyAlignment="1">
      <alignment horizontal="center"/>
    </xf>
    <xf numFmtId="0" fontId="12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3" fillId="0" borderId="37" xfId="0" applyFont="1" applyBorder="1"/>
    <xf numFmtId="1" fontId="13" fillId="0" borderId="11" xfId="0" applyNumberFormat="1" applyFont="1" applyBorder="1" applyAlignment="1">
      <alignment horizontal="center"/>
    </xf>
    <xf numFmtId="167" fontId="13" fillId="0" borderId="11" xfId="0" applyNumberFormat="1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168" fontId="0" fillId="0" borderId="11" xfId="0" applyNumberFormat="1" applyBorder="1"/>
    <xf numFmtId="2" fontId="13" fillId="0" borderId="38" xfId="0" applyNumberFormat="1" applyFont="1" applyBorder="1" applyAlignment="1">
      <alignment horizontal="center"/>
    </xf>
    <xf numFmtId="0" fontId="13" fillId="0" borderId="27" xfId="0" applyFont="1" applyBorder="1"/>
    <xf numFmtId="2" fontId="13" fillId="0" borderId="25" xfId="0" applyNumberFormat="1" applyFont="1" applyBorder="1" applyAlignment="1">
      <alignment horizontal="center"/>
    </xf>
    <xf numFmtId="2" fontId="12" fillId="0" borderId="25" xfId="0" applyNumberFormat="1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9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/>
    </xf>
    <xf numFmtId="2" fontId="13" fillId="0" borderId="28" xfId="0" applyNumberFormat="1" applyFont="1" applyBorder="1" applyAlignment="1">
      <alignment horizontal="center" wrapText="1"/>
    </xf>
    <xf numFmtId="2" fontId="13" fillId="0" borderId="28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/>
    </xf>
    <xf numFmtId="169" fontId="12" fillId="0" borderId="28" xfId="0" applyNumberFormat="1" applyFont="1" applyBorder="1" applyAlignment="1">
      <alignment horizontal="center" vertical="center"/>
    </xf>
    <xf numFmtId="2" fontId="13" fillId="0" borderId="28" xfId="0" applyNumberFormat="1" applyFont="1" applyFill="1" applyBorder="1" applyAlignment="1">
      <alignment horizontal="center"/>
    </xf>
    <xf numFmtId="0" fontId="12" fillId="0" borderId="39" xfId="0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/>
    </xf>
    <xf numFmtId="2" fontId="13" fillId="0" borderId="20" xfId="0" applyNumberFormat="1" applyFont="1" applyBorder="1" applyAlignment="1">
      <alignment horizontal="center" wrapText="1"/>
    </xf>
    <xf numFmtId="2" fontId="12" fillId="0" borderId="19" xfId="0" applyNumberFormat="1" applyFont="1" applyBorder="1" applyAlignment="1">
      <alignment horizontal="center"/>
    </xf>
    <xf numFmtId="2" fontId="12" fillId="0" borderId="19" xfId="0" applyNumberFormat="1" applyFont="1" applyBorder="1" applyAlignment="1">
      <alignment horizontal="center" vertical="center"/>
    </xf>
    <xf numFmtId="2" fontId="13" fillId="0" borderId="20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 vertical="center"/>
    </xf>
    <xf numFmtId="2" fontId="13" fillId="0" borderId="25" xfId="0" applyNumberFormat="1" applyFont="1" applyFill="1" applyBorder="1" applyAlignment="1">
      <alignment horizontal="center"/>
    </xf>
    <xf numFmtId="2" fontId="13" fillId="0" borderId="19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6" fillId="0" borderId="0" xfId="0" applyFont="1"/>
    <xf numFmtId="4" fontId="56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5" fillId="0" borderId="31" xfId="81" applyNumberFormat="1" applyFont="1" applyBorder="1" applyAlignment="1">
      <alignment horizontal="center"/>
    </xf>
    <xf numFmtId="10" fontId="70" fillId="0" borderId="10" xfId="85" applyNumberFormat="1" applyFont="1" applyBorder="1"/>
    <xf numFmtId="10" fontId="71" fillId="0" borderId="10" xfId="85" applyNumberFormat="1" applyFont="1" applyBorder="1"/>
    <xf numFmtId="10" fontId="72" fillId="0" borderId="10" xfId="85" applyNumberFormat="1" applyFont="1" applyBorder="1"/>
    <xf numFmtId="176" fontId="70" fillId="0" borderId="10" xfId="85" applyNumberFormat="1" applyFont="1" applyBorder="1"/>
    <xf numFmtId="0" fontId="7" fillId="0" borderId="0" xfId="0" applyFont="1"/>
    <xf numFmtId="0" fontId="19" fillId="0" borderId="0" xfId="0" applyFont="1" applyAlignment="1">
      <alignment horizontal="center"/>
    </xf>
    <xf numFmtId="0" fontId="75" fillId="0" borderId="0" xfId="0" applyFont="1"/>
    <xf numFmtId="0" fontId="21" fillId="0" borderId="50" xfId="0" applyFont="1" applyBorder="1" applyAlignment="1">
      <alignment horizontal="center" wrapText="1"/>
    </xf>
    <xf numFmtId="0" fontId="21" fillId="0" borderId="51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4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5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57" xfId="0" applyFont="1" applyBorder="1" applyAlignment="1">
      <alignment horizontal="center" wrapText="1"/>
    </xf>
    <xf numFmtId="0" fontId="21" fillId="0" borderId="58" xfId="0" applyFont="1" applyBorder="1" applyAlignment="1">
      <alignment horizontal="center" wrapText="1"/>
    </xf>
    <xf numFmtId="0" fontId="76" fillId="0" borderId="0" xfId="0" applyFont="1"/>
    <xf numFmtId="0" fontId="21" fillId="0" borderId="58" xfId="0" applyFont="1" applyBorder="1" applyAlignment="1">
      <alignment horizontal="center" vertical="top" wrapText="1"/>
    </xf>
    <xf numFmtId="0" fontId="21" fillId="0" borderId="59" xfId="0" applyFont="1" applyBorder="1" applyAlignment="1">
      <alignment horizontal="center" vertical="top" wrapText="1"/>
    </xf>
    <xf numFmtId="0" fontId="21" fillId="0" borderId="48" xfId="0" applyFont="1" applyBorder="1" applyAlignment="1">
      <alignment vertical="top" wrapText="1"/>
    </xf>
    <xf numFmtId="0" fontId="21" fillId="0" borderId="48" xfId="0" applyFont="1" applyBorder="1" applyAlignment="1">
      <alignment horizontal="center" vertical="top" wrapText="1"/>
    </xf>
    <xf numFmtId="0" fontId="21" fillId="0" borderId="48" xfId="0" applyFont="1" applyBorder="1" applyAlignment="1">
      <alignment horizontal="right" vertical="top" wrapText="1"/>
    </xf>
    <xf numFmtId="0" fontId="21" fillId="0" borderId="33" xfId="0" applyFont="1" applyBorder="1" applyAlignment="1">
      <alignment vertical="top" wrapText="1"/>
    </xf>
    <xf numFmtId="0" fontId="21" fillId="0" borderId="33" xfId="0" applyFont="1" applyBorder="1" applyAlignment="1">
      <alignment horizontal="right" vertical="top" wrapText="1"/>
    </xf>
    <xf numFmtId="0" fontId="21" fillId="0" borderId="60" xfId="0" applyFont="1" applyBorder="1" applyAlignment="1">
      <alignment vertical="top" wrapText="1"/>
    </xf>
    <xf numFmtId="0" fontId="21" fillId="0" borderId="60" xfId="0" applyFont="1" applyBorder="1" applyAlignment="1">
      <alignment horizontal="center" vertical="top" wrapText="1"/>
    </xf>
    <xf numFmtId="0" fontId="21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79" fillId="0" borderId="0" xfId="0" applyFont="1"/>
    <xf numFmtId="0" fontId="79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2" fillId="0" borderId="11" xfId="0" applyFont="1" applyFill="1" applyBorder="1"/>
    <xf numFmtId="0" fontId="0" fillId="0" borderId="0" xfId="0" applyAlignment="1">
      <alignment vertical="center"/>
    </xf>
    <xf numFmtId="0" fontId="56" fillId="0" borderId="0" xfId="0" applyFont="1" applyAlignment="1">
      <alignment vertical="center"/>
    </xf>
    <xf numFmtId="0" fontId="12" fillId="0" borderId="0" xfId="0" applyFont="1" applyFill="1" applyBorder="1" applyAlignment="1">
      <alignment wrapText="1"/>
    </xf>
    <xf numFmtId="0" fontId="60" fillId="0" borderId="22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2" fontId="17" fillId="0" borderId="20" xfId="0" applyNumberFormat="1" applyFont="1" applyBorder="1" applyAlignment="1">
      <alignment horizontal="center" vertical="center"/>
    </xf>
    <xf numFmtId="4" fontId="17" fillId="0" borderId="10" xfId="0" applyNumberFormat="1" applyFont="1" applyFill="1" applyBorder="1"/>
    <xf numFmtId="0" fontId="60" fillId="0" borderId="10" xfId="0" applyFont="1" applyFill="1" applyBorder="1"/>
    <xf numFmtId="4" fontId="60" fillId="0" borderId="10" xfId="0" applyNumberFormat="1" applyFont="1" applyFill="1" applyBorder="1"/>
    <xf numFmtId="2" fontId="60" fillId="0" borderId="10" xfId="0" applyNumberFormat="1" applyFont="1" applyFill="1" applyBorder="1"/>
    <xf numFmtId="2" fontId="61" fillId="0" borderId="10" xfId="0" applyNumberFormat="1" applyFont="1" applyFill="1" applyBorder="1"/>
    <xf numFmtId="0" fontId="60" fillId="0" borderId="23" xfId="0" applyFont="1" applyBorder="1"/>
    <xf numFmtId="0" fontId="60" fillId="0" borderId="45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60" fillId="0" borderId="38" xfId="0" applyFont="1" applyBorder="1"/>
    <xf numFmtId="2" fontId="60" fillId="0" borderId="45" xfId="0" applyNumberFormat="1" applyFont="1" applyFill="1" applyBorder="1"/>
    <xf numFmtId="4" fontId="60" fillId="0" borderId="20" xfId="0" applyNumberFormat="1" applyFont="1" applyFill="1" applyBorder="1" applyAlignment="1">
      <alignment horizontal="center" vertical="center"/>
    </xf>
    <xf numFmtId="4" fontId="17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60" fillId="0" borderId="64" xfId="0" applyFont="1" applyFill="1" applyBorder="1" applyAlignment="1">
      <alignment horizontal="center" vertical="center" wrapText="1"/>
    </xf>
    <xf numFmtId="0" fontId="60" fillId="0" borderId="63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vertical="center"/>
    </xf>
    <xf numFmtId="0" fontId="60" fillId="0" borderId="0" xfId="0" applyFont="1"/>
    <xf numFmtId="0" fontId="16" fillId="0" borderId="0" xfId="0" applyFont="1" applyAlignment="1">
      <alignment horizontal="center"/>
    </xf>
    <xf numFmtId="0" fontId="13" fillId="25" borderId="0" xfId="0" applyFont="1" applyFill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/>
    <xf numFmtId="10" fontId="13" fillId="0" borderId="0" xfId="85" applyNumberFormat="1" applyFont="1" applyFill="1"/>
    <xf numFmtId="0" fontId="60" fillId="0" borderId="10" xfId="0" applyFont="1" applyFill="1" applyBorder="1" applyAlignment="1">
      <alignment vertical="center"/>
    </xf>
    <xf numFmtId="0" fontId="80" fillId="0" borderId="10" xfId="0" applyFont="1" applyFill="1" applyBorder="1" applyAlignment="1">
      <alignment vertical="center"/>
    </xf>
    <xf numFmtId="168" fontId="48" fillId="0" borderId="0" xfId="0" applyNumberFormat="1" applyFont="1" applyBorder="1" applyAlignment="1">
      <alignment horizontal="center" vertical="center"/>
    </xf>
    <xf numFmtId="0" fontId="81" fillId="27" borderId="10" xfId="0" applyFont="1" applyFill="1" applyBorder="1" applyAlignment="1">
      <alignment horizontal="center" vertical="center"/>
    </xf>
    <xf numFmtId="4" fontId="81" fillId="27" borderId="10" xfId="0" applyNumberFormat="1" applyFont="1" applyFill="1" applyBorder="1" applyAlignment="1">
      <alignment horizontal="center" vertical="center"/>
    </xf>
    <xf numFmtId="0" fontId="81" fillId="28" borderId="10" xfId="0" applyFont="1" applyFill="1" applyBorder="1" applyAlignment="1">
      <alignment horizontal="center" vertical="center"/>
    </xf>
    <xf numFmtId="4" fontId="81" fillId="28" borderId="10" xfId="0" applyNumberFormat="1" applyFont="1" applyFill="1" applyBorder="1" applyAlignment="1">
      <alignment horizontal="center" vertical="center"/>
    </xf>
    <xf numFmtId="0" fontId="81" fillId="27" borderId="19" xfId="0" applyFont="1" applyFill="1" applyBorder="1" applyAlignment="1">
      <alignment horizontal="center" vertical="center"/>
    </xf>
    <xf numFmtId="0" fontId="63" fillId="0" borderId="47" xfId="0" applyFont="1" applyBorder="1" applyAlignment="1">
      <alignment vertical="center"/>
    </xf>
    <xf numFmtId="0" fontId="63" fillId="0" borderId="0" xfId="0" applyFont="1" applyBorder="1" applyAlignment="1">
      <alignment vertical="center"/>
    </xf>
    <xf numFmtId="0" fontId="63" fillId="0" borderId="55" xfId="0" applyFont="1" applyBorder="1" applyAlignment="1">
      <alignment vertical="center"/>
    </xf>
    <xf numFmtId="0" fontId="63" fillId="0" borderId="0" xfId="0" applyFont="1" applyAlignment="1">
      <alignment vertical="center"/>
    </xf>
    <xf numFmtId="2" fontId="81" fillId="27" borderId="11" xfId="0" applyNumberFormat="1" applyFont="1" applyFill="1" applyBorder="1" applyAlignment="1">
      <alignment horizontal="center" vertical="center"/>
    </xf>
    <xf numFmtId="174" fontId="81" fillId="27" borderId="11" xfId="0" applyNumberFormat="1" applyFont="1" applyFill="1" applyBorder="1" applyAlignment="1">
      <alignment horizontal="center" vertical="center"/>
    </xf>
    <xf numFmtId="4" fontId="81" fillId="27" borderId="11" xfId="0" applyNumberFormat="1" applyFont="1" applyFill="1" applyBorder="1" applyAlignment="1">
      <alignment horizontal="center" vertical="center"/>
    </xf>
    <xf numFmtId="4" fontId="82" fillId="27" borderId="11" xfId="0" applyNumberFormat="1" applyFont="1" applyFill="1" applyBorder="1" applyAlignment="1">
      <alignment horizontal="center" vertical="center"/>
    </xf>
    <xf numFmtId="4" fontId="81" fillId="27" borderId="38" xfId="0" applyNumberFormat="1" applyFont="1" applyFill="1" applyBorder="1" applyAlignment="1">
      <alignment horizontal="center" vertical="center"/>
    </xf>
    <xf numFmtId="2" fontId="81" fillId="28" borderId="11" xfId="0" applyNumberFormat="1" applyFont="1" applyFill="1" applyBorder="1" applyAlignment="1">
      <alignment horizontal="center" vertical="center"/>
    </xf>
    <xf numFmtId="168" fontId="81" fillId="28" borderId="11" xfId="0" applyNumberFormat="1" applyFont="1" applyFill="1" applyBorder="1" applyAlignment="1">
      <alignment horizontal="center" vertical="center"/>
    </xf>
    <xf numFmtId="4" fontId="81" fillId="28" borderId="11" xfId="0" applyNumberFormat="1" applyFont="1" applyFill="1" applyBorder="1" applyAlignment="1">
      <alignment horizontal="center" vertical="center"/>
    </xf>
    <xf numFmtId="4" fontId="81" fillId="28" borderId="38" xfId="0" applyNumberFormat="1" applyFont="1" applyFill="1" applyBorder="1" applyAlignment="1">
      <alignment horizontal="center" vertical="center"/>
    </xf>
    <xf numFmtId="4" fontId="82" fillId="28" borderId="11" xfId="0" applyNumberFormat="1" applyFont="1" applyFill="1" applyBorder="1" applyAlignment="1">
      <alignment horizontal="center" vertical="center"/>
    </xf>
    <xf numFmtId="0" fontId="81" fillId="26" borderId="37" xfId="0" applyFont="1" applyFill="1" applyBorder="1" applyAlignment="1">
      <alignment horizontal="center" vertical="center"/>
    </xf>
    <xf numFmtId="168" fontId="81" fillId="26" borderId="11" xfId="0" applyNumberFormat="1" applyFont="1" applyFill="1" applyBorder="1" applyAlignment="1">
      <alignment horizontal="center" vertical="center"/>
    </xf>
    <xf numFmtId="3" fontId="81" fillId="26" borderId="11" xfId="0" applyNumberFormat="1" applyFont="1" applyFill="1" applyBorder="1" applyAlignment="1">
      <alignment horizontal="center" vertical="center"/>
    </xf>
    <xf numFmtId="171" fontId="82" fillId="26" borderId="11" xfId="85" applyNumberFormat="1" applyFont="1" applyFill="1" applyBorder="1" applyAlignment="1">
      <alignment horizontal="center" vertical="center"/>
    </xf>
    <xf numFmtId="4" fontId="81" fillId="26" borderId="35" xfId="0" applyNumberFormat="1" applyFont="1" applyFill="1" applyBorder="1" applyAlignment="1">
      <alignment horizontal="center" vertical="center"/>
    </xf>
    <xf numFmtId="2" fontId="81" fillId="27" borderId="37" xfId="0" applyNumberFormat="1" applyFont="1" applyFill="1" applyBorder="1" applyAlignment="1">
      <alignment horizontal="center" vertical="center"/>
    </xf>
    <xf numFmtId="10" fontId="82" fillId="27" borderId="11" xfId="85" applyNumberFormat="1" applyFont="1" applyFill="1" applyBorder="1" applyAlignment="1">
      <alignment horizontal="center" vertical="center"/>
    </xf>
    <xf numFmtId="174" fontId="82" fillId="27" borderId="10" xfId="0" applyNumberFormat="1" applyFont="1" applyFill="1" applyBorder="1" applyAlignment="1">
      <alignment horizontal="center" vertical="center"/>
    </xf>
    <xf numFmtId="4" fontId="82" fillId="27" borderId="10" xfId="0" applyNumberFormat="1" applyFont="1" applyFill="1" applyBorder="1" applyAlignment="1">
      <alignment horizontal="center" vertical="center"/>
    </xf>
    <xf numFmtId="4" fontId="81" fillId="27" borderId="20" xfId="0" applyNumberFormat="1" applyFont="1" applyFill="1" applyBorder="1" applyAlignment="1">
      <alignment horizontal="center" vertical="center"/>
    </xf>
    <xf numFmtId="2" fontId="81" fillId="28" borderId="10" xfId="0" applyNumberFormat="1" applyFont="1" applyFill="1" applyBorder="1" applyAlignment="1">
      <alignment horizontal="center" vertical="center"/>
    </xf>
    <xf numFmtId="174" fontId="82" fillId="28" borderId="10" xfId="0" applyNumberFormat="1" applyFont="1" applyFill="1" applyBorder="1" applyAlignment="1">
      <alignment horizontal="center" vertical="center"/>
    </xf>
    <xf numFmtId="4" fontId="81" fillId="28" borderId="20" xfId="0" applyNumberFormat="1" applyFont="1" applyFill="1" applyBorder="1" applyAlignment="1">
      <alignment horizontal="center" vertical="center"/>
    </xf>
    <xf numFmtId="4" fontId="82" fillId="28" borderId="10" xfId="0" applyNumberFormat="1" applyFont="1" applyFill="1" applyBorder="1" applyAlignment="1">
      <alignment horizontal="center" vertical="center"/>
    </xf>
    <xf numFmtId="0" fontId="81" fillId="26" borderId="19" xfId="0" applyFont="1" applyFill="1" applyBorder="1" applyAlignment="1">
      <alignment horizontal="center" vertical="center"/>
    </xf>
    <xf numFmtId="168" fontId="81" fillId="26" borderId="10" xfId="0" applyNumberFormat="1" applyFont="1" applyFill="1" applyBorder="1" applyAlignment="1">
      <alignment horizontal="center" vertical="center"/>
    </xf>
    <xf numFmtId="3" fontId="81" fillId="26" borderId="10" xfId="0" applyNumberFormat="1" applyFont="1" applyFill="1" applyBorder="1" applyAlignment="1">
      <alignment horizontal="center" vertical="center"/>
    </xf>
    <xf numFmtId="169" fontId="82" fillId="26" borderId="10" xfId="0" applyNumberFormat="1" applyFont="1" applyFill="1" applyBorder="1" applyAlignment="1">
      <alignment horizontal="center" vertical="center"/>
    </xf>
    <xf numFmtId="4" fontId="81" fillId="26" borderId="25" xfId="0" applyNumberFormat="1" applyFont="1" applyFill="1" applyBorder="1" applyAlignment="1">
      <alignment horizontal="center" vertical="center"/>
    </xf>
    <xf numFmtId="10" fontId="82" fillId="27" borderId="10" xfId="85" applyNumberFormat="1" applyFont="1" applyFill="1" applyBorder="1" applyAlignment="1">
      <alignment horizontal="center" vertical="center"/>
    </xf>
    <xf numFmtId="2" fontId="81" fillId="27" borderId="10" xfId="0" applyNumberFormat="1" applyFont="1" applyFill="1" applyBorder="1" applyAlignment="1">
      <alignment horizontal="center" vertical="center"/>
    </xf>
    <xf numFmtId="174" fontId="81" fillId="27" borderId="10" xfId="0" applyNumberFormat="1" applyFont="1" applyFill="1" applyBorder="1" applyAlignment="1">
      <alignment horizontal="center" vertical="center"/>
    </xf>
    <xf numFmtId="10" fontId="82" fillId="26" borderId="10" xfId="85" applyNumberFormat="1" applyFont="1" applyFill="1" applyBorder="1" applyAlignment="1">
      <alignment horizontal="center" vertical="center"/>
    </xf>
    <xf numFmtId="2" fontId="81" fillId="27" borderId="19" xfId="0" applyNumberFormat="1" applyFont="1" applyFill="1" applyBorder="1" applyAlignment="1">
      <alignment horizontal="center" vertical="center"/>
    </xf>
    <xf numFmtId="171" fontId="82" fillId="26" borderId="10" xfId="85" applyNumberFormat="1" applyFont="1" applyFill="1" applyBorder="1" applyAlignment="1">
      <alignment horizontal="center" vertical="center"/>
    </xf>
    <xf numFmtId="0" fontId="81" fillId="26" borderId="19" xfId="0" applyFont="1" applyFill="1" applyBorder="1" applyAlignment="1">
      <alignment vertical="center"/>
    </xf>
    <xf numFmtId="0" fontId="81" fillId="26" borderId="10" xfId="0" applyFont="1" applyFill="1" applyBorder="1" applyAlignment="1">
      <alignment vertical="center"/>
    </xf>
    <xf numFmtId="0" fontId="81" fillId="26" borderId="25" xfId="0" applyFont="1" applyFill="1" applyBorder="1" applyAlignment="1">
      <alignment horizontal="center" vertical="center"/>
    </xf>
    <xf numFmtId="168" fontId="81" fillId="28" borderId="10" xfId="0" applyNumberFormat="1" applyFont="1" applyFill="1" applyBorder="1" applyAlignment="1">
      <alignment horizontal="center" vertical="center"/>
    </xf>
    <xf numFmtId="169" fontId="81" fillId="27" borderId="10" xfId="0" applyNumberFormat="1" applyFont="1" applyFill="1" applyBorder="1" applyAlignment="1">
      <alignment horizontal="center" vertical="center"/>
    </xf>
    <xf numFmtId="168" fontId="81" fillId="27" borderId="10" xfId="0" applyNumberFormat="1" applyFont="1" applyFill="1" applyBorder="1" applyAlignment="1">
      <alignment horizontal="center" vertical="center"/>
    </xf>
    <xf numFmtId="169" fontId="81" fillId="28" borderId="10" xfId="0" applyNumberFormat="1" applyFont="1" applyFill="1" applyBorder="1" applyAlignment="1">
      <alignment horizontal="center" vertical="center"/>
    </xf>
    <xf numFmtId="2" fontId="81" fillId="26" borderId="10" xfId="0" applyNumberFormat="1" applyFont="1" applyFill="1" applyBorder="1" applyAlignment="1">
      <alignment horizontal="center" vertical="center"/>
    </xf>
    <xf numFmtId="169" fontId="81" fillId="26" borderId="25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0" fontId="60" fillId="0" borderId="37" xfId="0" applyFont="1" applyBorder="1" applyAlignment="1">
      <alignment horizontal="left" vertical="center"/>
    </xf>
    <xf numFmtId="0" fontId="60" fillId="0" borderId="31" xfId="0" applyFont="1" applyBorder="1"/>
    <xf numFmtId="0" fontId="60" fillId="27" borderId="37" xfId="0" applyFont="1" applyFill="1" applyBorder="1"/>
    <xf numFmtId="0" fontId="60" fillId="27" borderId="11" xfId="0" applyFont="1" applyFill="1" applyBorder="1"/>
    <xf numFmtId="0" fontId="60" fillId="27" borderId="35" xfId="0" applyFont="1" applyFill="1" applyBorder="1"/>
    <xf numFmtId="0" fontId="60" fillId="0" borderId="37" xfId="0" applyFont="1" applyBorder="1"/>
    <xf numFmtId="0" fontId="60" fillId="0" borderId="35" xfId="0" applyFont="1" applyFill="1" applyBorder="1"/>
    <xf numFmtId="0" fontId="60" fillId="0" borderId="16" xfId="0" applyFont="1" applyBorder="1"/>
    <xf numFmtId="0" fontId="60" fillId="0" borderId="17" xfId="0" applyFont="1" applyBorder="1"/>
    <xf numFmtId="0" fontId="60" fillId="0" borderId="18" xfId="0" applyFont="1" applyFill="1" applyBorder="1"/>
    <xf numFmtId="0" fontId="60" fillId="0" borderId="36" xfId="0" applyFont="1" applyFill="1" applyBorder="1"/>
    <xf numFmtId="0" fontId="60" fillId="24" borderId="16" xfId="0" applyFont="1" applyFill="1" applyBorder="1" applyAlignment="1">
      <alignment horizontal="center" vertical="center"/>
    </xf>
    <xf numFmtId="0" fontId="60" fillId="24" borderId="17" xfId="0" applyFont="1" applyFill="1" applyBorder="1" applyAlignment="1">
      <alignment horizontal="center" vertical="center"/>
    </xf>
    <xf numFmtId="0" fontId="60" fillId="24" borderId="18" xfId="0" applyFont="1" applyFill="1" applyBorder="1" applyAlignment="1">
      <alignment horizontal="center" vertical="center"/>
    </xf>
    <xf numFmtId="0" fontId="60" fillId="24" borderId="30" xfId="0" applyFont="1" applyFill="1" applyBorder="1" applyAlignment="1">
      <alignment horizontal="center" vertical="center"/>
    </xf>
    <xf numFmtId="0" fontId="60" fillId="0" borderId="18" xfId="0" applyFont="1" applyBorder="1"/>
    <xf numFmtId="0" fontId="79" fillId="0" borderId="34" xfId="0" applyFont="1" applyBorder="1"/>
    <xf numFmtId="1" fontId="17" fillId="0" borderId="19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right" vertical="center" indent="1"/>
    </xf>
    <xf numFmtId="170" fontId="17" fillId="0" borderId="20" xfId="0" applyNumberFormat="1" applyFont="1" applyFill="1" applyBorder="1" applyAlignment="1">
      <alignment horizontal="right" vertical="center"/>
    </xf>
    <xf numFmtId="3" fontId="17" fillId="0" borderId="25" xfId="0" applyNumberFormat="1" applyFont="1" applyFill="1" applyBorder="1" applyAlignment="1">
      <alignment horizontal="right" vertical="center" indent="1"/>
    </xf>
    <xf numFmtId="1" fontId="17" fillId="0" borderId="19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/>
    </xf>
    <xf numFmtId="170" fontId="17" fillId="0" borderId="20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/>
    </xf>
    <xf numFmtId="1" fontId="60" fillId="0" borderId="10" xfId="0" applyNumberFormat="1" applyFont="1" applyFill="1" applyBorder="1" applyAlignment="1">
      <alignment horizontal="center" vertical="center"/>
    </xf>
    <xf numFmtId="0" fontId="60" fillId="0" borderId="19" xfId="0" applyFont="1" applyFill="1" applyBorder="1" applyAlignment="1">
      <alignment horizontal="center" vertical="center"/>
    </xf>
    <xf numFmtId="170" fontId="60" fillId="0" borderId="20" xfId="0" applyNumberFormat="1" applyFont="1" applyFill="1" applyBorder="1" applyAlignment="1">
      <alignment horizontal="right" vertical="center"/>
    </xf>
    <xf numFmtId="3" fontId="60" fillId="0" borderId="25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/>
    </xf>
    <xf numFmtId="170" fontId="60" fillId="0" borderId="20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center" vertical="center"/>
    </xf>
    <xf numFmtId="170" fontId="60" fillId="0" borderId="25" xfId="0" applyNumberFormat="1" applyFont="1" applyFill="1" applyBorder="1" applyAlignment="1">
      <alignment horizontal="right" vertical="center" indent="1"/>
    </xf>
    <xf numFmtId="170" fontId="60" fillId="0" borderId="25" xfId="0" applyNumberFormat="1" applyFont="1" applyFill="1" applyBorder="1" applyAlignment="1">
      <alignment horizontal="right" vertical="center"/>
    </xf>
    <xf numFmtId="1" fontId="60" fillId="0" borderId="11" xfId="0" applyNumberFormat="1" applyFont="1" applyFill="1" applyBorder="1" applyAlignment="1">
      <alignment horizontal="center" vertical="center"/>
    </xf>
    <xf numFmtId="1" fontId="83" fillId="0" borderId="19" xfId="0" applyNumberFormat="1" applyFont="1" applyFill="1" applyBorder="1" applyAlignment="1">
      <alignment horizontal="center" vertical="center"/>
    </xf>
    <xf numFmtId="3" fontId="83" fillId="0" borderId="10" xfId="0" applyNumberFormat="1" applyFont="1" applyFill="1" applyBorder="1" applyAlignment="1">
      <alignment horizontal="right" vertical="center" indent="1"/>
    </xf>
    <xf numFmtId="170" fontId="83" fillId="0" borderId="20" xfId="0" applyNumberFormat="1" applyFont="1" applyFill="1" applyBorder="1" applyAlignment="1">
      <alignment horizontal="right" vertical="center"/>
    </xf>
    <xf numFmtId="0" fontId="60" fillId="0" borderId="21" xfId="0" applyFont="1" applyBorder="1" applyAlignment="1">
      <alignment horizontal="left" vertical="center"/>
    </xf>
    <xf numFmtId="170" fontId="60" fillId="0" borderId="23" xfId="0" applyNumberFormat="1" applyFont="1" applyBorder="1" applyAlignment="1">
      <alignment horizontal="right" vertical="center"/>
    </xf>
    <xf numFmtId="3" fontId="60" fillId="27" borderId="21" xfId="0" applyNumberFormat="1" applyFont="1" applyFill="1" applyBorder="1" applyAlignment="1">
      <alignment horizontal="right" vertical="center" indent="1"/>
    </xf>
    <xf numFmtId="1" fontId="60" fillId="0" borderId="21" xfId="0" applyNumberFormat="1" applyFont="1" applyBorder="1" applyAlignment="1">
      <alignment horizontal="right" vertical="center" indent="1"/>
    </xf>
    <xf numFmtId="0" fontId="60" fillId="0" borderId="21" xfId="0" applyFont="1" applyBorder="1" applyAlignment="1">
      <alignment horizontal="center" vertical="center"/>
    </xf>
    <xf numFmtId="169" fontId="60" fillId="0" borderId="23" xfId="0" applyNumberFormat="1" applyFont="1" applyBorder="1" applyAlignment="1">
      <alignment horizontal="center" vertical="center"/>
    </xf>
    <xf numFmtId="1" fontId="60" fillId="0" borderId="22" xfId="0" applyNumberFormat="1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170" fontId="60" fillId="0" borderId="23" xfId="0" applyNumberFormat="1" applyFont="1" applyFill="1" applyBorder="1" applyAlignment="1">
      <alignment horizontal="right" vertical="center"/>
    </xf>
    <xf numFmtId="3" fontId="60" fillId="0" borderId="2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center" vertical="center"/>
    </xf>
    <xf numFmtId="170" fontId="17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/>
    </xf>
    <xf numFmtId="0" fontId="60" fillId="0" borderId="23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/>
    </xf>
    <xf numFmtId="0" fontId="60" fillId="0" borderId="38" xfId="0" applyFont="1" applyFill="1" applyBorder="1" applyAlignment="1">
      <alignment vertical="center"/>
    </xf>
    <xf numFmtId="0" fontId="60" fillId="0" borderId="11" xfId="0" applyFont="1" applyFill="1" applyBorder="1" applyAlignment="1">
      <alignment vertical="center"/>
    </xf>
    <xf numFmtId="165" fontId="61" fillId="0" borderId="11" xfId="89" applyFont="1" applyFill="1" applyBorder="1" applyAlignment="1">
      <alignment vertical="center"/>
    </xf>
    <xf numFmtId="165" fontId="60" fillId="0" borderId="11" xfId="89" applyFont="1" applyFill="1" applyBorder="1" applyAlignment="1">
      <alignment vertical="center"/>
    </xf>
    <xf numFmtId="0" fontId="60" fillId="0" borderId="21" xfId="0" applyFont="1" applyFill="1" applyBorder="1" applyAlignment="1">
      <alignment vertical="center"/>
    </xf>
    <xf numFmtId="0" fontId="60" fillId="0" borderId="23" xfId="0" applyFont="1" applyFill="1" applyBorder="1" applyAlignment="1">
      <alignment vertical="center"/>
    </xf>
    <xf numFmtId="0" fontId="60" fillId="0" borderId="47" xfId="0" applyFont="1" applyFill="1" applyBorder="1" applyAlignment="1">
      <alignment vertical="center"/>
    </xf>
    <xf numFmtId="0" fontId="16" fillId="0" borderId="0" xfId="79" applyFont="1" applyFill="1" applyAlignment="1">
      <alignment horizontal="center"/>
    </xf>
    <xf numFmtId="0" fontId="10" fillId="0" borderId="0" xfId="79" applyFont="1" applyFill="1"/>
    <xf numFmtId="0" fontId="0" fillId="0" borderId="0" xfId="0" applyFill="1"/>
    <xf numFmtId="0" fontId="85" fillId="0" borderId="0" xfId="0" applyFont="1"/>
    <xf numFmtId="0" fontId="85" fillId="0" borderId="0" xfId="0" applyFont="1" applyFill="1" applyBorder="1"/>
    <xf numFmtId="168" fontId="85" fillId="0" borderId="0" xfId="0" applyNumberFormat="1" applyFont="1"/>
    <xf numFmtId="169" fontId="13" fillId="0" borderId="0" xfId="0" applyNumberFormat="1" applyFont="1" applyBorder="1"/>
    <xf numFmtId="0" fontId="85" fillId="0" borderId="0" xfId="0" applyFont="1" applyFill="1" applyBorder="1" applyAlignment="1">
      <alignment horizontal="center"/>
    </xf>
    <xf numFmtId="0" fontId="12" fillId="0" borderId="0" xfId="0" applyFont="1" applyBorder="1"/>
    <xf numFmtId="169" fontId="12" fillId="0" borderId="0" xfId="0" applyNumberFormat="1" applyFont="1" applyBorder="1"/>
    <xf numFmtId="168" fontId="13" fillId="0" borderId="0" xfId="0" applyNumberFormat="1" applyFont="1" applyBorder="1"/>
    <xf numFmtId="0" fontId="85" fillId="0" borderId="0" xfId="0" applyFont="1" applyAlignment="1">
      <alignment horizontal="center"/>
    </xf>
    <xf numFmtId="169" fontId="85" fillId="0" borderId="0" xfId="0" applyNumberFormat="1" applyFont="1"/>
    <xf numFmtId="177" fontId="85" fillId="0" borderId="0" xfId="0" applyNumberFormat="1" applyFont="1"/>
    <xf numFmtId="0" fontId="85" fillId="0" borderId="0" xfId="0" applyFont="1" applyAlignment="1">
      <alignment horizontal="left"/>
    </xf>
    <xf numFmtId="4" fontId="85" fillId="0" borderId="0" xfId="0" applyNumberFormat="1" applyFont="1"/>
    <xf numFmtId="170" fontId="85" fillId="0" borderId="0" xfId="0" applyNumberFormat="1" applyFont="1"/>
    <xf numFmtId="0" fontId="17" fillId="0" borderId="10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vertical="center"/>
    </xf>
    <xf numFmtId="0" fontId="60" fillId="30" borderId="10" xfId="0" applyFont="1" applyFill="1" applyBorder="1" applyAlignment="1">
      <alignment horizontal="center" wrapText="1"/>
    </xf>
    <xf numFmtId="4" fontId="60" fillId="30" borderId="10" xfId="0" applyNumberFormat="1" applyFont="1" applyFill="1" applyBorder="1"/>
    <xf numFmtId="2" fontId="60" fillId="0" borderId="10" xfId="0" applyNumberFormat="1" applyFont="1" applyBorder="1"/>
    <xf numFmtId="2" fontId="60" fillId="30" borderId="10" xfId="0" applyNumberFormat="1" applyFont="1" applyFill="1" applyBorder="1"/>
    <xf numFmtId="4" fontId="17" fillId="30" borderId="10" xfId="0" applyNumberFormat="1" applyFont="1" applyFill="1" applyBorder="1"/>
    <xf numFmtId="2" fontId="60" fillId="0" borderId="22" xfId="0" applyNumberFormat="1" applyFont="1" applyBorder="1" applyAlignment="1">
      <alignment horizontal="center" vertical="center"/>
    </xf>
    <xf numFmtId="0" fontId="17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1" fillId="30" borderId="10" xfId="0" applyNumberFormat="1" applyFont="1" applyFill="1" applyBorder="1"/>
    <xf numFmtId="2" fontId="60" fillId="31" borderId="0" xfId="0" applyNumberFormat="1" applyFont="1" applyFill="1"/>
    <xf numFmtId="4" fontId="17" fillId="30" borderId="25" xfId="0" applyNumberFormat="1" applyFont="1" applyFill="1" applyBorder="1"/>
    <xf numFmtId="4" fontId="60" fillId="30" borderId="25" xfId="0" applyNumberFormat="1" applyFont="1" applyFill="1" applyBorder="1"/>
    <xf numFmtId="2" fontId="17" fillId="30" borderId="10" xfId="0" applyNumberFormat="1" applyFont="1" applyFill="1" applyBorder="1"/>
    <xf numFmtId="0" fontId="50" fillId="30" borderId="0" xfId="0" applyFont="1" applyFill="1"/>
    <xf numFmtId="2" fontId="61" fillId="30" borderId="10" xfId="0" applyNumberFormat="1" applyFont="1" applyFill="1" applyBorder="1"/>
    <xf numFmtId="2" fontId="61" fillId="0" borderId="10" xfId="0" applyNumberFormat="1" applyFont="1" applyBorder="1"/>
    <xf numFmtId="2" fontId="61" fillId="31" borderId="0" xfId="0" applyNumberFormat="1" applyFont="1" applyFill="1"/>
    <xf numFmtId="2" fontId="0" fillId="0" borderId="0" xfId="0" applyNumberFormat="1" applyFont="1" applyFill="1"/>
    <xf numFmtId="0" fontId="61" fillId="0" borderId="45" xfId="0" applyFont="1" applyFill="1" applyBorder="1" applyAlignment="1">
      <alignment vertical="center"/>
    </xf>
    <xf numFmtId="4" fontId="60" fillId="30" borderId="62" xfId="0" applyNumberFormat="1" applyFont="1" applyFill="1" applyBorder="1"/>
    <xf numFmtId="2" fontId="60" fillId="30" borderId="45" xfId="0" applyNumberFormat="1" applyFont="1" applyFill="1" applyBorder="1"/>
    <xf numFmtId="2" fontId="60" fillId="0" borderId="45" xfId="0" applyNumberFormat="1" applyFont="1" applyBorder="1"/>
    <xf numFmtId="0" fontId="0" fillId="30" borderId="10" xfId="0" applyFont="1" applyFill="1" applyBorder="1"/>
    <xf numFmtId="4" fontId="17" fillId="30" borderId="10" xfId="0" applyNumberFormat="1" applyFont="1" applyFill="1" applyBorder="1" applyAlignment="1">
      <alignment vertical="center"/>
    </xf>
    <xf numFmtId="4" fontId="17" fillId="0" borderId="10" xfId="0" applyNumberFormat="1" applyFont="1" applyFill="1" applyBorder="1" applyAlignment="1">
      <alignment vertical="center"/>
    </xf>
    <xf numFmtId="0" fontId="0" fillId="0" borderId="0" xfId="0" applyFont="1"/>
    <xf numFmtId="2" fontId="7" fillId="0" borderId="0" xfId="0" applyNumberFormat="1" applyFont="1"/>
    <xf numFmtId="10" fontId="7" fillId="0" borderId="0" xfId="0" applyNumberFormat="1" applyFont="1"/>
    <xf numFmtId="9" fontId="7" fillId="0" borderId="0" xfId="0" applyNumberFormat="1" applyFont="1"/>
    <xf numFmtId="0" fontId="60" fillId="0" borderId="85" xfId="0" applyFont="1" applyFill="1" applyBorder="1"/>
    <xf numFmtId="0" fontId="17" fillId="0" borderId="85" xfId="0" applyFont="1" applyFill="1" applyBorder="1"/>
    <xf numFmtId="0" fontId="17" fillId="0" borderId="85" xfId="0" applyFont="1" applyFill="1" applyBorder="1" applyAlignment="1">
      <alignment horizontal="center"/>
    </xf>
    <xf numFmtId="10" fontId="60" fillId="0" borderId="85" xfId="0" applyNumberFormat="1" applyFont="1" applyFill="1" applyBorder="1"/>
    <xf numFmtId="10" fontId="17" fillId="0" borderId="85" xfId="0" applyNumberFormat="1" applyFont="1" applyFill="1" applyBorder="1"/>
    <xf numFmtId="0" fontId="17" fillId="0" borderId="85" xfId="0" applyFont="1" applyFill="1" applyBorder="1" applyAlignment="1">
      <alignment horizontal="center"/>
    </xf>
    <xf numFmtId="176" fontId="60" fillId="0" borderId="85" xfId="0" applyNumberFormat="1" applyFont="1" applyFill="1" applyBorder="1"/>
    <xf numFmtId="0" fontId="60" fillId="0" borderId="85" xfId="0" applyFont="1" applyFill="1" applyBorder="1" applyAlignment="1">
      <alignment vertical="center"/>
    </xf>
    <xf numFmtId="4" fontId="13" fillId="0" borderId="0" xfId="0" applyNumberFormat="1" applyFont="1" applyFill="1"/>
    <xf numFmtId="0" fontId="60" fillId="0" borderId="92" xfId="0" applyFont="1" applyFill="1" applyBorder="1" applyAlignment="1">
      <alignment vertical="center"/>
    </xf>
    <xf numFmtId="0" fontId="0" fillId="0" borderId="92" xfId="0" applyBorder="1"/>
    <xf numFmtId="4" fontId="60" fillId="30" borderId="92" xfId="0" applyNumberFormat="1" applyFont="1" applyFill="1" applyBorder="1"/>
    <xf numFmtId="4" fontId="60" fillId="30" borderId="93" xfId="0" applyNumberFormat="1" applyFont="1" applyFill="1" applyBorder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7" fillId="0" borderId="0" xfId="79" applyAlignment="1">
      <alignment vertical="center"/>
    </xf>
    <xf numFmtId="0" fontId="8" fillId="0" borderId="0" xfId="79" applyFont="1" applyAlignment="1">
      <alignment vertical="center"/>
    </xf>
    <xf numFmtId="0" fontId="13" fillId="0" borderId="87" xfId="0" applyFont="1" applyBorder="1" applyAlignment="1">
      <alignment horizontal="center" vertical="center" wrapText="1"/>
    </xf>
    <xf numFmtId="169" fontId="13" fillId="0" borderId="92" xfId="0" applyNumberFormat="1" applyFont="1" applyBorder="1" applyAlignment="1">
      <alignment horizontal="center"/>
    </xf>
    <xf numFmtId="169" fontId="13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0" fontId="0" fillId="0" borderId="90" xfId="0" applyBorder="1" applyAlignment="1"/>
    <xf numFmtId="169" fontId="14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79" fillId="0" borderId="91" xfId="0" applyFont="1" applyBorder="1" applyAlignment="1">
      <alignment vertical="center"/>
    </xf>
    <xf numFmtId="0" fontId="61" fillId="0" borderId="91" xfId="0" applyFont="1" applyBorder="1" applyAlignment="1">
      <alignment vertical="center"/>
    </xf>
    <xf numFmtId="0" fontId="17" fillId="0" borderId="13" xfId="0" applyFont="1" applyBorder="1" applyAlignment="1">
      <alignment vertical="center" wrapText="1"/>
    </xf>
    <xf numFmtId="0" fontId="60" fillId="0" borderId="12" xfId="0" applyFont="1" applyBorder="1" applyAlignment="1">
      <alignment vertical="center" wrapText="1"/>
    </xf>
    <xf numFmtId="0" fontId="61" fillId="0" borderId="12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60" fillId="0" borderId="15" xfId="0" applyFont="1" applyBorder="1" applyAlignment="1">
      <alignment vertical="center" wrapText="1"/>
    </xf>
    <xf numFmtId="0" fontId="17" fillId="0" borderId="34" xfId="0" applyFont="1" applyBorder="1" applyAlignment="1">
      <alignment vertical="center" wrapText="1"/>
    </xf>
    <xf numFmtId="0" fontId="79" fillId="0" borderId="93" xfId="0" applyFont="1" applyBorder="1" applyAlignment="1">
      <alignment vertical="center"/>
    </xf>
    <xf numFmtId="10" fontId="61" fillId="0" borderId="92" xfId="85" applyNumberFormat="1" applyFont="1" applyBorder="1" applyAlignment="1">
      <alignment horizontal="right" vertical="center"/>
    </xf>
    <xf numFmtId="0" fontId="60" fillId="0" borderId="19" xfId="0" applyFont="1" applyBorder="1" applyAlignment="1">
      <alignment horizontal="center" vertical="center"/>
    </xf>
    <xf numFmtId="0" fontId="0" fillId="0" borderId="33" xfId="0" applyBorder="1"/>
    <xf numFmtId="0" fontId="21" fillId="0" borderId="57" xfId="0" applyFont="1" applyBorder="1" applyAlignment="1">
      <alignment horizontal="center" vertical="top" wrapText="1"/>
    </xf>
    <xf numFmtId="0" fontId="21" fillId="0" borderId="33" xfId="0" applyFont="1" applyBorder="1" applyAlignment="1">
      <alignment horizontal="center" vertical="top" wrapText="1"/>
    </xf>
    <xf numFmtId="0" fontId="21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1" fillId="0" borderId="55" xfId="0" applyFont="1" applyBorder="1" applyAlignment="1">
      <alignment horizontal="right" vertical="top" wrapText="1"/>
    </xf>
    <xf numFmtId="0" fontId="21" fillId="0" borderId="55" xfId="0" applyFont="1" applyBorder="1" applyAlignment="1">
      <alignment vertical="top" wrapText="1"/>
    </xf>
    <xf numFmtId="0" fontId="60" fillId="0" borderId="54" xfId="0" applyFont="1" applyBorder="1"/>
    <xf numFmtId="0" fontId="0" fillId="0" borderId="60" xfId="0" applyBorder="1"/>
    <xf numFmtId="0" fontId="19" fillId="0" borderId="54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14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6" fillId="0" borderId="54" xfId="0" applyFont="1" applyBorder="1"/>
    <xf numFmtId="0" fontId="21" fillId="0" borderId="0" xfId="0" applyFont="1" applyBorder="1" applyAlignment="1">
      <alignment horizontal="right" vertical="top" wrapText="1"/>
    </xf>
    <xf numFmtId="0" fontId="13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60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5" fillId="0" borderId="54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3" fillId="0" borderId="60" xfId="0" applyFont="1" applyBorder="1" applyAlignment="1">
      <alignment wrapText="1"/>
    </xf>
    <xf numFmtId="0" fontId="13" fillId="0" borderId="33" xfId="0" applyFont="1" applyBorder="1" applyAlignment="1">
      <alignment wrapText="1"/>
    </xf>
    <xf numFmtId="0" fontId="21" fillId="0" borderId="0" xfId="0" applyFont="1" applyBorder="1" applyAlignment="1">
      <alignment vertical="top" wrapText="1"/>
    </xf>
    <xf numFmtId="0" fontId="11" fillId="0" borderId="0" xfId="0" applyFont="1"/>
    <xf numFmtId="0" fontId="11" fillId="29" borderId="0" xfId="0" applyFont="1" applyFill="1"/>
    <xf numFmtId="0" fontId="15" fillId="0" borderId="54" xfId="0" applyFont="1" applyBorder="1" applyAlignment="1">
      <alignment vertical="top" wrapText="1"/>
    </xf>
    <xf numFmtId="0" fontId="17" fillId="0" borderId="54" xfId="0" applyFont="1" applyBorder="1"/>
    <xf numFmtId="0" fontId="23" fillId="0" borderId="54" xfId="0" applyFont="1" applyBorder="1"/>
    <xf numFmtId="0" fontId="8" fillId="29" borderId="0" xfId="0" applyFont="1" applyFill="1"/>
    <xf numFmtId="0" fontId="12" fillId="0" borderId="92" xfId="0" applyFont="1" applyBorder="1" applyAlignment="1">
      <alignment horizontal="center"/>
    </xf>
    <xf numFmtId="169" fontId="12" fillId="0" borderId="92" xfId="0" applyNumberFormat="1" applyFont="1" applyBorder="1" applyAlignment="1">
      <alignment horizontal="center"/>
    </xf>
    <xf numFmtId="4" fontId="60" fillId="0" borderId="92" xfId="0" applyNumberFormat="1" applyFont="1" applyBorder="1" applyAlignment="1">
      <alignment horizontal="center" vertical="center"/>
    </xf>
    <xf numFmtId="4" fontId="17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1" fillId="0" borderId="34" xfId="0" applyFont="1" applyBorder="1" applyAlignment="1">
      <alignment vertical="center" wrapText="1"/>
    </xf>
    <xf numFmtId="0" fontId="81" fillId="0" borderId="12" xfId="0" applyFont="1" applyBorder="1" applyAlignment="1">
      <alignment vertical="center" wrapText="1"/>
    </xf>
    <xf numFmtId="0" fontId="81" fillId="0" borderId="12" xfId="0" applyFont="1" applyFill="1" applyBorder="1" applyAlignment="1">
      <alignment vertical="center" wrapText="1"/>
    </xf>
    <xf numFmtId="0" fontId="81" fillId="0" borderId="46" xfId="0" applyFont="1" applyFill="1" applyBorder="1" applyAlignment="1">
      <alignment vertical="center" wrapText="1"/>
    </xf>
    <xf numFmtId="10" fontId="61" fillId="0" borderId="20" xfId="85" applyNumberFormat="1" applyFont="1" applyFill="1" applyBorder="1" applyAlignment="1">
      <alignment horizontal="right" vertical="center"/>
    </xf>
    <xf numFmtId="4" fontId="61" fillId="0" borderId="20" xfId="0" applyNumberFormat="1" applyFont="1" applyFill="1" applyBorder="1" applyAlignment="1">
      <alignment horizontal="right" vertical="center" wrapText="1"/>
    </xf>
    <xf numFmtId="0" fontId="81" fillId="32" borderId="37" xfId="0" applyFont="1" applyFill="1" applyBorder="1" applyAlignment="1">
      <alignment horizontal="center" vertical="center"/>
    </xf>
    <xf numFmtId="168" fontId="81" fillId="32" borderId="11" xfId="0" applyNumberFormat="1" applyFont="1" applyFill="1" applyBorder="1" applyAlignment="1">
      <alignment horizontal="center" vertical="center"/>
    </xf>
    <xf numFmtId="3" fontId="81" fillId="32" borderId="11" xfId="0" applyNumberFormat="1" applyFont="1" applyFill="1" applyBorder="1" applyAlignment="1">
      <alignment horizontal="center" vertical="center"/>
    </xf>
    <xf numFmtId="169" fontId="82" fillId="32" borderId="11" xfId="0" applyNumberFormat="1" applyFont="1" applyFill="1" applyBorder="1" applyAlignment="1">
      <alignment horizontal="center" vertical="center"/>
    </xf>
    <xf numFmtId="4" fontId="81" fillId="32" borderId="11" xfId="0" applyNumberFormat="1" applyFont="1" applyFill="1" applyBorder="1" applyAlignment="1">
      <alignment horizontal="center" vertical="center"/>
    </xf>
    <xf numFmtId="0" fontId="81" fillId="32" borderId="19" xfId="0" applyFont="1" applyFill="1" applyBorder="1" applyAlignment="1">
      <alignment horizontal="center" vertical="center"/>
    </xf>
    <xf numFmtId="168" fontId="81" fillId="32" borderId="10" xfId="0" applyNumberFormat="1" applyFont="1" applyFill="1" applyBorder="1" applyAlignment="1">
      <alignment horizontal="center" vertical="center"/>
    </xf>
    <xf numFmtId="3" fontId="81" fillId="32" borderId="10" xfId="0" applyNumberFormat="1" applyFont="1" applyFill="1" applyBorder="1" applyAlignment="1">
      <alignment horizontal="center" vertical="center"/>
    </xf>
    <xf numFmtId="169" fontId="82" fillId="32" borderId="10" xfId="0" applyNumberFormat="1" applyFont="1" applyFill="1" applyBorder="1" applyAlignment="1">
      <alignment horizontal="center" vertical="center"/>
    </xf>
    <xf numFmtId="4" fontId="81" fillId="32" borderId="10" xfId="0" applyNumberFormat="1" applyFont="1" applyFill="1" applyBorder="1" applyAlignment="1">
      <alignment horizontal="center" vertical="center"/>
    </xf>
    <xf numFmtId="0" fontId="81" fillId="32" borderId="19" xfId="0" applyFont="1" applyFill="1" applyBorder="1" applyAlignment="1">
      <alignment vertical="center"/>
    </xf>
    <xf numFmtId="0" fontId="81" fillId="32" borderId="10" xfId="0" applyFont="1" applyFill="1" applyBorder="1" applyAlignment="1">
      <alignment vertical="center"/>
    </xf>
    <xf numFmtId="0" fontId="81" fillId="32" borderId="10" xfId="0" applyFont="1" applyFill="1" applyBorder="1" applyAlignment="1">
      <alignment horizontal="center" vertical="center"/>
    </xf>
    <xf numFmtId="2" fontId="81" fillId="32" borderId="10" xfId="0" applyNumberFormat="1" applyFont="1" applyFill="1" applyBorder="1" applyAlignment="1">
      <alignment horizontal="center" vertical="center"/>
    </xf>
    <xf numFmtId="169" fontId="81" fillId="32" borderId="10" xfId="0" applyNumberFormat="1" applyFont="1" applyFill="1" applyBorder="1" applyAlignment="1">
      <alignment horizontal="center" vertical="center"/>
    </xf>
    <xf numFmtId="0" fontId="63" fillId="0" borderId="46" xfId="0" applyFont="1" applyBorder="1" applyAlignment="1">
      <alignment vertical="center"/>
    </xf>
    <xf numFmtId="0" fontId="81" fillId="32" borderId="57" xfId="0" applyFont="1" applyFill="1" applyBorder="1" applyAlignment="1">
      <alignment horizontal="center" vertical="center" wrapText="1"/>
    </xf>
    <xf numFmtId="0" fontId="81" fillId="27" borderId="57" xfId="0" applyFont="1" applyFill="1" applyBorder="1" applyAlignment="1">
      <alignment horizontal="center" vertical="center" wrapText="1"/>
    </xf>
    <xf numFmtId="0" fontId="81" fillId="28" borderId="57" xfId="0" applyFont="1" applyFill="1" applyBorder="1" applyAlignment="1">
      <alignment horizontal="center" vertical="center" wrapText="1"/>
    </xf>
    <xf numFmtId="0" fontId="63" fillId="0" borderId="57" xfId="0" applyFont="1" applyBorder="1" applyAlignment="1">
      <alignment vertical="center"/>
    </xf>
    <xf numFmtId="0" fontId="81" fillId="26" borderId="57" xfId="0" applyFont="1" applyFill="1" applyBorder="1" applyAlignment="1">
      <alignment horizontal="center" vertical="center" wrapText="1"/>
    </xf>
    <xf numFmtId="0" fontId="81" fillId="0" borderId="14" xfId="0" applyFont="1" applyBorder="1" applyAlignment="1">
      <alignment vertical="center" wrapText="1"/>
    </xf>
    <xf numFmtId="0" fontId="81" fillId="32" borderId="86" xfId="0" applyFont="1" applyFill="1" applyBorder="1" applyAlignment="1">
      <alignment vertical="center"/>
    </xf>
    <xf numFmtId="0" fontId="81" fillId="32" borderId="87" xfId="0" applyFont="1" applyFill="1" applyBorder="1" applyAlignment="1">
      <alignment vertical="center"/>
    </xf>
    <xf numFmtId="0" fontId="81" fillId="32" borderId="87" xfId="0" applyFont="1" applyFill="1" applyBorder="1" applyAlignment="1">
      <alignment horizontal="center" vertical="center"/>
    </xf>
    <xf numFmtId="0" fontId="81" fillId="27" borderId="87" xfId="0" applyFont="1" applyFill="1" applyBorder="1" applyAlignment="1">
      <alignment horizontal="center" vertical="center"/>
    </xf>
    <xf numFmtId="4" fontId="81" fillId="27" borderId="87" xfId="0" applyNumberFormat="1" applyFont="1" applyFill="1" applyBorder="1" applyAlignment="1">
      <alignment horizontal="center" vertical="center"/>
    </xf>
    <xf numFmtId="4" fontId="82" fillId="27" borderId="87" xfId="0" applyNumberFormat="1" applyFont="1" applyFill="1" applyBorder="1" applyAlignment="1">
      <alignment horizontal="center" vertical="center"/>
    </xf>
    <xf numFmtId="4" fontId="81" fillId="27" borderId="88" xfId="0" applyNumberFormat="1" applyFont="1" applyFill="1" applyBorder="1" applyAlignment="1">
      <alignment horizontal="center" vertical="center"/>
    </xf>
    <xf numFmtId="0" fontId="81" fillId="28" borderId="87" xfId="0" applyFont="1" applyFill="1" applyBorder="1" applyAlignment="1">
      <alignment horizontal="center" vertical="center"/>
    </xf>
    <xf numFmtId="4" fontId="81" fillId="28" borderId="87" xfId="0" applyNumberFormat="1" applyFont="1" applyFill="1" applyBorder="1" applyAlignment="1">
      <alignment horizontal="center" vertical="center"/>
    </xf>
    <xf numFmtId="4" fontId="81" fillId="28" borderId="88" xfId="0" applyNumberFormat="1" applyFont="1" applyFill="1" applyBorder="1" applyAlignment="1">
      <alignment horizontal="center" vertical="center"/>
    </xf>
    <xf numFmtId="4" fontId="82" fillId="28" borderId="87" xfId="0" applyNumberFormat="1" applyFont="1" applyFill="1" applyBorder="1" applyAlignment="1">
      <alignment horizontal="center" vertical="center"/>
    </xf>
    <xf numFmtId="0" fontId="81" fillId="26" borderId="86" xfId="0" applyFont="1" applyFill="1" applyBorder="1" applyAlignment="1">
      <alignment vertical="center"/>
    </xf>
    <xf numFmtId="0" fontId="81" fillId="26" borderId="87" xfId="0" applyFont="1" applyFill="1" applyBorder="1" applyAlignment="1">
      <alignment vertical="center"/>
    </xf>
    <xf numFmtId="0" fontId="81" fillId="26" borderId="62" xfId="0" applyFont="1" applyFill="1" applyBorder="1" applyAlignment="1">
      <alignment horizontal="center" vertical="center"/>
    </xf>
    <xf numFmtId="0" fontId="81" fillId="27" borderId="86" xfId="0" applyFont="1" applyFill="1" applyBorder="1" applyAlignment="1">
      <alignment horizontal="center" vertical="center"/>
    </xf>
    <xf numFmtId="0" fontId="81" fillId="27" borderId="11" xfId="0" applyFont="1" applyFill="1" applyBorder="1" applyAlignment="1">
      <alignment horizontal="center" vertical="center"/>
    </xf>
    <xf numFmtId="0" fontId="81" fillId="28" borderId="11" xfId="0" applyFont="1" applyFill="1" applyBorder="1" applyAlignment="1">
      <alignment horizontal="center" vertical="center"/>
    </xf>
    <xf numFmtId="0" fontId="81" fillId="27" borderId="37" xfId="0" applyFont="1" applyFill="1" applyBorder="1" applyAlignment="1">
      <alignment horizontal="center" vertical="center"/>
    </xf>
    <xf numFmtId="0" fontId="16" fillId="0" borderId="58" xfId="0" applyFont="1" applyBorder="1" applyAlignment="1">
      <alignment vertical="center" wrapText="1"/>
    </xf>
    <xf numFmtId="0" fontId="63" fillId="0" borderId="53" xfId="0" applyFont="1" applyBorder="1" applyAlignment="1">
      <alignment vertical="center"/>
    </xf>
    <xf numFmtId="0" fontId="16" fillId="32" borderId="75" xfId="0" applyFont="1" applyFill="1" applyBorder="1" applyAlignment="1">
      <alignment vertical="center"/>
    </xf>
    <xf numFmtId="0" fontId="16" fillId="32" borderId="76" xfId="0" applyFont="1" applyFill="1" applyBorder="1" applyAlignment="1">
      <alignment vertical="center"/>
    </xf>
    <xf numFmtId="0" fontId="16" fillId="32" borderId="76" xfId="0" applyFont="1" applyFill="1" applyBorder="1" applyAlignment="1">
      <alignment horizontal="center" vertical="center"/>
    </xf>
    <xf numFmtId="0" fontId="81" fillId="27" borderId="76" xfId="0" applyFont="1" applyFill="1" applyBorder="1" applyAlignment="1">
      <alignment horizontal="center" vertical="center"/>
    </xf>
    <xf numFmtId="4" fontId="81" fillId="27" borderId="76" xfId="0" applyNumberFormat="1" applyFont="1" applyFill="1" applyBorder="1" applyAlignment="1">
      <alignment horizontal="center" vertical="center"/>
    </xf>
    <xf numFmtId="4" fontId="82" fillId="27" borderId="76" xfId="0" applyNumberFormat="1" applyFont="1" applyFill="1" applyBorder="1" applyAlignment="1">
      <alignment horizontal="center" vertical="center"/>
    </xf>
    <xf numFmtId="4" fontId="16" fillId="27" borderId="77" xfId="0" applyNumberFormat="1" applyFont="1" applyFill="1" applyBorder="1" applyAlignment="1">
      <alignment horizontal="center" vertical="center"/>
    </xf>
    <xf numFmtId="0" fontId="81" fillId="28" borderId="76" xfId="0" applyFont="1" applyFill="1" applyBorder="1" applyAlignment="1">
      <alignment horizontal="center" vertical="center"/>
    </xf>
    <xf numFmtId="4" fontId="81" fillId="28" borderId="76" xfId="0" applyNumberFormat="1" applyFont="1" applyFill="1" applyBorder="1" applyAlignment="1">
      <alignment horizontal="center" vertical="center"/>
    </xf>
    <xf numFmtId="4" fontId="16" fillId="28" borderId="77" xfId="0" applyNumberFormat="1" applyFont="1" applyFill="1" applyBorder="1" applyAlignment="1">
      <alignment horizontal="center" vertical="center"/>
    </xf>
    <xf numFmtId="4" fontId="82" fillId="28" borderId="76" xfId="0" applyNumberFormat="1" applyFont="1" applyFill="1" applyBorder="1" applyAlignment="1">
      <alignment horizontal="center" vertical="center"/>
    </xf>
    <xf numFmtId="0" fontId="16" fillId="26" borderId="75" xfId="0" applyFont="1" applyFill="1" applyBorder="1" applyAlignment="1">
      <alignment vertical="center"/>
    </xf>
    <xf numFmtId="0" fontId="16" fillId="26" borderId="76" xfId="0" applyFont="1" applyFill="1" applyBorder="1" applyAlignment="1">
      <alignment vertical="center"/>
    </xf>
    <xf numFmtId="0" fontId="16" fillId="26" borderId="81" xfId="0" applyFont="1" applyFill="1" applyBorder="1" applyAlignment="1">
      <alignment horizontal="center" vertical="center"/>
    </xf>
    <xf numFmtId="0" fontId="81" fillId="27" borderId="75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vertical="center" wrapText="1"/>
    </xf>
    <xf numFmtId="0" fontId="16" fillId="32" borderId="24" xfId="0" applyFont="1" applyFill="1" applyBorder="1" applyAlignment="1">
      <alignment horizontal="center" vertical="center"/>
    </xf>
    <xf numFmtId="4" fontId="16" fillId="32" borderId="43" xfId="0" applyNumberFormat="1" applyFont="1" applyFill="1" applyBorder="1" applyAlignment="1">
      <alignment horizontal="center" vertical="center"/>
    </xf>
    <xf numFmtId="0" fontId="16" fillId="32" borderId="43" xfId="0" applyFont="1" applyFill="1" applyBorder="1" applyAlignment="1">
      <alignment horizontal="center" vertical="center"/>
    </xf>
    <xf numFmtId="0" fontId="16" fillId="27" borderId="43" xfId="0" applyFont="1" applyFill="1" applyBorder="1" applyAlignment="1">
      <alignment horizontal="center" vertical="center"/>
    </xf>
    <xf numFmtId="4" fontId="16" fillId="27" borderId="43" xfId="0" applyNumberFormat="1" applyFont="1" applyFill="1" applyBorder="1" applyAlignment="1">
      <alignment horizontal="center" vertical="center"/>
    </xf>
    <xf numFmtId="4" fontId="16" fillId="27" borderId="44" xfId="0" applyNumberFormat="1" applyFont="1" applyFill="1" applyBorder="1" applyAlignment="1">
      <alignment horizontal="center" vertical="center"/>
    </xf>
    <xf numFmtId="0" fontId="16" fillId="28" borderId="43" xfId="0" applyFont="1" applyFill="1" applyBorder="1" applyAlignment="1">
      <alignment horizontal="center" vertical="center"/>
    </xf>
    <xf numFmtId="4" fontId="16" fillId="28" borderId="43" xfId="0" applyNumberFormat="1" applyFont="1" applyFill="1" applyBorder="1" applyAlignment="1">
      <alignment horizontal="center" vertical="center"/>
    </xf>
    <xf numFmtId="4" fontId="16" fillId="28" borderId="44" xfId="0" applyNumberFormat="1" applyFont="1" applyFill="1" applyBorder="1" applyAlignment="1">
      <alignment horizontal="center" vertical="center"/>
    </xf>
    <xf numFmtId="0" fontId="16" fillId="26" borderId="24" xfId="0" applyFont="1" applyFill="1" applyBorder="1" applyAlignment="1">
      <alignment horizontal="center" vertical="center"/>
    </xf>
    <xf numFmtId="4" fontId="16" fillId="26" borderId="43" xfId="0" applyNumberFormat="1" applyFont="1" applyFill="1" applyBorder="1" applyAlignment="1">
      <alignment horizontal="center" vertical="center"/>
    </xf>
    <xf numFmtId="0" fontId="16" fillId="26" borderId="43" xfId="0" applyFont="1" applyFill="1" applyBorder="1" applyAlignment="1">
      <alignment horizontal="center" vertical="center"/>
    </xf>
    <xf numFmtId="0" fontId="16" fillId="26" borderId="79" xfId="0" applyFont="1" applyFill="1" applyBorder="1" applyAlignment="1">
      <alignment horizontal="center" vertical="center"/>
    </xf>
    <xf numFmtId="0" fontId="16" fillId="27" borderId="24" xfId="0" applyFont="1" applyFill="1" applyBorder="1" applyAlignment="1">
      <alignment horizontal="center" vertical="center"/>
    </xf>
    <xf numFmtId="169" fontId="16" fillId="32" borderId="76" xfId="0" applyNumberFormat="1" applyFont="1" applyFill="1" applyBorder="1" applyAlignment="1">
      <alignment horizontal="center" vertical="center"/>
    </xf>
    <xf numFmtId="169" fontId="16" fillId="26" borderId="81" xfId="0" applyNumberFormat="1" applyFont="1" applyFill="1" applyBorder="1" applyAlignment="1">
      <alignment horizontal="center" vertical="center"/>
    </xf>
    <xf numFmtId="0" fontId="81" fillId="32" borderId="37" xfId="0" applyFont="1" applyFill="1" applyBorder="1" applyAlignment="1">
      <alignment vertical="center"/>
    </xf>
    <xf numFmtId="0" fontId="81" fillId="32" borderId="11" xfId="0" applyFont="1" applyFill="1" applyBorder="1" applyAlignment="1">
      <alignment vertical="center"/>
    </xf>
    <xf numFmtId="0" fontId="81" fillId="32" borderId="11" xfId="0" applyFont="1" applyFill="1" applyBorder="1" applyAlignment="1">
      <alignment horizontal="center" vertical="center"/>
    </xf>
    <xf numFmtId="0" fontId="81" fillId="26" borderId="37" xfId="0" applyFont="1" applyFill="1" applyBorder="1" applyAlignment="1">
      <alignment vertical="center"/>
    </xf>
    <xf numFmtId="0" fontId="81" fillId="26" borderId="11" xfId="0" applyFont="1" applyFill="1" applyBorder="1" applyAlignment="1">
      <alignment vertical="center"/>
    </xf>
    <xf numFmtId="0" fontId="81" fillId="26" borderId="35" xfId="0" applyFont="1" applyFill="1" applyBorder="1" applyAlignment="1">
      <alignment horizontal="center" vertical="center"/>
    </xf>
    <xf numFmtId="2" fontId="81" fillId="26" borderId="11" xfId="0" applyNumberFormat="1" applyFont="1" applyFill="1" applyBorder="1" applyAlignment="1">
      <alignment horizontal="center" vertical="center"/>
    </xf>
    <xf numFmtId="169" fontId="81" fillId="26" borderId="35" xfId="0" applyNumberFormat="1" applyFont="1" applyFill="1" applyBorder="1" applyAlignment="1">
      <alignment horizontal="center" vertical="center"/>
    </xf>
    <xf numFmtId="4" fontId="16" fillId="32" borderId="76" xfId="0" applyNumberFormat="1" applyFont="1" applyFill="1" applyBorder="1" applyAlignment="1">
      <alignment horizontal="center" vertical="center"/>
    </xf>
    <xf numFmtId="4" fontId="16" fillId="27" borderId="76" xfId="0" applyNumberFormat="1" applyFont="1" applyFill="1" applyBorder="1" applyAlignment="1">
      <alignment horizontal="center" vertical="center"/>
    </xf>
    <xf numFmtId="4" fontId="16" fillId="28" borderId="76" xfId="0" applyNumberFormat="1" applyFont="1" applyFill="1" applyBorder="1" applyAlignment="1">
      <alignment horizontal="center" vertical="center"/>
    </xf>
    <xf numFmtId="4" fontId="16" fillId="26" borderId="76" xfId="0" applyNumberFormat="1" applyFont="1" applyFill="1" applyBorder="1" applyAlignment="1">
      <alignment horizontal="center" vertical="center"/>
    </xf>
    <xf numFmtId="0" fontId="16" fillId="26" borderId="76" xfId="0" applyFont="1" applyFill="1" applyBorder="1" applyAlignment="1">
      <alignment horizontal="center" vertical="center"/>
    </xf>
    <xf numFmtId="2" fontId="13" fillId="0" borderId="92" xfId="0" applyNumberFormat="1" applyFont="1" applyBorder="1" applyAlignment="1">
      <alignment horizontal="center" vertical="center" wrapText="1"/>
    </xf>
    <xf numFmtId="168" fontId="13" fillId="0" borderId="92" xfId="0" applyNumberFormat="1" applyFont="1" applyBorder="1" applyAlignment="1">
      <alignment horizontal="center" vertical="top" wrapText="1"/>
    </xf>
    <xf numFmtId="168" fontId="13" fillId="0" borderId="92" xfId="0" applyNumberFormat="1" applyFont="1" applyBorder="1" applyAlignment="1">
      <alignment horizontal="center"/>
    </xf>
    <xf numFmtId="4" fontId="12" fillId="0" borderId="92" xfId="0" applyNumberFormat="1" applyFont="1" applyBorder="1" applyAlignment="1">
      <alignment horizontal="center" vertical="center"/>
    </xf>
    <xf numFmtId="168" fontId="13" fillId="0" borderId="92" xfId="0" applyNumberFormat="1" applyFont="1" applyBorder="1"/>
    <xf numFmtId="168" fontId="23" fillId="0" borderId="92" xfId="0" applyNumberFormat="1" applyFont="1" applyBorder="1" applyAlignment="1">
      <alignment horizontal="center"/>
    </xf>
    <xf numFmtId="168" fontId="21" fillId="0" borderId="92" xfId="0" applyNumberFormat="1" applyFont="1" applyBorder="1" applyAlignment="1">
      <alignment horizont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0" fontId="60" fillId="0" borderId="92" xfId="0" applyFont="1" applyBorder="1" applyAlignment="1">
      <alignment horizontal="center" vertical="center"/>
    </xf>
    <xf numFmtId="168" fontId="60" fillId="0" borderId="92" xfId="0" applyNumberFormat="1" applyFont="1" applyBorder="1" applyAlignment="1">
      <alignment horizontal="center" vertical="center"/>
    </xf>
    <xf numFmtId="168" fontId="60" fillId="0" borderId="92" xfId="0" applyNumberFormat="1" applyFont="1" applyFill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/>
    </xf>
    <xf numFmtId="2" fontId="60" fillId="0" borderId="19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 wrapText="1"/>
    </xf>
    <xf numFmtId="168" fontId="60" fillId="0" borderId="19" xfId="0" applyNumberFormat="1" applyFont="1" applyBorder="1" applyAlignment="1">
      <alignment horizontal="center" vertical="center"/>
    </xf>
    <xf numFmtId="169" fontId="60" fillId="0" borderId="92" xfId="0" applyNumberFormat="1" applyFont="1" applyBorder="1" applyAlignment="1">
      <alignment horizontal="center" vertical="center"/>
    </xf>
    <xf numFmtId="1" fontId="60" fillId="0" borderId="92" xfId="0" applyNumberFormat="1" applyFont="1" applyBorder="1" applyAlignment="1">
      <alignment horizontal="center" vertical="center"/>
    </xf>
    <xf numFmtId="168" fontId="17" fillId="0" borderId="19" xfId="0" applyNumberFormat="1" applyFont="1" applyBorder="1" applyAlignment="1">
      <alignment horizontal="center" vertical="center"/>
    </xf>
    <xf numFmtId="169" fontId="17" fillId="0" borderId="92" xfId="0" applyNumberFormat="1" applyFont="1" applyBorder="1" applyAlignment="1">
      <alignment horizontal="center" vertical="center"/>
    </xf>
    <xf numFmtId="168" fontId="17" fillId="0" borderId="92" xfId="0" applyNumberFormat="1" applyFont="1" applyBorder="1" applyAlignment="1">
      <alignment horizontal="center" vertical="center"/>
    </xf>
    <xf numFmtId="1" fontId="17" fillId="0" borderId="92" xfId="0" applyNumberFormat="1" applyFont="1" applyBorder="1" applyAlignment="1">
      <alignment horizontal="center" vertical="center"/>
    </xf>
    <xf numFmtId="0" fontId="78" fillId="0" borderId="92" xfId="0" applyFont="1" applyBorder="1" applyAlignment="1">
      <alignment horizontal="center" vertical="center"/>
    </xf>
    <xf numFmtId="168" fontId="60" fillId="0" borderId="20" xfId="0" applyNumberFormat="1" applyFont="1" applyBorder="1" applyAlignment="1">
      <alignment horizontal="center" vertical="center"/>
    </xf>
    <xf numFmtId="168" fontId="60" fillId="0" borderId="22" xfId="0" applyNumberFormat="1" applyFont="1" applyBorder="1" applyAlignment="1">
      <alignment horizontal="center" vertical="center"/>
    </xf>
    <xf numFmtId="0" fontId="78" fillId="0" borderId="22" xfId="0" applyFont="1" applyBorder="1" applyAlignment="1">
      <alignment horizontal="center" vertical="center"/>
    </xf>
    <xf numFmtId="168" fontId="60" fillId="0" borderId="2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vertical="center"/>
    </xf>
    <xf numFmtId="2" fontId="80" fillId="0" borderId="12" xfId="0" applyNumberFormat="1" applyFont="1" applyBorder="1" applyAlignment="1">
      <alignment vertical="center"/>
    </xf>
    <xf numFmtId="2" fontId="17" fillId="0" borderId="12" xfId="0" applyNumberFormat="1" applyFont="1" applyBorder="1" applyAlignment="1">
      <alignment vertical="center"/>
    </xf>
    <xf numFmtId="2" fontId="60" fillId="0" borderId="12" xfId="0" applyNumberFormat="1" applyFont="1" applyBorder="1" applyAlignment="1">
      <alignment vertical="center" wrapText="1"/>
    </xf>
    <xf numFmtId="2" fontId="17" fillId="0" borderId="12" xfId="0" applyNumberFormat="1" applyFont="1" applyBorder="1" applyAlignment="1">
      <alignment vertical="center" wrapText="1"/>
    </xf>
    <xf numFmtId="2" fontId="60" fillId="0" borderId="15" xfId="0" applyNumberFormat="1" applyFont="1" applyBorder="1" applyAlignment="1">
      <alignment vertical="center" wrapText="1"/>
    </xf>
    <xf numFmtId="2" fontId="60" fillId="0" borderId="20" xfId="0" applyNumberFormat="1" applyFont="1" applyBorder="1" applyAlignment="1">
      <alignment horizontal="center" vertical="center" wrapText="1"/>
    </xf>
    <xf numFmtId="2" fontId="60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60" fillId="0" borderId="14" xfId="0" applyFont="1" applyBorder="1" applyAlignment="1">
      <alignment vertical="center" wrapText="1"/>
    </xf>
    <xf numFmtId="2" fontId="60" fillId="0" borderId="99" xfId="0" applyNumberFormat="1" applyFont="1" applyBorder="1" applyAlignment="1">
      <alignment horizontal="center" vertical="center" wrapText="1"/>
    </xf>
    <xf numFmtId="2" fontId="60" fillId="0" borderId="101" xfId="0" applyNumberFormat="1" applyFont="1" applyBorder="1" applyAlignment="1">
      <alignment horizontal="center" vertical="center" wrapText="1"/>
    </xf>
    <xf numFmtId="168" fontId="60" fillId="0" borderId="101" xfId="0" applyNumberFormat="1" applyFont="1" applyBorder="1" applyAlignment="1">
      <alignment horizontal="center" vertical="center"/>
    </xf>
    <xf numFmtId="2" fontId="60" fillId="0" borderId="101" xfId="0" applyNumberFormat="1" applyFont="1" applyBorder="1" applyAlignment="1">
      <alignment horizontal="center" vertical="center"/>
    </xf>
    <xf numFmtId="169" fontId="60" fillId="0" borderId="101" xfId="0" applyNumberFormat="1" applyFont="1" applyBorder="1" applyAlignment="1">
      <alignment horizontal="center" vertical="center"/>
    </xf>
    <xf numFmtId="4" fontId="60" fillId="0" borderId="101" xfId="0" applyNumberFormat="1" applyFont="1" applyBorder="1" applyAlignment="1">
      <alignment horizontal="center" vertical="center"/>
    </xf>
    <xf numFmtId="168" fontId="17" fillId="0" borderId="101" xfId="0" applyNumberFormat="1" applyFont="1" applyBorder="1" applyAlignment="1">
      <alignment horizontal="center" vertical="center"/>
    </xf>
    <xf numFmtId="4" fontId="17" fillId="0" borderId="101" xfId="0" applyNumberFormat="1" applyFont="1" applyBorder="1" applyAlignment="1">
      <alignment horizontal="center" vertical="center"/>
    </xf>
    <xf numFmtId="0" fontId="60" fillId="0" borderId="101" xfId="0" applyFont="1" applyBorder="1" applyAlignment="1">
      <alignment horizontal="center" vertical="center"/>
    </xf>
    <xf numFmtId="2" fontId="17" fillId="0" borderId="101" xfId="0" applyNumberFormat="1" applyFont="1" applyBorder="1" applyAlignment="1">
      <alignment horizontal="center" vertical="center"/>
    </xf>
    <xf numFmtId="0" fontId="60" fillId="0" borderId="95" xfId="0" applyFont="1" applyBorder="1" applyAlignment="1">
      <alignment horizontal="center" vertical="center"/>
    </xf>
    <xf numFmtId="168" fontId="60" fillId="0" borderId="95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92" xfId="0" applyNumberFormat="1" applyFont="1" applyFill="1" applyBorder="1" applyAlignment="1">
      <alignment horizontal="center" vertical="center"/>
    </xf>
    <xf numFmtId="4" fontId="60" fillId="0" borderId="92" xfId="0" applyNumberFormat="1" applyFont="1" applyFill="1" applyBorder="1" applyAlignment="1">
      <alignment horizontal="center" vertical="center"/>
    </xf>
    <xf numFmtId="168" fontId="17" fillId="0" borderId="92" xfId="0" applyNumberFormat="1" applyFont="1" applyFill="1" applyBorder="1" applyAlignment="1">
      <alignment horizontal="center" vertical="center"/>
    </xf>
    <xf numFmtId="4" fontId="17" fillId="0" borderId="92" xfId="0" applyNumberFormat="1" applyFont="1" applyFill="1" applyBorder="1" applyAlignment="1">
      <alignment horizontal="center" vertical="center"/>
    </xf>
    <xf numFmtId="0" fontId="60" fillId="0" borderId="9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168" fontId="60" fillId="0" borderId="22" xfId="0" applyNumberFormat="1" applyFont="1" applyFill="1" applyBorder="1" applyAlignment="1">
      <alignment horizontal="center" vertical="center"/>
    </xf>
    <xf numFmtId="168" fontId="60" fillId="0" borderId="19" xfId="0" applyNumberFormat="1" applyFont="1" applyFill="1" applyBorder="1" applyAlignment="1">
      <alignment horizontal="center" vertical="center"/>
    </xf>
    <xf numFmtId="10" fontId="60" fillId="0" borderId="92" xfId="0" applyNumberFormat="1" applyFont="1" applyFill="1" applyBorder="1" applyAlignment="1">
      <alignment horizontal="center" vertical="center"/>
    </xf>
    <xf numFmtId="168" fontId="17" fillId="0" borderId="19" xfId="0" applyNumberFormat="1" applyFont="1" applyFill="1" applyBorder="1" applyAlignment="1">
      <alignment horizontal="center" vertical="center"/>
    </xf>
    <xf numFmtId="10" fontId="60" fillId="0" borderId="95" xfId="0" applyNumberFormat="1" applyFont="1" applyFill="1" applyBorder="1" applyAlignment="1">
      <alignment horizontal="center" vertical="center"/>
    </xf>
    <xf numFmtId="4" fontId="17" fillId="0" borderId="101" xfId="0" applyNumberFormat="1" applyFont="1" applyFill="1" applyBorder="1"/>
    <xf numFmtId="2" fontId="60" fillId="0" borderId="101" xfId="0" applyNumberFormat="1" applyFont="1" applyFill="1" applyBorder="1"/>
    <xf numFmtId="2" fontId="61" fillId="0" borderId="101" xfId="0" applyNumberFormat="1" applyFont="1" applyFill="1" applyBorder="1"/>
    <xf numFmtId="4" fontId="60" fillId="0" borderId="101" xfId="0" applyNumberFormat="1" applyFont="1" applyFill="1" applyBorder="1"/>
    <xf numFmtId="2" fontId="60" fillId="0" borderId="96" xfId="0" applyNumberFormat="1" applyFont="1" applyFill="1" applyBorder="1"/>
    <xf numFmtId="4" fontId="17" fillId="0" borderId="101" xfId="0" applyNumberFormat="1" applyFont="1" applyFill="1" applyBorder="1" applyAlignment="1">
      <alignment vertical="center"/>
    </xf>
    <xf numFmtId="0" fontId="60" fillId="30" borderId="101" xfId="0" applyFont="1" applyFill="1" applyBorder="1" applyAlignment="1">
      <alignment horizontal="center" vertical="center"/>
    </xf>
    <xf numFmtId="2" fontId="17" fillId="30" borderId="101" xfId="0" applyNumberFormat="1" applyFont="1" applyFill="1" applyBorder="1"/>
    <xf numFmtId="2" fontId="60" fillId="30" borderId="101" xfId="0" applyNumberFormat="1" applyFont="1" applyFill="1" applyBorder="1"/>
    <xf numFmtId="2" fontId="61" fillId="30" borderId="101" xfId="0" applyNumberFormat="1" applyFont="1" applyFill="1" applyBorder="1"/>
    <xf numFmtId="2" fontId="60" fillId="30" borderId="96" xfId="0" applyNumberFormat="1" applyFont="1" applyFill="1" applyBorder="1"/>
    <xf numFmtId="0" fontId="0" fillId="0" borderId="101" xfId="0" applyBorder="1"/>
    <xf numFmtId="0" fontId="62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0" fontId="60" fillId="0" borderId="0" xfId="0" applyNumberFormat="1" applyFont="1" applyFill="1" applyBorder="1"/>
    <xf numFmtId="10" fontId="17" fillId="0" borderId="0" xfId="0" applyNumberFormat="1" applyFont="1" applyFill="1" applyBorder="1"/>
    <xf numFmtId="176" fontId="60" fillId="0" borderId="0" xfId="0" applyNumberFormat="1" applyFont="1" applyFill="1" applyBorder="1"/>
    <xf numFmtId="0" fontId="60" fillId="0" borderId="98" xfId="0" applyFont="1" applyFill="1" applyBorder="1" applyAlignment="1">
      <alignment vertical="center"/>
    </xf>
    <xf numFmtId="0" fontId="60" fillId="0" borderId="108" xfId="0" applyFont="1" applyFill="1" applyBorder="1" applyAlignment="1">
      <alignment vertical="center"/>
    </xf>
    <xf numFmtId="0" fontId="60" fillId="0" borderId="36" xfId="0" applyFont="1" applyFill="1" applyBorder="1" applyAlignment="1">
      <alignment vertical="center"/>
    </xf>
    <xf numFmtId="0" fontId="60" fillId="0" borderId="68" xfId="0" applyFont="1" applyFill="1" applyBorder="1" applyAlignment="1">
      <alignment vertical="center"/>
    </xf>
    <xf numFmtId="10" fontId="60" fillId="0" borderId="11" xfId="85" applyNumberFormat="1" applyFont="1" applyFill="1" applyBorder="1" applyAlignment="1">
      <alignment vertical="center"/>
    </xf>
    <xf numFmtId="0" fontId="60" fillId="0" borderId="37" xfId="0" applyFont="1" applyFill="1" applyBorder="1" applyAlignment="1">
      <alignment vertical="center"/>
    </xf>
    <xf numFmtId="0" fontId="60" fillId="0" borderId="100" xfId="0" applyFont="1" applyFill="1" applyBorder="1" applyAlignment="1">
      <alignment vertical="center"/>
    </xf>
    <xf numFmtId="0" fontId="60" fillId="0" borderId="31" xfId="0" applyFont="1" applyFill="1" applyBorder="1" applyAlignment="1">
      <alignment vertical="center"/>
    </xf>
    <xf numFmtId="0" fontId="60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8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60" fillId="0" borderId="111" xfId="0" applyFont="1" applyFill="1" applyBorder="1" applyAlignment="1">
      <alignment horizontal="center" vertical="center" wrapText="1"/>
    </xf>
    <xf numFmtId="0" fontId="60" fillId="0" borderId="71" xfId="0" applyFont="1" applyFill="1" applyBorder="1" applyAlignment="1">
      <alignment horizontal="center" vertical="center"/>
    </xf>
    <xf numFmtId="170" fontId="17" fillId="0" borderId="97" xfId="0" applyNumberFormat="1" applyFont="1" applyFill="1" applyBorder="1" applyAlignment="1">
      <alignment horizontal="right" vertical="center"/>
    </xf>
    <xf numFmtId="170" fontId="60" fillId="0" borderId="97" xfId="0" applyNumberFormat="1" applyFont="1" applyFill="1" applyBorder="1" applyAlignment="1">
      <alignment horizontal="right" vertical="center"/>
    </xf>
    <xf numFmtId="170" fontId="60" fillId="0" borderId="98" xfId="0" applyNumberFormat="1" applyFont="1" applyFill="1" applyBorder="1" applyAlignment="1">
      <alignment horizontal="right" vertical="center"/>
    </xf>
    <xf numFmtId="0" fontId="79" fillId="0" borderId="47" xfId="0" applyFont="1" applyBorder="1"/>
    <xf numFmtId="171" fontId="60" fillId="0" borderId="23" xfId="85" applyNumberFormat="1" applyFont="1" applyFill="1" applyBorder="1" applyAlignment="1">
      <alignment vertical="center"/>
    </xf>
    <xf numFmtId="1" fontId="60" fillId="0" borderId="21" xfId="0" applyNumberFormat="1" applyFont="1" applyFill="1" applyBorder="1" applyAlignment="1">
      <alignment vertical="center"/>
    </xf>
    <xf numFmtId="10" fontId="60" fillId="0" borderId="23" xfId="85" applyNumberFormat="1" applyFont="1" applyFill="1" applyBorder="1" applyAlignment="1">
      <alignment vertical="center"/>
    </xf>
    <xf numFmtId="0" fontId="62" fillId="0" borderId="0" xfId="0" applyFont="1" applyBorder="1" applyAlignment="1">
      <alignment horizontal="center" vertical="center" wrapText="1"/>
    </xf>
    <xf numFmtId="0" fontId="79" fillId="0" borderId="0" xfId="0" applyFont="1" applyBorder="1"/>
    <xf numFmtId="166" fontId="79" fillId="0" borderId="0" xfId="0" applyNumberFormat="1" applyFont="1" applyBorder="1"/>
    <xf numFmtId="1" fontId="60" fillId="0" borderId="37" xfId="0" applyNumberFormat="1" applyFont="1" applyFill="1" applyBorder="1" applyAlignment="1">
      <alignment vertical="center"/>
    </xf>
    <xf numFmtId="171" fontId="60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3" fillId="0" borderId="36" xfId="0" applyFont="1" applyFill="1" applyBorder="1"/>
    <xf numFmtId="0" fontId="13" fillId="0" borderId="0" xfId="0" applyFont="1" applyFill="1" applyBorder="1" applyAlignment="1">
      <alignment horizontal="center"/>
    </xf>
    <xf numFmtId="169" fontId="13" fillId="0" borderId="0" xfId="0" applyNumberFormat="1" applyFont="1" applyFill="1" applyBorder="1" applyAlignment="1">
      <alignment horizontal="center"/>
    </xf>
    <xf numFmtId="169" fontId="15" fillId="0" borderId="0" xfId="0" applyNumberFormat="1" applyFont="1" applyFill="1" applyBorder="1" applyAlignment="1">
      <alignment horizontal="center"/>
    </xf>
    <xf numFmtId="169" fontId="58" fillId="0" borderId="0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horizontal="center"/>
    </xf>
    <xf numFmtId="10" fontId="12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 applyAlignment="1">
      <alignment horizontal="center"/>
    </xf>
    <xf numFmtId="4" fontId="60" fillId="0" borderId="0" xfId="0" applyNumberFormat="1" applyFont="1" applyFill="1" applyBorder="1" applyAlignment="1">
      <alignment horizontal="center"/>
    </xf>
    <xf numFmtId="4" fontId="66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13" fillId="0" borderId="112" xfId="0" applyFont="1" applyBorder="1" applyAlignment="1">
      <alignment vertical="center"/>
    </xf>
    <xf numFmtId="0" fontId="13" fillId="0" borderId="113" xfId="0" applyFont="1" applyBorder="1" applyAlignment="1">
      <alignment vertical="center"/>
    </xf>
    <xf numFmtId="171" fontId="13" fillId="0" borderId="112" xfId="85" applyNumberFormat="1" applyFont="1" applyBorder="1" applyAlignment="1">
      <alignment vertical="center"/>
    </xf>
    <xf numFmtId="10" fontId="13" fillId="0" borderId="112" xfId="85" applyNumberFormat="1" applyFont="1" applyBorder="1" applyAlignment="1">
      <alignment vertical="center"/>
    </xf>
    <xf numFmtId="10" fontId="13" fillId="0" borderId="113" xfId="85" applyNumberFormat="1" applyFont="1" applyBorder="1" applyAlignment="1">
      <alignment vertical="center"/>
    </xf>
    <xf numFmtId="0" fontId="13" fillId="0" borderId="114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3" fillId="0" borderId="117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171" fontId="13" fillId="0" borderId="113" xfId="85" applyNumberFormat="1" applyFont="1" applyBorder="1" applyAlignment="1">
      <alignment vertical="center"/>
    </xf>
    <xf numFmtId="0" fontId="13" fillId="0" borderId="116" xfId="0" applyFont="1" applyBorder="1" applyAlignment="1">
      <alignment vertical="center"/>
    </xf>
    <xf numFmtId="10" fontId="13" fillId="0" borderId="116" xfId="85" applyNumberFormat="1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4" fontId="13" fillId="0" borderId="116" xfId="0" applyNumberFormat="1" applyFont="1" applyFill="1" applyBorder="1" applyAlignment="1">
      <alignment vertical="center"/>
    </xf>
    <xf numFmtId="4" fontId="13" fillId="0" borderId="112" xfId="0" applyNumberFormat="1" applyFont="1" applyFill="1" applyBorder="1" applyAlignment="1">
      <alignment vertical="center"/>
    </xf>
    <xf numFmtId="4" fontId="13" fillId="0" borderId="113" xfId="0" applyNumberFormat="1" applyFont="1" applyFill="1" applyBorder="1" applyAlignment="1">
      <alignment vertical="center"/>
    </xf>
    <xf numFmtId="10" fontId="13" fillId="0" borderId="116" xfId="0" applyNumberFormat="1" applyFont="1" applyFill="1" applyBorder="1" applyAlignment="1">
      <alignment vertical="center"/>
    </xf>
    <xf numFmtId="4" fontId="13" fillId="0" borderId="21" xfId="0" applyNumberFormat="1" applyFont="1" applyFill="1" applyBorder="1" applyAlignment="1">
      <alignment vertical="center"/>
    </xf>
    <xf numFmtId="4" fontId="13" fillId="0" borderId="114" xfId="0" applyNumberFormat="1" applyFont="1" applyFill="1" applyBorder="1" applyAlignment="1">
      <alignment vertical="center"/>
    </xf>
    <xf numFmtId="4" fontId="13" fillId="0" borderId="23" xfId="0" applyNumberFormat="1" applyFont="1" applyFill="1" applyBorder="1" applyAlignment="1">
      <alignment vertical="center"/>
    </xf>
    <xf numFmtId="0" fontId="13" fillId="0" borderId="121" xfId="0" applyFont="1" applyBorder="1" applyAlignment="1">
      <alignment horizontal="center" vertical="center"/>
    </xf>
    <xf numFmtId="4" fontId="13" fillId="0" borderId="16" xfId="0" applyNumberFormat="1" applyFont="1" applyFill="1" applyBorder="1" applyAlignment="1">
      <alignment vertical="center"/>
    </xf>
    <xf numFmtId="4" fontId="13" fillId="0" borderId="17" xfId="0" applyNumberFormat="1" applyFont="1" applyFill="1" applyBorder="1" applyAlignment="1">
      <alignment vertical="center"/>
    </xf>
    <xf numFmtId="4" fontId="13" fillId="0" borderId="18" xfId="0" applyNumberFormat="1" applyFont="1" applyFill="1" applyBorder="1" applyAlignment="1">
      <alignment vertical="center"/>
    </xf>
    <xf numFmtId="0" fontId="13" fillId="0" borderId="13" xfId="0" applyFont="1" applyBorder="1" applyAlignment="1">
      <alignment vertical="center" wrapText="1"/>
    </xf>
    <xf numFmtId="0" fontId="13" fillId="0" borderId="121" xfId="0" applyFont="1" applyFill="1" applyBorder="1" applyAlignment="1">
      <alignment horizontal="center" vertical="center"/>
    </xf>
    <xf numFmtId="0" fontId="13" fillId="0" borderId="17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3" fillId="34" borderId="121" xfId="0" applyFont="1" applyFill="1" applyBorder="1" applyAlignment="1">
      <alignment horizontal="center" vertical="center"/>
    </xf>
    <xf numFmtId="0" fontId="13" fillId="34" borderId="13" xfId="0" applyFont="1" applyFill="1" applyBorder="1" applyAlignment="1">
      <alignment vertical="center" wrapText="1"/>
    </xf>
    <xf numFmtId="4" fontId="13" fillId="34" borderId="16" xfId="0" applyNumberFormat="1" applyFont="1" applyFill="1" applyBorder="1" applyAlignment="1">
      <alignment vertical="center"/>
    </xf>
    <xf numFmtId="4" fontId="13" fillId="34" borderId="17" xfId="0" applyNumberFormat="1" applyFont="1" applyFill="1" applyBorder="1" applyAlignment="1">
      <alignment vertical="center"/>
    </xf>
    <xf numFmtId="4" fontId="13" fillId="34" borderId="18" xfId="0" applyNumberFormat="1" applyFont="1" applyFill="1" applyBorder="1" applyAlignment="1">
      <alignment vertical="center"/>
    </xf>
    <xf numFmtId="0" fontId="13" fillId="34" borderId="17" xfId="0" applyFont="1" applyFill="1" applyBorder="1" applyAlignment="1">
      <alignment vertical="center"/>
    </xf>
    <xf numFmtId="0" fontId="13" fillId="34" borderId="18" xfId="0" applyFont="1" applyFill="1" applyBorder="1" applyAlignment="1">
      <alignment vertical="center"/>
    </xf>
    <xf numFmtId="0" fontId="13" fillId="34" borderId="16" xfId="0" applyFont="1" applyFill="1" applyBorder="1" applyAlignment="1">
      <alignment vertical="center"/>
    </xf>
    <xf numFmtId="0" fontId="13" fillId="34" borderId="117" xfId="0" applyFont="1" applyFill="1" applyBorder="1" applyAlignment="1">
      <alignment vertical="center" wrapText="1"/>
    </xf>
    <xf numFmtId="4" fontId="13" fillId="34" borderId="116" xfId="0" applyNumberFormat="1" applyFont="1" applyFill="1" applyBorder="1" applyAlignment="1">
      <alignment vertical="center"/>
    </xf>
    <xf numFmtId="4" fontId="13" fillId="34" borderId="112" xfId="0" applyNumberFormat="1" applyFont="1" applyFill="1" applyBorder="1" applyAlignment="1">
      <alignment vertical="center"/>
    </xf>
    <xf numFmtId="4" fontId="13" fillId="34" borderId="113" xfId="0" applyNumberFormat="1" applyFont="1" applyFill="1" applyBorder="1" applyAlignment="1">
      <alignment vertical="center"/>
    </xf>
    <xf numFmtId="10" fontId="13" fillId="34" borderId="116" xfId="0" applyNumberFormat="1" applyFont="1" applyFill="1" applyBorder="1" applyAlignment="1">
      <alignment vertical="center"/>
    </xf>
    <xf numFmtId="171" fontId="13" fillId="34" borderId="112" xfId="85" applyNumberFormat="1" applyFont="1" applyFill="1" applyBorder="1" applyAlignment="1">
      <alignment vertical="center"/>
    </xf>
    <xf numFmtId="171" fontId="13" fillId="34" borderId="113" xfId="85" applyNumberFormat="1" applyFont="1" applyFill="1" applyBorder="1" applyAlignment="1">
      <alignment vertical="center"/>
    </xf>
    <xf numFmtId="10" fontId="13" fillId="34" borderId="116" xfId="85" applyNumberFormat="1" applyFont="1" applyFill="1" applyBorder="1" applyAlignment="1">
      <alignment vertical="center"/>
    </xf>
    <xf numFmtId="10" fontId="13" fillId="34" borderId="112" xfId="85" applyNumberFormat="1" applyFont="1" applyFill="1" applyBorder="1" applyAlignment="1">
      <alignment vertical="center"/>
    </xf>
    <xf numFmtId="10" fontId="13" fillId="34" borderId="113" xfId="85" applyNumberFormat="1" applyFont="1" applyFill="1" applyBorder="1" applyAlignment="1">
      <alignment vertical="center"/>
    </xf>
    <xf numFmtId="0" fontId="13" fillId="34" borderId="112" xfId="0" applyFont="1" applyFill="1" applyBorder="1" applyAlignment="1">
      <alignment vertical="center"/>
    </xf>
    <xf numFmtId="0" fontId="13" fillId="34" borderId="113" xfId="0" applyFont="1" applyFill="1" applyBorder="1" applyAlignment="1">
      <alignment vertical="center"/>
    </xf>
    <xf numFmtId="0" fontId="13" fillId="34" borderId="116" xfId="0" applyFont="1" applyFill="1" applyBorder="1" applyAlignment="1">
      <alignment vertical="center"/>
    </xf>
    <xf numFmtId="0" fontId="13" fillId="34" borderId="15" xfId="0" applyFont="1" applyFill="1" applyBorder="1" applyAlignment="1">
      <alignment vertical="center" wrapText="1"/>
    </xf>
    <xf numFmtId="4" fontId="13" fillId="34" borderId="21" xfId="0" applyNumberFormat="1" applyFont="1" applyFill="1" applyBorder="1" applyAlignment="1">
      <alignment vertical="center"/>
    </xf>
    <xf numFmtId="4" fontId="13" fillId="34" borderId="114" xfId="0" applyNumberFormat="1" applyFont="1" applyFill="1" applyBorder="1" applyAlignment="1">
      <alignment vertical="center"/>
    </xf>
    <xf numFmtId="4" fontId="13" fillId="34" borderId="23" xfId="0" applyNumberFormat="1" applyFont="1" applyFill="1" applyBorder="1" applyAlignment="1">
      <alignment vertical="center"/>
    </xf>
    <xf numFmtId="0" fontId="13" fillId="34" borderId="114" xfId="0" applyFont="1" applyFill="1" applyBorder="1" applyAlignment="1">
      <alignment vertical="center"/>
    </xf>
    <xf numFmtId="0" fontId="13" fillId="34" borderId="23" xfId="0" applyFont="1" applyFill="1" applyBorder="1" applyAlignment="1">
      <alignment vertical="center"/>
    </xf>
    <xf numFmtId="0" fontId="13" fillId="34" borderId="21" xfId="0" applyFont="1" applyFill="1" applyBorder="1" applyAlignment="1">
      <alignment vertical="center"/>
    </xf>
    <xf numFmtId="0" fontId="13" fillId="0" borderId="17" xfId="0" applyFont="1" applyFill="1" applyBorder="1" applyAlignment="1">
      <alignment vertical="center"/>
    </xf>
    <xf numFmtId="0" fontId="13" fillId="0" borderId="18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171" fontId="13" fillId="0" borderId="112" xfId="85" applyNumberFormat="1" applyFont="1" applyFill="1" applyBorder="1" applyAlignment="1">
      <alignment vertical="center"/>
    </xf>
    <xf numFmtId="171" fontId="13" fillId="0" borderId="113" xfId="85" applyNumberFormat="1" applyFont="1" applyFill="1" applyBorder="1" applyAlignment="1">
      <alignment vertical="center"/>
    </xf>
    <xf numFmtId="10" fontId="13" fillId="0" borderId="116" xfId="85" applyNumberFormat="1" applyFont="1" applyFill="1" applyBorder="1" applyAlignment="1">
      <alignment vertical="center"/>
    </xf>
    <xf numFmtId="10" fontId="13" fillId="0" borderId="112" xfId="85" applyNumberFormat="1" applyFont="1" applyFill="1" applyBorder="1" applyAlignment="1">
      <alignment vertical="center"/>
    </xf>
    <xf numFmtId="10" fontId="13" fillId="0" borderId="113" xfId="85" applyNumberFormat="1" applyFont="1" applyFill="1" applyBorder="1" applyAlignment="1">
      <alignment vertical="center"/>
    </xf>
    <xf numFmtId="0" fontId="13" fillId="0" borderId="112" xfId="0" applyFont="1" applyFill="1" applyBorder="1" applyAlignment="1">
      <alignment vertical="center"/>
    </xf>
    <xf numFmtId="0" fontId="13" fillId="0" borderId="113" xfId="0" applyFont="1" applyFill="1" applyBorder="1" applyAlignment="1">
      <alignment vertical="center"/>
    </xf>
    <xf numFmtId="0" fontId="13" fillId="0" borderId="116" xfId="0" applyFont="1" applyFill="1" applyBorder="1" applyAlignment="1">
      <alignment vertical="center"/>
    </xf>
    <xf numFmtId="0" fontId="13" fillId="0" borderId="114" xfId="0" applyFont="1" applyFill="1" applyBorder="1" applyAlignment="1">
      <alignment vertical="center"/>
    </xf>
    <xf numFmtId="0" fontId="13" fillId="0" borderId="23" xfId="0" applyFont="1" applyFill="1" applyBorder="1" applyAlignment="1">
      <alignment vertical="center"/>
    </xf>
    <xf numFmtId="0" fontId="13" fillId="0" borderId="21" xfId="0" applyFont="1" applyFill="1" applyBorder="1" applyAlignment="1">
      <alignment vertical="center"/>
    </xf>
    <xf numFmtId="0" fontId="60" fillId="0" borderId="21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/>
    </xf>
    <xf numFmtId="0" fontId="13" fillId="0" borderId="92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7" fillId="0" borderId="54" xfId="0" applyFont="1" applyBorder="1" applyAlignment="1">
      <alignment horizontal="center"/>
    </xf>
    <xf numFmtId="0" fontId="21" fillId="0" borderId="0" xfId="0" applyFont="1" applyBorder="1" applyAlignment="1">
      <alignment vertical="top" wrapText="1"/>
    </xf>
    <xf numFmtId="0" fontId="15" fillId="0" borderId="54" xfId="0" applyFont="1" applyBorder="1" applyAlignment="1">
      <alignment vertical="top" wrapText="1"/>
    </xf>
    <xf numFmtId="0" fontId="21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3" fillId="0" borderId="21" xfId="0" applyFont="1" applyBorder="1" applyAlignment="1">
      <alignment horizontal="left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13" fillId="0" borderId="127" xfId="0" applyFont="1" applyBorder="1" applyAlignment="1">
      <alignment horizontal="center" vertical="center" wrapText="1"/>
    </xf>
    <xf numFmtId="169" fontId="14" fillId="0" borderId="128" xfId="0" applyNumberFormat="1" applyFont="1" applyBorder="1" applyAlignment="1">
      <alignment horizontal="center"/>
    </xf>
    <xf numFmtId="169" fontId="14" fillId="0" borderId="114" xfId="0" applyNumberFormat="1" applyFont="1" applyBorder="1" applyAlignment="1">
      <alignment horizontal="center"/>
    </xf>
    <xf numFmtId="0" fontId="60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60" fillId="0" borderId="128" xfId="0" applyFont="1" applyBorder="1" applyAlignment="1">
      <alignment horizontal="center" vertical="center" wrapText="1"/>
    </xf>
    <xf numFmtId="0" fontId="13" fillId="0" borderId="132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131" xfId="0" applyFont="1" applyBorder="1" applyAlignment="1">
      <alignment horizontal="center"/>
    </xf>
    <xf numFmtId="0" fontId="13" fillId="0" borderId="131" xfId="0" applyFont="1" applyBorder="1" applyAlignment="1">
      <alignment horizontal="center" vertical="center"/>
    </xf>
    <xf numFmtId="169" fontId="13" fillId="0" borderId="131" xfId="0" applyNumberFormat="1" applyFont="1" applyBorder="1" applyAlignment="1">
      <alignment horizontal="center" vertical="center" wrapText="1"/>
    </xf>
    <xf numFmtId="0" fontId="13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7" fillId="0" borderId="16" xfId="0" applyNumberFormat="1" applyFont="1" applyFill="1" applyBorder="1" applyAlignment="1">
      <alignment horizontal="right" vertical="center"/>
    </xf>
    <xf numFmtId="178" fontId="17" fillId="0" borderId="17" xfId="0" applyNumberFormat="1" applyFont="1" applyFill="1" applyBorder="1" applyAlignment="1">
      <alignment horizontal="right" vertical="center"/>
    </xf>
    <xf numFmtId="178" fontId="60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3" fillId="0" borderId="134" xfId="0" applyFont="1" applyBorder="1" applyAlignment="1">
      <alignment vertical="center" wrapText="1"/>
    </xf>
    <xf numFmtId="0" fontId="13" fillId="0" borderId="135" xfId="0" applyFont="1" applyBorder="1" applyAlignment="1">
      <alignment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/>
    </xf>
    <xf numFmtId="0" fontId="13" fillId="0" borderId="133" xfId="0" applyFont="1" applyBorder="1" applyAlignment="1">
      <alignment horizontal="center"/>
    </xf>
    <xf numFmtId="0" fontId="13" fillId="0" borderId="133" xfId="0" applyFont="1" applyBorder="1" applyAlignment="1">
      <alignment horizontal="center" vertical="center"/>
    </xf>
    <xf numFmtId="169" fontId="13" fillId="0" borderId="133" xfId="0" applyNumberFormat="1" applyFont="1" applyBorder="1" applyAlignment="1">
      <alignment horizontal="center" vertical="center" wrapText="1"/>
    </xf>
    <xf numFmtId="0" fontId="13" fillId="0" borderId="98" xfId="0" applyFont="1" applyBorder="1" applyAlignment="1">
      <alignment horizontal="center"/>
    </xf>
    <xf numFmtId="0" fontId="61" fillId="0" borderId="133" xfId="0" applyFont="1" applyBorder="1" applyAlignment="1">
      <alignment vertical="center"/>
    </xf>
    <xf numFmtId="0" fontId="61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3" fillId="0" borderId="128" xfId="0" applyNumberFormat="1" applyFont="1" applyBorder="1" applyAlignment="1">
      <alignment horizontal="center"/>
    </xf>
    <xf numFmtId="169" fontId="13" fillId="0" borderId="128" xfId="0" applyNumberFormat="1" applyFont="1" applyBorder="1" applyAlignment="1">
      <alignment horizontal="center" vertical="center"/>
    </xf>
    <xf numFmtId="0" fontId="13" fillId="0" borderId="128" xfId="0" applyFont="1" applyBorder="1" applyAlignment="1">
      <alignment horizontal="center"/>
    </xf>
    <xf numFmtId="169" fontId="13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3" fillId="0" borderId="136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/>
    </xf>
    <xf numFmtId="169" fontId="14" fillId="0" borderId="133" xfId="0" applyNumberFormat="1" applyFont="1" applyBorder="1" applyAlignment="1">
      <alignment horizontal="center"/>
    </xf>
    <xf numFmtId="169" fontId="13" fillId="0" borderId="133" xfId="0" applyNumberFormat="1" applyFont="1" applyBorder="1" applyAlignment="1">
      <alignment horizontal="center"/>
    </xf>
    <xf numFmtId="169" fontId="13" fillId="0" borderId="98" xfId="0" applyNumberFormat="1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129" xfId="0" applyFont="1" applyBorder="1" applyAlignment="1">
      <alignment horizontal="center"/>
    </xf>
    <xf numFmtId="0" fontId="13" fillId="0" borderId="129" xfId="0" applyFont="1" applyBorder="1" applyAlignment="1">
      <alignment horizontal="center" vertical="center"/>
    </xf>
    <xf numFmtId="169" fontId="13" fillId="0" borderId="129" xfId="0" applyNumberFormat="1" applyFont="1" applyBorder="1" applyAlignment="1">
      <alignment horizontal="center" vertical="center" wrapText="1"/>
    </xf>
    <xf numFmtId="0" fontId="13" fillId="0" borderId="105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60" fillId="0" borderId="114" xfId="0" applyFont="1" applyBorder="1" applyAlignment="1">
      <alignment horizontal="center" vertical="center" wrapText="1"/>
    </xf>
    <xf numFmtId="0" fontId="60" fillId="0" borderId="114" xfId="0" applyFont="1" applyBorder="1" applyAlignment="1">
      <alignment horizontal="center" vertical="center" wrapText="1"/>
    </xf>
    <xf numFmtId="178" fontId="79" fillId="0" borderId="31" xfId="0" applyNumberFormat="1" applyFont="1" applyBorder="1" applyAlignment="1">
      <alignment vertical="center"/>
    </xf>
    <xf numFmtId="178" fontId="79" fillId="0" borderId="36" xfId="0" applyNumberFormat="1" applyFont="1" applyBorder="1" applyAlignment="1">
      <alignment vertical="center"/>
    </xf>
    <xf numFmtId="178" fontId="79" fillId="0" borderId="17" xfId="0" applyNumberFormat="1" applyFont="1" applyBorder="1" applyAlignment="1">
      <alignment vertical="center"/>
    </xf>
    <xf numFmtId="178" fontId="79" fillId="0" borderId="18" xfId="0" applyNumberFormat="1" applyFont="1" applyBorder="1" applyAlignment="1">
      <alignment vertical="center"/>
    </xf>
    <xf numFmtId="178" fontId="79" fillId="0" borderId="16" xfId="0" applyNumberFormat="1" applyFont="1" applyBorder="1" applyAlignment="1">
      <alignment vertical="center"/>
    </xf>
    <xf numFmtId="178" fontId="79" fillId="0" borderId="71" xfId="0" applyNumberFormat="1" applyFont="1" applyBorder="1" applyAlignment="1">
      <alignment vertical="center"/>
    </xf>
    <xf numFmtId="178" fontId="17" fillId="0" borderId="16" xfId="0" applyNumberFormat="1" applyFont="1" applyBorder="1" applyAlignment="1">
      <alignment horizontal="right" vertical="center"/>
    </xf>
    <xf numFmtId="178" fontId="80" fillId="0" borderId="17" xfId="0" applyNumberFormat="1" applyFont="1" applyBorder="1" applyAlignment="1">
      <alignment horizontal="right" vertical="center"/>
    </xf>
    <xf numFmtId="178" fontId="17" fillId="0" borderId="17" xfId="0" applyNumberFormat="1" applyFont="1" applyBorder="1" applyAlignment="1">
      <alignment horizontal="right" vertical="center"/>
    </xf>
    <xf numFmtId="178" fontId="17" fillId="0" borderId="27" xfId="0" applyNumberFormat="1" applyFont="1" applyBorder="1" applyAlignment="1">
      <alignment horizontal="right" vertical="center"/>
    </xf>
    <xf numFmtId="178" fontId="17" fillId="0" borderId="18" xfId="0" applyNumberFormat="1" applyFont="1" applyFill="1" applyBorder="1" applyAlignment="1">
      <alignment horizontal="right" vertical="center"/>
    </xf>
    <xf numFmtId="178" fontId="17" fillId="0" borderId="18" xfId="0" applyNumberFormat="1" applyFont="1" applyBorder="1" applyAlignment="1">
      <alignment horizontal="right" vertical="center"/>
    </xf>
    <xf numFmtId="178" fontId="79" fillId="0" borderId="91" xfId="0" applyNumberFormat="1" applyFont="1" applyBorder="1" applyAlignment="1">
      <alignment vertical="center"/>
    </xf>
    <xf numFmtId="178" fontId="79" fillId="0" borderId="133" xfId="0" applyNumberFormat="1" applyFont="1" applyBorder="1" applyAlignment="1">
      <alignment vertical="center"/>
    </xf>
    <xf numFmtId="178" fontId="79" fillId="0" borderId="128" xfId="0" applyNumberFormat="1" applyFont="1" applyBorder="1" applyAlignment="1">
      <alignment vertical="center"/>
    </xf>
    <xf numFmtId="178" fontId="79" fillId="0" borderId="113" xfId="0" applyNumberFormat="1" applyFont="1" applyBorder="1" applyAlignment="1">
      <alignment vertical="center"/>
    </xf>
    <xf numFmtId="178" fontId="79" fillId="0" borderId="116" xfId="0" applyNumberFormat="1" applyFont="1" applyBorder="1" applyAlignment="1">
      <alignment vertical="center"/>
    </xf>
    <xf numFmtId="178" fontId="60" fillId="0" borderId="20" xfId="0" applyNumberFormat="1" applyFont="1" applyFill="1" applyBorder="1" applyAlignment="1">
      <alignment horizontal="right" vertical="center"/>
    </xf>
    <xf numFmtId="178" fontId="17" fillId="0" borderId="20" xfId="0" applyNumberFormat="1" applyFont="1" applyFill="1" applyBorder="1" applyAlignment="1">
      <alignment horizontal="right" vertical="center"/>
    </xf>
    <xf numFmtId="178" fontId="60" fillId="0" borderId="91" xfId="0" applyNumberFormat="1" applyFont="1" applyBorder="1" applyAlignment="1">
      <alignment vertical="center"/>
    </xf>
    <xf numFmtId="178" fontId="60" fillId="0" borderId="133" xfId="0" applyNumberFormat="1" applyFont="1" applyBorder="1" applyAlignment="1">
      <alignment vertical="center"/>
    </xf>
    <xf numFmtId="178" fontId="60" fillId="0" borderId="128" xfId="0" applyNumberFormat="1" applyFont="1" applyBorder="1" applyAlignment="1">
      <alignment vertical="center"/>
    </xf>
    <xf numFmtId="178" fontId="60" fillId="0" borderId="113" xfId="0" applyNumberFormat="1" applyFont="1" applyBorder="1" applyAlignment="1">
      <alignment vertical="center"/>
    </xf>
    <xf numFmtId="178" fontId="60" fillId="0" borderId="116" xfId="0" applyNumberFormat="1" applyFont="1" applyBorder="1" applyAlignment="1">
      <alignment vertical="center"/>
    </xf>
    <xf numFmtId="178" fontId="17" fillId="0" borderId="91" xfId="0" applyNumberFormat="1" applyFont="1" applyBorder="1" applyAlignment="1">
      <alignment vertical="center"/>
    </xf>
    <xf numFmtId="178" fontId="17" fillId="0" borderId="133" xfId="0" applyNumberFormat="1" applyFont="1" applyBorder="1" applyAlignment="1">
      <alignment vertical="center"/>
    </xf>
    <xf numFmtId="178" fontId="17" fillId="0" borderId="128" xfId="0" applyNumberFormat="1" applyFont="1" applyBorder="1" applyAlignment="1">
      <alignment vertical="center"/>
    </xf>
    <xf numFmtId="178" fontId="17" fillId="0" borderId="113" xfId="0" applyNumberFormat="1" applyFont="1" applyBorder="1" applyAlignment="1">
      <alignment vertical="center"/>
    </xf>
    <xf numFmtId="178" fontId="17" fillId="0" borderId="116" xfId="0" applyNumberFormat="1" applyFont="1" applyBorder="1" applyAlignment="1">
      <alignment vertical="center"/>
    </xf>
    <xf numFmtId="178" fontId="60" fillId="0" borderId="94" xfId="0" applyNumberFormat="1" applyFont="1" applyBorder="1" applyAlignment="1">
      <alignment vertical="center"/>
    </xf>
    <xf numFmtId="178" fontId="60" fillId="0" borderId="136" xfId="0" applyNumberFormat="1" applyFont="1" applyBorder="1" applyAlignment="1">
      <alignment vertical="center"/>
    </xf>
    <xf numFmtId="178" fontId="60" fillId="0" borderId="127" xfId="0" applyNumberFormat="1" applyFont="1" applyBorder="1" applyAlignment="1">
      <alignment vertical="center"/>
    </xf>
    <xf numFmtId="178" fontId="60" fillId="0" borderId="88" xfId="0" applyNumberFormat="1" applyFont="1" applyFill="1" applyBorder="1" applyAlignment="1">
      <alignment horizontal="right" vertical="center"/>
    </xf>
    <xf numFmtId="178" fontId="60" fillId="0" borderId="98" xfId="0" applyNumberFormat="1" applyFont="1" applyBorder="1" applyAlignment="1">
      <alignment vertical="center"/>
    </xf>
    <xf numFmtId="178" fontId="60" fillId="0" borderId="114" xfId="0" applyNumberFormat="1" applyFont="1" applyBorder="1" applyAlignment="1">
      <alignment vertical="center"/>
    </xf>
    <xf numFmtId="178" fontId="60" fillId="0" borderId="23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horizontal="right" vertical="center"/>
    </xf>
    <xf numFmtId="178" fontId="60" fillId="0" borderId="114" xfId="0" applyNumberFormat="1" applyFont="1" applyBorder="1" applyAlignment="1">
      <alignment horizontal="right" vertical="center"/>
    </xf>
    <xf numFmtId="178" fontId="60" fillId="0" borderId="23" xfId="0" applyNumberFormat="1" applyFont="1" applyFill="1" applyBorder="1" applyAlignment="1">
      <alignment horizontal="right" vertical="center"/>
    </xf>
    <xf numFmtId="178" fontId="60" fillId="0" borderId="23" xfId="0" applyNumberFormat="1" applyFont="1" applyBorder="1" applyAlignment="1">
      <alignment horizontal="right" vertical="center"/>
    </xf>
    <xf numFmtId="178" fontId="60" fillId="0" borderId="116" xfId="0" applyNumberFormat="1" applyFont="1" applyFill="1" applyBorder="1" applyAlignment="1">
      <alignment horizontal="right" vertical="center"/>
    </xf>
    <xf numFmtId="178" fontId="17" fillId="0" borderId="137" xfId="0" applyNumberFormat="1" applyFont="1" applyFill="1" applyBorder="1" applyAlignment="1">
      <alignment horizontal="right" vertical="center"/>
    </xf>
    <xf numFmtId="178" fontId="17" fillId="0" borderId="138" xfId="0" applyNumberFormat="1" applyFont="1" applyFill="1" applyBorder="1" applyAlignment="1">
      <alignment horizontal="right" vertical="center"/>
    </xf>
    <xf numFmtId="178" fontId="60" fillId="0" borderId="113" xfId="0" applyNumberFormat="1" applyFont="1" applyBorder="1" applyAlignment="1">
      <alignment horizontal="right" vertical="center"/>
    </xf>
    <xf numFmtId="178" fontId="60" fillId="0" borderId="137" xfId="0" applyNumberFormat="1" applyFont="1" applyFill="1" applyBorder="1" applyAlignment="1">
      <alignment horizontal="right" vertical="center"/>
    </xf>
    <xf numFmtId="178" fontId="60" fillId="0" borderId="138" xfId="0" applyNumberFormat="1" applyFont="1" applyFill="1" applyBorder="1" applyAlignment="1">
      <alignment horizontal="right" vertical="center"/>
    </xf>
    <xf numFmtId="10" fontId="61" fillId="0" borderId="113" xfId="85" applyNumberFormat="1" applyFont="1" applyFill="1" applyBorder="1" applyAlignment="1">
      <alignment horizontal="right" vertical="center"/>
    </xf>
    <xf numFmtId="4" fontId="60" fillId="0" borderId="113" xfId="0" applyNumberFormat="1" applyFont="1" applyBorder="1" applyAlignment="1">
      <alignment horizontal="right" vertical="center"/>
    </xf>
    <xf numFmtId="178" fontId="17" fillId="0" borderId="116" xfId="0" applyNumberFormat="1" applyFont="1" applyFill="1" applyBorder="1" applyAlignment="1">
      <alignment horizontal="right" vertical="center"/>
    </xf>
    <xf numFmtId="178" fontId="17" fillId="0" borderId="113" xfId="0" applyNumberFormat="1" applyFont="1" applyBorder="1" applyAlignment="1">
      <alignment horizontal="right" vertical="center"/>
    </xf>
    <xf numFmtId="178" fontId="60" fillId="0" borderId="139" xfId="0" applyNumberFormat="1" applyFont="1" applyFill="1" applyBorder="1" applyAlignment="1">
      <alignment horizontal="right" vertical="center"/>
    </xf>
    <xf numFmtId="178" fontId="96" fillId="0" borderId="140" xfId="0" applyNumberFormat="1" applyFont="1" applyFill="1" applyBorder="1" applyAlignment="1">
      <alignment horizontal="right" vertical="center"/>
    </xf>
    <xf numFmtId="178" fontId="60" fillId="0" borderId="141" xfId="0" applyNumberFormat="1" applyFont="1" applyFill="1" applyBorder="1" applyAlignment="1">
      <alignment horizontal="right" vertical="center"/>
    </xf>
    <xf numFmtId="178" fontId="60" fillId="0" borderId="142" xfId="0" applyNumberFormat="1" applyFont="1" applyBorder="1" applyAlignment="1">
      <alignment horizontal="right" vertical="center"/>
    </xf>
    <xf numFmtId="178" fontId="60" fillId="0" borderId="116" xfId="0" applyNumberFormat="1" applyFont="1" applyBorder="1" applyAlignment="1">
      <alignment horizontal="right" vertical="center"/>
    </xf>
    <xf numFmtId="178" fontId="60" fillId="0" borderId="137" xfId="0" applyNumberFormat="1" applyFont="1" applyBorder="1" applyAlignment="1">
      <alignment horizontal="right" vertical="center"/>
    </xf>
    <xf numFmtId="178" fontId="60" fillId="0" borderId="141" xfId="0" applyNumberFormat="1" applyFont="1" applyBorder="1" applyAlignment="1">
      <alignment horizontal="right" vertical="center"/>
    </xf>
    <xf numFmtId="10" fontId="61" fillId="0" borderId="106" xfId="85" applyNumberFormat="1" applyFont="1" applyFill="1" applyBorder="1" applyAlignment="1">
      <alignment horizontal="right" vertical="center"/>
    </xf>
    <xf numFmtId="10" fontId="61" fillId="0" borderId="138" xfId="85" applyNumberFormat="1" applyFont="1" applyFill="1" applyBorder="1" applyAlignment="1">
      <alignment horizontal="right" vertical="center"/>
    </xf>
    <xf numFmtId="178" fontId="61" fillId="0" borderId="137" xfId="85" applyNumberFormat="1" applyFont="1" applyFill="1" applyBorder="1" applyAlignment="1">
      <alignment horizontal="right" vertical="center"/>
    </xf>
    <xf numFmtId="0" fontId="61" fillId="0" borderId="143" xfId="0" applyFont="1" applyBorder="1" applyAlignment="1">
      <alignment vertical="center" wrapText="1"/>
    </xf>
    <xf numFmtId="178" fontId="60" fillId="0" borderId="144" xfId="0" applyNumberFormat="1" applyFont="1" applyBorder="1" applyAlignment="1">
      <alignment vertical="center"/>
    </xf>
    <xf numFmtId="178" fontId="60" fillId="0" borderId="145" xfId="0" applyNumberFormat="1" applyFont="1" applyBorder="1" applyAlignment="1">
      <alignment vertical="center"/>
    </xf>
    <xf numFmtId="178" fontId="60" fillId="0" borderId="140" xfId="0" applyNumberFormat="1" applyFont="1" applyBorder="1" applyAlignment="1">
      <alignment vertical="center"/>
    </xf>
    <xf numFmtId="178" fontId="60" fillId="0" borderId="142" xfId="0" applyNumberFormat="1" applyFont="1" applyBorder="1" applyAlignment="1">
      <alignment vertical="center"/>
    </xf>
    <xf numFmtId="178" fontId="60" fillId="0" borderId="139" xfId="0" applyNumberFormat="1" applyFont="1" applyBorder="1" applyAlignment="1">
      <alignment vertical="center"/>
    </xf>
    <xf numFmtId="178" fontId="60" fillId="0" borderId="139" xfId="0" applyNumberFormat="1" applyFont="1" applyBorder="1" applyAlignment="1">
      <alignment horizontal="right" vertical="center"/>
    </xf>
    <xf numFmtId="178" fontId="60" fillId="0" borderId="140" xfId="0" applyNumberFormat="1" applyFont="1" applyBorder="1" applyAlignment="1">
      <alignment horizontal="right" vertical="center"/>
    </xf>
    <xf numFmtId="178" fontId="60" fillId="0" borderId="142" xfId="0" applyNumberFormat="1" applyFont="1" applyFill="1" applyBorder="1" applyAlignment="1">
      <alignment horizontal="right" vertical="center"/>
    </xf>
    <xf numFmtId="178" fontId="60" fillId="0" borderId="137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horizontal="right" vertical="center"/>
    </xf>
    <xf numFmtId="178" fontId="60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60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1" fillId="0" borderId="73" xfId="0" applyFont="1" applyBorder="1" applyAlignment="1">
      <alignment vertical="center" wrapText="1"/>
    </xf>
    <xf numFmtId="0" fontId="61" fillId="0" borderId="106" xfId="0" applyFont="1" applyBorder="1" applyAlignment="1">
      <alignment vertical="center" wrapText="1"/>
    </xf>
    <xf numFmtId="0" fontId="61" fillId="0" borderId="42" xfId="0" applyFont="1" applyBorder="1" applyAlignment="1">
      <alignment vertical="center" wrapText="1"/>
    </xf>
    <xf numFmtId="178" fontId="60" fillId="0" borderId="30" xfId="0" applyNumberFormat="1" applyFont="1" applyBorder="1" applyAlignment="1">
      <alignment vertical="center"/>
    </xf>
    <xf numFmtId="178" fontId="60" fillId="0" borderId="148" xfId="0" applyNumberFormat="1" applyFont="1" applyBorder="1" applyAlignment="1">
      <alignment vertical="center"/>
    </xf>
    <xf numFmtId="178" fontId="60" fillId="0" borderId="100" xfId="0" applyNumberFormat="1" applyFont="1" applyBorder="1" applyAlignment="1">
      <alignment vertical="center"/>
    </xf>
    <xf numFmtId="178" fontId="60" fillId="0" borderId="16" xfId="0" applyNumberFormat="1" applyFont="1" applyBorder="1" applyAlignment="1">
      <alignment vertical="center"/>
    </xf>
    <xf numFmtId="178" fontId="60" fillId="0" borderId="18" xfId="0" applyNumberFormat="1" applyFont="1" applyBorder="1" applyAlignment="1">
      <alignment vertical="center"/>
    </xf>
    <xf numFmtId="178" fontId="60" fillId="0" borderId="27" xfId="0" applyNumberFormat="1" applyFont="1" applyBorder="1" applyAlignment="1">
      <alignment vertical="center"/>
    </xf>
    <xf numFmtId="178" fontId="60" fillId="0" borderId="138" xfId="0" applyNumberFormat="1" applyFont="1" applyBorder="1" applyAlignment="1">
      <alignment vertical="center"/>
    </xf>
    <xf numFmtId="178" fontId="60" fillId="0" borderId="105" xfId="0" applyNumberFormat="1" applyFont="1" applyBorder="1" applyAlignment="1">
      <alignment vertical="center"/>
    </xf>
    <xf numFmtId="178" fontId="60" fillId="0" borderId="30" xfId="0" applyNumberFormat="1" applyFont="1" applyBorder="1" applyAlignment="1">
      <alignment horizontal="right" vertical="center"/>
    </xf>
    <xf numFmtId="178" fontId="60" fillId="0" borderId="148" xfId="0" applyNumberFormat="1" applyFont="1" applyBorder="1" applyAlignment="1">
      <alignment horizontal="right" vertical="center"/>
    </xf>
    <xf numFmtId="178" fontId="60" fillId="0" borderId="100" xfId="0" applyNumberFormat="1" applyFont="1" applyBorder="1" applyAlignment="1">
      <alignment horizontal="right" vertical="center"/>
    </xf>
    <xf numFmtId="178" fontId="60" fillId="0" borderId="27" xfId="0" applyNumberFormat="1" applyFont="1" applyFill="1" applyBorder="1" applyAlignment="1">
      <alignment horizontal="right" vertical="center"/>
    </xf>
    <xf numFmtId="178" fontId="60" fillId="0" borderId="105" xfId="0" applyNumberFormat="1" applyFont="1" applyFill="1" applyBorder="1" applyAlignment="1">
      <alignment horizontal="right" vertical="center"/>
    </xf>
    <xf numFmtId="178" fontId="60" fillId="0" borderId="16" xfId="0" applyNumberFormat="1" applyFont="1" applyBorder="1" applyAlignment="1">
      <alignment horizontal="right" vertical="center"/>
    </xf>
    <xf numFmtId="178" fontId="60" fillId="0" borderId="18" xfId="0" applyNumberFormat="1" applyFont="1" applyBorder="1" applyAlignment="1">
      <alignment horizontal="right" vertical="center"/>
    </xf>
    <xf numFmtId="178" fontId="60" fillId="0" borderId="27" xfId="0" applyNumberFormat="1" applyFont="1" applyBorder="1" applyAlignment="1">
      <alignment horizontal="right" vertical="center"/>
    </xf>
    <xf numFmtId="178" fontId="60" fillId="0" borderId="138" xfId="0" applyNumberFormat="1" applyFont="1" applyBorder="1" applyAlignment="1">
      <alignment horizontal="right" vertical="center"/>
    </xf>
    <xf numFmtId="0" fontId="13" fillId="0" borderId="16" xfId="0" applyFont="1" applyBorder="1" applyAlignment="1">
      <alignment horizontal="left" vertical="center" wrapText="1"/>
    </xf>
    <xf numFmtId="0" fontId="13" fillId="0" borderId="116" xfId="0" applyFont="1" applyBorder="1" applyAlignment="1">
      <alignment horizontal="left" vertical="center" wrapText="1"/>
    </xf>
    <xf numFmtId="0" fontId="13" fillId="0" borderId="140" xfId="0" applyFont="1" applyBorder="1" applyAlignment="1">
      <alignment horizontal="center" vertical="center" wrapText="1"/>
    </xf>
    <xf numFmtId="169" fontId="14" fillId="0" borderId="137" xfId="0" applyNumberFormat="1" applyFont="1" applyBorder="1" applyAlignment="1">
      <alignment horizontal="center"/>
    </xf>
    <xf numFmtId="178" fontId="17" fillId="0" borderId="30" xfId="0" applyNumberFormat="1" applyFont="1" applyFill="1" applyBorder="1" applyAlignment="1">
      <alignment horizontal="right" vertical="center"/>
    </xf>
    <xf numFmtId="178" fontId="60" fillId="0" borderId="148" xfId="0" applyNumberFormat="1" applyFont="1" applyFill="1" applyBorder="1" applyAlignment="1">
      <alignment horizontal="right" vertical="center"/>
    </xf>
    <xf numFmtId="10" fontId="61" fillId="0" borderId="149" xfId="85" applyNumberFormat="1" applyFont="1" applyFill="1" applyBorder="1" applyAlignment="1">
      <alignment horizontal="right" vertical="center"/>
    </xf>
    <xf numFmtId="178" fontId="17" fillId="0" borderId="148" xfId="0" applyNumberFormat="1" applyFont="1" applyFill="1" applyBorder="1" applyAlignment="1">
      <alignment horizontal="right" vertical="center"/>
    </xf>
    <xf numFmtId="10" fontId="61" fillId="0" borderId="137" xfId="85" applyNumberFormat="1" applyFont="1" applyBorder="1" applyAlignment="1">
      <alignment horizontal="right" vertical="center"/>
    </xf>
    <xf numFmtId="178" fontId="60" fillId="0" borderId="144" xfId="0" applyNumberFormat="1" applyFont="1" applyFill="1" applyBorder="1" applyAlignment="1">
      <alignment horizontal="right" vertical="center"/>
    </xf>
    <xf numFmtId="178" fontId="60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1" fillId="0" borderId="116" xfId="85" applyNumberFormat="1" applyFont="1" applyBorder="1" applyAlignment="1">
      <alignment horizontal="right" vertical="center"/>
    </xf>
    <xf numFmtId="178" fontId="60" fillId="0" borderId="98" xfId="0" applyNumberFormat="1" applyFont="1" applyBorder="1" applyAlignment="1">
      <alignment horizontal="right" vertical="center"/>
    </xf>
    <xf numFmtId="178" fontId="60" fillId="0" borderId="106" xfId="0" applyNumberFormat="1" applyFont="1" applyBorder="1" applyAlignment="1">
      <alignment horizontal="right" vertical="center"/>
    </xf>
    <xf numFmtId="10" fontId="61" fillId="0" borderId="138" xfId="85" applyNumberFormat="1" applyFont="1" applyBorder="1" applyAlignment="1">
      <alignment horizontal="right" vertical="center"/>
    </xf>
    <xf numFmtId="10" fontId="61" fillId="0" borderId="148" xfId="85" applyNumberFormat="1" applyFont="1" applyFill="1" applyBorder="1" applyAlignment="1">
      <alignment horizontal="right" vertical="center"/>
    </xf>
    <xf numFmtId="4" fontId="61" fillId="0" borderId="148" xfId="0" applyNumberFormat="1" applyFont="1" applyFill="1" applyBorder="1" applyAlignment="1">
      <alignment horizontal="right" vertical="center" wrapText="1"/>
    </xf>
    <xf numFmtId="10" fontId="61" fillId="0" borderId="113" xfId="85" applyNumberFormat="1" applyFont="1" applyBorder="1" applyAlignment="1">
      <alignment horizontal="right" vertical="center"/>
    </xf>
    <xf numFmtId="178" fontId="17" fillId="0" borderId="116" xfId="0" applyNumberFormat="1" applyFont="1" applyBorder="1" applyAlignment="1">
      <alignment horizontal="right" vertical="center"/>
    </xf>
    <xf numFmtId="178" fontId="80" fillId="0" borderId="27" xfId="0" applyNumberFormat="1" applyFont="1" applyBorder="1" applyAlignment="1">
      <alignment horizontal="right" vertical="center"/>
    </xf>
    <xf numFmtId="178" fontId="61" fillId="0" borderId="138" xfId="0" applyNumberFormat="1" applyFont="1" applyBorder="1" applyAlignment="1">
      <alignment horizontal="right" vertical="center"/>
    </xf>
    <xf numFmtId="4" fontId="61" fillId="0" borderId="138" xfId="0" applyNumberFormat="1" applyFont="1" applyBorder="1" applyAlignment="1">
      <alignment horizontal="right" vertical="center"/>
    </xf>
    <xf numFmtId="178" fontId="80" fillId="0" borderId="138" xfId="0" applyNumberFormat="1" applyFont="1" applyBorder="1" applyAlignment="1">
      <alignment horizontal="right" vertical="center"/>
    </xf>
    <xf numFmtId="178" fontId="17" fillId="0" borderId="71" xfId="0" applyNumberFormat="1" applyFont="1" applyBorder="1" applyAlignment="1">
      <alignment horizontal="right" vertical="center"/>
    </xf>
    <xf numFmtId="178" fontId="60" fillId="0" borderId="149" xfId="0" applyNumberFormat="1" applyFont="1" applyBorder="1" applyAlignment="1">
      <alignment horizontal="right" vertical="center"/>
    </xf>
    <xf numFmtId="10" fontId="61" fillId="0" borderId="149" xfId="85" applyNumberFormat="1" applyFont="1" applyBorder="1" applyAlignment="1">
      <alignment horizontal="right" vertical="center"/>
    </xf>
    <xf numFmtId="178" fontId="17" fillId="0" borderId="149" xfId="0" applyNumberFormat="1" applyFont="1" applyBorder="1" applyAlignment="1">
      <alignment horizontal="right" vertical="center"/>
    </xf>
    <xf numFmtId="178" fontId="17" fillId="0" borderId="138" xfId="0" applyNumberFormat="1" applyFont="1" applyBorder="1" applyAlignment="1">
      <alignment horizontal="right" vertical="center"/>
    </xf>
    <xf numFmtId="178" fontId="60" fillId="0" borderId="113" xfId="0" applyNumberFormat="1" applyFont="1" applyFill="1" applyBorder="1" applyAlignment="1">
      <alignment horizontal="right" vertical="center"/>
    </xf>
    <xf numFmtId="178" fontId="17" fillId="0" borderId="137" xfId="0" applyNumberFormat="1" applyFont="1" applyBorder="1" applyAlignment="1">
      <alignment horizontal="right" vertical="center"/>
    </xf>
    <xf numFmtId="178" fontId="17" fillId="0" borderId="113" xfId="0" applyNumberFormat="1" applyFont="1" applyFill="1" applyBorder="1" applyAlignment="1">
      <alignment horizontal="right" vertical="center"/>
    </xf>
    <xf numFmtId="178" fontId="79" fillId="0" borderId="27" xfId="0" applyNumberFormat="1" applyFont="1" applyBorder="1" applyAlignment="1">
      <alignment vertical="center"/>
    </xf>
    <xf numFmtId="178" fontId="79" fillId="0" borderId="138" xfId="0" applyNumberFormat="1" applyFont="1" applyBorder="1" applyAlignment="1">
      <alignment vertical="center"/>
    </xf>
    <xf numFmtId="0" fontId="61" fillId="0" borderId="138" xfId="0" applyFont="1" applyBorder="1" applyAlignment="1">
      <alignment vertical="center"/>
    </xf>
    <xf numFmtId="178" fontId="17" fillId="0" borderId="138" xfId="0" applyNumberFormat="1" applyFont="1" applyBorder="1" applyAlignment="1">
      <alignment vertical="center"/>
    </xf>
    <xf numFmtId="178" fontId="60" fillId="0" borderId="141" xfId="0" applyNumberFormat="1" applyFont="1" applyBorder="1" applyAlignment="1">
      <alignment vertical="center"/>
    </xf>
    <xf numFmtId="178" fontId="17" fillId="0" borderId="30" xfId="0" applyNumberFormat="1" applyFont="1" applyBorder="1" applyAlignment="1">
      <alignment horizontal="right" vertical="center"/>
    </xf>
    <xf numFmtId="10" fontId="61" fillId="0" borderId="148" xfId="85" applyNumberFormat="1" applyFont="1" applyBorder="1" applyAlignment="1">
      <alignment horizontal="right" vertical="center"/>
    </xf>
    <xf numFmtId="178" fontId="17" fillId="0" borderId="148" xfId="0" applyNumberFormat="1" applyFont="1" applyBorder="1" applyAlignment="1">
      <alignment horizontal="right" vertical="center"/>
    </xf>
    <xf numFmtId="178" fontId="60" fillId="0" borderId="144" xfId="0" applyNumberFormat="1" applyFont="1" applyBorder="1" applyAlignment="1">
      <alignment horizontal="right" vertical="center"/>
    </xf>
    <xf numFmtId="178" fontId="79" fillId="0" borderId="149" xfId="0" applyNumberFormat="1" applyFont="1" applyBorder="1" applyAlignment="1">
      <alignment vertical="center"/>
    </xf>
    <xf numFmtId="178" fontId="79" fillId="0" borderId="137" xfId="0" applyNumberFormat="1" applyFont="1" applyBorder="1" applyAlignment="1">
      <alignment vertical="center"/>
    </xf>
    <xf numFmtId="178" fontId="60" fillId="0" borderId="149" xfId="0" applyNumberFormat="1" applyFont="1" applyBorder="1" applyAlignment="1">
      <alignment vertical="center"/>
    </xf>
    <xf numFmtId="178" fontId="17" fillId="0" borderId="149" xfId="0" applyNumberFormat="1" applyFont="1" applyBorder="1" applyAlignment="1">
      <alignment vertical="center"/>
    </xf>
    <xf numFmtId="178" fontId="17" fillId="0" borderId="137" xfId="0" applyNumberFormat="1" applyFont="1" applyBorder="1" applyAlignment="1">
      <alignment vertical="center"/>
    </xf>
    <xf numFmtId="0" fontId="61" fillId="0" borderId="149" xfId="0" applyFont="1" applyBorder="1" applyAlignment="1">
      <alignment vertical="center"/>
    </xf>
    <xf numFmtId="10" fontId="17" fillId="0" borderId="113" xfId="85" applyNumberFormat="1" applyFont="1" applyBorder="1" applyAlignment="1">
      <alignment horizontal="right" vertical="center"/>
    </xf>
    <xf numFmtId="178" fontId="60" fillId="0" borderId="73" xfId="0" applyNumberFormat="1" applyFont="1" applyBorder="1" applyAlignment="1">
      <alignment horizontal="right" vertical="center"/>
    </xf>
    <xf numFmtId="178" fontId="60" fillId="0" borderId="42" xfId="0" applyNumberFormat="1" applyFont="1" applyBorder="1" applyAlignment="1">
      <alignment horizontal="right" vertical="center"/>
    </xf>
    <xf numFmtId="178" fontId="80" fillId="0" borderId="137" xfId="0" applyNumberFormat="1" applyFont="1" applyBorder="1" applyAlignment="1">
      <alignment horizontal="right" vertical="center"/>
    </xf>
    <xf numFmtId="178" fontId="61" fillId="0" borderId="137" xfId="0" applyNumberFormat="1" applyFont="1" applyBorder="1" applyAlignment="1">
      <alignment horizontal="right" vertical="center"/>
    </xf>
    <xf numFmtId="178" fontId="61" fillId="0" borderId="114" xfId="0" applyNumberFormat="1" applyFont="1" applyBorder="1" applyAlignment="1">
      <alignment horizontal="right" vertical="center"/>
    </xf>
    <xf numFmtId="0" fontId="17" fillId="0" borderId="117" xfId="0" applyFont="1" applyBorder="1" applyAlignment="1">
      <alignment vertical="center" wrapText="1"/>
    </xf>
    <xf numFmtId="0" fontId="60" fillId="0" borderId="117" xfId="0" applyFont="1" applyBorder="1" applyAlignment="1">
      <alignment vertical="center" wrapText="1"/>
    </xf>
    <xf numFmtId="178" fontId="60" fillId="0" borderId="100" xfId="0" applyNumberFormat="1" applyFont="1" applyFill="1" applyBorder="1" applyAlignment="1">
      <alignment horizontal="right" vertical="center"/>
    </xf>
    <xf numFmtId="178" fontId="17" fillId="0" borderId="27" xfId="0" applyNumberFormat="1" applyFont="1" applyFill="1" applyBorder="1" applyAlignment="1">
      <alignment horizontal="right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3" fillId="0" borderId="152" xfId="0" applyFont="1" applyBorder="1" applyAlignment="1">
      <alignment horizontal="center" vertical="center" wrapText="1"/>
    </xf>
    <xf numFmtId="169" fontId="14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60" fillId="0" borderId="117" xfId="0" applyNumberFormat="1" applyFont="1" applyBorder="1" applyAlignment="1">
      <alignment vertical="center"/>
    </xf>
    <xf numFmtId="0" fontId="79" fillId="0" borderId="157" xfId="0" applyFont="1" applyBorder="1" applyAlignment="1">
      <alignment vertical="center"/>
    </xf>
    <xf numFmtId="0" fontId="79" fillId="0" borderId="155" xfId="0" applyFont="1" applyBorder="1" applyAlignment="1">
      <alignment vertical="center"/>
    </xf>
    <xf numFmtId="0" fontId="79" fillId="0" borderId="156" xfId="0" applyFont="1" applyBorder="1" applyAlignment="1">
      <alignment vertical="center"/>
    </xf>
    <xf numFmtId="168" fontId="60" fillId="0" borderId="116" xfId="0" applyNumberFormat="1" applyFont="1" applyBorder="1" applyAlignment="1">
      <alignment horizontal="center" vertical="center"/>
    </xf>
    <xf numFmtId="169" fontId="60" fillId="0" borderId="155" xfId="0" applyNumberFormat="1" applyFont="1" applyBorder="1" applyAlignment="1">
      <alignment horizontal="center" vertical="center"/>
    </xf>
    <xf numFmtId="0" fontId="60" fillId="0" borderId="155" xfId="0" applyFont="1" applyBorder="1" applyAlignment="1">
      <alignment horizontal="center" vertical="center"/>
    </xf>
    <xf numFmtId="168" fontId="60" fillId="0" borderId="155" xfId="0" applyNumberFormat="1" applyFont="1" applyBorder="1" applyAlignment="1">
      <alignment horizontal="center" vertical="center"/>
    </xf>
    <xf numFmtId="4" fontId="60" fillId="0" borderId="155" xfId="0" applyNumberFormat="1" applyFont="1" applyBorder="1" applyAlignment="1">
      <alignment horizontal="center" vertical="center"/>
    </xf>
    <xf numFmtId="1" fontId="60" fillId="0" borderId="155" xfId="0" applyNumberFormat="1" applyFont="1" applyBorder="1" applyAlignment="1">
      <alignment horizontal="center" vertical="center"/>
    </xf>
    <xf numFmtId="2" fontId="60" fillId="0" borderId="155" xfId="0" applyNumberFormat="1" applyFont="1" applyBorder="1" applyAlignment="1">
      <alignment horizontal="center" vertical="center"/>
    </xf>
    <xf numFmtId="2" fontId="60" fillId="0" borderId="155" xfId="0" applyNumberFormat="1" applyFont="1" applyFill="1" applyBorder="1" applyAlignment="1">
      <alignment horizontal="center" vertical="center"/>
    </xf>
    <xf numFmtId="4" fontId="60" fillId="0" borderId="155" xfId="0" applyNumberFormat="1" applyFont="1" applyFill="1" applyBorder="1" applyAlignment="1">
      <alignment horizontal="center" vertical="center"/>
    </xf>
    <xf numFmtId="4" fontId="60" fillId="0" borderId="113" xfId="0" applyNumberFormat="1" applyFont="1" applyFill="1" applyBorder="1" applyAlignment="1">
      <alignment horizontal="center" vertical="center"/>
    </xf>
    <xf numFmtId="168" fontId="60" fillId="0" borderId="116" xfId="0" applyNumberFormat="1" applyFont="1" applyFill="1" applyBorder="1" applyAlignment="1">
      <alignment horizontal="center" vertical="center"/>
    </xf>
    <xf numFmtId="10" fontId="60" fillId="0" borderId="155" xfId="0" applyNumberFormat="1" applyFont="1" applyFill="1" applyBorder="1" applyAlignment="1">
      <alignment horizontal="center" vertical="center"/>
    </xf>
    <xf numFmtId="2" fontId="60" fillId="0" borderId="113" xfId="0" applyNumberFormat="1" applyFont="1" applyBorder="1" applyAlignment="1">
      <alignment horizontal="center" vertical="center"/>
    </xf>
    <xf numFmtId="168" fontId="96" fillId="0" borderId="101" xfId="0" applyNumberFormat="1" applyFont="1" applyBorder="1" applyAlignment="1">
      <alignment horizontal="center" vertical="center"/>
    </xf>
    <xf numFmtId="168" fontId="96" fillId="0" borderId="95" xfId="0" applyNumberFormat="1" applyFont="1" applyBorder="1" applyAlignment="1">
      <alignment horizontal="center" vertical="center"/>
    </xf>
    <xf numFmtId="0" fontId="81" fillId="0" borderId="117" xfId="0" applyFont="1" applyBorder="1" applyAlignment="1">
      <alignment vertical="center" wrapText="1"/>
    </xf>
    <xf numFmtId="0" fontId="81" fillId="32" borderId="116" xfId="0" applyFont="1" applyFill="1" applyBorder="1" applyAlignment="1">
      <alignment horizontal="center" vertical="center"/>
    </xf>
    <xf numFmtId="168" fontId="81" fillId="32" borderId="155" xfId="0" applyNumberFormat="1" applyFont="1" applyFill="1" applyBorder="1" applyAlignment="1">
      <alignment horizontal="center" vertical="center"/>
    </xf>
    <xf numFmtId="3" fontId="81" fillId="32" borderId="155" xfId="0" applyNumberFormat="1" applyFont="1" applyFill="1" applyBorder="1" applyAlignment="1">
      <alignment horizontal="center" vertical="center"/>
    </xf>
    <xf numFmtId="169" fontId="82" fillId="32" borderId="155" xfId="0" applyNumberFormat="1" applyFont="1" applyFill="1" applyBorder="1" applyAlignment="1">
      <alignment horizontal="center" vertical="center"/>
    </xf>
    <xf numFmtId="4" fontId="81" fillId="32" borderId="155" xfId="0" applyNumberFormat="1" applyFont="1" applyFill="1" applyBorder="1" applyAlignment="1">
      <alignment horizontal="center" vertical="center"/>
    </xf>
    <xf numFmtId="2" fontId="81" fillId="27" borderId="155" xfId="0" applyNumberFormat="1" applyFont="1" applyFill="1" applyBorder="1" applyAlignment="1">
      <alignment horizontal="center" vertical="center"/>
    </xf>
    <xf numFmtId="174" fontId="81" fillId="27" borderId="155" xfId="0" applyNumberFormat="1" applyFont="1" applyFill="1" applyBorder="1" applyAlignment="1">
      <alignment horizontal="center" vertical="center"/>
    </xf>
    <xf numFmtId="4" fontId="81" fillId="27" borderId="155" xfId="0" applyNumberFormat="1" applyFont="1" applyFill="1" applyBorder="1" applyAlignment="1">
      <alignment horizontal="center" vertical="center"/>
    </xf>
    <xf numFmtId="4" fontId="82" fillId="27" borderId="155" xfId="0" applyNumberFormat="1" applyFont="1" applyFill="1" applyBorder="1" applyAlignment="1">
      <alignment horizontal="center" vertical="center"/>
    </xf>
    <xf numFmtId="4" fontId="81" fillId="27" borderId="113" xfId="0" applyNumberFormat="1" applyFont="1" applyFill="1" applyBorder="1" applyAlignment="1">
      <alignment horizontal="center" vertical="center"/>
    </xf>
    <xf numFmtId="2" fontId="81" fillId="28" borderId="155" xfId="0" applyNumberFormat="1" applyFont="1" applyFill="1" applyBorder="1" applyAlignment="1">
      <alignment horizontal="center" vertical="center"/>
    </xf>
    <xf numFmtId="174" fontId="82" fillId="28" borderId="155" xfId="0" applyNumberFormat="1" applyFont="1" applyFill="1" applyBorder="1" applyAlignment="1">
      <alignment horizontal="center" vertical="center"/>
    </xf>
    <xf numFmtId="4" fontId="81" fillId="28" borderId="155" xfId="0" applyNumberFormat="1" applyFont="1" applyFill="1" applyBorder="1" applyAlignment="1">
      <alignment horizontal="center" vertical="center"/>
    </xf>
    <xf numFmtId="4" fontId="81" fillId="28" borderId="113" xfId="0" applyNumberFormat="1" applyFont="1" applyFill="1" applyBorder="1" applyAlignment="1">
      <alignment horizontal="center" vertical="center"/>
    </xf>
    <xf numFmtId="4" fontId="82" fillId="28" borderId="155" xfId="0" applyNumberFormat="1" applyFont="1" applyFill="1" applyBorder="1" applyAlignment="1">
      <alignment horizontal="center" vertical="center"/>
    </xf>
    <xf numFmtId="0" fontId="81" fillId="26" borderId="116" xfId="0" applyFont="1" applyFill="1" applyBorder="1" applyAlignment="1">
      <alignment horizontal="center" vertical="center"/>
    </xf>
    <xf numFmtId="168" fontId="81" fillId="26" borderId="155" xfId="0" applyNumberFormat="1" applyFont="1" applyFill="1" applyBorder="1" applyAlignment="1">
      <alignment horizontal="center" vertical="center"/>
    </xf>
    <xf numFmtId="3" fontId="81" fillId="26" borderId="155" xfId="0" applyNumberFormat="1" applyFont="1" applyFill="1" applyBorder="1" applyAlignment="1">
      <alignment horizontal="center" vertical="center"/>
    </xf>
    <xf numFmtId="171" fontId="82" fillId="26" borderId="155" xfId="85" applyNumberFormat="1" applyFont="1" applyFill="1" applyBorder="1" applyAlignment="1">
      <alignment horizontal="center" vertical="center"/>
    </xf>
    <xf numFmtId="4" fontId="81" fillId="26" borderId="156" xfId="0" applyNumberFormat="1" applyFont="1" applyFill="1" applyBorder="1" applyAlignment="1">
      <alignment horizontal="center" vertical="center"/>
    </xf>
    <xf numFmtId="2" fontId="81" fillId="27" borderId="116" xfId="0" applyNumberFormat="1" applyFont="1" applyFill="1" applyBorder="1" applyAlignment="1">
      <alignment horizontal="center" vertical="center"/>
    </xf>
    <xf numFmtId="10" fontId="82" fillId="27" borderId="155" xfId="85" applyNumberFormat="1" applyFont="1" applyFill="1" applyBorder="1" applyAlignment="1">
      <alignment horizontal="center" vertical="center"/>
    </xf>
    <xf numFmtId="0" fontId="48" fillId="0" borderId="0" xfId="96" applyFont="1"/>
    <xf numFmtId="0" fontId="48" fillId="35" borderId="0" xfId="96" applyFont="1" applyFill="1"/>
    <xf numFmtId="0" fontId="48" fillId="29" borderId="0" xfId="96" applyFont="1" applyFill="1"/>
    <xf numFmtId="0" fontId="48" fillId="36" borderId="0" xfId="96" applyFont="1" applyFill="1"/>
    <xf numFmtId="0" fontId="14" fillId="37" borderId="0" xfId="96" applyFont="1" applyFill="1"/>
    <xf numFmtId="0" fontId="97" fillId="35" borderId="0" xfId="96" applyFont="1" applyFill="1"/>
    <xf numFmtId="0" fontId="48" fillId="0" borderId="0" xfId="96" applyFont="1" applyAlignment="1">
      <alignment wrapText="1"/>
    </xf>
    <xf numFmtId="0" fontId="51" fillId="38" borderId="155" xfId="96" applyFont="1" applyFill="1" applyBorder="1" applyAlignment="1">
      <alignment horizontal="center"/>
    </xf>
    <xf numFmtId="0" fontId="16" fillId="38" borderId="155" xfId="96" applyFont="1" applyFill="1" applyBorder="1" applyAlignment="1">
      <alignment horizontal="left" vertical="center" wrapText="1"/>
    </xf>
    <xf numFmtId="0" fontId="48" fillId="38" borderId="155" xfId="96" applyFont="1" applyFill="1" applyBorder="1"/>
    <xf numFmtId="0" fontId="16" fillId="38" borderId="155" xfId="96" applyFont="1" applyFill="1" applyBorder="1" applyAlignment="1">
      <alignment horizontal="left" vertical="center" wrapText="1" indent="3"/>
    </xf>
    <xf numFmtId="0" fontId="16" fillId="38" borderId="155" xfId="96" applyFont="1" applyFill="1" applyBorder="1" applyAlignment="1">
      <alignment horizontal="center" vertical="center" wrapText="1"/>
    </xf>
    <xf numFmtId="0" fontId="48" fillId="38" borderId="155" xfId="96" applyFont="1" applyFill="1" applyBorder="1" applyAlignment="1">
      <alignment horizontal="center"/>
    </xf>
    <xf numFmtId="0" fontId="48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60" xfId="0" applyFont="1" applyBorder="1" applyAlignment="1">
      <alignment horizontal="center" vertical="center" wrapText="1"/>
    </xf>
    <xf numFmtId="169" fontId="14" fillId="0" borderId="161" xfId="0" applyNumberFormat="1" applyFont="1" applyBorder="1" applyAlignment="1">
      <alignment horizontal="center"/>
    </xf>
    <xf numFmtId="169" fontId="14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60" fillId="0" borderId="167" xfId="0" applyNumberFormat="1" applyFont="1" applyBorder="1" applyAlignment="1">
      <alignment horizontal="center" vertical="center"/>
    </xf>
    <xf numFmtId="4" fontId="60" fillId="0" borderId="167" xfId="0" applyNumberFormat="1" applyFont="1" applyBorder="1" applyAlignment="1">
      <alignment horizontal="center" vertical="center"/>
    </xf>
    <xf numFmtId="0" fontId="60" fillId="0" borderId="167" xfId="0" applyFont="1" applyBorder="1" applyAlignment="1">
      <alignment horizontal="center" vertical="center"/>
    </xf>
    <xf numFmtId="0" fontId="6" fillId="0" borderId="0" xfId="147"/>
    <xf numFmtId="0" fontId="106" fillId="0" borderId="167" xfId="147" applyFont="1" applyBorder="1" applyAlignment="1">
      <alignment horizontal="center" wrapText="1"/>
    </xf>
    <xf numFmtId="0" fontId="106" fillId="0" borderId="167" xfId="147" applyFont="1" applyBorder="1" applyAlignment="1">
      <alignment horizontal="center"/>
    </xf>
    <xf numFmtId="0" fontId="106" fillId="0" borderId="167" xfId="147" applyFont="1" applyBorder="1" applyAlignment="1">
      <alignment wrapText="1"/>
    </xf>
    <xf numFmtId="0" fontId="55" fillId="0" borderId="80" xfId="147" applyFont="1" applyBorder="1" applyAlignment="1">
      <alignment horizontal="center" vertical="center" wrapText="1"/>
    </xf>
    <xf numFmtId="0" fontId="55" fillId="0" borderId="77" xfId="147" applyFont="1" applyBorder="1" applyAlignment="1">
      <alignment horizontal="center" vertical="center" wrapText="1"/>
    </xf>
    <xf numFmtId="0" fontId="55" fillId="0" borderId="75" xfId="147" applyFont="1" applyBorder="1" applyAlignment="1">
      <alignment horizontal="center" vertical="center" wrapText="1"/>
    </xf>
    <xf numFmtId="1" fontId="55" fillId="0" borderId="40" xfId="147" applyNumberFormat="1" applyFont="1" applyBorder="1" applyAlignment="1">
      <alignment horizontal="center" vertical="center" wrapText="1"/>
    </xf>
    <xf numFmtId="4" fontId="55" fillId="0" borderId="35" xfId="147" applyNumberFormat="1" applyFont="1" applyFill="1" applyBorder="1" applyAlignment="1">
      <alignment horizontal="center" vertical="center" wrapText="1"/>
    </xf>
    <xf numFmtId="1" fontId="55" fillId="0" borderId="40" xfId="147" applyNumberFormat="1" applyFont="1" applyFill="1" applyBorder="1" applyAlignment="1">
      <alignment horizontal="center" vertical="center" wrapText="1"/>
    </xf>
    <xf numFmtId="4" fontId="55" fillId="0" borderId="38" xfId="147" applyNumberFormat="1" applyFont="1" applyFill="1" applyBorder="1" applyAlignment="1">
      <alignment horizontal="center" vertical="center" wrapText="1"/>
    </xf>
    <xf numFmtId="4" fontId="55" fillId="0" borderId="40" xfId="147" applyNumberFormat="1" applyFont="1" applyFill="1" applyBorder="1" applyAlignment="1">
      <alignment horizontal="center" vertical="center" wrapText="1"/>
    </xf>
    <xf numFmtId="4" fontId="55" fillId="0" borderId="171" xfId="147" applyNumberFormat="1" applyFont="1" applyBorder="1" applyAlignment="1">
      <alignment horizontal="center" vertical="center" wrapText="1"/>
    </xf>
    <xf numFmtId="4" fontId="55" fillId="0" borderId="168" xfId="147" applyNumberFormat="1" applyFont="1" applyFill="1" applyBorder="1" applyAlignment="1">
      <alignment horizontal="center" vertical="center" wrapText="1"/>
    </xf>
    <xf numFmtId="178" fontId="55" fillId="0" borderId="171" xfId="147" applyNumberFormat="1" applyFont="1" applyFill="1" applyBorder="1" applyAlignment="1">
      <alignment horizontal="center" vertical="center" wrapText="1"/>
    </xf>
    <xf numFmtId="4" fontId="55" fillId="0" borderId="170" xfId="147" applyNumberFormat="1" applyFont="1" applyFill="1" applyBorder="1" applyAlignment="1">
      <alignment horizontal="center" vertical="center" wrapText="1"/>
    </xf>
    <xf numFmtId="4" fontId="55" fillId="0" borderId="171" xfId="147" applyNumberFormat="1" applyFont="1" applyFill="1" applyBorder="1" applyAlignment="1">
      <alignment horizontal="center" vertical="center" wrapText="1"/>
    </xf>
    <xf numFmtId="1" fontId="55" fillId="0" borderId="171" xfId="147" applyNumberFormat="1" applyFont="1" applyBorder="1" applyAlignment="1">
      <alignment horizontal="center" vertical="center" wrapText="1"/>
    </xf>
    <xf numFmtId="4" fontId="55" fillId="0" borderId="168" xfId="147" applyNumberFormat="1" applyFont="1" applyBorder="1" applyAlignment="1">
      <alignment horizontal="center" vertical="center" wrapText="1"/>
    </xf>
    <xf numFmtId="4" fontId="55" fillId="0" borderId="170" xfId="147" applyNumberFormat="1" applyFont="1" applyBorder="1" applyAlignment="1">
      <alignment horizontal="center" vertical="center" wrapText="1"/>
    </xf>
    <xf numFmtId="171" fontId="55" fillId="0" borderId="139" xfId="147" applyNumberFormat="1" applyFont="1" applyFill="1" applyBorder="1" applyAlignment="1">
      <alignment horizontal="center" vertical="center" wrapText="1"/>
    </xf>
    <xf numFmtId="4" fontId="55" fillId="0" borderId="142" xfId="147" applyNumberFormat="1" applyFont="1" applyBorder="1" applyAlignment="1">
      <alignment horizontal="center" vertical="center" wrapText="1"/>
    </xf>
    <xf numFmtId="9" fontId="55" fillId="0" borderId="171" xfId="147" applyNumberFormat="1" applyFont="1" applyBorder="1" applyAlignment="1">
      <alignment horizontal="center" vertical="center" wrapText="1"/>
    </xf>
    <xf numFmtId="9" fontId="55" fillId="0" borderId="146" xfId="147" applyNumberFormat="1" applyFont="1" applyBorder="1" applyAlignment="1">
      <alignment horizontal="center" vertical="center" wrapText="1"/>
    </xf>
    <xf numFmtId="3" fontId="54" fillId="41" borderId="52" xfId="147" applyNumberFormat="1" applyFont="1" applyFill="1" applyBorder="1" applyAlignment="1">
      <alignment horizontal="center" vertical="center" wrapText="1"/>
    </xf>
    <xf numFmtId="4" fontId="54" fillId="41" borderId="77" xfId="147" applyNumberFormat="1" applyFont="1" applyFill="1" applyBorder="1" applyAlignment="1">
      <alignment horizontal="center" vertical="center" wrapText="1"/>
    </xf>
    <xf numFmtId="0" fontId="13" fillId="0" borderId="0" xfId="147" applyFont="1"/>
    <xf numFmtId="0" fontId="13" fillId="0" borderId="167" xfId="147" applyFont="1" applyBorder="1" applyAlignment="1">
      <alignment horizontal="center"/>
    </xf>
    <xf numFmtId="168" fontId="13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7" fillId="0" borderId="173" xfId="85" applyNumberFormat="1" applyFont="1" applyFill="1" applyBorder="1" applyAlignment="1">
      <alignment vertical="center"/>
    </xf>
    <xf numFmtId="10" fontId="17" fillId="0" borderId="0" xfId="85" applyNumberFormat="1" applyFont="1" applyFill="1" applyBorder="1" applyAlignment="1">
      <alignment vertical="center"/>
    </xf>
    <xf numFmtId="0" fontId="107" fillId="0" borderId="0" xfId="147" applyFont="1"/>
    <xf numFmtId="0" fontId="108" fillId="0" borderId="0" xfId="147" applyFont="1"/>
    <xf numFmtId="0" fontId="109" fillId="0" borderId="0" xfId="147" applyFont="1"/>
    <xf numFmtId="0" fontId="109" fillId="0" borderId="174" xfId="147" applyFont="1" applyBorder="1"/>
    <xf numFmtId="0" fontId="109" fillId="0" borderId="11" xfId="147" applyFont="1" applyBorder="1"/>
    <xf numFmtId="0" fontId="109" fillId="0" borderId="167" xfId="147" applyFont="1" applyBorder="1"/>
    <xf numFmtId="0" fontId="109" fillId="0" borderId="167" xfId="147" applyFont="1" applyBorder="1" applyAlignment="1">
      <alignment horizontal="center"/>
    </xf>
    <xf numFmtId="0" fontId="108" fillId="0" borderId="167" xfId="147" applyFont="1" applyBorder="1"/>
    <xf numFmtId="0" fontId="108" fillId="0" borderId="167" xfId="147" applyFont="1" applyBorder="1" applyAlignment="1">
      <alignment horizontal="center"/>
    </xf>
    <xf numFmtId="0" fontId="108" fillId="0" borderId="61" xfId="147" applyFont="1" applyFill="1" applyBorder="1"/>
    <xf numFmtId="0" fontId="109" fillId="0" borderId="0" xfId="147" applyFont="1" applyAlignment="1">
      <alignment horizontal="center"/>
    </xf>
    <xf numFmtId="0" fontId="109" fillId="0" borderId="167" xfId="147" applyFont="1" applyBorder="1" applyAlignment="1">
      <alignment horizontal="right"/>
    </xf>
    <xf numFmtId="0" fontId="108" fillId="0" borderId="167" xfId="147" applyFont="1" applyFill="1" applyBorder="1"/>
    <xf numFmtId="0" fontId="6" fillId="0" borderId="167" xfId="147" applyBorder="1"/>
    <xf numFmtId="0" fontId="108" fillId="0" borderId="167" xfId="147" applyFont="1" applyFill="1" applyBorder="1" applyAlignment="1">
      <alignment horizontal="center"/>
    </xf>
    <xf numFmtId="0" fontId="107" fillId="0" borderId="167" xfId="147" applyFont="1" applyBorder="1"/>
    <xf numFmtId="0" fontId="107" fillId="0" borderId="167" xfId="147" applyFont="1" applyFill="1" applyBorder="1"/>
    <xf numFmtId="0" fontId="110" fillId="0" borderId="167" xfId="147" applyFont="1" applyBorder="1"/>
    <xf numFmtId="0" fontId="109" fillId="0" borderId="167" xfId="147" applyFont="1" applyFill="1" applyBorder="1"/>
    <xf numFmtId="0" fontId="109" fillId="0" borderId="167" xfId="147" applyFont="1" applyFill="1" applyBorder="1" applyAlignment="1">
      <alignment horizontal="center"/>
    </xf>
    <xf numFmtId="0" fontId="111" fillId="0" borderId="167" xfId="147" applyFont="1" applyFill="1" applyBorder="1"/>
    <xf numFmtId="0" fontId="111" fillId="0" borderId="167" xfId="147" applyFont="1" applyBorder="1"/>
    <xf numFmtId="169" fontId="111" fillId="0" borderId="167" xfId="147" applyNumberFormat="1" applyFont="1" applyBorder="1"/>
    <xf numFmtId="0" fontId="110" fillId="0" borderId="167" xfId="147" applyFont="1" applyFill="1" applyBorder="1"/>
    <xf numFmtId="0" fontId="104" fillId="0" borderId="167" xfId="147" applyFont="1" applyBorder="1"/>
    <xf numFmtId="0" fontId="109" fillId="0" borderId="167" xfId="147" applyFont="1" applyBorder="1" applyAlignment="1">
      <alignment horizontal="left"/>
    </xf>
    <xf numFmtId="0" fontId="108" fillId="0" borderId="167" xfId="147" applyFont="1" applyBorder="1" applyAlignment="1">
      <alignment horizontal="left"/>
    </xf>
    <xf numFmtId="0" fontId="6" fillId="0" borderId="167" xfId="147" applyBorder="1" applyAlignment="1">
      <alignment horizontal="left"/>
    </xf>
    <xf numFmtId="0" fontId="110" fillId="0" borderId="167" xfId="147" applyFont="1" applyBorder="1" applyAlignment="1">
      <alignment horizontal="left"/>
    </xf>
    <xf numFmtId="0" fontId="111" fillId="0" borderId="167" xfId="147" applyFont="1" applyBorder="1" applyAlignment="1">
      <alignment horizontal="left"/>
    </xf>
    <xf numFmtId="0" fontId="112" fillId="0" borderId="167" xfId="147" applyFont="1" applyFill="1" applyBorder="1"/>
    <xf numFmtId="0" fontId="112" fillId="0" borderId="167" xfId="147" applyFont="1" applyBorder="1"/>
    <xf numFmtId="0" fontId="110" fillId="0" borderId="167" xfId="147" applyFont="1" applyFill="1" applyBorder="1" applyAlignment="1">
      <alignment horizontal="left"/>
    </xf>
    <xf numFmtId="0" fontId="109" fillId="0" borderId="174" xfId="147" applyFont="1" applyBorder="1" applyAlignment="1">
      <alignment horizontal="center"/>
    </xf>
    <xf numFmtId="0" fontId="109" fillId="0" borderId="11" xfId="147" applyFont="1" applyBorder="1" applyAlignment="1">
      <alignment horizontal="center"/>
    </xf>
    <xf numFmtId="0" fontId="6" fillId="0" borderId="167" xfId="147" applyBorder="1" applyAlignment="1">
      <alignment horizontal="center"/>
    </xf>
    <xf numFmtId="0" fontId="110" fillId="0" borderId="167" xfId="147" applyFont="1" applyBorder="1" applyAlignment="1">
      <alignment horizontal="center"/>
    </xf>
    <xf numFmtId="0" fontId="104" fillId="0" borderId="167" xfId="147" applyFont="1" applyBorder="1" applyAlignment="1">
      <alignment horizontal="center"/>
    </xf>
    <xf numFmtId="0" fontId="111" fillId="0" borderId="167" xfId="147" applyFont="1" applyBorder="1" applyAlignment="1">
      <alignment horizontal="center"/>
    </xf>
    <xf numFmtId="0" fontId="110" fillId="0" borderId="167" xfId="147" applyFont="1" applyBorder="1" applyAlignment="1">
      <alignment horizontal="center" wrapText="1"/>
    </xf>
    <xf numFmtId="0" fontId="113" fillId="0" borderId="167" xfId="147" applyFont="1" applyFill="1" applyBorder="1"/>
    <xf numFmtId="0" fontId="110" fillId="0" borderId="167" xfId="147" applyFont="1" applyBorder="1" applyAlignment="1">
      <alignment horizontal="left" wrapText="1"/>
    </xf>
    <xf numFmtId="0" fontId="110" fillId="0" borderId="167" xfId="147" applyFont="1" applyBorder="1" applyAlignment="1">
      <alignment wrapText="1"/>
    </xf>
    <xf numFmtId="2" fontId="110" fillId="0" borderId="167" xfId="147" applyNumberFormat="1" applyFont="1" applyBorder="1"/>
    <xf numFmtId="2" fontId="111" fillId="0" borderId="167" xfId="147" applyNumberFormat="1" applyFont="1" applyBorder="1"/>
    <xf numFmtId="2" fontId="104" fillId="0" borderId="167" xfId="147" applyNumberFormat="1" applyFont="1" applyBorder="1"/>
    <xf numFmtId="167" fontId="60" fillId="0" borderId="92" xfId="0" applyNumberFormat="1" applyFont="1" applyFill="1" applyBorder="1" applyAlignment="1">
      <alignment horizontal="center" vertical="center"/>
    </xf>
    <xf numFmtId="167" fontId="60" fillId="0" borderId="22" xfId="0" applyNumberFormat="1" applyFont="1" applyFill="1" applyBorder="1" applyAlignment="1">
      <alignment horizontal="center" vertical="center"/>
    </xf>
    <xf numFmtId="0" fontId="106" fillId="0" borderId="175" xfId="147" applyFont="1" applyBorder="1" applyAlignment="1">
      <alignment wrapText="1"/>
    </xf>
    <xf numFmtId="0" fontId="106" fillId="0" borderId="175" xfId="147" applyFont="1" applyBorder="1" applyAlignment="1">
      <alignment horizontal="center" wrapText="1"/>
    </xf>
    <xf numFmtId="0" fontId="106" fillId="0" borderId="175" xfId="147" applyFont="1" applyBorder="1" applyAlignment="1">
      <alignment horizontal="center"/>
    </xf>
    <xf numFmtId="0" fontId="60" fillId="0" borderId="175" xfId="0" applyFont="1" applyBorder="1" applyAlignment="1">
      <alignment horizontal="center" vertical="center"/>
    </xf>
    <xf numFmtId="171" fontId="60" fillId="0" borderId="175" xfId="85" applyNumberFormat="1" applyFont="1" applyFill="1" applyBorder="1" applyAlignment="1">
      <alignment vertical="center"/>
    </xf>
    <xf numFmtId="0" fontId="5" fillId="0" borderId="175" xfId="149" applyBorder="1" applyAlignment="1">
      <alignment wrapText="1"/>
    </xf>
    <xf numFmtId="0" fontId="5" fillId="0" borderId="0" xfId="149"/>
    <xf numFmtId="0" fontId="104" fillId="0" borderId="175" xfId="149" applyFont="1" applyBorder="1" applyAlignment="1">
      <alignment horizontal="center"/>
    </xf>
    <xf numFmtId="4" fontId="5" fillId="0" borderId="175" xfId="149" applyNumberFormat="1" applyBorder="1"/>
    <xf numFmtId="0" fontId="5" fillId="0" borderId="175" xfId="149" applyBorder="1"/>
    <xf numFmtId="4" fontId="104" fillId="0" borderId="175" xfId="149" applyNumberFormat="1" applyFont="1" applyBorder="1"/>
    <xf numFmtId="0" fontId="104" fillId="0" borderId="180" xfId="149" applyFont="1" applyBorder="1" applyAlignment="1">
      <alignment horizontal="center"/>
    </xf>
    <xf numFmtId="4" fontId="5" fillId="0" borderId="180" xfId="149" applyNumberFormat="1" applyBorder="1"/>
    <xf numFmtId="4" fontId="104" fillId="0" borderId="180" xfId="149" applyNumberFormat="1" applyFont="1" applyBorder="1"/>
    <xf numFmtId="0" fontId="5" fillId="0" borderId="180" xfId="149" applyBorder="1"/>
    <xf numFmtId="0" fontId="116" fillId="0" borderId="175" xfId="149" applyFont="1" applyBorder="1" applyAlignment="1">
      <alignment wrapText="1"/>
    </xf>
    <xf numFmtId="4" fontId="116" fillId="0" borderId="175" xfId="149" applyNumberFormat="1" applyFont="1" applyBorder="1"/>
    <xf numFmtId="4" fontId="116" fillId="0" borderId="180" xfId="149" applyNumberFormat="1" applyFont="1" applyBorder="1"/>
    <xf numFmtId="0" fontId="116" fillId="0" borderId="175" xfId="149" applyFont="1" applyBorder="1"/>
    <xf numFmtId="0" fontId="116" fillId="0" borderId="0" xfId="149" applyFont="1"/>
    <xf numFmtId="3" fontId="0" fillId="0" borderId="0" xfId="0" applyNumberFormat="1"/>
    <xf numFmtId="0" fontId="0" fillId="0" borderId="0" xfId="79" applyFont="1"/>
    <xf numFmtId="0" fontId="0" fillId="0" borderId="175" xfId="0" applyBorder="1"/>
    <xf numFmtId="171" fontId="88" fillId="0" borderId="0" xfId="85" applyNumberFormat="1" applyFont="1" applyFill="1" applyBorder="1" applyAlignment="1">
      <alignment horizontal="center"/>
    </xf>
    <xf numFmtId="0" fontId="50" fillId="0" borderId="0" xfId="0" applyFont="1" applyAlignment="1">
      <alignment vertical="center"/>
    </xf>
    <xf numFmtId="4" fontId="50" fillId="0" borderId="0" xfId="0" applyNumberFormat="1" applyFont="1"/>
    <xf numFmtId="0" fontId="60" fillId="0" borderId="184" xfId="0" applyFont="1" applyFill="1" applyBorder="1" applyAlignment="1">
      <alignment horizontal="center" vertical="center" wrapText="1"/>
    </xf>
    <xf numFmtId="0" fontId="60" fillId="0" borderId="189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4" fontId="80" fillId="0" borderId="0" xfId="0" applyNumberFormat="1" applyFont="1" applyFill="1" applyBorder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00" xfId="0" applyFont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0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60" fillId="0" borderId="27" xfId="0" applyFont="1" applyFill="1" applyBorder="1" applyAlignment="1">
      <alignment horizontal="center" vertical="center"/>
    </xf>
    <xf numFmtId="0" fontId="60" fillId="0" borderId="2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/>
    </xf>
    <xf numFmtId="0" fontId="60" fillId="0" borderId="162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4" fillId="0" borderId="0" xfId="149" applyFont="1"/>
    <xf numFmtId="0" fontId="86" fillId="0" borderId="0" xfId="0" applyFont="1"/>
    <xf numFmtId="0" fontId="64" fillId="0" borderId="0" xfId="0" applyFont="1"/>
    <xf numFmtId="0" fontId="121" fillId="0" borderId="55" xfId="0" applyFont="1" applyBorder="1" applyAlignment="1">
      <alignment horizontal="right" vertical="top" wrapText="1"/>
    </xf>
    <xf numFmtId="0" fontId="120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60" fillId="27" borderId="100" xfId="0" applyFont="1" applyFill="1" applyBorder="1" applyAlignment="1">
      <alignment horizontal="center" vertical="center" wrapText="1"/>
    </xf>
    <xf numFmtId="0" fontId="60" fillId="27" borderId="162" xfId="0" applyFont="1" applyFill="1" applyBorder="1" applyAlignment="1">
      <alignment horizontal="center" vertical="center" wrapText="1"/>
    </xf>
    <xf numFmtId="0" fontId="60" fillId="27" borderId="163" xfId="0" applyFont="1" applyFill="1" applyBorder="1" applyAlignment="1">
      <alignment horizontal="center" vertical="center" wrapText="1"/>
    </xf>
    <xf numFmtId="0" fontId="60" fillId="0" borderId="163" xfId="0" applyFont="1" applyBorder="1" applyAlignment="1">
      <alignment horizontal="center" vertical="center" wrapText="1"/>
    </xf>
    <xf numFmtId="0" fontId="60" fillId="0" borderId="184" xfId="0" applyFont="1" applyBorder="1" applyAlignment="1">
      <alignment horizontal="center" vertical="center" wrapText="1"/>
    </xf>
    <xf numFmtId="0" fontId="60" fillId="24" borderId="188" xfId="0" applyFont="1" applyFill="1" applyBorder="1" applyAlignment="1">
      <alignment horizontal="center" vertical="center" wrapText="1"/>
    </xf>
    <xf numFmtId="0" fontId="60" fillId="24" borderId="184" xfId="0" applyFont="1" applyFill="1" applyBorder="1" applyAlignment="1">
      <alignment horizontal="center" vertical="center" wrapText="1"/>
    </xf>
    <xf numFmtId="0" fontId="60" fillId="24" borderId="189" xfId="0" applyFont="1" applyFill="1" applyBorder="1" applyAlignment="1">
      <alignment horizontal="center" vertical="center" wrapText="1"/>
    </xf>
    <xf numFmtId="0" fontId="60" fillId="24" borderId="178" xfId="0" applyFont="1" applyFill="1" applyBorder="1" applyAlignment="1">
      <alignment horizontal="center" vertical="center" wrapText="1"/>
    </xf>
    <xf numFmtId="0" fontId="60" fillId="0" borderId="188" xfId="0" applyFont="1" applyFill="1" applyBorder="1" applyAlignment="1">
      <alignment horizontal="center" vertical="center" wrapText="1"/>
    </xf>
    <xf numFmtId="0" fontId="60" fillId="0" borderId="176" xfId="0" applyFont="1" applyFill="1" applyBorder="1" applyAlignment="1">
      <alignment horizontal="center" vertical="center" wrapText="1"/>
    </xf>
    <xf numFmtId="0" fontId="60" fillId="0" borderId="173" xfId="0" applyFont="1" applyFill="1" applyBorder="1" applyAlignment="1">
      <alignment horizontal="center" vertical="center" wrapText="1"/>
    </xf>
    <xf numFmtId="0" fontId="60" fillId="0" borderId="175" xfId="0" applyFont="1" applyFill="1" applyBorder="1"/>
    <xf numFmtId="0" fontId="17" fillId="0" borderId="169" xfId="0" applyFont="1" applyBorder="1" applyAlignment="1">
      <alignment horizontal="left" vertical="center"/>
    </xf>
    <xf numFmtId="0" fontId="17" fillId="0" borderId="170" xfId="0" applyFont="1" applyBorder="1" applyAlignment="1">
      <alignment wrapText="1"/>
    </xf>
    <xf numFmtId="1" fontId="17" fillId="0" borderId="187" xfId="0" applyNumberFormat="1" applyFont="1" applyBorder="1" applyAlignment="1">
      <alignment horizontal="right" vertical="center" indent="1"/>
    </xf>
    <xf numFmtId="3" fontId="17" fillId="0" borderId="175" xfId="0" applyNumberFormat="1" applyFont="1" applyBorder="1" applyAlignment="1">
      <alignment horizontal="right" vertical="center" indent="1"/>
    </xf>
    <xf numFmtId="170" fontId="17" fillId="0" borderId="170" xfId="0" applyNumberFormat="1" applyFont="1" applyBorder="1" applyAlignment="1">
      <alignment horizontal="right" vertical="center"/>
    </xf>
    <xf numFmtId="3" fontId="17" fillId="27" borderId="169" xfId="0" applyNumberFormat="1" applyFont="1" applyFill="1" applyBorder="1" applyAlignment="1">
      <alignment horizontal="right" vertical="center" indent="1"/>
    </xf>
    <xf numFmtId="3" fontId="17" fillId="27" borderId="175" xfId="0" applyNumberFormat="1" applyFont="1" applyFill="1" applyBorder="1" applyAlignment="1">
      <alignment horizontal="right" vertical="center" indent="1"/>
    </xf>
    <xf numFmtId="170" fontId="17" fillId="27" borderId="185" xfId="0" applyNumberFormat="1" applyFont="1" applyFill="1" applyBorder="1" applyAlignment="1">
      <alignment horizontal="right" vertical="center"/>
    </xf>
    <xf numFmtId="1" fontId="17" fillId="0" borderId="169" xfId="0" applyNumberFormat="1" applyFont="1" applyBorder="1" applyAlignment="1">
      <alignment horizontal="right" vertical="center" indent="1"/>
    </xf>
    <xf numFmtId="171" fontId="17" fillId="0" borderId="175" xfId="0" applyNumberFormat="1" applyFont="1" applyBorder="1" applyAlignment="1">
      <alignment horizontal="center" vertical="center" wrapText="1"/>
    </xf>
    <xf numFmtId="170" fontId="17" fillId="0" borderId="185" xfId="0" applyNumberFormat="1" applyFont="1" applyBorder="1" applyAlignment="1">
      <alignment horizontal="right" vertical="center"/>
    </xf>
    <xf numFmtId="170" fontId="17" fillId="0" borderId="186" xfId="0" applyNumberFormat="1" applyFont="1" applyBorder="1" applyAlignment="1">
      <alignment horizontal="center" vertical="center"/>
    </xf>
    <xf numFmtId="3" fontId="17" fillId="0" borderId="175" xfId="0" applyNumberFormat="1" applyFont="1" applyBorder="1" applyAlignment="1">
      <alignment horizontal="center" vertical="center"/>
    </xf>
    <xf numFmtId="0" fontId="17" fillId="0" borderId="169" xfId="0" applyFont="1" applyBorder="1" applyAlignment="1">
      <alignment horizontal="center" vertical="center"/>
    </xf>
    <xf numFmtId="1" fontId="17" fillId="0" borderId="175" xfId="0" applyNumberFormat="1" applyFont="1" applyBorder="1" applyAlignment="1">
      <alignment horizontal="center" vertical="center"/>
    </xf>
    <xf numFmtId="169" fontId="17" fillId="0" borderId="170" xfId="0" applyNumberFormat="1" applyFont="1" applyBorder="1" applyAlignment="1">
      <alignment horizontal="center" vertical="center"/>
    </xf>
    <xf numFmtId="0" fontId="17" fillId="0" borderId="187" xfId="0" applyFont="1" applyBorder="1" applyAlignment="1">
      <alignment horizontal="center" vertical="center"/>
    </xf>
    <xf numFmtId="169" fontId="17" fillId="0" borderId="185" xfId="0" applyNumberFormat="1" applyFont="1" applyBorder="1" applyAlignment="1">
      <alignment horizontal="center" vertical="center"/>
    </xf>
    <xf numFmtId="1" fontId="17" fillId="0" borderId="169" xfId="0" applyNumberFormat="1" applyFont="1" applyFill="1" applyBorder="1" applyAlignment="1">
      <alignment horizontal="center" vertical="center"/>
    </xf>
    <xf numFmtId="3" fontId="17" fillId="0" borderId="175" xfId="0" applyNumberFormat="1" applyFont="1" applyFill="1" applyBorder="1" applyAlignment="1">
      <alignment horizontal="right" vertical="center" indent="1"/>
    </xf>
    <xf numFmtId="170" fontId="17" fillId="0" borderId="170" xfId="0" applyNumberFormat="1" applyFont="1" applyFill="1" applyBorder="1" applyAlignment="1">
      <alignment horizontal="right" vertical="center"/>
    </xf>
    <xf numFmtId="3" fontId="17" fillId="0" borderId="185" xfId="0" applyNumberFormat="1" applyFont="1" applyFill="1" applyBorder="1" applyAlignment="1">
      <alignment horizontal="right" vertical="center" indent="1"/>
    </xf>
    <xf numFmtId="1" fontId="17" fillId="0" borderId="169" xfId="0" applyNumberFormat="1" applyFont="1" applyFill="1" applyBorder="1" applyAlignment="1">
      <alignment horizontal="right" vertical="center" indent="1"/>
    </xf>
    <xf numFmtId="170" fontId="17" fillId="0" borderId="175" xfId="0" applyNumberFormat="1" applyFont="1" applyFill="1" applyBorder="1" applyAlignment="1">
      <alignment horizontal="right" vertical="center" indent="1"/>
    </xf>
    <xf numFmtId="170" fontId="17" fillId="0" borderId="175" xfId="0" applyNumberFormat="1" applyFont="1" applyFill="1" applyBorder="1" applyAlignment="1">
      <alignment horizontal="right" vertical="center"/>
    </xf>
    <xf numFmtId="170" fontId="17" fillId="0" borderId="170" xfId="0" applyNumberFormat="1" applyFont="1" applyFill="1" applyBorder="1" applyAlignment="1">
      <alignment horizontal="right" vertical="center" indent="1"/>
    </xf>
    <xf numFmtId="170" fontId="17" fillId="0" borderId="185" xfId="0" applyNumberFormat="1" applyFont="1" applyFill="1" applyBorder="1" applyAlignment="1">
      <alignment horizontal="right" vertical="center" indent="1"/>
    </xf>
    <xf numFmtId="170" fontId="17" fillId="0" borderId="186" xfId="0" applyNumberFormat="1" applyFont="1" applyFill="1" applyBorder="1" applyAlignment="1">
      <alignment horizontal="right" vertical="center"/>
    </xf>
    <xf numFmtId="170" fontId="17" fillId="0" borderId="185" xfId="0" applyNumberFormat="1" applyFont="1" applyFill="1" applyBorder="1" applyAlignment="1">
      <alignment horizontal="right" vertical="center"/>
    </xf>
    <xf numFmtId="166" fontId="79" fillId="0" borderId="166" xfId="0" applyNumberFormat="1" applyFont="1" applyBorder="1"/>
    <xf numFmtId="0" fontId="60" fillId="0" borderId="169" xfId="0" applyFont="1" applyBorder="1" applyAlignment="1">
      <alignment horizontal="left" vertical="center"/>
    </xf>
    <xf numFmtId="0" fontId="60" fillId="0" borderId="170" xfId="0" applyFont="1" applyBorder="1"/>
    <xf numFmtId="1" fontId="60" fillId="0" borderId="187" xfId="0" applyNumberFormat="1" applyFont="1" applyBorder="1" applyAlignment="1">
      <alignment horizontal="right" vertical="center" indent="1"/>
    </xf>
    <xf numFmtId="3" fontId="60" fillId="0" borderId="175" xfId="0" applyNumberFormat="1" applyFont="1" applyBorder="1" applyAlignment="1">
      <alignment horizontal="right" vertical="center" indent="1"/>
    </xf>
    <xf numFmtId="170" fontId="60" fillId="0" borderId="170" xfId="0" applyNumberFormat="1" applyFont="1" applyBorder="1" applyAlignment="1">
      <alignment horizontal="right" vertical="center"/>
    </xf>
    <xf numFmtId="3" fontId="60" fillId="27" borderId="169" xfId="0" applyNumberFormat="1" applyFont="1" applyFill="1" applyBorder="1" applyAlignment="1">
      <alignment horizontal="right" vertical="center" indent="1"/>
    </xf>
    <xf numFmtId="3" fontId="60" fillId="27" borderId="175" xfId="0" applyNumberFormat="1" applyFont="1" applyFill="1" applyBorder="1" applyAlignment="1">
      <alignment horizontal="right" vertical="center" indent="1"/>
    </xf>
    <xf numFmtId="170" fontId="60" fillId="27" borderId="185" xfId="0" applyNumberFormat="1" applyFont="1" applyFill="1" applyBorder="1" applyAlignment="1">
      <alignment horizontal="right" vertical="center"/>
    </xf>
    <xf numFmtId="1" fontId="60" fillId="0" borderId="169" xfId="0" applyNumberFormat="1" applyFont="1" applyBorder="1" applyAlignment="1">
      <alignment horizontal="right" vertical="center" indent="1"/>
    </xf>
    <xf numFmtId="170" fontId="60" fillId="0" borderId="185" xfId="0" applyNumberFormat="1" applyFont="1" applyBorder="1" applyAlignment="1">
      <alignment horizontal="right" vertical="center"/>
    </xf>
    <xf numFmtId="1" fontId="60" fillId="0" borderId="186" xfId="0" applyNumberFormat="1" applyFont="1" applyBorder="1" applyAlignment="1">
      <alignment horizontal="center" vertical="center"/>
    </xf>
    <xf numFmtId="170" fontId="60" fillId="0" borderId="186" xfId="0" applyNumberFormat="1" applyFont="1" applyBorder="1" applyAlignment="1">
      <alignment horizontal="right" vertical="center"/>
    </xf>
    <xf numFmtId="0" fontId="60" fillId="0" borderId="169" xfId="0" applyFont="1" applyBorder="1" applyAlignment="1">
      <alignment horizontal="center" vertical="center"/>
    </xf>
    <xf numFmtId="1" fontId="60" fillId="0" borderId="175" xfId="0" applyNumberFormat="1" applyFont="1" applyBorder="1" applyAlignment="1">
      <alignment horizontal="center" vertical="center"/>
    </xf>
    <xf numFmtId="169" fontId="60" fillId="0" borderId="170" xfId="0" applyNumberFormat="1" applyFont="1" applyBorder="1" applyAlignment="1">
      <alignment horizontal="center" vertical="center"/>
    </xf>
    <xf numFmtId="0" fontId="60" fillId="0" borderId="187" xfId="0" applyFont="1" applyBorder="1" applyAlignment="1">
      <alignment horizontal="center" vertical="center"/>
    </xf>
    <xf numFmtId="1" fontId="60" fillId="0" borderId="175" xfId="0" applyNumberFormat="1" applyFont="1" applyFill="1" applyBorder="1" applyAlignment="1">
      <alignment horizontal="center" vertical="center"/>
    </xf>
    <xf numFmtId="169" fontId="60" fillId="0" borderId="185" xfId="0" applyNumberFormat="1" applyFont="1" applyBorder="1" applyAlignment="1">
      <alignment horizontal="center" vertical="center"/>
    </xf>
    <xf numFmtId="0" fontId="60" fillId="0" borderId="169" xfId="0" applyFont="1" applyFill="1" applyBorder="1" applyAlignment="1">
      <alignment horizontal="center" vertical="center"/>
    </xf>
    <xf numFmtId="170" fontId="60" fillId="0" borderId="170" xfId="0" applyNumberFormat="1" applyFont="1" applyFill="1" applyBorder="1" applyAlignment="1">
      <alignment horizontal="right" vertical="center"/>
    </xf>
    <xf numFmtId="3" fontId="60" fillId="0" borderId="185" xfId="0" applyNumberFormat="1" applyFont="1" applyFill="1" applyBorder="1" applyAlignment="1">
      <alignment horizontal="right" vertical="center" indent="1"/>
    </xf>
    <xf numFmtId="170" fontId="60" fillId="0" borderId="175" xfId="0" applyNumberFormat="1" applyFont="1" applyFill="1" applyBorder="1" applyAlignment="1">
      <alignment horizontal="right" vertical="center" indent="1"/>
    </xf>
    <xf numFmtId="170" fontId="60" fillId="0" borderId="175" xfId="0" applyNumberFormat="1" applyFont="1" applyFill="1" applyBorder="1" applyAlignment="1">
      <alignment horizontal="right" vertical="center"/>
    </xf>
    <xf numFmtId="170" fontId="60" fillId="0" borderId="170" xfId="0" applyNumberFormat="1" applyFont="1" applyFill="1" applyBorder="1" applyAlignment="1">
      <alignment horizontal="right" vertical="center" indent="1"/>
    </xf>
    <xf numFmtId="3" fontId="60" fillId="0" borderId="175" xfId="0" applyNumberFormat="1" applyFont="1" applyFill="1" applyBorder="1" applyAlignment="1">
      <alignment horizontal="center" vertical="center"/>
    </xf>
    <xf numFmtId="170" fontId="60" fillId="0" borderId="185" xfId="0" applyNumberFormat="1" applyFont="1" applyFill="1" applyBorder="1" applyAlignment="1">
      <alignment horizontal="right" vertical="center" indent="1"/>
    </xf>
    <xf numFmtId="170" fontId="60" fillId="0" borderId="186" xfId="0" applyNumberFormat="1" applyFont="1" applyFill="1" applyBorder="1" applyAlignment="1">
      <alignment horizontal="right" vertical="center"/>
    </xf>
    <xf numFmtId="170" fontId="60" fillId="0" borderId="185" xfId="0" applyNumberFormat="1" applyFont="1" applyFill="1" applyBorder="1" applyAlignment="1">
      <alignment horizontal="right" vertical="center"/>
    </xf>
    <xf numFmtId="169" fontId="60" fillId="0" borderId="169" xfId="0" applyNumberFormat="1" applyFont="1" applyBorder="1" applyAlignment="1">
      <alignment horizontal="right" vertical="center" indent="1"/>
    </xf>
    <xf numFmtId="3" fontId="60" fillId="0" borderId="186" xfId="0" applyNumberFormat="1" applyFont="1" applyBorder="1" applyAlignment="1">
      <alignment horizontal="center" vertical="center"/>
    </xf>
    <xf numFmtId="3" fontId="60" fillId="0" borderId="175" xfId="0" applyNumberFormat="1" applyFont="1" applyBorder="1" applyAlignment="1">
      <alignment horizontal="center" vertical="center"/>
    </xf>
    <xf numFmtId="170" fontId="60" fillId="0" borderId="175" xfId="0" applyNumberFormat="1" applyFont="1" applyBorder="1" applyAlignment="1">
      <alignment horizontal="right" vertical="center"/>
    </xf>
    <xf numFmtId="1" fontId="83" fillId="0" borderId="169" xfId="0" applyNumberFormat="1" applyFont="1" applyFill="1" applyBorder="1" applyAlignment="1">
      <alignment horizontal="center" vertical="center"/>
    </xf>
    <xf numFmtId="3" fontId="83" fillId="0" borderId="175" xfId="0" applyNumberFormat="1" applyFont="1" applyFill="1" applyBorder="1" applyAlignment="1">
      <alignment horizontal="right" vertical="center" indent="1"/>
    </xf>
    <xf numFmtId="170" fontId="83" fillId="0" borderId="170" xfId="0" applyNumberFormat="1" applyFont="1" applyFill="1" applyBorder="1" applyAlignment="1">
      <alignment horizontal="right" vertical="center"/>
    </xf>
    <xf numFmtId="0" fontId="60" fillId="0" borderId="170" xfId="0" applyFont="1" applyBorder="1" applyAlignment="1">
      <alignment wrapText="1"/>
    </xf>
    <xf numFmtId="1" fontId="60" fillId="0" borderId="100" xfId="0" applyNumberFormat="1" applyFont="1" applyBorder="1" applyAlignment="1">
      <alignment horizontal="right" vertical="center" indent="1"/>
    </xf>
    <xf numFmtId="3" fontId="60" fillId="0" borderId="162" xfId="0" applyNumberFormat="1" applyFont="1" applyBorder="1" applyAlignment="1">
      <alignment horizontal="right" vertical="center" indent="1"/>
    </xf>
    <xf numFmtId="3" fontId="60" fillId="27" borderId="162" xfId="0" applyNumberFormat="1" applyFont="1" applyFill="1" applyBorder="1" applyAlignment="1">
      <alignment horizontal="right" vertical="center" indent="1"/>
    </xf>
    <xf numFmtId="170" fontId="60" fillId="27" borderId="163" xfId="0" applyNumberFormat="1" applyFont="1" applyFill="1" applyBorder="1" applyAlignment="1">
      <alignment horizontal="right" vertical="center"/>
    </xf>
    <xf numFmtId="171" fontId="17" fillId="0" borderId="162" xfId="0" applyNumberFormat="1" applyFont="1" applyBorder="1" applyAlignment="1">
      <alignment horizontal="center" vertical="center" wrapText="1"/>
    </xf>
    <xf numFmtId="170" fontId="60" fillId="0" borderId="163" xfId="0" applyNumberFormat="1" applyFont="1" applyBorder="1" applyAlignment="1">
      <alignment horizontal="right" vertical="center"/>
    </xf>
    <xf numFmtId="3" fontId="60" fillId="0" borderId="98" xfId="0" applyNumberFormat="1" applyFont="1" applyBorder="1" applyAlignment="1">
      <alignment horizontal="center" vertical="center"/>
    </xf>
    <xf numFmtId="3" fontId="60" fillId="0" borderId="162" xfId="0" applyNumberFormat="1" applyFont="1" applyBorder="1" applyAlignment="1">
      <alignment horizontal="center" vertical="center"/>
    </xf>
    <xf numFmtId="170" fontId="60" fillId="0" borderId="98" xfId="0" applyNumberFormat="1" applyFont="1" applyBorder="1" applyAlignment="1">
      <alignment horizontal="right" vertical="center"/>
    </xf>
    <xf numFmtId="0" fontId="60" fillId="0" borderId="162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1" fontId="60" fillId="0" borderId="162" xfId="0" applyNumberFormat="1" applyFont="1" applyFill="1" applyBorder="1" applyAlignment="1">
      <alignment horizontal="center" vertical="center"/>
    </xf>
    <xf numFmtId="169" fontId="60" fillId="0" borderId="163" xfId="0" applyNumberFormat="1" applyFont="1" applyBorder="1" applyAlignment="1">
      <alignment horizontal="center" vertical="center"/>
    </xf>
    <xf numFmtId="3" fontId="60" fillId="0" borderId="163" xfId="0" applyNumberFormat="1" applyFont="1" applyFill="1" applyBorder="1" applyAlignment="1">
      <alignment horizontal="right" vertical="center" indent="1"/>
    </xf>
    <xf numFmtId="3" fontId="60" fillId="0" borderId="162" xfId="0" applyNumberFormat="1" applyFont="1" applyFill="1" applyBorder="1" applyAlignment="1">
      <alignment horizontal="center" vertical="center"/>
    </xf>
    <xf numFmtId="170" fontId="17" fillId="0" borderId="163" xfId="0" applyNumberFormat="1" applyFont="1" applyFill="1" applyBorder="1" applyAlignment="1">
      <alignment horizontal="right" vertical="center" indent="1"/>
    </xf>
    <xf numFmtId="170" fontId="60" fillId="0" borderId="163" xfId="0" applyNumberFormat="1" applyFont="1" applyFill="1" applyBorder="1" applyAlignment="1">
      <alignment horizontal="right" vertical="center" indent="1"/>
    </xf>
    <xf numFmtId="170" fontId="60" fillId="0" borderId="163" xfId="0" applyNumberFormat="1" applyFont="1" applyFill="1" applyBorder="1" applyAlignment="1">
      <alignment horizontal="right" vertical="center"/>
    </xf>
    <xf numFmtId="0" fontId="60" fillId="0" borderId="162" xfId="0" applyFont="1" applyFill="1" applyBorder="1" applyAlignment="1">
      <alignment horizontal="center" vertical="center" wrapText="1"/>
    </xf>
    <xf numFmtId="0" fontId="60" fillId="0" borderId="163" xfId="0" applyFont="1" applyFill="1" applyBorder="1" applyAlignment="1">
      <alignment horizontal="center" vertical="center" wrapText="1"/>
    </xf>
    <xf numFmtId="0" fontId="60" fillId="0" borderId="169" xfId="0" applyFont="1" applyFill="1" applyBorder="1" applyAlignment="1">
      <alignment horizontal="center" vertical="center" wrapText="1"/>
    </xf>
    <xf numFmtId="0" fontId="60" fillId="0" borderId="175" xfId="0" applyFont="1" applyFill="1" applyBorder="1" applyAlignment="1">
      <alignment horizontal="center" vertical="center" wrapText="1"/>
    </xf>
    <xf numFmtId="0" fontId="60" fillId="0" borderId="170" xfId="0" applyFont="1" applyFill="1" applyBorder="1" applyAlignment="1">
      <alignment horizontal="center" vertical="center" wrapText="1"/>
    </xf>
    <xf numFmtId="0" fontId="60" fillId="0" borderId="185" xfId="0" applyFont="1" applyFill="1" applyBorder="1" applyAlignment="1">
      <alignment horizontal="center" vertical="center" wrapText="1"/>
    </xf>
    <xf numFmtId="0" fontId="60" fillId="0" borderId="170" xfId="0" applyFont="1" applyFill="1" applyBorder="1" applyAlignment="1">
      <alignment vertical="center"/>
    </xf>
    <xf numFmtId="0" fontId="17" fillId="0" borderId="175" xfId="0" applyFont="1" applyFill="1" applyBorder="1" applyAlignment="1">
      <alignment horizontal="center" vertical="center" wrapText="1"/>
    </xf>
    <xf numFmtId="0" fontId="17" fillId="0" borderId="169" xfId="0" applyFont="1" applyFill="1" applyBorder="1" applyAlignment="1">
      <alignment horizontal="left" vertical="center"/>
    </xf>
    <xf numFmtId="0" fontId="17" fillId="0" borderId="170" xfId="0" applyFont="1" applyFill="1" applyBorder="1" applyAlignment="1">
      <alignment vertical="center" wrapText="1"/>
    </xf>
    <xf numFmtId="1" fontId="17" fillId="0" borderId="187" xfId="0" applyNumberFormat="1" applyFont="1" applyFill="1" applyBorder="1" applyAlignment="1">
      <alignment horizontal="right" vertical="center"/>
    </xf>
    <xf numFmtId="3" fontId="17" fillId="0" borderId="175" xfId="0" applyNumberFormat="1" applyFont="1" applyFill="1" applyBorder="1" applyAlignment="1">
      <alignment horizontal="right" vertical="center"/>
    </xf>
    <xf numFmtId="3" fontId="17" fillId="0" borderId="169" xfId="0" applyNumberFormat="1" applyFont="1" applyFill="1" applyBorder="1" applyAlignment="1">
      <alignment horizontal="right" vertical="center"/>
    </xf>
    <xf numFmtId="1" fontId="17" fillId="0" borderId="169" xfId="0" applyNumberFormat="1" applyFont="1" applyFill="1" applyBorder="1" applyAlignment="1">
      <alignment horizontal="right" vertical="center"/>
    </xf>
    <xf numFmtId="171" fontId="17" fillId="0" borderId="175" xfId="0" applyNumberFormat="1" applyFont="1" applyFill="1" applyBorder="1" applyAlignment="1">
      <alignment horizontal="center" vertical="center" wrapText="1"/>
    </xf>
    <xf numFmtId="10" fontId="60" fillId="0" borderId="175" xfId="85" applyNumberFormat="1" applyFont="1" applyFill="1" applyBorder="1" applyAlignment="1">
      <alignment vertical="center"/>
    </xf>
    <xf numFmtId="170" fontId="17" fillId="0" borderId="169" xfId="0" applyNumberFormat="1" applyFont="1" applyFill="1" applyBorder="1" applyAlignment="1">
      <alignment horizontal="center" vertical="center"/>
    </xf>
    <xf numFmtId="3" fontId="17" fillId="0" borderId="175" xfId="0" applyNumberFormat="1" applyFont="1" applyFill="1" applyBorder="1" applyAlignment="1">
      <alignment horizontal="center" vertical="center"/>
    </xf>
    <xf numFmtId="170" fontId="17" fillId="0" borderId="175" xfId="0" applyNumberFormat="1" applyFont="1" applyFill="1" applyBorder="1" applyAlignment="1">
      <alignment horizontal="center" vertical="center"/>
    </xf>
    <xf numFmtId="0" fontId="60" fillId="0" borderId="185" xfId="0" applyFont="1" applyFill="1" applyBorder="1" applyAlignment="1">
      <alignment vertical="center"/>
    </xf>
    <xf numFmtId="10" fontId="60" fillId="0" borderId="170" xfId="85" applyNumberFormat="1" applyFont="1" applyFill="1" applyBorder="1" applyAlignment="1">
      <alignment vertical="center"/>
    </xf>
    <xf numFmtId="0" fontId="60" fillId="0" borderId="169" xfId="0" applyFont="1" applyFill="1" applyBorder="1" applyAlignment="1">
      <alignment horizontal="left" vertical="center"/>
    </xf>
    <xf numFmtId="0" fontId="60" fillId="0" borderId="170" xfId="0" applyFont="1" applyFill="1" applyBorder="1" applyAlignment="1">
      <alignment vertical="center" wrapText="1"/>
    </xf>
    <xf numFmtId="1" fontId="60" fillId="0" borderId="187" xfId="0" applyNumberFormat="1" applyFont="1" applyFill="1" applyBorder="1" applyAlignment="1">
      <alignment horizontal="right" vertical="center"/>
    </xf>
    <xf numFmtId="3" fontId="60" fillId="0" borderId="175" xfId="0" applyNumberFormat="1" applyFont="1" applyFill="1" applyBorder="1" applyAlignment="1">
      <alignment horizontal="right" vertical="center"/>
    </xf>
    <xf numFmtId="3" fontId="60" fillId="0" borderId="169" xfId="0" applyNumberFormat="1" applyFont="1" applyFill="1" applyBorder="1" applyAlignment="1">
      <alignment horizontal="right" vertical="center"/>
    </xf>
    <xf numFmtId="1" fontId="60" fillId="0" borderId="169" xfId="0" applyNumberFormat="1" applyFont="1" applyFill="1" applyBorder="1" applyAlignment="1">
      <alignment horizontal="right" vertical="center"/>
    </xf>
    <xf numFmtId="169" fontId="60" fillId="0" borderId="169" xfId="0" applyNumberFormat="1" applyFont="1" applyFill="1" applyBorder="1" applyAlignment="1">
      <alignment horizontal="center" vertical="center"/>
    </xf>
    <xf numFmtId="169" fontId="60" fillId="0" borderId="169" xfId="0" applyNumberFormat="1" applyFont="1" applyFill="1" applyBorder="1" applyAlignment="1">
      <alignment horizontal="right" vertical="center"/>
    </xf>
    <xf numFmtId="2" fontId="60" fillId="0" borderId="169" xfId="0" applyNumberFormat="1" applyFont="1" applyFill="1" applyBorder="1" applyAlignment="1">
      <alignment horizontal="center" vertical="center"/>
    </xf>
    <xf numFmtId="171" fontId="60" fillId="0" borderId="170" xfId="85" applyNumberFormat="1" applyFont="1" applyFill="1" applyBorder="1" applyAlignment="1">
      <alignment vertical="center"/>
    </xf>
    <xf numFmtId="1" fontId="60" fillId="0" borderId="169" xfId="0" applyNumberFormat="1" applyFont="1" applyFill="1" applyBorder="1" applyAlignment="1">
      <alignment horizontal="center" vertical="center"/>
    </xf>
    <xf numFmtId="3" fontId="60" fillId="0" borderId="169" xfId="0" applyNumberFormat="1" applyFont="1" applyFill="1" applyBorder="1" applyAlignment="1">
      <alignment horizontal="center" vertical="center"/>
    </xf>
    <xf numFmtId="0" fontId="60" fillId="0" borderId="188" xfId="0" applyFont="1" applyFill="1" applyBorder="1" applyAlignment="1">
      <alignment horizontal="left" vertical="center"/>
    </xf>
    <xf numFmtId="0" fontId="60" fillId="0" borderId="189" xfId="0" applyFont="1" applyFill="1" applyBorder="1" applyAlignment="1">
      <alignment vertical="center" wrapText="1"/>
    </xf>
    <xf numFmtId="1" fontId="60" fillId="0" borderId="178" xfId="0" applyNumberFormat="1" applyFont="1" applyFill="1" applyBorder="1" applyAlignment="1">
      <alignment horizontal="right" vertical="center"/>
    </xf>
    <xf numFmtId="3" fontId="60" fillId="0" borderId="184" xfId="0" applyNumberFormat="1" applyFont="1" applyFill="1" applyBorder="1" applyAlignment="1">
      <alignment horizontal="right" vertical="center"/>
    </xf>
    <xf numFmtId="170" fontId="60" fillId="0" borderId="189" xfId="0" applyNumberFormat="1" applyFont="1" applyFill="1" applyBorder="1" applyAlignment="1">
      <alignment horizontal="right" vertical="center"/>
    </xf>
    <xf numFmtId="3" fontId="60" fillId="0" borderId="188" xfId="0" applyNumberFormat="1" applyFont="1" applyFill="1" applyBorder="1" applyAlignment="1">
      <alignment horizontal="right" vertical="center"/>
    </xf>
    <xf numFmtId="170" fontId="60" fillId="0" borderId="176" xfId="0" applyNumberFormat="1" applyFont="1" applyFill="1" applyBorder="1" applyAlignment="1">
      <alignment horizontal="right" vertical="center"/>
    </xf>
    <xf numFmtId="1" fontId="60" fillId="0" borderId="188" xfId="0" applyNumberFormat="1" applyFont="1" applyFill="1" applyBorder="1" applyAlignment="1">
      <alignment horizontal="right" vertical="center"/>
    </xf>
    <xf numFmtId="171" fontId="17" fillId="0" borderId="184" xfId="0" applyNumberFormat="1" applyFont="1" applyFill="1" applyBorder="1" applyAlignment="1">
      <alignment horizontal="center" vertical="center" wrapText="1"/>
    </xf>
    <xf numFmtId="170" fontId="60" fillId="0" borderId="184" xfId="0" applyNumberFormat="1" applyFont="1" applyFill="1" applyBorder="1" applyAlignment="1">
      <alignment horizontal="right" vertical="center"/>
    </xf>
    <xf numFmtId="10" fontId="60" fillId="0" borderId="184" xfId="85" applyNumberFormat="1" applyFont="1" applyFill="1" applyBorder="1" applyAlignment="1">
      <alignment vertical="center"/>
    </xf>
    <xf numFmtId="0" fontId="60" fillId="0" borderId="189" xfId="0" applyFont="1" applyFill="1" applyBorder="1" applyAlignment="1">
      <alignment vertical="center"/>
    </xf>
    <xf numFmtId="3" fontId="60" fillId="0" borderId="188" xfId="0" applyNumberFormat="1" applyFont="1" applyFill="1" applyBorder="1" applyAlignment="1">
      <alignment horizontal="center" vertical="center"/>
    </xf>
    <xf numFmtId="0" fontId="60" fillId="0" borderId="176" xfId="0" applyFont="1" applyFill="1" applyBorder="1" applyAlignment="1">
      <alignment vertical="center"/>
    </xf>
    <xf numFmtId="171" fontId="60" fillId="0" borderId="189" xfId="85" applyNumberFormat="1" applyFont="1" applyFill="1" applyBorder="1" applyAlignment="1">
      <alignment vertical="center"/>
    </xf>
    <xf numFmtId="2" fontId="60" fillId="0" borderId="188" xfId="0" applyNumberFormat="1" applyFont="1" applyFill="1" applyBorder="1" applyAlignment="1">
      <alignment horizontal="center" vertical="center"/>
    </xf>
    <xf numFmtId="10" fontId="60" fillId="0" borderId="31" xfId="85" applyNumberFormat="1" applyFont="1" applyFill="1" applyBorder="1" applyAlignment="1">
      <alignment vertical="center"/>
    </xf>
    <xf numFmtId="0" fontId="60" fillId="0" borderId="187" xfId="0" applyFont="1" applyFill="1" applyBorder="1" applyAlignment="1">
      <alignment vertical="center"/>
    </xf>
    <xf numFmtId="0" fontId="60" fillId="0" borderId="175" xfId="0" applyFont="1" applyFill="1" applyBorder="1" applyAlignment="1">
      <alignment vertical="center"/>
    </xf>
    <xf numFmtId="0" fontId="60" fillId="0" borderId="169" xfId="0" applyFont="1" applyFill="1" applyBorder="1" applyAlignment="1">
      <alignment vertical="center"/>
    </xf>
    <xf numFmtId="3" fontId="60" fillId="0" borderId="175" xfId="0" applyNumberFormat="1" applyFont="1" applyFill="1" applyBorder="1" applyAlignment="1">
      <alignment vertical="center"/>
    </xf>
    <xf numFmtId="1" fontId="60" fillId="0" borderId="169" xfId="0" applyNumberFormat="1" applyFont="1" applyFill="1" applyBorder="1" applyAlignment="1">
      <alignment vertical="center"/>
    </xf>
    <xf numFmtId="0" fontId="60" fillId="0" borderId="186" xfId="0" applyFont="1" applyFill="1" applyBorder="1" applyAlignment="1">
      <alignment vertical="center"/>
    </xf>
    <xf numFmtId="0" fontId="60" fillId="0" borderId="183" xfId="0" applyFont="1" applyFill="1" applyBorder="1" applyAlignment="1">
      <alignment vertical="center"/>
    </xf>
    <xf numFmtId="10" fontId="60" fillId="0" borderId="187" xfId="85" applyNumberFormat="1" applyFont="1" applyFill="1" applyBorder="1" applyAlignment="1">
      <alignment vertical="center"/>
    </xf>
    <xf numFmtId="0" fontId="60" fillId="0" borderId="162" xfId="0" applyFont="1" applyFill="1" applyBorder="1" applyAlignment="1">
      <alignment vertical="center"/>
    </xf>
    <xf numFmtId="0" fontId="60" fillId="0" borderId="163" xfId="0" applyFont="1" applyFill="1" applyBorder="1" applyAlignment="1">
      <alignment vertical="center"/>
    </xf>
    <xf numFmtId="3" fontId="60" fillId="0" borderId="162" xfId="0" applyNumberFormat="1" applyFont="1" applyFill="1" applyBorder="1" applyAlignment="1">
      <alignment vertical="center"/>
    </xf>
    <xf numFmtId="171" fontId="60" fillId="0" borderId="162" xfId="85" applyNumberFormat="1" applyFont="1" applyFill="1" applyBorder="1" applyAlignment="1">
      <alignment vertical="center"/>
    </xf>
    <xf numFmtId="3" fontId="60" fillId="0" borderId="162" xfId="0" applyNumberFormat="1" applyFont="1" applyFill="1" applyBorder="1" applyAlignment="1">
      <alignment horizontal="right" vertical="center"/>
    </xf>
    <xf numFmtId="10" fontId="60" fillId="0" borderId="162" xfId="85" applyNumberFormat="1" applyFont="1" applyFill="1" applyBorder="1" applyAlignment="1">
      <alignment vertical="center"/>
    </xf>
    <xf numFmtId="10" fontId="60" fillId="0" borderId="100" xfId="85" applyNumberFormat="1" applyFont="1" applyFill="1" applyBorder="1" applyAlignment="1">
      <alignment vertical="center"/>
    </xf>
    <xf numFmtId="169" fontId="14" fillId="0" borderId="175" xfId="0" applyNumberFormat="1" applyFont="1" applyBorder="1" applyAlignment="1">
      <alignment horizontal="center"/>
    </xf>
    <xf numFmtId="10" fontId="103" fillId="0" borderId="0" xfId="85" applyNumberFormat="1" applyFont="1"/>
    <xf numFmtId="0" fontId="13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19" fillId="0" borderId="55" xfId="89" applyFont="1" applyBorder="1" applyAlignment="1">
      <alignment horizontal="right" vertical="top" wrapText="1"/>
    </xf>
    <xf numFmtId="165" fontId="122" fillId="0" borderId="55" xfId="89" applyFont="1" applyBorder="1" applyAlignment="1">
      <alignment horizontal="right" vertical="top" wrapText="1"/>
    </xf>
    <xf numFmtId="0" fontId="57" fillId="0" borderId="0" xfId="0" applyFont="1"/>
    <xf numFmtId="165" fontId="67" fillId="0" borderId="0" xfId="89" applyFont="1"/>
    <xf numFmtId="0" fontId="17" fillId="0" borderId="0" xfId="0" applyFont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48" fillId="38" borderId="191" xfId="96" applyFont="1" applyFill="1" applyBorder="1"/>
    <xf numFmtId="0" fontId="48" fillId="38" borderId="191" xfId="96" applyFont="1" applyFill="1" applyBorder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92" xfId="0" applyFont="1" applyBorder="1" applyAlignment="1">
      <alignment vertical="center" wrapText="1"/>
    </xf>
    <xf numFmtId="0" fontId="13" fillId="0" borderId="192" xfId="0" applyFont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4" fontId="60" fillId="36" borderId="192" xfId="0" applyNumberFormat="1" applyFont="1" applyFill="1" applyBorder="1" applyAlignment="1">
      <alignment horizontal="center" vertical="center"/>
    </xf>
    <xf numFmtId="0" fontId="60" fillId="37" borderId="192" xfId="0" applyFont="1" applyFill="1" applyBorder="1" applyAlignment="1">
      <alignment horizontal="center" vertical="center"/>
    </xf>
    <xf numFmtId="4" fontId="60" fillId="37" borderId="192" xfId="0" applyNumberFormat="1" applyFont="1" applyFill="1" applyBorder="1" applyAlignment="1">
      <alignment horizontal="center" vertical="center"/>
    </xf>
    <xf numFmtId="0" fontId="60" fillId="36" borderId="192" xfId="0" applyFont="1" applyFill="1" applyBorder="1" applyAlignment="1">
      <alignment horizontal="center" vertical="center"/>
    </xf>
    <xf numFmtId="168" fontId="17" fillId="38" borderId="192" xfId="0" applyNumberFormat="1" applyFont="1" applyFill="1" applyBorder="1" applyAlignment="1">
      <alignment horizontal="center" vertical="center"/>
    </xf>
    <xf numFmtId="0" fontId="13" fillId="0" borderId="195" xfId="0" applyFont="1" applyBorder="1" applyAlignment="1">
      <alignment horizontal="center" vertical="center" wrapText="1"/>
    </xf>
    <xf numFmtId="169" fontId="14" fillId="0" borderId="196" xfId="0" applyNumberFormat="1" applyFont="1" applyBorder="1" applyAlignment="1">
      <alignment horizontal="center"/>
    </xf>
    <xf numFmtId="169" fontId="14" fillId="0" borderId="197" xfId="0" applyNumberFormat="1" applyFont="1" applyBorder="1" applyAlignment="1">
      <alignment horizontal="center"/>
    </xf>
    <xf numFmtId="0" fontId="17" fillId="38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6" fillId="0" borderId="0" xfId="0" applyFont="1"/>
    <xf numFmtId="0" fontId="81" fillId="38" borderId="192" xfId="0" applyFont="1" applyFill="1" applyBorder="1" applyAlignment="1">
      <alignment horizontal="center" vertical="center" wrapText="1"/>
    </xf>
    <xf numFmtId="4" fontId="17" fillId="0" borderId="192" xfId="0" applyNumberFormat="1" applyFont="1" applyFill="1" applyBorder="1" applyAlignment="1">
      <alignment horizontal="center" vertical="center" wrapText="1"/>
    </xf>
    <xf numFmtId="171" fontId="61" fillId="0" borderId="192" xfId="85" applyNumberFormat="1" applyFont="1" applyFill="1" applyBorder="1" applyAlignment="1">
      <alignment horizontal="center" vertical="center"/>
    </xf>
    <xf numFmtId="171" fontId="60" fillId="0" borderId="192" xfId="0" applyNumberFormat="1" applyFont="1" applyFill="1" applyBorder="1" applyAlignment="1">
      <alignment horizontal="center" vertical="center" wrapText="1"/>
    </xf>
    <xf numFmtId="4" fontId="12" fillId="0" borderId="192" xfId="0" applyNumberFormat="1" applyFont="1" applyFill="1" applyBorder="1" applyAlignment="1">
      <alignment horizontal="center" vertical="center" wrapText="1"/>
    </xf>
    <xf numFmtId="171" fontId="61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horizontal="center" vertical="center"/>
    </xf>
    <xf numFmtId="4" fontId="13" fillId="0" borderId="192" xfId="0" applyNumberFormat="1" applyFont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 wrapText="1"/>
    </xf>
    <xf numFmtId="10" fontId="61" fillId="0" borderId="192" xfId="85" applyNumberFormat="1" applyFont="1" applyFill="1" applyBorder="1" applyAlignment="1">
      <alignment horizontal="center" vertical="center"/>
    </xf>
    <xf numFmtId="4" fontId="61" fillId="0" borderId="192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horizontal="center" vertical="center"/>
    </xf>
    <xf numFmtId="0" fontId="12" fillId="0" borderId="192" xfId="0" applyFont="1" applyBorder="1" applyAlignment="1">
      <alignment vertical="center" wrapText="1"/>
    </xf>
    <xf numFmtId="0" fontId="13" fillId="0" borderId="192" xfId="0" applyFont="1" applyBorder="1" applyAlignment="1">
      <alignment vertical="center"/>
    </xf>
    <xf numFmtId="171" fontId="80" fillId="0" borderId="192" xfId="85" applyNumberFormat="1" applyFont="1" applyFill="1" applyBorder="1" applyAlignment="1">
      <alignment horizontal="center" vertical="center"/>
    </xf>
    <xf numFmtId="171" fontId="17" fillId="0" borderId="192" xfId="0" applyNumberFormat="1" applyFont="1" applyFill="1" applyBorder="1" applyAlignment="1">
      <alignment horizontal="center" vertical="center" wrapText="1"/>
    </xf>
    <xf numFmtId="171" fontId="80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Border="1" applyAlignment="1">
      <alignment vertical="center"/>
    </xf>
    <xf numFmtId="4" fontId="12" fillId="0" borderId="192" xfId="0" applyNumberFormat="1" applyFont="1" applyBorder="1" applyAlignment="1">
      <alignment vertical="center"/>
    </xf>
    <xf numFmtId="0" fontId="78" fillId="38" borderId="192" xfId="0" applyFont="1" applyFill="1" applyBorder="1" applyAlignment="1">
      <alignment vertical="center" wrapText="1"/>
    </xf>
    <xf numFmtId="4" fontId="17" fillId="37" borderId="192" xfId="0" applyNumberFormat="1" applyFont="1" applyFill="1" applyBorder="1" applyAlignment="1">
      <alignment horizontal="center" vertical="center"/>
    </xf>
    <xf numFmtId="4" fontId="60" fillId="42" borderId="192" xfId="0" applyNumberFormat="1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 wrapText="1"/>
    </xf>
    <xf numFmtId="2" fontId="13" fillId="36" borderId="192" xfId="0" applyNumberFormat="1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/>
    </xf>
    <xf numFmtId="0" fontId="14" fillId="37" borderId="192" xfId="96" applyFont="1" applyFill="1" applyBorder="1" applyAlignment="1">
      <alignment horizontal="center" vertical="center"/>
    </xf>
    <xf numFmtId="0" fontId="14" fillId="37" borderId="192" xfId="96" applyFont="1" applyFill="1" applyBorder="1" applyAlignment="1">
      <alignment horizontal="left" vertical="center" wrapText="1" indent="3"/>
    </xf>
    <xf numFmtId="0" fontId="14" fillId="37" borderId="192" xfId="96" applyFont="1" applyFill="1" applyBorder="1" applyAlignment="1">
      <alignment horizontal="center" vertical="center" wrapText="1"/>
    </xf>
    <xf numFmtId="0" fontId="79" fillId="37" borderId="192" xfId="0" applyFont="1" applyFill="1" applyBorder="1" applyAlignment="1">
      <alignment vertical="center"/>
    </xf>
    <xf numFmtId="2" fontId="60" fillId="37" borderId="192" xfId="0" applyNumberFormat="1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vertical="center"/>
    </xf>
    <xf numFmtId="168" fontId="60" fillId="37" borderId="192" xfId="0" applyNumberFormat="1" applyFont="1" applyFill="1" applyBorder="1" applyAlignment="1">
      <alignment horizontal="center" vertical="center"/>
    </xf>
    <xf numFmtId="169" fontId="60" fillId="37" borderId="192" xfId="0" applyNumberFormat="1" applyFont="1" applyFill="1" applyBorder="1" applyAlignment="1">
      <alignment horizontal="center" vertical="center"/>
    </xf>
    <xf numFmtId="1" fontId="60" fillId="37" borderId="192" xfId="0" applyNumberFormat="1" applyFont="1" applyFill="1" applyBorder="1" applyAlignment="1">
      <alignment horizontal="center" vertical="center"/>
    </xf>
    <xf numFmtId="10" fontId="60" fillId="37" borderId="192" xfId="0" applyNumberFormat="1" applyFont="1" applyFill="1" applyBorder="1" applyAlignment="1">
      <alignment horizontal="center" vertical="center"/>
    </xf>
    <xf numFmtId="2" fontId="80" fillId="37" borderId="192" xfId="0" applyNumberFormat="1" applyFont="1" applyFill="1" applyBorder="1" applyAlignment="1">
      <alignment vertical="center"/>
    </xf>
    <xf numFmtId="168" fontId="17" fillId="37" borderId="192" xfId="0" applyNumberFormat="1" applyFont="1" applyFill="1" applyBorder="1" applyAlignment="1">
      <alignment horizontal="center" vertical="center"/>
    </xf>
    <xf numFmtId="169" fontId="17" fillId="37" borderId="192" xfId="0" applyNumberFormat="1" applyFont="1" applyFill="1" applyBorder="1" applyAlignment="1">
      <alignment horizontal="center" vertical="center"/>
    </xf>
    <xf numFmtId="1" fontId="17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vertical="center"/>
    </xf>
    <xf numFmtId="0" fontId="78" fillId="37" borderId="192" xfId="0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vertical="center" wrapText="1"/>
    </xf>
    <xf numFmtId="2" fontId="17" fillId="37" borderId="192" xfId="0" applyNumberFormat="1" applyFont="1" applyFill="1" applyBorder="1" applyAlignment="1">
      <alignment vertical="center" wrapText="1"/>
    </xf>
    <xf numFmtId="167" fontId="60" fillId="37" borderId="192" xfId="0" applyNumberFormat="1" applyFont="1" applyFill="1" applyBorder="1" applyAlignment="1">
      <alignment horizontal="center" vertical="center"/>
    </xf>
    <xf numFmtId="168" fontId="60" fillId="36" borderId="192" xfId="0" applyNumberFormat="1" applyFont="1" applyFill="1" applyBorder="1" applyAlignment="1">
      <alignment horizontal="center" vertical="center"/>
    </xf>
    <xf numFmtId="169" fontId="60" fillId="36" borderId="192" xfId="0" applyNumberFormat="1" applyFont="1" applyFill="1" applyBorder="1" applyAlignment="1">
      <alignment horizontal="center" vertical="center"/>
    </xf>
    <xf numFmtId="2" fontId="60" fillId="36" borderId="192" xfId="0" applyNumberFormat="1" applyFont="1" applyFill="1" applyBorder="1" applyAlignment="1">
      <alignment horizontal="center" vertical="center"/>
    </xf>
    <xf numFmtId="4" fontId="17" fillId="38" borderId="192" xfId="0" applyNumberFormat="1" applyFont="1" applyFill="1" applyBorder="1" applyAlignment="1">
      <alignment horizontal="center" vertical="center"/>
    </xf>
    <xf numFmtId="2" fontId="60" fillId="38" borderId="192" xfId="0" applyNumberFormat="1" applyFont="1" applyFill="1" applyBorder="1" applyAlignment="1">
      <alignment horizontal="center" vertical="center"/>
    </xf>
    <xf numFmtId="2" fontId="17" fillId="38" borderId="192" xfId="0" applyNumberFormat="1" applyFont="1" applyFill="1" applyBorder="1" applyAlignment="1">
      <alignment horizontal="center" vertical="center"/>
    </xf>
    <xf numFmtId="0" fontId="12" fillId="0" borderId="175" xfId="0" applyFont="1" applyBorder="1" applyAlignment="1">
      <alignment horizontal="center" vertical="center" wrapText="1"/>
    </xf>
    <xf numFmtId="0" fontId="13" fillId="0" borderId="175" xfId="0" applyFont="1" applyBorder="1"/>
    <xf numFmtId="4" fontId="13" fillId="0" borderId="175" xfId="0" applyNumberFormat="1" applyFont="1" applyBorder="1"/>
    <xf numFmtId="0" fontId="12" fillId="0" borderId="175" xfId="0" applyFont="1" applyFill="1" applyBorder="1"/>
    <xf numFmtId="0" fontId="12" fillId="0" borderId="175" xfId="0" applyFont="1" applyBorder="1"/>
    <xf numFmtId="4" fontId="12" fillId="0" borderId="175" xfId="0" applyNumberFormat="1" applyFont="1" applyBorder="1" applyAlignment="1">
      <alignment horizontal="center" vertical="center"/>
    </xf>
    <xf numFmtId="0" fontId="13" fillId="0" borderId="175" xfId="0" applyFont="1" applyFill="1" applyBorder="1"/>
    <xf numFmtId="0" fontId="13" fillId="0" borderId="175" xfId="0" applyFont="1" applyBorder="1" applyAlignment="1">
      <alignment horizontal="center" vertical="center"/>
    </xf>
    <xf numFmtId="4" fontId="13" fillId="0" borderId="175" xfId="0" applyNumberFormat="1" applyFont="1" applyBorder="1" applyAlignment="1">
      <alignment horizontal="center" vertical="center"/>
    </xf>
    <xf numFmtId="2" fontId="13" fillId="0" borderId="0" xfId="0" applyNumberFormat="1" applyFont="1"/>
    <xf numFmtId="0" fontId="13" fillId="43" borderId="175" xfId="0" applyFont="1" applyFill="1" applyBorder="1"/>
    <xf numFmtId="4" fontId="13" fillId="43" borderId="175" xfId="0" applyNumberFormat="1" applyFont="1" applyFill="1" applyBorder="1"/>
    <xf numFmtId="0" fontId="16" fillId="0" borderId="0" xfId="0" applyFont="1"/>
    <xf numFmtId="4" fontId="81" fillId="0" borderId="0" xfId="0" applyNumberFormat="1" applyFont="1"/>
    <xf numFmtId="0" fontId="81" fillId="0" borderId="0" xfId="0" applyFont="1"/>
    <xf numFmtId="0" fontId="129" fillId="0" borderId="0" xfId="0" applyFont="1"/>
    <xf numFmtId="0" fontId="81" fillId="0" borderId="0" xfId="0" applyFont="1" applyAlignment="1">
      <alignment horizontal="right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81" fillId="38" borderId="192" xfId="0" applyFont="1" applyFill="1" applyBorder="1"/>
    <xf numFmtId="4" fontId="81" fillId="38" borderId="192" xfId="0" applyNumberFormat="1" applyFont="1" applyFill="1" applyBorder="1"/>
    <xf numFmtId="4" fontId="81" fillId="36" borderId="192" xfId="0" applyNumberFormat="1" applyFont="1" applyFill="1" applyBorder="1" applyAlignment="1">
      <alignment horizontal="center" vertical="center"/>
    </xf>
    <xf numFmtId="2" fontId="81" fillId="36" borderId="192" xfId="0" applyNumberFormat="1" applyFont="1" applyFill="1" applyBorder="1" applyAlignment="1">
      <alignment horizontal="center"/>
    </xf>
    <xf numFmtId="4" fontId="81" fillId="38" borderId="192" xfId="0" applyNumberFormat="1" applyFont="1" applyFill="1" applyBorder="1" applyAlignment="1">
      <alignment horizontal="center" vertical="center"/>
    </xf>
    <xf numFmtId="4" fontId="81" fillId="38" borderId="192" xfId="0" applyNumberFormat="1" applyFont="1" applyFill="1" applyBorder="1" applyAlignment="1">
      <alignment horizontal="center" vertical="center" wrapText="1"/>
    </xf>
    <xf numFmtId="171" fontId="13" fillId="0" borderId="0" xfId="85" applyNumberFormat="1" applyFont="1"/>
    <xf numFmtId="4" fontId="13" fillId="0" borderId="0" xfId="0" applyNumberFormat="1" applyFont="1"/>
    <xf numFmtId="0" fontId="13" fillId="0" borderId="192" xfId="0" applyFont="1" applyBorder="1"/>
    <xf numFmtId="4" fontId="13" fillId="0" borderId="192" xfId="0" applyNumberFormat="1" applyFont="1" applyBorder="1" applyAlignment="1">
      <alignment vertical="center" wrapText="1"/>
    </xf>
    <xf numFmtId="4" fontId="12" fillId="0" borderId="192" xfId="0" applyNumberFormat="1" applyFont="1" applyBorder="1" applyAlignment="1">
      <alignment vertical="center" wrapText="1"/>
    </xf>
    <xf numFmtId="4" fontId="13" fillId="0" borderId="192" xfId="0" applyNumberFormat="1" applyFont="1" applyBorder="1" applyAlignment="1">
      <alignment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0" fontId="12" fillId="38" borderId="192" xfId="0" applyFont="1" applyFill="1" applyBorder="1" applyAlignment="1">
      <alignment vertical="center"/>
    </xf>
    <xf numFmtId="0" fontId="13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 wrapText="1"/>
    </xf>
    <xf numFmtId="4" fontId="12" fillId="38" borderId="192" xfId="0" applyNumberFormat="1" applyFont="1" applyFill="1" applyBorder="1" applyAlignment="1">
      <alignment vertical="center"/>
    </xf>
    <xf numFmtId="0" fontId="106" fillId="0" borderId="0" xfId="147" applyFont="1"/>
    <xf numFmtId="0" fontId="106" fillId="0" borderId="0" xfId="147" applyFont="1" applyAlignment="1">
      <alignment vertical="center"/>
    </xf>
    <xf numFmtId="0" fontId="106" fillId="38" borderId="167" xfId="147" applyFont="1" applyFill="1" applyBorder="1" applyAlignment="1">
      <alignment wrapText="1"/>
    </xf>
    <xf numFmtId="0" fontId="106" fillId="38" borderId="167" xfId="147" applyFont="1" applyFill="1" applyBorder="1" applyAlignment="1">
      <alignment horizontal="center" wrapText="1"/>
    </xf>
    <xf numFmtId="4" fontId="106" fillId="38" borderId="167" xfId="147" applyNumberFormat="1" applyFont="1" applyFill="1" applyBorder="1"/>
    <xf numFmtId="4" fontId="106" fillId="38" borderId="175" xfId="147" applyNumberFormat="1" applyFont="1" applyFill="1" applyBorder="1"/>
    <xf numFmtId="0" fontId="106" fillId="38" borderId="175" xfId="147" applyFont="1" applyFill="1" applyBorder="1" applyAlignment="1">
      <alignment wrapText="1"/>
    </xf>
    <xf numFmtId="0" fontId="106" fillId="38" borderId="175" xfId="147" applyFont="1" applyFill="1" applyBorder="1" applyAlignment="1">
      <alignment horizontal="center" wrapText="1"/>
    </xf>
    <xf numFmtId="0" fontId="106" fillId="38" borderId="167" xfId="147" applyFont="1" applyFill="1" applyBorder="1" applyAlignment="1">
      <alignment horizontal="center"/>
    </xf>
    <xf numFmtId="0" fontId="106" fillId="42" borderId="167" xfId="147" applyFont="1" applyFill="1" applyBorder="1" applyAlignment="1">
      <alignment wrapText="1"/>
    </xf>
    <xf numFmtId="0" fontId="106" fillId="42" borderId="167" xfId="147" applyFont="1" applyFill="1" applyBorder="1" applyAlignment="1">
      <alignment horizontal="center" wrapText="1"/>
    </xf>
    <xf numFmtId="4" fontId="106" fillId="42" borderId="167" xfId="147" applyNumberFormat="1" applyFont="1" applyFill="1" applyBorder="1"/>
    <xf numFmtId="0" fontId="106" fillId="42" borderId="167" xfId="147" applyFont="1" applyFill="1" applyBorder="1" applyAlignment="1">
      <alignment horizontal="center"/>
    </xf>
    <xf numFmtId="0" fontId="106" fillId="42" borderId="175" xfId="147" applyFont="1" applyFill="1" applyBorder="1" applyAlignment="1">
      <alignment wrapText="1"/>
    </xf>
    <xf numFmtId="0" fontId="106" fillId="42" borderId="175" xfId="147" applyFont="1" applyFill="1" applyBorder="1" applyAlignment="1">
      <alignment horizontal="center" wrapText="1"/>
    </xf>
    <xf numFmtId="4" fontId="106" fillId="42" borderId="175" xfId="147" applyNumberFormat="1" applyFont="1" applyFill="1" applyBorder="1"/>
    <xf numFmtId="0" fontId="106" fillId="42" borderId="175" xfId="147" applyFont="1" applyFill="1" applyBorder="1" applyAlignment="1">
      <alignment horizontal="center"/>
    </xf>
    <xf numFmtId="4" fontId="106" fillId="42" borderId="167" xfId="148" applyNumberFormat="1" applyFont="1" applyFill="1" applyBorder="1"/>
    <xf numFmtId="0" fontId="106" fillId="42" borderId="167" xfId="147" applyFont="1" applyFill="1" applyBorder="1" applyAlignment="1">
      <alignment vertical="center" wrapText="1"/>
    </xf>
    <xf numFmtId="0" fontId="106" fillId="42" borderId="167" xfId="147" applyFont="1" applyFill="1" applyBorder="1" applyAlignment="1">
      <alignment horizontal="center" vertical="center" wrapText="1"/>
    </xf>
    <xf numFmtId="4" fontId="106" fillId="42" borderId="167" xfId="147" applyNumberFormat="1" applyFont="1" applyFill="1" applyBorder="1" applyAlignment="1">
      <alignment vertical="center"/>
    </xf>
    <xf numFmtId="0" fontId="106" fillId="42" borderId="167" xfId="147" applyFont="1" applyFill="1" applyBorder="1" applyAlignment="1">
      <alignment horizontal="center" vertical="center"/>
    </xf>
    <xf numFmtId="0" fontId="106" fillId="36" borderId="167" xfId="147" applyFont="1" applyFill="1" applyBorder="1" applyAlignment="1">
      <alignment wrapText="1"/>
    </xf>
    <xf numFmtId="0" fontId="106" fillId="36" borderId="167" xfId="147" applyFont="1" applyFill="1" applyBorder="1" applyAlignment="1">
      <alignment horizontal="center" wrapText="1"/>
    </xf>
    <xf numFmtId="4" fontId="106" fillId="36" borderId="167" xfId="147" applyNumberFormat="1" applyFont="1" applyFill="1" applyBorder="1"/>
    <xf numFmtId="0" fontId="106" fillId="36" borderId="167" xfId="147" applyFont="1" applyFill="1" applyBorder="1" applyAlignment="1">
      <alignment horizontal="center"/>
    </xf>
    <xf numFmtId="0" fontId="106" fillId="36" borderId="175" xfId="147" applyFont="1" applyFill="1" applyBorder="1" applyAlignment="1">
      <alignment wrapText="1"/>
    </xf>
    <xf numFmtId="0" fontId="106" fillId="36" borderId="175" xfId="147" applyFont="1" applyFill="1" applyBorder="1" applyAlignment="1">
      <alignment horizontal="center" wrapText="1"/>
    </xf>
    <xf numFmtId="4" fontId="106" fillId="36" borderId="175" xfId="147" applyNumberFormat="1" applyFont="1" applyFill="1" applyBorder="1"/>
    <xf numFmtId="0" fontId="106" fillId="36" borderId="175" xfId="147" applyFont="1" applyFill="1" applyBorder="1" applyAlignment="1">
      <alignment horizontal="center"/>
    </xf>
    <xf numFmtId="4" fontId="106" fillId="36" borderId="167" xfId="148" applyNumberFormat="1" applyFont="1" applyFill="1" applyBorder="1"/>
    <xf numFmtId="0" fontId="106" fillId="36" borderId="167" xfId="147" applyFont="1" applyFill="1" applyBorder="1" applyAlignment="1">
      <alignment vertical="center" wrapText="1"/>
    </xf>
    <xf numFmtId="0" fontId="106" fillId="36" borderId="167" xfId="147" applyFont="1" applyFill="1" applyBorder="1" applyAlignment="1">
      <alignment horizontal="center" vertical="center" wrapText="1"/>
    </xf>
    <xf numFmtId="4" fontId="106" fillId="36" borderId="167" xfId="147" applyNumberFormat="1" applyFont="1" applyFill="1" applyBorder="1" applyAlignment="1">
      <alignment vertical="center"/>
    </xf>
    <xf numFmtId="0" fontId="106" fillId="36" borderId="167" xfId="147" applyFont="1" applyFill="1" applyBorder="1" applyAlignment="1">
      <alignment horizontal="center" vertical="center"/>
    </xf>
    <xf numFmtId="0" fontId="106" fillId="0" borderId="175" xfId="147" applyFont="1" applyBorder="1" applyAlignment="1">
      <alignment horizontal="center" vertical="center"/>
    </xf>
    <xf numFmtId="0" fontId="106" fillId="0" borderId="0" xfId="147" applyFont="1" applyAlignment="1">
      <alignment horizontal="center" vertical="center"/>
    </xf>
    <xf numFmtId="4" fontId="106" fillId="0" borderId="167" xfId="147" applyNumberFormat="1" applyFont="1" applyBorder="1" applyAlignment="1">
      <alignment horizontal="center" vertical="center"/>
    </xf>
    <xf numFmtId="4" fontId="106" fillId="0" borderId="175" xfId="147" applyNumberFormat="1" applyFont="1" applyBorder="1" applyAlignment="1">
      <alignment horizontal="center" vertical="center"/>
    </xf>
    <xf numFmtId="4" fontId="106" fillId="36" borderId="167" xfId="147" applyNumberFormat="1" applyFont="1" applyFill="1" applyBorder="1" applyAlignment="1">
      <alignment horizontal="center" vertical="center"/>
    </xf>
    <xf numFmtId="4" fontId="106" fillId="36" borderId="175" xfId="147" applyNumberFormat="1" applyFont="1" applyFill="1" applyBorder="1" applyAlignment="1">
      <alignment horizontal="center" vertical="center"/>
    </xf>
    <xf numFmtId="4" fontId="106" fillId="36" borderId="167" xfId="148" applyNumberFormat="1" applyFont="1" applyFill="1" applyBorder="1" applyAlignment="1">
      <alignment horizontal="center" vertical="center"/>
    </xf>
    <xf numFmtId="2" fontId="106" fillId="0" borderId="0" xfId="147" applyNumberFormat="1" applyFont="1" applyAlignment="1">
      <alignment horizontal="center" vertical="center"/>
    </xf>
    <xf numFmtId="0" fontId="17" fillId="0" borderId="192" xfId="0" applyFont="1" applyFill="1" applyBorder="1" applyAlignment="1">
      <alignment horizontal="center" vertical="center"/>
    </xf>
    <xf numFmtId="169" fontId="17" fillId="0" borderId="192" xfId="0" applyNumberFormat="1" applyFont="1" applyFill="1" applyBorder="1" applyAlignment="1">
      <alignment horizontal="center" vertical="center"/>
    </xf>
    <xf numFmtId="169" fontId="80" fillId="0" borderId="192" xfId="0" applyNumberFormat="1" applyFont="1" applyFill="1" applyBorder="1" applyAlignment="1">
      <alignment horizontal="center" vertical="center"/>
    </xf>
    <xf numFmtId="169" fontId="61" fillId="0" borderId="192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/>
    </xf>
    <xf numFmtId="10" fontId="60" fillId="0" borderId="192" xfId="85" applyNumberFormat="1" applyFont="1" applyFill="1" applyBorder="1" applyAlignment="1">
      <alignment horizontal="center" vertical="center"/>
    </xf>
    <xf numFmtId="4" fontId="80" fillId="0" borderId="192" xfId="0" applyNumberFormat="1" applyFont="1" applyFill="1" applyBorder="1" applyAlignment="1">
      <alignment horizontal="center" vertical="center"/>
    </xf>
    <xf numFmtId="171" fontId="60" fillId="0" borderId="192" xfId="85" applyNumberFormat="1" applyFont="1" applyFill="1" applyBorder="1" applyAlignment="1">
      <alignment horizontal="center" vertical="center"/>
    </xf>
    <xf numFmtId="171" fontId="17" fillId="0" borderId="192" xfId="85" applyNumberFormat="1" applyFont="1" applyFill="1" applyBorder="1" applyAlignment="1">
      <alignment horizontal="center" vertical="center"/>
    </xf>
    <xf numFmtId="0" fontId="14" fillId="0" borderId="0" xfId="0" applyFont="1"/>
    <xf numFmtId="0" fontId="13" fillId="0" borderId="202" xfId="0" applyFont="1" applyBorder="1" applyAlignment="1">
      <alignment horizontal="center" vertical="center" wrapText="1"/>
    </xf>
    <xf numFmtId="169" fontId="14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169" fontId="15" fillId="0" borderId="192" xfId="0" applyNumberFormat="1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 wrapText="1"/>
    </xf>
    <xf numFmtId="4" fontId="12" fillId="38" borderId="192" xfId="0" applyNumberFormat="1" applyFont="1" applyFill="1" applyBorder="1" applyAlignment="1">
      <alignment horizontal="center" vertical="center"/>
    </xf>
    <xf numFmtId="4" fontId="13" fillId="38" borderId="192" xfId="0" applyNumberFormat="1" applyFont="1" applyFill="1" applyBorder="1" applyAlignment="1">
      <alignment horizontal="center" vertical="center"/>
    </xf>
    <xf numFmtId="4" fontId="13" fillId="36" borderId="192" xfId="0" applyNumberFormat="1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/>
    </xf>
    <xf numFmtId="4" fontId="12" fillId="36" borderId="192" xfId="0" applyNumberFormat="1" applyFont="1" applyFill="1" applyBorder="1" applyAlignment="1">
      <alignment vertical="center"/>
    </xf>
    <xf numFmtId="4" fontId="13" fillId="36" borderId="192" xfId="0" applyNumberFormat="1" applyFont="1" applyFill="1" applyBorder="1" applyAlignment="1">
      <alignment vertical="center" wrapText="1"/>
    </xf>
    <xf numFmtId="4" fontId="13" fillId="36" borderId="192" xfId="0" applyNumberFormat="1" applyFont="1" applyFill="1" applyBorder="1" applyAlignment="1">
      <alignment vertical="center"/>
    </xf>
    <xf numFmtId="178" fontId="13" fillId="36" borderId="192" xfId="0" applyNumberFormat="1" applyFont="1" applyFill="1" applyBorder="1" applyAlignment="1">
      <alignment vertical="center" wrapText="1"/>
    </xf>
    <xf numFmtId="178" fontId="12" fillId="38" borderId="192" xfId="0" applyNumberFormat="1" applyFont="1" applyFill="1" applyBorder="1" applyAlignment="1">
      <alignment vertical="center" wrapText="1"/>
    </xf>
    <xf numFmtId="0" fontId="13" fillId="38" borderId="192" xfId="0" applyFont="1" applyFill="1" applyBorder="1"/>
    <xf numFmtId="4" fontId="13" fillId="38" borderId="192" xfId="0" applyNumberFormat="1" applyFont="1" applyFill="1" applyBorder="1"/>
    <xf numFmtId="2" fontId="13" fillId="38" borderId="192" xfId="0" applyNumberFormat="1" applyFont="1" applyFill="1" applyBorder="1"/>
    <xf numFmtId="0" fontId="13" fillId="36" borderId="192" xfId="0" applyFont="1" applyFill="1" applyBorder="1"/>
    <xf numFmtId="171" fontId="13" fillId="36" borderId="192" xfId="85" applyNumberFormat="1" applyFont="1" applyFill="1" applyBorder="1"/>
    <xf numFmtId="4" fontId="13" fillId="36" borderId="192" xfId="0" applyNumberFormat="1" applyFont="1" applyFill="1" applyBorder="1"/>
    <xf numFmtId="2" fontId="13" fillId="36" borderId="192" xfId="0" applyNumberFormat="1" applyFont="1" applyFill="1" applyBorder="1"/>
    <xf numFmtId="168" fontId="13" fillId="36" borderId="192" xfId="0" applyNumberFormat="1" applyFont="1" applyFill="1" applyBorder="1"/>
    <xf numFmtId="4" fontId="12" fillId="36" borderId="192" xfId="0" applyNumberFormat="1" applyFont="1" applyFill="1" applyBorder="1"/>
    <xf numFmtId="0" fontId="13" fillId="38" borderId="192" xfId="0" applyFont="1" applyFill="1" applyBorder="1" applyAlignment="1">
      <alignment horizontal="center"/>
    </xf>
    <xf numFmtId="4" fontId="14" fillId="36" borderId="192" xfId="0" applyNumberFormat="1" applyFont="1" applyFill="1" applyBorder="1"/>
    <xf numFmtId="0" fontId="14" fillId="36" borderId="192" xfId="0" applyFont="1" applyFill="1" applyBorder="1"/>
    <xf numFmtId="0" fontId="14" fillId="38" borderId="192" xfId="0" applyFont="1" applyFill="1" applyBorder="1" applyAlignment="1">
      <alignment horizontal="right"/>
    </xf>
    <xf numFmtId="4" fontId="14" fillId="36" borderId="192" xfId="0" applyNumberFormat="1" applyFont="1" applyFill="1" applyBorder="1" applyAlignment="1">
      <alignment horizontal="right"/>
    </xf>
    <xf numFmtId="0" fontId="14" fillId="36" borderId="192" xfId="0" applyFont="1" applyFill="1" applyBorder="1" applyAlignment="1">
      <alignment horizontal="right"/>
    </xf>
    <xf numFmtId="0" fontId="14" fillId="0" borderId="0" xfId="0" applyFont="1" applyAlignment="1">
      <alignment horizontal="right"/>
    </xf>
    <xf numFmtId="2" fontId="14" fillId="36" borderId="192" xfId="0" applyNumberFormat="1" applyFont="1" applyFill="1" applyBorder="1" applyAlignment="1">
      <alignment horizontal="right"/>
    </xf>
    <xf numFmtId="0" fontId="14" fillId="38" borderId="192" xfId="0" applyFont="1" applyFill="1" applyBorder="1" applyAlignment="1">
      <alignment horizontal="right" vertical="center"/>
    </xf>
    <xf numFmtId="4" fontId="14" fillId="36" borderId="192" xfId="0" applyNumberFormat="1" applyFont="1" applyFill="1" applyBorder="1" applyAlignment="1">
      <alignment vertical="center"/>
    </xf>
    <xf numFmtId="2" fontId="14" fillId="36" borderId="192" xfId="0" applyNumberFormat="1" applyFont="1" applyFill="1" applyBorder="1"/>
    <xf numFmtId="2" fontId="13" fillId="36" borderId="192" xfId="0" applyNumberFormat="1" applyFont="1" applyFill="1" applyBorder="1" applyAlignment="1">
      <alignment vertical="center"/>
    </xf>
    <xf numFmtId="0" fontId="13" fillId="38" borderId="192" xfId="0" applyFont="1" applyFill="1" applyBorder="1" applyAlignment="1">
      <alignment horizontal="center" vertical="center"/>
    </xf>
    <xf numFmtId="4" fontId="13" fillId="42" borderId="192" xfId="0" applyNumberFormat="1" applyFont="1" applyFill="1" applyBorder="1"/>
    <xf numFmtId="0" fontId="55" fillId="0" borderId="0" xfId="0" applyFont="1"/>
    <xf numFmtId="171" fontId="55" fillId="0" borderId="0" xfId="85" applyNumberFormat="1" applyFont="1"/>
    <xf numFmtId="9" fontId="55" fillId="0" borderId="0" xfId="85" applyFont="1"/>
    <xf numFmtId="0" fontId="48" fillId="27" borderId="192" xfId="0" applyFont="1" applyFill="1" applyBorder="1"/>
    <xf numFmtId="0" fontId="48" fillId="27" borderId="192" xfId="0" applyFont="1" applyFill="1" applyBorder="1" applyAlignment="1">
      <alignment horizontal="center" vertical="center"/>
    </xf>
    <xf numFmtId="0" fontId="48" fillId="27" borderId="192" xfId="0" applyFont="1" applyFill="1" applyBorder="1" applyAlignment="1">
      <alignment horizontal="center"/>
    </xf>
    <xf numFmtId="0" fontId="48" fillId="44" borderId="192" xfId="0" applyFont="1" applyFill="1" applyBorder="1" applyAlignment="1">
      <alignment horizontal="center" vertical="center"/>
    </xf>
    <xf numFmtId="168" fontId="48" fillId="44" borderId="192" xfId="0" applyNumberFormat="1" applyFont="1" applyFill="1" applyBorder="1" applyAlignment="1">
      <alignment horizontal="center" vertical="center"/>
    </xf>
    <xf numFmtId="168" fontId="48" fillId="44" borderId="0" xfId="0" applyNumberFormat="1" applyFont="1" applyFill="1" applyAlignment="1">
      <alignment horizontal="center"/>
    </xf>
    <xf numFmtId="2" fontId="48" fillId="44" borderId="192" xfId="0" applyNumberFormat="1" applyFont="1" applyFill="1" applyBorder="1" applyAlignment="1">
      <alignment horizontal="center" vertical="center"/>
    </xf>
    <xf numFmtId="0" fontId="23" fillId="27" borderId="192" xfId="0" applyFont="1" applyFill="1" applyBorder="1" applyAlignment="1">
      <alignment horizontal="left" vertical="center" wrapText="1"/>
    </xf>
    <xf numFmtId="168" fontId="48" fillId="44" borderId="205" xfId="0" applyNumberFormat="1" applyFont="1" applyFill="1" applyBorder="1" applyAlignment="1">
      <alignment horizontal="center" vertical="center"/>
    </xf>
    <xf numFmtId="2" fontId="48" fillId="44" borderId="205" xfId="0" applyNumberFormat="1" applyFont="1" applyFill="1" applyBorder="1" applyAlignment="1">
      <alignment horizontal="center" vertical="center"/>
    </xf>
    <xf numFmtId="0" fontId="13" fillId="27" borderId="192" xfId="0" applyFont="1" applyFill="1" applyBorder="1" applyAlignment="1">
      <alignment horizontal="center" vertical="center" wrapText="1"/>
    </xf>
    <xf numFmtId="0" fontId="48" fillId="27" borderId="192" xfId="0" applyFont="1" applyFill="1" applyBorder="1" applyAlignment="1">
      <alignment horizontal="center" vertical="center"/>
    </xf>
    <xf numFmtId="168" fontId="48" fillId="44" borderId="205" xfId="85" applyNumberFormat="1" applyFont="1" applyFill="1" applyBorder="1" applyAlignment="1">
      <alignment horizontal="center" vertical="center"/>
    </xf>
    <xf numFmtId="168" fontId="48" fillId="27" borderId="192" xfId="0" applyNumberFormat="1" applyFont="1" applyFill="1" applyBorder="1" applyAlignment="1">
      <alignment horizontal="center" vertical="center"/>
    </xf>
    <xf numFmtId="2" fontId="48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3" fillId="27" borderId="203" xfId="0" applyFont="1" applyFill="1" applyBorder="1" applyAlignment="1">
      <alignment horizontal="center" vertical="center" wrapText="1"/>
    </xf>
    <xf numFmtId="0" fontId="13" fillId="27" borderId="203" xfId="0" applyFont="1" applyFill="1" applyBorder="1" applyAlignment="1">
      <alignment horizontal="center" vertical="center"/>
    </xf>
    <xf numFmtId="0" fontId="13" fillId="27" borderId="11" xfId="0" applyFont="1" applyFill="1" applyBorder="1" applyAlignment="1">
      <alignment horizontal="left" vertical="center" wrapText="1"/>
    </xf>
    <xf numFmtId="0" fontId="13" fillId="27" borderId="11" xfId="0" applyFont="1" applyFill="1" applyBorder="1" applyAlignment="1">
      <alignment horizontal="center" vertical="center" wrapText="1"/>
    </xf>
    <xf numFmtId="4" fontId="13" fillId="27" borderId="203" xfId="0" applyNumberFormat="1" applyFont="1" applyFill="1" applyBorder="1" applyAlignment="1">
      <alignment horizontal="center" vertical="center" wrapText="1"/>
    </xf>
    <xf numFmtId="9" fontId="13" fillId="27" borderId="203" xfId="0" applyNumberFormat="1" applyFont="1" applyFill="1" applyBorder="1" applyAlignment="1">
      <alignment horizontal="center" vertical="center"/>
    </xf>
    <xf numFmtId="168" fontId="13" fillId="27" borderId="203" xfId="0" applyNumberFormat="1" applyFont="1" applyFill="1" applyBorder="1" applyAlignment="1">
      <alignment horizontal="center" vertical="center"/>
    </xf>
    <xf numFmtId="178" fontId="13" fillId="27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/>
    </xf>
    <xf numFmtId="9" fontId="13" fillId="27" borderId="203" xfId="85" applyFont="1" applyFill="1" applyBorder="1" applyAlignment="1">
      <alignment horizontal="center" vertical="center"/>
    </xf>
    <xf numFmtId="2" fontId="13" fillId="27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 indent="1"/>
    </xf>
    <xf numFmtId="4" fontId="13" fillId="45" borderId="203" xfId="0" applyNumberFormat="1" applyFont="1" applyFill="1" applyBorder="1" applyAlignment="1">
      <alignment horizontal="center" vertical="center" wrapText="1"/>
    </xf>
    <xf numFmtId="9" fontId="13" fillId="45" borderId="203" xfId="85" applyFont="1" applyFill="1" applyBorder="1" applyAlignment="1">
      <alignment horizontal="center" vertical="center"/>
    </xf>
    <xf numFmtId="168" fontId="13" fillId="45" borderId="203" xfId="0" applyNumberFormat="1" applyFont="1" applyFill="1" applyBorder="1" applyAlignment="1">
      <alignment horizontal="center" vertical="center"/>
    </xf>
    <xf numFmtId="178" fontId="13" fillId="45" borderId="203" xfId="0" applyNumberFormat="1" applyFont="1" applyFill="1" applyBorder="1" applyAlignment="1">
      <alignment horizontal="center" vertical="center"/>
    </xf>
    <xf numFmtId="2" fontId="13" fillId="45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 indent="2"/>
    </xf>
    <xf numFmtId="4" fontId="13" fillId="44" borderId="203" xfId="0" applyNumberFormat="1" applyFont="1" applyFill="1" applyBorder="1" applyAlignment="1">
      <alignment horizontal="center" vertical="center" wrapText="1"/>
    </xf>
    <xf numFmtId="9" fontId="13" fillId="44" borderId="203" xfId="85" applyFont="1" applyFill="1" applyBorder="1" applyAlignment="1">
      <alignment horizontal="center" vertical="center"/>
    </xf>
    <xf numFmtId="168" fontId="13" fillId="44" borderId="203" xfId="0" applyNumberFormat="1" applyFont="1" applyFill="1" applyBorder="1" applyAlignment="1">
      <alignment horizontal="center" vertical="center"/>
    </xf>
    <xf numFmtId="178" fontId="13" fillId="44" borderId="203" xfId="0" applyNumberFormat="1" applyFont="1" applyFill="1" applyBorder="1" applyAlignment="1">
      <alignment horizontal="center" vertical="center"/>
    </xf>
    <xf numFmtId="2" fontId="13" fillId="44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3" fillId="0" borderId="0" xfId="0" applyFont="1" applyAlignment="1">
      <alignment horizontal="center" vertical="center" wrapText="1"/>
    </xf>
    <xf numFmtId="169" fontId="13" fillId="36" borderId="192" xfId="0" applyNumberFormat="1" applyFont="1" applyFill="1" applyBorder="1"/>
    <xf numFmtId="4" fontId="13" fillId="42" borderId="192" xfId="0" applyNumberFormat="1" applyFont="1" applyFill="1" applyBorder="1" applyAlignment="1">
      <alignment vertical="center"/>
    </xf>
    <xf numFmtId="4" fontId="13" fillId="38" borderId="192" xfId="0" applyNumberFormat="1" applyFont="1" applyFill="1" applyBorder="1" applyAlignment="1">
      <alignment vertical="center"/>
    </xf>
    <xf numFmtId="4" fontId="13" fillId="27" borderId="192" xfId="0" applyNumberFormat="1" applyFont="1" applyFill="1" applyBorder="1" applyAlignment="1">
      <alignment horizontal="center"/>
    </xf>
    <xf numFmtId="0" fontId="13" fillId="27" borderId="192" xfId="0" applyFont="1" applyFill="1" applyBorder="1" applyAlignment="1">
      <alignment horizontal="center"/>
    </xf>
    <xf numFmtId="4" fontId="12" fillId="27" borderId="192" xfId="0" applyNumberFormat="1" applyFont="1" applyFill="1" applyBorder="1" applyAlignment="1">
      <alignment horizontal="center"/>
    </xf>
    <xf numFmtId="0" fontId="13" fillId="27" borderId="192" xfId="0" applyFont="1" applyFill="1" applyBorder="1" applyAlignment="1">
      <alignment horizontal="center" vertical="center"/>
    </xf>
    <xf numFmtId="4" fontId="12" fillId="27" borderId="192" xfId="0" applyNumberFormat="1" applyFont="1" applyFill="1" applyBorder="1" applyAlignment="1">
      <alignment horizontal="center" vertical="center"/>
    </xf>
    <xf numFmtId="4" fontId="13" fillId="27" borderId="192" xfId="0" applyNumberFormat="1" applyFont="1" applyFill="1" applyBorder="1" applyAlignment="1">
      <alignment horizontal="center" vertical="center"/>
    </xf>
    <xf numFmtId="0" fontId="12" fillId="27" borderId="192" xfId="0" applyFont="1" applyFill="1" applyBorder="1" applyAlignment="1">
      <alignment horizontal="center" vertical="center"/>
    </xf>
    <xf numFmtId="0" fontId="12" fillId="38" borderId="192" xfId="0" applyFont="1" applyFill="1" applyBorder="1"/>
    <xf numFmtId="0" fontId="12" fillId="38" borderId="192" xfId="0" applyFont="1" applyFill="1" applyBorder="1" applyAlignment="1">
      <alignment wrapText="1"/>
    </xf>
    <xf numFmtId="2" fontId="13" fillId="36" borderId="192" xfId="0" applyNumberFormat="1" applyFont="1" applyFill="1" applyBorder="1" applyAlignment="1">
      <alignment horizontal="center"/>
    </xf>
    <xf numFmtId="174" fontId="13" fillId="36" borderId="192" xfId="0" applyNumberFormat="1" applyFont="1" applyFill="1" applyBorder="1" applyAlignment="1">
      <alignment horizontal="center"/>
    </xf>
    <xf numFmtId="4" fontId="13" fillId="36" borderId="192" xfId="0" applyNumberFormat="1" applyFont="1" applyFill="1" applyBorder="1" applyAlignment="1">
      <alignment horizontal="center"/>
    </xf>
    <xf numFmtId="0" fontId="13" fillId="36" borderId="192" xfId="0" applyFont="1" applyFill="1" applyBorder="1" applyAlignment="1">
      <alignment horizontal="center"/>
    </xf>
    <xf numFmtId="174" fontId="14" fillId="36" borderId="192" xfId="0" applyNumberFormat="1" applyFont="1" applyFill="1" applyBorder="1" applyAlignment="1">
      <alignment horizontal="center"/>
    </xf>
    <xf numFmtId="168" fontId="13" fillId="36" borderId="192" xfId="0" applyNumberFormat="1" applyFont="1" applyFill="1" applyBorder="1" applyAlignment="1">
      <alignment horizontal="center"/>
    </xf>
    <xf numFmtId="0" fontId="12" fillId="38" borderId="213" xfId="0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vertical="center"/>
    </xf>
    <xf numFmtId="168" fontId="13" fillId="37" borderId="192" xfId="0" applyNumberFormat="1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/>
    </xf>
    <xf numFmtId="4" fontId="13" fillId="37" borderId="192" xfId="0" applyNumberFormat="1" applyFont="1" applyFill="1" applyBorder="1" applyAlignment="1">
      <alignment horizontal="center" vertical="center"/>
    </xf>
    <xf numFmtId="168" fontId="13" fillId="36" borderId="192" xfId="0" applyNumberFormat="1" applyFont="1" applyFill="1" applyBorder="1" applyAlignment="1">
      <alignment horizontal="center" vertical="center"/>
    </xf>
    <xf numFmtId="169" fontId="13" fillId="36" borderId="192" xfId="0" applyNumberFormat="1" applyFont="1" applyFill="1" applyBorder="1" applyAlignment="1">
      <alignment horizontal="center" vertical="center"/>
    </xf>
    <xf numFmtId="2" fontId="13" fillId="36" borderId="192" xfId="0" applyNumberFormat="1" applyFont="1" applyFill="1" applyBorder="1" applyAlignment="1">
      <alignment horizontal="center" vertical="center"/>
    </xf>
    <xf numFmtId="4" fontId="13" fillId="42" borderId="192" xfId="0" applyNumberFormat="1" applyFont="1" applyFill="1" applyBorder="1" applyAlignment="1">
      <alignment horizontal="center" vertical="center"/>
    </xf>
    <xf numFmtId="2" fontId="15" fillId="37" borderId="192" xfId="0" applyNumberFormat="1" applyFont="1" applyFill="1" applyBorder="1" applyAlignment="1">
      <alignment vertical="center"/>
    </xf>
    <xf numFmtId="168" fontId="12" fillId="38" borderId="192" xfId="0" applyNumberFormat="1" applyFont="1" applyFill="1" applyBorder="1" applyAlignment="1">
      <alignment horizontal="center" vertical="center"/>
    </xf>
    <xf numFmtId="2" fontId="13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vertical="center"/>
    </xf>
    <xf numFmtId="2" fontId="13" fillId="37" borderId="192" xfId="0" applyNumberFormat="1" applyFont="1" applyFill="1" applyBorder="1" applyAlignment="1">
      <alignment vertical="center" wrapText="1"/>
    </xf>
    <xf numFmtId="0" fontId="13" fillId="36" borderId="192" xfId="0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vertical="center" wrapText="1"/>
    </xf>
    <xf numFmtId="0" fontId="13" fillId="0" borderId="0" xfId="0" applyFont="1" applyAlignment="1">
      <alignment horizontal="left"/>
    </xf>
    <xf numFmtId="168" fontId="13" fillId="38" borderId="192" xfId="0" applyNumberFormat="1" applyFont="1" applyFill="1" applyBorder="1" applyAlignment="1">
      <alignment horizontal="center" vertical="center"/>
    </xf>
    <xf numFmtId="0" fontId="48" fillId="37" borderId="0" xfId="96" applyFont="1" applyFill="1"/>
    <xf numFmtId="4" fontId="117" fillId="36" borderId="192" xfId="0" applyNumberFormat="1" applyFont="1" applyFill="1" applyBorder="1"/>
    <xf numFmtId="0" fontId="13" fillId="38" borderId="205" xfId="0" applyFont="1" applyFill="1" applyBorder="1"/>
    <xf numFmtId="4" fontId="13" fillId="36" borderId="205" xfId="0" applyNumberFormat="1" applyFont="1" applyFill="1" applyBorder="1"/>
    <xf numFmtId="0" fontId="13" fillId="38" borderId="220" xfId="0" applyFont="1" applyFill="1" applyBorder="1"/>
    <xf numFmtId="4" fontId="13" fillId="36" borderId="221" xfId="0" applyNumberFormat="1" applyFont="1" applyFill="1" applyBorder="1"/>
    <xf numFmtId="0" fontId="13" fillId="38" borderId="222" xfId="0" applyFont="1" applyFill="1" applyBorder="1"/>
    <xf numFmtId="4" fontId="13" fillId="36" borderId="223" xfId="0" applyNumberFormat="1" applyFont="1" applyFill="1" applyBorder="1"/>
    <xf numFmtId="4" fontId="13" fillId="36" borderId="224" xfId="0" applyNumberFormat="1" applyFont="1" applyFill="1" applyBorder="1"/>
    <xf numFmtId="4" fontId="13" fillId="37" borderId="192" xfId="0" applyNumberFormat="1" applyFont="1" applyFill="1" applyBorder="1" applyAlignment="1">
      <alignment vertical="center"/>
    </xf>
    <xf numFmtId="0" fontId="13" fillId="37" borderId="205" xfId="0" applyFont="1" applyFill="1" applyBorder="1" applyAlignment="1">
      <alignment horizontal="center"/>
    </xf>
    <xf numFmtId="0" fontId="13" fillId="38" borderId="206" xfId="0" applyFon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13" fillId="38" borderId="192" xfId="0" applyFont="1" applyFill="1" applyBorder="1" applyAlignment="1">
      <alignment horizontal="right"/>
    </xf>
    <xf numFmtId="0" fontId="13" fillId="0" borderId="0" xfId="0" applyFont="1" applyAlignment="1">
      <alignment horizontal="center" vertical="center"/>
    </xf>
    <xf numFmtId="4" fontId="13" fillId="0" borderId="192" xfId="0" applyNumberFormat="1" applyFont="1" applyBorder="1"/>
    <xf numFmtId="0" fontId="133" fillId="0" borderId="192" xfId="147" applyFont="1" applyBorder="1" applyAlignment="1">
      <alignment horizontal="center" vertical="center"/>
    </xf>
    <xf numFmtId="0" fontId="133" fillId="0" borderId="192" xfId="147" applyFont="1" applyBorder="1" applyAlignment="1">
      <alignment wrapText="1"/>
    </xf>
    <xf numFmtId="0" fontId="133" fillId="0" borderId="192" xfId="147" applyFont="1" applyBorder="1" applyAlignment="1">
      <alignment horizontal="center" wrapText="1"/>
    </xf>
    <xf numFmtId="4" fontId="133" fillId="0" borderId="192" xfId="147" applyNumberFormat="1" applyFont="1" applyBorder="1" applyAlignment="1">
      <alignment horizontal="center" vertical="center"/>
    </xf>
    <xf numFmtId="0" fontId="133" fillId="0" borderId="192" xfId="147" applyFont="1" applyBorder="1" applyAlignment="1">
      <alignment vertical="center" wrapText="1"/>
    </xf>
    <xf numFmtId="0" fontId="106" fillId="0" borderId="0" xfId="147" applyFont="1" applyBorder="1" applyAlignment="1">
      <alignment horizontal="center" vertical="center"/>
    </xf>
    <xf numFmtId="0" fontId="106" fillId="0" borderId="0" xfId="147" applyFont="1" applyBorder="1" applyAlignment="1">
      <alignment wrapText="1"/>
    </xf>
    <xf numFmtId="0" fontId="106" fillId="0" borderId="0" xfId="147" applyFont="1" applyBorder="1" applyAlignment="1">
      <alignment horizontal="center" wrapText="1"/>
    </xf>
    <xf numFmtId="4" fontId="106" fillId="0" borderId="0" xfId="147" applyNumberFormat="1" applyFont="1" applyBorder="1" applyAlignment="1">
      <alignment horizontal="center" vertical="center"/>
    </xf>
    <xf numFmtId="0" fontId="106" fillId="0" borderId="167" xfId="147" applyFont="1" applyBorder="1" applyAlignment="1">
      <alignment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4" fontId="13" fillId="0" borderId="0" xfId="0" applyNumberFormat="1" applyFont="1" applyAlignment="1">
      <alignment vertical="center"/>
    </xf>
    <xf numFmtId="4" fontId="13" fillId="0" borderId="0" xfId="0" applyNumberFormat="1" applyFont="1" applyAlignme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right"/>
    </xf>
    <xf numFmtId="4" fontId="117" fillId="36" borderId="205" xfId="0" applyNumberFormat="1" applyFont="1" applyFill="1" applyBorder="1"/>
    <xf numFmtId="165" fontId="81" fillId="0" borderId="0" xfId="89" applyFont="1"/>
    <xf numFmtId="0" fontId="106" fillId="37" borderId="167" xfId="147" applyFont="1" applyFill="1" applyBorder="1" applyAlignment="1">
      <alignment wrapText="1"/>
    </xf>
    <xf numFmtId="0" fontId="106" fillId="37" borderId="167" xfId="147" applyFont="1" applyFill="1" applyBorder="1" applyAlignment="1">
      <alignment horizontal="center" wrapText="1"/>
    </xf>
    <xf numFmtId="4" fontId="106" fillId="37" borderId="167" xfId="147" applyNumberFormat="1" applyFont="1" applyFill="1" applyBorder="1"/>
    <xf numFmtId="0" fontId="106" fillId="37" borderId="167" xfId="147" applyFont="1" applyFill="1" applyBorder="1" applyAlignment="1">
      <alignment horizontal="center"/>
    </xf>
    <xf numFmtId="0" fontId="106" fillId="37" borderId="175" xfId="147" applyFont="1" applyFill="1" applyBorder="1" applyAlignment="1">
      <alignment wrapText="1"/>
    </xf>
    <xf numFmtId="0" fontId="106" fillId="37" borderId="175" xfId="147" applyFont="1" applyFill="1" applyBorder="1" applyAlignment="1">
      <alignment horizontal="center" wrapText="1"/>
    </xf>
    <xf numFmtId="4" fontId="106" fillId="37" borderId="175" xfId="147" applyNumberFormat="1" applyFont="1" applyFill="1" applyBorder="1"/>
    <xf numFmtId="0" fontId="106" fillId="37" borderId="175" xfId="147" applyFont="1" applyFill="1" applyBorder="1" applyAlignment="1">
      <alignment horizontal="center"/>
    </xf>
    <xf numFmtId="4" fontId="106" fillId="37" borderId="167" xfId="148" applyNumberFormat="1" applyFont="1" applyFill="1" applyBorder="1"/>
    <xf numFmtId="0" fontId="106" fillId="37" borderId="167" xfId="147" applyFont="1" applyFill="1" applyBorder="1" applyAlignment="1">
      <alignment vertical="center" wrapText="1"/>
    </xf>
    <xf numFmtId="0" fontId="106" fillId="37" borderId="167" xfId="147" applyFont="1" applyFill="1" applyBorder="1" applyAlignment="1">
      <alignment horizontal="center" vertical="center" wrapText="1"/>
    </xf>
    <xf numFmtId="4" fontId="106" fillId="37" borderId="167" xfId="147" applyNumberFormat="1" applyFont="1" applyFill="1" applyBorder="1" applyAlignment="1">
      <alignment vertical="center"/>
    </xf>
    <xf numFmtId="0" fontId="106" fillId="37" borderId="167" xfId="147" applyFont="1" applyFill="1" applyBorder="1" applyAlignment="1">
      <alignment horizontal="center" vertical="center"/>
    </xf>
    <xf numFmtId="0" fontId="13" fillId="0" borderId="203" xfId="0" applyFont="1" applyBorder="1"/>
    <xf numFmtId="4" fontId="13" fillId="0" borderId="203" xfId="0" applyNumberFormat="1" applyFont="1" applyBorder="1"/>
    <xf numFmtId="0" fontId="13" fillId="36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4" fontId="81" fillId="38" borderId="192" xfId="0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0" fontId="48" fillId="38" borderId="192" xfId="0" applyFont="1" applyFill="1" applyBorder="1" applyAlignment="1">
      <alignment horizontal="center" vertical="center" wrapText="1"/>
    </xf>
    <xf numFmtId="0" fontId="48" fillId="38" borderId="192" xfId="0" applyFont="1" applyFill="1" applyBorder="1" applyAlignment="1">
      <alignment vertical="center" wrapText="1"/>
    </xf>
    <xf numFmtId="178" fontId="48" fillId="36" borderId="192" xfId="0" applyNumberFormat="1" applyFont="1" applyFill="1" applyBorder="1" applyAlignment="1">
      <alignment vertical="center" wrapText="1"/>
    </xf>
    <xf numFmtId="0" fontId="12" fillId="0" borderId="0" xfId="0" applyFont="1"/>
    <xf numFmtId="0" fontId="12" fillId="38" borderId="0" xfId="0" applyFont="1" applyFill="1" applyBorder="1" applyAlignment="1">
      <alignment vertical="center" wrapText="1"/>
    </xf>
    <xf numFmtId="0" fontId="12" fillId="38" borderId="0" xfId="0" applyFont="1" applyFill="1"/>
    <xf numFmtId="0" fontId="13" fillId="29" borderId="192" xfId="96" applyFont="1" applyFill="1" applyBorder="1" applyAlignment="1">
      <alignment horizontal="center" vertical="center"/>
    </xf>
    <xf numFmtId="0" fontId="13" fillId="36" borderId="192" xfId="96" applyFont="1" applyFill="1" applyBorder="1" applyAlignment="1">
      <alignment horizontal="center" vertical="center"/>
    </xf>
    <xf numFmtId="0" fontId="137" fillId="35" borderId="192" xfId="96" applyFont="1" applyFill="1" applyBorder="1" applyAlignment="1">
      <alignment horizontal="center" vertical="center"/>
    </xf>
    <xf numFmtId="0" fontId="12" fillId="38" borderId="192" xfId="96" applyFont="1" applyFill="1" applyBorder="1" applyAlignment="1">
      <alignment horizontal="center"/>
    </xf>
    <xf numFmtId="0" fontId="13" fillId="38" borderId="192" xfId="96" applyFont="1" applyFill="1" applyBorder="1"/>
    <xf numFmtId="0" fontId="13" fillId="47" borderId="192" xfId="0" applyFont="1" applyFill="1" applyBorder="1" applyAlignment="1">
      <alignment horizontal="center" vertical="center" wrapText="1"/>
    </xf>
    <xf numFmtId="0" fontId="48" fillId="47" borderId="0" xfId="0" applyFont="1" applyFill="1" applyAlignment="1">
      <alignment vertical="center" wrapText="1"/>
    </xf>
    <xf numFmtId="2" fontId="13" fillId="48" borderId="192" xfId="0" applyNumberFormat="1" applyFont="1" applyFill="1" applyBorder="1" applyAlignment="1">
      <alignment horizontal="center" vertical="center" wrapText="1"/>
    </xf>
    <xf numFmtId="0" fontId="81" fillId="48" borderId="0" xfId="0" applyFont="1" applyFill="1" applyAlignment="1">
      <alignment vertical="center" wrapText="1"/>
    </xf>
    <xf numFmtId="0" fontId="81" fillId="29" borderId="0" xfId="0" applyFont="1" applyFill="1" applyAlignment="1">
      <alignment vertical="center" wrapText="1"/>
    </xf>
    <xf numFmtId="0" fontId="81" fillId="29" borderId="0" xfId="0" applyFont="1" applyFill="1" applyAlignment="1">
      <alignment wrapText="1"/>
    </xf>
    <xf numFmtId="0" fontId="48" fillId="42" borderId="0" xfId="96" applyFont="1" applyFill="1"/>
    <xf numFmtId="4" fontId="13" fillId="38" borderId="192" xfId="0" applyNumberFormat="1" applyFont="1" applyFill="1" applyBorder="1" applyAlignment="1">
      <alignment horizontal="center"/>
    </xf>
    <xf numFmtId="4" fontId="12" fillId="38" borderId="192" xfId="0" applyNumberFormat="1" applyFont="1" applyFill="1" applyBorder="1" applyAlignment="1">
      <alignment horizontal="center"/>
    </xf>
    <xf numFmtId="4" fontId="138" fillId="49" borderId="229" xfId="0" applyNumberFormat="1" applyFont="1" applyFill="1" applyBorder="1" applyAlignment="1" applyProtection="1">
      <alignment horizontal="right" vertical="center"/>
    </xf>
    <xf numFmtId="4" fontId="138" fillId="49" borderId="230" xfId="0" applyNumberFormat="1" applyFont="1" applyFill="1" applyBorder="1" applyAlignment="1" applyProtection="1">
      <alignment horizontal="right" vertical="center"/>
    </xf>
    <xf numFmtId="4" fontId="139" fillId="27" borderId="229" xfId="0" applyNumberFormat="1" applyFont="1" applyFill="1" applyBorder="1" applyAlignment="1" applyProtection="1">
      <alignment horizontal="right" vertical="center"/>
    </xf>
    <xf numFmtId="4" fontId="139" fillId="27" borderId="228" xfId="0" applyNumberFormat="1" applyFont="1" applyFill="1" applyBorder="1" applyAlignment="1" applyProtection="1">
      <alignment horizontal="right" vertical="center"/>
    </xf>
    <xf numFmtId="0" fontId="138" fillId="49" borderId="229" xfId="0" applyNumberFormat="1" applyFont="1" applyFill="1" applyBorder="1" applyAlignment="1" applyProtection="1">
      <alignment horizontal="right" vertical="center"/>
    </xf>
    <xf numFmtId="4" fontId="138" fillId="49" borderId="231" xfId="0" applyNumberFormat="1" applyFont="1" applyFill="1" applyBorder="1" applyAlignment="1" applyProtection="1">
      <alignment horizontal="right" vertical="center"/>
    </xf>
    <xf numFmtId="4" fontId="138" fillId="28" borderId="229" xfId="0" applyNumberFormat="1" applyFont="1" applyFill="1" applyBorder="1" applyAlignment="1" applyProtection="1">
      <alignment horizontal="right" vertical="center"/>
      <protection locked="0"/>
    </xf>
    <xf numFmtId="4" fontId="138" fillId="27" borderId="229" xfId="0" applyNumberFormat="1" applyFont="1" applyFill="1" applyBorder="1" applyAlignment="1" applyProtection="1">
      <alignment horizontal="right" vertical="center"/>
    </xf>
    <xf numFmtId="4" fontId="138" fillId="27" borderId="230" xfId="0" applyNumberFormat="1" applyFont="1" applyFill="1" applyBorder="1" applyAlignment="1" applyProtection="1">
      <alignment horizontal="right" vertical="center"/>
    </xf>
    <xf numFmtId="4" fontId="138" fillId="28" borderId="230" xfId="0" applyNumberFormat="1" applyFont="1" applyFill="1" applyBorder="1" applyAlignment="1" applyProtection="1">
      <alignment horizontal="right" vertical="center"/>
      <protection locked="0"/>
    </xf>
    <xf numFmtId="4" fontId="13" fillId="34" borderId="0" xfId="0" applyNumberFormat="1" applyFont="1" applyFill="1"/>
    <xf numFmtId="4" fontId="13" fillId="34" borderId="0" xfId="0" applyNumberFormat="1" applyFont="1" applyFill="1" applyAlignment="1">
      <alignment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237" xfId="0" applyFont="1" applyFill="1" applyBorder="1" applyAlignment="1">
      <alignment horizontal="center" vertical="center"/>
    </xf>
    <xf numFmtId="0" fontId="13" fillId="38" borderId="234" xfId="0" applyFont="1" applyFill="1" applyBorder="1" applyAlignment="1">
      <alignment wrapText="1"/>
    </xf>
    <xf numFmtId="0" fontId="13" fillId="38" borderId="234" xfId="0" applyFont="1" applyFill="1" applyBorder="1" applyAlignment="1">
      <alignment horizontal="center" vertical="center"/>
    </xf>
    <xf numFmtId="0" fontId="13" fillId="36" borderId="234" xfId="0" applyFont="1" applyFill="1" applyBorder="1" applyAlignment="1">
      <alignment horizontal="center" vertical="center"/>
    </xf>
    <xf numFmtId="0" fontId="13" fillId="36" borderId="235" xfId="0" applyFont="1" applyFill="1" applyBorder="1" applyAlignment="1">
      <alignment horizontal="center" vertical="center"/>
    </xf>
    <xf numFmtId="169" fontId="13" fillId="37" borderId="227" xfId="0" applyNumberFormat="1" applyFont="1" applyFill="1" applyBorder="1" applyAlignment="1">
      <alignment horizontal="center" vertical="center"/>
    </xf>
    <xf numFmtId="2" fontId="13" fillId="43" borderId="206" xfId="0" applyNumberFormat="1" applyFont="1" applyFill="1" applyBorder="1" applyAlignment="1">
      <alignment horizontal="center" vertical="center"/>
    </xf>
    <xf numFmtId="2" fontId="13" fillId="43" borderId="238" xfId="0" applyNumberFormat="1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wrapText="1"/>
    </xf>
    <xf numFmtId="0" fontId="13" fillId="36" borderId="223" xfId="0" applyFont="1" applyFill="1" applyBorder="1" applyAlignment="1">
      <alignment horizontal="center" vertical="center"/>
    </xf>
    <xf numFmtId="0" fontId="13" fillId="36" borderId="237" xfId="0" applyFont="1" applyFill="1" applyBorder="1" applyAlignment="1">
      <alignment horizontal="center" vertical="center"/>
    </xf>
    <xf numFmtId="169" fontId="13" fillId="37" borderId="239" xfId="0" applyNumberFormat="1" applyFont="1" applyFill="1" applyBorder="1" applyAlignment="1">
      <alignment horizontal="center" vertical="center"/>
    </xf>
    <xf numFmtId="0" fontId="13" fillId="43" borderId="223" xfId="0" applyFont="1" applyFill="1" applyBorder="1" applyAlignment="1">
      <alignment horizontal="center" vertical="center"/>
    </xf>
    <xf numFmtId="2" fontId="13" fillId="43" borderId="240" xfId="0" applyNumberFormat="1" applyFont="1" applyFill="1" applyBorder="1" applyAlignment="1">
      <alignment horizontal="center" vertical="center"/>
    </xf>
    <xf numFmtId="0" fontId="13" fillId="38" borderId="234" xfId="0" applyFont="1" applyFill="1" applyBorder="1" applyAlignment="1">
      <alignment vertical="center" wrapText="1"/>
    </xf>
    <xf numFmtId="169" fontId="13" fillId="37" borderId="217" xfId="0" applyNumberFormat="1" applyFont="1" applyFill="1" applyBorder="1" applyAlignment="1">
      <alignment horizontal="center" vertical="center"/>
    </xf>
    <xf numFmtId="0" fontId="13" fillId="43" borderId="234" xfId="0" applyFont="1" applyFill="1" applyBorder="1" applyAlignment="1">
      <alignment horizontal="center" vertical="center"/>
    </xf>
    <xf numFmtId="2" fontId="13" fillId="43" borderId="219" xfId="0" applyNumberFormat="1" applyFont="1" applyFill="1" applyBorder="1" applyAlignment="1">
      <alignment horizontal="center" vertical="center"/>
    </xf>
    <xf numFmtId="0" fontId="13" fillId="43" borderId="206" xfId="0" applyFont="1" applyFill="1" applyBorder="1"/>
    <xf numFmtId="0" fontId="13" fillId="36" borderId="193" xfId="0" applyFont="1" applyFill="1" applyBorder="1" applyAlignment="1">
      <alignment horizontal="center" vertical="center"/>
    </xf>
    <xf numFmtId="169" fontId="13" fillId="37" borderId="241" xfId="0" applyNumberFormat="1" applyFont="1" applyFill="1" applyBorder="1" applyAlignment="1">
      <alignment horizontal="center" vertical="center"/>
    </xf>
    <xf numFmtId="0" fontId="13" fillId="43" borderId="192" xfId="0" applyFont="1" applyFill="1" applyBorder="1"/>
    <xf numFmtId="2" fontId="13" fillId="43" borderId="242" xfId="0" applyNumberFormat="1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vertical="center" wrapText="1"/>
    </xf>
    <xf numFmtId="0" fontId="13" fillId="36" borderId="205" xfId="0" applyFont="1" applyFill="1" applyBorder="1" applyAlignment="1">
      <alignment horizontal="center" vertical="center"/>
    </xf>
    <xf numFmtId="0" fontId="13" fillId="36" borderId="213" xfId="0" applyFont="1" applyFill="1" applyBorder="1" applyAlignment="1">
      <alignment horizontal="center" vertical="center"/>
    </xf>
    <xf numFmtId="169" fontId="13" fillId="37" borderId="244" xfId="0" applyNumberFormat="1" applyFont="1" applyFill="1" applyBorder="1" applyAlignment="1">
      <alignment horizontal="center" vertical="center"/>
    </xf>
    <xf numFmtId="0" fontId="13" fillId="43" borderId="205" xfId="0" applyFont="1" applyFill="1" applyBorder="1"/>
    <xf numFmtId="2" fontId="13" fillId="43" borderId="245" xfId="0" applyNumberFormat="1" applyFont="1" applyFill="1" applyBorder="1" applyAlignment="1">
      <alignment horizontal="center" vertical="center"/>
    </xf>
    <xf numFmtId="0" fontId="13" fillId="50" borderId="233" xfId="0" applyFont="1" applyFill="1" applyBorder="1"/>
    <xf numFmtId="0" fontId="13" fillId="50" borderId="234" xfId="0" applyFont="1" applyFill="1" applyBorder="1"/>
    <xf numFmtId="169" fontId="13" fillId="50" borderId="234" xfId="0" applyNumberFormat="1" applyFont="1" applyFill="1" applyBorder="1"/>
    <xf numFmtId="0" fontId="13" fillId="50" borderId="236" xfId="0" applyFont="1" applyFill="1" applyBorder="1"/>
    <xf numFmtId="2" fontId="12" fillId="50" borderId="246" xfId="0" applyNumberFormat="1" applyFont="1" applyFill="1" applyBorder="1"/>
    <xf numFmtId="0" fontId="13" fillId="50" borderId="222" xfId="0" applyFont="1" applyFill="1" applyBorder="1"/>
    <xf numFmtId="0" fontId="13" fillId="50" borderId="223" xfId="0" applyFont="1" applyFill="1" applyBorder="1"/>
    <xf numFmtId="169" fontId="13" fillId="50" borderId="223" xfId="0" applyNumberFormat="1" applyFont="1" applyFill="1" applyBorder="1"/>
    <xf numFmtId="0" fontId="13" fillId="50" borderId="224" xfId="0" applyFont="1" applyFill="1" applyBorder="1"/>
    <xf numFmtId="2" fontId="12" fillId="50" borderId="247" xfId="0" applyNumberFormat="1" applyFont="1" applyFill="1" applyBorder="1"/>
    <xf numFmtId="0" fontId="13" fillId="36" borderId="206" xfId="0" applyFont="1" applyFill="1" applyBorder="1" applyAlignment="1">
      <alignment horizontal="center" vertical="center"/>
    </xf>
    <xf numFmtId="0" fontId="13" fillId="36" borderId="215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vertical="center" wrapText="1"/>
    </xf>
    <xf numFmtId="2" fontId="13" fillId="43" borderId="234" xfId="0" applyNumberFormat="1" applyFont="1" applyFill="1" applyBorder="1" applyAlignment="1">
      <alignment horizontal="center" vertical="center"/>
    </xf>
    <xf numFmtId="2" fontId="13" fillId="43" borderId="223" xfId="0" applyNumberFormat="1" applyFont="1" applyFill="1" applyBorder="1" applyAlignment="1">
      <alignment horizontal="center" vertical="center"/>
    </xf>
    <xf numFmtId="2" fontId="13" fillId="43" borderId="206" xfId="0" applyNumberFormat="1" applyFont="1" applyFill="1" applyBorder="1" applyAlignment="1">
      <alignment vertical="center"/>
    </xf>
    <xf numFmtId="4" fontId="13" fillId="38" borderId="192" xfId="0" applyNumberFormat="1" applyFont="1" applyFill="1" applyBorder="1" applyAlignment="1">
      <alignment horizontal="center" vertical="center" wrapText="1"/>
    </xf>
    <xf numFmtId="0" fontId="12" fillId="36" borderId="192" xfId="0" applyFont="1" applyFill="1" applyBorder="1" applyAlignment="1">
      <alignment horizontal="center"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178" fontId="13" fillId="36" borderId="192" xfId="0" applyNumberFormat="1" applyFont="1" applyFill="1" applyBorder="1" applyAlignment="1">
      <alignment horizontal="center" vertical="center" wrapText="1"/>
    </xf>
    <xf numFmtId="0" fontId="133" fillId="36" borderId="192" xfId="0" applyFont="1" applyFill="1" applyBorder="1" applyAlignment="1">
      <alignment horizontal="center"/>
    </xf>
    <xf numFmtId="0" fontId="133" fillId="36" borderId="192" xfId="0" applyFont="1" applyFill="1" applyBorder="1"/>
    <xf numFmtId="0" fontId="48" fillId="38" borderId="203" xfId="96" applyFont="1" applyFill="1" applyBorder="1"/>
    <xf numFmtId="0" fontId="48" fillId="38" borderId="0" xfId="96" applyFont="1" applyFill="1" applyBorder="1"/>
    <xf numFmtId="0" fontId="48" fillId="38" borderId="0" xfId="96" applyFont="1" applyFill="1" applyBorder="1" applyAlignment="1">
      <alignment horizontal="center"/>
    </xf>
    <xf numFmtId="0" fontId="13" fillId="37" borderId="192" xfId="96" applyFont="1" applyFill="1" applyBorder="1" applyAlignment="1">
      <alignment horizontal="center" vertical="center"/>
    </xf>
    <xf numFmtId="0" fontId="138" fillId="49" borderId="232" xfId="0" applyNumberFormat="1" applyFont="1" applyFill="1" applyBorder="1" applyAlignment="1" applyProtection="1">
      <alignment horizontal="right" vertical="center"/>
    </xf>
    <xf numFmtId="4" fontId="138" fillId="49" borderId="232" xfId="0" applyNumberFormat="1" applyFont="1" applyFill="1" applyBorder="1" applyAlignment="1" applyProtection="1">
      <alignment horizontal="right" vertical="center"/>
    </xf>
    <xf numFmtId="0" fontId="97" fillId="35" borderId="0" xfId="96" applyFont="1" applyFill="1" applyAlignment="1">
      <alignment horizontal="center" vertical="center"/>
    </xf>
    <xf numFmtId="0" fontId="13" fillId="38" borderId="193" xfId="0" applyFont="1" applyFill="1" applyBorder="1"/>
    <xf numFmtId="0" fontId="14" fillId="38" borderId="193" xfId="0" applyFont="1" applyFill="1" applyBorder="1" applyAlignment="1">
      <alignment horizontal="right"/>
    </xf>
    <xf numFmtId="0" fontId="14" fillId="37" borderId="193" xfId="96" applyFont="1" applyFill="1" applyBorder="1" applyAlignment="1">
      <alignment horizontal="left" vertical="center" wrapText="1" indent="3"/>
    </xf>
    <xf numFmtId="0" fontId="14" fillId="38" borderId="193" xfId="0" applyFont="1" applyFill="1" applyBorder="1" applyAlignment="1">
      <alignment horizontal="right" vertical="center"/>
    </xf>
    <xf numFmtId="4" fontId="13" fillId="36" borderId="194" xfId="0" applyNumberFormat="1" applyFont="1" applyFill="1" applyBorder="1"/>
    <xf numFmtId="4" fontId="13" fillId="38" borderId="194" xfId="0" applyNumberFormat="1" applyFont="1" applyFill="1" applyBorder="1"/>
    <xf numFmtId="4" fontId="14" fillId="36" borderId="194" xfId="0" applyNumberFormat="1" applyFont="1" applyFill="1" applyBorder="1" applyAlignment="1">
      <alignment horizontal="right"/>
    </xf>
    <xf numFmtId="2" fontId="13" fillId="36" borderId="194" xfId="0" applyNumberFormat="1" applyFont="1" applyFill="1" applyBorder="1"/>
    <xf numFmtId="4" fontId="13" fillId="36" borderId="194" xfId="0" applyNumberFormat="1" applyFont="1" applyFill="1" applyBorder="1" applyAlignment="1">
      <alignment vertical="center"/>
    </xf>
    <xf numFmtId="0" fontId="13" fillId="38" borderId="221" xfId="0" applyFont="1" applyFill="1" applyBorder="1" applyAlignment="1">
      <alignment horizontal="center"/>
    </xf>
    <xf numFmtId="4" fontId="13" fillId="36" borderId="220" xfId="0" applyNumberFormat="1" applyFont="1" applyFill="1" applyBorder="1"/>
    <xf numFmtId="4" fontId="13" fillId="38" borderId="220" xfId="0" applyNumberFormat="1" applyFont="1" applyFill="1" applyBorder="1"/>
    <xf numFmtId="2" fontId="13" fillId="38" borderId="221" xfId="0" applyNumberFormat="1" applyFont="1" applyFill="1" applyBorder="1"/>
    <xf numFmtId="4" fontId="14" fillId="36" borderId="220" xfId="0" applyNumberFormat="1" applyFont="1" applyFill="1" applyBorder="1" applyAlignment="1">
      <alignment horizontal="right"/>
    </xf>
    <xf numFmtId="2" fontId="14" fillId="36" borderId="221" xfId="0" applyNumberFormat="1" applyFont="1" applyFill="1" applyBorder="1" applyAlignment="1">
      <alignment horizontal="right"/>
    </xf>
    <xf numFmtId="0" fontId="14" fillId="36" borderId="221" xfId="0" applyFont="1" applyFill="1" applyBorder="1" applyAlignment="1">
      <alignment horizontal="right"/>
    </xf>
    <xf numFmtId="2" fontId="13" fillId="36" borderId="220" xfId="0" applyNumberFormat="1" applyFont="1" applyFill="1" applyBorder="1"/>
    <xf numFmtId="2" fontId="13" fillId="36" borderId="221" xfId="0" applyNumberFormat="1" applyFont="1" applyFill="1" applyBorder="1"/>
    <xf numFmtId="4" fontId="13" fillId="38" borderId="221" xfId="0" applyNumberFormat="1" applyFont="1" applyFill="1" applyBorder="1"/>
    <xf numFmtId="4" fontId="13" fillId="36" borderId="220" xfId="0" applyNumberFormat="1" applyFont="1" applyFill="1" applyBorder="1" applyAlignment="1">
      <alignment vertical="center"/>
    </xf>
    <xf numFmtId="2" fontId="13" fillId="36" borderId="221" xfId="0" applyNumberFormat="1" applyFont="1" applyFill="1" applyBorder="1" applyAlignment="1">
      <alignment vertical="center"/>
    </xf>
    <xf numFmtId="4" fontId="13" fillId="36" borderId="221" xfId="0" applyNumberFormat="1" applyFont="1" applyFill="1" applyBorder="1" applyAlignment="1">
      <alignment vertical="center"/>
    </xf>
    <xf numFmtId="4" fontId="14" fillId="36" borderId="220" xfId="0" applyNumberFormat="1" applyFont="1" applyFill="1" applyBorder="1" applyAlignment="1">
      <alignment vertical="center"/>
    </xf>
    <xf numFmtId="2" fontId="14" fillId="36" borderId="221" xfId="0" applyNumberFormat="1" applyFont="1" applyFill="1" applyBorder="1"/>
    <xf numFmtId="0" fontId="14" fillId="36" borderId="221" xfId="0" applyFont="1" applyFill="1" applyBorder="1"/>
    <xf numFmtId="0" fontId="13" fillId="36" borderId="222" xfId="0" applyFont="1" applyFill="1" applyBorder="1" applyAlignment="1">
      <alignment vertical="center"/>
    </xf>
    <xf numFmtId="0" fontId="13" fillId="36" borderId="223" xfId="0" applyFont="1" applyFill="1" applyBorder="1"/>
    <xf numFmtId="0" fontId="13" fillId="36" borderId="224" xfId="0" applyFont="1" applyFill="1" applyBorder="1"/>
    <xf numFmtId="4" fontId="14" fillId="36" borderId="194" xfId="0" applyNumberFormat="1" applyFont="1" applyFill="1" applyBorder="1" applyAlignment="1">
      <alignment vertical="center"/>
    </xf>
    <xf numFmtId="0" fontId="13" fillId="36" borderId="251" xfId="0" applyFont="1" applyFill="1" applyBorder="1" applyAlignment="1">
      <alignment vertical="center"/>
    </xf>
    <xf numFmtId="0" fontId="52" fillId="33" borderId="0" xfId="0" applyFont="1" applyFill="1" applyAlignment="1">
      <alignment vertical="center" wrapText="1"/>
    </xf>
    <xf numFmtId="4" fontId="143" fillId="0" borderId="0" xfId="0" applyNumberFormat="1" applyFont="1"/>
    <xf numFmtId="0" fontId="144" fillId="33" borderId="192" xfId="0" applyFont="1" applyFill="1" applyBorder="1" applyAlignment="1">
      <alignment horizontal="center" vertical="center" wrapText="1"/>
    </xf>
    <xf numFmtId="0" fontId="144" fillId="33" borderId="0" xfId="0" applyFont="1" applyFill="1" applyAlignment="1">
      <alignment vertical="center" wrapText="1"/>
    </xf>
    <xf numFmtId="4" fontId="16" fillId="0" borderId="0" xfId="0" applyNumberFormat="1" applyFont="1"/>
    <xf numFmtId="4" fontId="48" fillId="0" borderId="0" xfId="96" applyNumberFormat="1" applyFont="1"/>
    <xf numFmtId="171" fontId="48" fillId="0" borderId="0" xfId="85" applyNumberFormat="1" applyFont="1"/>
    <xf numFmtId="0" fontId="13" fillId="0" borderId="0" xfId="0" applyFont="1" applyAlignment="1"/>
    <xf numFmtId="0" fontId="13" fillId="0" borderId="254" xfId="0" applyFont="1" applyBorder="1"/>
    <xf numFmtId="4" fontId="13" fillId="0" borderId="254" xfId="0" applyNumberFormat="1" applyFont="1" applyBorder="1"/>
    <xf numFmtId="0" fontId="13" fillId="38" borderId="254" xfId="0" applyFont="1" applyFill="1" applyBorder="1"/>
    <xf numFmtId="4" fontId="13" fillId="38" borderId="254" xfId="0" applyNumberFormat="1" applyFont="1" applyFill="1" applyBorder="1"/>
    <xf numFmtId="0" fontId="13" fillId="38" borderId="0" xfId="0" applyFont="1" applyFill="1"/>
    <xf numFmtId="0" fontId="13" fillId="38" borderId="254" xfId="0" applyFont="1" applyFill="1" applyBorder="1" applyAlignment="1">
      <alignment wrapText="1"/>
    </xf>
    <xf numFmtId="0" fontId="13" fillId="38" borderId="254" xfId="0" applyFont="1" applyFill="1" applyBorder="1" applyAlignment="1">
      <alignment horizontal="center"/>
    </xf>
    <xf numFmtId="0" fontId="51" fillId="35" borderId="0" xfId="96" applyFont="1" applyFill="1"/>
    <xf numFmtId="0" fontId="48" fillId="38" borderId="257" xfId="96" applyFont="1" applyFill="1" applyBorder="1"/>
    <xf numFmtId="0" fontId="16" fillId="38" borderId="257" xfId="96" applyFont="1" applyFill="1" applyBorder="1" applyAlignment="1">
      <alignment horizontal="center" vertical="center" wrapText="1"/>
    </xf>
    <xf numFmtId="0" fontId="13" fillId="36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27" borderId="192" xfId="96" applyFont="1" applyFill="1" applyBorder="1" applyAlignment="1">
      <alignment horizontal="center" vertical="center" wrapText="1"/>
    </xf>
    <xf numFmtId="0" fontId="14" fillId="37" borderId="193" xfId="96" applyFont="1" applyFill="1" applyBorder="1" applyAlignment="1">
      <alignment horizontal="left" vertical="center" wrapText="1"/>
    </xf>
    <xf numFmtId="0" fontId="13" fillId="36" borderId="192" xfId="0" applyFont="1" applyFill="1" applyBorder="1" applyAlignment="1">
      <alignment horizontal="center" vertical="center" wrapText="1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0" borderId="258" xfId="0" applyFont="1" applyBorder="1" applyAlignment="1">
      <alignment horizontal="center" vertical="center" wrapText="1"/>
    </xf>
    <xf numFmtId="169" fontId="14" fillId="0" borderId="257" xfId="0" applyNumberFormat="1" applyFont="1" applyBorder="1" applyAlignment="1">
      <alignment horizontal="center"/>
    </xf>
    <xf numFmtId="169" fontId="14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0" fontId="48" fillId="38" borderId="257" xfId="96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169" fontId="13" fillId="36" borderId="235" xfId="0" applyNumberFormat="1" applyFont="1" applyFill="1" applyBorder="1" applyAlignment="1">
      <alignment horizontal="center" vertical="center"/>
    </xf>
    <xf numFmtId="2" fontId="13" fillId="36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60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3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13" fillId="38" borderId="192" xfId="0" applyFont="1" applyFill="1" applyBorder="1" applyAlignment="1">
      <alignment wrapText="1"/>
    </xf>
    <xf numFmtId="4" fontId="13" fillId="0" borderId="0" xfId="0" applyNumberFormat="1" applyFont="1" applyAlignment="1">
      <alignment horizontal="center" vertical="center"/>
    </xf>
    <xf numFmtId="0" fontId="12" fillId="38" borderId="193" xfId="0" applyFont="1" applyFill="1" applyBorder="1" applyAlignment="1">
      <alignment vertical="center" wrapText="1"/>
    </xf>
    <xf numFmtId="0" fontId="60" fillId="0" borderId="0" xfId="0" applyFont="1" applyBorder="1"/>
    <xf numFmtId="166" fontId="60" fillId="0" borderId="0" xfId="0" applyNumberFormat="1" applyFont="1" applyBorder="1"/>
    <xf numFmtId="165" fontId="13" fillId="0" borderId="0" xfId="0" applyNumberFormat="1" applyFont="1"/>
    <xf numFmtId="0" fontId="12" fillId="0" borderId="0" xfId="0" applyFont="1" applyFill="1" applyBorder="1" applyAlignment="1">
      <alignment horizontal="center" vertical="center" wrapText="1"/>
    </xf>
    <xf numFmtId="1" fontId="12" fillId="0" borderId="192" xfId="0" applyNumberFormat="1" applyFont="1" applyFill="1" applyBorder="1" applyAlignment="1">
      <alignment horizontal="right" vertical="center"/>
    </xf>
    <xf numFmtId="3" fontId="12" fillId="0" borderId="192" xfId="0" applyNumberFormat="1" applyFont="1" applyFill="1" applyBorder="1" applyAlignment="1">
      <alignment horizontal="right" vertical="center"/>
    </xf>
    <xf numFmtId="170" fontId="12" fillId="0" borderId="192" xfId="0" applyNumberFormat="1" applyFont="1" applyFill="1" applyBorder="1" applyAlignment="1">
      <alignment horizontal="right" vertical="center"/>
    </xf>
    <xf numFmtId="171" fontId="12" fillId="0" borderId="192" xfId="0" applyNumberFormat="1" applyFont="1" applyFill="1" applyBorder="1" applyAlignment="1">
      <alignment horizontal="center" vertical="center" wrapText="1"/>
    </xf>
    <xf numFmtId="10" fontId="13" fillId="0" borderId="192" xfId="85" applyNumberFormat="1" applyFont="1" applyFill="1" applyBorder="1" applyAlignment="1">
      <alignment vertical="center"/>
    </xf>
    <xf numFmtId="170" fontId="12" fillId="0" borderId="192" xfId="0" applyNumberFormat="1" applyFont="1" applyFill="1" applyBorder="1" applyAlignment="1">
      <alignment horizontal="center" vertical="center"/>
    </xf>
    <xf numFmtId="3" fontId="12" fillId="0" borderId="192" xfId="0" applyNumberFormat="1" applyFont="1" applyFill="1" applyBorder="1" applyAlignment="1">
      <alignment horizontal="center" vertical="center"/>
    </xf>
    <xf numFmtId="1" fontId="13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horizontal="right" vertical="center"/>
    </xf>
    <xf numFmtId="170" fontId="13" fillId="0" borderId="192" xfId="0" applyNumberFormat="1" applyFont="1" applyFill="1" applyBorder="1" applyAlignment="1">
      <alignment horizontal="right" vertical="center"/>
    </xf>
    <xf numFmtId="169" fontId="13" fillId="0" borderId="192" xfId="0" applyNumberFormat="1" applyFont="1" applyFill="1" applyBorder="1" applyAlignment="1">
      <alignment horizontal="center" vertical="center"/>
    </xf>
    <xf numFmtId="169" fontId="13" fillId="0" borderId="192" xfId="0" applyNumberFormat="1" applyFont="1" applyFill="1" applyBorder="1" applyAlignment="1">
      <alignment horizontal="right" vertical="center"/>
    </xf>
    <xf numFmtId="2" fontId="13" fillId="0" borderId="192" xfId="0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vertical="center"/>
    </xf>
    <xf numFmtId="1" fontId="13" fillId="0" borderId="192" xfId="0" applyNumberFormat="1" applyFont="1" applyFill="1" applyBorder="1" applyAlignment="1">
      <alignment horizontal="center" vertical="center"/>
    </xf>
    <xf numFmtId="3" fontId="13" fillId="0" borderId="19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10" fontId="13" fillId="0" borderId="0" xfId="85" applyNumberFormat="1" applyFont="1" applyFill="1" applyBorder="1" applyAlignment="1">
      <alignment vertical="center"/>
    </xf>
    <xf numFmtId="0" fontId="12" fillId="29" borderId="0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left" vertical="center"/>
    </xf>
    <xf numFmtId="2" fontId="13" fillId="38" borderId="192" xfId="85" applyNumberFormat="1" applyFont="1" applyFill="1" applyBorder="1" applyAlignment="1">
      <alignment vertical="center"/>
    </xf>
    <xf numFmtId="10" fontId="13" fillId="38" borderId="192" xfId="85" applyNumberFormat="1" applyFont="1" applyFill="1" applyBorder="1" applyAlignment="1">
      <alignment vertical="center"/>
    </xf>
    <xf numFmtId="14" fontId="13" fillId="0" borderId="0" xfId="0" applyNumberFormat="1" applyFont="1"/>
    <xf numFmtId="14" fontId="13" fillId="0" borderId="0" xfId="0" applyNumberFormat="1" applyFont="1" applyAlignment="1">
      <alignment vertical="center"/>
    </xf>
    <xf numFmtId="1" fontId="13" fillId="0" borderId="0" xfId="0" applyNumberFormat="1" applyFont="1"/>
    <xf numFmtId="4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4" fontId="12" fillId="38" borderId="192" xfId="0" applyNumberFormat="1" applyFont="1" applyFill="1" applyBorder="1"/>
    <xf numFmtId="4" fontId="12" fillId="0" borderId="0" xfId="0" applyNumberFormat="1" applyFont="1"/>
    <xf numFmtId="0" fontId="13" fillId="38" borderId="205" xfId="0" applyFont="1" applyFill="1" applyBorder="1" applyAlignment="1">
      <alignment vertical="center"/>
    </xf>
    <xf numFmtId="4" fontId="13" fillId="38" borderId="205" xfId="0" applyNumberFormat="1" applyFont="1" applyFill="1" applyBorder="1" applyAlignment="1">
      <alignment vertical="center"/>
    </xf>
    <xf numFmtId="4" fontId="13" fillId="36" borderId="205" xfId="0" applyNumberFormat="1" applyFont="1" applyFill="1" applyBorder="1" applyAlignment="1">
      <alignment vertical="center"/>
    </xf>
    <xf numFmtId="0" fontId="12" fillId="0" borderId="0" xfId="0" applyFont="1" applyAlignment="1">
      <alignment wrapText="1"/>
    </xf>
    <xf numFmtId="4" fontId="13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38" borderId="192" xfId="0" applyFont="1" applyFill="1" applyBorder="1" applyAlignment="1">
      <alignment horizontal="center" wrapText="1"/>
    </xf>
    <xf numFmtId="0" fontId="0" fillId="38" borderId="192" xfId="0" applyFont="1" applyFill="1" applyBorder="1" applyAlignment="1">
      <alignment vertical="center" wrapText="1"/>
    </xf>
    <xf numFmtId="0" fontId="60" fillId="30" borderId="258" xfId="0" applyFont="1" applyFill="1" applyBorder="1" applyAlignment="1">
      <alignment horizontal="center" vertical="center"/>
    </xf>
    <xf numFmtId="2" fontId="17" fillId="30" borderId="257" xfId="0" applyNumberFormat="1" applyFont="1" applyFill="1" applyBorder="1"/>
    <xf numFmtId="2" fontId="60" fillId="30" borderId="257" xfId="0" applyNumberFormat="1" applyFont="1" applyFill="1" applyBorder="1"/>
    <xf numFmtId="2" fontId="61" fillId="30" borderId="257" xfId="0" applyNumberFormat="1" applyFont="1" applyFill="1" applyBorder="1"/>
    <xf numFmtId="2" fontId="60" fillId="30" borderId="258" xfId="0" applyNumberFormat="1" applyFont="1" applyFill="1" applyBorder="1"/>
    <xf numFmtId="169" fontId="49" fillId="0" borderId="192" xfId="79" applyNumberFormat="1" applyFont="1" applyFill="1" applyBorder="1" applyAlignment="1">
      <alignment horizontal="center" vertical="center"/>
    </xf>
    <xf numFmtId="169" fontId="48" fillId="0" borderId="192" xfId="79" applyNumberFormat="1" applyFont="1" applyFill="1" applyBorder="1" applyAlignment="1">
      <alignment horizontal="center" vertical="center"/>
    </xf>
    <xf numFmtId="170" fontId="48" fillId="0" borderId="192" xfId="79" applyNumberFormat="1" applyFont="1" applyFill="1" applyBorder="1" applyAlignment="1">
      <alignment horizontal="center" vertical="center"/>
    </xf>
    <xf numFmtId="2" fontId="48" fillId="0" borderId="192" xfId="79" applyNumberFormat="1" applyFont="1" applyFill="1" applyBorder="1" applyAlignment="1">
      <alignment horizontal="center" vertical="center"/>
    </xf>
    <xf numFmtId="171" fontId="49" fillId="0" borderId="192" xfId="85" applyNumberFormat="1" applyFont="1" applyFill="1" applyBorder="1" applyAlignment="1">
      <alignment horizontal="center" vertical="center"/>
    </xf>
    <xf numFmtId="4" fontId="13" fillId="0" borderId="192" xfId="79" applyNumberFormat="1" applyFont="1" applyFill="1" applyBorder="1" applyAlignment="1">
      <alignment horizontal="center" vertical="center"/>
    </xf>
    <xf numFmtId="170" fontId="49" fillId="0" borderId="192" xfId="79" applyNumberFormat="1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/>
    </xf>
    <xf numFmtId="171" fontId="48" fillId="0" borderId="192" xfId="85" applyNumberFormat="1" applyFont="1" applyFill="1" applyBorder="1" applyAlignment="1">
      <alignment horizontal="center" vertical="center"/>
    </xf>
    <xf numFmtId="10" fontId="13" fillId="0" borderId="192" xfId="85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horizontal="center" vertical="center"/>
    </xf>
    <xf numFmtId="0" fontId="51" fillId="0" borderId="192" xfId="79" applyFont="1" applyFill="1" applyBorder="1" applyAlignment="1">
      <alignment horizontal="center" vertical="center"/>
    </xf>
    <xf numFmtId="170" fontId="51" fillId="0" borderId="192" xfId="79" applyNumberFormat="1" applyFont="1" applyFill="1" applyBorder="1" applyAlignment="1">
      <alignment horizontal="center" vertical="center"/>
    </xf>
    <xf numFmtId="171" fontId="52" fillId="0" borderId="192" xfId="85" applyNumberFormat="1" applyFont="1" applyFill="1" applyBorder="1" applyAlignment="1">
      <alignment horizontal="center" vertical="center"/>
    </xf>
    <xf numFmtId="4" fontId="12" fillId="0" borderId="192" xfId="79" applyNumberFormat="1" applyFont="1" applyFill="1" applyBorder="1" applyAlignment="1">
      <alignment horizontal="center" vertical="center"/>
    </xf>
    <xf numFmtId="0" fontId="12" fillId="0" borderId="192" xfId="79" applyNumberFormat="1" applyFont="1" applyFill="1" applyBorder="1" applyAlignment="1">
      <alignment horizontal="center" vertical="center"/>
    </xf>
    <xf numFmtId="0" fontId="13" fillId="0" borderId="0" xfId="79" applyFont="1"/>
    <xf numFmtId="0" fontId="13" fillId="0" borderId="0" xfId="79" applyFont="1" applyAlignment="1">
      <alignment vertical="center"/>
    </xf>
    <xf numFmtId="0" fontId="13" fillId="0" borderId="0" xfId="79" applyFont="1" applyFill="1" applyAlignment="1">
      <alignment vertical="center"/>
    </xf>
    <xf numFmtId="0" fontId="13" fillId="0" borderId="0" xfId="79" applyFont="1" applyFill="1"/>
    <xf numFmtId="0" fontId="7" fillId="38" borderId="0" xfId="79" applyFill="1" applyBorder="1"/>
    <xf numFmtId="0" fontId="7" fillId="38" borderId="0" xfId="79" applyFill="1"/>
    <xf numFmtId="0" fontId="48" fillId="38" borderId="192" xfId="79" applyFont="1" applyFill="1" applyBorder="1" applyAlignment="1">
      <alignment vertical="center" wrapText="1"/>
    </xf>
    <xf numFmtId="0" fontId="12" fillId="37" borderId="0" xfId="79" applyFont="1" applyFill="1"/>
    <xf numFmtId="0" fontId="13" fillId="36" borderId="192" xfId="0" applyFont="1" applyFill="1" applyBorder="1" applyAlignment="1">
      <alignment horizontal="left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36" borderId="192" xfId="0" applyFont="1" applyFill="1" applyBorder="1" applyAlignment="1">
      <alignment wrapText="1"/>
    </xf>
    <xf numFmtId="0" fontId="13" fillId="37" borderId="192" xfId="0" applyFont="1" applyFill="1" applyBorder="1" applyAlignment="1">
      <alignment vertical="center"/>
    </xf>
    <xf numFmtId="10" fontId="13" fillId="37" borderId="192" xfId="85" applyNumberFormat="1" applyFont="1" applyFill="1" applyBorder="1" applyAlignment="1">
      <alignment vertical="center"/>
    </xf>
    <xf numFmtId="10" fontId="13" fillId="37" borderId="0" xfId="85" applyNumberFormat="1" applyFont="1" applyFill="1" applyBorder="1" applyAlignment="1">
      <alignment vertical="center"/>
    </xf>
    <xf numFmtId="0" fontId="13" fillId="37" borderId="0" xfId="0" applyFont="1" applyFill="1"/>
    <xf numFmtId="0" fontId="48" fillId="0" borderId="192" xfId="79" applyFont="1" applyFill="1" applyBorder="1" applyAlignment="1">
      <alignment vertical="center"/>
    </xf>
    <xf numFmtId="0" fontId="13" fillId="0" borderId="192" xfId="79" applyFont="1" applyFill="1" applyBorder="1" applyAlignment="1">
      <alignment horizontal="center" vertical="center" wrapText="1"/>
    </xf>
    <xf numFmtId="0" fontId="13" fillId="0" borderId="192" xfId="79" applyFont="1" applyBorder="1" applyAlignment="1">
      <alignment vertical="center"/>
    </xf>
    <xf numFmtId="170" fontId="13" fillId="0" borderId="192" xfId="79" applyNumberFormat="1" applyFont="1" applyBorder="1" applyAlignment="1">
      <alignment vertical="center"/>
    </xf>
    <xf numFmtId="0" fontId="13" fillId="0" borderId="192" xfId="79" applyFont="1" applyBorder="1" applyAlignment="1">
      <alignment horizontal="center" vertical="center"/>
    </xf>
    <xf numFmtId="0" fontId="13" fillId="0" borderId="192" xfId="79" applyFont="1" applyFill="1" applyBorder="1" applyAlignment="1">
      <alignment horizontal="center" vertical="center"/>
    </xf>
    <xf numFmtId="9" fontId="48" fillId="0" borderId="192" xfId="85" applyFont="1" applyFill="1" applyBorder="1" applyAlignment="1">
      <alignment horizontal="center" vertical="center"/>
    </xf>
    <xf numFmtId="1" fontId="48" fillId="0" borderId="192" xfId="79" applyNumberFormat="1" applyFont="1" applyFill="1" applyBorder="1" applyAlignment="1">
      <alignment horizontal="center" vertical="center"/>
    </xf>
    <xf numFmtId="9" fontId="48" fillId="0" borderId="192" xfId="85" applyNumberFormat="1" applyFont="1" applyFill="1" applyBorder="1" applyAlignment="1">
      <alignment horizontal="center" vertical="center"/>
    </xf>
    <xf numFmtId="10" fontId="48" fillId="0" borderId="192" xfId="85" applyNumberFormat="1" applyFont="1" applyFill="1" applyBorder="1" applyAlignment="1">
      <alignment horizontal="center" vertical="center"/>
    </xf>
    <xf numFmtId="171" fontId="48" fillId="0" borderId="192" xfId="79" applyNumberFormat="1" applyFont="1" applyFill="1" applyBorder="1" applyAlignment="1">
      <alignment horizontal="center" vertical="center"/>
    </xf>
    <xf numFmtId="10" fontId="48" fillId="0" borderId="192" xfId="79" applyNumberFormat="1" applyFont="1" applyFill="1" applyBorder="1" applyAlignment="1">
      <alignment horizontal="center" vertical="center"/>
    </xf>
    <xf numFmtId="4" fontId="48" fillId="0" borderId="192" xfId="79" applyNumberFormat="1" applyFont="1" applyFill="1" applyBorder="1" applyAlignment="1">
      <alignment horizontal="center" vertical="center"/>
    </xf>
    <xf numFmtId="170" fontId="13" fillId="0" borderId="192" xfId="79" applyNumberFormat="1" applyFont="1" applyFill="1" applyBorder="1" applyAlignment="1">
      <alignment horizontal="center" vertical="center"/>
    </xf>
    <xf numFmtId="169" fontId="13" fillId="0" borderId="192" xfId="79" applyNumberFormat="1" applyFont="1" applyBorder="1" applyAlignment="1">
      <alignment horizontal="center" vertical="center"/>
    </xf>
    <xf numFmtId="0" fontId="51" fillId="0" borderId="192" xfId="79" applyFont="1" applyFill="1" applyBorder="1" applyAlignment="1">
      <alignment vertical="center"/>
    </xf>
    <xf numFmtId="2" fontId="51" fillId="0" borderId="192" xfId="79" applyNumberFormat="1" applyFont="1" applyFill="1" applyBorder="1" applyAlignment="1">
      <alignment horizontal="center" vertical="center"/>
    </xf>
    <xf numFmtId="169" fontId="51" fillId="0" borderId="192" xfId="79" applyNumberFormat="1" applyFont="1" applyFill="1" applyBorder="1" applyAlignment="1">
      <alignment horizontal="center" vertical="center"/>
    </xf>
    <xf numFmtId="9" fontId="51" fillId="0" borderId="192" xfId="85" applyFont="1" applyFill="1" applyBorder="1" applyAlignment="1">
      <alignment horizontal="center" vertical="center"/>
    </xf>
    <xf numFmtId="169" fontId="12" fillId="0" borderId="192" xfId="79" applyNumberFormat="1" applyFont="1" applyBorder="1" applyAlignment="1">
      <alignment horizontal="center" vertical="center"/>
    </xf>
    <xf numFmtId="170" fontId="48" fillId="0" borderId="192" xfId="79" applyNumberFormat="1" applyFont="1" applyFill="1" applyBorder="1" applyAlignment="1">
      <alignment vertical="center"/>
    </xf>
    <xf numFmtId="10" fontId="10" fillId="0" borderId="192" xfId="79" applyNumberFormat="1" applyFont="1" applyFill="1" applyBorder="1" applyAlignment="1">
      <alignment vertical="center"/>
    </xf>
    <xf numFmtId="10" fontId="51" fillId="0" borderId="192" xfId="79" applyNumberFormat="1" applyFont="1" applyFill="1" applyBorder="1" applyAlignment="1">
      <alignment horizontal="center" vertical="center"/>
    </xf>
    <xf numFmtId="4" fontId="51" fillId="0" borderId="192" xfId="79" applyNumberFormat="1" applyFont="1" applyFill="1" applyBorder="1" applyAlignment="1">
      <alignment horizontal="center" vertical="center"/>
    </xf>
    <xf numFmtId="170" fontId="12" fillId="0" borderId="192" xfId="79" applyNumberFormat="1" applyFont="1" applyFill="1" applyBorder="1" applyAlignment="1">
      <alignment horizontal="center" vertical="center"/>
    </xf>
    <xf numFmtId="4" fontId="12" fillId="38" borderId="192" xfId="0" applyNumberFormat="1" applyFont="1" applyFill="1" applyBorder="1" applyAlignment="1">
      <alignment horizontal="center" vertical="center" wrapText="1"/>
    </xf>
    <xf numFmtId="0" fontId="0" fillId="38" borderId="0" xfId="0" applyFill="1"/>
    <xf numFmtId="0" fontId="60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12" fillId="38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 wrapText="1"/>
    </xf>
    <xf numFmtId="0" fontId="8" fillId="38" borderId="0" xfId="0" applyFont="1" applyFill="1"/>
    <xf numFmtId="0" fontId="13" fillId="37" borderId="192" xfId="0" applyFont="1" applyFill="1" applyBorder="1" applyAlignment="1">
      <alignment wrapText="1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37" borderId="192" xfId="0" applyFont="1" applyFill="1" applyBorder="1"/>
    <xf numFmtId="0" fontId="13" fillId="0" borderId="0" xfId="0" applyFont="1" applyAlignment="1">
      <alignment horizontal="center" vertical="center"/>
    </xf>
    <xf numFmtId="0" fontId="13" fillId="36" borderId="192" xfId="0" applyFont="1" applyFill="1" applyBorder="1" applyAlignment="1">
      <alignment horizontal="left" vertical="center"/>
    </xf>
    <xf numFmtId="2" fontId="13" fillId="38" borderId="192" xfId="0" applyNumberFormat="1" applyFont="1" applyFill="1" applyBorder="1" applyAlignment="1">
      <alignment horizontal="center"/>
    </xf>
    <xf numFmtId="169" fontId="13" fillId="38" borderId="192" xfId="0" applyNumberFormat="1" applyFont="1" applyFill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168" fontId="12" fillId="50" borderId="247" xfId="0" applyNumberFormat="1" applyFont="1" applyFill="1" applyBorder="1"/>
    <xf numFmtId="168" fontId="12" fillId="50" borderId="246" xfId="0" applyNumberFormat="1" applyFont="1" applyFill="1" applyBorder="1"/>
    <xf numFmtId="0" fontId="117" fillId="36" borderId="235" xfId="0" applyFont="1" applyFill="1" applyBorder="1" applyAlignment="1">
      <alignment horizontal="center" vertical="center"/>
    </xf>
    <xf numFmtId="0" fontId="117" fillId="36" borderId="237" xfId="0" applyFont="1" applyFill="1" applyBorder="1" applyAlignment="1">
      <alignment horizontal="center" vertical="center"/>
    </xf>
    <xf numFmtId="2" fontId="48" fillId="0" borderId="0" xfId="96" applyNumberFormat="1" applyFont="1"/>
    <xf numFmtId="0" fontId="22" fillId="38" borderId="192" xfId="0" applyFont="1" applyFill="1" applyBorder="1" applyAlignment="1">
      <alignment horizontal="center" vertical="center" wrapText="1"/>
    </xf>
    <xf numFmtId="0" fontId="13" fillId="0" borderId="0" xfId="96" applyFont="1"/>
    <xf numFmtId="0" fontId="13" fillId="0" borderId="211" xfId="0" applyFont="1" applyFill="1" applyBorder="1"/>
    <xf numFmtId="174" fontId="13" fillId="0" borderId="0" xfId="0" applyNumberFormat="1" applyFont="1" applyFill="1" applyBorder="1"/>
    <xf numFmtId="0" fontId="14" fillId="0" borderId="0" xfId="0" applyFont="1" applyFill="1" applyBorder="1"/>
    <xf numFmtId="4" fontId="13" fillId="0" borderId="0" xfId="0" applyNumberFormat="1" applyFont="1" applyFill="1" applyBorder="1"/>
    <xf numFmtId="2" fontId="12" fillId="0" borderId="0" xfId="0" applyNumberFormat="1" applyFont="1" applyFill="1" applyBorder="1" applyAlignment="1">
      <alignment wrapText="1"/>
    </xf>
    <xf numFmtId="2" fontId="13" fillId="0" borderId="0" xfId="0" applyNumberFormat="1" applyFont="1" applyFill="1" applyBorder="1"/>
    <xf numFmtId="176" fontId="131" fillId="0" borderId="0" xfId="85" applyNumberFormat="1" applyFont="1" applyFill="1" applyBorder="1"/>
    <xf numFmtId="10" fontId="131" fillId="0" borderId="0" xfId="85" applyNumberFormat="1" applyFont="1" applyFill="1" applyBorder="1"/>
    <xf numFmtId="10" fontId="13" fillId="0" borderId="0" xfId="85" applyNumberFormat="1" applyFont="1" applyFill="1" applyBorder="1"/>
    <xf numFmtId="10" fontId="44" fillId="0" borderId="0" xfId="85" applyNumberFormat="1" applyFont="1" applyFill="1" applyBorder="1"/>
    <xf numFmtId="0" fontId="14" fillId="0" borderId="0" xfId="0" applyFont="1" applyBorder="1"/>
    <xf numFmtId="10" fontId="13" fillId="38" borderId="192" xfId="85" applyNumberFormat="1" applyFont="1" applyFill="1" applyBorder="1" applyAlignment="1">
      <alignment horizontal="center" vertical="center"/>
    </xf>
    <xf numFmtId="10" fontId="13" fillId="36" borderId="192" xfId="85" applyNumberFormat="1" applyFont="1" applyFill="1" applyBorder="1" applyAlignment="1">
      <alignment horizontal="center" vertical="center"/>
    </xf>
    <xf numFmtId="3" fontId="13" fillId="36" borderId="192" xfId="0" applyNumberFormat="1" applyFont="1" applyFill="1" applyBorder="1" applyAlignment="1">
      <alignment horizontal="center" vertical="center"/>
    </xf>
    <xf numFmtId="10" fontId="13" fillId="38" borderId="192" xfId="0" applyNumberFormat="1" applyFont="1" applyFill="1" applyBorder="1" applyAlignment="1">
      <alignment horizontal="center" vertical="center"/>
    </xf>
    <xf numFmtId="0" fontId="106" fillId="36" borderId="192" xfId="147" applyFont="1" applyFill="1" applyBorder="1" applyAlignment="1">
      <alignment horizontal="center" wrapText="1"/>
    </xf>
    <xf numFmtId="4" fontId="106" fillId="36" borderId="192" xfId="147" applyNumberFormat="1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wrapText="1"/>
    </xf>
    <xf numFmtId="0" fontId="106" fillId="38" borderId="192" xfId="147" applyFont="1" applyFill="1" applyBorder="1" applyAlignment="1">
      <alignment horizontal="center" wrapText="1"/>
    </xf>
    <xf numFmtId="4" fontId="106" fillId="38" borderId="192" xfId="147" applyNumberFormat="1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vertical="center" wrapText="1"/>
    </xf>
    <xf numFmtId="0" fontId="106" fillId="38" borderId="192" xfId="147" applyFont="1" applyFill="1" applyBorder="1" applyAlignment="1">
      <alignment horizontal="center"/>
    </xf>
    <xf numFmtId="4" fontId="106" fillId="38" borderId="192" xfId="148" applyNumberFormat="1" applyFont="1" applyFill="1" applyBorder="1" applyAlignment="1">
      <alignment horizontal="center" vertical="center"/>
    </xf>
    <xf numFmtId="2" fontId="13" fillId="0" borderId="192" xfId="0" applyNumberFormat="1" applyFont="1" applyBorder="1"/>
    <xf numFmtId="10" fontId="13" fillId="0" borderId="0" xfId="0" applyNumberFormat="1" applyFont="1" applyAlignment="1">
      <alignment horizontal="right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4" fontId="13" fillId="0" borderId="0" xfId="0" applyNumberFormat="1" applyFont="1" applyAlignment="1">
      <alignment wrapText="1"/>
    </xf>
    <xf numFmtId="0" fontId="13" fillId="0" borderId="192" xfId="0" applyFont="1" applyBorder="1" applyAlignment="1">
      <alignment horizontal="center"/>
    </xf>
    <xf numFmtId="3" fontId="13" fillId="0" borderId="0" xfId="0" applyNumberFormat="1" applyFont="1" applyAlignment="1">
      <alignment wrapText="1"/>
    </xf>
    <xf numFmtId="3" fontId="13" fillId="36" borderId="192" xfId="0" applyNumberFormat="1" applyFont="1" applyFill="1" applyBorder="1" applyAlignment="1">
      <alignment wrapText="1"/>
    </xf>
    <xf numFmtId="3" fontId="12" fillId="38" borderId="192" xfId="0" applyNumberFormat="1" applyFont="1" applyFill="1" applyBorder="1" applyAlignment="1">
      <alignment wrapText="1"/>
    </xf>
    <xf numFmtId="3" fontId="13" fillId="38" borderId="192" xfId="0" applyNumberFormat="1" applyFont="1" applyFill="1" applyBorder="1" applyAlignment="1">
      <alignment vertical="center" wrapText="1"/>
    </xf>
    <xf numFmtId="0" fontId="150" fillId="0" borderId="0" xfId="0" applyFont="1" applyAlignment="1" applyProtection="1">
      <alignment horizontal="center" vertical="center"/>
      <protection locked="0"/>
    </xf>
    <xf numFmtId="0" fontId="150" fillId="0" borderId="0" xfId="0" applyFont="1" applyAlignment="1" applyProtection="1">
      <alignment horizontal="center" vertical="center" wrapText="1"/>
      <protection locked="0"/>
    </xf>
    <xf numFmtId="4" fontId="12" fillId="34" borderId="0" xfId="0" applyNumberFormat="1" applyFont="1" applyFill="1" applyAlignment="1">
      <alignment horizontal="center" vertical="center"/>
    </xf>
    <xf numFmtId="2" fontId="13" fillId="0" borderId="0" xfId="0" applyNumberFormat="1" applyFont="1" applyAlignment="1">
      <alignment horizontal="center" vertical="center" wrapText="1"/>
    </xf>
    <xf numFmtId="170" fontId="13" fillId="0" borderId="0" xfId="0" applyNumberFormat="1" applyFont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2" fontId="13" fillId="0" borderId="192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top" wrapText="1"/>
    </xf>
    <xf numFmtId="0" fontId="155" fillId="53" borderId="264" xfId="0" applyNumberFormat="1" applyFont="1" applyFill="1" applyBorder="1" applyAlignment="1">
      <alignment vertical="top" wrapText="1"/>
    </xf>
    <xf numFmtId="0" fontId="155" fillId="53" borderId="265" xfId="0" applyNumberFormat="1" applyFont="1" applyFill="1" applyBorder="1" applyAlignment="1">
      <alignment vertical="top" wrapText="1"/>
    </xf>
    <xf numFmtId="0" fontId="155" fillId="53" borderId="266" xfId="0" applyNumberFormat="1" applyFont="1" applyFill="1" applyBorder="1" applyAlignment="1">
      <alignment vertical="top" wrapText="1"/>
    </xf>
    <xf numFmtId="0" fontId="155" fillId="29" borderId="264" xfId="0" applyNumberFormat="1" applyFont="1" applyFill="1" applyBorder="1" applyAlignment="1">
      <alignment vertical="top" wrapText="1"/>
    </xf>
    <xf numFmtId="0" fontId="155" fillId="29" borderId="264" xfId="0" applyNumberFormat="1" applyFont="1" applyFill="1" applyBorder="1" applyAlignment="1">
      <alignment horizontal="center" vertical="center" wrapText="1"/>
    </xf>
    <xf numFmtId="186" fontId="157" fillId="37" borderId="267" xfId="0" applyNumberFormat="1" applyFont="1" applyFill="1" applyBorder="1" applyAlignment="1">
      <alignment horizontal="left" vertical="top" wrapText="1"/>
    </xf>
    <xf numFmtId="0" fontId="157" fillId="37" borderId="267" xfId="0" applyNumberFormat="1" applyFont="1" applyFill="1" applyBorder="1" applyAlignment="1">
      <alignment vertical="top" wrapText="1"/>
    </xf>
    <xf numFmtId="4" fontId="157" fillId="37" borderId="267" xfId="0" applyNumberFormat="1" applyFont="1" applyFill="1" applyBorder="1" applyAlignment="1">
      <alignment horizontal="right" vertical="top" wrapText="1"/>
    </xf>
    <xf numFmtId="1" fontId="157" fillId="37" borderId="267" xfId="0" applyNumberFormat="1" applyFont="1" applyFill="1" applyBorder="1" applyAlignment="1">
      <alignment horizontal="right" vertical="top" wrapText="1"/>
    </xf>
    <xf numFmtId="185" fontId="157" fillId="37" borderId="267" xfId="0" applyNumberFormat="1" applyFont="1" applyFill="1" applyBorder="1" applyAlignment="1">
      <alignment horizontal="right" vertical="top" wrapText="1"/>
    </xf>
    <xf numFmtId="185" fontId="158" fillId="37" borderId="267" xfId="0" applyNumberFormat="1" applyFont="1" applyFill="1" applyBorder="1" applyAlignment="1">
      <alignment horizontal="right" vertical="top" wrapText="1"/>
    </xf>
    <xf numFmtId="0" fontId="157" fillId="37" borderId="267" xfId="0" applyNumberFormat="1" applyFont="1" applyFill="1" applyBorder="1" applyAlignment="1">
      <alignment horizontal="right" vertical="top" wrapText="1"/>
    </xf>
    <xf numFmtId="0" fontId="0" fillId="37" borderId="0" xfId="0" applyFill="1"/>
    <xf numFmtId="186" fontId="157" fillId="0" borderId="267" xfId="0" applyNumberFormat="1" applyFont="1" applyBorder="1" applyAlignment="1">
      <alignment horizontal="left" vertical="top" wrapText="1"/>
    </xf>
    <xf numFmtId="0" fontId="157" fillId="0" borderId="267" xfId="0" applyNumberFormat="1" applyFont="1" applyBorder="1" applyAlignment="1">
      <alignment vertical="top" wrapText="1"/>
    </xf>
    <xf numFmtId="0" fontId="157" fillId="0" borderId="267" xfId="0" applyNumberFormat="1" applyFont="1" applyBorder="1" applyAlignment="1">
      <alignment horizontal="right" vertical="top" wrapText="1"/>
    </xf>
    <xf numFmtId="1" fontId="157" fillId="0" borderId="267" xfId="0" applyNumberFormat="1" applyFont="1" applyBorder="1" applyAlignment="1">
      <alignment horizontal="right" vertical="top" wrapText="1"/>
    </xf>
    <xf numFmtId="185" fontId="157" fillId="0" borderId="267" xfId="0" applyNumberFormat="1" applyFont="1" applyBorder="1" applyAlignment="1">
      <alignment horizontal="right" vertical="top" wrapText="1"/>
    </xf>
    <xf numFmtId="0" fontId="157" fillId="29" borderId="267" xfId="0" applyNumberFormat="1" applyFont="1" applyFill="1" applyBorder="1" applyAlignment="1">
      <alignment horizontal="right" vertical="top" wrapText="1"/>
    </xf>
    <xf numFmtId="185" fontId="157" fillId="29" borderId="267" xfId="0" applyNumberFormat="1" applyFont="1" applyFill="1" applyBorder="1" applyAlignment="1">
      <alignment horizontal="right" vertical="top" wrapText="1"/>
    </xf>
    <xf numFmtId="187" fontId="157" fillId="0" borderId="267" xfId="0" applyNumberFormat="1" applyFont="1" applyBorder="1" applyAlignment="1">
      <alignment horizontal="left" vertical="top" wrapText="1"/>
    </xf>
    <xf numFmtId="3" fontId="157" fillId="0" borderId="267" xfId="0" applyNumberFormat="1" applyFont="1" applyBorder="1" applyAlignment="1">
      <alignment horizontal="right" vertical="top" wrapText="1"/>
    </xf>
    <xf numFmtId="186" fontId="157" fillId="34" borderId="267" xfId="0" applyNumberFormat="1" applyFont="1" applyFill="1" applyBorder="1" applyAlignment="1">
      <alignment horizontal="left" vertical="top" wrapText="1"/>
    </xf>
    <xf numFmtId="0" fontId="157" fillId="34" borderId="267" xfId="0" applyNumberFormat="1" applyFont="1" applyFill="1" applyBorder="1" applyAlignment="1">
      <alignment vertical="top" wrapText="1"/>
    </xf>
    <xf numFmtId="0" fontId="157" fillId="34" borderId="267" xfId="0" applyNumberFormat="1" applyFont="1" applyFill="1" applyBorder="1" applyAlignment="1">
      <alignment horizontal="right" vertical="top" wrapText="1"/>
    </xf>
    <xf numFmtId="1" fontId="157" fillId="34" borderId="267" xfId="0" applyNumberFormat="1" applyFont="1" applyFill="1" applyBorder="1" applyAlignment="1">
      <alignment horizontal="right" vertical="top" wrapText="1"/>
    </xf>
    <xf numFmtId="0" fontId="157" fillId="34" borderId="268" xfId="0" applyNumberFormat="1" applyFont="1" applyFill="1" applyBorder="1" applyAlignment="1">
      <alignment horizontal="right" vertical="top" wrapText="1"/>
    </xf>
    <xf numFmtId="0" fontId="157" fillId="34" borderId="269" xfId="0" applyNumberFormat="1" applyFont="1" applyFill="1" applyBorder="1" applyAlignment="1">
      <alignment horizontal="right" vertical="top" wrapText="1"/>
    </xf>
    <xf numFmtId="185" fontId="157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57" fillId="46" borderId="267" xfId="0" applyNumberFormat="1" applyFont="1" applyFill="1" applyBorder="1" applyAlignment="1">
      <alignment horizontal="left" vertical="top" wrapText="1"/>
    </xf>
    <xf numFmtId="0" fontId="157" fillId="46" borderId="267" xfId="0" applyNumberFormat="1" applyFont="1" applyFill="1" applyBorder="1" applyAlignment="1">
      <alignment vertical="top" wrapText="1"/>
    </xf>
    <xf numFmtId="0" fontId="157" fillId="46" borderId="267" xfId="0" applyNumberFormat="1" applyFont="1" applyFill="1" applyBorder="1" applyAlignment="1">
      <alignment horizontal="right" vertical="top" wrapText="1"/>
    </xf>
    <xf numFmtId="1" fontId="157" fillId="46" borderId="267" xfId="0" applyNumberFormat="1" applyFont="1" applyFill="1" applyBorder="1" applyAlignment="1">
      <alignment horizontal="right" vertical="top" wrapText="1"/>
    </xf>
    <xf numFmtId="185" fontId="157" fillId="46" borderId="267" xfId="0" applyNumberFormat="1" applyFont="1" applyFill="1" applyBorder="1" applyAlignment="1">
      <alignment horizontal="right" vertical="top" wrapText="1"/>
    </xf>
    <xf numFmtId="188" fontId="157" fillId="46" borderId="267" xfId="0" applyNumberFormat="1" applyFont="1" applyFill="1" applyBorder="1" applyAlignment="1">
      <alignment horizontal="right" vertical="top" wrapText="1"/>
    </xf>
    <xf numFmtId="0" fontId="0" fillId="46" borderId="0" xfId="0" applyFill="1"/>
    <xf numFmtId="0" fontId="155" fillId="54" borderId="267" xfId="0" applyNumberFormat="1" applyFont="1" applyFill="1" applyBorder="1" applyAlignment="1">
      <alignment vertical="top" wrapText="1"/>
    </xf>
    <xf numFmtId="185" fontId="155" fillId="54" borderId="267" xfId="0" applyNumberFormat="1" applyFont="1" applyFill="1" applyBorder="1" applyAlignment="1">
      <alignment horizontal="right" vertical="top" wrapText="1"/>
    </xf>
    <xf numFmtId="185" fontId="156" fillId="54" borderId="267" xfId="0" applyNumberFormat="1" applyFont="1" applyFill="1" applyBorder="1" applyAlignment="1">
      <alignment horizontal="right" vertical="top" wrapText="1"/>
    </xf>
    <xf numFmtId="0" fontId="0" fillId="54" borderId="0" xfId="0" applyFill="1"/>
    <xf numFmtId="189" fontId="157" fillId="55" borderId="267" xfId="0" applyNumberFormat="1" applyFont="1" applyFill="1" applyBorder="1" applyAlignment="1">
      <alignment horizontal="left" vertical="top" wrapText="1"/>
    </xf>
    <xf numFmtId="0" fontId="157" fillId="55" borderId="267" xfId="0" applyNumberFormat="1" applyFont="1" applyFill="1" applyBorder="1" applyAlignment="1">
      <alignment vertical="top" wrapText="1"/>
    </xf>
    <xf numFmtId="0" fontId="157" fillId="55" borderId="267" xfId="0" applyNumberFormat="1" applyFont="1" applyFill="1" applyBorder="1" applyAlignment="1">
      <alignment horizontal="right" vertical="top" wrapText="1"/>
    </xf>
    <xf numFmtId="1" fontId="157" fillId="55" borderId="267" xfId="0" applyNumberFormat="1" applyFont="1" applyFill="1" applyBorder="1" applyAlignment="1">
      <alignment horizontal="right" vertical="top" wrapText="1"/>
    </xf>
    <xf numFmtId="185" fontId="157" fillId="55" borderId="267" xfId="0" applyNumberFormat="1" applyFont="1" applyFill="1" applyBorder="1" applyAlignment="1">
      <alignment horizontal="right" vertical="top" wrapText="1"/>
    </xf>
    <xf numFmtId="0" fontId="0" fillId="55" borderId="0" xfId="0" applyFill="1"/>
    <xf numFmtId="0" fontId="157" fillId="55" borderId="268" xfId="0" applyNumberFormat="1" applyFont="1" applyFill="1" applyBorder="1" applyAlignment="1">
      <alignment horizontal="right" vertical="top" wrapText="1"/>
    </xf>
    <xf numFmtId="0" fontId="157" fillId="55" borderId="269" xfId="0" applyNumberFormat="1" applyFont="1" applyFill="1" applyBorder="1" applyAlignment="1">
      <alignment horizontal="right" vertical="top" wrapText="1"/>
    </xf>
    <xf numFmtId="185" fontId="159" fillId="55" borderId="267" xfId="0" applyNumberFormat="1" applyFont="1" applyFill="1" applyBorder="1" applyAlignment="1">
      <alignment horizontal="right" vertical="top" wrapText="1"/>
    </xf>
    <xf numFmtId="189" fontId="157" fillId="37" borderId="267" xfId="0" applyNumberFormat="1" applyFont="1" applyFill="1" applyBorder="1" applyAlignment="1">
      <alignment horizontal="left" vertical="top" wrapText="1"/>
    </xf>
    <xf numFmtId="185" fontId="159" fillId="37" borderId="267" xfId="0" applyNumberFormat="1" applyFont="1" applyFill="1" applyBorder="1" applyAlignment="1">
      <alignment horizontal="right" vertical="top" wrapText="1"/>
    </xf>
    <xf numFmtId="0" fontId="157" fillId="37" borderId="268" xfId="0" applyNumberFormat="1" applyFont="1" applyFill="1" applyBorder="1" applyAlignment="1">
      <alignment horizontal="right" vertical="top" wrapText="1"/>
    </xf>
    <xf numFmtId="0" fontId="157" fillId="37" borderId="269" xfId="0" applyNumberFormat="1" applyFont="1" applyFill="1" applyBorder="1" applyAlignment="1">
      <alignment horizontal="right" vertical="top" wrapText="1"/>
    </xf>
    <xf numFmtId="189" fontId="157" fillId="0" borderId="267" xfId="0" applyNumberFormat="1" applyFont="1" applyBorder="1" applyAlignment="1">
      <alignment horizontal="left" vertical="top" wrapText="1"/>
    </xf>
    <xf numFmtId="0" fontId="157" fillId="0" borderId="268" xfId="0" applyNumberFormat="1" applyFont="1" applyBorder="1" applyAlignment="1">
      <alignment horizontal="right" vertical="top" wrapText="1"/>
    </xf>
    <xf numFmtId="0" fontId="157" fillId="0" borderId="269" xfId="0" applyNumberFormat="1" applyFont="1" applyBorder="1" applyAlignment="1">
      <alignment horizontal="right" vertical="top" wrapText="1"/>
    </xf>
    <xf numFmtId="185" fontId="159" fillId="0" borderId="267" xfId="0" applyNumberFormat="1" applyFont="1" applyBorder="1" applyAlignment="1">
      <alignment horizontal="right" vertical="top" wrapText="1"/>
    </xf>
    <xf numFmtId="188" fontId="157" fillId="29" borderId="267" xfId="0" applyNumberFormat="1" applyFont="1" applyFill="1" applyBorder="1" applyAlignment="1">
      <alignment horizontal="right" vertical="top" wrapText="1"/>
    </xf>
    <xf numFmtId="187" fontId="157" fillId="46" borderId="267" xfId="0" applyNumberFormat="1" applyFont="1" applyFill="1" applyBorder="1" applyAlignment="1">
      <alignment horizontal="left" vertical="top" wrapText="1"/>
    </xf>
    <xf numFmtId="188" fontId="157" fillId="0" borderId="267" xfId="0" applyNumberFormat="1" applyFont="1" applyBorder="1" applyAlignment="1">
      <alignment horizontal="right" vertical="top" wrapText="1"/>
    </xf>
    <xf numFmtId="188" fontId="157" fillId="37" borderId="267" xfId="0" applyNumberFormat="1" applyFont="1" applyFill="1" applyBorder="1" applyAlignment="1">
      <alignment horizontal="right" vertical="top" wrapText="1"/>
    </xf>
    <xf numFmtId="190" fontId="157" fillId="0" borderId="267" xfId="0" applyNumberFormat="1" applyFont="1" applyBorder="1" applyAlignment="1">
      <alignment horizontal="left" vertical="top" wrapText="1"/>
    </xf>
    <xf numFmtId="189" fontId="157" fillId="34" borderId="267" xfId="0" applyNumberFormat="1" applyFont="1" applyFill="1" applyBorder="1" applyAlignment="1">
      <alignment horizontal="left" vertical="top" wrapText="1"/>
    </xf>
    <xf numFmtId="0" fontId="155" fillId="54" borderId="267" xfId="0" applyNumberFormat="1" applyFont="1" applyFill="1" applyBorder="1" applyAlignment="1">
      <alignment horizontal="right" vertical="top" wrapText="1"/>
    </xf>
    <xf numFmtId="187" fontId="157" fillId="37" borderId="267" xfId="0" applyNumberFormat="1" applyFont="1" applyFill="1" applyBorder="1" applyAlignment="1">
      <alignment horizontal="left" vertical="top" wrapText="1"/>
    </xf>
    <xf numFmtId="0" fontId="160" fillId="54" borderId="264" xfId="0" applyNumberFormat="1" applyFont="1" applyFill="1" applyBorder="1" applyAlignment="1">
      <alignment vertical="top"/>
    </xf>
    <xf numFmtId="185" fontId="160" fillId="54" borderId="264" xfId="0" applyNumberFormat="1" applyFont="1" applyFill="1" applyBorder="1" applyAlignment="1">
      <alignment horizontal="right" vertical="top" wrapText="1"/>
    </xf>
    <xf numFmtId="185" fontId="154" fillId="38" borderId="267" xfId="0" applyNumberFormat="1" applyFont="1" applyFill="1" applyBorder="1" applyAlignment="1">
      <alignment horizontal="right" vertical="top" wrapText="1"/>
    </xf>
    <xf numFmtId="0" fontId="161" fillId="38" borderId="267" xfId="0" applyNumberFormat="1" applyFont="1" applyFill="1" applyBorder="1" applyAlignment="1">
      <alignment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4" fontId="13" fillId="0" borderId="0" xfId="0" applyNumberFormat="1" applyFont="1" applyAlignment="1">
      <alignment vertical="center" wrapText="1"/>
    </xf>
    <xf numFmtId="4" fontId="13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57" fillId="52" borderId="267" xfId="0" applyNumberFormat="1" applyFont="1" applyFill="1" applyBorder="1" applyAlignment="1">
      <alignment horizontal="right" vertical="top" wrapText="1"/>
    </xf>
    <xf numFmtId="185" fontId="157" fillId="41" borderId="267" xfId="0" applyNumberFormat="1" applyFont="1" applyFill="1" applyBorder="1" applyAlignment="1">
      <alignment horizontal="right" vertical="top" wrapText="1"/>
    </xf>
    <xf numFmtId="185" fontId="157" fillId="51" borderId="267" xfId="0" applyNumberFormat="1" applyFont="1" applyFill="1" applyBorder="1" applyAlignment="1">
      <alignment horizontal="right" vertical="top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4" fontId="60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 wrapText="1"/>
    </xf>
    <xf numFmtId="4" fontId="61" fillId="29" borderId="192" xfId="0" applyNumberFormat="1" applyFont="1" applyFill="1" applyBorder="1" applyAlignment="1">
      <alignment horizontal="center" vertical="center"/>
    </xf>
    <xf numFmtId="4" fontId="17" fillId="29" borderId="192" xfId="0" applyNumberFormat="1" applyFont="1" applyFill="1" applyBorder="1" applyAlignment="1">
      <alignment horizontal="center" vertical="center"/>
    </xf>
    <xf numFmtId="0" fontId="117" fillId="0" borderId="0" xfId="0" applyFont="1"/>
    <xf numFmtId="0" fontId="13" fillId="38" borderId="192" xfId="0" applyFont="1" applyFill="1" applyBorder="1" applyAlignment="1">
      <alignment horizontal="center" wrapText="1"/>
    </xf>
    <xf numFmtId="4" fontId="12" fillId="0" borderId="0" xfId="0" applyNumberFormat="1" applyFont="1" applyFill="1"/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10" fontId="13" fillId="36" borderId="206" xfId="85" applyNumberFormat="1" applyFont="1" applyFill="1" applyBorder="1" applyAlignment="1">
      <alignment horizontal="left" vertical="center" wrapText="1"/>
    </xf>
    <xf numFmtId="0" fontId="55" fillId="38" borderId="192" xfId="147" applyFont="1" applyFill="1" applyBorder="1" applyAlignment="1">
      <alignment horizontal="center" vertical="center" wrapText="1"/>
    </xf>
    <xf numFmtId="3" fontId="54" fillId="38" borderId="192" xfId="147" applyNumberFormat="1" applyFont="1" applyFill="1" applyBorder="1" applyAlignment="1">
      <alignment horizontal="center" vertical="center" wrapText="1"/>
    </xf>
    <xf numFmtId="4" fontId="54" fillId="38" borderId="192" xfId="147" applyNumberFormat="1" applyFont="1" applyFill="1" applyBorder="1" applyAlignment="1">
      <alignment horizontal="center" vertical="center" wrapText="1"/>
    </xf>
    <xf numFmtId="1" fontId="55" fillId="37" borderId="192" xfId="147" applyNumberFormat="1" applyFont="1" applyFill="1" applyBorder="1" applyAlignment="1">
      <alignment horizontal="center" vertical="center" wrapText="1"/>
    </xf>
    <xf numFmtId="4" fontId="55" fillId="37" borderId="192" xfId="147" applyNumberFormat="1" applyFont="1" applyFill="1" applyBorder="1" applyAlignment="1">
      <alignment horizontal="center" vertical="center" wrapText="1"/>
    </xf>
    <xf numFmtId="171" fontId="55" fillId="37" borderId="192" xfId="147" applyNumberFormat="1" applyFont="1" applyFill="1" applyBorder="1" applyAlignment="1">
      <alignment horizontal="center" vertical="center" wrapText="1"/>
    </xf>
    <xf numFmtId="9" fontId="55" fillId="37" borderId="192" xfId="147" applyNumberFormat="1" applyFont="1" applyFill="1" applyBorder="1" applyAlignment="1">
      <alignment horizontal="center" vertical="center" wrapText="1"/>
    </xf>
    <xf numFmtId="178" fontId="55" fillId="37" borderId="192" xfId="147" applyNumberFormat="1" applyFont="1" applyFill="1" applyBorder="1" applyAlignment="1">
      <alignment horizontal="center" vertical="center" wrapText="1"/>
    </xf>
    <xf numFmtId="4" fontId="55" fillId="36" borderId="192" xfId="147" applyNumberFormat="1" applyFont="1" applyFill="1" applyBorder="1" applyAlignment="1">
      <alignment horizontal="center" vertical="center" wrapText="1"/>
    </xf>
    <xf numFmtId="169" fontId="13" fillId="0" borderId="0" xfId="0" applyNumberFormat="1" applyFont="1"/>
    <xf numFmtId="1" fontId="13" fillId="38" borderId="192" xfId="0" applyNumberFormat="1" applyFont="1" applyFill="1" applyBorder="1" applyAlignment="1">
      <alignment horizontal="center" vertical="center"/>
    </xf>
    <xf numFmtId="2" fontId="48" fillId="0" borderId="0" xfId="85" applyNumberFormat="1" applyFont="1"/>
    <xf numFmtId="0" fontId="81" fillId="38" borderId="0" xfId="0" applyFont="1" applyFill="1" applyAlignment="1">
      <alignment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60" fillId="38" borderId="17" xfId="0" applyFont="1" applyFill="1" applyBorder="1" applyAlignment="1">
      <alignment horizontal="center" wrapText="1"/>
    </xf>
    <xf numFmtId="0" fontId="17" fillId="38" borderId="17" xfId="0" applyFont="1" applyFill="1" applyBorder="1" applyAlignment="1">
      <alignment vertical="center" wrapText="1"/>
    </xf>
    <xf numFmtId="0" fontId="60" fillId="38" borderId="257" xfId="0" applyFont="1" applyFill="1" applyBorder="1" applyAlignment="1">
      <alignment horizontal="center" wrapText="1"/>
    </xf>
    <xf numFmtId="0" fontId="17" fillId="38" borderId="257" xfId="0" applyFont="1" applyFill="1" applyBorder="1" applyAlignment="1">
      <alignment vertical="center" wrapText="1"/>
    </xf>
    <xf numFmtId="0" fontId="79" fillId="38" borderId="257" xfId="0" applyFont="1" applyFill="1" applyBorder="1"/>
    <xf numFmtId="0" fontId="79" fillId="0" borderId="257" xfId="0" applyFont="1" applyBorder="1" applyAlignment="1">
      <alignment vertical="center"/>
    </xf>
    <xf numFmtId="4" fontId="17" fillId="0" borderId="257" xfId="0" applyNumberFormat="1" applyFont="1" applyBorder="1" applyAlignment="1">
      <alignment horizontal="right" vertical="center"/>
    </xf>
    <xf numFmtId="4" fontId="80" fillId="0" borderId="257" xfId="0" applyNumberFormat="1" applyFont="1" applyBorder="1" applyAlignment="1">
      <alignment horizontal="right" vertical="center"/>
    </xf>
    <xf numFmtId="178" fontId="17" fillId="29" borderId="257" xfId="0" applyNumberFormat="1" applyFont="1" applyFill="1" applyBorder="1" applyAlignment="1">
      <alignment horizontal="center" vertical="center"/>
    </xf>
    <xf numFmtId="4" fontId="60" fillId="0" borderId="257" xfId="0" applyNumberFormat="1" applyFont="1" applyBorder="1" applyAlignment="1">
      <alignment horizontal="right" vertical="center"/>
    </xf>
    <xf numFmtId="4" fontId="61" fillId="0" borderId="257" xfId="0" applyNumberFormat="1" applyFont="1" applyBorder="1" applyAlignment="1">
      <alignment horizontal="right" vertical="center"/>
    </xf>
    <xf numFmtId="0" fontId="60" fillId="0" borderId="257" xfId="0" applyFont="1" applyBorder="1" applyAlignment="1">
      <alignment vertical="center"/>
    </xf>
    <xf numFmtId="0" fontId="60" fillId="0" borderId="257" xfId="0" applyFont="1" applyBorder="1" applyAlignment="1">
      <alignment horizontal="right" vertical="center"/>
    </xf>
    <xf numFmtId="178" fontId="60" fillId="29" borderId="257" xfId="0" applyNumberFormat="1" applyFont="1" applyFill="1" applyBorder="1" applyAlignment="1">
      <alignment horizontal="center" vertical="center"/>
    </xf>
    <xf numFmtId="178" fontId="61" fillId="29" borderId="257" xfId="85" applyNumberFormat="1" applyFont="1" applyFill="1" applyBorder="1" applyAlignment="1">
      <alignment horizontal="center" vertical="center"/>
    </xf>
    <xf numFmtId="0" fontId="17" fillId="0" borderId="257" xfId="0" applyFont="1" applyBorder="1" applyAlignment="1">
      <alignment horizontal="right" vertical="center"/>
    </xf>
    <xf numFmtId="178" fontId="61" fillId="29" borderId="257" xfId="0" applyNumberFormat="1" applyFont="1" applyFill="1" applyBorder="1" applyAlignment="1">
      <alignment horizontal="center" vertical="center" wrapText="1"/>
    </xf>
    <xf numFmtId="178" fontId="61" fillId="29" borderId="257" xfId="0" applyNumberFormat="1" applyFont="1" applyFill="1" applyBorder="1" applyAlignment="1">
      <alignment horizontal="center" vertical="center"/>
    </xf>
    <xf numFmtId="168" fontId="17" fillId="29" borderId="257" xfId="0" applyNumberFormat="1" applyFont="1" applyFill="1" applyBorder="1" applyAlignment="1">
      <alignment horizontal="center" vertical="center"/>
    </xf>
    <xf numFmtId="178" fontId="61" fillId="29" borderId="258" xfId="0" applyNumberFormat="1" applyFont="1" applyFill="1" applyBorder="1" applyAlignment="1">
      <alignment horizontal="center" vertical="center"/>
    </xf>
    <xf numFmtId="0" fontId="81" fillId="29" borderId="11" xfId="0" applyFont="1" applyFill="1" applyBorder="1" applyAlignment="1">
      <alignment horizontal="center" vertical="center" wrapText="1"/>
    </xf>
    <xf numFmtId="0" fontId="79" fillId="38" borderId="258" xfId="0" applyFont="1" applyFill="1" applyBorder="1"/>
    <xf numFmtId="178" fontId="17" fillId="29" borderId="11" xfId="0" applyNumberFormat="1" applyFont="1" applyFill="1" applyBorder="1" applyAlignment="1">
      <alignment horizontal="center" vertical="center"/>
    </xf>
    <xf numFmtId="178" fontId="80" fillId="29" borderId="257" xfId="0" applyNumberFormat="1" applyFont="1" applyFill="1" applyBorder="1" applyAlignment="1">
      <alignment horizontal="center" vertical="center" wrapText="1"/>
    </xf>
    <xf numFmtId="169" fontId="14" fillId="0" borderId="270" xfId="0" applyNumberFormat="1" applyFont="1" applyBorder="1" applyAlignment="1">
      <alignment horizontal="center"/>
    </xf>
    <xf numFmtId="4" fontId="12" fillId="29" borderId="192" xfId="0" applyNumberFormat="1" applyFont="1" applyFill="1" applyBorder="1" applyAlignment="1">
      <alignment vertical="center"/>
    </xf>
    <xf numFmtId="178" fontId="13" fillId="29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81" fillId="0" borderId="0" xfId="0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4" fontId="17" fillId="34" borderId="192" xfId="0" applyNumberFormat="1" applyFont="1" applyFill="1" applyBorder="1" applyAlignment="1">
      <alignment horizontal="center" vertical="center" wrapText="1"/>
    </xf>
    <xf numFmtId="4" fontId="60" fillId="34" borderId="192" xfId="0" applyNumberFormat="1" applyFont="1" applyFill="1" applyBorder="1" applyAlignment="1">
      <alignment horizontal="center" vertical="center"/>
    </xf>
    <xf numFmtId="4" fontId="17" fillId="34" borderId="192" xfId="0" applyNumberFormat="1" applyFont="1" applyFill="1" applyBorder="1" applyAlignment="1">
      <alignment horizontal="center" vertical="center"/>
    </xf>
    <xf numFmtId="0" fontId="17" fillId="34" borderId="192" xfId="0" applyFont="1" applyFill="1" applyBorder="1" applyAlignment="1">
      <alignment vertical="center"/>
    </xf>
    <xf numFmtId="0" fontId="12" fillId="34" borderId="192" xfId="0" applyFont="1" applyFill="1" applyBorder="1" applyAlignment="1">
      <alignment horizontal="center" vertical="center"/>
    </xf>
    <xf numFmtId="169" fontId="12" fillId="34" borderId="192" xfId="0" applyNumberFormat="1" applyFont="1" applyFill="1" applyBorder="1" applyAlignment="1">
      <alignment horizontal="center" vertical="center"/>
    </xf>
    <xf numFmtId="169" fontId="15" fillId="34" borderId="192" xfId="0" applyNumberFormat="1" applyFont="1" applyFill="1" applyBorder="1" applyAlignment="1">
      <alignment horizontal="center" vertical="center"/>
    </xf>
    <xf numFmtId="4" fontId="12" fillId="34" borderId="192" xfId="0" applyNumberFormat="1" applyFont="1" applyFill="1" applyBorder="1" applyAlignment="1">
      <alignment horizontal="center" vertical="center"/>
    </xf>
    <xf numFmtId="4" fontId="15" fillId="34" borderId="192" xfId="0" applyNumberFormat="1" applyFont="1" applyFill="1" applyBorder="1" applyAlignment="1">
      <alignment horizontal="center" vertical="center"/>
    </xf>
    <xf numFmtId="4" fontId="18" fillId="34" borderId="192" xfId="0" applyNumberFormat="1" applyFont="1" applyFill="1" applyBorder="1" applyAlignment="1">
      <alignment horizontal="center" vertical="center"/>
    </xf>
    <xf numFmtId="171" fontId="80" fillId="34" borderId="192" xfId="85" applyNumberFormat="1" applyFont="1" applyFill="1" applyBorder="1" applyAlignment="1">
      <alignment horizontal="center" vertical="center"/>
    </xf>
    <xf numFmtId="171" fontId="17" fillId="34" borderId="192" xfId="0" applyNumberFormat="1" applyFont="1" applyFill="1" applyBorder="1" applyAlignment="1">
      <alignment horizontal="center" vertical="center" wrapText="1"/>
    </xf>
    <xf numFmtId="4" fontId="12" fillId="34" borderId="192" xfId="0" applyNumberFormat="1" applyFont="1" applyFill="1" applyBorder="1" applyAlignment="1">
      <alignment horizontal="center" vertical="center" wrapText="1"/>
    </xf>
    <xf numFmtId="171" fontId="80" fillId="34" borderId="192" xfId="0" applyNumberFormat="1" applyFont="1" applyFill="1" applyBorder="1" applyAlignment="1">
      <alignment horizontal="center" vertical="center" wrapText="1"/>
    </xf>
    <xf numFmtId="0" fontId="13" fillId="34" borderId="192" xfId="0" applyFont="1" applyFill="1" applyBorder="1" applyAlignment="1">
      <alignment vertical="center" wrapText="1"/>
    </xf>
    <xf numFmtId="2" fontId="12" fillId="34" borderId="192" xfId="0" applyNumberFormat="1" applyFont="1" applyFill="1" applyBorder="1" applyAlignment="1">
      <alignment horizontal="center" vertical="center"/>
    </xf>
    <xf numFmtId="2" fontId="12" fillId="34" borderId="192" xfId="0" applyNumberFormat="1" applyFont="1" applyFill="1" applyBorder="1" applyAlignment="1">
      <alignment vertical="center" wrapText="1"/>
    </xf>
    <xf numFmtId="0" fontId="17" fillId="34" borderId="192" xfId="0" applyFont="1" applyFill="1" applyBorder="1" applyAlignment="1">
      <alignment vertical="center" wrapText="1"/>
    </xf>
    <xf numFmtId="0" fontId="12" fillId="34" borderId="192" xfId="0" applyFont="1" applyFill="1" applyBorder="1" applyAlignment="1">
      <alignment vertical="center"/>
    </xf>
    <xf numFmtId="4" fontId="12" fillId="34" borderId="192" xfId="0" applyNumberFormat="1" applyFont="1" applyFill="1" applyBorder="1" applyAlignment="1">
      <alignment vertical="center"/>
    </xf>
    <xf numFmtId="9" fontId="13" fillId="34" borderId="192" xfId="0" applyNumberFormat="1" applyFont="1" applyFill="1" applyBorder="1" applyAlignment="1">
      <alignment horizontal="center" vertical="center" wrapText="1"/>
    </xf>
    <xf numFmtId="0" fontId="13" fillId="34" borderId="192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4" fontId="117" fillId="0" borderId="0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/>
    <xf numFmtId="4" fontId="12" fillId="29" borderId="192" xfId="0" applyNumberFormat="1" applyFont="1" applyFill="1" applyBorder="1"/>
    <xf numFmtId="0" fontId="165" fillId="0" borderId="0" xfId="0" applyFont="1" applyAlignment="1">
      <alignment horizontal="center" vertical="center" wrapText="1"/>
    </xf>
    <xf numFmtId="4" fontId="92" fillId="0" borderId="0" xfId="0" applyNumberFormat="1" applyFont="1"/>
    <xf numFmtId="4" fontId="92" fillId="0" borderId="0" xfId="0" applyNumberFormat="1" applyFont="1" applyAlignment="1">
      <alignment vertical="center"/>
    </xf>
    <xf numFmtId="4" fontId="12" fillId="0" borderId="0" xfId="0" applyNumberFormat="1" applyFont="1" applyFill="1" applyBorder="1"/>
    <xf numFmtId="0" fontId="13" fillId="0" borderId="0" xfId="0" applyFont="1" applyFill="1" applyAlignment="1">
      <alignment wrapText="1"/>
    </xf>
    <xf numFmtId="4" fontId="92" fillId="0" borderId="0" xfId="0" applyNumberFormat="1" applyFont="1" applyFill="1"/>
    <xf numFmtId="4" fontId="13" fillId="29" borderId="192" xfId="0" applyNumberFormat="1" applyFont="1" applyFill="1" applyBorder="1" applyAlignment="1">
      <alignment horizontal="right" vertical="center" wrapText="1"/>
    </xf>
    <xf numFmtId="4" fontId="12" fillId="29" borderId="192" xfId="0" applyNumberFormat="1" applyFont="1" applyFill="1" applyBorder="1" applyAlignment="1">
      <alignment horizontal="right"/>
    </xf>
    <xf numFmtId="0" fontId="13" fillId="38" borderId="192" xfId="0" applyFont="1" applyFill="1" applyBorder="1" applyAlignment="1">
      <alignment vertical="center" wrapText="1"/>
    </xf>
    <xf numFmtId="0" fontId="60" fillId="30" borderId="11" xfId="0" applyFont="1" applyFill="1" applyBorder="1" applyAlignment="1">
      <alignment horizontal="center" vertical="center"/>
    </xf>
    <xf numFmtId="0" fontId="55" fillId="38" borderId="192" xfId="147" applyFont="1" applyFill="1" applyBorder="1" applyAlignment="1">
      <alignment horizontal="center" vertical="center" wrapText="1"/>
    </xf>
    <xf numFmtId="0" fontId="166" fillId="0" borderId="0" xfId="147" applyFont="1"/>
    <xf numFmtId="0" fontId="128" fillId="0" borderId="0" xfId="147" applyFont="1"/>
    <xf numFmtId="0" fontId="58" fillId="0" borderId="0" xfId="0" applyFont="1"/>
    <xf numFmtId="0" fontId="13" fillId="29" borderId="192" xfId="0" applyFont="1" applyFill="1" applyBorder="1"/>
    <xf numFmtId="2" fontId="13" fillId="29" borderId="192" xfId="0" applyNumberFormat="1" applyFont="1" applyFill="1" applyBorder="1"/>
    <xf numFmtId="168" fontId="13" fillId="29" borderId="192" xfId="0" applyNumberFormat="1" applyFont="1" applyFill="1" applyBorder="1"/>
    <xf numFmtId="0" fontId="13" fillId="29" borderId="192" xfId="0" applyFont="1" applyFill="1" applyBorder="1" applyAlignment="1">
      <alignment vertical="center"/>
    </xf>
    <xf numFmtId="178" fontId="12" fillId="29" borderId="192" xfId="0" applyNumberFormat="1" applyFont="1" applyFill="1" applyBorder="1" applyAlignment="1">
      <alignment horizontal="center" vertical="center"/>
    </xf>
    <xf numFmtId="4" fontId="61" fillId="29" borderId="192" xfId="0" applyNumberFormat="1" applyFont="1" applyFill="1" applyBorder="1" applyAlignment="1">
      <alignment vertical="center"/>
    </xf>
    <xf numFmtId="4" fontId="60" fillId="29" borderId="192" xfId="0" applyNumberFormat="1" applyFont="1" applyFill="1" applyBorder="1" applyAlignment="1">
      <alignment vertical="center"/>
    </xf>
    <xf numFmtId="10" fontId="60" fillId="29" borderId="192" xfId="85" applyNumberFormat="1" applyFont="1" applyFill="1" applyBorder="1" applyAlignment="1">
      <alignment horizontal="center" vertical="center"/>
    </xf>
    <xf numFmtId="10" fontId="60" fillId="29" borderId="192" xfId="0" applyNumberFormat="1" applyFont="1" applyFill="1" applyBorder="1" applyAlignment="1">
      <alignment vertical="center"/>
    </xf>
    <xf numFmtId="0" fontId="60" fillId="30" borderId="11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79" applyFont="1" applyFill="1"/>
    <xf numFmtId="4" fontId="13" fillId="29" borderId="192" xfId="79" applyNumberFormat="1" applyFont="1" applyFill="1" applyBorder="1" applyAlignment="1">
      <alignment horizontal="center" vertical="center"/>
    </xf>
    <xf numFmtId="10" fontId="13" fillId="29" borderId="192" xfId="85" applyNumberFormat="1" applyFont="1" applyFill="1" applyBorder="1" applyAlignment="1">
      <alignment horizontal="center" vertical="center"/>
    </xf>
    <xf numFmtId="171" fontId="12" fillId="29" borderId="192" xfId="85" applyNumberFormat="1" applyFont="1" applyFill="1" applyBorder="1" applyAlignment="1">
      <alignment vertical="center"/>
    </xf>
    <xf numFmtId="10" fontId="12" fillId="29" borderId="192" xfId="85" applyNumberFormat="1" applyFont="1" applyFill="1" applyBorder="1" applyAlignment="1">
      <alignment vertical="center"/>
    </xf>
    <xf numFmtId="178" fontId="13" fillId="29" borderId="192" xfId="79" applyNumberFormat="1" applyFont="1" applyFill="1" applyBorder="1" applyAlignment="1">
      <alignment horizontal="center" vertical="center"/>
    </xf>
    <xf numFmtId="4" fontId="51" fillId="29" borderId="192" xfId="79" applyNumberFormat="1" applyFont="1" applyFill="1" applyBorder="1" applyAlignment="1">
      <alignment horizontal="center" vertical="center"/>
    </xf>
    <xf numFmtId="193" fontId="12" fillId="29" borderId="192" xfId="85" applyNumberFormat="1" applyFont="1" applyFill="1" applyBorder="1" applyAlignment="1">
      <alignment vertical="center"/>
    </xf>
    <xf numFmtId="0" fontId="13" fillId="27" borderId="193" xfId="96" applyFont="1" applyFill="1" applyBorder="1" applyAlignment="1">
      <alignment horizontal="center" vertical="center" wrapText="1"/>
    </xf>
    <xf numFmtId="0" fontId="7" fillId="0" borderId="192" xfId="79" applyFont="1" applyBorder="1" applyAlignment="1">
      <alignment vertical="center"/>
    </xf>
    <xf numFmtId="4" fontId="13" fillId="29" borderId="192" xfId="0" applyNumberFormat="1" applyFont="1" applyFill="1" applyBorder="1" applyAlignment="1">
      <alignment horizontal="center" vertical="center" wrapText="1"/>
    </xf>
    <xf numFmtId="0" fontId="13" fillId="29" borderId="192" xfId="96" applyFont="1" applyFill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4" fontId="13" fillId="29" borderId="192" xfId="0" applyNumberFormat="1" applyFont="1" applyFill="1" applyBorder="1" applyAlignment="1">
      <alignment vertical="center"/>
    </xf>
    <xf numFmtId="174" fontId="13" fillId="29" borderId="192" xfId="0" applyNumberFormat="1" applyFont="1" applyFill="1" applyBorder="1" applyAlignment="1">
      <alignment horizontal="center" vertical="center"/>
    </xf>
    <xf numFmtId="2" fontId="13" fillId="29" borderId="192" xfId="0" applyNumberFormat="1" applyFont="1" applyFill="1" applyBorder="1" applyAlignment="1">
      <alignment horizontal="center" vertical="center"/>
    </xf>
    <xf numFmtId="168" fontId="13" fillId="29" borderId="192" xfId="0" applyNumberFormat="1" applyFont="1" applyFill="1" applyBorder="1" applyAlignment="1">
      <alignment horizontal="center" vertical="center"/>
    </xf>
    <xf numFmtId="167" fontId="13" fillId="29" borderId="192" xfId="0" applyNumberFormat="1" applyFont="1" applyFill="1" applyBorder="1" applyAlignment="1">
      <alignment horizontal="center" vertical="center"/>
    </xf>
    <xf numFmtId="0" fontId="16" fillId="38" borderId="0" xfId="0" applyFont="1" applyFill="1" applyBorder="1" applyAlignment="1">
      <alignment horizontal="center"/>
    </xf>
    <xf numFmtId="0" fontId="13" fillId="38" borderId="0" xfId="0" applyFont="1" applyFill="1" applyBorder="1" applyAlignment="1">
      <alignment horizontal="center" vertical="center" wrapText="1"/>
    </xf>
    <xf numFmtId="0" fontId="13" fillId="36" borderId="0" xfId="0" applyFont="1" applyFill="1" applyBorder="1" applyAlignment="1">
      <alignment vertical="center"/>
    </xf>
    <xf numFmtId="4" fontId="13" fillId="36" borderId="0" xfId="0" applyNumberFormat="1" applyFont="1" applyFill="1" applyBorder="1" applyAlignment="1">
      <alignment vertical="center"/>
    </xf>
    <xf numFmtId="4" fontId="12" fillId="38" borderId="0" xfId="0" applyNumberFormat="1" applyFont="1" applyFill="1" applyBorder="1" applyAlignment="1">
      <alignment vertical="center"/>
    </xf>
    <xf numFmtId="0" fontId="13" fillId="36" borderId="0" xfId="0" applyFont="1" applyFill="1" applyBorder="1"/>
    <xf numFmtId="4" fontId="12" fillId="36" borderId="0" xfId="0" applyNumberFormat="1" applyFont="1" applyFill="1" applyBorder="1"/>
    <xf numFmtId="4" fontId="13" fillId="29" borderId="192" xfId="0" applyNumberFormat="1" applyFont="1" applyFill="1" applyBorder="1" applyAlignment="1">
      <alignment vertical="center" wrapText="1"/>
    </xf>
    <xf numFmtId="0" fontId="12" fillId="29" borderId="192" xfId="0" applyFont="1" applyFill="1" applyBorder="1" applyAlignment="1">
      <alignment vertical="center"/>
    </xf>
    <xf numFmtId="171" fontId="13" fillId="29" borderId="192" xfId="85" applyNumberFormat="1" applyFont="1" applyFill="1" applyBorder="1"/>
    <xf numFmtId="4" fontId="14" fillId="29" borderId="192" xfId="0" applyNumberFormat="1" applyFont="1" applyFill="1" applyBorder="1" applyAlignment="1">
      <alignment horizontal="right" vertical="center"/>
    </xf>
    <xf numFmtId="4" fontId="92" fillId="0" borderId="0" xfId="0" applyNumberFormat="1" applyFont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wrapText="1"/>
    </xf>
    <xf numFmtId="2" fontId="13" fillId="29" borderId="192" xfId="0" applyNumberFormat="1" applyFont="1" applyFill="1" applyBorder="1" applyAlignment="1">
      <alignment horizontal="center" vertical="center" wrapText="1"/>
    </xf>
    <xf numFmtId="2" fontId="12" fillId="29" borderId="19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4" fontId="168" fillId="0" borderId="0" xfId="0" applyNumberFormat="1" applyFont="1" applyFill="1" applyBorder="1" applyAlignment="1">
      <alignment horizontal="center"/>
    </xf>
    <xf numFmtId="0" fontId="19" fillId="0" borderId="0" xfId="77"/>
    <xf numFmtId="0" fontId="81" fillId="38" borderId="257" xfId="77" applyFont="1" applyFill="1" applyBorder="1" applyAlignment="1">
      <alignment horizontal="center" wrapText="1"/>
    </xf>
    <xf numFmtId="0" fontId="81" fillId="0" borderId="257" xfId="77" applyFont="1" applyFill="1" applyBorder="1"/>
    <xf numFmtId="2" fontId="81" fillId="0" borderId="257" xfId="77" applyNumberFormat="1" applyFont="1" applyFill="1" applyBorder="1" applyAlignment="1">
      <alignment horizontal="center"/>
    </xf>
    <xf numFmtId="4" fontId="81" fillId="0" borderId="257" xfId="77" applyNumberFormat="1" applyFont="1" applyFill="1" applyBorder="1" applyAlignment="1">
      <alignment horizontal="center" vertical="center"/>
    </xf>
    <xf numFmtId="0" fontId="81" fillId="0" borderId="257" xfId="77" applyFont="1" applyFill="1" applyBorder="1" applyAlignment="1">
      <alignment horizontal="center"/>
    </xf>
    <xf numFmtId="4" fontId="81" fillId="0" borderId="257" xfId="77" applyNumberFormat="1" applyFont="1" applyFill="1" applyBorder="1" applyAlignment="1">
      <alignment horizontal="center"/>
    </xf>
    <xf numFmtId="2" fontId="19" fillId="0" borderId="0" xfId="77" applyNumberFormat="1"/>
    <xf numFmtId="0" fontId="16" fillId="0" borderId="257" xfId="77" applyFont="1" applyFill="1" applyBorder="1"/>
    <xf numFmtId="2" fontId="16" fillId="0" borderId="257" xfId="77" applyNumberFormat="1" applyFont="1" applyFill="1" applyBorder="1" applyAlignment="1">
      <alignment horizontal="center"/>
    </xf>
    <xf numFmtId="4" fontId="16" fillId="0" borderId="257" xfId="77" applyNumberFormat="1" applyFont="1" applyFill="1" applyBorder="1" applyAlignment="1">
      <alignment horizontal="center"/>
    </xf>
    <xf numFmtId="0" fontId="121" fillId="0" borderId="0" xfId="77" applyFont="1"/>
    <xf numFmtId="0" fontId="51" fillId="0" borderId="0" xfId="96" applyFont="1"/>
    <xf numFmtId="0" fontId="134" fillId="0" borderId="0" xfId="96" applyFont="1"/>
    <xf numFmtId="4" fontId="134" fillId="0" borderId="0" xfId="96" applyNumberFormat="1" applyFont="1"/>
    <xf numFmtId="0" fontId="17" fillId="0" borderId="0" xfId="0" applyFont="1" applyAlignment="1">
      <alignment horizontal="center"/>
    </xf>
    <xf numFmtId="0" fontId="13" fillId="0" borderId="36" xfId="0" applyFont="1" applyBorder="1" applyAlignment="1">
      <alignment horizontal="center" vertical="center" wrapText="1"/>
    </xf>
    <xf numFmtId="0" fontId="12" fillId="0" borderId="257" xfId="0" applyFont="1" applyBorder="1" applyAlignment="1">
      <alignment horizontal="center" vertical="center" wrapText="1"/>
    </xf>
    <xf numFmtId="0" fontId="13" fillId="0" borderId="257" xfId="0" applyFont="1" applyBorder="1"/>
    <xf numFmtId="4" fontId="13" fillId="0" borderId="257" xfId="0" applyNumberFormat="1" applyFont="1" applyBorder="1"/>
    <xf numFmtId="0" fontId="13" fillId="43" borderId="257" xfId="0" applyFont="1" applyFill="1" applyBorder="1"/>
    <xf numFmtId="4" fontId="13" fillId="43" borderId="257" xfId="0" applyNumberFormat="1" applyFont="1" applyFill="1" applyBorder="1"/>
    <xf numFmtId="0" fontId="12" fillId="0" borderId="257" xfId="0" applyFont="1" applyFill="1" applyBorder="1"/>
    <xf numFmtId="0" fontId="12" fillId="0" borderId="257" xfId="0" applyFont="1" applyBorder="1"/>
    <xf numFmtId="4" fontId="12" fillId="0" borderId="257" xfId="0" applyNumberFormat="1" applyFont="1" applyBorder="1" applyAlignment="1">
      <alignment horizontal="center" vertical="center"/>
    </xf>
    <xf numFmtId="0" fontId="13" fillId="0" borderId="257" xfId="0" applyFont="1" applyFill="1" applyBorder="1"/>
    <xf numFmtId="0" fontId="13" fillId="0" borderId="257" xfId="0" applyFont="1" applyBorder="1" applyAlignment="1">
      <alignment horizontal="center" vertical="center"/>
    </xf>
    <xf numFmtId="4" fontId="13" fillId="0" borderId="257" xfId="0" applyNumberFormat="1" applyFont="1" applyBorder="1" applyAlignment="1">
      <alignment horizontal="center" vertical="center"/>
    </xf>
    <xf numFmtId="0" fontId="13" fillId="0" borderId="211" xfId="0" applyFont="1" applyBorder="1"/>
    <xf numFmtId="4" fontId="13" fillId="0" borderId="211" xfId="0" applyNumberFormat="1" applyFont="1" applyBorder="1" applyAlignment="1">
      <alignment horizontal="center" vertical="center"/>
    </xf>
    <xf numFmtId="0" fontId="13" fillId="0" borderId="211" xfId="0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 vertical="center"/>
    </xf>
    <xf numFmtId="0" fontId="13" fillId="0" borderId="36" xfId="0" applyFont="1" applyBorder="1"/>
    <xf numFmtId="4" fontId="13" fillId="0" borderId="36" xfId="0" applyNumberFormat="1" applyFont="1" applyBorder="1" applyAlignment="1">
      <alignment horizontal="center" vertical="center"/>
    </xf>
    <xf numFmtId="4" fontId="117" fillId="0" borderId="257" xfId="0" applyNumberFormat="1" applyFont="1" applyBorder="1"/>
    <xf numFmtId="2" fontId="13" fillId="0" borderId="257" xfId="0" applyNumberFormat="1" applyFont="1" applyBorder="1" applyAlignment="1">
      <alignment horizontal="center"/>
    </xf>
    <xf numFmtId="4" fontId="143" fillId="0" borderId="257" xfId="0" applyNumberFormat="1" applyFont="1" applyBorder="1" applyAlignment="1">
      <alignment horizontal="center" vertical="center"/>
    </xf>
    <xf numFmtId="4" fontId="117" fillId="0" borderId="257" xfId="0" applyNumberFormat="1" applyFont="1" applyBorder="1" applyAlignment="1">
      <alignment horizontal="center" vertical="center"/>
    </xf>
    <xf numFmtId="0" fontId="106" fillId="0" borderId="0" xfId="150" applyFont="1"/>
    <xf numFmtId="0" fontId="106" fillId="0" borderId="257" xfId="150" applyFont="1" applyFill="1" applyBorder="1" applyAlignment="1">
      <alignment horizontal="center" vertical="center" wrapText="1"/>
    </xf>
    <xf numFmtId="0" fontId="48" fillId="0" borderId="257" xfId="150" applyFont="1" applyFill="1" applyBorder="1" applyAlignment="1">
      <alignment horizontal="center" vertical="center"/>
    </xf>
    <xf numFmtId="0" fontId="48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vertical="center" wrapText="1"/>
    </xf>
    <xf numFmtId="0" fontId="49" fillId="0" borderId="257" xfId="150" applyFont="1" applyFill="1" applyBorder="1" applyAlignment="1">
      <alignment horizontal="center" vertical="center"/>
    </xf>
    <xf numFmtId="0" fontId="51" fillId="0" borderId="257" xfId="150" applyFont="1" applyFill="1" applyBorder="1" applyAlignment="1">
      <alignment vertical="center"/>
    </xf>
    <xf numFmtId="0" fontId="48" fillId="0" borderId="257" xfId="150" applyFont="1" applyFill="1" applyBorder="1" applyAlignment="1">
      <alignment horizontal="center" vertical="center" wrapText="1"/>
    </xf>
    <xf numFmtId="2" fontId="48" fillId="0" borderId="257" xfId="150" applyNumberFormat="1" applyFont="1" applyFill="1" applyBorder="1" applyAlignment="1">
      <alignment vertical="center"/>
    </xf>
    <xf numFmtId="2" fontId="51" fillId="0" borderId="257" xfId="150" applyNumberFormat="1" applyFont="1" applyFill="1" applyBorder="1" applyAlignment="1">
      <alignment vertical="center"/>
    </xf>
    <xf numFmtId="4" fontId="49" fillId="0" borderId="257" xfId="150" applyNumberFormat="1" applyFont="1" applyFill="1" applyBorder="1" applyAlignment="1">
      <alignment vertical="center"/>
    </xf>
    <xf numFmtId="2" fontId="49" fillId="0" borderId="257" xfId="150" applyNumberFormat="1" applyFont="1" applyFill="1" applyBorder="1" applyAlignment="1">
      <alignment vertical="center"/>
    </xf>
    <xf numFmtId="0" fontId="128" fillId="0" borderId="0" xfId="150" applyFo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/>
    </xf>
    <xf numFmtId="0" fontId="60" fillId="30" borderId="11" xfId="0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258" xfId="0" applyFont="1" applyBorder="1" applyAlignment="1">
      <alignment horizontal="center" vertical="center" wrapText="1"/>
    </xf>
    <xf numFmtId="0" fontId="13" fillId="38" borderId="254" xfId="0" applyFont="1" applyFill="1" applyBorder="1" applyAlignment="1">
      <alignment horizontal="center"/>
    </xf>
    <xf numFmtId="0" fontId="51" fillId="0" borderId="257" xfId="150" applyFont="1" applyFill="1" applyBorder="1" applyAlignment="1">
      <alignment horizontal="center" vertical="center"/>
    </xf>
    <xf numFmtId="4" fontId="51" fillId="0" borderId="257" xfId="150" applyNumberFormat="1" applyFont="1" applyFill="1" applyBorder="1" applyAlignment="1">
      <alignment vertical="center"/>
    </xf>
    <xf numFmtId="0" fontId="49" fillId="0" borderId="270" xfId="15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0" fontId="13" fillId="36" borderId="206" xfId="85" applyNumberFormat="1" applyFont="1" applyFill="1" applyBorder="1" applyAlignment="1">
      <alignment horizontal="left" vertical="center" wrapText="1"/>
    </xf>
    <xf numFmtId="4" fontId="13" fillId="0" borderId="192" xfId="0" applyNumberFormat="1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vertical="center" wrapText="1"/>
    </xf>
    <xf numFmtId="4" fontId="13" fillId="0" borderId="192" xfId="0" applyNumberFormat="1" applyFont="1" applyFill="1" applyBorder="1" applyAlignment="1">
      <alignment vertical="center" wrapText="1"/>
    </xf>
    <xf numFmtId="4" fontId="12" fillId="0" borderId="192" xfId="0" applyNumberFormat="1" applyFont="1" applyFill="1" applyBorder="1" applyAlignment="1">
      <alignment vertical="center"/>
    </xf>
    <xf numFmtId="0" fontId="13" fillId="0" borderId="192" xfId="0" applyFont="1" applyFill="1" applyBorder="1"/>
    <xf numFmtId="4" fontId="13" fillId="0" borderId="192" xfId="0" applyNumberFormat="1" applyFont="1" applyFill="1" applyBorder="1"/>
    <xf numFmtId="1" fontId="13" fillId="0" borderId="192" xfId="0" applyNumberFormat="1" applyFont="1" applyFill="1" applyBorder="1" applyAlignment="1">
      <alignment vertical="center"/>
    </xf>
    <xf numFmtId="0" fontId="12" fillId="0" borderId="192" xfId="0" applyFont="1" applyFill="1" applyBorder="1" applyAlignment="1">
      <alignment vertical="center"/>
    </xf>
    <xf numFmtId="171" fontId="13" fillId="0" borderId="192" xfId="85" applyNumberFormat="1" applyFont="1" applyFill="1" applyBorder="1"/>
    <xf numFmtId="174" fontId="13" fillId="0" borderId="192" xfId="0" applyNumberFormat="1" applyFont="1" applyFill="1" applyBorder="1" applyAlignment="1">
      <alignment horizontal="center" vertical="center"/>
    </xf>
    <xf numFmtId="192" fontId="13" fillId="0" borderId="192" xfId="0" applyNumberFormat="1" applyFont="1" applyFill="1" applyBorder="1" applyAlignment="1">
      <alignment horizontal="center" vertical="center"/>
    </xf>
    <xf numFmtId="168" fontId="13" fillId="0" borderId="192" xfId="0" applyNumberFormat="1" applyFont="1" applyFill="1" applyBorder="1" applyAlignment="1">
      <alignment horizontal="center" vertical="center"/>
    </xf>
    <xf numFmtId="167" fontId="13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174" fontId="13" fillId="0" borderId="192" xfId="79" applyNumberFormat="1" applyFont="1" applyFill="1" applyBorder="1" applyAlignment="1">
      <alignment horizontal="center" vertical="center"/>
    </xf>
    <xf numFmtId="10" fontId="12" fillId="0" borderId="192" xfId="85" applyNumberFormat="1" applyFont="1" applyFill="1" applyBorder="1" applyAlignment="1">
      <alignment vertical="center"/>
    </xf>
    <xf numFmtId="0" fontId="13" fillId="0" borderId="192" xfId="79" applyFont="1" applyFill="1" applyBorder="1" applyAlignment="1">
      <alignment vertical="center"/>
    </xf>
    <xf numFmtId="169" fontId="13" fillId="0" borderId="192" xfId="79" applyNumberFormat="1" applyFont="1" applyFill="1" applyBorder="1" applyAlignment="1">
      <alignment horizontal="center" vertical="center"/>
    </xf>
    <xf numFmtId="169" fontId="12" fillId="0" borderId="192" xfId="79" applyNumberFormat="1" applyFont="1" applyFill="1" applyBorder="1" applyAlignment="1">
      <alignment horizontal="center" vertical="center"/>
    </xf>
    <xf numFmtId="170" fontId="13" fillId="0" borderId="205" xfId="0" applyNumberFormat="1" applyFont="1" applyFill="1" applyBorder="1" applyAlignment="1">
      <alignment horizontal="right" vertical="center"/>
    </xf>
    <xf numFmtId="170" fontId="13" fillId="0" borderId="207" xfId="0" applyNumberFormat="1" applyFont="1" applyFill="1" applyBorder="1" applyAlignment="1">
      <alignment horizontal="right" vertical="center"/>
    </xf>
    <xf numFmtId="170" fontId="13" fillId="0" borderId="206" xfId="0" applyNumberFormat="1" applyFont="1" applyFill="1" applyBorder="1" applyAlignment="1">
      <alignment horizontal="right" vertical="center"/>
    </xf>
    <xf numFmtId="2" fontId="14" fillId="0" borderId="192" xfId="89" applyNumberFormat="1" applyFont="1" applyFill="1" applyBorder="1" applyAlignment="1">
      <alignment horizontal="center" vertical="center"/>
    </xf>
    <xf numFmtId="9" fontId="13" fillId="0" borderId="192" xfId="85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horizontal="center" vertical="center"/>
    </xf>
    <xf numFmtId="2" fontId="17" fillId="30" borderId="270" xfId="0" applyNumberFormat="1" applyFont="1" applyFill="1" applyBorder="1"/>
    <xf numFmtId="2" fontId="60" fillId="30" borderId="270" xfId="0" applyNumberFormat="1" applyFont="1" applyFill="1" applyBorder="1"/>
    <xf numFmtId="2" fontId="61" fillId="30" borderId="270" xfId="0" applyNumberFormat="1" applyFont="1" applyFill="1" applyBorder="1"/>
    <xf numFmtId="4" fontId="60" fillId="0" borderId="192" xfId="0" applyNumberFormat="1" applyFont="1" applyFill="1" applyBorder="1" applyAlignment="1">
      <alignment vertical="center"/>
    </xf>
    <xf numFmtId="4" fontId="61" fillId="0" borderId="192" xfId="0" applyNumberFormat="1" applyFont="1" applyFill="1" applyBorder="1" applyAlignment="1">
      <alignment vertical="center"/>
    </xf>
    <xf numFmtId="170" fontId="60" fillId="0" borderId="192" xfId="0" applyNumberFormat="1" applyFont="1" applyFill="1" applyBorder="1" applyAlignment="1">
      <alignment vertical="center"/>
    </xf>
    <xf numFmtId="10" fontId="60" fillId="0" borderId="192" xfId="0" applyNumberFormat="1" applyFont="1" applyFill="1" applyBorder="1" applyAlignment="1">
      <alignment vertical="center"/>
    </xf>
    <xf numFmtId="4" fontId="60" fillId="0" borderId="193" xfId="0" applyNumberFormat="1" applyFont="1" applyFill="1" applyBorder="1" applyAlignment="1">
      <alignment vertical="center"/>
    </xf>
    <xf numFmtId="10" fontId="60" fillId="0" borderId="192" xfId="0" applyNumberFormat="1" applyFont="1" applyFill="1" applyBorder="1"/>
    <xf numFmtId="0" fontId="13" fillId="0" borderId="192" xfId="96" applyFont="1" applyFill="1" applyBorder="1"/>
    <xf numFmtId="4" fontId="17" fillId="0" borderId="192" xfId="0" applyNumberFormat="1" applyFont="1" applyFill="1" applyBorder="1"/>
    <xf numFmtId="2" fontId="17" fillId="0" borderId="192" xfId="0" applyNumberFormat="1" applyFont="1" applyFill="1" applyBorder="1"/>
    <xf numFmtId="169" fontId="14" fillId="0" borderId="272" xfId="0" applyNumberFormat="1" applyFont="1" applyBorder="1" applyAlignment="1">
      <alignment horizontal="center"/>
    </xf>
    <xf numFmtId="0" fontId="0" fillId="0" borderId="270" xfId="0" applyBorder="1"/>
    <xf numFmtId="178" fontId="17" fillId="0" borderId="11" xfId="0" applyNumberFormat="1" applyFont="1" applyFill="1" applyBorder="1" applyAlignment="1">
      <alignment horizontal="center" vertical="center"/>
    </xf>
    <xf numFmtId="178" fontId="61" fillId="0" borderId="258" xfId="0" applyNumberFormat="1" applyFont="1" applyFill="1" applyBorder="1" applyAlignment="1">
      <alignment horizontal="center" vertical="center"/>
    </xf>
    <xf numFmtId="1" fontId="13" fillId="0" borderId="205" xfId="0" applyNumberFormat="1" applyFont="1" applyFill="1" applyBorder="1" applyAlignment="1">
      <alignment horizontal="right" vertical="center"/>
    </xf>
    <xf numFmtId="3" fontId="13" fillId="0" borderId="205" xfId="0" applyNumberFormat="1" applyFont="1" applyFill="1" applyBorder="1" applyAlignment="1">
      <alignment horizontal="right" vertical="center"/>
    </xf>
    <xf numFmtId="171" fontId="12" fillId="0" borderId="205" xfId="0" applyNumberFormat="1" applyFont="1" applyFill="1" applyBorder="1" applyAlignment="1">
      <alignment horizontal="center" vertical="center" wrapText="1"/>
    </xf>
    <xf numFmtId="10" fontId="13" fillId="0" borderId="205" xfId="85" applyNumberFormat="1" applyFont="1" applyFill="1" applyBorder="1" applyAlignment="1">
      <alignment vertical="center"/>
    </xf>
    <xf numFmtId="0" fontId="13" fillId="0" borderId="205" xfId="0" applyFont="1" applyFill="1" applyBorder="1" applyAlignment="1">
      <alignment vertical="center"/>
    </xf>
    <xf numFmtId="0" fontId="13" fillId="0" borderId="205" xfId="0" applyFont="1" applyFill="1" applyBorder="1" applyAlignment="1">
      <alignment horizontal="center" vertical="center"/>
    </xf>
    <xf numFmtId="3" fontId="13" fillId="0" borderId="205" xfId="0" applyNumberFormat="1" applyFont="1" applyFill="1" applyBorder="1" applyAlignment="1">
      <alignment horizontal="center" vertical="center"/>
    </xf>
    <xf numFmtId="171" fontId="13" fillId="0" borderId="205" xfId="85" applyNumberFormat="1" applyFont="1" applyFill="1" applyBorder="1" applyAlignment="1">
      <alignment vertical="center"/>
    </xf>
    <xf numFmtId="2" fontId="13" fillId="0" borderId="205" xfId="0" applyNumberFormat="1" applyFont="1" applyFill="1" applyBorder="1" applyAlignment="1">
      <alignment horizontal="center" vertical="center"/>
    </xf>
    <xf numFmtId="1" fontId="13" fillId="0" borderId="207" xfId="0" applyNumberFormat="1" applyFont="1" applyFill="1" applyBorder="1" applyAlignment="1">
      <alignment horizontal="right" vertical="center"/>
    </xf>
    <xf numFmtId="3" fontId="13" fillId="0" borderId="207" xfId="0" applyNumberFormat="1" applyFont="1" applyFill="1" applyBorder="1" applyAlignment="1">
      <alignment horizontal="right" vertical="center"/>
    </xf>
    <xf numFmtId="10" fontId="13" fillId="0" borderId="207" xfId="85" applyNumberFormat="1" applyFont="1" applyFill="1" applyBorder="1" applyAlignment="1">
      <alignment vertical="center"/>
    </xf>
    <xf numFmtId="10" fontId="13" fillId="36" borderId="0" xfId="85" applyNumberFormat="1" applyFont="1" applyFill="1" applyBorder="1" applyAlignment="1">
      <alignment horizontal="left" vertical="center" wrapText="1"/>
    </xf>
    <xf numFmtId="0" fontId="12" fillId="0" borderId="192" xfId="0" applyFont="1" applyFill="1" applyBorder="1" applyAlignment="1">
      <alignment horizontal="center" vertical="center"/>
    </xf>
    <xf numFmtId="178" fontId="17" fillId="0" borderId="257" xfId="0" applyNumberFormat="1" applyFont="1" applyFill="1" applyBorder="1" applyAlignment="1">
      <alignment horizontal="center" vertical="center"/>
    </xf>
    <xf numFmtId="178" fontId="60" fillId="0" borderId="257" xfId="0" applyNumberFormat="1" applyFont="1" applyFill="1" applyBorder="1" applyAlignment="1">
      <alignment horizontal="center" vertical="center"/>
    </xf>
    <xf numFmtId="178" fontId="61" fillId="0" borderId="257" xfId="85" applyNumberFormat="1" applyFont="1" applyFill="1" applyBorder="1" applyAlignment="1">
      <alignment horizontal="center" vertical="center"/>
    </xf>
    <xf numFmtId="178" fontId="80" fillId="0" borderId="257" xfId="0" applyNumberFormat="1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center" vertical="center"/>
    </xf>
    <xf numFmtId="168" fontId="17" fillId="0" borderId="257" xfId="0" applyNumberFormat="1" applyFont="1" applyFill="1" applyBorder="1" applyAlignment="1">
      <alignment horizontal="center" vertical="center"/>
    </xf>
    <xf numFmtId="178" fontId="60" fillId="0" borderId="257" xfId="0" applyNumberFormat="1" applyFont="1" applyFill="1" applyBorder="1" applyAlignment="1">
      <alignment horizontal="right" vertical="center"/>
    </xf>
    <xf numFmtId="4" fontId="13" fillId="0" borderId="206" xfId="0" applyNumberFormat="1" applyFont="1" applyFill="1" applyBorder="1" applyAlignment="1">
      <alignment horizontal="right" vertical="center"/>
    </xf>
    <xf numFmtId="4" fontId="13" fillId="0" borderId="205" xfId="0" applyNumberFormat="1" applyFont="1" applyFill="1" applyBorder="1" applyAlignment="1">
      <alignment horizontal="right" vertical="center"/>
    </xf>
    <xf numFmtId="170" fontId="13" fillId="0" borderId="193" xfId="0" applyNumberFormat="1" applyFont="1" applyFill="1" applyBorder="1" applyAlignment="1">
      <alignment horizontal="right" vertical="center"/>
    </xf>
    <xf numFmtId="170" fontId="13" fillId="0" borderId="0" xfId="0" applyNumberFormat="1" applyFont="1" applyFill="1" applyBorder="1" applyAlignment="1">
      <alignment horizontal="right" vertical="center"/>
    </xf>
    <xf numFmtId="169" fontId="13" fillId="0" borderId="0" xfId="0" applyNumberFormat="1" applyFont="1" applyFill="1" applyBorder="1" applyAlignment="1">
      <alignment horizontal="right" vertical="center"/>
    </xf>
    <xf numFmtId="169" fontId="12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vertical="center"/>
    </xf>
    <xf numFmtId="178" fontId="13" fillId="0" borderId="192" xfId="79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vertical="center"/>
    </xf>
    <xf numFmtId="193" fontId="12" fillId="0" borderId="192" xfId="85" applyNumberFormat="1" applyFont="1" applyFill="1" applyBorder="1" applyAlignment="1">
      <alignment vertical="center"/>
    </xf>
    <xf numFmtId="178" fontId="13" fillId="0" borderId="0" xfId="0" applyNumberFormat="1" applyFont="1"/>
    <xf numFmtId="2" fontId="13" fillId="0" borderId="192" xfId="0" applyNumberFormat="1" applyFont="1" applyFill="1" applyBorder="1"/>
    <xf numFmtId="168" fontId="14" fillId="0" borderId="192" xfId="0" applyNumberFormat="1" applyFont="1" applyFill="1" applyBorder="1" applyAlignment="1">
      <alignment horizontal="center" vertical="center"/>
    </xf>
    <xf numFmtId="4" fontId="60" fillId="0" borderId="0" xfId="0" applyNumberFormat="1" applyFont="1" applyFill="1"/>
    <xf numFmtId="0" fontId="60" fillId="0" borderId="0" xfId="0" applyFont="1" applyFill="1"/>
    <xf numFmtId="4" fontId="17" fillId="0" borderId="0" xfId="0" applyNumberFormat="1" applyFont="1" applyFill="1"/>
    <xf numFmtId="178" fontId="60" fillId="0" borderId="0" xfId="0" applyNumberFormat="1" applyFont="1" applyFill="1"/>
    <xf numFmtId="9" fontId="13" fillId="0" borderId="0" xfId="0" applyNumberFormat="1" applyFont="1"/>
    <xf numFmtId="2" fontId="12" fillId="0" borderId="192" xfId="0" applyNumberFormat="1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0" fontId="12" fillId="38" borderId="193" xfId="0" applyFont="1" applyFill="1" applyBorder="1" applyAlignment="1">
      <alignment horizontal="center" vertical="center"/>
    </xf>
    <xf numFmtId="0" fontId="12" fillId="38" borderId="207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right" vertical="center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 wrapText="1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4" fontId="13" fillId="29" borderId="192" xfId="85" applyNumberFormat="1" applyFont="1" applyFill="1" applyBorder="1" applyAlignment="1">
      <alignment horizontal="center" vertical="center"/>
    </xf>
    <xf numFmtId="4" fontId="13" fillId="29" borderId="205" xfId="85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right" vertical="center"/>
    </xf>
    <xf numFmtId="171" fontId="13" fillId="36" borderId="194" xfId="85" applyNumberFormat="1" applyFont="1" applyFill="1" applyBorder="1" applyAlignment="1">
      <alignment vertical="center"/>
    </xf>
    <xf numFmtId="171" fontId="13" fillId="36" borderId="194" xfId="85" applyNumberFormat="1" applyFont="1" applyFill="1" applyBorder="1" applyAlignment="1">
      <alignment vertical="center" wrapText="1"/>
    </xf>
    <xf numFmtId="0" fontId="12" fillId="37" borderId="194" xfId="79" applyFont="1" applyFill="1" applyBorder="1" applyAlignment="1">
      <alignment vertical="center" wrapText="1"/>
    </xf>
    <xf numFmtId="0" fontId="13" fillId="0" borderId="194" xfId="79" applyFont="1" applyBorder="1" applyAlignment="1">
      <alignment vertical="center"/>
    </xf>
    <xf numFmtId="0" fontId="13" fillId="0" borderId="194" xfId="79" applyFont="1" applyBorder="1" applyAlignment="1">
      <alignment horizontal="center" vertical="center"/>
    </xf>
    <xf numFmtId="169" fontId="13" fillId="0" borderId="194" xfId="79" applyNumberFormat="1" applyFont="1" applyBorder="1" applyAlignment="1">
      <alignment horizontal="center" vertical="center"/>
    </xf>
    <xf numFmtId="169" fontId="12" fillId="0" borderId="194" xfId="79" applyNumberFormat="1" applyFont="1" applyBorder="1" applyAlignment="1">
      <alignment horizontal="center" vertical="center"/>
    </xf>
    <xf numFmtId="0" fontId="7" fillId="0" borderId="0" xfId="79" applyFont="1" applyFill="1" applyBorder="1" applyAlignment="1">
      <alignment vertical="center"/>
    </xf>
    <xf numFmtId="0" fontId="7" fillId="0" borderId="0" xfId="79" applyFont="1" applyBorder="1" applyAlignment="1">
      <alignment vertical="center"/>
    </xf>
    <xf numFmtId="0" fontId="13" fillId="0" borderId="0" xfId="79" applyFont="1" applyBorder="1" applyAlignment="1">
      <alignment vertical="center"/>
    </xf>
    <xf numFmtId="0" fontId="13" fillId="0" borderId="0" xfId="79" applyFont="1" applyFill="1" applyBorder="1" applyAlignment="1">
      <alignment vertical="center"/>
    </xf>
    <xf numFmtId="0" fontId="13" fillId="0" borderId="226" xfId="79" applyFont="1" applyBorder="1" applyAlignment="1">
      <alignment vertical="center"/>
    </xf>
    <xf numFmtId="0" fontId="10" fillId="0" borderId="215" xfId="79" applyFont="1" applyFill="1" applyBorder="1" applyAlignment="1">
      <alignment vertical="center"/>
    </xf>
    <xf numFmtId="0" fontId="10" fillId="0" borderId="208" xfId="79" applyFont="1" applyFill="1" applyBorder="1" applyAlignment="1">
      <alignment vertical="center"/>
    </xf>
    <xf numFmtId="0" fontId="10" fillId="0" borderId="208" xfId="79" applyFont="1" applyFill="1" applyBorder="1" applyAlignment="1">
      <alignment horizontal="center" vertical="center"/>
    </xf>
    <xf numFmtId="0" fontId="7" fillId="0" borderId="208" xfId="79" applyFont="1" applyFill="1" applyBorder="1" applyAlignment="1">
      <alignment vertical="center"/>
    </xf>
    <xf numFmtId="0" fontId="7" fillId="0" borderId="208" xfId="79" applyFill="1" applyBorder="1" applyAlignment="1">
      <alignment vertical="center"/>
    </xf>
    <xf numFmtId="0" fontId="13" fillId="0" borderId="208" xfId="79" applyFont="1" applyFill="1" applyBorder="1" applyAlignment="1">
      <alignment vertical="center"/>
    </xf>
    <xf numFmtId="0" fontId="13" fillId="0" borderId="216" xfId="79" applyFont="1" applyFill="1" applyBorder="1" applyAlignment="1">
      <alignment vertical="center"/>
    </xf>
    <xf numFmtId="0" fontId="0" fillId="0" borderId="0" xfId="0" applyAlignme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0" fillId="0" borderId="192" xfId="0" applyBorder="1" applyAlignment="1"/>
    <xf numFmtId="0" fontId="0" fillId="38" borderId="192" xfId="0" applyFont="1" applyFill="1" applyBorder="1" applyAlignment="1">
      <alignment horizontal="center" vertical="center"/>
    </xf>
    <xf numFmtId="0" fontId="60" fillId="30" borderId="11" xfId="0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07" xfId="0" applyFont="1" applyFill="1" applyBorder="1" applyAlignment="1">
      <alignment horizontal="center" vertical="center"/>
    </xf>
    <xf numFmtId="0" fontId="79" fillId="0" borderId="0" xfId="0" applyFont="1" applyAlignment="1">
      <alignment horizontal="center"/>
    </xf>
    <xf numFmtId="0" fontId="164" fillId="0" borderId="0" xfId="0" applyFont="1" applyAlignment="1">
      <alignment horizontal="center"/>
    </xf>
    <xf numFmtId="0" fontId="13" fillId="0" borderId="258" xfId="0" applyFont="1" applyBorder="1" applyAlignment="1">
      <alignment horizontal="center" vertical="center" wrapText="1"/>
    </xf>
    <xf numFmtId="0" fontId="13" fillId="38" borderId="254" xfId="0" applyFont="1" applyFill="1" applyBorder="1" applyAlignment="1">
      <alignment horizontal="center"/>
    </xf>
    <xf numFmtId="4" fontId="17" fillId="0" borderId="205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vertical="center" wrapText="1"/>
    </xf>
    <xf numFmtId="0" fontId="12" fillId="0" borderId="257" xfId="0" applyFont="1" applyFill="1" applyBorder="1" applyAlignment="1">
      <alignment horizontal="center" vertical="center"/>
    </xf>
    <xf numFmtId="169" fontId="12" fillId="0" borderId="257" xfId="0" applyNumberFormat="1" applyFont="1" applyFill="1" applyBorder="1" applyAlignment="1">
      <alignment horizontal="center" vertical="center"/>
    </xf>
    <xf numFmtId="169" fontId="15" fillId="0" borderId="257" xfId="0" applyNumberFormat="1" applyFont="1" applyFill="1" applyBorder="1" applyAlignment="1">
      <alignment horizontal="center" vertical="center"/>
    </xf>
    <xf numFmtId="4" fontId="12" fillId="0" borderId="257" xfId="0" applyNumberFormat="1" applyFont="1" applyFill="1" applyBorder="1" applyAlignment="1">
      <alignment horizontal="center" vertical="center"/>
    </xf>
    <xf numFmtId="4" fontId="15" fillId="0" borderId="257" xfId="0" applyNumberFormat="1" applyFont="1" applyFill="1" applyBorder="1" applyAlignment="1">
      <alignment horizontal="center" vertical="center"/>
    </xf>
    <xf numFmtId="4" fontId="18" fillId="0" borderId="257" xfId="0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/>
    </xf>
    <xf numFmtId="171" fontId="80" fillId="0" borderId="257" xfId="85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 wrapText="1"/>
    </xf>
    <xf numFmtId="171" fontId="17" fillId="0" borderId="257" xfId="0" applyNumberFormat="1" applyFont="1" applyFill="1" applyBorder="1" applyAlignment="1">
      <alignment horizontal="center" vertical="center" wrapText="1"/>
    </xf>
    <xf numFmtId="4" fontId="12" fillId="0" borderId="257" xfId="0" applyNumberFormat="1" applyFont="1" applyFill="1" applyBorder="1" applyAlignment="1">
      <alignment horizontal="center" vertical="center" wrapText="1"/>
    </xf>
    <xf numFmtId="171" fontId="80" fillId="0" borderId="257" xfId="0" applyNumberFormat="1" applyFont="1" applyFill="1" applyBorder="1" applyAlignment="1">
      <alignment horizontal="center" vertical="center" wrapText="1"/>
    </xf>
    <xf numFmtId="0" fontId="13" fillId="0" borderId="257" xfId="0" applyFont="1" applyFill="1" applyBorder="1" applyAlignment="1">
      <alignment vertical="center" wrapText="1"/>
    </xf>
    <xf numFmtId="0" fontId="61" fillId="0" borderId="257" xfId="0" applyFont="1" applyFill="1" applyBorder="1" applyAlignment="1">
      <alignment vertical="center" wrapText="1"/>
    </xf>
    <xf numFmtId="4" fontId="61" fillId="0" borderId="257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vertical="center"/>
    </xf>
    <xf numFmtId="178" fontId="80" fillId="0" borderId="192" xfId="0" applyNumberFormat="1" applyFont="1" applyFill="1" applyBorder="1" applyAlignment="1">
      <alignment horizontal="center" vertical="center"/>
    </xf>
    <xf numFmtId="0" fontId="17" fillId="0" borderId="257" xfId="0" applyFont="1" applyFill="1" applyBorder="1" applyAlignment="1">
      <alignment horizontal="center" vertical="center"/>
    </xf>
    <xf numFmtId="169" fontId="17" fillId="0" borderId="257" xfId="0" applyNumberFormat="1" applyFont="1" applyFill="1" applyBorder="1" applyAlignment="1">
      <alignment horizontal="center" vertical="center"/>
    </xf>
    <xf numFmtId="169" fontId="61" fillId="0" borderId="257" xfId="0" applyNumberFormat="1" applyFont="1" applyFill="1" applyBorder="1" applyAlignment="1">
      <alignment horizontal="center" vertical="center"/>
    </xf>
    <xf numFmtId="4" fontId="80" fillId="0" borderId="257" xfId="0" applyNumberFormat="1" applyFont="1" applyFill="1" applyBorder="1" applyAlignment="1">
      <alignment horizontal="center" vertical="center"/>
    </xf>
    <xf numFmtId="0" fontId="13" fillId="0" borderId="257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3" fillId="0" borderId="36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05" xfId="79" applyFont="1" applyFill="1" applyBorder="1" applyAlignment="1">
      <alignment horizontal="center" vertical="center" wrapText="1"/>
    </xf>
    <xf numFmtId="4" fontId="60" fillId="29" borderId="193" xfId="0" applyNumberFormat="1" applyFont="1" applyFill="1" applyBorder="1" applyAlignment="1">
      <alignment horizontal="center" vertical="center"/>
    </xf>
    <xf numFmtId="0" fontId="143" fillId="0" borderId="0" xfId="0" applyFont="1"/>
    <xf numFmtId="178" fontId="13" fillId="29" borderId="192" xfId="0" applyNumberFormat="1" applyFont="1" applyFill="1" applyBorder="1" applyAlignment="1">
      <alignment vertical="center" wrapText="1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0" fontId="12" fillId="0" borderId="270" xfId="0" applyFont="1" applyBorder="1" applyAlignment="1">
      <alignment horizontal="center" vertical="center" wrapText="1"/>
    </xf>
    <xf numFmtId="0" fontId="13" fillId="0" borderId="270" xfId="0" applyFont="1" applyBorder="1"/>
    <xf numFmtId="4" fontId="13" fillId="0" borderId="270" xfId="0" applyNumberFormat="1" applyFont="1" applyBorder="1"/>
    <xf numFmtId="0" fontId="13" fillId="43" borderId="270" xfId="0" applyFont="1" applyFill="1" applyBorder="1"/>
    <xf numFmtId="4" fontId="13" fillId="43" borderId="270" xfId="0" applyNumberFormat="1" applyFont="1" applyFill="1" applyBorder="1"/>
    <xf numFmtId="0" fontId="12" fillId="0" borderId="270" xfId="0" applyFont="1" applyFill="1" applyBorder="1"/>
    <xf numFmtId="0" fontId="12" fillId="0" borderId="270" xfId="0" applyFont="1" applyBorder="1"/>
    <xf numFmtId="4" fontId="12" fillId="0" borderId="270" xfId="0" applyNumberFormat="1" applyFont="1" applyBorder="1" applyAlignment="1">
      <alignment horizontal="center" vertical="center"/>
    </xf>
    <xf numFmtId="0" fontId="13" fillId="0" borderId="270" xfId="0" applyFont="1" applyFill="1" applyBorder="1"/>
    <xf numFmtId="0" fontId="13" fillId="0" borderId="270" xfId="0" applyFont="1" applyBorder="1" applyAlignment="1">
      <alignment horizontal="center" vertical="center"/>
    </xf>
    <xf numFmtId="4" fontId="13" fillId="0" borderId="270" xfId="0" applyNumberFormat="1" applyFont="1" applyBorder="1" applyAlignment="1">
      <alignment horizontal="center" vertical="center"/>
    </xf>
    <xf numFmtId="2" fontId="13" fillId="0" borderId="270" xfId="0" applyNumberFormat="1" applyFont="1" applyBorder="1" applyAlignment="1">
      <alignment horizontal="center"/>
    </xf>
    <xf numFmtId="0" fontId="13" fillId="0" borderId="74" xfId="0" applyFont="1" applyBorder="1"/>
    <xf numFmtId="0" fontId="13" fillId="0" borderId="31" xfId="0" applyFont="1" applyBorder="1"/>
    <xf numFmtId="0" fontId="117" fillId="0" borderId="0" xfId="79" applyFont="1" applyBorder="1" applyAlignment="1">
      <alignment vertical="center"/>
    </xf>
    <xf numFmtId="0" fontId="117" fillId="0" borderId="192" xfId="79" applyFont="1" applyBorder="1" applyAlignment="1">
      <alignment vertical="center"/>
    </xf>
    <xf numFmtId="0" fontId="117" fillId="0" borderId="192" xfId="79" applyFont="1" applyBorder="1" applyAlignment="1">
      <alignment horizontal="center" vertical="center"/>
    </xf>
    <xf numFmtId="169" fontId="117" fillId="0" borderId="192" xfId="79" applyNumberFormat="1" applyFont="1" applyBorder="1" applyAlignment="1">
      <alignment horizontal="center" vertical="center"/>
    </xf>
    <xf numFmtId="169" fontId="143" fillId="0" borderId="192" xfId="79" applyNumberFormat="1" applyFont="1" applyBorder="1" applyAlignment="1">
      <alignment horizontal="center" vertical="center"/>
    </xf>
    <xf numFmtId="0" fontId="117" fillId="0" borderId="208" xfId="79" applyFont="1" applyFill="1" applyBorder="1" applyAlignment="1">
      <alignment vertical="center"/>
    </xf>
    <xf numFmtId="0" fontId="117" fillId="0" borderId="0" xfId="79" applyFont="1" applyFill="1"/>
    <xf numFmtId="4" fontId="117" fillId="0" borderId="0" xfId="79" applyNumberFormat="1" applyFont="1" applyFill="1"/>
    <xf numFmtId="0" fontId="12" fillId="35" borderId="192" xfId="96" applyFont="1" applyFill="1" applyBorder="1" applyAlignment="1">
      <alignment horizontal="center" vertical="center"/>
    </xf>
    <xf numFmtId="0" fontId="13" fillId="46" borderId="0" xfId="0" applyFont="1" applyFill="1"/>
    <xf numFmtId="0" fontId="12" fillId="56" borderId="192" xfId="96" applyFont="1" applyFill="1" applyBorder="1" applyAlignment="1">
      <alignment horizontal="center" vertical="center"/>
    </xf>
    <xf numFmtId="0" fontId="48" fillId="56" borderId="0" xfId="96" applyFont="1" applyFill="1"/>
    <xf numFmtId="0" fontId="48" fillId="46" borderId="0" xfId="96" applyFont="1" applyFill="1"/>
    <xf numFmtId="0" fontId="14" fillId="46" borderId="0" xfId="96" applyFont="1" applyFill="1"/>
    <xf numFmtId="0" fontId="97" fillId="46" borderId="0" xfId="96" applyFont="1" applyFill="1" applyAlignment="1">
      <alignment vertical="center"/>
    </xf>
    <xf numFmtId="0" fontId="48" fillId="46" borderId="0" xfId="0" applyFont="1" applyFill="1" applyAlignment="1">
      <alignment vertical="center" wrapText="1"/>
    </xf>
    <xf numFmtId="0" fontId="81" fillId="46" borderId="0" xfId="0" applyFont="1" applyFill="1" applyAlignment="1">
      <alignment vertical="center" wrapText="1"/>
    </xf>
    <xf numFmtId="0" fontId="81" fillId="46" borderId="0" xfId="0" applyFont="1" applyFill="1" applyAlignment="1">
      <alignment wrapText="1"/>
    </xf>
    <xf numFmtId="0" fontId="81" fillId="33" borderId="0" xfId="0" applyFont="1" applyFill="1" applyAlignment="1">
      <alignment wrapText="1"/>
    </xf>
    <xf numFmtId="0" fontId="48" fillId="51" borderId="0" xfId="96" applyFont="1" applyFill="1"/>
    <xf numFmtId="16" fontId="12" fillId="56" borderId="192" xfId="96" applyNumberFormat="1" applyFont="1" applyFill="1" applyBorder="1" applyAlignment="1">
      <alignment horizontal="center" vertical="center"/>
    </xf>
    <xf numFmtId="0" fontId="48" fillId="38" borderId="0" xfId="96" applyFont="1" applyFill="1"/>
    <xf numFmtId="0" fontId="136" fillId="51" borderId="192" xfId="96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left"/>
    </xf>
    <xf numFmtId="0" fontId="64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Protection="1"/>
    <xf numFmtId="0" fontId="0" fillId="0" borderId="0" xfId="0" applyProtection="1"/>
    <xf numFmtId="0" fontId="18" fillId="0" borderId="0" xfId="0" applyFont="1" applyProtection="1"/>
    <xf numFmtId="176" fontId="13" fillId="0" borderId="0" xfId="0" applyNumberFormat="1" applyFont="1" applyProtection="1"/>
    <xf numFmtId="0" fontId="13" fillId="0" borderId="0" xfId="0" applyFont="1" applyProtection="1">
      <protection locked="0"/>
    </xf>
    <xf numFmtId="0" fontId="17" fillId="29" borderId="273" xfId="0" applyFont="1" applyFill="1" applyBorder="1" applyAlignment="1" applyProtection="1">
      <alignment horizontal="left"/>
    </xf>
    <xf numFmtId="0" fontId="0" fillId="29" borderId="274" xfId="0" applyFill="1" applyBorder="1" applyAlignment="1" applyProtection="1"/>
    <xf numFmtId="0" fontId="13" fillId="29" borderId="274" xfId="0" applyFont="1" applyFill="1" applyBorder="1" applyProtection="1"/>
    <xf numFmtId="0" fontId="13" fillId="29" borderId="275" xfId="0" applyFont="1" applyFill="1" applyBorder="1" applyProtection="1"/>
    <xf numFmtId="0" fontId="1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60" fillId="0" borderId="270" xfId="0" applyFont="1" applyFill="1" applyBorder="1" applyAlignment="1" applyProtection="1">
      <alignment horizontal="center" vertical="center" wrapText="1"/>
    </xf>
    <xf numFmtId="0" fontId="60" fillId="57" borderId="270" xfId="0" applyFont="1" applyFill="1" applyBorder="1" applyAlignment="1" applyProtection="1">
      <alignment horizontal="center" vertical="center" wrapText="1"/>
    </xf>
    <xf numFmtId="0" fontId="60" fillId="0" borderId="273" xfId="0" applyFont="1" applyFill="1" applyBorder="1" applyAlignment="1" applyProtection="1">
      <alignment horizontal="center" vertical="center" wrapText="1"/>
    </xf>
    <xf numFmtId="0" fontId="17" fillId="0" borderId="270" xfId="0" applyFont="1" applyBorder="1" applyAlignment="1" applyProtection="1">
      <alignment vertical="center" wrapText="1"/>
    </xf>
    <xf numFmtId="4" fontId="88" fillId="0" borderId="270" xfId="0" applyNumberFormat="1" applyFont="1" applyFill="1" applyBorder="1" applyAlignment="1" applyProtection="1">
      <alignment vertical="center"/>
    </xf>
    <xf numFmtId="178" fontId="88" fillId="0" borderId="270" xfId="0" applyNumberFormat="1" applyFont="1" applyFill="1" applyBorder="1" applyAlignment="1" applyProtection="1">
      <alignment vertical="center"/>
    </xf>
    <xf numFmtId="178" fontId="17" fillId="0" borderId="270" xfId="0" applyNumberFormat="1" applyFont="1" applyFill="1" applyBorder="1" applyAlignment="1" applyProtection="1">
      <alignment vertical="center"/>
    </xf>
    <xf numFmtId="178" fontId="88" fillId="57" borderId="270" xfId="0" applyNumberFormat="1" applyFont="1" applyFill="1" applyBorder="1" applyAlignment="1" applyProtection="1">
      <alignment vertical="center"/>
    </xf>
    <xf numFmtId="4" fontId="88" fillId="57" borderId="270" xfId="0" applyNumberFormat="1" applyFont="1" applyFill="1" applyBorder="1" applyAlignment="1" applyProtection="1">
      <alignment vertical="center"/>
    </xf>
    <xf numFmtId="4" fontId="13" fillId="0" borderId="0" xfId="0" applyNumberFormat="1" applyFont="1" applyAlignment="1" applyProtection="1">
      <alignment vertical="center"/>
    </xf>
    <xf numFmtId="0" fontId="60" fillId="0" borderId="270" xfId="0" applyFont="1" applyBorder="1" applyAlignment="1" applyProtection="1">
      <alignment vertical="center" wrapText="1"/>
    </xf>
    <xf numFmtId="4" fontId="96" fillId="0" borderId="270" xfId="0" applyNumberFormat="1" applyFont="1" applyFill="1" applyBorder="1" applyAlignment="1" applyProtection="1">
      <alignment vertical="center"/>
    </xf>
    <xf numFmtId="4" fontId="60" fillId="0" borderId="270" xfId="0" applyNumberFormat="1" applyFont="1" applyFill="1" applyBorder="1" applyAlignment="1" applyProtection="1">
      <alignment vertical="center"/>
    </xf>
    <xf numFmtId="178" fontId="96" fillId="0" borderId="270" xfId="0" applyNumberFormat="1" applyFont="1" applyFill="1" applyBorder="1" applyAlignment="1" applyProtection="1">
      <alignment vertical="center"/>
    </xf>
    <xf numFmtId="178" fontId="96" fillId="57" borderId="270" xfId="0" applyNumberFormat="1" applyFont="1" applyFill="1" applyBorder="1" applyAlignment="1" applyProtection="1">
      <alignment vertical="center"/>
    </xf>
    <xf numFmtId="4" fontId="96" fillId="57" borderId="270" xfId="0" applyNumberFormat="1" applyFont="1" applyFill="1" applyBorder="1" applyAlignment="1" applyProtection="1">
      <alignment vertical="center"/>
    </xf>
    <xf numFmtId="0" fontId="61" fillId="0" borderId="270" xfId="0" applyFont="1" applyBorder="1" applyAlignment="1" applyProtection="1">
      <alignment vertical="center" wrapText="1"/>
    </xf>
    <xf numFmtId="10" fontId="169" fillId="0" borderId="270" xfId="0" applyNumberFormat="1" applyFont="1" applyFill="1" applyBorder="1" applyAlignment="1" applyProtection="1">
      <alignment vertical="center"/>
    </xf>
    <xf numFmtId="10" fontId="169" fillId="57" borderId="270" xfId="0" applyNumberFormat="1" applyFont="1" applyFill="1" applyBorder="1" applyAlignment="1" applyProtection="1">
      <alignment vertical="center"/>
    </xf>
    <xf numFmtId="4" fontId="169" fillId="57" borderId="270" xfId="0" applyNumberFormat="1" applyFont="1" applyFill="1" applyBorder="1" applyAlignment="1" applyProtection="1">
      <alignment vertical="center"/>
    </xf>
    <xf numFmtId="178" fontId="60" fillId="0" borderId="270" xfId="0" applyNumberFormat="1" applyFont="1" applyFill="1" applyBorder="1" applyAlignment="1" applyProtection="1">
      <alignment vertical="center"/>
    </xf>
    <xf numFmtId="178" fontId="169" fillId="0" borderId="270" xfId="0" applyNumberFormat="1" applyFont="1" applyFill="1" applyBorder="1" applyAlignment="1" applyProtection="1">
      <alignment vertical="center"/>
    </xf>
    <xf numFmtId="4" fontId="169" fillId="0" borderId="270" xfId="0" applyNumberFormat="1" applyFont="1" applyFill="1" applyBorder="1" applyAlignment="1" applyProtection="1">
      <alignment vertical="center"/>
    </xf>
    <xf numFmtId="4" fontId="61" fillId="0" borderId="270" xfId="0" applyNumberFormat="1" applyFont="1" applyFill="1" applyBorder="1" applyAlignment="1" applyProtection="1">
      <alignment vertical="center"/>
    </xf>
    <xf numFmtId="178" fontId="169" fillId="57" borderId="270" xfId="0" applyNumberFormat="1" applyFont="1" applyFill="1" applyBorder="1" applyAlignment="1" applyProtection="1">
      <alignment vertical="center"/>
    </xf>
    <xf numFmtId="0" fontId="0" fillId="29" borderId="274" xfId="0" applyFill="1" applyBorder="1" applyAlignment="1" applyProtection="1">
      <alignment horizontal="left"/>
    </xf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0" fontId="17" fillId="0" borderId="270" xfId="0" applyFont="1" applyBorder="1" applyAlignment="1" applyProtection="1">
      <alignment horizontal="left" vertical="center"/>
    </xf>
    <xf numFmtId="4" fontId="88" fillId="0" borderId="270" xfId="0" applyNumberFormat="1" applyFont="1" applyFill="1" applyBorder="1"/>
    <xf numFmtId="4" fontId="88" fillId="57" borderId="270" xfId="0" applyNumberFormat="1" applyFont="1" applyFill="1" applyBorder="1" applyAlignment="1">
      <alignment horizontal="right" vertical="center"/>
    </xf>
    <xf numFmtId="192" fontId="0" fillId="0" borderId="0" xfId="0" applyNumberFormat="1" applyFill="1" applyAlignment="1" applyProtection="1">
      <alignment vertical="center"/>
    </xf>
    <xf numFmtId="0" fontId="60" fillId="0" borderId="270" xfId="0" applyFont="1" applyBorder="1" applyAlignment="1" applyProtection="1">
      <alignment vertical="center"/>
    </xf>
    <xf numFmtId="4" fontId="96" fillId="0" borderId="270" xfId="0" applyNumberFormat="1" applyFont="1" applyFill="1" applyBorder="1"/>
    <xf numFmtId="4" fontId="60" fillId="0" borderId="270" xfId="0" applyNumberFormat="1" applyFont="1" applyFill="1" applyBorder="1" applyAlignment="1" applyProtection="1">
      <alignment vertical="center"/>
      <protection locked="0"/>
    </xf>
    <xf numFmtId="4" fontId="96" fillId="57" borderId="270" xfId="0" applyNumberFormat="1" applyFont="1" applyFill="1" applyBorder="1" applyAlignment="1">
      <alignment horizontal="right" vertical="center"/>
    </xf>
    <xf numFmtId="0" fontId="60" fillId="0" borderId="270" xfId="0" applyFont="1" applyBorder="1" applyAlignment="1">
      <alignment vertical="center" wrapText="1"/>
    </xf>
    <xf numFmtId="0" fontId="61" fillId="0" borderId="270" xfId="0" applyFont="1" applyBorder="1" applyAlignment="1" applyProtection="1">
      <alignment vertical="center"/>
    </xf>
    <xf numFmtId="4" fontId="169" fillId="57" borderId="270" xfId="0" applyNumberFormat="1" applyFont="1" applyFill="1" applyBorder="1" applyAlignment="1">
      <alignment horizontal="right" vertical="center"/>
    </xf>
    <xf numFmtId="0" fontId="17" fillId="0" borderId="270" xfId="0" applyFont="1" applyBorder="1" applyAlignment="1" applyProtection="1">
      <alignment vertical="center"/>
    </xf>
    <xf numFmtId="192" fontId="118" fillId="0" borderId="0" xfId="0" applyNumberFormat="1" applyFont="1" applyFill="1" applyAlignment="1" applyProtection="1">
      <alignment vertical="center"/>
    </xf>
    <xf numFmtId="0" fontId="60" fillId="0" borderId="270" xfId="0" applyFont="1" applyFill="1" applyBorder="1" applyAlignment="1" applyProtection="1">
      <alignment vertical="center"/>
    </xf>
    <xf numFmtId="0" fontId="61" fillId="0" borderId="270" xfId="0" applyFont="1" applyFill="1" applyBorder="1" applyAlignment="1" applyProtection="1">
      <alignment vertical="center"/>
    </xf>
    <xf numFmtId="4" fontId="169" fillId="0" borderId="270" xfId="0" applyNumberFormat="1" applyFont="1" applyFill="1" applyBorder="1"/>
    <xf numFmtId="4" fontId="61" fillId="0" borderId="270" xfId="0" applyNumberFormat="1" applyFont="1" applyFill="1" applyBorder="1" applyAlignment="1" applyProtection="1">
      <alignment vertical="center"/>
      <protection locked="0"/>
    </xf>
    <xf numFmtId="10" fontId="169" fillId="0" borderId="270" xfId="0" applyNumberFormat="1" applyFont="1" applyFill="1" applyBorder="1"/>
    <xf numFmtId="178" fontId="61" fillId="0" borderId="270" xfId="0" applyNumberFormat="1" applyFont="1" applyFill="1" applyBorder="1" applyAlignment="1" applyProtection="1">
      <alignment vertical="center"/>
      <protection locked="0"/>
    </xf>
    <xf numFmtId="0" fontId="61" fillId="0" borderId="270" xfId="0" applyFont="1" applyFill="1" applyBorder="1" applyAlignment="1">
      <alignment vertical="center"/>
    </xf>
    <xf numFmtId="0" fontId="17" fillId="0" borderId="270" xfId="0" applyFont="1" applyFill="1" applyBorder="1" applyAlignment="1" applyProtection="1">
      <alignment vertical="center"/>
    </xf>
    <xf numFmtId="0" fontId="61" fillId="0" borderId="270" xfId="0" applyFont="1" applyFill="1" applyBorder="1" applyAlignment="1" applyProtection="1">
      <alignment wrapText="1"/>
    </xf>
    <xf numFmtId="0" fontId="61" fillId="0" borderId="270" xfId="0" applyFont="1" applyFill="1" applyBorder="1" applyAlignment="1">
      <alignment vertical="center" wrapText="1"/>
    </xf>
    <xf numFmtId="0" fontId="61" fillId="0" borderId="270" xfId="0" applyFont="1" applyFill="1" applyBorder="1" applyAlignment="1">
      <alignment horizontal="left" vertical="center" wrapText="1"/>
    </xf>
    <xf numFmtId="0" fontId="81" fillId="0" borderId="0" xfId="0" applyFont="1" applyProtection="1"/>
    <xf numFmtId="178" fontId="0" fillId="0" borderId="0" xfId="0" applyNumberFormat="1" applyProtection="1"/>
    <xf numFmtId="0" fontId="0" fillId="29" borderId="274" xfId="0" applyFill="1" applyBorder="1" applyProtection="1"/>
    <xf numFmtId="0" fontId="0" fillId="29" borderId="275" xfId="0" applyFill="1" applyBorder="1" applyProtection="1"/>
    <xf numFmtId="178" fontId="96" fillId="0" borderId="270" xfId="0" applyNumberFormat="1" applyFont="1" applyFill="1" applyBorder="1" applyProtection="1"/>
    <xf numFmtId="4" fontId="96" fillId="0" borderId="270" xfId="0" applyNumberFormat="1" applyFont="1" applyFill="1" applyBorder="1" applyProtection="1"/>
    <xf numFmtId="178" fontId="96" fillId="57" borderId="270" xfId="0" applyNumberFormat="1" applyFont="1" applyFill="1" applyBorder="1" applyProtection="1"/>
    <xf numFmtId="4" fontId="96" fillId="57" borderId="270" xfId="0" applyNumberFormat="1" applyFont="1" applyFill="1" applyBorder="1" applyProtection="1"/>
    <xf numFmtId="10" fontId="169" fillId="0" borderId="270" xfId="0" applyNumberFormat="1" applyFont="1" applyFill="1" applyBorder="1" applyProtection="1"/>
    <xf numFmtId="10" fontId="169" fillId="57" borderId="270" xfId="0" applyNumberFormat="1" applyFont="1" applyFill="1" applyBorder="1" applyProtection="1"/>
    <xf numFmtId="2" fontId="169" fillId="57" borderId="270" xfId="0" applyNumberFormat="1" applyFont="1" applyFill="1" applyBorder="1" applyAlignment="1" applyProtection="1">
      <alignment vertical="center"/>
    </xf>
    <xf numFmtId="178" fontId="169" fillId="0" borderId="270" xfId="0" applyNumberFormat="1" applyFont="1" applyFill="1" applyBorder="1" applyProtection="1"/>
    <xf numFmtId="4" fontId="169" fillId="0" borderId="270" xfId="0" applyNumberFormat="1" applyFont="1" applyFill="1" applyBorder="1" applyProtection="1"/>
    <xf numFmtId="178" fontId="169" fillId="57" borderId="270" xfId="0" applyNumberFormat="1" applyFont="1" applyFill="1" applyBorder="1" applyProtection="1"/>
    <xf numFmtId="4" fontId="169" fillId="57" borderId="270" xfId="0" applyNumberFormat="1" applyFont="1" applyFill="1" applyBorder="1" applyProtection="1"/>
    <xf numFmtId="178" fontId="88" fillId="0" borderId="270" xfId="0" applyNumberFormat="1" applyFont="1" applyFill="1" applyBorder="1" applyProtection="1"/>
    <xf numFmtId="4" fontId="88" fillId="0" borderId="270" xfId="0" applyNumberFormat="1" applyFont="1" applyFill="1" applyBorder="1" applyProtection="1"/>
    <xf numFmtId="178" fontId="88" fillId="57" borderId="270" xfId="0" applyNumberFormat="1" applyFont="1" applyFill="1" applyBorder="1" applyProtection="1"/>
    <xf numFmtId="4" fontId="88" fillId="57" borderId="270" xfId="0" applyNumberFormat="1" applyFont="1" applyFill="1" applyBorder="1" applyProtection="1"/>
    <xf numFmtId="0" fontId="61" fillId="0" borderId="270" xfId="0" applyFont="1" applyFill="1" applyBorder="1" applyAlignment="1" applyProtection="1">
      <alignment vertical="center" wrapText="1"/>
    </xf>
    <xf numFmtId="0" fontId="60" fillId="0" borderId="0" xfId="0" applyFont="1" applyProtection="1"/>
    <xf numFmtId="0" fontId="18" fillId="0" borderId="0" xfId="0" applyFont="1" applyAlignment="1">
      <alignment horizontal="left"/>
    </xf>
    <xf numFmtId="0" fontId="18" fillId="0" borderId="0" xfId="0" applyFont="1"/>
    <xf numFmtId="0" fontId="17" fillId="29" borderId="273" xfId="0" applyFont="1" applyFill="1" applyBorder="1" applyAlignment="1">
      <alignment horizontal="left"/>
    </xf>
    <xf numFmtId="0" fontId="0" fillId="29" borderId="274" xfId="0" applyFont="1" applyFill="1" applyBorder="1"/>
    <xf numFmtId="0" fontId="0" fillId="29" borderId="275" xfId="0" applyFont="1" applyFill="1" applyBorder="1"/>
    <xf numFmtId="0" fontId="17" fillId="0" borderId="270" xfId="0" applyFont="1" applyFill="1" applyBorder="1" applyAlignment="1">
      <alignment vertical="center" wrapText="1"/>
    </xf>
    <xf numFmtId="178" fontId="88" fillId="0" borderId="270" xfId="0" applyNumberFormat="1" applyFont="1" applyFill="1" applyBorder="1" applyAlignment="1">
      <alignment vertical="center"/>
    </xf>
    <xf numFmtId="178" fontId="88" fillId="57" borderId="270" xfId="0" applyNumberFormat="1" applyFont="1" applyFill="1" applyBorder="1" applyAlignment="1">
      <alignment vertical="center"/>
    </xf>
    <xf numFmtId="178" fontId="88" fillId="57" borderId="270" xfId="0" applyNumberFormat="1" applyFont="1" applyFill="1" applyBorder="1" applyAlignment="1">
      <alignment horizontal="right" wrapText="1"/>
    </xf>
    <xf numFmtId="0" fontId="60" fillId="0" borderId="270" xfId="0" applyFont="1" applyFill="1" applyBorder="1" applyAlignment="1">
      <alignment vertical="center" wrapText="1"/>
    </xf>
    <xf numFmtId="178" fontId="96" fillId="0" borderId="270" xfId="0" applyNumberFormat="1" applyFont="1" applyFill="1" applyBorder="1" applyAlignment="1">
      <alignment vertical="center"/>
    </xf>
    <xf numFmtId="178" fontId="96" fillId="57" borderId="270" xfId="0" applyNumberFormat="1" applyFont="1" applyFill="1" applyBorder="1" applyAlignment="1">
      <alignment vertical="center"/>
    </xf>
    <xf numFmtId="178" fontId="96" fillId="57" borderId="270" xfId="0" applyNumberFormat="1" applyFont="1" applyFill="1" applyBorder="1" applyAlignment="1">
      <alignment horizontal="right" wrapText="1"/>
    </xf>
    <xf numFmtId="10" fontId="169" fillId="57" borderId="270" xfId="0" applyNumberFormat="1" applyFont="1" applyFill="1" applyBorder="1" applyAlignment="1">
      <alignment vertical="center"/>
    </xf>
    <xf numFmtId="2" fontId="169" fillId="57" borderId="270" xfId="0" applyNumberFormat="1" applyFont="1" applyFill="1" applyBorder="1" applyAlignment="1">
      <alignment horizontal="right" wrapText="1"/>
    </xf>
    <xf numFmtId="178" fontId="169" fillId="0" borderId="270" xfId="0" applyNumberFormat="1" applyFont="1" applyFill="1" applyBorder="1" applyAlignment="1">
      <alignment vertical="center"/>
    </xf>
    <xf numFmtId="178" fontId="169" fillId="57" borderId="270" xfId="0" applyNumberFormat="1" applyFont="1" applyFill="1" applyBorder="1" applyAlignment="1">
      <alignment vertical="center"/>
    </xf>
    <xf numFmtId="178" fontId="169" fillId="57" borderId="270" xfId="0" applyNumberFormat="1" applyFont="1" applyFill="1" applyBorder="1" applyAlignment="1">
      <alignment horizontal="right" wrapText="1"/>
    </xf>
    <xf numFmtId="178" fontId="169" fillId="57" borderId="258" xfId="0" applyNumberFormat="1" applyFont="1" applyFill="1" applyBorder="1" applyAlignment="1">
      <alignment vertical="center"/>
    </xf>
    <xf numFmtId="4" fontId="96" fillId="0" borderId="270" xfId="0" applyNumberFormat="1" applyFont="1" applyFill="1" applyBorder="1" applyAlignment="1">
      <alignment vertical="center"/>
    </xf>
    <xf numFmtId="4" fontId="60" fillId="0" borderId="270" xfId="0" applyNumberFormat="1" applyFont="1" applyFill="1" applyBorder="1" applyAlignment="1">
      <alignment vertical="center"/>
    </xf>
    <xf numFmtId="4" fontId="96" fillId="57" borderId="270" xfId="0" applyNumberFormat="1" applyFont="1" applyFill="1" applyBorder="1" applyAlignment="1">
      <alignment vertical="center"/>
    </xf>
    <xf numFmtId="4" fontId="96" fillId="57" borderId="270" xfId="0" applyNumberFormat="1" applyFont="1" applyFill="1" applyBorder="1" applyAlignment="1">
      <alignment horizontal="right" wrapText="1"/>
    </xf>
    <xf numFmtId="178" fontId="60" fillId="0" borderId="270" xfId="0" applyNumberFormat="1" applyFont="1" applyFill="1" applyBorder="1" applyAlignment="1">
      <alignment vertical="center"/>
    </xf>
    <xf numFmtId="0" fontId="61" fillId="0" borderId="270" xfId="0" applyFont="1" applyBorder="1" applyAlignment="1">
      <alignment vertical="center" wrapText="1"/>
    </xf>
    <xf numFmtId="4" fontId="169" fillId="0" borderId="270" xfId="0" applyNumberFormat="1" applyFont="1" applyFill="1" applyBorder="1" applyAlignment="1">
      <alignment vertical="center"/>
    </xf>
    <xf numFmtId="4" fontId="61" fillId="0" borderId="270" xfId="0" applyNumberFormat="1" applyFont="1" applyFill="1" applyBorder="1" applyAlignment="1">
      <alignment vertical="center"/>
    </xf>
    <xf numFmtId="4" fontId="169" fillId="57" borderId="270" xfId="0" applyNumberFormat="1" applyFont="1" applyFill="1" applyBorder="1" applyAlignment="1">
      <alignment vertical="center"/>
    </xf>
    <xf numFmtId="4" fontId="169" fillId="57" borderId="270" xfId="0" applyNumberFormat="1" applyFont="1" applyFill="1" applyBorder="1" applyAlignment="1">
      <alignment horizontal="right" wrapText="1"/>
    </xf>
    <xf numFmtId="178" fontId="61" fillId="0" borderId="270" xfId="0" applyNumberFormat="1" applyFont="1" applyFill="1" applyBorder="1" applyAlignment="1">
      <alignment vertical="center"/>
    </xf>
    <xf numFmtId="0" fontId="17" fillId="0" borderId="270" xfId="0" applyFont="1" applyBorder="1" applyAlignment="1">
      <alignment vertical="center" wrapText="1"/>
    </xf>
    <xf numFmtId="4" fontId="88" fillId="0" borderId="270" xfId="0" applyNumberFormat="1" applyFont="1" applyFill="1" applyBorder="1" applyAlignment="1">
      <alignment vertical="center"/>
    </xf>
    <xf numFmtId="4" fontId="88" fillId="57" borderId="270" xfId="0" applyNumberFormat="1" applyFont="1" applyFill="1" applyBorder="1" applyAlignment="1">
      <alignment vertical="center"/>
    </xf>
    <xf numFmtId="4" fontId="88" fillId="57" borderId="270" xfId="0" applyNumberFormat="1" applyFont="1" applyFill="1" applyBorder="1" applyAlignment="1">
      <alignment horizontal="right" wrapText="1"/>
    </xf>
    <xf numFmtId="0" fontId="61" fillId="0" borderId="273" xfId="0" applyFont="1" applyBorder="1" applyAlignment="1">
      <alignment vertical="center" wrapText="1"/>
    </xf>
    <xf numFmtId="2" fontId="169" fillId="57" borderId="270" xfId="0" applyNumberFormat="1" applyFont="1" applyFill="1" applyBorder="1"/>
    <xf numFmtId="4" fontId="170" fillId="57" borderId="270" xfId="0" applyNumberFormat="1" applyFont="1" applyFill="1" applyBorder="1" applyAlignment="1">
      <alignment horizontal="right" wrapText="1"/>
    </xf>
    <xf numFmtId="0" fontId="0" fillId="29" borderId="274" xfId="0" applyFont="1" applyFill="1" applyBorder="1" applyAlignment="1">
      <alignment horizontal="left"/>
    </xf>
    <xf numFmtId="178" fontId="0" fillId="29" borderId="274" xfId="0" applyNumberFormat="1" applyFont="1" applyFill="1" applyBorder="1" applyAlignment="1">
      <alignment horizontal="left"/>
    </xf>
    <xf numFmtId="178" fontId="60" fillId="0" borderId="270" xfId="0" applyNumberFormat="1" applyFont="1" applyFill="1" applyBorder="1" applyAlignment="1" applyProtection="1">
      <alignment horizontal="center" vertical="center" wrapText="1"/>
    </xf>
    <xf numFmtId="0" fontId="60" fillId="0" borderId="270" xfId="0" applyFont="1" applyBorder="1" applyAlignment="1">
      <alignment vertical="center"/>
    </xf>
    <xf numFmtId="178" fontId="96" fillId="0" borderId="270" xfId="0" applyNumberFormat="1" applyFont="1" applyFill="1" applyBorder="1"/>
    <xf numFmtId="4" fontId="60" fillId="0" borderId="270" xfId="0" applyNumberFormat="1" applyFont="1" applyFill="1" applyBorder="1" applyProtection="1">
      <protection locked="0"/>
    </xf>
    <xf numFmtId="178" fontId="60" fillId="0" borderId="270" xfId="0" applyNumberFormat="1" applyFont="1" applyFill="1" applyBorder="1" applyProtection="1">
      <protection locked="0"/>
    </xf>
    <xf numFmtId="0" fontId="61" fillId="0" borderId="270" xfId="0" applyFont="1" applyBorder="1" applyAlignment="1">
      <alignment vertical="center"/>
    </xf>
    <xf numFmtId="10" fontId="169" fillId="57" borderId="270" xfId="0" applyNumberFormat="1" applyFont="1" applyFill="1" applyBorder="1"/>
    <xf numFmtId="178" fontId="169" fillId="0" borderId="270" xfId="0" applyNumberFormat="1" applyFont="1" applyFill="1" applyBorder="1"/>
    <xf numFmtId="2" fontId="96" fillId="0" borderId="270" xfId="0" applyNumberFormat="1" applyFont="1" applyFill="1" applyBorder="1" applyProtection="1">
      <protection locked="0"/>
    </xf>
    <xf numFmtId="2" fontId="96" fillId="57" borderId="270" xfId="0" applyNumberFormat="1" applyFont="1" applyFill="1" applyBorder="1" applyAlignment="1">
      <alignment vertical="center"/>
    </xf>
    <xf numFmtId="2" fontId="96" fillId="57" borderId="270" xfId="0" applyNumberFormat="1" applyFont="1" applyFill="1" applyBorder="1" applyAlignment="1">
      <alignment horizontal="right" wrapText="1"/>
    </xf>
    <xf numFmtId="4" fontId="61" fillId="0" borderId="270" xfId="0" applyNumberFormat="1" applyFont="1" applyFill="1" applyBorder="1" applyProtection="1">
      <protection locked="0"/>
    </xf>
    <xf numFmtId="178" fontId="61" fillId="0" borderId="270" xfId="0" applyNumberFormat="1" applyFont="1" applyFill="1" applyBorder="1" applyProtection="1">
      <protection locked="0"/>
    </xf>
    <xf numFmtId="2" fontId="169" fillId="57" borderId="270" xfId="0" applyNumberFormat="1" applyFont="1" applyFill="1" applyBorder="1" applyAlignment="1">
      <alignment vertical="center"/>
    </xf>
    <xf numFmtId="0" fontId="17" fillId="0" borderId="270" xfId="0" applyFont="1" applyBorder="1" applyAlignment="1">
      <alignment vertical="center"/>
    </xf>
    <xf numFmtId="178" fontId="88" fillId="0" borderId="270" xfId="0" applyNumberFormat="1" applyFont="1" applyFill="1" applyBorder="1"/>
    <xf numFmtId="2" fontId="88" fillId="0" borderId="270" xfId="0" applyNumberFormat="1" applyFont="1" applyFill="1" applyBorder="1"/>
    <xf numFmtId="178" fontId="88" fillId="57" borderId="270" xfId="0" applyNumberFormat="1" applyFont="1" applyFill="1" applyBorder="1"/>
    <xf numFmtId="4" fontId="88" fillId="57" borderId="270" xfId="0" applyNumberFormat="1" applyFont="1" applyFill="1" applyBorder="1"/>
    <xf numFmtId="2" fontId="88" fillId="57" borderId="270" xfId="0" applyNumberFormat="1" applyFont="1" applyFill="1" applyBorder="1"/>
    <xf numFmtId="2" fontId="88" fillId="57" borderId="270" xfId="0" applyNumberFormat="1" applyFont="1" applyFill="1" applyBorder="1" applyAlignment="1">
      <alignment horizontal="right" wrapText="1"/>
    </xf>
    <xf numFmtId="0" fontId="17" fillId="0" borderId="270" xfId="0" applyFont="1" applyFill="1" applyBorder="1" applyAlignment="1">
      <alignment vertical="center"/>
    </xf>
    <xf numFmtId="2" fontId="88" fillId="57" borderId="270" xfId="0" applyNumberFormat="1" applyFont="1" applyFill="1" applyBorder="1" applyAlignment="1">
      <alignment vertical="center"/>
    </xf>
    <xf numFmtId="2" fontId="169" fillId="0" borderId="270" xfId="0" applyNumberFormat="1" applyFont="1" applyFill="1" applyBorder="1"/>
    <xf numFmtId="178" fontId="170" fillId="57" borderId="270" xfId="0" applyNumberFormat="1" applyFont="1" applyFill="1" applyBorder="1" applyAlignment="1">
      <alignment vertical="center"/>
    </xf>
    <xf numFmtId="2" fontId="170" fillId="57" borderId="270" xfId="0" applyNumberFormat="1" applyFont="1" applyFill="1" applyBorder="1" applyAlignment="1">
      <alignment vertical="center"/>
    </xf>
    <xf numFmtId="168" fontId="88" fillId="0" borderId="270" xfId="0" applyNumberFormat="1" applyFont="1" applyFill="1" applyBorder="1"/>
    <xf numFmtId="0" fontId="63" fillId="0" borderId="0" xfId="0" applyFont="1"/>
    <xf numFmtId="0" fontId="87" fillId="0" borderId="0" xfId="0" applyFont="1"/>
    <xf numFmtId="0" fontId="69" fillId="0" borderId="0" xfId="0" applyFont="1" applyAlignment="1">
      <alignment horizontal="center"/>
    </xf>
    <xf numFmtId="0" fontId="86" fillId="0" borderId="0" xfId="0" applyFont="1" applyAlignment="1"/>
    <xf numFmtId="0" fontId="17" fillId="29" borderId="273" xfId="0" applyFont="1" applyFill="1" applyBorder="1" applyAlignment="1">
      <alignment horizontal="left" vertical="center" wrapText="1"/>
    </xf>
    <xf numFmtId="0" fontId="17" fillId="29" borderId="274" xfId="0" applyFont="1" applyFill="1" applyBorder="1" applyAlignment="1">
      <alignment horizontal="center" vertical="center" wrapText="1"/>
    </xf>
    <xf numFmtId="0" fontId="0" fillId="29" borderId="274" xfId="0" applyFill="1" applyBorder="1" applyAlignment="1"/>
    <xf numFmtId="0" fontId="0" fillId="29" borderId="274" xfId="0" applyFill="1" applyBorder="1"/>
    <xf numFmtId="0" fontId="0" fillId="29" borderId="275" xfId="0" applyFill="1" applyBorder="1"/>
    <xf numFmtId="0" fontId="17" fillId="0" borderId="270" xfId="0" applyFont="1" applyBorder="1" applyAlignment="1">
      <alignment horizontal="left" vertical="center"/>
    </xf>
    <xf numFmtId="178" fontId="88" fillId="57" borderId="270" xfId="0" applyNumberFormat="1" applyFont="1" applyFill="1" applyBorder="1" applyAlignment="1">
      <alignment horizontal="right" vertical="center"/>
    </xf>
    <xf numFmtId="178" fontId="96" fillId="57" borderId="270" xfId="0" applyNumberFormat="1" applyFont="1" applyFill="1" applyBorder="1" applyAlignment="1">
      <alignment horizontal="right" vertical="center"/>
    </xf>
    <xf numFmtId="168" fontId="0" fillId="29" borderId="274" xfId="0" applyNumberFormat="1" applyFill="1" applyBorder="1" applyAlignment="1">
      <alignment horizontal="center"/>
    </xf>
    <xf numFmtId="168" fontId="0" fillId="29" borderId="274" xfId="0" applyNumberFormat="1" applyFill="1" applyBorder="1" applyAlignment="1"/>
    <xf numFmtId="168" fontId="0" fillId="29" borderId="274" xfId="0" applyNumberFormat="1" applyFill="1" applyBorder="1"/>
    <xf numFmtId="168" fontId="0" fillId="29" borderId="275" xfId="0" applyNumberFormat="1" applyFill="1" applyBorder="1"/>
    <xf numFmtId="192" fontId="0" fillId="29" borderId="0" xfId="0" applyNumberFormat="1" applyFill="1" applyAlignment="1" applyProtection="1">
      <alignment vertical="center"/>
    </xf>
    <xf numFmtId="192" fontId="118" fillId="29" borderId="0" xfId="0" applyNumberFormat="1" applyFont="1" applyFill="1" applyAlignment="1" applyProtection="1">
      <alignment vertical="center"/>
    </xf>
    <xf numFmtId="0" fontId="60" fillId="0" borderId="270" xfId="0" applyFont="1" applyFill="1" applyBorder="1" applyAlignment="1">
      <alignment vertical="center"/>
    </xf>
    <xf numFmtId="178" fontId="96" fillId="57" borderId="270" xfId="0" applyNumberFormat="1" applyFont="1" applyFill="1" applyBorder="1"/>
    <xf numFmtId="178" fontId="169" fillId="57" borderId="270" xfId="0" applyNumberFormat="1" applyFont="1" applyFill="1" applyBorder="1" applyAlignment="1">
      <alignment horizontal="right" vertical="center"/>
    </xf>
    <xf numFmtId="10" fontId="96" fillId="0" borderId="270" xfId="0" applyNumberFormat="1" applyFont="1" applyFill="1" applyBorder="1"/>
    <xf numFmtId="174" fontId="88" fillId="0" borderId="270" xfId="0" applyNumberFormat="1" applyFont="1" applyFill="1" applyBorder="1"/>
    <xf numFmtId="0" fontId="17" fillId="0" borderId="61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178" fontId="88" fillId="0" borderId="270" xfId="0" applyNumberFormat="1" applyFont="1" applyFill="1" applyBorder="1" applyAlignment="1">
      <alignment horizontal="right" vertical="center"/>
    </xf>
    <xf numFmtId="4" fontId="88" fillId="0" borderId="270" xfId="0" applyNumberFormat="1" applyFont="1" applyFill="1" applyBorder="1" applyAlignment="1">
      <alignment horizontal="right" vertical="center"/>
    </xf>
    <xf numFmtId="178" fontId="96" fillId="0" borderId="270" xfId="0" applyNumberFormat="1" applyFont="1" applyFill="1" applyBorder="1" applyAlignment="1">
      <alignment horizontal="right" vertical="center"/>
    </xf>
    <xf numFmtId="4" fontId="96" fillId="0" borderId="270" xfId="0" applyNumberFormat="1" applyFont="1" applyFill="1" applyBorder="1" applyAlignment="1">
      <alignment horizontal="right" vertical="center"/>
    </xf>
    <xf numFmtId="4" fontId="96" fillId="57" borderId="258" xfId="0" applyNumberFormat="1" applyFont="1" applyFill="1" applyBorder="1" applyAlignment="1">
      <alignment horizontal="right" vertical="center"/>
    </xf>
    <xf numFmtId="4" fontId="96" fillId="57" borderId="270" xfId="0" applyNumberFormat="1" applyFont="1" applyFill="1" applyBorder="1"/>
    <xf numFmtId="178" fontId="169" fillId="57" borderId="270" xfId="0" applyNumberFormat="1" applyFont="1" applyFill="1" applyBorder="1"/>
    <xf numFmtId="4" fontId="169" fillId="57" borderId="270" xfId="0" applyNumberFormat="1" applyFont="1" applyFill="1" applyBorder="1"/>
    <xf numFmtId="178" fontId="96" fillId="0" borderId="270" xfId="0" applyNumberFormat="1" applyFont="1" applyBorder="1"/>
    <xf numFmtId="4" fontId="96" fillId="0" borderId="270" xfId="0" applyNumberFormat="1" applyFont="1" applyBorder="1"/>
    <xf numFmtId="2" fontId="96" fillId="57" borderId="270" xfId="0" applyNumberFormat="1" applyFont="1" applyFill="1" applyBorder="1" applyAlignment="1">
      <alignment horizontal="right" vertical="center"/>
    </xf>
    <xf numFmtId="178" fontId="88" fillId="0" borderId="270" xfId="0" applyNumberFormat="1" applyFont="1" applyBorder="1"/>
    <xf numFmtId="2" fontId="88" fillId="0" borderId="270" xfId="0" applyNumberFormat="1" applyFont="1" applyBorder="1"/>
    <xf numFmtId="2" fontId="88" fillId="57" borderId="270" xfId="0" applyNumberFormat="1" applyFont="1" applyFill="1" applyBorder="1" applyAlignment="1">
      <alignment horizontal="right" vertical="center"/>
    </xf>
    <xf numFmtId="178" fontId="169" fillId="0" borderId="270" xfId="0" applyNumberFormat="1" applyFont="1" applyBorder="1"/>
    <xf numFmtId="4" fontId="169" fillId="0" borderId="270" xfId="0" applyNumberFormat="1" applyFont="1" applyBorder="1"/>
    <xf numFmtId="2" fontId="169" fillId="57" borderId="270" xfId="0" applyNumberFormat="1" applyFont="1" applyFill="1" applyBorder="1" applyAlignment="1">
      <alignment horizontal="right" vertical="center"/>
    </xf>
    <xf numFmtId="4" fontId="88" fillId="0" borderId="270" xfId="0" applyNumberFormat="1" applyFont="1" applyBorder="1"/>
    <xf numFmtId="0" fontId="17" fillId="0" borderId="270" xfId="0" applyFont="1" applyBorder="1"/>
    <xf numFmtId="0" fontId="17" fillId="0" borderId="270" xfId="0" applyFont="1" applyFill="1" applyBorder="1" applyAlignment="1">
      <alignment horizontal="left"/>
    </xf>
    <xf numFmtId="178" fontId="88" fillId="0" borderId="270" xfId="0" applyNumberFormat="1" applyFont="1" applyFill="1" applyBorder="1" applyAlignment="1">
      <alignment horizontal="right" wrapText="1"/>
    </xf>
    <xf numFmtId="178" fontId="96" fillId="0" borderId="270" xfId="0" applyNumberFormat="1" applyFont="1" applyFill="1" applyBorder="1" applyAlignment="1">
      <alignment horizontal="right" wrapText="1"/>
    </xf>
    <xf numFmtId="0" fontId="17" fillId="29" borderId="273" xfId="0" applyFont="1" applyFill="1" applyBorder="1" applyAlignment="1">
      <alignment vertical="center"/>
    </xf>
    <xf numFmtId="4" fontId="60" fillId="29" borderId="274" xfId="0" applyNumberFormat="1" applyFont="1" applyFill="1" applyBorder="1" applyAlignment="1">
      <alignment horizontal="right" vertical="center"/>
    </xf>
    <xf numFmtId="4" fontId="60" fillId="29" borderId="274" xfId="0" applyNumberFormat="1" applyFont="1" applyFill="1" applyBorder="1"/>
    <xf numFmtId="4" fontId="0" fillId="29" borderId="274" xfId="0" applyNumberFormat="1" applyFill="1" applyBorder="1"/>
    <xf numFmtId="4" fontId="0" fillId="29" borderId="275" xfId="0" applyNumberFormat="1" applyFill="1" applyBorder="1"/>
    <xf numFmtId="4" fontId="60" fillId="0" borderId="270" xfId="0" applyNumberFormat="1" applyFont="1" applyFill="1" applyBorder="1" applyAlignment="1" applyProtection="1">
      <alignment horizontal="right" vertical="center"/>
      <protection locked="0"/>
    </xf>
    <xf numFmtId="4" fontId="169" fillId="0" borderId="270" xfId="0" applyNumberFormat="1" applyFont="1" applyFill="1" applyBorder="1" applyAlignment="1">
      <alignment horizontal="right" vertical="center"/>
    </xf>
    <xf numFmtId="4" fontId="0" fillId="29" borderId="274" xfId="0" applyNumberFormat="1" applyFill="1" applyBorder="1" applyAlignment="1">
      <alignment horizontal="left"/>
    </xf>
    <xf numFmtId="4" fontId="60" fillId="29" borderId="274" xfId="0" applyNumberFormat="1" applyFont="1" applyFill="1" applyBorder="1" applyAlignment="1">
      <alignment horizontal="left"/>
    </xf>
    <xf numFmtId="4" fontId="60" fillId="29" borderId="275" xfId="0" applyNumberFormat="1" applyFont="1" applyFill="1" applyBorder="1" applyAlignment="1">
      <alignment horizontal="left"/>
    </xf>
    <xf numFmtId="4" fontId="96" fillId="57" borderId="273" xfId="0" applyNumberFormat="1" applyFont="1" applyFill="1" applyBorder="1"/>
    <xf numFmtId="10" fontId="61" fillId="0" borderId="270" xfId="0" applyNumberFormat="1" applyFont="1" applyFill="1" applyBorder="1" applyAlignment="1">
      <alignment vertical="center" wrapText="1"/>
    </xf>
    <xf numFmtId="10" fontId="169" fillId="57" borderId="270" xfId="0" applyNumberFormat="1" applyFont="1" applyFill="1" applyBorder="1" applyAlignment="1">
      <alignment horizontal="right" wrapText="1"/>
    </xf>
    <xf numFmtId="4" fontId="96" fillId="0" borderId="270" xfId="0" applyNumberFormat="1" applyFont="1" applyFill="1" applyBorder="1" applyProtection="1">
      <protection locked="0"/>
    </xf>
    <xf numFmtId="4" fontId="169" fillId="57" borderId="273" xfId="0" applyNumberFormat="1" applyFont="1" applyFill="1" applyBorder="1"/>
    <xf numFmtId="2" fontId="169" fillId="57" borderId="270" xfId="0" applyNumberFormat="1" applyFont="1" applyFill="1" applyBorder="1" applyAlignment="1">
      <alignment horizontal="right" vertical="center" wrapText="1"/>
    </xf>
    <xf numFmtId="4" fontId="169" fillId="57" borderId="273" xfId="0" applyNumberFormat="1" applyFont="1" applyFill="1" applyBorder="1" applyAlignment="1">
      <alignment vertical="center"/>
    </xf>
    <xf numFmtId="4" fontId="88" fillId="57" borderId="273" xfId="0" applyNumberFormat="1" applyFont="1" applyFill="1" applyBorder="1"/>
    <xf numFmtId="4" fontId="170" fillId="57" borderId="270" xfId="0" applyNumberFormat="1" applyFont="1" applyFill="1" applyBorder="1" applyAlignment="1">
      <alignment vertical="center"/>
    </xf>
    <xf numFmtId="4" fontId="0" fillId="0" borderId="0" xfId="0" applyNumberFormat="1" applyFill="1" applyBorder="1"/>
    <xf numFmtId="4" fontId="0" fillId="0" borderId="0" xfId="0" applyNumberFormat="1" applyFill="1"/>
    <xf numFmtId="4" fontId="60" fillId="0" borderId="0" xfId="0" applyNumberFormat="1" applyFont="1"/>
    <xf numFmtId="0" fontId="173" fillId="38" borderId="257" xfId="77" applyFont="1" applyFill="1" applyBorder="1" applyAlignment="1">
      <alignment horizontal="center" wrapText="1"/>
    </xf>
    <xf numFmtId="0" fontId="173" fillId="0" borderId="257" xfId="77" applyFont="1" applyFill="1" applyBorder="1"/>
    <xf numFmtId="2" fontId="173" fillId="0" borderId="257" xfId="77" applyNumberFormat="1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 vertical="center"/>
    </xf>
    <xf numFmtId="0" fontId="173" fillId="0" borderId="257" xfId="77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/>
    </xf>
    <xf numFmtId="0" fontId="171" fillId="0" borderId="257" xfId="77" applyFont="1" applyFill="1" applyBorder="1"/>
    <xf numFmtId="2" fontId="171" fillId="0" borderId="257" xfId="77" applyNumberFormat="1" applyFont="1" applyFill="1" applyBorder="1" applyAlignment="1">
      <alignment horizontal="center"/>
    </xf>
    <xf numFmtId="4" fontId="171" fillId="0" borderId="257" xfId="77" applyNumberFormat="1" applyFont="1" applyFill="1" applyBorder="1" applyAlignment="1">
      <alignment horizontal="center"/>
    </xf>
    <xf numFmtId="0" fontId="175" fillId="0" borderId="0" xfId="77" applyFont="1"/>
    <xf numFmtId="0" fontId="174" fillId="0" borderId="0" xfId="77" applyFont="1"/>
    <xf numFmtId="178" fontId="61" fillId="0" borderId="270" xfId="0" applyNumberFormat="1" applyFont="1" applyFill="1" applyBorder="1" applyAlignment="1" applyProtection="1">
      <alignment vertical="center"/>
    </xf>
    <xf numFmtId="178" fontId="13" fillId="0" borderId="0" xfId="0" applyNumberFormat="1" applyFont="1" applyAlignment="1" applyProtection="1">
      <alignment vertical="center"/>
    </xf>
    <xf numFmtId="0" fontId="61" fillId="0" borderId="169" xfId="0" applyFont="1" applyFill="1" applyBorder="1" applyAlignment="1">
      <alignment vertical="center" wrapText="1"/>
    </xf>
    <xf numFmtId="49" fontId="61" fillId="0" borderId="169" xfId="0" applyNumberFormat="1" applyFont="1" applyFill="1" applyBorder="1" applyAlignment="1">
      <alignment vertical="center" wrapText="1"/>
    </xf>
    <xf numFmtId="2" fontId="169" fillId="0" borderId="0" xfId="0" applyNumberFormat="1" applyFont="1" applyFill="1" applyBorder="1"/>
    <xf numFmtId="4" fontId="169" fillId="0" borderId="0" xfId="0" applyNumberFormat="1" applyFont="1" applyFill="1" applyBorder="1" applyAlignment="1">
      <alignment vertical="center"/>
    </xf>
    <xf numFmtId="49" fontId="61" fillId="0" borderId="270" xfId="0" applyNumberFormat="1" applyFont="1" applyFill="1" applyBorder="1" applyAlignment="1">
      <alignment vertical="center" wrapText="1"/>
    </xf>
    <xf numFmtId="178" fontId="169" fillId="0" borderId="270" xfId="0" applyNumberFormat="1" applyFont="1" applyFill="1" applyBorder="1" applyAlignment="1">
      <alignment horizontal="right" wrapText="1"/>
    </xf>
    <xf numFmtId="0" fontId="0" fillId="0" borderId="0" xfId="0" applyAlignment="1"/>
    <xf numFmtId="0" fontId="17" fillId="0" borderId="0" xfId="0" applyFont="1" applyAlignment="1">
      <alignment horizontal="center"/>
    </xf>
    <xf numFmtId="0" fontId="81" fillId="0" borderId="0" xfId="0" applyFont="1" applyAlignment="1"/>
    <xf numFmtId="0" fontId="60" fillId="0" borderId="0" xfId="0" applyFont="1" applyAlignment="1">
      <alignment horizontal="left" vertical="top" wrapText="1"/>
    </xf>
    <xf numFmtId="0" fontId="79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/>
    <xf numFmtId="0" fontId="144" fillId="0" borderId="0" xfId="0" applyFont="1" applyAlignment="1">
      <alignment horizontal="center"/>
    </xf>
    <xf numFmtId="0" fontId="60" fillId="0" borderId="257" xfId="0" applyFont="1" applyBorder="1" applyAlignment="1">
      <alignment horizontal="center"/>
    </xf>
    <xf numFmtId="0" fontId="60" fillId="0" borderId="170" xfId="0" applyFont="1" applyFill="1" applyBorder="1" applyAlignment="1">
      <alignment horizontal="center" vertical="center"/>
    </xf>
    <xf numFmtId="0" fontId="17" fillId="0" borderId="169" xfId="0" applyFont="1" applyBorder="1" applyAlignment="1">
      <alignment vertical="center" wrapText="1"/>
    </xf>
    <xf numFmtId="0" fontId="60" fillId="0" borderId="257" xfId="0" applyFont="1" applyBorder="1"/>
    <xf numFmtId="2" fontId="17" fillId="0" borderId="257" xfId="0" applyNumberFormat="1" applyFont="1" applyBorder="1" applyAlignment="1">
      <alignment horizontal="center"/>
    </xf>
    <xf numFmtId="2" fontId="17" fillId="0" borderId="257" xfId="0" applyNumberFormat="1" applyFont="1" applyFill="1" applyBorder="1"/>
    <xf numFmtId="2" fontId="17" fillId="0" borderId="209" xfId="0" applyNumberFormat="1" applyFont="1" applyFill="1" applyBorder="1"/>
    <xf numFmtId="2" fontId="17" fillId="0" borderId="170" xfId="0" applyNumberFormat="1" applyFont="1" applyFill="1" applyBorder="1"/>
    <xf numFmtId="0" fontId="60" fillId="0" borderId="169" xfId="0" applyFont="1" applyBorder="1" applyAlignment="1">
      <alignment vertical="center" wrapText="1"/>
    </xf>
    <xf numFmtId="2" fontId="60" fillId="0" borderId="257" xfId="0" applyNumberFormat="1" applyFont="1" applyBorder="1" applyAlignment="1">
      <alignment horizontal="center"/>
    </xf>
    <xf numFmtId="2" fontId="60" fillId="0" borderId="257" xfId="0" applyNumberFormat="1" applyFont="1" applyFill="1" applyBorder="1"/>
    <xf numFmtId="2" fontId="60" fillId="0" borderId="209" xfId="0" applyNumberFormat="1" applyFont="1" applyFill="1" applyBorder="1"/>
    <xf numFmtId="2" fontId="60" fillId="0" borderId="170" xfId="0" applyNumberFormat="1" applyFont="1" applyFill="1" applyBorder="1"/>
    <xf numFmtId="0" fontId="61" fillId="0" borderId="169" xfId="0" applyFont="1" applyBorder="1" applyAlignment="1">
      <alignment vertical="center" wrapText="1"/>
    </xf>
    <xf numFmtId="10" fontId="61" fillId="0" borderId="257" xfId="0" applyNumberFormat="1" applyFont="1" applyFill="1" applyBorder="1"/>
    <xf numFmtId="10" fontId="61" fillId="0" borderId="209" xfId="0" applyNumberFormat="1" applyFont="1" applyFill="1" applyBorder="1"/>
    <xf numFmtId="10" fontId="61" fillId="0" borderId="170" xfId="0" applyNumberFormat="1" applyFont="1" applyFill="1" applyBorder="1"/>
    <xf numFmtId="2" fontId="61" fillId="0" borderId="257" xfId="0" applyNumberFormat="1" applyFont="1" applyFill="1" applyBorder="1"/>
    <xf numFmtId="2" fontId="61" fillId="0" borderId="209" xfId="0" applyNumberFormat="1" applyFont="1" applyFill="1" applyBorder="1"/>
    <xf numFmtId="2" fontId="61" fillId="0" borderId="170" xfId="0" applyNumberFormat="1" applyFont="1" applyFill="1" applyBorder="1"/>
    <xf numFmtId="0" fontId="60" fillId="0" borderId="169" xfId="0" applyFont="1" applyBorder="1" applyAlignment="1">
      <alignment vertical="center"/>
    </xf>
    <xf numFmtId="0" fontId="61" fillId="0" borderId="169" xfId="0" applyFont="1" applyBorder="1" applyAlignment="1">
      <alignment vertical="center"/>
    </xf>
    <xf numFmtId="10" fontId="60" fillId="0" borderId="257" xfId="0" applyNumberFormat="1" applyFont="1" applyFill="1" applyBorder="1" applyAlignment="1">
      <alignment horizontal="center"/>
    </xf>
    <xf numFmtId="0" fontId="0" fillId="0" borderId="257" xfId="0" applyFont="1" applyBorder="1"/>
    <xf numFmtId="0" fontId="61" fillId="0" borderId="169" xfId="0" applyFont="1" applyFill="1" applyBorder="1" applyAlignment="1">
      <alignment vertical="center"/>
    </xf>
    <xf numFmtId="0" fontId="17" fillId="0" borderId="169" xfId="0" applyFont="1" applyBorder="1" applyAlignment="1">
      <alignment vertical="center"/>
    </xf>
    <xf numFmtId="0" fontId="17" fillId="0" borderId="169" xfId="0" applyFont="1" applyFill="1" applyBorder="1" applyAlignment="1">
      <alignment vertical="center" wrapText="1"/>
    </xf>
    <xf numFmtId="0" fontId="17" fillId="0" borderId="277" xfId="0" applyFont="1" applyFill="1" applyBorder="1" applyAlignment="1">
      <alignment vertical="center"/>
    </xf>
    <xf numFmtId="2" fontId="17" fillId="0" borderId="278" xfId="0" applyNumberFormat="1" applyFont="1" applyFill="1" applyBorder="1"/>
    <xf numFmtId="0" fontId="60" fillId="0" borderId="257" xfId="0" applyFont="1" applyFill="1" applyBorder="1" applyAlignment="1">
      <alignment horizontal="center" vertical="center" wrapText="1"/>
    </xf>
    <xf numFmtId="0" fontId="60" fillId="0" borderId="257" xfId="0" applyFont="1" applyBorder="1" applyAlignment="1">
      <alignment horizontal="center" vertical="center" wrapText="1"/>
    </xf>
    <xf numFmtId="169" fontId="17" fillId="0" borderId="257" xfId="0" applyNumberFormat="1" applyFont="1" applyBorder="1" applyAlignment="1">
      <alignment horizontal="center"/>
    </xf>
    <xf numFmtId="169" fontId="60" fillId="0" borderId="257" xfId="0" applyNumberFormat="1" applyFont="1" applyBorder="1" applyAlignment="1">
      <alignment horizontal="center"/>
    </xf>
    <xf numFmtId="4" fontId="60" fillId="0" borderId="257" xfId="0" applyNumberFormat="1" applyFont="1" applyFill="1" applyBorder="1" applyAlignment="1">
      <alignment horizontal="center"/>
    </xf>
    <xf numFmtId="10" fontId="60" fillId="0" borderId="257" xfId="0" applyNumberFormat="1" applyFont="1" applyFill="1" applyBorder="1"/>
    <xf numFmtId="10" fontId="60" fillId="0" borderId="170" xfId="0" applyNumberFormat="1" applyFont="1" applyFill="1" applyBorder="1"/>
    <xf numFmtId="0" fontId="50" fillId="0" borderId="257" xfId="0" applyFont="1" applyBorder="1"/>
    <xf numFmtId="0" fontId="0" fillId="29" borderId="257" xfId="0" applyFont="1" applyFill="1" applyBorder="1"/>
    <xf numFmtId="4" fontId="17" fillId="0" borderId="257" xfId="0" applyNumberFormat="1" applyFont="1" applyFill="1" applyBorder="1" applyAlignment="1">
      <alignment horizontal="center"/>
    </xf>
    <xf numFmtId="169" fontId="17" fillId="0" borderId="257" xfId="0" applyNumberFormat="1" applyFont="1" applyFill="1" applyBorder="1" applyAlignment="1">
      <alignment horizontal="center"/>
    </xf>
    <xf numFmtId="2" fontId="17" fillId="0" borderId="257" xfId="0" applyNumberFormat="1" applyFont="1" applyFill="1" applyBorder="1" applyAlignment="1">
      <alignment horizontal="center"/>
    </xf>
    <xf numFmtId="0" fontId="17" fillId="0" borderId="277" xfId="0" applyFont="1" applyFill="1" applyBorder="1" applyAlignment="1">
      <alignment vertical="center" wrapText="1"/>
    </xf>
    <xf numFmtId="0" fontId="81" fillId="0" borderId="16" xfId="0" applyFont="1" applyBorder="1" applyAlignment="1">
      <alignment horizontal="center" vertical="center" wrapText="1"/>
    </xf>
    <xf numFmtId="0" fontId="81" fillId="0" borderId="17" xfId="0" applyFont="1" applyBorder="1" applyAlignment="1">
      <alignment horizontal="center" vertical="center" wrapText="1"/>
    </xf>
    <xf numFmtId="0" fontId="81" fillId="0" borderId="18" xfId="0" applyFont="1" applyBorder="1" applyAlignment="1">
      <alignment horizontal="center" vertical="center" wrapText="1"/>
    </xf>
    <xf numFmtId="0" fontId="16" fillId="0" borderId="188" xfId="0" applyFont="1" applyFill="1" applyBorder="1" applyAlignment="1">
      <alignment vertical="center"/>
    </xf>
    <xf numFmtId="0" fontId="81" fillId="0" borderId="258" xfId="0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vertical="center"/>
    </xf>
    <xf numFmtId="0" fontId="81" fillId="0" borderId="11" xfId="0" applyFont="1" applyFill="1" applyBorder="1" applyAlignment="1">
      <alignment horizontal="center" vertical="center"/>
    </xf>
    <xf numFmtId="2" fontId="16" fillId="0" borderId="170" xfId="0" applyNumberFormat="1" applyFont="1" applyFill="1" applyBorder="1" applyAlignment="1">
      <alignment vertical="center"/>
    </xf>
    <xf numFmtId="0" fontId="82" fillId="0" borderId="37" xfId="0" applyFont="1" applyFill="1" applyBorder="1" applyAlignment="1">
      <alignment vertical="center"/>
    </xf>
    <xf numFmtId="2" fontId="81" fillId="0" borderId="11" xfId="0" applyNumberFormat="1" applyFont="1" applyFill="1" applyBorder="1" applyAlignment="1">
      <alignment vertical="center"/>
    </xf>
    <xf numFmtId="2" fontId="81" fillId="0" borderId="38" xfId="0" applyNumberFormat="1" applyFont="1" applyFill="1" applyBorder="1" applyAlignment="1">
      <alignment vertical="center"/>
    </xf>
    <xf numFmtId="0" fontId="16" fillId="0" borderId="169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/>
    </xf>
    <xf numFmtId="0" fontId="177" fillId="0" borderId="169" xfId="0" applyFont="1" applyFill="1" applyBorder="1" applyAlignment="1">
      <alignment vertical="center"/>
    </xf>
    <xf numFmtId="0" fontId="81" fillId="0" borderId="257" xfId="0" applyFont="1" applyFill="1" applyBorder="1" applyAlignment="1">
      <alignment horizontal="center" vertical="center"/>
    </xf>
    <xf numFmtId="2" fontId="16" fillId="0" borderId="257" xfId="0" applyNumberFormat="1" applyFont="1" applyFill="1" applyBorder="1" applyAlignment="1">
      <alignment vertical="center"/>
    </xf>
    <xf numFmtId="0" fontId="144" fillId="0" borderId="169" xfId="0" applyFont="1" applyFill="1" applyBorder="1" applyAlignment="1">
      <alignment vertical="center"/>
    </xf>
    <xf numFmtId="0" fontId="82" fillId="0" borderId="257" xfId="0" applyFont="1" applyFill="1" applyBorder="1" applyAlignment="1">
      <alignment horizontal="center" vertical="center"/>
    </xf>
    <xf numFmtId="0" fontId="81" fillId="0" borderId="37" xfId="0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vertical="center"/>
    </xf>
    <xf numFmtId="2" fontId="81" fillId="0" borderId="170" xfId="0" applyNumberFormat="1" applyFont="1" applyFill="1" applyBorder="1" applyAlignment="1">
      <alignment vertical="center"/>
    </xf>
    <xf numFmtId="49" fontId="82" fillId="0" borderId="169" xfId="0" applyNumberFormat="1" applyFont="1" applyFill="1" applyBorder="1" applyAlignment="1">
      <alignment vertical="center"/>
    </xf>
    <xf numFmtId="2" fontId="82" fillId="0" borderId="257" xfId="0" applyNumberFormat="1" applyFont="1" applyFill="1" applyBorder="1" applyAlignment="1">
      <alignment vertical="center"/>
    </xf>
    <xf numFmtId="2" fontId="82" fillId="0" borderId="170" xfId="0" applyNumberFormat="1" applyFont="1" applyFill="1" applyBorder="1" applyAlignment="1">
      <alignment vertical="center"/>
    </xf>
    <xf numFmtId="0" fontId="81" fillId="0" borderId="169" xfId="0" applyFont="1" applyFill="1" applyBorder="1" applyAlignment="1">
      <alignment vertical="center"/>
    </xf>
    <xf numFmtId="0" fontId="144" fillId="0" borderId="37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 wrapText="1"/>
    </xf>
    <xf numFmtId="0" fontId="16" fillId="0" borderId="277" xfId="0" applyFont="1" applyFill="1" applyBorder="1" applyAlignment="1">
      <alignment vertical="center"/>
    </xf>
    <xf numFmtId="0" fontId="81" fillId="0" borderId="259" xfId="0" applyFont="1" applyFill="1" applyBorder="1" applyAlignment="1">
      <alignment horizontal="center" vertical="center"/>
    </xf>
    <xf numFmtId="2" fontId="16" fillId="0" borderId="259" xfId="0" applyNumberFormat="1" applyFont="1" applyFill="1" applyBorder="1" applyAlignment="1">
      <alignment vertical="center"/>
    </xf>
    <xf numFmtId="2" fontId="16" fillId="0" borderId="278" xfId="0" applyNumberFormat="1" applyFont="1" applyFill="1" applyBorder="1" applyAlignment="1">
      <alignment vertical="center"/>
    </xf>
    <xf numFmtId="0" fontId="81" fillId="0" borderId="37" xfId="0" applyFont="1" applyFill="1" applyBorder="1" applyAlignment="1">
      <alignment vertical="center" wrapText="1"/>
    </xf>
    <xf numFmtId="0" fontId="81" fillId="0" borderId="169" xfId="0" applyFont="1" applyFill="1" applyBorder="1" applyAlignment="1">
      <alignment vertical="center" wrapText="1"/>
    </xf>
    <xf numFmtId="0" fontId="81" fillId="0" borderId="277" xfId="0" applyFont="1" applyFill="1" applyBorder="1" applyAlignment="1">
      <alignment vertical="center" wrapText="1"/>
    </xf>
    <xf numFmtId="2" fontId="81" fillId="0" borderId="259" xfId="0" applyNumberFormat="1" applyFont="1" applyFill="1" applyBorder="1" applyAlignment="1">
      <alignment vertical="center"/>
    </xf>
    <xf numFmtId="2" fontId="81" fillId="0" borderId="278" xfId="0" applyNumberFormat="1" applyFont="1" applyFill="1" applyBorder="1" applyAlignment="1">
      <alignment vertical="center"/>
    </xf>
    <xf numFmtId="0" fontId="2" fillId="0" borderId="0" xfId="151"/>
    <xf numFmtId="0" fontId="106" fillId="0" borderId="0" xfId="151" applyFont="1"/>
    <xf numFmtId="0" fontId="48" fillId="0" borderId="16" xfId="151" applyFont="1" applyBorder="1" applyAlignment="1">
      <alignment horizontal="center" vertical="center"/>
    </xf>
    <xf numFmtId="0" fontId="48" fillId="0" borderId="17" xfId="151" applyFont="1" applyBorder="1" applyAlignment="1">
      <alignment horizontal="center" vertical="center"/>
    </xf>
    <xf numFmtId="0" fontId="51" fillId="57" borderId="17" xfId="151" applyFont="1" applyFill="1" applyBorder="1" applyAlignment="1">
      <alignment horizontal="center" vertical="center"/>
    </xf>
    <xf numFmtId="0" fontId="51" fillId="57" borderId="18" xfId="151" applyFont="1" applyFill="1" applyBorder="1" applyAlignment="1">
      <alignment horizontal="center" vertical="center"/>
    </xf>
    <xf numFmtId="0" fontId="51" fillId="0" borderId="169" xfId="151" applyFont="1" applyBorder="1" applyAlignment="1">
      <alignment vertical="center" wrapText="1"/>
    </xf>
    <xf numFmtId="2" fontId="51" fillId="0" borderId="257" xfId="151" applyNumberFormat="1" applyFont="1" applyBorder="1" applyAlignment="1">
      <alignment horizontal="center" vertical="center"/>
    </xf>
    <xf numFmtId="2" fontId="51" fillId="57" borderId="257" xfId="151" applyNumberFormat="1" applyFont="1" applyFill="1" applyBorder="1" applyAlignment="1">
      <alignment horizontal="center" vertical="center"/>
    </xf>
    <xf numFmtId="2" fontId="51" fillId="57" borderId="170" xfId="151" applyNumberFormat="1" applyFont="1" applyFill="1" applyBorder="1" applyAlignment="1">
      <alignment horizontal="center" vertical="center"/>
    </xf>
    <xf numFmtId="0" fontId="52" fillId="0" borderId="169" xfId="151" applyFont="1" applyBorder="1" applyAlignment="1">
      <alignment vertical="center" wrapText="1"/>
    </xf>
    <xf numFmtId="2" fontId="52" fillId="0" borderId="257" xfId="151" applyNumberFormat="1" applyFont="1" applyBorder="1" applyAlignment="1">
      <alignment horizontal="center" vertical="center"/>
    </xf>
    <xf numFmtId="2" fontId="52" fillId="57" borderId="257" xfId="151" applyNumberFormat="1" applyFont="1" applyFill="1" applyBorder="1" applyAlignment="1">
      <alignment horizontal="center" vertical="center"/>
    </xf>
    <xf numFmtId="2" fontId="52" fillId="57" borderId="170" xfId="151" applyNumberFormat="1" applyFont="1" applyFill="1" applyBorder="1" applyAlignment="1">
      <alignment horizontal="center" vertical="center"/>
    </xf>
    <xf numFmtId="2" fontId="49" fillId="0" borderId="257" xfId="151" applyNumberFormat="1" applyFont="1" applyBorder="1" applyAlignment="1">
      <alignment horizontal="center" vertical="center"/>
    </xf>
    <xf numFmtId="2" fontId="49" fillId="57" borderId="257" xfId="151" applyNumberFormat="1" applyFont="1" applyFill="1" applyBorder="1" applyAlignment="1">
      <alignment horizontal="center" vertical="center"/>
    </xf>
    <xf numFmtId="2" fontId="49" fillId="57" borderId="170" xfId="151" applyNumberFormat="1" applyFont="1" applyFill="1" applyBorder="1" applyAlignment="1">
      <alignment horizontal="center" vertical="center"/>
    </xf>
    <xf numFmtId="2" fontId="51" fillId="57" borderId="259" xfId="151" applyNumberFormat="1" applyFont="1" applyFill="1" applyBorder="1" applyAlignment="1">
      <alignment horizontal="center" vertical="center"/>
    </xf>
    <xf numFmtId="2" fontId="51" fillId="57" borderId="278" xfId="151" applyNumberFormat="1" applyFont="1" applyFill="1" applyBorder="1" applyAlignment="1">
      <alignment horizontal="center" vertical="center"/>
    </xf>
    <xf numFmtId="0" fontId="48" fillId="0" borderId="0" xfId="151" applyFont="1"/>
    <xf numFmtId="2" fontId="48" fillId="0" borderId="0" xfId="151" applyNumberFormat="1" applyFont="1" applyBorder="1" applyAlignment="1">
      <alignment horizontal="center"/>
    </xf>
    <xf numFmtId="0" fontId="106" fillId="0" borderId="0" xfId="151" applyFont="1" applyAlignment="1">
      <alignment horizontal="center"/>
    </xf>
    <xf numFmtId="0" fontId="106" fillId="0" borderId="257" xfId="151" applyFont="1" applyBorder="1" applyAlignment="1">
      <alignment horizontal="center" vertical="center"/>
    </xf>
    <xf numFmtId="0" fontId="106" fillId="0" borderId="257" xfId="151" applyFont="1" applyBorder="1" applyAlignment="1">
      <alignment horizontal="center" vertical="center" wrapText="1"/>
    </xf>
    <xf numFmtId="0" fontId="106" fillId="0" borderId="257" xfId="151" applyFont="1" applyBorder="1" applyAlignment="1">
      <alignment horizontal="center" wrapText="1"/>
    </xf>
    <xf numFmtId="0" fontId="106" fillId="0" borderId="257" xfId="151" applyFont="1" applyBorder="1" applyAlignment="1">
      <alignment vertical="center"/>
    </xf>
    <xf numFmtId="0" fontId="105" fillId="0" borderId="257" xfId="151" applyFont="1" applyBorder="1" applyAlignment="1">
      <alignment vertical="center"/>
    </xf>
    <xf numFmtId="0" fontId="60" fillId="0" borderId="257" xfId="0" applyFont="1" applyFill="1" applyBorder="1" applyAlignment="1">
      <alignment horizontal="center" vertical="center"/>
    </xf>
    <xf numFmtId="10" fontId="60" fillId="0" borderId="209" xfId="0" applyNumberFormat="1" applyFont="1" applyFill="1" applyBorder="1"/>
    <xf numFmtId="0" fontId="60" fillId="0" borderId="257" xfId="0" applyFont="1" applyFill="1" applyBorder="1" applyAlignment="1">
      <alignment horizontal="center" vertical="center"/>
    </xf>
    <xf numFmtId="0" fontId="60" fillId="0" borderId="169" xfId="0" applyFont="1" applyBorder="1" applyAlignment="1">
      <alignment horizontal="center" vertical="center"/>
    </xf>
    <xf numFmtId="0" fontId="17" fillId="0" borderId="257" xfId="0" applyFont="1" applyBorder="1" applyAlignment="1">
      <alignment horizontal="center" vertical="center" wrapText="1"/>
    </xf>
    <xf numFmtId="0" fontId="60" fillId="0" borderId="0" xfId="0" applyFont="1" applyAlignment="1"/>
    <xf numFmtId="0" fontId="60" fillId="0" borderId="169" xfId="0" applyFont="1" applyBorder="1" applyAlignment="1" applyProtection="1">
      <alignment vertical="center" wrapText="1"/>
    </xf>
    <xf numFmtId="0" fontId="61" fillId="0" borderId="169" xfId="0" applyFont="1" applyBorder="1" applyAlignment="1" applyProtection="1">
      <alignment vertical="center"/>
    </xf>
    <xf numFmtId="0" fontId="0" fillId="0" borderId="272" xfId="0" applyFont="1" applyBorder="1"/>
    <xf numFmtId="2" fontId="17" fillId="0" borderId="272" xfId="0" applyNumberFormat="1" applyFont="1" applyBorder="1" applyAlignment="1">
      <alignment horizontal="center"/>
    </xf>
    <xf numFmtId="2" fontId="17" fillId="0" borderId="272" xfId="0" applyNumberFormat="1" applyFont="1" applyFill="1" applyBorder="1"/>
    <xf numFmtId="2" fontId="17" fillId="0" borderId="279" xfId="0" applyNumberFormat="1" applyFont="1" applyFill="1" applyBorder="1"/>
    <xf numFmtId="0" fontId="60" fillId="0" borderId="169" xfId="0" applyFont="1" applyFill="1" applyBorder="1" applyAlignment="1">
      <alignment vertical="center" wrapText="1"/>
    </xf>
    <xf numFmtId="2" fontId="17" fillId="0" borderId="272" xfId="0" applyNumberFormat="1" applyFont="1" applyFill="1" applyBorder="1" applyAlignment="1">
      <alignment horizontal="center"/>
    </xf>
    <xf numFmtId="0" fontId="0" fillId="29" borderId="210" xfId="0" applyFont="1" applyFill="1" applyBorder="1"/>
    <xf numFmtId="0" fontId="60" fillId="0" borderId="209" xfId="0" applyFont="1" applyFill="1" applyBorder="1" applyAlignment="1">
      <alignment horizontal="center" vertical="center" wrapText="1"/>
    </xf>
    <xf numFmtId="178" fontId="17" fillId="0" borderId="257" xfId="0" applyNumberFormat="1" applyFont="1" applyFill="1" applyBorder="1" applyAlignment="1" applyProtection="1">
      <alignment vertical="center"/>
    </xf>
    <xf numFmtId="4" fontId="60" fillId="0" borderId="257" xfId="0" applyNumberFormat="1" applyFont="1" applyFill="1" applyBorder="1" applyAlignment="1" applyProtection="1">
      <alignment vertical="center"/>
    </xf>
    <xf numFmtId="4" fontId="88" fillId="0" borderId="257" xfId="0" applyNumberFormat="1" applyFont="1" applyFill="1" applyBorder="1" applyAlignment="1" applyProtection="1">
      <alignment vertical="center"/>
    </xf>
    <xf numFmtId="4" fontId="88" fillId="0" borderId="257" xfId="0" applyNumberFormat="1" applyFont="1" applyFill="1" applyBorder="1" applyAlignment="1">
      <alignment vertical="center"/>
    </xf>
    <xf numFmtId="0" fontId="12" fillId="0" borderId="210" xfId="0" applyFont="1" applyFill="1" applyBorder="1" applyAlignment="1">
      <alignment horizontal="center" vertical="center" wrapText="1"/>
    </xf>
    <xf numFmtId="0" fontId="13" fillId="29" borderId="210" xfId="0" applyFont="1" applyFill="1" applyBorder="1"/>
    <xf numFmtId="0" fontId="60" fillId="0" borderId="210" xfId="0" applyFont="1" applyFill="1" applyBorder="1" applyAlignment="1">
      <alignment horizontal="center" vertical="center" wrapText="1"/>
    </xf>
    <xf numFmtId="0" fontId="17" fillId="29" borderId="171" xfId="0" applyFont="1" applyFill="1" applyBorder="1" applyAlignment="1">
      <alignment horizontal="left"/>
    </xf>
    <xf numFmtId="0" fontId="0" fillId="29" borderId="183" xfId="0" applyFont="1" applyFill="1" applyBorder="1"/>
    <xf numFmtId="0" fontId="17" fillId="0" borderId="169" xfId="0" applyFont="1" applyFill="1" applyBorder="1" applyAlignment="1">
      <alignment vertical="center"/>
    </xf>
    <xf numFmtId="0" fontId="17" fillId="57" borderId="170" xfId="0" applyFont="1" applyFill="1" applyBorder="1" applyAlignment="1">
      <alignment horizontal="center" vertical="center" wrapText="1"/>
    </xf>
    <xf numFmtId="178" fontId="17" fillId="0" borderId="170" xfId="0" applyNumberFormat="1" applyFont="1" applyFill="1" applyBorder="1" applyAlignment="1" applyProtection="1">
      <alignment vertical="center"/>
    </xf>
    <xf numFmtId="178" fontId="60" fillId="0" borderId="257" xfId="0" applyNumberFormat="1" applyFont="1" applyFill="1" applyBorder="1" applyAlignment="1" applyProtection="1">
      <alignment vertical="center"/>
    </xf>
    <xf numFmtId="4" fontId="60" fillId="57" borderId="257" xfId="0" applyNumberFormat="1" applyFont="1" applyFill="1" applyBorder="1" applyAlignment="1">
      <alignment vertical="center"/>
    </xf>
    <xf numFmtId="4" fontId="60" fillId="57" borderId="170" xfId="0" applyNumberFormat="1" applyFont="1" applyFill="1" applyBorder="1" applyAlignment="1">
      <alignment vertical="center"/>
    </xf>
    <xf numFmtId="4" fontId="17" fillId="0" borderId="257" xfId="0" applyNumberFormat="1" applyFont="1" applyFill="1" applyBorder="1" applyAlignment="1" applyProtection="1">
      <alignment vertical="center"/>
    </xf>
    <xf numFmtId="4" fontId="17" fillId="57" borderId="257" xfId="0" applyNumberFormat="1" applyFont="1" applyFill="1" applyBorder="1" applyAlignment="1">
      <alignment vertical="center"/>
    </xf>
    <xf numFmtId="4" fontId="17" fillId="57" borderId="170" xfId="0" applyNumberFormat="1" applyFont="1" applyFill="1" applyBorder="1" applyAlignment="1">
      <alignment vertical="center"/>
    </xf>
    <xf numFmtId="4" fontId="17" fillId="0" borderId="257" xfId="0" applyNumberFormat="1" applyFont="1" applyFill="1" applyBorder="1" applyAlignment="1">
      <alignment vertical="center"/>
    </xf>
    <xf numFmtId="178" fontId="60" fillId="0" borderId="257" xfId="0" applyNumberFormat="1" applyFont="1" applyFill="1" applyBorder="1" applyAlignment="1">
      <alignment vertical="center"/>
    </xf>
    <xf numFmtId="178" fontId="60" fillId="0" borderId="170" xfId="0" applyNumberFormat="1" applyFont="1" applyFill="1" applyBorder="1" applyAlignment="1">
      <alignment vertical="center"/>
    </xf>
    <xf numFmtId="178" fontId="61" fillId="0" borderId="170" xfId="0" applyNumberFormat="1" applyFont="1" applyFill="1" applyBorder="1" applyAlignment="1">
      <alignment vertical="center"/>
    </xf>
    <xf numFmtId="178" fontId="17" fillId="0" borderId="257" xfId="0" applyNumberFormat="1" applyFont="1" applyFill="1" applyBorder="1"/>
    <xf numFmtId="178" fontId="17" fillId="0" borderId="257" xfId="0" applyNumberFormat="1" applyFont="1" applyFill="1" applyBorder="1" applyAlignment="1">
      <alignment vertical="center"/>
    </xf>
    <xf numFmtId="178" fontId="17" fillId="0" borderId="170" xfId="0" applyNumberFormat="1" applyFont="1" applyFill="1" applyBorder="1" applyAlignment="1">
      <alignment vertical="center"/>
    </xf>
    <xf numFmtId="178" fontId="17" fillId="0" borderId="170" xfId="0" applyNumberFormat="1" applyFont="1" applyFill="1" applyBorder="1"/>
    <xf numFmtId="178" fontId="80" fillId="0" borderId="257" xfId="0" applyNumberFormat="1" applyFont="1" applyFill="1" applyBorder="1" applyAlignment="1">
      <alignment vertical="center"/>
    </xf>
    <xf numFmtId="4" fontId="17" fillId="0" borderId="272" xfId="0" applyNumberFormat="1" applyFont="1" applyFill="1" applyBorder="1"/>
    <xf numFmtId="4" fontId="17" fillId="0" borderId="278" xfId="0" applyNumberFormat="1" applyFont="1" applyFill="1" applyBorder="1"/>
    <xf numFmtId="0" fontId="0" fillId="0" borderId="210" xfId="0" applyFont="1" applyFill="1" applyBorder="1"/>
    <xf numFmtId="0" fontId="17" fillId="0" borderId="170" xfId="0" applyFont="1" applyFill="1" applyBorder="1" applyAlignment="1">
      <alignment horizontal="center" vertical="center" wrapText="1"/>
    </xf>
    <xf numFmtId="0" fontId="0" fillId="0" borderId="183" xfId="0" applyFont="1" applyFill="1" applyBorder="1"/>
    <xf numFmtId="2" fontId="177" fillId="0" borderId="257" xfId="0" applyNumberFormat="1" applyFont="1" applyFill="1" applyBorder="1" applyAlignment="1">
      <alignment vertical="center"/>
    </xf>
    <xf numFmtId="2" fontId="177" fillId="0" borderId="170" xfId="0" applyNumberFormat="1" applyFont="1" applyFill="1" applyBorder="1" applyAlignment="1">
      <alignment vertical="center"/>
    </xf>
    <xf numFmtId="0" fontId="16" fillId="0" borderId="258" xfId="0" applyFont="1" applyFill="1" applyBorder="1" applyAlignment="1">
      <alignment vertical="center"/>
    </xf>
    <xf numFmtId="0" fontId="16" fillId="0" borderId="189" xfId="0" applyFont="1" applyFill="1" applyBorder="1" applyAlignment="1">
      <alignment vertical="center"/>
    </xf>
    <xf numFmtId="4" fontId="48" fillId="0" borderId="257" xfId="151" applyNumberFormat="1" applyFont="1" applyBorder="1" applyAlignment="1">
      <alignment vertical="center"/>
    </xf>
    <xf numFmtId="4" fontId="51" fillId="0" borderId="257" xfId="151" applyNumberFormat="1" applyFont="1" applyBorder="1" applyAlignment="1">
      <alignment vertical="center"/>
    </xf>
    <xf numFmtId="2" fontId="48" fillId="0" borderId="257" xfId="151" applyNumberFormat="1" applyFont="1" applyBorder="1"/>
    <xf numFmtId="4" fontId="48" fillId="0" borderId="257" xfId="151" applyNumberFormat="1" applyFont="1" applyBorder="1"/>
    <xf numFmtId="4" fontId="51" fillId="0" borderId="257" xfId="151" applyNumberFormat="1" applyFont="1" applyBorder="1"/>
    <xf numFmtId="0" fontId="60" fillId="0" borderId="257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0" fillId="0" borderId="0" xfId="0" applyFont="1" applyAlignment="1"/>
    <xf numFmtId="0" fontId="63" fillId="0" borderId="0" xfId="0" applyFont="1" applyAlignment="1"/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4" fontId="13" fillId="36" borderId="192" xfId="0" applyNumberFormat="1" applyFont="1" applyFill="1" applyBorder="1" applyAlignment="1">
      <alignment horizontal="left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55" fillId="38" borderId="192" xfId="147" applyFont="1" applyFill="1" applyBorder="1" applyAlignment="1">
      <alignment horizontal="center" vertical="center" wrapText="1"/>
    </xf>
    <xf numFmtId="4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60" fillId="38" borderId="189" xfId="0" applyFont="1" applyFill="1" applyBorder="1" applyAlignment="1">
      <alignment horizontal="center" vertical="center" wrapText="1"/>
    </xf>
    <xf numFmtId="4" fontId="60" fillId="29" borderId="272" xfId="0" applyNumberFormat="1" applyFont="1" applyFill="1" applyBorder="1" applyAlignment="1">
      <alignment horizontal="right" vertical="center"/>
    </xf>
    <xf numFmtId="4" fontId="60" fillId="0" borderId="272" xfId="0" applyNumberFormat="1" applyFont="1" applyFill="1" applyBorder="1" applyAlignment="1">
      <alignment horizontal="right" vertical="center"/>
    </xf>
    <xf numFmtId="0" fontId="17" fillId="0" borderId="37" xfId="0" applyFont="1" applyFill="1" applyBorder="1" applyAlignment="1">
      <alignment vertical="center" wrapText="1"/>
    </xf>
    <xf numFmtId="0" fontId="79" fillId="0" borderId="11" xfId="0" applyFont="1" applyFill="1" applyBorder="1" applyAlignment="1">
      <alignment vertical="center"/>
    </xf>
    <xf numFmtId="4" fontId="17" fillId="0" borderId="11" xfId="0" applyNumberFormat="1" applyFont="1" applyFill="1" applyBorder="1" applyAlignment="1">
      <alignment horizontal="right" vertical="center"/>
    </xf>
    <xf numFmtId="4" fontId="80" fillId="0" borderId="11" xfId="0" applyNumberFormat="1" applyFont="1" applyFill="1" applyBorder="1" applyAlignment="1">
      <alignment horizontal="right" vertical="center"/>
    </xf>
    <xf numFmtId="4" fontId="17" fillId="0" borderId="11" xfId="0" applyNumberFormat="1" applyFont="1" applyFill="1" applyBorder="1" applyAlignment="1">
      <alignment horizontal="center" vertical="center"/>
    </xf>
    <xf numFmtId="0" fontId="79" fillId="0" borderId="257" xfId="0" applyFont="1" applyFill="1" applyBorder="1" applyAlignment="1">
      <alignment vertical="center"/>
    </xf>
    <xf numFmtId="4" fontId="60" fillId="0" borderId="257" xfId="0" applyNumberFormat="1" applyFont="1" applyFill="1" applyBorder="1" applyAlignment="1">
      <alignment horizontal="right" vertical="center"/>
    </xf>
    <xf numFmtId="4" fontId="61" fillId="0" borderId="257" xfId="0" applyNumberFormat="1" applyFont="1" applyFill="1" applyBorder="1" applyAlignment="1">
      <alignment horizontal="right" vertical="center"/>
    </xf>
    <xf numFmtId="4" fontId="17" fillId="0" borderId="257" xfId="0" applyNumberFormat="1" applyFont="1" applyFill="1" applyBorder="1" applyAlignment="1">
      <alignment horizontal="right" vertical="center"/>
    </xf>
    <xf numFmtId="4" fontId="60" fillId="0" borderId="257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horizontal="right" vertical="center"/>
    </xf>
    <xf numFmtId="0" fontId="61" fillId="0" borderId="257" xfId="0" applyFont="1" applyFill="1" applyBorder="1" applyAlignment="1">
      <alignment vertical="center"/>
    </xf>
    <xf numFmtId="10" fontId="61" fillId="0" borderId="257" xfId="85" applyNumberFormat="1" applyFont="1" applyFill="1" applyBorder="1" applyAlignment="1">
      <alignment horizontal="right" vertical="center"/>
    </xf>
    <xf numFmtId="0" fontId="61" fillId="0" borderId="257" xfId="0" applyFont="1" applyFill="1" applyBorder="1" applyAlignment="1">
      <alignment horizontal="right" vertical="center"/>
    </xf>
    <xf numFmtId="10" fontId="61" fillId="0" borderId="257" xfId="85" applyNumberFormat="1" applyFont="1" applyFill="1" applyBorder="1" applyAlignment="1">
      <alignment horizontal="center" vertical="center"/>
    </xf>
    <xf numFmtId="171" fontId="61" fillId="0" borderId="257" xfId="85" applyNumberFormat="1" applyFont="1" applyFill="1" applyBorder="1" applyAlignment="1">
      <alignment horizontal="center" vertical="center"/>
    </xf>
    <xf numFmtId="0" fontId="17" fillId="0" borderId="257" xfId="0" applyFont="1" applyFill="1" applyBorder="1" applyAlignment="1">
      <alignment vertical="center"/>
    </xf>
    <xf numFmtId="4" fontId="80" fillId="0" borderId="257" xfId="0" applyNumberFormat="1" applyFont="1" applyFill="1" applyBorder="1" applyAlignment="1">
      <alignment horizontal="right" vertical="center"/>
    </xf>
    <xf numFmtId="0" fontId="17" fillId="0" borderId="257" xfId="0" applyFont="1" applyFill="1" applyBorder="1" applyAlignment="1">
      <alignment horizontal="right" vertical="center"/>
    </xf>
    <xf numFmtId="4" fontId="61" fillId="0" borderId="257" xfId="0" applyNumberFormat="1" applyFont="1" applyFill="1" applyBorder="1" applyAlignment="1">
      <alignment horizontal="right" vertical="center" wrapText="1"/>
    </xf>
    <xf numFmtId="4" fontId="61" fillId="0" borderId="257" xfId="0" applyNumberFormat="1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center" vertical="center" wrapText="1"/>
    </xf>
    <xf numFmtId="171" fontId="61" fillId="0" borderId="257" xfId="85" applyNumberFormat="1" applyFont="1" applyFill="1" applyBorder="1" applyAlignment="1">
      <alignment horizontal="center" vertical="center" wrapText="1"/>
    </xf>
    <xf numFmtId="168" fontId="17" fillId="0" borderId="257" xfId="0" applyNumberFormat="1" applyFont="1" applyFill="1" applyBorder="1" applyAlignment="1">
      <alignment horizontal="right" vertical="center"/>
    </xf>
    <xf numFmtId="0" fontId="61" fillId="0" borderId="188" xfId="0" applyFont="1" applyFill="1" applyBorder="1" applyAlignment="1">
      <alignment vertical="center" wrapText="1"/>
    </xf>
    <xf numFmtId="0" fontId="60" fillId="0" borderId="258" xfId="0" applyFont="1" applyFill="1" applyBorder="1" applyAlignment="1">
      <alignment vertical="center"/>
    </xf>
    <xf numFmtId="4" fontId="60" fillId="0" borderId="258" xfId="0" applyNumberFormat="1" applyFont="1" applyFill="1" applyBorder="1" applyAlignment="1">
      <alignment horizontal="right" vertical="center"/>
    </xf>
    <xf numFmtId="0" fontId="60" fillId="0" borderId="258" xfId="0" applyFont="1" applyFill="1" applyBorder="1" applyAlignment="1">
      <alignment horizontal="right" vertical="center"/>
    </xf>
    <xf numFmtId="0" fontId="60" fillId="0" borderId="258" xfId="0" applyFont="1" applyFill="1" applyBorder="1" applyAlignment="1">
      <alignment horizontal="center" vertical="center"/>
    </xf>
    <xf numFmtId="4" fontId="60" fillId="0" borderId="258" xfId="0" applyNumberFormat="1" applyFont="1" applyFill="1" applyBorder="1" applyAlignment="1">
      <alignment horizontal="center" vertical="center"/>
    </xf>
    <xf numFmtId="178" fontId="60" fillId="0" borderId="258" xfId="0" applyNumberFormat="1" applyFont="1" applyFill="1" applyBorder="1" applyAlignment="1">
      <alignment horizontal="center" vertical="center"/>
    </xf>
    <xf numFmtId="4" fontId="61" fillId="0" borderId="258" xfId="0" applyNumberFormat="1" applyFont="1" applyFill="1" applyBorder="1" applyAlignment="1">
      <alignment horizontal="center" vertical="center"/>
    </xf>
    <xf numFmtId="4" fontId="61" fillId="0" borderId="258" xfId="0" applyNumberFormat="1" applyFont="1" applyFill="1" applyBorder="1" applyAlignment="1">
      <alignment horizontal="right" vertical="center"/>
    </xf>
    <xf numFmtId="0" fontId="127" fillId="0" borderId="37" xfId="0" applyFont="1" applyFill="1" applyBorder="1" applyAlignment="1">
      <alignment horizontal="center" vertical="center" wrapText="1"/>
    </xf>
    <xf numFmtId="0" fontId="127" fillId="0" borderId="11" xfId="0" applyFont="1" applyFill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 wrapText="1"/>
    </xf>
    <xf numFmtId="168" fontId="60" fillId="0" borderId="257" xfId="0" applyNumberFormat="1" applyFont="1" applyFill="1" applyBorder="1" applyAlignment="1">
      <alignment horizontal="center" vertical="center"/>
    </xf>
    <xf numFmtId="0" fontId="60" fillId="0" borderId="277" xfId="0" applyFont="1" applyFill="1" applyBorder="1" applyAlignment="1">
      <alignment vertical="center" wrapText="1"/>
    </xf>
    <xf numFmtId="0" fontId="60" fillId="0" borderId="272" xfId="0" applyFont="1" applyFill="1" applyBorder="1" applyAlignment="1">
      <alignment vertical="center"/>
    </xf>
    <xf numFmtId="4" fontId="61" fillId="0" borderId="272" xfId="0" applyNumberFormat="1" applyFont="1" applyFill="1" applyBorder="1" applyAlignment="1">
      <alignment horizontal="right" vertical="center"/>
    </xf>
    <xf numFmtId="0" fontId="60" fillId="0" borderId="272" xfId="0" applyFont="1" applyFill="1" applyBorder="1" applyAlignment="1">
      <alignment horizontal="right" vertical="center"/>
    </xf>
    <xf numFmtId="168" fontId="60" fillId="0" borderId="272" xfId="0" applyNumberFormat="1" applyFont="1" applyFill="1" applyBorder="1" applyAlignment="1">
      <alignment horizontal="center" vertical="center"/>
    </xf>
    <xf numFmtId="4" fontId="60" fillId="0" borderId="272" xfId="0" applyNumberFormat="1" applyFont="1" applyFill="1" applyBorder="1" applyAlignment="1">
      <alignment horizontal="center" vertical="center"/>
    </xf>
    <xf numFmtId="0" fontId="60" fillId="0" borderId="272" xfId="0" applyFont="1" applyFill="1" applyBorder="1" applyAlignment="1">
      <alignment horizontal="center" vertical="center"/>
    </xf>
    <xf numFmtId="178" fontId="168" fillId="0" borderId="257" xfId="0" applyNumberFormat="1" applyFont="1" applyFill="1" applyBorder="1" applyAlignment="1">
      <alignment horizontal="center" vertical="center"/>
    </xf>
    <xf numFmtId="178" fontId="168" fillId="0" borderId="170" xfId="0" applyNumberFormat="1" applyFont="1" applyFill="1" applyBorder="1" applyAlignment="1">
      <alignment horizontal="center" vertical="center"/>
    </xf>
    <xf numFmtId="178" fontId="167" fillId="0" borderId="257" xfId="0" applyNumberFormat="1" applyFont="1" applyFill="1" applyBorder="1" applyAlignment="1">
      <alignment horizontal="center" vertical="center"/>
    </xf>
    <xf numFmtId="178" fontId="167" fillId="0" borderId="170" xfId="0" applyNumberFormat="1" applyFont="1" applyFill="1" applyBorder="1" applyAlignment="1">
      <alignment horizontal="center" vertical="center"/>
    </xf>
    <xf numFmtId="178" fontId="180" fillId="0" borderId="257" xfId="85" applyNumberFormat="1" applyFont="1" applyFill="1" applyBorder="1" applyAlignment="1">
      <alignment horizontal="center" vertical="center"/>
    </xf>
    <xf numFmtId="178" fontId="180" fillId="0" borderId="170" xfId="85" applyNumberFormat="1" applyFont="1" applyFill="1" applyBorder="1" applyAlignment="1">
      <alignment horizontal="center" vertical="center"/>
    </xf>
    <xf numFmtId="178" fontId="181" fillId="0" borderId="257" xfId="0" applyNumberFormat="1" applyFont="1" applyFill="1" applyBorder="1" applyAlignment="1">
      <alignment horizontal="center" vertical="center" wrapText="1"/>
    </xf>
    <xf numFmtId="178" fontId="180" fillId="0" borderId="257" xfId="0" applyNumberFormat="1" applyFont="1" applyFill="1" applyBorder="1" applyAlignment="1">
      <alignment horizontal="center" vertical="center"/>
    </xf>
    <xf numFmtId="178" fontId="180" fillId="0" borderId="170" xfId="0" applyNumberFormat="1" applyFont="1" applyFill="1" applyBorder="1" applyAlignment="1">
      <alignment horizontal="center" vertical="center"/>
    </xf>
    <xf numFmtId="178" fontId="180" fillId="0" borderId="258" xfId="0" applyNumberFormat="1" applyFont="1" applyFill="1" applyBorder="1" applyAlignment="1">
      <alignment horizontal="center" vertical="center"/>
    </xf>
    <xf numFmtId="178" fontId="180" fillId="0" borderId="189" xfId="0" applyNumberFormat="1" applyFont="1" applyFill="1" applyBorder="1" applyAlignment="1">
      <alignment horizontal="center" vertical="center"/>
    </xf>
    <xf numFmtId="168" fontId="168" fillId="0" borderId="257" xfId="0" applyNumberFormat="1" applyFont="1" applyFill="1" applyBorder="1" applyAlignment="1">
      <alignment horizontal="center" vertical="center"/>
    </xf>
    <xf numFmtId="168" fontId="168" fillId="0" borderId="170" xfId="0" applyNumberFormat="1" applyFont="1" applyFill="1" applyBorder="1" applyAlignment="1">
      <alignment horizontal="center" vertical="center"/>
    </xf>
    <xf numFmtId="4" fontId="167" fillId="0" borderId="272" xfId="0" applyNumberFormat="1" applyFont="1" applyFill="1" applyBorder="1" applyAlignment="1">
      <alignment horizontal="right" vertical="center"/>
    </xf>
    <xf numFmtId="4" fontId="167" fillId="0" borderId="278" xfId="0" applyNumberFormat="1" applyFont="1" applyFill="1" applyBorder="1" applyAlignment="1">
      <alignment horizontal="right" vertical="center"/>
    </xf>
    <xf numFmtId="4" fontId="92" fillId="0" borderId="192" xfId="0" applyNumberFormat="1" applyFont="1" applyFill="1" applyBorder="1" applyAlignment="1">
      <alignment horizontal="center" vertical="center"/>
    </xf>
    <xf numFmtId="178" fontId="92" fillId="0" borderId="192" xfId="0" applyNumberFormat="1" applyFont="1" applyFill="1" applyBorder="1" applyAlignment="1">
      <alignment horizontal="center" vertical="center"/>
    </xf>
    <xf numFmtId="4" fontId="165" fillId="0" borderId="192" xfId="0" applyNumberFormat="1" applyFont="1" applyFill="1" applyBorder="1" applyAlignment="1">
      <alignment horizontal="center" vertical="center"/>
    </xf>
    <xf numFmtId="166" fontId="92" fillId="0" borderId="192" xfId="0" applyNumberFormat="1" applyFont="1" applyFill="1" applyBorder="1" applyAlignment="1">
      <alignment horizontal="center" vertical="center"/>
    </xf>
    <xf numFmtId="166" fontId="13" fillId="0" borderId="192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wrapText="1"/>
    </xf>
    <xf numFmtId="0" fontId="13" fillId="0" borderId="192" xfId="0" applyFont="1" applyFill="1" applyBorder="1" applyAlignment="1">
      <alignment vertical="center" wrapText="1"/>
    </xf>
    <xf numFmtId="0" fontId="12" fillId="0" borderId="192" xfId="0" applyFont="1" applyFill="1" applyBorder="1" applyAlignment="1">
      <alignment wrapText="1"/>
    </xf>
    <xf numFmtId="0" fontId="12" fillId="0" borderId="192" xfId="0" applyFont="1" applyFill="1" applyBorder="1" applyAlignment="1">
      <alignment horizontal="left" wrapText="1"/>
    </xf>
    <xf numFmtId="0" fontId="13" fillId="0" borderId="192" xfId="0" applyFont="1" applyFill="1" applyBorder="1" applyAlignment="1">
      <alignment horizontal="right" wrapText="1"/>
    </xf>
    <xf numFmtId="0" fontId="12" fillId="0" borderId="0" xfId="0" applyFont="1" applyFill="1"/>
    <xf numFmtId="4" fontId="92" fillId="0" borderId="192" xfId="0" applyNumberFormat="1" applyFont="1" applyFill="1" applyBorder="1"/>
    <xf numFmtId="166" fontId="13" fillId="29" borderId="192" xfId="0" applyNumberFormat="1" applyFont="1" applyFill="1" applyBorder="1" applyAlignment="1">
      <alignment horizontal="center" vertical="center"/>
    </xf>
    <xf numFmtId="0" fontId="58" fillId="0" borderId="0" xfId="0" applyFont="1" applyAlignment="1"/>
    <xf numFmtId="0" fontId="58" fillId="0" borderId="0" xfId="0" applyFont="1" applyAlignment="1">
      <alignment horizontal="center" vertical="center"/>
    </xf>
    <xf numFmtId="166" fontId="92" fillId="0" borderId="192" xfId="0" applyNumberFormat="1" applyFont="1" applyFill="1" applyBorder="1"/>
    <xf numFmtId="166" fontId="13" fillId="0" borderId="192" xfId="0" applyNumberFormat="1" applyFont="1" applyFill="1" applyBorder="1"/>
    <xf numFmtId="4" fontId="13" fillId="0" borderId="192" xfId="0" applyNumberFormat="1" applyFont="1" applyFill="1" applyBorder="1" applyAlignment="1"/>
    <xf numFmtId="166" fontId="13" fillId="29" borderId="192" xfId="0" applyNumberFormat="1" applyFont="1" applyFill="1" applyBorder="1"/>
    <xf numFmtId="0" fontId="13" fillId="0" borderId="0" xfId="0" applyFont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3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60" fillId="0" borderId="37" xfId="0" applyFont="1" applyFill="1" applyBorder="1" applyAlignment="1">
      <alignment horizontal="left" vertical="center"/>
    </xf>
    <xf numFmtId="4" fontId="165" fillId="0" borderId="192" xfId="0" applyNumberFormat="1" applyFont="1" applyFill="1" applyBorder="1" applyAlignment="1">
      <alignment vertical="center"/>
    </xf>
    <xf numFmtId="169" fontId="14" fillId="0" borderId="192" xfId="0" applyNumberFormat="1" applyFont="1" applyFill="1" applyBorder="1" applyAlignment="1">
      <alignment horizontal="center" vertical="center"/>
    </xf>
    <xf numFmtId="4" fontId="13" fillId="0" borderId="192" xfId="85" applyNumberFormat="1" applyFont="1" applyFill="1" applyBorder="1" applyAlignment="1">
      <alignment horizontal="center" vertical="center"/>
    </xf>
    <xf numFmtId="2" fontId="13" fillId="0" borderId="193" xfId="85" applyNumberFormat="1" applyFont="1" applyFill="1" applyBorder="1" applyAlignment="1">
      <alignment horizontal="center" vertical="center"/>
    </xf>
    <xf numFmtId="4" fontId="13" fillId="0" borderId="193" xfId="85" applyNumberFormat="1" applyFont="1" applyFill="1" applyBorder="1" applyAlignment="1">
      <alignment horizontal="center" vertical="center"/>
    </xf>
    <xf numFmtId="2" fontId="13" fillId="0" borderId="192" xfId="85" applyNumberFormat="1" applyFont="1" applyFill="1" applyBorder="1" applyAlignment="1">
      <alignment horizontal="center" vertical="center"/>
    </xf>
    <xf numFmtId="4" fontId="13" fillId="0" borderId="205" xfId="85" applyNumberFormat="1" applyFont="1" applyFill="1" applyBorder="1" applyAlignment="1">
      <alignment horizontal="center" vertical="center"/>
    </xf>
    <xf numFmtId="4" fontId="13" fillId="0" borderId="213" xfId="85" applyNumberFormat="1" applyFont="1" applyFill="1" applyBorder="1" applyAlignment="1">
      <alignment horizontal="center" vertical="center"/>
    </xf>
    <xf numFmtId="2" fontId="12" fillId="0" borderId="192" xfId="0" applyNumberFormat="1" applyFont="1" applyFill="1" applyBorder="1" applyAlignment="1">
      <alignment horizontal="center" vertical="center"/>
    </xf>
    <xf numFmtId="2" fontId="12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horizontal="center" vertical="center"/>
    </xf>
    <xf numFmtId="2" fontId="12" fillId="0" borderId="192" xfId="0" applyNumberFormat="1" applyFont="1" applyFill="1" applyBorder="1" applyAlignment="1">
      <alignment vertical="center"/>
    </xf>
    <xf numFmtId="4" fontId="92" fillId="0" borderId="192" xfId="85" applyNumberFormat="1" applyFont="1" applyFill="1" applyBorder="1" applyAlignment="1">
      <alignment horizontal="center" vertical="center"/>
    </xf>
    <xf numFmtId="4" fontId="92" fillId="0" borderId="205" xfId="85" applyNumberFormat="1" applyFont="1" applyFill="1" applyBorder="1" applyAlignment="1">
      <alignment horizontal="center" vertical="center"/>
    </xf>
    <xf numFmtId="4" fontId="13" fillId="0" borderId="193" xfId="0" applyNumberFormat="1" applyFont="1" applyFill="1" applyBorder="1"/>
    <xf numFmtId="4" fontId="12" fillId="0" borderId="192" xfId="0" applyNumberFormat="1" applyFont="1" applyFill="1" applyBorder="1"/>
    <xf numFmtId="178" fontId="12" fillId="0" borderId="192" xfId="0" applyNumberFormat="1" applyFont="1" applyFill="1" applyBorder="1" applyAlignment="1">
      <alignment horizontal="center" vertical="center"/>
    </xf>
    <xf numFmtId="168" fontId="13" fillId="0" borderId="192" xfId="0" applyNumberFormat="1" applyFont="1" applyFill="1" applyBorder="1"/>
    <xf numFmtId="2" fontId="13" fillId="0" borderId="193" xfId="0" applyNumberFormat="1" applyFont="1" applyFill="1" applyBorder="1"/>
    <xf numFmtId="4" fontId="12" fillId="0" borderId="193" xfId="0" applyNumberFormat="1" applyFont="1" applyFill="1" applyBorder="1"/>
    <xf numFmtId="0" fontId="92" fillId="0" borderId="192" xfId="0" applyFont="1" applyFill="1" applyBorder="1"/>
    <xf numFmtId="4" fontId="165" fillId="0" borderId="192" xfId="0" applyNumberFormat="1" applyFont="1" applyFill="1" applyBorder="1"/>
    <xf numFmtId="178" fontId="165" fillId="0" borderId="192" xfId="0" applyNumberFormat="1" applyFont="1" applyFill="1" applyBorder="1" applyAlignment="1">
      <alignment horizontal="center" vertical="center"/>
    </xf>
    <xf numFmtId="168" fontId="92" fillId="0" borderId="192" xfId="0" applyNumberFormat="1" applyFont="1" applyFill="1" applyBorder="1"/>
    <xf numFmtId="2" fontId="92" fillId="0" borderId="192" xfId="0" applyNumberFormat="1" applyFont="1" applyFill="1" applyBorder="1"/>
    <xf numFmtId="168" fontId="13" fillId="29" borderId="192" xfId="0" applyNumberFormat="1" applyFont="1" applyFill="1" applyBorder="1" applyAlignment="1">
      <alignment vertical="center"/>
    </xf>
    <xf numFmtId="2" fontId="13" fillId="29" borderId="193" xfId="0" applyNumberFormat="1" applyFont="1" applyFill="1" applyBorder="1"/>
    <xf numFmtId="0" fontId="12" fillId="0" borderId="206" xfId="0" applyFont="1" applyFill="1" applyBorder="1" applyAlignment="1">
      <alignment horizontal="center" vertical="center"/>
    </xf>
    <xf numFmtId="4" fontId="12" fillId="0" borderId="193" xfId="0" applyNumberFormat="1" applyFont="1" applyFill="1" applyBorder="1" applyAlignment="1">
      <alignment horizontal="center" vertical="center"/>
    </xf>
    <xf numFmtId="0" fontId="13" fillId="0" borderId="193" xfId="0" applyFont="1" applyFill="1" applyBorder="1"/>
    <xf numFmtId="0" fontId="13" fillId="0" borderId="192" xfId="0" applyFont="1" applyFill="1" applyBorder="1" applyAlignment="1">
      <alignment horizontal="right"/>
    </xf>
    <xf numFmtId="167" fontId="13" fillId="0" borderId="192" xfId="0" applyNumberFormat="1" applyFont="1" applyFill="1" applyBorder="1"/>
    <xf numFmtId="169" fontId="13" fillId="0" borderId="192" xfId="0" applyNumberFormat="1" applyFont="1" applyFill="1" applyBorder="1"/>
    <xf numFmtId="4" fontId="13" fillId="0" borderId="193" xfId="0" applyNumberFormat="1" applyFont="1" applyFill="1" applyBorder="1" applyAlignment="1">
      <alignment vertical="center"/>
    </xf>
    <xf numFmtId="2" fontId="13" fillId="0" borderId="193" xfId="0" applyNumberFormat="1" applyFont="1" applyFill="1" applyBorder="1" applyAlignment="1">
      <alignment vertical="center"/>
    </xf>
    <xf numFmtId="2" fontId="13" fillId="0" borderId="192" xfId="0" applyNumberFormat="1" applyFont="1" applyFill="1" applyBorder="1" applyAlignment="1">
      <alignment vertical="center"/>
    </xf>
    <xf numFmtId="178" fontId="12" fillId="0" borderId="193" xfId="0" applyNumberFormat="1" applyFont="1" applyFill="1" applyBorder="1" applyAlignment="1">
      <alignment horizontal="center" vertical="center"/>
    </xf>
    <xf numFmtId="168" fontId="13" fillId="0" borderId="193" xfId="0" applyNumberFormat="1" applyFont="1" applyFill="1" applyBorder="1"/>
    <xf numFmtId="0" fontId="12" fillId="0" borderId="0" xfId="0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2" fontId="183" fillId="0" borderId="192" xfId="89" applyNumberFormat="1" applyFont="1" applyFill="1" applyBorder="1" applyAlignment="1">
      <alignment horizontal="center" vertical="center"/>
    </xf>
    <xf numFmtId="3" fontId="92" fillId="0" borderId="192" xfId="0" applyNumberFormat="1" applyFont="1" applyFill="1" applyBorder="1" applyAlignment="1">
      <alignment vertical="center"/>
    </xf>
    <xf numFmtId="0" fontId="58" fillId="0" borderId="0" xfId="0" applyFont="1" applyAlignment="1">
      <alignment horizontal="left" wrapText="1"/>
    </xf>
    <xf numFmtId="0" fontId="17" fillId="0" borderId="60" xfId="0" applyFont="1" applyFill="1" applyBorder="1" applyAlignment="1">
      <alignment horizontal="center" vertical="center" wrapText="1"/>
    </xf>
    <xf numFmtId="0" fontId="60" fillId="0" borderId="39" xfId="0" applyFont="1" applyFill="1" applyBorder="1" applyAlignment="1">
      <alignment horizontal="center" vertical="center" wrapText="1"/>
    </xf>
    <xf numFmtId="0" fontId="60" fillId="0" borderId="22" xfId="0" applyFont="1" applyFill="1" applyBorder="1" applyAlignment="1">
      <alignment horizontal="center" vertical="center" wrapText="1"/>
    </xf>
    <xf numFmtId="0" fontId="60" fillId="0" borderId="29" xfId="0" applyFont="1" applyFill="1" applyBorder="1" applyAlignment="1">
      <alignment horizontal="center" vertical="center" wrapText="1"/>
    </xf>
    <xf numFmtId="0" fontId="60" fillId="0" borderId="21" xfId="0" applyFont="1" applyFill="1" applyBorder="1" applyAlignment="1">
      <alignment horizontal="center" vertical="center" wrapText="1"/>
    </xf>
    <xf numFmtId="0" fontId="60" fillId="0" borderId="65" xfId="0" applyFont="1" applyFill="1" applyBorder="1" applyAlignment="1">
      <alignment horizontal="center" vertical="center" wrapText="1"/>
    </xf>
    <xf numFmtId="0" fontId="60" fillId="0" borderId="38" xfId="0" applyFont="1" applyFill="1" applyBorder="1"/>
    <xf numFmtId="0" fontId="60" fillId="0" borderId="31" xfId="0" applyFont="1" applyFill="1" applyBorder="1"/>
    <xf numFmtId="0" fontId="60" fillId="0" borderId="11" xfId="0" applyFont="1" applyFill="1" applyBorder="1"/>
    <xf numFmtId="0" fontId="60" fillId="0" borderId="37" xfId="0" applyFont="1" applyFill="1" applyBorder="1"/>
    <xf numFmtId="0" fontId="60" fillId="0" borderId="16" xfId="0" applyFont="1" applyFill="1" applyBorder="1"/>
    <xf numFmtId="0" fontId="60" fillId="0" borderId="17" xfId="0" applyFont="1" applyFill="1" applyBorder="1"/>
    <xf numFmtId="0" fontId="60" fillId="0" borderId="30" xfId="0" applyFont="1" applyFill="1" applyBorder="1" applyAlignment="1">
      <alignment horizontal="center" vertical="center"/>
    </xf>
    <xf numFmtId="0" fontId="60" fillId="0" borderId="34" xfId="0" applyFont="1" applyFill="1" applyBorder="1"/>
    <xf numFmtId="0" fontId="60" fillId="0" borderId="0" xfId="0" applyFont="1" applyFill="1" applyBorder="1"/>
    <xf numFmtId="0" fontId="17" fillId="0" borderId="19" xfId="0" applyFont="1" applyFill="1" applyBorder="1" applyAlignment="1">
      <alignment horizontal="left" vertical="center"/>
    </xf>
    <xf numFmtId="0" fontId="17" fillId="0" borderId="20" xfId="0" applyFont="1" applyFill="1" applyBorder="1" applyAlignment="1">
      <alignment wrapText="1"/>
    </xf>
    <xf numFmtId="1" fontId="17" fillId="0" borderId="28" xfId="0" applyNumberFormat="1" applyFont="1" applyFill="1" applyBorder="1" applyAlignment="1">
      <alignment horizontal="right" vertical="center" indent="1"/>
    </xf>
    <xf numFmtId="3" fontId="17" fillId="0" borderId="19" xfId="0" applyNumberFormat="1" applyFont="1" applyFill="1" applyBorder="1" applyAlignment="1">
      <alignment horizontal="right" vertical="center" indent="1"/>
    </xf>
    <xf numFmtId="171" fontId="17" fillId="0" borderId="10" xfId="0" applyNumberFormat="1" applyFont="1" applyFill="1" applyBorder="1" applyAlignment="1">
      <alignment horizontal="center" vertical="center" wrapText="1"/>
    </xf>
    <xf numFmtId="170" fontId="17" fillId="0" borderId="26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>
      <alignment horizontal="center" vertical="center"/>
    </xf>
    <xf numFmtId="169" fontId="17" fillId="0" borderId="20" xfId="0" applyNumberFormat="1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169" fontId="17" fillId="0" borderId="25" xfId="0" applyNumberFormat="1" applyFont="1" applyFill="1" applyBorder="1" applyAlignment="1">
      <alignment horizontal="center" vertical="center"/>
    </xf>
    <xf numFmtId="166" fontId="60" fillId="0" borderId="12" xfId="0" applyNumberFormat="1" applyFont="1" applyFill="1" applyBorder="1"/>
    <xf numFmtId="166" fontId="60" fillId="0" borderId="0" xfId="0" applyNumberFormat="1" applyFont="1" applyFill="1" applyBorder="1"/>
    <xf numFmtId="0" fontId="60" fillId="0" borderId="19" xfId="0" applyFont="1" applyFill="1" applyBorder="1" applyAlignment="1">
      <alignment horizontal="left" vertical="center"/>
    </xf>
    <xf numFmtId="0" fontId="60" fillId="0" borderId="20" xfId="0" applyFont="1" applyFill="1" applyBorder="1"/>
    <xf numFmtId="1" fontId="60" fillId="0" borderId="28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right" vertical="center" indent="1"/>
    </xf>
    <xf numFmtId="3" fontId="60" fillId="0" borderId="19" xfId="0" applyNumberFormat="1" applyFont="1" applyFill="1" applyBorder="1" applyAlignment="1">
      <alignment horizontal="right" vertical="center" indent="1"/>
    </xf>
    <xf numFmtId="1" fontId="60" fillId="0" borderId="19" xfId="0" applyNumberFormat="1" applyFont="1" applyFill="1" applyBorder="1" applyAlignment="1">
      <alignment horizontal="right" vertical="center" indent="1"/>
    </xf>
    <xf numFmtId="1" fontId="60" fillId="0" borderId="26" xfId="0" applyNumberFormat="1" applyFont="1" applyFill="1" applyBorder="1" applyAlignment="1">
      <alignment horizontal="center" vertical="center"/>
    </xf>
    <xf numFmtId="170" fontId="60" fillId="0" borderId="26" xfId="0" applyNumberFormat="1" applyFont="1" applyFill="1" applyBorder="1" applyAlignment="1">
      <alignment horizontal="right" vertical="center"/>
    </xf>
    <xf numFmtId="169" fontId="60" fillId="0" borderId="20" xfId="0" applyNumberFormat="1" applyFont="1" applyFill="1" applyBorder="1" applyAlignment="1">
      <alignment horizontal="center" vertical="center"/>
    </xf>
    <xf numFmtId="0" fontId="60" fillId="0" borderId="28" xfId="0" applyFont="1" applyFill="1" applyBorder="1" applyAlignment="1">
      <alignment horizontal="center" vertical="center"/>
    </xf>
    <xf numFmtId="169" fontId="60" fillId="0" borderId="25" xfId="0" applyNumberFormat="1" applyFont="1" applyFill="1" applyBorder="1" applyAlignment="1">
      <alignment horizontal="center" vertical="center"/>
    </xf>
    <xf numFmtId="169" fontId="60" fillId="0" borderId="19" xfId="0" applyNumberFormat="1" applyFont="1" applyFill="1" applyBorder="1" applyAlignment="1">
      <alignment horizontal="right" vertical="center" indent="1"/>
    </xf>
    <xf numFmtId="3" fontId="60" fillId="0" borderId="26" xfId="0" applyNumberFormat="1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center"/>
    </xf>
    <xf numFmtId="0" fontId="60" fillId="0" borderId="20" xfId="0" applyFont="1" applyFill="1" applyBorder="1" applyAlignment="1">
      <alignment wrapText="1"/>
    </xf>
    <xf numFmtId="0" fontId="60" fillId="0" borderId="21" xfId="0" applyFont="1" applyFill="1" applyBorder="1" applyAlignment="1">
      <alignment horizontal="left" vertical="center"/>
    </xf>
    <xf numFmtId="0" fontId="60" fillId="0" borderId="23" xfId="0" applyFont="1" applyFill="1" applyBorder="1"/>
    <xf numFmtId="1" fontId="60" fillId="0" borderId="3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right" vertical="center" indent="1"/>
    </xf>
    <xf numFmtId="3" fontId="60" fillId="0" borderId="21" xfId="0" applyNumberFormat="1" applyFont="1" applyFill="1" applyBorder="1" applyAlignment="1">
      <alignment horizontal="right" vertical="center" indent="1"/>
    </xf>
    <xf numFmtId="1" fontId="60" fillId="0" borderId="21" xfId="0" applyNumberFormat="1" applyFont="1" applyFill="1" applyBorder="1" applyAlignment="1">
      <alignment horizontal="right" vertical="center" indent="1"/>
    </xf>
    <xf numFmtId="171" fontId="17" fillId="0" borderId="22" xfId="0" applyNumberFormat="1" applyFont="1" applyFill="1" applyBorder="1" applyAlignment="1">
      <alignment horizontal="center" vertical="center" wrapText="1"/>
    </xf>
    <xf numFmtId="3" fontId="60" fillId="0" borderId="84" xfId="0" applyNumberFormat="1" applyFont="1" applyFill="1" applyBorder="1" applyAlignment="1">
      <alignment horizontal="center" vertical="center"/>
    </xf>
    <xf numFmtId="170" fontId="60" fillId="0" borderId="84" xfId="0" applyNumberFormat="1" applyFont="1" applyFill="1" applyBorder="1" applyAlignment="1">
      <alignment horizontal="right" vertical="center"/>
    </xf>
    <xf numFmtId="169" fontId="60" fillId="0" borderId="23" xfId="0" applyNumberFormat="1" applyFont="1" applyFill="1" applyBorder="1" applyAlignment="1">
      <alignment horizontal="center" vertical="center"/>
    </xf>
    <xf numFmtId="0" fontId="60" fillId="0" borderId="39" xfId="0" applyFont="1" applyFill="1" applyBorder="1" applyAlignment="1">
      <alignment horizontal="center" vertical="center"/>
    </xf>
    <xf numFmtId="169" fontId="60" fillId="0" borderId="29" xfId="0" applyNumberFormat="1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left" vertical="center"/>
    </xf>
    <xf numFmtId="0" fontId="12" fillId="0" borderId="192" xfId="0" applyFont="1" applyFill="1" applyBorder="1" applyAlignment="1">
      <alignment vertical="center" wrapText="1"/>
    </xf>
    <xf numFmtId="169" fontId="165" fillId="0" borderId="192" xfId="0" applyNumberFormat="1" applyFont="1" applyFill="1" applyBorder="1" applyAlignment="1">
      <alignment horizontal="right" vertical="center"/>
    </xf>
    <xf numFmtId="0" fontId="13" fillId="0" borderId="192" xfId="0" applyFont="1" applyFill="1" applyBorder="1" applyAlignment="1">
      <alignment horizontal="left" vertical="center"/>
    </xf>
    <xf numFmtId="170" fontId="92" fillId="0" borderId="192" xfId="0" applyNumberFormat="1" applyFont="1" applyFill="1" applyBorder="1" applyAlignment="1">
      <alignment horizontal="right" vertical="center"/>
    </xf>
    <xf numFmtId="0" fontId="13" fillId="0" borderId="205" xfId="0" applyFont="1" applyFill="1" applyBorder="1" applyAlignment="1">
      <alignment horizontal="left" vertical="center"/>
    </xf>
    <xf numFmtId="0" fontId="13" fillId="0" borderId="205" xfId="0" applyFont="1" applyFill="1" applyBorder="1" applyAlignment="1">
      <alignment vertical="center" wrapText="1"/>
    </xf>
    <xf numFmtId="1" fontId="13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right" vertical="center"/>
    </xf>
    <xf numFmtId="165" fontId="14" fillId="0" borderId="192" xfId="89" applyFont="1" applyFill="1" applyBorder="1" applyAlignment="1">
      <alignment vertical="center"/>
    </xf>
    <xf numFmtId="165" fontId="13" fillId="0" borderId="192" xfId="89" applyFont="1" applyFill="1" applyBorder="1" applyAlignment="1">
      <alignment vertical="center"/>
    </xf>
    <xf numFmtId="0" fontId="58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58" fillId="0" borderId="0" xfId="0" applyFont="1" applyFill="1"/>
    <xf numFmtId="4" fontId="92" fillId="0" borderId="0" xfId="0" applyNumberFormat="1" applyFont="1" applyBorder="1" applyAlignment="1">
      <alignment vertical="center"/>
    </xf>
    <xf numFmtId="0" fontId="13" fillId="0" borderId="192" xfId="0" applyFont="1" applyFill="1" applyBorder="1" applyAlignment="1">
      <alignment horizontal="center"/>
    </xf>
    <xf numFmtId="0" fontId="12" fillId="0" borderId="192" xfId="0" applyFont="1" applyFill="1" applyBorder="1" applyAlignment="1">
      <alignment horizontal="center" wrapText="1"/>
    </xf>
    <xf numFmtId="0" fontId="13" fillId="0" borderId="192" xfId="0" applyFont="1" applyFill="1" applyBorder="1" applyAlignment="1">
      <alignment horizontal="center" wrapText="1"/>
    </xf>
    <xf numFmtId="2" fontId="165" fillId="0" borderId="192" xfId="0" applyNumberFormat="1" applyFont="1" applyFill="1" applyBorder="1" applyAlignment="1">
      <alignment horizontal="center" vertical="center"/>
    </xf>
    <xf numFmtId="0" fontId="92" fillId="0" borderId="192" xfId="0" applyFont="1" applyFill="1" applyBorder="1" applyAlignment="1">
      <alignment horizontal="center" vertical="center"/>
    </xf>
    <xf numFmtId="4" fontId="13" fillId="58" borderId="192" xfId="0" applyNumberFormat="1" applyFont="1" applyFill="1" applyBorder="1"/>
    <xf numFmtId="4" fontId="13" fillId="0" borderId="192" xfId="0" applyNumberFormat="1" applyFont="1" applyFill="1" applyBorder="1" applyAlignment="1">
      <alignment horizontal="right" vertical="center" wrapText="1"/>
    </xf>
    <xf numFmtId="170" fontId="12" fillId="0" borderId="192" xfId="0" applyNumberFormat="1" applyFont="1" applyFill="1" applyBorder="1"/>
    <xf numFmtId="4" fontId="12" fillId="0" borderId="192" xfId="0" applyNumberFormat="1" applyFont="1" applyFill="1" applyBorder="1" applyAlignment="1">
      <alignment horizontal="right"/>
    </xf>
    <xf numFmtId="4" fontId="165" fillId="0" borderId="0" xfId="0" applyNumberFormat="1" applyFont="1" applyFill="1"/>
    <xf numFmtId="4" fontId="92" fillId="0" borderId="225" xfId="0" applyNumberFormat="1" applyFont="1" applyBorder="1" applyAlignment="1">
      <alignment vertical="center"/>
    </xf>
    <xf numFmtId="0" fontId="60" fillId="0" borderId="192" xfId="0" applyFont="1" applyFill="1" applyBorder="1" applyAlignment="1">
      <alignment vertical="center"/>
    </xf>
    <xf numFmtId="0" fontId="60" fillId="0" borderId="192" xfId="0" applyFont="1" applyFill="1" applyBorder="1" applyAlignment="1">
      <alignment horizontal="center" vertical="center"/>
    </xf>
    <xf numFmtId="169" fontId="60" fillId="0" borderId="192" xfId="0" applyNumberFormat="1" applyFont="1" applyFill="1" applyBorder="1" applyAlignment="1">
      <alignment horizontal="center" vertical="center"/>
    </xf>
    <xf numFmtId="171" fontId="60" fillId="0" borderId="192" xfId="85" applyNumberFormat="1" applyFont="1" applyFill="1" applyBorder="1" applyAlignment="1">
      <alignment vertical="center"/>
    </xf>
    <xf numFmtId="0" fontId="61" fillId="0" borderId="192" xfId="0" applyFont="1" applyFill="1" applyBorder="1" applyAlignment="1">
      <alignment vertical="center"/>
    </xf>
    <xf numFmtId="0" fontId="61" fillId="0" borderId="192" xfId="0" applyFont="1" applyFill="1" applyBorder="1" applyAlignment="1">
      <alignment horizontal="center" vertical="center"/>
    </xf>
    <xf numFmtId="0" fontId="50" fillId="0" borderId="192" xfId="0" applyFont="1" applyFill="1" applyBorder="1"/>
    <xf numFmtId="0" fontId="0" fillId="0" borderId="192" xfId="0" applyFont="1" applyFill="1" applyBorder="1" applyAlignment="1">
      <alignment vertical="center" wrapText="1"/>
    </xf>
    <xf numFmtId="0" fontId="61" fillId="0" borderId="192" xfId="0" applyFont="1" applyFill="1" applyBorder="1" applyAlignment="1">
      <alignment vertical="center" wrapText="1"/>
    </xf>
    <xf numFmtId="0" fontId="80" fillId="0" borderId="192" xfId="0" applyFont="1" applyFill="1" applyBorder="1" applyAlignment="1">
      <alignment vertical="center"/>
    </xf>
    <xf numFmtId="0" fontId="60" fillId="0" borderId="192" xfId="0" applyFont="1" applyFill="1" applyBorder="1"/>
    <xf numFmtId="10" fontId="60" fillId="0" borderId="192" xfId="85" applyNumberFormat="1" applyFont="1" applyFill="1" applyBorder="1"/>
    <xf numFmtId="0" fontId="0" fillId="0" borderId="192" xfId="0" applyFont="1" applyFill="1" applyBorder="1"/>
    <xf numFmtId="2" fontId="60" fillId="0" borderId="192" xfId="0" applyNumberFormat="1" applyFont="1" applyFill="1" applyBorder="1" applyAlignment="1">
      <alignment horizontal="center" vertical="center"/>
    </xf>
    <xf numFmtId="10" fontId="61" fillId="0" borderId="192" xfId="0" applyNumberFormat="1" applyFont="1" applyFill="1" applyBorder="1" applyAlignment="1">
      <alignment horizontal="center" vertical="center"/>
    </xf>
    <xf numFmtId="165" fontId="0" fillId="0" borderId="192" xfId="89" applyFont="1" applyFill="1" applyBorder="1"/>
    <xf numFmtId="4" fontId="0" fillId="0" borderId="192" xfId="0" applyNumberFormat="1" applyFont="1" applyFill="1" applyBorder="1"/>
    <xf numFmtId="169" fontId="0" fillId="0" borderId="192" xfId="0" applyNumberFormat="1" applyFont="1" applyFill="1" applyBorder="1"/>
    <xf numFmtId="2" fontId="60" fillId="29" borderId="192" xfId="0" applyNumberFormat="1" applyFont="1" applyFill="1" applyBorder="1" applyAlignment="1">
      <alignment horizontal="center" vertical="center"/>
    </xf>
    <xf numFmtId="10" fontId="61" fillId="29" borderId="192" xfId="0" applyNumberFormat="1" applyFont="1" applyFill="1" applyBorder="1" applyAlignment="1">
      <alignment horizontal="center" vertical="center"/>
    </xf>
    <xf numFmtId="0" fontId="60" fillId="29" borderId="192" xfId="0" applyFont="1" applyFill="1" applyBorder="1" applyAlignment="1">
      <alignment horizontal="center" vertical="center"/>
    </xf>
    <xf numFmtId="4" fontId="167" fillId="0" borderId="192" xfId="0" applyNumberFormat="1" applyFont="1" applyFill="1" applyBorder="1" applyAlignment="1">
      <alignment horizontal="center" vertical="center"/>
    </xf>
    <xf numFmtId="10" fontId="167" fillId="0" borderId="192" xfId="85" applyNumberFormat="1" applyFont="1" applyFill="1" applyBorder="1" applyAlignment="1">
      <alignment horizontal="center" vertical="center"/>
    </xf>
    <xf numFmtId="4" fontId="168" fillId="0" borderId="192" xfId="0" applyNumberFormat="1" applyFont="1" applyFill="1" applyBorder="1" applyAlignment="1">
      <alignment horizontal="center" vertical="center"/>
    </xf>
    <xf numFmtId="4" fontId="167" fillId="0" borderId="192" xfId="0" applyNumberFormat="1" applyFont="1" applyFill="1" applyBorder="1" applyAlignment="1">
      <alignment vertical="center"/>
    </xf>
    <xf numFmtId="4" fontId="180" fillId="0" borderId="192" xfId="0" applyNumberFormat="1" applyFont="1" applyFill="1" applyBorder="1" applyAlignment="1">
      <alignment vertical="center"/>
    </xf>
    <xf numFmtId="10" fontId="167" fillId="0" borderId="192" xfId="0" applyNumberFormat="1" applyFont="1" applyFill="1" applyBorder="1" applyAlignment="1">
      <alignment vertical="center"/>
    </xf>
    <xf numFmtId="171" fontId="61" fillId="0" borderId="192" xfId="85" applyNumberFormat="1" applyFont="1" applyFill="1" applyBorder="1" applyAlignment="1">
      <alignment vertical="center"/>
    </xf>
    <xf numFmtId="0" fontId="60" fillId="0" borderId="192" xfId="0" applyFont="1" applyFill="1" applyBorder="1" applyAlignment="1">
      <alignment vertical="center" wrapText="1"/>
    </xf>
    <xf numFmtId="4" fontId="60" fillId="0" borderId="193" xfId="0" applyNumberFormat="1" applyFont="1" applyFill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vertical="center"/>
    </xf>
    <xf numFmtId="170" fontId="60" fillId="0" borderId="192" xfId="0" applyNumberFormat="1" applyFont="1" applyFill="1" applyBorder="1" applyAlignment="1">
      <alignment horizontal="center" vertical="center"/>
    </xf>
    <xf numFmtId="0" fontId="0" fillId="0" borderId="0" xfId="0" applyAlignme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/>
    </xf>
    <xf numFmtId="0" fontId="16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0" fontId="13" fillId="29" borderId="192" xfId="0" applyFont="1" applyFill="1" applyBorder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0" fontId="13" fillId="0" borderId="192" xfId="0" applyFont="1" applyBorder="1" applyAlignment="1">
      <alignment horizontal="center" vertical="center" wrapText="1"/>
    </xf>
    <xf numFmtId="171" fontId="7" fillId="0" borderId="192" xfId="85" applyNumberFormat="1" applyFont="1" applyFill="1" applyBorder="1" applyAlignment="1">
      <alignment vertical="center"/>
    </xf>
    <xf numFmtId="0" fontId="48" fillId="0" borderId="192" xfId="79" applyFont="1" applyFill="1" applyBorder="1" applyAlignment="1">
      <alignment vertical="center" wrapText="1"/>
    </xf>
    <xf numFmtId="2" fontId="13" fillId="0" borderId="192" xfId="79" applyNumberFormat="1" applyFont="1" applyFill="1" applyBorder="1" applyAlignment="1">
      <alignment horizontal="center" vertical="center"/>
    </xf>
    <xf numFmtId="192" fontId="13" fillId="0" borderId="192" xfId="79" applyNumberFormat="1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vertical="center" wrapText="1"/>
    </xf>
    <xf numFmtId="171" fontId="14" fillId="0" borderId="192" xfId="85" applyNumberFormat="1" applyFont="1" applyFill="1" applyBorder="1" applyAlignment="1">
      <alignment horizontal="center" vertical="center"/>
    </xf>
    <xf numFmtId="2" fontId="13" fillId="0" borderId="0" xfId="79" applyNumberFormat="1" applyFont="1" applyFill="1" applyBorder="1" applyAlignment="1">
      <alignment horizontal="center" vertical="center"/>
    </xf>
    <xf numFmtId="0" fontId="51" fillId="0" borderId="192" xfId="79" applyFont="1" applyFill="1" applyBorder="1" applyAlignment="1">
      <alignment vertical="center" wrapText="1"/>
    </xf>
    <xf numFmtId="0" fontId="12" fillId="0" borderId="192" xfId="79" applyFont="1" applyFill="1" applyBorder="1" applyAlignment="1">
      <alignment vertical="center"/>
    </xf>
    <xf numFmtId="0" fontId="58" fillId="0" borderId="0" xfId="79" applyFont="1" applyFill="1"/>
    <xf numFmtId="4" fontId="12" fillId="0" borderId="0" xfId="79" applyNumberFormat="1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" fontId="13" fillId="0" borderId="192" xfId="0" applyNumberFormat="1" applyFont="1" applyFill="1" applyBorder="1" applyAlignment="1">
      <alignment wrapText="1"/>
    </xf>
    <xf numFmtId="4" fontId="13" fillId="0" borderId="192" xfId="0" applyNumberFormat="1" applyFont="1" applyFill="1" applyBorder="1" applyAlignment="1">
      <alignment horizontal="right" wrapText="1"/>
    </xf>
    <xf numFmtId="2" fontId="13" fillId="0" borderId="192" xfId="0" applyNumberFormat="1" applyFont="1" applyFill="1" applyBorder="1" applyAlignment="1">
      <alignment horizontal="right" vertical="center"/>
    </xf>
    <xf numFmtId="0" fontId="14" fillId="0" borderId="192" xfId="0" applyFont="1" applyFill="1" applyBorder="1" applyAlignment="1">
      <alignment horizontal="right"/>
    </xf>
    <xf numFmtId="0" fontId="13" fillId="0" borderId="192" xfId="0" applyFont="1" applyFill="1" applyBorder="1" applyAlignment="1">
      <alignment horizontal="right" vertical="center"/>
    </xf>
    <xf numFmtId="4" fontId="13" fillId="0" borderId="192" xfId="0" applyNumberFormat="1" applyFont="1" applyFill="1" applyBorder="1" applyAlignment="1">
      <alignment horizontal="center" wrapText="1"/>
    </xf>
    <xf numFmtId="4" fontId="14" fillId="29" borderId="206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right" wrapText="1"/>
    </xf>
    <xf numFmtId="4" fontId="14" fillId="0" borderId="192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right"/>
    </xf>
    <xf numFmtId="4" fontId="14" fillId="0" borderId="205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left" wrapText="1"/>
    </xf>
    <xf numFmtId="0" fontId="13" fillId="0" borderId="194" xfId="0" applyFont="1" applyBorder="1" applyAlignment="1">
      <alignment horizontal="center" vertical="center" wrapText="1"/>
    </xf>
    <xf numFmtId="4" fontId="92" fillId="0" borderId="192" xfId="0" applyNumberFormat="1" applyFont="1" applyFill="1" applyBorder="1" applyAlignment="1">
      <alignment vertical="center"/>
    </xf>
    <xf numFmtId="1" fontId="13" fillId="29" borderId="192" xfId="0" applyNumberFormat="1" applyFont="1" applyFill="1" applyBorder="1" applyAlignment="1">
      <alignment vertical="center"/>
    </xf>
    <xf numFmtId="178" fontId="12" fillId="0" borderId="192" xfId="0" applyNumberFormat="1" applyFont="1" applyFill="1" applyBorder="1" applyAlignment="1">
      <alignment vertical="center" wrapText="1"/>
    </xf>
    <xf numFmtId="171" fontId="13" fillId="0" borderId="0" xfId="85" applyNumberFormat="1" applyFont="1" applyFill="1"/>
    <xf numFmtId="0" fontId="16" fillId="38" borderId="192" xfId="0" applyFont="1" applyFill="1" applyBorder="1" applyAlignment="1">
      <alignment horizontal="center" vertical="center"/>
    </xf>
    <xf numFmtId="0" fontId="13" fillId="38" borderId="194" xfId="0" applyFont="1" applyFill="1" applyBorder="1" applyAlignment="1">
      <alignment vertical="center"/>
    </xf>
    <xf numFmtId="0" fontId="12" fillId="38" borderId="194" xfId="0" applyFont="1" applyFill="1" applyBorder="1" applyAlignment="1">
      <alignment vertical="center"/>
    </xf>
    <xf numFmtId="0" fontId="13" fillId="38" borderId="194" xfId="0" applyFont="1" applyFill="1" applyBorder="1" applyAlignment="1">
      <alignment vertical="center" wrapText="1"/>
    </xf>
    <xf numFmtId="0" fontId="12" fillId="38" borderId="194" xfId="0" applyFont="1" applyFill="1" applyBorder="1" applyAlignment="1">
      <alignment vertical="center" wrapText="1"/>
    </xf>
    <xf numFmtId="0" fontId="13" fillId="0" borderId="194" xfId="0" applyFont="1" applyBorder="1" applyAlignment="1">
      <alignment vertical="center"/>
    </xf>
    <xf numFmtId="0" fontId="12" fillId="0" borderId="194" xfId="0" applyFont="1" applyBorder="1" applyAlignment="1">
      <alignment vertical="center"/>
    </xf>
    <xf numFmtId="0" fontId="13" fillId="38" borderId="194" xfId="0" applyFont="1" applyFill="1" applyBorder="1"/>
    <xf numFmtId="171" fontId="13" fillId="0" borderId="0" xfId="85" applyNumberFormat="1" applyFont="1" applyBorder="1"/>
    <xf numFmtId="4" fontId="13" fillId="0" borderId="0" xfId="0" applyNumberFormat="1" applyFont="1" applyBorder="1"/>
    <xf numFmtId="0" fontId="13" fillId="0" borderId="208" xfId="0" applyFont="1" applyBorder="1"/>
    <xf numFmtId="4" fontId="13" fillId="0" borderId="0" xfId="0" applyNumberFormat="1" applyFont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/>
    <xf numFmtId="2" fontId="13" fillId="0" borderId="0" xfId="0" applyNumberFormat="1" applyFont="1" applyBorder="1" applyAlignment="1">
      <alignment horizontal="right" vertical="center"/>
    </xf>
    <xf numFmtId="0" fontId="58" fillId="0" borderId="0" xfId="0" applyFont="1" applyAlignment="1">
      <alignment vertical="center"/>
    </xf>
    <xf numFmtId="4" fontId="13" fillId="0" borderId="192" xfId="0" applyNumberFormat="1" applyFont="1" applyFill="1" applyBorder="1" applyAlignment="1">
      <alignment horizontal="center"/>
    </xf>
    <xf numFmtId="2" fontId="13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Fill="1" applyBorder="1"/>
    <xf numFmtId="0" fontId="12" fillId="29" borderId="192" xfId="0" applyFont="1" applyFill="1" applyBorder="1" applyAlignment="1">
      <alignment horizontal="center" vertical="center"/>
    </xf>
    <xf numFmtId="0" fontId="13" fillId="27" borderId="192" xfId="96" applyFont="1" applyFill="1" applyBorder="1" applyAlignment="1">
      <alignment horizontal="center" vertical="center" wrapText="1"/>
    </xf>
    <xf numFmtId="168" fontId="81" fillId="0" borderId="257" xfId="77" applyNumberFormat="1" applyFont="1" applyFill="1" applyBorder="1" applyAlignment="1">
      <alignment horizontal="center"/>
    </xf>
    <xf numFmtId="168" fontId="16" fillId="0" borderId="257" xfId="77" applyNumberFormat="1" applyFont="1" applyFill="1" applyBorder="1" applyAlignment="1">
      <alignment horizontal="center"/>
    </xf>
    <xf numFmtId="0" fontId="60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7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/>
    <xf numFmtId="0" fontId="13" fillId="0" borderId="192" xfId="0" applyFont="1" applyFill="1" applyBorder="1" applyAlignment="1">
      <alignment horizontal="center" vertical="center"/>
    </xf>
    <xf numFmtId="0" fontId="12" fillId="0" borderId="205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0" fontId="13" fillId="38" borderId="192" xfId="96" applyFont="1" applyFill="1" applyBorder="1" applyAlignment="1">
      <alignment horizontal="center" vertical="center" wrapText="1"/>
    </xf>
    <xf numFmtId="0" fontId="48" fillId="38" borderId="192" xfId="96" applyFont="1" applyFill="1" applyBorder="1"/>
    <xf numFmtId="2" fontId="12" fillId="29" borderId="192" xfId="0" applyNumberFormat="1" applyFont="1" applyFill="1" applyBorder="1" applyAlignment="1">
      <alignment horizontal="center" vertical="center"/>
    </xf>
    <xf numFmtId="3" fontId="12" fillId="29" borderId="192" xfId="0" applyNumberFormat="1" applyFont="1" applyFill="1" applyBorder="1" applyAlignment="1">
      <alignment horizontal="center" vertical="center"/>
    </xf>
    <xf numFmtId="170" fontId="13" fillId="29" borderId="192" xfId="0" applyNumberFormat="1" applyFont="1" applyFill="1" applyBorder="1" applyAlignment="1">
      <alignment horizontal="right" vertical="center"/>
    </xf>
    <xf numFmtId="3" fontId="13" fillId="29" borderId="192" xfId="0" applyNumberFormat="1" applyFont="1" applyFill="1" applyBorder="1" applyAlignment="1">
      <alignment horizontal="right" vertical="center"/>
    </xf>
    <xf numFmtId="4" fontId="13" fillId="29" borderId="192" xfId="0" applyNumberFormat="1" applyFont="1" applyFill="1" applyBorder="1" applyAlignment="1">
      <alignment horizontal="right" vertical="center"/>
    </xf>
    <xf numFmtId="169" fontId="12" fillId="29" borderId="192" xfId="0" applyNumberFormat="1" applyFont="1" applyFill="1" applyBorder="1" applyAlignment="1">
      <alignment horizontal="right" vertical="center"/>
    </xf>
    <xf numFmtId="170" fontId="13" fillId="29" borderId="193" xfId="0" applyNumberFormat="1" applyFont="1" applyFill="1" applyBorder="1" applyAlignment="1">
      <alignment horizontal="right" vertical="center"/>
    </xf>
    <xf numFmtId="2" fontId="14" fillId="29" borderId="192" xfId="89" applyNumberFormat="1" applyFont="1" applyFill="1" applyBorder="1" applyAlignment="1">
      <alignment horizontal="center" vertical="center"/>
    </xf>
    <xf numFmtId="9" fontId="13" fillId="29" borderId="192" xfId="85" applyFont="1" applyFill="1" applyBorder="1" applyAlignment="1">
      <alignment vertical="center"/>
    </xf>
    <xf numFmtId="3" fontId="13" fillId="29" borderId="192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0" fontId="60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/>
    <xf numFmtId="4" fontId="168" fillId="0" borderId="257" xfId="0" applyNumberFormat="1" applyFont="1" applyFill="1" applyBorder="1" applyAlignment="1">
      <alignment horizontal="center" vertical="center"/>
    </xf>
    <xf numFmtId="4" fontId="180" fillId="0" borderId="257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58" fillId="0" borderId="192" xfId="0" applyNumberFormat="1" applyFont="1" applyFill="1" applyBorder="1" applyAlignment="1">
      <alignment horizontal="center" vertical="center"/>
    </xf>
    <xf numFmtId="10" fontId="14" fillId="0" borderId="192" xfId="85" applyNumberFormat="1" applyFont="1" applyFill="1" applyBorder="1" applyAlignment="1">
      <alignment horizontal="center" vertical="center"/>
    </xf>
    <xf numFmtId="10" fontId="59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50" fillId="0" borderId="0" xfId="0" applyFont="1" applyFill="1"/>
    <xf numFmtId="0" fontId="17" fillId="0" borderId="192" xfId="0" applyFont="1" applyFill="1" applyBorder="1" applyAlignment="1">
      <alignment vertical="center"/>
    </xf>
    <xf numFmtId="169" fontId="12" fillId="0" borderId="192" xfId="0" applyNumberFormat="1" applyFont="1" applyFill="1" applyBorder="1" applyAlignment="1">
      <alignment horizontal="center" vertical="center"/>
    </xf>
    <xf numFmtId="169" fontId="18" fillId="0" borderId="192" xfId="0" applyNumberFormat="1" applyFont="1" applyFill="1" applyBorder="1" applyAlignment="1">
      <alignment horizontal="center" vertical="center"/>
    </xf>
    <xf numFmtId="4" fontId="61" fillId="0" borderId="192" xfId="85" applyNumberFormat="1" applyFont="1" applyFill="1" applyBorder="1" applyAlignment="1">
      <alignment horizontal="center" vertical="center"/>
    </xf>
    <xf numFmtId="4" fontId="15" fillId="0" borderId="192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horizontal="center" vertical="center"/>
    </xf>
    <xf numFmtId="0" fontId="17" fillId="0" borderId="192" xfId="0" applyFont="1" applyFill="1" applyBorder="1" applyAlignment="1">
      <alignment vertical="center" wrapText="1"/>
    </xf>
    <xf numFmtId="0" fontId="8" fillId="0" borderId="0" xfId="0" applyFont="1" applyFill="1"/>
    <xf numFmtId="2" fontId="13" fillId="0" borderId="192" xfId="0" applyNumberFormat="1" applyFont="1" applyFill="1" applyBorder="1" applyAlignment="1">
      <alignment vertical="center" wrapText="1"/>
    </xf>
    <xf numFmtId="4" fontId="59" fillId="0" borderId="192" xfId="0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horizontal="center" vertical="center"/>
    </xf>
    <xf numFmtId="4" fontId="95" fillId="0" borderId="192" xfId="0" applyNumberFormat="1" applyFont="1" applyFill="1" applyBorder="1" applyAlignment="1">
      <alignment horizontal="center" vertical="center"/>
    </xf>
    <xf numFmtId="4" fontId="80" fillId="0" borderId="192" xfId="0" applyNumberFormat="1" applyFont="1" applyFill="1" applyBorder="1" applyAlignment="1">
      <alignment horizontal="center" vertical="center" wrapText="1"/>
    </xf>
    <xf numFmtId="4" fontId="15" fillId="0" borderId="192" xfId="0" applyNumberFormat="1" applyFont="1" applyFill="1" applyBorder="1" applyAlignment="1">
      <alignment horizontal="center" vertical="center" wrapText="1"/>
    </xf>
    <xf numFmtId="0" fontId="17" fillId="0" borderId="205" xfId="0" applyFont="1" applyFill="1" applyBorder="1" applyAlignment="1">
      <alignment vertical="center"/>
    </xf>
    <xf numFmtId="169" fontId="12" fillId="0" borderId="205" xfId="0" applyNumberFormat="1" applyFont="1" applyFill="1" applyBorder="1" applyAlignment="1">
      <alignment horizontal="center" vertical="center"/>
    </xf>
    <xf numFmtId="169" fontId="15" fillId="0" borderId="205" xfId="0" applyNumberFormat="1" applyFont="1" applyFill="1" applyBorder="1" applyAlignment="1">
      <alignment horizontal="center" vertical="center"/>
    </xf>
    <xf numFmtId="4" fontId="12" fillId="0" borderId="205" xfId="0" applyNumberFormat="1" applyFont="1" applyFill="1" applyBorder="1" applyAlignment="1">
      <alignment horizontal="center" vertical="center"/>
    </xf>
    <xf numFmtId="4" fontId="15" fillId="0" borderId="205" xfId="0" applyNumberFormat="1" applyFont="1" applyFill="1" applyBorder="1" applyAlignment="1">
      <alignment horizontal="center" vertical="center"/>
    </xf>
    <xf numFmtId="4" fontId="18" fillId="0" borderId="205" xfId="0" applyNumberFormat="1" applyFont="1" applyFill="1" applyBorder="1" applyAlignment="1">
      <alignment horizontal="center" vertical="center"/>
    </xf>
    <xf numFmtId="171" fontId="80" fillId="0" borderId="205" xfId="85" applyNumberFormat="1" applyFont="1" applyFill="1" applyBorder="1" applyAlignment="1">
      <alignment horizontal="center" vertical="center"/>
    </xf>
    <xf numFmtId="4" fontId="17" fillId="0" borderId="205" xfId="0" applyNumberFormat="1" applyFont="1" applyFill="1" applyBorder="1" applyAlignment="1">
      <alignment horizontal="center" vertical="center" wrapText="1"/>
    </xf>
    <xf numFmtId="171" fontId="17" fillId="0" borderId="205" xfId="0" applyNumberFormat="1" applyFont="1" applyFill="1" applyBorder="1" applyAlignment="1">
      <alignment horizontal="center" vertical="center" wrapText="1"/>
    </xf>
    <xf numFmtId="4" fontId="12" fillId="0" borderId="205" xfId="0" applyNumberFormat="1" applyFont="1" applyFill="1" applyBorder="1" applyAlignment="1">
      <alignment horizontal="center" vertical="center" wrapText="1"/>
    </xf>
    <xf numFmtId="171" fontId="80" fillId="0" borderId="205" xfId="0" applyNumberFormat="1" applyFont="1" applyFill="1" applyBorder="1" applyAlignment="1">
      <alignment horizontal="center" vertical="center" wrapText="1"/>
    </xf>
    <xf numFmtId="0" fontId="17" fillId="0" borderId="276" xfId="0" applyFont="1" applyFill="1" applyBorder="1" applyAlignment="1">
      <alignment vertical="center"/>
    </xf>
    <xf numFmtId="0" fontId="12" fillId="0" borderId="276" xfId="0" applyFont="1" applyFill="1" applyBorder="1" applyAlignment="1">
      <alignment horizontal="center" vertical="center"/>
    </xf>
    <xf numFmtId="169" fontId="12" fillId="0" borderId="276" xfId="0" applyNumberFormat="1" applyFont="1" applyFill="1" applyBorder="1" applyAlignment="1">
      <alignment horizontal="center" vertical="center"/>
    </xf>
    <xf numFmtId="169" fontId="15" fillId="0" borderId="276" xfId="0" applyNumberFormat="1" applyFont="1" applyFill="1" applyBorder="1" applyAlignment="1">
      <alignment horizontal="center" vertical="center"/>
    </xf>
    <xf numFmtId="4" fontId="12" fillId="0" borderId="276" xfId="0" applyNumberFormat="1" applyFont="1" applyFill="1" applyBorder="1" applyAlignment="1">
      <alignment horizontal="center" vertical="center"/>
    </xf>
    <xf numFmtId="4" fontId="15" fillId="0" borderId="276" xfId="0" applyNumberFormat="1" applyFont="1" applyFill="1" applyBorder="1" applyAlignment="1">
      <alignment horizontal="center" vertical="center"/>
    </xf>
    <xf numFmtId="4" fontId="18" fillId="0" borderId="276" xfId="0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/>
    </xf>
    <xf numFmtId="171" fontId="80" fillId="0" borderId="276" xfId="85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 wrapText="1"/>
    </xf>
    <xf numFmtId="171" fontId="17" fillId="0" borderId="276" xfId="0" applyNumberFormat="1" applyFont="1" applyFill="1" applyBorder="1" applyAlignment="1">
      <alignment horizontal="center" vertical="center" wrapText="1"/>
    </xf>
    <xf numFmtId="4" fontId="12" fillId="0" borderId="276" xfId="0" applyNumberFormat="1" applyFont="1" applyFill="1" applyBorder="1" applyAlignment="1">
      <alignment horizontal="center" vertical="center" wrapText="1"/>
    </xf>
    <xf numFmtId="171" fontId="80" fillId="0" borderId="276" xfId="0" applyNumberFormat="1" applyFont="1" applyFill="1" applyBorder="1" applyAlignment="1">
      <alignment horizontal="center" vertical="center" wrapText="1"/>
    </xf>
    <xf numFmtId="170" fontId="17" fillId="0" borderId="192" xfId="0" applyNumberFormat="1" applyFont="1" applyFill="1" applyBorder="1" applyAlignment="1">
      <alignment horizontal="center" vertical="center"/>
    </xf>
    <xf numFmtId="0" fontId="0" fillId="0" borderId="257" xfId="0" applyFont="1" applyFill="1" applyBorder="1"/>
    <xf numFmtId="4" fontId="17" fillId="29" borderId="192" xfId="0" applyNumberFormat="1" applyFont="1" applyFill="1" applyBorder="1" applyAlignment="1">
      <alignment horizontal="center" vertical="center" wrapText="1"/>
    </xf>
    <xf numFmtId="10" fontId="61" fillId="29" borderId="192" xfId="85" applyNumberFormat="1" applyFont="1" applyFill="1" applyBorder="1" applyAlignment="1">
      <alignment horizontal="center" vertical="center"/>
    </xf>
    <xf numFmtId="171" fontId="60" fillId="29" borderId="192" xfId="85" applyNumberFormat="1" applyFont="1" applyFill="1" applyBorder="1" applyAlignment="1">
      <alignment horizontal="center" vertical="center"/>
    </xf>
    <xf numFmtId="4" fontId="80" fillId="29" borderId="192" xfId="0" applyNumberFormat="1" applyFont="1" applyFill="1" applyBorder="1" applyAlignment="1">
      <alignment horizontal="center" vertical="center"/>
    </xf>
    <xf numFmtId="178" fontId="80" fillId="29" borderId="192" xfId="0" applyNumberFormat="1" applyFont="1" applyFill="1" applyBorder="1" applyAlignment="1">
      <alignment horizontal="center" vertical="center"/>
    </xf>
    <xf numFmtId="170" fontId="17" fillId="29" borderId="192" xfId="0" applyNumberFormat="1" applyFont="1" applyFill="1" applyBorder="1" applyAlignment="1">
      <alignment horizontal="center" vertical="center"/>
    </xf>
    <xf numFmtId="4" fontId="17" fillId="29" borderId="205" xfId="0" applyNumberFormat="1" applyFont="1" applyFill="1" applyBorder="1" applyAlignment="1">
      <alignment horizontal="center" vertical="center"/>
    </xf>
    <xf numFmtId="4" fontId="17" fillId="29" borderId="257" xfId="0" applyNumberFormat="1" applyFont="1" applyFill="1" applyBorder="1" applyAlignment="1">
      <alignment horizontal="center" vertical="center"/>
    </xf>
    <xf numFmtId="4" fontId="61" fillId="29" borderId="257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69" fontId="12" fillId="0" borderId="0" xfId="0" applyNumberFormat="1" applyFont="1" applyFill="1" applyBorder="1" applyAlignment="1">
      <alignment horizontal="center" vertical="center"/>
    </xf>
    <xf numFmtId="169" fontId="15" fillId="0" borderId="0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/>
    </xf>
    <xf numFmtId="171" fontId="80" fillId="0" borderId="0" xfId="85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 wrapText="1"/>
    </xf>
    <xf numFmtId="171" fontId="17" fillId="0" borderId="0" xfId="0" applyNumberFormat="1" applyFont="1" applyFill="1" applyBorder="1" applyAlignment="1">
      <alignment horizontal="center" vertical="center" wrapText="1"/>
    </xf>
    <xf numFmtId="171" fontId="80" fillId="0" borderId="0" xfId="0" applyNumberFormat="1" applyFont="1" applyFill="1" applyBorder="1" applyAlignment="1">
      <alignment horizontal="center" vertical="center" wrapText="1"/>
    </xf>
    <xf numFmtId="0" fontId="13" fillId="0" borderId="216" xfId="0" applyFont="1" applyFill="1" applyBorder="1" applyAlignment="1">
      <alignment vertical="center" wrapText="1"/>
    </xf>
    <xf numFmtId="0" fontId="13" fillId="0" borderId="194" xfId="0" applyFont="1" applyFill="1" applyBorder="1" applyAlignment="1">
      <alignment vertical="center" wrapText="1"/>
    </xf>
    <xf numFmtId="0" fontId="17" fillId="0" borderId="208" xfId="0" applyFont="1" applyFill="1" applyBorder="1" applyAlignment="1">
      <alignment vertical="center"/>
    </xf>
    <xf numFmtId="0" fontId="12" fillId="0" borderId="208" xfId="0" applyFont="1" applyFill="1" applyBorder="1" applyAlignment="1">
      <alignment horizontal="center" vertical="center"/>
    </xf>
    <xf numFmtId="169" fontId="12" fillId="0" borderId="208" xfId="0" applyNumberFormat="1" applyFont="1" applyFill="1" applyBorder="1" applyAlignment="1">
      <alignment horizontal="center" vertical="center"/>
    </xf>
    <xf numFmtId="169" fontId="15" fillId="0" borderId="208" xfId="0" applyNumberFormat="1" applyFont="1" applyFill="1" applyBorder="1" applyAlignment="1">
      <alignment horizontal="center" vertical="center"/>
    </xf>
    <xf numFmtId="4" fontId="12" fillId="0" borderId="208" xfId="0" applyNumberFormat="1" applyFont="1" applyFill="1" applyBorder="1" applyAlignment="1">
      <alignment horizontal="center" vertical="center"/>
    </xf>
    <xf numFmtId="4" fontId="15" fillId="0" borderId="208" xfId="0" applyNumberFormat="1" applyFont="1" applyFill="1" applyBorder="1" applyAlignment="1">
      <alignment horizontal="center" vertical="center"/>
    </xf>
    <xf numFmtId="4" fontId="18" fillId="0" borderId="208" xfId="0" applyNumberFormat="1" applyFont="1" applyFill="1" applyBorder="1" applyAlignment="1">
      <alignment horizontal="center" vertical="center"/>
    </xf>
    <xf numFmtId="4" fontId="17" fillId="0" borderId="208" xfId="0" applyNumberFormat="1" applyFont="1" applyFill="1" applyBorder="1" applyAlignment="1">
      <alignment horizontal="center" vertical="center"/>
    </xf>
    <xf numFmtId="171" fontId="80" fillId="0" borderId="208" xfId="85" applyNumberFormat="1" applyFont="1" applyFill="1" applyBorder="1" applyAlignment="1">
      <alignment horizontal="center" vertical="center"/>
    </xf>
    <xf numFmtId="4" fontId="17" fillId="0" borderId="208" xfId="0" applyNumberFormat="1" applyFont="1" applyFill="1" applyBorder="1" applyAlignment="1">
      <alignment horizontal="center" vertical="center" wrapText="1"/>
    </xf>
    <xf numFmtId="171" fontId="17" fillId="0" borderId="208" xfId="0" applyNumberFormat="1" applyFont="1" applyFill="1" applyBorder="1" applyAlignment="1">
      <alignment horizontal="center" vertical="center" wrapText="1"/>
    </xf>
    <xf numFmtId="4" fontId="12" fillId="0" borderId="208" xfId="0" applyNumberFormat="1" applyFont="1" applyFill="1" applyBorder="1" applyAlignment="1">
      <alignment horizontal="center" vertical="center" wrapText="1"/>
    </xf>
    <xf numFmtId="171" fontId="80" fillId="0" borderId="208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61" fillId="0" borderId="0" xfId="0" applyFont="1" applyFill="1"/>
    <xf numFmtId="0" fontId="17" fillId="0" borderId="0" xfId="0" applyFont="1" applyFill="1"/>
    <xf numFmtId="2" fontId="60" fillId="0" borderId="0" xfId="0" applyNumberFormat="1" applyFont="1" applyFill="1"/>
    <xf numFmtId="4" fontId="81" fillId="0" borderId="0" xfId="0" applyNumberFormat="1" applyFont="1" applyFill="1"/>
    <xf numFmtId="2" fontId="81" fillId="0" borderId="0" xfId="0" applyNumberFormat="1" applyFont="1" applyFill="1"/>
    <xf numFmtId="174" fontId="81" fillId="0" borderId="0" xfId="0" applyNumberFormat="1" applyFont="1" applyFill="1"/>
    <xf numFmtId="171" fontId="8" fillId="0" borderId="0" xfId="85" applyNumberFormat="1" applyFont="1" applyFill="1"/>
    <xf numFmtId="0" fontId="89" fillId="0" borderId="0" xfId="0" applyFont="1" applyFill="1"/>
    <xf numFmtId="0" fontId="17" fillId="0" borderId="206" xfId="0" applyFont="1" applyFill="1" applyBorder="1" applyAlignment="1">
      <alignment horizontal="left" vertical="center"/>
    </xf>
    <xf numFmtId="0" fontId="13" fillId="0" borderId="206" xfId="0" applyFont="1" applyFill="1" applyBorder="1" applyAlignment="1">
      <alignment horizontal="center" vertical="center" wrapText="1"/>
    </xf>
    <xf numFmtId="4" fontId="12" fillId="0" borderId="206" xfId="0" applyNumberFormat="1" applyFont="1" applyFill="1" applyBorder="1" applyAlignment="1">
      <alignment horizontal="center" vertical="center" wrapText="1"/>
    </xf>
    <xf numFmtId="4" fontId="18" fillId="0" borderId="206" xfId="0" applyNumberFormat="1" applyFont="1" applyFill="1" applyBorder="1" applyAlignment="1">
      <alignment horizontal="center" vertical="center" wrapText="1"/>
    </xf>
    <xf numFmtId="4" fontId="17" fillId="0" borderId="206" xfId="0" applyNumberFormat="1" applyFont="1" applyFill="1" applyBorder="1" applyAlignment="1">
      <alignment horizontal="center" vertical="center" wrapText="1"/>
    </xf>
    <xf numFmtId="171" fontId="61" fillId="0" borderId="206" xfId="85" applyNumberFormat="1" applyFont="1" applyFill="1" applyBorder="1" applyAlignment="1">
      <alignment horizontal="center" vertical="center"/>
    </xf>
    <xf numFmtId="171" fontId="60" fillId="0" borderId="206" xfId="0" applyNumberFormat="1" applyFont="1" applyFill="1" applyBorder="1" applyAlignment="1">
      <alignment horizontal="center" vertical="center" wrapText="1"/>
    </xf>
    <xf numFmtId="171" fontId="61" fillId="0" borderId="206" xfId="0" applyNumberFormat="1" applyFont="1" applyFill="1" applyBorder="1" applyAlignment="1">
      <alignment horizontal="center" vertical="center" wrapText="1"/>
    </xf>
    <xf numFmtId="4" fontId="17" fillId="29" borderId="206" xfId="0" applyNumberFormat="1" applyFont="1" applyFill="1" applyBorder="1" applyAlignment="1">
      <alignment horizontal="center" vertical="center" wrapText="1"/>
    </xf>
    <xf numFmtId="0" fontId="60" fillId="0" borderId="192" xfId="0" applyFont="1" applyFill="1" applyBorder="1" applyAlignment="1"/>
    <xf numFmtId="4" fontId="60" fillId="0" borderId="192" xfId="0" applyNumberFormat="1" applyFont="1" applyFill="1" applyBorder="1" applyAlignment="1"/>
    <xf numFmtId="171" fontId="60" fillId="0" borderId="192" xfId="0" applyNumberFormat="1" applyFont="1" applyFill="1" applyBorder="1" applyAlignment="1">
      <alignment horizontal="center" wrapText="1"/>
    </xf>
    <xf numFmtId="171" fontId="61" fillId="0" borderId="192" xfId="0" applyNumberFormat="1" applyFont="1" applyFill="1" applyBorder="1" applyAlignment="1">
      <alignment horizontal="center" wrapText="1"/>
    </xf>
    <xf numFmtId="0" fontId="60" fillId="0" borderId="0" xfId="0" applyFont="1" applyFill="1" applyAlignment="1"/>
    <xf numFmtId="0" fontId="0" fillId="0" borderId="0" xfId="0" applyFont="1" applyFill="1" applyAlignment="1"/>
    <xf numFmtId="4" fontId="60" fillId="29" borderId="192" xfId="0" applyNumberFormat="1" applyFont="1" applyFill="1" applyBorder="1" applyAlignment="1"/>
    <xf numFmtId="0" fontId="80" fillId="0" borderId="192" xfId="0" applyFont="1" applyFill="1" applyBorder="1" applyAlignment="1"/>
    <xf numFmtId="0" fontId="61" fillId="0" borderId="192" xfId="0" applyFont="1" applyFill="1" applyBorder="1" applyAlignment="1"/>
    <xf numFmtId="4" fontId="61" fillId="0" borderId="192" xfId="0" applyNumberFormat="1" applyFont="1" applyFill="1" applyBorder="1" applyAlignment="1"/>
    <xf numFmtId="0" fontId="61" fillId="0" borderId="0" xfId="0" applyFont="1" applyFill="1" applyAlignment="1"/>
    <xf numFmtId="0" fontId="50" fillId="0" borderId="0" xfId="0" applyFont="1" applyFill="1" applyAlignment="1"/>
    <xf numFmtId="4" fontId="61" fillId="29" borderId="192" xfId="0" applyNumberFormat="1" applyFont="1" applyFill="1" applyBorder="1" applyAlignment="1"/>
    <xf numFmtId="0" fontId="60" fillId="0" borderId="192" xfId="0" applyFont="1" applyFill="1" applyBorder="1" applyAlignment="1">
      <alignment wrapText="1"/>
    </xf>
    <xf numFmtId="170" fontId="60" fillId="0" borderId="192" xfId="0" applyNumberFormat="1" applyFont="1" applyFill="1" applyBorder="1" applyAlignment="1"/>
    <xf numFmtId="170" fontId="60" fillId="29" borderId="192" xfId="0" applyNumberFormat="1" applyFont="1" applyFill="1" applyBorder="1" applyAlignment="1"/>
    <xf numFmtId="0" fontId="17" fillId="0" borderId="192" xfId="0" applyFont="1" applyFill="1" applyBorder="1" applyAlignment="1"/>
    <xf numFmtId="4" fontId="17" fillId="0" borderId="192" xfId="0" applyNumberFormat="1" applyFont="1" applyFill="1" applyBorder="1" applyAlignment="1"/>
    <xf numFmtId="171" fontId="17" fillId="0" borderId="192" xfId="0" applyNumberFormat="1" applyFont="1" applyFill="1" applyBorder="1" applyAlignment="1">
      <alignment horizontal="center" wrapText="1"/>
    </xf>
    <xf numFmtId="171" fontId="80" fillId="0" borderId="192" xfId="0" applyNumberFormat="1" applyFont="1" applyFill="1" applyBorder="1" applyAlignment="1">
      <alignment horizontal="center" wrapText="1"/>
    </xf>
    <xf numFmtId="4" fontId="17" fillId="29" borderId="192" xfId="0" applyNumberFormat="1" applyFont="1" applyFill="1" applyBorder="1" applyAlignment="1"/>
    <xf numFmtId="0" fontId="17" fillId="0" borderId="206" xfId="0" applyFont="1" applyFill="1" applyBorder="1" applyAlignment="1"/>
    <xf numFmtId="2" fontId="17" fillId="0" borderId="192" xfId="0" applyNumberFormat="1" applyFont="1" applyFill="1" applyBorder="1" applyAlignment="1"/>
    <xf numFmtId="2" fontId="17" fillId="29" borderId="192" xfId="0" applyNumberFormat="1" applyFont="1" applyFill="1" applyBorder="1" applyAlignment="1"/>
    <xf numFmtId="0" fontId="17" fillId="0" borderId="192" xfId="0" applyFont="1" applyFill="1" applyBorder="1" applyAlignment="1">
      <alignment wrapText="1"/>
    </xf>
    <xf numFmtId="0" fontId="81" fillId="0" borderId="0" xfId="0" applyFont="1" applyFill="1" applyAlignment="1"/>
    <xf numFmtId="0" fontId="13" fillId="0" borderId="192" xfId="0" applyFont="1" applyFill="1" applyBorder="1" applyAlignment="1">
      <alignment horizontal="left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3" xfId="0" applyFont="1" applyFill="1" applyBorder="1" applyAlignment="1">
      <alignment horizontal="center" vertical="center" wrapText="1"/>
    </xf>
    <xf numFmtId="10" fontId="180" fillId="0" borderId="192" xfId="85" applyNumberFormat="1" applyFont="1" applyFill="1" applyBorder="1" applyAlignment="1">
      <alignment horizontal="center" vertical="center"/>
    </xf>
    <xf numFmtId="4" fontId="181" fillId="0" borderId="192" xfId="0" applyNumberFormat="1" applyFont="1" applyFill="1" applyBorder="1" applyAlignment="1">
      <alignment horizontal="center" vertical="center"/>
    </xf>
    <xf numFmtId="4" fontId="168" fillId="0" borderId="20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4" fontId="17" fillId="0" borderId="206" xfId="0" applyNumberFormat="1" applyFont="1" applyFill="1" applyBorder="1" applyAlignment="1">
      <alignment horizontal="center" vertical="center"/>
    </xf>
    <xf numFmtId="0" fontId="13" fillId="0" borderId="206" xfId="0" applyFont="1" applyFill="1" applyBorder="1" applyAlignment="1">
      <alignment vertical="center"/>
    </xf>
    <xf numFmtId="10" fontId="17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0" fontId="14" fillId="0" borderId="0" xfId="0" applyFont="1" applyFill="1"/>
    <xf numFmtId="4" fontId="14" fillId="0" borderId="0" xfId="0" applyNumberFormat="1" applyFont="1" applyFill="1"/>
    <xf numFmtId="0" fontId="80" fillId="0" borderId="192" xfId="0" applyFont="1" applyFill="1" applyBorder="1" applyAlignment="1">
      <alignment horizontal="center" vertical="center"/>
    </xf>
    <xf numFmtId="0" fontId="17" fillId="0" borderId="205" xfId="0" applyFont="1" applyFill="1" applyBorder="1" applyAlignment="1">
      <alignment vertical="center" wrapText="1"/>
    </xf>
    <xf numFmtId="0" fontId="17" fillId="0" borderId="205" xfId="0" applyFont="1" applyFill="1" applyBorder="1" applyAlignment="1">
      <alignment horizontal="center" vertical="center"/>
    </xf>
    <xf numFmtId="169" fontId="17" fillId="0" borderId="205" xfId="0" applyNumberFormat="1" applyFont="1" applyFill="1" applyBorder="1" applyAlignment="1">
      <alignment horizontal="center" vertical="center"/>
    </xf>
    <xf numFmtId="169" fontId="61" fillId="0" borderId="205" xfId="0" applyNumberFormat="1" applyFont="1" applyFill="1" applyBorder="1" applyAlignment="1">
      <alignment horizontal="center" vertical="center"/>
    </xf>
    <xf numFmtId="4" fontId="80" fillId="0" borderId="205" xfId="0" applyNumberFormat="1" applyFont="1" applyFill="1" applyBorder="1" applyAlignment="1">
      <alignment horizontal="center" vertical="center"/>
    </xf>
    <xf numFmtId="0" fontId="17" fillId="0" borderId="192" xfId="0" applyFont="1" applyFill="1" applyBorder="1"/>
    <xf numFmtId="171" fontId="17" fillId="0" borderId="192" xfId="0" applyNumberFormat="1" applyFont="1" applyFill="1" applyBorder="1" applyAlignment="1">
      <alignment horizontal="center" vertical="center"/>
    </xf>
    <xf numFmtId="171" fontId="80" fillId="0" borderId="192" xfId="0" applyNumberFormat="1" applyFont="1" applyFill="1" applyBorder="1" applyAlignment="1">
      <alignment horizontal="center" vertical="center"/>
    </xf>
    <xf numFmtId="170" fontId="60" fillId="0" borderId="0" xfId="0" applyNumberFormat="1" applyFont="1" applyFill="1"/>
    <xf numFmtId="0" fontId="92" fillId="0" borderId="0" xfId="0" applyFont="1"/>
    <xf numFmtId="4" fontId="167" fillId="0" borderId="0" xfId="0" applyNumberFormat="1" applyFont="1" applyFill="1" applyBorder="1" applyAlignment="1">
      <alignment horizontal="center"/>
    </xf>
    <xf numFmtId="4" fontId="167" fillId="0" borderId="0" xfId="0" applyNumberFormat="1" applyFont="1" applyFill="1"/>
    <xf numFmtId="0" fontId="167" fillId="0" borderId="0" xfId="0" applyFont="1"/>
    <xf numFmtId="4" fontId="168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169" fontId="17" fillId="0" borderId="0" xfId="0" applyNumberFormat="1" applyFont="1" applyFill="1" applyBorder="1" applyAlignment="1">
      <alignment horizontal="center" vertical="center"/>
    </xf>
    <xf numFmtId="169" fontId="61" fillId="0" borderId="0" xfId="0" applyNumberFormat="1" applyFont="1" applyFill="1" applyBorder="1" applyAlignment="1">
      <alignment horizontal="center" vertical="center"/>
    </xf>
    <xf numFmtId="4" fontId="8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0" borderId="208" xfId="0" applyFont="1" applyFill="1" applyBorder="1" applyAlignment="1">
      <alignment vertical="center" wrapText="1"/>
    </xf>
    <xf numFmtId="0" fontId="17" fillId="0" borderId="208" xfId="0" applyFont="1" applyFill="1" applyBorder="1" applyAlignment="1">
      <alignment horizontal="center" vertical="center"/>
    </xf>
    <xf numFmtId="169" fontId="17" fillId="0" borderId="208" xfId="0" applyNumberFormat="1" applyFont="1" applyFill="1" applyBorder="1" applyAlignment="1">
      <alignment horizontal="center" vertical="center"/>
    </xf>
    <xf numFmtId="169" fontId="61" fillId="0" borderId="208" xfId="0" applyNumberFormat="1" applyFont="1" applyFill="1" applyBorder="1" applyAlignment="1">
      <alignment horizontal="center" vertical="center"/>
    </xf>
    <xf numFmtId="4" fontId="80" fillId="0" borderId="208" xfId="0" applyNumberFormat="1" applyFont="1" applyFill="1" applyBorder="1" applyAlignment="1">
      <alignment horizontal="center" vertical="center"/>
    </xf>
    <xf numFmtId="0" fontId="13" fillId="0" borderId="208" xfId="0" applyFont="1" applyFill="1" applyBorder="1" applyAlignment="1">
      <alignment vertical="center"/>
    </xf>
    <xf numFmtId="2" fontId="17" fillId="0" borderId="192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vertical="center"/>
    </xf>
    <xf numFmtId="4" fontId="17" fillId="0" borderId="192" xfId="85" applyNumberFormat="1" applyFont="1" applyFill="1" applyBorder="1" applyAlignment="1">
      <alignment horizontal="center" vertical="center"/>
    </xf>
    <xf numFmtId="10" fontId="18" fillId="0" borderId="0" xfId="85" applyNumberFormat="1" applyFont="1" applyFill="1" applyBorder="1"/>
    <xf numFmtId="171" fontId="60" fillId="0" borderId="192" xfId="0" applyNumberFormat="1" applyFont="1" applyFill="1" applyBorder="1" applyAlignment="1">
      <alignment horizontal="center"/>
    </xf>
    <xf numFmtId="171" fontId="61" fillId="0" borderId="192" xfId="0" applyNumberFormat="1" applyFont="1" applyFill="1" applyBorder="1" applyAlignment="1">
      <alignment horizontal="center"/>
    </xf>
    <xf numFmtId="0" fontId="13" fillId="0" borderId="0" xfId="0" applyFont="1" applyFill="1" applyAlignment="1"/>
    <xf numFmtId="0" fontId="14" fillId="0" borderId="192" xfId="0" applyFont="1" applyFill="1" applyBorder="1" applyAlignment="1"/>
    <xf numFmtId="0" fontId="14" fillId="0" borderId="0" xfId="0" applyFont="1" applyFill="1" applyAlignment="1"/>
    <xf numFmtId="171" fontId="17" fillId="0" borderId="192" xfId="0" applyNumberFormat="1" applyFont="1" applyFill="1" applyBorder="1" applyAlignment="1">
      <alignment horizontal="center"/>
    </xf>
    <xf numFmtId="171" fontId="80" fillId="0" borderId="192" xfId="0" applyNumberFormat="1" applyFont="1" applyFill="1" applyBorder="1" applyAlignment="1">
      <alignment horizontal="center"/>
    </xf>
    <xf numFmtId="0" fontId="136" fillId="0" borderId="192" xfId="96" applyFont="1" applyFill="1" applyBorder="1" applyAlignment="1">
      <alignment horizontal="center" vertical="center"/>
    </xf>
    <xf numFmtId="0" fontId="137" fillId="0" borderId="192" xfId="96" applyFont="1" applyFill="1" applyBorder="1" applyAlignment="1">
      <alignment vertical="center" wrapText="1"/>
    </xf>
    <xf numFmtId="4" fontId="137" fillId="0" borderId="192" xfId="96" applyNumberFormat="1" applyFont="1" applyFill="1" applyBorder="1" applyAlignment="1">
      <alignment horizontal="center" vertical="center" wrapText="1"/>
    </xf>
    <xf numFmtId="4" fontId="137" fillId="0" borderId="206" xfId="96" applyNumberFormat="1" applyFont="1" applyFill="1" applyBorder="1" applyAlignment="1">
      <alignment horizontal="center" vertical="center" wrapText="1"/>
    </xf>
    <xf numFmtId="0" fontId="48" fillId="0" borderId="0" xfId="96" applyFont="1" applyFill="1"/>
    <xf numFmtId="178" fontId="137" fillId="0" borderId="192" xfId="96" applyNumberFormat="1" applyFont="1" applyFill="1" applyBorder="1" applyAlignment="1">
      <alignment horizontal="center" vertical="center" wrapText="1"/>
    </xf>
    <xf numFmtId="3" fontId="137" fillId="0" borderId="192" xfId="96" applyNumberFormat="1" applyFont="1" applyFill="1" applyBorder="1" applyAlignment="1">
      <alignment horizontal="center" vertical="center" wrapText="1"/>
    </xf>
    <xf numFmtId="0" fontId="12" fillId="0" borderId="192" xfId="96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left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3" fillId="0" borderId="193" xfId="96" applyNumberFormat="1" applyFont="1" applyFill="1" applyBorder="1" applyAlignment="1">
      <alignment horizontal="center" vertical="center" wrapText="1"/>
    </xf>
    <xf numFmtId="4" fontId="92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" fillId="0" borderId="192" xfId="96" applyFont="1" applyFill="1" applyBorder="1" applyAlignment="1">
      <alignment horizontal="left" vertical="center" wrapText="1"/>
    </xf>
    <xf numFmtId="0" fontId="13" fillId="0" borderId="192" xfId="96" applyFont="1" applyFill="1" applyBorder="1" applyAlignment="1">
      <alignment horizontal="left" vertical="center" wrapText="1" indent="2"/>
    </xf>
    <xf numFmtId="0" fontId="13" fillId="0" borderId="193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left" vertical="center" wrapText="1" indent="3"/>
    </xf>
    <xf numFmtId="0" fontId="14" fillId="0" borderId="193" xfId="96" applyFont="1" applyFill="1" applyBorder="1" applyAlignment="1">
      <alignment horizontal="center" vertical="center"/>
    </xf>
    <xf numFmtId="4" fontId="14" fillId="0" borderId="192" xfId="96" applyNumberFormat="1" applyFont="1" applyFill="1" applyBorder="1" applyAlignment="1">
      <alignment horizontal="center" vertical="center" wrapText="1"/>
    </xf>
    <xf numFmtId="0" fontId="14" fillId="0" borderId="0" xfId="96" applyFont="1" applyFill="1"/>
    <xf numFmtId="4" fontId="183" fillId="0" borderId="192" xfId="96" applyNumberFormat="1" applyFont="1" applyFill="1" applyBorder="1" applyAlignment="1">
      <alignment horizontal="center" vertical="center" wrapText="1"/>
    </xf>
    <xf numFmtId="0" fontId="125" fillId="0" borderId="0" xfId="96" applyFont="1" applyFill="1" applyAlignment="1">
      <alignment vertical="center" wrapText="1"/>
    </xf>
    <xf numFmtId="0" fontId="137" fillId="0" borderId="192" xfId="96" applyFont="1" applyFill="1" applyBorder="1" applyAlignment="1">
      <alignment horizontal="center" vertical="center"/>
    </xf>
    <xf numFmtId="0" fontId="135" fillId="0" borderId="192" xfId="96" applyFont="1" applyFill="1" applyBorder="1" applyAlignment="1">
      <alignment horizontal="left" vertical="center" wrapText="1"/>
    </xf>
    <xf numFmtId="2" fontId="137" fillId="0" borderId="192" xfId="96" applyNumberFormat="1" applyFont="1" applyFill="1" applyBorder="1" applyAlignment="1">
      <alignment vertical="center"/>
    </xf>
    <xf numFmtId="2" fontId="137" fillId="0" borderId="193" xfId="96" applyNumberFormat="1" applyFont="1" applyFill="1" applyBorder="1" applyAlignment="1">
      <alignment vertical="center"/>
    </xf>
    <xf numFmtId="0" fontId="97" fillId="0" borderId="0" xfId="96" applyFont="1" applyFill="1" applyAlignment="1">
      <alignment vertical="center"/>
    </xf>
    <xf numFmtId="2" fontId="12" fillId="0" borderId="192" xfId="96" applyNumberFormat="1" applyFont="1" applyFill="1" applyBorder="1" applyAlignment="1">
      <alignment vertical="center"/>
    </xf>
    <xf numFmtId="2" fontId="165" fillId="0" borderId="192" xfId="96" applyNumberFormat="1" applyFont="1" applyFill="1" applyBorder="1" applyAlignment="1">
      <alignment vertical="center"/>
    </xf>
    <xf numFmtId="0" fontId="48" fillId="0" borderId="0" xfId="0" applyFont="1" applyFill="1" applyAlignment="1">
      <alignment vertical="center" wrapText="1"/>
    </xf>
    <xf numFmtId="4" fontId="92" fillId="0" borderId="192" xfId="0" applyNumberFormat="1" applyFont="1" applyFill="1" applyBorder="1" applyAlignment="1">
      <alignment horizontal="center" vertical="center" wrapText="1"/>
    </xf>
    <xf numFmtId="0" fontId="81" fillId="0" borderId="0" xfId="0" applyFont="1" applyFill="1" applyAlignment="1">
      <alignment vertical="center" wrapText="1"/>
    </xf>
    <xf numFmtId="4" fontId="13" fillId="0" borderId="193" xfId="0" applyNumberFormat="1" applyFont="1" applyFill="1" applyBorder="1" applyAlignment="1">
      <alignment horizontal="center" vertical="center" wrapText="1"/>
    </xf>
    <xf numFmtId="170" fontId="13" fillId="0" borderId="192" xfId="0" applyNumberFormat="1" applyFont="1" applyFill="1" applyBorder="1" applyAlignment="1">
      <alignment horizontal="center" vertical="center" wrapText="1"/>
    </xf>
    <xf numFmtId="170" fontId="92" fillId="0" borderId="192" xfId="0" applyNumberFormat="1" applyFont="1" applyFill="1" applyBorder="1" applyAlignment="1">
      <alignment horizontal="center" vertical="center" wrapText="1"/>
    </xf>
    <xf numFmtId="0" fontId="140" fillId="0" borderId="199" xfId="0" applyFont="1" applyFill="1" applyBorder="1" applyAlignment="1">
      <alignment wrapText="1"/>
    </xf>
    <xf numFmtId="0" fontId="13" fillId="0" borderId="205" xfId="0" applyFont="1" applyFill="1" applyBorder="1" applyAlignment="1">
      <alignment horizontal="center" vertical="center" wrapText="1"/>
    </xf>
    <xf numFmtId="0" fontId="13" fillId="0" borderId="213" xfId="0" applyFont="1" applyFill="1" applyBorder="1" applyAlignment="1">
      <alignment horizontal="center" vertical="center" wrapText="1"/>
    </xf>
    <xf numFmtId="4" fontId="13" fillId="0" borderId="205" xfId="0" applyNumberFormat="1" applyFont="1" applyFill="1" applyBorder="1" applyAlignment="1">
      <alignment horizontal="center" wrapText="1"/>
    </xf>
    <xf numFmtId="4" fontId="13" fillId="0" borderId="205" xfId="0" applyNumberFormat="1" applyFont="1" applyFill="1" applyBorder="1" applyAlignment="1">
      <alignment horizontal="center" vertical="center" wrapText="1"/>
    </xf>
    <xf numFmtId="0" fontId="81" fillId="0" borderId="0" xfId="0" applyFont="1" applyFill="1" applyAlignment="1">
      <alignment wrapText="1"/>
    </xf>
    <xf numFmtId="0" fontId="52" fillId="0" borderId="271" xfId="0" applyFont="1" applyFill="1" applyBorder="1" applyAlignment="1">
      <alignment horizontal="center" vertical="center" wrapText="1"/>
    </xf>
    <xf numFmtId="0" fontId="142" fillId="0" borderId="271" xfId="0" applyFont="1" applyFill="1" applyBorder="1" applyAlignment="1">
      <alignment vertical="center" wrapText="1"/>
    </xf>
    <xf numFmtId="0" fontId="52" fillId="0" borderId="254" xfId="0" applyFont="1" applyFill="1" applyBorder="1" applyAlignment="1">
      <alignment horizontal="center" vertical="center" wrapText="1"/>
    </xf>
    <xf numFmtId="0" fontId="52" fillId="0" borderId="255" xfId="0" applyFont="1" applyFill="1" applyBorder="1" applyAlignment="1">
      <alignment horizontal="center" vertical="center" wrapText="1"/>
    </xf>
    <xf numFmtId="4" fontId="52" fillId="0" borderId="192" xfId="0" applyNumberFormat="1" applyFont="1" applyFill="1" applyBorder="1" applyAlignment="1">
      <alignment horizontal="center" vertical="center" wrapText="1"/>
    </xf>
    <xf numFmtId="4" fontId="52" fillId="0" borderId="254" xfId="0" applyNumberFormat="1" applyFont="1" applyFill="1" applyBorder="1" applyAlignment="1">
      <alignment horizontal="center" vertical="center" wrapText="1"/>
    </xf>
    <xf numFmtId="0" fontId="52" fillId="0" borderId="0" xfId="0" applyFont="1" applyFill="1" applyAlignment="1">
      <alignment vertical="center" wrapText="1"/>
    </xf>
    <xf numFmtId="4" fontId="184" fillId="0" borderId="192" xfId="0" applyNumberFormat="1" applyFont="1" applyFill="1" applyBorder="1" applyAlignment="1">
      <alignment horizontal="center" vertical="center" wrapText="1"/>
    </xf>
    <xf numFmtId="0" fontId="12" fillId="0" borderId="206" xfId="96" applyFont="1" applyFill="1" applyBorder="1" applyAlignment="1">
      <alignment horizontal="center" vertical="center"/>
    </xf>
    <xf numFmtId="0" fontId="12" fillId="0" borderId="206" xfId="96" applyFont="1" applyFill="1" applyBorder="1" applyAlignment="1">
      <alignment horizontal="left" vertical="center" wrapText="1"/>
    </xf>
    <xf numFmtId="0" fontId="13" fillId="0" borderId="206" xfId="96" applyFont="1" applyFill="1" applyBorder="1" applyAlignment="1">
      <alignment horizontal="center" vertical="center"/>
    </xf>
    <xf numFmtId="0" fontId="13" fillId="0" borderId="215" xfId="96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left" vertical="center" wrapText="1" indent="2"/>
    </xf>
    <xf numFmtId="2" fontId="12" fillId="0" borderId="192" xfId="96" applyNumberFormat="1" applyFont="1" applyFill="1" applyBorder="1" applyAlignment="1">
      <alignment horizontal="center" vertical="center"/>
    </xf>
    <xf numFmtId="2" fontId="12" fillId="0" borderId="193" xfId="96" applyNumberFormat="1" applyFont="1" applyFill="1" applyBorder="1" applyAlignment="1">
      <alignment horizontal="center" vertical="center"/>
    </xf>
    <xf numFmtId="4" fontId="12" fillId="0" borderId="192" xfId="96" applyNumberFormat="1" applyFont="1" applyFill="1" applyBorder="1" applyAlignment="1">
      <alignment horizontal="center" vertical="center" wrapText="1"/>
    </xf>
    <xf numFmtId="0" fontId="51" fillId="0" borderId="0" xfId="96" applyFont="1" applyFill="1"/>
    <xf numFmtId="0" fontId="12" fillId="0" borderId="192" xfId="96" applyFont="1" applyFill="1" applyBorder="1" applyAlignment="1">
      <alignment horizontal="left" vertical="center" wrapText="1" indent="3"/>
    </xf>
    <xf numFmtId="2" fontId="13" fillId="0" borderId="192" xfId="96" applyNumberFormat="1" applyFont="1" applyFill="1" applyBorder="1" applyAlignment="1">
      <alignment horizontal="center" vertical="center"/>
    </xf>
    <xf numFmtId="0" fontId="12" fillId="0" borderId="193" xfId="96" applyFont="1" applyFill="1" applyBorder="1" applyAlignment="1">
      <alignment horizontal="center" vertical="center"/>
    </xf>
    <xf numFmtId="170" fontId="13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wrapText="1"/>
    </xf>
    <xf numFmtId="0" fontId="13" fillId="0" borderId="193" xfId="96" applyFont="1" applyFill="1" applyBorder="1"/>
    <xf numFmtId="0" fontId="92" fillId="0" borderId="192" xfId="96" applyFont="1" applyFill="1" applyBorder="1"/>
    <xf numFmtId="0" fontId="12" fillId="0" borderId="192" xfId="96" applyFont="1" applyFill="1" applyBorder="1" applyAlignment="1">
      <alignment horizontal="center"/>
    </xf>
    <xf numFmtId="0" fontId="12" fillId="0" borderId="192" xfId="96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/>
    </xf>
    <xf numFmtId="2" fontId="13" fillId="0" borderId="192" xfId="96" applyNumberFormat="1" applyFont="1" applyFill="1" applyBorder="1" applyAlignment="1">
      <alignment horizontal="center"/>
    </xf>
    <xf numFmtId="2" fontId="13" fillId="0" borderId="193" xfId="96" applyNumberFormat="1" applyFont="1" applyFill="1" applyBorder="1" applyAlignment="1">
      <alignment horizontal="center"/>
    </xf>
    <xf numFmtId="2" fontId="92" fillId="0" borderId="192" xfId="96" applyNumberFormat="1" applyFont="1" applyFill="1" applyBorder="1" applyAlignment="1">
      <alignment horizontal="center"/>
    </xf>
    <xf numFmtId="0" fontId="13" fillId="0" borderId="193" xfId="96" applyFont="1" applyFill="1" applyBorder="1" applyAlignment="1">
      <alignment horizontal="center"/>
    </xf>
    <xf numFmtId="169" fontId="13" fillId="0" borderId="192" xfId="96" applyNumberFormat="1" applyFont="1" applyFill="1" applyBorder="1" applyAlignment="1">
      <alignment horizontal="center"/>
    </xf>
    <xf numFmtId="169" fontId="92" fillId="0" borderId="192" xfId="96" applyNumberFormat="1" applyFont="1" applyFill="1" applyBorder="1" applyAlignment="1">
      <alignment horizontal="center"/>
    </xf>
    <xf numFmtId="170" fontId="13" fillId="0" borderId="192" xfId="96" applyNumberFormat="1" applyFont="1" applyFill="1" applyBorder="1" applyAlignment="1">
      <alignment horizontal="center"/>
    </xf>
    <xf numFmtId="170" fontId="13" fillId="0" borderId="193" xfId="96" applyNumberFormat="1" applyFont="1" applyFill="1" applyBorder="1" applyAlignment="1">
      <alignment horizontal="center"/>
    </xf>
    <xf numFmtId="4" fontId="13" fillId="0" borderId="192" xfId="96" applyNumberFormat="1" applyFont="1" applyFill="1" applyBorder="1" applyAlignment="1">
      <alignment horizontal="center"/>
    </xf>
    <xf numFmtId="4" fontId="92" fillId="0" borderId="192" xfId="96" applyNumberFormat="1" applyFont="1" applyFill="1" applyBorder="1" applyAlignment="1">
      <alignment horizontal="center"/>
    </xf>
    <xf numFmtId="4" fontId="13" fillId="0" borderId="193" xfId="96" applyNumberFormat="1" applyFont="1" applyFill="1" applyBorder="1" applyAlignment="1">
      <alignment horizontal="center"/>
    </xf>
    <xf numFmtId="0" fontId="92" fillId="0" borderId="192" xfId="96" applyFont="1" applyFill="1" applyBorder="1" applyAlignment="1">
      <alignment horizontal="center"/>
    </xf>
    <xf numFmtId="4" fontId="137" fillId="29" borderId="206" xfId="96" applyNumberFormat="1" applyFont="1" applyFill="1" applyBorder="1" applyAlignment="1">
      <alignment horizontal="center" vertical="center" wrapText="1"/>
    </xf>
    <xf numFmtId="178" fontId="137" fillId="29" borderId="192" xfId="96" applyNumberFormat="1" applyFont="1" applyFill="1" applyBorder="1" applyAlignment="1">
      <alignment horizontal="center" vertical="center" wrapText="1"/>
    </xf>
    <xf numFmtId="3" fontId="137" fillId="29" borderId="192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4" fillId="29" borderId="192" xfId="96" applyNumberFormat="1" applyFont="1" applyFill="1" applyBorder="1" applyAlignment="1">
      <alignment horizontal="center" vertical="center" wrapText="1"/>
    </xf>
    <xf numFmtId="2" fontId="12" fillId="29" borderId="192" xfId="96" applyNumberFormat="1" applyFont="1" applyFill="1" applyBorder="1" applyAlignment="1">
      <alignment vertical="center"/>
    </xf>
    <xf numFmtId="170" fontId="13" fillId="29" borderId="192" xfId="0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2" fontId="13" fillId="29" borderId="192" xfId="96" applyNumberFormat="1" applyFont="1" applyFill="1" applyBorder="1" applyAlignment="1">
      <alignment horizontal="center"/>
    </xf>
    <xf numFmtId="169" fontId="13" fillId="29" borderId="192" xfId="96" applyNumberFormat="1" applyFont="1" applyFill="1" applyBorder="1" applyAlignment="1">
      <alignment horizontal="center"/>
    </xf>
    <xf numFmtId="4" fontId="13" fillId="29" borderId="192" xfId="96" applyNumberFormat="1" applyFont="1" applyFill="1" applyBorder="1" applyAlignment="1">
      <alignment horizontal="center"/>
    </xf>
    <xf numFmtId="0" fontId="13" fillId="29" borderId="192" xfId="96" applyFont="1" applyFill="1" applyBorder="1" applyAlignment="1">
      <alignment horizontal="center"/>
    </xf>
    <xf numFmtId="4" fontId="52" fillId="29" borderId="192" xfId="0" applyNumberFormat="1" applyFont="1" applyFill="1" applyBorder="1" applyAlignment="1">
      <alignment horizontal="center" vertical="center" wrapText="1"/>
    </xf>
    <xf numFmtId="0" fontId="18" fillId="0" borderId="0" xfId="96" applyFont="1"/>
    <xf numFmtId="174" fontId="14" fillId="0" borderId="192" xfId="96" applyNumberFormat="1" applyFont="1" applyFill="1" applyBorder="1" applyAlignment="1">
      <alignment horizontal="center" vertical="center" wrapText="1"/>
    </xf>
    <xf numFmtId="174" fontId="183" fillId="0" borderId="192" xfId="96" applyNumberFormat="1" applyFont="1" applyFill="1" applyBorder="1" applyAlignment="1">
      <alignment horizontal="center" vertical="center" wrapText="1"/>
    </xf>
    <xf numFmtId="0" fontId="137" fillId="0" borderId="192" xfId="96" applyFont="1" applyFill="1" applyBorder="1" applyAlignment="1">
      <alignment horizontal="center"/>
    </xf>
    <xf numFmtId="0" fontId="137" fillId="0" borderId="192" xfId="96" applyFont="1" applyFill="1" applyBorder="1"/>
    <xf numFmtId="0" fontId="12" fillId="0" borderId="192" xfId="96" applyFont="1" applyFill="1" applyBorder="1"/>
    <xf numFmtId="0" fontId="165" fillId="0" borderId="192" xfId="96" applyFont="1" applyFill="1" applyBorder="1"/>
    <xf numFmtId="170" fontId="92" fillId="0" borderId="192" xfId="96" applyNumberFormat="1" applyFont="1" applyFill="1" applyBorder="1" applyAlignment="1">
      <alignment horizontal="center" vertical="center" wrapText="1"/>
    </xf>
    <xf numFmtId="0" fontId="140" fillId="0" borderId="192" xfId="0" applyFont="1" applyFill="1" applyBorder="1" applyAlignment="1">
      <alignment vertical="center" wrapText="1"/>
    </xf>
    <xf numFmtId="0" fontId="144" fillId="0" borderId="192" xfId="0" applyFont="1" applyFill="1" applyBorder="1" applyAlignment="1">
      <alignment horizontal="center" vertical="center" wrapText="1"/>
    </xf>
    <xf numFmtId="0" fontId="145" fillId="0" borderId="192" xfId="0" applyFont="1" applyFill="1" applyBorder="1" applyAlignment="1">
      <alignment vertical="center" wrapText="1"/>
    </xf>
    <xf numFmtId="4" fontId="144" fillId="0" borderId="192" xfId="0" applyNumberFormat="1" applyFont="1" applyFill="1" applyBorder="1" applyAlignment="1">
      <alignment horizontal="center" vertical="center" wrapText="1"/>
    </xf>
    <xf numFmtId="4" fontId="185" fillId="0" borderId="192" xfId="0" applyNumberFormat="1" applyFont="1" applyFill="1" applyBorder="1" applyAlignment="1">
      <alignment horizontal="center" vertical="center" wrapText="1"/>
    </xf>
    <xf numFmtId="4" fontId="137" fillId="29" borderId="192" xfId="96" applyNumberFormat="1" applyFont="1" applyFill="1" applyBorder="1" applyAlignment="1">
      <alignment horizontal="center" vertical="center" wrapText="1"/>
    </xf>
    <xf numFmtId="174" fontId="14" fillId="29" borderId="192" xfId="96" applyNumberFormat="1" applyFont="1" applyFill="1" applyBorder="1" applyAlignment="1">
      <alignment horizontal="center" vertical="center" wrapText="1"/>
    </xf>
    <xf numFmtId="0" fontId="12" fillId="29" borderId="192" xfId="96" applyFont="1" applyFill="1" applyBorder="1"/>
    <xf numFmtId="170" fontId="13" fillId="29" borderId="192" xfId="96" applyNumberFormat="1" applyFont="1" applyFill="1" applyBorder="1" applyAlignment="1">
      <alignment horizontal="center" vertical="center" wrapText="1"/>
    </xf>
    <xf numFmtId="4" fontId="144" fillId="29" borderId="192" xfId="0" applyNumberFormat="1" applyFont="1" applyFill="1" applyBorder="1" applyAlignment="1">
      <alignment horizontal="center" vertical="center" wrapText="1"/>
    </xf>
    <xf numFmtId="169" fontId="13" fillId="29" borderId="192" xfId="96" applyNumberFormat="1" applyFont="1" applyFill="1" applyBorder="1" applyAlignment="1">
      <alignment horizontal="center" vertical="center"/>
    </xf>
    <xf numFmtId="2" fontId="12" fillId="29" borderId="192" xfId="96" applyNumberFormat="1" applyFont="1" applyFill="1" applyBorder="1" applyAlignment="1">
      <alignment horizontal="center" vertical="center"/>
    </xf>
    <xf numFmtId="169" fontId="13" fillId="0" borderId="192" xfId="96" applyNumberFormat="1" applyFont="1" applyFill="1" applyBorder="1" applyAlignment="1">
      <alignment horizontal="center" vertical="center"/>
    </xf>
    <xf numFmtId="178" fontId="12" fillId="0" borderId="192" xfId="96" applyNumberFormat="1" applyFont="1" applyFill="1" applyBorder="1" applyAlignment="1">
      <alignment horizontal="center" vertical="center" wrapText="1"/>
    </xf>
    <xf numFmtId="3" fontId="12" fillId="0" borderId="192" xfId="96" applyNumberFormat="1" applyFont="1" applyFill="1" applyBorder="1" applyAlignment="1">
      <alignment horizontal="center" vertical="center" wrapText="1"/>
    </xf>
    <xf numFmtId="2" fontId="165" fillId="0" borderId="192" xfId="96" applyNumberFormat="1" applyFont="1" applyFill="1" applyBorder="1" applyAlignment="1">
      <alignment horizontal="center" vertical="center"/>
    </xf>
    <xf numFmtId="169" fontId="92" fillId="0" borderId="192" xfId="96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/>
    <xf numFmtId="2" fontId="13" fillId="0" borderId="192" xfId="96" applyNumberFormat="1" applyFont="1" applyFill="1" applyBorder="1"/>
    <xf numFmtId="0" fontId="12" fillId="0" borderId="192" xfId="96" applyFont="1" applyFill="1" applyBorder="1" applyAlignment="1">
      <alignment vertical="center" wrapText="1"/>
    </xf>
    <xf numFmtId="170" fontId="14" fillId="0" borderId="192" xfId="96" applyNumberFormat="1" applyFont="1" applyFill="1" applyBorder="1" applyAlignment="1">
      <alignment horizontal="center" vertical="center" wrapText="1"/>
    </xf>
    <xf numFmtId="0" fontId="15" fillId="0" borderId="192" xfId="96" applyFont="1" applyFill="1" applyBorder="1" applyAlignment="1">
      <alignment horizontal="left" vertical="center" wrapText="1"/>
    </xf>
    <xf numFmtId="0" fontId="23" fillId="0" borderId="192" xfId="0" applyFont="1" applyFill="1" applyBorder="1" applyAlignment="1">
      <alignment wrapText="1"/>
    </xf>
    <xf numFmtId="0" fontId="144" fillId="0" borderId="192" xfId="0" applyFont="1" applyFill="1" applyBorder="1" applyAlignment="1">
      <alignment vertical="center" wrapText="1"/>
    </xf>
    <xf numFmtId="0" fontId="58" fillId="0" borderId="0" xfId="96" applyFont="1" applyAlignment="1">
      <alignment wrapText="1"/>
    </xf>
    <xf numFmtId="170" fontId="14" fillId="29" borderId="192" xfId="96" applyNumberFormat="1" applyFont="1" applyFill="1" applyBorder="1" applyAlignment="1">
      <alignment horizontal="center" vertical="center" wrapText="1"/>
    </xf>
    <xf numFmtId="0" fontId="140" fillId="0" borderId="192" xfId="0" applyFont="1" applyFill="1" applyBorder="1" applyAlignment="1">
      <alignment vertical="top" wrapText="1"/>
    </xf>
    <xf numFmtId="0" fontId="146" fillId="0" borderId="192" xfId="0" applyFont="1" applyFill="1" applyBorder="1" applyAlignment="1">
      <alignment vertical="center" wrapText="1"/>
    </xf>
    <xf numFmtId="0" fontId="0" fillId="0" borderId="0" xfId="0" applyAlignment="1"/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7" fillId="38" borderId="257" xfId="0" applyFont="1" applyFill="1" applyBorder="1" applyAlignment="1">
      <alignment horizontal="center" vertical="center" wrapText="1"/>
    </xf>
    <xf numFmtId="0" fontId="60" fillId="38" borderId="258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64" fillId="0" borderId="0" xfId="0" applyFont="1" applyAlignment="1"/>
    <xf numFmtId="0" fontId="12" fillId="0" borderId="0" xfId="0" applyFont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0" fillId="0" borderId="0" xfId="0" applyBorder="1" applyAlignment="1"/>
    <xf numFmtId="0" fontId="49" fillId="0" borderId="270" xfId="150" applyFont="1" applyFill="1" applyBorder="1" applyAlignment="1">
      <alignment vertical="center"/>
    </xf>
    <xf numFmtId="4" fontId="49" fillId="0" borderId="270" xfId="150" applyNumberFormat="1" applyFont="1" applyFill="1" applyBorder="1" applyAlignment="1">
      <alignment vertical="center"/>
    </xf>
    <xf numFmtId="0" fontId="49" fillId="0" borderId="270" xfId="150" applyFont="1" applyFill="1" applyBorder="1" applyAlignment="1">
      <alignment vertical="center" wrapText="1"/>
    </xf>
    <xf numFmtId="0" fontId="81" fillId="0" borderId="17" xfId="0" applyFont="1" applyFill="1" applyBorder="1" applyAlignment="1">
      <alignment horizontal="center" vertical="center" wrapText="1"/>
    </xf>
    <xf numFmtId="0" fontId="81" fillId="0" borderId="18" xfId="0" applyFont="1" applyFill="1" applyBorder="1" applyAlignment="1">
      <alignment horizontal="center" vertical="center" wrapText="1"/>
    </xf>
    <xf numFmtId="4" fontId="88" fillId="0" borderId="257" xfId="0" applyNumberFormat="1" applyFont="1" applyFill="1" applyBorder="1" applyAlignment="1">
      <alignment horizontal="center" vertical="center"/>
    </xf>
    <xf numFmtId="4" fontId="88" fillId="0" borderId="192" xfId="0" applyNumberFormat="1" applyFont="1" applyFill="1" applyBorder="1" applyAlignment="1"/>
    <xf numFmtId="2" fontId="88" fillId="0" borderId="192" xfId="0" applyNumberFormat="1" applyFont="1" applyFill="1" applyBorder="1" applyAlignment="1"/>
    <xf numFmtId="0" fontId="118" fillId="0" borderId="0" xfId="0" applyFont="1" applyFill="1" applyAlignment="1"/>
    <xf numFmtId="0" fontId="118" fillId="0" borderId="0" xfId="0" applyFont="1" applyFill="1"/>
    <xf numFmtId="4" fontId="88" fillId="0" borderId="192" xfId="0" applyNumberFormat="1" applyFont="1" applyFill="1" applyBorder="1"/>
    <xf numFmtId="2" fontId="88" fillId="0" borderId="192" xfId="0" applyNumberFormat="1" applyFont="1" applyFill="1" applyBorder="1"/>
    <xf numFmtId="4" fontId="88" fillId="0" borderId="0" xfId="0" applyNumberFormat="1" applyFont="1" applyFill="1" applyBorder="1" applyAlignment="1">
      <alignment horizontal="center"/>
    </xf>
    <xf numFmtId="0" fontId="96" fillId="0" borderId="0" xfId="0" applyFont="1"/>
    <xf numFmtId="0" fontId="0" fillId="0" borderId="0" xfId="0" applyBorder="1" applyAlignment="1">
      <alignment horizontal="center" vertical="center" wrapText="1"/>
    </xf>
    <xf numFmtId="0" fontId="13" fillId="27" borderId="0" xfId="96" applyFont="1" applyFill="1" applyBorder="1" applyAlignment="1">
      <alignment horizontal="center" vertical="center" wrapText="1"/>
    </xf>
    <xf numFmtId="4" fontId="165" fillId="0" borderId="0" xfId="96" applyNumberFormat="1" applyFont="1" applyFill="1" applyBorder="1" applyAlignment="1">
      <alignment horizontal="center" vertical="center" wrapText="1"/>
    </xf>
    <xf numFmtId="4" fontId="92" fillId="0" borderId="0" xfId="96" applyNumberFormat="1" applyFont="1" applyFill="1" applyBorder="1" applyAlignment="1">
      <alignment horizontal="center" vertical="center" wrapText="1"/>
    </xf>
    <xf numFmtId="4" fontId="96" fillId="0" borderId="192" xfId="0" applyNumberFormat="1" applyFont="1" applyFill="1" applyBorder="1" applyAlignment="1">
      <alignment vertical="center"/>
    </xf>
    <xf numFmtId="4" fontId="117" fillId="0" borderId="213" xfId="85" applyNumberFormat="1" applyFont="1" applyFill="1" applyBorder="1" applyAlignment="1">
      <alignment horizontal="center" vertical="center"/>
    </xf>
    <xf numFmtId="0" fontId="13" fillId="38" borderId="0" xfId="0" applyFont="1" applyFill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174" fontId="13" fillId="0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 applyBorder="1" applyAlignment="1">
      <alignment horizontal="center" vertical="center"/>
    </xf>
    <xf numFmtId="4" fontId="125" fillId="0" borderId="206" xfId="0" applyNumberFormat="1" applyFont="1" applyFill="1" applyBorder="1" applyAlignment="1">
      <alignment horizontal="center" vertical="center"/>
    </xf>
    <xf numFmtId="4" fontId="117" fillId="29" borderId="192" xfId="0" applyNumberFormat="1" applyFont="1" applyFill="1" applyBorder="1" applyAlignment="1">
      <alignment horizontal="center" vertical="center"/>
    </xf>
    <xf numFmtId="4" fontId="60" fillId="29" borderId="277" xfId="0" applyNumberFormat="1" applyFont="1" applyFill="1" applyBorder="1" applyAlignment="1">
      <alignment horizontal="right" vertical="center"/>
    </xf>
    <xf numFmtId="4" fontId="143" fillId="29" borderId="192" xfId="0" applyNumberFormat="1" applyFont="1" applyFill="1" applyBorder="1" applyAlignment="1">
      <alignment horizontal="center" vertical="center"/>
    </xf>
    <xf numFmtId="178" fontId="17" fillId="29" borderId="16" xfId="0" applyNumberFormat="1" applyFont="1" applyFill="1" applyBorder="1" applyAlignment="1">
      <alignment horizontal="center" vertical="center"/>
    </xf>
    <xf numFmtId="178" fontId="17" fillId="29" borderId="17" xfId="0" applyNumberFormat="1" applyFont="1" applyFill="1" applyBorder="1" applyAlignment="1">
      <alignment horizontal="center" vertical="center"/>
    </xf>
    <xf numFmtId="178" fontId="17" fillId="29" borderId="169" xfId="0" applyNumberFormat="1" applyFont="1" applyFill="1" applyBorder="1" applyAlignment="1">
      <alignment horizontal="center" vertical="center"/>
    </xf>
    <xf numFmtId="178" fontId="60" fillId="29" borderId="169" xfId="0" applyNumberFormat="1" applyFont="1" applyFill="1" applyBorder="1" applyAlignment="1">
      <alignment horizontal="center" vertical="center"/>
    </xf>
    <xf numFmtId="178" fontId="61" fillId="29" borderId="169" xfId="85" applyNumberFormat="1" applyFont="1" applyFill="1" applyBorder="1" applyAlignment="1">
      <alignment horizontal="center" vertical="center"/>
    </xf>
    <xf numFmtId="178" fontId="80" fillId="29" borderId="169" xfId="0" applyNumberFormat="1" applyFont="1" applyFill="1" applyBorder="1" applyAlignment="1">
      <alignment horizontal="center" vertical="center" wrapText="1"/>
    </xf>
    <xf numFmtId="178" fontId="61" fillId="29" borderId="169" xfId="0" applyNumberFormat="1" applyFont="1" applyFill="1" applyBorder="1" applyAlignment="1">
      <alignment horizontal="center" vertical="center"/>
    </xf>
    <xf numFmtId="178" fontId="61" fillId="29" borderId="188" xfId="0" applyNumberFormat="1" applyFont="1" applyFill="1" applyBorder="1" applyAlignment="1">
      <alignment horizontal="center" vertical="center"/>
    </xf>
    <xf numFmtId="168" fontId="17" fillId="29" borderId="169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/>
    <xf numFmtId="0" fontId="12" fillId="29" borderId="192" xfId="0" applyFont="1" applyFill="1" applyBorder="1" applyAlignment="1">
      <alignment horizontal="center" vertical="center"/>
    </xf>
    <xf numFmtId="0" fontId="60" fillId="29" borderId="192" xfId="0" applyFont="1" applyFill="1" applyBorder="1" applyAlignment="1">
      <alignment vertical="center"/>
    </xf>
    <xf numFmtId="4" fontId="60" fillId="29" borderId="193" xfId="0" applyNumberFormat="1" applyFont="1" applyFill="1" applyBorder="1" applyAlignment="1">
      <alignment vertical="center"/>
    </xf>
    <xf numFmtId="4" fontId="13" fillId="29" borderId="193" xfId="85" applyNumberFormat="1" applyFont="1" applyFill="1" applyBorder="1" applyAlignment="1">
      <alignment horizontal="center" vertical="center"/>
    </xf>
    <xf numFmtId="4" fontId="13" fillId="29" borderId="213" xfId="85" applyNumberFormat="1" applyFont="1" applyFill="1" applyBorder="1" applyAlignment="1">
      <alignment horizontal="center" vertical="center"/>
    </xf>
    <xf numFmtId="0" fontId="117" fillId="29" borderId="192" xfId="0" applyFont="1" applyFill="1" applyBorder="1"/>
    <xf numFmtId="0" fontId="13" fillId="29" borderId="192" xfId="0" applyFont="1" applyFill="1" applyBorder="1" applyAlignment="1">
      <alignment wrapText="1"/>
    </xf>
    <xf numFmtId="1" fontId="13" fillId="29" borderId="192" xfId="0" applyNumberFormat="1" applyFont="1" applyFill="1" applyBorder="1" applyAlignment="1">
      <alignment horizontal="right" vertical="center"/>
    </xf>
    <xf numFmtId="169" fontId="13" fillId="29" borderId="192" xfId="0" applyNumberFormat="1" applyFont="1" applyFill="1" applyBorder="1" applyAlignment="1">
      <alignment horizontal="right" vertical="center"/>
    </xf>
    <xf numFmtId="174" fontId="13" fillId="29" borderId="192" xfId="79" applyNumberFormat="1" applyFont="1" applyFill="1" applyBorder="1" applyAlignment="1">
      <alignment horizontal="center" vertical="center"/>
    </xf>
    <xf numFmtId="168" fontId="14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/>
    </xf>
    <xf numFmtId="4" fontId="17" fillId="29" borderId="276" xfId="0" applyNumberFormat="1" applyFont="1" applyFill="1" applyBorder="1" applyAlignment="1">
      <alignment horizontal="center" vertical="center"/>
    </xf>
    <xf numFmtId="4" fontId="12" fillId="29" borderId="192" xfId="96" applyNumberFormat="1" applyFont="1" applyFill="1" applyBorder="1" applyAlignment="1">
      <alignment horizontal="center" vertical="center" wrapText="1"/>
    </xf>
    <xf numFmtId="0" fontId="12" fillId="29" borderId="192" xfId="0" applyFont="1" applyFill="1" applyBorder="1" applyAlignment="1">
      <alignment horizontal="center" vertical="center"/>
    </xf>
    <xf numFmtId="2" fontId="60" fillId="29" borderId="192" xfId="0" applyNumberFormat="1" applyFont="1" applyFill="1" applyBorder="1" applyAlignment="1">
      <alignment vertical="center"/>
    </xf>
    <xf numFmtId="0" fontId="167" fillId="0" borderId="192" xfId="0" applyFont="1" applyFill="1" applyBorder="1" applyAlignment="1">
      <alignment horizontal="center" vertical="center"/>
    </xf>
    <xf numFmtId="0" fontId="167" fillId="0" borderId="192" xfId="0" applyFont="1" applyFill="1" applyBorder="1" applyAlignment="1">
      <alignment vertical="center"/>
    </xf>
    <xf numFmtId="178" fontId="168" fillId="0" borderId="17" xfId="0" applyNumberFormat="1" applyFont="1" applyFill="1" applyBorder="1" applyAlignment="1">
      <alignment horizontal="center" vertical="center"/>
    </xf>
    <xf numFmtId="178" fontId="168" fillId="0" borderId="18" xfId="0" applyNumberFormat="1" applyFont="1" applyFill="1" applyBorder="1" applyAlignment="1">
      <alignment horizontal="center" vertical="center"/>
    </xf>
    <xf numFmtId="178" fontId="181" fillId="0" borderId="170" xfId="0" applyNumberFormat="1" applyFont="1" applyFill="1" applyBorder="1" applyAlignment="1">
      <alignment horizontal="center" vertical="center" wrapText="1"/>
    </xf>
    <xf numFmtId="0" fontId="81" fillId="29" borderId="16" xfId="0" applyFont="1" applyFill="1" applyBorder="1" applyAlignment="1">
      <alignment horizontal="center" vertical="center" wrapText="1"/>
    </xf>
    <xf numFmtId="0" fontId="81" fillId="29" borderId="17" xfId="0" applyFont="1" applyFill="1" applyBorder="1" applyAlignment="1">
      <alignment horizontal="center" vertical="center" wrapText="1"/>
    </xf>
    <xf numFmtId="4" fontId="92" fillId="29" borderId="192" xfId="0" applyNumberFormat="1" applyFont="1" applyFill="1" applyBorder="1" applyAlignment="1">
      <alignment horizontal="center" vertical="center"/>
    </xf>
    <xf numFmtId="178" fontId="92" fillId="29" borderId="192" xfId="0" applyNumberFormat="1" applyFont="1" applyFill="1" applyBorder="1" applyAlignment="1">
      <alignment horizontal="center" vertical="center"/>
    </xf>
    <xf numFmtId="4" fontId="92" fillId="0" borderId="192" xfId="0" applyNumberFormat="1" applyFont="1" applyFill="1" applyBorder="1" applyAlignment="1"/>
    <xf numFmtId="4" fontId="92" fillId="0" borderId="193" xfId="85" applyNumberFormat="1" applyFont="1" applyFill="1" applyBorder="1" applyAlignment="1">
      <alignment horizontal="center" vertical="center"/>
    </xf>
    <xf numFmtId="4" fontId="92" fillId="0" borderId="213" xfId="85" applyNumberFormat="1" applyFont="1" applyFill="1" applyBorder="1" applyAlignment="1">
      <alignment horizontal="center" vertical="center"/>
    </xf>
    <xf numFmtId="0" fontId="92" fillId="0" borderId="192" xfId="0" applyFont="1" applyFill="1" applyBorder="1" applyAlignment="1">
      <alignment vertical="center"/>
    </xf>
    <xf numFmtId="4" fontId="92" fillId="0" borderId="192" xfId="0" applyNumberFormat="1" applyFont="1" applyFill="1" applyBorder="1" applyAlignment="1">
      <alignment horizontal="right" vertical="center"/>
    </xf>
    <xf numFmtId="0" fontId="165" fillId="0" borderId="192" xfId="0" applyFont="1" applyFill="1" applyBorder="1" applyAlignment="1">
      <alignment horizontal="center" vertical="center"/>
    </xf>
    <xf numFmtId="9" fontId="92" fillId="0" borderId="192" xfId="85" applyFont="1" applyFill="1" applyBorder="1" applyAlignment="1">
      <alignment vertical="center"/>
    </xf>
    <xf numFmtId="4" fontId="48" fillId="29" borderId="192" xfId="79" applyNumberFormat="1" applyFont="1" applyFill="1" applyBorder="1" applyAlignment="1">
      <alignment horizontal="center" vertical="center"/>
    </xf>
    <xf numFmtId="4" fontId="92" fillId="0" borderId="192" xfId="79" applyNumberFormat="1" applyFont="1" applyFill="1" applyBorder="1" applyAlignment="1">
      <alignment horizontal="center" vertical="center"/>
    </xf>
    <xf numFmtId="10" fontId="92" fillId="0" borderId="192" xfId="85" applyNumberFormat="1" applyFont="1" applyFill="1" applyBorder="1" applyAlignment="1">
      <alignment horizontal="center" vertical="center"/>
    </xf>
    <xf numFmtId="178" fontId="92" fillId="0" borderId="192" xfId="79" applyNumberFormat="1" applyFont="1" applyFill="1" applyBorder="1" applyAlignment="1">
      <alignment horizontal="center" vertical="center"/>
    </xf>
    <xf numFmtId="170" fontId="92" fillId="0" borderId="192" xfId="79" applyNumberFormat="1" applyFont="1" applyFill="1" applyBorder="1" applyAlignment="1">
      <alignment horizontal="center" vertical="center"/>
    </xf>
    <xf numFmtId="174" fontId="92" fillId="0" borderId="192" xfId="79" applyNumberFormat="1" applyFont="1" applyFill="1" applyBorder="1" applyAlignment="1">
      <alignment horizontal="center" vertical="center"/>
    </xf>
    <xf numFmtId="4" fontId="186" fillId="0" borderId="192" xfId="79" applyNumberFormat="1" applyFont="1" applyFill="1" applyBorder="1" applyAlignment="1">
      <alignment horizontal="center" vertical="center"/>
    </xf>
    <xf numFmtId="171" fontId="165" fillId="0" borderId="192" xfId="85" applyNumberFormat="1" applyFont="1" applyFill="1" applyBorder="1" applyAlignment="1">
      <alignment vertical="center"/>
    </xf>
    <xf numFmtId="10" fontId="165" fillId="0" borderId="192" xfId="85" applyNumberFormat="1" applyFont="1" applyFill="1" applyBorder="1" applyAlignment="1">
      <alignment vertical="center"/>
    </xf>
    <xf numFmtId="193" fontId="165" fillId="0" borderId="192" xfId="85" applyNumberFormat="1" applyFont="1" applyFill="1" applyBorder="1" applyAlignment="1">
      <alignment vertical="center"/>
    </xf>
    <xf numFmtId="0" fontId="92" fillId="0" borderId="0" xfId="79" applyFont="1" applyBorder="1" applyAlignment="1">
      <alignment vertical="center"/>
    </xf>
    <xf numFmtId="0" fontId="92" fillId="0" borderId="194" xfId="79" applyFont="1" applyBorder="1" applyAlignment="1">
      <alignment vertical="center"/>
    </xf>
    <xf numFmtId="0" fontId="92" fillId="0" borderId="194" xfId="79" applyFont="1" applyBorder="1" applyAlignment="1">
      <alignment horizontal="center" vertical="center"/>
    </xf>
    <xf numFmtId="169" fontId="92" fillId="0" borderId="194" xfId="79" applyNumberFormat="1" applyFont="1" applyBorder="1" applyAlignment="1">
      <alignment horizontal="center" vertical="center"/>
    </xf>
    <xf numFmtId="169" fontId="165" fillId="0" borderId="194" xfId="79" applyNumberFormat="1" applyFont="1" applyBorder="1" applyAlignment="1">
      <alignment horizontal="center" vertical="center"/>
    </xf>
    <xf numFmtId="2" fontId="92" fillId="0" borderId="192" xfId="0" applyNumberFormat="1" applyFont="1" applyFill="1" applyBorder="1" applyAlignment="1">
      <alignment horizontal="center" vertical="center"/>
    </xf>
    <xf numFmtId="174" fontId="92" fillId="0" borderId="192" xfId="0" applyNumberFormat="1" applyFont="1" applyFill="1" applyBorder="1" applyAlignment="1">
      <alignment horizontal="center" vertical="center"/>
    </xf>
    <xf numFmtId="168" fontId="92" fillId="0" borderId="192" xfId="0" applyNumberFormat="1" applyFont="1" applyFill="1" applyBorder="1" applyAlignment="1">
      <alignment horizontal="center" vertical="center"/>
    </xf>
    <xf numFmtId="168" fontId="183" fillId="0" borderId="192" xfId="0" applyNumberFormat="1" applyFont="1" applyFill="1" applyBorder="1" applyAlignment="1">
      <alignment horizontal="center" vertical="center"/>
    </xf>
    <xf numFmtId="167" fontId="92" fillId="0" borderId="192" xfId="0" applyNumberFormat="1" applyFont="1" applyFill="1" applyBorder="1" applyAlignment="1">
      <alignment horizontal="center" vertical="center"/>
    </xf>
    <xf numFmtId="178" fontId="13" fillId="29" borderId="192" xfId="0" applyNumberFormat="1" applyFont="1" applyFill="1" applyBorder="1" applyAlignment="1">
      <alignment vertical="center"/>
    </xf>
    <xf numFmtId="2" fontId="13" fillId="29" borderId="192" xfId="0" applyNumberFormat="1" applyFont="1" applyFill="1" applyBorder="1" applyAlignment="1">
      <alignment horizontal="right" vertical="center"/>
    </xf>
    <xf numFmtId="1" fontId="92" fillId="0" borderId="192" xfId="0" applyNumberFormat="1" applyFont="1" applyFill="1" applyBorder="1" applyAlignment="1">
      <alignment vertical="center"/>
    </xf>
    <xf numFmtId="178" fontId="92" fillId="0" borderId="192" xfId="0" applyNumberFormat="1" applyFont="1" applyFill="1" applyBorder="1" applyAlignment="1">
      <alignment vertical="center" wrapText="1"/>
    </xf>
    <xf numFmtId="4" fontId="92" fillId="0" borderId="192" xfId="0" applyNumberFormat="1" applyFont="1" applyFill="1" applyBorder="1" applyAlignment="1">
      <alignment vertical="center" wrapText="1"/>
    </xf>
    <xf numFmtId="0" fontId="165" fillId="0" borderId="192" xfId="0" applyFont="1" applyFill="1" applyBorder="1" applyAlignment="1">
      <alignment vertical="center"/>
    </xf>
    <xf numFmtId="171" fontId="92" fillId="0" borderId="192" xfId="85" applyNumberFormat="1" applyFont="1" applyFill="1" applyBorder="1"/>
    <xf numFmtId="4" fontId="183" fillId="0" borderId="192" xfId="0" applyNumberFormat="1" applyFont="1" applyFill="1" applyBorder="1" applyAlignment="1">
      <alignment horizontal="right" vertical="center"/>
    </xf>
    <xf numFmtId="4" fontId="183" fillId="0" borderId="206" xfId="0" applyNumberFormat="1" applyFont="1" applyFill="1" applyBorder="1" applyAlignment="1">
      <alignment horizontal="center" vertical="center"/>
    </xf>
    <xf numFmtId="4" fontId="168" fillId="0" borderId="206" xfId="0" applyNumberFormat="1" applyFont="1" applyFill="1" applyBorder="1" applyAlignment="1">
      <alignment horizontal="center" vertical="center" wrapText="1"/>
    </xf>
    <xf numFmtId="171" fontId="167" fillId="0" borderId="192" xfId="85" applyNumberFormat="1" applyFont="1" applyFill="1" applyBorder="1" applyAlignment="1">
      <alignment horizontal="center" vertical="center"/>
    </xf>
    <xf numFmtId="178" fontId="181" fillId="0" borderId="192" xfId="0" applyNumberFormat="1" applyFont="1" applyFill="1" applyBorder="1" applyAlignment="1">
      <alignment horizontal="center" vertical="center"/>
    </xf>
    <xf numFmtId="4" fontId="168" fillId="0" borderId="192" xfId="0" applyNumberFormat="1" applyFont="1" applyFill="1" applyBorder="1" applyAlignment="1">
      <alignment horizontal="center" vertical="center" wrapText="1"/>
    </xf>
    <xf numFmtId="170" fontId="168" fillId="0" borderId="192" xfId="0" applyNumberFormat="1" applyFont="1" applyFill="1" applyBorder="1" applyAlignment="1">
      <alignment horizontal="center" vertical="center"/>
    </xf>
    <xf numFmtId="171" fontId="96" fillId="29" borderId="192" xfId="85" applyNumberFormat="1" applyFont="1" applyFill="1" applyBorder="1" applyAlignment="1">
      <alignment horizontal="center" vertical="center"/>
    </xf>
    <xf numFmtId="4" fontId="167" fillId="0" borderId="192" xfId="0" applyNumberFormat="1" applyFont="1" applyFill="1" applyBorder="1" applyAlignment="1"/>
    <xf numFmtId="4" fontId="180" fillId="0" borderId="192" xfId="0" applyNumberFormat="1" applyFont="1" applyFill="1" applyBorder="1" applyAlignment="1"/>
    <xf numFmtId="170" fontId="167" fillId="0" borderId="192" xfId="0" applyNumberFormat="1" applyFont="1" applyFill="1" applyBorder="1" applyAlignment="1"/>
    <xf numFmtId="4" fontId="168" fillId="0" borderId="192" xfId="0" applyNumberFormat="1" applyFont="1" applyFill="1" applyBorder="1" applyAlignment="1"/>
    <xf numFmtId="2" fontId="168" fillId="0" borderId="192" xfId="0" applyNumberFormat="1" applyFont="1" applyFill="1" applyBorder="1" applyAlignment="1"/>
    <xf numFmtId="0" fontId="89" fillId="0" borderId="0" xfId="0" applyFont="1" applyFill="1" applyAlignment="1"/>
    <xf numFmtId="4" fontId="182" fillId="0" borderId="0" xfId="0" applyNumberFormat="1" applyFont="1" applyFill="1"/>
    <xf numFmtId="2" fontId="182" fillId="0" borderId="0" xfId="0" applyNumberFormat="1" applyFont="1" applyFill="1"/>
    <xf numFmtId="174" fontId="182" fillId="0" borderId="0" xfId="0" applyNumberFormat="1" applyFont="1" applyFill="1"/>
    <xf numFmtId="192" fontId="13" fillId="29" borderId="192" xfId="79" applyNumberFormat="1" applyFont="1" applyFill="1" applyBorder="1" applyAlignment="1">
      <alignment horizontal="center" vertical="center"/>
    </xf>
    <xf numFmtId="170" fontId="167" fillId="0" borderId="0" xfId="0" applyNumberFormat="1" applyFont="1" applyFill="1"/>
    <xf numFmtId="4" fontId="165" fillId="0" borderId="192" xfId="96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65" fillId="0" borderId="192" xfId="96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65" fillId="0" borderId="192" xfId="96" applyNumberFormat="1" applyFont="1" applyFill="1" applyBorder="1" applyAlignment="1">
      <alignment horizontal="center" vertical="center" wrapText="1"/>
    </xf>
    <xf numFmtId="170" fontId="183" fillId="0" borderId="192" xfId="96" applyNumberFormat="1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13" fillId="38" borderId="205" xfId="79" applyFont="1" applyFill="1" applyBorder="1" applyAlignment="1">
      <alignment horizontal="center" vertical="center" wrapText="1"/>
    </xf>
    <xf numFmtId="4" fontId="117" fillId="35" borderId="192" xfId="0" applyNumberFormat="1" applyFont="1" applyFill="1" applyBorder="1"/>
    <xf numFmtId="4" fontId="143" fillId="35" borderId="192" xfId="0" applyNumberFormat="1" applyFont="1" applyFill="1" applyBorder="1" applyAlignment="1">
      <alignment horizontal="center" vertical="center"/>
    </xf>
    <xf numFmtId="4" fontId="117" fillId="35" borderId="192" xfId="0" applyNumberFormat="1" applyFont="1" applyFill="1" applyBorder="1" applyAlignment="1">
      <alignment horizontal="center" vertical="center"/>
    </xf>
    <xf numFmtId="178" fontId="117" fillId="35" borderId="192" xfId="0" applyNumberFormat="1" applyFont="1" applyFill="1" applyBorder="1" applyAlignment="1">
      <alignment horizontal="center" vertical="center"/>
    </xf>
    <xf numFmtId="192" fontId="117" fillId="35" borderId="192" xfId="0" applyNumberFormat="1" applyFont="1" applyFill="1" applyBorder="1" applyAlignment="1">
      <alignment horizontal="center" vertical="center"/>
    </xf>
    <xf numFmtId="166" fontId="117" fillId="35" borderId="192" xfId="0" applyNumberFormat="1" applyFont="1" applyFill="1" applyBorder="1" applyAlignment="1">
      <alignment horizontal="center" vertical="center"/>
    </xf>
    <xf numFmtId="4" fontId="92" fillId="35" borderId="192" xfId="0" applyNumberFormat="1" applyFont="1" applyFill="1" applyBorder="1"/>
    <xf numFmtId="4" fontId="165" fillId="35" borderId="192" xfId="0" applyNumberFormat="1" applyFont="1" applyFill="1" applyBorder="1" applyAlignment="1">
      <alignment horizontal="center" vertical="center"/>
    </xf>
    <xf numFmtId="4" fontId="13" fillId="35" borderId="192" xfId="0" applyNumberFormat="1" applyFont="1" applyFill="1" applyBorder="1" applyAlignment="1">
      <alignment horizontal="center" vertical="center"/>
    </xf>
    <xf numFmtId="178" fontId="13" fillId="35" borderId="192" xfId="0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 applyAlignment="1">
      <alignment horizontal="center" vertical="center"/>
    </xf>
    <xf numFmtId="166" fontId="13" fillId="35" borderId="192" xfId="0" applyNumberFormat="1" applyFont="1" applyFill="1" applyBorder="1"/>
    <xf numFmtId="178" fontId="17" fillId="35" borderId="11" xfId="0" applyNumberFormat="1" applyFont="1" applyFill="1" applyBorder="1" applyAlignment="1">
      <alignment horizontal="center" vertical="center"/>
    </xf>
    <xf numFmtId="178" fontId="17" fillId="35" borderId="257" xfId="0" applyNumberFormat="1" applyFont="1" applyFill="1" applyBorder="1" applyAlignment="1">
      <alignment horizontal="center" vertical="center"/>
    </xf>
    <xf numFmtId="178" fontId="60" fillId="35" borderId="257" xfId="0" applyNumberFormat="1" applyFont="1" applyFill="1" applyBorder="1" applyAlignment="1">
      <alignment horizontal="center" vertical="center"/>
    </xf>
    <xf numFmtId="178" fontId="61" fillId="35" borderId="257" xfId="85" applyNumberFormat="1" applyFont="1" applyFill="1" applyBorder="1" applyAlignment="1">
      <alignment horizontal="center" vertical="center"/>
    </xf>
    <xf numFmtId="178" fontId="80" fillId="35" borderId="257" xfId="0" applyNumberFormat="1" applyFont="1" applyFill="1" applyBorder="1" applyAlignment="1">
      <alignment horizontal="center" vertical="center" wrapText="1"/>
    </xf>
    <xf numFmtId="178" fontId="61" fillId="35" borderId="257" xfId="0" applyNumberFormat="1" applyFont="1" applyFill="1" applyBorder="1" applyAlignment="1">
      <alignment horizontal="center" vertical="center" wrapText="1"/>
    </xf>
    <xf numFmtId="178" fontId="61" fillId="35" borderId="257" xfId="0" applyNumberFormat="1" applyFont="1" applyFill="1" applyBorder="1" applyAlignment="1">
      <alignment horizontal="center" vertical="center"/>
    </xf>
    <xf numFmtId="178" fontId="61" fillId="35" borderId="258" xfId="0" applyNumberFormat="1" applyFont="1" applyFill="1" applyBorder="1" applyAlignment="1">
      <alignment horizontal="center" vertical="center"/>
    </xf>
    <xf numFmtId="168" fontId="17" fillId="35" borderId="257" xfId="0" applyNumberFormat="1" applyFont="1" applyFill="1" applyBorder="1" applyAlignment="1">
      <alignment horizontal="center" vertical="center"/>
    </xf>
    <xf numFmtId="4" fontId="60" fillId="35" borderId="272" xfId="0" applyNumberFormat="1" applyFont="1" applyFill="1" applyBorder="1" applyAlignment="1">
      <alignment horizontal="right" vertical="center"/>
    </xf>
    <xf numFmtId="4" fontId="13" fillId="35" borderId="192" xfId="85" applyNumberFormat="1" applyFont="1" applyFill="1" applyBorder="1" applyAlignment="1">
      <alignment horizontal="center" vertical="center"/>
    </xf>
    <xf numFmtId="4" fontId="13" fillId="35" borderId="205" xfId="85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 applyAlignment="1">
      <alignment vertical="center"/>
    </xf>
    <xf numFmtId="2" fontId="13" fillId="35" borderId="192" xfId="0" applyNumberFormat="1" applyFont="1" applyFill="1" applyBorder="1" applyAlignment="1">
      <alignment horizontal="center" vertical="center"/>
    </xf>
    <xf numFmtId="168" fontId="12" fillId="35" borderId="192" xfId="0" applyNumberFormat="1" applyFont="1" applyFill="1" applyBorder="1" applyAlignment="1">
      <alignment horizontal="center" vertical="center"/>
    </xf>
    <xf numFmtId="0" fontId="13" fillId="35" borderId="192" xfId="0" applyFont="1" applyFill="1" applyBorder="1" applyAlignment="1">
      <alignment horizontal="center" vertical="center"/>
    </xf>
    <xf numFmtId="0" fontId="13" fillId="35" borderId="192" xfId="0" applyFont="1" applyFill="1" applyBorder="1"/>
    <xf numFmtId="4" fontId="12" fillId="35" borderId="192" xfId="0" applyNumberFormat="1" applyFont="1" applyFill="1" applyBorder="1" applyAlignment="1">
      <alignment horizontal="center" vertical="center" wrapText="1"/>
    </xf>
    <xf numFmtId="2" fontId="12" fillId="35" borderId="192" xfId="0" applyNumberFormat="1" applyFont="1" applyFill="1" applyBorder="1" applyAlignment="1">
      <alignment horizontal="center" vertical="center" wrapText="1"/>
    </xf>
    <xf numFmtId="4" fontId="14" fillId="35" borderId="192" xfId="0" applyNumberFormat="1" applyFont="1" applyFill="1" applyBorder="1" applyAlignment="1">
      <alignment horizontal="right" vertical="center"/>
    </xf>
    <xf numFmtId="4" fontId="14" fillId="35" borderId="206" xfId="0" applyNumberFormat="1" applyFont="1" applyFill="1" applyBorder="1" applyAlignment="1">
      <alignment horizontal="center" vertical="center"/>
    </xf>
    <xf numFmtId="4" fontId="13" fillId="35" borderId="192" xfId="0" applyNumberFormat="1" applyFont="1" applyFill="1" applyBorder="1" applyAlignment="1">
      <alignment horizontal="center" vertical="center" wrapText="1"/>
    </xf>
    <xf numFmtId="4" fontId="13" fillId="35" borderId="192" xfId="0" applyNumberFormat="1" applyFont="1" applyFill="1" applyBorder="1" applyAlignment="1">
      <alignment horizontal="center" wrapText="1"/>
    </xf>
    <xf numFmtId="2" fontId="13" fillId="35" borderId="192" xfId="0" applyNumberFormat="1" applyFont="1" applyFill="1" applyBorder="1" applyAlignment="1">
      <alignment horizontal="center" vertical="center" wrapText="1"/>
    </xf>
    <xf numFmtId="4" fontId="13" fillId="35" borderId="192" xfId="0" applyNumberFormat="1" applyFont="1" applyFill="1" applyBorder="1" applyAlignment="1">
      <alignment vertical="center"/>
    </xf>
    <xf numFmtId="0" fontId="13" fillId="35" borderId="192" xfId="0" applyFont="1" applyFill="1" applyBorder="1" applyAlignment="1">
      <alignment vertical="center"/>
    </xf>
    <xf numFmtId="1" fontId="13" fillId="35" borderId="192" xfId="0" applyNumberFormat="1" applyFont="1" applyFill="1" applyBorder="1" applyAlignment="1">
      <alignment vertical="center"/>
    </xf>
    <xf numFmtId="178" fontId="13" fillId="35" borderId="192" xfId="0" applyNumberFormat="1" applyFont="1" applyFill="1" applyBorder="1" applyAlignment="1">
      <alignment vertical="center" wrapText="1"/>
    </xf>
    <xf numFmtId="4" fontId="13" fillId="35" borderId="192" xfId="0" applyNumberFormat="1" applyFont="1" applyFill="1" applyBorder="1" applyAlignment="1">
      <alignment vertical="center" wrapText="1"/>
    </xf>
    <xf numFmtId="0" fontId="12" fillId="35" borderId="192" xfId="0" applyFont="1" applyFill="1" applyBorder="1" applyAlignment="1">
      <alignment vertical="center"/>
    </xf>
    <xf numFmtId="171" fontId="13" fillId="35" borderId="192" xfId="85" applyNumberFormat="1" applyFont="1" applyFill="1" applyBorder="1"/>
    <xf numFmtId="4" fontId="13" fillId="35" borderId="192" xfId="0" applyNumberFormat="1" applyFont="1" applyFill="1" applyBorder="1"/>
    <xf numFmtId="2" fontId="13" fillId="35" borderId="192" xfId="0" applyNumberFormat="1" applyFont="1" applyFill="1" applyBorder="1"/>
    <xf numFmtId="2" fontId="60" fillId="35" borderId="192" xfId="0" applyNumberFormat="1" applyFont="1" applyFill="1" applyBorder="1" applyAlignment="1">
      <alignment horizontal="center" vertical="center"/>
    </xf>
    <xf numFmtId="4" fontId="60" fillId="35" borderId="192" xfId="0" applyNumberFormat="1" applyFont="1" applyFill="1" applyBorder="1" applyAlignment="1">
      <alignment horizontal="center" vertical="center"/>
    </xf>
    <xf numFmtId="10" fontId="61" fillId="35" borderId="192" xfId="85" applyNumberFormat="1" applyFont="1" applyFill="1" applyBorder="1" applyAlignment="1">
      <alignment horizontal="center" vertical="center"/>
    </xf>
    <xf numFmtId="4" fontId="17" fillId="35" borderId="192" xfId="0" applyNumberFormat="1" applyFont="1" applyFill="1" applyBorder="1" applyAlignment="1">
      <alignment horizontal="center" vertical="center"/>
    </xf>
    <xf numFmtId="4" fontId="61" fillId="35" borderId="192" xfId="0" applyNumberFormat="1" applyFont="1" applyFill="1" applyBorder="1" applyAlignment="1">
      <alignment vertical="center"/>
    </xf>
    <xf numFmtId="10" fontId="60" fillId="35" borderId="192" xfId="0" applyNumberFormat="1" applyFont="1" applyFill="1" applyBorder="1" applyAlignment="1">
      <alignment vertical="center"/>
    </xf>
    <xf numFmtId="4" fontId="61" fillId="35" borderId="192" xfId="0" applyNumberFormat="1" applyFont="1" applyFill="1" applyBorder="1" applyAlignment="1">
      <alignment horizontal="center" vertical="center"/>
    </xf>
    <xf numFmtId="10" fontId="60" fillId="35" borderId="192" xfId="85" applyNumberFormat="1" applyFont="1" applyFill="1" applyBorder="1" applyAlignment="1">
      <alignment horizontal="center" vertical="center"/>
    </xf>
    <xf numFmtId="4" fontId="60" fillId="35" borderId="192" xfId="0" applyNumberFormat="1" applyFont="1" applyFill="1" applyBorder="1" applyAlignment="1">
      <alignment vertical="center"/>
    </xf>
    <xf numFmtId="2" fontId="13" fillId="35" borderId="192" xfId="0" applyNumberFormat="1" applyFont="1" applyFill="1" applyBorder="1" applyAlignment="1">
      <alignment horizontal="right" vertical="center"/>
    </xf>
    <xf numFmtId="4" fontId="13" fillId="35" borderId="193" xfId="0" applyNumberFormat="1" applyFont="1" applyFill="1" applyBorder="1"/>
    <xf numFmtId="0" fontId="92" fillId="35" borderId="192" xfId="0" applyFont="1" applyFill="1" applyBorder="1"/>
    <xf numFmtId="178" fontId="12" fillId="35" borderId="192" xfId="0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/>
    <xf numFmtId="170" fontId="13" fillId="35" borderId="192" xfId="0" applyNumberFormat="1" applyFont="1" applyFill="1" applyBorder="1" applyAlignment="1">
      <alignment horizontal="right" vertical="center"/>
    </xf>
    <xf numFmtId="169" fontId="12" fillId="35" borderId="192" xfId="0" applyNumberFormat="1" applyFont="1" applyFill="1" applyBorder="1" applyAlignment="1">
      <alignment horizontal="right" vertical="center"/>
    </xf>
    <xf numFmtId="0" fontId="12" fillId="35" borderId="192" xfId="0" applyFont="1" applyFill="1" applyBorder="1" applyAlignment="1">
      <alignment horizontal="center" vertical="center"/>
    </xf>
    <xf numFmtId="2" fontId="14" fillId="35" borderId="192" xfId="89" applyNumberFormat="1" applyFont="1" applyFill="1" applyBorder="1" applyAlignment="1">
      <alignment horizontal="center" vertical="center"/>
    </xf>
    <xf numFmtId="9" fontId="13" fillId="35" borderId="192" xfId="85" applyFont="1" applyFill="1" applyBorder="1" applyAlignment="1">
      <alignment vertical="center"/>
    </xf>
    <xf numFmtId="3" fontId="12" fillId="35" borderId="192" xfId="0" applyNumberFormat="1" applyFont="1" applyFill="1" applyBorder="1" applyAlignment="1">
      <alignment horizontal="center" vertical="center"/>
    </xf>
    <xf numFmtId="170" fontId="13" fillId="35" borderId="193" xfId="0" applyNumberFormat="1" applyFont="1" applyFill="1" applyBorder="1" applyAlignment="1">
      <alignment horizontal="right" vertical="center"/>
    </xf>
    <xf numFmtId="3" fontId="13" fillId="35" borderId="192" xfId="0" applyNumberFormat="1" applyFont="1" applyFill="1" applyBorder="1" applyAlignment="1">
      <alignment vertical="center"/>
    </xf>
    <xf numFmtId="2" fontId="12" fillId="35" borderId="192" xfId="0" applyNumberFormat="1" applyFont="1" applyFill="1" applyBorder="1" applyAlignment="1">
      <alignment horizontal="center" vertical="center"/>
    </xf>
    <xf numFmtId="4" fontId="12" fillId="35" borderId="192" xfId="0" applyNumberFormat="1" applyFont="1" applyFill="1" applyBorder="1" applyAlignment="1">
      <alignment horizontal="right"/>
    </xf>
    <xf numFmtId="4" fontId="13" fillId="35" borderId="192" xfId="79" applyNumberFormat="1" applyFont="1" applyFill="1" applyBorder="1" applyAlignment="1">
      <alignment horizontal="center" vertical="center"/>
    </xf>
    <xf numFmtId="10" fontId="13" fillId="35" borderId="192" xfId="85" applyNumberFormat="1" applyFont="1" applyFill="1" applyBorder="1" applyAlignment="1">
      <alignment horizontal="center" vertical="center"/>
    </xf>
    <xf numFmtId="4" fontId="51" fillId="35" borderId="192" xfId="79" applyNumberFormat="1" applyFont="1" applyFill="1" applyBorder="1" applyAlignment="1">
      <alignment horizontal="center" vertical="center"/>
    </xf>
    <xf numFmtId="10" fontId="12" fillId="35" borderId="192" xfId="85" applyNumberFormat="1" applyFont="1" applyFill="1" applyBorder="1" applyAlignment="1">
      <alignment vertical="center"/>
    </xf>
    <xf numFmtId="168" fontId="13" fillId="35" borderId="192" xfId="0" applyNumberFormat="1" applyFont="1" applyFill="1" applyBorder="1" applyAlignment="1">
      <alignment horizontal="center" vertical="center"/>
    </xf>
    <xf numFmtId="167" fontId="13" fillId="35" borderId="192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right" vertical="center"/>
    </xf>
    <xf numFmtId="4" fontId="17" fillId="35" borderId="206" xfId="0" applyNumberFormat="1" applyFont="1" applyFill="1" applyBorder="1" applyAlignment="1">
      <alignment horizontal="center" vertical="center" wrapText="1"/>
    </xf>
    <xf numFmtId="171" fontId="60" fillId="35" borderId="192" xfId="85" applyNumberFormat="1" applyFont="1" applyFill="1" applyBorder="1" applyAlignment="1">
      <alignment horizontal="center" vertical="center"/>
    </xf>
    <xf numFmtId="2" fontId="17" fillId="35" borderId="192" xfId="0" applyNumberFormat="1" applyFont="1" applyFill="1" applyBorder="1" applyAlignment="1">
      <alignment horizontal="center" vertical="center"/>
    </xf>
    <xf numFmtId="4" fontId="80" fillId="35" borderId="192" xfId="0" applyNumberFormat="1" applyFont="1" applyFill="1" applyBorder="1" applyAlignment="1">
      <alignment horizontal="center" vertical="center"/>
    </xf>
    <xf numFmtId="178" fontId="80" fillId="35" borderId="192" xfId="0" applyNumberFormat="1" applyFont="1" applyFill="1" applyBorder="1" applyAlignment="1">
      <alignment horizontal="center" vertical="center"/>
    </xf>
    <xf numFmtId="4" fontId="17" fillId="35" borderId="192" xfId="0" applyNumberFormat="1" applyFont="1" applyFill="1" applyBorder="1" applyAlignment="1">
      <alignment horizontal="center" vertical="center" wrapText="1"/>
    </xf>
    <xf numFmtId="170" fontId="17" fillId="35" borderId="192" xfId="0" applyNumberFormat="1" applyFont="1" applyFill="1" applyBorder="1" applyAlignment="1">
      <alignment horizontal="center" vertical="center"/>
    </xf>
    <xf numFmtId="4" fontId="17" fillId="35" borderId="192" xfId="0" applyNumberFormat="1" applyFont="1" applyFill="1" applyBorder="1" applyAlignment="1"/>
    <xf numFmtId="4" fontId="17" fillId="35" borderId="205" xfId="0" applyNumberFormat="1" applyFont="1" applyFill="1" applyBorder="1" applyAlignment="1">
      <alignment horizontal="center" vertical="center"/>
    </xf>
    <xf numFmtId="0" fontId="81" fillId="35" borderId="0" xfId="0" applyFont="1" applyFill="1"/>
    <xf numFmtId="4" fontId="81" fillId="35" borderId="0" xfId="0" applyNumberFormat="1" applyFont="1" applyFill="1"/>
    <xf numFmtId="174" fontId="81" fillId="35" borderId="0" xfId="0" applyNumberFormat="1" applyFont="1" applyFill="1"/>
    <xf numFmtId="4" fontId="60" fillId="35" borderId="192" xfId="0" applyNumberFormat="1" applyFont="1" applyFill="1" applyBorder="1" applyAlignment="1"/>
    <xf numFmtId="4" fontId="61" fillId="35" borderId="192" xfId="0" applyNumberFormat="1" applyFont="1" applyFill="1" applyBorder="1" applyAlignment="1"/>
    <xf numFmtId="170" fontId="60" fillId="35" borderId="192" xfId="0" applyNumberFormat="1" applyFont="1" applyFill="1" applyBorder="1" applyAlignment="1"/>
    <xf numFmtId="2" fontId="17" fillId="35" borderId="192" xfId="0" applyNumberFormat="1" applyFont="1" applyFill="1" applyBorder="1" applyAlignment="1"/>
    <xf numFmtId="4" fontId="17" fillId="35" borderId="257" xfId="0" applyNumberFormat="1" applyFont="1" applyFill="1" applyBorder="1" applyAlignment="1">
      <alignment horizontal="center" vertical="center"/>
    </xf>
    <xf numFmtId="4" fontId="61" fillId="35" borderId="257" xfId="0" applyNumberFormat="1" applyFont="1" applyFill="1" applyBorder="1" applyAlignment="1">
      <alignment horizontal="center" vertical="center"/>
    </xf>
    <xf numFmtId="2" fontId="81" fillId="35" borderId="0" xfId="0" applyNumberFormat="1" applyFont="1" applyFill="1"/>
    <xf numFmtId="4" fontId="137" fillId="35" borderId="192" xfId="96" applyNumberFormat="1" applyFont="1" applyFill="1" applyBorder="1" applyAlignment="1">
      <alignment horizontal="center" vertical="center" wrapText="1"/>
    </xf>
    <xf numFmtId="178" fontId="137" fillId="35" borderId="192" xfId="96" applyNumberFormat="1" applyFont="1" applyFill="1" applyBorder="1" applyAlignment="1">
      <alignment horizontal="center" vertical="center" wrapText="1"/>
    </xf>
    <xf numFmtId="3" fontId="137" fillId="35" borderId="192" xfId="96" applyNumberFormat="1" applyFont="1" applyFill="1" applyBorder="1" applyAlignment="1">
      <alignment horizontal="center" vertical="center" wrapText="1"/>
    </xf>
    <xf numFmtId="4" fontId="13" fillId="35" borderId="192" xfId="96" applyNumberFormat="1" applyFont="1" applyFill="1" applyBorder="1" applyAlignment="1">
      <alignment horizontal="center" vertical="center" wrapText="1"/>
    </xf>
    <xf numFmtId="4" fontId="14" fillId="35" borderId="192" xfId="96" applyNumberFormat="1" applyFont="1" applyFill="1" applyBorder="1" applyAlignment="1">
      <alignment horizontal="center" vertical="center" wrapText="1"/>
    </xf>
    <xf numFmtId="174" fontId="14" fillId="35" borderId="192" xfId="96" applyNumberFormat="1" applyFont="1" applyFill="1" applyBorder="1" applyAlignment="1">
      <alignment horizontal="center" vertical="center" wrapText="1"/>
    </xf>
    <xf numFmtId="0" fontId="12" fillId="35" borderId="192" xfId="96" applyFont="1" applyFill="1" applyBorder="1"/>
    <xf numFmtId="170" fontId="13" fillId="35" borderId="192" xfId="96" applyNumberFormat="1" applyFont="1" applyFill="1" applyBorder="1" applyAlignment="1">
      <alignment horizontal="center" vertical="center" wrapText="1"/>
    </xf>
    <xf numFmtId="4" fontId="144" fillId="35" borderId="192" xfId="0" applyNumberFormat="1" applyFont="1" applyFill="1" applyBorder="1" applyAlignment="1">
      <alignment horizontal="center" vertical="center" wrapText="1"/>
    </xf>
    <xf numFmtId="4" fontId="60" fillId="35" borderId="0" xfId="0" applyNumberFormat="1" applyFont="1" applyFill="1"/>
    <xf numFmtId="4" fontId="60" fillId="35" borderId="0" xfId="0" applyNumberFormat="1" applyFont="1" applyFill="1" applyBorder="1" applyAlignment="1">
      <alignment horizontal="center"/>
    </xf>
    <xf numFmtId="4" fontId="17" fillId="35" borderId="0" xfId="0" applyNumberFormat="1" applyFont="1" applyFill="1" applyBorder="1" applyAlignment="1">
      <alignment horizontal="center"/>
    </xf>
    <xf numFmtId="4" fontId="17" fillId="35" borderId="0" xfId="0" applyNumberFormat="1" applyFont="1" applyFill="1"/>
    <xf numFmtId="170" fontId="60" fillId="35" borderId="0" xfId="0" applyNumberFormat="1" applyFont="1" applyFill="1"/>
    <xf numFmtId="4" fontId="13" fillId="0" borderId="0" xfId="79" applyNumberFormat="1" applyFont="1" applyFill="1"/>
    <xf numFmtId="0" fontId="60" fillId="35" borderId="0" xfId="0" applyFont="1" applyFill="1"/>
    <xf numFmtId="4" fontId="169" fillId="35" borderId="257" xfId="0" applyNumberFormat="1" applyFont="1" applyFill="1" applyBorder="1" applyAlignment="1">
      <alignment horizontal="center" vertical="center"/>
    </xf>
    <xf numFmtId="4" fontId="88" fillId="35" borderId="257" xfId="0" applyNumberFormat="1" applyFont="1" applyFill="1" applyBorder="1" applyAlignment="1">
      <alignment horizontal="center" vertical="center"/>
    </xf>
    <xf numFmtId="4" fontId="60" fillId="35" borderId="193" xfId="0" applyNumberFormat="1" applyFont="1" applyFill="1" applyBorder="1" applyAlignment="1">
      <alignment horizontal="center" vertical="center"/>
    </xf>
    <xf numFmtId="4" fontId="13" fillId="35" borderId="192" xfId="96" applyNumberFormat="1" applyFont="1" applyFill="1" applyBorder="1" applyAlignment="1">
      <alignment horizontal="center"/>
    </xf>
    <xf numFmtId="170" fontId="13" fillId="35" borderId="192" xfId="0" applyNumberFormat="1" applyFont="1" applyFill="1" applyBorder="1" applyAlignment="1">
      <alignment horizontal="center" vertical="center" wrapText="1"/>
    </xf>
    <xf numFmtId="4" fontId="52" fillId="35" borderId="192" xfId="0" applyNumberFormat="1" applyFont="1" applyFill="1" applyBorder="1" applyAlignment="1">
      <alignment horizontal="center" vertical="center" wrapText="1"/>
    </xf>
    <xf numFmtId="0" fontId="117" fillId="35" borderId="192" xfId="96" applyFont="1" applyFill="1" applyBorder="1"/>
    <xf numFmtId="2" fontId="12" fillId="35" borderId="192" xfId="96" applyNumberFormat="1" applyFont="1" applyFill="1" applyBorder="1" applyAlignment="1">
      <alignment horizontal="center" vertical="center"/>
    </xf>
    <xf numFmtId="169" fontId="13" fillId="35" borderId="192" xfId="96" applyNumberFormat="1" applyFont="1" applyFill="1" applyBorder="1" applyAlignment="1">
      <alignment horizontal="center" vertical="center"/>
    </xf>
    <xf numFmtId="4" fontId="137" fillId="35" borderId="206" xfId="96" applyNumberFormat="1" applyFont="1" applyFill="1" applyBorder="1" applyAlignment="1">
      <alignment horizontal="center" vertical="center" wrapText="1"/>
    </xf>
    <xf numFmtId="0" fontId="13" fillId="35" borderId="192" xfId="96" applyFont="1" applyFill="1" applyBorder="1" applyAlignment="1">
      <alignment horizontal="center"/>
    </xf>
    <xf numFmtId="169" fontId="13" fillId="35" borderId="192" xfId="96" applyNumberFormat="1" applyFont="1" applyFill="1" applyBorder="1" applyAlignment="1">
      <alignment horizontal="center"/>
    </xf>
    <xf numFmtId="2" fontId="13" fillId="35" borderId="192" xfId="96" applyNumberFormat="1" applyFont="1" applyFill="1" applyBorder="1" applyAlignment="1">
      <alignment horizontal="center"/>
    </xf>
    <xf numFmtId="0" fontId="13" fillId="35" borderId="192" xfId="96" applyFont="1" applyFill="1" applyBorder="1"/>
    <xf numFmtId="2" fontId="12" fillId="35" borderId="192" xfId="96" applyNumberFormat="1" applyFont="1" applyFill="1" applyBorder="1" applyAlignment="1">
      <alignment vertical="center"/>
    </xf>
    <xf numFmtId="4" fontId="125" fillId="35" borderId="192" xfId="96" applyNumberFormat="1" applyFont="1" applyFill="1" applyBorder="1" applyAlignment="1">
      <alignment horizontal="center" vertical="center" wrapText="1"/>
    </xf>
    <xf numFmtId="4" fontId="117" fillId="35" borderId="192" xfId="96" applyNumberFormat="1" applyFont="1" applyFill="1" applyBorder="1" applyAlignment="1">
      <alignment horizontal="center" vertical="center" wrapText="1"/>
    </xf>
    <xf numFmtId="4" fontId="13" fillId="35" borderId="192" xfId="96" applyNumberFormat="1" applyFont="1" applyFill="1" applyBorder="1" applyAlignment="1">
      <alignment horizontal="center" vertical="center" wrapText="1"/>
    </xf>
    <xf numFmtId="170" fontId="13" fillId="35" borderId="192" xfId="96" applyNumberFormat="1" applyFont="1" applyFill="1" applyBorder="1" applyAlignment="1">
      <alignment horizontal="center" vertical="center" wrapText="1"/>
    </xf>
    <xf numFmtId="4" fontId="12" fillId="35" borderId="192" xfId="96" applyNumberFormat="1" applyFont="1" applyFill="1" applyBorder="1" applyAlignment="1">
      <alignment horizontal="center" vertical="center" wrapText="1"/>
    </xf>
    <xf numFmtId="4" fontId="48" fillId="35" borderId="192" xfId="96" applyNumberFormat="1" applyFont="1" applyFill="1" applyBorder="1" applyAlignment="1">
      <alignment horizontal="center" vertical="center" wrapText="1"/>
    </xf>
    <xf numFmtId="178" fontId="13" fillId="29" borderId="0" xfId="0" applyNumberFormat="1" applyFont="1" applyFill="1" applyAlignment="1" applyProtection="1">
      <alignment vertical="center"/>
    </xf>
    <xf numFmtId="178" fontId="0" fillId="29" borderId="0" xfId="0" applyNumberFormat="1" applyFill="1"/>
    <xf numFmtId="178" fontId="12" fillId="29" borderId="0" xfId="0" applyNumberFormat="1" applyFont="1" applyFill="1" applyAlignment="1" applyProtection="1">
      <alignment vertical="center"/>
    </xf>
    <xf numFmtId="168" fontId="169" fillId="57" borderId="270" xfId="0" applyNumberFormat="1" applyFont="1" applyFill="1" applyBorder="1" applyAlignment="1" applyProtection="1">
      <alignment vertical="center"/>
    </xf>
    <xf numFmtId="178" fontId="19" fillId="29" borderId="0" xfId="0" applyNumberFormat="1" applyFont="1" applyFill="1"/>
    <xf numFmtId="4" fontId="19" fillId="29" borderId="0" xfId="0" applyNumberFormat="1" applyFont="1" applyFill="1" applyBorder="1" applyAlignment="1">
      <alignment vertical="center"/>
    </xf>
    <xf numFmtId="2" fontId="19" fillId="29" borderId="0" xfId="0" applyNumberFormat="1" applyFont="1" applyFill="1" applyBorder="1"/>
    <xf numFmtId="178" fontId="0" fillId="29" borderId="0" xfId="0" applyNumberFormat="1" applyFont="1" applyFill="1"/>
    <xf numFmtId="192" fontId="0" fillId="29" borderId="0" xfId="0" applyNumberFormat="1" applyFont="1" applyFill="1" applyAlignment="1" applyProtection="1">
      <alignment vertical="center"/>
    </xf>
    <xf numFmtId="2" fontId="50" fillId="0" borderId="0" xfId="0" applyNumberFormat="1" applyFont="1"/>
    <xf numFmtId="0" fontId="60" fillId="0" borderId="169" xfId="0" applyFont="1" applyBorder="1" applyAlignment="1">
      <alignment horizontal="center" vertical="center"/>
    </xf>
    <xf numFmtId="0" fontId="60" fillId="0" borderId="209" xfId="0" applyFont="1" applyFill="1" applyBorder="1" applyAlignment="1">
      <alignment horizontal="center" vertical="center" wrapText="1"/>
    </xf>
    <xf numFmtId="0" fontId="17" fillId="57" borderId="209" xfId="0" applyFont="1" applyFill="1" applyBorder="1" applyAlignment="1">
      <alignment horizontal="center" vertical="center" wrapText="1"/>
    </xf>
    <xf numFmtId="0" fontId="17" fillId="0" borderId="209" xfId="0" applyFont="1" applyFill="1" applyBorder="1" applyAlignment="1">
      <alignment horizontal="center" vertical="center" wrapText="1"/>
    </xf>
    <xf numFmtId="0" fontId="60" fillId="0" borderId="169" xfId="0" applyFont="1" applyBorder="1" applyAlignment="1">
      <alignment horizontal="center" vertical="center"/>
    </xf>
    <xf numFmtId="178" fontId="61" fillId="0" borderId="257" xfId="0" applyNumberFormat="1" applyFont="1" applyFill="1" applyBorder="1" applyAlignment="1" applyProtection="1">
      <alignment vertical="center"/>
    </xf>
    <xf numFmtId="4" fontId="17" fillId="0" borderId="11" xfId="0" applyNumberFormat="1" applyFont="1" applyFill="1" applyBorder="1" applyAlignment="1">
      <alignment horizontal="center"/>
    </xf>
    <xf numFmtId="178" fontId="60" fillId="0" borderId="170" xfId="0" applyNumberFormat="1" applyFont="1" applyFill="1" applyBorder="1" applyAlignment="1" applyProtection="1">
      <alignment vertical="center"/>
    </xf>
    <xf numFmtId="10" fontId="61" fillId="0" borderId="257" xfId="0" applyNumberFormat="1" applyFont="1" applyFill="1" applyBorder="1" applyAlignment="1" applyProtection="1">
      <alignment vertical="center"/>
    </xf>
    <xf numFmtId="10" fontId="61" fillId="0" borderId="170" xfId="0" applyNumberFormat="1" applyFont="1" applyFill="1" applyBorder="1" applyAlignment="1" applyProtection="1">
      <alignment vertical="center"/>
    </xf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60" fillId="0" borderId="0" xfId="0" applyFont="1" applyAlignment="1"/>
    <xf numFmtId="2" fontId="16" fillId="0" borderId="11" xfId="0" applyNumberFormat="1" applyFont="1" applyFill="1" applyBorder="1" applyAlignment="1">
      <alignment vertical="center"/>
    </xf>
    <xf numFmtId="2" fontId="16" fillId="0" borderId="38" xfId="0" applyNumberFormat="1" applyFont="1" applyFill="1" applyBorder="1" applyAlignment="1">
      <alignment vertical="center"/>
    </xf>
    <xf numFmtId="2" fontId="82" fillId="0" borderId="11" xfId="0" applyNumberFormat="1" applyFont="1" applyFill="1" applyBorder="1" applyAlignment="1">
      <alignment vertical="center"/>
    </xf>
    <xf numFmtId="2" fontId="82" fillId="0" borderId="38" xfId="0" applyNumberFormat="1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horizontal="center" vertical="center"/>
    </xf>
    <xf numFmtId="2" fontId="16" fillId="0" borderId="257" xfId="0" applyNumberFormat="1" applyFont="1" applyFill="1" applyBorder="1" applyAlignment="1">
      <alignment horizontal="center" vertical="center"/>
    </xf>
    <xf numFmtId="2" fontId="16" fillId="0" borderId="259" xfId="0" applyNumberFormat="1" applyFont="1" applyFill="1" applyBorder="1" applyAlignment="1">
      <alignment horizontal="center" vertical="center"/>
    </xf>
    <xf numFmtId="2" fontId="81" fillId="57" borderId="257" xfId="0" applyNumberFormat="1" applyFont="1" applyFill="1" applyBorder="1" applyAlignment="1">
      <alignment horizontal="center" vertical="center"/>
    </xf>
    <xf numFmtId="2" fontId="81" fillId="57" borderId="17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2" fontId="61" fillId="0" borderId="270" xfId="0" applyNumberFormat="1" applyFont="1" applyFill="1" applyBorder="1" applyProtection="1">
      <protection locked="0"/>
    </xf>
    <xf numFmtId="2" fontId="60" fillId="0" borderId="270" xfId="0" applyNumberFormat="1" applyFont="1" applyFill="1" applyBorder="1" applyProtection="1">
      <protection locked="0"/>
    </xf>
    <xf numFmtId="178" fontId="0" fillId="0" borderId="0" xfId="0" applyNumberFormat="1" applyFill="1"/>
    <xf numFmtId="178" fontId="60" fillId="0" borderId="270" xfId="0" applyNumberFormat="1" applyFont="1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178" fontId="0" fillId="29" borderId="0" xfId="0" applyNumberFormat="1" applyFill="1" applyAlignment="1">
      <alignment vertical="center"/>
    </xf>
    <xf numFmtId="2" fontId="88" fillId="57" borderId="273" xfId="0" applyNumberFormat="1" applyFont="1" applyFill="1" applyBorder="1"/>
    <xf numFmtId="178" fontId="60" fillId="0" borderId="270" xfId="0" applyNumberFormat="1" applyFont="1" applyFill="1" applyBorder="1" applyAlignment="1" applyProtection="1">
      <alignment horizontal="right" vertical="center"/>
      <protection locked="0"/>
    </xf>
    <xf numFmtId="4" fontId="17" fillId="0" borderId="270" xfId="0" applyNumberFormat="1" applyFont="1" applyFill="1" applyBorder="1" applyAlignment="1" applyProtection="1">
      <alignment vertical="center"/>
      <protection locked="0"/>
    </xf>
    <xf numFmtId="174" fontId="88" fillId="57" borderId="270" xfId="0" applyNumberFormat="1" applyFont="1" applyFill="1" applyBorder="1" applyAlignment="1" applyProtection="1">
      <alignment vertical="center"/>
    </xf>
    <xf numFmtId="168" fontId="88" fillId="57" borderId="270" xfId="0" applyNumberFormat="1" applyFont="1" applyFill="1" applyBorder="1"/>
    <xf numFmtId="167" fontId="88" fillId="0" borderId="270" xfId="0" applyNumberFormat="1" applyFont="1" applyFill="1" applyBorder="1"/>
    <xf numFmtId="194" fontId="88" fillId="0" borderId="270" xfId="0" applyNumberFormat="1" applyFont="1" applyFill="1" applyBorder="1"/>
    <xf numFmtId="0" fontId="0" fillId="0" borderId="0" xfId="0" applyAlignment="1"/>
    <xf numFmtId="0" fontId="13" fillId="34" borderId="17" xfId="0" applyFont="1" applyFill="1" applyBorder="1" applyAlignment="1">
      <alignment horizontal="center" vertical="center" wrapText="1"/>
    </xf>
    <xf numFmtId="0" fontId="13" fillId="34" borderId="18" xfId="0" applyFont="1" applyFill="1" applyBorder="1" applyAlignment="1">
      <alignment horizontal="center" vertical="center" wrapText="1"/>
    </xf>
    <xf numFmtId="0" fontId="13" fillId="34" borderId="112" xfId="0" applyFont="1" applyFill="1" applyBorder="1" applyAlignment="1">
      <alignment horizontal="center" vertical="center" wrapText="1"/>
    </xf>
    <xf numFmtId="0" fontId="13" fillId="34" borderId="122" xfId="0" applyFont="1" applyFill="1" applyBorder="1" applyAlignment="1">
      <alignment horizontal="center" vertical="center" wrapText="1"/>
    </xf>
    <xf numFmtId="0" fontId="13" fillId="34" borderId="44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3" fillId="34" borderId="121" xfId="0" applyFont="1" applyFill="1" applyBorder="1" applyAlignment="1">
      <alignment horizontal="center" vertical="center" wrapText="1"/>
    </xf>
    <xf numFmtId="0" fontId="13" fillId="34" borderId="112" xfId="0" applyFont="1" applyFill="1" applyBorder="1" applyAlignment="1">
      <alignment horizontal="center" vertical="center"/>
    </xf>
    <xf numFmtId="0" fontId="13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7" fillId="34" borderId="13" xfId="0" applyFont="1" applyFill="1" applyBorder="1" applyAlignment="1">
      <alignment horizontal="center" vertical="center" wrapText="1"/>
    </xf>
    <xf numFmtId="0" fontId="17" fillId="34" borderId="117" xfId="0" applyFont="1" applyFill="1" applyBorder="1" applyAlignment="1">
      <alignment horizontal="center" vertical="center" wrapText="1"/>
    </xf>
    <xf numFmtId="0" fontId="17" fillId="34" borderId="110" xfId="0" applyFont="1" applyFill="1" applyBorder="1" applyAlignment="1">
      <alignment horizontal="center" vertical="center" wrapText="1"/>
    </xf>
    <xf numFmtId="0" fontId="95" fillId="34" borderId="47" xfId="0" applyFont="1" applyFill="1" applyBorder="1" applyAlignment="1">
      <alignment horizontal="center" vertical="center"/>
    </xf>
    <xf numFmtId="0" fontId="64" fillId="34" borderId="47" xfId="0" applyFont="1" applyFill="1" applyBorder="1" applyAlignment="1">
      <alignment horizontal="center" vertical="center"/>
    </xf>
    <xf numFmtId="0" fontId="13" fillId="34" borderId="37" xfId="0" applyFont="1" applyFill="1" applyBorder="1" applyAlignment="1">
      <alignment horizontal="center" vertical="center"/>
    </xf>
    <xf numFmtId="0" fontId="13" fillId="34" borderId="116" xfId="0" applyFont="1" applyFill="1" applyBorder="1" applyAlignment="1">
      <alignment horizontal="center" vertical="center"/>
    </xf>
    <xf numFmtId="0" fontId="13" fillId="34" borderId="120" xfId="0" applyFont="1" applyFill="1" applyBorder="1" applyAlignment="1">
      <alignment horizontal="center" vertical="center"/>
    </xf>
    <xf numFmtId="0" fontId="13" fillId="34" borderId="11" xfId="0" applyFont="1" applyFill="1" applyBorder="1" applyAlignment="1">
      <alignment horizontal="center" vertical="center"/>
    </xf>
    <xf numFmtId="0" fontId="13" fillId="34" borderId="38" xfId="0" applyFont="1" applyFill="1" applyBorder="1" applyAlignment="1">
      <alignment horizontal="center" vertical="center"/>
    </xf>
    <xf numFmtId="0" fontId="13" fillId="34" borderId="16" xfId="0" applyFont="1" applyFill="1" applyBorder="1" applyAlignment="1">
      <alignment horizontal="center" vertical="center"/>
    </xf>
    <xf numFmtId="0" fontId="13" fillId="34" borderId="17" xfId="0" applyFont="1" applyFill="1" applyBorder="1" applyAlignment="1">
      <alignment horizontal="center" vertical="center"/>
    </xf>
    <xf numFmtId="0" fontId="13" fillId="34" borderId="18" xfId="0" applyFont="1" applyFill="1" applyBorder="1" applyAlignment="1">
      <alignment horizontal="center" vertical="center"/>
    </xf>
    <xf numFmtId="0" fontId="13" fillId="34" borderId="73" xfId="0" applyFont="1" applyFill="1" applyBorder="1" applyAlignment="1">
      <alignment horizontal="center" vertical="center" wrapText="1"/>
    </xf>
    <xf numFmtId="0" fontId="13" fillId="34" borderId="71" xfId="0" applyFont="1" applyFill="1" applyBorder="1" applyAlignment="1">
      <alignment horizontal="center" vertical="center"/>
    </xf>
    <xf numFmtId="0" fontId="13" fillId="34" borderId="69" xfId="0" applyFont="1" applyFill="1" applyBorder="1" applyAlignment="1">
      <alignment horizontal="center" vertical="center"/>
    </xf>
    <xf numFmtId="0" fontId="13" fillId="34" borderId="118" xfId="0" applyFont="1" applyFill="1" applyBorder="1" applyAlignment="1">
      <alignment horizontal="center" vertical="center"/>
    </xf>
    <xf numFmtId="0" fontId="13" fillId="34" borderId="115" xfId="0" applyFont="1" applyFill="1" applyBorder="1" applyAlignment="1">
      <alignment horizontal="center" vertical="center"/>
    </xf>
    <xf numFmtId="0" fontId="13" fillId="34" borderId="119" xfId="0" applyFont="1" applyFill="1" applyBorder="1" applyAlignment="1">
      <alignment horizontal="center" vertical="center"/>
    </xf>
    <xf numFmtId="0" fontId="14" fillId="34" borderId="75" xfId="0" applyFont="1" applyFill="1" applyBorder="1" applyAlignment="1">
      <alignment horizontal="center" vertical="center"/>
    </xf>
    <xf numFmtId="0" fontId="14" fillId="34" borderId="76" xfId="0" applyFont="1" applyFill="1" applyBorder="1" applyAlignment="1">
      <alignment horizontal="center" vertical="center"/>
    </xf>
    <xf numFmtId="0" fontId="13" fillId="34" borderId="77" xfId="0" applyFont="1" applyFill="1" applyBorder="1" applyAlignment="1">
      <alignment horizontal="center" vertical="center"/>
    </xf>
    <xf numFmtId="0" fontId="14" fillId="34" borderId="50" xfId="0" applyFont="1" applyFill="1" applyBorder="1" applyAlignment="1">
      <alignment horizontal="center" vertical="center"/>
    </xf>
    <xf numFmtId="0" fontId="14" fillId="34" borderId="47" xfId="0" applyFont="1" applyFill="1" applyBorder="1" applyAlignment="1">
      <alignment horizontal="center" vertical="center"/>
    </xf>
    <xf numFmtId="0" fontId="13" fillId="34" borderId="48" xfId="0" applyFont="1" applyFill="1" applyBorder="1" applyAlignment="1">
      <alignment horizontal="center" vertical="center"/>
    </xf>
    <xf numFmtId="0" fontId="13" fillId="34" borderId="47" xfId="0" applyFont="1" applyFill="1" applyBorder="1" applyAlignment="1">
      <alignment horizontal="center" vertical="center"/>
    </xf>
    <xf numFmtId="0" fontId="13" fillId="0" borderId="112" xfId="0" applyFont="1" applyBorder="1" applyAlignment="1">
      <alignment horizontal="center" vertical="center" wrapText="1"/>
    </xf>
    <xf numFmtId="0" fontId="13" fillId="0" borderId="121" xfId="0" applyFont="1" applyBorder="1" applyAlignment="1">
      <alignment horizontal="center" vertical="center" wrapText="1"/>
    </xf>
    <xf numFmtId="0" fontId="13" fillId="0" borderId="112" xfId="0" applyFont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67" fillId="34" borderId="50" xfId="0" applyFont="1" applyFill="1" applyBorder="1" applyAlignment="1">
      <alignment horizontal="center"/>
    </xf>
    <xf numFmtId="0" fontId="67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7" fillId="0" borderId="13" xfId="0" applyFont="1" applyBorder="1" applyAlignment="1">
      <alignment horizontal="center" vertical="center" wrapText="1"/>
    </xf>
    <xf numFmtId="0" fontId="17" fillId="0" borderId="117" xfId="0" applyFont="1" applyBorder="1" applyAlignment="1">
      <alignment horizontal="center" vertical="center" wrapText="1"/>
    </xf>
    <xf numFmtId="0" fontId="17" fillId="0" borderId="110" xfId="0" applyFont="1" applyBorder="1" applyAlignment="1">
      <alignment horizontal="center" vertical="center" wrapText="1"/>
    </xf>
    <xf numFmtId="0" fontId="95" fillId="0" borderId="47" xfId="0" applyFont="1" applyBorder="1" applyAlignment="1">
      <alignment horizontal="center" vertical="center"/>
    </xf>
    <xf numFmtId="0" fontId="64" fillId="0" borderId="47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118" xfId="0" applyFont="1" applyBorder="1" applyAlignment="1">
      <alignment horizontal="center" vertical="center"/>
    </xf>
    <xf numFmtId="0" fontId="13" fillId="0" borderId="115" xfId="0" applyFont="1" applyBorder="1" applyAlignment="1">
      <alignment horizontal="center" vertical="center"/>
    </xf>
    <xf numFmtId="0" fontId="13" fillId="0" borderId="119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0" borderId="76" xfId="0" applyFont="1" applyBorder="1" applyAlignment="1">
      <alignment horizontal="center" vertical="center"/>
    </xf>
    <xf numFmtId="0" fontId="13" fillId="0" borderId="77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116" xfId="0" applyFont="1" applyBorder="1" applyAlignment="1">
      <alignment horizontal="center" vertical="center"/>
    </xf>
    <xf numFmtId="0" fontId="13" fillId="0" borderId="12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67" fillId="33" borderId="50" xfId="0" applyFont="1" applyFill="1" applyBorder="1" applyAlignment="1">
      <alignment horizontal="center"/>
    </xf>
    <xf numFmtId="0" fontId="67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3" fillId="34" borderId="113" xfId="0" applyFont="1" applyFill="1" applyBorder="1" applyAlignment="1">
      <alignment horizontal="center" vertical="center"/>
    </xf>
    <xf numFmtId="0" fontId="13" fillId="34" borderId="122" xfId="0" applyFont="1" applyFill="1" applyBorder="1" applyAlignment="1">
      <alignment horizontal="center" vertical="center"/>
    </xf>
    <xf numFmtId="0" fontId="13" fillId="34" borderId="113" xfId="0" applyFont="1" applyFill="1" applyBorder="1" applyAlignment="1">
      <alignment horizontal="center" vertical="center" wrapText="1"/>
    </xf>
    <xf numFmtId="0" fontId="13" fillId="0" borderId="113" xfId="0" applyFont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/>
    </xf>
    <xf numFmtId="0" fontId="13" fillId="0" borderId="113" xfId="0" applyFont="1" applyBorder="1" applyAlignment="1">
      <alignment horizontal="center" vertical="center" wrapText="1"/>
    </xf>
    <xf numFmtId="0" fontId="60" fillId="0" borderId="128" xfId="0" applyFont="1" applyBorder="1" applyAlignment="1">
      <alignment horizontal="center" vertical="center" wrapText="1"/>
    </xf>
    <xf numFmtId="0" fontId="60" fillId="0" borderId="129" xfId="0" applyFont="1" applyBorder="1" applyAlignment="1">
      <alignment horizontal="center" vertical="center" wrapText="1"/>
    </xf>
    <xf numFmtId="0" fontId="60" fillId="0" borderId="130" xfId="0" applyFont="1" applyBorder="1" applyAlignment="1">
      <alignment horizontal="center" vertical="center" wrapText="1"/>
    </xf>
    <xf numFmtId="0" fontId="60" fillId="0" borderId="132" xfId="0" applyFont="1" applyBorder="1" applyAlignment="1">
      <alignment horizontal="center" vertical="center" wrapText="1"/>
    </xf>
    <xf numFmtId="0" fontId="60" fillId="0" borderId="66" xfId="0" applyFont="1" applyBorder="1" applyAlignment="1">
      <alignment horizontal="center" vertical="center" wrapText="1"/>
    </xf>
    <xf numFmtId="0" fontId="60" fillId="0" borderId="74" xfId="0" applyFont="1" applyBorder="1" applyAlignment="1">
      <alignment horizontal="center" vertical="center" wrapText="1"/>
    </xf>
    <xf numFmtId="0" fontId="60" fillId="0" borderId="30" xfId="0" applyFont="1" applyBorder="1" applyAlignment="1">
      <alignment horizontal="left" vertical="center" wrapText="1"/>
    </xf>
    <xf numFmtId="0" fontId="60" fillId="0" borderId="18" xfId="0" applyFont="1" applyBorder="1" applyAlignment="1">
      <alignment horizontal="left" vertical="center" wrapText="1"/>
    </xf>
    <xf numFmtId="0" fontId="60" fillId="0" borderId="113" xfId="0" applyFont="1" applyBorder="1" applyAlignment="1">
      <alignment horizontal="center" vertical="center" wrapText="1"/>
    </xf>
    <xf numFmtId="0" fontId="60" fillId="0" borderId="134" xfId="0" applyFont="1" applyBorder="1" applyAlignment="1">
      <alignment horizontal="center" vertical="center" wrapText="1"/>
    </xf>
    <xf numFmtId="0" fontId="60" fillId="0" borderId="54" xfId="0" applyFont="1" applyBorder="1" applyAlignment="1">
      <alignment horizontal="center" vertical="center" wrapText="1"/>
    </xf>
    <xf numFmtId="0" fontId="17" fillId="29" borderId="52" xfId="0" applyFont="1" applyFill="1" applyBorder="1" applyAlignment="1">
      <alignment horizontal="center" vertical="center"/>
    </xf>
    <xf numFmtId="0" fontId="62" fillId="29" borderId="53" xfId="0" applyFont="1" applyFill="1" applyBorder="1" applyAlignment="1"/>
    <xf numFmtId="0" fontId="62" fillId="29" borderId="55" xfId="0" applyFont="1" applyFill="1" applyBorder="1" applyAlignment="1"/>
    <xf numFmtId="0" fontId="62" fillId="29" borderId="59" xfId="0" applyFont="1" applyFill="1" applyBorder="1" applyAlignment="1"/>
    <xf numFmtId="0" fontId="60" fillId="0" borderId="16" xfId="0" applyFont="1" applyBorder="1" applyAlignment="1">
      <alignment horizontal="left" vertical="center" wrapText="1"/>
    </xf>
    <xf numFmtId="0" fontId="60" fillId="0" borderId="19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3" fillId="0" borderId="40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left" vertical="center" wrapText="1"/>
    </xf>
    <xf numFmtId="0" fontId="60" fillId="0" borderId="92" xfId="0" applyFont="1" applyBorder="1" applyAlignment="1">
      <alignment horizontal="center" vertical="center" wrapText="1"/>
    </xf>
    <xf numFmtId="0" fontId="60" fillId="0" borderId="87" xfId="0" applyFont="1" applyBorder="1" applyAlignment="1">
      <alignment horizontal="center" vertical="center" wrapText="1"/>
    </xf>
    <xf numFmtId="0" fontId="60" fillId="0" borderId="131" xfId="0" applyFont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73" xfId="0" applyFont="1" applyFill="1" applyBorder="1" applyAlignment="1">
      <alignment horizontal="center" vertical="center" wrapText="1"/>
    </xf>
    <xf numFmtId="0" fontId="17" fillId="0" borderId="71" xfId="0" applyFont="1" applyFill="1" applyBorder="1" applyAlignment="1">
      <alignment horizontal="center" vertical="center" wrapText="1"/>
    </xf>
    <xf numFmtId="0" fontId="17" fillId="0" borderId="69" xfId="0" applyFont="1" applyFill="1" applyBorder="1" applyAlignment="1">
      <alignment horizontal="center" vertical="center" wrapText="1"/>
    </xf>
    <xf numFmtId="0" fontId="60" fillId="0" borderId="148" xfId="0" applyFont="1" applyBorder="1" applyAlignment="1">
      <alignment horizontal="left" vertical="center" wrapText="1"/>
    </xf>
    <xf numFmtId="0" fontId="60" fillId="0" borderId="113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2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3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7" fillId="25" borderId="54" xfId="0" applyFont="1" applyFill="1" applyBorder="1" applyAlignment="1">
      <alignment horizontal="center" vertical="center" wrapText="1"/>
    </xf>
    <xf numFmtId="0" fontId="17" fillId="25" borderId="0" xfId="0" applyFont="1" applyFill="1" applyBorder="1" applyAlignment="1">
      <alignment horizontal="center" vertical="center" wrapText="1"/>
    </xf>
    <xf numFmtId="0" fontId="17" fillId="25" borderId="60" xfId="0" applyFont="1" applyFill="1" applyBorder="1" applyAlignment="1">
      <alignment horizontal="center" vertical="center" wrapText="1"/>
    </xf>
    <xf numFmtId="0" fontId="13" fillId="0" borderId="148" xfId="0" applyFont="1" applyBorder="1" applyAlignment="1">
      <alignment horizontal="left" vertical="center" wrapText="1"/>
    </xf>
    <xf numFmtId="0" fontId="13" fillId="0" borderId="113" xfId="0" applyFont="1" applyBorder="1" applyAlignment="1">
      <alignment horizontal="left" vertical="center" wrapText="1"/>
    </xf>
    <xf numFmtId="0" fontId="13" fillId="0" borderId="100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61" fillId="0" borderId="20" xfId="0" applyFont="1" applyBorder="1" applyAlignment="1">
      <alignment horizontal="left" vertical="center" wrapText="1"/>
    </xf>
    <xf numFmtId="0" fontId="12" fillId="0" borderId="52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9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/>
    </xf>
    <xf numFmtId="0" fontId="12" fillId="0" borderId="53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16" fillId="0" borderId="0" xfId="0" applyFont="1" applyFill="1" applyBorder="1" applyAlignment="1">
      <alignment horizontal="center" wrapText="1"/>
    </xf>
    <xf numFmtId="0" fontId="60" fillId="0" borderId="13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14" xfId="0" applyFont="1" applyBorder="1" applyAlignment="1">
      <alignment horizontal="center" vertical="center"/>
    </xf>
    <xf numFmtId="0" fontId="17" fillId="0" borderId="73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60" fillId="0" borderId="18" xfId="0" applyFont="1" applyBorder="1" applyAlignment="1">
      <alignment horizontal="center" vertical="center"/>
    </xf>
    <xf numFmtId="0" fontId="60" fillId="0" borderId="91" xfId="0" applyFont="1" applyBorder="1" applyAlignment="1">
      <alignment horizontal="center" vertical="center"/>
    </xf>
    <xf numFmtId="0" fontId="60" fillId="0" borderId="20" xfId="0" applyFont="1" applyBorder="1" applyAlignment="1">
      <alignment horizontal="center" vertical="center"/>
    </xf>
    <xf numFmtId="0" fontId="60" fillId="0" borderId="65" xfId="0" applyFont="1" applyBorder="1" applyAlignment="1">
      <alignment horizontal="center" vertical="center"/>
    </xf>
    <xf numFmtId="0" fontId="60" fillId="0" borderId="88" xfId="0" applyFont="1" applyBorder="1" applyAlignment="1">
      <alignment horizontal="center" vertical="center"/>
    </xf>
    <xf numFmtId="0" fontId="60" fillId="0" borderId="116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14" xfId="0" applyFont="1" applyBorder="1" applyAlignment="1">
      <alignment horizontal="center" vertical="center" wrapText="1"/>
    </xf>
    <xf numFmtId="0" fontId="60" fillId="0" borderId="146" xfId="0" applyFont="1" applyBorder="1" applyAlignment="1">
      <alignment horizontal="center" vertical="center" wrapText="1"/>
    </xf>
    <xf numFmtId="0" fontId="60" fillId="0" borderId="144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center" vertical="center" wrapText="1"/>
    </xf>
    <xf numFmtId="0" fontId="60" fillId="0" borderId="88" xfId="0" applyFont="1" applyBorder="1" applyAlignment="1">
      <alignment horizontal="center" vertical="center" wrapText="1"/>
    </xf>
    <xf numFmtId="0" fontId="60" fillId="0" borderId="141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67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3" fillId="0" borderId="46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 wrapText="1"/>
    </xf>
    <xf numFmtId="0" fontId="13" fillId="0" borderId="69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9" fontId="13" fillId="0" borderId="0" xfId="85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48" fillId="27" borderId="192" xfId="0" applyFont="1" applyFill="1" applyBorder="1" applyAlignment="1">
      <alignment horizontal="center" vertical="center"/>
    </xf>
    <xf numFmtId="168" fontId="48" fillId="27" borderId="205" xfId="0" applyNumberFormat="1" applyFont="1" applyFill="1" applyBorder="1" applyAlignment="1">
      <alignment horizontal="center" vertical="center"/>
    </xf>
    <xf numFmtId="168" fontId="48" fillId="27" borderId="206" xfId="0" applyNumberFormat="1" applyFont="1" applyFill="1" applyBorder="1" applyAlignment="1">
      <alignment horizontal="center" vertical="center"/>
    </xf>
    <xf numFmtId="2" fontId="48" fillId="27" borderId="205" xfId="0" applyNumberFormat="1" applyFont="1" applyFill="1" applyBorder="1" applyAlignment="1">
      <alignment horizontal="center" vertical="center"/>
    </xf>
    <xf numFmtId="2" fontId="48" fillId="27" borderId="206" xfId="0" applyNumberFormat="1" applyFont="1" applyFill="1" applyBorder="1" applyAlignment="1">
      <alignment horizontal="center" vertical="center"/>
    </xf>
    <xf numFmtId="0" fontId="48" fillId="27" borderId="192" xfId="0" applyFont="1" applyFill="1" applyBorder="1" applyAlignment="1">
      <alignment horizontal="center" vertical="center" wrapText="1"/>
    </xf>
    <xf numFmtId="0" fontId="48" fillId="27" borderId="193" xfId="0" applyFont="1" applyFill="1" applyBorder="1" applyAlignment="1">
      <alignment horizontal="center" vertical="center" wrapText="1"/>
    </xf>
    <xf numFmtId="0" fontId="13" fillId="27" borderId="210" xfId="0" applyFont="1" applyFill="1" applyBorder="1" applyAlignment="1">
      <alignment horizontal="center"/>
    </xf>
    <xf numFmtId="0" fontId="13" fillId="27" borderId="204" xfId="0" applyFont="1" applyFill="1" applyBorder="1" applyAlignment="1">
      <alignment horizontal="center"/>
    </xf>
    <xf numFmtId="0" fontId="132" fillId="0" borderId="0" xfId="0" applyFont="1" applyAlignment="1">
      <alignment horizontal="center"/>
    </xf>
    <xf numFmtId="0" fontId="55" fillId="0" borderId="208" xfId="0" applyFont="1" applyBorder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3" fillId="27" borderId="209" xfId="0" applyFont="1" applyFill="1" applyBorder="1" applyAlignment="1">
      <alignment horizontal="center" vertical="center" wrapText="1"/>
    </xf>
    <xf numFmtId="0" fontId="13" fillId="27" borderId="204" xfId="0" applyFont="1" applyFill="1" applyBorder="1" applyAlignment="1">
      <alignment horizontal="center" vertical="center" wrapText="1"/>
    </xf>
    <xf numFmtId="0" fontId="13" fillId="27" borderId="203" xfId="0" applyFont="1" applyFill="1" applyBorder="1" applyAlignment="1">
      <alignment horizontal="center" vertical="center"/>
    </xf>
    <xf numFmtId="0" fontId="13" fillId="45" borderId="210" xfId="0" applyFont="1" applyFill="1" applyBorder="1" applyAlignment="1">
      <alignment horizontal="center"/>
    </xf>
    <xf numFmtId="0" fontId="13" fillId="45" borderId="204" xfId="0" applyFont="1" applyFill="1" applyBorder="1" applyAlignment="1">
      <alignment horizontal="center"/>
    </xf>
    <xf numFmtId="0" fontId="13" fillId="44" borderId="211" xfId="0" applyFont="1" applyFill="1" applyBorder="1" applyAlignment="1">
      <alignment horizontal="center"/>
    </xf>
    <xf numFmtId="0" fontId="13" fillId="44" borderId="212" xfId="0" applyFont="1" applyFill="1" applyBorder="1" applyAlignment="1">
      <alignment horizontal="center"/>
    </xf>
    <xf numFmtId="0" fontId="13" fillId="44" borderId="0" xfId="0" applyFont="1" applyFill="1" applyBorder="1" applyAlignment="1">
      <alignment horizontal="center"/>
    </xf>
    <xf numFmtId="0" fontId="13" fillId="44" borderId="74" xfId="0" applyFont="1" applyFill="1" applyBorder="1" applyAlignment="1">
      <alignment horizontal="center"/>
    </xf>
    <xf numFmtId="0" fontId="13" fillId="44" borderId="36" xfId="0" applyFont="1" applyFill="1" applyBorder="1" applyAlignment="1">
      <alignment horizontal="center"/>
    </xf>
    <xf numFmtId="0" fontId="13" fillId="44" borderId="31" xfId="0" applyFont="1" applyFill="1" applyBorder="1" applyAlignment="1">
      <alignment horizontal="center"/>
    </xf>
    <xf numFmtId="4" fontId="48" fillId="37" borderId="193" xfId="0" applyNumberFormat="1" applyFont="1" applyFill="1" applyBorder="1" applyAlignment="1">
      <alignment horizontal="center" vertical="center" wrapText="1"/>
    </xf>
    <xf numFmtId="4" fontId="48" fillId="37" borderId="199" xfId="0" applyNumberFormat="1" applyFont="1" applyFill="1" applyBorder="1" applyAlignment="1">
      <alignment horizontal="center" vertical="center" wrapText="1"/>
    </xf>
    <xf numFmtId="4" fontId="48" fillId="37" borderId="194" xfId="0" applyNumberFormat="1" applyFont="1" applyFill="1" applyBorder="1" applyAlignment="1">
      <alignment horizontal="center" vertical="center" wrapText="1"/>
    </xf>
    <xf numFmtId="0" fontId="48" fillId="38" borderId="192" xfId="0" applyFont="1" applyFill="1" applyBorder="1" applyAlignment="1">
      <alignment horizontal="center" vertical="center" wrapText="1"/>
    </xf>
    <xf numFmtId="178" fontId="48" fillId="36" borderId="192" xfId="0" applyNumberFormat="1" applyFont="1" applyFill="1" applyBorder="1" applyAlignment="1">
      <alignment horizontal="center" vertical="center" wrapText="1"/>
    </xf>
    <xf numFmtId="4" fontId="48" fillId="37" borderId="192" xfId="0" applyNumberFormat="1" applyFont="1" applyFill="1" applyBorder="1" applyAlignment="1">
      <alignment horizontal="center" vertical="center" wrapText="1"/>
    </xf>
    <xf numFmtId="178" fontId="48" fillId="36" borderId="193" xfId="0" applyNumberFormat="1" applyFont="1" applyFill="1" applyBorder="1" applyAlignment="1">
      <alignment horizontal="center" vertical="center" wrapText="1"/>
    </xf>
    <xf numFmtId="178" fontId="48" fillId="36" borderId="199" xfId="0" applyNumberFormat="1" applyFont="1" applyFill="1" applyBorder="1" applyAlignment="1">
      <alignment horizontal="center" vertical="center" wrapText="1"/>
    </xf>
    <xf numFmtId="178" fontId="48" fillId="36" borderId="194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5" fillId="0" borderId="208" xfId="0" applyFont="1" applyBorder="1" applyAlignment="1">
      <alignment horizontal="left" vertical="center"/>
    </xf>
    <xf numFmtId="0" fontId="13" fillId="38" borderId="233" xfId="0" applyFont="1" applyFill="1" applyBorder="1" applyAlignment="1">
      <alignment horizontal="center" vertical="center" wrapText="1"/>
    </xf>
    <xf numFmtId="0" fontId="13" fillId="38" borderId="222" xfId="0" applyFont="1" applyFill="1" applyBorder="1" applyAlignment="1">
      <alignment horizontal="center" vertical="center" wrapText="1"/>
    </xf>
    <xf numFmtId="0" fontId="13" fillId="38" borderId="250" xfId="0" applyFont="1" applyFill="1" applyBorder="1" applyAlignment="1">
      <alignment horizontal="center" vertical="center" wrapText="1"/>
    </xf>
    <xf numFmtId="0" fontId="13" fillId="38" borderId="220" xfId="0" applyFont="1" applyFill="1" applyBorder="1" applyAlignment="1">
      <alignment horizontal="center" vertical="center" wrapText="1"/>
    </xf>
    <xf numFmtId="0" fontId="13" fillId="38" borderId="243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52" fillId="0" borderId="55" xfId="0" applyFont="1" applyBorder="1" applyAlignment="1">
      <alignment horizontal="left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248" xfId="0" applyFont="1" applyFill="1" applyBorder="1" applyAlignment="1">
      <alignment horizontal="center" vertical="center" wrapText="1"/>
    </xf>
    <xf numFmtId="0" fontId="13" fillId="38" borderId="249" xfId="0" applyFont="1" applyFill="1" applyBorder="1" applyAlignment="1">
      <alignment horizontal="center" vertical="center" wrapText="1"/>
    </xf>
    <xf numFmtId="0" fontId="13" fillId="38" borderId="235" xfId="0" applyFont="1" applyFill="1" applyBorder="1" applyAlignment="1">
      <alignment horizontal="center" vertical="center"/>
    </xf>
    <xf numFmtId="0" fontId="13" fillId="38" borderId="233" xfId="0" applyFont="1" applyFill="1" applyBorder="1" applyAlignment="1">
      <alignment horizontal="center" vertical="center"/>
    </xf>
    <xf numFmtId="0" fontId="13" fillId="38" borderId="222" xfId="0" applyFont="1" applyFill="1" applyBorder="1" applyAlignment="1">
      <alignment horizontal="center" vertical="center"/>
    </xf>
    <xf numFmtId="0" fontId="13" fillId="38" borderId="236" xfId="0" applyFont="1" applyFill="1" applyBorder="1" applyAlignment="1">
      <alignment horizontal="center" vertical="center"/>
    </xf>
    <xf numFmtId="0" fontId="13" fillId="38" borderId="224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29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6" fillId="38" borderId="193" xfId="0" applyFont="1" applyFill="1" applyBorder="1" applyAlignment="1">
      <alignment horizontal="center"/>
    </xf>
    <xf numFmtId="0" fontId="16" fillId="38" borderId="199" xfId="0" applyFont="1" applyFill="1" applyBorder="1" applyAlignment="1">
      <alignment horizontal="center"/>
    </xf>
    <xf numFmtId="0" fontId="16" fillId="38" borderId="194" xfId="0" applyFont="1" applyFill="1" applyBorder="1" applyAlignment="1">
      <alignment horizontal="center"/>
    </xf>
    <xf numFmtId="0" fontId="16" fillId="38" borderId="192" xfId="0" applyFont="1" applyFill="1" applyBorder="1" applyAlignment="1">
      <alignment horizontal="center"/>
    </xf>
    <xf numFmtId="0" fontId="16" fillId="0" borderId="192" xfId="0" applyFont="1" applyFill="1" applyBorder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/>
    </xf>
    <xf numFmtId="0" fontId="81" fillId="0" borderId="227" xfId="0" applyFont="1" applyBorder="1" applyAlignment="1">
      <alignment horizontal="center" vertical="center"/>
    </xf>
    <xf numFmtId="0" fontId="81" fillId="0" borderId="208" xfId="0" applyFont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179" fillId="0" borderId="0" xfId="151" applyFont="1" applyAlignment="1">
      <alignment horizontal="center"/>
    </xf>
    <xf numFmtId="0" fontId="163" fillId="0" borderId="0" xfId="0" applyFont="1" applyAlignment="1">
      <alignment horizontal="center"/>
    </xf>
    <xf numFmtId="0" fontId="106" fillId="0" borderId="0" xfId="151" applyFont="1" applyAlignment="1">
      <alignment horizontal="center"/>
    </xf>
    <xf numFmtId="0" fontId="0" fillId="0" borderId="0" xfId="0" applyAlignment="1">
      <alignment horizontal="center"/>
    </xf>
    <xf numFmtId="0" fontId="176" fillId="0" borderId="0" xfId="151" applyFont="1" applyAlignment="1">
      <alignment horizontal="center"/>
    </xf>
    <xf numFmtId="0" fontId="178" fillId="0" borderId="0" xfId="151" applyFont="1" applyAlignment="1">
      <alignment horizontal="center"/>
    </xf>
    <xf numFmtId="0" fontId="48" fillId="0" borderId="0" xfId="151" applyFont="1" applyAlignment="1">
      <alignment horizontal="left"/>
    </xf>
    <xf numFmtId="0" fontId="7" fillId="0" borderId="0" xfId="0" applyFont="1" applyAlignment="1">
      <alignment horizontal="left"/>
    </xf>
    <xf numFmtId="0" fontId="60" fillId="0" borderId="0" xfId="0" applyFont="1" applyAlignment="1">
      <alignment horizontal="left" vertical="top" wrapText="1"/>
    </xf>
    <xf numFmtId="0" fontId="176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16" fillId="0" borderId="171" xfId="0" applyFont="1" applyFill="1" applyBorder="1" applyAlignment="1">
      <alignment horizontal="center" vertical="center"/>
    </xf>
    <xf numFmtId="0" fontId="0" fillId="0" borderId="210" xfId="0" applyFont="1" applyFill="1" applyBorder="1" applyAlignment="1">
      <alignment horizontal="center" vertical="center"/>
    </xf>
    <xf numFmtId="0" fontId="0" fillId="0" borderId="183" xfId="0" applyFont="1" applyFill="1" applyBorder="1" applyAlignment="1">
      <alignment horizontal="center" vertical="center"/>
    </xf>
    <xf numFmtId="0" fontId="63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17" fillId="29" borderId="73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69" xfId="0" applyBorder="1" applyAlignment="1">
      <alignment horizontal="center"/>
    </xf>
    <xf numFmtId="0" fontId="17" fillId="29" borderId="171" xfId="0" applyFont="1" applyFill="1" applyBorder="1" applyAlignment="1">
      <alignment horizontal="center"/>
    </xf>
    <xf numFmtId="0" fontId="0" fillId="0" borderId="210" xfId="0" applyBorder="1" applyAlignment="1">
      <alignment horizontal="center"/>
    </xf>
    <xf numFmtId="0" fontId="0" fillId="0" borderId="183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17" fillId="29" borderId="210" xfId="0" applyFont="1" applyFill="1" applyBorder="1" applyAlignment="1">
      <alignment horizontal="center"/>
    </xf>
    <xf numFmtId="0" fontId="17" fillId="29" borderId="183" xfId="0" applyFont="1" applyFill="1" applyBorder="1" applyAlignment="1">
      <alignment horizontal="center"/>
    </xf>
    <xf numFmtId="0" fontId="60" fillId="0" borderId="169" xfId="0" applyFont="1" applyBorder="1" applyAlignment="1">
      <alignment horizontal="center" vertical="center"/>
    </xf>
    <xf numFmtId="0" fontId="93" fillId="0" borderId="0" xfId="0" applyFont="1" applyAlignment="1">
      <alignment horizontal="center" wrapText="1"/>
    </xf>
    <xf numFmtId="0" fontId="94" fillId="0" borderId="0" xfId="0" applyFont="1" applyAlignment="1">
      <alignment wrapText="1"/>
    </xf>
    <xf numFmtId="0" fontId="94" fillId="0" borderId="0" xfId="0" applyFont="1" applyAlignment="1"/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60" fillId="0" borderId="0" xfId="0" applyFont="1" applyAlignment="1"/>
    <xf numFmtId="0" fontId="17" fillId="25" borderId="16" xfId="0" applyFont="1" applyFill="1" applyBorder="1" applyAlignment="1">
      <alignment horizontal="center" vertical="center" wrapText="1"/>
    </xf>
    <xf numFmtId="0" fontId="17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17" fillId="0" borderId="257" xfId="0" applyFont="1" applyBorder="1" applyAlignment="1">
      <alignment horizontal="center" vertical="center" wrapText="1"/>
    </xf>
    <xf numFmtId="0" fontId="60" fillId="0" borderId="257" xfId="0" applyFont="1" applyBorder="1" applyAlignment="1">
      <alignment horizontal="center" vertical="center"/>
    </xf>
    <xf numFmtId="0" fontId="60" fillId="0" borderId="257" xfId="0" applyFont="1" applyFill="1" applyBorder="1" applyAlignment="1">
      <alignment horizontal="center" vertical="center"/>
    </xf>
    <xf numFmtId="0" fontId="0" fillId="0" borderId="257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7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17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60" fillId="0" borderId="169" xfId="0" applyFont="1" applyBorder="1" applyAlignment="1">
      <alignment horizontal="center" vertical="center" wrapText="1"/>
    </xf>
    <xf numFmtId="0" fontId="0" fillId="0" borderId="169" xfId="0" applyFont="1" applyBorder="1" applyAlignment="1">
      <alignment horizontal="center" vertical="center" wrapText="1"/>
    </xf>
    <xf numFmtId="0" fontId="60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17" fillId="29" borderId="169" xfId="0" applyFont="1" applyFill="1" applyBorder="1" applyAlignment="1">
      <alignment horizontal="center"/>
    </xf>
    <xf numFmtId="0" fontId="0" fillId="0" borderId="257" xfId="0" applyFont="1" applyBorder="1" applyAlignment="1">
      <alignment horizontal="center"/>
    </xf>
    <xf numFmtId="0" fontId="0" fillId="0" borderId="257" xfId="0" applyFont="1" applyBorder="1" applyAlignment="1"/>
    <xf numFmtId="0" fontId="0" fillId="0" borderId="209" xfId="0" applyFont="1" applyBorder="1" applyAlignment="1"/>
    <xf numFmtId="0" fontId="0" fillId="0" borderId="170" xfId="0" applyFont="1" applyBorder="1" applyAlignment="1"/>
    <xf numFmtId="0" fontId="16" fillId="0" borderId="0" xfId="77" applyFont="1" applyAlignment="1">
      <alignment horizontal="center"/>
    </xf>
    <xf numFmtId="0" fontId="144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81" fillId="38" borderId="258" xfId="77" applyFont="1" applyFill="1" applyBorder="1" applyAlignment="1">
      <alignment horizontal="center"/>
    </xf>
    <xf numFmtId="0" fontId="81" fillId="38" borderId="11" xfId="77" applyFont="1" applyFill="1" applyBorder="1" applyAlignment="1">
      <alignment horizontal="center"/>
    </xf>
    <xf numFmtId="0" fontId="81" fillId="38" borderId="209" xfId="77" applyFont="1" applyFill="1" applyBorder="1" applyAlignment="1">
      <alignment horizontal="center" wrapText="1"/>
    </xf>
    <xf numFmtId="0" fontId="19" fillId="0" borderId="260" xfId="77" applyBorder="1" applyAlignment="1">
      <alignment horizontal="center" wrapText="1"/>
    </xf>
    <xf numFmtId="0" fontId="81" fillId="38" borderId="258" xfId="77" applyFont="1" applyFill="1" applyBorder="1" applyAlignment="1">
      <alignment horizontal="center" wrapText="1"/>
    </xf>
    <xf numFmtId="0" fontId="81" fillId="38" borderId="11" xfId="77" applyFont="1" applyFill="1" applyBorder="1" applyAlignment="1">
      <alignment horizontal="center" wrapText="1"/>
    </xf>
    <xf numFmtId="0" fontId="19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0" fontId="17" fillId="29" borderId="273" xfId="0" applyFont="1" applyFill="1" applyBorder="1" applyAlignment="1">
      <alignment horizontal="left" vertical="center" wrapText="1"/>
    </xf>
    <xf numFmtId="0" fontId="0" fillId="0" borderId="274" xfId="0" applyBorder="1" applyAlignment="1"/>
    <xf numFmtId="0" fontId="0" fillId="0" borderId="275" xfId="0" applyBorder="1" applyAlignment="1"/>
    <xf numFmtId="0" fontId="60" fillId="0" borderId="270" xfId="0" applyFont="1" applyBorder="1" applyAlignment="1">
      <alignment horizontal="center" vertical="center"/>
    </xf>
    <xf numFmtId="0" fontId="17" fillId="0" borderId="273" xfId="0" applyFont="1" applyFill="1" applyBorder="1" applyAlignment="1">
      <alignment horizontal="center" vertical="center" wrapText="1"/>
    </xf>
    <xf numFmtId="0" fontId="17" fillId="0" borderId="274" xfId="0" applyFont="1" applyFill="1" applyBorder="1" applyAlignment="1">
      <alignment horizontal="center" vertical="center" wrapText="1"/>
    </xf>
    <xf numFmtId="0" fontId="8" fillId="0" borderId="274" xfId="0" applyFont="1" applyFill="1" applyBorder="1" applyAlignment="1">
      <alignment horizontal="center" vertical="center" wrapText="1"/>
    </xf>
    <xf numFmtId="0" fontId="8" fillId="0" borderId="274" xfId="0" applyFont="1" applyBorder="1" applyAlignment="1">
      <alignment horizontal="center" vertical="center" wrapText="1"/>
    </xf>
    <xf numFmtId="0" fontId="8" fillId="0" borderId="275" xfId="0" applyFont="1" applyBorder="1" applyAlignment="1">
      <alignment horizontal="center" vertical="center" wrapText="1"/>
    </xf>
    <xf numFmtId="0" fontId="0" fillId="0" borderId="274" xfId="0" applyBorder="1" applyAlignment="1">
      <alignment horizontal="center" vertical="center" wrapText="1"/>
    </xf>
    <xf numFmtId="0" fontId="0" fillId="0" borderId="275" xfId="0" applyBorder="1" applyAlignment="1">
      <alignment horizontal="center" vertical="center" wrapText="1"/>
    </xf>
    <xf numFmtId="0" fontId="17" fillId="57" borderId="273" xfId="0" applyFont="1" applyFill="1" applyBorder="1" applyAlignment="1">
      <alignment horizontal="center" vertical="center" wrapText="1"/>
    </xf>
    <xf numFmtId="0" fontId="17" fillId="57" borderId="274" xfId="0" applyFont="1" applyFill="1" applyBorder="1" applyAlignment="1">
      <alignment horizontal="center" vertical="center" wrapText="1"/>
    </xf>
    <xf numFmtId="0" fontId="8" fillId="57" borderId="274" xfId="0" applyFont="1" applyFill="1" applyBorder="1" applyAlignment="1">
      <alignment horizontal="center" vertical="center" wrapText="1"/>
    </xf>
    <xf numFmtId="0" fontId="60" fillId="0" borderId="176" xfId="0" applyFont="1" applyFill="1" applyBorder="1" applyAlignment="1">
      <alignment horizontal="center" vertical="center" wrapText="1"/>
    </xf>
    <xf numFmtId="0" fontId="60" fillId="0" borderId="211" xfId="0" applyFont="1" applyFill="1" applyBorder="1" applyAlignment="1">
      <alignment horizontal="center" vertical="center" wrapText="1"/>
    </xf>
    <xf numFmtId="0" fontId="60" fillId="0" borderId="212" xfId="0" applyFont="1" applyFill="1" applyBorder="1" applyAlignment="1">
      <alignment horizontal="center" vertical="center" wrapText="1"/>
    </xf>
    <xf numFmtId="0" fontId="60" fillId="57" borderId="273" xfId="0" applyFont="1" applyFill="1" applyBorder="1" applyAlignment="1">
      <alignment horizontal="center" vertical="center" wrapText="1"/>
    </xf>
    <xf numFmtId="0" fontId="60" fillId="57" borderId="274" xfId="0" applyFont="1" applyFill="1" applyBorder="1" applyAlignment="1">
      <alignment horizontal="center" vertical="center" wrapText="1"/>
    </xf>
    <xf numFmtId="0" fontId="60" fillId="57" borderId="275" xfId="0" applyFont="1" applyFill="1" applyBorder="1" applyAlignment="1">
      <alignment horizontal="center" vertical="center" wrapText="1"/>
    </xf>
    <xf numFmtId="0" fontId="60" fillId="57" borderId="176" xfId="0" applyFont="1" applyFill="1" applyBorder="1" applyAlignment="1">
      <alignment horizontal="center" vertical="center" wrapText="1"/>
    </xf>
    <xf numFmtId="0" fontId="60" fillId="57" borderId="211" xfId="0" applyFont="1" applyFill="1" applyBorder="1" applyAlignment="1">
      <alignment horizontal="center" vertical="center" wrapText="1"/>
    </xf>
    <xf numFmtId="0" fontId="60" fillId="57" borderId="212" xfId="0" applyFont="1" applyFill="1" applyBorder="1" applyAlignment="1">
      <alignment horizontal="center" vertical="center" wrapText="1"/>
    </xf>
    <xf numFmtId="4" fontId="88" fillId="57" borderId="273" xfId="0" applyNumberFormat="1" applyFont="1" applyFill="1" applyBorder="1" applyAlignment="1">
      <alignment horizontal="center"/>
    </xf>
    <xf numFmtId="4" fontId="88" fillId="57" borderId="274" xfId="0" applyNumberFormat="1" applyFont="1" applyFill="1" applyBorder="1" applyAlignment="1">
      <alignment horizontal="center"/>
    </xf>
    <xf numFmtId="4" fontId="88" fillId="57" borderId="275" xfId="0" applyNumberFormat="1" applyFont="1" applyFill="1" applyBorder="1" applyAlignment="1">
      <alignment horizontal="center"/>
    </xf>
    <xf numFmtId="4" fontId="88" fillId="0" borderId="273" xfId="0" applyNumberFormat="1" applyFont="1" applyFill="1" applyBorder="1" applyAlignment="1">
      <alignment horizontal="center"/>
    </xf>
    <xf numFmtId="4" fontId="88" fillId="0" borderId="274" xfId="0" applyNumberFormat="1" applyFont="1" applyFill="1" applyBorder="1" applyAlignment="1">
      <alignment horizontal="center"/>
    </xf>
    <xf numFmtId="4" fontId="88" fillId="0" borderId="275" xfId="0" applyNumberFormat="1" applyFont="1" applyFill="1" applyBorder="1" applyAlignment="1">
      <alignment horizontal="center"/>
    </xf>
    <xf numFmtId="4" fontId="88" fillId="0" borderId="289" xfId="0" applyNumberFormat="1" applyFont="1" applyFill="1" applyBorder="1" applyAlignment="1">
      <alignment horizontal="center"/>
    </xf>
    <xf numFmtId="4" fontId="88" fillId="0" borderId="290" xfId="0" applyNumberFormat="1" applyFont="1" applyFill="1" applyBorder="1" applyAlignment="1">
      <alignment horizontal="center"/>
    </xf>
    <xf numFmtId="4" fontId="169" fillId="0" borderId="273" xfId="0" applyNumberFormat="1" applyFont="1" applyFill="1" applyBorder="1" applyAlignment="1">
      <alignment horizontal="center" vertical="center"/>
    </xf>
    <xf numFmtId="4" fontId="169" fillId="0" borderId="274" xfId="0" applyNumberFormat="1" applyFont="1" applyFill="1" applyBorder="1" applyAlignment="1">
      <alignment horizontal="center" vertical="center"/>
    </xf>
    <xf numFmtId="4" fontId="169" fillId="0" borderId="275" xfId="0" applyNumberFormat="1" applyFont="1" applyFill="1" applyBorder="1" applyAlignment="1">
      <alignment horizontal="center" vertical="center"/>
    </xf>
    <xf numFmtId="4" fontId="61" fillId="0" borderId="273" xfId="0" applyNumberFormat="1" applyFont="1" applyFill="1" applyBorder="1" applyAlignment="1">
      <alignment horizontal="center" vertical="center"/>
    </xf>
    <xf numFmtId="4" fontId="61" fillId="0" borderId="274" xfId="0" applyNumberFormat="1" applyFont="1" applyFill="1" applyBorder="1" applyAlignment="1">
      <alignment horizontal="center" vertical="center"/>
    </xf>
    <xf numFmtId="4" fontId="61" fillId="0" borderId="275" xfId="0" applyNumberFormat="1" applyFont="1" applyFill="1" applyBorder="1" applyAlignment="1">
      <alignment horizontal="center" vertical="center"/>
    </xf>
    <xf numFmtId="4" fontId="169" fillId="57" borderId="273" xfId="0" applyNumberFormat="1" applyFont="1" applyFill="1" applyBorder="1" applyAlignment="1">
      <alignment horizontal="center" vertical="center"/>
    </xf>
    <xf numFmtId="4" fontId="169" fillId="57" borderId="274" xfId="0" applyNumberFormat="1" applyFont="1" applyFill="1" applyBorder="1" applyAlignment="1">
      <alignment horizontal="center" vertical="center"/>
    </xf>
    <xf numFmtId="4" fontId="169" fillId="57" borderId="275" xfId="0" applyNumberFormat="1" applyFont="1" applyFill="1" applyBorder="1" applyAlignment="1">
      <alignment horizontal="center" vertical="center"/>
    </xf>
    <xf numFmtId="4" fontId="61" fillId="0" borderId="289" xfId="0" applyNumberFormat="1" applyFont="1" applyFill="1" applyBorder="1" applyAlignment="1">
      <alignment horizontal="center" vertical="center"/>
    </xf>
    <xf numFmtId="4" fontId="61" fillId="0" borderId="290" xfId="0" applyNumberFormat="1" applyFont="1" applyFill="1" applyBorder="1" applyAlignment="1">
      <alignment horizontal="center" vertical="center"/>
    </xf>
    <xf numFmtId="178" fontId="169" fillId="0" borderId="273" xfId="0" applyNumberFormat="1" applyFont="1" applyFill="1" applyBorder="1" applyAlignment="1">
      <alignment horizontal="center" vertical="center"/>
    </xf>
    <xf numFmtId="178" fontId="169" fillId="0" borderId="274" xfId="0" applyNumberFormat="1" applyFont="1" applyFill="1" applyBorder="1" applyAlignment="1">
      <alignment horizontal="center" vertical="center"/>
    </xf>
    <xf numFmtId="178" fontId="169" fillId="0" borderId="275" xfId="0" applyNumberFormat="1" applyFont="1" applyFill="1" applyBorder="1" applyAlignment="1">
      <alignment horizontal="center" vertical="center"/>
    </xf>
    <xf numFmtId="4" fontId="88" fillId="57" borderId="273" xfId="0" applyNumberFormat="1" applyFont="1" applyFill="1" applyBorder="1" applyAlignment="1">
      <alignment horizontal="center" vertical="center"/>
    </xf>
    <xf numFmtId="4" fontId="88" fillId="57" borderId="274" xfId="0" applyNumberFormat="1" applyFont="1" applyFill="1" applyBorder="1" applyAlignment="1">
      <alignment horizontal="center" vertical="center"/>
    </xf>
    <xf numFmtId="4" fontId="88" fillId="57" borderId="275" xfId="0" applyNumberFormat="1" applyFont="1" applyFill="1" applyBorder="1" applyAlignment="1">
      <alignment horizontal="center" vertical="center"/>
    </xf>
    <xf numFmtId="0" fontId="17" fillId="57" borderId="273" xfId="0" applyFont="1" applyFill="1" applyBorder="1" applyAlignment="1" applyProtection="1">
      <alignment horizontal="center" vertical="center"/>
    </xf>
    <xf numFmtId="0" fontId="17" fillId="57" borderId="274" xfId="0" applyFont="1" applyFill="1" applyBorder="1" applyAlignment="1" applyProtection="1">
      <alignment horizontal="center" vertical="center"/>
    </xf>
    <xf numFmtId="0" fontId="8" fillId="57" borderId="274" xfId="0" applyFont="1" applyFill="1" applyBorder="1" applyAlignment="1">
      <alignment vertical="center"/>
    </xf>
    <xf numFmtId="0" fontId="8" fillId="57" borderId="275" xfId="0" applyFont="1" applyFill="1" applyBorder="1" applyAlignment="1">
      <alignment vertical="center"/>
    </xf>
    <xf numFmtId="0" fontId="17" fillId="0" borderId="273" xfId="0" applyFont="1" applyFill="1" applyBorder="1" applyAlignment="1" applyProtection="1">
      <alignment horizontal="center" vertical="center" wrapText="1"/>
    </xf>
    <xf numFmtId="0" fontId="17" fillId="0" borderId="274" xfId="0" applyFont="1" applyFill="1" applyBorder="1" applyAlignment="1" applyProtection="1">
      <alignment horizontal="center" vertical="center" wrapText="1"/>
    </xf>
    <xf numFmtId="0" fontId="17" fillId="0" borderId="275" xfId="0" applyFont="1" applyFill="1" applyBorder="1" applyAlignment="1" applyProtection="1">
      <alignment horizontal="center" vertical="center" wrapText="1"/>
    </xf>
    <xf numFmtId="0" fontId="60" fillId="0" borderId="273" xfId="0" applyFont="1" applyFill="1" applyBorder="1" applyAlignment="1" applyProtection="1">
      <alignment horizontal="center" vertical="center"/>
    </xf>
    <xf numFmtId="0" fontId="60" fillId="0" borderId="274" xfId="0" applyFont="1" applyFill="1" applyBorder="1" applyAlignment="1" applyProtection="1">
      <alignment horizontal="center" vertical="center"/>
    </xf>
    <xf numFmtId="0" fontId="60" fillId="0" borderId="275" xfId="0" applyFont="1" applyFill="1" applyBorder="1" applyAlignment="1" applyProtection="1">
      <alignment horizontal="center" vertical="center"/>
    </xf>
    <xf numFmtId="0" fontId="60" fillId="0" borderId="273" xfId="0" applyFont="1" applyFill="1" applyBorder="1" applyAlignment="1" applyProtection="1">
      <alignment horizontal="center" vertical="center" wrapText="1"/>
    </xf>
    <xf numFmtId="0" fontId="60" fillId="0" borderId="274" xfId="0" applyFont="1" applyFill="1" applyBorder="1" applyAlignment="1" applyProtection="1">
      <alignment horizontal="center" vertical="center" wrapText="1"/>
    </xf>
    <xf numFmtId="0" fontId="60" fillId="0" borderId="275" xfId="0" applyFont="1" applyFill="1" applyBorder="1" applyAlignment="1" applyProtection="1">
      <alignment horizontal="center" vertical="center" wrapText="1"/>
    </xf>
    <xf numFmtId="0" fontId="17" fillId="0" borderId="273" xfId="0" applyFont="1" applyFill="1" applyBorder="1" applyAlignment="1" applyProtection="1">
      <alignment horizontal="center" vertical="center"/>
    </xf>
    <xf numFmtId="0" fontId="17" fillId="0" borderId="274" xfId="0" applyFont="1" applyFill="1" applyBorder="1" applyAlignment="1" applyProtection="1">
      <alignment horizontal="center" vertical="center"/>
    </xf>
    <xf numFmtId="0" fontId="17" fillId="0" borderId="275" xfId="0" applyFont="1" applyFill="1" applyBorder="1" applyAlignment="1" applyProtection="1">
      <alignment horizontal="center" vertical="center"/>
    </xf>
    <xf numFmtId="0" fontId="8" fillId="0" borderId="274" xfId="0" applyFont="1" applyBorder="1" applyAlignment="1">
      <alignment horizontal="center" vertical="center"/>
    </xf>
    <xf numFmtId="0" fontId="8" fillId="0" borderId="275" xfId="0" applyFont="1" applyBorder="1" applyAlignment="1">
      <alignment horizontal="center" vertical="center"/>
    </xf>
    <xf numFmtId="0" fontId="17" fillId="57" borderId="176" xfId="0" applyFont="1" applyFill="1" applyBorder="1" applyAlignment="1" applyProtection="1">
      <alignment horizontal="center" vertical="center"/>
    </xf>
    <xf numFmtId="0" fontId="17" fillId="57" borderId="211" xfId="0" applyFont="1" applyFill="1" applyBorder="1" applyAlignment="1" applyProtection="1">
      <alignment horizontal="center" vertical="center"/>
    </xf>
    <xf numFmtId="0" fontId="17" fillId="57" borderId="212" xfId="0" applyFont="1" applyFill="1" applyBorder="1" applyAlignment="1" applyProtection="1">
      <alignment horizontal="center" vertical="center"/>
    </xf>
    <xf numFmtId="0" fontId="60" fillId="0" borderId="176" xfId="0" applyFont="1" applyFill="1" applyBorder="1" applyAlignment="1" applyProtection="1">
      <alignment horizontal="center" vertical="center" wrapText="1"/>
    </xf>
    <xf numFmtId="0" fontId="60" fillId="0" borderId="211" xfId="0" applyFont="1" applyFill="1" applyBorder="1" applyAlignment="1" applyProtection="1">
      <alignment horizontal="center" vertical="center" wrapText="1"/>
    </xf>
    <xf numFmtId="0" fontId="60" fillId="0" borderId="212" xfId="0" applyFont="1" applyFill="1" applyBorder="1" applyAlignment="1" applyProtection="1">
      <alignment horizontal="center" vertical="center" wrapText="1"/>
    </xf>
    <xf numFmtId="0" fontId="17" fillId="57" borderId="66" xfId="0" applyFont="1" applyFill="1" applyBorder="1" applyAlignment="1" applyProtection="1">
      <alignment horizontal="center" vertical="center" wrapText="1"/>
    </xf>
    <xf numFmtId="0" fontId="17" fillId="57" borderId="0" xfId="0" applyFont="1" applyFill="1" applyBorder="1" applyAlignment="1" applyProtection="1">
      <alignment horizontal="center" vertical="center" wrapText="1"/>
    </xf>
    <xf numFmtId="0" fontId="17" fillId="57" borderId="74" xfId="0" applyFont="1" applyFill="1" applyBorder="1" applyAlignment="1" applyProtection="1">
      <alignment horizontal="center" vertical="center" wrapText="1"/>
    </xf>
    <xf numFmtId="0" fontId="8" fillId="57" borderId="0" xfId="0" applyFont="1" applyFill="1" applyBorder="1" applyAlignment="1">
      <alignment horizontal="center" vertical="center" wrapText="1"/>
    </xf>
    <xf numFmtId="0" fontId="8" fillId="57" borderId="74" xfId="0" applyFont="1" applyFill="1" applyBorder="1" applyAlignment="1">
      <alignment horizontal="center" vertical="center" wrapText="1"/>
    </xf>
    <xf numFmtId="0" fontId="60" fillId="0" borderId="258" xfId="0" applyFont="1" applyBorder="1" applyAlignment="1" applyProtection="1">
      <alignment horizontal="center" vertical="center" wrapText="1"/>
    </xf>
    <xf numFmtId="0" fontId="60" fillId="0" borderId="61" xfId="0" applyFont="1" applyBorder="1" applyAlignment="1" applyProtection="1">
      <alignment horizontal="center" vertical="center" wrapText="1"/>
    </xf>
    <xf numFmtId="0" fontId="17" fillId="57" borderId="176" xfId="0" applyFont="1" applyFill="1" applyBorder="1" applyAlignment="1" applyProtection="1">
      <alignment horizontal="center" vertical="center" wrapText="1"/>
    </xf>
    <xf numFmtId="0" fontId="17" fillId="57" borderId="211" xfId="0" applyFont="1" applyFill="1" applyBorder="1" applyAlignment="1" applyProtection="1">
      <alignment horizontal="center" vertical="center" wrapText="1"/>
    </xf>
    <xf numFmtId="0" fontId="17" fillId="57" borderId="212" xfId="0" applyFont="1" applyFill="1" applyBorder="1" applyAlignment="1" applyProtection="1">
      <alignment horizontal="center" vertical="center" wrapText="1"/>
    </xf>
    <xf numFmtId="0" fontId="17" fillId="0" borderId="176" xfId="0" applyFont="1" applyFill="1" applyBorder="1" applyAlignment="1" applyProtection="1">
      <alignment horizontal="center" vertical="center"/>
    </xf>
    <xf numFmtId="0" fontId="17" fillId="0" borderId="211" xfId="0" applyFont="1" applyFill="1" applyBorder="1" applyAlignment="1" applyProtection="1">
      <alignment horizontal="center" vertical="center"/>
    </xf>
    <xf numFmtId="0" fontId="17" fillId="0" borderId="212" xfId="0" applyFont="1" applyFill="1" applyBorder="1" applyAlignment="1" applyProtection="1">
      <alignment horizontal="center" vertical="center"/>
    </xf>
    <xf numFmtId="0" fontId="60" fillId="0" borderId="176" xfId="0" applyFont="1" applyFill="1" applyBorder="1" applyAlignment="1" applyProtection="1">
      <alignment horizontal="center" vertical="center"/>
    </xf>
    <xf numFmtId="0" fontId="60" fillId="0" borderId="211" xfId="0" applyFont="1" applyFill="1" applyBorder="1" applyAlignment="1" applyProtection="1">
      <alignment horizontal="center" vertical="center"/>
    </xf>
    <xf numFmtId="0" fontId="60" fillId="0" borderId="212" xfId="0" applyFont="1" applyFill="1" applyBorder="1" applyAlignment="1" applyProtection="1">
      <alignment horizontal="center" vertical="center"/>
    </xf>
    <xf numFmtId="178" fontId="88" fillId="57" borderId="273" xfId="0" applyNumberFormat="1" applyFont="1" applyFill="1" applyBorder="1" applyAlignment="1">
      <alignment horizontal="center" vertical="center"/>
    </xf>
    <xf numFmtId="178" fontId="88" fillId="57" borderId="274" xfId="0" applyNumberFormat="1" applyFont="1" applyFill="1" applyBorder="1" applyAlignment="1">
      <alignment horizontal="center" vertical="center"/>
    </xf>
    <xf numFmtId="178" fontId="88" fillId="57" borderId="275" xfId="0" applyNumberFormat="1" applyFont="1" applyFill="1" applyBorder="1" applyAlignment="1">
      <alignment horizontal="center" vertical="center"/>
    </xf>
    <xf numFmtId="178" fontId="88" fillId="0" borderId="273" xfId="0" applyNumberFormat="1" applyFont="1" applyFill="1" applyBorder="1" applyAlignment="1">
      <alignment horizontal="center"/>
    </xf>
    <xf numFmtId="178" fontId="88" fillId="0" borderId="274" xfId="0" applyNumberFormat="1" applyFont="1" applyFill="1" applyBorder="1" applyAlignment="1">
      <alignment horizontal="center"/>
    </xf>
    <xf numFmtId="178" fontId="88" fillId="0" borderId="275" xfId="0" applyNumberFormat="1" applyFont="1" applyFill="1" applyBorder="1" applyAlignment="1">
      <alignment horizontal="center"/>
    </xf>
    <xf numFmtId="178" fontId="169" fillId="57" borderId="273" xfId="0" applyNumberFormat="1" applyFont="1" applyFill="1" applyBorder="1" applyAlignment="1">
      <alignment horizontal="center" vertical="center"/>
    </xf>
    <xf numFmtId="178" fontId="169" fillId="57" borderId="274" xfId="0" applyNumberFormat="1" applyFont="1" applyFill="1" applyBorder="1" applyAlignment="1">
      <alignment horizontal="center" vertical="center"/>
    </xf>
    <xf numFmtId="178" fontId="169" fillId="57" borderId="275" xfId="0" applyNumberFormat="1" applyFont="1" applyFill="1" applyBorder="1" applyAlignment="1">
      <alignment horizontal="center" vertical="center"/>
    </xf>
    <xf numFmtId="178" fontId="17" fillId="0" borderId="273" xfId="0" applyNumberFormat="1" applyFont="1" applyFill="1" applyBorder="1" applyAlignment="1">
      <alignment horizontal="center" vertical="center" wrapText="1"/>
    </xf>
    <xf numFmtId="178" fontId="17" fillId="0" borderId="274" xfId="0" applyNumberFormat="1" applyFont="1" applyFill="1" applyBorder="1" applyAlignment="1">
      <alignment horizontal="center" vertical="center" wrapText="1"/>
    </xf>
    <xf numFmtId="178" fontId="8" fillId="0" borderId="274" xfId="0" applyNumberFormat="1" applyFont="1" applyFill="1" applyBorder="1" applyAlignment="1">
      <alignment horizontal="center" vertical="center" wrapText="1"/>
    </xf>
    <xf numFmtId="178" fontId="0" fillId="0" borderId="274" xfId="0" applyNumberFormat="1" applyBorder="1" applyAlignment="1">
      <alignment horizontal="center" vertical="center" wrapText="1"/>
    </xf>
    <xf numFmtId="178" fontId="0" fillId="0" borderId="275" xfId="0" applyNumberFormat="1" applyBorder="1" applyAlignment="1">
      <alignment horizontal="center" vertical="center" wrapText="1"/>
    </xf>
    <xf numFmtId="178" fontId="60" fillId="0" borderId="176" xfId="0" applyNumberFormat="1" applyFont="1" applyFill="1" applyBorder="1" applyAlignment="1">
      <alignment horizontal="center" vertical="center" wrapText="1"/>
    </xf>
    <xf numFmtId="178" fontId="60" fillId="0" borderId="211" xfId="0" applyNumberFormat="1" applyFont="1" applyFill="1" applyBorder="1" applyAlignment="1">
      <alignment horizontal="center" vertical="center" wrapText="1"/>
    </xf>
    <xf numFmtId="178" fontId="60" fillId="0" borderId="212" xfId="0" applyNumberFormat="1" applyFont="1" applyFill="1" applyBorder="1" applyAlignment="1">
      <alignment horizontal="center" vertical="center" wrapText="1"/>
    </xf>
    <xf numFmtId="4" fontId="88" fillId="0" borderId="209" xfId="0" applyNumberFormat="1" applyFont="1" applyFill="1" applyBorder="1" applyAlignment="1">
      <alignment horizontal="center"/>
    </xf>
    <xf numFmtId="4" fontId="88" fillId="0" borderId="210" xfId="0" applyNumberFormat="1" applyFont="1" applyFill="1" applyBorder="1" applyAlignment="1">
      <alignment horizontal="center"/>
    </xf>
    <xf numFmtId="4" fontId="88" fillId="0" borderId="260" xfId="0" applyNumberFormat="1" applyFont="1" applyFill="1" applyBorder="1" applyAlignment="1">
      <alignment horizontal="center"/>
    </xf>
    <xf numFmtId="178" fontId="88" fillId="57" borderId="273" xfId="0" applyNumberFormat="1" applyFont="1" applyFill="1" applyBorder="1" applyAlignment="1">
      <alignment horizontal="center"/>
    </xf>
    <xf numFmtId="178" fontId="88" fillId="57" borderId="274" xfId="0" applyNumberFormat="1" applyFont="1" applyFill="1" applyBorder="1" applyAlignment="1">
      <alignment horizontal="center"/>
    </xf>
    <xf numFmtId="178" fontId="88" fillId="57" borderId="275" xfId="0" applyNumberFormat="1" applyFont="1" applyFill="1" applyBorder="1" applyAlignment="1">
      <alignment horizontal="center"/>
    </xf>
    <xf numFmtId="4" fontId="169" fillId="0" borderId="209" xfId="0" applyNumberFormat="1" applyFont="1" applyFill="1" applyBorder="1" applyAlignment="1">
      <alignment horizontal="center" vertical="center"/>
    </xf>
    <xf numFmtId="4" fontId="169" fillId="0" borderId="210" xfId="0" applyNumberFormat="1" applyFont="1" applyFill="1" applyBorder="1" applyAlignment="1">
      <alignment horizontal="center" vertical="center"/>
    </xf>
    <xf numFmtId="4" fontId="169" fillId="0" borderId="260" xfId="0" applyNumberFormat="1" applyFont="1" applyFill="1" applyBorder="1" applyAlignment="1">
      <alignment horizontal="center" vertical="center"/>
    </xf>
    <xf numFmtId="4" fontId="61" fillId="0" borderId="209" xfId="0" applyNumberFormat="1" applyFont="1" applyFill="1" applyBorder="1" applyAlignment="1">
      <alignment horizontal="center" vertical="center"/>
    </xf>
    <xf numFmtId="4" fontId="61" fillId="0" borderId="210" xfId="0" applyNumberFormat="1" applyFont="1" applyFill="1" applyBorder="1" applyAlignment="1">
      <alignment horizontal="center" vertical="center"/>
    </xf>
    <xf numFmtId="4" fontId="61" fillId="0" borderId="260" xfId="0" applyNumberFormat="1" applyFont="1" applyFill="1" applyBorder="1" applyAlignment="1">
      <alignment horizontal="center" vertical="center"/>
    </xf>
    <xf numFmtId="2" fontId="169" fillId="57" borderId="273" xfId="0" applyNumberFormat="1" applyFont="1" applyFill="1" applyBorder="1" applyAlignment="1">
      <alignment horizontal="center" vertical="center"/>
    </xf>
    <xf numFmtId="2" fontId="169" fillId="57" borderId="274" xfId="0" applyNumberFormat="1" applyFont="1" applyFill="1" applyBorder="1" applyAlignment="1">
      <alignment horizontal="center" vertical="center"/>
    </xf>
    <xf numFmtId="2" fontId="169" fillId="57" borderId="275" xfId="0" applyNumberFormat="1" applyFont="1" applyFill="1" applyBorder="1" applyAlignment="1">
      <alignment horizontal="center" vertical="center"/>
    </xf>
    <xf numFmtId="2" fontId="170" fillId="57" borderId="273" xfId="0" applyNumberFormat="1" applyFont="1" applyFill="1" applyBorder="1" applyAlignment="1">
      <alignment horizontal="center" vertical="center"/>
    </xf>
    <xf numFmtId="2" fontId="170" fillId="57" borderId="274" xfId="0" applyNumberFormat="1" applyFont="1" applyFill="1" applyBorder="1" applyAlignment="1">
      <alignment horizontal="center" vertical="center"/>
    </xf>
    <xf numFmtId="2" fontId="170" fillId="57" borderId="275" xfId="0" applyNumberFormat="1" applyFont="1" applyFill="1" applyBorder="1" applyAlignment="1">
      <alignment horizontal="center" vertical="center"/>
    </xf>
    <xf numFmtId="0" fontId="17" fillId="0" borderId="176" xfId="0" applyFont="1" applyFill="1" applyBorder="1" applyAlignment="1" applyProtection="1">
      <alignment horizontal="center" vertical="center" wrapText="1"/>
    </xf>
    <xf numFmtId="0" fontId="17" fillId="0" borderId="211" xfId="0" applyFont="1" applyFill="1" applyBorder="1" applyAlignment="1" applyProtection="1">
      <alignment horizontal="center" vertical="center" wrapText="1"/>
    </xf>
    <xf numFmtId="0" fontId="17" fillId="0" borderId="212" xfId="0" applyFont="1" applyFill="1" applyBorder="1" applyAlignment="1" applyProtection="1">
      <alignment horizontal="center" vertical="center" wrapText="1"/>
    </xf>
    <xf numFmtId="0" fontId="0" fillId="0" borderId="274" xfId="0" applyBorder="1" applyAlignment="1">
      <alignment horizontal="center" vertical="center"/>
    </xf>
    <xf numFmtId="0" fontId="50" fillId="0" borderId="274" xfId="0" applyFont="1" applyBorder="1" applyAlignment="1">
      <alignment horizontal="center" vertical="center"/>
    </xf>
    <xf numFmtId="0" fontId="50" fillId="0" borderId="275" xfId="0" applyFont="1" applyBorder="1" applyAlignment="1">
      <alignment horizontal="center" vertical="center"/>
    </xf>
    <xf numFmtId="178" fontId="170" fillId="57" borderId="273" xfId="0" applyNumberFormat="1" applyFont="1" applyFill="1" applyBorder="1" applyAlignment="1">
      <alignment horizontal="center" vertical="center"/>
    </xf>
    <xf numFmtId="178" fontId="170" fillId="57" borderId="274" xfId="0" applyNumberFormat="1" applyFont="1" applyFill="1" applyBorder="1" applyAlignment="1">
      <alignment horizontal="center" vertical="center"/>
    </xf>
    <xf numFmtId="178" fontId="170" fillId="57" borderId="275" xfId="0" applyNumberFormat="1" applyFont="1" applyFill="1" applyBorder="1" applyAlignment="1">
      <alignment horizontal="center" vertical="center"/>
    </xf>
    <xf numFmtId="4" fontId="170" fillId="57" borderId="273" xfId="0" applyNumberFormat="1" applyFont="1" applyFill="1" applyBorder="1" applyAlignment="1">
      <alignment horizontal="center" vertical="center"/>
    </xf>
    <xf numFmtId="4" fontId="170" fillId="57" borderId="274" xfId="0" applyNumberFormat="1" applyFont="1" applyFill="1" applyBorder="1" applyAlignment="1">
      <alignment horizontal="center" vertical="center"/>
    </xf>
    <xf numFmtId="4" fontId="170" fillId="57" borderId="275" xfId="0" applyNumberFormat="1" applyFont="1" applyFill="1" applyBorder="1" applyAlignment="1">
      <alignment horizontal="center" vertical="center"/>
    </xf>
    <xf numFmtId="2" fontId="88" fillId="57" borderId="273" xfId="0" applyNumberFormat="1" applyFont="1" applyFill="1" applyBorder="1" applyAlignment="1">
      <alignment horizontal="center" vertical="center"/>
    </xf>
    <xf numFmtId="2" fontId="88" fillId="57" borderId="274" xfId="0" applyNumberFormat="1" applyFont="1" applyFill="1" applyBorder="1" applyAlignment="1">
      <alignment horizontal="center" vertical="center"/>
    </xf>
    <xf numFmtId="2" fontId="88" fillId="57" borderId="275" xfId="0" applyNumberFormat="1" applyFont="1" applyFill="1" applyBorder="1" applyAlignment="1">
      <alignment horizontal="center" vertical="center"/>
    </xf>
    <xf numFmtId="0" fontId="0" fillId="0" borderId="53" xfId="0" applyBorder="1" applyAlignment="1"/>
    <xf numFmtId="0" fontId="0" fillId="0" borderId="59" xfId="0" applyBorder="1" applyAlignment="1"/>
    <xf numFmtId="0" fontId="0" fillId="0" borderId="0" xfId="0" applyAlignment="1">
      <alignment horizontal="right"/>
    </xf>
    <xf numFmtId="0" fontId="84" fillId="0" borderId="0" xfId="0" applyFont="1" applyAlignment="1">
      <alignment horizontal="center"/>
    </xf>
    <xf numFmtId="0" fontId="17" fillId="25" borderId="52" xfId="0" applyFont="1" applyFill="1" applyBorder="1" applyAlignment="1">
      <alignment horizontal="center" vertical="center" wrapText="1"/>
    </xf>
    <xf numFmtId="0" fontId="17" fillId="25" borderId="53" xfId="0" applyFont="1" applyFill="1" applyBorder="1" applyAlignment="1">
      <alignment horizontal="center" vertical="center" wrapText="1"/>
    </xf>
    <xf numFmtId="0" fontId="17" fillId="38" borderId="209" xfId="0" applyFont="1" applyFill="1" applyBorder="1" applyAlignment="1">
      <alignment horizontal="center" vertical="center" wrapText="1"/>
    </xf>
    <xf numFmtId="0" fontId="0" fillId="0" borderId="260" xfId="0" applyBorder="1" applyAlignment="1">
      <alignment horizontal="center" vertical="center" wrapText="1"/>
    </xf>
    <xf numFmtId="0" fontId="60" fillId="38" borderId="257" xfId="0" applyFont="1" applyFill="1" applyBorder="1" applyAlignment="1">
      <alignment horizontal="center" vertical="center" wrapText="1"/>
    </xf>
    <xf numFmtId="0" fontId="0" fillId="38" borderId="257" xfId="0" applyFill="1" applyBorder="1" applyAlignment="1">
      <alignment horizontal="center" vertical="center" wrapText="1"/>
    </xf>
    <xf numFmtId="0" fontId="17" fillId="38" borderId="66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17" fillId="38" borderId="27" xfId="0" applyFont="1" applyFill="1" applyBorder="1" applyAlignment="1">
      <alignment horizontal="center" vertical="center" wrapText="1"/>
    </xf>
    <xf numFmtId="0" fontId="17" fillId="38" borderId="71" xfId="0" applyFont="1" applyFill="1" applyBorder="1" applyAlignment="1">
      <alignment horizontal="center" vertical="center" wrapText="1"/>
    </xf>
    <xf numFmtId="0" fontId="60" fillId="38" borderId="258" xfId="0" applyFont="1" applyFill="1" applyBorder="1" applyAlignment="1">
      <alignment horizontal="center" vertical="center" wrapText="1"/>
    </xf>
    <xf numFmtId="0" fontId="17" fillId="38" borderId="257" xfId="0" applyFont="1" applyFill="1" applyBorder="1" applyAlignment="1">
      <alignment horizontal="center" vertical="center" wrapText="1"/>
    </xf>
    <xf numFmtId="0" fontId="0" fillId="38" borderId="258" xfId="0" applyFill="1" applyBorder="1" applyAlignment="1">
      <alignment horizontal="center" vertical="center" wrapText="1"/>
    </xf>
    <xf numFmtId="0" fontId="17" fillId="38" borderId="3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7" fillId="38" borderId="17" xfId="0" applyFont="1" applyFill="1" applyBorder="1" applyAlignment="1">
      <alignment horizontal="center" vertical="center" wrapText="1"/>
    </xf>
    <xf numFmtId="0" fontId="60" fillId="38" borderId="16" xfId="0" applyFont="1" applyFill="1" applyBorder="1" applyAlignment="1">
      <alignment horizontal="center" vertical="center"/>
    </xf>
    <xf numFmtId="0" fontId="60" fillId="38" borderId="169" xfId="0" applyFont="1" applyFill="1" applyBorder="1" applyAlignment="1">
      <alignment horizontal="center" vertical="center"/>
    </xf>
    <xf numFmtId="0" fontId="60" fillId="38" borderId="18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162" fillId="0" borderId="0" xfId="0" applyFont="1" applyAlignment="1">
      <alignment horizontal="center" wrapText="1"/>
    </xf>
    <xf numFmtId="0" fontId="0" fillId="0" borderId="183" xfId="0" applyBorder="1" applyAlignment="1">
      <alignment horizontal="center" vertical="center" wrapText="1"/>
    </xf>
    <xf numFmtId="0" fontId="84" fillId="0" borderId="0" xfId="0" applyFont="1" applyAlignment="1">
      <alignment horizontal="center" vertical="center"/>
    </xf>
    <xf numFmtId="0" fontId="18" fillId="38" borderId="213" xfId="0" applyFont="1" applyFill="1" applyBorder="1" applyAlignment="1">
      <alignment horizontal="center" vertical="center" wrapText="1"/>
    </xf>
    <xf numFmtId="0" fontId="0" fillId="0" borderId="253" xfId="0" applyBorder="1" applyAlignment="1">
      <alignment horizontal="center" vertical="center" wrapText="1"/>
    </xf>
    <xf numFmtId="0" fontId="0" fillId="0" borderId="214" xfId="0" applyBorder="1" applyAlignment="1">
      <alignment horizontal="center" vertical="center" wrapText="1"/>
    </xf>
    <xf numFmtId="0" fontId="0" fillId="0" borderId="215" xfId="0" applyBorder="1" applyAlignment="1">
      <alignment horizontal="center" vertical="center" wrapText="1"/>
    </xf>
    <xf numFmtId="0" fontId="0" fillId="0" borderId="208" xfId="0" applyBorder="1" applyAlignment="1">
      <alignment horizontal="center" vertical="center" wrapText="1"/>
    </xf>
    <xf numFmtId="0" fontId="0" fillId="0" borderId="216" xfId="0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 wrapText="1"/>
    </xf>
    <xf numFmtId="0" fontId="16" fillId="38" borderId="193" xfId="0" applyFont="1" applyFill="1" applyBorder="1" applyAlignment="1">
      <alignment horizontal="center" vertical="center" wrapText="1"/>
    </xf>
    <xf numFmtId="0" fontId="0" fillId="0" borderId="199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16" fillId="38" borderId="192" xfId="0" applyFont="1" applyFill="1" applyBorder="1" applyAlignment="1">
      <alignment horizontal="center" vertical="center" wrapText="1"/>
    </xf>
    <xf numFmtId="0" fontId="18" fillId="38" borderId="193" xfId="0" applyFont="1" applyFill="1" applyBorder="1" applyAlignment="1">
      <alignment horizontal="center" vertical="center" wrapText="1"/>
    </xf>
    <xf numFmtId="0" fontId="60" fillId="38" borderId="205" xfId="0" applyFont="1" applyFill="1" applyBorder="1" applyAlignment="1">
      <alignment horizontal="center" vertical="center" wrapText="1"/>
    </xf>
    <xf numFmtId="0" fontId="60" fillId="38" borderId="206" xfId="0" applyFont="1" applyFill="1" applyBorder="1" applyAlignment="1">
      <alignment horizontal="center" vertical="center" wrapText="1"/>
    </xf>
    <xf numFmtId="0" fontId="60" fillId="38" borderId="193" xfId="0" applyFont="1" applyFill="1" applyBorder="1" applyAlignment="1">
      <alignment horizontal="center" vertical="center" wrapText="1"/>
    </xf>
    <xf numFmtId="0" fontId="60" fillId="38" borderId="194" xfId="0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 wrapText="1"/>
    </xf>
    <xf numFmtId="0" fontId="8" fillId="38" borderId="192" xfId="0" applyFont="1" applyFill="1" applyBorder="1" applyAlignment="1">
      <alignment horizontal="center" vertical="center" wrapText="1"/>
    </xf>
    <xf numFmtId="0" fontId="16" fillId="38" borderId="199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8" fillId="38" borderId="225" xfId="0" applyFont="1" applyFill="1" applyBorder="1" applyAlignment="1">
      <alignment horizontal="center" vertical="center" wrapText="1"/>
    </xf>
    <xf numFmtId="0" fontId="0" fillId="0" borderId="226" xfId="0" applyBorder="1" applyAlignment="1"/>
    <xf numFmtId="0" fontId="18" fillId="38" borderId="199" xfId="0" applyFont="1" applyFill="1" applyBorder="1" applyAlignment="1">
      <alignment horizontal="center" vertical="center" wrapText="1"/>
    </xf>
    <xf numFmtId="0" fontId="18" fillId="38" borderId="194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50" fillId="38" borderId="192" xfId="0" applyFont="1" applyFill="1" applyBorder="1" applyAlignment="1">
      <alignment horizontal="center" vertical="center" wrapText="1"/>
    </xf>
    <xf numFmtId="0" fontId="78" fillId="38" borderId="192" xfId="0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/>
    </xf>
    <xf numFmtId="0" fontId="58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0" fillId="0" borderId="28" xfId="0" applyBorder="1" applyAlignment="1">
      <alignment horizontal="center"/>
    </xf>
    <xf numFmtId="0" fontId="8" fillId="25" borderId="26" xfId="0" applyFont="1" applyFill="1" applyBorder="1" applyAlignment="1">
      <alignment horizontal="center"/>
    </xf>
    <xf numFmtId="0" fontId="8" fillId="25" borderId="0" xfId="0" applyFont="1" applyFill="1" applyBorder="1" applyAlignment="1">
      <alignment horizontal="center"/>
    </xf>
    <xf numFmtId="0" fontId="8" fillId="25" borderId="36" xfId="0" applyFont="1" applyFill="1" applyBorder="1" applyAlignment="1">
      <alignment horizontal="center"/>
    </xf>
    <xf numFmtId="0" fontId="8" fillId="25" borderId="25" xfId="0" applyFont="1" applyFill="1" applyBorder="1" applyAlignment="1">
      <alignment horizontal="center"/>
    </xf>
    <xf numFmtId="0" fontId="8" fillId="25" borderId="28" xfId="0" applyFont="1" applyFill="1" applyBorder="1" applyAlignment="1">
      <alignment horizontal="center"/>
    </xf>
    <xf numFmtId="0" fontId="60" fillId="38" borderId="205" xfId="0" applyFont="1" applyFill="1" applyBorder="1" applyAlignment="1">
      <alignment horizontal="center" vertical="center"/>
    </xf>
    <xf numFmtId="0" fontId="60" fillId="38" borderId="206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17" fillId="38" borderId="193" xfId="0" applyFont="1" applyFill="1" applyBorder="1" applyAlignment="1">
      <alignment horizontal="center" vertical="center" wrapText="1"/>
    </xf>
    <xf numFmtId="0" fontId="17" fillId="38" borderId="199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/>
    <xf numFmtId="0" fontId="17" fillId="38" borderId="192" xfId="0" applyFont="1" applyFill="1" applyBorder="1"/>
    <xf numFmtId="0" fontId="12" fillId="38" borderId="19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0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wrapText="1"/>
    </xf>
    <xf numFmtId="0" fontId="17" fillId="24" borderId="0" xfId="96" applyFont="1" applyFill="1" applyAlignment="1">
      <alignment horizontal="center"/>
    </xf>
    <xf numFmtId="0" fontId="13" fillId="38" borderId="192" xfId="96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3" fillId="27" borderId="193" xfId="96" applyFont="1" applyFill="1" applyBorder="1" applyAlignment="1">
      <alignment horizontal="center" vertical="center" wrapText="1"/>
    </xf>
    <xf numFmtId="0" fontId="13" fillId="27" borderId="199" xfId="96" applyFont="1" applyFill="1" applyBorder="1" applyAlignment="1">
      <alignment horizontal="center" vertical="center" wrapText="1"/>
    </xf>
    <xf numFmtId="0" fontId="13" fillId="38" borderId="193" xfId="96" applyFont="1" applyFill="1" applyBorder="1" applyAlignment="1">
      <alignment horizontal="center" vertical="center" wrapText="1"/>
    </xf>
    <xf numFmtId="0" fontId="13" fillId="38" borderId="199" xfId="96" applyFont="1" applyFill="1" applyBorder="1" applyAlignment="1">
      <alignment horizontal="center" vertical="center" wrapText="1"/>
    </xf>
    <xf numFmtId="0" fontId="0" fillId="38" borderId="199" xfId="0" applyFill="1" applyBorder="1" applyAlignment="1">
      <alignment horizontal="center" vertical="center" wrapText="1"/>
    </xf>
    <xf numFmtId="0" fontId="0" fillId="38" borderId="199" xfId="0" applyFill="1" applyBorder="1" applyAlignment="1"/>
    <xf numFmtId="0" fontId="0" fillId="0" borderId="199" xfId="0" applyBorder="1" applyAlignment="1"/>
    <xf numFmtId="0" fontId="0" fillId="0" borderId="194" xfId="0" applyBorder="1" applyAlignment="1"/>
    <xf numFmtId="0" fontId="13" fillId="27" borderId="213" xfId="96" applyFont="1" applyFill="1" applyBorder="1" applyAlignment="1">
      <alignment horizontal="center" vertical="center" wrapText="1"/>
    </xf>
    <xf numFmtId="0" fontId="13" fillId="27" borderId="225" xfId="96" applyFont="1" applyFill="1" applyBorder="1" applyAlignment="1">
      <alignment horizontal="center" vertical="center" wrapText="1"/>
    </xf>
    <xf numFmtId="0" fontId="13" fillId="27" borderId="215" xfId="96" applyFont="1" applyFill="1" applyBorder="1" applyAlignment="1">
      <alignment horizontal="center" vertical="center" wrapText="1"/>
    </xf>
    <xf numFmtId="0" fontId="13" fillId="38" borderId="192" xfId="96" applyFont="1" applyFill="1" applyBorder="1" applyAlignment="1">
      <alignment horizontal="center" vertical="center"/>
    </xf>
    <xf numFmtId="0" fontId="7" fillId="38" borderId="192" xfId="0" applyFont="1" applyFill="1" applyBorder="1" applyAlignment="1">
      <alignment horizontal="center" vertical="center"/>
    </xf>
    <xf numFmtId="4" fontId="137" fillId="0" borderId="207" xfId="96" applyNumberFormat="1" applyFont="1" applyFill="1" applyBorder="1" applyAlignment="1">
      <alignment horizontal="center" vertical="center" wrapText="1"/>
    </xf>
    <xf numFmtId="4" fontId="137" fillId="0" borderId="206" xfId="96" applyNumberFormat="1" applyFont="1" applyFill="1" applyBorder="1" applyAlignment="1">
      <alignment horizontal="center" vertical="center" wrapText="1"/>
    </xf>
    <xf numFmtId="4" fontId="137" fillId="0" borderId="205" xfId="96" applyNumberFormat="1" applyFont="1" applyFill="1" applyBorder="1" applyAlignment="1">
      <alignment horizontal="center" vertical="center" wrapText="1"/>
    </xf>
    <xf numFmtId="178" fontId="13" fillId="0" borderId="192" xfId="96" applyNumberFormat="1" applyFont="1" applyFill="1" applyBorder="1" applyAlignment="1">
      <alignment horizontal="center" vertical="center" wrapText="1"/>
    </xf>
    <xf numFmtId="0" fontId="13" fillId="27" borderId="205" xfId="96" applyFont="1" applyFill="1" applyBorder="1" applyAlignment="1">
      <alignment horizontal="center" vertical="center" wrapText="1"/>
    </xf>
    <xf numFmtId="0" fontId="13" fillId="27" borderId="207" xfId="96" applyFont="1" applyFill="1" applyBorder="1" applyAlignment="1">
      <alignment horizontal="center" vertical="center" wrapText="1"/>
    </xf>
    <xf numFmtId="0" fontId="13" fillId="27" borderId="206" xfId="96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 wrapText="1"/>
    </xf>
    <xf numFmtId="178" fontId="13" fillId="0" borderId="193" xfId="96" applyNumberFormat="1" applyFont="1" applyFill="1" applyBorder="1" applyAlignment="1">
      <alignment horizontal="center" vertical="center" wrapText="1"/>
    </xf>
    <xf numFmtId="4" fontId="137" fillId="29" borderId="207" xfId="96" applyNumberFormat="1" applyFont="1" applyFill="1" applyBorder="1" applyAlignment="1">
      <alignment horizontal="center" vertical="center" wrapText="1"/>
    </xf>
    <xf numFmtId="4" fontId="137" fillId="29" borderId="206" xfId="96" applyNumberFormat="1" applyFont="1" applyFill="1" applyBorder="1" applyAlignment="1">
      <alignment horizontal="center" vertical="center" wrapText="1"/>
    </xf>
    <xf numFmtId="4" fontId="137" fillId="35" borderId="207" xfId="96" applyNumberFormat="1" applyFont="1" applyFill="1" applyBorder="1" applyAlignment="1">
      <alignment horizontal="center" vertical="center" wrapText="1"/>
    </xf>
    <xf numFmtId="4" fontId="137" fillId="35" borderId="206" xfId="96" applyNumberFormat="1" applyFont="1" applyFill="1" applyBorder="1" applyAlignment="1">
      <alignment horizontal="center" vertical="center" wrapText="1"/>
    </xf>
    <xf numFmtId="0" fontId="0" fillId="38" borderId="192" xfId="0" applyFill="1" applyBorder="1" applyAlignment="1"/>
    <xf numFmtId="4" fontId="187" fillId="29" borderId="192" xfId="96" applyNumberFormat="1" applyFont="1" applyFill="1" applyBorder="1" applyAlignment="1">
      <alignment horizontal="center" vertical="center" wrapText="1"/>
    </xf>
    <xf numFmtId="4" fontId="165" fillId="0" borderId="192" xfId="96" applyNumberFormat="1" applyFont="1" applyFill="1" applyBorder="1" applyAlignment="1">
      <alignment horizontal="center" vertical="center" wrapText="1"/>
    </xf>
    <xf numFmtId="4" fontId="137" fillId="0" borderId="192" xfId="96" applyNumberFormat="1" applyFont="1" applyFill="1" applyBorder="1" applyAlignment="1">
      <alignment horizontal="center" vertical="center" wrapText="1"/>
    </xf>
    <xf numFmtId="4" fontId="137" fillId="29" borderId="192" xfId="96" applyNumberFormat="1" applyFont="1" applyFill="1" applyBorder="1" applyAlignment="1">
      <alignment horizontal="center" vertical="center" wrapText="1"/>
    </xf>
    <xf numFmtId="0" fontId="12" fillId="0" borderId="192" xfId="96" applyFont="1" applyFill="1" applyBorder="1" applyAlignment="1">
      <alignment horizontal="center" vertical="center"/>
    </xf>
    <xf numFmtId="4" fontId="12" fillId="0" borderId="192" xfId="96" applyNumberFormat="1" applyFont="1" applyFill="1" applyBorder="1" applyAlignment="1">
      <alignment horizontal="center" vertical="center" wrapText="1"/>
    </xf>
    <xf numFmtId="4" fontId="137" fillId="35" borderId="192" xfId="96" applyNumberFormat="1" applyFont="1" applyFill="1" applyBorder="1" applyAlignment="1">
      <alignment horizontal="center" vertical="center" wrapText="1"/>
    </xf>
    <xf numFmtId="0" fontId="136" fillId="0" borderId="192" xfId="96" applyFont="1" applyFill="1" applyBorder="1" applyAlignment="1">
      <alignment horizontal="center" vertical="center"/>
    </xf>
    <xf numFmtId="0" fontId="0" fillId="0" borderId="207" xfId="0" applyFont="1" applyBorder="1" applyAlignment="1">
      <alignment horizontal="center" vertical="center" wrapText="1"/>
    </xf>
    <xf numFmtId="0" fontId="0" fillId="0" borderId="206" xfId="0" applyFont="1" applyBorder="1" applyAlignment="1">
      <alignment horizontal="center" vertical="center" wrapText="1"/>
    </xf>
    <xf numFmtId="0" fontId="0" fillId="0" borderId="192" xfId="0" applyFont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13" fillId="0" borderId="192" xfId="0" applyFont="1" applyFill="1" applyBorder="1" applyAlignment="1">
      <alignment horizontal="left" vertical="center" wrapText="1"/>
    </xf>
    <xf numFmtId="0" fontId="0" fillId="0" borderId="192" xfId="0" applyFont="1" applyFill="1" applyBorder="1" applyAlignment="1">
      <alignment horizontal="left" vertical="center" wrapText="1"/>
    </xf>
    <xf numFmtId="0" fontId="0" fillId="0" borderId="207" xfId="0" applyBorder="1" applyAlignment="1">
      <alignment horizontal="center" vertical="center" wrapText="1"/>
    </xf>
    <xf numFmtId="0" fontId="0" fillId="0" borderId="206" xfId="0" applyBorder="1" applyAlignment="1">
      <alignment horizontal="center" vertical="center" wrapText="1"/>
    </xf>
    <xf numFmtId="0" fontId="60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/>
    <xf numFmtId="0" fontId="0" fillId="0" borderId="192" xfId="0" applyFont="1" applyFill="1" applyBorder="1" applyAlignment="1"/>
    <xf numFmtId="168" fontId="13" fillId="0" borderId="192" xfId="0" applyNumberFormat="1" applyFont="1" applyFill="1" applyBorder="1" applyAlignment="1">
      <alignment vertical="center" wrapText="1"/>
    </xf>
    <xf numFmtId="168" fontId="0" fillId="0" borderId="192" xfId="0" applyNumberFormat="1" applyFont="1" applyFill="1" applyBorder="1" applyAlignment="1">
      <alignment vertical="center" wrapText="1"/>
    </xf>
    <xf numFmtId="0" fontId="14" fillId="0" borderId="192" xfId="0" applyFont="1" applyFill="1" applyBorder="1" applyAlignment="1">
      <alignment horizontal="left" vertical="center" wrapText="1"/>
    </xf>
    <xf numFmtId="0" fontId="17" fillId="38" borderId="192" xfId="0" applyFont="1" applyFill="1" applyBorder="1" applyAlignment="1">
      <alignment horizontal="center"/>
    </xf>
    <xf numFmtId="0" fontId="17" fillId="38" borderId="193" xfId="0" applyFont="1" applyFill="1" applyBorder="1" applyAlignment="1">
      <alignment horizontal="center"/>
    </xf>
    <xf numFmtId="0" fontId="17" fillId="38" borderId="194" xfId="0" applyFont="1" applyFill="1" applyBorder="1" applyAlignment="1">
      <alignment horizontal="center"/>
    </xf>
    <xf numFmtId="0" fontId="0" fillId="0" borderId="192" xfId="0" applyBorder="1" applyAlignment="1">
      <alignment horizontal="center"/>
    </xf>
    <xf numFmtId="0" fontId="13" fillId="38" borderId="192" xfId="0" applyFont="1" applyFill="1" applyBorder="1" applyAlignment="1">
      <alignment horizontal="left" vertical="center" wrapText="1"/>
    </xf>
    <xf numFmtId="0" fontId="0" fillId="38" borderId="192" xfId="0" applyFont="1" applyFill="1" applyBorder="1" applyAlignment="1">
      <alignment horizontal="left" vertical="center" wrapText="1"/>
    </xf>
    <xf numFmtId="0" fontId="13" fillId="38" borderId="192" xfId="0" applyFont="1" applyFill="1" applyBorder="1" applyAlignment="1">
      <alignment vertical="center" wrapText="1"/>
    </xf>
    <xf numFmtId="0" fontId="0" fillId="38" borderId="192" xfId="0" applyFont="1" applyFill="1" applyBorder="1" applyAlignment="1">
      <alignment vertical="center" wrapText="1"/>
    </xf>
    <xf numFmtId="0" fontId="13" fillId="38" borderId="193" xfId="0" applyFont="1" applyFill="1" applyBorder="1" applyAlignment="1">
      <alignment horizontal="center" vertical="center" wrapText="1"/>
    </xf>
    <xf numFmtId="0" fontId="13" fillId="38" borderId="199" xfId="0" applyFont="1" applyFill="1" applyBorder="1" applyAlignment="1">
      <alignment horizontal="center" vertical="center" wrapText="1"/>
    </xf>
    <xf numFmtId="0" fontId="13" fillId="38" borderId="194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 wrapText="1"/>
    </xf>
    <xf numFmtId="0" fontId="8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0" fontId="117" fillId="38" borderId="192" xfId="0" applyFont="1" applyFill="1" applyBorder="1" applyAlignment="1">
      <alignment vertical="center" wrapText="1"/>
    </xf>
    <xf numFmtId="0" fontId="118" fillId="38" borderId="192" xfId="0" applyFont="1" applyFill="1" applyBorder="1" applyAlignment="1">
      <alignment vertical="center" wrapText="1"/>
    </xf>
    <xf numFmtId="0" fontId="92" fillId="38" borderId="192" xfId="0" applyFont="1" applyFill="1" applyBorder="1" applyAlignment="1">
      <alignment vertical="center" wrapText="1"/>
    </xf>
    <xf numFmtId="0" fontId="89" fillId="38" borderId="192" xfId="0" applyFont="1" applyFill="1" applyBorder="1" applyAlignment="1">
      <alignment vertical="center" wrapText="1"/>
    </xf>
    <xf numFmtId="0" fontId="60" fillId="30" borderId="126" xfId="0" applyFont="1" applyFill="1" applyBorder="1" applyAlignment="1">
      <alignment horizontal="center" vertical="center"/>
    </xf>
    <xf numFmtId="0" fontId="60" fillId="30" borderId="11" xfId="0" applyFont="1" applyFill="1" applyBorder="1" applyAlignment="1">
      <alignment horizontal="center" vertical="center"/>
    </xf>
    <xf numFmtId="0" fontId="60" fillId="30" borderId="126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 wrapText="1"/>
    </xf>
    <xf numFmtId="0" fontId="60" fillId="30" borderId="123" xfId="0" applyFont="1" applyFill="1" applyBorder="1" applyAlignment="1">
      <alignment horizontal="center" vertical="center" wrapText="1"/>
    </xf>
    <xf numFmtId="0" fontId="60" fillId="30" borderId="125" xfId="0" applyFont="1" applyFill="1" applyBorder="1" applyAlignment="1">
      <alignment horizontal="center" vertical="center" wrapText="1"/>
    </xf>
    <xf numFmtId="0" fontId="60" fillId="31" borderId="66" xfId="0" applyFont="1" applyFill="1" applyBorder="1" applyAlignment="1">
      <alignment vertical="center"/>
    </xf>
    <xf numFmtId="0" fontId="60" fillId="0" borderId="126" xfId="0" applyFont="1" applyBorder="1" applyAlignment="1">
      <alignment horizontal="center" vertical="center"/>
    </xf>
    <xf numFmtId="0" fontId="60" fillId="0" borderId="11" xfId="0" applyFont="1" applyBorder="1" applyAlignment="1">
      <alignment horizontal="center" vertical="center"/>
    </xf>
    <xf numFmtId="0" fontId="60" fillId="0" borderId="126" xfId="0" applyFont="1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vertical="center" wrapText="1"/>
    </xf>
    <xf numFmtId="0" fontId="13" fillId="36" borderId="192" xfId="0" applyFont="1" applyFill="1" applyBorder="1" applyAlignment="1">
      <alignment vertical="center" wrapText="1"/>
    </xf>
    <xf numFmtId="0" fontId="0" fillId="36" borderId="192" xfId="0" applyFont="1" applyFill="1" applyBorder="1" applyAlignment="1">
      <alignment vertical="center" wrapText="1"/>
    </xf>
    <xf numFmtId="0" fontId="17" fillId="38" borderId="193" xfId="0" applyFont="1" applyFill="1" applyBorder="1" applyAlignment="1">
      <alignment horizontal="center" vertical="center"/>
    </xf>
    <xf numFmtId="0" fontId="17" fillId="38" borderId="199" xfId="0" applyFont="1" applyFill="1" applyBorder="1" applyAlignment="1">
      <alignment horizontal="center" vertical="center"/>
    </xf>
    <xf numFmtId="0" fontId="17" fillId="38" borderId="194" xfId="0" applyFont="1" applyFill="1" applyBorder="1" applyAlignment="1">
      <alignment horizontal="center" vertical="center"/>
    </xf>
    <xf numFmtId="0" fontId="60" fillId="38" borderId="207" xfId="0" applyFont="1" applyFill="1" applyBorder="1" applyAlignment="1">
      <alignment horizontal="center" vertical="center" wrapText="1"/>
    </xf>
    <xf numFmtId="0" fontId="60" fillId="38" borderId="207" xfId="0" applyFont="1" applyFill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0" fillId="0" borderId="194" xfId="0" applyBorder="1" applyAlignment="1">
      <alignment horizontal="center"/>
    </xf>
    <xf numFmtId="4" fontId="96" fillId="0" borderId="193" xfId="0" applyNumberFormat="1" applyFont="1" applyFill="1" applyBorder="1" applyAlignment="1">
      <alignment horizontal="center" vertical="center"/>
    </xf>
    <xf numFmtId="0" fontId="0" fillId="0" borderId="199" xfId="0" applyBorder="1" applyAlignment="1">
      <alignment horizontal="center" vertical="center"/>
    </xf>
    <xf numFmtId="0" fontId="17" fillId="0" borderId="123" xfId="0" applyFont="1" applyFill="1" applyBorder="1" applyAlignment="1">
      <alignment horizontal="center"/>
    </xf>
    <xf numFmtId="0" fontId="17" fillId="0" borderId="124" xfId="0" applyFont="1" applyFill="1" applyBorder="1" applyAlignment="1">
      <alignment horizontal="center"/>
    </xf>
    <xf numFmtId="0" fontId="17" fillId="0" borderId="125" xfId="0" applyFont="1" applyFill="1" applyBorder="1" applyAlignment="1">
      <alignment horizont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16" fillId="28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2" fontId="48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16" fillId="26" borderId="58" xfId="0" applyFont="1" applyFill="1" applyBorder="1" applyAlignment="1">
      <alignment horizontal="center" vertical="center"/>
    </xf>
    <xf numFmtId="0" fontId="16" fillId="27" borderId="58" xfId="0" applyFont="1" applyFill="1" applyBorder="1" applyAlignment="1">
      <alignment horizontal="center" vertical="center"/>
    </xf>
    <xf numFmtId="0" fontId="67" fillId="0" borderId="0" xfId="0" applyFont="1" applyAlignment="1"/>
    <xf numFmtId="0" fontId="12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6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1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3" fillId="0" borderId="10" xfId="0" applyFont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8" fillId="0" borderId="51" xfId="0" applyFont="1" applyBorder="1" applyAlignment="1">
      <alignment horizontal="center" vertical="center"/>
    </xf>
    <xf numFmtId="0" fontId="57" fillId="0" borderId="51" xfId="0" applyFont="1" applyBorder="1" applyAlignment="1">
      <alignment vertical="center"/>
    </xf>
    <xf numFmtId="0" fontId="8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vertical="center"/>
    </xf>
    <xf numFmtId="2" fontId="18" fillId="37" borderId="193" xfId="0" applyNumberFormat="1" applyFont="1" applyFill="1" applyBorder="1" applyAlignment="1">
      <alignment horizontal="center" vertical="center"/>
    </xf>
    <xf numFmtId="2" fontId="18" fillId="37" borderId="199" xfId="0" applyNumberFormat="1" applyFont="1" applyFill="1" applyBorder="1" applyAlignment="1">
      <alignment horizontal="center" vertical="center"/>
    </xf>
    <xf numFmtId="2" fontId="18" fillId="37" borderId="194" xfId="0" applyNumberFormat="1" applyFont="1" applyFill="1" applyBorder="1" applyAlignment="1">
      <alignment horizontal="center" vertical="center"/>
    </xf>
    <xf numFmtId="2" fontId="60" fillId="37" borderId="205" xfId="0" applyNumberFormat="1" applyFont="1" applyFill="1" applyBorder="1" applyAlignment="1">
      <alignment horizontal="center" vertical="center" wrapText="1"/>
    </xf>
    <xf numFmtId="2" fontId="60" fillId="37" borderId="206" xfId="0" applyNumberFormat="1" applyFont="1" applyFill="1" applyBorder="1" applyAlignment="1">
      <alignment horizontal="center" vertical="center" wrapText="1"/>
    </xf>
    <xf numFmtId="0" fontId="18" fillId="37" borderId="193" xfId="0" applyFont="1" applyFill="1" applyBorder="1" applyAlignment="1">
      <alignment horizontal="center" vertical="center"/>
    </xf>
    <xf numFmtId="0" fontId="18" fillId="37" borderId="199" xfId="0" applyFont="1" applyFill="1" applyBorder="1" applyAlignment="1">
      <alignment horizontal="center" vertical="center"/>
    </xf>
    <xf numFmtId="0" fontId="18" fillId="37" borderId="194" xfId="0" applyFont="1" applyFill="1" applyBorder="1" applyAlignment="1">
      <alignment horizontal="center" vertical="center"/>
    </xf>
    <xf numFmtId="2" fontId="17" fillId="37" borderId="193" xfId="0" applyNumberFormat="1" applyFont="1" applyFill="1" applyBorder="1" applyAlignment="1">
      <alignment horizontal="center" vertical="center"/>
    </xf>
    <xf numFmtId="2" fontId="17" fillId="37" borderId="199" xfId="0" applyNumberFormat="1" applyFont="1" applyFill="1" applyBorder="1" applyAlignment="1">
      <alignment horizontal="center" vertical="center"/>
    </xf>
    <xf numFmtId="2" fontId="17" fillId="37" borderId="194" xfId="0" applyNumberFormat="1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0" fontId="18" fillId="37" borderId="192" xfId="0" applyFont="1" applyFill="1" applyBorder="1" applyAlignment="1">
      <alignment horizontal="center" vertical="center"/>
    </xf>
    <xf numFmtId="2" fontId="18" fillId="37" borderId="192" xfId="0" applyNumberFormat="1" applyFont="1" applyFill="1" applyBorder="1" applyAlignment="1">
      <alignment horizontal="center" vertical="center" wrapText="1"/>
    </xf>
    <xf numFmtId="2" fontId="18" fillId="37" borderId="192" xfId="0" applyNumberFormat="1" applyFont="1" applyFill="1" applyBorder="1" applyAlignment="1">
      <alignment horizontal="center" vertical="center"/>
    </xf>
    <xf numFmtId="2" fontId="17" fillId="0" borderId="0" xfId="0" applyNumberFormat="1" applyFont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62" xfId="0" applyNumberFormat="1" applyFont="1" applyBorder="1" applyAlignment="1">
      <alignment horizontal="center" vertical="center"/>
    </xf>
    <xf numFmtId="2" fontId="13" fillId="0" borderId="78" xfId="0" applyNumberFormat="1" applyFont="1" applyBorder="1" applyAlignment="1">
      <alignment horizontal="center" vertical="center"/>
    </xf>
    <xf numFmtId="2" fontId="13" fillId="0" borderId="65" xfId="0" applyNumberFormat="1" applyFont="1" applyBorder="1" applyAlignment="1">
      <alignment horizontal="center" vertical="center"/>
    </xf>
    <xf numFmtId="2" fontId="13" fillId="0" borderId="35" xfId="0" applyNumberFormat="1" applyFont="1" applyBorder="1" applyAlignment="1">
      <alignment horizontal="center" vertical="center"/>
    </xf>
    <xf numFmtId="2" fontId="13" fillId="0" borderId="36" xfId="0" applyNumberFormat="1" applyFont="1" applyBorder="1" applyAlignment="1">
      <alignment horizontal="center" vertical="center"/>
    </xf>
    <xf numFmtId="2" fontId="13" fillId="0" borderId="31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2" fontId="13" fillId="0" borderId="92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 wrapText="1"/>
    </xf>
    <xf numFmtId="2" fontId="13" fillId="0" borderId="45" xfId="0" applyNumberFormat="1" applyFont="1" applyBorder="1" applyAlignment="1">
      <alignment horizontal="center" vertical="center" wrapText="1"/>
    </xf>
    <xf numFmtId="2" fontId="13" fillId="0" borderId="11" xfId="0" applyNumberFormat="1" applyFont="1" applyBorder="1" applyAlignment="1">
      <alignment horizontal="center" vertical="center" wrapText="1"/>
    </xf>
    <xf numFmtId="2" fontId="13" fillId="0" borderId="62" xfId="0" applyNumberFormat="1" applyFont="1" applyBorder="1" applyAlignment="1">
      <alignment horizontal="center" vertical="center" wrapText="1"/>
    </xf>
    <xf numFmtId="2" fontId="13" fillId="0" borderId="65" xfId="0" applyNumberFormat="1" applyFont="1" applyBorder="1" applyAlignment="1">
      <alignment horizontal="center" vertical="center" wrapText="1"/>
    </xf>
    <xf numFmtId="2" fontId="13" fillId="0" borderId="35" xfId="0" applyNumberFormat="1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 vertical="center" wrapText="1"/>
    </xf>
    <xf numFmtId="2" fontId="17" fillId="37" borderId="192" xfId="0" applyNumberFormat="1" applyFont="1" applyFill="1" applyBorder="1" applyAlignment="1">
      <alignment horizontal="center" vertical="center"/>
    </xf>
    <xf numFmtId="0" fontId="64" fillId="37" borderId="192" xfId="0" applyFont="1" applyFill="1" applyBorder="1" applyAlignment="1">
      <alignment horizontal="center" vertical="center"/>
    </xf>
    <xf numFmtId="0" fontId="0" fillId="37" borderId="192" xfId="0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0" xfId="0" applyFont="1" applyAlignment="1"/>
    <xf numFmtId="0" fontId="13" fillId="0" borderId="0" xfId="0" applyFont="1" applyBorder="1" applyAlignment="1">
      <alignment horizontal="center"/>
    </xf>
    <xf numFmtId="2" fontId="18" fillId="0" borderId="0" xfId="0" applyNumberFormat="1" applyFont="1" applyAlignment="1">
      <alignment horizontal="center"/>
    </xf>
    <xf numFmtId="0" fontId="18" fillId="0" borderId="73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8" fillId="0" borderId="101" xfId="0" applyNumberFormat="1" applyFont="1" applyBorder="1" applyAlignment="1">
      <alignment horizontal="center" vertical="center"/>
    </xf>
    <xf numFmtId="2" fontId="60" fillId="0" borderId="101" xfId="0" applyNumberFormat="1" applyFont="1" applyBorder="1" applyAlignment="1">
      <alignment horizontal="center" vertical="center" wrapText="1"/>
    </xf>
    <xf numFmtId="2" fontId="18" fillId="0" borderId="99" xfId="0" applyNumberFormat="1" applyFont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2" fontId="17" fillId="0" borderId="101" xfId="0" applyNumberFormat="1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18" fillId="0" borderId="19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20" xfId="0" applyNumberFormat="1" applyFont="1" applyFill="1" applyBorder="1" applyAlignment="1">
      <alignment horizontal="center" vertical="center" wrapText="1"/>
    </xf>
    <xf numFmtId="0" fontId="64" fillId="0" borderId="71" xfId="0" applyFont="1" applyBorder="1" applyAlignment="1">
      <alignment horizontal="center" vertical="center"/>
    </xf>
    <xf numFmtId="0" fontId="64" fillId="0" borderId="69" xfId="0" applyFont="1" applyBorder="1" applyAlignment="1">
      <alignment horizontal="center" vertical="center"/>
    </xf>
    <xf numFmtId="2" fontId="17" fillId="0" borderId="93" xfId="0" applyNumberFormat="1" applyFont="1" applyFill="1" applyBorder="1" applyAlignment="1">
      <alignment horizontal="center" vertical="center"/>
    </xf>
    <xf numFmtId="2" fontId="17" fillId="0" borderId="90" xfId="0" applyNumberFormat="1" applyFont="1" applyFill="1" applyBorder="1" applyAlignment="1">
      <alignment horizontal="center" vertical="center"/>
    </xf>
    <xf numFmtId="2" fontId="17" fillId="0" borderId="89" xfId="0" applyNumberFormat="1" applyFont="1" applyFill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0" fontId="64" fillId="0" borderId="0" xfId="0" applyFont="1" applyAlignment="1"/>
    <xf numFmtId="2" fontId="60" fillId="0" borderId="1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2" fontId="18" fillId="0" borderId="168" xfId="0" applyNumberFormat="1" applyFont="1" applyBorder="1" applyAlignment="1">
      <alignment horizontal="center" vertical="center"/>
    </xf>
    <xf numFmtId="2" fontId="18" fillId="0" borderId="167" xfId="0" applyNumberFormat="1" applyFont="1" applyBorder="1" applyAlignment="1">
      <alignment horizontal="center" vertical="center"/>
    </xf>
    <xf numFmtId="2" fontId="17" fillId="0" borderId="20" xfId="0" applyNumberFormat="1" applyFont="1" applyBorder="1" applyAlignment="1">
      <alignment horizontal="center" vertical="center"/>
    </xf>
    <xf numFmtId="2" fontId="60" fillId="0" borderId="20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3" fillId="38" borderId="205" xfId="0" applyFont="1" applyFill="1" applyBorder="1" applyAlignment="1">
      <alignment horizontal="center" vertical="center" wrapText="1"/>
    </xf>
    <xf numFmtId="0" fontId="0" fillId="0" borderId="206" xfId="0" applyBorder="1" applyAlignment="1">
      <alignment horizontal="center" vertical="center"/>
    </xf>
    <xf numFmtId="0" fontId="0" fillId="0" borderId="192" xfId="0" applyBorder="1" applyAlignment="1">
      <alignment horizontal="center" vertical="center"/>
    </xf>
    <xf numFmtId="0" fontId="13" fillId="38" borderId="193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wrapText="1"/>
    </xf>
    <xf numFmtId="0" fontId="0" fillId="0" borderId="192" xfId="0" applyBorder="1" applyAlignment="1">
      <alignment horizontal="center" wrapText="1"/>
    </xf>
    <xf numFmtId="0" fontId="12" fillId="38" borderId="193" xfId="0" applyFont="1" applyFill="1" applyBorder="1" applyAlignment="1">
      <alignment horizontal="center" vertical="center" wrapText="1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13" fillId="38" borderId="213" xfId="0" applyFont="1" applyFill="1" applyBorder="1" applyAlignment="1">
      <alignment horizontal="center" vertical="center" wrapText="1"/>
    </xf>
    <xf numFmtId="0" fontId="13" fillId="38" borderId="253" xfId="0" applyFont="1" applyFill="1" applyBorder="1" applyAlignment="1">
      <alignment horizontal="center" vertical="center" wrapText="1"/>
    </xf>
    <xf numFmtId="0" fontId="13" fillId="38" borderId="214" xfId="0" applyFont="1" applyFill="1" applyBorder="1" applyAlignment="1">
      <alignment horizontal="center" vertical="center" wrapText="1"/>
    </xf>
    <xf numFmtId="0" fontId="13" fillId="38" borderId="215" xfId="0" applyFont="1" applyFill="1" applyBorder="1" applyAlignment="1">
      <alignment horizontal="center" vertical="center" wrapText="1"/>
    </xf>
    <xf numFmtId="0" fontId="13" fillId="38" borderId="208" xfId="0" applyFont="1" applyFill="1" applyBorder="1" applyAlignment="1">
      <alignment horizontal="center" vertical="center" wrapText="1"/>
    </xf>
    <xf numFmtId="0" fontId="13" fillId="38" borderId="216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3" fillId="38" borderId="206" xfId="0" applyFont="1" applyFill="1" applyBorder="1" applyAlignment="1">
      <alignment horizontal="center" vertical="center" wrapText="1"/>
    </xf>
    <xf numFmtId="0" fontId="12" fillId="38" borderId="253" xfId="0" applyFont="1" applyFill="1" applyBorder="1" applyAlignment="1">
      <alignment horizontal="center" vertical="center" wrapText="1"/>
    </xf>
    <xf numFmtId="0" fontId="12" fillId="38" borderId="214" xfId="0" applyFont="1" applyFill="1" applyBorder="1" applyAlignment="1">
      <alignment horizontal="center" vertical="center" wrapText="1"/>
    </xf>
    <xf numFmtId="0" fontId="13" fillId="37" borderId="192" xfId="0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06" fillId="0" borderId="0" xfId="147" applyFont="1" applyBorder="1" applyAlignment="1">
      <alignment horizontal="center" vertical="center" wrapText="1"/>
    </xf>
    <xf numFmtId="0" fontId="133" fillId="0" borderId="192" xfId="147" applyFont="1" applyBorder="1" applyAlignment="1">
      <alignment horizontal="center" vertical="center" wrapText="1"/>
    </xf>
    <xf numFmtId="4" fontId="13" fillId="38" borderId="192" xfId="0" applyNumberFormat="1" applyFont="1" applyFill="1" applyBorder="1" applyAlignment="1">
      <alignment horizontal="left" vertical="center" wrapText="1"/>
    </xf>
    <xf numFmtId="4" fontId="13" fillId="36" borderId="192" xfId="0" applyNumberFormat="1" applyFont="1" applyFill="1" applyBorder="1" applyAlignment="1">
      <alignment horizontal="left" vertical="center" wrapText="1"/>
    </xf>
    <xf numFmtId="0" fontId="13" fillId="38" borderId="207" xfId="0" applyFont="1" applyFill="1" applyBorder="1" applyAlignment="1">
      <alignment horizontal="center" vertical="center"/>
    </xf>
    <xf numFmtId="0" fontId="12" fillId="38" borderId="193" xfId="0" applyFont="1" applyFill="1" applyBorder="1" applyAlignment="1">
      <alignment horizontal="center" vertical="center"/>
    </xf>
    <xf numFmtId="0" fontId="12" fillId="38" borderId="199" xfId="0" applyFont="1" applyFill="1" applyBorder="1" applyAlignment="1">
      <alignment horizontal="center" vertical="center"/>
    </xf>
    <xf numFmtId="0" fontId="12" fillId="38" borderId="194" xfId="0" applyFont="1" applyFill="1" applyBorder="1" applyAlignment="1">
      <alignment horizontal="center" vertical="center"/>
    </xf>
    <xf numFmtId="0" fontId="51" fillId="0" borderId="0" xfId="0" applyFont="1" applyAlignment="1">
      <alignment horizontal="center"/>
    </xf>
    <xf numFmtId="0" fontId="13" fillId="38" borderId="205" xfId="0" applyFont="1" applyFill="1" applyBorder="1" applyAlignment="1">
      <alignment horizontal="center"/>
    </xf>
    <xf numFmtId="0" fontId="0" fillId="0" borderId="205" xfId="0" applyBorder="1" applyAlignment="1">
      <alignment horizontal="center"/>
    </xf>
    <xf numFmtId="0" fontId="13" fillId="38" borderId="213" xfId="0" applyFont="1" applyFill="1" applyBorder="1" applyAlignment="1">
      <alignment horizontal="center"/>
    </xf>
    <xf numFmtId="0" fontId="0" fillId="0" borderId="253" xfId="0" applyBorder="1" applyAlignment="1">
      <alignment horizontal="center"/>
    </xf>
    <xf numFmtId="0" fontId="0" fillId="0" borderId="214" xfId="0" applyBorder="1" applyAlignment="1">
      <alignment horizontal="center"/>
    </xf>
    <xf numFmtId="0" fontId="13" fillId="38" borderId="193" xfId="0" applyFont="1" applyFill="1" applyBorder="1" applyAlignment="1">
      <alignment horizontal="center"/>
    </xf>
    <xf numFmtId="0" fontId="12" fillId="0" borderId="213" xfId="0" applyFont="1" applyFill="1" applyBorder="1" applyAlignment="1">
      <alignment horizontal="center" vertical="center"/>
    </xf>
    <xf numFmtId="0" fontId="0" fillId="0" borderId="253" xfId="0" applyFill="1" applyBorder="1" applyAlignment="1">
      <alignment horizontal="center" vertical="center"/>
    </xf>
    <xf numFmtId="0" fontId="0" fillId="0" borderId="214" xfId="0" applyFill="1" applyBorder="1" applyAlignment="1">
      <alignment horizontal="center" vertical="center"/>
    </xf>
    <xf numFmtId="0" fontId="0" fillId="0" borderId="225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26" xfId="0" applyFill="1" applyBorder="1" applyAlignment="1">
      <alignment horizontal="center" vertical="center"/>
    </xf>
    <xf numFmtId="0" fontId="0" fillId="0" borderId="215" xfId="0" applyFill="1" applyBorder="1" applyAlignment="1">
      <alignment horizontal="center" vertical="center"/>
    </xf>
    <xf numFmtId="0" fontId="0" fillId="0" borderId="208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0" fillId="0" borderId="0" xfId="0" applyFill="1" applyAlignment="1"/>
    <xf numFmtId="0" fontId="12" fillId="0" borderId="192" xfId="0" applyFont="1" applyFill="1" applyBorder="1" applyAlignment="1">
      <alignment horizontal="center" vertical="center" wrapText="1"/>
    </xf>
    <xf numFmtId="0" fontId="12" fillId="0" borderId="193" xfId="0" applyFont="1" applyFill="1" applyBorder="1" applyAlignment="1">
      <alignment horizontal="center"/>
    </xf>
    <xf numFmtId="0" fontId="12" fillId="0" borderId="199" xfId="0" applyFont="1" applyFill="1" applyBorder="1" applyAlignment="1">
      <alignment horizontal="center"/>
    </xf>
    <xf numFmtId="0" fontId="12" fillId="0" borderId="194" xfId="0" applyFont="1" applyFill="1" applyBorder="1" applyAlignment="1">
      <alignment horizontal="center"/>
    </xf>
    <xf numFmtId="0" fontId="12" fillId="0" borderId="253" xfId="0" applyFont="1" applyFill="1" applyBorder="1" applyAlignment="1">
      <alignment horizontal="center" vertical="center" wrapText="1"/>
    </xf>
    <xf numFmtId="0" fontId="12" fillId="0" borderId="214" xfId="0" applyFont="1" applyFill="1" applyBorder="1" applyAlignment="1">
      <alignment horizontal="center" vertical="center" wrapText="1"/>
    </xf>
    <xf numFmtId="0" fontId="12" fillId="0" borderId="208" xfId="0" applyFont="1" applyFill="1" applyBorder="1" applyAlignment="1">
      <alignment horizontal="center" vertical="center" wrapText="1"/>
    </xf>
    <xf numFmtId="0" fontId="12" fillId="0" borderId="216" xfId="0" applyFont="1" applyFill="1" applyBorder="1" applyAlignment="1">
      <alignment horizontal="center" vertical="center" wrapText="1"/>
    </xf>
    <xf numFmtId="0" fontId="12" fillId="0" borderId="213" xfId="0" applyFont="1" applyFill="1" applyBorder="1" applyAlignment="1">
      <alignment horizontal="center"/>
    </xf>
    <xf numFmtId="0" fontId="0" fillId="0" borderId="253" xfId="0" applyFill="1" applyBorder="1" applyAlignment="1">
      <alignment horizontal="center"/>
    </xf>
    <xf numFmtId="0" fontId="0" fillId="0" borderId="214" xfId="0" applyFill="1" applyBorder="1" applyAlignment="1">
      <alignment horizontal="center"/>
    </xf>
    <xf numFmtId="0" fontId="12" fillId="0" borderId="213" xfId="0" applyFont="1" applyFill="1" applyBorder="1" applyAlignment="1">
      <alignment horizontal="center" vertical="center" wrapText="1"/>
    </xf>
    <xf numFmtId="0" fontId="12" fillId="0" borderId="215" xfId="0" applyFont="1" applyFill="1" applyBorder="1" applyAlignment="1">
      <alignment horizontal="center" vertical="center" wrapText="1"/>
    </xf>
    <xf numFmtId="0" fontId="17" fillId="0" borderId="55" xfId="0" applyFont="1" applyFill="1" applyBorder="1" applyAlignment="1">
      <alignment horizontal="center"/>
    </xf>
    <xf numFmtId="0" fontId="13" fillId="0" borderId="192" xfId="0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horizontal="center" vertical="center" wrapText="1"/>
    </xf>
    <xf numFmtId="0" fontId="60" fillId="0" borderId="49" xfId="0" applyFont="1" applyFill="1" applyBorder="1" applyAlignment="1">
      <alignment horizontal="center" vertical="center" wrapText="1"/>
    </xf>
    <xf numFmtId="0" fontId="60" fillId="0" borderId="2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0" borderId="67" xfId="0" applyFont="1" applyFill="1" applyBorder="1" applyAlignment="1">
      <alignment horizontal="center" vertical="center" wrapText="1"/>
    </xf>
    <xf numFmtId="0" fontId="60" fillId="0" borderId="44" xfId="0" applyFont="1" applyFill="1" applyBorder="1" applyAlignment="1">
      <alignment horizontal="center" vertical="center" wrapText="1"/>
    </xf>
    <xf numFmtId="0" fontId="17" fillId="0" borderId="5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68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left" vertical="center"/>
    </xf>
    <xf numFmtId="0" fontId="12" fillId="0" borderId="205" xfId="0" applyFont="1" applyFill="1" applyBorder="1" applyAlignment="1">
      <alignment horizontal="center" vertical="center"/>
    </xf>
    <xf numFmtId="0" fontId="12" fillId="0" borderId="207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7" fillId="0" borderId="51" xfId="0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 wrapText="1"/>
    </xf>
    <xf numFmtId="0" fontId="17" fillId="0" borderId="57" xfId="0" applyFont="1" applyFill="1" applyBorder="1" applyAlignment="1">
      <alignment horizontal="center" vertical="center" wrapText="1"/>
    </xf>
    <xf numFmtId="0" fontId="60" fillId="0" borderId="18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/>
    </xf>
    <xf numFmtId="0" fontId="17" fillId="0" borderId="52" xfId="0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 wrapText="1"/>
    </xf>
    <xf numFmtId="0" fontId="17" fillId="0" borderId="59" xfId="0" applyFont="1" applyFill="1" applyBorder="1" applyAlignment="1">
      <alignment horizontal="center" vertical="center" wrapText="1"/>
    </xf>
    <xf numFmtId="0" fontId="58" fillId="0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12" fillId="38" borderId="205" xfId="0" applyFont="1" applyFill="1" applyBorder="1" applyAlignment="1">
      <alignment horizontal="center" vertical="center"/>
    </xf>
    <xf numFmtId="0" fontId="12" fillId="38" borderId="207" xfId="0" applyFont="1" applyFill="1" applyBorder="1" applyAlignment="1">
      <alignment horizontal="center" vertical="center"/>
    </xf>
    <xf numFmtId="0" fontId="12" fillId="38" borderId="206" xfId="0" applyFont="1" applyFill="1" applyBorder="1" applyAlignment="1">
      <alignment horizontal="center" vertical="center"/>
    </xf>
    <xf numFmtId="10" fontId="13" fillId="36" borderId="205" xfId="85" applyNumberFormat="1" applyFont="1" applyFill="1" applyBorder="1" applyAlignment="1">
      <alignment vertical="center" wrapText="1"/>
    </xf>
    <xf numFmtId="0" fontId="0" fillId="0" borderId="207" xfId="0" applyBorder="1" applyAlignment="1">
      <alignment vertical="center" wrapText="1"/>
    </xf>
    <xf numFmtId="0" fontId="0" fillId="0" borderId="206" xfId="0" applyBorder="1" applyAlignment="1">
      <alignment vertical="center" wrapText="1"/>
    </xf>
    <xf numFmtId="10" fontId="13" fillId="36" borderId="214" xfId="85" applyNumberFormat="1" applyFont="1" applyFill="1" applyBorder="1" applyAlignment="1">
      <alignment horizontal="left" vertical="center" wrapText="1"/>
    </xf>
    <xf numFmtId="10" fontId="13" fillId="36" borderId="226" xfId="85" applyNumberFormat="1" applyFont="1" applyFill="1" applyBorder="1" applyAlignment="1">
      <alignment horizontal="left" vertical="center" wrapText="1"/>
    </xf>
    <xf numFmtId="10" fontId="13" fillId="36" borderId="216" xfId="85" applyNumberFormat="1" applyFont="1" applyFill="1" applyBorder="1" applyAlignment="1">
      <alignment horizontal="left" vertical="center" wrapText="1"/>
    </xf>
    <xf numFmtId="0" fontId="0" fillId="0" borderId="199" xfId="0" applyFill="1" applyBorder="1" applyAlignment="1">
      <alignment horizontal="center"/>
    </xf>
    <xf numFmtId="0" fontId="0" fillId="0" borderId="194" xfId="0" applyFill="1" applyBorder="1" applyAlignment="1">
      <alignment horizontal="center"/>
    </xf>
    <xf numFmtId="0" fontId="0" fillId="0" borderId="253" xfId="0" applyFill="1" applyBorder="1" applyAlignment="1">
      <alignment horizontal="center" vertical="center" wrapText="1"/>
    </xf>
    <xf numFmtId="0" fontId="0" fillId="0" borderId="214" xfId="0" applyFill="1" applyBorder="1" applyAlignment="1">
      <alignment horizontal="center" vertical="center" wrapText="1"/>
    </xf>
    <xf numFmtId="0" fontId="0" fillId="0" borderId="215" xfId="0" applyFill="1" applyBorder="1" applyAlignment="1">
      <alignment horizontal="center" vertical="center" wrapText="1"/>
    </xf>
    <xf numFmtId="0" fontId="0" fillId="0" borderId="208" xfId="0" applyFill="1" applyBorder="1" applyAlignment="1">
      <alignment horizontal="center" vertical="center" wrapText="1"/>
    </xf>
    <xf numFmtId="0" fontId="0" fillId="0" borderId="216" xfId="0" applyFill="1" applyBorder="1" applyAlignment="1">
      <alignment horizontal="center" vertical="center" wrapText="1"/>
    </xf>
    <xf numFmtId="0" fontId="55" fillId="38" borderId="192" xfId="147" applyFont="1" applyFill="1" applyBorder="1" applyAlignment="1">
      <alignment horizontal="left" vertical="center" wrapText="1"/>
    </xf>
    <xf numFmtId="0" fontId="54" fillId="38" borderId="192" xfId="147" applyFont="1" applyFill="1" applyBorder="1" applyAlignment="1">
      <alignment horizontal="left" vertical="center" wrapText="1"/>
    </xf>
    <xf numFmtId="0" fontId="55" fillId="38" borderId="192" xfId="147" applyFont="1" applyFill="1" applyBorder="1" applyAlignment="1">
      <alignment vertical="center" wrapText="1"/>
    </xf>
    <xf numFmtId="0" fontId="83" fillId="40" borderId="0" xfId="147" applyFont="1" applyFill="1" applyBorder="1" applyAlignment="1">
      <alignment horizontal="center"/>
    </xf>
    <xf numFmtId="0" fontId="55" fillId="38" borderId="192" xfId="147" applyFont="1" applyFill="1" applyBorder="1" applyAlignment="1">
      <alignment horizontal="center" vertical="center" wrapText="1"/>
    </xf>
    <xf numFmtId="0" fontId="55" fillId="0" borderId="40" xfId="147" applyFont="1" applyBorder="1" applyAlignment="1">
      <alignment horizontal="left" vertical="center" wrapText="1"/>
    </xf>
    <xf numFmtId="0" fontId="55" fillId="0" borderId="68" xfId="147" applyFont="1" applyBorder="1" applyAlignment="1">
      <alignment horizontal="left" vertical="center" wrapText="1"/>
    </xf>
    <xf numFmtId="0" fontId="17" fillId="0" borderId="0" xfId="147" applyFont="1" applyAlignment="1">
      <alignment horizontal="center" vertical="center"/>
    </xf>
    <xf numFmtId="0" fontId="83" fillId="40" borderId="55" xfId="147" applyFont="1" applyFill="1" applyBorder="1" applyAlignment="1">
      <alignment horizontal="center"/>
    </xf>
    <xf numFmtId="0" fontId="55" fillId="0" borderId="50" xfId="147" applyFont="1" applyBorder="1" applyAlignment="1">
      <alignment horizontal="center" vertical="center" wrapText="1"/>
    </xf>
    <xf numFmtId="0" fontId="55" fillId="0" borderId="48" xfId="147" applyFont="1" applyBorder="1" applyAlignment="1">
      <alignment horizontal="center" vertical="center" wrapText="1"/>
    </xf>
    <xf numFmtId="0" fontId="55" fillId="0" borderId="56" xfId="147" applyFont="1" applyBorder="1" applyAlignment="1">
      <alignment horizontal="center" vertical="center" wrapText="1"/>
    </xf>
    <xf numFmtId="0" fontId="55" fillId="0" borderId="33" xfId="147" applyFont="1" applyBorder="1" applyAlignment="1">
      <alignment horizontal="center" vertical="center" wrapText="1"/>
    </xf>
    <xf numFmtId="0" fontId="55" fillId="0" borderId="52" xfId="147" applyFont="1" applyBorder="1" applyAlignment="1">
      <alignment horizontal="center" vertical="center" wrapText="1"/>
    </xf>
    <xf numFmtId="0" fontId="55" fillId="0" borderId="59" xfId="147" applyFont="1" applyBorder="1" applyAlignment="1">
      <alignment horizontal="center" vertical="center" wrapText="1"/>
    </xf>
    <xf numFmtId="0" fontId="55" fillId="0" borderId="40" xfId="147" applyFont="1" applyBorder="1" applyAlignment="1">
      <alignment vertical="center" wrapText="1"/>
    </xf>
    <xf numFmtId="0" fontId="55" fillId="0" borderId="68" xfId="147" applyFont="1" applyBorder="1" applyAlignment="1">
      <alignment vertical="center" wrapText="1"/>
    </xf>
    <xf numFmtId="0" fontId="55" fillId="0" borderId="171" xfId="147" applyFont="1" applyBorder="1" applyAlignment="1">
      <alignment horizontal="center" vertical="center" wrapText="1"/>
    </xf>
    <xf numFmtId="0" fontId="55" fillId="0" borderId="172" xfId="147" applyFont="1" applyBorder="1" applyAlignment="1">
      <alignment horizontal="center" vertical="center" wrapText="1"/>
    </xf>
    <xf numFmtId="0" fontId="54" fillId="41" borderId="52" xfId="147" applyFont="1" applyFill="1" applyBorder="1" applyAlignment="1">
      <alignment horizontal="left" vertical="center" wrapText="1"/>
    </xf>
    <xf numFmtId="0" fontId="54" fillId="41" borderId="53" xfId="147" applyFont="1" applyFill="1" applyBorder="1" applyAlignment="1">
      <alignment horizontal="left" vertical="center" wrapText="1"/>
    </xf>
    <xf numFmtId="0" fontId="16" fillId="0" borderId="0" xfId="147" applyFont="1" applyBorder="1" applyAlignment="1">
      <alignment horizontal="center"/>
    </xf>
    <xf numFmtId="0" fontId="55" fillId="0" borderId="146" xfId="147" applyFont="1" applyBorder="1" applyAlignment="1">
      <alignment horizontal="left" vertical="center" wrapText="1"/>
    </xf>
    <xf numFmtId="0" fontId="55" fillId="0" borderId="165" xfId="147" applyFont="1" applyBorder="1" applyAlignment="1">
      <alignment horizontal="left" vertical="center" wrapText="1"/>
    </xf>
    <xf numFmtId="0" fontId="55" fillId="0" borderId="171" xfId="147" applyFont="1" applyBorder="1" applyAlignment="1">
      <alignment horizontal="left" vertical="center" wrapText="1"/>
    </xf>
    <xf numFmtId="0" fontId="55" fillId="0" borderId="172" xfId="147" applyFont="1" applyBorder="1" applyAlignment="1">
      <alignment horizontal="left" vertical="center" wrapText="1"/>
    </xf>
    <xf numFmtId="0" fontId="55" fillId="0" borderId="56" xfId="147" applyFont="1" applyBorder="1" applyAlignment="1">
      <alignment horizontal="left" vertical="center" wrapText="1"/>
    </xf>
    <xf numFmtId="0" fontId="55" fillId="0" borderId="33" xfId="147" applyFont="1" applyBorder="1" applyAlignment="1">
      <alignment horizontal="left" vertical="center" wrapText="1"/>
    </xf>
    <xf numFmtId="0" fontId="166" fillId="0" borderId="0" xfId="147" applyFont="1" applyAlignment="1">
      <alignment horizontal="center"/>
    </xf>
    <xf numFmtId="0" fontId="163" fillId="0" borderId="0" xfId="0" applyFont="1" applyAlignment="1">
      <alignment horizontal="center" wrapText="1"/>
    </xf>
    <xf numFmtId="0" fontId="164" fillId="0" borderId="0" xfId="0" applyFont="1" applyAlignment="1">
      <alignment horizontal="center"/>
    </xf>
    <xf numFmtId="4" fontId="13" fillId="0" borderId="192" xfId="0" applyNumberFormat="1" applyFont="1" applyFill="1" applyBorder="1" applyAlignment="1">
      <alignment horizontal="center" vertical="center"/>
    </xf>
    <xf numFmtId="0" fontId="0" fillId="0" borderId="192" xfId="0" applyFont="1" applyFill="1" applyBorder="1" applyAlignment="1">
      <alignment horizontal="center" vertical="center"/>
    </xf>
    <xf numFmtId="0" fontId="58" fillId="0" borderId="0" xfId="0" applyFont="1" applyAlignment="1">
      <alignment horizontal="center" wrapText="1"/>
    </xf>
    <xf numFmtId="0" fontId="64" fillId="0" borderId="0" xfId="0" applyFont="1" applyAlignment="1">
      <alignment horizontal="center"/>
    </xf>
    <xf numFmtId="4" fontId="12" fillId="0" borderId="192" xfId="0" applyNumberFormat="1" applyFont="1" applyFill="1" applyBorder="1" applyAlignment="1">
      <alignment horizontal="center" vertical="center"/>
    </xf>
    <xf numFmtId="0" fontId="8" fillId="0" borderId="192" xfId="0" applyFont="1" applyFill="1" applyBorder="1" applyAlignment="1">
      <alignment horizontal="center" vertical="center"/>
    </xf>
    <xf numFmtId="0" fontId="0" fillId="38" borderId="194" xfId="0" applyFont="1" applyFill="1" applyBorder="1" applyAlignment="1">
      <alignment horizontal="center" vertical="center"/>
    </xf>
    <xf numFmtId="0" fontId="163" fillId="0" borderId="0" xfId="0" applyFont="1" applyFill="1" applyBorder="1" applyAlignment="1">
      <alignment horizontal="center" vertical="center" wrapText="1"/>
    </xf>
    <xf numFmtId="0" fontId="164" fillId="0" borderId="0" xfId="0" applyFont="1" applyAlignment="1">
      <alignment horizontal="center" vertical="center"/>
    </xf>
    <xf numFmtId="0" fontId="0" fillId="38" borderId="19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wrapText="1"/>
    </xf>
    <xf numFmtId="4" fontId="13" fillId="0" borderId="193" xfId="0" applyNumberFormat="1" applyFont="1" applyFill="1" applyBorder="1" applyAlignment="1">
      <alignment horizontal="left" vertical="center" wrapText="1"/>
    </xf>
    <xf numFmtId="0" fontId="0" fillId="0" borderId="199" xfId="0" applyFont="1" applyFill="1" applyBorder="1" applyAlignment="1">
      <alignment horizontal="left" vertical="center" wrapText="1"/>
    </xf>
    <xf numFmtId="0" fontId="0" fillId="0" borderId="194" xfId="0" applyFont="1" applyFill="1" applyBorder="1" applyAlignment="1">
      <alignment horizontal="left" vertical="center" wrapText="1"/>
    </xf>
    <xf numFmtId="4" fontId="12" fillId="0" borderId="193" xfId="0" applyNumberFormat="1" applyFont="1" applyFill="1" applyBorder="1" applyAlignment="1">
      <alignment horizontal="left" vertical="center" wrapText="1"/>
    </xf>
    <xf numFmtId="4" fontId="13" fillId="38" borderId="193" xfId="0" applyNumberFormat="1" applyFont="1" applyFill="1" applyBorder="1" applyAlignment="1">
      <alignment horizontal="center" vertical="center" wrapText="1"/>
    </xf>
    <xf numFmtId="4" fontId="13" fillId="36" borderId="213" xfId="0" applyNumberFormat="1" applyFont="1" applyFill="1" applyBorder="1" applyAlignment="1">
      <alignment horizontal="left" vertical="center" wrapText="1"/>
    </xf>
    <xf numFmtId="4" fontId="13" fillId="36" borderId="253" xfId="0" applyNumberFormat="1" applyFont="1" applyFill="1" applyBorder="1" applyAlignment="1">
      <alignment horizontal="left" vertical="center" wrapText="1"/>
    </xf>
    <xf numFmtId="4" fontId="13" fillId="36" borderId="214" xfId="0" applyNumberFormat="1" applyFont="1" applyFill="1" applyBorder="1" applyAlignment="1">
      <alignment horizontal="left" vertical="center" wrapText="1"/>
    </xf>
    <xf numFmtId="4" fontId="13" fillId="36" borderId="225" xfId="0" applyNumberFormat="1" applyFont="1" applyFill="1" applyBorder="1" applyAlignment="1">
      <alignment horizontal="left" vertical="center" wrapText="1"/>
    </xf>
    <xf numFmtId="4" fontId="13" fillId="36" borderId="0" xfId="0" applyNumberFormat="1" applyFont="1" applyFill="1" applyBorder="1" applyAlignment="1">
      <alignment horizontal="left" vertical="center" wrapText="1"/>
    </xf>
    <xf numFmtId="4" fontId="13" fillId="36" borderId="226" xfId="0" applyNumberFormat="1" applyFont="1" applyFill="1" applyBorder="1" applyAlignment="1">
      <alignment horizontal="left"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justify" wrapText="1"/>
    </xf>
    <xf numFmtId="0" fontId="11" fillId="0" borderId="0" xfId="0" applyFont="1" applyAlignment="1">
      <alignment horizontal="justify"/>
    </xf>
    <xf numFmtId="0" fontId="48" fillId="38" borderId="193" xfId="79" applyFont="1" applyFill="1" applyBorder="1" applyAlignment="1">
      <alignment horizontal="center" vertical="center" wrapText="1"/>
    </xf>
    <xf numFmtId="0" fontId="48" fillId="38" borderId="199" xfId="79" applyFont="1" applyFill="1" applyBorder="1" applyAlignment="1">
      <alignment horizontal="center" vertical="center" wrapText="1"/>
    </xf>
    <xf numFmtId="0" fontId="48" fillId="38" borderId="205" xfId="79" applyFont="1" applyFill="1" applyBorder="1" applyAlignment="1">
      <alignment horizontal="center" vertical="center" wrapText="1"/>
    </xf>
    <xf numFmtId="0" fontId="48" fillId="38" borderId="206" xfId="79" applyFont="1" applyFill="1" applyBorder="1" applyAlignment="1">
      <alignment horizontal="center" vertical="center" wrapText="1"/>
    </xf>
    <xf numFmtId="0" fontId="13" fillId="38" borderId="213" xfId="79" applyFont="1" applyFill="1" applyBorder="1" applyAlignment="1">
      <alignment horizontal="center" vertical="center" wrapText="1"/>
    </xf>
    <xf numFmtId="0" fontId="13" fillId="38" borderId="253" xfId="79" applyFont="1" applyFill="1" applyBorder="1" applyAlignment="1">
      <alignment horizontal="center" vertical="center" wrapText="1"/>
    </xf>
    <xf numFmtId="0" fontId="68" fillId="0" borderId="0" xfId="79" applyFont="1" applyAlignment="1">
      <alignment horizontal="center"/>
    </xf>
    <xf numFmtId="0" fontId="48" fillId="38" borderId="213" xfId="79" applyFont="1" applyFill="1" applyBorder="1" applyAlignment="1">
      <alignment horizontal="center" vertical="center" wrapText="1"/>
    </xf>
    <xf numFmtId="0" fontId="48" fillId="38" borderId="253" xfId="79" applyFont="1" applyFill="1" applyBorder="1" applyAlignment="1">
      <alignment horizontal="center" vertical="center" wrapText="1"/>
    </xf>
    <xf numFmtId="0" fontId="48" fillId="38" borderId="214" xfId="79" applyFont="1" applyFill="1" applyBorder="1" applyAlignment="1">
      <alignment horizontal="center" vertical="center" wrapText="1"/>
    </xf>
    <xf numFmtId="0" fontId="13" fillId="38" borderId="193" xfId="79" applyFont="1" applyFill="1" applyBorder="1" applyAlignment="1">
      <alignment horizontal="center" vertical="center" wrapText="1"/>
    </xf>
    <xf numFmtId="0" fontId="13" fillId="38" borderId="194" xfId="79" applyFont="1" applyFill="1" applyBorder="1" applyAlignment="1">
      <alignment horizontal="center" vertical="center" wrapText="1"/>
    </xf>
    <xf numFmtId="0" fontId="48" fillId="38" borderId="194" xfId="79" applyFont="1" applyFill="1" applyBorder="1" applyAlignment="1">
      <alignment horizontal="center" vertical="center" wrapText="1"/>
    </xf>
    <xf numFmtId="0" fontId="51" fillId="38" borderId="192" xfId="79" applyFont="1" applyFill="1" applyBorder="1" applyAlignment="1">
      <alignment horizontal="center" vertical="center" wrapText="1"/>
    </xf>
    <xf numFmtId="0" fontId="13" fillId="38" borderId="192" xfId="79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 wrapText="1"/>
    </xf>
    <xf numFmtId="0" fontId="16" fillId="0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13" fillId="38" borderId="206" xfId="79" applyFont="1" applyFill="1" applyBorder="1" applyAlignment="1">
      <alignment horizontal="center" vertical="center" wrapText="1"/>
    </xf>
    <xf numFmtId="0" fontId="13" fillId="38" borderId="199" xfId="79" applyFont="1" applyFill="1" applyBorder="1" applyAlignment="1">
      <alignment horizontal="center" vertical="center" wrapText="1"/>
    </xf>
    <xf numFmtId="0" fontId="10" fillId="38" borderId="192" xfId="79" applyFont="1" applyFill="1" applyBorder="1" applyAlignment="1">
      <alignment horizontal="center" vertical="center"/>
    </xf>
    <xf numFmtId="0" fontId="0" fillId="0" borderId="192" xfId="0" applyFill="1" applyBorder="1" applyAlignment="1">
      <alignment horizontal="center" vertical="center" wrapText="1"/>
    </xf>
    <xf numFmtId="0" fontId="48" fillId="38" borderId="192" xfId="79" applyFont="1" applyFill="1" applyBorder="1" applyAlignment="1">
      <alignment horizontal="center" vertical="center" wrapText="1"/>
    </xf>
    <xf numFmtId="0" fontId="10" fillId="0" borderId="192" xfId="79" applyFont="1" applyFill="1" applyBorder="1" applyAlignment="1">
      <alignment horizontal="center" vertical="center"/>
    </xf>
    <xf numFmtId="0" fontId="17" fillId="0" borderId="192" xfId="79" applyFont="1" applyFill="1" applyBorder="1" applyAlignment="1">
      <alignment horizontal="center" vertical="center" wrapText="1"/>
    </xf>
    <xf numFmtId="0" fontId="69" fillId="0" borderId="192" xfId="79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/>
    </xf>
    <xf numFmtId="0" fontId="48" fillId="38" borderId="192" xfId="79" applyFont="1" applyFill="1" applyBorder="1" applyAlignment="1">
      <alignment horizontal="center" vertical="center"/>
    </xf>
    <xf numFmtId="0" fontId="87" fillId="0" borderId="192" xfId="79" applyFont="1" applyFill="1" applyBorder="1" applyAlignment="1">
      <alignment horizontal="center" vertical="center" wrapText="1"/>
    </xf>
    <xf numFmtId="0" fontId="86" fillId="0" borderId="192" xfId="0" applyFont="1" applyBorder="1" applyAlignment="1">
      <alignment horizontal="center" vertical="center" wrapText="1"/>
    </xf>
    <xf numFmtId="0" fontId="18" fillId="0" borderId="225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0" fillId="38" borderId="192" xfId="0" applyFill="1" applyBorder="1" applyAlignment="1">
      <alignment vertical="center"/>
    </xf>
    <xf numFmtId="0" fontId="48" fillId="38" borderId="213" xfId="0" applyFont="1" applyFill="1" applyBorder="1" applyAlignment="1">
      <alignment horizontal="center" vertical="center" wrapText="1"/>
    </xf>
    <xf numFmtId="0" fontId="48" fillId="38" borderId="214" xfId="0" applyFont="1" applyFill="1" applyBorder="1" applyAlignment="1">
      <alignment horizontal="center" vertical="center" wrapText="1"/>
    </xf>
    <xf numFmtId="0" fontId="0" fillId="38" borderId="215" xfId="0" applyFill="1" applyBorder="1" applyAlignment="1">
      <alignment horizontal="center" vertical="center" wrapText="1"/>
    </xf>
    <xf numFmtId="0" fontId="0" fillId="38" borderId="216" xfId="0" applyFill="1" applyBorder="1" applyAlignment="1">
      <alignment horizontal="center" vertical="center" wrapText="1"/>
    </xf>
    <xf numFmtId="4" fontId="13" fillId="0" borderId="0" xfId="79" applyNumberFormat="1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0" fontId="13" fillId="38" borderId="199" xfId="0" applyFont="1" applyFill="1" applyBorder="1" applyAlignment="1">
      <alignment horizontal="center"/>
    </xf>
    <xf numFmtId="0" fontId="13" fillId="38" borderId="194" xfId="0" applyFont="1" applyFill="1" applyBorder="1" applyAlignment="1">
      <alignment horizontal="center"/>
    </xf>
    <xf numFmtId="0" fontId="0" fillId="0" borderId="206" xfId="0" applyBorder="1" applyAlignment="1">
      <alignment horizontal="center"/>
    </xf>
    <xf numFmtId="0" fontId="58" fillId="0" borderId="0" xfId="0" applyFont="1" applyAlignment="1">
      <alignment vertical="center" wrapText="1"/>
    </xf>
    <xf numFmtId="0" fontId="13" fillId="0" borderId="193" xfId="0" applyFont="1" applyFill="1" applyBorder="1" applyAlignment="1">
      <alignment horizontal="center" vertical="center" wrapText="1"/>
    </xf>
    <xf numFmtId="0" fontId="13" fillId="0" borderId="199" xfId="0" applyFont="1" applyFill="1" applyBorder="1" applyAlignment="1">
      <alignment horizontal="center" vertical="center" wrapText="1"/>
    </xf>
    <xf numFmtId="0" fontId="0" fillId="0" borderId="19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208" xfId="0" applyFont="1" applyBorder="1" applyAlignment="1">
      <alignment horizontal="center" vertical="center" wrapText="1"/>
    </xf>
    <xf numFmtId="0" fontId="93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17" fillId="0" borderId="55" xfId="0" applyFont="1" applyBorder="1" applyAlignment="1">
      <alignment horizontal="center"/>
    </xf>
    <xf numFmtId="0" fontId="60" fillId="0" borderId="72" xfId="0" applyFont="1" applyBorder="1" applyAlignment="1">
      <alignment horizontal="center" vertical="center" wrapText="1"/>
    </xf>
    <xf numFmtId="0" fontId="60" fillId="0" borderId="49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60" fillId="0" borderId="70" xfId="0" applyFont="1" applyBorder="1" applyAlignment="1">
      <alignment horizontal="center" vertical="center" wrapText="1"/>
    </xf>
    <xf numFmtId="0" fontId="60" fillId="0" borderId="67" xfId="0" applyFont="1" applyBorder="1" applyAlignment="1">
      <alignment horizontal="center" vertical="center" wrapText="1"/>
    </xf>
    <xf numFmtId="0" fontId="60" fillId="0" borderId="44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68" xfId="0" applyFont="1" applyBorder="1" applyAlignment="1">
      <alignment horizontal="center" vertical="center" wrapText="1"/>
    </xf>
    <xf numFmtId="0" fontId="17" fillId="27" borderId="50" xfId="0" applyFont="1" applyFill="1" applyBorder="1" applyAlignment="1">
      <alignment horizontal="center" vertical="center" wrapText="1"/>
    </xf>
    <xf numFmtId="0" fontId="17" fillId="27" borderId="47" xfId="0" applyFont="1" applyFill="1" applyBorder="1" applyAlignment="1">
      <alignment horizontal="center" vertical="center" wrapText="1"/>
    </xf>
    <xf numFmtId="0" fontId="17" fillId="27" borderId="40" xfId="0" applyFont="1" applyFill="1" applyBorder="1" applyAlignment="1">
      <alignment horizontal="center" vertical="center" wrapText="1"/>
    </xf>
    <xf numFmtId="0" fontId="17" fillId="27" borderId="36" xfId="0" applyFont="1" applyFill="1" applyBorder="1" applyAlignment="1">
      <alignment horizontal="center" vertical="center" wrapText="1"/>
    </xf>
    <xf numFmtId="0" fontId="17" fillId="24" borderId="50" xfId="0" applyFont="1" applyFill="1" applyBorder="1" applyAlignment="1">
      <alignment horizontal="center" vertical="center" wrapText="1"/>
    </xf>
    <xf numFmtId="0" fontId="17" fillId="24" borderId="47" xfId="0" applyFont="1" applyFill="1" applyBorder="1" applyAlignment="1">
      <alignment horizontal="center" vertical="center" wrapText="1"/>
    </xf>
    <xf numFmtId="0" fontId="17" fillId="24" borderId="48" xfId="0" applyFont="1" applyFill="1" applyBorder="1" applyAlignment="1">
      <alignment horizontal="center" vertical="center" wrapText="1"/>
    </xf>
    <xf numFmtId="0" fontId="17" fillId="24" borderId="40" xfId="0" applyFont="1" applyFill="1" applyBorder="1" applyAlignment="1">
      <alignment horizontal="center" vertical="center" wrapText="1"/>
    </xf>
    <xf numFmtId="0" fontId="17" fillId="24" borderId="36" xfId="0" applyFont="1" applyFill="1" applyBorder="1" applyAlignment="1">
      <alignment horizontal="center" vertical="center" wrapText="1"/>
    </xf>
    <xf numFmtId="0" fontId="17" fillId="24" borderId="68" xfId="0" applyFont="1" applyFill="1" applyBorder="1" applyAlignment="1">
      <alignment horizontal="center" vertical="center" wrapText="1"/>
    </xf>
    <xf numFmtId="0" fontId="62" fillId="0" borderId="51" xfId="0" applyFont="1" applyBorder="1" applyAlignment="1">
      <alignment horizontal="center" vertical="center" wrapText="1"/>
    </xf>
    <xf numFmtId="0" fontId="62" fillId="0" borderId="46" xfId="0" applyFont="1" applyBorder="1" applyAlignment="1">
      <alignment horizontal="center" vertical="center" wrapText="1"/>
    </xf>
    <xf numFmtId="0" fontId="62" fillId="0" borderId="57" xfId="0" applyFont="1" applyBorder="1" applyAlignment="1">
      <alignment horizontal="center" vertical="center" wrapText="1"/>
    </xf>
    <xf numFmtId="0" fontId="67" fillId="0" borderId="52" xfId="0" applyFont="1" applyBorder="1" applyAlignment="1">
      <alignment horizontal="center"/>
    </xf>
    <xf numFmtId="0" fontId="67" fillId="0" borderId="53" xfId="0" applyFont="1" applyBorder="1" applyAlignment="1">
      <alignment horizontal="center"/>
    </xf>
    <xf numFmtId="0" fontId="67" fillId="0" borderId="59" xfId="0" applyFont="1" applyBorder="1" applyAlignment="1">
      <alignment horizontal="center"/>
    </xf>
    <xf numFmtId="0" fontId="64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8" fillId="0" borderId="50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8" fillId="0" borderId="68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left"/>
    </xf>
    <xf numFmtId="0" fontId="18" fillId="0" borderId="16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69" xfId="0" applyFont="1" applyFill="1" applyBorder="1" applyAlignment="1">
      <alignment horizontal="center" vertical="center" wrapText="1"/>
    </xf>
    <xf numFmtId="0" fontId="18" fillId="0" borderId="175" xfId="0" applyFont="1" applyFill="1" applyBorder="1" applyAlignment="1">
      <alignment horizontal="center" vertical="center" wrapText="1"/>
    </xf>
    <xf numFmtId="0" fontId="18" fillId="0" borderId="170" xfId="0" applyFont="1" applyFill="1" applyBorder="1" applyAlignment="1">
      <alignment horizontal="center" vertical="center" wrapText="1"/>
    </xf>
    <xf numFmtId="0" fontId="18" fillId="0" borderId="190" xfId="0" applyFont="1" applyFill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60" xfId="0" applyFont="1" applyFill="1" applyBorder="1" applyAlignment="1">
      <alignment horizontal="center" vertical="center" wrapText="1"/>
    </xf>
    <xf numFmtId="0" fontId="60" fillId="0" borderId="51" xfId="0" applyFont="1" applyFill="1" applyBorder="1" applyAlignment="1">
      <alignment horizontal="center" vertical="center"/>
    </xf>
    <xf numFmtId="0" fontId="60" fillId="0" borderId="46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 wrapText="1"/>
    </xf>
    <xf numFmtId="0" fontId="18" fillId="0" borderId="185" xfId="0" applyFont="1" applyFill="1" applyBorder="1" applyAlignment="1">
      <alignment horizontal="center" vertical="center" wrapText="1"/>
    </xf>
    <xf numFmtId="0" fontId="58" fillId="0" borderId="47" xfId="0" applyFont="1" applyFill="1" applyBorder="1" applyAlignment="1">
      <alignment horizontal="center" vertical="center" wrapText="1"/>
    </xf>
    <xf numFmtId="0" fontId="58" fillId="0" borderId="48" xfId="0" applyFont="1" applyFill="1" applyBorder="1" applyAlignment="1">
      <alignment horizontal="center" vertical="center" wrapText="1"/>
    </xf>
    <xf numFmtId="0" fontId="58" fillId="0" borderId="40" xfId="0" applyFont="1" applyFill="1" applyBorder="1" applyAlignment="1">
      <alignment horizontal="center" vertical="center" wrapText="1"/>
    </xf>
    <xf numFmtId="0" fontId="58" fillId="0" borderId="36" xfId="0" applyFont="1" applyFill="1" applyBorder="1" applyAlignment="1">
      <alignment horizontal="center" vertical="center" wrapText="1"/>
    </xf>
    <xf numFmtId="0" fontId="58" fillId="0" borderId="68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89" fillId="0" borderId="177" xfId="0" applyFont="1" applyFill="1" applyBorder="1" applyAlignment="1">
      <alignment horizontal="left" vertical="center" wrapText="1"/>
    </xf>
    <xf numFmtId="0" fontId="89" fillId="0" borderId="173" xfId="0" applyFont="1" applyFill="1" applyBorder="1" applyAlignment="1">
      <alignment horizontal="left" vertical="center" wrapText="1"/>
    </xf>
    <xf numFmtId="0" fontId="89" fillId="0" borderId="165" xfId="0" applyFont="1" applyFill="1" applyBorder="1" applyAlignment="1">
      <alignment horizontal="left" vertical="center" wrapText="1"/>
    </xf>
    <xf numFmtId="0" fontId="89" fillId="0" borderId="54" xfId="0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horizontal="left" vertical="center" wrapText="1"/>
    </xf>
    <xf numFmtId="0" fontId="89" fillId="0" borderId="60" xfId="0" applyFont="1" applyFill="1" applyBorder="1" applyAlignment="1">
      <alignment horizontal="left" vertical="center" wrapText="1"/>
    </xf>
    <xf numFmtId="0" fontId="89" fillId="0" borderId="56" xfId="0" applyFont="1" applyFill="1" applyBorder="1" applyAlignment="1">
      <alignment horizontal="left" vertical="center" wrapText="1"/>
    </xf>
    <xf numFmtId="0" fontId="89" fillId="0" borderId="55" xfId="0" applyFont="1" applyFill="1" applyBorder="1" applyAlignment="1">
      <alignment horizontal="left" vertical="center" wrapText="1"/>
    </xf>
    <xf numFmtId="0" fontId="89" fillId="0" borderId="33" xfId="0" applyFont="1" applyFill="1" applyBorder="1" applyAlignment="1">
      <alignment horizontal="left" vertical="center" wrapText="1"/>
    </xf>
    <xf numFmtId="0" fontId="17" fillId="29" borderId="53" xfId="0" applyFont="1" applyFill="1" applyBorder="1" applyAlignment="1">
      <alignment horizontal="center" vertical="center"/>
    </xf>
    <xf numFmtId="0" fontId="17" fillId="29" borderId="59" xfId="0" applyFont="1" applyFill="1" applyBorder="1" applyAlignment="1">
      <alignment horizontal="center" vertical="center"/>
    </xf>
    <xf numFmtId="0" fontId="60" fillId="0" borderId="37" xfId="0" applyFont="1" applyFill="1" applyBorder="1" applyAlignment="1">
      <alignment horizontal="left" vertical="center"/>
    </xf>
    <xf numFmtId="0" fontId="60" fillId="0" borderId="38" xfId="0" applyFont="1" applyFill="1" applyBorder="1" applyAlignment="1">
      <alignment horizontal="left" vertical="center"/>
    </xf>
    <xf numFmtId="0" fontId="60" fillId="0" borderId="66" xfId="0" applyFont="1" applyFill="1" applyBorder="1" applyAlignment="1">
      <alignment horizontal="center" vertical="center"/>
    </xf>
    <xf numFmtId="0" fontId="60" fillId="0" borderId="79" xfId="0" applyFont="1" applyFill="1" applyBorder="1" applyAlignment="1">
      <alignment horizontal="center" vertical="center"/>
    </xf>
    <xf numFmtId="0" fontId="60" fillId="0" borderId="169" xfId="0" applyFont="1" applyFill="1" applyBorder="1" applyAlignment="1">
      <alignment horizontal="left" vertical="center"/>
    </xf>
    <xf numFmtId="0" fontId="60" fillId="0" borderId="170" xfId="0" applyFont="1" applyFill="1" applyBorder="1" applyAlignment="1">
      <alignment horizontal="left" vertical="center"/>
    </xf>
    <xf numFmtId="0" fontId="0" fillId="38" borderId="206" xfId="0" applyFill="1" applyBorder="1" applyAlignment="1">
      <alignment horizontal="center" vertical="center"/>
    </xf>
    <xf numFmtId="0" fontId="17" fillId="0" borderId="0" xfId="0" applyFont="1" applyAlignment="1">
      <alignment horizontal="center" wrapText="1"/>
    </xf>
    <xf numFmtId="0" fontId="0" fillId="38" borderId="192" xfId="0" applyFill="1" applyBorder="1" applyAlignment="1">
      <alignment horizontal="center" vertical="center"/>
    </xf>
    <xf numFmtId="0" fontId="13" fillId="38" borderId="213" xfId="0" applyFont="1" applyFill="1" applyBorder="1" applyAlignment="1">
      <alignment horizontal="left" vertical="center" wrapText="1"/>
    </xf>
    <xf numFmtId="0" fontId="13" fillId="38" borderId="253" xfId="0" applyFont="1" applyFill="1" applyBorder="1" applyAlignment="1">
      <alignment horizontal="left" vertical="center" wrapText="1"/>
    </xf>
    <xf numFmtId="0" fontId="13" fillId="38" borderId="214" xfId="0" applyFont="1" applyFill="1" applyBorder="1" applyAlignment="1">
      <alignment horizontal="left" vertical="center" wrapText="1"/>
    </xf>
    <xf numFmtId="0" fontId="13" fillId="38" borderId="225" xfId="0" applyFont="1" applyFill="1" applyBorder="1" applyAlignment="1">
      <alignment horizontal="left" vertical="center" wrapText="1"/>
    </xf>
    <xf numFmtId="0" fontId="13" fillId="38" borderId="0" xfId="0" applyFont="1" applyFill="1" applyBorder="1" applyAlignment="1">
      <alignment horizontal="left" vertical="center" wrapText="1"/>
    </xf>
    <xf numFmtId="0" fontId="13" fillId="38" borderId="226" xfId="0" applyFont="1" applyFill="1" applyBorder="1" applyAlignment="1">
      <alignment horizontal="left" vertical="center" wrapText="1"/>
    </xf>
    <xf numFmtId="0" fontId="13" fillId="38" borderId="215" xfId="0" applyFont="1" applyFill="1" applyBorder="1" applyAlignment="1">
      <alignment horizontal="left" vertical="center" wrapText="1"/>
    </xf>
    <xf numFmtId="0" fontId="13" fillId="38" borderId="208" xfId="0" applyFont="1" applyFill="1" applyBorder="1" applyAlignment="1">
      <alignment horizontal="left" vertical="center" wrapText="1"/>
    </xf>
    <xf numFmtId="0" fontId="13" fillId="38" borderId="216" xfId="0" applyFont="1" applyFill="1" applyBorder="1" applyAlignment="1">
      <alignment horizontal="left" vertical="center" wrapText="1"/>
    </xf>
    <xf numFmtId="0" fontId="13" fillId="38" borderId="213" xfId="0" applyFont="1" applyFill="1" applyBorder="1" applyAlignment="1">
      <alignment horizontal="left" wrapText="1"/>
    </xf>
    <xf numFmtId="0" fontId="13" fillId="38" borderId="253" xfId="0" applyFont="1" applyFill="1" applyBorder="1" applyAlignment="1">
      <alignment horizontal="left" wrapText="1"/>
    </xf>
    <xf numFmtId="0" fontId="13" fillId="38" borderId="214" xfId="0" applyFont="1" applyFill="1" applyBorder="1" applyAlignment="1">
      <alignment horizontal="left" wrapText="1"/>
    </xf>
    <xf numFmtId="0" fontId="13" fillId="38" borderId="225" xfId="0" applyFont="1" applyFill="1" applyBorder="1" applyAlignment="1">
      <alignment horizontal="left" wrapText="1"/>
    </xf>
    <xf numFmtId="0" fontId="13" fillId="38" borderId="0" xfId="0" applyFont="1" applyFill="1" applyBorder="1" applyAlignment="1">
      <alignment horizontal="left" wrapText="1"/>
    </xf>
    <xf numFmtId="0" fontId="13" fillId="38" borderId="226" xfId="0" applyFont="1" applyFill="1" applyBorder="1" applyAlignment="1">
      <alignment horizontal="left" wrapText="1"/>
    </xf>
    <xf numFmtId="0" fontId="13" fillId="38" borderId="215" xfId="0" applyFont="1" applyFill="1" applyBorder="1" applyAlignment="1">
      <alignment horizontal="left" wrapText="1"/>
    </xf>
    <xf numFmtId="0" fontId="13" fillId="38" borderId="208" xfId="0" applyFont="1" applyFill="1" applyBorder="1" applyAlignment="1">
      <alignment horizontal="left" wrapText="1"/>
    </xf>
    <xf numFmtId="0" fontId="13" fillId="38" borderId="216" xfId="0" applyFont="1" applyFill="1" applyBorder="1" applyAlignment="1">
      <alignment horizontal="left" wrapText="1"/>
    </xf>
    <xf numFmtId="0" fontId="108" fillId="0" borderId="36" xfId="147" applyFont="1" applyBorder="1" applyAlignment="1">
      <alignment horizontal="center"/>
    </xf>
    <xf numFmtId="0" fontId="6" fillId="0" borderId="36" xfId="147" applyBorder="1" applyAlignment="1">
      <alignment horizontal="center"/>
    </xf>
    <xf numFmtId="0" fontId="110" fillId="0" borderId="167" xfId="147" applyFont="1" applyBorder="1" applyAlignment="1"/>
    <xf numFmtId="0" fontId="6" fillId="0" borderId="167" xfId="147" applyBorder="1" applyAlignment="1"/>
    <xf numFmtId="0" fontId="108" fillId="0" borderId="167" xfId="147" applyFont="1" applyBorder="1" applyAlignment="1">
      <alignment horizontal="center"/>
    </xf>
    <xf numFmtId="0" fontId="6" fillId="0" borderId="167" xfId="147" applyBorder="1" applyAlignment="1">
      <alignment horizontal="center"/>
    </xf>
    <xf numFmtId="0" fontId="11" fillId="29" borderId="0" xfId="0" applyFont="1" applyFill="1" applyAlignment="1">
      <alignment horizontal="center"/>
    </xf>
    <xf numFmtId="0" fontId="21" fillId="0" borderId="0" xfId="0" applyFont="1" applyBorder="1" applyAlignment="1">
      <alignment vertical="top" wrapText="1"/>
    </xf>
    <xf numFmtId="0" fontId="123" fillId="0" borderId="52" xfId="0" applyFont="1" applyBorder="1" applyAlignment="1">
      <alignment horizontal="center" vertical="top" wrapText="1"/>
    </xf>
    <xf numFmtId="0" fontId="123" fillId="0" borderId="53" xfId="0" applyFont="1" applyBorder="1" applyAlignment="1">
      <alignment horizontal="center" vertical="top" wrapText="1"/>
    </xf>
    <xf numFmtId="0" fontId="21" fillId="0" borderId="55" xfId="0" applyFont="1" applyBorder="1" applyAlignment="1">
      <alignment vertical="top" wrapText="1"/>
    </xf>
    <xf numFmtId="0" fontId="13" fillId="0" borderId="46" xfId="0" applyFont="1" applyBorder="1" applyAlignment="1">
      <alignment wrapText="1"/>
    </xf>
    <xf numFmtId="0" fontId="21" fillId="0" borderId="52" xfId="0" applyFont="1" applyBorder="1" applyAlignment="1">
      <alignment vertical="top" wrapText="1"/>
    </xf>
    <xf numFmtId="0" fontId="21" fillId="0" borderId="53" xfId="0" applyFont="1" applyBorder="1" applyAlignment="1">
      <alignment vertical="top" wrapText="1"/>
    </xf>
    <xf numFmtId="0" fontId="21" fillId="0" borderId="59" xfId="0" applyFont="1" applyBorder="1" applyAlignment="1">
      <alignment vertical="top" wrapText="1"/>
    </xf>
    <xf numFmtId="0" fontId="21" fillId="0" borderId="50" xfId="0" applyFont="1" applyBorder="1" applyAlignment="1">
      <alignment vertical="top" wrapText="1"/>
    </xf>
    <xf numFmtId="0" fontId="21" fillId="0" borderId="47" xfId="0" applyFont="1" applyBorder="1" applyAlignment="1">
      <alignment vertical="top" wrapText="1"/>
    </xf>
    <xf numFmtId="0" fontId="21" fillId="0" borderId="56" xfId="0" applyFont="1" applyBorder="1" applyAlignment="1">
      <alignment vertical="top" wrapText="1"/>
    </xf>
    <xf numFmtId="0" fontId="21" fillId="0" borderId="47" xfId="0" applyFont="1" applyBorder="1" applyAlignment="1">
      <alignment horizontal="right" vertical="top" wrapText="1"/>
    </xf>
    <xf numFmtId="0" fontId="21" fillId="0" borderId="55" xfId="0" applyFont="1" applyBorder="1" applyAlignment="1">
      <alignment horizontal="right" vertical="top" wrapText="1"/>
    </xf>
    <xf numFmtId="0" fontId="120" fillId="0" borderId="52" xfId="0" applyFont="1" applyBorder="1" applyAlignment="1">
      <alignment horizontal="center" vertical="top" wrapText="1"/>
    </xf>
    <xf numFmtId="0" fontId="120" fillId="0" borderId="53" xfId="0" applyFont="1" applyBorder="1" applyAlignment="1">
      <alignment horizontal="center" vertical="top" wrapText="1"/>
    </xf>
    <xf numFmtId="0" fontId="21" fillId="0" borderId="51" xfId="0" applyFont="1" applyBorder="1" applyAlignment="1">
      <alignment horizontal="right" vertical="top" wrapText="1"/>
    </xf>
    <xf numFmtId="0" fontId="21" fillId="0" borderId="57" xfId="0" applyFont="1" applyBorder="1" applyAlignment="1">
      <alignment horizontal="right" vertical="top" wrapText="1"/>
    </xf>
    <xf numFmtId="0" fontId="21" fillId="0" borderId="51" xfId="0" applyFont="1" applyBorder="1" applyAlignment="1">
      <alignment vertical="top" wrapText="1"/>
    </xf>
    <xf numFmtId="0" fontId="21" fillId="0" borderId="57" xfId="0" applyFont="1" applyBorder="1" applyAlignment="1">
      <alignment vertical="top" wrapText="1"/>
    </xf>
    <xf numFmtId="0" fontId="21" fillId="0" borderId="46" xfId="0" applyFont="1" applyBorder="1" applyAlignment="1">
      <alignment horizontal="right" vertical="top" wrapText="1"/>
    </xf>
    <xf numFmtId="0" fontId="21" fillId="0" borderId="46" xfId="0" applyFont="1" applyBorder="1" applyAlignment="1">
      <alignment vertical="top" wrapText="1"/>
    </xf>
    <xf numFmtId="0" fontId="13" fillId="0" borderId="51" xfId="0" applyFont="1" applyBorder="1" applyAlignment="1">
      <alignment wrapText="1"/>
    </xf>
    <xf numFmtId="0" fontId="21" fillId="0" borderId="52" xfId="0" applyFont="1" applyBorder="1" applyAlignment="1">
      <alignment horizontal="center" wrapText="1"/>
    </xf>
    <xf numFmtId="0" fontId="21" fillId="0" borderId="59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48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91" fillId="0" borderId="52" xfId="0" applyFont="1" applyBorder="1" applyAlignment="1">
      <alignment vertical="top" wrapText="1"/>
    </xf>
    <xf numFmtId="0" fontId="91" fillId="0" borderId="53" xfId="0" applyFont="1" applyBorder="1" applyAlignment="1">
      <alignment vertical="top" wrapText="1"/>
    </xf>
    <xf numFmtId="0" fontId="91" fillId="0" borderId="59" xfId="0" applyFont="1" applyBorder="1" applyAlignment="1">
      <alignment vertical="top" wrapText="1"/>
    </xf>
    <xf numFmtId="0" fontId="14" fillId="0" borderId="54" xfId="0" applyFont="1" applyBorder="1" applyAlignment="1">
      <alignment vertical="top" wrapText="1"/>
    </xf>
    <xf numFmtId="0" fontId="13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vertical="top" wrapText="1"/>
    </xf>
    <xf numFmtId="0" fontId="75" fillId="0" borderId="54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4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4" fillId="0" borderId="0" xfId="0" applyFont="1" applyBorder="1" applyAlignment="1">
      <alignment horizontal="center" vertical="top" wrapText="1"/>
    </xf>
    <xf numFmtId="0" fontId="15" fillId="0" borderId="54" xfId="0" applyFont="1" applyBorder="1" applyAlignment="1">
      <alignment vertical="top" wrapText="1"/>
    </xf>
    <xf numFmtId="0" fontId="12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top" wrapText="1"/>
    </xf>
    <xf numFmtId="0" fontId="17" fillId="0" borderId="50" xfId="0" applyFont="1" applyBorder="1" applyAlignment="1">
      <alignment horizontal="center" wrapText="1"/>
    </xf>
    <xf numFmtId="0" fontId="62" fillId="0" borderId="47" xfId="0" applyFont="1" applyBorder="1" applyAlignment="1">
      <alignment horizontal="center"/>
    </xf>
    <xf numFmtId="0" fontId="90" fillId="0" borderId="54" xfId="0" applyFont="1" applyBorder="1" applyAlignment="1">
      <alignment horizontal="center" wrapText="1"/>
    </xf>
    <xf numFmtId="0" fontId="17" fillId="0" borderId="54" xfId="0" applyFont="1" applyBorder="1" applyAlignment="1">
      <alignment horizontal="center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62" fillId="0" borderId="48" xfId="0" applyFont="1" applyBorder="1" applyAlignment="1">
      <alignment horizontal="center"/>
    </xf>
    <xf numFmtId="0" fontId="14" fillId="0" borderId="54" xfId="0" applyFont="1" applyBorder="1" applyAlignment="1"/>
    <xf numFmtId="0" fontId="11" fillId="29" borderId="47" xfId="0" applyFont="1" applyFill="1" applyBorder="1" applyAlignment="1">
      <alignment horizontal="right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62" fillId="0" borderId="155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15" fillId="0" borderId="0" xfId="149" applyFont="1" applyAlignment="1">
      <alignment horizontal="center"/>
    </xf>
    <xf numFmtId="0" fontId="104" fillId="0" borderId="175" xfId="149" applyFont="1" applyBorder="1" applyAlignment="1">
      <alignment horizontal="center" wrapText="1"/>
    </xf>
    <xf numFmtId="0" fontId="5" fillId="29" borderId="180" xfId="149" applyFill="1" applyBorder="1" applyAlignment="1">
      <alignment horizontal="center" wrapText="1"/>
    </xf>
    <xf numFmtId="0" fontId="5" fillId="29" borderId="181" xfId="149" applyFill="1" applyBorder="1" applyAlignment="1">
      <alignment horizontal="center" wrapText="1"/>
    </xf>
    <xf numFmtId="0" fontId="5" fillId="29" borderId="179" xfId="149" applyFill="1" applyBorder="1" applyAlignment="1">
      <alignment horizontal="center" wrapText="1"/>
    </xf>
    <xf numFmtId="0" fontId="5" fillId="29" borderId="181" xfId="149" applyFill="1" applyBorder="1" applyAlignment="1">
      <alignment horizontal="center"/>
    </xf>
    <xf numFmtId="0" fontId="5" fillId="29" borderId="179" xfId="149" applyFill="1" applyBorder="1" applyAlignment="1">
      <alignment horizontal="center"/>
    </xf>
    <xf numFmtId="4" fontId="5" fillId="0" borderId="180" xfId="149" applyNumberFormat="1" applyBorder="1" applyAlignment="1">
      <alignment horizontal="center"/>
    </xf>
    <xf numFmtId="4" fontId="5" fillId="0" borderId="181" xfId="149" applyNumberFormat="1" applyBorder="1" applyAlignment="1">
      <alignment horizontal="center"/>
    </xf>
    <xf numFmtId="4" fontId="5" fillId="0" borderId="179" xfId="149" applyNumberFormat="1" applyBorder="1" applyAlignment="1">
      <alignment horizontal="center"/>
    </xf>
    <xf numFmtId="0" fontId="104" fillId="0" borderId="175" xfId="149" applyFont="1" applyBorder="1" applyAlignment="1">
      <alignment horizontal="center"/>
    </xf>
    <xf numFmtId="0" fontId="104" fillId="0" borderId="180" xfId="149" applyFont="1" applyBorder="1" applyAlignment="1">
      <alignment horizontal="center"/>
    </xf>
    <xf numFmtId="0" fontId="104" fillId="0" borderId="180" xfId="149" applyFont="1" applyBorder="1" applyAlignment="1">
      <alignment horizontal="center" wrapText="1"/>
    </xf>
    <xf numFmtId="0" fontId="114" fillId="0" borderId="180" xfId="149" applyFont="1" applyFill="1" applyBorder="1" applyAlignment="1">
      <alignment horizontal="left" wrapText="1"/>
    </xf>
    <xf numFmtId="0" fontId="114" fillId="0" borderId="181" xfId="149" applyFont="1" applyFill="1" applyBorder="1" applyAlignment="1">
      <alignment horizontal="left" wrapText="1"/>
    </xf>
    <xf numFmtId="0" fontId="114" fillId="0" borderId="179" xfId="149" applyFont="1" applyFill="1" applyBorder="1" applyAlignment="1">
      <alignment horizontal="left" wrapText="1"/>
    </xf>
    <xf numFmtId="0" fontId="51" fillId="29" borderId="209" xfId="150" applyFont="1" applyFill="1" applyBorder="1" applyAlignment="1">
      <alignment horizontal="center"/>
    </xf>
    <xf numFmtId="0" fontId="8" fillId="0" borderId="210" xfId="0" applyFont="1" applyBorder="1" applyAlignment="1">
      <alignment horizontal="center"/>
    </xf>
    <xf numFmtId="0" fontId="8" fillId="0" borderId="260" xfId="0" applyFont="1" applyBorder="1" applyAlignment="1">
      <alignment horizontal="center"/>
    </xf>
    <xf numFmtId="0" fontId="105" fillId="0" borderId="36" xfId="150" applyFont="1" applyBorder="1" applyAlignment="1">
      <alignment horizontal="center" vertical="center"/>
    </xf>
    <xf numFmtId="0" fontId="105" fillId="29" borderId="209" xfId="150" applyFont="1" applyFill="1" applyBorder="1" applyAlignment="1">
      <alignment horizontal="center"/>
    </xf>
    <xf numFmtId="0" fontId="16" fillId="0" borderId="36" xfId="150" applyFont="1" applyBorder="1" applyAlignment="1">
      <alignment horizontal="center" vertical="center"/>
    </xf>
    <xf numFmtId="0" fontId="12" fillId="29" borderId="193" xfId="0" applyFont="1" applyFill="1" applyBorder="1" applyAlignment="1">
      <alignment horizontal="center" vertical="center" wrapText="1"/>
    </xf>
    <xf numFmtId="0" fontId="12" fillId="29" borderId="199" xfId="0" applyFont="1" applyFill="1" applyBorder="1" applyAlignment="1">
      <alignment horizontal="center" vertical="center" wrapText="1"/>
    </xf>
    <xf numFmtId="0" fontId="0" fillId="29" borderId="199" xfId="0" applyFont="1" applyFill="1" applyBorder="1" applyAlignment="1"/>
    <xf numFmtId="0" fontId="0" fillId="0" borderId="199" xfId="0" applyFont="1" applyBorder="1" applyAlignment="1"/>
    <xf numFmtId="0" fontId="0" fillId="0" borderId="194" xfId="0" applyFont="1" applyBorder="1" applyAlignment="1"/>
    <xf numFmtId="0" fontId="16" fillId="38" borderId="213" xfId="0" applyFont="1" applyFill="1" applyBorder="1" applyAlignment="1">
      <alignment horizontal="center" vertical="center"/>
    </xf>
    <xf numFmtId="0" fontId="16" fillId="38" borderId="253" xfId="0" applyFont="1" applyFill="1" applyBorder="1" applyAlignment="1">
      <alignment horizontal="center" vertical="center"/>
    </xf>
    <xf numFmtId="0" fontId="16" fillId="38" borderId="214" xfId="0" applyFont="1" applyFill="1" applyBorder="1" applyAlignment="1">
      <alignment horizontal="center" vertical="center"/>
    </xf>
    <xf numFmtId="0" fontId="0" fillId="38" borderId="215" xfId="0" applyFill="1" applyBorder="1" applyAlignment="1">
      <alignment horizontal="center" vertical="center"/>
    </xf>
    <xf numFmtId="0" fontId="0" fillId="38" borderId="208" xfId="0" applyFill="1" applyBorder="1" applyAlignment="1">
      <alignment horizontal="center" vertical="center"/>
    </xf>
    <xf numFmtId="0" fontId="0" fillId="38" borderId="216" xfId="0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6" fillId="38" borderId="192" xfId="0" applyFont="1" applyFill="1" applyBorder="1" applyAlignment="1">
      <alignment horizontal="center" vertical="center"/>
    </xf>
    <xf numFmtId="0" fontId="12" fillId="29" borderId="194" xfId="0" applyFont="1" applyFill="1" applyBorder="1" applyAlignment="1">
      <alignment horizontal="center" vertical="center"/>
    </xf>
    <xf numFmtId="0" fontId="81" fillId="38" borderId="192" xfId="0" applyFont="1" applyFill="1" applyBorder="1" applyAlignment="1">
      <alignment horizontal="center"/>
    </xf>
    <xf numFmtId="0" fontId="0" fillId="38" borderId="192" xfId="0" applyFont="1" applyFill="1" applyBorder="1" applyAlignment="1">
      <alignment horizontal="center"/>
    </xf>
    <xf numFmtId="0" fontId="63" fillId="38" borderId="192" xfId="0" applyFont="1" applyFill="1" applyBorder="1" applyAlignment="1">
      <alignment horizontal="center"/>
    </xf>
    <xf numFmtId="0" fontId="18" fillId="0" borderId="0" xfId="0" applyFont="1" applyAlignment="1">
      <alignment horizontal="center" wrapText="1"/>
    </xf>
    <xf numFmtId="4" fontId="14" fillId="29" borderId="205" xfId="0" applyNumberFormat="1" applyFont="1" applyFill="1" applyBorder="1" applyAlignment="1">
      <alignment horizontal="right" vertical="center"/>
    </xf>
    <xf numFmtId="0" fontId="0" fillId="29" borderId="206" xfId="0" applyFont="1" applyFill="1" applyBorder="1" applyAlignment="1">
      <alignment horizontal="right" vertical="center"/>
    </xf>
    <xf numFmtId="4" fontId="183" fillId="0" borderId="205" xfId="0" applyNumberFormat="1" applyFont="1" applyFill="1" applyBorder="1" applyAlignment="1">
      <alignment horizontal="right" vertical="center"/>
    </xf>
    <xf numFmtId="0" fontId="89" fillId="0" borderId="206" xfId="0" applyFont="1" applyFill="1" applyBorder="1" applyAlignment="1">
      <alignment horizontal="right" vertical="center"/>
    </xf>
    <xf numFmtId="4" fontId="14" fillId="29" borderId="205" xfId="0" applyNumberFormat="1" applyFont="1" applyFill="1" applyBorder="1" applyAlignment="1">
      <alignment horizontal="center" vertical="center"/>
    </xf>
    <xf numFmtId="0" fontId="0" fillId="29" borderId="206" xfId="0" applyFont="1" applyFill="1" applyBorder="1" applyAlignment="1">
      <alignment horizontal="center" vertical="center"/>
    </xf>
    <xf numFmtId="4" fontId="183" fillId="0" borderId="205" xfId="0" applyNumberFormat="1" applyFont="1" applyFill="1" applyBorder="1" applyAlignment="1">
      <alignment horizontal="center" vertical="center"/>
    </xf>
    <xf numFmtId="0" fontId="89" fillId="0" borderId="206" xfId="0" applyFont="1" applyFill="1" applyBorder="1" applyAlignment="1">
      <alignment horizontal="center" vertical="center"/>
    </xf>
    <xf numFmtId="4" fontId="14" fillId="0" borderId="205" xfId="0" applyNumberFormat="1" applyFont="1" applyFill="1" applyBorder="1" applyAlignment="1">
      <alignment horizontal="right" vertical="center"/>
    </xf>
    <xf numFmtId="0" fontId="0" fillId="0" borderId="206" xfId="0" applyFont="1" applyFill="1" applyBorder="1" applyAlignment="1">
      <alignment horizontal="right" vertical="center"/>
    </xf>
    <xf numFmtId="0" fontId="0" fillId="38" borderId="253" xfId="0" applyFill="1" applyBorder="1" applyAlignment="1"/>
    <xf numFmtId="0" fontId="0" fillId="38" borderId="214" xfId="0" applyFill="1" applyBorder="1" applyAlignment="1"/>
    <xf numFmtId="4" fontId="14" fillId="0" borderId="205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4" fontId="14" fillId="29" borderId="206" xfId="0" applyNumberFormat="1" applyFont="1" applyFill="1" applyBorder="1" applyAlignment="1">
      <alignment horizontal="right" vertical="center"/>
    </xf>
    <xf numFmtId="4" fontId="14" fillId="29" borderId="206" xfId="0" applyNumberFormat="1" applyFont="1" applyFill="1" applyBorder="1" applyAlignment="1">
      <alignment horizontal="center" vertical="center"/>
    </xf>
    <xf numFmtId="4" fontId="14" fillId="35" borderId="205" xfId="0" applyNumberFormat="1" applyFont="1" applyFill="1" applyBorder="1" applyAlignment="1">
      <alignment horizontal="center" vertical="center"/>
    </xf>
    <xf numFmtId="4" fontId="14" fillId="35" borderId="206" xfId="0" applyNumberFormat="1" applyFont="1" applyFill="1" applyBorder="1" applyAlignment="1">
      <alignment horizontal="center" vertical="center"/>
    </xf>
    <xf numFmtId="4" fontId="14" fillId="35" borderId="205" xfId="0" applyNumberFormat="1" applyFont="1" applyFill="1" applyBorder="1" applyAlignment="1">
      <alignment horizontal="right" vertical="center"/>
    </xf>
    <xf numFmtId="4" fontId="14" fillId="35" borderId="206" xfId="0" applyNumberFormat="1" applyFont="1" applyFill="1" applyBorder="1" applyAlignment="1">
      <alignment horizontal="right" vertical="center"/>
    </xf>
    <xf numFmtId="0" fontId="106" fillId="0" borderId="182" xfId="147" applyFont="1" applyBorder="1" applyAlignment="1">
      <alignment horizontal="center" vertical="center" wrapText="1"/>
    </xf>
    <xf numFmtId="0" fontId="106" fillId="0" borderId="11" xfId="147" applyFont="1" applyBorder="1" applyAlignment="1">
      <alignment horizontal="center" vertical="center" wrapText="1"/>
    </xf>
    <xf numFmtId="0" fontId="106" fillId="0" borderId="182" xfId="147" applyFont="1" applyBorder="1" applyAlignment="1">
      <alignment horizontal="center" vertical="center"/>
    </xf>
    <xf numFmtId="0" fontId="106" fillId="0" borderId="11" xfId="147" applyFont="1" applyBorder="1" applyAlignment="1">
      <alignment horizontal="center" vertical="center"/>
    </xf>
    <xf numFmtId="0" fontId="105" fillId="0" borderId="36" xfId="147" applyFont="1" applyBorder="1" applyAlignment="1">
      <alignment horizontal="center" vertical="center" wrapText="1"/>
    </xf>
    <xf numFmtId="0" fontId="106" fillId="38" borderId="192" xfId="147" applyFont="1" applyFill="1" applyBorder="1" applyAlignment="1">
      <alignment horizontal="center" vertical="center" wrapText="1"/>
    </xf>
    <xf numFmtId="0" fontId="106" fillId="38" borderId="192" xfId="147" applyFont="1" applyFill="1" applyBorder="1" applyAlignment="1">
      <alignment horizontal="center" vertical="center"/>
    </xf>
    <xf numFmtId="0" fontId="51" fillId="0" borderId="184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17" fillId="0" borderId="180" xfId="0" applyFont="1" applyBorder="1" applyAlignment="1">
      <alignment horizontal="center"/>
    </xf>
    <xf numFmtId="0" fontId="17" fillId="0" borderId="181" xfId="0" applyFont="1" applyBorder="1" applyAlignment="1">
      <alignment horizontal="center"/>
    </xf>
    <xf numFmtId="0" fontId="17" fillId="0" borderId="179" xfId="0" applyFont="1" applyBorder="1" applyAlignment="1">
      <alignment horizontal="center"/>
    </xf>
    <xf numFmtId="0" fontId="17" fillId="43" borderId="180" xfId="0" applyFont="1" applyFill="1" applyBorder="1" applyAlignment="1">
      <alignment horizontal="center"/>
    </xf>
    <xf numFmtId="0" fontId="17" fillId="43" borderId="181" xfId="0" applyFont="1" applyFill="1" applyBorder="1" applyAlignment="1">
      <alignment horizontal="center"/>
    </xf>
    <xf numFmtId="0" fontId="17" fillId="43" borderId="179" xfId="0" applyFont="1" applyFill="1" applyBorder="1" applyAlignment="1">
      <alignment horizontal="center"/>
    </xf>
    <xf numFmtId="4" fontId="13" fillId="0" borderId="184" xfId="0" applyNumberFormat="1" applyFont="1" applyBorder="1" applyAlignment="1">
      <alignment horizontal="center" vertical="center"/>
    </xf>
    <xf numFmtId="4" fontId="13" fillId="0" borderId="61" xfId="0" applyNumberFormat="1" applyFont="1" applyBorder="1" applyAlignment="1">
      <alignment horizontal="center" vertical="center"/>
    </xf>
    <xf numFmtId="4" fontId="13" fillId="0" borderId="11" xfId="0" applyNumberFormat="1" applyFont="1" applyBorder="1" applyAlignment="1">
      <alignment horizontal="center" vertical="center"/>
    </xf>
    <xf numFmtId="0" fontId="13" fillId="0" borderId="184" xfId="0" applyFont="1" applyBorder="1" applyAlignment="1">
      <alignment horizontal="center" wrapText="1"/>
    </xf>
    <xf numFmtId="0" fontId="13" fillId="0" borderId="11" xfId="0" applyFont="1" applyBorder="1" applyAlignment="1">
      <alignment horizontal="center" wrapText="1"/>
    </xf>
    <xf numFmtId="0" fontId="17" fillId="0" borderId="184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2" fillId="0" borderId="185" xfId="0" applyFont="1" applyBorder="1" applyAlignment="1">
      <alignment horizontal="center" vertical="center"/>
    </xf>
    <xf numFmtId="0" fontId="12" fillId="0" borderId="186" xfId="0" applyFont="1" applyBorder="1" applyAlignment="1">
      <alignment horizontal="center" vertical="center"/>
    </xf>
    <xf numFmtId="0" fontId="12" fillId="0" borderId="187" xfId="0" applyFont="1" applyBorder="1" applyAlignment="1">
      <alignment horizontal="center" vertical="center"/>
    </xf>
    <xf numFmtId="0" fontId="51" fillId="0" borderId="175" xfId="0" applyFont="1" applyBorder="1" applyAlignment="1">
      <alignment horizontal="center" wrapText="1"/>
    </xf>
    <xf numFmtId="4" fontId="13" fillId="43" borderId="184" xfId="0" applyNumberFormat="1" applyFont="1" applyFill="1" applyBorder="1" applyAlignment="1">
      <alignment horizontal="center" vertical="center"/>
    </xf>
    <xf numFmtId="4" fontId="13" fillId="43" borderId="61" xfId="0" applyNumberFormat="1" applyFont="1" applyFill="1" applyBorder="1" applyAlignment="1">
      <alignment horizontal="center" vertical="center"/>
    </xf>
    <xf numFmtId="4" fontId="13" fillId="43" borderId="11" xfId="0" applyNumberFormat="1" applyFont="1" applyFill="1" applyBorder="1" applyAlignment="1">
      <alignment horizontal="center" vertical="center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8" fillId="29" borderId="52" xfId="0" applyFont="1" applyFill="1" applyBorder="1" applyAlignment="1">
      <alignment horizontal="center"/>
    </xf>
    <xf numFmtId="0" fontId="8" fillId="29" borderId="53" xfId="0" applyFont="1" applyFill="1" applyBorder="1" applyAlignment="1">
      <alignment horizontal="center"/>
    </xf>
    <xf numFmtId="0" fontId="8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62" fillId="0" borderId="0" xfId="0" applyFont="1" applyBorder="1" applyAlignment="1">
      <alignment horizontal="center"/>
    </xf>
    <xf numFmtId="0" fontId="79" fillId="0" borderId="0" xfId="0" applyFont="1" applyBorder="1" applyAlignment="1"/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0" fillId="0" borderId="36" xfId="0" applyBorder="1" applyAlignment="1">
      <alignment horizontal="center"/>
    </xf>
    <xf numFmtId="0" fontId="7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7" fillId="0" borderId="47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54" fillId="0" borderId="16" xfId="81" applyFont="1" applyBorder="1" applyAlignment="1">
      <alignment horizontal="center"/>
    </xf>
    <xf numFmtId="0" fontId="54" fillId="0" borderId="17" xfId="81" applyFont="1" applyBorder="1" applyAlignment="1">
      <alignment horizontal="center"/>
    </xf>
    <xf numFmtId="0" fontId="54" fillId="0" borderId="18" xfId="81" applyFont="1" applyBorder="1" applyAlignment="1">
      <alignment horizontal="center"/>
    </xf>
    <xf numFmtId="0" fontId="55" fillId="0" borderId="73" xfId="81" applyFont="1" applyBorder="1" applyAlignment="1">
      <alignment horizontal="center" vertical="center"/>
    </xf>
    <xf numFmtId="0" fontId="55" fillId="0" borderId="42" xfId="81" applyFont="1" applyBorder="1" applyAlignment="1">
      <alignment horizontal="center" vertical="center"/>
    </xf>
    <xf numFmtId="0" fontId="55" fillId="0" borderId="13" xfId="81" applyFont="1" applyBorder="1" applyAlignment="1">
      <alignment horizontal="center" vertical="center"/>
    </xf>
    <xf numFmtId="0" fontId="55" fillId="0" borderId="15" xfId="81" applyFont="1" applyBorder="1" applyAlignment="1">
      <alignment horizontal="center" vertical="center"/>
    </xf>
    <xf numFmtId="0" fontId="54" fillId="0" borderId="71" xfId="81" applyFont="1" applyBorder="1" applyAlignment="1">
      <alignment horizontal="center"/>
    </xf>
    <xf numFmtId="0" fontId="54" fillId="0" borderId="0" xfId="81" applyFont="1" applyAlignment="1">
      <alignment horizontal="center"/>
    </xf>
    <xf numFmtId="0" fontId="13" fillId="0" borderId="203" xfId="0" applyFont="1" applyBorder="1" applyAlignment="1">
      <alignment horizontal="center"/>
    </xf>
    <xf numFmtId="0" fontId="17" fillId="0" borderId="209" xfId="0" applyFont="1" applyBorder="1" applyAlignment="1">
      <alignment horizontal="center"/>
    </xf>
    <xf numFmtId="0" fontId="17" fillId="0" borderId="210" xfId="0" applyFont="1" applyBorder="1" applyAlignment="1">
      <alignment horizontal="center"/>
    </xf>
    <xf numFmtId="0" fontId="17" fillId="0" borderId="204" xfId="0" applyFont="1" applyBorder="1" applyAlignment="1">
      <alignment horizontal="center"/>
    </xf>
    <xf numFmtId="0" fontId="17" fillId="43" borderId="209" xfId="0" applyFont="1" applyFill="1" applyBorder="1" applyAlignment="1">
      <alignment horizontal="center"/>
    </xf>
    <xf numFmtId="0" fontId="17" fillId="43" borderId="210" xfId="0" applyFont="1" applyFill="1" applyBorder="1" applyAlignment="1">
      <alignment horizontal="center"/>
    </xf>
    <xf numFmtId="0" fontId="17" fillId="43" borderId="204" xfId="0" applyFont="1" applyFill="1" applyBorder="1" applyAlignment="1">
      <alignment horizontal="center"/>
    </xf>
    <xf numFmtId="0" fontId="13" fillId="0" borderId="195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4" fontId="13" fillId="0" borderId="195" xfId="0" applyNumberFormat="1" applyFont="1" applyBorder="1" applyAlignment="1">
      <alignment horizontal="center" vertical="center"/>
    </xf>
    <xf numFmtId="0" fontId="17" fillId="0" borderId="200" xfId="0" applyFont="1" applyBorder="1" applyAlignment="1">
      <alignment horizontal="center"/>
    </xf>
    <xf numFmtId="0" fontId="17" fillId="0" borderId="201" xfId="0" applyFont="1" applyBorder="1" applyAlignment="1">
      <alignment horizontal="center"/>
    </xf>
    <xf numFmtId="0" fontId="17" fillId="0" borderId="198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0" fillId="38" borderId="194" xfId="0" applyFill="1" applyBorder="1" applyAlignment="1">
      <alignment horizontal="center" vertical="center" wrapText="1"/>
    </xf>
    <xf numFmtId="0" fontId="13" fillId="38" borderId="262" xfId="0" applyFont="1" applyFill="1" applyBorder="1" applyAlignment="1">
      <alignment horizontal="center" vertical="center" wrapText="1"/>
    </xf>
    <xf numFmtId="0" fontId="13" fillId="38" borderId="263" xfId="0" applyFont="1" applyFill="1" applyBorder="1" applyAlignment="1">
      <alignment horizontal="center" vertical="center" wrapText="1"/>
    </xf>
    <xf numFmtId="0" fontId="13" fillId="38" borderId="255" xfId="0" applyFont="1" applyFill="1" applyBorder="1" applyAlignment="1">
      <alignment horizontal="center"/>
    </xf>
    <xf numFmtId="0" fontId="13" fillId="38" borderId="261" xfId="0" applyFont="1" applyFill="1" applyBorder="1" applyAlignment="1">
      <alignment horizontal="center"/>
    </xf>
    <xf numFmtId="0" fontId="13" fillId="38" borderId="256" xfId="0" applyFont="1" applyFill="1" applyBorder="1" applyAlignment="1">
      <alignment horizontal="center"/>
    </xf>
    <xf numFmtId="0" fontId="13" fillId="38" borderId="254" xfId="0" applyFont="1" applyFill="1" applyBorder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0" fontId="13" fillId="38" borderId="254" xfId="0" applyFont="1" applyFill="1" applyBorder="1" applyAlignment="1">
      <alignment horizontal="center" wrapText="1"/>
    </xf>
    <xf numFmtId="0" fontId="13" fillId="38" borderId="262" xfId="0" applyFont="1" applyFill="1" applyBorder="1" applyAlignment="1">
      <alignment horizontal="center" wrapText="1"/>
    </xf>
    <xf numFmtId="0" fontId="13" fillId="38" borderId="263" xfId="0" applyFont="1" applyFill="1" applyBorder="1" applyAlignment="1">
      <alignment horizontal="center" wrapText="1"/>
    </xf>
    <xf numFmtId="4" fontId="12" fillId="0" borderId="258" xfId="0" applyNumberFormat="1" applyFont="1" applyBorder="1" applyAlignment="1">
      <alignment horizontal="center" vertical="center"/>
    </xf>
    <xf numFmtId="4" fontId="12" fillId="0" borderId="61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0" fontId="17" fillId="29" borderId="35" xfId="0" applyFont="1" applyFill="1" applyBorder="1" applyAlignment="1">
      <alignment horizontal="center"/>
    </xf>
    <xf numFmtId="0" fontId="17" fillId="29" borderId="36" xfId="0" applyFont="1" applyFill="1" applyBorder="1" applyAlignment="1">
      <alignment horizontal="center"/>
    </xf>
    <xf numFmtId="0" fontId="0" fillId="0" borderId="31" xfId="0" applyBorder="1" applyAlignment="1"/>
    <xf numFmtId="0" fontId="17" fillId="29" borderId="273" xfId="0" applyFont="1" applyFill="1" applyBorder="1" applyAlignment="1">
      <alignment horizontal="center"/>
    </xf>
    <xf numFmtId="0" fontId="17" fillId="29" borderId="274" xfId="0" applyFont="1" applyFill="1" applyBorder="1" applyAlignment="1">
      <alignment horizontal="center"/>
    </xf>
    <xf numFmtId="0" fontId="13" fillId="0" borderId="258" xfId="0" applyFont="1" applyBorder="1" applyAlignment="1">
      <alignment horizontal="center" vertical="center" wrapText="1"/>
    </xf>
    <xf numFmtId="0" fontId="51" fillId="0" borderId="258" xfId="0" applyFont="1" applyBorder="1" applyAlignment="1">
      <alignment horizontal="center" wrapText="1"/>
    </xf>
    <xf numFmtId="0" fontId="47" fillId="0" borderId="11" xfId="0" applyFont="1" applyBorder="1" applyAlignment="1">
      <alignment horizontal="center" wrapText="1"/>
    </xf>
    <xf numFmtId="0" fontId="17" fillId="0" borderId="258" xfId="0" applyFont="1" applyBorder="1" applyAlignment="1">
      <alignment horizontal="center"/>
    </xf>
    <xf numFmtId="0" fontId="12" fillId="0" borderId="273" xfId="0" applyFont="1" applyBorder="1" applyAlignment="1">
      <alignment horizontal="center" vertical="center"/>
    </xf>
    <xf numFmtId="0" fontId="12" fillId="0" borderId="274" xfId="0" applyFont="1" applyBorder="1" applyAlignment="1">
      <alignment horizontal="center" vertical="center"/>
    </xf>
    <xf numFmtId="0" fontId="12" fillId="0" borderId="275" xfId="0" applyFont="1" applyBorder="1" applyAlignment="1">
      <alignment horizontal="center" vertical="center"/>
    </xf>
    <xf numFmtId="0" fontId="51" fillId="0" borderId="270" xfId="0" applyFont="1" applyBorder="1" applyAlignment="1">
      <alignment horizontal="center" wrapText="1"/>
    </xf>
    <xf numFmtId="0" fontId="51" fillId="0" borderId="258" xfId="0" applyFont="1" applyBorder="1" applyAlignment="1">
      <alignment horizontal="center" vertical="center" wrapText="1"/>
    </xf>
    <xf numFmtId="0" fontId="17" fillId="43" borderId="273" xfId="0" applyFont="1" applyFill="1" applyBorder="1" applyAlignment="1">
      <alignment horizontal="center"/>
    </xf>
    <xf numFmtId="0" fontId="17" fillId="43" borderId="274" xfId="0" applyFont="1" applyFill="1" applyBorder="1" applyAlignment="1">
      <alignment horizontal="center"/>
    </xf>
    <xf numFmtId="0" fontId="17" fillId="43" borderId="275" xfId="0" applyFont="1" applyFill="1" applyBorder="1" applyAlignment="1">
      <alignment horizontal="center"/>
    </xf>
    <xf numFmtId="4" fontId="13" fillId="43" borderId="258" xfId="0" applyNumberFormat="1" applyFont="1" applyFill="1" applyBorder="1" applyAlignment="1">
      <alignment horizontal="center" vertical="center"/>
    </xf>
    <xf numFmtId="0" fontId="17" fillId="0" borderId="273" xfId="0" applyFont="1" applyBorder="1" applyAlignment="1">
      <alignment horizontal="center"/>
    </xf>
    <xf numFmtId="0" fontId="17" fillId="0" borderId="274" xfId="0" applyFont="1" applyBorder="1" applyAlignment="1">
      <alignment horizontal="center"/>
    </xf>
    <xf numFmtId="0" fontId="17" fillId="0" borderId="275" xfId="0" applyFont="1" applyBorder="1" applyAlignment="1">
      <alignment horizontal="center"/>
    </xf>
    <xf numFmtId="4" fontId="13" fillId="0" borderId="258" xfId="0" applyNumberFormat="1" applyFont="1" applyBorder="1" applyAlignment="1">
      <alignment horizontal="center" vertical="center"/>
    </xf>
    <xf numFmtId="0" fontId="13" fillId="0" borderId="270" xfId="0" applyFont="1" applyBorder="1" applyAlignment="1">
      <alignment horizontal="center"/>
    </xf>
    <xf numFmtId="0" fontId="171" fillId="0" borderId="0" xfId="77" applyFont="1" applyAlignment="1">
      <alignment horizontal="center"/>
    </xf>
    <xf numFmtId="0" fontId="118" fillId="0" borderId="0" xfId="0" applyFont="1" applyAlignment="1"/>
    <xf numFmtId="0" fontId="172" fillId="29" borderId="36" xfId="77" applyFont="1" applyFill="1" applyBorder="1" applyAlignment="1">
      <alignment horizontal="left" vertical="center"/>
    </xf>
    <xf numFmtId="0" fontId="118" fillId="0" borderId="36" xfId="0" applyFont="1" applyBorder="1" applyAlignment="1"/>
    <xf numFmtId="0" fontId="173" fillId="38" borderId="258" xfId="77" applyFont="1" applyFill="1" applyBorder="1" applyAlignment="1">
      <alignment horizontal="center"/>
    </xf>
    <xf numFmtId="0" fontId="173" fillId="38" borderId="11" xfId="77" applyFont="1" applyFill="1" applyBorder="1" applyAlignment="1">
      <alignment horizontal="center"/>
    </xf>
    <xf numFmtId="0" fontId="173" fillId="38" borderId="209" xfId="77" applyFont="1" applyFill="1" applyBorder="1" applyAlignment="1">
      <alignment horizontal="center" wrapText="1"/>
    </xf>
    <xf numFmtId="0" fontId="174" fillId="0" borderId="260" xfId="77" applyFont="1" applyBorder="1" applyAlignment="1">
      <alignment horizontal="center" wrapText="1"/>
    </xf>
    <xf numFmtId="0" fontId="173" fillId="38" borderId="258" xfId="77" applyFont="1" applyFill="1" applyBorder="1" applyAlignment="1">
      <alignment horizontal="center" wrapText="1"/>
    </xf>
    <xf numFmtId="0" fontId="173" fillId="38" borderId="11" xfId="77" applyFont="1" applyFill="1" applyBorder="1" applyAlignment="1">
      <alignment horizontal="center" wrapText="1"/>
    </xf>
    <xf numFmtId="0" fontId="174" fillId="0" borderId="210" xfId="77" applyFont="1" applyBorder="1" applyAlignment="1">
      <alignment horizontal="center" wrapText="1"/>
    </xf>
    <xf numFmtId="0" fontId="118" fillId="0" borderId="260" xfId="0" applyFont="1" applyBorder="1" applyAlignment="1">
      <alignment horizontal="center" wrapText="1"/>
    </xf>
    <xf numFmtId="0" fontId="17" fillId="29" borderId="209" xfId="0" applyFont="1" applyFill="1" applyBorder="1" applyAlignment="1">
      <alignment horizontal="center"/>
    </xf>
    <xf numFmtId="0" fontId="17" fillId="29" borderId="260" xfId="0" applyFont="1" applyFill="1" applyBorder="1" applyAlignment="1">
      <alignment horizontal="center"/>
    </xf>
    <xf numFmtId="0" fontId="17" fillId="43" borderId="260" xfId="0" applyFont="1" applyFill="1" applyBorder="1" applyAlignment="1">
      <alignment horizontal="center"/>
    </xf>
    <xf numFmtId="0" fontId="12" fillId="0" borderId="209" xfId="0" applyFont="1" applyBorder="1" applyAlignment="1">
      <alignment horizontal="center" vertical="center"/>
    </xf>
    <xf numFmtId="0" fontId="12" fillId="0" borderId="210" xfId="0" applyFont="1" applyBorder="1" applyAlignment="1">
      <alignment horizontal="center" vertical="center"/>
    </xf>
    <xf numFmtId="0" fontId="12" fillId="0" borderId="260" xfId="0" applyFont="1" applyBorder="1" applyAlignment="1">
      <alignment horizontal="center" vertical="center"/>
    </xf>
    <xf numFmtId="0" fontId="51" fillId="0" borderId="257" xfId="0" applyFont="1" applyBorder="1" applyAlignment="1">
      <alignment horizontal="center" wrapText="1"/>
    </xf>
    <xf numFmtId="0" fontId="17" fillId="0" borderId="260" xfId="0" applyFont="1" applyBorder="1" applyAlignment="1">
      <alignment horizontal="center"/>
    </xf>
    <xf numFmtId="0" fontId="13" fillId="0" borderId="257" xfId="0" applyFont="1" applyBorder="1" applyAlignment="1">
      <alignment horizontal="center"/>
    </xf>
    <xf numFmtId="0" fontId="51" fillId="0" borderId="0" xfId="0" applyFont="1" applyAlignment="1">
      <alignment horizontal="center" wrapText="1"/>
    </xf>
    <xf numFmtId="0" fontId="13" fillId="38" borderId="194" xfId="0" applyFont="1" applyFill="1" applyBorder="1" applyAlignment="1">
      <alignment horizontal="center" vertical="center"/>
    </xf>
    <xf numFmtId="0" fontId="81" fillId="38" borderId="192" xfId="0" applyFont="1" applyFill="1" applyBorder="1" applyAlignment="1">
      <alignment horizontal="center" vertical="center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right"/>
    </xf>
    <xf numFmtId="0" fontId="106" fillId="0" borderId="200" xfId="147" applyFont="1" applyBorder="1" applyAlignment="1">
      <alignment horizontal="center" vertical="center" wrapText="1"/>
    </xf>
    <xf numFmtId="0" fontId="106" fillId="0" borderId="201" xfId="147" applyFont="1" applyBorder="1" applyAlignment="1">
      <alignment horizontal="center" vertical="center" wrapText="1"/>
    </xf>
    <xf numFmtId="0" fontId="106" fillId="0" borderId="198" xfId="147" applyFont="1" applyBorder="1" applyAlignment="1">
      <alignment horizontal="center" vertical="center" wrapText="1"/>
    </xf>
    <xf numFmtId="0" fontId="13" fillId="38" borderId="252" xfId="0" applyFont="1" applyFill="1" applyBorder="1" applyAlignment="1">
      <alignment horizontal="center"/>
    </xf>
    <xf numFmtId="0" fontId="13" fillId="38" borderId="248" xfId="0" applyFont="1" applyFill="1" applyBorder="1" applyAlignment="1">
      <alignment horizontal="center"/>
    </xf>
    <xf numFmtId="0" fontId="13" fillId="38" borderId="234" xfId="0" applyFont="1" applyFill="1" applyBorder="1" applyAlignment="1">
      <alignment horizontal="center"/>
    </xf>
    <xf numFmtId="0" fontId="13" fillId="38" borderId="236" xfId="0" applyFont="1" applyFill="1" applyBorder="1" applyAlignment="1">
      <alignment horizontal="center"/>
    </xf>
    <xf numFmtId="0" fontId="13" fillId="38" borderId="225" xfId="0" applyFont="1" applyFill="1" applyBorder="1" applyAlignment="1">
      <alignment horizontal="center"/>
    </xf>
    <xf numFmtId="0" fontId="13" fillId="38" borderId="215" xfId="0" applyFont="1" applyFill="1" applyBorder="1" applyAlignment="1">
      <alignment horizontal="center"/>
    </xf>
    <xf numFmtId="0" fontId="13" fillId="38" borderId="233" xfId="0" applyFont="1" applyFill="1" applyBorder="1" applyAlignment="1">
      <alignment horizontal="center"/>
    </xf>
    <xf numFmtId="0" fontId="13" fillId="38" borderId="220" xfId="0" applyFont="1" applyFill="1" applyBorder="1" applyAlignment="1">
      <alignment horizontal="center"/>
    </xf>
    <xf numFmtId="0" fontId="13" fillId="38" borderId="221" xfId="0" applyFont="1" applyFill="1" applyBorder="1" applyAlignment="1">
      <alignment horizontal="center"/>
    </xf>
    <xf numFmtId="0" fontId="157" fillId="0" borderId="267" xfId="0" applyNumberFormat="1" applyFont="1" applyBorder="1" applyAlignment="1">
      <alignment vertical="top" wrapText="1" indent="2"/>
    </xf>
    <xf numFmtId="185" fontId="157" fillId="0" borderId="267" xfId="0" applyNumberFormat="1" applyFont="1" applyBorder="1" applyAlignment="1">
      <alignment horizontal="right" vertical="top" wrapText="1"/>
    </xf>
    <xf numFmtId="0" fontId="160" fillId="54" borderId="264" xfId="0" applyNumberFormat="1" applyFont="1" applyFill="1" applyBorder="1" applyAlignment="1">
      <alignment vertical="top"/>
    </xf>
    <xf numFmtId="185" fontId="160" fillId="54" borderId="264" xfId="0" applyNumberFormat="1" applyFont="1" applyFill="1" applyBorder="1" applyAlignment="1">
      <alignment horizontal="right" vertical="top" wrapText="1"/>
    </xf>
    <xf numFmtId="188" fontId="157" fillId="0" borderId="267" xfId="0" applyNumberFormat="1" applyFont="1" applyBorder="1" applyAlignment="1">
      <alignment horizontal="right" vertical="top" wrapText="1"/>
    </xf>
    <xf numFmtId="0" fontId="157" fillId="37" borderId="267" xfId="0" applyNumberFormat="1" applyFont="1" applyFill="1" applyBorder="1" applyAlignment="1">
      <alignment vertical="top" wrapText="1" indent="2"/>
    </xf>
    <xf numFmtId="185" fontId="157" fillId="37" borderId="267" xfId="0" applyNumberFormat="1" applyFont="1" applyFill="1" applyBorder="1" applyAlignment="1">
      <alignment horizontal="right" vertical="top" wrapText="1"/>
    </xf>
    <xf numFmtId="0" fontId="155" fillId="54" borderId="267" xfId="0" applyNumberFormat="1" applyFont="1" applyFill="1" applyBorder="1" applyAlignment="1">
      <alignment vertical="top" wrapText="1"/>
    </xf>
    <xf numFmtId="185" fontId="155" fillId="54" borderId="267" xfId="0" applyNumberFormat="1" applyFont="1" applyFill="1" applyBorder="1" applyAlignment="1">
      <alignment horizontal="right" vertical="top" wrapText="1"/>
    </xf>
    <xf numFmtId="0" fontId="157" fillId="46" borderId="267" xfId="0" applyNumberFormat="1" applyFont="1" applyFill="1" applyBorder="1" applyAlignment="1">
      <alignment vertical="top" wrapText="1" indent="2"/>
    </xf>
    <xf numFmtId="185" fontId="157" fillId="46" borderId="267" xfId="0" applyNumberFormat="1" applyFont="1" applyFill="1" applyBorder="1" applyAlignment="1">
      <alignment horizontal="right" vertical="top" wrapText="1"/>
    </xf>
    <xf numFmtId="0" fontId="157" fillId="34" borderId="267" xfId="0" applyNumberFormat="1" applyFont="1" applyFill="1" applyBorder="1" applyAlignment="1">
      <alignment vertical="top" wrapText="1" indent="2"/>
    </xf>
    <xf numFmtId="0" fontId="157" fillId="55" borderId="267" xfId="0" applyNumberFormat="1" applyFont="1" applyFill="1" applyBorder="1" applyAlignment="1">
      <alignment vertical="top" wrapText="1" indent="2"/>
    </xf>
    <xf numFmtId="185" fontId="157" fillId="55" borderId="267" xfId="0" applyNumberFormat="1" applyFont="1" applyFill="1" applyBorder="1" applyAlignment="1">
      <alignment horizontal="right" vertical="top" wrapText="1"/>
    </xf>
    <xf numFmtId="185" fontId="157" fillId="34" borderId="267" xfId="0" applyNumberFormat="1" applyFont="1" applyFill="1" applyBorder="1" applyAlignment="1">
      <alignment horizontal="right" vertical="top" wrapText="1"/>
    </xf>
    <xf numFmtId="0" fontId="155" fillId="53" borderId="264" xfId="0" applyNumberFormat="1" applyFont="1" applyFill="1" applyBorder="1" applyAlignment="1">
      <alignment vertical="top" wrapText="1"/>
    </xf>
    <xf numFmtId="0" fontId="161" fillId="38" borderId="267" xfId="0" applyNumberFormat="1" applyFont="1" applyFill="1" applyBorder="1" applyAlignment="1">
      <alignment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0" fontId="154" fillId="0" borderId="0" xfId="0" applyNumberFormat="1" applyFont="1" applyAlignment="1">
      <alignment wrapText="1"/>
    </xf>
    <xf numFmtId="0" fontId="20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3" fillId="0" borderId="0" xfId="0" applyFont="1" applyAlignment="1">
      <alignment horizontal="left" vertical="center"/>
    </xf>
    <xf numFmtId="0" fontId="13" fillId="0" borderId="192" xfId="0" applyFont="1" applyBorder="1" applyAlignment="1">
      <alignment horizontal="center" vertical="center" wrapText="1"/>
    </xf>
    <xf numFmtId="0" fontId="13" fillId="0" borderId="192" xfId="0" applyFont="1" applyBorder="1" applyAlignment="1">
      <alignment horizontal="center"/>
    </xf>
    <xf numFmtId="0" fontId="13" fillId="0" borderId="192" xfId="0" applyFont="1" applyBorder="1" applyAlignment="1">
      <alignment horizontal="center" wrapText="1"/>
    </xf>
    <xf numFmtId="0" fontId="13" fillId="36" borderId="193" xfId="0" applyFont="1" applyFill="1" applyBorder="1" applyAlignment="1">
      <alignment horizontal="center"/>
    </xf>
    <xf numFmtId="0" fontId="13" fillId="36" borderId="194" xfId="0" applyFont="1" applyFill="1" applyBorder="1" applyAlignment="1">
      <alignment horizontal="center"/>
    </xf>
    <xf numFmtId="4" fontId="13" fillId="42" borderId="193" xfId="0" applyNumberFormat="1" applyFont="1" applyFill="1" applyBorder="1" applyAlignment="1">
      <alignment horizontal="center" vertical="center"/>
    </xf>
    <xf numFmtId="4" fontId="13" fillId="42" borderId="199" xfId="0" applyNumberFormat="1" applyFont="1" applyFill="1" applyBorder="1" applyAlignment="1">
      <alignment horizontal="center" vertical="center"/>
    </xf>
    <xf numFmtId="4" fontId="13" fillId="42" borderId="192" xfId="0" applyNumberFormat="1" applyFont="1" applyFill="1" applyBorder="1" applyAlignment="1">
      <alignment horizontal="center" vertical="center"/>
    </xf>
    <xf numFmtId="0" fontId="13" fillId="37" borderId="214" xfId="0" applyFont="1" applyFill="1" applyBorder="1" applyAlignment="1">
      <alignment horizontal="left" vertical="center"/>
    </xf>
    <xf numFmtId="0" fontId="13" fillId="37" borderId="216" xfId="0" applyFont="1" applyFill="1" applyBorder="1" applyAlignment="1">
      <alignment horizontal="left" vertical="center"/>
    </xf>
    <xf numFmtId="0" fontId="13" fillId="37" borderId="205" xfId="0" applyFont="1" applyFill="1" applyBorder="1" applyAlignment="1">
      <alignment horizontal="center"/>
    </xf>
    <xf numFmtId="0" fontId="12" fillId="38" borderId="205" xfId="0" applyFont="1" applyFill="1" applyBorder="1" applyAlignment="1">
      <alignment horizontal="center" vertical="center" wrapText="1"/>
    </xf>
    <xf numFmtId="0" fontId="12" fillId="38" borderId="207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/>
    </xf>
    <xf numFmtId="0" fontId="12" fillId="38" borderId="193" xfId="0" applyFont="1" applyFill="1" applyBorder="1" applyAlignment="1">
      <alignment horizontal="center"/>
    </xf>
    <xf numFmtId="0" fontId="12" fillId="38" borderId="199" xfId="0" applyFont="1" applyFill="1" applyBorder="1" applyAlignment="1">
      <alignment horizontal="center"/>
    </xf>
    <xf numFmtId="0" fontId="12" fillId="38" borderId="194" xfId="0" applyFont="1" applyFill="1" applyBorder="1" applyAlignment="1">
      <alignment horizontal="center"/>
    </xf>
    <xf numFmtId="0" fontId="13" fillId="38" borderId="206" xfId="0" applyFont="1" applyFill="1" applyBorder="1" applyAlignment="1">
      <alignment horizontal="center"/>
    </xf>
    <xf numFmtId="0" fontId="81" fillId="0" borderId="0" xfId="0" applyFont="1" applyAlignment="1">
      <alignment horizontal="center"/>
    </xf>
    <xf numFmtId="0" fontId="13" fillId="38" borderId="217" xfId="0" applyFont="1" applyFill="1" applyBorder="1" applyAlignment="1">
      <alignment horizontal="center"/>
    </xf>
    <xf numFmtId="0" fontId="13" fillId="38" borderId="218" xfId="0" applyFont="1" applyFill="1" applyBorder="1" applyAlignment="1">
      <alignment horizontal="center"/>
    </xf>
    <xf numFmtId="0" fontId="13" fillId="38" borderId="219" xfId="0" applyFont="1" applyFill="1" applyBorder="1" applyAlignment="1">
      <alignment horizontal="center"/>
    </xf>
    <xf numFmtId="0" fontId="13" fillId="38" borderId="208" xfId="0" applyFont="1" applyFill="1" applyBorder="1" applyAlignment="1">
      <alignment horizontal="center"/>
    </xf>
    <xf numFmtId="0" fontId="13" fillId="38" borderId="216" xfId="0" applyFont="1" applyFill="1" applyBorder="1" applyAlignment="1">
      <alignment horizontal="center"/>
    </xf>
    <xf numFmtId="2" fontId="13" fillId="37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 wrapText="1"/>
    </xf>
    <xf numFmtId="0" fontId="12" fillId="37" borderId="192" xfId="0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horizontal="center" vertical="center" wrapText="1"/>
    </xf>
  </cellXfs>
  <cellStyles count="188">
    <cellStyle name="]_x000d__x000a_Zoomed=1_x000d__x000a_Row=0_x000d__x000a_Column=0_x000d__x000a_Height=0_x000d__x000a_Width=0_x000d__x000a_FontName=FoxFont_x000d__x000a_FontStyle=0_x000d__x000a_FontSize=9_x000d__x000a_PrtFontName=FoxPrin" xfId="97" xr:uid="{00000000-0005-0000-0000-000000000000}"/>
    <cellStyle name="__Металлургический дивизион - формы v1.2" xfId="98" xr:uid="{00000000-0005-0000-0000-000001000000}"/>
    <cellStyle name="__Металлургический дивизион v1.3" xfId="99" xr:uid="{00000000-0005-0000-0000-000002000000}"/>
    <cellStyle name="__Штабквартира - формы v1.1" xfId="100" xr:uid="{00000000-0005-0000-0000-000003000000}"/>
    <cellStyle name="_горн" xfId="101" xr:uid="{00000000-0005-0000-0000-000004000000}"/>
    <cellStyle name="_кокс" xfId="102" xr:uid="{00000000-0005-0000-0000-000005000000}"/>
    <cellStyle name="_Коксоугольный дивизион - формы MR - v2 0" xfId="103" xr:uid="{00000000-0005-0000-0000-000006000000}"/>
    <cellStyle name="_Коксоугольный дивизион - формы MR - v2.0" xfId="104" xr:uid="{00000000-0005-0000-0000-000007000000}"/>
    <cellStyle name="_мет" xfId="105" xr:uid="{00000000-0005-0000-0000-000008000000}"/>
    <cellStyle name="_ШтабКвартира - формы MR - v3.0" xfId="106" xr:uid="{00000000-0005-0000-0000-000009000000}"/>
    <cellStyle name="_ШтабКвартира - формы MR - v5 0" xfId="107" xr:uid="{00000000-0005-0000-0000-00000A000000}"/>
    <cellStyle name="1Normal" xfId="108" xr:uid="{00000000-0005-0000-0000-00000B000000}"/>
    <cellStyle name="20% - Accent1" xfId="1" xr:uid="{00000000-0005-0000-0000-00000C000000}"/>
    <cellStyle name="20% - Accent2" xfId="2" xr:uid="{00000000-0005-0000-0000-00000D000000}"/>
    <cellStyle name="20% - Accent3" xfId="3" xr:uid="{00000000-0005-0000-0000-00000E000000}"/>
    <cellStyle name="20% - Accent4" xfId="4" xr:uid="{00000000-0005-0000-0000-00000F000000}"/>
    <cellStyle name="20% - Accent5" xfId="5" xr:uid="{00000000-0005-0000-0000-000010000000}"/>
    <cellStyle name="20% - Accent6" xfId="6" xr:uid="{00000000-0005-0000-0000-000011000000}"/>
    <cellStyle name="20% - Акцент1 2" xfId="7" xr:uid="{00000000-0005-0000-0000-000012000000}"/>
    <cellStyle name="20% - Акцент2 2" xfId="8" xr:uid="{00000000-0005-0000-0000-000013000000}"/>
    <cellStyle name="20% - Акцент3 2" xfId="9" xr:uid="{00000000-0005-0000-0000-000014000000}"/>
    <cellStyle name="20% - Акцент4 2" xfId="10" xr:uid="{00000000-0005-0000-0000-000015000000}"/>
    <cellStyle name="20% - Акцент5 2" xfId="11" xr:uid="{00000000-0005-0000-0000-000016000000}"/>
    <cellStyle name="20% - Акцент6 2" xfId="12" xr:uid="{00000000-0005-0000-0000-000017000000}"/>
    <cellStyle name="40% - Accent1" xfId="13" xr:uid="{00000000-0005-0000-0000-000018000000}"/>
    <cellStyle name="40% - Accent2" xfId="14" xr:uid="{00000000-0005-0000-0000-000019000000}"/>
    <cellStyle name="40% - Accent3" xfId="15" xr:uid="{00000000-0005-0000-0000-00001A000000}"/>
    <cellStyle name="40% - Accent4" xfId="16" xr:uid="{00000000-0005-0000-0000-00001B000000}"/>
    <cellStyle name="40% - Accent5" xfId="17" xr:uid="{00000000-0005-0000-0000-00001C000000}"/>
    <cellStyle name="40% - Accent6" xfId="18" xr:uid="{00000000-0005-0000-0000-00001D000000}"/>
    <cellStyle name="40% - Акцент1 2" xfId="19" xr:uid="{00000000-0005-0000-0000-00001E000000}"/>
    <cellStyle name="40% - Акцент2 2" xfId="20" xr:uid="{00000000-0005-0000-0000-00001F000000}"/>
    <cellStyle name="40% - Акцент3 2" xfId="21" xr:uid="{00000000-0005-0000-0000-000020000000}"/>
    <cellStyle name="40% - Акцент4 2" xfId="22" xr:uid="{00000000-0005-0000-0000-000021000000}"/>
    <cellStyle name="40% - Акцент5 2" xfId="23" xr:uid="{00000000-0005-0000-0000-000022000000}"/>
    <cellStyle name="40% - Акцент6 2" xfId="24" xr:uid="{00000000-0005-0000-0000-000023000000}"/>
    <cellStyle name="60% - Accent1" xfId="25" xr:uid="{00000000-0005-0000-0000-000024000000}"/>
    <cellStyle name="60% - Accent2" xfId="26" xr:uid="{00000000-0005-0000-0000-000025000000}"/>
    <cellStyle name="60% - Accent3" xfId="27" xr:uid="{00000000-0005-0000-0000-000026000000}"/>
    <cellStyle name="60% - Accent4" xfId="28" xr:uid="{00000000-0005-0000-0000-000027000000}"/>
    <cellStyle name="60% - Accent5" xfId="29" xr:uid="{00000000-0005-0000-0000-000028000000}"/>
    <cellStyle name="60% - Accent6" xfId="30" xr:uid="{00000000-0005-0000-0000-000029000000}"/>
    <cellStyle name="60% - Акцент1 2" xfId="31" xr:uid="{00000000-0005-0000-0000-00002A000000}"/>
    <cellStyle name="60% - Акцент2 2" xfId="32" xr:uid="{00000000-0005-0000-0000-00002B000000}"/>
    <cellStyle name="60% - Акцент3 2" xfId="33" xr:uid="{00000000-0005-0000-0000-00002C000000}"/>
    <cellStyle name="60% - Акцент4 2" xfId="34" xr:uid="{00000000-0005-0000-0000-00002D000000}"/>
    <cellStyle name="60% - Акцент5 2" xfId="35" xr:uid="{00000000-0005-0000-0000-00002E000000}"/>
    <cellStyle name="60% - Акцент6 2" xfId="36" xr:uid="{00000000-0005-0000-0000-00002F000000}"/>
    <cellStyle name="Accent1" xfId="37" xr:uid="{00000000-0005-0000-0000-000030000000}"/>
    <cellStyle name="Accent2" xfId="38" xr:uid="{00000000-0005-0000-0000-000031000000}"/>
    <cellStyle name="Accent3" xfId="39" xr:uid="{00000000-0005-0000-0000-000032000000}"/>
    <cellStyle name="Accent4" xfId="40" xr:uid="{00000000-0005-0000-0000-000033000000}"/>
    <cellStyle name="Accent5" xfId="41" xr:uid="{00000000-0005-0000-0000-000034000000}"/>
    <cellStyle name="Accent6" xfId="42" xr:uid="{00000000-0005-0000-0000-000035000000}"/>
    <cellStyle name="Bad" xfId="43" xr:uid="{00000000-0005-0000-0000-000036000000}"/>
    <cellStyle name="Calculation" xfId="44" xr:uid="{00000000-0005-0000-0000-000037000000}"/>
    <cellStyle name="Calculation 2" xfId="165" xr:uid="{00000000-0005-0000-0000-000038000000}"/>
    <cellStyle name="Calculation 2 2" xfId="178" xr:uid="{00000000-0005-0000-0000-000039000000}"/>
    <cellStyle name="Calculation 3" xfId="152" xr:uid="{00000000-0005-0000-0000-00003A000000}"/>
    <cellStyle name="Check Cell" xfId="45" xr:uid="{00000000-0005-0000-0000-00003B000000}"/>
    <cellStyle name="Explanatory Text" xfId="46" xr:uid="{00000000-0005-0000-0000-00003C000000}"/>
    <cellStyle name="Good" xfId="47" xr:uid="{00000000-0005-0000-0000-00003D000000}"/>
    <cellStyle name="Heading 1" xfId="48" xr:uid="{00000000-0005-0000-0000-00003E000000}"/>
    <cellStyle name="Heading 2" xfId="49" xr:uid="{00000000-0005-0000-0000-00003F000000}"/>
    <cellStyle name="Heading 3" xfId="50" xr:uid="{00000000-0005-0000-0000-000040000000}"/>
    <cellStyle name="Heading 4" xfId="51" xr:uid="{00000000-0005-0000-0000-000041000000}"/>
    <cellStyle name="Hyperlink1" xfId="109" xr:uid="{00000000-0005-0000-0000-000042000000}"/>
    <cellStyle name="Hyperlink2" xfId="110" xr:uid="{00000000-0005-0000-0000-000043000000}"/>
    <cellStyle name="Hyperlink3" xfId="111" xr:uid="{00000000-0005-0000-0000-000044000000}"/>
    <cellStyle name="Input" xfId="52" xr:uid="{00000000-0005-0000-0000-000045000000}"/>
    <cellStyle name="Input 2" xfId="166" xr:uid="{00000000-0005-0000-0000-000046000000}"/>
    <cellStyle name="Input 2 2" xfId="179" xr:uid="{00000000-0005-0000-0000-000047000000}"/>
    <cellStyle name="Input 3" xfId="153" xr:uid="{00000000-0005-0000-0000-000048000000}"/>
    <cellStyle name="Linked Cell" xfId="53" xr:uid="{00000000-0005-0000-0000-000049000000}"/>
    <cellStyle name="Millares [0]_CARAT SAPIC" xfId="112" xr:uid="{00000000-0005-0000-0000-00004A000000}"/>
    <cellStyle name="Millares_CARAT SAPIC" xfId="113" xr:uid="{00000000-0005-0000-0000-00004B000000}"/>
    <cellStyle name="Moneda [0]_CARAT SAPIC" xfId="114" xr:uid="{00000000-0005-0000-0000-00004C000000}"/>
    <cellStyle name="Moneda_CARAT SAPIC" xfId="115" xr:uid="{00000000-0005-0000-0000-00004D000000}"/>
    <cellStyle name="Neutral" xfId="54" xr:uid="{00000000-0005-0000-0000-00004E000000}"/>
    <cellStyle name="Norma11l" xfId="116" xr:uid="{00000000-0005-0000-0000-00004F000000}"/>
    <cellStyle name="Normal 2" xfId="117" xr:uid="{00000000-0005-0000-0000-000050000000}"/>
    <cellStyle name="Normal 2 2" xfId="118" xr:uid="{00000000-0005-0000-0000-000051000000}"/>
    <cellStyle name="Normal 2_БВП" xfId="119" xr:uid="{00000000-0005-0000-0000-000052000000}"/>
    <cellStyle name="Normal 3" xfId="120" xr:uid="{00000000-0005-0000-0000-000053000000}"/>
    <cellStyle name="Normal_Bankruptcy indicators" xfId="121" xr:uid="{00000000-0005-0000-0000-000054000000}"/>
    <cellStyle name="Note" xfId="55" xr:uid="{00000000-0005-0000-0000-000055000000}"/>
    <cellStyle name="Note 2" xfId="167" xr:uid="{00000000-0005-0000-0000-000056000000}"/>
    <cellStyle name="Note 2 2" xfId="180" xr:uid="{00000000-0005-0000-0000-000057000000}"/>
    <cellStyle name="Note 3" xfId="154" xr:uid="{00000000-0005-0000-0000-000058000000}"/>
    <cellStyle name="Output" xfId="56" xr:uid="{00000000-0005-0000-0000-000059000000}"/>
    <cellStyle name="Output 2" xfId="168" xr:uid="{00000000-0005-0000-0000-00005A000000}"/>
    <cellStyle name="Output 2 2" xfId="181" xr:uid="{00000000-0005-0000-0000-00005B000000}"/>
    <cellStyle name="Output 3" xfId="155" xr:uid="{00000000-0005-0000-0000-00005C000000}"/>
    <cellStyle name="Porcentual_PROVBRID (2)" xfId="122" xr:uid="{00000000-0005-0000-0000-00005D000000}"/>
    <cellStyle name="Style 1" xfId="123" xr:uid="{00000000-0005-0000-0000-00005E000000}"/>
    <cellStyle name="Title" xfId="57" xr:uid="{00000000-0005-0000-0000-00005F000000}"/>
    <cellStyle name="Total" xfId="58" xr:uid="{00000000-0005-0000-0000-000060000000}"/>
    <cellStyle name="Total 2" xfId="169" xr:uid="{00000000-0005-0000-0000-000061000000}"/>
    <cellStyle name="Total 2 2" xfId="182" xr:uid="{00000000-0005-0000-0000-000062000000}"/>
    <cellStyle name="Total 3" xfId="156" xr:uid="{00000000-0005-0000-0000-000063000000}"/>
    <cellStyle name="Warning Text" xfId="59" xr:uid="{00000000-0005-0000-0000-000064000000}"/>
    <cellStyle name="Акцент1 2" xfId="60" xr:uid="{00000000-0005-0000-0000-000065000000}"/>
    <cellStyle name="Акцент2 2" xfId="61" xr:uid="{00000000-0005-0000-0000-000066000000}"/>
    <cellStyle name="Акцент3 2" xfId="62" xr:uid="{00000000-0005-0000-0000-000067000000}"/>
    <cellStyle name="Акцент4 2" xfId="63" xr:uid="{00000000-0005-0000-0000-000068000000}"/>
    <cellStyle name="Акцент5 2" xfId="64" xr:uid="{00000000-0005-0000-0000-000069000000}"/>
    <cellStyle name="Акцент6 2" xfId="65" xr:uid="{00000000-0005-0000-0000-00006A000000}"/>
    <cellStyle name="Ввод  2" xfId="66" xr:uid="{00000000-0005-0000-0000-00006B000000}"/>
    <cellStyle name="Ввод  2 2" xfId="170" xr:uid="{00000000-0005-0000-0000-00006C000000}"/>
    <cellStyle name="Ввод  2 2 2" xfId="183" xr:uid="{00000000-0005-0000-0000-00006D000000}"/>
    <cellStyle name="Ввод  2 3" xfId="157" xr:uid="{00000000-0005-0000-0000-00006E000000}"/>
    <cellStyle name="Вывод 2" xfId="67" xr:uid="{00000000-0005-0000-0000-00006F000000}"/>
    <cellStyle name="Вывод 2 2" xfId="171" xr:uid="{00000000-0005-0000-0000-000070000000}"/>
    <cellStyle name="Вывод 2 2 2" xfId="184" xr:uid="{00000000-0005-0000-0000-000071000000}"/>
    <cellStyle name="Вывод 2 3" xfId="158" xr:uid="{00000000-0005-0000-0000-000072000000}"/>
    <cellStyle name="Вычисление 2" xfId="68" xr:uid="{00000000-0005-0000-0000-000073000000}"/>
    <cellStyle name="Вычисление 2 2" xfId="172" xr:uid="{00000000-0005-0000-0000-000074000000}"/>
    <cellStyle name="Вычисление 2 2 2" xfId="185" xr:uid="{00000000-0005-0000-0000-000075000000}"/>
    <cellStyle name="Вычисление 2 3" xfId="159" xr:uid="{00000000-0005-0000-0000-000076000000}"/>
    <cellStyle name="Гиперссылка 4" xfId="124" xr:uid="{00000000-0005-0000-0000-000077000000}"/>
    <cellStyle name="Денежный 2" xfId="125" xr:uid="{00000000-0005-0000-0000-000078000000}"/>
    <cellStyle name="Денежный 2 2" xfId="126" xr:uid="{00000000-0005-0000-0000-000079000000}"/>
    <cellStyle name="Денежный 3" xfId="127" xr:uid="{00000000-0005-0000-0000-00007A000000}"/>
    <cellStyle name="Заголовок 1 2" xfId="69" xr:uid="{00000000-0005-0000-0000-00007B000000}"/>
    <cellStyle name="Заголовок 2 2" xfId="70" xr:uid="{00000000-0005-0000-0000-00007C000000}"/>
    <cellStyle name="Заголовок 3 2" xfId="71" xr:uid="{00000000-0005-0000-0000-00007D000000}"/>
    <cellStyle name="Заголовок 4 2" xfId="72" xr:uid="{00000000-0005-0000-0000-00007E000000}"/>
    <cellStyle name="Итог 2" xfId="73" xr:uid="{00000000-0005-0000-0000-00007F000000}"/>
    <cellStyle name="Итог 2 2" xfId="173" xr:uid="{00000000-0005-0000-0000-000080000000}"/>
    <cellStyle name="Итог 2 2 2" xfId="186" xr:uid="{00000000-0005-0000-0000-000081000000}"/>
    <cellStyle name="Итог 2 3" xfId="160" xr:uid="{00000000-0005-0000-0000-000082000000}"/>
    <cellStyle name="Контрольная ячейка 2" xfId="74" xr:uid="{00000000-0005-0000-0000-000083000000}"/>
    <cellStyle name="Название 2" xfId="75" xr:uid="{00000000-0005-0000-0000-000084000000}"/>
    <cellStyle name="Нейтральный 2" xfId="76" xr:uid="{00000000-0005-0000-0000-000085000000}"/>
    <cellStyle name="Обычный" xfId="0" builtinId="0"/>
    <cellStyle name="Обычный 10 2" xfId="151" xr:uid="{00000000-0005-0000-0000-000087000000}"/>
    <cellStyle name="Обычный 12" xfId="150" xr:uid="{00000000-0005-0000-0000-000088000000}"/>
    <cellStyle name="Обычный 16" xfId="128" xr:uid="{00000000-0005-0000-0000-000089000000}"/>
    <cellStyle name="Обычный 2" xfId="77" xr:uid="{00000000-0005-0000-0000-00008A000000}"/>
    <cellStyle name="Обычный 2 2" xfId="78" xr:uid="{00000000-0005-0000-0000-00008B000000}"/>
    <cellStyle name="Обычный 2 2 2" xfId="129" xr:uid="{00000000-0005-0000-0000-00008C000000}"/>
    <cellStyle name="Обычный 2 2_Светлозерское 2012" xfId="130" xr:uid="{00000000-0005-0000-0000-00008D000000}"/>
    <cellStyle name="Обычный 2 3" xfId="131" xr:uid="{00000000-0005-0000-0000-00008E000000}"/>
    <cellStyle name="Обычный 2 3 2" xfId="132" xr:uid="{00000000-0005-0000-0000-00008F000000}"/>
    <cellStyle name="Обычный 2_Индексы к протокол 59,61 Вин район" xfId="133" xr:uid="{00000000-0005-0000-0000-000090000000}"/>
    <cellStyle name="Обычный 2_ИП Суслонов В А  - расчетные таблицы к тарифу на 2012 год" xfId="79" xr:uid="{00000000-0005-0000-0000-000091000000}"/>
    <cellStyle name="Обычный 3" xfId="80" xr:uid="{00000000-0005-0000-0000-000092000000}"/>
    <cellStyle name="Обычный 3 2" xfId="134" xr:uid="{00000000-0005-0000-0000-000093000000}"/>
    <cellStyle name="Обычный 3_Индексы к протокол 59,61 Вин район" xfId="135" xr:uid="{00000000-0005-0000-0000-000094000000}"/>
    <cellStyle name="Обычный 4" xfId="96" xr:uid="{00000000-0005-0000-0000-000095000000}"/>
    <cellStyle name="Обычный 5" xfId="136" xr:uid="{00000000-0005-0000-0000-000096000000}"/>
    <cellStyle name="Обычный 6" xfId="137" xr:uid="{00000000-0005-0000-0000-000097000000}"/>
    <cellStyle name="Обычный 7" xfId="138" xr:uid="{00000000-0005-0000-0000-000098000000}"/>
    <cellStyle name="Обычный 8" xfId="147" xr:uid="{00000000-0005-0000-0000-000099000000}"/>
    <cellStyle name="Обычный 8 2" xfId="175" xr:uid="{00000000-0005-0000-0000-00009A000000}"/>
    <cellStyle name="Обычный 8 3" xfId="162" xr:uid="{00000000-0005-0000-0000-00009B000000}"/>
    <cellStyle name="Обычный 9" xfId="149" xr:uid="{00000000-0005-0000-0000-00009C000000}"/>
    <cellStyle name="Обычный 9 2" xfId="177" xr:uid="{00000000-0005-0000-0000-00009D000000}"/>
    <cellStyle name="Обычный 9 3" xfId="164" xr:uid="{00000000-0005-0000-0000-00009E000000}"/>
    <cellStyle name="Обычный_Платежка Котлас 2013-2014" xfId="81" xr:uid="{00000000-0005-0000-0000-00009F000000}"/>
    <cellStyle name="Плохой 2" xfId="82" xr:uid="{00000000-0005-0000-0000-0000A0000000}"/>
    <cellStyle name="Пояснение 2" xfId="83" xr:uid="{00000000-0005-0000-0000-0000A1000000}"/>
    <cellStyle name="Примечание 2" xfId="84" xr:uid="{00000000-0005-0000-0000-0000A2000000}"/>
    <cellStyle name="Примечание 2 2" xfId="174" xr:uid="{00000000-0005-0000-0000-0000A3000000}"/>
    <cellStyle name="Примечание 2 2 2" xfId="187" xr:uid="{00000000-0005-0000-0000-0000A4000000}"/>
    <cellStyle name="Примечание 2 3" xfId="161" xr:uid="{00000000-0005-0000-0000-0000A5000000}"/>
    <cellStyle name="Процентный" xfId="85" builtinId="5"/>
    <cellStyle name="Процентный 2" xfId="86" xr:uid="{00000000-0005-0000-0000-0000A7000000}"/>
    <cellStyle name="Процентный 2 2" xfId="139" xr:uid="{00000000-0005-0000-0000-0000A8000000}"/>
    <cellStyle name="Процентный 2 3" xfId="140" xr:uid="{00000000-0005-0000-0000-0000A9000000}"/>
    <cellStyle name="Процентный 3" xfId="141" xr:uid="{00000000-0005-0000-0000-0000AA000000}"/>
    <cellStyle name="Процентный 3 2" xfId="142" xr:uid="{00000000-0005-0000-0000-0000AB000000}"/>
    <cellStyle name="Процентный 4" xfId="143" xr:uid="{00000000-0005-0000-0000-0000AC000000}"/>
    <cellStyle name="Процентный 5" xfId="144" xr:uid="{00000000-0005-0000-0000-0000AD000000}"/>
    <cellStyle name="Процентный 6" xfId="148" xr:uid="{00000000-0005-0000-0000-0000AE000000}"/>
    <cellStyle name="Процентный 6 2" xfId="176" xr:uid="{00000000-0005-0000-0000-0000AF000000}"/>
    <cellStyle name="Процентный 6 3" xfId="163" xr:uid="{00000000-0005-0000-0000-0000B0000000}"/>
    <cellStyle name="Связанная ячейка 2" xfId="87" xr:uid="{00000000-0005-0000-0000-0000B1000000}"/>
    <cellStyle name="Текст предупреждения 2" xfId="88" xr:uid="{00000000-0005-0000-0000-0000B2000000}"/>
    <cellStyle name="Тысячи [0]_Chart1 (Sales &amp; Costs)" xfId="145" xr:uid="{00000000-0005-0000-0000-0000B3000000}"/>
    <cellStyle name="Тысячи_Chart1 (Sales &amp; Costs)" xfId="146" xr:uid="{00000000-0005-0000-0000-0000B4000000}"/>
    <cellStyle name="Финансовый" xfId="89" builtinId="3"/>
    <cellStyle name="Финансовый 2" xfId="90" xr:uid="{00000000-0005-0000-0000-0000B6000000}"/>
    <cellStyle name="Финансовый 2 2" xfId="91" xr:uid="{00000000-0005-0000-0000-0000B7000000}"/>
    <cellStyle name="Финансовый 2_Тариф для  ООО Управдом-сервис Борки 2014 на коллегию2" xfId="92" xr:uid="{00000000-0005-0000-0000-0000B8000000}"/>
    <cellStyle name="Финансовый 3" xfId="93" xr:uid="{00000000-0005-0000-0000-0000B9000000}"/>
    <cellStyle name="Финансовый 4" xfId="94" xr:uid="{00000000-0005-0000-0000-0000BA000000}"/>
    <cellStyle name="Хороший 2" xfId="95" xr:uid="{00000000-0005-0000-0000-0000BB000000}"/>
  </cellStyles>
  <dxfs count="0"/>
  <tableStyles count="0" defaultTableStyle="TableStyleMedium9" defaultPivotStyle="PivotStyleLight16"/>
  <colors>
    <mruColors>
      <color rgb="FFFFCCFF"/>
      <color rgb="FFCCFFCC"/>
      <color rgb="FFFF66FF"/>
      <color rgb="FFFBFBC5"/>
      <color rgb="FFFFE0C1"/>
      <color rgb="FFFFCC66"/>
      <color rgb="FFCC00FF"/>
      <color rgb="FFCC99FF"/>
      <color rgb="FF66FF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7.xml"/><Relationship Id="rId133" Type="http://schemas.openxmlformats.org/officeDocument/2006/relationships/externalLink" Target="externalLinks/externalLink38.xml"/><Relationship Id="rId138" Type="http://schemas.openxmlformats.org/officeDocument/2006/relationships/externalLink" Target="externalLinks/externalLink43.xml"/><Relationship Id="rId154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7.xml"/><Relationship Id="rId123" Type="http://schemas.openxmlformats.org/officeDocument/2006/relationships/externalLink" Target="externalLinks/externalLink28.xml"/><Relationship Id="rId128" Type="http://schemas.openxmlformats.org/officeDocument/2006/relationships/externalLink" Target="externalLinks/externalLink33.xml"/><Relationship Id="rId144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54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8.xml"/><Relationship Id="rId118" Type="http://schemas.openxmlformats.org/officeDocument/2006/relationships/externalLink" Target="externalLinks/externalLink23.xml"/><Relationship Id="rId134" Type="http://schemas.openxmlformats.org/officeDocument/2006/relationships/externalLink" Target="externalLinks/externalLink39.xml"/><Relationship Id="rId139" Type="http://schemas.openxmlformats.org/officeDocument/2006/relationships/externalLink" Target="externalLinks/externalLink4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55.xml"/><Relationship Id="rId155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8.xml"/><Relationship Id="rId108" Type="http://schemas.openxmlformats.org/officeDocument/2006/relationships/externalLink" Target="externalLinks/externalLink13.xml"/><Relationship Id="rId116" Type="http://schemas.openxmlformats.org/officeDocument/2006/relationships/externalLink" Target="externalLinks/externalLink21.xml"/><Relationship Id="rId124" Type="http://schemas.openxmlformats.org/officeDocument/2006/relationships/externalLink" Target="externalLinks/externalLink29.xml"/><Relationship Id="rId129" Type="http://schemas.openxmlformats.org/officeDocument/2006/relationships/externalLink" Target="externalLinks/externalLink34.xml"/><Relationship Id="rId137" Type="http://schemas.openxmlformats.org/officeDocument/2006/relationships/externalLink" Target="externalLinks/externalLink4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11" Type="http://schemas.openxmlformats.org/officeDocument/2006/relationships/externalLink" Target="externalLinks/externalLink16.xml"/><Relationship Id="rId132" Type="http://schemas.openxmlformats.org/officeDocument/2006/relationships/externalLink" Target="externalLinks/externalLink37.xml"/><Relationship Id="rId140" Type="http://schemas.openxmlformats.org/officeDocument/2006/relationships/externalLink" Target="externalLinks/externalLink45.xml"/><Relationship Id="rId145" Type="http://schemas.openxmlformats.org/officeDocument/2006/relationships/externalLink" Target="externalLinks/externalLink50.xml"/><Relationship Id="rId15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1.xml"/><Relationship Id="rId114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24.xml"/><Relationship Id="rId127" Type="http://schemas.openxmlformats.org/officeDocument/2006/relationships/externalLink" Target="externalLinks/externalLink3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4.xml"/><Relationship Id="rId101" Type="http://schemas.openxmlformats.org/officeDocument/2006/relationships/externalLink" Target="externalLinks/externalLink6.xml"/><Relationship Id="rId122" Type="http://schemas.openxmlformats.org/officeDocument/2006/relationships/externalLink" Target="externalLinks/externalLink27.xml"/><Relationship Id="rId130" Type="http://schemas.openxmlformats.org/officeDocument/2006/relationships/externalLink" Target="externalLinks/externalLink35.xml"/><Relationship Id="rId135" Type="http://schemas.openxmlformats.org/officeDocument/2006/relationships/externalLink" Target="externalLinks/externalLink40.xml"/><Relationship Id="rId143" Type="http://schemas.openxmlformats.org/officeDocument/2006/relationships/externalLink" Target="externalLinks/externalLink48.xml"/><Relationship Id="rId148" Type="http://schemas.openxmlformats.org/officeDocument/2006/relationships/externalLink" Target="externalLinks/externalLink53.xml"/><Relationship Id="rId151" Type="http://schemas.openxmlformats.org/officeDocument/2006/relationships/externalLink" Target="externalLinks/externalLink56.xml"/><Relationship Id="rId15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externalLink" Target="externalLinks/externalLink9.xml"/><Relationship Id="rId120" Type="http://schemas.openxmlformats.org/officeDocument/2006/relationships/externalLink" Target="externalLinks/externalLink25.xml"/><Relationship Id="rId125" Type="http://schemas.openxmlformats.org/officeDocument/2006/relationships/externalLink" Target="externalLinks/externalLink30.xml"/><Relationship Id="rId141" Type="http://schemas.openxmlformats.org/officeDocument/2006/relationships/externalLink" Target="externalLinks/externalLink46.xml"/><Relationship Id="rId146" Type="http://schemas.openxmlformats.org/officeDocument/2006/relationships/externalLink" Target="externalLinks/externalLink5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5.xml"/><Relationship Id="rId115" Type="http://schemas.openxmlformats.org/officeDocument/2006/relationships/externalLink" Target="externalLinks/externalLink20.xml"/><Relationship Id="rId131" Type="http://schemas.openxmlformats.org/officeDocument/2006/relationships/externalLink" Target="externalLinks/externalLink36.xml"/><Relationship Id="rId136" Type="http://schemas.openxmlformats.org/officeDocument/2006/relationships/externalLink" Target="externalLinks/externalLink4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5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5.xml"/><Relationship Id="rId105" Type="http://schemas.openxmlformats.org/officeDocument/2006/relationships/externalLink" Target="externalLinks/externalLink10.xml"/><Relationship Id="rId126" Type="http://schemas.openxmlformats.org/officeDocument/2006/relationships/externalLink" Target="externalLinks/externalLink31.xml"/><Relationship Id="rId147" Type="http://schemas.openxmlformats.org/officeDocument/2006/relationships/externalLink" Target="externalLinks/externalLink5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3.xml"/><Relationship Id="rId121" Type="http://schemas.openxmlformats.org/officeDocument/2006/relationships/externalLink" Target="externalLinks/externalLink26.xml"/><Relationship Id="rId142" Type="http://schemas.openxmlformats.org/officeDocument/2006/relationships/externalLink" Target="externalLinks/externalLink47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EkonomO\Desktop\&#1069;&#1082;&#1086;&#1085;&#1086;&#1084;&#1080;&#1089;&#1090;\&#1044;&#1086;&#1082;&#1091;&#1084;&#1077;&#1085;&#1090;&#1099;%202020%20&#1075;&#1086;&#1076;\&#1060;&#1061;&#1044;\&#1055;&#1051;&#1040;&#1053;.&#1060;&#1040;&#1050;&#1058;,%20&#1060;&#1061;&#1044;%202020%20&#1058;&#1056;&#1040;&#1053;&#1057;&#1055;&#1054;&#1056;&#1058;&#1048;&#1056;&#1054;&#1042;&#1050;&#1040;%20&#1042;&#1054;&#1044;&#1067;%20&#1048;%20&#1057;&#1058;&#1054;&#1050;&#1054;&#1042;%20&#1087;.%20&#1042;&#1067;&#1063;&#1045;&#1043;&#1054;&#1044;&#1057;&#1050;&#1048;&#1049;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0;&#1054;&#1056;&#1056;&#1045;&#1050;&#1058;&#1048;&#1056;&#1054;&#1042;&#1050;&#1040;%20&#1058;&#1040;&#1056;&#1048;&#1060;&#1054;&#1042;%202021%20&#1043;&#1054;&#1044;\&#1055;&#1051;&#1040;&#1053;,%20&#1060;&#1040;&#1050;&#1058;,%20&#1060;&#1061;&#1044;%202019%20&#1089;%20&#1091;&#1095;&#1077;&#1090;&#1086;&#1084;%20&#1085;&#1072;&#1083;&#1086;&#1075;&#1072;%20&#1085;&#1072;%20&#1080;&#1084;&#1091;&#1097;&#1077;&#1089;&#1090;&#1074;&#1086;%20(1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Temp\XPgrpwise\OSK_budge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69;&#1082;&#1086;&#1085;&#1086;&#1084;&#1080;&#1089;&#1090;\&#1044;&#1086;&#1082;&#1091;&#1084;&#1077;&#1085;&#1090;&#1099;%202019%20&#1075;&#1086;&#1076;\&#1050;&#1086;&#1088;&#1088;&#1077;&#1082;&#1090;&#1080;&#1088;&#1086;&#1074;&#1082;&#1072;%20&#1090;&#1072;&#1088;&#1080;&#1092;&#1086;&#1074;%202020%20-%202024\&#1044;&#1054;&#1055;&#1054;&#1051;&#1053;&#1048;&#1058;&#1045;&#1051;&#1068;&#1053;&#1040;&#1071;%20&#1048;&#1053;&#1060;&#1054;&#1056;&#1052;&#1040;&#1062;&#1048;&#1071;%20&#1042;%20&#1040;&#1058;&#1062;%2003.10.2019\&#1050;&#1054;&#1056;&#1056;&#1045;&#1050;&#1058;&#1048;&#1056;&#1054;&#1042;&#1050;&#1040;%20&#1058;&#1040;&#1056;&#1048;&#1060;&#1067;%202020-2024%20(&#1089;%20&#1088;&#1077;&#1079;&#1077;&#1088;&#1074;&#1086;&#1084;%20&#1080;%20&#1082;&#1086;&#1083;.%20&#1076;&#1086;&#1075;&#1086;&#1074;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42;&#1040;&#1056;&#1048;&#1040;&#1053;&#1058;%20&#1040;&#1058;&#1062;%202020%20&#1082;&#1086;&#1088;&#1088;.%2013.12.20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5;&#1051;&#1040;&#1053;,%20&#1060;&#1040;&#1050;&#1058;,%20&#1060;&#1061;&#1044;%20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69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8;&#1040;&#1056;&#1048;&#1060;&#1067;%202019-2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Temp\XPgrpwise\OSK_budget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ф.1 п.5 МУ 1746э"/>
      <sheetName val="факт шаблон стоки"/>
      <sheetName val="факт шаблон вода"/>
      <sheetName val="А"/>
      <sheetName val="водный налог вып"/>
      <sheetName val="ВП объемы"/>
      <sheetName val="Расчет товарной выручки 2020"/>
      <sheetName val="ФАКТ.СЕБЕСТ.ТРАНСП.СТОКОВ 2020"/>
      <sheetName val="ФАКТ.СЕБЕСТ.ТРАНСП.ВОДЫ 2020"/>
      <sheetName val="Расчет товарной выручки 2019"/>
      <sheetName val="ФАКТ.СЕБЕСТ.ТРАНСП.СТОКОВ 2019"/>
      <sheetName val="ФАКТ.СЕБЕСТ.ТРАНСП.ВОДЫ 2019"/>
      <sheetName val="V тр. воды"/>
      <sheetName val="Метод индексации тр. стоков"/>
      <sheetName val="Смета расходов тр. стоки"/>
      <sheetName val="Мет.Ср.Ан.Расчет по РЖДВода"/>
      <sheetName val="Мет.Ср.Ан.ПротяженностьВода"/>
      <sheetName val="Мет.Ср.Ан.ТарифВода"/>
      <sheetName val="Метод индексации тр. воды"/>
      <sheetName val="Смета расходов тр. вода ИНДЕКС"/>
      <sheetName val="Нормативная численность"/>
      <sheetName val="Расчет ЗП"/>
      <sheetName val="ГСМ"/>
      <sheetName val="тек. ремонт"/>
      <sheetName val="цеховые расходы"/>
      <sheetName val="аварийность"/>
      <sheetName val="ремонты1"/>
      <sheetName val="Показатели надежн."/>
      <sheetName val="объемы"/>
      <sheetName val="вода"/>
      <sheetName val="стоки"/>
      <sheetName val="ТРАНСПОРТИРОВКА ВОДЫ"/>
      <sheetName val="ТРАНСПОРТИРОВКА СТОКОВ"/>
      <sheetName val="ЗП среднемес"/>
      <sheetName val="ЗП"/>
      <sheetName val="Расход ГСМ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ремонты"/>
      <sheetName val="ОХР 2018"/>
      <sheetName val="ЗП с факт 3 кв. 2015"/>
      <sheetName val="ср. разряд"/>
      <sheetName val="транс"/>
      <sheetName val=" текРемвода 2016"/>
      <sheetName val="  текРемстоки 2016"/>
      <sheetName val="Кап Рем"/>
      <sheetName val="кап влож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хим. реагенты"/>
      <sheetName val="ээ 2015"/>
      <sheetName val="ремонт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1">
          <cell r="H21">
            <v>627.65868</v>
          </cell>
        </row>
      </sheetData>
      <sheetData sheetId="15" refreshError="1"/>
      <sheetData sheetId="16">
        <row r="10">
          <cell r="I10">
            <v>55.046215220298251</v>
          </cell>
        </row>
      </sheetData>
      <sheetData sheetId="17" refreshError="1"/>
      <sheetData sheetId="18" refreshError="1"/>
      <sheetData sheetId="19">
        <row r="16">
          <cell r="K16">
            <v>952.23880030919372</v>
          </cell>
        </row>
      </sheetData>
      <sheetData sheetId="20" refreshError="1"/>
      <sheetData sheetId="21">
        <row r="10">
          <cell r="K10">
            <v>3.2036901903567186E-2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Текущий ремонт"/>
      <sheetName val="Чистая прибыль с транспортир."/>
      <sheetName val="Прил. 1 План ФХД с транспортир.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Расчет товарной выручки"/>
      <sheetName val="ФАКТИЧЕСКАЯ СЕБЕСТ. СТОКИ 2019"/>
      <sheetName val="ПОЛНАЯ СЕБЕСТОИМОСТЬ СТОКИ 2019"/>
      <sheetName val="ФАКТИЧЕСКАЯ СЕБЕСТ ВОДА 2019"/>
      <sheetName val="ПОЛНАЯ СЕБЕСТОИМОСТЬ ВОДА 2019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9">
          <cell r="C9">
            <v>250.1947480409527</v>
          </cell>
          <cell r="D9">
            <v>1.4722222222222223</v>
          </cell>
          <cell r="F9">
            <v>266.29300000000001</v>
          </cell>
          <cell r="G9">
            <v>0.20250000000000001</v>
          </cell>
          <cell r="L9">
            <v>250.1947480409527</v>
          </cell>
          <cell r="M9">
            <v>1.4722222222222223</v>
          </cell>
          <cell r="O9">
            <v>256.13299999999998</v>
          </cell>
          <cell r="P9">
            <v>0.17299999999999999</v>
          </cell>
          <cell r="U9">
            <v>250.1947480409527</v>
          </cell>
          <cell r="V9">
            <v>1.4722222222222223</v>
          </cell>
          <cell r="X9">
            <v>248.363</v>
          </cell>
          <cell r="Y9">
            <v>3.68</v>
          </cell>
          <cell r="AP9">
            <v>250.1947480409527</v>
          </cell>
          <cell r="AQ9">
            <v>1.4722222222222223</v>
          </cell>
          <cell r="AS9">
            <v>259.78700000000003</v>
          </cell>
          <cell r="AT9">
            <v>0.3</v>
          </cell>
          <cell r="AY9">
            <v>250.1947480409527</v>
          </cell>
          <cell r="AZ9">
            <v>1.4722222222222223</v>
          </cell>
          <cell r="BB9">
            <v>253.66200000000003</v>
          </cell>
          <cell r="BC9">
            <v>0.51</v>
          </cell>
          <cell r="BH9">
            <v>250.1947480409527</v>
          </cell>
          <cell r="BI9">
            <v>1.4722222222222223</v>
          </cell>
          <cell r="BK9">
            <v>254.41299999999998</v>
          </cell>
          <cell r="BL9">
            <v>3.8660000000000001</v>
          </cell>
          <cell r="CO9">
            <v>250.1947480409527</v>
          </cell>
          <cell r="CP9">
            <v>1.4722222222222223</v>
          </cell>
          <cell r="CR9">
            <v>241.745</v>
          </cell>
          <cell r="CS9">
            <v>0.311</v>
          </cell>
          <cell r="CX9">
            <v>250.1947480409527</v>
          </cell>
          <cell r="CY9">
            <v>1.4722222222222223</v>
          </cell>
          <cell r="DA9">
            <v>275.25400000000002</v>
          </cell>
          <cell r="DB9">
            <v>0.379</v>
          </cell>
          <cell r="DG9">
            <v>250.1947480409527</v>
          </cell>
          <cell r="DH9">
            <v>1.4722222222222223</v>
          </cell>
          <cell r="DJ9">
            <v>253.471</v>
          </cell>
          <cell r="DK9">
            <v>3.9079999999999999</v>
          </cell>
          <cell r="EN9">
            <v>250.1947480409527</v>
          </cell>
          <cell r="EO9">
            <v>1.4722222222222223</v>
          </cell>
          <cell r="EQ9">
            <v>258.96600000000001</v>
          </cell>
          <cell r="ER9">
            <v>0.371</v>
          </cell>
          <cell r="EW9">
            <v>250.1947480409527</v>
          </cell>
          <cell r="EX9">
            <v>1.4722222222222223</v>
          </cell>
          <cell r="EZ9">
            <v>269.01900000000001</v>
          </cell>
          <cell r="FA9">
            <v>0.40899999999999997</v>
          </cell>
          <cell r="FF9">
            <v>250.1947480409527</v>
          </cell>
          <cell r="FG9">
            <v>1.4722222222222223</v>
          </cell>
          <cell r="FI9">
            <v>268.49200000000002</v>
          </cell>
          <cell r="FJ9">
            <v>0.72499999999999998</v>
          </cell>
        </row>
      </sheetData>
      <sheetData sheetId="10" refreshError="1"/>
      <sheetData sheetId="11">
        <row r="14">
          <cell r="C14">
            <v>305.05207694444442</v>
          </cell>
          <cell r="D14">
            <v>0.14749999999999999</v>
          </cell>
          <cell r="F14">
            <v>311.435</v>
          </cell>
          <cell r="G14">
            <v>0.12</v>
          </cell>
          <cell r="L14">
            <v>305.05207694444442</v>
          </cell>
          <cell r="M14">
            <v>0.14749999999999999</v>
          </cell>
          <cell r="O14">
            <v>296.91000000000003</v>
          </cell>
          <cell r="P14">
            <v>0.09</v>
          </cell>
          <cell r="U14">
            <v>305.05207694444442</v>
          </cell>
          <cell r="V14">
            <v>0.14749999999999999</v>
          </cell>
          <cell r="X14">
            <v>282.12900000000002</v>
          </cell>
          <cell r="Y14">
            <v>7.4999999999999997E-2</v>
          </cell>
          <cell r="AP14">
            <v>305.05207694444442</v>
          </cell>
          <cell r="AQ14">
            <v>0.14749999999999999</v>
          </cell>
          <cell r="AS14">
            <v>295.09999999999997</v>
          </cell>
          <cell r="AT14">
            <v>9.5000000000000001E-2</v>
          </cell>
          <cell r="AY14">
            <v>305.05207694444442</v>
          </cell>
          <cell r="AZ14">
            <v>0.14749999999999999</v>
          </cell>
          <cell r="BB14">
            <v>283.63499999999999</v>
          </cell>
          <cell r="BC14">
            <v>9.7000000000000003E-2</v>
          </cell>
          <cell r="BH14">
            <v>305.05207694444442</v>
          </cell>
          <cell r="BI14">
            <v>0.14749999999999999</v>
          </cell>
          <cell r="BK14">
            <v>281.72200000000004</v>
          </cell>
          <cell r="BL14">
            <v>8.1000000000000003E-2</v>
          </cell>
          <cell r="CO14">
            <v>305.05207694444442</v>
          </cell>
          <cell r="CP14">
            <v>0.14749999999999999</v>
          </cell>
          <cell r="CR14">
            <v>275.601</v>
          </cell>
          <cell r="CS14">
            <v>9.0999999999999998E-2</v>
          </cell>
          <cell r="CX14">
            <v>305.05207694444442</v>
          </cell>
          <cell r="CY14">
            <v>0.14749999999999999</v>
          </cell>
          <cell r="DA14">
            <v>310.86200000000002</v>
          </cell>
          <cell r="DB14">
            <v>0.09</v>
          </cell>
          <cell r="DG14">
            <v>305.05207694444442</v>
          </cell>
          <cell r="DH14">
            <v>0.14749999999999999</v>
          </cell>
          <cell r="DJ14">
            <v>301.03099999999995</v>
          </cell>
          <cell r="DK14">
            <v>0.09</v>
          </cell>
          <cell r="EN14">
            <v>305.05207694444442</v>
          </cell>
          <cell r="EO14">
            <v>0.14749999999999999</v>
          </cell>
          <cell r="EQ14">
            <v>302.60199999999998</v>
          </cell>
          <cell r="ER14">
            <v>7.5999999999999998E-2</v>
          </cell>
          <cell r="EW14">
            <v>305.05207694444442</v>
          </cell>
          <cell r="EX14">
            <v>0.14749999999999999</v>
          </cell>
          <cell r="EZ14">
            <v>293.13499999999999</v>
          </cell>
          <cell r="FA14">
            <v>0.157</v>
          </cell>
          <cell r="FF14">
            <v>305.05207694444442</v>
          </cell>
          <cell r="FG14">
            <v>0.14749999999999999</v>
          </cell>
          <cell r="FI14">
            <v>293.71100000000001</v>
          </cell>
          <cell r="FJ14">
            <v>6.7000000000000004E-2</v>
          </cell>
        </row>
      </sheetData>
      <sheetData sheetId="12">
        <row r="8">
          <cell r="F8">
            <v>568.21</v>
          </cell>
        </row>
      </sheetData>
      <sheetData sheetId="13">
        <row r="38">
          <cell r="AX38">
            <v>6253.3816796622659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 refreshError="1"/>
      <sheetData sheetId="1" refreshError="1">
        <row r="48">
          <cell r="R48">
            <v>2377.86</v>
          </cell>
          <cell r="Y48">
            <v>2311.15</v>
          </cell>
          <cell r="AA48">
            <v>2428.56</v>
          </cell>
        </row>
        <row r="58">
          <cell r="R58">
            <v>2289.52</v>
          </cell>
          <cell r="Y58">
            <v>2239.89</v>
          </cell>
          <cell r="AA58">
            <v>2448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F9">
            <v>130132.0308002161</v>
          </cell>
        </row>
        <row r="45">
          <cell r="F45">
            <v>25.95</v>
          </cell>
        </row>
        <row r="46">
          <cell r="F46">
            <v>27.796610169491526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8">
          <cell r="E38">
            <v>1252.0986612073889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Расчет товарной выручки 2018"/>
      <sheetName val="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хим реагенты"/>
      <sheetName val="ЗП"/>
      <sheetName val="ЗП среднемес"/>
      <sheetName val="рем программа"/>
      <sheetName val="ремонты"/>
      <sheetName val="ОХР "/>
      <sheetName val="Тепловая энергия (3 подъем)"/>
      <sheetName val="Транспортировка КЭМЗ"/>
      <sheetName val="ЗП с факт 3 кв. 2015"/>
      <sheetName val="ср. разряд"/>
      <sheetName val="Аренда земли"/>
      <sheetName val="3 подъем зпл"/>
      <sheetName val="Лист7"/>
      <sheetName val="транс"/>
      <sheetName val=" текРемвода 2016"/>
      <sheetName val="  текРемстоки 2016"/>
      <sheetName val="Кап Рем"/>
      <sheetName val="кап влож"/>
      <sheetName val="выпадающие расходы на 2020"/>
      <sheetName val="рез к 2018-2024 (кор) "/>
      <sheetName val="рез к 2017-2023"/>
      <sheetName val="Н 2019-2024"/>
      <sheetName val="вод.налог"/>
      <sheetName val="имущество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ВОС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Лист3"/>
      <sheetName val="Лист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0">
          <cell r="AV50">
            <v>2423.98</v>
          </cell>
          <cell r="BB50">
            <v>2460.5733333333333</v>
          </cell>
        </row>
        <row r="60">
          <cell r="AV60">
            <v>2384.92</v>
          </cell>
          <cell r="BB60">
            <v>2280</v>
          </cell>
        </row>
      </sheetData>
      <sheetData sheetId="15"/>
      <sheetData sheetId="16"/>
      <sheetData sheetId="17">
        <row r="46">
          <cell r="P46">
            <v>28.96406779661017</v>
          </cell>
          <cell r="X46">
            <v>30.296414915254239</v>
          </cell>
          <cell r="Z46">
            <v>30.993232458305084</v>
          </cell>
          <cell r="AA46">
            <v>32.232961756637287</v>
          </cell>
          <cell r="AB46">
            <v>33.52228022690278</v>
          </cell>
        </row>
        <row r="47">
          <cell r="P47">
            <v>30.296414915254239</v>
          </cell>
          <cell r="X47">
            <v>30.993232458305084</v>
          </cell>
          <cell r="Z47">
            <v>32.232961756637287</v>
          </cell>
          <cell r="AA47">
            <v>33.52228022690278</v>
          </cell>
          <cell r="AB47">
            <v>34.863171435978892</v>
          </cell>
        </row>
      </sheetData>
      <sheetData sheetId="18"/>
      <sheetData sheetId="19">
        <row r="45">
          <cell r="Q45">
            <v>23.467500000000001</v>
          </cell>
          <cell r="Z45">
            <v>24.87</v>
          </cell>
          <cell r="AB45">
            <v>25.44201</v>
          </cell>
          <cell r="AC45">
            <v>26.459690399999999</v>
          </cell>
          <cell r="AD45">
            <v>27.518078016</v>
          </cell>
        </row>
        <row r="46">
          <cell r="Q46">
            <v>24.87</v>
          </cell>
          <cell r="Z46">
            <v>25.44201</v>
          </cell>
          <cell r="AB46">
            <v>26.459690399999999</v>
          </cell>
          <cell r="AC46">
            <v>27.518078016</v>
          </cell>
          <cell r="AD46">
            <v>28.618801136640002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А 2018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N10">
            <v>135150.34286266143</v>
          </cell>
        </row>
      </sheetData>
      <sheetData sheetId="19"/>
      <sheetData sheetId="20">
        <row r="10">
          <cell r="N10">
            <v>94243.238690983708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>
        <row r="9">
          <cell r="B9">
            <v>277.74250000000001</v>
          </cell>
          <cell r="C9">
            <v>270.68799999999999</v>
          </cell>
          <cell r="E9">
            <v>276.1275</v>
          </cell>
          <cell r="F9">
            <v>264.64999999999998</v>
          </cell>
          <cell r="H9">
            <v>276.1275</v>
          </cell>
          <cell r="I9">
            <v>261.37</v>
          </cell>
          <cell r="P9">
            <v>274.51249999999993</v>
          </cell>
          <cell r="Q9">
            <v>274.02999999999997</v>
          </cell>
          <cell r="S9">
            <v>259.97749999999996</v>
          </cell>
          <cell r="T9">
            <v>261.78999999999996</v>
          </cell>
          <cell r="V9">
            <v>259.97749999999996</v>
          </cell>
          <cell r="W9">
            <v>281.02999999999997</v>
          </cell>
          <cell r="AI9">
            <v>259.97749999999996</v>
          </cell>
          <cell r="AJ9">
            <v>241.94</v>
          </cell>
          <cell r="AL9">
            <v>259.97749999999996</v>
          </cell>
          <cell r="AM9">
            <v>258.52</v>
          </cell>
          <cell r="AO9">
            <v>274.51249999999993</v>
          </cell>
          <cell r="AP9">
            <v>257.13</v>
          </cell>
          <cell r="BB9">
            <v>276.1275</v>
          </cell>
          <cell r="BC9">
            <v>260.77999999999997</v>
          </cell>
          <cell r="BG9">
            <v>276.1275</v>
          </cell>
          <cell r="BH9">
            <v>261.19</v>
          </cell>
          <cell r="BL9">
            <v>277.74250000000001</v>
          </cell>
          <cell r="BM9">
            <v>257.25</v>
          </cell>
        </row>
        <row r="11">
          <cell r="B11">
            <v>1.5774999999999999</v>
          </cell>
          <cell r="C11">
            <v>0.23799999999999999</v>
          </cell>
          <cell r="E11">
            <v>1.5774999999999999</v>
          </cell>
          <cell r="F11">
            <v>0.19</v>
          </cell>
          <cell r="H11">
            <v>1.5774999999999999</v>
          </cell>
          <cell r="I11">
            <v>3.68</v>
          </cell>
          <cell r="P11">
            <v>1.5774999999999999</v>
          </cell>
          <cell r="Q11">
            <v>0.26</v>
          </cell>
          <cell r="S11">
            <v>1.5774999999999999</v>
          </cell>
          <cell r="T11">
            <v>0.59</v>
          </cell>
          <cell r="V11">
            <v>1.5774999999999999</v>
          </cell>
          <cell r="W11">
            <v>3.75</v>
          </cell>
          <cell r="AI11">
            <v>1.5774999999999999</v>
          </cell>
          <cell r="AJ11">
            <v>0.34</v>
          </cell>
          <cell r="AL11">
            <v>1.5774999999999999</v>
          </cell>
          <cell r="AM11">
            <v>0.52</v>
          </cell>
          <cell r="AO11">
            <v>1.5774999999999999</v>
          </cell>
          <cell r="AP11">
            <v>3.68</v>
          </cell>
          <cell r="BB11">
            <v>1.5774999999999999</v>
          </cell>
          <cell r="BC11">
            <v>0.54</v>
          </cell>
          <cell r="BG11">
            <v>1.5774999999999999</v>
          </cell>
          <cell r="BH11">
            <v>0.56000000000000005</v>
          </cell>
          <cell r="BL11">
            <v>1.5774999999999999</v>
          </cell>
          <cell r="BM11">
            <v>3.9</v>
          </cell>
        </row>
      </sheetData>
      <sheetData sheetId="2" refreshError="1"/>
      <sheetData sheetId="3">
        <row r="14">
          <cell r="B14">
            <v>309.63141000000007</v>
          </cell>
          <cell r="C14">
            <v>319.33</v>
          </cell>
          <cell r="E14">
            <v>307.82070000000004</v>
          </cell>
          <cell r="F14">
            <v>315.57</v>
          </cell>
          <cell r="H14">
            <v>307.82070000000004</v>
          </cell>
          <cell r="I14">
            <v>297.38000000000005</v>
          </cell>
          <cell r="P14">
            <v>306.00999000000002</v>
          </cell>
          <cell r="Q14">
            <v>320.52</v>
          </cell>
          <cell r="S14">
            <v>289.71360000000004</v>
          </cell>
          <cell r="T14">
            <v>305.08999999999997</v>
          </cell>
          <cell r="V14">
            <v>289.71360000000004</v>
          </cell>
          <cell r="W14">
            <v>324.98</v>
          </cell>
          <cell r="AI14">
            <v>289.71360000000004</v>
          </cell>
          <cell r="AJ14">
            <v>284.14</v>
          </cell>
          <cell r="AL14">
            <v>289.71360000000004</v>
          </cell>
          <cell r="AM14">
            <v>295.8</v>
          </cell>
          <cell r="AO14">
            <v>306.00999000000002</v>
          </cell>
          <cell r="AP14">
            <v>305.25</v>
          </cell>
          <cell r="BB14">
            <v>307.82070000000004</v>
          </cell>
          <cell r="BE14">
            <v>301.51600000000002</v>
          </cell>
          <cell r="BK14">
            <v>307.82070000000004</v>
          </cell>
          <cell r="BN14">
            <v>296.37</v>
          </cell>
          <cell r="BT14">
            <v>309.63141000000007</v>
          </cell>
          <cell r="BW14">
            <v>293.91000000000003</v>
          </cell>
        </row>
        <row r="17">
          <cell r="B17">
            <v>1.7850000000000001</v>
          </cell>
          <cell r="C17">
            <v>0.14000000000000001</v>
          </cell>
          <cell r="E17">
            <v>1.7850000000000001</v>
          </cell>
          <cell r="F17">
            <v>0.18</v>
          </cell>
          <cell r="H17">
            <v>1.7850000000000001</v>
          </cell>
          <cell r="I17">
            <v>0.12</v>
          </cell>
          <cell r="P17">
            <v>1.7850000000000001</v>
          </cell>
          <cell r="Q17">
            <v>0.32</v>
          </cell>
          <cell r="S17">
            <v>1.7850000000000001</v>
          </cell>
          <cell r="T17">
            <v>0.1</v>
          </cell>
          <cell r="V17">
            <v>1.7850000000000001</v>
          </cell>
          <cell r="W17">
            <v>0.09</v>
          </cell>
          <cell r="AI17">
            <v>1.7850000000000001</v>
          </cell>
          <cell r="AJ17">
            <v>7.0000000000000007E-2</v>
          </cell>
          <cell r="AL17">
            <v>1.7850000000000001</v>
          </cell>
          <cell r="AM17">
            <v>7.0000000000000007E-2</v>
          </cell>
          <cell r="AO17">
            <v>1.7850000000000001</v>
          </cell>
          <cell r="AP17">
            <v>8.1000000000000003E-2</v>
          </cell>
          <cell r="BB17">
            <v>1.7850000000000001</v>
          </cell>
          <cell r="BE17">
            <v>0.08</v>
          </cell>
          <cell r="BK17">
            <v>1.7850000000000001</v>
          </cell>
          <cell r="BN17">
            <v>0.08</v>
          </cell>
          <cell r="BT17">
            <v>1.7850000000000001</v>
          </cell>
          <cell r="BW1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Показатели хол. ВС и ВО"/>
      <sheetName val="Показатели 2016"/>
      <sheetName val="ТН 2017"/>
      <sheetName val="ТН 2016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РЕМОНТ и ТО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- 2023"/>
      <sheetName val="Расчет налог. обяз. 2018-2023"/>
      <sheetName val="рез к 2017-2023"/>
      <sheetName val="НВОС"/>
      <sheetName val="вод.налог 2018-2023"/>
      <sheetName val="имушество 2018-2023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9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0">
          <cell r="AF50">
            <v>1223.6400000000001</v>
          </cell>
          <cell r="AH50">
            <v>2447.77</v>
          </cell>
          <cell r="AJ50">
            <v>2360</v>
          </cell>
          <cell r="AK50">
            <v>2360</v>
          </cell>
          <cell r="AM50">
            <v>2360</v>
          </cell>
          <cell r="AO50">
            <v>2360</v>
          </cell>
        </row>
        <row r="59">
          <cell r="AF59">
            <v>1203.46</v>
          </cell>
          <cell r="AH59">
            <v>2420.66</v>
          </cell>
          <cell r="AJ59">
            <v>2280</v>
          </cell>
          <cell r="AK59">
            <v>2280</v>
          </cell>
          <cell r="AM59">
            <v>2280</v>
          </cell>
          <cell r="AO59">
            <v>2280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871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1510</v>
      </c>
    </row>
    <row r="2" spans="1:24" ht="27" hidden="1" thickBot="1" x14ac:dyDescent="0.45">
      <c r="A2" s="4311" t="s">
        <v>859</v>
      </c>
      <c r="B2" s="4312"/>
      <c r="C2" s="4312"/>
      <c r="D2" s="4312"/>
      <c r="E2" s="4312"/>
      <c r="F2" s="4312"/>
      <c r="G2" s="4312"/>
      <c r="H2" s="4312"/>
      <c r="I2" s="4312"/>
      <c r="J2" s="4312"/>
      <c r="K2" s="4312"/>
      <c r="L2" s="4312"/>
      <c r="M2" s="4312"/>
      <c r="N2" s="4312"/>
      <c r="O2" s="4312"/>
      <c r="P2" s="4312"/>
      <c r="Q2" s="4312"/>
      <c r="R2" s="4312"/>
      <c r="S2" s="4312"/>
      <c r="T2" s="4312"/>
      <c r="U2" s="4312"/>
      <c r="V2" s="4312"/>
      <c r="W2" s="4312"/>
      <c r="X2" s="4313"/>
    </row>
    <row r="3" spans="1:24" ht="15" hidden="1" customHeight="1" thickBot="1" x14ac:dyDescent="0.25">
      <c r="A3" s="4283">
        <v>2015</v>
      </c>
      <c r="B3" s="4286" t="s">
        <v>387</v>
      </c>
      <c r="C3" s="4286"/>
      <c r="D3" s="4286"/>
      <c r="E3" s="4286"/>
      <c r="F3" s="4286"/>
      <c r="G3" s="4286"/>
      <c r="H3" s="4286"/>
      <c r="I3" s="4286"/>
      <c r="J3" s="4286"/>
      <c r="K3" s="4286"/>
      <c r="L3" s="4286"/>
      <c r="M3" s="4286"/>
      <c r="N3" s="4286"/>
      <c r="O3" s="4286"/>
      <c r="P3" s="4287"/>
      <c r="Q3" s="4288" t="s">
        <v>391</v>
      </c>
      <c r="R3" s="4289"/>
      <c r="S3" s="4289"/>
      <c r="T3" s="4290"/>
      <c r="U3" s="4288" t="s">
        <v>392</v>
      </c>
      <c r="V3" s="4289"/>
      <c r="W3" s="4289"/>
      <c r="X3" s="4290"/>
    </row>
    <row r="4" spans="1:24" ht="15" hidden="1" customHeight="1" thickBot="1" x14ac:dyDescent="0.25">
      <c r="A4" s="4284"/>
      <c r="B4" s="4294" t="s">
        <v>388</v>
      </c>
      <c r="C4" s="4295"/>
      <c r="D4" s="4295"/>
      <c r="E4" s="4295"/>
      <c r="F4" s="4296"/>
      <c r="G4" s="4297" t="s">
        <v>389</v>
      </c>
      <c r="H4" s="4298"/>
      <c r="I4" s="4298"/>
      <c r="J4" s="4298"/>
      <c r="K4" s="4299"/>
      <c r="L4" s="4297" t="s">
        <v>364</v>
      </c>
      <c r="M4" s="4298"/>
      <c r="N4" s="4298"/>
      <c r="O4" s="4298"/>
      <c r="P4" s="4300"/>
      <c r="Q4" s="4291"/>
      <c r="R4" s="4292"/>
      <c r="S4" s="4292"/>
      <c r="T4" s="4293"/>
      <c r="U4" s="4291"/>
      <c r="V4" s="4292"/>
      <c r="W4" s="4292"/>
      <c r="X4" s="4293"/>
    </row>
    <row r="5" spans="1:24" ht="15" hidden="1" customHeight="1" x14ac:dyDescent="0.2">
      <c r="A5" s="4284"/>
      <c r="B5" s="4301" t="s">
        <v>290</v>
      </c>
      <c r="C5" s="4304" t="s">
        <v>50</v>
      </c>
      <c r="D5" s="4304"/>
      <c r="E5" s="4304"/>
      <c r="F5" s="4305"/>
      <c r="G5" s="4306" t="s">
        <v>290</v>
      </c>
      <c r="H5" s="4307" t="s">
        <v>50</v>
      </c>
      <c r="I5" s="4307"/>
      <c r="J5" s="4307"/>
      <c r="K5" s="4308"/>
      <c r="L5" s="4306" t="s">
        <v>290</v>
      </c>
      <c r="M5" s="4307" t="s">
        <v>50</v>
      </c>
      <c r="N5" s="4307"/>
      <c r="O5" s="4307"/>
      <c r="P5" s="4308"/>
      <c r="Q5" s="4306" t="s">
        <v>290</v>
      </c>
      <c r="R5" s="4309" t="s">
        <v>50</v>
      </c>
      <c r="S5" s="4309"/>
      <c r="T5" s="4310"/>
      <c r="U5" s="4306" t="s">
        <v>290</v>
      </c>
      <c r="V5" s="4309" t="s">
        <v>50</v>
      </c>
      <c r="W5" s="4309"/>
      <c r="X5" s="4310"/>
    </row>
    <row r="6" spans="1:24" ht="15" hidden="1" customHeight="1" x14ac:dyDescent="0.2">
      <c r="A6" s="4284"/>
      <c r="B6" s="4302"/>
      <c r="C6" s="4275" t="s">
        <v>368</v>
      </c>
      <c r="D6" s="4277" t="s">
        <v>230</v>
      </c>
      <c r="E6" s="4277"/>
      <c r="F6" s="4317" t="s">
        <v>856</v>
      </c>
      <c r="G6" s="4302"/>
      <c r="H6" s="4275" t="s">
        <v>368</v>
      </c>
      <c r="I6" s="4277" t="s">
        <v>230</v>
      </c>
      <c r="J6" s="4277"/>
      <c r="K6" s="4317" t="s">
        <v>856</v>
      </c>
      <c r="L6" s="4302"/>
      <c r="M6" s="4275" t="s">
        <v>368</v>
      </c>
      <c r="N6" s="4277" t="s">
        <v>230</v>
      </c>
      <c r="O6" s="4277"/>
      <c r="P6" s="4317" t="s">
        <v>856</v>
      </c>
      <c r="Q6" s="4302"/>
      <c r="R6" s="4275" t="s">
        <v>368</v>
      </c>
      <c r="S6" s="4275"/>
      <c r="T6" s="4319" t="s">
        <v>856</v>
      </c>
      <c r="U6" s="4302"/>
      <c r="V6" s="4275" t="s">
        <v>368</v>
      </c>
      <c r="W6" s="4275"/>
      <c r="X6" s="4319" t="s">
        <v>856</v>
      </c>
    </row>
    <row r="7" spans="1:24" ht="15" hidden="1" customHeight="1" thickBot="1" x14ac:dyDescent="0.25">
      <c r="A7" s="4285"/>
      <c r="B7" s="4303"/>
      <c r="C7" s="4276"/>
      <c r="D7" s="892" t="s">
        <v>255</v>
      </c>
      <c r="E7" s="892" t="s">
        <v>289</v>
      </c>
      <c r="F7" s="4318"/>
      <c r="G7" s="4303"/>
      <c r="H7" s="4276"/>
      <c r="I7" s="892" t="s">
        <v>255</v>
      </c>
      <c r="J7" s="892" t="s">
        <v>289</v>
      </c>
      <c r="K7" s="4318"/>
      <c r="L7" s="4303"/>
      <c r="M7" s="4276"/>
      <c r="N7" s="892" t="s">
        <v>255</v>
      </c>
      <c r="O7" s="892" t="s">
        <v>289</v>
      </c>
      <c r="P7" s="4318"/>
      <c r="Q7" s="4303"/>
      <c r="R7" s="897" t="s">
        <v>857</v>
      </c>
      <c r="S7" s="897" t="s">
        <v>255</v>
      </c>
      <c r="T7" s="4318"/>
      <c r="U7" s="4303"/>
      <c r="V7" s="897" t="s">
        <v>857</v>
      </c>
      <c r="W7" s="897" t="s">
        <v>255</v>
      </c>
      <c r="X7" s="4318"/>
    </row>
    <row r="8" spans="1:24" ht="30" hidden="1" customHeight="1" x14ac:dyDescent="0.2">
      <c r="A8" s="896" t="s">
        <v>381</v>
      </c>
      <c r="B8" s="893">
        <f>объемы!M49/2</f>
        <v>2003.135</v>
      </c>
      <c r="C8" s="894">
        <f>SUM(D8:E8)</f>
        <v>2003.135</v>
      </c>
      <c r="D8" s="894">
        <f>SUM(объемы!M50/2)</f>
        <v>1222.71</v>
      </c>
      <c r="E8" s="894">
        <f>SUM(объемы!M52+объемы!M57)/2</f>
        <v>780.42499999999995</v>
      </c>
      <c r="F8" s="895">
        <f>SUM(объемы!M51/2)</f>
        <v>0</v>
      </c>
      <c r="G8" s="893">
        <f>B8</f>
        <v>2003.135</v>
      </c>
      <c r="H8" s="894">
        <f>C8</f>
        <v>2003.135</v>
      </c>
      <c r="I8" s="894">
        <f>D8</f>
        <v>1222.71</v>
      </c>
      <c r="J8" s="894">
        <f>E8</f>
        <v>780.42499999999995</v>
      </c>
      <c r="K8" s="895">
        <f>F8</f>
        <v>0</v>
      </c>
      <c r="L8" s="893">
        <f>SUM(B8+G8)</f>
        <v>4006.27</v>
      </c>
      <c r="M8" s="894">
        <f>SUM(C8+H8)</f>
        <v>4006.27</v>
      </c>
      <c r="N8" s="894">
        <f>SUM(D8+I8)</f>
        <v>2445.42</v>
      </c>
      <c r="O8" s="894">
        <f>SUM(E8+J8)</f>
        <v>1560.85</v>
      </c>
      <c r="P8" s="895">
        <f>SUM(F8+K8)</f>
        <v>0</v>
      </c>
      <c r="Q8" s="893"/>
      <c r="R8" s="898"/>
      <c r="S8" s="898"/>
      <c r="T8" s="899"/>
      <c r="U8" s="900"/>
      <c r="V8" s="898"/>
      <c r="W8" s="898"/>
      <c r="X8" s="899"/>
    </row>
    <row r="9" spans="1:24" ht="30" hidden="1" customHeight="1" x14ac:dyDescent="0.2">
      <c r="A9" s="879" t="s">
        <v>382</v>
      </c>
      <c r="B9" s="885">
        <f>SUM(B10/B8)</f>
        <v>30</v>
      </c>
      <c r="C9" s="886">
        <f>SUM(C10/C8)</f>
        <v>30</v>
      </c>
      <c r="D9" s="886">
        <v>22.66</v>
      </c>
      <c r="E9" s="886">
        <v>30</v>
      </c>
      <c r="F9" s="887">
        <v>18.420000000000002</v>
      </c>
      <c r="G9" s="885" t="e">
        <f>SUM(G10/G8)</f>
        <v>#REF!</v>
      </c>
      <c r="H9" s="886" t="e">
        <f>H10/H8</f>
        <v>#REF!</v>
      </c>
      <c r="I9" s="886">
        <f>D9*1.145</f>
        <v>25.945700000000002</v>
      </c>
      <c r="J9" s="886" t="e">
        <f>SUM(H9)</f>
        <v>#REF!</v>
      </c>
      <c r="K9" s="887">
        <v>20.11</v>
      </c>
      <c r="L9" s="885" t="e">
        <f>SUM(L10/L8)</f>
        <v>#REF!</v>
      </c>
      <c r="M9" s="886" t="e">
        <f>SUM(M10/M8)</f>
        <v>#REF!</v>
      </c>
      <c r="N9" s="886">
        <f>SUM(N10/N8)</f>
        <v>24.302849999999999</v>
      </c>
      <c r="O9" s="886" t="e">
        <f>SUM(O10/O8)</f>
        <v>#REF!</v>
      </c>
      <c r="P9" s="887" t="e">
        <f>SUM(P10/P8)</f>
        <v>#DIV/0!</v>
      </c>
      <c r="Q9" s="888" t="e">
        <f>SUM(G9/B9)</f>
        <v>#REF!</v>
      </c>
      <c r="R9" s="874" t="e">
        <f>SUM(H9/C9)</f>
        <v>#REF!</v>
      </c>
      <c r="S9" s="874">
        <f>I9/D9</f>
        <v>1.145</v>
      </c>
      <c r="T9" s="881">
        <f>SUM(K9/F9)</f>
        <v>1.0917480998914222</v>
      </c>
      <c r="U9" s="883" t="e">
        <f>SUM(L9/вода!AA86)</f>
        <v>#REF!</v>
      </c>
      <c r="V9" s="875" t="e">
        <f>SUM(M9/вода!AC86)</f>
        <v>#REF!</v>
      </c>
      <c r="W9" s="875">
        <f>SUM(N9/20.9)</f>
        <v>1.1628157894736844</v>
      </c>
      <c r="X9" s="876" t="e">
        <f>SUM(P9/вода!AD86)</f>
        <v>#DIV/0!</v>
      </c>
    </row>
    <row r="10" spans="1:24" ht="30" hidden="1" customHeight="1" x14ac:dyDescent="0.2">
      <c r="A10" s="879" t="s">
        <v>383</v>
      </c>
      <c r="B10" s="885">
        <f>SUM(C10+F10)</f>
        <v>60094.05</v>
      </c>
      <c r="C10" s="886">
        <f>SUM(D10:E10)+D11</f>
        <v>60094.05</v>
      </c>
      <c r="D10" s="886">
        <f>D9*D8</f>
        <v>27706.6086</v>
      </c>
      <c r="E10" s="886">
        <f>E9*E8</f>
        <v>23412.75</v>
      </c>
      <c r="F10" s="887">
        <f>F9*F8</f>
        <v>0</v>
      </c>
      <c r="G10" s="885" t="e">
        <f>SUM(L10-B10)</f>
        <v>#REF!</v>
      </c>
      <c r="H10" s="886" t="e">
        <f>SUM(M10-C10)</f>
        <v>#REF!</v>
      </c>
      <c r="I10" s="886">
        <f>I9*I8</f>
        <v>31724.066847000002</v>
      </c>
      <c r="J10" s="886" t="e">
        <f>SUM(J8*J9)</f>
        <v>#REF!</v>
      </c>
      <c r="K10" s="887">
        <f>SUM(P10-F10)</f>
        <v>868.7319260372135</v>
      </c>
      <c r="L10" s="885" t="e">
        <f>SUM(вода!AL85)</f>
        <v>#REF!</v>
      </c>
      <c r="M10" s="886" t="e">
        <f>SUM(вода!AN85)</f>
        <v>#REF!</v>
      </c>
      <c r="N10" s="886">
        <f>SUM(D10+I10)</f>
        <v>59430.675447000001</v>
      </c>
      <c r="O10" s="886" t="e">
        <f>SUM(E10+J10)</f>
        <v>#REF!</v>
      </c>
      <c r="P10" s="887">
        <f>SUM(вода!AO85)</f>
        <v>868.7319260372135</v>
      </c>
      <c r="Q10" s="885"/>
      <c r="R10" s="872"/>
      <c r="S10" s="872"/>
      <c r="T10" s="873"/>
      <c r="U10" s="882"/>
      <c r="V10" s="872"/>
      <c r="W10" s="872"/>
      <c r="X10" s="873"/>
    </row>
    <row r="11" spans="1:24" ht="30" hidden="1" customHeight="1" thickBot="1" x14ac:dyDescent="0.25">
      <c r="A11" s="880" t="s">
        <v>385</v>
      </c>
      <c r="B11" s="889">
        <f>SUM(C11:F11)</f>
        <v>8974.6913999999997</v>
      </c>
      <c r="C11" s="890">
        <v>0</v>
      </c>
      <c r="D11" s="890">
        <f>SUM(E9-D9)*D8</f>
        <v>8974.6913999999997</v>
      </c>
      <c r="E11" s="890">
        <v>0</v>
      </c>
      <c r="F11" s="891">
        <v>0</v>
      </c>
      <c r="G11" s="889" t="e">
        <f>SUM(H11:K11)</f>
        <v>#REF!</v>
      </c>
      <c r="H11" s="890">
        <v>0</v>
      </c>
      <c r="I11" s="890" t="e">
        <f>SUM(H9-I9)*I8</f>
        <v>#REF!</v>
      </c>
      <c r="J11" s="890">
        <v>0</v>
      </c>
      <c r="K11" s="891">
        <v>0</v>
      </c>
      <c r="L11" s="889" t="e">
        <f>SUM(M11:P11)</f>
        <v>#REF!</v>
      </c>
      <c r="M11" s="890">
        <v>0</v>
      </c>
      <c r="N11" s="890" t="e">
        <f>SUM(B11+G11)</f>
        <v>#REF!</v>
      </c>
      <c r="O11" s="890">
        <v>0</v>
      </c>
      <c r="P11" s="891">
        <v>0</v>
      </c>
      <c r="Q11" s="889"/>
      <c r="R11" s="877"/>
      <c r="S11" s="877"/>
      <c r="T11" s="878"/>
      <c r="U11" s="884"/>
      <c r="V11" s="877"/>
      <c r="W11" s="877"/>
      <c r="X11" s="878"/>
    </row>
    <row r="12" spans="1:24" ht="15" hidden="1" customHeight="1" thickBot="1" x14ac:dyDescent="0.25">
      <c r="A12" s="4246"/>
      <c r="B12" s="4247"/>
      <c r="C12" s="4247"/>
      <c r="D12" s="4247"/>
      <c r="E12" s="4247"/>
      <c r="F12" s="4247"/>
      <c r="G12" s="4247"/>
      <c r="H12" s="4247"/>
      <c r="I12" s="4247"/>
      <c r="J12" s="4247"/>
      <c r="K12" s="4247"/>
      <c r="L12" s="4247"/>
      <c r="M12" s="4247"/>
      <c r="N12" s="4247"/>
      <c r="O12" s="4247"/>
      <c r="P12" s="4247"/>
      <c r="Q12" s="4247"/>
      <c r="R12" s="4247"/>
      <c r="S12" s="4247"/>
      <c r="T12" s="4247"/>
      <c r="U12" s="4247"/>
      <c r="V12" s="4247"/>
      <c r="W12" s="4247"/>
      <c r="X12" s="4248"/>
    </row>
    <row r="13" spans="1:24" ht="15" hidden="1" customHeight="1" thickBot="1" x14ac:dyDescent="0.25">
      <c r="A13" s="4283">
        <v>2015</v>
      </c>
      <c r="B13" s="4286" t="s">
        <v>384</v>
      </c>
      <c r="C13" s="4286"/>
      <c r="D13" s="4286"/>
      <c r="E13" s="4286"/>
      <c r="F13" s="4286"/>
      <c r="G13" s="4286"/>
      <c r="H13" s="4286"/>
      <c r="I13" s="4286"/>
      <c r="J13" s="4286"/>
      <c r="K13" s="4286"/>
      <c r="L13" s="4286"/>
      <c r="M13" s="4286"/>
      <c r="N13" s="4286"/>
      <c r="O13" s="4286"/>
      <c r="P13" s="4287"/>
      <c r="Q13" s="4288" t="s">
        <v>391</v>
      </c>
      <c r="R13" s="4289"/>
      <c r="S13" s="4289"/>
      <c r="T13" s="4290"/>
      <c r="U13" s="4288" t="s">
        <v>392</v>
      </c>
      <c r="V13" s="4289"/>
      <c r="W13" s="4289"/>
      <c r="X13" s="4290"/>
    </row>
    <row r="14" spans="1:24" ht="15" hidden="1" customHeight="1" thickBot="1" x14ac:dyDescent="0.25">
      <c r="A14" s="4284"/>
      <c r="B14" s="4294" t="s">
        <v>388</v>
      </c>
      <c r="C14" s="4295"/>
      <c r="D14" s="4295"/>
      <c r="E14" s="4295"/>
      <c r="F14" s="4296"/>
      <c r="G14" s="4297" t="s">
        <v>389</v>
      </c>
      <c r="H14" s="4298"/>
      <c r="I14" s="4298"/>
      <c r="J14" s="4298"/>
      <c r="K14" s="4299"/>
      <c r="L14" s="4297" t="s">
        <v>364</v>
      </c>
      <c r="M14" s="4298"/>
      <c r="N14" s="4298"/>
      <c r="O14" s="4298"/>
      <c r="P14" s="4300"/>
      <c r="Q14" s="4291"/>
      <c r="R14" s="4292"/>
      <c r="S14" s="4292"/>
      <c r="T14" s="4293"/>
      <c r="U14" s="4291"/>
      <c r="V14" s="4292"/>
      <c r="W14" s="4292"/>
      <c r="X14" s="4293"/>
    </row>
    <row r="15" spans="1:24" ht="15" hidden="1" customHeight="1" x14ac:dyDescent="0.2">
      <c r="A15" s="4284"/>
      <c r="B15" s="4301" t="s">
        <v>290</v>
      </c>
      <c r="C15" s="4304" t="s">
        <v>50</v>
      </c>
      <c r="D15" s="4304"/>
      <c r="E15" s="4304"/>
      <c r="F15" s="4305"/>
      <c r="G15" s="4306" t="s">
        <v>290</v>
      </c>
      <c r="H15" s="4307" t="s">
        <v>50</v>
      </c>
      <c r="I15" s="4307"/>
      <c r="J15" s="4307"/>
      <c r="K15" s="4308"/>
      <c r="L15" s="4306" t="s">
        <v>290</v>
      </c>
      <c r="M15" s="4307" t="s">
        <v>50</v>
      </c>
      <c r="N15" s="4307"/>
      <c r="O15" s="4307"/>
      <c r="P15" s="4308"/>
      <c r="Q15" s="4306" t="s">
        <v>290</v>
      </c>
      <c r="R15" s="4309" t="s">
        <v>50</v>
      </c>
      <c r="S15" s="4309"/>
      <c r="T15" s="4310"/>
      <c r="U15" s="4306" t="s">
        <v>290</v>
      </c>
      <c r="V15" s="4309" t="s">
        <v>50</v>
      </c>
      <c r="W15" s="4309"/>
      <c r="X15" s="4310"/>
    </row>
    <row r="16" spans="1:24" ht="15" hidden="1" customHeight="1" x14ac:dyDescent="0.2">
      <c r="A16" s="4284"/>
      <c r="B16" s="4302"/>
      <c r="C16" s="4275" t="s">
        <v>368</v>
      </c>
      <c r="D16" s="4277" t="s">
        <v>230</v>
      </c>
      <c r="E16" s="4277"/>
      <c r="F16" s="4317" t="s">
        <v>856</v>
      </c>
      <c r="G16" s="4302"/>
      <c r="H16" s="4275" t="s">
        <v>368</v>
      </c>
      <c r="I16" s="4277" t="s">
        <v>230</v>
      </c>
      <c r="J16" s="4277"/>
      <c r="K16" s="4317" t="s">
        <v>856</v>
      </c>
      <c r="L16" s="4302"/>
      <c r="M16" s="4275" t="s">
        <v>368</v>
      </c>
      <c r="N16" s="4277" t="s">
        <v>230</v>
      </c>
      <c r="O16" s="4277"/>
      <c r="P16" s="4317" t="s">
        <v>856</v>
      </c>
      <c r="Q16" s="4302"/>
      <c r="R16" s="4275" t="s">
        <v>368</v>
      </c>
      <c r="S16" s="4275"/>
      <c r="T16" s="4319" t="s">
        <v>856</v>
      </c>
      <c r="U16" s="4302"/>
      <c r="V16" s="4275" t="s">
        <v>368</v>
      </c>
      <c r="W16" s="4275"/>
      <c r="X16" s="4319" t="s">
        <v>856</v>
      </c>
    </row>
    <row r="17" spans="1:24" ht="15" hidden="1" customHeight="1" thickBot="1" x14ac:dyDescent="0.25">
      <c r="A17" s="4285"/>
      <c r="B17" s="4303"/>
      <c r="C17" s="4276"/>
      <c r="D17" s="892" t="s">
        <v>255</v>
      </c>
      <c r="E17" s="892" t="s">
        <v>289</v>
      </c>
      <c r="F17" s="4318"/>
      <c r="G17" s="4303"/>
      <c r="H17" s="4276"/>
      <c r="I17" s="892" t="s">
        <v>255</v>
      </c>
      <c r="J17" s="892" t="s">
        <v>289</v>
      </c>
      <c r="K17" s="4318"/>
      <c r="L17" s="4303"/>
      <c r="M17" s="4276"/>
      <c r="N17" s="892" t="s">
        <v>255</v>
      </c>
      <c r="O17" s="892" t="s">
        <v>289</v>
      </c>
      <c r="P17" s="4318"/>
      <c r="Q17" s="4303"/>
      <c r="R17" s="897" t="s">
        <v>857</v>
      </c>
      <c r="S17" s="897" t="s">
        <v>255</v>
      </c>
      <c r="T17" s="4318"/>
      <c r="U17" s="4303"/>
      <c r="V17" s="897" t="s">
        <v>857</v>
      </c>
      <c r="W17" s="897" t="s">
        <v>255</v>
      </c>
      <c r="X17" s="4318"/>
    </row>
    <row r="18" spans="1:24" ht="30" hidden="1" customHeight="1" x14ac:dyDescent="0.2">
      <c r="A18" s="896" t="s">
        <v>381</v>
      </c>
      <c r="B18" s="893">
        <f>SUM(B8)</f>
        <v>2003.135</v>
      </c>
      <c r="C18" s="894">
        <f t="shared" ref="C18:P18" si="0">SUM(C8)</f>
        <v>2003.135</v>
      </c>
      <c r="D18" s="894">
        <f t="shared" si="0"/>
        <v>1222.71</v>
      </c>
      <c r="E18" s="894">
        <f t="shared" si="0"/>
        <v>780.42499999999995</v>
      </c>
      <c r="F18" s="895">
        <f t="shared" si="0"/>
        <v>0</v>
      </c>
      <c r="G18" s="893">
        <f t="shared" si="0"/>
        <v>2003.135</v>
      </c>
      <c r="H18" s="894">
        <f t="shared" si="0"/>
        <v>2003.135</v>
      </c>
      <c r="I18" s="894">
        <f t="shared" si="0"/>
        <v>1222.71</v>
      </c>
      <c r="J18" s="894">
        <f t="shared" si="0"/>
        <v>780.42499999999995</v>
      </c>
      <c r="K18" s="895">
        <f t="shared" si="0"/>
        <v>0</v>
      </c>
      <c r="L18" s="893">
        <f t="shared" si="0"/>
        <v>4006.27</v>
      </c>
      <c r="M18" s="894">
        <f t="shared" si="0"/>
        <v>4006.27</v>
      </c>
      <c r="N18" s="894">
        <f t="shared" si="0"/>
        <v>2445.42</v>
      </c>
      <c r="O18" s="894">
        <f t="shared" si="0"/>
        <v>1560.85</v>
      </c>
      <c r="P18" s="895">
        <f t="shared" si="0"/>
        <v>0</v>
      </c>
      <c r="Q18" s="893"/>
      <c r="R18" s="898"/>
      <c r="S18" s="898"/>
      <c r="T18" s="899"/>
      <c r="U18" s="900"/>
      <c r="V18" s="898"/>
      <c r="W18" s="898"/>
      <c r="X18" s="899"/>
    </row>
    <row r="19" spans="1:24" ht="30" hidden="1" customHeight="1" x14ac:dyDescent="0.2">
      <c r="A19" s="879" t="s">
        <v>382</v>
      </c>
      <c r="B19" s="885">
        <f>SUM(B20/B18)</f>
        <v>27.64</v>
      </c>
      <c r="C19" s="886">
        <f>SUM(C20/C18)</f>
        <v>27.64</v>
      </c>
      <c r="D19" s="886">
        <v>22.66</v>
      </c>
      <c r="E19" s="886">
        <v>27.64</v>
      </c>
      <c r="F19" s="887">
        <v>18.420000000000002</v>
      </c>
      <c r="G19" s="885" t="e">
        <f>SUM(G20/G18)</f>
        <v>#REF!</v>
      </c>
      <c r="H19" s="886" t="e">
        <f>H20/H18</f>
        <v>#REF!</v>
      </c>
      <c r="I19" s="886">
        <f>D19*1.145</f>
        <v>25.945700000000002</v>
      </c>
      <c r="J19" s="886" t="e">
        <f>SUM(H19)</f>
        <v>#REF!</v>
      </c>
      <c r="K19" s="887">
        <v>20.11</v>
      </c>
      <c r="L19" s="885" t="e">
        <f>SUM(L20/L18)</f>
        <v>#REF!</v>
      </c>
      <c r="M19" s="886" t="e">
        <f>SUM(M20/M18)</f>
        <v>#REF!</v>
      </c>
      <c r="N19" s="886">
        <f>SUM(N20/N18)</f>
        <v>24.302849999999999</v>
      </c>
      <c r="O19" s="886" t="e">
        <f>SUM(O20/O18)</f>
        <v>#REF!</v>
      </c>
      <c r="P19" s="887" t="e">
        <f>SUM(P20/P18)</f>
        <v>#DIV/0!</v>
      </c>
      <c r="Q19" s="888" t="e">
        <f>SUM(G19/B19)</f>
        <v>#REF!</v>
      </c>
      <c r="R19" s="874" t="e">
        <f>SUM(H19/C19)</f>
        <v>#REF!</v>
      </c>
      <c r="S19" s="874">
        <f>I19/D19</f>
        <v>1.145</v>
      </c>
      <c r="T19" s="881">
        <f>SUM(K19/F19)</f>
        <v>1.0917480998914222</v>
      </c>
      <c r="U19" s="883" t="e">
        <f>SUM(L19/вода!AA83)</f>
        <v>#REF!</v>
      </c>
      <c r="V19" s="875" t="e">
        <f>SUM(M19/вода!AC83)</f>
        <v>#REF!</v>
      </c>
      <c r="W19" s="875">
        <f>SUM(N19/20.9)</f>
        <v>1.1628157894736844</v>
      </c>
      <c r="X19" s="876" t="e">
        <f>SUM(P19/вода!AD83)</f>
        <v>#DIV/0!</v>
      </c>
    </row>
    <row r="20" spans="1:24" ht="30" hidden="1" customHeight="1" x14ac:dyDescent="0.2">
      <c r="A20" s="879" t="s">
        <v>383</v>
      </c>
      <c r="B20" s="885">
        <f>SUM(C20+F20)</f>
        <v>55366.651400000002</v>
      </c>
      <c r="C20" s="886">
        <f>SUM(D20:E20)+D21</f>
        <v>55366.651400000002</v>
      </c>
      <c r="D20" s="886">
        <f>D19*D18</f>
        <v>27706.6086</v>
      </c>
      <c r="E20" s="886">
        <f>E19*E18</f>
        <v>21570.947</v>
      </c>
      <c r="F20" s="887">
        <f>F19*F18</f>
        <v>0</v>
      </c>
      <c r="G20" s="885" t="e">
        <f>SUM(L20-B20)</f>
        <v>#REF!</v>
      </c>
      <c r="H20" s="886" t="e">
        <f>SUM(M20-C20)</f>
        <v>#REF!</v>
      </c>
      <c r="I20" s="886">
        <f>I19*I18</f>
        <v>31724.066847000002</v>
      </c>
      <c r="J20" s="886" t="e">
        <f>SUM(J18*J19)</f>
        <v>#REF!</v>
      </c>
      <c r="K20" s="887">
        <f>SUM(P20-F20)</f>
        <v>868.7319260372135</v>
      </c>
      <c r="L20" s="885" t="e">
        <f>SUM(вода!AL82)</f>
        <v>#REF!</v>
      </c>
      <c r="M20" s="886" t="e">
        <f>SUM(вода!AN82)</f>
        <v>#REF!</v>
      </c>
      <c r="N20" s="886">
        <f>SUM(D20+I20)</f>
        <v>59430.675447000001</v>
      </c>
      <c r="O20" s="886" t="e">
        <f>SUM(E20+J20)</f>
        <v>#REF!</v>
      </c>
      <c r="P20" s="887">
        <f>SUM(вода!AO82)</f>
        <v>868.7319260372135</v>
      </c>
      <c r="Q20" s="885"/>
      <c r="R20" s="872"/>
      <c r="S20" s="872"/>
      <c r="T20" s="873"/>
      <c r="U20" s="882"/>
      <c r="V20" s="872"/>
      <c r="W20" s="872"/>
      <c r="X20" s="873"/>
    </row>
    <row r="21" spans="1:24" ht="30" hidden="1" customHeight="1" thickBot="1" x14ac:dyDescent="0.25">
      <c r="A21" s="880" t="s">
        <v>385</v>
      </c>
      <c r="B21" s="889">
        <f>SUM(C21:F21)</f>
        <v>6089.095800000001</v>
      </c>
      <c r="C21" s="890">
        <v>0</v>
      </c>
      <c r="D21" s="890">
        <f>SUM(E19-D19)*D18</f>
        <v>6089.095800000001</v>
      </c>
      <c r="E21" s="890">
        <v>0</v>
      </c>
      <c r="F21" s="891">
        <v>0</v>
      </c>
      <c r="G21" s="889" t="e">
        <f>SUM(H21:K21)</f>
        <v>#REF!</v>
      </c>
      <c r="H21" s="890">
        <v>0</v>
      </c>
      <c r="I21" s="890" t="e">
        <f>SUM(H19-I19)*I18</f>
        <v>#REF!</v>
      </c>
      <c r="J21" s="890">
        <v>0</v>
      </c>
      <c r="K21" s="891">
        <v>0</v>
      </c>
      <c r="L21" s="889" t="e">
        <f>SUM(M21:P21)</f>
        <v>#REF!</v>
      </c>
      <c r="M21" s="890">
        <v>0</v>
      </c>
      <c r="N21" s="890" t="e">
        <f>SUM(B21+G21)</f>
        <v>#REF!</v>
      </c>
      <c r="O21" s="890">
        <v>0</v>
      </c>
      <c r="P21" s="891">
        <v>0</v>
      </c>
      <c r="Q21" s="889"/>
      <c r="R21" s="877"/>
      <c r="S21" s="877"/>
      <c r="T21" s="878"/>
      <c r="U21" s="884"/>
      <c r="V21" s="877"/>
      <c r="W21" s="877"/>
      <c r="X21" s="878"/>
    </row>
    <row r="22" spans="1:24" ht="26.25" customHeight="1" thickBot="1" x14ac:dyDescent="0.45">
      <c r="A22" s="4311" t="s">
        <v>860</v>
      </c>
      <c r="B22" s="4312"/>
      <c r="C22" s="4312"/>
      <c r="D22" s="4312"/>
      <c r="E22" s="4312"/>
      <c r="F22" s="4312"/>
      <c r="G22" s="4312"/>
      <c r="H22" s="4312"/>
      <c r="I22" s="4312"/>
      <c r="J22" s="4312"/>
      <c r="K22" s="4312"/>
      <c r="L22" s="4312"/>
      <c r="M22" s="4312"/>
      <c r="N22" s="4312"/>
      <c r="O22" s="4312"/>
      <c r="P22" s="4312"/>
      <c r="Q22" s="4312"/>
      <c r="R22" s="4312"/>
      <c r="S22" s="4312"/>
      <c r="T22" s="4312"/>
      <c r="U22" s="4312"/>
      <c r="V22" s="4312"/>
      <c r="W22" s="4312"/>
      <c r="X22" s="4313"/>
    </row>
    <row r="23" spans="1:24" ht="15" customHeight="1" thickBot="1" x14ac:dyDescent="0.25">
      <c r="A23" s="4283">
        <v>2016</v>
      </c>
      <c r="B23" s="4286" t="s">
        <v>387</v>
      </c>
      <c r="C23" s="4286"/>
      <c r="D23" s="4286"/>
      <c r="E23" s="4286"/>
      <c r="F23" s="4286"/>
      <c r="G23" s="4286"/>
      <c r="H23" s="4286"/>
      <c r="I23" s="4286"/>
      <c r="J23" s="4286"/>
      <c r="K23" s="4286"/>
      <c r="L23" s="4286"/>
      <c r="M23" s="4286"/>
      <c r="N23" s="4286"/>
      <c r="O23" s="4286"/>
      <c r="P23" s="4287"/>
      <c r="Q23" s="4288" t="s">
        <v>391</v>
      </c>
      <c r="R23" s="4289"/>
      <c r="S23" s="4289"/>
      <c r="T23" s="4290"/>
      <c r="U23" s="4288" t="s">
        <v>392</v>
      </c>
      <c r="V23" s="4289"/>
      <c r="W23" s="4289"/>
      <c r="X23" s="4290"/>
    </row>
    <row r="24" spans="1:24" ht="15" customHeight="1" thickBot="1" x14ac:dyDescent="0.25">
      <c r="A24" s="4284"/>
      <c r="B24" s="4294" t="s">
        <v>854</v>
      </c>
      <c r="C24" s="4295"/>
      <c r="D24" s="4295"/>
      <c r="E24" s="4295"/>
      <c r="F24" s="4296"/>
      <c r="G24" s="4297" t="s">
        <v>855</v>
      </c>
      <c r="H24" s="4298"/>
      <c r="I24" s="4298"/>
      <c r="J24" s="4298"/>
      <c r="K24" s="4299"/>
      <c r="L24" s="4297" t="s">
        <v>818</v>
      </c>
      <c r="M24" s="4298"/>
      <c r="N24" s="4298"/>
      <c r="O24" s="4298"/>
      <c r="P24" s="4300"/>
      <c r="Q24" s="4291"/>
      <c r="R24" s="4292"/>
      <c r="S24" s="4292"/>
      <c r="T24" s="4293"/>
      <c r="U24" s="4291"/>
      <c r="V24" s="4292"/>
      <c r="W24" s="4292"/>
      <c r="X24" s="4293"/>
    </row>
    <row r="25" spans="1:24" ht="15" customHeight="1" x14ac:dyDescent="0.2">
      <c r="A25" s="4284"/>
      <c r="B25" s="4301" t="s">
        <v>290</v>
      </c>
      <c r="C25" s="4304" t="s">
        <v>50</v>
      </c>
      <c r="D25" s="4304"/>
      <c r="E25" s="4304"/>
      <c r="F25" s="4305"/>
      <c r="G25" s="4306" t="s">
        <v>290</v>
      </c>
      <c r="H25" s="4307" t="s">
        <v>50</v>
      </c>
      <c r="I25" s="4307"/>
      <c r="J25" s="4307"/>
      <c r="K25" s="4308"/>
      <c r="L25" s="4306" t="s">
        <v>290</v>
      </c>
      <c r="M25" s="4307" t="s">
        <v>50</v>
      </c>
      <c r="N25" s="4307"/>
      <c r="O25" s="4307"/>
      <c r="P25" s="4308"/>
      <c r="Q25" s="4306" t="s">
        <v>290</v>
      </c>
      <c r="R25" s="4309" t="s">
        <v>50</v>
      </c>
      <c r="S25" s="4309"/>
      <c r="T25" s="4310"/>
      <c r="U25" s="4306" t="s">
        <v>290</v>
      </c>
      <c r="V25" s="4309" t="s">
        <v>50</v>
      </c>
      <c r="W25" s="4309"/>
      <c r="X25" s="4310"/>
    </row>
    <row r="26" spans="1:24" ht="15" customHeight="1" x14ac:dyDescent="0.2">
      <c r="A26" s="4284"/>
      <c r="B26" s="4302"/>
      <c r="C26" s="4275" t="s">
        <v>368</v>
      </c>
      <c r="D26" s="4277" t="s">
        <v>230</v>
      </c>
      <c r="E26" s="4277"/>
      <c r="F26" s="4317" t="s">
        <v>856</v>
      </c>
      <c r="G26" s="4302"/>
      <c r="H26" s="4275" t="s">
        <v>368</v>
      </c>
      <c r="I26" s="4277" t="s">
        <v>230</v>
      </c>
      <c r="J26" s="4277"/>
      <c r="K26" s="4317" t="s">
        <v>856</v>
      </c>
      <c r="L26" s="4302"/>
      <c r="M26" s="4275" t="s">
        <v>368</v>
      </c>
      <c r="N26" s="4277" t="s">
        <v>230</v>
      </c>
      <c r="O26" s="4277"/>
      <c r="P26" s="4317" t="s">
        <v>856</v>
      </c>
      <c r="Q26" s="4302"/>
      <c r="R26" s="4275" t="s">
        <v>368</v>
      </c>
      <c r="S26" s="4275"/>
      <c r="T26" s="4319" t="s">
        <v>856</v>
      </c>
      <c r="U26" s="4302"/>
      <c r="V26" s="4275" t="s">
        <v>368</v>
      </c>
      <c r="W26" s="4275"/>
      <c r="X26" s="4319" t="s">
        <v>856</v>
      </c>
    </row>
    <row r="27" spans="1:24" ht="15" customHeight="1" thickBot="1" x14ac:dyDescent="0.25">
      <c r="A27" s="4285"/>
      <c r="B27" s="4303"/>
      <c r="C27" s="4276"/>
      <c r="D27" s="892" t="s">
        <v>255</v>
      </c>
      <c r="E27" s="892" t="s">
        <v>289</v>
      </c>
      <c r="F27" s="4318"/>
      <c r="G27" s="4303"/>
      <c r="H27" s="4276"/>
      <c r="I27" s="892" t="s">
        <v>255</v>
      </c>
      <c r="J27" s="892" t="s">
        <v>289</v>
      </c>
      <c r="K27" s="4318"/>
      <c r="L27" s="4303"/>
      <c r="M27" s="4276"/>
      <c r="N27" s="892" t="s">
        <v>255</v>
      </c>
      <c r="O27" s="892" t="s">
        <v>289</v>
      </c>
      <c r="P27" s="4318"/>
      <c r="Q27" s="4303"/>
      <c r="R27" s="897" t="s">
        <v>857</v>
      </c>
      <c r="S27" s="897" t="s">
        <v>255</v>
      </c>
      <c r="T27" s="4318"/>
      <c r="U27" s="4303"/>
      <c r="V27" s="897" t="s">
        <v>857</v>
      </c>
      <c r="W27" s="897" t="s">
        <v>255</v>
      </c>
      <c r="X27" s="4318"/>
    </row>
    <row r="28" spans="1:24" ht="30" customHeight="1" x14ac:dyDescent="0.2">
      <c r="A28" s="896" t="s">
        <v>381</v>
      </c>
      <c r="B28" s="893">
        <f>SUM(объемы!T49/2)</f>
        <v>2005.3184999999999</v>
      </c>
      <c r="C28" s="894">
        <f>SUM(D28:E28)</f>
        <v>1994.6085</v>
      </c>
      <c r="D28" s="894">
        <f>SUM(объемы!T50/2)</f>
        <v>1214.28</v>
      </c>
      <c r="E28" s="894">
        <f>SUM(объемы!T52+объемы!T57)/2</f>
        <v>780.32850000000008</v>
      </c>
      <c r="F28" s="895">
        <f>SUM(объемы!T51/2)</f>
        <v>10.71</v>
      </c>
      <c r="G28" s="893">
        <f>B28</f>
        <v>2005.3184999999999</v>
      </c>
      <c r="H28" s="894">
        <f>C28</f>
        <v>1994.6085</v>
      </c>
      <c r="I28" s="894">
        <f>D28</f>
        <v>1214.28</v>
      </c>
      <c r="J28" s="894">
        <f>E28</f>
        <v>780.32850000000008</v>
      </c>
      <c r="K28" s="895">
        <f>F28</f>
        <v>10.71</v>
      </c>
      <c r="L28" s="893">
        <f>SUM(B28+G28)</f>
        <v>4010.6369999999997</v>
      </c>
      <c r="M28" s="894">
        <f>SUM(C28+H28)</f>
        <v>3989.2170000000001</v>
      </c>
      <c r="N28" s="894">
        <f>SUM(D28+I28)</f>
        <v>2428.56</v>
      </c>
      <c r="O28" s="894">
        <f>SUM(E28+J28)</f>
        <v>1560.6570000000002</v>
      </c>
      <c r="P28" s="895">
        <f>SUM(F28+K28)</f>
        <v>21.42</v>
      </c>
      <c r="Q28" s="893"/>
      <c r="R28" s="898"/>
      <c r="S28" s="898"/>
      <c r="T28" s="899"/>
      <c r="U28" s="900"/>
      <c r="V28" s="898"/>
      <c r="W28" s="898"/>
      <c r="X28" s="899"/>
    </row>
    <row r="29" spans="1:24" ht="30" customHeight="1" x14ac:dyDescent="0.2">
      <c r="A29" s="879" t="s">
        <v>382</v>
      </c>
      <c r="B29" s="885" t="e">
        <f>SUM(B30/B28)</f>
        <v>#REF!</v>
      </c>
      <c r="C29" s="886" t="e">
        <f>SUM(C30/C28)</f>
        <v>#REF!</v>
      </c>
      <c r="D29" s="886">
        <f>SUM(I9)</f>
        <v>25.945700000000002</v>
      </c>
      <c r="E29" s="886" t="e">
        <f>SUM(J9)</f>
        <v>#REF!</v>
      </c>
      <c r="F29" s="887">
        <f>SUM(K9)</f>
        <v>20.11</v>
      </c>
      <c r="G29" s="885" t="e">
        <f>SUM(G30/G28)</f>
        <v>#REF!</v>
      </c>
      <c r="H29" s="886" t="e">
        <f>H30/H28</f>
        <v>#REF!</v>
      </c>
      <c r="I29" s="886">
        <f>D29*1.2</f>
        <v>31.134840000000001</v>
      </c>
      <c r="J29" s="886" t="e">
        <f>SUM(H29)</f>
        <v>#REF!</v>
      </c>
      <c r="K29" s="887">
        <f t="shared" ref="K29:P29" si="1">SUM(K30/K28)</f>
        <v>25.350484680875475</v>
      </c>
      <c r="L29" s="885">
        <f t="shared" si="1"/>
        <v>36.390731993966654</v>
      </c>
      <c r="M29" s="886">
        <f t="shared" si="1"/>
        <v>36.464081648392202</v>
      </c>
      <c r="N29" s="886">
        <f t="shared" si="1"/>
        <v>28.540270000000003</v>
      </c>
      <c r="O29" s="886" t="e">
        <f t="shared" si="1"/>
        <v>#REF!</v>
      </c>
      <c r="P29" s="887">
        <f t="shared" si="1"/>
        <v>22.730242340437737</v>
      </c>
      <c r="Q29" s="888" t="e">
        <f>SUM(G29/B29)</f>
        <v>#REF!</v>
      </c>
      <c r="R29" s="874" t="e">
        <f>SUM(H29/C29)</f>
        <v>#REF!</v>
      </c>
      <c r="S29" s="874">
        <f>I29/D29</f>
        <v>1.2</v>
      </c>
      <c r="T29" s="881">
        <f>SUM(K29/F29)</f>
        <v>1.2605909836337879</v>
      </c>
      <c r="U29" s="883" t="e">
        <f>SUM(L29/L9)</f>
        <v>#REF!</v>
      </c>
      <c r="V29" s="875" t="e">
        <f>SUM(M29/M9)</f>
        <v>#REF!</v>
      </c>
      <c r="W29" s="875">
        <f>SUM(N29/N9)</f>
        <v>1.1743589743589746</v>
      </c>
      <c r="X29" s="876" t="e">
        <f>SUM(P29/P9)</f>
        <v>#DIV/0!</v>
      </c>
    </row>
    <row r="30" spans="1:24" ht="30" customHeight="1" x14ac:dyDescent="0.2">
      <c r="A30" s="879" t="s">
        <v>383</v>
      </c>
      <c r="B30" s="885" t="e">
        <f>SUM(C30+F30)</f>
        <v>#REF!</v>
      </c>
      <c r="C30" s="886" t="e">
        <f>SUM(D30:E30)+D31</f>
        <v>#REF!</v>
      </c>
      <c r="D30" s="886">
        <f>D29*D28</f>
        <v>31505.344596000003</v>
      </c>
      <c r="E30" s="886" t="e">
        <f>E29*E28</f>
        <v>#REF!</v>
      </c>
      <c r="F30" s="887">
        <f>F29*F28</f>
        <v>215.37810000000002</v>
      </c>
      <c r="G30" s="885" t="e">
        <f>SUM(L30-B30)</f>
        <v>#REF!</v>
      </c>
      <c r="H30" s="886" t="e">
        <f>SUM(M30-C30)</f>
        <v>#REF!</v>
      </c>
      <c r="I30" s="886">
        <f>I29*I28</f>
        <v>37806.413515200002</v>
      </c>
      <c r="J30" s="886" t="e">
        <f>SUM(J28*J29)</f>
        <v>#REF!</v>
      </c>
      <c r="K30" s="887">
        <f>SUM(P30-F30)</f>
        <v>271.50369093217637</v>
      </c>
      <c r="L30" s="885">
        <f>SUM(вода!AZ85)</f>
        <v>145950.01619208642</v>
      </c>
      <c r="M30" s="886">
        <f>SUM(вода!BB85)</f>
        <v>145463.13440115421</v>
      </c>
      <c r="N30" s="886">
        <f>SUM(D30+I30)</f>
        <v>69311.758111200004</v>
      </c>
      <c r="O30" s="886" t="e">
        <f>SUM(E30+J30)</f>
        <v>#REF!</v>
      </c>
      <c r="P30" s="887">
        <f>SUM(вода!BC85)</f>
        <v>486.88179093217639</v>
      </c>
      <c r="Q30" s="885"/>
      <c r="R30" s="872"/>
      <c r="S30" s="872"/>
      <c r="T30" s="873"/>
      <c r="U30" s="882"/>
      <c r="V30" s="872"/>
      <c r="W30" s="872"/>
      <c r="X30" s="873"/>
    </row>
    <row r="31" spans="1:24" ht="30" customHeight="1" thickBot="1" x14ac:dyDescent="0.25">
      <c r="A31" s="880" t="s">
        <v>385</v>
      </c>
      <c r="B31" s="889" t="e">
        <f>SUM(C31:F31)</f>
        <v>#REF!</v>
      </c>
      <c r="C31" s="890">
        <v>0</v>
      </c>
      <c r="D31" s="890" t="e">
        <f>SUM(E29-D29)*D28</f>
        <v>#REF!</v>
      </c>
      <c r="E31" s="890">
        <v>0</v>
      </c>
      <c r="F31" s="891">
        <v>0</v>
      </c>
      <c r="G31" s="889" t="e">
        <f>SUM(H31:K31)</f>
        <v>#REF!</v>
      </c>
      <c r="H31" s="890">
        <v>0</v>
      </c>
      <c r="I31" s="890" t="e">
        <f>SUM(H29-I29)*I28</f>
        <v>#REF!</v>
      </c>
      <c r="J31" s="890">
        <v>0</v>
      </c>
      <c r="K31" s="891">
        <v>0</v>
      </c>
      <c r="L31" s="889" t="e">
        <f>SUM(M31:P31)</f>
        <v>#REF!</v>
      </c>
      <c r="M31" s="890">
        <v>0</v>
      </c>
      <c r="N31" s="890" t="e">
        <f>SUM(B31+G31)</f>
        <v>#REF!</v>
      </c>
      <c r="O31" s="890">
        <v>0</v>
      </c>
      <c r="P31" s="891">
        <v>0</v>
      </c>
      <c r="Q31" s="889"/>
      <c r="R31" s="877"/>
      <c r="S31" s="877"/>
      <c r="T31" s="878"/>
      <c r="U31" s="884"/>
      <c r="V31" s="877"/>
      <c r="W31" s="877"/>
      <c r="X31" s="878"/>
    </row>
    <row r="32" spans="1:24" ht="15" customHeight="1" thickBot="1" x14ac:dyDescent="0.25">
      <c r="A32" s="4246"/>
      <c r="B32" s="4247"/>
      <c r="C32" s="4247"/>
      <c r="D32" s="4247"/>
      <c r="E32" s="4247"/>
      <c r="F32" s="4247"/>
      <c r="G32" s="4247"/>
      <c r="H32" s="4247"/>
      <c r="I32" s="4247"/>
      <c r="J32" s="4247"/>
      <c r="K32" s="4247"/>
      <c r="L32" s="4247"/>
      <c r="M32" s="4247"/>
      <c r="N32" s="4247"/>
      <c r="O32" s="4247"/>
      <c r="P32" s="4247"/>
      <c r="Q32" s="4247"/>
      <c r="R32" s="4247"/>
      <c r="S32" s="4247"/>
      <c r="T32" s="4247"/>
      <c r="U32" s="4247"/>
      <c r="V32" s="4247"/>
      <c r="W32" s="4247"/>
      <c r="X32" s="4248"/>
    </row>
    <row r="33" spans="1:24" ht="15" customHeight="1" thickBot="1" x14ac:dyDescent="0.25">
      <c r="A33" s="4283">
        <v>2016</v>
      </c>
      <c r="B33" s="4286" t="s">
        <v>384</v>
      </c>
      <c r="C33" s="4286"/>
      <c r="D33" s="4286"/>
      <c r="E33" s="4286"/>
      <c r="F33" s="4286"/>
      <c r="G33" s="4286"/>
      <c r="H33" s="4286"/>
      <c r="I33" s="4286"/>
      <c r="J33" s="4286"/>
      <c r="K33" s="4286"/>
      <c r="L33" s="4286"/>
      <c r="M33" s="4286"/>
      <c r="N33" s="4286"/>
      <c r="O33" s="4286"/>
      <c r="P33" s="4287"/>
      <c r="Q33" s="4288" t="s">
        <v>391</v>
      </c>
      <c r="R33" s="4289"/>
      <c r="S33" s="4289"/>
      <c r="T33" s="4290"/>
      <c r="U33" s="4288" t="s">
        <v>392</v>
      </c>
      <c r="V33" s="4289"/>
      <c r="W33" s="4289"/>
      <c r="X33" s="4290"/>
    </row>
    <row r="34" spans="1:24" ht="15" customHeight="1" thickBot="1" x14ac:dyDescent="0.25">
      <c r="A34" s="4284"/>
      <c r="B34" s="4294" t="s">
        <v>854</v>
      </c>
      <c r="C34" s="4295"/>
      <c r="D34" s="4295"/>
      <c r="E34" s="4295"/>
      <c r="F34" s="4296"/>
      <c r="G34" s="4297" t="s">
        <v>855</v>
      </c>
      <c r="H34" s="4298"/>
      <c r="I34" s="4298"/>
      <c r="J34" s="4298"/>
      <c r="K34" s="4299"/>
      <c r="L34" s="4297" t="s">
        <v>818</v>
      </c>
      <c r="M34" s="4298"/>
      <c r="N34" s="4298"/>
      <c r="O34" s="4298"/>
      <c r="P34" s="4300"/>
      <c r="Q34" s="4291"/>
      <c r="R34" s="4292"/>
      <c r="S34" s="4292"/>
      <c r="T34" s="4293"/>
      <c r="U34" s="4291"/>
      <c r="V34" s="4292"/>
      <c r="W34" s="4292"/>
      <c r="X34" s="4293"/>
    </row>
    <row r="35" spans="1:24" ht="15" customHeight="1" x14ac:dyDescent="0.2">
      <c r="A35" s="4284"/>
      <c r="B35" s="4301" t="s">
        <v>290</v>
      </c>
      <c r="C35" s="4304" t="s">
        <v>50</v>
      </c>
      <c r="D35" s="4304"/>
      <c r="E35" s="4304"/>
      <c r="F35" s="4305"/>
      <c r="G35" s="4306" t="s">
        <v>290</v>
      </c>
      <c r="H35" s="4307" t="s">
        <v>50</v>
      </c>
      <c r="I35" s="4307"/>
      <c r="J35" s="4307"/>
      <c r="K35" s="4308"/>
      <c r="L35" s="4306" t="s">
        <v>290</v>
      </c>
      <c r="M35" s="4307" t="s">
        <v>50</v>
      </c>
      <c r="N35" s="4307"/>
      <c r="O35" s="4307"/>
      <c r="P35" s="4308"/>
      <c r="Q35" s="4306" t="s">
        <v>290</v>
      </c>
      <c r="R35" s="4309" t="s">
        <v>50</v>
      </c>
      <c r="S35" s="4309"/>
      <c r="T35" s="4310"/>
      <c r="U35" s="4306" t="s">
        <v>290</v>
      </c>
      <c r="V35" s="4309" t="s">
        <v>50</v>
      </c>
      <c r="W35" s="4309"/>
      <c r="X35" s="4310"/>
    </row>
    <row r="36" spans="1:24" ht="15" customHeight="1" x14ac:dyDescent="0.2">
      <c r="A36" s="4284"/>
      <c r="B36" s="4302"/>
      <c r="C36" s="4275" t="s">
        <v>368</v>
      </c>
      <c r="D36" s="4277" t="s">
        <v>230</v>
      </c>
      <c r="E36" s="4277"/>
      <c r="F36" s="4317" t="s">
        <v>856</v>
      </c>
      <c r="G36" s="4302"/>
      <c r="H36" s="4275" t="s">
        <v>368</v>
      </c>
      <c r="I36" s="4277" t="s">
        <v>230</v>
      </c>
      <c r="J36" s="4277"/>
      <c r="K36" s="4317" t="s">
        <v>856</v>
      </c>
      <c r="L36" s="4302"/>
      <c r="M36" s="4275" t="s">
        <v>368</v>
      </c>
      <c r="N36" s="4277" t="s">
        <v>230</v>
      </c>
      <c r="O36" s="4277"/>
      <c r="P36" s="4317" t="s">
        <v>856</v>
      </c>
      <c r="Q36" s="4302"/>
      <c r="R36" s="4275" t="s">
        <v>368</v>
      </c>
      <c r="S36" s="4275"/>
      <c r="T36" s="4319" t="s">
        <v>856</v>
      </c>
      <c r="U36" s="4302"/>
      <c r="V36" s="4275" t="s">
        <v>368</v>
      </c>
      <c r="W36" s="4275"/>
      <c r="X36" s="4319" t="s">
        <v>856</v>
      </c>
    </row>
    <row r="37" spans="1:24" ht="15" customHeight="1" thickBot="1" x14ac:dyDescent="0.25">
      <c r="A37" s="4285"/>
      <c r="B37" s="4303"/>
      <c r="C37" s="4276"/>
      <c r="D37" s="892" t="s">
        <v>255</v>
      </c>
      <c r="E37" s="892" t="s">
        <v>289</v>
      </c>
      <c r="F37" s="4318"/>
      <c r="G37" s="4303"/>
      <c r="H37" s="4276"/>
      <c r="I37" s="892" t="s">
        <v>255</v>
      </c>
      <c r="J37" s="892" t="s">
        <v>289</v>
      </c>
      <c r="K37" s="4318"/>
      <c r="L37" s="4303"/>
      <c r="M37" s="4276"/>
      <c r="N37" s="892" t="s">
        <v>255</v>
      </c>
      <c r="O37" s="892" t="s">
        <v>289</v>
      </c>
      <c r="P37" s="4318"/>
      <c r="Q37" s="4303"/>
      <c r="R37" s="897" t="s">
        <v>857</v>
      </c>
      <c r="S37" s="897" t="s">
        <v>255</v>
      </c>
      <c r="T37" s="4318"/>
      <c r="U37" s="4303"/>
      <c r="V37" s="897" t="s">
        <v>857</v>
      </c>
      <c r="W37" s="897" t="s">
        <v>255</v>
      </c>
      <c r="X37" s="4318"/>
    </row>
    <row r="38" spans="1:24" ht="30" customHeight="1" x14ac:dyDescent="0.2">
      <c r="A38" s="896" t="s">
        <v>381</v>
      </c>
      <c r="B38" s="893">
        <f>SUM(B28)</f>
        <v>2005.3184999999999</v>
      </c>
      <c r="C38" s="894">
        <f t="shared" ref="C38:P38" si="2">SUM(C28)</f>
        <v>1994.6085</v>
      </c>
      <c r="D38" s="894">
        <f t="shared" si="2"/>
        <v>1214.28</v>
      </c>
      <c r="E38" s="894">
        <f t="shared" si="2"/>
        <v>780.32850000000008</v>
      </c>
      <c r="F38" s="895">
        <f t="shared" si="2"/>
        <v>10.71</v>
      </c>
      <c r="G38" s="893">
        <f t="shared" si="2"/>
        <v>2005.3184999999999</v>
      </c>
      <c r="H38" s="894">
        <f t="shared" si="2"/>
        <v>1994.6085</v>
      </c>
      <c r="I38" s="894">
        <f t="shared" si="2"/>
        <v>1214.28</v>
      </c>
      <c r="J38" s="894">
        <f t="shared" si="2"/>
        <v>780.32850000000008</v>
      </c>
      <c r="K38" s="895">
        <f t="shared" si="2"/>
        <v>10.71</v>
      </c>
      <c r="L38" s="893">
        <f t="shared" si="2"/>
        <v>4010.6369999999997</v>
      </c>
      <c r="M38" s="894">
        <f t="shared" si="2"/>
        <v>3989.2170000000001</v>
      </c>
      <c r="N38" s="894">
        <f t="shared" si="2"/>
        <v>2428.56</v>
      </c>
      <c r="O38" s="894">
        <f t="shared" si="2"/>
        <v>1560.6570000000002</v>
      </c>
      <c r="P38" s="895">
        <f t="shared" si="2"/>
        <v>21.42</v>
      </c>
      <c r="Q38" s="893"/>
      <c r="R38" s="898"/>
      <c r="S38" s="898"/>
      <c r="T38" s="899"/>
      <c r="U38" s="900"/>
      <c r="V38" s="898"/>
      <c r="W38" s="898"/>
      <c r="X38" s="899"/>
    </row>
    <row r="39" spans="1:24" ht="30" customHeight="1" x14ac:dyDescent="0.2">
      <c r="A39" s="879" t="s">
        <v>382</v>
      </c>
      <c r="B39" s="885" t="e">
        <f>SUM(B40/B38)</f>
        <v>#REF!</v>
      </c>
      <c r="C39" s="886" t="e">
        <f>SUM(C40/C38)</f>
        <v>#REF!</v>
      </c>
      <c r="D39" s="886">
        <f>SUM(I19)</f>
        <v>25.945700000000002</v>
      </c>
      <c r="E39" s="886" t="e">
        <f>SUM(J19)</f>
        <v>#REF!</v>
      </c>
      <c r="F39" s="887">
        <f>SUM(K19)</f>
        <v>20.11</v>
      </c>
      <c r="G39" s="885" t="e">
        <f>SUM(G40/G38)</f>
        <v>#REF!</v>
      </c>
      <c r="H39" s="886" t="e">
        <f>H40/H38</f>
        <v>#REF!</v>
      </c>
      <c r="I39" s="886">
        <f>D39*1.2</f>
        <v>31.134840000000001</v>
      </c>
      <c r="J39" s="886" t="e">
        <f>SUM(H39)</f>
        <v>#REF!</v>
      </c>
      <c r="K39" s="887">
        <f t="shared" ref="K39:P39" si="3">SUM(K40/K38)</f>
        <v>25.350484680875475</v>
      </c>
      <c r="L39" s="885">
        <f t="shared" si="3"/>
        <v>35.399368277928524</v>
      </c>
      <c r="M39" s="886">
        <f t="shared" si="3"/>
        <v>35.467394829901259</v>
      </c>
      <c r="N39" s="886">
        <f t="shared" si="3"/>
        <v>28.540270000000003</v>
      </c>
      <c r="O39" s="886" t="e">
        <f t="shared" si="3"/>
        <v>#REF!</v>
      </c>
      <c r="P39" s="887">
        <f t="shared" si="3"/>
        <v>22.730242340437737</v>
      </c>
      <c r="Q39" s="888" t="e">
        <f>SUM(G39/B39)</f>
        <v>#REF!</v>
      </c>
      <c r="R39" s="874" t="e">
        <f>SUM(H39/C39)</f>
        <v>#REF!</v>
      </c>
      <c r="S39" s="874">
        <f>I39/D39</f>
        <v>1.2</v>
      </c>
      <c r="T39" s="881">
        <f>SUM(K39/F39)</f>
        <v>1.2605909836337879</v>
      </c>
      <c r="U39" s="883" t="e">
        <f>SUM(L39/L19)</f>
        <v>#REF!</v>
      </c>
      <c r="V39" s="875" t="e">
        <f>SUM(M39/M19)</f>
        <v>#REF!</v>
      </c>
      <c r="W39" s="875">
        <f>SUM(N39/N19)</f>
        <v>1.1743589743589746</v>
      </c>
      <c r="X39" s="876" t="e">
        <f>SUM(P39/P19)</f>
        <v>#DIV/0!</v>
      </c>
    </row>
    <row r="40" spans="1:24" ht="30" customHeight="1" x14ac:dyDescent="0.2">
      <c r="A40" s="879" t="s">
        <v>383</v>
      </c>
      <c r="B40" s="885" t="e">
        <f>SUM(C40+F40)</f>
        <v>#REF!</v>
      </c>
      <c r="C40" s="886" t="e">
        <f>SUM(D40:E40)+D41</f>
        <v>#REF!</v>
      </c>
      <c r="D40" s="886">
        <f>D39*D38</f>
        <v>31505.344596000003</v>
      </c>
      <c r="E40" s="886" t="e">
        <f>E39*E38</f>
        <v>#REF!</v>
      </c>
      <c r="F40" s="887">
        <f>F39*F38</f>
        <v>215.37810000000002</v>
      </c>
      <c r="G40" s="885" t="e">
        <f>SUM(L40-B40)</f>
        <v>#REF!</v>
      </c>
      <c r="H40" s="886" t="e">
        <f>SUM(M40-C40)</f>
        <v>#REF!</v>
      </c>
      <c r="I40" s="886">
        <f>I39*I38</f>
        <v>37806.413515200002</v>
      </c>
      <c r="J40" s="886" t="e">
        <f>SUM(J38*J39)</f>
        <v>#REF!</v>
      </c>
      <c r="K40" s="887">
        <f>SUM(P40-F40)</f>
        <v>271.50369093217637</v>
      </c>
      <c r="L40" s="885">
        <f>SUM(вода!AZ82)</f>
        <v>141974.01619208642</v>
      </c>
      <c r="M40" s="886">
        <f>SUM(вода!BB82)</f>
        <v>141487.13440115421</v>
      </c>
      <c r="N40" s="886">
        <f>SUM(D40+I40)</f>
        <v>69311.758111200004</v>
      </c>
      <c r="O40" s="886" t="e">
        <f>SUM(E40+J40)</f>
        <v>#REF!</v>
      </c>
      <c r="P40" s="887">
        <f>SUM(вода!BC82)</f>
        <v>486.88179093217639</v>
      </c>
      <c r="Q40" s="885"/>
      <c r="R40" s="872"/>
      <c r="S40" s="872"/>
      <c r="T40" s="873"/>
      <c r="U40" s="882"/>
      <c r="V40" s="872"/>
      <c r="W40" s="872"/>
      <c r="X40" s="873"/>
    </row>
    <row r="41" spans="1:24" ht="30" customHeight="1" thickBot="1" x14ac:dyDescent="0.25">
      <c r="A41" s="880" t="s">
        <v>385</v>
      </c>
      <c r="B41" s="889" t="e">
        <f>SUM(C41:F41)</f>
        <v>#REF!</v>
      </c>
      <c r="C41" s="890">
        <v>0</v>
      </c>
      <c r="D41" s="890" t="e">
        <f>SUM(E39-D39)*D38</f>
        <v>#REF!</v>
      </c>
      <c r="E41" s="890">
        <v>0</v>
      </c>
      <c r="F41" s="891">
        <v>0</v>
      </c>
      <c r="G41" s="889" t="e">
        <f>SUM(H41:K41)</f>
        <v>#REF!</v>
      </c>
      <c r="H41" s="890">
        <v>0</v>
      </c>
      <c r="I41" s="890" t="e">
        <f>SUM(H39-I39)*I38</f>
        <v>#REF!</v>
      </c>
      <c r="J41" s="890">
        <v>0</v>
      </c>
      <c r="K41" s="891">
        <v>0</v>
      </c>
      <c r="L41" s="889" t="e">
        <f>SUM(M41:P41)</f>
        <v>#REF!</v>
      </c>
      <c r="M41" s="890">
        <v>0</v>
      </c>
      <c r="N41" s="890" t="e">
        <f>SUM(B41+G41)</f>
        <v>#REF!</v>
      </c>
      <c r="O41" s="890">
        <v>0</v>
      </c>
      <c r="P41" s="891">
        <v>0</v>
      </c>
      <c r="Q41" s="889"/>
      <c r="R41" s="877"/>
      <c r="S41" s="877"/>
      <c r="T41" s="878"/>
      <c r="U41" s="884"/>
      <c r="V41" s="877"/>
      <c r="W41" s="877"/>
      <c r="X41" s="878"/>
    </row>
    <row r="42" spans="1:24" ht="26.25" customHeight="1" thickBot="1" x14ac:dyDescent="0.45">
      <c r="A42" s="4280" t="s">
        <v>858</v>
      </c>
      <c r="B42" s="4281"/>
      <c r="C42" s="4281"/>
      <c r="D42" s="4281"/>
      <c r="E42" s="4281"/>
      <c r="F42" s="4281"/>
      <c r="G42" s="4281"/>
      <c r="H42" s="4281"/>
      <c r="I42" s="4281"/>
      <c r="J42" s="4281"/>
      <c r="K42" s="4281"/>
      <c r="L42" s="4281"/>
      <c r="M42" s="4281"/>
      <c r="N42" s="4281"/>
      <c r="O42" s="4281"/>
      <c r="P42" s="4281"/>
      <c r="Q42" s="4281"/>
      <c r="R42" s="4281"/>
      <c r="S42" s="4281"/>
      <c r="T42" s="4281"/>
      <c r="U42" s="4281"/>
      <c r="V42" s="4281"/>
      <c r="W42" s="4281"/>
      <c r="X42" s="4282"/>
    </row>
    <row r="43" spans="1:24" ht="15" customHeight="1" thickBot="1" x14ac:dyDescent="0.25">
      <c r="A43" s="4249">
        <v>2016</v>
      </c>
      <c r="B43" s="4252" t="s">
        <v>387</v>
      </c>
      <c r="C43" s="4252"/>
      <c r="D43" s="4252"/>
      <c r="E43" s="4252"/>
      <c r="F43" s="4252"/>
      <c r="G43" s="4252"/>
      <c r="H43" s="4252"/>
      <c r="I43" s="4252"/>
      <c r="J43" s="4252"/>
      <c r="K43" s="4252"/>
      <c r="L43" s="4252"/>
      <c r="M43" s="4252"/>
      <c r="N43" s="4252"/>
      <c r="O43" s="4252"/>
      <c r="P43" s="4253"/>
      <c r="Q43" s="4262" t="s">
        <v>391</v>
      </c>
      <c r="R43" s="4263"/>
      <c r="S43" s="4263"/>
      <c r="T43" s="4264"/>
      <c r="U43" s="4262" t="s">
        <v>392</v>
      </c>
      <c r="V43" s="4263"/>
      <c r="W43" s="4263"/>
      <c r="X43" s="4264"/>
    </row>
    <row r="44" spans="1:24" ht="15" customHeight="1" thickBot="1" x14ac:dyDescent="0.25">
      <c r="A44" s="4250"/>
      <c r="B44" s="4268" t="s">
        <v>854</v>
      </c>
      <c r="C44" s="4269"/>
      <c r="D44" s="4269"/>
      <c r="E44" s="4269"/>
      <c r="F44" s="4270"/>
      <c r="G44" s="4271" t="s">
        <v>855</v>
      </c>
      <c r="H44" s="4272"/>
      <c r="I44" s="4272"/>
      <c r="J44" s="4272"/>
      <c r="K44" s="4273"/>
      <c r="L44" s="4271" t="s">
        <v>818</v>
      </c>
      <c r="M44" s="4272"/>
      <c r="N44" s="4272"/>
      <c r="O44" s="4272"/>
      <c r="P44" s="4274"/>
      <c r="Q44" s="4265"/>
      <c r="R44" s="4266"/>
      <c r="S44" s="4266"/>
      <c r="T44" s="4267"/>
      <c r="U44" s="4265"/>
      <c r="V44" s="4266"/>
      <c r="W44" s="4266"/>
      <c r="X44" s="4267"/>
    </row>
    <row r="45" spans="1:24" ht="15" customHeight="1" x14ac:dyDescent="0.2">
      <c r="A45" s="4250"/>
      <c r="B45" s="4254" t="s">
        <v>290</v>
      </c>
      <c r="C45" s="4257" t="s">
        <v>50</v>
      </c>
      <c r="D45" s="4257"/>
      <c r="E45" s="4257"/>
      <c r="F45" s="4258"/>
      <c r="G45" s="4259" t="s">
        <v>290</v>
      </c>
      <c r="H45" s="4260" t="s">
        <v>50</v>
      </c>
      <c r="I45" s="4260"/>
      <c r="J45" s="4260"/>
      <c r="K45" s="4261"/>
      <c r="L45" s="4259" t="s">
        <v>290</v>
      </c>
      <c r="M45" s="4260" t="s">
        <v>50</v>
      </c>
      <c r="N45" s="4260"/>
      <c r="O45" s="4260"/>
      <c r="P45" s="4261"/>
      <c r="Q45" s="4259" t="s">
        <v>290</v>
      </c>
      <c r="R45" s="4235" t="s">
        <v>50</v>
      </c>
      <c r="S45" s="4235"/>
      <c r="T45" s="4236"/>
      <c r="U45" s="4259" t="s">
        <v>290</v>
      </c>
      <c r="V45" s="4235" t="s">
        <v>50</v>
      </c>
      <c r="W45" s="4235"/>
      <c r="X45" s="4236"/>
    </row>
    <row r="46" spans="1:24" ht="15" customHeight="1" x14ac:dyDescent="0.2">
      <c r="A46" s="4250"/>
      <c r="B46" s="4255"/>
      <c r="C46" s="4237" t="s">
        <v>368</v>
      </c>
      <c r="D46" s="4245" t="s">
        <v>230</v>
      </c>
      <c r="E46" s="4245"/>
      <c r="F46" s="4314" t="s">
        <v>856</v>
      </c>
      <c r="G46" s="4255"/>
      <c r="H46" s="4237" t="s">
        <v>368</v>
      </c>
      <c r="I46" s="4245" t="s">
        <v>230</v>
      </c>
      <c r="J46" s="4245"/>
      <c r="K46" s="4314" t="s">
        <v>856</v>
      </c>
      <c r="L46" s="4255"/>
      <c r="M46" s="4237" t="s">
        <v>368</v>
      </c>
      <c r="N46" s="4245" t="s">
        <v>230</v>
      </c>
      <c r="O46" s="4245"/>
      <c r="P46" s="4314" t="s">
        <v>856</v>
      </c>
      <c r="Q46" s="4255"/>
      <c r="R46" s="4237" t="s">
        <v>368</v>
      </c>
      <c r="S46" s="4237"/>
      <c r="T46" s="4316" t="s">
        <v>856</v>
      </c>
      <c r="U46" s="4255"/>
      <c r="V46" s="4237" t="s">
        <v>368</v>
      </c>
      <c r="W46" s="4237"/>
      <c r="X46" s="4316" t="s">
        <v>856</v>
      </c>
    </row>
    <row r="47" spans="1:24" ht="15" customHeight="1" thickBot="1" x14ac:dyDescent="0.25">
      <c r="A47" s="4251"/>
      <c r="B47" s="4256"/>
      <c r="C47" s="4244"/>
      <c r="D47" s="901" t="s">
        <v>255</v>
      </c>
      <c r="E47" s="901" t="s">
        <v>289</v>
      </c>
      <c r="F47" s="4315"/>
      <c r="G47" s="4256"/>
      <c r="H47" s="4244"/>
      <c r="I47" s="901" t="s">
        <v>255</v>
      </c>
      <c r="J47" s="901" t="s">
        <v>289</v>
      </c>
      <c r="K47" s="4315"/>
      <c r="L47" s="4256"/>
      <c r="M47" s="4244"/>
      <c r="N47" s="901" t="s">
        <v>255</v>
      </c>
      <c r="O47" s="901" t="s">
        <v>289</v>
      </c>
      <c r="P47" s="4315"/>
      <c r="Q47" s="4256"/>
      <c r="R47" s="901" t="s">
        <v>857</v>
      </c>
      <c r="S47" s="901" t="s">
        <v>255</v>
      </c>
      <c r="T47" s="4315"/>
      <c r="U47" s="4256"/>
      <c r="V47" s="901" t="s">
        <v>857</v>
      </c>
      <c r="W47" s="901" t="s">
        <v>255</v>
      </c>
      <c r="X47" s="4315"/>
    </row>
    <row r="48" spans="1:24" ht="30" customHeight="1" x14ac:dyDescent="0.2">
      <c r="A48" s="902" t="s">
        <v>381</v>
      </c>
      <c r="B48" s="903">
        <f>SUM(объемы!AA49/2)</f>
        <v>1994.6085</v>
      </c>
      <c r="C48" s="904">
        <f>SUM(D48:E48)</f>
        <v>1994.6085</v>
      </c>
      <c r="D48" s="904">
        <f>SUM(объемы!AA50/2)</f>
        <v>1214.28</v>
      </c>
      <c r="E48" s="904">
        <f>SUM(объемы!AA52+объемы!AA57)/2</f>
        <v>780.32850000000008</v>
      </c>
      <c r="F48" s="905">
        <f>SUM(объемы!AA51/2)</f>
        <v>0</v>
      </c>
      <c r="G48" s="903">
        <f>B48</f>
        <v>1994.6085</v>
      </c>
      <c r="H48" s="904">
        <f>C48</f>
        <v>1994.6085</v>
      </c>
      <c r="I48" s="904">
        <f>D48</f>
        <v>1214.28</v>
      </c>
      <c r="J48" s="904">
        <f>E48</f>
        <v>780.32850000000008</v>
      </c>
      <c r="K48" s="905">
        <f>F48</f>
        <v>0</v>
      </c>
      <c r="L48" s="903">
        <f>SUM(B48+G48)</f>
        <v>3989.2170000000001</v>
      </c>
      <c r="M48" s="904">
        <f>SUM(C48+H48)</f>
        <v>3989.2170000000001</v>
      </c>
      <c r="N48" s="904">
        <f>SUM(D48+I48)</f>
        <v>2428.56</v>
      </c>
      <c r="O48" s="904">
        <f>SUM(E48+J48)</f>
        <v>1560.6570000000002</v>
      </c>
      <c r="P48" s="905">
        <f>SUM(F48+K48)</f>
        <v>0</v>
      </c>
      <c r="Q48" s="903"/>
      <c r="R48" s="906"/>
      <c r="S48" s="906"/>
      <c r="T48" s="907"/>
      <c r="U48" s="908"/>
      <c r="V48" s="906"/>
      <c r="W48" s="906"/>
      <c r="X48" s="907"/>
    </row>
    <row r="49" spans="1:24" ht="30" customHeight="1" x14ac:dyDescent="0.2">
      <c r="A49" s="909" t="s">
        <v>382</v>
      </c>
      <c r="B49" s="910" t="e">
        <f>SUM(B50/B48)</f>
        <v>#REF!</v>
      </c>
      <c r="C49" s="911" t="e">
        <f>SUM(C50/C48)</f>
        <v>#REF!</v>
      </c>
      <c r="D49" s="911">
        <f>SUM(I9)</f>
        <v>25.945700000000002</v>
      </c>
      <c r="E49" s="911" t="e">
        <f>SUM(J9)</f>
        <v>#REF!</v>
      </c>
      <c r="F49" s="912">
        <f>SUM(K9)</f>
        <v>20.11</v>
      </c>
      <c r="G49" s="910" t="e">
        <f>SUM(G50/G48)</f>
        <v>#REF!</v>
      </c>
      <c r="H49" s="911" t="e">
        <f>H50/H48</f>
        <v>#REF!</v>
      </c>
      <c r="I49" s="911">
        <f>D49*1.045</f>
        <v>27.113256500000002</v>
      </c>
      <c r="J49" s="911" t="e">
        <f>SUM(H49)</f>
        <v>#REF!</v>
      </c>
      <c r="K49" s="912" t="e">
        <f t="shared" ref="K49:P49" si="4">SUM(K50/K48)</f>
        <v>#DIV/0!</v>
      </c>
      <c r="L49" s="910">
        <f t="shared" si="4"/>
        <v>32.628198394370763</v>
      </c>
      <c r="M49" s="911">
        <f t="shared" si="4"/>
        <v>32.628198394370763</v>
      </c>
      <c r="N49" s="911">
        <f t="shared" si="4"/>
        <v>26.529478250000004</v>
      </c>
      <c r="O49" s="911" t="e">
        <f t="shared" si="4"/>
        <v>#REF!</v>
      </c>
      <c r="P49" s="912" t="e">
        <f t="shared" si="4"/>
        <v>#DIV/0!</v>
      </c>
      <c r="Q49" s="913" t="e">
        <f>SUM(G49/B49)</f>
        <v>#REF!</v>
      </c>
      <c r="R49" s="914" t="e">
        <f>SUM(H49/C49)</f>
        <v>#REF!</v>
      </c>
      <c r="S49" s="914">
        <f>I49/D49</f>
        <v>1.0449999999999999</v>
      </c>
      <c r="T49" s="915" t="e">
        <f>SUM(K49/F49)</f>
        <v>#DIV/0!</v>
      </c>
      <c r="U49" s="916" t="e">
        <f>SUM(L49/L9)</f>
        <v>#REF!</v>
      </c>
      <c r="V49" s="917" t="e">
        <f>SUM(M49/M9)</f>
        <v>#REF!</v>
      </c>
      <c r="W49" s="917">
        <f>SUM(N49/N9)</f>
        <v>1.0916200466200467</v>
      </c>
      <c r="X49" s="918" t="e">
        <f>SUM(P49/P9)</f>
        <v>#DIV/0!</v>
      </c>
    </row>
    <row r="50" spans="1:24" ht="30" customHeight="1" x14ac:dyDescent="0.2">
      <c r="A50" s="909" t="s">
        <v>383</v>
      </c>
      <c r="B50" s="910" t="e">
        <f>SUM(C50+F50)</f>
        <v>#REF!</v>
      </c>
      <c r="C50" s="911" t="e">
        <f>SUM(D50:E50)+D51</f>
        <v>#REF!</v>
      </c>
      <c r="D50" s="911">
        <f>D49*D48</f>
        <v>31505.344596000003</v>
      </c>
      <c r="E50" s="911" t="e">
        <f>E49*E48</f>
        <v>#REF!</v>
      </c>
      <c r="F50" s="912">
        <f>F49*F48</f>
        <v>0</v>
      </c>
      <c r="G50" s="910" t="e">
        <f>SUM(L50-B50)</f>
        <v>#REF!</v>
      </c>
      <c r="H50" s="911" t="e">
        <f>SUM(M50-C50)</f>
        <v>#REF!</v>
      </c>
      <c r="I50" s="911">
        <f>I49*I48</f>
        <v>32923.085102820005</v>
      </c>
      <c r="J50" s="911" t="e">
        <f>SUM(J48*J49)</f>
        <v>#REF!</v>
      </c>
      <c r="K50" s="912">
        <f>SUM(P50-F50)</f>
        <v>344.13892519829579</v>
      </c>
      <c r="L50" s="910">
        <f>вода!BE85</f>
        <v>130160.96371419655</v>
      </c>
      <c r="M50" s="911">
        <f>SUM(вода!BE85)</f>
        <v>130160.96371419655</v>
      </c>
      <c r="N50" s="911">
        <f>SUM(D50+I50)</f>
        <v>64428.429698820008</v>
      </c>
      <c r="O50" s="911" t="e">
        <f>SUM(E50+J50)</f>
        <v>#REF!</v>
      </c>
      <c r="P50" s="912">
        <f>SUM(вода!BF85)</f>
        <v>344.13892519829579</v>
      </c>
      <c r="Q50" s="910"/>
      <c r="R50" s="919"/>
      <c r="S50" s="919"/>
      <c r="T50" s="920"/>
      <c r="U50" s="921"/>
      <c r="V50" s="919"/>
      <c r="W50" s="919"/>
      <c r="X50" s="920"/>
    </row>
    <row r="51" spans="1:24" ht="30" customHeight="1" thickBot="1" x14ac:dyDescent="0.25">
      <c r="A51" s="922" t="s">
        <v>385</v>
      </c>
      <c r="B51" s="923" t="e">
        <f>SUM(C51:F51)</f>
        <v>#REF!</v>
      </c>
      <c r="C51" s="924">
        <v>0</v>
      </c>
      <c r="D51" s="924" t="e">
        <f>SUM(E49-D49)*D48</f>
        <v>#REF!</v>
      </c>
      <c r="E51" s="924">
        <v>0</v>
      </c>
      <c r="F51" s="925">
        <v>0</v>
      </c>
      <c r="G51" s="923" t="e">
        <f>SUM(H51:K51)</f>
        <v>#REF!</v>
      </c>
      <c r="H51" s="924">
        <v>0</v>
      </c>
      <c r="I51" s="924" t="e">
        <f>SUM(H49-I49)*I48</f>
        <v>#REF!</v>
      </c>
      <c r="J51" s="924">
        <v>0</v>
      </c>
      <c r="K51" s="925">
        <v>0</v>
      </c>
      <c r="L51" s="923" t="e">
        <f>SUM(M51:P51)</f>
        <v>#REF!</v>
      </c>
      <c r="M51" s="924">
        <v>0</v>
      </c>
      <c r="N51" s="924" t="e">
        <f>SUM(B51+G51)</f>
        <v>#REF!</v>
      </c>
      <c r="O51" s="924">
        <v>0</v>
      </c>
      <c r="P51" s="925">
        <v>0</v>
      </c>
      <c r="Q51" s="923"/>
      <c r="R51" s="926"/>
      <c r="S51" s="926"/>
      <c r="T51" s="927"/>
      <c r="U51" s="928"/>
      <c r="V51" s="926"/>
      <c r="W51" s="926"/>
      <c r="X51" s="927"/>
    </row>
    <row r="52" spans="1:24" ht="15" customHeight="1" thickBot="1" x14ac:dyDescent="0.25">
      <c r="A52" s="4246"/>
      <c r="B52" s="4247"/>
      <c r="C52" s="4247"/>
      <c r="D52" s="4247"/>
      <c r="E52" s="4247"/>
      <c r="F52" s="4247"/>
      <c r="G52" s="4247"/>
      <c r="H52" s="4247"/>
      <c r="I52" s="4247"/>
      <c r="J52" s="4247"/>
      <c r="K52" s="4247"/>
      <c r="L52" s="4247"/>
      <c r="M52" s="4247"/>
      <c r="N52" s="4247"/>
      <c r="O52" s="4247"/>
      <c r="P52" s="4247"/>
      <c r="Q52" s="4247"/>
      <c r="R52" s="4247"/>
      <c r="S52" s="4247"/>
      <c r="T52" s="4247"/>
      <c r="U52" s="4247"/>
      <c r="V52" s="4247"/>
      <c r="W52" s="4247"/>
      <c r="X52" s="4248"/>
    </row>
    <row r="53" spans="1:24" ht="15" customHeight="1" thickBot="1" x14ac:dyDescent="0.25">
      <c r="A53" s="4249">
        <v>2016</v>
      </c>
      <c r="B53" s="4252" t="s">
        <v>384</v>
      </c>
      <c r="C53" s="4252"/>
      <c r="D53" s="4252"/>
      <c r="E53" s="4252"/>
      <c r="F53" s="4252"/>
      <c r="G53" s="4252"/>
      <c r="H53" s="4252"/>
      <c r="I53" s="4252"/>
      <c r="J53" s="4252"/>
      <c r="K53" s="4252"/>
      <c r="L53" s="4252"/>
      <c r="M53" s="4252"/>
      <c r="N53" s="4252"/>
      <c r="O53" s="4252"/>
      <c r="P53" s="4253"/>
      <c r="Q53" s="4262" t="s">
        <v>391</v>
      </c>
      <c r="R53" s="4263"/>
      <c r="S53" s="4263"/>
      <c r="T53" s="4264"/>
      <c r="U53" s="4262" t="s">
        <v>392</v>
      </c>
      <c r="V53" s="4263"/>
      <c r="W53" s="4263"/>
      <c r="X53" s="4264"/>
    </row>
    <row r="54" spans="1:24" ht="15" customHeight="1" thickBot="1" x14ac:dyDescent="0.25">
      <c r="A54" s="4250"/>
      <c r="B54" s="4268" t="s">
        <v>854</v>
      </c>
      <c r="C54" s="4269"/>
      <c r="D54" s="4269"/>
      <c r="E54" s="4269"/>
      <c r="F54" s="4270"/>
      <c r="G54" s="4271" t="s">
        <v>855</v>
      </c>
      <c r="H54" s="4272"/>
      <c r="I54" s="4272"/>
      <c r="J54" s="4272"/>
      <c r="K54" s="4273"/>
      <c r="L54" s="4271" t="s">
        <v>818</v>
      </c>
      <c r="M54" s="4272"/>
      <c r="N54" s="4272"/>
      <c r="O54" s="4272"/>
      <c r="P54" s="4274"/>
      <c r="Q54" s="4265"/>
      <c r="R54" s="4266"/>
      <c r="S54" s="4266"/>
      <c r="T54" s="4267"/>
      <c r="U54" s="4265"/>
      <c r="V54" s="4266"/>
      <c r="W54" s="4266"/>
      <c r="X54" s="4267"/>
    </row>
    <row r="55" spans="1:24" ht="15" customHeight="1" x14ac:dyDescent="0.2">
      <c r="A55" s="4250"/>
      <c r="B55" s="4254" t="s">
        <v>290</v>
      </c>
      <c r="C55" s="4257" t="s">
        <v>50</v>
      </c>
      <c r="D55" s="4257"/>
      <c r="E55" s="4257"/>
      <c r="F55" s="4258"/>
      <c r="G55" s="4259" t="s">
        <v>290</v>
      </c>
      <c r="H55" s="4260" t="s">
        <v>50</v>
      </c>
      <c r="I55" s="4260"/>
      <c r="J55" s="4260"/>
      <c r="K55" s="4261"/>
      <c r="L55" s="4259" t="s">
        <v>290</v>
      </c>
      <c r="M55" s="4260" t="s">
        <v>50</v>
      </c>
      <c r="N55" s="4260"/>
      <c r="O55" s="4260"/>
      <c r="P55" s="4261"/>
      <c r="Q55" s="4259" t="s">
        <v>290</v>
      </c>
      <c r="R55" s="4235" t="s">
        <v>50</v>
      </c>
      <c r="S55" s="4235"/>
      <c r="T55" s="4236"/>
      <c r="U55" s="4259" t="s">
        <v>290</v>
      </c>
      <c r="V55" s="4235" t="s">
        <v>50</v>
      </c>
      <c r="W55" s="4235"/>
      <c r="X55" s="4236"/>
    </row>
    <row r="56" spans="1:24" ht="15" customHeight="1" x14ac:dyDescent="0.2">
      <c r="A56" s="4250"/>
      <c r="B56" s="4255"/>
      <c r="C56" s="4237" t="s">
        <v>368</v>
      </c>
      <c r="D56" s="4245" t="s">
        <v>230</v>
      </c>
      <c r="E56" s="4245"/>
      <c r="F56" s="4314" t="s">
        <v>856</v>
      </c>
      <c r="G56" s="4255"/>
      <c r="H56" s="4237" t="s">
        <v>368</v>
      </c>
      <c r="I56" s="4245" t="s">
        <v>230</v>
      </c>
      <c r="J56" s="4245"/>
      <c r="K56" s="4314" t="s">
        <v>856</v>
      </c>
      <c r="L56" s="4255"/>
      <c r="M56" s="4237" t="s">
        <v>368</v>
      </c>
      <c r="N56" s="4245" t="s">
        <v>230</v>
      </c>
      <c r="O56" s="4245"/>
      <c r="P56" s="4314" t="s">
        <v>856</v>
      </c>
      <c r="Q56" s="4255"/>
      <c r="R56" s="4237" t="s">
        <v>368</v>
      </c>
      <c r="S56" s="4237"/>
      <c r="T56" s="4316" t="s">
        <v>856</v>
      </c>
      <c r="U56" s="4255"/>
      <c r="V56" s="4237" t="s">
        <v>368</v>
      </c>
      <c r="W56" s="4237"/>
      <c r="X56" s="4316" t="s">
        <v>856</v>
      </c>
    </row>
    <row r="57" spans="1:24" ht="15" customHeight="1" thickBot="1" x14ac:dyDescent="0.25">
      <c r="A57" s="4251"/>
      <c r="B57" s="4256"/>
      <c r="C57" s="4244"/>
      <c r="D57" s="901" t="s">
        <v>255</v>
      </c>
      <c r="E57" s="901" t="s">
        <v>289</v>
      </c>
      <c r="F57" s="4315"/>
      <c r="G57" s="4256"/>
      <c r="H57" s="4244"/>
      <c r="I57" s="901" t="s">
        <v>255</v>
      </c>
      <c r="J57" s="901" t="s">
        <v>289</v>
      </c>
      <c r="K57" s="4315"/>
      <c r="L57" s="4256"/>
      <c r="M57" s="4244"/>
      <c r="N57" s="901" t="s">
        <v>255</v>
      </c>
      <c r="O57" s="901" t="s">
        <v>289</v>
      </c>
      <c r="P57" s="4315"/>
      <c r="Q57" s="4256"/>
      <c r="R57" s="901" t="s">
        <v>857</v>
      </c>
      <c r="S57" s="901" t="s">
        <v>255</v>
      </c>
      <c r="T57" s="4315"/>
      <c r="U57" s="4256"/>
      <c r="V57" s="901" t="s">
        <v>857</v>
      </c>
      <c r="W57" s="901" t="s">
        <v>255</v>
      </c>
      <c r="X57" s="4315"/>
    </row>
    <row r="58" spans="1:24" ht="30" customHeight="1" x14ac:dyDescent="0.2">
      <c r="A58" s="902" t="s">
        <v>381</v>
      </c>
      <c r="B58" s="903">
        <f>SUM(B48)</f>
        <v>1994.6085</v>
      </c>
      <c r="C58" s="904">
        <f t="shared" ref="C58:P58" si="5">SUM(C48)</f>
        <v>1994.6085</v>
      </c>
      <c r="D58" s="904">
        <f t="shared" si="5"/>
        <v>1214.28</v>
      </c>
      <c r="E58" s="904">
        <f t="shared" si="5"/>
        <v>780.32850000000008</v>
      </c>
      <c r="F58" s="905">
        <f t="shared" si="5"/>
        <v>0</v>
      </c>
      <c r="G58" s="903">
        <f t="shared" si="5"/>
        <v>1994.6085</v>
      </c>
      <c r="H58" s="904">
        <f t="shared" si="5"/>
        <v>1994.6085</v>
      </c>
      <c r="I58" s="904">
        <f t="shared" si="5"/>
        <v>1214.28</v>
      </c>
      <c r="J58" s="904">
        <f t="shared" si="5"/>
        <v>780.32850000000008</v>
      </c>
      <c r="K58" s="905">
        <f t="shared" si="5"/>
        <v>0</v>
      </c>
      <c r="L58" s="903">
        <f t="shared" si="5"/>
        <v>3989.2170000000001</v>
      </c>
      <c r="M58" s="904">
        <f t="shared" si="5"/>
        <v>3989.2170000000001</v>
      </c>
      <c r="N58" s="904">
        <f t="shared" si="5"/>
        <v>2428.56</v>
      </c>
      <c r="O58" s="904">
        <f t="shared" si="5"/>
        <v>1560.6570000000002</v>
      </c>
      <c r="P58" s="905">
        <f t="shared" si="5"/>
        <v>0</v>
      </c>
      <c r="Q58" s="903"/>
      <c r="R58" s="906"/>
      <c r="S58" s="906"/>
      <c r="T58" s="907"/>
      <c r="U58" s="908"/>
      <c r="V58" s="906"/>
      <c r="W58" s="906"/>
      <c r="X58" s="907"/>
    </row>
    <row r="59" spans="1:24" ht="30" customHeight="1" x14ac:dyDescent="0.2">
      <c r="A59" s="909" t="s">
        <v>382</v>
      </c>
      <c r="B59" s="910" t="e">
        <f>SUM(B60/B58)</f>
        <v>#REF!</v>
      </c>
      <c r="C59" s="911" t="e">
        <f>SUM(C60/C58)</f>
        <v>#REF!</v>
      </c>
      <c r="D59" s="911">
        <f t="shared" ref="D59:E59" si="6">SUM(I19)</f>
        <v>25.945700000000002</v>
      </c>
      <c r="E59" s="911" t="e">
        <f t="shared" si="6"/>
        <v>#REF!</v>
      </c>
      <c r="F59" s="912">
        <f>SUM(K19)</f>
        <v>20.11</v>
      </c>
      <c r="G59" s="910" t="e">
        <f>SUM(G60/G58)</f>
        <v>#REF!</v>
      </c>
      <c r="H59" s="911" t="e">
        <f>H60/H58</f>
        <v>#REF!</v>
      </c>
      <c r="I59" s="911">
        <f>D59*1.045</f>
        <v>27.113256500000002</v>
      </c>
      <c r="J59" s="911" t="e">
        <f>SUM(H59)</f>
        <v>#REF!</v>
      </c>
      <c r="K59" s="912" t="e">
        <f t="shared" ref="K59:P59" si="7">SUM(K60/K58)</f>
        <v>#DIV/0!</v>
      </c>
      <c r="L59" s="910">
        <f t="shared" si="7"/>
        <v>31.717778862216537</v>
      </c>
      <c r="M59" s="911">
        <f t="shared" si="7"/>
        <v>31.631511575879816</v>
      </c>
      <c r="N59" s="911">
        <f t="shared" si="7"/>
        <v>26.529478250000004</v>
      </c>
      <c r="O59" s="911" t="e">
        <f t="shared" si="7"/>
        <v>#REF!</v>
      </c>
      <c r="P59" s="912" t="e">
        <f t="shared" si="7"/>
        <v>#DIV/0!</v>
      </c>
      <c r="Q59" s="913" t="e">
        <f>SUM(G59/B59)</f>
        <v>#REF!</v>
      </c>
      <c r="R59" s="914" t="e">
        <f>SUM(H59/C59)</f>
        <v>#REF!</v>
      </c>
      <c r="S59" s="914">
        <f>I59/D59</f>
        <v>1.0449999999999999</v>
      </c>
      <c r="T59" s="915" t="e">
        <f>SUM(K59/F59)</f>
        <v>#DIV/0!</v>
      </c>
      <c r="U59" s="916" t="e">
        <f>SUM(L59/L19)</f>
        <v>#REF!</v>
      </c>
      <c r="V59" s="917" t="e">
        <f>SUM(M59/M19)</f>
        <v>#REF!</v>
      </c>
      <c r="W59" s="917">
        <f>SUM(N59/N19)</f>
        <v>1.0916200466200467</v>
      </c>
      <c r="X59" s="918" t="e">
        <f>SUM(P59/P19)</f>
        <v>#DIV/0!</v>
      </c>
    </row>
    <row r="60" spans="1:24" ht="30" customHeight="1" x14ac:dyDescent="0.2">
      <c r="A60" s="909" t="s">
        <v>383</v>
      </c>
      <c r="B60" s="910" t="e">
        <f>SUM(C60+F60)</f>
        <v>#REF!</v>
      </c>
      <c r="C60" s="911" t="e">
        <f>SUM(D60:E60)+D61</f>
        <v>#REF!</v>
      </c>
      <c r="D60" s="911">
        <f>D59*D58</f>
        <v>31505.344596000003</v>
      </c>
      <c r="E60" s="911" t="e">
        <f>E59*E58</f>
        <v>#REF!</v>
      </c>
      <c r="F60" s="912">
        <f>F59*F58</f>
        <v>0</v>
      </c>
      <c r="G60" s="910" t="e">
        <f>SUM(L60-B60)</f>
        <v>#REF!</v>
      </c>
      <c r="H60" s="911" t="e">
        <f>SUM(M60-C60)</f>
        <v>#REF!</v>
      </c>
      <c r="I60" s="911">
        <f>I59*I58</f>
        <v>32923.085102820005</v>
      </c>
      <c r="J60" s="911" t="e">
        <f>SUM(J58*J59)</f>
        <v>#REF!</v>
      </c>
      <c r="K60" s="912">
        <f>SUM(P60-F60)</f>
        <v>344.13892519829579</v>
      </c>
      <c r="L60" s="910">
        <f>SUM(вода!BD82)</f>
        <v>126529.10263939487</v>
      </c>
      <c r="M60" s="911">
        <f>SUM(вода!BE82)</f>
        <v>126184.96371419655</v>
      </c>
      <c r="N60" s="911">
        <f>SUM(D60+I60)</f>
        <v>64428.429698820008</v>
      </c>
      <c r="O60" s="911" t="e">
        <f>SUM(E60+J60)</f>
        <v>#REF!</v>
      </c>
      <c r="P60" s="912">
        <f>SUM(вода!BF82)</f>
        <v>344.13892519829579</v>
      </c>
      <c r="Q60" s="910"/>
      <c r="R60" s="919"/>
      <c r="S60" s="919"/>
      <c r="T60" s="920"/>
      <c r="U60" s="921"/>
      <c r="V60" s="919"/>
      <c r="W60" s="919"/>
      <c r="X60" s="920"/>
    </row>
    <row r="61" spans="1:24" ht="30" customHeight="1" thickBot="1" x14ac:dyDescent="0.25">
      <c r="A61" s="922" t="s">
        <v>385</v>
      </c>
      <c r="B61" s="923" t="e">
        <f>SUM(C61:F61)</f>
        <v>#REF!</v>
      </c>
      <c r="C61" s="924">
        <v>0</v>
      </c>
      <c r="D61" s="924" t="e">
        <f>SUM(E59-D59)*D58</f>
        <v>#REF!</v>
      </c>
      <c r="E61" s="924">
        <v>0</v>
      </c>
      <c r="F61" s="925">
        <v>0</v>
      </c>
      <c r="G61" s="923" t="e">
        <f>SUM(H61:K61)</f>
        <v>#REF!</v>
      </c>
      <c r="H61" s="924">
        <v>0</v>
      </c>
      <c r="I61" s="924" t="e">
        <f>SUM(H59-I59)*I58</f>
        <v>#REF!</v>
      </c>
      <c r="J61" s="924">
        <v>0</v>
      </c>
      <c r="K61" s="925">
        <v>0</v>
      </c>
      <c r="L61" s="923" t="e">
        <f>SUM(M61:P61)</f>
        <v>#REF!</v>
      </c>
      <c r="M61" s="924">
        <v>0</v>
      </c>
      <c r="N61" s="924" t="e">
        <f>SUM(B61+G61)</f>
        <v>#REF!</v>
      </c>
      <c r="O61" s="924">
        <v>0</v>
      </c>
      <c r="P61" s="925">
        <v>0</v>
      </c>
      <c r="Q61" s="923"/>
      <c r="R61" s="926"/>
      <c r="S61" s="926"/>
      <c r="T61" s="927"/>
      <c r="U61" s="928"/>
      <c r="V61" s="926"/>
      <c r="W61" s="926"/>
      <c r="X61" s="927"/>
    </row>
    <row r="62" spans="1:24" ht="30" customHeight="1" x14ac:dyDescent="0.2">
      <c r="A62" s="4240"/>
      <c r="B62" s="4241"/>
      <c r="C62" s="4241"/>
      <c r="D62" s="4241"/>
      <c r="E62" s="4241"/>
      <c r="F62" s="4241"/>
      <c r="G62" s="4241"/>
      <c r="H62" s="4241"/>
      <c r="I62" s="4241"/>
      <c r="J62" s="4241"/>
      <c r="K62" s="4241"/>
      <c r="L62" s="4241"/>
      <c r="M62" s="4241"/>
      <c r="N62" s="4241"/>
      <c r="O62" s="4241"/>
      <c r="P62" s="4241"/>
      <c r="Q62" s="4241"/>
      <c r="R62" s="4241"/>
      <c r="S62" s="4241"/>
      <c r="T62" s="4241"/>
      <c r="U62" s="4241"/>
      <c r="V62" s="4241"/>
      <c r="W62" s="4241"/>
      <c r="X62" s="4241"/>
    </row>
    <row r="63" spans="1:24" x14ac:dyDescent="0.2">
      <c r="A63" s="4242"/>
      <c r="B63" s="4242"/>
      <c r="C63" s="4242"/>
      <c r="D63" s="4242"/>
      <c r="E63" s="4242"/>
      <c r="F63" s="4242"/>
      <c r="G63" s="4242"/>
      <c r="H63" s="4242"/>
      <c r="I63" s="4242"/>
      <c r="J63" s="4242"/>
      <c r="K63" s="4242"/>
      <c r="L63" s="4242"/>
      <c r="M63" s="4242"/>
      <c r="N63" s="4242"/>
      <c r="O63" s="4242"/>
      <c r="P63" s="4242"/>
      <c r="Q63" s="4242"/>
      <c r="R63" s="4242"/>
      <c r="S63" s="4242"/>
      <c r="T63" s="4242"/>
      <c r="U63" s="4242"/>
      <c r="V63" s="4242"/>
      <c r="W63" s="4242"/>
      <c r="X63" s="4242"/>
    </row>
    <row r="64" spans="1:24" ht="13.5" thickBot="1" x14ac:dyDescent="0.25">
      <c r="A64" s="4243"/>
      <c r="B64" s="4243"/>
      <c r="C64" s="4243"/>
      <c r="D64" s="4243"/>
      <c r="E64" s="4243"/>
      <c r="F64" s="4243"/>
      <c r="G64" s="4243"/>
      <c r="H64" s="4243"/>
      <c r="I64" s="4243"/>
      <c r="J64" s="4243"/>
      <c r="K64" s="4243"/>
      <c r="L64" s="4243"/>
      <c r="M64" s="4243"/>
      <c r="N64" s="4243"/>
      <c r="O64" s="4243"/>
      <c r="P64" s="4243"/>
      <c r="Q64" s="4243"/>
      <c r="R64" s="4243"/>
      <c r="S64" s="4243"/>
      <c r="T64" s="4243"/>
      <c r="U64" s="4243"/>
      <c r="V64" s="4243"/>
      <c r="W64" s="4243"/>
      <c r="X64" s="4243"/>
    </row>
    <row r="65" spans="1:24" ht="27" hidden="1" thickBot="1" x14ac:dyDescent="0.45">
      <c r="A65" s="4311" t="s">
        <v>861</v>
      </c>
      <c r="B65" s="4312"/>
      <c r="C65" s="4312"/>
      <c r="D65" s="4312"/>
      <c r="E65" s="4312"/>
      <c r="F65" s="4312"/>
      <c r="G65" s="4312"/>
      <c r="H65" s="4312"/>
      <c r="I65" s="4312"/>
      <c r="J65" s="4312"/>
      <c r="K65" s="4312"/>
      <c r="L65" s="4312"/>
      <c r="M65" s="4312"/>
      <c r="N65" s="4312"/>
      <c r="O65" s="4312"/>
      <c r="P65" s="4312"/>
      <c r="Q65" s="4312"/>
      <c r="R65" s="4312"/>
      <c r="S65" s="4312"/>
      <c r="T65" s="4312"/>
      <c r="U65" s="4312"/>
      <c r="V65" s="4312"/>
      <c r="W65" s="4312"/>
      <c r="X65" s="4313"/>
    </row>
    <row r="66" spans="1:24" ht="15.75" hidden="1" customHeight="1" thickBot="1" x14ac:dyDescent="0.25">
      <c r="A66" s="4283">
        <v>2015</v>
      </c>
      <c r="B66" s="4286" t="s">
        <v>387</v>
      </c>
      <c r="C66" s="4286"/>
      <c r="D66" s="4286"/>
      <c r="E66" s="4286"/>
      <c r="F66" s="4286"/>
      <c r="G66" s="4286"/>
      <c r="H66" s="4286"/>
      <c r="I66" s="4286"/>
      <c r="J66" s="4286"/>
      <c r="K66" s="4286"/>
      <c r="L66" s="4286"/>
      <c r="M66" s="4286"/>
      <c r="N66" s="4286"/>
      <c r="O66" s="4286"/>
      <c r="P66" s="4287"/>
      <c r="Q66" s="4288" t="s">
        <v>391</v>
      </c>
      <c r="R66" s="4289"/>
      <c r="S66" s="4289"/>
      <c r="T66" s="4290"/>
      <c r="U66" s="4288" t="s">
        <v>392</v>
      </c>
      <c r="V66" s="4289"/>
      <c r="W66" s="4289"/>
      <c r="X66" s="4290"/>
    </row>
    <row r="67" spans="1:24" ht="15.75" hidden="1" customHeight="1" thickBot="1" x14ac:dyDescent="0.25">
      <c r="A67" s="4284"/>
      <c r="B67" s="4294" t="s">
        <v>388</v>
      </c>
      <c r="C67" s="4295"/>
      <c r="D67" s="4295"/>
      <c r="E67" s="4295"/>
      <c r="F67" s="4296"/>
      <c r="G67" s="4297" t="s">
        <v>389</v>
      </c>
      <c r="H67" s="4298"/>
      <c r="I67" s="4298"/>
      <c r="J67" s="4298"/>
      <c r="K67" s="4299"/>
      <c r="L67" s="4297" t="s">
        <v>364</v>
      </c>
      <c r="M67" s="4298"/>
      <c r="N67" s="4298"/>
      <c r="O67" s="4298"/>
      <c r="P67" s="4300"/>
      <c r="Q67" s="4291"/>
      <c r="R67" s="4292"/>
      <c r="S67" s="4292"/>
      <c r="T67" s="4293"/>
      <c r="U67" s="4291"/>
      <c r="V67" s="4292"/>
      <c r="W67" s="4292"/>
      <c r="X67" s="4293"/>
    </row>
    <row r="68" spans="1:24" ht="15.75" hidden="1" customHeight="1" x14ac:dyDescent="0.2">
      <c r="A68" s="4284"/>
      <c r="B68" s="4301" t="s">
        <v>290</v>
      </c>
      <c r="C68" s="4304" t="s">
        <v>50</v>
      </c>
      <c r="D68" s="4304"/>
      <c r="E68" s="4304"/>
      <c r="F68" s="4305"/>
      <c r="G68" s="4306" t="s">
        <v>290</v>
      </c>
      <c r="H68" s="4307" t="s">
        <v>50</v>
      </c>
      <c r="I68" s="4307"/>
      <c r="J68" s="4307"/>
      <c r="K68" s="4308"/>
      <c r="L68" s="4306" t="s">
        <v>290</v>
      </c>
      <c r="M68" s="4307" t="s">
        <v>50</v>
      </c>
      <c r="N68" s="4307"/>
      <c r="O68" s="4307"/>
      <c r="P68" s="4308"/>
      <c r="Q68" s="4306" t="s">
        <v>290</v>
      </c>
      <c r="R68" s="4309" t="s">
        <v>50</v>
      </c>
      <c r="S68" s="4309"/>
      <c r="T68" s="4310"/>
      <c r="U68" s="4306" t="s">
        <v>290</v>
      </c>
      <c r="V68" s="4309" t="s">
        <v>50</v>
      </c>
      <c r="W68" s="4309"/>
      <c r="X68" s="4310"/>
    </row>
    <row r="69" spans="1:24" ht="15.75" hidden="1" customHeight="1" x14ac:dyDescent="0.2">
      <c r="A69" s="4284"/>
      <c r="B69" s="4302"/>
      <c r="C69" s="4275" t="s">
        <v>316</v>
      </c>
      <c r="D69" s="4277" t="s">
        <v>230</v>
      </c>
      <c r="E69" s="4277"/>
      <c r="F69" s="4278" t="s">
        <v>864</v>
      </c>
      <c r="G69" s="4302"/>
      <c r="H69" s="4275" t="s">
        <v>316</v>
      </c>
      <c r="I69" s="4277" t="s">
        <v>230</v>
      </c>
      <c r="J69" s="4277"/>
      <c r="K69" s="4278" t="s">
        <v>864</v>
      </c>
      <c r="L69" s="4302"/>
      <c r="M69" s="4275" t="s">
        <v>316</v>
      </c>
      <c r="N69" s="4277" t="s">
        <v>230</v>
      </c>
      <c r="O69" s="4277"/>
      <c r="P69" s="4278" t="s">
        <v>864</v>
      </c>
      <c r="Q69" s="4302"/>
      <c r="R69" s="4275" t="s">
        <v>316</v>
      </c>
      <c r="S69" s="4275"/>
      <c r="T69" s="4278" t="s">
        <v>864</v>
      </c>
      <c r="U69" s="4302"/>
      <c r="V69" s="4275" t="s">
        <v>316</v>
      </c>
      <c r="W69" s="4275"/>
      <c r="X69" s="4278" t="s">
        <v>864</v>
      </c>
    </row>
    <row r="70" spans="1:24" ht="15.75" hidden="1" customHeight="1" thickBot="1" x14ac:dyDescent="0.25">
      <c r="A70" s="4285"/>
      <c r="B70" s="4303"/>
      <c r="C70" s="4276"/>
      <c r="D70" s="892" t="s">
        <v>255</v>
      </c>
      <c r="E70" s="892" t="s">
        <v>289</v>
      </c>
      <c r="F70" s="4279"/>
      <c r="G70" s="4303"/>
      <c r="H70" s="4276"/>
      <c r="I70" s="892" t="s">
        <v>255</v>
      </c>
      <c r="J70" s="892" t="s">
        <v>289</v>
      </c>
      <c r="K70" s="4279"/>
      <c r="L70" s="4303"/>
      <c r="M70" s="4276"/>
      <c r="N70" s="892" t="s">
        <v>255</v>
      </c>
      <c r="O70" s="892" t="s">
        <v>289</v>
      </c>
      <c r="P70" s="4279"/>
      <c r="Q70" s="4303"/>
      <c r="R70" s="897" t="s">
        <v>857</v>
      </c>
      <c r="S70" s="897" t="s">
        <v>255</v>
      </c>
      <c r="T70" s="4279"/>
      <c r="U70" s="4303"/>
      <c r="V70" s="897" t="s">
        <v>857</v>
      </c>
      <c r="W70" s="897" t="s">
        <v>255</v>
      </c>
      <c r="X70" s="4279"/>
    </row>
    <row r="71" spans="1:24" ht="30" hidden="1" customHeight="1" x14ac:dyDescent="0.2">
      <c r="A71" s="896" t="s">
        <v>381</v>
      </c>
      <c r="B71" s="893">
        <f>SUM(объемы!M63/2)</f>
        <v>1822.35</v>
      </c>
      <c r="C71" s="894">
        <f>SUM(D71:E71)</f>
        <v>1822.35</v>
      </c>
      <c r="D71" s="894">
        <f>SUM(объемы!M64/2)</f>
        <v>1300</v>
      </c>
      <c r="E71" s="894">
        <f>SUM(объемы!M65/2)</f>
        <v>522.35</v>
      </c>
      <c r="F71" s="895">
        <f>SUM(объемы!M70/2)</f>
        <v>0</v>
      </c>
      <c r="G71" s="893">
        <f>B71</f>
        <v>1822.35</v>
      </c>
      <c r="H71" s="894">
        <f>C71</f>
        <v>1822.35</v>
      </c>
      <c r="I71" s="894">
        <f>D71</f>
        <v>1300</v>
      </c>
      <c r="J71" s="894">
        <f>E71</f>
        <v>522.35</v>
      </c>
      <c r="K71" s="895">
        <f>F71</f>
        <v>0</v>
      </c>
      <c r="L71" s="893">
        <f>SUM(B71+G71)</f>
        <v>3644.7</v>
      </c>
      <c r="M71" s="894">
        <f>SUM(C71+H71)</f>
        <v>3644.7</v>
      </c>
      <c r="N71" s="894">
        <f>SUM(D71+I71)</f>
        <v>2600</v>
      </c>
      <c r="O71" s="894">
        <f>SUM(E71+J71)</f>
        <v>1044.7</v>
      </c>
      <c r="P71" s="895">
        <f>SUM(F71+K71)</f>
        <v>0</v>
      </c>
      <c r="Q71" s="893"/>
      <c r="R71" s="929"/>
      <c r="S71" s="929"/>
      <c r="T71" s="930"/>
      <c r="U71" s="931"/>
      <c r="V71" s="929"/>
      <c r="W71" s="929"/>
      <c r="X71" s="930"/>
    </row>
    <row r="72" spans="1:24" ht="30" hidden="1" customHeight="1" x14ac:dyDescent="0.2">
      <c r="A72" s="879" t="s">
        <v>382</v>
      </c>
      <c r="B72" s="885">
        <f>SUM(B73/B71)</f>
        <v>24.290000000000003</v>
      </c>
      <c r="C72" s="886">
        <f>SUM(C73/C71)</f>
        <v>24.290000000000003</v>
      </c>
      <c r="D72" s="886">
        <v>18.350000000000001</v>
      </c>
      <c r="E72" s="886">
        <v>24.29</v>
      </c>
      <c r="F72" s="887">
        <v>12.04</v>
      </c>
      <c r="G72" s="885" t="e">
        <f>SUM(G73/G71)</f>
        <v>#REF!</v>
      </c>
      <c r="H72" s="886" t="e">
        <f>H73/H71</f>
        <v>#REF!</v>
      </c>
      <c r="I72" s="886">
        <v>21.01</v>
      </c>
      <c r="J72" s="886" t="e">
        <f>SUM(H72)</f>
        <v>#REF!</v>
      </c>
      <c r="K72" s="887">
        <v>13.79</v>
      </c>
      <c r="L72" s="885" t="e">
        <f>SUM(L73/L71)</f>
        <v>#REF!</v>
      </c>
      <c r="M72" s="886" t="e">
        <f>SUM(M73/M71)</f>
        <v>#REF!</v>
      </c>
      <c r="N72" s="886">
        <f>SUM(N73/N71)</f>
        <v>19.680000000000003</v>
      </c>
      <c r="O72" s="886" t="e">
        <f>SUM(O73/O71)</f>
        <v>#REF!</v>
      </c>
      <c r="P72" s="887" t="e">
        <f>SUM(P73/P71)</f>
        <v>#REF!</v>
      </c>
      <c r="Q72" s="888" t="e">
        <f>SUM(G72/B72)</f>
        <v>#REF!</v>
      </c>
      <c r="R72" s="932" t="e">
        <f>SUM(H72/C72)</f>
        <v>#REF!</v>
      </c>
      <c r="S72" s="932">
        <f>I72/D72</f>
        <v>1.144959128065395</v>
      </c>
      <c r="T72" s="933">
        <f>SUM(K72/F72)</f>
        <v>1.1453488372093024</v>
      </c>
      <c r="U72" s="934" t="e">
        <f>SUM(L72/стоки!Y110)</f>
        <v>#REF!</v>
      </c>
      <c r="V72" s="935" t="e">
        <f>SUM(M72/стоки!Z110)</f>
        <v>#REF!</v>
      </c>
      <c r="W72" s="935">
        <f>SUM(N72/16.93)</f>
        <v>1.1624335499114</v>
      </c>
      <c r="X72" s="936" t="e">
        <f>SUM(P72/стоки!AA110)</f>
        <v>#REF!</v>
      </c>
    </row>
    <row r="73" spans="1:24" ht="30" hidden="1" customHeight="1" x14ac:dyDescent="0.2">
      <c r="A73" s="879" t="s">
        <v>383</v>
      </c>
      <c r="B73" s="885">
        <f>SUM(C73+F73)</f>
        <v>44264.881500000003</v>
      </c>
      <c r="C73" s="886">
        <f>SUM(D73:E73)+D74</f>
        <v>44264.881500000003</v>
      </c>
      <c r="D73" s="886">
        <f>D72*D71</f>
        <v>23855.000000000004</v>
      </c>
      <c r="E73" s="886">
        <f>E72*E71</f>
        <v>12687.8815</v>
      </c>
      <c r="F73" s="887">
        <f>F72*F71</f>
        <v>0</v>
      </c>
      <c r="G73" s="885" t="e">
        <f>SUM(L73-B73)</f>
        <v>#REF!</v>
      </c>
      <c r="H73" s="886" t="e">
        <f>SUM(M73-C73)</f>
        <v>#REF!</v>
      </c>
      <c r="I73" s="886">
        <f>I72*I71</f>
        <v>27313.000000000004</v>
      </c>
      <c r="J73" s="886" t="e">
        <f>SUM(J71*J72)</f>
        <v>#REF!</v>
      </c>
      <c r="K73" s="887" t="e">
        <f>SUM(P73-F73)</f>
        <v>#REF!</v>
      </c>
      <c r="L73" s="885" t="e">
        <f>SUM(стоки!AI109)</f>
        <v>#REF!</v>
      </c>
      <c r="M73" s="886" t="e">
        <f>SUM(стоки!AK109)</f>
        <v>#REF!</v>
      </c>
      <c r="N73" s="886">
        <f>SUM(D73+I73)</f>
        <v>51168.000000000007</v>
      </c>
      <c r="O73" s="886" t="e">
        <f>SUM(E73+J73)</f>
        <v>#REF!</v>
      </c>
      <c r="P73" s="887" t="e">
        <f>SUM(стоки!AL109)</f>
        <v>#REF!</v>
      </c>
      <c r="Q73" s="885"/>
      <c r="R73" s="937"/>
      <c r="S73" s="937"/>
      <c r="T73" s="938"/>
      <c r="U73" s="939"/>
      <c r="V73" s="937"/>
      <c r="W73" s="937"/>
      <c r="X73" s="938"/>
    </row>
    <row r="74" spans="1:24" ht="30" hidden="1" customHeight="1" thickBot="1" x14ac:dyDescent="0.25">
      <c r="A74" s="880" t="s">
        <v>385</v>
      </c>
      <c r="B74" s="889">
        <f>SUM(C74:F74)</f>
        <v>7721.9999999999973</v>
      </c>
      <c r="C74" s="890">
        <v>0</v>
      </c>
      <c r="D74" s="890">
        <f>SUM(E72-D72)*D71</f>
        <v>7721.9999999999973</v>
      </c>
      <c r="E74" s="890">
        <v>0</v>
      </c>
      <c r="F74" s="891">
        <v>0</v>
      </c>
      <c r="G74" s="889" t="e">
        <f>SUM(H74:K74)</f>
        <v>#REF!</v>
      </c>
      <c r="H74" s="890">
        <v>0</v>
      </c>
      <c r="I74" s="890" t="e">
        <f>SUM(H72-I72)*I71</f>
        <v>#REF!</v>
      </c>
      <c r="J74" s="890">
        <v>0</v>
      </c>
      <c r="K74" s="891">
        <v>0</v>
      </c>
      <c r="L74" s="889" t="e">
        <f>SUM(M74:P74)</f>
        <v>#REF!</v>
      </c>
      <c r="M74" s="890">
        <v>0</v>
      </c>
      <c r="N74" s="890" t="e">
        <f>SUM(B74+G74)</f>
        <v>#REF!</v>
      </c>
      <c r="O74" s="890">
        <v>0</v>
      </c>
      <c r="P74" s="891">
        <v>0</v>
      </c>
      <c r="Q74" s="889"/>
      <c r="R74" s="940"/>
      <c r="S74" s="940"/>
      <c r="T74" s="941"/>
      <c r="U74" s="942"/>
      <c r="V74" s="940"/>
      <c r="W74" s="940"/>
      <c r="X74" s="941"/>
    </row>
    <row r="75" spans="1:24" ht="15.75" hidden="1" customHeight="1" thickBot="1" x14ac:dyDescent="0.25">
      <c r="A75" s="4246"/>
      <c r="B75" s="4247"/>
      <c r="C75" s="4247"/>
      <c r="D75" s="4247"/>
      <c r="E75" s="4247"/>
      <c r="F75" s="4247"/>
      <c r="G75" s="4247"/>
      <c r="H75" s="4247"/>
      <c r="I75" s="4247"/>
      <c r="J75" s="4247"/>
      <c r="K75" s="4247"/>
      <c r="L75" s="4247"/>
      <c r="M75" s="4247"/>
      <c r="N75" s="4247"/>
      <c r="O75" s="4247"/>
      <c r="P75" s="4247"/>
      <c r="Q75" s="4247"/>
      <c r="R75" s="4247"/>
      <c r="S75" s="4247"/>
      <c r="T75" s="4247"/>
      <c r="U75" s="4247"/>
      <c r="V75" s="4247"/>
      <c r="W75" s="4247"/>
      <c r="X75" s="4248"/>
    </row>
    <row r="76" spans="1:24" ht="15.75" hidden="1" customHeight="1" thickBot="1" x14ac:dyDescent="0.25">
      <c r="A76" s="4283">
        <v>2015</v>
      </c>
      <c r="B76" s="4286" t="s">
        <v>384</v>
      </c>
      <c r="C76" s="4286"/>
      <c r="D76" s="4286"/>
      <c r="E76" s="4286"/>
      <c r="F76" s="4286"/>
      <c r="G76" s="4286"/>
      <c r="H76" s="4286"/>
      <c r="I76" s="4286"/>
      <c r="J76" s="4286"/>
      <c r="K76" s="4286"/>
      <c r="L76" s="4286"/>
      <c r="M76" s="4286"/>
      <c r="N76" s="4286"/>
      <c r="O76" s="4286"/>
      <c r="P76" s="4287"/>
      <c r="Q76" s="4288" t="s">
        <v>391</v>
      </c>
      <c r="R76" s="4289"/>
      <c r="S76" s="4289"/>
      <c r="T76" s="4290"/>
      <c r="U76" s="4288" t="s">
        <v>392</v>
      </c>
      <c r="V76" s="4289"/>
      <c r="W76" s="4289"/>
      <c r="X76" s="4290"/>
    </row>
    <row r="77" spans="1:24" ht="15.75" hidden="1" customHeight="1" thickBot="1" x14ac:dyDescent="0.25">
      <c r="A77" s="4284"/>
      <c r="B77" s="4294" t="s">
        <v>388</v>
      </c>
      <c r="C77" s="4295"/>
      <c r="D77" s="4295"/>
      <c r="E77" s="4295"/>
      <c r="F77" s="4296"/>
      <c r="G77" s="4297" t="s">
        <v>389</v>
      </c>
      <c r="H77" s="4298"/>
      <c r="I77" s="4298"/>
      <c r="J77" s="4298"/>
      <c r="K77" s="4299"/>
      <c r="L77" s="4297" t="s">
        <v>364</v>
      </c>
      <c r="M77" s="4298"/>
      <c r="N77" s="4298"/>
      <c r="O77" s="4298"/>
      <c r="P77" s="4300"/>
      <c r="Q77" s="4291"/>
      <c r="R77" s="4292"/>
      <c r="S77" s="4292"/>
      <c r="T77" s="4293"/>
      <c r="U77" s="4291"/>
      <c r="V77" s="4292"/>
      <c r="W77" s="4292"/>
      <c r="X77" s="4293"/>
    </row>
    <row r="78" spans="1:24" ht="15.75" hidden="1" customHeight="1" x14ac:dyDescent="0.2">
      <c r="A78" s="4284"/>
      <c r="B78" s="4301" t="s">
        <v>290</v>
      </c>
      <c r="C78" s="4304" t="s">
        <v>50</v>
      </c>
      <c r="D78" s="4304"/>
      <c r="E78" s="4304"/>
      <c r="F78" s="4305"/>
      <c r="G78" s="4306" t="s">
        <v>290</v>
      </c>
      <c r="H78" s="4307" t="s">
        <v>50</v>
      </c>
      <c r="I78" s="4307"/>
      <c r="J78" s="4307"/>
      <c r="K78" s="4308"/>
      <c r="L78" s="4306" t="s">
        <v>290</v>
      </c>
      <c r="M78" s="4307" t="s">
        <v>50</v>
      </c>
      <c r="N78" s="4307"/>
      <c r="O78" s="4307"/>
      <c r="P78" s="4308"/>
      <c r="Q78" s="4306" t="s">
        <v>290</v>
      </c>
      <c r="R78" s="4309" t="s">
        <v>50</v>
      </c>
      <c r="S78" s="4309"/>
      <c r="T78" s="4310"/>
      <c r="U78" s="4306" t="s">
        <v>290</v>
      </c>
      <c r="V78" s="4309" t="s">
        <v>50</v>
      </c>
      <c r="W78" s="4309"/>
      <c r="X78" s="4310"/>
    </row>
    <row r="79" spans="1:24" ht="15.75" hidden="1" customHeight="1" x14ac:dyDescent="0.2">
      <c r="A79" s="4284"/>
      <c r="B79" s="4302"/>
      <c r="C79" s="4275" t="s">
        <v>316</v>
      </c>
      <c r="D79" s="4277" t="s">
        <v>230</v>
      </c>
      <c r="E79" s="4277"/>
      <c r="F79" s="4278" t="s">
        <v>864</v>
      </c>
      <c r="G79" s="4302"/>
      <c r="H79" s="4275" t="s">
        <v>316</v>
      </c>
      <c r="I79" s="4277" t="s">
        <v>230</v>
      </c>
      <c r="J79" s="4277"/>
      <c r="K79" s="4278" t="s">
        <v>864</v>
      </c>
      <c r="L79" s="4302"/>
      <c r="M79" s="4275" t="s">
        <v>316</v>
      </c>
      <c r="N79" s="4277" t="s">
        <v>230</v>
      </c>
      <c r="O79" s="4277"/>
      <c r="P79" s="4278" t="s">
        <v>864</v>
      </c>
      <c r="Q79" s="4302"/>
      <c r="R79" s="4275" t="s">
        <v>316</v>
      </c>
      <c r="S79" s="4275"/>
      <c r="T79" s="4278" t="s">
        <v>864</v>
      </c>
      <c r="U79" s="4302"/>
      <c r="V79" s="4275" t="s">
        <v>316</v>
      </c>
      <c r="W79" s="4275"/>
      <c r="X79" s="4278" t="s">
        <v>864</v>
      </c>
    </row>
    <row r="80" spans="1:24" ht="15.75" hidden="1" customHeight="1" thickBot="1" x14ac:dyDescent="0.25">
      <c r="A80" s="4285"/>
      <c r="B80" s="4303"/>
      <c r="C80" s="4276"/>
      <c r="D80" s="892" t="s">
        <v>255</v>
      </c>
      <c r="E80" s="892" t="s">
        <v>289</v>
      </c>
      <c r="F80" s="4279"/>
      <c r="G80" s="4303"/>
      <c r="H80" s="4276"/>
      <c r="I80" s="892" t="s">
        <v>255</v>
      </c>
      <c r="J80" s="892" t="s">
        <v>289</v>
      </c>
      <c r="K80" s="4279"/>
      <c r="L80" s="4303"/>
      <c r="M80" s="4276"/>
      <c r="N80" s="892" t="s">
        <v>255</v>
      </c>
      <c r="O80" s="892" t="s">
        <v>289</v>
      </c>
      <c r="P80" s="4279"/>
      <c r="Q80" s="4303"/>
      <c r="R80" s="897" t="s">
        <v>857</v>
      </c>
      <c r="S80" s="897" t="s">
        <v>255</v>
      </c>
      <c r="T80" s="4279"/>
      <c r="U80" s="4303"/>
      <c r="V80" s="897" t="s">
        <v>857</v>
      </c>
      <c r="W80" s="897" t="s">
        <v>255</v>
      </c>
      <c r="X80" s="4279"/>
    </row>
    <row r="81" spans="1:24" ht="30" hidden="1" customHeight="1" x14ac:dyDescent="0.2">
      <c r="A81" s="896" t="s">
        <v>381</v>
      </c>
      <c r="B81" s="893">
        <f>SUM(B71)</f>
        <v>1822.35</v>
      </c>
      <c r="C81" s="894">
        <f t="shared" ref="C81:P81" si="8">SUM(C71)</f>
        <v>1822.35</v>
      </c>
      <c r="D81" s="894">
        <f t="shared" si="8"/>
        <v>1300</v>
      </c>
      <c r="E81" s="894">
        <f t="shared" si="8"/>
        <v>522.35</v>
      </c>
      <c r="F81" s="895">
        <f t="shared" si="8"/>
        <v>0</v>
      </c>
      <c r="G81" s="893">
        <f t="shared" si="8"/>
        <v>1822.35</v>
      </c>
      <c r="H81" s="894">
        <f t="shared" si="8"/>
        <v>1822.35</v>
      </c>
      <c r="I81" s="894">
        <f t="shared" si="8"/>
        <v>1300</v>
      </c>
      <c r="J81" s="894">
        <f t="shared" si="8"/>
        <v>522.35</v>
      </c>
      <c r="K81" s="895">
        <f t="shared" si="8"/>
        <v>0</v>
      </c>
      <c r="L81" s="893">
        <f t="shared" si="8"/>
        <v>3644.7</v>
      </c>
      <c r="M81" s="894">
        <f t="shared" si="8"/>
        <v>3644.7</v>
      </c>
      <c r="N81" s="894">
        <f t="shared" si="8"/>
        <v>2600</v>
      </c>
      <c r="O81" s="894">
        <f t="shared" si="8"/>
        <v>1044.7</v>
      </c>
      <c r="P81" s="895">
        <f t="shared" si="8"/>
        <v>0</v>
      </c>
      <c r="Q81" s="893"/>
      <c r="R81" s="929"/>
      <c r="S81" s="929"/>
      <c r="T81" s="930"/>
      <c r="U81" s="931"/>
      <c r="V81" s="929"/>
      <c r="W81" s="929"/>
      <c r="X81" s="930"/>
    </row>
    <row r="82" spans="1:24" ht="30" hidden="1" customHeight="1" x14ac:dyDescent="0.2">
      <c r="A82" s="879" t="s">
        <v>382</v>
      </c>
      <c r="B82" s="885">
        <f>SUM(B83/B81)</f>
        <v>21.58</v>
      </c>
      <c r="C82" s="886">
        <f>SUM(C83/C81)</f>
        <v>21.58</v>
      </c>
      <c r="D82" s="886">
        <v>18.350000000000001</v>
      </c>
      <c r="E82" s="886">
        <v>21.58</v>
      </c>
      <c r="F82" s="887">
        <v>12.04</v>
      </c>
      <c r="G82" s="885" t="e">
        <f>SUM(G83/G81)</f>
        <v>#REF!</v>
      </c>
      <c r="H82" s="886">
        <v>25.05</v>
      </c>
      <c r="I82" s="886">
        <v>21.01</v>
      </c>
      <c r="J82" s="886">
        <v>25.05</v>
      </c>
      <c r="K82" s="887">
        <v>13.79</v>
      </c>
      <c r="L82" s="885" t="e">
        <f>SUM(L83/L81)</f>
        <v>#REF!</v>
      </c>
      <c r="M82" s="886" t="e">
        <f>SUM(M83/M81)</f>
        <v>#REF!</v>
      </c>
      <c r="N82" s="886">
        <f>SUM(N83/N81)</f>
        <v>19.680000000000003</v>
      </c>
      <c r="O82" s="886">
        <f>SUM(O83/O81)</f>
        <v>23.315000000000001</v>
      </c>
      <c r="P82" s="887" t="e">
        <f>SUM(P83/P81)</f>
        <v>#REF!</v>
      </c>
      <c r="Q82" s="888" t="e">
        <f>SUM(G82/B82)</f>
        <v>#REF!</v>
      </c>
      <c r="R82" s="932">
        <f>SUM(H82/C82)</f>
        <v>1.1607970342910103</v>
      </c>
      <c r="S82" s="932">
        <f>I82/D82</f>
        <v>1.144959128065395</v>
      </c>
      <c r="T82" s="933">
        <f>SUM(K82/F82)</f>
        <v>1.1453488372093024</v>
      </c>
      <c r="U82" s="934" t="e">
        <f>SUM(L82/стоки!Y107)</f>
        <v>#REF!</v>
      </c>
      <c r="V82" s="935" t="e">
        <f>SUM(M82/стоки!Z107)</f>
        <v>#REF!</v>
      </c>
      <c r="W82" s="935">
        <f>SUM(N82/16.93)</f>
        <v>1.1624335499114</v>
      </c>
      <c r="X82" s="936" t="e">
        <f>SUM(P82/стоки!AA107)</f>
        <v>#REF!</v>
      </c>
    </row>
    <row r="83" spans="1:24" ht="30" hidden="1" customHeight="1" x14ac:dyDescent="0.2">
      <c r="A83" s="879" t="s">
        <v>383</v>
      </c>
      <c r="B83" s="885">
        <f>SUM(C83+F83)</f>
        <v>39326.312999999995</v>
      </c>
      <c r="C83" s="886">
        <f>SUM(D83:E83)+D84</f>
        <v>39326.312999999995</v>
      </c>
      <c r="D83" s="886">
        <f>D82*D81</f>
        <v>23855.000000000004</v>
      </c>
      <c r="E83" s="886">
        <f>E82*E81</f>
        <v>11272.313</v>
      </c>
      <c r="F83" s="887">
        <f>F82*F81</f>
        <v>0</v>
      </c>
      <c r="G83" s="885" t="e">
        <f>SUM(L83-B83)</f>
        <v>#REF!</v>
      </c>
      <c r="H83" s="886" t="e">
        <f>SUM(M83-C83)</f>
        <v>#REF!</v>
      </c>
      <c r="I83" s="886">
        <f>I82*I81</f>
        <v>27313.000000000004</v>
      </c>
      <c r="J83" s="886">
        <f>SUM(J81*J82)</f>
        <v>13084.8675</v>
      </c>
      <c r="K83" s="887" t="e">
        <f>SUM(P83-F83)</f>
        <v>#REF!</v>
      </c>
      <c r="L83" s="885" t="e">
        <f>SUM(стоки!AI106)</f>
        <v>#REF!</v>
      </c>
      <c r="M83" s="886" t="e">
        <f>SUM(стоки!AK106)</f>
        <v>#REF!</v>
      </c>
      <c r="N83" s="886">
        <f>SUM(D83+I83)</f>
        <v>51168.000000000007</v>
      </c>
      <c r="O83" s="886">
        <f>SUM(E83+J83)</f>
        <v>24357.180500000002</v>
      </c>
      <c r="P83" s="887" t="e">
        <f>SUM(стоки!AL106)</f>
        <v>#REF!</v>
      </c>
      <c r="Q83" s="885"/>
      <c r="R83" s="937"/>
      <c r="S83" s="937"/>
      <c r="T83" s="938"/>
      <c r="U83" s="939"/>
      <c r="V83" s="937"/>
      <c r="W83" s="937"/>
      <c r="X83" s="938"/>
    </row>
    <row r="84" spans="1:24" ht="30" hidden="1" customHeight="1" thickBot="1" x14ac:dyDescent="0.25">
      <c r="A84" s="880" t="s">
        <v>385</v>
      </c>
      <c r="B84" s="889">
        <f>SUM(C84:F84)</f>
        <v>4198.9999999999964</v>
      </c>
      <c r="C84" s="890">
        <v>0</v>
      </c>
      <c r="D84" s="890">
        <f>SUM(E82-D82)*D81</f>
        <v>4198.9999999999964</v>
      </c>
      <c r="E84" s="890">
        <v>0</v>
      </c>
      <c r="F84" s="891">
        <v>0</v>
      </c>
      <c r="G84" s="889">
        <f>SUM(H84:K84)</f>
        <v>5251.9999999999991</v>
      </c>
      <c r="H84" s="890">
        <v>0</v>
      </c>
      <c r="I84" s="890">
        <f>SUM(H82-I82)*I81</f>
        <v>5251.9999999999991</v>
      </c>
      <c r="J84" s="890">
        <v>0</v>
      </c>
      <c r="K84" s="891">
        <v>0</v>
      </c>
      <c r="L84" s="889">
        <f>SUM(M84:P84)</f>
        <v>9450.9999999999964</v>
      </c>
      <c r="M84" s="890">
        <v>0</v>
      </c>
      <c r="N84" s="890">
        <f>SUM(B84+G84)</f>
        <v>9450.9999999999964</v>
      </c>
      <c r="O84" s="890">
        <v>0</v>
      </c>
      <c r="P84" s="891">
        <v>0</v>
      </c>
      <c r="Q84" s="889"/>
      <c r="R84" s="940"/>
      <c r="S84" s="940"/>
      <c r="T84" s="941"/>
      <c r="U84" s="942"/>
      <c r="V84" s="940"/>
      <c r="W84" s="940"/>
      <c r="X84" s="941"/>
    </row>
    <row r="85" spans="1:24" ht="27" thickBot="1" x14ac:dyDescent="0.45">
      <c r="A85" s="4311" t="s">
        <v>862</v>
      </c>
      <c r="B85" s="4312"/>
      <c r="C85" s="4312"/>
      <c r="D85" s="4312"/>
      <c r="E85" s="4312"/>
      <c r="F85" s="4312"/>
      <c r="G85" s="4312"/>
      <c r="H85" s="4312"/>
      <c r="I85" s="4312"/>
      <c r="J85" s="4312"/>
      <c r="K85" s="4312"/>
      <c r="L85" s="4312"/>
      <c r="M85" s="4312"/>
      <c r="N85" s="4312"/>
      <c r="O85" s="4312"/>
      <c r="P85" s="4312"/>
      <c r="Q85" s="4312"/>
      <c r="R85" s="4312"/>
      <c r="S85" s="4312"/>
      <c r="T85" s="4312"/>
      <c r="U85" s="4312"/>
      <c r="V85" s="4312"/>
      <c r="W85" s="4312"/>
      <c r="X85" s="4313"/>
    </row>
    <row r="86" spans="1:24" ht="15.75" customHeight="1" thickBot="1" x14ac:dyDescent="0.25">
      <c r="A86" s="4283">
        <v>2016</v>
      </c>
      <c r="B86" s="4286" t="s">
        <v>387</v>
      </c>
      <c r="C86" s="4286"/>
      <c r="D86" s="4286"/>
      <c r="E86" s="4286"/>
      <c r="F86" s="4286"/>
      <c r="G86" s="4286"/>
      <c r="H86" s="4286"/>
      <c r="I86" s="4286"/>
      <c r="J86" s="4286"/>
      <c r="K86" s="4286"/>
      <c r="L86" s="4286"/>
      <c r="M86" s="4286"/>
      <c r="N86" s="4286"/>
      <c r="O86" s="4286"/>
      <c r="P86" s="4287"/>
      <c r="Q86" s="4288" t="s">
        <v>391</v>
      </c>
      <c r="R86" s="4289"/>
      <c r="S86" s="4289"/>
      <c r="T86" s="4290"/>
      <c r="U86" s="4288" t="s">
        <v>392</v>
      </c>
      <c r="V86" s="4289"/>
      <c r="W86" s="4289"/>
      <c r="X86" s="4290"/>
    </row>
    <row r="87" spans="1:24" ht="15.75" customHeight="1" thickBot="1" x14ac:dyDescent="0.25">
      <c r="A87" s="4284"/>
      <c r="B87" s="4294" t="s">
        <v>854</v>
      </c>
      <c r="C87" s="4295"/>
      <c r="D87" s="4295"/>
      <c r="E87" s="4295"/>
      <c r="F87" s="4296"/>
      <c r="G87" s="4297" t="s">
        <v>855</v>
      </c>
      <c r="H87" s="4298"/>
      <c r="I87" s="4298"/>
      <c r="J87" s="4298"/>
      <c r="K87" s="4299"/>
      <c r="L87" s="4297" t="s">
        <v>818</v>
      </c>
      <c r="M87" s="4298"/>
      <c r="N87" s="4298"/>
      <c r="O87" s="4298"/>
      <c r="P87" s="4300"/>
      <c r="Q87" s="4291"/>
      <c r="R87" s="4292"/>
      <c r="S87" s="4292"/>
      <c r="T87" s="4293"/>
      <c r="U87" s="4291"/>
      <c r="V87" s="4292"/>
      <c r="W87" s="4292"/>
      <c r="X87" s="4293"/>
    </row>
    <row r="88" spans="1:24" ht="15.75" customHeight="1" x14ac:dyDescent="0.2">
      <c r="A88" s="4284"/>
      <c r="B88" s="4301" t="s">
        <v>290</v>
      </c>
      <c r="C88" s="4304" t="s">
        <v>50</v>
      </c>
      <c r="D88" s="4304"/>
      <c r="E88" s="4304"/>
      <c r="F88" s="4305"/>
      <c r="G88" s="4306" t="s">
        <v>290</v>
      </c>
      <c r="H88" s="4307" t="s">
        <v>50</v>
      </c>
      <c r="I88" s="4307"/>
      <c r="J88" s="4307"/>
      <c r="K88" s="4308"/>
      <c r="L88" s="4306" t="s">
        <v>290</v>
      </c>
      <c r="M88" s="4307" t="s">
        <v>50</v>
      </c>
      <c r="N88" s="4307"/>
      <c r="O88" s="4307"/>
      <c r="P88" s="4308"/>
      <c r="Q88" s="4306" t="s">
        <v>290</v>
      </c>
      <c r="R88" s="4309" t="s">
        <v>50</v>
      </c>
      <c r="S88" s="4309"/>
      <c r="T88" s="4310"/>
      <c r="U88" s="4306" t="s">
        <v>290</v>
      </c>
      <c r="V88" s="4309" t="s">
        <v>50</v>
      </c>
      <c r="W88" s="4309"/>
      <c r="X88" s="4310"/>
    </row>
    <row r="89" spans="1:24" ht="15.75" customHeight="1" x14ac:dyDescent="0.2">
      <c r="A89" s="4284"/>
      <c r="B89" s="4302"/>
      <c r="C89" s="4275" t="s">
        <v>316</v>
      </c>
      <c r="D89" s="4277" t="s">
        <v>230</v>
      </c>
      <c r="E89" s="4277"/>
      <c r="F89" s="4278" t="s">
        <v>864</v>
      </c>
      <c r="G89" s="4302"/>
      <c r="H89" s="4275" t="s">
        <v>316</v>
      </c>
      <c r="I89" s="4277" t="s">
        <v>230</v>
      </c>
      <c r="J89" s="4277"/>
      <c r="K89" s="4278" t="s">
        <v>864</v>
      </c>
      <c r="L89" s="4302"/>
      <c r="M89" s="4275" t="s">
        <v>316</v>
      </c>
      <c r="N89" s="4277" t="s">
        <v>230</v>
      </c>
      <c r="O89" s="4277"/>
      <c r="P89" s="4278" t="s">
        <v>864</v>
      </c>
      <c r="Q89" s="4302"/>
      <c r="R89" s="4275" t="s">
        <v>316</v>
      </c>
      <c r="S89" s="4275"/>
      <c r="T89" s="4278" t="s">
        <v>864</v>
      </c>
      <c r="U89" s="4302"/>
      <c r="V89" s="4275" t="s">
        <v>316</v>
      </c>
      <c r="W89" s="4275"/>
      <c r="X89" s="4278" t="s">
        <v>864</v>
      </c>
    </row>
    <row r="90" spans="1:24" ht="15.75" customHeight="1" thickBot="1" x14ac:dyDescent="0.25">
      <c r="A90" s="4285"/>
      <c r="B90" s="4303"/>
      <c r="C90" s="4276"/>
      <c r="D90" s="892" t="s">
        <v>255</v>
      </c>
      <c r="E90" s="892" t="s">
        <v>289</v>
      </c>
      <c r="F90" s="4279"/>
      <c r="G90" s="4303"/>
      <c r="H90" s="4276"/>
      <c r="I90" s="892" t="s">
        <v>255</v>
      </c>
      <c r="J90" s="892" t="s">
        <v>289</v>
      </c>
      <c r="K90" s="4279"/>
      <c r="L90" s="4303"/>
      <c r="M90" s="4276"/>
      <c r="N90" s="892" t="s">
        <v>255</v>
      </c>
      <c r="O90" s="892" t="s">
        <v>289</v>
      </c>
      <c r="P90" s="4279"/>
      <c r="Q90" s="4303"/>
      <c r="R90" s="897" t="s">
        <v>857</v>
      </c>
      <c r="S90" s="897" t="s">
        <v>255</v>
      </c>
      <c r="T90" s="4279"/>
      <c r="U90" s="4303"/>
      <c r="V90" s="897" t="s">
        <v>857</v>
      </c>
      <c r="W90" s="897" t="s">
        <v>255</v>
      </c>
      <c r="X90" s="4279"/>
    </row>
    <row r="91" spans="1:24" ht="30" customHeight="1" x14ac:dyDescent="0.2">
      <c r="A91" s="896" t="s">
        <v>381</v>
      </c>
      <c r="B91" s="893">
        <f>SUM(объемы!T63/2)</f>
        <v>1736.5</v>
      </c>
      <c r="C91" s="894">
        <f>SUM(D91:E91)</f>
        <v>1722.5</v>
      </c>
      <c r="D91" s="894">
        <f>SUM(объемы!T64/2)</f>
        <v>1224</v>
      </c>
      <c r="E91" s="894">
        <f>SUM(объемы!T65/2)</f>
        <v>498.5</v>
      </c>
      <c r="F91" s="895">
        <f>SUM(объемы!T70/2)</f>
        <v>14</v>
      </c>
      <c r="G91" s="893">
        <f>B91</f>
        <v>1736.5</v>
      </c>
      <c r="H91" s="894">
        <f>C91</f>
        <v>1722.5</v>
      </c>
      <c r="I91" s="894">
        <f>D91</f>
        <v>1224</v>
      </c>
      <c r="J91" s="894">
        <f>E91</f>
        <v>498.5</v>
      </c>
      <c r="K91" s="895">
        <f>F91</f>
        <v>14</v>
      </c>
      <c r="L91" s="893">
        <f>SUM(B91+G91)</f>
        <v>3473</v>
      </c>
      <c r="M91" s="894">
        <f>SUM(C91+H91)</f>
        <v>3445</v>
      </c>
      <c r="N91" s="894">
        <f>SUM(D91+I91)</f>
        <v>2448</v>
      </c>
      <c r="O91" s="894">
        <f>SUM(E91+J91)</f>
        <v>997</v>
      </c>
      <c r="P91" s="895">
        <f>SUM(F91+K91)</f>
        <v>28</v>
      </c>
      <c r="Q91" s="893"/>
      <c r="R91" s="929"/>
      <c r="S91" s="929"/>
      <c r="T91" s="930"/>
      <c r="U91" s="931"/>
      <c r="V91" s="898"/>
      <c r="W91" s="898"/>
      <c r="X91" s="899"/>
    </row>
    <row r="92" spans="1:24" ht="30" customHeight="1" x14ac:dyDescent="0.2">
      <c r="A92" s="879" t="s">
        <v>382</v>
      </c>
      <c r="B92" s="885" t="e">
        <f>SUM(B93/B91)</f>
        <v>#REF!</v>
      </c>
      <c r="C92" s="886" t="e">
        <f>SUM(C93/C91)</f>
        <v>#REF!</v>
      </c>
      <c r="D92" s="886">
        <f>SUM(I72)</f>
        <v>21.01</v>
      </c>
      <c r="E92" s="886" t="e">
        <f>SUM(J72)</f>
        <v>#REF!</v>
      </c>
      <c r="F92" s="887">
        <f>SUM(K72)</f>
        <v>13.79</v>
      </c>
      <c r="G92" s="885" t="e">
        <f>SUM(G93/G91)</f>
        <v>#REF!</v>
      </c>
      <c r="H92" s="886" t="e">
        <f>H93/H91</f>
        <v>#REF!</v>
      </c>
      <c r="I92" s="886">
        <f>D92*1.2</f>
        <v>25.212</v>
      </c>
      <c r="J92" s="886" t="e">
        <f>SUM(H92)</f>
        <v>#REF!</v>
      </c>
      <c r="K92" s="887">
        <f t="shared" ref="K92:P92" si="9">SUM(K93/K91)</f>
        <v>13.286581777548991</v>
      </c>
      <c r="L92" s="885">
        <f t="shared" si="9"/>
        <v>27.874522469513643</v>
      </c>
      <c r="M92" s="886">
        <f t="shared" si="9"/>
        <v>27.991043364799765</v>
      </c>
      <c r="N92" s="886">
        <f t="shared" si="9"/>
        <v>23.111000000000001</v>
      </c>
      <c r="O92" s="886" t="e">
        <f t="shared" si="9"/>
        <v>#REF!</v>
      </c>
      <c r="P92" s="887">
        <f t="shared" si="9"/>
        <v>13.538290888774496</v>
      </c>
      <c r="Q92" s="888" t="e">
        <f>SUM(G92/B92)</f>
        <v>#REF!</v>
      </c>
      <c r="R92" s="932" t="e">
        <f>SUM(H92/C92)</f>
        <v>#REF!</v>
      </c>
      <c r="S92" s="932">
        <f>I92/D92</f>
        <v>1.2</v>
      </c>
      <c r="T92" s="933">
        <f>SUM(K92/F92)</f>
        <v>0.96349396501443008</v>
      </c>
      <c r="U92" s="934" t="e">
        <f>SUM(L92/L72)</f>
        <v>#REF!</v>
      </c>
      <c r="V92" s="875" t="e">
        <f>SUM(M92/M72)</f>
        <v>#REF!</v>
      </c>
      <c r="W92" s="875">
        <f>SUM(N92/N72)</f>
        <v>1.1743394308943087</v>
      </c>
      <c r="X92" s="876" t="e">
        <f>SUM(P92/P72)</f>
        <v>#REF!</v>
      </c>
    </row>
    <row r="93" spans="1:24" ht="30" customHeight="1" x14ac:dyDescent="0.2">
      <c r="A93" s="879" t="s">
        <v>383</v>
      </c>
      <c r="B93" s="885" t="e">
        <f>SUM(C93+F93)</f>
        <v>#REF!</v>
      </c>
      <c r="C93" s="886" t="e">
        <f>SUM(D93:E93)+D94</f>
        <v>#REF!</v>
      </c>
      <c r="D93" s="886">
        <f>D92*D91</f>
        <v>25716.240000000002</v>
      </c>
      <c r="E93" s="886" t="e">
        <f>E92*E91</f>
        <v>#REF!</v>
      </c>
      <c r="F93" s="887">
        <f>F92*F91</f>
        <v>193.06</v>
      </c>
      <c r="G93" s="885" t="e">
        <f>SUM(L93-B93)</f>
        <v>#REF!</v>
      </c>
      <c r="H93" s="886" t="e">
        <f>SUM(M93-C93)</f>
        <v>#REF!</v>
      </c>
      <c r="I93" s="886">
        <f>I92*I91</f>
        <v>30859.488000000001</v>
      </c>
      <c r="J93" s="886" t="e">
        <f>SUM(J91*J92)</f>
        <v>#REF!</v>
      </c>
      <c r="K93" s="887">
        <f>SUM(P93-F93)</f>
        <v>186.01214488568587</v>
      </c>
      <c r="L93" s="885">
        <f>SUM(стоки!AV109)</f>
        <v>96808.216536620879</v>
      </c>
      <c r="M93" s="886">
        <f>SUM(стоки!AX109)</f>
        <v>96429.144391735186</v>
      </c>
      <c r="N93" s="886">
        <f>SUM(D93+I93)</f>
        <v>56575.728000000003</v>
      </c>
      <c r="O93" s="886" t="e">
        <f>SUM(E93+J93)</f>
        <v>#REF!</v>
      </c>
      <c r="P93" s="887">
        <f>SUM(стоки!AY109)</f>
        <v>379.07214488568587</v>
      </c>
      <c r="Q93" s="885"/>
      <c r="R93" s="937"/>
      <c r="S93" s="937"/>
      <c r="T93" s="938"/>
      <c r="U93" s="939"/>
      <c r="V93" s="872"/>
      <c r="W93" s="872"/>
      <c r="X93" s="873"/>
    </row>
    <row r="94" spans="1:24" ht="30" customHeight="1" thickBot="1" x14ac:dyDescent="0.25">
      <c r="A94" s="880" t="s">
        <v>385</v>
      </c>
      <c r="B94" s="889" t="e">
        <f>SUM(C94:F94)</f>
        <v>#REF!</v>
      </c>
      <c r="C94" s="890">
        <v>0</v>
      </c>
      <c r="D94" s="890" t="e">
        <f>SUM(E92-D92)*D91</f>
        <v>#REF!</v>
      </c>
      <c r="E94" s="890">
        <v>0</v>
      </c>
      <c r="F94" s="891">
        <v>0</v>
      </c>
      <c r="G94" s="889" t="e">
        <f>SUM(H94:K94)</f>
        <v>#REF!</v>
      </c>
      <c r="H94" s="890">
        <v>0</v>
      </c>
      <c r="I94" s="890" t="e">
        <f>SUM(H92-I92)*I91</f>
        <v>#REF!</v>
      </c>
      <c r="J94" s="890">
        <v>0</v>
      </c>
      <c r="K94" s="891">
        <v>0</v>
      </c>
      <c r="L94" s="889" t="e">
        <f>SUM(M94:P94)</f>
        <v>#REF!</v>
      </c>
      <c r="M94" s="890">
        <v>0</v>
      </c>
      <c r="N94" s="890" t="e">
        <f>SUM(B94+G94)</f>
        <v>#REF!</v>
      </c>
      <c r="O94" s="890">
        <v>0</v>
      </c>
      <c r="P94" s="891">
        <v>0</v>
      </c>
      <c r="Q94" s="889"/>
      <c r="R94" s="940"/>
      <c r="S94" s="940"/>
      <c r="T94" s="941"/>
      <c r="U94" s="942"/>
      <c r="V94" s="877"/>
      <c r="W94" s="877"/>
      <c r="X94" s="878"/>
    </row>
    <row r="95" spans="1:24" ht="15.75" customHeight="1" thickBot="1" x14ac:dyDescent="0.25">
      <c r="A95" s="4246"/>
      <c r="B95" s="4247"/>
      <c r="C95" s="4247"/>
      <c r="D95" s="4247"/>
      <c r="E95" s="4247"/>
      <c r="F95" s="4247"/>
      <c r="G95" s="4247"/>
      <c r="H95" s="4247"/>
      <c r="I95" s="4247"/>
      <c r="J95" s="4247"/>
      <c r="K95" s="4247"/>
      <c r="L95" s="4247"/>
      <c r="M95" s="4247"/>
      <c r="N95" s="4247"/>
      <c r="O95" s="4247"/>
      <c r="P95" s="4247"/>
      <c r="Q95" s="4247"/>
      <c r="R95" s="4247"/>
      <c r="S95" s="4247"/>
      <c r="T95" s="4247"/>
      <c r="U95" s="4247"/>
      <c r="V95" s="4247"/>
      <c r="W95" s="4247"/>
      <c r="X95" s="4248"/>
    </row>
    <row r="96" spans="1:24" ht="15.75" customHeight="1" thickBot="1" x14ac:dyDescent="0.25">
      <c r="A96" s="4283">
        <v>2016</v>
      </c>
      <c r="B96" s="4286" t="s">
        <v>384</v>
      </c>
      <c r="C96" s="4286"/>
      <c r="D96" s="4286"/>
      <c r="E96" s="4286"/>
      <c r="F96" s="4286"/>
      <c r="G96" s="4286"/>
      <c r="H96" s="4286"/>
      <c r="I96" s="4286"/>
      <c r="J96" s="4286"/>
      <c r="K96" s="4286"/>
      <c r="L96" s="4286"/>
      <c r="M96" s="4286"/>
      <c r="N96" s="4286"/>
      <c r="O96" s="4286"/>
      <c r="P96" s="4287"/>
      <c r="Q96" s="4288" t="s">
        <v>391</v>
      </c>
      <c r="R96" s="4289"/>
      <c r="S96" s="4289"/>
      <c r="T96" s="4290"/>
      <c r="U96" s="4288" t="s">
        <v>392</v>
      </c>
      <c r="V96" s="4289"/>
      <c r="W96" s="4289"/>
      <c r="X96" s="4290"/>
    </row>
    <row r="97" spans="1:24" ht="15.75" customHeight="1" thickBot="1" x14ac:dyDescent="0.25">
      <c r="A97" s="4284"/>
      <c r="B97" s="4294" t="s">
        <v>854</v>
      </c>
      <c r="C97" s="4295"/>
      <c r="D97" s="4295"/>
      <c r="E97" s="4295"/>
      <c r="F97" s="4296"/>
      <c r="G97" s="4297" t="s">
        <v>855</v>
      </c>
      <c r="H97" s="4298"/>
      <c r="I97" s="4298"/>
      <c r="J97" s="4298"/>
      <c r="K97" s="4299"/>
      <c r="L97" s="4297" t="s">
        <v>818</v>
      </c>
      <c r="M97" s="4298"/>
      <c r="N97" s="4298"/>
      <c r="O97" s="4298"/>
      <c r="P97" s="4300"/>
      <c r="Q97" s="4291"/>
      <c r="R97" s="4292"/>
      <c r="S97" s="4292"/>
      <c r="T97" s="4293"/>
      <c r="U97" s="4291"/>
      <c r="V97" s="4292"/>
      <c r="W97" s="4292"/>
      <c r="X97" s="4293"/>
    </row>
    <row r="98" spans="1:24" ht="15.75" customHeight="1" x14ac:dyDescent="0.2">
      <c r="A98" s="4284"/>
      <c r="B98" s="4301" t="s">
        <v>290</v>
      </c>
      <c r="C98" s="4304" t="s">
        <v>50</v>
      </c>
      <c r="D98" s="4304"/>
      <c r="E98" s="4304"/>
      <c r="F98" s="4305"/>
      <c r="G98" s="4306" t="s">
        <v>290</v>
      </c>
      <c r="H98" s="4307" t="s">
        <v>50</v>
      </c>
      <c r="I98" s="4307"/>
      <c r="J98" s="4307"/>
      <c r="K98" s="4308"/>
      <c r="L98" s="4306" t="s">
        <v>290</v>
      </c>
      <c r="M98" s="4307" t="s">
        <v>50</v>
      </c>
      <c r="N98" s="4307"/>
      <c r="O98" s="4307"/>
      <c r="P98" s="4308"/>
      <c r="Q98" s="4306" t="s">
        <v>290</v>
      </c>
      <c r="R98" s="4309" t="s">
        <v>50</v>
      </c>
      <c r="S98" s="4309"/>
      <c r="T98" s="4310"/>
      <c r="U98" s="4306" t="s">
        <v>290</v>
      </c>
      <c r="V98" s="4309" t="s">
        <v>50</v>
      </c>
      <c r="W98" s="4309"/>
      <c r="X98" s="4310"/>
    </row>
    <row r="99" spans="1:24" ht="15.75" customHeight="1" x14ac:dyDescent="0.2">
      <c r="A99" s="4284"/>
      <c r="B99" s="4302"/>
      <c r="C99" s="4275" t="s">
        <v>316</v>
      </c>
      <c r="D99" s="4277" t="s">
        <v>230</v>
      </c>
      <c r="E99" s="4277"/>
      <c r="F99" s="4278" t="s">
        <v>864</v>
      </c>
      <c r="G99" s="4302"/>
      <c r="H99" s="4275" t="s">
        <v>316</v>
      </c>
      <c r="I99" s="4277" t="s">
        <v>230</v>
      </c>
      <c r="J99" s="4277"/>
      <c r="K99" s="4278" t="s">
        <v>864</v>
      </c>
      <c r="L99" s="4302"/>
      <c r="M99" s="4275" t="s">
        <v>316</v>
      </c>
      <c r="N99" s="4277" t="s">
        <v>230</v>
      </c>
      <c r="O99" s="4277"/>
      <c r="P99" s="4278" t="s">
        <v>864</v>
      </c>
      <c r="Q99" s="4302"/>
      <c r="R99" s="4275" t="s">
        <v>316</v>
      </c>
      <c r="S99" s="4275"/>
      <c r="T99" s="4278" t="s">
        <v>864</v>
      </c>
      <c r="U99" s="4302"/>
      <c r="V99" s="4275" t="s">
        <v>316</v>
      </c>
      <c r="W99" s="4275"/>
      <c r="X99" s="4278" t="s">
        <v>864</v>
      </c>
    </row>
    <row r="100" spans="1:24" ht="15.75" customHeight="1" thickBot="1" x14ac:dyDescent="0.25">
      <c r="A100" s="4285"/>
      <c r="B100" s="4303"/>
      <c r="C100" s="4276"/>
      <c r="D100" s="892" t="s">
        <v>255</v>
      </c>
      <c r="E100" s="892" t="s">
        <v>289</v>
      </c>
      <c r="F100" s="4279"/>
      <c r="G100" s="4303"/>
      <c r="H100" s="4276"/>
      <c r="I100" s="892" t="s">
        <v>255</v>
      </c>
      <c r="J100" s="892" t="s">
        <v>289</v>
      </c>
      <c r="K100" s="4279"/>
      <c r="L100" s="4303"/>
      <c r="M100" s="4276"/>
      <c r="N100" s="892" t="s">
        <v>255</v>
      </c>
      <c r="O100" s="892" t="s">
        <v>289</v>
      </c>
      <c r="P100" s="4279"/>
      <c r="Q100" s="4303"/>
      <c r="R100" s="897" t="s">
        <v>857</v>
      </c>
      <c r="S100" s="897" t="s">
        <v>255</v>
      </c>
      <c r="T100" s="4279"/>
      <c r="U100" s="4303"/>
      <c r="V100" s="897" t="s">
        <v>857</v>
      </c>
      <c r="W100" s="897" t="s">
        <v>255</v>
      </c>
      <c r="X100" s="4279"/>
    </row>
    <row r="101" spans="1:24" ht="30" customHeight="1" x14ac:dyDescent="0.2">
      <c r="A101" s="896" t="s">
        <v>381</v>
      </c>
      <c r="B101" s="893">
        <f>SUM(B91)</f>
        <v>1736.5</v>
      </c>
      <c r="C101" s="894">
        <f t="shared" ref="C101:P101" si="10">SUM(C91)</f>
        <v>1722.5</v>
      </c>
      <c r="D101" s="894">
        <f t="shared" si="10"/>
        <v>1224</v>
      </c>
      <c r="E101" s="894">
        <f t="shared" si="10"/>
        <v>498.5</v>
      </c>
      <c r="F101" s="895">
        <f t="shared" si="10"/>
        <v>14</v>
      </c>
      <c r="G101" s="893">
        <f t="shared" si="10"/>
        <v>1736.5</v>
      </c>
      <c r="H101" s="894">
        <f t="shared" si="10"/>
        <v>1722.5</v>
      </c>
      <c r="I101" s="894">
        <f t="shared" si="10"/>
        <v>1224</v>
      </c>
      <c r="J101" s="894">
        <f t="shared" si="10"/>
        <v>498.5</v>
      </c>
      <c r="K101" s="895">
        <f t="shared" si="10"/>
        <v>14</v>
      </c>
      <c r="L101" s="893">
        <f t="shared" si="10"/>
        <v>3473</v>
      </c>
      <c r="M101" s="894">
        <f t="shared" si="10"/>
        <v>3445</v>
      </c>
      <c r="N101" s="894">
        <f t="shared" si="10"/>
        <v>2448</v>
      </c>
      <c r="O101" s="894">
        <f t="shared" si="10"/>
        <v>997</v>
      </c>
      <c r="P101" s="895">
        <f t="shared" si="10"/>
        <v>28</v>
      </c>
      <c r="Q101" s="893"/>
      <c r="R101" s="898"/>
      <c r="S101" s="898"/>
      <c r="T101" s="899"/>
      <c r="U101" s="900"/>
      <c r="V101" s="898"/>
      <c r="W101" s="898"/>
      <c r="X101" s="899"/>
    </row>
    <row r="102" spans="1:24" ht="30" customHeight="1" x14ac:dyDescent="0.2">
      <c r="A102" s="879" t="s">
        <v>382</v>
      </c>
      <c r="B102" s="885">
        <f>SUM(B103/B101)</f>
        <v>24.959219694788366</v>
      </c>
      <c r="C102" s="886">
        <f>SUM(C103/C101)</f>
        <v>25.05</v>
      </c>
      <c r="D102" s="886">
        <f>SUM(I82)</f>
        <v>21.01</v>
      </c>
      <c r="E102" s="886">
        <f>SUM(J82)</f>
        <v>25.05</v>
      </c>
      <c r="F102" s="887">
        <f>SUM(K82)</f>
        <v>13.79</v>
      </c>
      <c r="G102" s="885">
        <f>SUM(G103/G101)</f>
        <v>30.789306960334518</v>
      </c>
      <c r="H102" s="886">
        <f>H103/H101</f>
        <v>30.931564233227977</v>
      </c>
      <c r="I102" s="886">
        <f>D102*1.2</f>
        <v>25.212</v>
      </c>
      <c r="J102" s="886">
        <f>SUM(H102)</f>
        <v>30.931564233227977</v>
      </c>
      <c r="K102" s="887">
        <f t="shared" ref="K102:P102" si="11">SUM(K103/K101)</f>
        <v>13.286581777548991</v>
      </c>
      <c r="L102" s="885">
        <f t="shared" si="11"/>
        <v>27.87426332756144</v>
      </c>
      <c r="M102" s="886">
        <f t="shared" si="11"/>
        <v>27.990782116613989</v>
      </c>
      <c r="N102" s="886">
        <f t="shared" si="11"/>
        <v>23.111000000000001</v>
      </c>
      <c r="O102" s="886">
        <f t="shared" si="11"/>
        <v>27.990782116613989</v>
      </c>
      <c r="P102" s="887">
        <f t="shared" si="11"/>
        <v>13.538290888774496</v>
      </c>
      <c r="Q102" s="888">
        <f>SUM(G102/B102)</f>
        <v>1.2335845165369295</v>
      </c>
      <c r="R102" s="874">
        <f>SUM(H102/C102)</f>
        <v>1.2347929833623943</v>
      </c>
      <c r="S102" s="874">
        <f>I102/D102</f>
        <v>1.2</v>
      </c>
      <c r="T102" s="881">
        <f>SUM(K102/F102)</f>
        <v>0.96349396501443008</v>
      </c>
      <c r="U102" s="883" t="e">
        <f>SUM(L102/L82)</f>
        <v>#REF!</v>
      </c>
      <c r="V102" s="875" t="e">
        <f>SUM(M102/M82)</f>
        <v>#REF!</v>
      </c>
      <c r="W102" s="875">
        <f>SUM(N102/N82)</f>
        <v>1.1743394308943087</v>
      </c>
      <c r="X102" s="876" t="e">
        <f>SUM(P102/P82)</f>
        <v>#REF!</v>
      </c>
    </row>
    <row r="103" spans="1:24" ht="30" customHeight="1" x14ac:dyDescent="0.2">
      <c r="A103" s="879" t="s">
        <v>383</v>
      </c>
      <c r="B103" s="885">
        <f>SUM(C103+F103)</f>
        <v>43341.684999999998</v>
      </c>
      <c r="C103" s="886">
        <f>SUM(D103:E103)+D104</f>
        <v>43148.625</v>
      </c>
      <c r="D103" s="886">
        <f>D102*D101</f>
        <v>25716.240000000002</v>
      </c>
      <c r="E103" s="886">
        <f>E102*E101</f>
        <v>12487.425000000001</v>
      </c>
      <c r="F103" s="887">
        <f>F102*F101</f>
        <v>193.06</v>
      </c>
      <c r="G103" s="885">
        <f>SUM(L103-B103)</f>
        <v>53465.631536620887</v>
      </c>
      <c r="H103" s="886">
        <f>SUM(M103-C103)</f>
        <v>53279.619391735192</v>
      </c>
      <c r="I103" s="886">
        <f>I102*I101</f>
        <v>30859.488000000001</v>
      </c>
      <c r="J103" s="886">
        <f>SUM(J101*J102)</f>
        <v>15419.384770264147</v>
      </c>
      <c r="K103" s="887">
        <f>SUM(P103-F103)</f>
        <v>186.01214488568587</v>
      </c>
      <c r="L103" s="885">
        <f>SUM(стоки!AV106)</f>
        <v>96807.316536620885</v>
      </c>
      <c r="M103" s="886">
        <f>SUM(стоки!AX106)</f>
        <v>96428.244391735192</v>
      </c>
      <c r="N103" s="886">
        <f>SUM(D103+I103)</f>
        <v>56575.728000000003</v>
      </c>
      <c r="O103" s="886">
        <f>SUM(E103+J103)</f>
        <v>27906.809770264146</v>
      </c>
      <c r="P103" s="887">
        <f>SUM(стоки!AY106)</f>
        <v>379.07214488568587</v>
      </c>
      <c r="Q103" s="885"/>
      <c r="R103" s="872"/>
      <c r="S103" s="872"/>
      <c r="T103" s="873"/>
      <c r="U103" s="882"/>
      <c r="V103" s="872"/>
      <c r="W103" s="872"/>
      <c r="X103" s="873"/>
    </row>
    <row r="104" spans="1:24" ht="30" customHeight="1" thickBot="1" x14ac:dyDescent="0.25">
      <c r="A104" s="880" t="s">
        <v>385</v>
      </c>
      <c r="B104" s="889">
        <f>SUM(C104:F104)</f>
        <v>4944.9599999999991</v>
      </c>
      <c r="C104" s="890">
        <v>0</v>
      </c>
      <c r="D104" s="890">
        <f>SUM(E102-D102)*D101</f>
        <v>4944.9599999999991</v>
      </c>
      <c r="E104" s="890">
        <v>0</v>
      </c>
      <c r="F104" s="891">
        <v>0</v>
      </c>
      <c r="G104" s="889">
        <f>SUM(H104:K104)</f>
        <v>7000.7466214710448</v>
      </c>
      <c r="H104" s="890">
        <v>0</v>
      </c>
      <c r="I104" s="890">
        <f>SUM(H102-I102)*I101</f>
        <v>7000.7466214710448</v>
      </c>
      <c r="J104" s="890">
        <v>0</v>
      </c>
      <c r="K104" s="891">
        <v>0</v>
      </c>
      <c r="L104" s="889">
        <f>SUM(M104:P104)</f>
        <v>11945.706621471043</v>
      </c>
      <c r="M104" s="890">
        <v>0</v>
      </c>
      <c r="N104" s="890">
        <f>SUM(B104+G104)</f>
        <v>11945.706621471043</v>
      </c>
      <c r="O104" s="890">
        <v>0</v>
      </c>
      <c r="P104" s="891">
        <v>0</v>
      </c>
      <c r="Q104" s="889"/>
      <c r="R104" s="877"/>
      <c r="S104" s="877"/>
      <c r="T104" s="878"/>
      <c r="U104" s="884"/>
      <c r="V104" s="877"/>
      <c r="W104" s="877"/>
      <c r="X104" s="878"/>
    </row>
    <row r="105" spans="1:24" ht="27" thickBot="1" x14ac:dyDescent="0.45">
      <c r="A105" s="4280" t="s">
        <v>863</v>
      </c>
      <c r="B105" s="4281"/>
      <c r="C105" s="4281"/>
      <c r="D105" s="4281"/>
      <c r="E105" s="4281"/>
      <c r="F105" s="4281"/>
      <c r="G105" s="4281"/>
      <c r="H105" s="4281"/>
      <c r="I105" s="4281"/>
      <c r="J105" s="4281"/>
      <c r="K105" s="4281"/>
      <c r="L105" s="4281"/>
      <c r="M105" s="4281"/>
      <c r="N105" s="4281"/>
      <c r="O105" s="4281"/>
      <c r="P105" s="4281"/>
      <c r="Q105" s="4281"/>
      <c r="R105" s="4281"/>
      <c r="S105" s="4281"/>
      <c r="T105" s="4281"/>
      <c r="U105" s="4281"/>
      <c r="V105" s="4281"/>
      <c r="W105" s="4281"/>
      <c r="X105" s="4282"/>
    </row>
    <row r="106" spans="1:24" ht="15.75" customHeight="1" thickBot="1" x14ac:dyDescent="0.25">
      <c r="A106" s="4249">
        <v>2016</v>
      </c>
      <c r="B106" s="4252" t="s">
        <v>387</v>
      </c>
      <c r="C106" s="4252"/>
      <c r="D106" s="4252"/>
      <c r="E106" s="4252"/>
      <c r="F106" s="4252"/>
      <c r="G106" s="4252"/>
      <c r="H106" s="4252"/>
      <c r="I106" s="4252"/>
      <c r="J106" s="4252"/>
      <c r="K106" s="4252"/>
      <c r="L106" s="4252"/>
      <c r="M106" s="4252"/>
      <c r="N106" s="4252"/>
      <c r="O106" s="4252"/>
      <c r="P106" s="4253"/>
      <c r="Q106" s="4262" t="s">
        <v>391</v>
      </c>
      <c r="R106" s="4263"/>
      <c r="S106" s="4263"/>
      <c r="T106" s="4264"/>
      <c r="U106" s="4262" t="s">
        <v>392</v>
      </c>
      <c r="V106" s="4263"/>
      <c r="W106" s="4263"/>
      <c r="X106" s="4264"/>
    </row>
    <row r="107" spans="1:24" ht="15.75" customHeight="1" thickBot="1" x14ac:dyDescent="0.25">
      <c r="A107" s="4250"/>
      <c r="B107" s="4268" t="s">
        <v>854</v>
      </c>
      <c r="C107" s="4269"/>
      <c r="D107" s="4269"/>
      <c r="E107" s="4269"/>
      <c r="F107" s="4270"/>
      <c r="G107" s="4271" t="s">
        <v>855</v>
      </c>
      <c r="H107" s="4272"/>
      <c r="I107" s="4272"/>
      <c r="J107" s="4272"/>
      <c r="K107" s="4273"/>
      <c r="L107" s="4271" t="s">
        <v>818</v>
      </c>
      <c r="M107" s="4272"/>
      <c r="N107" s="4272"/>
      <c r="O107" s="4272"/>
      <c r="P107" s="4274"/>
      <c r="Q107" s="4265"/>
      <c r="R107" s="4266"/>
      <c r="S107" s="4266"/>
      <c r="T107" s="4267"/>
      <c r="U107" s="4265"/>
      <c r="V107" s="4266"/>
      <c r="W107" s="4266"/>
      <c r="X107" s="4267"/>
    </row>
    <row r="108" spans="1:24" ht="15.75" customHeight="1" x14ac:dyDescent="0.2">
      <c r="A108" s="4250"/>
      <c r="B108" s="4254" t="s">
        <v>290</v>
      </c>
      <c r="C108" s="4257" t="s">
        <v>50</v>
      </c>
      <c r="D108" s="4257"/>
      <c r="E108" s="4257"/>
      <c r="F108" s="4258"/>
      <c r="G108" s="4259" t="s">
        <v>290</v>
      </c>
      <c r="H108" s="4260" t="s">
        <v>50</v>
      </c>
      <c r="I108" s="4260"/>
      <c r="J108" s="4260"/>
      <c r="K108" s="4261"/>
      <c r="L108" s="4259" t="s">
        <v>290</v>
      </c>
      <c r="M108" s="4260" t="s">
        <v>50</v>
      </c>
      <c r="N108" s="4260"/>
      <c r="O108" s="4260"/>
      <c r="P108" s="4261"/>
      <c r="Q108" s="4259" t="s">
        <v>290</v>
      </c>
      <c r="R108" s="4235" t="s">
        <v>50</v>
      </c>
      <c r="S108" s="4235"/>
      <c r="T108" s="4236"/>
      <c r="U108" s="4259" t="s">
        <v>290</v>
      </c>
      <c r="V108" s="4235" t="s">
        <v>50</v>
      </c>
      <c r="W108" s="4235"/>
      <c r="X108" s="4236"/>
    </row>
    <row r="109" spans="1:24" ht="15.75" customHeight="1" x14ac:dyDescent="0.2">
      <c r="A109" s="4250"/>
      <c r="B109" s="4255"/>
      <c r="C109" s="4237" t="s">
        <v>316</v>
      </c>
      <c r="D109" s="4245" t="s">
        <v>230</v>
      </c>
      <c r="E109" s="4245"/>
      <c r="F109" s="4238" t="s">
        <v>864</v>
      </c>
      <c r="G109" s="4255"/>
      <c r="H109" s="4237" t="s">
        <v>316</v>
      </c>
      <c r="I109" s="4245" t="s">
        <v>230</v>
      </c>
      <c r="J109" s="4245"/>
      <c r="K109" s="4238" t="s">
        <v>864</v>
      </c>
      <c r="L109" s="4255"/>
      <c r="M109" s="4237" t="s">
        <v>316</v>
      </c>
      <c r="N109" s="4245" t="s">
        <v>230</v>
      </c>
      <c r="O109" s="4245"/>
      <c r="P109" s="4238" t="s">
        <v>864</v>
      </c>
      <c r="Q109" s="4255"/>
      <c r="R109" s="4237" t="s">
        <v>316</v>
      </c>
      <c r="S109" s="4237"/>
      <c r="T109" s="4238" t="s">
        <v>864</v>
      </c>
      <c r="U109" s="4255"/>
      <c r="V109" s="4237" t="s">
        <v>316</v>
      </c>
      <c r="W109" s="4237"/>
      <c r="X109" s="4238" t="s">
        <v>864</v>
      </c>
    </row>
    <row r="110" spans="1:24" ht="15.75" customHeight="1" thickBot="1" x14ac:dyDescent="0.25">
      <c r="A110" s="4251"/>
      <c r="B110" s="4256"/>
      <c r="C110" s="4244"/>
      <c r="D110" s="901" t="s">
        <v>255</v>
      </c>
      <c r="E110" s="901" t="s">
        <v>289</v>
      </c>
      <c r="F110" s="4239"/>
      <c r="G110" s="4256"/>
      <c r="H110" s="4244"/>
      <c r="I110" s="901" t="s">
        <v>255</v>
      </c>
      <c r="J110" s="901" t="s">
        <v>289</v>
      </c>
      <c r="K110" s="4239"/>
      <c r="L110" s="4256"/>
      <c r="M110" s="4244"/>
      <c r="N110" s="901" t="s">
        <v>255</v>
      </c>
      <c r="O110" s="901" t="s">
        <v>289</v>
      </c>
      <c r="P110" s="4239"/>
      <c r="Q110" s="4256"/>
      <c r="R110" s="901" t="s">
        <v>857</v>
      </c>
      <c r="S110" s="901" t="s">
        <v>255</v>
      </c>
      <c r="T110" s="4239"/>
      <c r="U110" s="4256"/>
      <c r="V110" s="901" t="s">
        <v>857</v>
      </c>
      <c r="W110" s="901" t="s">
        <v>255</v>
      </c>
      <c r="X110" s="4239"/>
    </row>
    <row r="111" spans="1:24" ht="30" customHeight="1" x14ac:dyDescent="0.2">
      <c r="A111" s="902" t="s">
        <v>381</v>
      </c>
      <c r="B111" s="903">
        <f>SUM(объемы!AA63/2)</f>
        <v>1722.5</v>
      </c>
      <c r="C111" s="904">
        <f>SUM(D111:E111)</f>
        <v>1722.5</v>
      </c>
      <c r="D111" s="904">
        <f>SUM(объемы!AA64/2)</f>
        <v>1224</v>
      </c>
      <c r="E111" s="904">
        <f>SUM(объемы!AA65/2)</f>
        <v>498.5</v>
      </c>
      <c r="F111" s="905">
        <f>SUM(объемы!AA70/2)</f>
        <v>0</v>
      </c>
      <c r="G111" s="903">
        <f>B111</f>
        <v>1722.5</v>
      </c>
      <c r="H111" s="904">
        <f>C111</f>
        <v>1722.5</v>
      </c>
      <c r="I111" s="904">
        <f>D111</f>
        <v>1224</v>
      </c>
      <c r="J111" s="904">
        <f>E111</f>
        <v>498.5</v>
      </c>
      <c r="K111" s="905">
        <f>F111</f>
        <v>0</v>
      </c>
      <c r="L111" s="903">
        <f>SUM(B111+G111)</f>
        <v>3445</v>
      </c>
      <c r="M111" s="904">
        <f>SUM(C111+H111)</f>
        <v>3445</v>
      </c>
      <c r="N111" s="904">
        <f>SUM(D111+I111)</f>
        <v>2448</v>
      </c>
      <c r="O111" s="904">
        <f>SUM(E111+J111)</f>
        <v>997</v>
      </c>
      <c r="P111" s="905">
        <f>SUM(F111+K111)</f>
        <v>0</v>
      </c>
      <c r="Q111" s="903"/>
      <c r="R111" s="906"/>
      <c r="S111" s="906"/>
      <c r="T111" s="907"/>
      <c r="U111" s="908"/>
      <c r="V111" s="906"/>
      <c r="W111" s="906"/>
      <c r="X111" s="907"/>
    </row>
    <row r="112" spans="1:24" ht="30" customHeight="1" x14ac:dyDescent="0.2">
      <c r="A112" s="909" t="s">
        <v>382</v>
      </c>
      <c r="B112" s="910" t="e">
        <f>SUM(B113/B111)</f>
        <v>#REF!</v>
      </c>
      <c r="C112" s="911" t="e">
        <f>SUM(C113/C111)</f>
        <v>#REF!</v>
      </c>
      <c r="D112" s="911">
        <f>SUM(I72)</f>
        <v>21.01</v>
      </c>
      <c r="E112" s="911" t="e">
        <f>SUM(J72)</f>
        <v>#REF!</v>
      </c>
      <c r="F112" s="912">
        <f>SUM(K72)</f>
        <v>13.79</v>
      </c>
      <c r="G112" s="910" t="e">
        <f>SUM(G113/G111)</f>
        <v>#REF!</v>
      </c>
      <c r="H112" s="911" t="e">
        <f>H113/H111</f>
        <v>#REF!</v>
      </c>
      <c r="I112" s="911">
        <f>D112*1.045</f>
        <v>21.955449999999999</v>
      </c>
      <c r="J112" s="911" t="e">
        <f>SUM(H112)</f>
        <v>#REF!</v>
      </c>
      <c r="K112" s="912" t="e">
        <f t="shared" ref="K112:P112" si="12">SUM(K113/K111)</f>
        <v>#DIV/0!</v>
      </c>
      <c r="L112" s="910">
        <f t="shared" si="12"/>
        <v>24.785313993735123</v>
      </c>
      <c r="M112" s="911">
        <f t="shared" si="12"/>
        <v>24.708181875298283</v>
      </c>
      <c r="N112" s="911">
        <f t="shared" si="12"/>
        <v>21.482725000000002</v>
      </c>
      <c r="O112" s="911" t="e">
        <f t="shared" si="12"/>
        <v>#REF!</v>
      </c>
      <c r="P112" s="912" t="e">
        <f t="shared" si="12"/>
        <v>#DIV/0!</v>
      </c>
      <c r="Q112" s="913" t="e">
        <f>SUM(G112/B112)</f>
        <v>#REF!</v>
      </c>
      <c r="R112" s="914" t="e">
        <f>SUM(H112/C112)</f>
        <v>#REF!</v>
      </c>
      <c r="S112" s="914">
        <f>I112/D112</f>
        <v>1.0449999999999999</v>
      </c>
      <c r="T112" s="915" t="e">
        <f>SUM(K112/F112)</f>
        <v>#DIV/0!</v>
      </c>
      <c r="U112" s="916" t="e">
        <f>SUM(L112/L72)</f>
        <v>#REF!</v>
      </c>
      <c r="V112" s="917" t="e">
        <f>SUM(M112/M72)</f>
        <v>#REF!</v>
      </c>
      <c r="W112" s="917">
        <f>SUM(N112/N72)</f>
        <v>1.0916018800813008</v>
      </c>
      <c r="X112" s="918" t="e">
        <f>SUM(P112/P72)</f>
        <v>#DIV/0!</v>
      </c>
    </row>
    <row r="113" spans="1:24" ht="30" customHeight="1" x14ac:dyDescent="0.2">
      <c r="A113" s="909" t="s">
        <v>383</v>
      </c>
      <c r="B113" s="910" t="e">
        <f>SUM(C113+F113)</f>
        <v>#REF!</v>
      </c>
      <c r="C113" s="911" t="e">
        <f>SUM(D113:E113)+D114</f>
        <v>#REF!</v>
      </c>
      <c r="D113" s="911">
        <f>D112*D111</f>
        <v>25716.240000000002</v>
      </c>
      <c r="E113" s="911" t="e">
        <f>E112*E111</f>
        <v>#REF!</v>
      </c>
      <c r="F113" s="912">
        <f>F112*F111</f>
        <v>0</v>
      </c>
      <c r="G113" s="910" t="e">
        <f>SUM(L113-B113)</f>
        <v>#REF!</v>
      </c>
      <c r="H113" s="911" t="e">
        <f>SUM(M113-C113)</f>
        <v>#REF!</v>
      </c>
      <c r="I113" s="911">
        <f>I112*I111</f>
        <v>26873.470799999999</v>
      </c>
      <c r="J113" s="911" t="e">
        <f>SUM(J111*J112)</f>
        <v>#REF!</v>
      </c>
      <c r="K113" s="912">
        <f>SUM(P113-F113)</f>
        <v>265.72014801492946</v>
      </c>
      <c r="L113" s="910">
        <f>SUM(стоки!AZ109)</f>
        <v>85385.406708417504</v>
      </c>
      <c r="M113" s="911">
        <f>SUM(стоки!BB109)</f>
        <v>85119.686560402581</v>
      </c>
      <c r="N113" s="911">
        <f>SUM(D113+I113)</f>
        <v>52589.710800000001</v>
      </c>
      <c r="O113" s="911" t="e">
        <f>SUM(E113+J113)</f>
        <v>#REF!</v>
      </c>
      <c r="P113" s="912">
        <f>SUM(стоки!BC109)</f>
        <v>265.72014801492946</v>
      </c>
      <c r="Q113" s="910"/>
      <c r="R113" s="919"/>
      <c r="S113" s="919"/>
      <c r="T113" s="920"/>
      <c r="U113" s="921"/>
      <c r="V113" s="919"/>
      <c r="W113" s="919"/>
      <c r="X113" s="920"/>
    </row>
    <row r="114" spans="1:24" ht="30" customHeight="1" thickBot="1" x14ac:dyDescent="0.25">
      <c r="A114" s="922" t="s">
        <v>385</v>
      </c>
      <c r="B114" s="923" t="e">
        <f>SUM(C114:F114)</f>
        <v>#REF!</v>
      </c>
      <c r="C114" s="924">
        <v>0</v>
      </c>
      <c r="D114" s="924" t="e">
        <f>SUM(E112-D112)*D111</f>
        <v>#REF!</v>
      </c>
      <c r="E114" s="924">
        <v>0</v>
      </c>
      <c r="F114" s="925">
        <v>0</v>
      </c>
      <c r="G114" s="923" t="e">
        <f>SUM(H114:K114)</f>
        <v>#REF!</v>
      </c>
      <c r="H114" s="924">
        <v>0</v>
      </c>
      <c r="I114" s="924" t="e">
        <f>SUM(H112-I112)*I111</f>
        <v>#REF!</v>
      </c>
      <c r="J114" s="924">
        <v>0</v>
      </c>
      <c r="K114" s="925">
        <v>0</v>
      </c>
      <c r="L114" s="923" t="e">
        <f>SUM(M114:P114)</f>
        <v>#REF!</v>
      </c>
      <c r="M114" s="924">
        <v>0</v>
      </c>
      <c r="N114" s="924" t="e">
        <f>SUM(B114+G114)</f>
        <v>#REF!</v>
      </c>
      <c r="O114" s="924">
        <v>0</v>
      </c>
      <c r="P114" s="925">
        <v>0</v>
      </c>
      <c r="Q114" s="923"/>
      <c r="R114" s="926"/>
      <c r="S114" s="926"/>
      <c r="T114" s="927"/>
      <c r="U114" s="928"/>
      <c r="V114" s="926"/>
      <c r="W114" s="926"/>
      <c r="X114" s="927"/>
    </row>
    <row r="115" spans="1:24" ht="15.75" customHeight="1" thickBot="1" x14ac:dyDescent="0.25">
      <c r="A115" s="4246"/>
      <c r="B115" s="4247"/>
      <c r="C115" s="4247"/>
      <c r="D115" s="4247"/>
      <c r="E115" s="4247"/>
      <c r="F115" s="4247"/>
      <c r="G115" s="4247"/>
      <c r="H115" s="4247"/>
      <c r="I115" s="4247"/>
      <c r="J115" s="4247"/>
      <c r="K115" s="4247"/>
      <c r="L115" s="4247"/>
      <c r="M115" s="4247"/>
      <c r="N115" s="4247"/>
      <c r="O115" s="4247"/>
      <c r="P115" s="4247"/>
      <c r="Q115" s="4247"/>
      <c r="R115" s="4247"/>
      <c r="S115" s="4247"/>
      <c r="T115" s="4247"/>
      <c r="U115" s="4247"/>
      <c r="V115" s="4247"/>
      <c r="W115" s="4247"/>
      <c r="X115" s="4248"/>
    </row>
    <row r="116" spans="1:24" ht="15.75" customHeight="1" thickBot="1" x14ac:dyDescent="0.25">
      <c r="A116" s="4249">
        <v>2016</v>
      </c>
      <c r="B116" s="4252" t="s">
        <v>384</v>
      </c>
      <c r="C116" s="4252"/>
      <c r="D116" s="4252"/>
      <c r="E116" s="4252"/>
      <c r="F116" s="4252"/>
      <c r="G116" s="4252"/>
      <c r="H116" s="4252"/>
      <c r="I116" s="4252"/>
      <c r="J116" s="4252"/>
      <c r="K116" s="4252"/>
      <c r="L116" s="4252"/>
      <c r="M116" s="4252"/>
      <c r="N116" s="4252"/>
      <c r="O116" s="4252"/>
      <c r="P116" s="4253"/>
      <c r="Q116" s="4262" t="s">
        <v>391</v>
      </c>
      <c r="R116" s="4263"/>
      <c r="S116" s="4263"/>
      <c r="T116" s="4264"/>
      <c r="U116" s="4262" t="s">
        <v>392</v>
      </c>
      <c r="V116" s="4263"/>
      <c r="W116" s="4263"/>
      <c r="X116" s="4264"/>
    </row>
    <row r="117" spans="1:24" ht="15.75" customHeight="1" thickBot="1" x14ac:dyDescent="0.25">
      <c r="A117" s="4250"/>
      <c r="B117" s="4268" t="s">
        <v>854</v>
      </c>
      <c r="C117" s="4269"/>
      <c r="D117" s="4269"/>
      <c r="E117" s="4269"/>
      <c r="F117" s="4270"/>
      <c r="G117" s="4271" t="s">
        <v>855</v>
      </c>
      <c r="H117" s="4272"/>
      <c r="I117" s="4272"/>
      <c r="J117" s="4272"/>
      <c r="K117" s="4273"/>
      <c r="L117" s="4271" t="s">
        <v>818</v>
      </c>
      <c r="M117" s="4272"/>
      <c r="N117" s="4272"/>
      <c r="O117" s="4272"/>
      <c r="P117" s="4274"/>
      <c r="Q117" s="4265"/>
      <c r="R117" s="4266"/>
      <c r="S117" s="4266"/>
      <c r="T117" s="4267"/>
      <c r="U117" s="4265"/>
      <c r="V117" s="4266"/>
      <c r="W117" s="4266"/>
      <c r="X117" s="4267"/>
    </row>
    <row r="118" spans="1:24" ht="15.75" customHeight="1" x14ac:dyDescent="0.2">
      <c r="A118" s="4250"/>
      <c r="B118" s="4254" t="s">
        <v>290</v>
      </c>
      <c r="C118" s="4257" t="s">
        <v>50</v>
      </c>
      <c r="D118" s="4257"/>
      <c r="E118" s="4257"/>
      <c r="F118" s="4258"/>
      <c r="G118" s="4259" t="s">
        <v>290</v>
      </c>
      <c r="H118" s="4260" t="s">
        <v>50</v>
      </c>
      <c r="I118" s="4260"/>
      <c r="J118" s="4260"/>
      <c r="K118" s="4261"/>
      <c r="L118" s="4259" t="s">
        <v>290</v>
      </c>
      <c r="M118" s="4260" t="s">
        <v>50</v>
      </c>
      <c r="N118" s="4260"/>
      <c r="O118" s="4260"/>
      <c r="P118" s="4261"/>
      <c r="Q118" s="4259" t="s">
        <v>290</v>
      </c>
      <c r="R118" s="4235" t="s">
        <v>50</v>
      </c>
      <c r="S118" s="4235"/>
      <c r="T118" s="4236"/>
      <c r="U118" s="4259" t="s">
        <v>290</v>
      </c>
      <c r="V118" s="4235" t="s">
        <v>50</v>
      </c>
      <c r="W118" s="4235"/>
      <c r="X118" s="4236"/>
    </row>
    <row r="119" spans="1:24" ht="15.75" customHeight="1" x14ac:dyDescent="0.2">
      <c r="A119" s="4250"/>
      <c r="B119" s="4255"/>
      <c r="C119" s="4237" t="s">
        <v>316</v>
      </c>
      <c r="D119" s="4245" t="s">
        <v>230</v>
      </c>
      <c r="E119" s="4245"/>
      <c r="F119" s="4238" t="s">
        <v>864</v>
      </c>
      <c r="G119" s="4255"/>
      <c r="H119" s="4237" t="s">
        <v>316</v>
      </c>
      <c r="I119" s="4245" t="s">
        <v>230</v>
      </c>
      <c r="J119" s="4245"/>
      <c r="K119" s="4238" t="s">
        <v>864</v>
      </c>
      <c r="L119" s="4255"/>
      <c r="M119" s="4237" t="s">
        <v>316</v>
      </c>
      <c r="N119" s="4245" t="s">
        <v>230</v>
      </c>
      <c r="O119" s="4245"/>
      <c r="P119" s="4238" t="s">
        <v>864</v>
      </c>
      <c r="Q119" s="4255"/>
      <c r="R119" s="4237" t="s">
        <v>316</v>
      </c>
      <c r="S119" s="4237"/>
      <c r="T119" s="4238" t="s">
        <v>864</v>
      </c>
      <c r="U119" s="4255"/>
      <c r="V119" s="4237" t="s">
        <v>316</v>
      </c>
      <c r="W119" s="4237"/>
      <c r="X119" s="4238" t="s">
        <v>864</v>
      </c>
    </row>
    <row r="120" spans="1:24" ht="15.75" customHeight="1" thickBot="1" x14ac:dyDescent="0.25">
      <c r="A120" s="4251"/>
      <c r="B120" s="4256"/>
      <c r="C120" s="4244"/>
      <c r="D120" s="901" t="s">
        <v>255</v>
      </c>
      <c r="E120" s="901" t="s">
        <v>289</v>
      </c>
      <c r="F120" s="4239"/>
      <c r="G120" s="4256"/>
      <c r="H120" s="4244"/>
      <c r="I120" s="901" t="s">
        <v>255</v>
      </c>
      <c r="J120" s="901" t="s">
        <v>289</v>
      </c>
      <c r="K120" s="4239"/>
      <c r="L120" s="4256"/>
      <c r="M120" s="4244"/>
      <c r="N120" s="901" t="s">
        <v>255</v>
      </c>
      <c r="O120" s="901" t="s">
        <v>289</v>
      </c>
      <c r="P120" s="4239"/>
      <c r="Q120" s="4256"/>
      <c r="R120" s="901" t="s">
        <v>857</v>
      </c>
      <c r="S120" s="901" t="s">
        <v>255</v>
      </c>
      <c r="T120" s="4239"/>
      <c r="U120" s="4256"/>
      <c r="V120" s="901" t="s">
        <v>857</v>
      </c>
      <c r="W120" s="901" t="s">
        <v>255</v>
      </c>
      <c r="X120" s="4239"/>
    </row>
    <row r="121" spans="1:24" ht="30" customHeight="1" x14ac:dyDescent="0.2">
      <c r="A121" s="902" t="s">
        <v>381</v>
      </c>
      <c r="B121" s="903">
        <f>SUM(B111)</f>
        <v>1722.5</v>
      </c>
      <c r="C121" s="904">
        <f t="shared" ref="C121:P121" si="13">SUM(C111)</f>
        <v>1722.5</v>
      </c>
      <c r="D121" s="904">
        <f t="shared" si="13"/>
        <v>1224</v>
      </c>
      <c r="E121" s="904">
        <f t="shared" si="13"/>
        <v>498.5</v>
      </c>
      <c r="F121" s="905">
        <f t="shared" si="13"/>
        <v>0</v>
      </c>
      <c r="G121" s="903">
        <f t="shared" si="13"/>
        <v>1722.5</v>
      </c>
      <c r="H121" s="904">
        <f t="shared" si="13"/>
        <v>1722.5</v>
      </c>
      <c r="I121" s="904">
        <f t="shared" si="13"/>
        <v>1224</v>
      </c>
      <c r="J121" s="904">
        <f t="shared" si="13"/>
        <v>498.5</v>
      </c>
      <c r="K121" s="905">
        <f t="shared" si="13"/>
        <v>0</v>
      </c>
      <c r="L121" s="903">
        <f t="shared" si="13"/>
        <v>3445</v>
      </c>
      <c r="M121" s="904">
        <f t="shared" si="13"/>
        <v>3445</v>
      </c>
      <c r="N121" s="904">
        <f t="shared" si="13"/>
        <v>2448</v>
      </c>
      <c r="O121" s="904">
        <f t="shared" si="13"/>
        <v>997</v>
      </c>
      <c r="P121" s="905">
        <f t="shared" si="13"/>
        <v>0</v>
      </c>
      <c r="Q121" s="903"/>
      <c r="R121" s="906"/>
      <c r="S121" s="906"/>
      <c r="T121" s="907"/>
      <c r="U121" s="908"/>
      <c r="V121" s="906"/>
      <c r="W121" s="906"/>
      <c r="X121" s="907"/>
    </row>
    <row r="122" spans="1:24" ht="30" customHeight="1" x14ac:dyDescent="0.2">
      <c r="A122" s="909" t="s">
        <v>382</v>
      </c>
      <c r="B122" s="910">
        <f>SUM(B123/B121)</f>
        <v>25.05</v>
      </c>
      <c r="C122" s="911">
        <f>SUM(C123/C121)</f>
        <v>25.05</v>
      </c>
      <c r="D122" s="911">
        <f t="shared" ref="D122" si="14">SUM(I82)</f>
        <v>21.01</v>
      </c>
      <c r="E122" s="911">
        <f t="shared" ref="E122" si="15">SUM(J82)</f>
        <v>25.05</v>
      </c>
      <c r="F122" s="912">
        <f>SUM(K82)</f>
        <v>13.79</v>
      </c>
      <c r="G122" s="910">
        <f>SUM(G123/G121)</f>
        <v>24.5201054910987</v>
      </c>
      <c r="H122" s="911">
        <f>H123/H121</f>
        <v>24.365841254225014</v>
      </c>
      <c r="I122" s="911">
        <f>D122*1.045</f>
        <v>21.955449999999999</v>
      </c>
      <c r="J122" s="911">
        <f>SUM(H122)</f>
        <v>24.365841254225014</v>
      </c>
      <c r="K122" s="912" t="e">
        <f t="shared" ref="K122:P122" si="16">SUM(K123/K121)</f>
        <v>#DIV/0!</v>
      </c>
      <c r="L122" s="910">
        <f t="shared" si="16"/>
        <v>24.785052745549351</v>
      </c>
      <c r="M122" s="911">
        <f t="shared" si="16"/>
        <v>24.707920627112507</v>
      </c>
      <c r="N122" s="911">
        <f t="shared" si="16"/>
        <v>21.482725000000002</v>
      </c>
      <c r="O122" s="911">
        <f t="shared" si="16"/>
        <v>24.707920627112507</v>
      </c>
      <c r="P122" s="912" t="e">
        <f t="shared" si="16"/>
        <v>#DIV/0!</v>
      </c>
      <c r="Q122" s="913">
        <f>SUM(G122/B122)</f>
        <v>0.97884652659076643</v>
      </c>
      <c r="R122" s="914">
        <f>SUM(H122/C122)</f>
        <v>0.97268827362175703</v>
      </c>
      <c r="S122" s="914">
        <f>I122/D122</f>
        <v>1.0449999999999999</v>
      </c>
      <c r="T122" s="915" t="e">
        <f>SUM(K122/F122)</f>
        <v>#DIV/0!</v>
      </c>
      <c r="U122" s="916" t="e">
        <f>SUM(L122/L82)</f>
        <v>#REF!</v>
      </c>
      <c r="V122" s="917" t="e">
        <f>SUM(M122/M82)</f>
        <v>#REF!</v>
      </c>
      <c r="W122" s="917">
        <f>SUM(N122/N82)</f>
        <v>1.0916018800813008</v>
      </c>
      <c r="X122" s="918" t="e">
        <f>SUM(P122/P82)</f>
        <v>#DIV/0!</v>
      </c>
    </row>
    <row r="123" spans="1:24" ht="30" customHeight="1" x14ac:dyDescent="0.2">
      <c r="A123" s="909" t="s">
        <v>383</v>
      </c>
      <c r="B123" s="910">
        <f>SUM(C123+F123)</f>
        <v>43148.625</v>
      </c>
      <c r="C123" s="911">
        <f>SUM(D123:E123)+D124</f>
        <v>43148.625</v>
      </c>
      <c r="D123" s="911">
        <f>D122*D121</f>
        <v>25716.240000000002</v>
      </c>
      <c r="E123" s="911">
        <f>E122*E121</f>
        <v>12487.425000000001</v>
      </c>
      <c r="F123" s="912">
        <f>F122*F121</f>
        <v>0</v>
      </c>
      <c r="G123" s="910">
        <f>SUM(L123-B123)</f>
        <v>42235.88170841751</v>
      </c>
      <c r="H123" s="911">
        <f>SUM(M123-C123)</f>
        <v>41970.161560402586</v>
      </c>
      <c r="I123" s="911">
        <f>I122*I121</f>
        <v>26873.470799999999</v>
      </c>
      <c r="J123" s="911">
        <f>SUM(J121*J122)</f>
        <v>12146.371865231169</v>
      </c>
      <c r="K123" s="912">
        <f>SUM(P123-F123)</f>
        <v>265.72014801492946</v>
      </c>
      <c r="L123" s="910">
        <f>SUM(стоки!AZ106)</f>
        <v>85384.50670841751</v>
      </c>
      <c r="M123" s="911">
        <f>SUM(стоки!BB106)</f>
        <v>85118.786560402586</v>
      </c>
      <c r="N123" s="911">
        <f>SUM(D123+I123)</f>
        <v>52589.710800000001</v>
      </c>
      <c r="O123" s="911">
        <f>SUM(E123+J123)</f>
        <v>24633.796865231168</v>
      </c>
      <c r="P123" s="912">
        <f>SUM(стоки!BC106)</f>
        <v>265.72014801492946</v>
      </c>
      <c r="Q123" s="910"/>
      <c r="R123" s="919"/>
      <c r="S123" s="919"/>
      <c r="T123" s="920"/>
      <c r="U123" s="921"/>
      <c r="V123" s="919"/>
      <c r="W123" s="919"/>
      <c r="X123" s="920"/>
    </row>
    <row r="124" spans="1:24" ht="30" customHeight="1" thickBot="1" x14ac:dyDescent="0.25">
      <c r="A124" s="922" t="s">
        <v>385</v>
      </c>
      <c r="B124" s="923">
        <f>SUM(C124:F124)</f>
        <v>4944.9599999999991</v>
      </c>
      <c r="C124" s="924">
        <v>0</v>
      </c>
      <c r="D124" s="924">
        <f>SUM(E122-D122)*D121</f>
        <v>4944.9599999999991</v>
      </c>
      <c r="E124" s="924">
        <v>0</v>
      </c>
      <c r="F124" s="925">
        <v>0</v>
      </c>
      <c r="G124" s="923">
        <f>SUM(H124:K124)</f>
        <v>2950.3188951714183</v>
      </c>
      <c r="H124" s="924">
        <v>0</v>
      </c>
      <c r="I124" s="924">
        <f>SUM(H122-I122)*I121</f>
        <v>2950.3188951714183</v>
      </c>
      <c r="J124" s="924">
        <v>0</v>
      </c>
      <c r="K124" s="925">
        <v>0</v>
      </c>
      <c r="L124" s="923">
        <f>SUM(M124:P124)</f>
        <v>7895.2788951714174</v>
      </c>
      <c r="M124" s="924">
        <v>0</v>
      </c>
      <c r="N124" s="924">
        <f>SUM(B124+G124)</f>
        <v>7895.2788951714174</v>
      </c>
      <c r="O124" s="924">
        <v>0</v>
      </c>
      <c r="P124" s="925">
        <v>0</v>
      </c>
      <c r="Q124" s="923"/>
      <c r="R124" s="926"/>
      <c r="S124" s="926"/>
      <c r="T124" s="927"/>
      <c r="U124" s="928"/>
      <c r="V124" s="926"/>
      <c r="W124" s="926"/>
      <c r="X124" s="927"/>
    </row>
  </sheetData>
  <mergeCells count="373"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4463" t="s">
        <v>1720</v>
      </c>
      <c r="B3" s="4463"/>
      <c r="C3" s="4463"/>
      <c r="D3" s="4463"/>
      <c r="E3" s="4463"/>
      <c r="F3" s="4463"/>
      <c r="G3" s="4463"/>
      <c r="H3" s="4463"/>
    </row>
    <row r="4" spans="1:8" ht="15.75" thickBot="1" x14ac:dyDescent="0.3">
      <c r="A4" s="4464" t="s">
        <v>1797</v>
      </c>
      <c r="B4" s="4464"/>
      <c r="C4" s="4464"/>
      <c r="D4" s="4464"/>
      <c r="E4" s="4464"/>
      <c r="F4" s="4464"/>
      <c r="G4" s="4464"/>
      <c r="H4" s="4464"/>
    </row>
    <row r="5" spans="1:8" x14ac:dyDescent="0.2">
      <c r="A5" s="4458" t="s">
        <v>1721</v>
      </c>
      <c r="B5" s="4465" t="s">
        <v>1722</v>
      </c>
      <c r="C5" s="4467" t="s">
        <v>1723</v>
      </c>
      <c r="D5" s="4465" t="s">
        <v>1724</v>
      </c>
      <c r="E5" s="4469"/>
      <c r="F5" s="4470" t="s">
        <v>1725</v>
      </c>
      <c r="G5" s="4465" t="s">
        <v>1726</v>
      </c>
      <c r="H5" s="4472" t="s">
        <v>1711</v>
      </c>
    </row>
    <row r="6" spans="1:8" ht="13.5" thickBot="1" x14ac:dyDescent="0.25">
      <c r="A6" s="4459"/>
      <c r="B6" s="4466"/>
      <c r="C6" s="4468"/>
      <c r="D6" s="1955" t="s">
        <v>1566</v>
      </c>
      <c r="E6" s="1956" t="s">
        <v>60</v>
      </c>
      <c r="F6" s="4471"/>
      <c r="G6" s="4466"/>
      <c r="H6" s="4473"/>
    </row>
    <row r="7" spans="1:8" ht="88.5" customHeight="1" x14ac:dyDescent="0.2">
      <c r="A7" s="4458" t="s">
        <v>1727</v>
      </c>
      <c r="B7" s="1957" t="s">
        <v>1728</v>
      </c>
      <c r="C7" s="1958" t="s">
        <v>44</v>
      </c>
      <c r="D7" s="1959">
        <v>8</v>
      </c>
      <c r="E7" s="1960">
        <v>8</v>
      </c>
      <c r="F7" s="1961">
        <f>1/D18</f>
        <v>0.33333333333333331</v>
      </c>
      <c r="G7" s="1962">
        <f>IF(D7/E7&gt;1,1,D7/E7)</f>
        <v>1</v>
      </c>
      <c r="H7" s="1963">
        <f t="shared" ref="H7:H12" si="0">F7*G7</f>
        <v>0.33333333333333331</v>
      </c>
    </row>
    <row r="8" spans="1:8" ht="54.75" customHeight="1" thickBot="1" x14ac:dyDescent="0.25">
      <c r="A8" s="4459"/>
      <c r="B8" s="1997" t="s">
        <v>1729</v>
      </c>
      <c r="C8" s="1955" t="s">
        <v>44</v>
      </c>
      <c r="D8" s="1965">
        <v>40.5</v>
      </c>
      <c r="E8" s="1966">
        <v>40.5</v>
      </c>
      <c r="F8" s="1967">
        <f>F7</f>
        <v>0.33333333333333331</v>
      </c>
      <c r="G8" s="1968">
        <f>IF(D8/E8&gt;1,1,D8/E8)</f>
        <v>1</v>
      </c>
      <c r="H8" s="1969">
        <f t="shared" si="0"/>
        <v>0.33333333333333331</v>
      </c>
    </row>
    <row r="9" spans="1:8" ht="68.25" customHeight="1" x14ac:dyDescent="0.2">
      <c r="A9" s="4458" t="s">
        <v>1730</v>
      </c>
      <c r="B9" s="1970" t="s">
        <v>1731</v>
      </c>
      <c r="C9" s="1958" t="s">
        <v>1732</v>
      </c>
      <c r="D9" s="1959">
        <v>0.37</v>
      </c>
      <c r="E9" s="1960">
        <v>0.63</v>
      </c>
      <c r="F9" s="1971">
        <f>F8</f>
        <v>0.33333333333333331</v>
      </c>
      <c r="G9" s="1998">
        <f>IF(D9/E9&gt;1,1,D9/E9)</f>
        <v>0.58730158730158732</v>
      </c>
      <c r="H9" s="1973">
        <f t="shared" si="0"/>
        <v>0.19576719576719576</v>
      </c>
    </row>
    <row r="10" spans="1:8" ht="32.25" customHeight="1" thickBot="1" x14ac:dyDescent="0.25">
      <c r="A10" s="4459"/>
      <c r="B10" s="1997" t="s">
        <v>1733</v>
      </c>
      <c r="C10" s="1955" t="s">
        <v>1732</v>
      </c>
      <c r="D10" s="1965">
        <v>10.7</v>
      </c>
      <c r="E10" s="1966">
        <v>11.2</v>
      </c>
      <c r="F10" s="1967">
        <f>1/D19</f>
        <v>0.33333333333333331</v>
      </c>
      <c r="G10" s="1999">
        <f>IF(D10/E10&gt;1,1,D10/E10)</f>
        <v>0.9553571428571429</v>
      </c>
      <c r="H10" s="1969">
        <f t="shared" si="0"/>
        <v>0.31845238095238093</v>
      </c>
    </row>
    <row r="11" spans="1:8" ht="40.5" customHeight="1" x14ac:dyDescent="0.2">
      <c r="A11" s="4458" t="s">
        <v>1734</v>
      </c>
      <c r="B11" s="1957" t="s">
        <v>1735</v>
      </c>
      <c r="C11" s="1958" t="s">
        <v>44</v>
      </c>
      <c r="D11" s="1959">
        <v>0</v>
      </c>
      <c r="E11" s="1960">
        <v>0</v>
      </c>
      <c r="F11" s="1971">
        <f>F10</f>
        <v>0.33333333333333331</v>
      </c>
      <c r="G11" s="1972">
        <v>1</v>
      </c>
      <c r="H11" s="1973">
        <f t="shared" si="0"/>
        <v>0.33333333333333331</v>
      </c>
    </row>
    <row r="12" spans="1:8" ht="33.75" customHeight="1" thickBot="1" x14ac:dyDescent="0.25">
      <c r="A12" s="4459"/>
      <c r="B12" s="1964" t="s">
        <v>1736</v>
      </c>
      <c r="C12" s="1955" t="s">
        <v>44</v>
      </c>
      <c r="D12" s="1965">
        <v>100</v>
      </c>
      <c r="E12" s="1966">
        <v>100</v>
      </c>
      <c r="F12" s="1967">
        <f>F11</f>
        <v>0.33333333333333331</v>
      </c>
      <c r="G12" s="1968">
        <f>IF(D12/E12&gt;1,1,D12/E12)</f>
        <v>1</v>
      </c>
      <c r="H12" s="1969">
        <f t="shared" si="0"/>
        <v>0.33333333333333331</v>
      </c>
    </row>
    <row r="13" spans="1:8" ht="38.25" customHeight="1" x14ac:dyDescent="0.2">
      <c r="A13" s="4458" t="s">
        <v>1737</v>
      </c>
      <c r="B13" s="1970" t="s">
        <v>1738</v>
      </c>
      <c r="C13" s="1958" t="s">
        <v>44</v>
      </c>
      <c r="D13" s="1959">
        <v>19.7</v>
      </c>
      <c r="E13" s="1960">
        <v>30.66</v>
      </c>
      <c r="F13" s="1961">
        <v>0</v>
      </c>
      <c r="G13" s="2000">
        <f>IF(D13/E13&gt;1,1,D13/E13)</f>
        <v>0.64253098499673844</v>
      </c>
      <c r="H13" s="1963"/>
    </row>
    <row r="14" spans="1:8" ht="38.25" customHeight="1" x14ac:dyDescent="0.2">
      <c r="A14" s="4460"/>
      <c r="B14" s="1682" t="s">
        <v>1741</v>
      </c>
      <c r="C14" s="1919" t="s">
        <v>1739</v>
      </c>
      <c r="D14" s="1995">
        <v>0.124</v>
      </c>
      <c r="E14" s="1996">
        <v>0.125</v>
      </c>
      <c r="F14" s="1961"/>
      <c r="G14" s="1974"/>
      <c r="H14" s="1963"/>
    </row>
    <row r="15" spans="1:8" ht="40.5" customHeight="1" x14ac:dyDescent="0.2">
      <c r="A15" s="4461"/>
      <c r="B15" s="1682" t="s">
        <v>1742</v>
      </c>
      <c r="C15" s="1919" t="s">
        <v>1739</v>
      </c>
      <c r="D15" s="1857">
        <v>0.249</v>
      </c>
      <c r="E15" s="1975">
        <v>0.29499999999999998</v>
      </c>
      <c r="F15" s="1976">
        <v>0</v>
      </c>
      <c r="G15" s="1977"/>
      <c r="H15" s="1978"/>
    </row>
    <row r="16" spans="1:8" ht="40.5" customHeight="1" x14ac:dyDescent="0.2">
      <c r="A16" s="4462"/>
      <c r="B16" s="1979" t="s">
        <v>1740</v>
      </c>
      <c r="C16" s="1919" t="s">
        <v>1739</v>
      </c>
      <c r="D16" s="1980">
        <v>0.42</v>
      </c>
      <c r="E16" s="1981">
        <v>0.60199999999999998</v>
      </c>
      <c r="F16" s="1982"/>
      <c r="G16" s="1983"/>
      <c r="H16" s="1984"/>
    </row>
    <row r="17" spans="1:8" ht="42.75" customHeight="1" thickBot="1" x14ac:dyDescent="0.25">
      <c r="A17" s="4462"/>
      <c r="B17" s="1979" t="s">
        <v>1743</v>
      </c>
      <c r="C17" s="1917" t="s">
        <v>1739</v>
      </c>
      <c r="D17" s="1980">
        <v>8.4000000000000005E-2</v>
      </c>
      <c r="E17" s="1981">
        <v>9.1999999999999998E-2</v>
      </c>
      <c r="F17" s="1982">
        <v>0</v>
      </c>
      <c r="G17" s="1983"/>
      <c r="H17" s="1984"/>
    </row>
    <row r="18" spans="1:8" x14ac:dyDescent="0.2">
      <c r="A18" s="1985"/>
      <c r="B18" s="1986"/>
      <c r="C18" s="1986" t="s">
        <v>288</v>
      </c>
      <c r="D18" s="1986">
        <v>3</v>
      </c>
      <c r="E18" s="1986"/>
      <c r="F18" s="1987">
        <f>F7+F8+F9</f>
        <v>1</v>
      </c>
      <c r="G18" s="1988"/>
      <c r="H18" s="1989">
        <f>H7+H8+H9</f>
        <v>0.86243386243386233</v>
      </c>
    </row>
    <row r="19" spans="1:8" ht="13.5" thickBot="1" x14ac:dyDescent="0.25">
      <c r="A19" s="1990"/>
      <c r="B19" s="1991"/>
      <c r="C19" s="1991" t="s">
        <v>316</v>
      </c>
      <c r="D19" s="1991">
        <v>3</v>
      </c>
      <c r="E19" s="1991"/>
      <c r="F19" s="1992">
        <f>F10+F11+F12</f>
        <v>1</v>
      </c>
      <c r="G19" s="1993"/>
      <c r="H19" s="1994">
        <f>H10+H11+H12</f>
        <v>0.98511904761904745</v>
      </c>
    </row>
    <row r="23" spans="1:8" x14ac:dyDescent="0.2">
      <c r="B23" s="5" t="s">
        <v>368</v>
      </c>
      <c r="C23" s="5"/>
      <c r="D23" s="5"/>
    </row>
    <row r="24" spans="1:8" ht="28.5" x14ac:dyDescent="0.2">
      <c r="B24" s="1920" t="s">
        <v>1744</v>
      </c>
      <c r="C24" s="2001">
        <f>C26*C27*C28*C29</f>
        <v>1402.0984566147722</v>
      </c>
      <c r="D24" s="1916"/>
    </row>
    <row r="25" spans="1:8" ht="14.25" x14ac:dyDescent="0.2">
      <c r="B25" s="2002" t="s">
        <v>1745</v>
      </c>
      <c r="C25" s="2003">
        <f>1/100</f>
        <v>0.01</v>
      </c>
      <c r="D25" s="1915" t="s">
        <v>1746</v>
      </c>
    </row>
    <row r="26" spans="1:8" x14ac:dyDescent="0.2">
      <c r="B26" s="2002" t="s">
        <v>1747</v>
      </c>
      <c r="C26" s="2003">
        <f>IF(1-H54&gt;1/100,1/100,1-H54)</f>
        <v>0.01</v>
      </c>
      <c r="D26" s="1915"/>
    </row>
    <row r="27" spans="1:8" ht="14.25" x14ac:dyDescent="0.2">
      <c r="B27" s="2002" t="s">
        <v>1748</v>
      </c>
      <c r="C27" s="2003">
        <f>'вода 2019-2021 коррект'!F10</f>
        <v>130132.0308002161</v>
      </c>
      <c r="D27" s="1915"/>
    </row>
    <row r="28" spans="1:8" ht="14.25" x14ac:dyDescent="0.2">
      <c r="B28" s="2002" t="s">
        <v>1749</v>
      </c>
      <c r="C28" s="2004">
        <v>1.0389999999999999</v>
      </c>
      <c r="D28" s="1915"/>
    </row>
    <row r="29" spans="1:8" ht="14.25" x14ac:dyDescent="0.2">
      <c r="B29" s="2002" t="s">
        <v>1750</v>
      </c>
      <c r="C29" s="2005">
        <v>1.0369999999999999</v>
      </c>
      <c r="D29" s="2006"/>
    </row>
    <row r="30" spans="1:8" x14ac:dyDescent="0.2">
      <c r="B30" s="5" t="s">
        <v>47</v>
      </c>
      <c r="C30" s="5"/>
      <c r="D30" s="5"/>
    </row>
    <row r="31" spans="1:8" ht="28.5" x14ac:dyDescent="0.2">
      <c r="B31" s="1920" t="s">
        <v>1744</v>
      </c>
      <c r="C31" s="2001">
        <f>C33*C34*C35*C36</f>
        <v>917.11610446699819</v>
      </c>
      <c r="D31" s="1916"/>
    </row>
    <row r="32" spans="1:8" ht="14.25" x14ac:dyDescent="0.2">
      <c r="B32" s="2002" t="s">
        <v>1745</v>
      </c>
      <c r="C32" s="2003">
        <f>1/100</f>
        <v>0.01</v>
      </c>
      <c r="D32" s="1915" t="s">
        <v>1746</v>
      </c>
    </row>
    <row r="33" spans="2:4" x14ac:dyDescent="0.2">
      <c r="B33" s="2002" t="s">
        <v>1747</v>
      </c>
      <c r="C33" s="2003">
        <f>IF(1-H61&gt;1/100,1/100,1-H61)</f>
        <v>0.01</v>
      </c>
      <c r="D33" s="1915"/>
    </row>
    <row r="34" spans="2:4" ht="14.25" x14ac:dyDescent="0.2">
      <c r="B34" s="2002" t="s">
        <v>1748</v>
      </c>
      <c r="C34" s="2003">
        <f>'стоки 2019-2021'!F9</f>
        <v>85119.686560402581</v>
      </c>
      <c r="D34" s="1915"/>
    </row>
    <row r="35" spans="2:4" ht="14.25" x14ac:dyDescent="0.2">
      <c r="B35" s="2002" t="s">
        <v>1749</v>
      </c>
      <c r="C35" s="2004">
        <v>1.0389999999999999</v>
      </c>
      <c r="D35" s="1915"/>
    </row>
    <row r="36" spans="2:4" ht="14.25" x14ac:dyDescent="0.2">
      <c r="B36" s="2002" t="s">
        <v>1750</v>
      </c>
      <c r="C36" s="2005">
        <v>1.0369999999999999</v>
      </c>
      <c r="D36" s="2006"/>
    </row>
    <row r="38" spans="2:4" x14ac:dyDescent="0.2">
      <c r="B38" s="5" t="s">
        <v>25</v>
      </c>
      <c r="C38" s="5"/>
      <c r="D38" s="5"/>
    </row>
    <row r="39" spans="2:4" ht="28.5" x14ac:dyDescent="0.2">
      <c r="B39" s="2064" t="s">
        <v>1744</v>
      </c>
      <c r="C39" s="2001">
        <f>C41*C42*C43*C44</f>
        <v>3.706200318684449</v>
      </c>
      <c r="D39" s="2063"/>
    </row>
    <row r="40" spans="2:4" ht="14.25" x14ac:dyDescent="0.2">
      <c r="B40" s="2002" t="s">
        <v>1745</v>
      </c>
      <c r="C40" s="2003">
        <f>1/100</f>
        <v>0.01</v>
      </c>
      <c r="D40" s="2062" t="s">
        <v>1746</v>
      </c>
    </row>
    <row r="41" spans="2:4" x14ac:dyDescent="0.2">
      <c r="B41" s="2002" t="s">
        <v>1747</v>
      </c>
      <c r="C41" s="2003">
        <f>IF(1-H69&gt;1/100,1/100,1-H69)</f>
        <v>0.01</v>
      </c>
      <c r="D41" s="2062"/>
    </row>
    <row r="42" spans="2:4" ht="14.25" x14ac:dyDescent="0.2">
      <c r="B42" s="2002" t="s">
        <v>1748</v>
      </c>
      <c r="C42" s="2003">
        <f>'тех вода 2019-2021'!F10</f>
        <v>343.98110328661932</v>
      </c>
      <c r="D42" s="2062"/>
    </row>
    <row r="43" spans="2:4" ht="14.25" x14ac:dyDescent="0.2">
      <c r="B43" s="2002" t="s">
        <v>1749</v>
      </c>
      <c r="C43" s="2004">
        <v>1.0389999999999999</v>
      </c>
      <c r="D43" s="2062"/>
    </row>
    <row r="44" spans="2:4" ht="14.25" x14ac:dyDescent="0.2">
      <c r="B44" s="2002" t="s">
        <v>1750</v>
      </c>
      <c r="C44" s="2005">
        <v>1.0369999999999999</v>
      </c>
      <c r="D44" s="2006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4474" t="s">
        <v>1669</v>
      </c>
      <c r="G1" s="4474"/>
      <c r="H1" s="4474"/>
      <c r="I1" s="4474"/>
      <c r="J1" s="4474"/>
      <c r="K1" s="4474"/>
    </row>
    <row r="2" spans="1:11" ht="15.75" x14ac:dyDescent="0.2">
      <c r="A2" s="4484" t="s">
        <v>1674</v>
      </c>
      <c r="B2" s="4485"/>
      <c r="C2" s="4485"/>
      <c r="D2" s="4485"/>
      <c r="E2" s="4485"/>
      <c r="F2" s="4485"/>
      <c r="G2" s="4485"/>
      <c r="H2" s="4485"/>
      <c r="I2" s="4485"/>
      <c r="J2" s="4485"/>
      <c r="K2" s="4485"/>
    </row>
    <row r="3" spans="1:11" ht="15.75" x14ac:dyDescent="0.25">
      <c r="A3" s="4476" t="s">
        <v>358</v>
      </c>
      <c r="B3" s="4480" t="s">
        <v>1666</v>
      </c>
      <c r="C3" s="4480"/>
      <c r="D3" s="4480"/>
      <c r="E3" s="4480" t="s">
        <v>1667</v>
      </c>
      <c r="F3" s="4480"/>
      <c r="G3" s="4480"/>
      <c r="H3" s="4480" t="s">
        <v>1529</v>
      </c>
      <c r="I3" s="4480"/>
      <c r="J3" s="4480"/>
      <c r="K3" s="4482" t="s">
        <v>1596</v>
      </c>
    </row>
    <row r="4" spans="1:11" ht="30" customHeight="1" x14ac:dyDescent="0.2">
      <c r="A4" s="4476"/>
      <c r="B4" s="1887" t="s">
        <v>398</v>
      </c>
      <c r="C4" s="1887" t="s">
        <v>650</v>
      </c>
      <c r="D4" s="1887" t="s">
        <v>400</v>
      </c>
      <c r="E4" s="1887" t="s">
        <v>398</v>
      </c>
      <c r="F4" s="1887" t="s">
        <v>650</v>
      </c>
      <c r="G4" s="1887" t="s">
        <v>400</v>
      </c>
      <c r="H4" s="1887" t="s">
        <v>398</v>
      </c>
      <c r="I4" s="1887" t="s">
        <v>650</v>
      </c>
      <c r="J4" s="1887" t="s">
        <v>400</v>
      </c>
      <c r="K4" s="4483"/>
    </row>
    <row r="5" spans="1:11" ht="15" customHeight="1" x14ac:dyDescent="0.2">
      <c r="A5" s="1888" t="s">
        <v>651</v>
      </c>
      <c r="B5" s="1750"/>
      <c r="C5" s="1619"/>
      <c r="D5" s="1619"/>
      <c r="E5" s="1751">
        <f>SUM(объемы!T39)</f>
        <v>5779.357</v>
      </c>
      <c r="F5" s="1619"/>
      <c r="G5" s="1619"/>
      <c r="H5" s="1678"/>
      <c r="I5" s="1608"/>
      <c r="J5" s="1608"/>
      <c r="K5" s="1757"/>
    </row>
    <row r="6" spans="1:11" ht="15" customHeight="1" x14ac:dyDescent="0.2">
      <c r="A6" s="1888" t="s">
        <v>24</v>
      </c>
      <c r="B6" s="1750">
        <v>2800</v>
      </c>
      <c r="C6" s="1619">
        <v>70</v>
      </c>
      <c r="D6" s="1751">
        <f>B6*C6/1000</f>
        <v>196</v>
      </c>
      <c r="E6" s="1751">
        <f>объемы!R50</f>
        <v>2377.86</v>
      </c>
      <c r="F6" s="1619">
        <v>81</v>
      </c>
      <c r="G6" s="1751">
        <f>E6*F6/1000</f>
        <v>192.60666000000001</v>
      </c>
      <c r="H6" s="1678"/>
      <c r="I6" s="1608"/>
      <c r="J6" s="1678"/>
      <c r="K6" s="1759">
        <f>G6-D6</f>
        <v>-3.3933399999999949</v>
      </c>
    </row>
    <row r="7" spans="1:11" ht="15" customHeight="1" x14ac:dyDescent="0.2">
      <c r="A7" s="1888" t="s">
        <v>256</v>
      </c>
      <c r="B7" s="1750">
        <v>1206.27</v>
      </c>
      <c r="C7" s="1619">
        <v>258</v>
      </c>
      <c r="D7" s="1751">
        <f>B7*C7/1000</f>
        <v>311.21765999999997</v>
      </c>
      <c r="E7" s="1751">
        <f>объемы!S51+объемы!R52+объемы!R57</f>
        <v>1402.56</v>
      </c>
      <c r="F7" s="1619">
        <f>258*1.15</f>
        <v>296.7</v>
      </c>
      <c r="G7" s="1751">
        <f>E7*F7/1000</f>
        <v>416.13955199999998</v>
      </c>
      <c r="H7" s="1678"/>
      <c r="I7" s="1608"/>
      <c r="J7" s="1678"/>
      <c r="K7" s="1759">
        <f t="shared" ref="K7:K11" si="0">G7-D7</f>
        <v>104.92189200000001</v>
      </c>
    </row>
    <row r="8" spans="1:11" ht="15" customHeight="1" x14ac:dyDescent="0.2">
      <c r="A8" s="1888" t="s">
        <v>394</v>
      </c>
      <c r="B8" s="1750">
        <v>557.12</v>
      </c>
      <c r="C8" s="1619">
        <v>258</v>
      </c>
      <c r="D8" s="1751">
        <f>B8*C8/1000</f>
        <v>143.73695999999998</v>
      </c>
      <c r="E8" s="1751">
        <f>объемы!R42</f>
        <v>1030.98</v>
      </c>
      <c r="F8" s="1619">
        <f>258*1.15</f>
        <v>296.7</v>
      </c>
      <c r="G8" s="1751">
        <f>E8*F8/1000</f>
        <v>305.89176600000002</v>
      </c>
      <c r="H8" s="1678"/>
      <c r="I8" s="1608"/>
      <c r="J8" s="1678"/>
      <c r="K8" s="1759">
        <f t="shared" si="0"/>
        <v>162.15480600000004</v>
      </c>
    </row>
    <row r="9" spans="1:11" ht="15" customHeight="1" x14ac:dyDescent="0.2">
      <c r="A9" s="1888" t="s">
        <v>395</v>
      </c>
      <c r="B9" s="1750">
        <v>998</v>
      </c>
      <c r="C9" s="1619"/>
      <c r="D9" s="1751"/>
      <c r="E9" s="1751">
        <f>'хим. реагенты'!B28</f>
        <v>926.48394815553365</v>
      </c>
      <c r="F9" s="1619"/>
      <c r="G9" s="1751"/>
      <c r="H9" s="1678"/>
      <c r="I9" s="1608"/>
      <c r="J9" s="1678"/>
      <c r="K9" s="1759"/>
    </row>
    <row r="10" spans="1:11" ht="15" customHeight="1" x14ac:dyDescent="0.2">
      <c r="A10" s="1888" t="s">
        <v>396</v>
      </c>
      <c r="B10" s="1618">
        <v>697.05072386999996</v>
      </c>
      <c r="C10" s="1619">
        <v>70</v>
      </c>
      <c r="D10" s="1751">
        <f>B10*C10/1000</f>
        <v>48.793550670899997</v>
      </c>
      <c r="E10" s="1774">
        <f>E9*E6/(E6+E7)</f>
        <v>582.75247749221444</v>
      </c>
      <c r="F10" s="1619">
        <v>81</v>
      </c>
      <c r="G10" s="1751">
        <f>E10*F10/1000</f>
        <v>47.202950676869371</v>
      </c>
      <c r="H10" s="1608"/>
      <c r="I10" s="1608"/>
      <c r="J10" s="1678"/>
      <c r="K10" s="1759">
        <f t="shared" si="0"/>
        <v>-1.5905999940306259</v>
      </c>
    </row>
    <row r="11" spans="1:11" ht="15" customHeight="1" x14ac:dyDescent="0.2">
      <c r="A11" s="1888" t="s">
        <v>397</v>
      </c>
      <c r="B11" s="1750">
        <v>300.49</v>
      </c>
      <c r="C11" s="1619">
        <v>258</v>
      </c>
      <c r="D11" s="1751">
        <f>B11*C11/1000</f>
        <v>77.526420000000002</v>
      </c>
      <c r="E11" s="1751">
        <f>E9-E10</f>
        <v>343.73147066331921</v>
      </c>
      <c r="F11" s="1619">
        <v>341</v>
      </c>
      <c r="G11" s="1751">
        <f>E11*F11/1000</f>
        <v>117.21243149619185</v>
      </c>
      <c r="H11" s="1678"/>
      <c r="I11" s="1608"/>
      <c r="J11" s="1678"/>
      <c r="K11" s="1759">
        <f t="shared" si="0"/>
        <v>39.686011496191853</v>
      </c>
    </row>
    <row r="12" spans="1:11" ht="15" customHeight="1" x14ac:dyDescent="0.2">
      <c r="A12" s="1681" t="s">
        <v>850</v>
      </c>
      <c r="B12" s="1683"/>
      <c r="C12" s="1681"/>
      <c r="D12" s="1684">
        <f>SUM(D6:D11)</f>
        <v>777.27459067090001</v>
      </c>
      <c r="E12" s="1681"/>
      <c r="F12" s="1681"/>
      <c r="G12" s="1684">
        <f>SUM(G6:G11)</f>
        <v>1079.0533601730613</v>
      </c>
      <c r="H12" s="1612"/>
      <c r="I12" s="1612"/>
      <c r="J12" s="1613"/>
      <c r="K12" s="1755">
        <f>G12-D12</f>
        <v>301.77876950216125</v>
      </c>
    </row>
    <row r="13" spans="1:11" ht="58.5" hidden="1" customHeight="1" x14ac:dyDescent="0.2">
      <c r="A13" s="1682" t="s">
        <v>851</v>
      </c>
      <c r="B13" s="1617"/>
      <c r="C13" s="1748"/>
      <c r="D13" s="1749"/>
      <c r="E13" s="1748"/>
      <c r="F13" s="1748"/>
      <c r="G13" s="1749">
        <v>1455.14</v>
      </c>
      <c r="H13" s="1612"/>
      <c r="I13" s="1612"/>
      <c r="J13" s="1613">
        <v>1455.14</v>
      </c>
      <c r="K13" s="1675"/>
    </row>
    <row r="14" spans="1:11" ht="58.5" hidden="1" customHeight="1" x14ac:dyDescent="0.2">
      <c r="A14" s="1682" t="s">
        <v>851</v>
      </c>
      <c r="B14" s="1617"/>
      <c r="C14" s="1748"/>
      <c r="D14" s="1749"/>
      <c r="E14" s="1748"/>
      <c r="F14" s="1748"/>
      <c r="G14" s="1749">
        <v>60.06</v>
      </c>
      <c r="H14" s="1612"/>
      <c r="I14" s="1612"/>
      <c r="J14" s="1613">
        <v>60.06</v>
      </c>
      <c r="K14" s="1675"/>
    </row>
    <row r="15" spans="1:11" ht="58.5" hidden="1" customHeight="1" x14ac:dyDescent="0.2">
      <c r="A15" s="1683" t="s">
        <v>852</v>
      </c>
      <c r="B15" s="1617"/>
      <c r="C15" s="1748"/>
      <c r="D15" s="1749"/>
      <c r="E15" s="1748"/>
      <c r="F15" s="1748"/>
      <c r="G15" s="1749">
        <f>SUM(G13:G14)</f>
        <v>1515.2</v>
      </c>
      <c r="H15" s="1612"/>
      <c r="I15" s="1612"/>
      <c r="J15" s="1613">
        <f>SUM(J13:J14)</f>
        <v>1515.2</v>
      </c>
      <c r="K15" s="1675"/>
    </row>
    <row r="16" spans="1:11" ht="15" hidden="1" customHeight="1" x14ac:dyDescent="0.2">
      <c r="A16" s="4475" t="s">
        <v>401</v>
      </c>
      <c r="B16" s="4475"/>
      <c r="C16" s="4475"/>
      <c r="D16" s="4475"/>
      <c r="E16" s="4475"/>
      <c r="F16" s="4475"/>
      <c r="G16" s="4475"/>
      <c r="H16" s="4475"/>
      <c r="I16" s="4475"/>
      <c r="J16" s="4475"/>
    </row>
    <row r="17" spans="1:10" ht="38.25" hidden="1" customHeight="1" x14ac:dyDescent="0.2">
      <c r="A17" s="1580" t="s">
        <v>358</v>
      </c>
      <c r="B17" s="1580" t="s">
        <v>398</v>
      </c>
      <c r="C17" s="1580" t="s">
        <v>650</v>
      </c>
      <c r="D17" s="1580" t="s">
        <v>400</v>
      </c>
      <c r="E17" s="1580" t="s">
        <v>398</v>
      </c>
      <c r="F17" s="1580" t="s">
        <v>650</v>
      </c>
      <c r="G17" s="1580" t="s">
        <v>400</v>
      </c>
      <c r="H17" s="1675"/>
      <c r="I17" s="1675"/>
      <c r="J17" s="1675"/>
    </row>
    <row r="18" spans="1:10" ht="15" hidden="1" customHeight="1" x14ac:dyDescent="0.2">
      <c r="A18" s="1608" t="s">
        <v>651</v>
      </c>
      <c r="B18" s="1676">
        <f>объемы!M39</f>
        <v>5561.39</v>
      </c>
      <c r="C18" s="1579"/>
      <c r="D18" s="1579"/>
      <c r="E18" s="1676">
        <f>SUM(объемы!AA39)</f>
        <v>5654.317</v>
      </c>
      <c r="F18" s="1579"/>
      <c r="G18" s="1579"/>
      <c r="H18" s="1675"/>
      <c r="I18" s="1675"/>
      <c r="J18" s="1675"/>
    </row>
    <row r="19" spans="1:10" ht="15" hidden="1" customHeight="1" x14ac:dyDescent="0.2">
      <c r="A19" s="1608" t="s">
        <v>24</v>
      </c>
      <c r="B19" s="1676">
        <v>2800</v>
      </c>
      <c r="C19" s="1579">
        <v>70</v>
      </c>
      <c r="D19" s="1676">
        <f>B19*C19/1000</f>
        <v>196</v>
      </c>
      <c r="E19" s="1676">
        <f>SUM(объемы!AA50)</f>
        <v>2428.56</v>
      </c>
      <c r="F19" s="1579">
        <v>93</v>
      </c>
      <c r="G19" s="1676">
        <f>E19*F19/1000</f>
        <v>225.85607999999999</v>
      </c>
      <c r="H19" s="1675"/>
      <c r="I19" s="1675"/>
      <c r="J19" s="1675"/>
    </row>
    <row r="20" spans="1:10" ht="15" hidden="1" customHeight="1" x14ac:dyDescent="0.2">
      <c r="A20" s="1608" t="s">
        <v>256</v>
      </c>
      <c r="B20" s="1676">
        <v>1206.27</v>
      </c>
      <c r="C20" s="1579">
        <v>258</v>
      </c>
      <c r="D20" s="1676">
        <f>B20*C20/1000</f>
        <v>311.21765999999997</v>
      </c>
      <c r="E20" s="1676">
        <f>SUM(объемы!AA52+объемы!AA51+объемы!AA57)</f>
        <v>1560.6570000000002</v>
      </c>
      <c r="F20" s="1579">
        <v>341</v>
      </c>
      <c r="G20" s="1676">
        <f>E20*F20/1000</f>
        <v>532.18403699999999</v>
      </c>
      <c r="H20" s="1675"/>
      <c r="I20" s="1675"/>
      <c r="J20" s="1675"/>
    </row>
    <row r="21" spans="1:10" ht="15" hidden="1" customHeight="1" x14ac:dyDescent="0.2">
      <c r="A21" s="1608" t="s">
        <v>394</v>
      </c>
      <c r="B21" s="1676">
        <f>объемы!M42</f>
        <v>557.12</v>
      </c>
      <c r="C21" s="1579">
        <v>258</v>
      </c>
      <c r="D21" s="1676">
        <f>B21*C21/1000</f>
        <v>143.73695999999998</v>
      </c>
      <c r="E21" s="1676">
        <f>SUM(объемы!AA42)</f>
        <v>686.4</v>
      </c>
      <c r="F21" s="1579">
        <v>341</v>
      </c>
      <c r="G21" s="1676">
        <f>E21*F21/1000</f>
        <v>234.0624</v>
      </c>
      <c r="H21" s="1675"/>
      <c r="I21" s="1675"/>
      <c r="J21" s="1675"/>
    </row>
    <row r="22" spans="1:10" ht="15" hidden="1" customHeight="1" x14ac:dyDescent="0.2">
      <c r="A22" s="1608" t="s">
        <v>395</v>
      </c>
      <c r="B22" s="1676">
        <f>объемы!M47</f>
        <v>998</v>
      </c>
      <c r="C22" s="1579"/>
      <c r="D22" s="1676"/>
      <c r="E22" s="1676">
        <f>SUM(объемы!AA47)</f>
        <v>978.7</v>
      </c>
      <c r="F22" s="1579"/>
      <c r="G22" s="1676"/>
      <c r="H22" s="1675"/>
      <c r="I22" s="1675"/>
      <c r="J22" s="1675"/>
    </row>
    <row r="23" spans="1:10" ht="15" hidden="1" customHeight="1" x14ac:dyDescent="0.2">
      <c r="A23" s="1608" t="s">
        <v>396</v>
      </c>
      <c r="B23" s="1579">
        <f>B22*B19/(B19+B20)</f>
        <v>697.50665831309425</v>
      </c>
      <c r="C23" s="1579">
        <f>C19</f>
        <v>70</v>
      </c>
      <c r="D23" s="1676">
        <f>B23*C23/1000</f>
        <v>48.825466081916595</v>
      </c>
      <c r="E23" s="1579">
        <f>E22*E19/(E19+E20)</f>
        <v>595.81408381644826</v>
      </c>
      <c r="F23" s="1579">
        <f>F19</f>
        <v>93</v>
      </c>
      <c r="G23" s="1676">
        <f>E23*F23/1000</f>
        <v>55.410709794929687</v>
      </c>
      <c r="H23" s="1675"/>
      <c r="I23" s="1675"/>
      <c r="J23" s="1675"/>
    </row>
    <row r="24" spans="1:10" ht="15" hidden="1" customHeight="1" x14ac:dyDescent="0.2">
      <c r="A24" s="1608" t="s">
        <v>397</v>
      </c>
      <c r="B24" s="1676">
        <f>B22-B23</f>
        <v>300.49334168690575</v>
      </c>
      <c r="C24" s="1579">
        <v>258</v>
      </c>
      <c r="D24" s="1676">
        <f>B24*C24/1000</f>
        <v>77.527282155221684</v>
      </c>
      <c r="E24" s="1676">
        <f>E22-E23</f>
        <v>382.88591618355179</v>
      </c>
      <c r="F24" s="1579">
        <v>341</v>
      </c>
      <c r="G24" s="1676">
        <f>E24*F24/1000</f>
        <v>130.56409741859116</v>
      </c>
      <c r="H24" s="1675"/>
      <c r="I24" s="1675"/>
      <c r="J24" s="1675"/>
    </row>
    <row r="25" spans="1:10" ht="15" hidden="1" customHeight="1" x14ac:dyDescent="0.2">
      <c r="A25" s="1612" t="s">
        <v>399</v>
      </c>
      <c r="B25" s="1607"/>
      <c r="C25" s="1607"/>
      <c r="D25" s="1677">
        <f>SUM(D19:D24)</f>
        <v>777.30736823713823</v>
      </c>
      <c r="E25" s="1607"/>
      <c r="F25" s="1607"/>
      <c r="G25" s="1677">
        <f>SUM(G19:G24)</f>
        <v>1178.077324213521</v>
      </c>
      <c r="H25" s="1675"/>
      <c r="I25" s="1675"/>
      <c r="J25" s="1675"/>
    </row>
    <row r="26" spans="1:10" ht="15.75" hidden="1" x14ac:dyDescent="0.25">
      <c r="A26" s="4476" t="s">
        <v>358</v>
      </c>
      <c r="B26" s="4477" t="s">
        <v>649</v>
      </c>
      <c r="C26" s="4478"/>
      <c r="D26" s="4479"/>
      <c r="E26" s="4480" t="s">
        <v>870</v>
      </c>
      <c r="F26" s="4480"/>
      <c r="G26" s="4480"/>
      <c r="H26" s="4481" t="s">
        <v>871</v>
      </c>
      <c r="I26" s="4481"/>
      <c r="J26" s="4481"/>
    </row>
    <row r="27" spans="1:10" ht="38.25" hidden="1" x14ac:dyDescent="0.2">
      <c r="A27" s="4476"/>
      <c r="B27" s="1887" t="s">
        <v>398</v>
      </c>
      <c r="C27" s="1887" t="s">
        <v>650</v>
      </c>
      <c r="D27" s="1887" t="s">
        <v>400</v>
      </c>
      <c r="E27" s="1887" t="s">
        <v>398</v>
      </c>
      <c r="F27" s="1887" t="s">
        <v>650</v>
      </c>
      <c r="G27" s="1887" t="s">
        <v>400</v>
      </c>
      <c r="H27" s="1580" t="s">
        <v>398</v>
      </c>
      <c r="I27" s="1580" t="s">
        <v>650</v>
      </c>
      <c r="J27" s="1580" t="s">
        <v>400</v>
      </c>
    </row>
    <row r="28" spans="1:10" hidden="1" x14ac:dyDescent="0.2">
      <c r="A28" s="1888" t="s">
        <v>651</v>
      </c>
      <c r="B28" s="1752">
        <f>объемы!L72</f>
        <v>0</v>
      </c>
      <c r="C28" s="1619"/>
      <c r="D28" s="1619"/>
      <c r="E28" s="1751">
        <f>E29+E30+E31+E32</f>
        <v>5570.6852214411947</v>
      </c>
      <c r="F28" s="1619"/>
      <c r="G28" s="1619"/>
      <c r="H28" s="1678">
        <f>SUM(объемы!AC72)</f>
        <v>0</v>
      </c>
      <c r="I28" s="1608"/>
      <c r="J28" s="1608"/>
    </row>
    <row r="29" spans="1:10" hidden="1" x14ac:dyDescent="0.2">
      <c r="A29" s="1888" t="s">
        <v>24</v>
      </c>
      <c r="B29" s="1752">
        <f>объемы!AA50</f>
        <v>2428.56</v>
      </c>
      <c r="C29" s="1619">
        <v>93</v>
      </c>
      <c r="D29" s="1751">
        <f>B29*C29/1000</f>
        <v>225.85607999999999</v>
      </c>
      <c r="E29" s="1751">
        <f>объемы!AJ50</f>
        <v>2380</v>
      </c>
      <c r="F29" s="1619">
        <f>107</f>
        <v>107</v>
      </c>
      <c r="G29" s="1751">
        <f>E29*F29/1000</f>
        <v>254.66</v>
      </c>
      <c r="H29" s="1678">
        <f>E29</f>
        <v>2380</v>
      </c>
      <c r="I29" s="1608">
        <v>122</v>
      </c>
      <c r="J29" s="1678">
        <f>H29*I29/1000</f>
        <v>290.36</v>
      </c>
    </row>
    <row r="30" spans="1:10" hidden="1" x14ac:dyDescent="0.2">
      <c r="A30" s="1888" t="s">
        <v>256</v>
      </c>
      <c r="B30" s="1752">
        <f>объемы!AA52+объемы!AB51+объемы!AA57</f>
        <v>1582.077</v>
      </c>
      <c r="C30" s="1619">
        <v>341</v>
      </c>
      <c r="D30" s="1751">
        <f>B30*C30/1000</f>
        <v>539.48825699999998</v>
      </c>
      <c r="E30" s="1751">
        <f>объемы!AJ52+объемы!AK39+объемы!AJ57</f>
        <v>1411.3490000000002</v>
      </c>
      <c r="F30" s="1619">
        <v>392</v>
      </c>
      <c r="G30" s="1751">
        <f>E30*F30/1000</f>
        <v>553.24880800000005</v>
      </c>
      <c r="H30" s="1678">
        <f t="shared" ref="H30:H34" si="1">E30</f>
        <v>1411.3490000000002</v>
      </c>
      <c r="I30" s="1608">
        <v>452</v>
      </c>
      <c r="J30" s="1678">
        <f>H30*I30/1000</f>
        <v>637.92974800000002</v>
      </c>
    </row>
    <row r="31" spans="1:10" hidden="1" x14ac:dyDescent="0.2">
      <c r="A31" s="1888" t="s">
        <v>394</v>
      </c>
      <c r="B31" s="1752">
        <f>объемы!AA42</f>
        <v>686.4</v>
      </c>
      <c r="C31" s="1619">
        <v>341</v>
      </c>
      <c r="D31" s="1751">
        <f>B31*C31/1000</f>
        <v>234.0624</v>
      </c>
      <c r="E31" s="1751">
        <f>объемы!AJ42</f>
        <v>854.19674447979992</v>
      </c>
      <c r="F31" s="1619">
        <f>F30</f>
        <v>392</v>
      </c>
      <c r="G31" s="1751">
        <f>E31*F31/1000</f>
        <v>334.8451238360816</v>
      </c>
      <c r="H31" s="1678">
        <f t="shared" si="1"/>
        <v>854.19674447979992</v>
      </c>
      <c r="I31" s="1608">
        <f>I30</f>
        <v>452</v>
      </c>
      <c r="J31" s="1678">
        <f>H31*I31/1000</f>
        <v>386.0969285048696</v>
      </c>
    </row>
    <row r="32" spans="1:10" hidden="1" x14ac:dyDescent="0.2">
      <c r="A32" s="1888" t="s">
        <v>395</v>
      </c>
      <c r="B32" s="1752">
        <f>объемы!AA47</f>
        <v>978.7</v>
      </c>
      <c r="C32" s="1619"/>
      <c r="D32" s="1751"/>
      <c r="E32" s="1751">
        <f>объемы!AJ47+объемы!AK47</f>
        <v>925.13947696139473</v>
      </c>
      <c r="F32" s="1619"/>
      <c r="G32" s="1751"/>
      <c r="H32" s="1678">
        <f t="shared" si="1"/>
        <v>925.13947696139473</v>
      </c>
      <c r="I32" s="1608"/>
      <c r="J32" s="1678"/>
    </row>
    <row r="33" spans="1:10" hidden="1" x14ac:dyDescent="0.2">
      <c r="A33" s="1888" t="s">
        <v>396</v>
      </c>
      <c r="B33" s="1752">
        <f>B32*B29/(B29+B30)</f>
        <v>592.63196145649692</v>
      </c>
      <c r="C33" s="1619">
        <f>C29</f>
        <v>93</v>
      </c>
      <c r="D33" s="1751">
        <f>B33*C33/1000</f>
        <v>55.114772415454219</v>
      </c>
      <c r="E33" s="1751">
        <f t="shared" ref="E33:E34" si="2">B33</f>
        <v>592.63196145649692</v>
      </c>
      <c r="F33" s="1619">
        <f>F29</f>
        <v>107</v>
      </c>
      <c r="G33" s="1751">
        <f>E33*F33/1000</f>
        <v>63.411619875845169</v>
      </c>
      <c r="H33" s="1678">
        <f t="shared" si="1"/>
        <v>592.63196145649692</v>
      </c>
      <c r="I33" s="1608">
        <f>I29</f>
        <v>122</v>
      </c>
      <c r="J33" s="1678">
        <f>H33*I33/1000</f>
        <v>72.301099297692616</v>
      </c>
    </row>
    <row r="34" spans="1:10" hidden="1" x14ac:dyDescent="0.2">
      <c r="A34" s="1888" t="s">
        <v>397</v>
      </c>
      <c r="B34" s="1752">
        <f>B32-B33</f>
        <v>386.06803854350312</v>
      </c>
      <c r="C34" s="1619">
        <v>341</v>
      </c>
      <c r="D34" s="1751">
        <f>B34*C34/1000</f>
        <v>131.64920114333455</v>
      </c>
      <c r="E34" s="1751">
        <f t="shared" si="2"/>
        <v>386.06803854350312</v>
      </c>
      <c r="F34" s="1619">
        <f>F31</f>
        <v>392</v>
      </c>
      <c r="G34" s="1751">
        <f>E34*F34/1000</f>
        <v>151.33867110905322</v>
      </c>
      <c r="H34" s="1678">
        <f t="shared" si="1"/>
        <v>386.06803854350312</v>
      </c>
      <c r="I34" s="1608">
        <f>I31</f>
        <v>452</v>
      </c>
      <c r="J34" s="1678">
        <f>H34*I34/1000</f>
        <v>174.50275342166341</v>
      </c>
    </row>
    <row r="35" spans="1:10" hidden="1" x14ac:dyDescent="0.2">
      <c r="A35" s="1681" t="s">
        <v>850</v>
      </c>
      <c r="B35" s="1753"/>
      <c r="C35" s="1681"/>
      <c r="D35" s="1684">
        <f>SUM(D29:D34)</f>
        <v>1186.1707105587886</v>
      </c>
      <c r="E35" s="1681"/>
      <c r="F35" s="1681"/>
      <c r="G35" s="1684">
        <f>SUM(G29:G34)</f>
        <v>1357.50422282098</v>
      </c>
      <c r="H35" s="1612"/>
      <c r="I35" s="1612"/>
      <c r="J35" s="1613">
        <f>SUM(J29:J34)</f>
        <v>1561.1905292242257</v>
      </c>
    </row>
    <row r="36" spans="1:10" hidden="1" x14ac:dyDescent="0.2">
      <c r="A36" s="1754" t="s">
        <v>1538</v>
      </c>
      <c r="B36" s="1757"/>
      <c r="C36" s="1757"/>
      <c r="D36" s="1757"/>
      <c r="E36" s="1757"/>
      <c r="F36" s="1757"/>
      <c r="G36" s="1758"/>
      <c r="J36" s="1673">
        <f>J35/G35</f>
        <v>1.1500446945056073</v>
      </c>
    </row>
    <row r="37" spans="1:10" hidden="1" x14ac:dyDescent="0.2">
      <c r="A37" s="1754" t="s">
        <v>1539</v>
      </c>
      <c r="B37" s="1757"/>
      <c r="C37" s="1757"/>
      <c r="D37" s="1757"/>
      <c r="E37" s="1757">
        <f>объемы!AK39</f>
        <v>20.349</v>
      </c>
      <c r="F37" s="1757">
        <f>F34</f>
        <v>392</v>
      </c>
      <c r="G37" s="1762">
        <f>E37*F37/1000</f>
        <v>7.9768080000000001</v>
      </c>
    </row>
    <row r="38" spans="1:10" hidden="1" x14ac:dyDescent="0.2">
      <c r="A38" s="1754" t="s">
        <v>1540</v>
      </c>
      <c r="B38" s="1757"/>
      <c r="C38" s="1757"/>
      <c r="D38" s="1757"/>
      <c r="E38" s="1759"/>
      <c r="F38" s="1757"/>
      <c r="G38" s="1762">
        <f>G35-G37</f>
        <v>1349.5274148209801</v>
      </c>
    </row>
    <row r="39" spans="1:10" hidden="1" x14ac:dyDescent="0.2">
      <c r="G39" s="1674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4487" t="s">
        <v>1586</v>
      </c>
      <c r="B1" s="4486" t="s">
        <v>229</v>
      </c>
      <c r="C1" s="4486"/>
      <c r="D1" s="4486"/>
      <c r="E1" s="4486"/>
      <c r="F1" s="4486"/>
      <c r="G1" s="4486"/>
      <c r="H1" s="4486" t="s">
        <v>364</v>
      </c>
      <c r="I1" s="4486"/>
      <c r="J1" s="4486"/>
      <c r="K1" s="4486"/>
      <c r="L1" s="4486"/>
      <c r="M1" s="4486"/>
    </row>
    <row r="2" spans="1:13" s="1821" customFormat="1" ht="38.25" x14ac:dyDescent="0.2">
      <c r="A2" s="4487"/>
      <c r="B2" s="1679" t="s">
        <v>1589</v>
      </c>
      <c r="C2" s="1679" t="s">
        <v>1588</v>
      </c>
      <c r="D2" s="1679" t="s">
        <v>60</v>
      </c>
      <c r="E2" s="1679" t="s">
        <v>1592</v>
      </c>
      <c r="F2" s="1679" t="s">
        <v>1591</v>
      </c>
      <c r="G2" s="1679" t="s">
        <v>1590</v>
      </c>
      <c r="H2" s="1679" t="s">
        <v>1589</v>
      </c>
      <c r="I2" s="1679" t="s">
        <v>1588</v>
      </c>
      <c r="J2" s="1679" t="s">
        <v>60</v>
      </c>
      <c r="K2" s="1679" t="s">
        <v>1592</v>
      </c>
      <c r="L2" s="1679" t="s">
        <v>1591</v>
      </c>
      <c r="M2" s="1679" t="s">
        <v>1590</v>
      </c>
    </row>
    <row r="3" spans="1:13" x14ac:dyDescent="0.2">
      <c r="A3" s="1754" t="s">
        <v>1587</v>
      </c>
      <c r="B3" s="1757">
        <f>4000-25</f>
        <v>3975</v>
      </c>
      <c r="C3" s="1757">
        <f>4052.2-46</f>
        <v>4006.2</v>
      </c>
      <c r="D3" s="1822">
        <f>объемы!K49-49.8</f>
        <v>3989.2</v>
      </c>
      <c r="E3" s="1822">
        <f>C3-B3</f>
        <v>31.199999999999818</v>
      </c>
      <c r="F3" s="1822">
        <f>D3-B3</f>
        <v>14.199999999999818</v>
      </c>
      <c r="G3" s="1822">
        <f>D3-C3</f>
        <v>-17</v>
      </c>
      <c r="H3" s="1760">
        <v>3992</v>
      </c>
      <c r="I3" s="1760">
        <f>4052.4-I4</f>
        <v>4006.27</v>
      </c>
      <c r="J3" s="1760">
        <v>3762.2</v>
      </c>
      <c r="K3" s="1760">
        <f>H3-I3</f>
        <v>-14.269999999999982</v>
      </c>
      <c r="L3" s="1760">
        <f>J3-H3</f>
        <v>-229.80000000000018</v>
      </c>
      <c r="M3" s="1760">
        <f>J3-I3</f>
        <v>-244.07000000000016</v>
      </c>
    </row>
    <row r="4" spans="1:13" x14ac:dyDescent="0.2">
      <c r="A4" s="1754" t="s">
        <v>25</v>
      </c>
      <c r="B4" s="1757">
        <v>25</v>
      </c>
      <c r="C4" s="1757">
        <v>46</v>
      </c>
      <c r="D4" s="1757">
        <f>объемы!K51</f>
        <v>49.8</v>
      </c>
      <c r="E4" s="1822">
        <f t="shared" ref="E4:E6" si="0">C4-B4</f>
        <v>21</v>
      </c>
      <c r="F4" s="1822">
        <f t="shared" ref="F4:F6" si="1">D4-B4</f>
        <v>24.799999999999997</v>
      </c>
      <c r="G4" s="1822">
        <f t="shared" ref="G4:G6" si="2">D4-C4</f>
        <v>3.7999999999999972</v>
      </c>
      <c r="H4" s="1760">
        <v>46.13</v>
      </c>
      <c r="I4" s="1757">
        <v>46.13</v>
      </c>
      <c r="J4" s="1757">
        <v>18.22</v>
      </c>
      <c r="K4" s="1760">
        <f t="shared" ref="K4:K6" si="3">H4-I4</f>
        <v>0</v>
      </c>
      <c r="L4" s="1760">
        <f t="shared" ref="L4:L6" si="4">J4-H4</f>
        <v>-27.910000000000004</v>
      </c>
      <c r="M4" s="1760">
        <f t="shared" ref="M4:M6" si="5">J4-I4</f>
        <v>-27.910000000000004</v>
      </c>
    </row>
    <row r="5" spans="1:13" x14ac:dyDescent="0.2">
      <c r="A5" s="1754" t="s">
        <v>47</v>
      </c>
      <c r="B5" s="1757">
        <f>3600-28</f>
        <v>3572</v>
      </c>
      <c r="C5" s="1757">
        <f>3672.7-28</f>
        <v>3644.7</v>
      </c>
      <c r="D5" s="1822">
        <f>объемы!K63-30.2</f>
        <v>3446</v>
      </c>
      <c r="E5" s="1822">
        <f t="shared" si="0"/>
        <v>72.699999999999818</v>
      </c>
      <c r="F5" s="1822">
        <f t="shared" si="1"/>
        <v>-126</v>
      </c>
      <c r="G5" s="1822">
        <f t="shared" si="2"/>
        <v>-198.69999999999982</v>
      </c>
      <c r="H5" s="1760">
        <f>3672-28</f>
        <v>3644</v>
      </c>
      <c r="I5" s="1760">
        <v>3644.7</v>
      </c>
      <c r="J5" s="1757">
        <v>3186.57</v>
      </c>
      <c r="K5" s="1760">
        <f t="shared" si="3"/>
        <v>-0.6999999999998181</v>
      </c>
      <c r="L5" s="1760">
        <f t="shared" si="4"/>
        <v>-457.42999999999984</v>
      </c>
      <c r="M5" s="1760">
        <f t="shared" si="5"/>
        <v>-458.12999999999965</v>
      </c>
    </row>
    <row r="6" spans="1:13" x14ac:dyDescent="0.2">
      <c r="A6" s="1754" t="s">
        <v>1553</v>
      </c>
      <c r="B6" s="1757">
        <v>28</v>
      </c>
      <c r="C6" s="1757">
        <v>28</v>
      </c>
      <c r="D6" s="1757">
        <v>30.2</v>
      </c>
      <c r="E6" s="1822">
        <f t="shared" si="0"/>
        <v>0</v>
      </c>
      <c r="F6" s="1822">
        <f t="shared" si="1"/>
        <v>2.1999999999999993</v>
      </c>
      <c r="G6" s="1822">
        <f t="shared" si="2"/>
        <v>2.1999999999999993</v>
      </c>
      <c r="H6" s="1757">
        <v>28</v>
      </c>
      <c r="I6" s="1757">
        <v>28</v>
      </c>
      <c r="J6" s="1757">
        <v>23.38</v>
      </c>
      <c r="K6" s="1760">
        <f t="shared" si="3"/>
        <v>0</v>
      </c>
      <c r="L6" s="1760">
        <f t="shared" si="4"/>
        <v>-4.620000000000001</v>
      </c>
      <c r="M6" s="1760">
        <f t="shared" si="5"/>
        <v>-4.620000000000001</v>
      </c>
    </row>
    <row r="7" spans="1:13" x14ac:dyDescent="0.2">
      <c r="A7" s="1754" t="s">
        <v>1593</v>
      </c>
      <c r="B7" s="1754"/>
      <c r="C7" s="1754"/>
      <c r="D7" s="1754"/>
      <c r="E7" s="1754"/>
      <c r="F7" s="1754"/>
      <c r="G7" s="1754"/>
      <c r="H7" s="1754"/>
      <c r="I7" s="1754"/>
      <c r="J7" s="1754"/>
      <c r="K7" s="1754"/>
      <c r="L7" s="1754"/>
      <c r="M7" s="1754"/>
    </row>
    <row r="8" spans="1:13" x14ac:dyDescent="0.2">
      <c r="A8" s="1754" t="s">
        <v>1587</v>
      </c>
      <c r="B8" s="1757"/>
      <c r="C8" s="1757">
        <v>30.76</v>
      </c>
      <c r="D8" s="1822"/>
      <c r="E8" s="1822"/>
      <c r="F8" s="1822"/>
      <c r="G8" s="1822">
        <f>C8*G3</f>
        <v>-522.92000000000007</v>
      </c>
      <c r="H8" s="1760"/>
      <c r="I8" s="1760">
        <v>30.76</v>
      </c>
      <c r="J8" s="1760"/>
      <c r="K8" s="1760">
        <f>I8*K3</f>
        <v>-438.94519999999949</v>
      </c>
      <c r="L8" s="1760">
        <f>I8*L3</f>
        <v>-7068.6480000000056</v>
      </c>
      <c r="M8" s="1760">
        <f>I8*M3</f>
        <v>-7507.5932000000057</v>
      </c>
    </row>
    <row r="9" spans="1:13" x14ac:dyDescent="0.2">
      <c r="A9" s="1754" t="s">
        <v>25</v>
      </c>
      <c r="B9" s="1757"/>
      <c r="C9" s="1757">
        <v>19.260000000000002</v>
      </c>
      <c r="D9" s="1757"/>
      <c r="E9" s="1822"/>
      <c r="F9" s="1822"/>
      <c r="G9" s="1822"/>
      <c r="H9" s="1760"/>
      <c r="I9" s="1757">
        <v>18.84</v>
      </c>
      <c r="J9" s="1757"/>
      <c r="K9" s="1760">
        <f t="shared" ref="K9:K11" si="6">I9*K4</f>
        <v>0</v>
      </c>
      <c r="L9" s="1760">
        <f t="shared" ref="L9:L11" si="7">I9*L4</f>
        <v>-525.82440000000008</v>
      </c>
      <c r="M9" s="1760">
        <f t="shared" ref="M9:M11" si="8">I9*M4</f>
        <v>-525.82440000000008</v>
      </c>
    </row>
    <row r="10" spans="1:13" x14ac:dyDescent="0.2">
      <c r="A10" s="1754" t="s">
        <v>47</v>
      </c>
      <c r="B10" s="1757"/>
      <c r="C10" s="1757">
        <v>21.08</v>
      </c>
      <c r="D10" s="1822"/>
      <c r="E10" s="1822"/>
      <c r="F10" s="1822"/>
      <c r="G10" s="1822">
        <f>C10*G5</f>
        <v>-4188.5959999999959</v>
      </c>
      <c r="H10" s="1760"/>
      <c r="I10" s="1760">
        <v>24.29</v>
      </c>
      <c r="J10" s="1757"/>
      <c r="K10" s="1760">
        <f t="shared" si="6"/>
        <v>-17.002999999995581</v>
      </c>
      <c r="L10" s="1760">
        <f t="shared" si="7"/>
        <v>-11110.974699999995</v>
      </c>
      <c r="M10" s="1760">
        <f t="shared" si="8"/>
        <v>-11127.97769999999</v>
      </c>
    </row>
    <row r="11" spans="1:13" x14ac:dyDescent="0.2">
      <c r="A11" s="1754" t="s">
        <v>1553</v>
      </c>
      <c r="B11" s="1757"/>
      <c r="C11" s="1757">
        <v>11.76</v>
      </c>
      <c r="D11" s="1757"/>
      <c r="E11" s="1822"/>
      <c r="F11" s="1822"/>
      <c r="G11" s="1822"/>
      <c r="H11" s="1757"/>
      <c r="I11" s="1757">
        <v>12.91</v>
      </c>
      <c r="J11" s="1757"/>
      <c r="K11" s="1760">
        <f t="shared" si="6"/>
        <v>0</v>
      </c>
      <c r="L11" s="1760">
        <f t="shared" si="7"/>
        <v>-59.644200000000012</v>
      </c>
      <c r="M11" s="1760">
        <f t="shared" si="8"/>
        <v>-59.644200000000012</v>
      </c>
    </row>
    <row r="12" spans="1:13" x14ac:dyDescent="0.2">
      <c r="A12" s="1754" t="s">
        <v>271</v>
      </c>
      <c r="B12" s="1754"/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</row>
    <row r="13" spans="1:13" x14ac:dyDescent="0.2">
      <c r="A13" s="1754" t="s">
        <v>1587</v>
      </c>
      <c r="B13" s="1757"/>
      <c r="C13" s="1757">
        <v>30.76</v>
      </c>
      <c r="D13" s="1822"/>
      <c r="E13" s="1822"/>
      <c r="F13" s="1822"/>
      <c r="G13" s="1822">
        <f>C13*G8</f>
        <v>-16085.019200000002</v>
      </c>
      <c r="H13" s="1760"/>
      <c r="I13" s="1760"/>
      <c r="J13" s="1760"/>
      <c r="K13" s="1760">
        <f>K8</f>
        <v>-438.94519999999949</v>
      </c>
      <c r="L13" s="1760">
        <f t="shared" ref="L13:M13" si="9">L8</f>
        <v>-7068.6480000000056</v>
      </c>
      <c r="M13" s="1760">
        <f t="shared" si="9"/>
        <v>-7507.5932000000057</v>
      </c>
    </row>
    <row r="14" spans="1:13" x14ac:dyDescent="0.2">
      <c r="A14" s="1754" t="s">
        <v>25</v>
      </c>
      <c r="B14" s="1757"/>
      <c r="C14" s="1757">
        <v>19.260000000000002</v>
      </c>
      <c r="D14" s="1757"/>
      <c r="E14" s="1822"/>
      <c r="F14" s="1822"/>
      <c r="G14" s="1822"/>
      <c r="H14" s="1760"/>
      <c r="I14" s="1757"/>
      <c r="J14" s="1757"/>
      <c r="K14" s="1760">
        <f t="shared" ref="K14:M14" si="10">K9</f>
        <v>0</v>
      </c>
      <c r="L14" s="1760">
        <f t="shared" si="10"/>
        <v>-525.82440000000008</v>
      </c>
      <c r="M14" s="1760">
        <f t="shared" si="10"/>
        <v>-525.82440000000008</v>
      </c>
    </row>
    <row r="15" spans="1:13" x14ac:dyDescent="0.2">
      <c r="A15" s="1754" t="s">
        <v>47</v>
      </c>
      <c r="B15" s="1757"/>
      <c r="C15" s="1757">
        <v>21.08</v>
      </c>
      <c r="D15" s="1822"/>
      <c r="E15" s="1822"/>
      <c r="F15" s="1822"/>
      <c r="G15" s="1822">
        <f>C15*G10</f>
        <v>-88295.603679999913</v>
      </c>
      <c r="H15" s="1760"/>
      <c r="I15" s="1760"/>
      <c r="J15" s="1757"/>
      <c r="K15" s="1760">
        <f t="shared" ref="K15:M15" si="11">K10</f>
        <v>-17.002999999995581</v>
      </c>
      <c r="L15" s="1760">
        <f t="shared" si="11"/>
        <v>-11110.974699999995</v>
      </c>
      <c r="M15" s="1760">
        <f t="shared" si="11"/>
        <v>-11127.97769999999</v>
      </c>
    </row>
    <row r="16" spans="1:13" x14ac:dyDescent="0.2">
      <c r="A16" s="1754" t="s">
        <v>1553</v>
      </c>
      <c r="B16" s="1757"/>
      <c r="C16" s="1757">
        <v>11.76</v>
      </c>
      <c r="D16" s="1757"/>
      <c r="E16" s="1822"/>
      <c r="F16" s="1822"/>
      <c r="G16" s="1822"/>
      <c r="H16" s="1757"/>
      <c r="I16" s="1757"/>
      <c r="J16" s="1757"/>
      <c r="K16" s="1760">
        <f t="shared" ref="K16:M16" si="12">K11</f>
        <v>0</v>
      </c>
      <c r="L16" s="1760">
        <f t="shared" si="12"/>
        <v>-59.644200000000012</v>
      </c>
      <c r="M16" s="1760">
        <f t="shared" si="12"/>
        <v>-59.644200000000012</v>
      </c>
    </row>
    <row r="17" spans="1:14" x14ac:dyDescent="0.2">
      <c r="A17" s="1754" t="s">
        <v>347</v>
      </c>
      <c r="B17" s="1675"/>
      <c r="C17" s="1675"/>
      <c r="D17" s="1675"/>
      <c r="E17" s="1675"/>
      <c r="F17" s="1675"/>
      <c r="G17" s="1675"/>
      <c r="H17" s="1754"/>
      <c r="I17" s="1754"/>
      <c r="J17" s="1754"/>
      <c r="K17" s="1756">
        <f>K13+K14</f>
        <v>-438.94519999999949</v>
      </c>
      <c r="L17" s="1756">
        <f t="shared" ref="L17:M17" si="13">L13+L14</f>
        <v>-7594.472400000006</v>
      </c>
      <c r="M17" s="1756">
        <f t="shared" si="13"/>
        <v>-8033.4176000000061</v>
      </c>
      <c r="N17" s="1656"/>
    </row>
    <row r="18" spans="1:14" x14ac:dyDescent="0.2">
      <c r="A18" s="1754" t="s">
        <v>337</v>
      </c>
      <c r="B18" s="1675"/>
      <c r="C18" s="1675"/>
      <c r="D18" s="1675"/>
      <c r="E18" s="1675"/>
      <c r="F18" s="1675"/>
      <c r="G18" s="1675"/>
      <c r="H18" s="1754"/>
      <c r="I18" s="1754"/>
      <c r="J18" s="1754"/>
      <c r="K18" s="1756">
        <f>K15+K16</f>
        <v>-17.002999999995581</v>
      </c>
      <c r="L18" s="1756">
        <f t="shared" ref="L18:M18" si="14">L15+L16</f>
        <v>-11170.618899999996</v>
      </c>
      <c r="M18" s="1756">
        <f t="shared" si="14"/>
        <v>-11187.621899999991</v>
      </c>
      <c r="N18" s="1656"/>
    </row>
    <row r="20" spans="1:14" x14ac:dyDescent="0.2">
      <c r="A20" s="4476" t="s">
        <v>1594</v>
      </c>
      <c r="B20" s="1754"/>
      <c r="C20" s="1754"/>
      <c r="D20" s="1754"/>
      <c r="E20" s="1754"/>
      <c r="F20" s="1754"/>
      <c r="G20" s="1754"/>
      <c r="H20" s="4486" t="s">
        <v>364</v>
      </c>
      <c r="I20" s="4486"/>
      <c r="J20" s="4486"/>
      <c r="K20" s="4486"/>
      <c r="L20" s="4486"/>
      <c r="M20" s="4486"/>
    </row>
    <row r="21" spans="1:14" ht="38.25" x14ac:dyDescent="0.2">
      <c r="A21" s="4476"/>
      <c r="B21" s="1754"/>
      <c r="C21" s="1754"/>
      <c r="D21" s="1754"/>
      <c r="E21" s="1754"/>
      <c r="F21" s="1754"/>
      <c r="G21" s="1754"/>
      <c r="H21" s="1679" t="s">
        <v>1589</v>
      </c>
      <c r="I21" s="1679" t="s">
        <v>1588</v>
      </c>
      <c r="J21" s="1679" t="s">
        <v>60</v>
      </c>
      <c r="K21" s="1679" t="s">
        <v>1592</v>
      </c>
      <c r="L21" s="1679" t="s">
        <v>1591</v>
      </c>
      <c r="M21" s="1679" t="s">
        <v>1590</v>
      </c>
    </row>
    <row r="22" spans="1:14" x14ac:dyDescent="0.2">
      <c r="A22" s="1679" t="s">
        <v>347</v>
      </c>
      <c r="B22" s="1754"/>
      <c r="C22" s="1754"/>
      <c r="D22" s="1754"/>
      <c r="E22" s="1754"/>
      <c r="F22" s="1754"/>
      <c r="G22" s="1754"/>
      <c r="H22" s="1679"/>
      <c r="I22" s="1679"/>
      <c r="J22" s="1679"/>
      <c r="K22" s="1679"/>
      <c r="L22" s="1679"/>
      <c r="M22" s="1679"/>
    </row>
    <row r="23" spans="1:14" x14ac:dyDescent="0.2">
      <c r="A23" s="1754" t="s">
        <v>2</v>
      </c>
      <c r="B23" s="1754"/>
      <c r="C23" s="1754"/>
      <c r="D23" s="1754"/>
      <c r="E23" s="1754"/>
      <c r="F23" s="1754"/>
      <c r="G23" s="1754"/>
      <c r="H23" s="1757"/>
      <c r="I23" s="1757"/>
      <c r="J23" s="1757"/>
      <c r="K23" s="1757"/>
      <c r="L23" s="1757"/>
      <c r="M23" s="1757"/>
    </row>
    <row r="24" spans="1:14" x14ac:dyDescent="0.2">
      <c r="A24" s="1754" t="s">
        <v>1595</v>
      </c>
      <c r="B24" s="1754"/>
      <c r="C24" s="1754"/>
      <c r="D24" s="1754"/>
      <c r="E24" s="1754"/>
      <c r="F24" s="1754"/>
      <c r="G24" s="1754"/>
      <c r="H24" s="1757"/>
      <c r="I24" s="1757"/>
      <c r="J24" s="1757"/>
      <c r="K24" s="1757"/>
      <c r="L24" s="1757"/>
      <c r="M24" s="1757"/>
    </row>
    <row r="25" spans="1:14" x14ac:dyDescent="0.2">
      <c r="A25" s="1754" t="s">
        <v>8</v>
      </c>
      <c r="B25" s="1754"/>
      <c r="C25" s="1754"/>
      <c r="D25" s="1754"/>
      <c r="E25" s="1754"/>
      <c r="F25" s="1754"/>
      <c r="G25" s="1754"/>
      <c r="H25" s="1757"/>
      <c r="I25" s="1757"/>
      <c r="J25" s="1757"/>
      <c r="K25" s="1757"/>
      <c r="L25" s="1757"/>
      <c r="M25" s="1757"/>
    </row>
    <row r="26" spans="1:14" x14ac:dyDescent="0.2">
      <c r="A26" s="1754" t="s">
        <v>1</v>
      </c>
      <c r="B26" s="1754"/>
      <c r="C26" s="1754"/>
      <c r="D26" s="1754"/>
      <c r="E26" s="1754"/>
      <c r="F26" s="1754"/>
      <c r="G26" s="1754"/>
      <c r="H26" s="1757"/>
      <c r="I26" s="1757"/>
      <c r="J26" s="1757"/>
      <c r="K26" s="1757"/>
      <c r="L26" s="1757"/>
      <c r="M26" s="1757"/>
    </row>
    <row r="27" spans="1:14" x14ac:dyDescent="0.2">
      <c r="A27" s="1754"/>
      <c r="B27" s="1754"/>
      <c r="C27" s="1754"/>
      <c r="D27" s="1754"/>
      <c r="E27" s="1754"/>
      <c r="F27" s="1754"/>
      <c r="G27" s="1754"/>
      <c r="H27" s="1757"/>
      <c r="I27" s="1757"/>
      <c r="J27" s="1757"/>
      <c r="K27" s="1757"/>
      <c r="L27" s="1757"/>
      <c r="M27" s="1757"/>
    </row>
    <row r="28" spans="1:14" x14ac:dyDescent="0.2">
      <c r="A28" s="1754"/>
      <c r="B28" s="1754"/>
      <c r="C28" s="1754"/>
      <c r="D28" s="1754"/>
      <c r="E28" s="1754"/>
      <c r="F28" s="1754"/>
      <c r="G28" s="1754"/>
      <c r="H28" s="1757"/>
      <c r="I28" s="1757"/>
      <c r="J28" s="1757"/>
      <c r="K28" s="1757"/>
      <c r="L28" s="1757"/>
      <c r="M28" s="1757"/>
    </row>
    <row r="29" spans="1:14" x14ac:dyDescent="0.2">
      <c r="A29" s="1754"/>
      <c r="B29" s="1754"/>
      <c r="C29" s="1754"/>
      <c r="D29" s="1754"/>
      <c r="E29" s="1754"/>
      <c r="F29" s="1754"/>
      <c r="G29" s="1754"/>
      <c r="H29" s="1757"/>
      <c r="I29" s="1757"/>
      <c r="J29" s="1757"/>
      <c r="K29" s="1757"/>
      <c r="L29" s="1757"/>
      <c r="M29" s="1757"/>
    </row>
    <row r="30" spans="1:14" x14ac:dyDescent="0.2">
      <c r="A30" s="1754"/>
      <c r="B30" s="1754"/>
      <c r="C30" s="1754"/>
      <c r="D30" s="1754"/>
      <c r="E30" s="1754"/>
      <c r="F30" s="1754"/>
      <c r="G30" s="1754"/>
      <c r="H30" s="1757"/>
      <c r="I30" s="1757"/>
      <c r="J30" s="1757"/>
      <c r="K30" s="1757"/>
      <c r="L30" s="1757"/>
      <c r="M30" s="1757"/>
    </row>
    <row r="31" spans="1:14" x14ac:dyDescent="0.2">
      <c r="A31" s="1754"/>
      <c r="B31" s="1754"/>
      <c r="C31" s="1754"/>
      <c r="D31" s="1754"/>
      <c r="E31" s="1754"/>
      <c r="F31" s="1754"/>
      <c r="G31" s="1754"/>
      <c r="H31" s="1757"/>
      <c r="I31" s="1757"/>
      <c r="J31" s="1757"/>
      <c r="K31" s="1757"/>
      <c r="L31" s="1757"/>
      <c r="M31" s="1757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3:H44"/>
  <sheetViews>
    <sheetView workbookViewId="0">
      <selection activeCell="M14" sqref="M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4488" t="s">
        <v>1814</v>
      </c>
      <c r="B3" s="4488"/>
      <c r="C3" s="4488"/>
      <c r="D3" s="4488"/>
      <c r="E3" s="4488"/>
      <c r="F3" s="4488"/>
      <c r="G3" s="4488"/>
      <c r="H3" s="4488"/>
    </row>
    <row r="4" spans="1:8" ht="15.75" thickBot="1" x14ac:dyDescent="0.3">
      <c r="A4" s="4464" t="s">
        <v>1797</v>
      </c>
      <c r="B4" s="4464"/>
      <c r="C4" s="4464"/>
      <c r="D4" s="4464"/>
      <c r="E4" s="4464"/>
      <c r="F4" s="4464"/>
      <c r="G4" s="4464"/>
      <c r="H4" s="4464"/>
    </row>
    <row r="5" spans="1:8" x14ac:dyDescent="0.2">
      <c r="A5" s="4458" t="s">
        <v>1721</v>
      </c>
      <c r="B5" s="4465" t="s">
        <v>1722</v>
      </c>
      <c r="C5" s="4467" t="s">
        <v>1723</v>
      </c>
      <c r="D5" s="4465" t="s">
        <v>1724</v>
      </c>
      <c r="E5" s="4469"/>
      <c r="F5" s="4470" t="s">
        <v>1725</v>
      </c>
      <c r="G5" s="4465" t="s">
        <v>1726</v>
      </c>
      <c r="H5" s="4472" t="s">
        <v>1711</v>
      </c>
    </row>
    <row r="6" spans="1:8" ht="13.5" thickBot="1" x14ac:dyDescent="0.25">
      <c r="A6" s="4459"/>
      <c r="B6" s="4466"/>
      <c r="C6" s="4468"/>
      <c r="D6" s="2074" t="s">
        <v>1566</v>
      </c>
      <c r="E6" s="1956" t="s">
        <v>60</v>
      </c>
      <c r="F6" s="4471"/>
      <c r="G6" s="4466"/>
      <c r="H6" s="4473"/>
    </row>
    <row r="7" spans="1:8" ht="88.5" customHeight="1" x14ac:dyDescent="0.2">
      <c r="A7" s="4458" t="s">
        <v>1727</v>
      </c>
      <c r="B7" s="1957" t="s">
        <v>1728</v>
      </c>
      <c r="C7" s="2073" t="s">
        <v>44</v>
      </c>
      <c r="D7" s="1959">
        <v>8</v>
      </c>
      <c r="E7" s="2099">
        <v>8</v>
      </c>
      <c r="F7" s="1961">
        <f>1/D18</f>
        <v>0.33333333333333331</v>
      </c>
      <c r="G7" s="1962">
        <f>IF(D7/E7&gt;1,1,D7/E7)</f>
        <v>1</v>
      </c>
      <c r="H7" s="1963">
        <f t="shared" ref="H7:H12" si="0">F7*G7</f>
        <v>0.33333333333333331</v>
      </c>
    </row>
    <row r="8" spans="1:8" ht="54.75" customHeight="1" thickBot="1" x14ac:dyDescent="0.25">
      <c r="A8" s="4459"/>
      <c r="B8" s="1997" t="s">
        <v>1729</v>
      </c>
      <c r="C8" s="2074" t="s">
        <v>44</v>
      </c>
      <c r="D8" s="1965">
        <v>40.5</v>
      </c>
      <c r="E8" s="1966">
        <v>40.5</v>
      </c>
      <c r="F8" s="1967">
        <f>F7</f>
        <v>0.33333333333333331</v>
      </c>
      <c r="G8" s="1962">
        <f>IF(D8/E8&gt;1,1,D8/E8)</f>
        <v>1</v>
      </c>
      <c r="H8" s="1963">
        <f t="shared" si="0"/>
        <v>0.33333333333333331</v>
      </c>
    </row>
    <row r="9" spans="1:8" ht="68.25" customHeight="1" x14ac:dyDescent="0.2">
      <c r="A9" s="4458" t="s">
        <v>1730</v>
      </c>
      <c r="B9" s="1970" t="s">
        <v>1731</v>
      </c>
      <c r="C9" s="2073" t="s">
        <v>1732</v>
      </c>
      <c r="D9" s="1959">
        <v>0.37</v>
      </c>
      <c r="E9" s="2239">
        <v>0.48</v>
      </c>
      <c r="F9" s="1971">
        <f>F8</f>
        <v>0.33333333333333331</v>
      </c>
      <c r="G9" s="1998">
        <f>IF(D9/E9&gt;1,1,D9/E9)</f>
        <v>0.77083333333333337</v>
      </c>
      <c r="H9" s="1973">
        <f t="shared" si="0"/>
        <v>0.25694444444444442</v>
      </c>
    </row>
    <row r="10" spans="1:8" ht="32.25" customHeight="1" thickBot="1" x14ac:dyDescent="0.25">
      <c r="A10" s="4459"/>
      <c r="B10" s="1997" t="s">
        <v>2014</v>
      </c>
      <c r="C10" s="2074" t="s">
        <v>1732</v>
      </c>
      <c r="D10" s="1965">
        <v>10.7</v>
      </c>
      <c r="E10" s="2240">
        <v>10.81</v>
      </c>
      <c r="F10" s="1967">
        <f>1/D19</f>
        <v>0.33333333333333331</v>
      </c>
      <c r="G10" s="1999">
        <f>IF(D10/E10&gt;1,1,D10/E10)</f>
        <v>0.98982423681776122</v>
      </c>
      <c r="H10" s="1969">
        <f t="shared" si="0"/>
        <v>0.32994141227258705</v>
      </c>
    </row>
    <row r="11" spans="1:8" ht="40.5" customHeight="1" x14ac:dyDescent="0.2">
      <c r="A11" s="4458" t="s">
        <v>1734</v>
      </c>
      <c r="B11" s="1957" t="s">
        <v>1735</v>
      </c>
      <c r="C11" s="2073" t="s">
        <v>44</v>
      </c>
      <c r="D11" s="1959">
        <v>0</v>
      </c>
      <c r="E11" s="1960">
        <v>0</v>
      </c>
      <c r="F11" s="1971">
        <f>F10</f>
        <v>0.33333333333333331</v>
      </c>
      <c r="G11" s="1972">
        <v>1</v>
      </c>
      <c r="H11" s="1973">
        <f t="shared" si="0"/>
        <v>0.33333333333333331</v>
      </c>
    </row>
    <row r="12" spans="1:8" ht="33.75" customHeight="1" thickBot="1" x14ac:dyDescent="0.25">
      <c r="A12" s="4459"/>
      <c r="B12" s="1964" t="s">
        <v>1736</v>
      </c>
      <c r="C12" s="2074" t="s">
        <v>44</v>
      </c>
      <c r="D12" s="1965">
        <v>100</v>
      </c>
      <c r="E12" s="2100">
        <v>100</v>
      </c>
      <c r="F12" s="1967">
        <f>F11</f>
        <v>0.33333333333333331</v>
      </c>
      <c r="G12" s="1968">
        <f>IF(D12/E12&gt;1,1,D12/E12)</f>
        <v>1</v>
      </c>
      <c r="H12" s="1969">
        <f t="shared" si="0"/>
        <v>0.33333333333333331</v>
      </c>
    </row>
    <row r="13" spans="1:8" ht="38.25" customHeight="1" x14ac:dyDescent="0.2">
      <c r="A13" s="4458" t="s">
        <v>1737</v>
      </c>
      <c r="B13" s="1970" t="s">
        <v>1738</v>
      </c>
      <c r="C13" s="2073" t="s">
        <v>44</v>
      </c>
      <c r="D13" s="1959">
        <v>19.7</v>
      </c>
      <c r="E13" s="1960">
        <v>31.82</v>
      </c>
      <c r="F13" s="1961">
        <v>0</v>
      </c>
      <c r="G13" s="2000">
        <f>IF(D13/E13&gt;1,1,D13/E13)</f>
        <v>0.61910747957259582</v>
      </c>
      <c r="H13" s="1963"/>
    </row>
    <row r="14" spans="1:8" ht="38.25" customHeight="1" x14ac:dyDescent="0.2">
      <c r="A14" s="4460"/>
      <c r="B14" s="1682" t="s">
        <v>1741</v>
      </c>
      <c r="C14" s="2079" t="s">
        <v>1739</v>
      </c>
      <c r="D14" s="1995">
        <v>0.124</v>
      </c>
      <c r="E14" s="1996">
        <v>0.13</v>
      </c>
      <c r="F14" s="1961"/>
      <c r="G14" s="1974"/>
      <c r="H14" s="1963"/>
    </row>
    <row r="15" spans="1:8" ht="40.5" customHeight="1" x14ac:dyDescent="0.2">
      <c r="A15" s="4461"/>
      <c r="B15" s="1682" t="s">
        <v>1742</v>
      </c>
      <c r="C15" s="2079" t="s">
        <v>1739</v>
      </c>
      <c r="D15" s="1857">
        <v>0.24199999999999999</v>
      </c>
      <c r="E15" s="1975">
        <v>0.28799999999999998</v>
      </c>
      <c r="F15" s="1976">
        <v>0</v>
      </c>
      <c r="G15" s="1977"/>
      <c r="H15" s="1978"/>
    </row>
    <row r="16" spans="1:8" ht="40.5" customHeight="1" x14ac:dyDescent="0.2">
      <c r="A16" s="4462"/>
      <c r="B16" s="1979" t="s">
        <v>1740</v>
      </c>
      <c r="C16" s="2079" t="s">
        <v>1739</v>
      </c>
      <c r="D16" s="1980">
        <v>0.42</v>
      </c>
      <c r="E16" s="1981">
        <v>0.6</v>
      </c>
      <c r="F16" s="1982"/>
      <c r="G16" s="1983"/>
      <c r="H16" s="1984"/>
    </row>
    <row r="17" spans="1:8" ht="42.75" customHeight="1" thickBot="1" x14ac:dyDescent="0.25">
      <c r="A17" s="4462"/>
      <c r="B17" s="1979" t="s">
        <v>1743</v>
      </c>
      <c r="C17" s="2077" t="s">
        <v>1739</v>
      </c>
      <c r="D17" s="1980">
        <v>8.4000000000000005E-2</v>
      </c>
      <c r="E17" s="1981">
        <v>0.11</v>
      </c>
      <c r="F17" s="1982">
        <v>0</v>
      </c>
      <c r="G17" s="1983"/>
      <c r="H17" s="1984"/>
    </row>
    <row r="18" spans="1:8" x14ac:dyDescent="0.2">
      <c r="A18" s="1985"/>
      <c r="B18" s="1986"/>
      <c r="C18" s="1986" t="s">
        <v>288</v>
      </c>
      <c r="D18" s="1986">
        <v>3</v>
      </c>
      <c r="E18" s="1986"/>
      <c r="F18" s="1987">
        <f>F7+F8+F9</f>
        <v>1</v>
      </c>
      <c r="G18" s="1988"/>
      <c r="H18" s="2238">
        <f>H7+H8+H9</f>
        <v>0.92361111111111105</v>
      </c>
    </row>
    <row r="19" spans="1:8" ht="13.5" thickBot="1" x14ac:dyDescent="0.25">
      <c r="A19" s="1990"/>
      <c r="B19" s="1991"/>
      <c r="C19" s="1991" t="s">
        <v>316</v>
      </c>
      <c r="D19" s="1991">
        <v>3</v>
      </c>
      <c r="E19" s="1991"/>
      <c r="F19" s="1992">
        <f>F10+F11+F12</f>
        <v>1</v>
      </c>
      <c r="G19" s="1993"/>
      <c r="H19" s="2237">
        <f>H10+H11+H12</f>
        <v>0.99660807893925374</v>
      </c>
    </row>
    <row r="23" spans="1:8" x14ac:dyDescent="0.2">
      <c r="B23" s="5" t="s">
        <v>368</v>
      </c>
      <c r="C23" s="5"/>
      <c r="D23" s="5"/>
    </row>
    <row r="24" spans="1:8" ht="28.5" x14ac:dyDescent="0.2">
      <c r="B24" s="2087" t="s">
        <v>1815</v>
      </c>
      <c r="C24" s="2001">
        <f>C25*C27*C28*C29</f>
        <v>2860.2146527550749</v>
      </c>
      <c r="D24" s="2076"/>
    </row>
    <row r="25" spans="1:8" ht="14.25" x14ac:dyDescent="0.2">
      <c r="B25" s="2002" t="s">
        <v>1745</v>
      </c>
      <c r="C25" s="2003">
        <f>2/100</f>
        <v>0.02</v>
      </c>
      <c r="D25" s="2072" t="s">
        <v>1818</v>
      </c>
    </row>
    <row r="26" spans="1:8" x14ac:dyDescent="0.2">
      <c r="B26" s="2002" t="s">
        <v>1747</v>
      </c>
      <c r="C26" s="2003">
        <f>IF(1-H54&gt;1/100,1/100,1-H54)</f>
        <v>0.01</v>
      </c>
      <c r="D26" s="2072"/>
    </row>
    <row r="27" spans="1:8" ht="25.5" x14ac:dyDescent="0.2">
      <c r="B27" s="2002" t="s">
        <v>1816</v>
      </c>
      <c r="C27" s="2003">
        <f>'вода 2019-2021 коррект'!K10</f>
        <v>132731.59938646757</v>
      </c>
      <c r="D27" s="2072" t="s">
        <v>1819</v>
      </c>
    </row>
    <row r="28" spans="1:8" ht="14.25" x14ac:dyDescent="0.2">
      <c r="B28" s="2002" t="s">
        <v>1750</v>
      </c>
      <c r="C28" s="2004">
        <v>1.0389999999999999</v>
      </c>
      <c r="D28" s="2072"/>
    </row>
    <row r="29" spans="1:8" ht="14.25" x14ac:dyDescent="0.2">
      <c r="B29" s="2002" t="s">
        <v>1817</v>
      </c>
      <c r="C29" s="2005">
        <v>1.0369999999999999</v>
      </c>
      <c r="D29" s="2006"/>
    </row>
    <row r="30" spans="1:8" x14ac:dyDescent="0.2">
      <c r="B30" s="5" t="s">
        <v>47</v>
      </c>
      <c r="C30" s="5"/>
      <c r="D30" s="5"/>
    </row>
    <row r="31" spans="1:8" ht="28.5" x14ac:dyDescent="0.2">
      <c r="B31" s="2087" t="s">
        <v>1815</v>
      </c>
      <c r="C31" s="2001">
        <f>C33*C34*C35*C36</f>
        <v>969.01570224930151</v>
      </c>
      <c r="D31" s="2076"/>
    </row>
    <row r="32" spans="1:8" ht="14.25" x14ac:dyDescent="0.2">
      <c r="B32" s="2002" t="s">
        <v>1745</v>
      </c>
      <c r="C32" s="2003">
        <f>1/100</f>
        <v>0.01</v>
      </c>
      <c r="D32" s="2072" t="s">
        <v>1818</v>
      </c>
    </row>
    <row r="33" spans="2:4" x14ac:dyDescent="0.2">
      <c r="B33" s="2002" t="s">
        <v>1747</v>
      </c>
      <c r="C33" s="2003">
        <f>IF(1-H61&gt;1/100,1/100,1-H61)</f>
        <v>0.01</v>
      </c>
      <c r="D33" s="2072"/>
    </row>
    <row r="34" spans="2:4" ht="25.5" x14ac:dyDescent="0.2">
      <c r="B34" s="2002" t="s">
        <v>1816</v>
      </c>
      <c r="C34" s="2003">
        <f>'стоки 2019-2021'!K9</f>
        <v>89936.60938437593</v>
      </c>
      <c r="D34" s="2072" t="s">
        <v>1819</v>
      </c>
    </row>
    <row r="35" spans="2:4" ht="14.25" x14ac:dyDescent="0.2">
      <c r="B35" s="2002" t="s">
        <v>1750</v>
      </c>
      <c r="C35" s="2004">
        <v>1.0389999999999999</v>
      </c>
      <c r="D35" s="2072"/>
    </row>
    <row r="36" spans="2:4" ht="14.25" x14ac:dyDescent="0.2">
      <c r="B36" s="2002" t="s">
        <v>1817</v>
      </c>
      <c r="C36" s="2005">
        <v>1.0369999999999999</v>
      </c>
      <c r="D36" s="2006"/>
    </row>
    <row r="38" spans="2:4" x14ac:dyDescent="0.2">
      <c r="B38" s="5" t="s">
        <v>25</v>
      </c>
      <c r="C38" s="5"/>
      <c r="D38" s="5"/>
    </row>
    <row r="39" spans="2:4" ht="28.5" x14ac:dyDescent="0.2">
      <c r="B39" s="2087" t="s">
        <v>1815</v>
      </c>
      <c r="C39" s="2001">
        <v>0</v>
      </c>
      <c r="D39" s="2076"/>
    </row>
    <row r="40" spans="2:4" ht="14.25" x14ac:dyDescent="0.2">
      <c r="B40" s="2002" t="s">
        <v>1745</v>
      </c>
      <c r="C40" s="2003">
        <f>1/100</f>
        <v>0.01</v>
      </c>
      <c r="D40" s="2072" t="s">
        <v>1818</v>
      </c>
    </row>
    <row r="41" spans="2:4" x14ac:dyDescent="0.2">
      <c r="B41" s="2002" t="s">
        <v>1747</v>
      </c>
      <c r="C41" s="2003">
        <f>IF(1-H69&gt;1/100,1/100,1-H69)</f>
        <v>0.01</v>
      </c>
      <c r="D41" s="2072"/>
    </row>
    <row r="42" spans="2:4" ht="25.5" x14ac:dyDescent="0.2">
      <c r="B42" s="2002" t="s">
        <v>1816</v>
      </c>
      <c r="C42" s="2003">
        <v>0</v>
      </c>
      <c r="D42" s="2072" t="s">
        <v>1819</v>
      </c>
    </row>
    <row r="43" spans="2:4" ht="14.25" x14ac:dyDescent="0.2">
      <c r="B43" s="2002" t="s">
        <v>1750</v>
      </c>
      <c r="C43" s="2004">
        <v>1.0389999999999999</v>
      </c>
      <c r="D43" s="2072"/>
    </row>
    <row r="44" spans="2:4" ht="14.25" x14ac:dyDescent="0.2">
      <c r="B44" s="2002" t="s">
        <v>1817</v>
      </c>
      <c r="C44" s="2005">
        <v>1.0369999999999999</v>
      </c>
      <c r="D44" s="2006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92">
    <pageSetUpPr fitToPage="1"/>
  </sheetPr>
  <dimension ref="A1:L25"/>
  <sheetViews>
    <sheetView workbookViewId="0">
      <selection activeCell="N4" sqref="N4"/>
    </sheetView>
  </sheetViews>
  <sheetFormatPr defaultRowHeight="15" x14ac:dyDescent="0.25"/>
  <cols>
    <col min="1" max="12" width="17.7109375" style="3147" customWidth="1"/>
    <col min="13" max="16384" width="9.140625" style="3147"/>
  </cols>
  <sheetData>
    <row r="1" spans="1:12" ht="26.25" x14ac:dyDescent="0.4">
      <c r="A1" s="4489" t="s">
        <v>3979</v>
      </c>
      <c r="B1" s="4489"/>
      <c r="C1" s="4490"/>
      <c r="D1" s="4490"/>
      <c r="E1" s="4490"/>
      <c r="F1" s="4490"/>
      <c r="G1" s="4490"/>
      <c r="H1" s="4490"/>
      <c r="I1" s="4490"/>
    </row>
    <row r="2" spans="1:12" x14ac:dyDescent="0.25">
      <c r="A2" s="3148"/>
      <c r="B2" s="3148"/>
      <c r="C2" s="3148"/>
      <c r="D2" s="3148"/>
      <c r="E2" s="3148"/>
      <c r="F2" s="3148"/>
      <c r="G2" s="3148"/>
      <c r="H2" s="3148"/>
      <c r="I2" s="3168"/>
      <c r="L2" s="3168" t="s">
        <v>55</v>
      </c>
    </row>
    <row r="3" spans="1:12" ht="46.7" customHeight="1" x14ac:dyDescent="0.25">
      <c r="A3" s="3169" t="s">
        <v>3872</v>
      </c>
      <c r="B3" s="3169" t="s">
        <v>616</v>
      </c>
      <c r="C3" s="3169" t="s">
        <v>347</v>
      </c>
      <c r="D3" s="3170" t="s">
        <v>3873</v>
      </c>
      <c r="E3" s="3169" t="s">
        <v>616</v>
      </c>
      <c r="F3" s="3169" t="s">
        <v>337</v>
      </c>
      <c r="G3" s="3170" t="s">
        <v>3843</v>
      </c>
      <c r="H3" s="3169" t="s">
        <v>3668</v>
      </c>
      <c r="I3" s="3170" t="s">
        <v>3874</v>
      </c>
      <c r="J3" s="3171" t="s">
        <v>3869</v>
      </c>
      <c r="K3" s="3170" t="s">
        <v>3870</v>
      </c>
      <c r="L3" s="3169" t="s">
        <v>616</v>
      </c>
    </row>
    <row r="4" spans="1:12" ht="24.95" customHeight="1" x14ac:dyDescent="0.25">
      <c r="A4" s="3172" t="s">
        <v>258</v>
      </c>
      <c r="B4" s="3226">
        <f>SUM(C4:D4)</f>
        <v>142.51952386494904</v>
      </c>
      <c r="C4" s="3226">
        <f>SUM('Прил. 1 План ФХД вода '!AE36)/12</f>
        <v>142.51952386494904</v>
      </c>
      <c r="D4" s="3226">
        <f>SUM('Прил. 1 План ФХД вода '!AF36)/12</f>
        <v>0</v>
      </c>
      <c r="E4" s="3226">
        <f>SUM(F4:G4)</f>
        <v>155.42566437787249</v>
      </c>
      <c r="F4" s="3226">
        <f>SUM('Прил. 1 План ФХД стоки'!AF30)/12</f>
        <v>155.42566437787249</v>
      </c>
      <c r="G4" s="3226">
        <f>SUM('Прил. 1 План ФХД стоки'!AG30)/12</f>
        <v>0</v>
      </c>
      <c r="H4" s="3226">
        <v>0</v>
      </c>
      <c r="I4" s="3226">
        <f>SUM(B4+E4+H4)</f>
        <v>297.94518824282153</v>
      </c>
      <c r="J4" s="3228">
        <f>SUM('Прил. 1 План ФХД трансп. воды'!I27)/12</f>
        <v>7.7682632783333334</v>
      </c>
      <c r="K4" s="3228">
        <f>SUM('Прил. 1 План ФХД трансп. стоков'!I22)/12</f>
        <v>30.831389908333335</v>
      </c>
      <c r="L4" s="3229">
        <f>I4+J4+K4</f>
        <v>336.5448414294882</v>
      </c>
    </row>
    <row r="5" spans="1:12" ht="24.95" customHeight="1" x14ac:dyDescent="0.25">
      <c r="A5" s="3172" t="s">
        <v>259</v>
      </c>
      <c r="B5" s="3226">
        <f t="shared" ref="B5:B6" si="0">SUM(C5:D5)</f>
        <v>142.51952386494904</v>
      </c>
      <c r="C5" s="3226">
        <f>SUM(C4)</f>
        <v>142.51952386494904</v>
      </c>
      <c r="D5" s="3226">
        <f>SUM(D4)</f>
        <v>0</v>
      </c>
      <c r="E5" s="3226">
        <f t="shared" ref="E5:E20" si="1">SUM(F5:G5)</f>
        <v>155.42566437787249</v>
      </c>
      <c r="F5" s="3226">
        <f t="shared" ref="F5:H6" si="2">SUM(F4)</f>
        <v>155.42566437787249</v>
      </c>
      <c r="G5" s="3226">
        <f t="shared" si="2"/>
        <v>0</v>
      </c>
      <c r="H5" s="3226">
        <f t="shared" si="2"/>
        <v>0</v>
      </c>
      <c r="I5" s="3226">
        <f t="shared" ref="I5:I6" si="3">SUM(B5+E5+H5)</f>
        <v>297.94518824282153</v>
      </c>
      <c r="J5" s="3226">
        <f t="shared" ref="J5:K5" si="4">SUM(J4)</f>
        <v>7.7682632783333334</v>
      </c>
      <c r="K5" s="3226">
        <f t="shared" si="4"/>
        <v>30.831389908333335</v>
      </c>
      <c r="L5" s="3229">
        <f t="shared" ref="L5:L22" si="5">I5+J5+K5</f>
        <v>336.5448414294882</v>
      </c>
    </row>
    <row r="6" spans="1:12" ht="24.95" customHeight="1" x14ac:dyDescent="0.25">
      <c r="A6" s="3172" t="s">
        <v>260</v>
      </c>
      <c r="B6" s="3226">
        <f t="shared" si="0"/>
        <v>142.51952386494904</v>
      </c>
      <c r="C6" s="3226">
        <f>SUM(C5)</f>
        <v>142.51952386494904</v>
      </c>
      <c r="D6" s="3226">
        <f>SUM(D5)</f>
        <v>0</v>
      </c>
      <c r="E6" s="3226">
        <f t="shared" si="1"/>
        <v>155.42566437787249</v>
      </c>
      <c r="F6" s="3226">
        <f t="shared" si="2"/>
        <v>155.42566437787249</v>
      </c>
      <c r="G6" s="3226">
        <f t="shared" si="2"/>
        <v>0</v>
      </c>
      <c r="H6" s="3226">
        <f t="shared" si="2"/>
        <v>0</v>
      </c>
      <c r="I6" s="3226">
        <f t="shared" si="3"/>
        <v>297.94518824282153</v>
      </c>
      <c r="J6" s="3226">
        <f t="shared" ref="J6:K6" si="6">SUM(J5)</f>
        <v>7.7682632783333334</v>
      </c>
      <c r="K6" s="3226">
        <f t="shared" si="6"/>
        <v>30.831389908333335</v>
      </c>
      <c r="L6" s="3229">
        <f t="shared" si="5"/>
        <v>336.5448414294882</v>
      </c>
    </row>
    <row r="7" spans="1:12" ht="24.95" customHeight="1" x14ac:dyDescent="0.25">
      <c r="A7" s="3173" t="s">
        <v>1562</v>
      </c>
      <c r="B7" s="3227">
        <f t="shared" ref="B7:B22" si="7">SUM(C7:D7)</f>
        <v>427.55857159484708</v>
      </c>
      <c r="C7" s="3227">
        <f>SUM(C4:C6)</f>
        <v>427.55857159484708</v>
      </c>
      <c r="D7" s="3227">
        <f>SUM(D4:D6)</f>
        <v>0</v>
      </c>
      <c r="E7" s="3227">
        <f t="shared" si="1"/>
        <v>466.27699313361745</v>
      </c>
      <c r="F7" s="3227">
        <f>SUM(F4:F6)</f>
        <v>466.27699313361745</v>
      </c>
      <c r="G7" s="3227">
        <f>SUM(G4:G6)</f>
        <v>0</v>
      </c>
      <c r="H7" s="3227">
        <f>SUM(H4:H6)</f>
        <v>0</v>
      </c>
      <c r="I7" s="3227">
        <f>SUM(B7+E7+H7)</f>
        <v>893.83556472846453</v>
      </c>
      <c r="J7" s="3227">
        <f>SUM(J4:J6)</f>
        <v>23.304789835000001</v>
      </c>
      <c r="K7" s="3227">
        <f>SUM(K4:K6)</f>
        <v>92.494169725000006</v>
      </c>
      <c r="L7" s="3230">
        <f t="shared" si="5"/>
        <v>1009.6345242884645</v>
      </c>
    </row>
    <row r="8" spans="1:12" ht="24.95" customHeight="1" x14ac:dyDescent="0.25">
      <c r="A8" s="3172" t="s">
        <v>261</v>
      </c>
      <c r="B8" s="3226">
        <f t="shared" si="7"/>
        <v>142.51952386494904</v>
      </c>
      <c r="C8" s="3226">
        <f>SUM(C4)</f>
        <v>142.51952386494904</v>
      </c>
      <c r="D8" s="3226">
        <f>SUM(D4)</f>
        <v>0</v>
      </c>
      <c r="E8" s="3226">
        <f t="shared" si="1"/>
        <v>155.42566437787249</v>
      </c>
      <c r="F8" s="3226">
        <f>SUM(F4)</f>
        <v>155.42566437787249</v>
      </c>
      <c r="G8" s="3226">
        <f>SUM(G4)</f>
        <v>0</v>
      </c>
      <c r="H8" s="3226">
        <f>SUM(H4)</f>
        <v>0</v>
      </c>
      <c r="I8" s="3226">
        <f t="shared" ref="I8:I22" si="8">SUM(B8+E8+H8)</f>
        <v>297.94518824282153</v>
      </c>
      <c r="J8" s="3226">
        <f>SUM(J4)</f>
        <v>7.7682632783333334</v>
      </c>
      <c r="K8" s="3226">
        <f>SUM(K4)</f>
        <v>30.831389908333335</v>
      </c>
      <c r="L8" s="3229">
        <f t="shared" si="5"/>
        <v>336.5448414294882</v>
      </c>
    </row>
    <row r="9" spans="1:12" ht="24.95" customHeight="1" x14ac:dyDescent="0.25">
      <c r="A9" s="3172" t="s">
        <v>1345</v>
      </c>
      <c r="B9" s="3226">
        <f t="shared" si="7"/>
        <v>142.51952386494904</v>
      </c>
      <c r="C9" s="3226">
        <f t="shared" ref="C9:D9" si="9">SUM(C5)</f>
        <v>142.51952386494904</v>
      </c>
      <c r="D9" s="3226">
        <f t="shared" si="9"/>
        <v>0</v>
      </c>
      <c r="E9" s="3226">
        <f t="shared" si="1"/>
        <v>155.42566437787249</v>
      </c>
      <c r="F9" s="3226">
        <f t="shared" ref="F9:H9" si="10">SUM(F5)</f>
        <v>155.42566437787249</v>
      </c>
      <c r="G9" s="3226">
        <f t="shared" si="10"/>
        <v>0</v>
      </c>
      <c r="H9" s="3226">
        <f t="shared" si="10"/>
        <v>0</v>
      </c>
      <c r="I9" s="3226">
        <f t="shared" si="8"/>
        <v>297.94518824282153</v>
      </c>
      <c r="J9" s="3226">
        <f t="shared" ref="J9:K9" si="11">SUM(J5)</f>
        <v>7.7682632783333334</v>
      </c>
      <c r="K9" s="3226">
        <f t="shared" si="11"/>
        <v>30.831389908333335</v>
      </c>
      <c r="L9" s="3229">
        <f t="shared" si="5"/>
        <v>336.5448414294882</v>
      </c>
    </row>
    <row r="10" spans="1:12" ht="24.95" customHeight="1" x14ac:dyDescent="0.25">
      <c r="A10" s="3172" t="s">
        <v>263</v>
      </c>
      <c r="B10" s="3226">
        <f t="shared" si="7"/>
        <v>142.51952386494904</v>
      </c>
      <c r="C10" s="3226">
        <f t="shared" ref="C10:D10" si="12">SUM(C6)</f>
        <v>142.51952386494904</v>
      </c>
      <c r="D10" s="3226">
        <f t="shared" si="12"/>
        <v>0</v>
      </c>
      <c r="E10" s="3226">
        <f t="shared" si="1"/>
        <v>155.42566437787249</v>
      </c>
      <c r="F10" s="3226">
        <f t="shared" ref="F10:H10" si="13">SUM(F6)</f>
        <v>155.42566437787249</v>
      </c>
      <c r="G10" s="3226">
        <f t="shared" si="13"/>
        <v>0</v>
      </c>
      <c r="H10" s="3226">
        <f t="shared" si="13"/>
        <v>0</v>
      </c>
      <c r="I10" s="3226">
        <f t="shared" si="8"/>
        <v>297.94518824282153</v>
      </c>
      <c r="J10" s="3226">
        <f t="shared" ref="J10:K10" si="14">SUM(J6)</f>
        <v>7.7682632783333334</v>
      </c>
      <c r="K10" s="3226">
        <f t="shared" si="14"/>
        <v>30.831389908333335</v>
      </c>
      <c r="L10" s="3229">
        <f t="shared" si="5"/>
        <v>336.5448414294882</v>
      </c>
    </row>
    <row r="11" spans="1:12" ht="24.95" customHeight="1" x14ac:dyDescent="0.25">
      <c r="A11" s="3173" t="s">
        <v>1563</v>
      </c>
      <c r="B11" s="3227">
        <f t="shared" si="7"/>
        <v>427.55857159484708</v>
      </c>
      <c r="C11" s="3227">
        <f>SUM(C8:C10)</f>
        <v>427.55857159484708</v>
      </c>
      <c r="D11" s="3227">
        <f>SUM(D8:D10)</f>
        <v>0</v>
      </c>
      <c r="E11" s="3227">
        <f t="shared" si="1"/>
        <v>466.27699313361745</v>
      </c>
      <c r="F11" s="3227">
        <f>SUM(F8:F10)</f>
        <v>466.27699313361745</v>
      </c>
      <c r="G11" s="3227">
        <f>SUM(G8:G10)</f>
        <v>0</v>
      </c>
      <c r="H11" s="3227">
        <f>SUM(H8:H10)</f>
        <v>0</v>
      </c>
      <c r="I11" s="3227">
        <f t="shared" si="8"/>
        <v>893.83556472846453</v>
      </c>
      <c r="J11" s="3227">
        <f>SUM(J8:J10)</f>
        <v>23.304789835000001</v>
      </c>
      <c r="K11" s="3227">
        <f>SUM(K8:K10)</f>
        <v>92.494169725000006</v>
      </c>
      <c r="L11" s="3230">
        <f t="shared" si="5"/>
        <v>1009.6345242884645</v>
      </c>
    </row>
    <row r="12" spans="1:12" ht="24.95" customHeight="1" x14ac:dyDescent="0.25">
      <c r="A12" s="3173" t="s">
        <v>375</v>
      </c>
      <c r="B12" s="3227">
        <f t="shared" ref="B12:H12" si="15">B7+B11</f>
        <v>855.11714318969416</v>
      </c>
      <c r="C12" s="3227">
        <f t="shared" si="15"/>
        <v>855.11714318969416</v>
      </c>
      <c r="D12" s="3227">
        <f t="shared" si="15"/>
        <v>0</v>
      </c>
      <c r="E12" s="3227">
        <f t="shared" si="15"/>
        <v>932.5539862672349</v>
      </c>
      <c r="F12" s="3227">
        <f t="shared" si="15"/>
        <v>932.5539862672349</v>
      </c>
      <c r="G12" s="3227">
        <f t="shared" si="15"/>
        <v>0</v>
      </c>
      <c r="H12" s="3227">
        <f t="shared" si="15"/>
        <v>0</v>
      </c>
      <c r="I12" s="3227">
        <f t="shared" si="8"/>
        <v>1787.6711294569291</v>
      </c>
      <c r="J12" s="3227">
        <f t="shared" ref="J12:K12" si="16">J7+J11</f>
        <v>46.609579670000002</v>
      </c>
      <c r="K12" s="3227">
        <f t="shared" si="16"/>
        <v>184.98833945000001</v>
      </c>
      <c r="L12" s="3230">
        <f t="shared" si="5"/>
        <v>2019.269048576929</v>
      </c>
    </row>
    <row r="13" spans="1:12" ht="24.95" customHeight="1" x14ac:dyDescent="0.25">
      <c r="A13" s="3172" t="s">
        <v>1210</v>
      </c>
      <c r="B13" s="3226">
        <f t="shared" ref="B13:B15" si="17">SUM(C13:D13)</f>
        <v>142.51952386494904</v>
      </c>
      <c r="C13" s="3226">
        <f>SUM(C9)</f>
        <v>142.51952386494904</v>
      </c>
      <c r="D13" s="3226">
        <f>SUM(D9)</f>
        <v>0</v>
      </c>
      <c r="E13" s="3226">
        <f t="shared" ref="E13:E16" si="18">SUM(F13:G13)</f>
        <v>155.42566437787249</v>
      </c>
      <c r="F13" s="3226">
        <f t="shared" ref="F13:H14" si="19">SUM(F9)</f>
        <v>155.42566437787249</v>
      </c>
      <c r="G13" s="3226">
        <f t="shared" si="19"/>
        <v>0</v>
      </c>
      <c r="H13" s="3226">
        <f t="shared" si="19"/>
        <v>0</v>
      </c>
      <c r="I13" s="3226">
        <f t="shared" si="8"/>
        <v>297.94518824282153</v>
      </c>
      <c r="J13" s="3226">
        <f t="shared" ref="J13:K13" si="20">SUM(J9)</f>
        <v>7.7682632783333334</v>
      </c>
      <c r="K13" s="3226">
        <f t="shared" si="20"/>
        <v>30.831389908333335</v>
      </c>
      <c r="L13" s="3229">
        <f t="shared" si="5"/>
        <v>336.5448414294882</v>
      </c>
    </row>
    <row r="14" spans="1:12" ht="24.95" customHeight="1" x14ac:dyDescent="0.25">
      <c r="A14" s="3172" t="s">
        <v>264</v>
      </c>
      <c r="B14" s="3226">
        <f t="shared" si="17"/>
        <v>142.51952386494904</v>
      </c>
      <c r="C14" s="3226">
        <f>SUM(C10)</f>
        <v>142.51952386494904</v>
      </c>
      <c r="D14" s="3226">
        <f>SUM(D10)</f>
        <v>0</v>
      </c>
      <c r="E14" s="3226">
        <f t="shared" si="18"/>
        <v>155.42566437787249</v>
      </c>
      <c r="F14" s="3226">
        <f t="shared" si="19"/>
        <v>155.42566437787249</v>
      </c>
      <c r="G14" s="3226">
        <f t="shared" si="19"/>
        <v>0</v>
      </c>
      <c r="H14" s="3226">
        <f t="shared" si="19"/>
        <v>0</v>
      </c>
      <c r="I14" s="3226">
        <f t="shared" si="8"/>
        <v>297.94518824282153</v>
      </c>
      <c r="J14" s="3226">
        <f t="shared" ref="J14:K14" si="21">SUM(J10)</f>
        <v>7.7682632783333334</v>
      </c>
      <c r="K14" s="3226">
        <f t="shared" si="21"/>
        <v>30.831389908333335</v>
      </c>
      <c r="L14" s="3229">
        <f t="shared" si="5"/>
        <v>336.5448414294882</v>
      </c>
    </row>
    <row r="15" spans="1:12" ht="24.95" customHeight="1" x14ac:dyDescent="0.25">
      <c r="A15" s="3172" t="s">
        <v>1228</v>
      </c>
      <c r="B15" s="3226">
        <f t="shared" si="17"/>
        <v>142.51952386494904</v>
      </c>
      <c r="C15" s="3226">
        <f>SUM(C13)</f>
        <v>142.51952386494904</v>
      </c>
      <c r="D15" s="3226">
        <f>SUM(D13)</f>
        <v>0</v>
      </c>
      <c r="E15" s="3226">
        <f t="shared" si="18"/>
        <v>155.42566437787249</v>
      </c>
      <c r="F15" s="3226">
        <f>SUM(F13)</f>
        <v>155.42566437787249</v>
      </c>
      <c r="G15" s="3226">
        <f>SUM(G13)</f>
        <v>0</v>
      </c>
      <c r="H15" s="3226">
        <f>SUM(H13)</f>
        <v>0</v>
      </c>
      <c r="I15" s="3226">
        <f t="shared" si="8"/>
        <v>297.94518824282153</v>
      </c>
      <c r="J15" s="3226">
        <f>SUM(J13)</f>
        <v>7.7682632783333334</v>
      </c>
      <c r="K15" s="3226">
        <f>SUM(K13)</f>
        <v>30.831389908333335</v>
      </c>
      <c r="L15" s="3229">
        <f t="shared" si="5"/>
        <v>336.5448414294882</v>
      </c>
    </row>
    <row r="16" spans="1:12" ht="24.95" customHeight="1" x14ac:dyDescent="0.25">
      <c r="A16" s="3173" t="s">
        <v>1564</v>
      </c>
      <c r="B16" s="3227">
        <f t="shared" si="7"/>
        <v>427.55857159484708</v>
      </c>
      <c r="C16" s="3227">
        <f>SUM(C13:C15)</f>
        <v>427.55857159484708</v>
      </c>
      <c r="D16" s="3227">
        <f>SUM(D13:D15)</f>
        <v>0</v>
      </c>
      <c r="E16" s="3227">
        <f t="shared" si="18"/>
        <v>466.27699313361745</v>
      </c>
      <c r="F16" s="3227">
        <f>SUM(F13:F15)</f>
        <v>466.27699313361745</v>
      </c>
      <c r="G16" s="3227">
        <f>SUM(G13:G15)</f>
        <v>0</v>
      </c>
      <c r="H16" s="3227">
        <f>SUM(H13:H15)</f>
        <v>0</v>
      </c>
      <c r="I16" s="3227">
        <f t="shared" si="8"/>
        <v>893.83556472846453</v>
      </c>
      <c r="J16" s="3227">
        <f>SUM(J13:J15)</f>
        <v>23.304789835000001</v>
      </c>
      <c r="K16" s="3227">
        <f>SUM(K13:K15)</f>
        <v>92.494169725000006</v>
      </c>
      <c r="L16" s="3230">
        <f t="shared" si="5"/>
        <v>1009.6345242884645</v>
      </c>
    </row>
    <row r="17" spans="1:12" ht="24.95" customHeight="1" x14ac:dyDescent="0.25">
      <c r="A17" s="3173" t="s">
        <v>127</v>
      </c>
      <c r="B17" s="3227">
        <f t="shared" si="7"/>
        <v>1282.6757147845412</v>
      </c>
      <c r="C17" s="3227">
        <f>C12+C16</f>
        <v>1282.6757147845412</v>
      </c>
      <c r="D17" s="3227">
        <f t="shared" ref="D17:H17" si="22">D12+D16</f>
        <v>0</v>
      </c>
      <c r="E17" s="3227">
        <f t="shared" si="22"/>
        <v>1398.8309794008524</v>
      </c>
      <c r="F17" s="3227">
        <f t="shared" si="22"/>
        <v>1398.8309794008524</v>
      </c>
      <c r="G17" s="3227">
        <f t="shared" si="22"/>
        <v>0</v>
      </c>
      <c r="H17" s="3227">
        <f t="shared" si="22"/>
        <v>0</v>
      </c>
      <c r="I17" s="3227">
        <f t="shared" si="8"/>
        <v>2681.5066941853938</v>
      </c>
      <c r="J17" s="3227">
        <f t="shared" ref="J17:K17" si="23">J12+J16</f>
        <v>69.914369504999996</v>
      </c>
      <c r="K17" s="3227">
        <f t="shared" si="23"/>
        <v>277.48250917500002</v>
      </c>
      <c r="L17" s="3230">
        <f t="shared" si="5"/>
        <v>3028.9035728653939</v>
      </c>
    </row>
    <row r="18" spans="1:12" ht="24.95" customHeight="1" x14ac:dyDescent="0.25">
      <c r="A18" s="3172" t="s">
        <v>265</v>
      </c>
      <c r="B18" s="3226">
        <f t="shared" si="7"/>
        <v>142.51952386494904</v>
      </c>
      <c r="C18" s="3226">
        <f>SUM(C14)</f>
        <v>142.51952386494904</v>
      </c>
      <c r="D18" s="3226">
        <f>SUM(D14)</f>
        <v>0</v>
      </c>
      <c r="E18" s="3226">
        <f t="shared" si="1"/>
        <v>155.42566437787249</v>
      </c>
      <c r="F18" s="3226">
        <f t="shared" ref="F18:H19" si="24">SUM(F14)</f>
        <v>155.42566437787249</v>
      </c>
      <c r="G18" s="3226">
        <f t="shared" si="24"/>
        <v>0</v>
      </c>
      <c r="H18" s="3226">
        <f t="shared" si="24"/>
        <v>0</v>
      </c>
      <c r="I18" s="3226">
        <f t="shared" si="8"/>
        <v>297.94518824282153</v>
      </c>
      <c r="J18" s="3226">
        <f t="shared" ref="J18:K18" si="25">SUM(J14)</f>
        <v>7.7682632783333334</v>
      </c>
      <c r="K18" s="3226">
        <f t="shared" si="25"/>
        <v>30.831389908333335</v>
      </c>
      <c r="L18" s="3229">
        <f>I18+J18+K18</f>
        <v>336.5448414294882</v>
      </c>
    </row>
    <row r="19" spans="1:12" ht="24.95" customHeight="1" x14ac:dyDescent="0.25">
      <c r="A19" s="3172" t="s">
        <v>266</v>
      </c>
      <c r="B19" s="3226">
        <f t="shared" si="7"/>
        <v>142.51952386494904</v>
      </c>
      <c r="C19" s="3226">
        <f>SUM(C15)</f>
        <v>142.51952386494904</v>
      </c>
      <c r="D19" s="3226">
        <f>SUM(D15)</f>
        <v>0</v>
      </c>
      <c r="E19" s="3226">
        <f t="shared" si="1"/>
        <v>155.42566437787249</v>
      </c>
      <c r="F19" s="3226">
        <f t="shared" si="24"/>
        <v>155.42566437787249</v>
      </c>
      <c r="G19" s="3226">
        <f t="shared" si="24"/>
        <v>0</v>
      </c>
      <c r="H19" s="3226">
        <f t="shared" si="24"/>
        <v>0</v>
      </c>
      <c r="I19" s="3226">
        <f t="shared" si="8"/>
        <v>297.94518824282153</v>
      </c>
      <c r="J19" s="3226">
        <f t="shared" ref="J19:K19" si="26">SUM(J15)</f>
        <v>7.7682632783333334</v>
      </c>
      <c r="K19" s="3226">
        <f t="shared" si="26"/>
        <v>30.831389908333335</v>
      </c>
      <c r="L19" s="3229">
        <f>I19+J19+K19</f>
        <v>336.5448414294882</v>
      </c>
    </row>
    <row r="20" spans="1:12" ht="24.95" customHeight="1" x14ac:dyDescent="0.25">
      <c r="A20" s="3172" t="s">
        <v>1319</v>
      </c>
      <c r="B20" s="3226">
        <f t="shared" si="7"/>
        <v>142.51952386494904</v>
      </c>
      <c r="C20" s="3226">
        <f>SUM(C18)</f>
        <v>142.51952386494904</v>
      </c>
      <c r="D20" s="3226">
        <f>SUM(D18)</f>
        <v>0</v>
      </c>
      <c r="E20" s="3226">
        <f t="shared" si="1"/>
        <v>155.42566437787249</v>
      </c>
      <c r="F20" s="3226">
        <f>SUM(F18)</f>
        <v>155.42566437787249</v>
      </c>
      <c r="G20" s="3226">
        <f>SUM(G18)</f>
        <v>0</v>
      </c>
      <c r="H20" s="3226">
        <f>SUM(H18)</f>
        <v>0</v>
      </c>
      <c r="I20" s="3226">
        <f t="shared" si="8"/>
        <v>297.94518824282153</v>
      </c>
      <c r="J20" s="3226">
        <f>SUM(J18)</f>
        <v>7.7682632783333334</v>
      </c>
      <c r="K20" s="3226">
        <f>SUM(K18)</f>
        <v>30.831389908333335</v>
      </c>
      <c r="L20" s="3229">
        <f t="shared" si="5"/>
        <v>336.5448414294882</v>
      </c>
    </row>
    <row r="21" spans="1:12" ht="24.95" customHeight="1" x14ac:dyDescent="0.25">
      <c r="A21" s="3173" t="s">
        <v>128</v>
      </c>
      <c r="B21" s="3227">
        <f t="shared" si="7"/>
        <v>427.55857159484708</v>
      </c>
      <c r="C21" s="3227">
        <f>SUM(C18:C20)</f>
        <v>427.55857159484708</v>
      </c>
      <c r="D21" s="3227">
        <f t="shared" ref="D21:H21" si="27">SUM(D18:D20)</f>
        <v>0</v>
      </c>
      <c r="E21" s="3227">
        <f t="shared" si="27"/>
        <v>466.27699313361745</v>
      </c>
      <c r="F21" s="3227">
        <f t="shared" si="27"/>
        <v>466.27699313361745</v>
      </c>
      <c r="G21" s="3227">
        <f t="shared" si="27"/>
        <v>0</v>
      </c>
      <c r="H21" s="3227">
        <f t="shared" si="27"/>
        <v>0</v>
      </c>
      <c r="I21" s="3227">
        <f t="shared" si="8"/>
        <v>893.83556472846453</v>
      </c>
      <c r="J21" s="3227">
        <f t="shared" ref="J21:K21" si="28">SUM(J18:J20)</f>
        <v>23.304789835000001</v>
      </c>
      <c r="K21" s="3227">
        <f t="shared" si="28"/>
        <v>92.494169725000006</v>
      </c>
      <c r="L21" s="3230">
        <f t="shared" si="5"/>
        <v>1009.6345242884645</v>
      </c>
    </row>
    <row r="22" spans="1:12" ht="24.95" customHeight="1" x14ac:dyDescent="0.25">
      <c r="A22" s="3173" t="s">
        <v>243</v>
      </c>
      <c r="B22" s="3227">
        <f t="shared" si="7"/>
        <v>1710.2342863793883</v>
      </c>
      <c r="C22" s="3227">
        <f>C17+C21</f>
        <v>1710.2342863793883</v>
      </c>
      <c r="D22" s="3227">
        <f t="shared" ref="D22:H22" si="29">D17+D21</f>
        <v>0</v>
      </c>
      <c r="E22" s="3227">
        <f t="shared" si="29"/>
        <v>1865.1079725344698</v>
      </c>
      <c r="F22" s="3227">
        <f t="shared" si="29"/>
        <v>1865.1079725344698</v>
      </c>
      <c r="G22" s="3227">
        <f t="shared" si="29"/>
        <v>0</v>
      </c>
      <c r="H22" s="3227">
        <f t="shared" si="29"/>
        <v>0</v>
      </c>
      <c r="I22" s="3227">
        <f t="shared" si="8"/>
        <v>3575.3422589138581</v>
      </c>
      <c r="J22" s="3227">
        <f t="shared" ref="J22:K22" si="30">J17+J21</f>
        <v>93.219159340000004</v>
      </c>
      <c r="K22" s="3227">
        <f t="shared" si="30"/>
        <v>369.97667890000002</v>
      </c>
      <c r="L22" s="3230">
        <f t="shared" si="5"/>
        <v>4038.538097153858</v>
      </c>
    </row>
    <row r="23" spans="1:12" x14ac:dyDescent="0.25">
      <c r="A23" s="3148"/>
      <c r="B23" s="3148"/>
      <c r="C23" s="3148"/>
      <c r="D23" s="3148"/>
      <c r="E23" s="3148"/>
      <c r="F23" s="3148"/>
      <c r="G23" s="3148"/>
      <c r="H23" s="3148"/>
      <c r="I23" s="3148"/>
    </row>
    <row r="24" spans="1:12" x14ac:dyDescent="0.25">
      <c r="A24" s="3148"/>
      <c r="B24" s="3148"/>
      <c r="C24" s="3148"/>
      <c r="D24" s="3148"/>
      <c r="E24" s="3148"/>
      <c r="F24" s="3148"/>
      <c r="G24" s="3148"/>
      <c r="H24" s="3148"/>
      <c r="I24" s="3148"/>
    </row>
    <row r="25" spans="1:12" x14ac:dyDescent="0.25">
      <c r="A25" s="4491" t="s">
        <v>3875</v>
      </c>
      <c r="B25" s="4491"/>
      <c r="C25" s="4492"/>
      <c r="D25" s="4492"/>
      <c r="E25" s="4492"/>
      <c r="F25" s="4492"/>
      <c r="G25" s="4492"/>
      <c r="H25" s="4492"/>
      <c r="I25" s="4492"/>
    </row>
  </sheetData>
  <mergeCells count="2">
    <mergeCell ref="A1:I1"/>
    <mergeCell ref="A25:I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2" orientation="landscape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91">
    <tabColor rgb="FFFFC000"/>
    <pageSetUpPr fitToPage="1"/>
  </sheetPr>
  <dimension ref="A1:T50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U42" sqref="U42"/>
    </sheetView>
  </sheetViews>
  <sheetFormatPr defaultRowHeight="15" x14ac:dyDescent="0.25"/>
  <cols>
    <col min="1" max="1" width="46.28515625" style="3147" customWidth="1"/>
    <col min="2" max="4" width="9.7109375" style="3147" customWidth="1"/>
    <col min="5" max="5" width="10.140625" style="3147" customWidth="1"/>
    <col min="6" max="8" width="9.7109375" style="3147" customWidth="1"/>
    <col min="9" max="10" width="10.140625" style="3147" customWidth="1"/>
    <col min="11" max="13" width="9.7109375" style="3147" customWidth="1"/>
    <col min="14" max="14" width="10.140625" style="3147" customWidth="1"/>
    <col min="15" max="15" width="10.5703125" style="3147" customWidth="1"/>
    <col min="16" max="18" width="9.7109375" style="3147" customWidth="1"/>
    <col min="19" max="19" width="9.5703125" style="3147" customWidth="1"/>
    <col min="20" max="20" width="10.28515625" style="3147" customWidth="1"/>
    <col min="21" max="16384" width="9.140625" style="3147"/>
  </cols>
  <sheetData>
    <row r="1" spans="1:20" x14ac:dyDescent="0.25">
      <c r="Q1" s="3148" t="s">
        <v>3815</v>
      </c>
      <c r="R1" s="3148"/>
    </row>
    <row r="2" spans="1:20" x14ac:dyDescent="0.25">
      <c r="Q2" s="3148" t="s">
        <v>3816</v>
      </c>
      <c r="R2" s="3148"/>
    </row>
    <row r="3" spans="1:20" ht="30.2" customHeight="1" x14ac:dyDescent="0.25">
      <c r="Q3" s="3148" t="s">
        <v>3866</v>
      </c>
      <c r="R3" s="3148"/>
    </row>
    <row r="5" spans="1:20" ht="20.25" x14ac:dyDescent="0.3">
      <c r="A5" s="4493" t="s">
        <v>3978</v>
      </c>
      <c r="B5" s="4494"/>
      <c r="C5" s="4494"/>
      <c r="D5" s="4494"/>
      <c r="E5" s="4494"/>
      <c r="F5" s="4494"/>
      <c r="G5" s="4494"/>
      <c r="H5" s="4494"/>
      <c r="I5" s="4494"/>
      <c r="J5" s="4494"/>
      <c r="K5" s="4494"/>
      <c r="L5" s="4494"/>
      <c r="M5" s="4494"/>
      <c r="N5" s="4494"/>
      <c r="O5" s="4494"/>
      <c r="P5" s="4494"/>
      <c r="Q5" s="4494"/>
      <c r="R5" s="4494"/>
      <c r="S5" s="4494"/>
      <c r="T5" s="4494"/>
    </row>
    <row r="6" spans="1:20" ht="15.75" thickBot="1" x14ac:dyDescent="0.3">
      <c r="A6" s="3148"/>
      <c r="B6" s="3148"/>
      <c r="C6" s="3148"/>
      <c r="D6" s="3148"/>
      <c r="E6" s="3148"/>
      <c r="F6" s="3148"/>
      <c r="G6" s="3148"/>
      <c r="H6" s="3148"/>
      <c r="I6" s="3148"/>
      <c r="J6" s="3148"/>
      <c r="K6" s="3148"/>
      <c r="L6" s="3148"/>
      <c r="M6" s="3148"/>
      <c r="N6" s="3148"/>
      <c r="O6" s="3148"/>
      <c r="P6" s="3148"/>
      <c r="Q6" s="3148"/>
      <c r="R6" s="3148"/>
      <c r="S6" s="3148"/>
      <c r="T6" s="3148"/>
    </row>
    <row r="7" spans="1:20" ht="19.7" customHeight="1" x14ac:dyDescent="0.25">
      <c r="A7" s="3149" t="s">
        <v>1027</v>
      </c>
      <c r="B7" s="3150" t="s">
        <v>258</v>
      </c>
      <c r="C7" s="3150" t="s">
        <v>259</v>
      </c>
      <c r="D7" s="3150" t="s">
        <v>260</v>
      </c>
      <c r="E7" s="3151" t="s">
        <v>1562</v>
      </c>
      <c r="F7" s="3150" t="s">
        <v>261</v>
      </c>
      <c r="G7" s="3150" t="s">
        <v>262</v>
      </c>
      <c r="H7" s="3150" t="s">
        <v>263</v>
      </c>
      <c r="I7" s="3151" t="s">
        <v>1563</v>
      </c>
      <c r="J7" s="3151" t="s">
        <v>1963</v>
      </c>
      <c r="K7" s="3150" t="s">
        <v>1210</v>
      </c>
      <c r="L7" s="3150" t="s">
        <v>264</v>
      </c>
      <c r="M7" s="3150" t="s">
        <v>1228</v>
      </c>
      <c r="N7" s="3151" t="s">
        <v>1564</v>
      </c>
      <c r="O7" s="3151" t="s">
        <v>220</v>
      </c>
      <c r="P7" s="3150" t="s">
        <v>265</v>
      </c>
      <c r="Q7" s="3150" t="s">
        <v>266</v>
      </c>
      <c r="R7" s="3150" t="s">
        <v>1319</v>
      </c>
      <c r="S7" s="3151" t="s">
        <v>128</v>
      </c>
      <c r="T7" s="3152" t="s">
        <v>243</v>
      </c>
    </row>
    <row r="8" spans="1:20" ht="19.7" customHeight="1" x14ac:dyDescent="0.25">
      <c r="A8" s="3153" t="s">
        <v>3867</v>
      </c>
      <c r="B8" s="3154">
        <f>SUM(B9+B12+B13+B16+B17)</f>
        <v>20416.880318827556</v>
      </c>
      <c r="C8" s="3154">
        <f>SUM(C9+C12+C13+C16+C17)</f>
        <v>20416.880318827556</v>
      </c>
      <c r="D8" s="3154">
        <f>SUM(D9+D12+D13+D16+D17)</f>
        <v>20416.880318827556</v>
      </c>
      <c r="E8" s="3155">
        <f>SUM(B8:D8)</f>
        <v>61250.640956482668</v>
      </c>
      <c r="F8" s="3154">
        <f>SUM(F9+F12+F13+F16+F17)</f>
        <v>20416.880318827556</v>
      </c>
      <c r="G8" s="3154">
        <f>SUM(G9+G12+G13+G16+G17)</f>
        <v>20416.880318827556</v>
      </c>
      <c r="H8" s="3154">
        <f>SUM(H9+H12+H13+H16+H17)</f>
        <v>20416.880318827556</v>
      </c>
      <c r="I8" s="3155">
        <f>SUM(F8:H8)</f>
        <v>61250.640956482668</v>
      </c>
      <c r="J8" s="3155">
        <f>E8+I8</f>
        <v>122501.28191296534</v>
      </c>
      <c r="K8" s="3154">
        <f>SUM(K9+K12+K13+K16+K17)</f>
        <v>21519.082956864779</v>
      </c>
      <c r="L8" s="3154">
        <f>SUM(L9+L12+L13+L16+L17)</f>
        <v>21519.082956864779</v>
      </c>
      <c r="M8" s="3154">
        <f>SUM(M9+M12+M13+M16+M17)</f>
        <v>21519.082956864779</v>
      </c>
      <c r="N8" s="3155">
        <f t="shared" ref="N8:N9" si="0">SUM(K8:M8)</f>
        <v>64557.24887059434</v>
      </c>
      <c r="O8" s="3155">
        <f>J8+N8</f>
        <v>187058.53078355966</v>
      </c>
      <c r="P8" s="3154">
        <f>SUM(P9+P12+P13+P16+P17)</f>
        <v>21519.082956864779</v>
      </c>
      <c r="Q8" s="3154">
        <f>SUM(Q9+Q12+Q13+Q16+Q17)</f>
        <v>21519.082956864779</v>
      </c>
      <c r="R8" s="3154">
        <f>SUM(R9+R12+R13+R16+R17)</f>
        <v>21519.082956864779</v>
      </c>
      <c r="S8" s="3155">
        <f>SUM(P8:R8)</f>
        <v>64557.24887059434</v>
      </c>
      <c r="T8" s="3156">
        <f>O8+S8</f>
        <v>251615.779654154</v>
      </c>
    </row>
    <row r="9" spans="1:20" ht="19.7" customHeight="1" x14ac:dyDescent="0.25">
      <c r="A9" s="3157" t="s">
        <v>3868</v>
      </c>
      <c r="B9" s="3158">
        <f>SUM(B10:B11)</f>
        <v>11569.219221636968</v>
      </c>
      <c r="C9" s="3158">
        <f t="shared" ref="C9:D9" si="1">SUM(C10:C11)</f>
        <v>11569.219221636968</v>
      </c>
      <c r="D9" s="3158">
        <f t="shared" si="1"/>
        <v>11569.219221636968</v>
      </c>
      <c r="E9" s="3159">
        <f t="shared" ref="E9:E32" si="2">SUM(B9:D9)</f>
        <v>34707.657664910905</v>
      </c>
      <c r="F9" s="3158">
        <f>SUM(F10:F11)</f>
        <v>11569.219221636968</v>
      </c>
      <c r="G9" s="3158">
        <f t="shared" ref="G9:H9" si="3">SUM(G10:G11)</f>
        <v>11569.219221636968</v>
      </c>
      <c r="H9" s="3158">
        <f t="shared" si="3"/>
        <v>11569.219221636968</v>
      </c>
      <c r="I9" s="3159">
        <f t="shared" ref="I9:I32" si="4">SUM(F9:H9)</f>
        <v>34707.657664910905</v>
      </c>
      <c r="J9" s="3159">
        <f t="shared" ref="J9:J46" si="5">E9+I9</f>
        <v>69415.315329821809</v>
      </c>
      <c r="K9" s="3158">
        <f>SUM(K10:K11)</f>
        <v>12273.881093657563</v>
      </c>
      <c r="L9" s="3158">
        <f t="shared" ref="L9:M9" si="6">SUM(L10:L11)</f>
        <v>12273.881093657563</v>
      </c>
      <c r="M9" s="3158">
        <f t="shared" si="6"/>
        <v>12273.881093657563</v>
      </c>
      <c r="N9" s="3159">
        <f t="shared" si="0"/>
        <v>36821.64328097269</v>
      </c>
      <c r="O9" s="3159">
        <f t="shared" ref="O9:O46" si="7">J9+N9</f>
        <v>106236.95861079451</v>
      </c>
      <c r="P9" s="3158">
        <f>SUM(P10:P11)</f>
        <v>12273.881093657563</v>
      </c>
      <c r="Q9" s="3158">
        <f t="shared" ref="Q9:R9" si="8">SUM(Q10:Q11)</f>
        <v>12273.881093657563</v>
      </c>
      <c r="R9" s="3158">
        <f t="shared" si="8"/>
        <v>12273.881093657563</v>
      </c>
      <c r="S9" s="3159">
        <f>SUM(P9:R9)</f>
        <v>36821.64328097269</v>
      </c>
      <c r="T9" s="3160">
        <f t="shared" ref="T9:T46" si="9">O9+S9</f>
        <v>143058.6018917672</v>
      </c>
    </row>
    <row r="10" spans="1:20" ht="19.7" customHeight="1" x14ac:dyDescent="0.25">
      <c r="A10" s="3119" t="s">
        <v>3840</v>
      </c>
      <c r="B10" s="3161">
        <f>SUM('Прил. 1 План ФХД с транспортир.'!C23)/3</f>
        <v>11566.67635265723</v>
      </c>
      <c r="C10" s="3161">
        <f>SUM(B10)</f>
        <v>11566.67635265723</v>
      </c>
      <c r="D10" s="3161">
        <f>SUM(B10)</f>
        <v>11566.67635265723</v>
      </c>
      <c r="E10" s="3159">
        <f t="shared" si="2"/>
        <v>34700.029057971689</v>
      </c>
      <c r="F10" s="3161">
        <f>SUM(B10)</f>
        <v>11566.67635265723</v>
      </c>
      <c r="G10" s="3161">
        <f>SUM(B10)</f>
        <v>11566.67635265723</v>
      </c>
      <c r="H10" s="3161">
        <f>SUM(B10)</f>
        <v>11566.67635265723</v>
      </c>
      <c r="I10" s="3159">
        <f t="shared" si="4"/>
        <v>34700.029057971689</v>
      </c>
      <c r="J10" s="3159">
        <f t="shared" si="5"/>
        <v>69400.058115943379</v>
      </c>
      <c r="K10" s="3161">
        <f>SUM('Прил. 1 План ФХД с транспортир.'!F23)/3</f>
        <v>12270.794260032892</v>
      </c>
      <c r="L10" s="3161">
        <f>SUM(K10)</f>
        <v>12270.794260032892</v>
      </c>
      <c r="M10" s="3161">
        <f>SUM(K10)</f>
        <v>12270.794260032892</v>
      </c>
      <c r="N10" s="3159">
        <f t="shared" ref="N10:N32" si="10">SUM(K10:M10)</f>
        <v>36812.382780098676</v>
      </c>
      <c r="O10" s="3159">
        <f t="shared" si="7"/>
        <v>106212.44089604206</v>
      </c>
      <c r="P10" s="3161">
        <f>SUM(K10)</f>
        <v>12270.794260032892</v>
      </c>
      <c r="Q10" s="3161">
        <f>SUM(K10)</f>
        <v>12270.794260032892</v>
      </c>
      <c r="R10" s="3161">
        <f>SUM(K10)</f>
        <v>12270.794260032892</v>
      </c>
      <c r="S10" s="3159">
        <f t="shared" ref="S10:S32" si="11">SUM(P10:R10)</f>
        <v>36812.382780098676</v>
      </c>
      <c r="T10" s="3160">
        <f t="shared" si="9"/>
        <v>143024.82367614075</v>
      </c>
    </row>
    <row r="11" spans="1:20" ht="19.7" customHeight="1" x14ac:dyDescent="0.25">
      <c r="A11" s="3119" t="s">
        <v>1696</v>
      </c>
      <c r="B11" s="3161">
        <f>SUM('Прил. 1 План ФХД с транспортир.'!C25)/3</f>
        <v>2.5428689797365074</v>
      </c>
      <c r="C11" s="3161">
        <f>SUM(B11)</f>
        <v>2.5428689797365074</v>
      </c>
      <c r="D11" s="3161">
        <f>SUM(B11)</f>
        <v>2.5428689797365074</v>
      </c>
      <c r="E11" s="3159">
        <f t="shared" si="2"/>
        <v>7.6286069392095222</v>
      </c>
      <c r="F11" s="3161">
        <f>SUM(B11)</f>
        <v>2.5428689797365074</v>
      </c>
      <c r="G11" s="3161">
        <f>SUM(B11)</f>
        <v>2.5428689797365074</v>
      </c>
      <c r="H11" s="3161">
        <f>SUM(B11)</f>
        <v>2.5428689797365074</v>
      </c>
      <c r="I11" s="3159">
        <f t="shared" si="4"/>
        <v>7.6286069392095222</v>
      </c>
      <c r="J11" s="3159">
        <f t="shared" si="5"/>
        <v>15.257213878419044</v>
      </c>
      <c r="K11" s="3161">
        <f>SUM('Прил. 1 План ФХД с транспортир.'!F25)/3</f>
        <v>3.0868336246705597</v>
      </c>
      <c r="L11" s="3161">
        <f>SUM(K11)</f>
        <v>3.0868336246705597</v>
      </c>
      <c r="M11" s="3161">
        <f>SUM(K11)</f>
        <v>3.0868336246705597</v>
      </c>
      <c r="N11" s="3159">
        <f t="shared" si="10"/>
        <v>9.2605008740116794</v>
      </c>
      <c r="O11" s="3159">
        <f t="shared" si="7"/>
        <v>24.517714752430724</v>
      </c>
      <c r="P11" s="3161">
        <f>SUM(K11)</f>
        <v>3.0868336246705597</v>
      </c>
      <c r="Q11" s="3161">
        <f>SUM(K11)</f>
        <v>3.0868336246705597</v>
      </c>
      <c r="R11" s="3161">
        <f>SUM(K11)</f>
        <v>3.0868336246705597</v>
      </c>
      <c r="S11" s="3159">
        <f t="shared" si="11"/>
        <v>9.2605008740116794</v>
      </c>
      <c r="T11" s="3160">
        <f t="shared" si="9"/>
        <v>33.778215626442403</v>
      </c>
    </row>
    <row r="12" spans="1:20" ht="19.7" customHeight="1" x14ac:dyDescent="0.25">
      <c r="A12" s="3136" t="s">
        <v>3869</v>
      </c>
      <c r="B12" s="3161">
        <f>SUM('Прил. 1 План ФХД с транспортир.'!C26)/3</f>
        <v>49.164876751333331</v>
      </c>
      <c r="C12" s="3161">
        <f>SUM(B12)</f>
        <v>49.164876751333331</v>
      </c>
      <c r="D12" s="3161">
        <f>SUM(B12)</f>
        <v>49.164876751333331</v>
      </c>
      <c r="E12" s="3159">
        <f t="shared" si="2"/>
        <v>147.49463025399999</v>
      </c>
      <c r="F12" s="3161">
        <f>SUM(B12)</f>
        <v>49.164876751333331</v>
      </c>
      <c r="G12" s="3161">
        <f>SUM(B12)</f>
        <v>49.164876751333331</v>
      </c>
      <c r="H12" s="3161">
        <f>SUM(B12)</f>
        <v>49.164876751333331</v>
      </c>
      <c r="I12" s="3159">
        <f t="shared" si="4"/>
        <v>147.49463025399999</v>
      </c>
      <c r="J12" s="3159">
        <f t="shared" si="5"/>
        <v>294.98926050799997</v>
      </c>
      <c r="K12" s="3161">
        <f>SUM('Прил. 1 План ФХД с транспортир.'!F26)/3</f>
        <v>55.314501704666668</v>
      </c>
      <c r="L12" s="3161">
        <f>SUM(K12)</f>
        <v>55.314501704666668</v>
      </c>
      <c r="M12" s="3161">
        <f>SUM(K12)</f>
        <v>55.314501704666668</v>
      </c>
      <c r="N12" s="3159">
        <f t="shared" si="10"/>
        <v>165.943505114</v>
      </c>
      <c r="O12" s="3159">
        <f t="shared" si="7"/>
        <v>460.93276562199998</v>
      </c>
      <c r="P12" s="3161">
        <f>SUM(K12)</f>
        <v>55.314501704666668</v>
      </c>
      <c r="Q12" s="3161">
        <f>SUM(K12)</f>
        <v>55.314501704666668</v>
      </c>
      <c r="R12" s="3161">
        <f>SUM(K12)</f>
        <v>55.314501704666668</v>
      </c>
      <c r="S12" s="3159">
        <f t="shared" si="11"/>
        <v>165.943505114</v>
      </c>
      <c r="T12" s="3160">
        <f t="shared" si="9"/>
        <v>626.87627073599992</v>
      </c>
    </row>
    <row r="13" spans="1:20" ht="19.7" customHeight="1" x14ac:dyDescent="0.25">
      <c r="A13" s="3127" t="s">
        <v>3842</v>
      </c>
      <c r="B13" s="3158">
        <f>SUM(B14:B15)</f>
        <v>7829.1625765812551</v>
      </c>
      <c r="C13" s="3158">
        <f t="shared" ref="C13:D13" si="12">SUM(C14:C15)</f>
        <v>7829.1625765812551</v>
      </c>
      <c r="D13" s="3158">
        <f t="shared" si="12"/>
        <v>7829.1625765812551</v>
      </c>
      <c r="E13" s="3159">
        <f t="shared" si="2"/>
        <v>23487.487729743763</v>
      </c>
      <c r="F13" s="3158">
        <f>SUM(F14:F15)</f>
        <v>7829.1625765812551</v>
      </c>
      <c r="G13" s="3158">
        <f t="shared" ref="G13:H13" si="13">SUM(G14:G15)</f>
        <v>7829.1625765812551</v>
      </c>
      <c r="H13" s="3158">
        <f t="shared" si="13"/>
        <v>7829.1625765812551</v>
      </c>
      <c r="I13" s="3159">
        <f t="shared" si="4"/>
        <v>23487.487729743763</v>
      </c>
      <c r="J13" s="3159">
        <f t="shared" si="5"/>
        <v>46974.975459487527</v>
      </c>
      <c r="K13" s="3158">
        <f>SUM(K14:K15)</f>
        <v>8137.633268564884</v>
      </c>
      <c r="L13" s="3158">
        <f t="shared" ref="L13:M13" si="14">SUM(L14:L15)</f>
        <v>8137.633268564884</v>
      </c>
      <c r="M13" s="3158">
        <f t="shared" si="14"/>
        <v>8137.633268564884</v>
      </c>
      <c r="N13" s="3159">
        <f t="shared" si="10"/>
        <v>24412.899805694651</v>
      </c>
      <c r="O13" s="3159">
        <f t="shared" si="7"/>
        <v>71387.875265182171</v>
      </c>
      <c r="P13" s="3158">
        <f>SUM(P14:P15)</f>
        <v>8137.633268564884</v>
      </c>
      <c r="Q13" s="3158">
        <f>SUM(Q14:Q15)</f>
        <v>8137.633268564884</v>
      </c>
      <c r="R13" s="3158">
        <f t="shared" ref="R13" si="15">SUM(R14:R15)</f>
        <v>8137.633268564884</v>
      </c>
      <c r="S13" s="3159">
        <f t="shared" si="11"/>
        <v>24412.899805694651</v>
      </c>
      <c r="T13" s="3160">
        <f t="shared" si="9"/>
        <v>95800.775070876814</v>
      </c>
    </row>
    <row r="14" spans="1:20" ht="19.7" customHeight="1" x14ac:dyDescent="0.25">
      <c r="A14" s="3123" t="s">
        <v>337</v>
      </c>
      <c r="B14" s="3161">
        <f>SUM('Прил. 1 План ФХД с транспортир.'!C28)/3</f>
        <v>7807.5711506138896</v>
      </c>
      <c r="C14" s="3161">
        <f>SUM(B14)</f>
        <v>7807.5711506138896</v>
      </c>
      <c r="D14" s="3161">
        <f>SUM(B14)</f>
        <v>7807.5711506138896</v>
      </c>
      <c r="E14" s="3159">
        <f t="shared" si="2"/>
        <v>23422.713451841668</v>
      </c>
      <c r="F14" s="3161">
        <f>SUM(B14)</f>
        <v>7807.5711506138896</v>
      </c>
      <c r="G14" s="3161">
        <f>SUM(B14)</f>
        <v>7807.5711506138896</v>
      </c>
      <c r="H14" s="3161">
        <f>SUM(B14)</f>
        <v>7807.5711506138896</v>
      </c>
      <c r="I14" s="3159">
        <f t="shared" si="4"/>
        <v>23422.713451841668</v>
      </c>
      <c r="J14" s="3159">
        <f t="shared" si="5"/>
        <v>46845.426903683336</v>
      </c>
      <c r="K14" s="3161">
        <f>SUM('Прил. 1 План ФХД с транспортир.'!F28)/3</f>
        <v>8108.2755991852564</v>
      </c>
      <c r="L14" s="3161">
        <f>SUM(K14)</f>
        <v>8108.2755991852564</v>
      </c>
      <c r="M14" s="3161">
        <f>SUM(K14)</f>
        <v>8108.2755991852564</v>
      </c>
      <c r="N14" s="3159">
        <f t="shared" si="10"/>
        <v>24324.826797555768</v>
      </c>
      <c r="O14" s="3159">
        <f t="shared" si="7"/>
        <v>71170.253701239097</v>
      </c>
      <c r="P14" s="3161">
        <f>SUM(K14)</f>
        <v>8108.2755991852564</v>
      </c>
      <c r="Q14" s="3161">
        <f>SUM(K14)</f>
        <v>8108.2755991852564</v>
      </c>
      <c r="R14" s="3161">
        <f>SUM(K14)</f>
        <v>8108.2755991852564</v>
      </c>
      <c r="S14" s="3159">
        <f t="shared" si="11"/>
        <v>24324.826797555768</v>
      </c>
      <c r="T14" s="3160">
        <f t="shared" si="9"/>
        <v>95495.080498794865</v>
      </c>
    </row>
    <row r="15" spans="1:20" ht="19.7" customHeight="1" x14ac:dyDescent="0.25">
      <c r="A15" s="3123" t="s">
        <v>3843</v>
      </c>
      <c r="B15" s="3161">
        <f>SUM('Прил. 1 План ФХД с транспортир.'!C30)/3</f>
        <v>21.591425967365399</v>
      </c>
      <c r="C15" s="3161">
        <f>SUM(B15)</f>
        <v>21.591425967365399</v>
      </c>
      <c r="D15" s="3161">
        <f>SUM(B15)</f>
        <v>21.591425967365399</v>
      </c>
      <c r="E15" s="3159">
        <f t="shared" si="2"/>
        <v>64.774277902096202</v>
      </c>
      <c r="F15" s="3161">
        <f>SUM(B15)</f>
        <v>21.591425967365399</v>
      </c>
      <c r="G15" s="3161">
        <f>SUM(B15)</f>
        <v>21.591425967365399</v>
      </c>
      <c r="H15" s="3161">
        <f>SUM(B15)</f>
        <v>21.591425967365399</v>
      </c>
      <c r="I15" s="3159">
        <f t="shared" si="4"/>
        <v>64.774277902096202</v>
      </c>
      <c r="J15" s="3159">
        <f t="shared" si="5"/>
        <v>129.5485558041924</v>
      </c>
      <c r="K15" s="3161">
        <f>SUM('Прил. 1 План ФХД с транспортир.'!F30)/3</f>
        <v>29.357669379627925</v>
      </c>
      <c r="L15" s="3161">
        <f>SUM(K15)</f>
        <v>29.357669379627925</v>
      </c>
      <c r="M15" s="3161">
        <f>SUM(K15)</f>
        <v>29.357669379627925</v>
      </c>
      <c r="N15" s="3159">
        <f t="shared" si="10"/>
        <v>88.073008138883779</v>
      </c>
      <c r="O15" s="3159">
        <f t="shared" si="7"/>
        <v>217.62156394307618</v>
      </c>
      <c r="P15" s="3161">
        <f>SUM(K15)</f>
        <v>29.357669379627925</v>
      </c>
      <c r="Q15" s="3161">
        <f>SUM(K15)</f>
        <v>29.357669379627925</v>
      </c>
      <c r="R15" s="3161">
        <f>SUM(K15)</f>
        <v>29.357669379627925</v>
      </c>
      <c r="S15" s="3159">
        <f t="shared" si="11"/>
        <v>88.073008138883779</v>
      </c>
      <c r="T15" s="3160">
        <f t="shared" si="9"/>
        <v>305.69457208195996</v>
      </c>
    </row>
    <row r="16" spans="1:20" ht="19.7" customHeight="1" x14ac:dyDescent="0.25">
      <c r="A16" s="3136" t="s">
        <v>3870</v>
      </c>
      <c r="B16" s="3161">
        <f>SUM('Прил. 1 План ФХД с транспортир.'!C31)/3</f>
        <v>269.33364385800002</v>
      </c>
      <c r="C16" s="3161">
        <f>SUM(B16)</f>
        <v>269.33364385800002</v>
      </c>
      <c r="D16" s="3161">
        <f>SUM(B16)</f>
        <v>269.33364385800002</v>
      </c>
      <c r="E16" s="3159">
        <f t="shared" si="2"/>
        <v>808.00093157400011</v>
      </c>
      <c r="F16" s="3161">
        <f>SUM(B16)</f>
        <v>269.33364385800002</v>
      </c>
      <c r="G16" s="3161">
        <f>SUM(B16)</f>
        <v>269.33364385800002</v>
      </c>
      <c r="H16" s="3161">
        <f>SUM(B16)</f>
        <v>269.33364385800002</v>
      </c>
      <c r="I16" s="3159">
        <f t="shared" si="4"/>
        <v>808.00093157400011</v>
      </c>
      <c r="J16" s="3159">
        <f t="shared" si="5"/>
        <v>1616.0018631480002</v>
      </c>
      <c r="K16" s="3161">
        <f>SUM('Прил. 1 План ФХД с транспортир.'!F31)/3</f>
        <v>352.25409293766666</v>
      </c>
      <c r="L16" s="3161">
        <f>SUM(K16)</f>
        <v>352.25409293766666</v>
      </c>
      <c r="M16" s="3161">
        <f>SUM(K16)</f>
        <v>352.25409293766666</v>
      </c>
      <c r="N16" s="3159">
        <f t="shared" si="10"/>
        <v>1056.762278813</v>
      </c>
      <c r="O16" s="3159">
        <f t="shared" si="7"/>
        <v>2672.764141961</v>
      </c>
      <c r="P16" s="3161">
        <f>SUM(K16)</f>
        <v>352.25409293766666</v>
      </c>
      <c r="Q16" s="3161">
        <f>SUM(K16)</f>
        <v>352.25409293766666</v>
      </c>
      <c r="R16" s="3161">
        <f>SUM(K16)</f>
        <v>352.25409293766666</v>
      </c>
      <c r="S16" s="3159">
        <f t="shared" si="11"/>
        <v>1056.762278813</v>
      </c>
      <c r="T16" s="3160">
        <f t="shared" si="9"/>
        <v>3729.5264207740001</v>
      </c>
    </row>
    <row r="17" spans="1:20" ht="19.7" customHeight="1" x14ac:dyDescent="0.25">
      <c r="A17" s="3127" t="s">
        <v>3849</v>
      </c>
      <c r="B17" s="3158">
        <f>SUM(B18:B19)</f>
        <v>700</v>
      </c>
      <c r="C17" s="3158">
        <f t="shared" ref="C17:D17" si="16">SUM(C18:C19)</f>
        <v>700</v>
      </c>
      <c r="D17" s="3158">
        <f t="shared" si="16"/>
        <v>700</v>
      </c>
      <c r="E17" s="3159">
        <f t="shared" si="2"/>
        <v>2100</v>
      </c>
      <c r="F17" s="3158">
        <f>SUM(F18:F19)</f>
        <v>700</v>
      </c>
      <c r="G17" s="3158">
        <f t="shared" ref="G17" si="17">SUM(G18:G19)</f>
        <v>700</v>
      </c>
      <c r="H17" s="3158">
        <f>SUM(H18:H19)</f>
        <v>700</v>
      </c>
      <c r="I17" s="3159">
        <f t="shared" si="4"/>
        <v>2100</v>
      </c>
      <c r="J17" s="3159">
        <f t="shared" si="5"/>
        <v>4200</v>
      </c>
      <c r="K17" s="3158">
        <f>SUM(K18:K19)</f>
        <v>700</v>
      </c>
      <c r="L17" s="3158">
        <f t="shared" ref="L17:M17" si="18">SUM(L18:L19)</f>
        <v>700</v>
      </c>
      <c r="M17" s="3158">
        <f t="shared" si="18"/>
        <v>700</v>
      </c>
      <c r="N17" s="3159">
        <f t="shared" si="10"/>
        <v>2100</v>
      </c>
      <c r="O17" s="3159">
        <f t="shared" si="7"/>
        <v>6300</v>
      </c>
      <c r="P17" s="3158">
        <f>SUM(P18:P19)</f>
        <v>700</v>
      </c>
      <c r="Q17" s="3158">
        <f t="shared" ref="Q17:R17" si="19">SUM(Q18:Q19)</f>
        <v>700</v>
      </c>
      <c r="R17" s="3158">
        <f t="shared" si="19"/>
        <v>700</v>
      </c>
      <c r="S17" s="3159">
        <f t="shared" si="11"/>
        <v>2100</v>
      </c>
      <c r="T17" s="3160">
        <f t="shared" si="9"/>
        <v>8400</v>
      </c>
    </row>
    <row r="18" spans="1:20" ht="19.7" customHeight="1" x14ac:dyDescent="0.25">
      <c r="A18" s="3053" t="s">
        <v>3850</v>
      </c>
      <c r="B18" s="3161">
        <f>SUM('Прил. 1 План ФХД с транспортир.'!C33)/3</f>
        <v>133.33333333333334</v>
      </c>
      <c r="C18" s="3161">
        <f>SUM(B18)</f>
        <v>133.33333333333334</v>
      </c>
      <c r="D18" s="3161">
        <f>SUM(B18)</f>
        <v>133.33333333333334</v>
      </c>
      <c r="E18" s="3159">
        <f t="shared" si="2"/>
        <v>400</v>
      </c>
      <c r="F18" s="3161">
        <f>SUM(B18)</f>
        <v>133.33333333333334</v>
      </c>
      <c r="G18" s="3161">
        <f>SUM(B18)</f>
        <v>133.33333333333334</v>
      </c>
      <c r="H18" s="3161">
        <f>SUM(B18)</f>
        <v>133.33333333333334</v>
      </c>
      <c r="I18" s="3159">
        <f t="shared" si="4"/>
        <v>400</v>
      </c>
      <c r="J18" s="3159">
        <f t="shared" si="5"/>
        <v>800</v>
      </c>
      <c r="K18" s="3161">
        <f>SUM(B18)</f>
        <v>133.33333333333334</v>
      </c>
      <c r="L18" s="3161">
        <f>SUM(B18)</f>
        <v>133.33333333333334</v>
      </c>
      <c r="M18" s="3161">
        <f>SUM(B18)</f>
        <v>133.33333333333334</v>
      </c>
      <c r="N18" s="3159">
        <f t="shared" si="10"/>
        <v>400</v>
      </c>
      <c r="O18" s="3159">
        <f t="shared" si="7"/>
        <v>1200</v>
      </c>
      <c r="P18" s="3161">
        <f>SUM(B18)</f>
        <v>133.33333333333334</v>
      </c>
      <c r="Q18" s="3161">
        <f>SUM(B18)</f>
        <v>133.33333333333334</v>
      </c>
      <c r="R18" s="3161">
        <f>SUM(B18)</f>
        <v>133.33333333333334</v>
      </c>
      <c r="S18" s="3159">
        <f t="shared" si="11"/>
        <v>400</v>
      </c>
      <c r="T18" s="3160">
        <f t="shared" si="9"/>
        <v>1600</v>
      </c>
    </row>
    <row r="19" spans="1:20" ht="19.7" customHeight="1" x14ac:dyDescent="0.25">
      <c r="A19" s="3053" t="s">
        <v>3753</v>
      </c>
      <c r="B19" s="3161">
        <f>SUM('Прил. 1 План ФХД с транспортир.'!C34)/3</f>
        <v>566.66666666666663</v>
      </c>
      <c r="C19" s="3161">
        <f>SUM(B19)</f>
        <v>566.66666666666663</v>
      </c>
      <c r="D19" s="3161">
        <f>SUM(B19)</f>
        <v>566.66666666666663</v>
      </c>
      <c r="E19" s="3159">
        <f t="shared" si="2"/>
        <v>1700</v>
      </c>
      <c r="F19" s="3161">
        <f>SUM(B19)</f>
        <v>566.66666666666663</v>
      </c>
      <c r="G19" s="3161">
        <f>SUM(B19)</f>
        <v>566.66666666666663</v>
      </c>
      <c r="H19" s="3161">
        <f>SUM(B19)</f>
        <v>566.66666666666663</v>
      </c>
      <c r="I19" s="3159">
        <f t="shared" si="4"/>
        <v>1700</v>
      </c>
      <c r="J19" s="3159">
        <f t="shared" si="5"/>
        <v>3400</v>
      </c>
      <c r="K19" s="3161">
        <f>SUM(B19)</f>
        <v>566.66666666666663</v>
      </c>
      <c r="L19" s="3161">
        <f>SUM(B19)</f>
        <v>566.66666666666663</v>
      </c>
      <c r="M19" s="3161">
        <f>SUM(B19)</f>
        <v>566.66666666666663</v>
      </c>
      <c r="N19" s="3159">
        <f t="shared" si="10"/>
        <v>1700</v>
      </c>
      <c r="O19" s="3159">
        <f t="shared" si="7"/>
        <v>5100</v>
      </c>
      <c r="P19" s="3161">
        <f>SUM(B19)</f>
        <v>566.66666666666663</v>
      </c>
      <c r="Q19" s="3161">
        <f>SUM(B19)</f>
        <v>566.66666666666663</v>
      </c>
      <c r="R19" s="3161">
        <f>SUM(B19)</f>
        <v>566.66666666666663</v>
      </c>
      <c r="S19" s="3159">
        <f t="shared" si="11"/>
        <v>1700</v>
      </c>
      <c r="T19" s="3160">
        <f t="shared" si="9"/>
        <v>6800</v>
      </c>
    </row>
    <row r="20" spans="1:20" ht="19.7" customHeight="1" x14ac:dyDescent="0.25">
      <c r="A20" s="3124" t="s">
        <v>3851</v>
      </c>
      <c r="B20" s="3158">
        <f>SUM(B21+B24+B25+B28+B29)</f>
        <v>20623.368684145913</v>
      </c>
      <c r="C20" s="3158">
        <f t="shared" ref="C20:D20" si="20">SUM(C21+C24+C25+C28+C29)</f>
        <v>20623.368684145913</v>
      </c>
      <c r="D20" s="3158">
        <f t="shared" si="20"/>
        <v>20623.368684145913</v>
      </c>
      <c r="E20" s="3159">
        <f t="shared" si="2"/>
        <v>61870.106052437739</v>
      </c>
      <c r="F20" s="3158">
        <f>SUM(F21+F24+F25+F28+F29)</f>
        <v>20623.368684145913</v>
      </c>
      <c r="G20" s="3158">
        <f t="shared" ref="G20:H20" si="21">SUM(G21+G24+G25+G28+G29)</f>
        <v>20623.368684145913</v>
      </c>
      <c r="H20" s="3158">
        <f t="shared" si="21"/>
        <v>20623.368684145913</v>
      </c>
      <c r="I20" s="3159">
        <f t="shared" si="4"/>
        <v>61870.106052437739</v>
      </c>
      <c r="J20" s="3159">
        <f t="shared" si="5"/>
        <v>123740.21210487548</v>
      </c>
      <c r="K20" s="3158">
        <f>SUM(K21+K24+K25+K28+K29)</f>
        <v>20779.261571359522</v>
      </c>
      <c r="L20" s="3158">
        <f t="shared" ref="L20:M20" si="22">SUM(L21+L24+L25+L28+L29)</f>
        <v>20779.261571359522</v>
      </c>
      <c r="M20" s="3158">
        <f t="shared" si="22"/>
        <v>20779.261571359522</v>
      </c>
      <c r="N20" s="3159">
        <f t="shared" si="10"/>
        <v>62337.784714078567</v>
      </c>
      <c r="O20" s="3159">
        <f t="shared" si="7"/>
        <v>186077.99681895404</v>
      </c>
      <c r="P20" s="3158">
        <f>SUM(P21+P24+P25+P28+P29)</f>
        <v>20779.261571359522</v>
      </c>
      <c r="Q20" s="3158">
        <f>SUM(Q21+Q24+Q25+Q28+Q29)</f>
        <v>20779.261571359522</v>
      </c>
      <c r="R20" s="3158">
        <f t="shared" ref="R20" si="23">SUM(R21+R24+R25+R28+R29)</f>
        <v>20779.261571359522</v>
      </c>
      <c r="S20" s="3159">
        <f t="shared" si="11"/>
        <v>62337.784714078567</v>
      </c>
      <c r="T20" s="3160">
        <f t="shared" si="9"/>
        <v>248415.7815330326</v>
      </c>
    </row>
    <row r="21" spans="1:20" ht="19.7" customHeight="1" x14ac:dyDescent="0.25">
      <c r="A21" s="3127" t="s">
        <v>3846</v>
      </c>
      <c r="B21" s="3158">
        <f>SUM(B22:B23)</f>
        <v>11901.89410709187</v>
      </c>
      <c r="C21" s="3158">
        <f t="shared" ref="C21:D21" si="24">SUM(C22:C23)</f>
        <v>11901.89410709187</v>
      </c>
      <c r="D21" s="3158">
        <f t="shared" si="24"/>
        <v>11901.89410709187</v>
      </c>
      <c r="E21" s="3159">
        <f t="shared" si="2"/>
        <v>35705.682321275614</v>
      </c>
      <c r="F21" s="3158">
        <f>SUM(F22:F23)</f>
        <v>11901.89410709187</v>
      </c>
      <c r="G21" s="3158">
        <f t="shared" ref="G21:H21" si="25">SUM(G22:G23)</f>
        <v>11901.89410709187</v>
      </c>
      <c r="H21" s="3158">
        <f t="shared" si="25"/>
        <v>11901.89410709187</v>
      </c>
      <c r="I21" s="3159">
        <f t="shared" si="4"/>
        <v>35705.682321275614</v>
      </c>
      <c r="J21" s="3159">
        <f t="shared" si="5"/>
        <v>71411.364642551227</v>
      </c>
      <c r="K21" s="3158">
        <f>SUM(K22:K23)</f>
        <v>11941.206592691064</v>
      </c>
      <c r="L21" s="3158">
        <f t="shared" ref="L21:M21" si="26">SUM(L22:L23)</f>
        <v>11941.206592691064</v>
      </c>
      <c r="M21" s="3158">
        <f t="shared" si="26"/>
        <v>11941.206592691064</v>
      </c>
      <c r="N21" s="3159">
        <f t="shared" si="10"/>
        <v>35823.619778073189</v>
      </c>
      <c r="O21" s="3159">
        <f t="shared" si="7"/>
        <v>107234.98442062442</v>
      </c>
      <c r="P21" s="3158">
        <f>SUM(P22:P23)</f>
        <v>11941.206592691064</v>
      </c>
      <c r="Q21" s="3158">
        <f t="shared" ref="Q21" si="27">SUM(Q22:Q23)</f>
        <v>11941.206592691064</v>
      </c>
      <c r="R21" s="3158">
        <f>SUM(R22:R23)</f>
        <v>11941.206592691064</v>
      </c>
      <c r="S21" s="3159">
        <f t="shared" si="11"/>
        <v>35823.619778073189</v>
      </c>
      <c r="T21" s="3160">
        <f t="shared" si="9"/>
        <v>143058.60419869761</v>
      </c>
    </row>
    <row r="22" spans="1:20" ht="19.7" customHeight="1" x14ac:dyDescent="0.25">
      <c r="A22" s="3119" t="s">
        <v>3840</v>
      </c>
      <c r="B22" s="3161">
        <f>SUM('Прил. 1 План ФХД с транспортир.'!C37)/3</f>
        <v>11899.082252639413</v>
      </c>
      <c r="C22" s="3161">
        <f>SUM(B22)</f>
        <v>11899.082252639413</v>
      </c>
      <c r="D22" s="3161">
        <f>SUM(B22)</f>
        <v>11899.082252639413</v>
      </c>
      <c r="E22" s="3159">
        <f t="shared" si="2"/>
        <v>35697.246757918241</v>
      </c>
      <c r="F22" s="3161">
        <f>SUM(B22)</f>
        <v>11899.082252639413</v>
      </c>
      <c r="G22" s="3161">
        <f>SUM(B22)</f>
        <v>11899.082252639413</v>
      </c>
      <c r="H22" s="3161">
        <f>SUM(B22)</f>
        <v>11899.082252639413</v>
      </c>
      <c r="I22" s="3159">
        <f t="shared" si="4"/>
        <v>35697.246757918241</v>
      </c>
      <c r="J22" s="3159">
        <f t="shared" si="5"/>
        <v>71394.493515836482</v>
      </c>
      <c r="K22" s="3161">
        <f>SUM('Прил. 1 План ФХД с транспортир.'!F37)/3</f>
        <v>11938.387690778101</v>
      </c>
      <c r="L22" s="3161">
        <f>SUM(K22)</f>
        <v>11938.387690778101</v>
      </c>
      <c r="M22" s="3161">
        <f>SUM(K22)</f>
        <v>11938.387690778101</v>
      </c>
      <c r="N22" s="3159">
        <f t="shared" si="10"/>
        <v>35815.163072334304</v>
      </c>
      <c r="O22" s="3159">
        <f t="shared" si="7"/>
        <v>107209.65658817079</v>
      </c>
      <c r="P22" s="3161">
        <f>SUM(K22)</f>
        <v>11938.387690778101</v>
      </c>
      <c r="Q22" s="3161">
        <f>SUM(K22)</f>
        <v>11938.387690778101</v>
      </c>
      <c r="R22" s="3161">
        <f>SUM(K22)</f>
        <v>11938.387690778101</v>
      </c>
      <c r="S22" s="3159">
        <f t="shared" si="11"/>
        <v>35815.163072334304</v>
      </c>
      <c r="T22" s="3160">
        <f t="shared" si="9"/>
        <v>143024.81966050511</v>
      </c>
    </row>
    <row r="23" spans="1:20" ht="19.7" customHeight="1" x14ac:dyDescent="0.25">
      <c r="A23" s="3123" t="s">
        <v>1696</v>
      </c>
      <c r="B23" s="3161">
        <f>SUM('Прил. 1 План ФХД с транспортир.'!C38)/3</f>
        <v>2.8118544524562203</v>
      </c>
      <c r="C23" s="3161">
        <f>SUM(B23)</f>
        <v>2.8118544524562203</v>
      </c>
      <c r="D23" s="3161">
        <f>SUM(B23)</f>
        <v>2.8118544524562203</v>
      </c>
      <c r="E23" s="3159">
        <f t="shared" si="2"/>
        <v>8.435563357368661</v>
      </c>
      <c r="F23" s="3161">
        <f>SUM(B23)</f>
        <v>2.8118544524562203</v>
      </c>
      <c r="G23" s="3161">
        <f>SUM(B23)</f>
        <v>2.8118544524562203</v>
      </c>
      <c r="H23" s="3161">
        <f>SUM(B23)</f>
        <v>2.8118544524562203</v>
      </c>
      <c r="I23" s="3159">
        <f t="shared" si="4"/>
        <v>8.435563357368661</v>
      </c>
      <c r="J23" s="3159">
        <f t="shared" si="5"/>
        <v>16.871126714737322</v>
      </c>
      <c r="K23" s="3161">
        <f>SUM('Прил. 1 План ФХД с транспортир.'!F38)/3</f>
        <v>2.8189019129618789</v>
      </c>
      <c r="L23" s="3161">
        <f>SUM(K23)</f>
        <v>2.8189019129618789</v>
      </c>
      <c r="M23" s="3161">
        <f>SUM(K23)</f>
        <v>2.8189019129618789</v>
      </c>
      <c r="N23" s="3159">
        <f t="shared" si="10"/>
        <v>8.4567057388856366</v>
      </c>
      <c r="O23" s="3159">
        <f t="shared" si="7"/>
        <v>25.32783245362296</v>
      </c>
      <c r="P23" s="3161">
        <f>SUM(K23)</f>
        <v>2.8189019129618789</v>
      </c>
      <c r="Q23" s="3161">
        <f>SUM(K23)</f>
        <v>2.8189019129618789</v>
      </c>
      <c r="R23" s="3161">
        <f>SUM(K23)</f>
        <v>2.8189019129618789</v>
      </c>
      <c r="S23" s="3159">
        <f t="shared" si="11"/>
        <v>8.4567057388856366</v>
      </c>
      <c r="T23" s="3160">
        <f t="shared" si="9"/>
        <v>33.784538192508599</v>
      </c>
    </row>
    <row r="24" spans="1:20" ht="19.7" customHeight="1" x14ac:dyDescent="0.25">
      <c r="A24" s="3136" t="s">
        <v>3869</v>
      </c>
      <c r="B24" s="3161">
        <f>SUM('Прил. 1 План ФХД с транспортир.'!C39)/3</f>
        <v>49.164876751253331</v>
      </c>
      <c r="C24" s="3161">
        <f>SUM(B24)</f>
        <v>49.164876751253331</v>
      </c>
      <c r="D24" s="3161">
        <f>SUM(B24)</f>
        <v>49.164876751253331</v>
      </c>
      <c r="E24" s="3159">
        <f t="shared" si="2"/>
        <v>147.49463025375999</v>
      </c>
      <c r="F24" s="3161">
        <f>SUM(B24)</f>
        <v>49.164876751253331</v>
      </c>
      <c r="G24" s="3161">
        <f>SUM(B24)</f>
        <v>49.164876751253331</v>
      </c>
      <c r="H24" s="3161">
        <f>SUM(B24)</f>
        <v>49.164876751253331</v>
      </c>
      <c r="I24" s="3159">
        <f t="shared" si="4"/>
        <v>147.49463025375999</v>
      </c>
      <c r="J24" s="3159">
        <f t="shared" si="5"/>
        <v>294.98926050751999</v>
      </c>
      <c r="K24" s="3161">
        <f>SUM('Прил. 1 План ФХД с транспортир.'!F39)/3</f>
        <v>55.314501704826661</v>
      </c>
      <c r="L24" s="3161">
        <f>SUM(K24)</f>
        <v>55.314501704826661</v>
      </c>
      <c r="M24" s="3161">
        <f>SUM(K24)</f>
        <v>55.314501704826661</v>
      </c>
      <c r="N24" s="3159">
        <f t="shared" si="10"/>
        <v>165.94350511447999</v>
      </c>
      <c r="O24" s="3159">
        <f t="shared" si="7"/>
        <v>460.93276562199998</v>
      </c>
      <c r="P24" s="3161">
        <f>SUM(K24)</f>
        <v>55.314501704826661</v>
      </c>
      <c r="Q24" s="3161">
        <f>SUM(K24)</f>
        <v>55.314501704826661</v>
      </c>
      <c r="R24" s="3161">
        <f>SUM(K24)</f>
        <v>55.314501704826661</v>
      </c>
      <c r="S24" s="3159">
        <f t="shared" si="11"/>
        <v>165.94350511447999</v>
      </c>
      <c r="T24" s="3160">
        <f t="shared" si="9"/>
        <v>626.87627073647991</v>
      </c>
    </row>
    <row r="25" spans="1:20" ht="19.7" customHeight="1" x14ac:dyDescent="0.25">
      <c r="A25" s="3127" t="s">
        <v>3842</v>
      </c>
      <c r="B25" s="3158">
        <f>SUM(B26:B27)</f>
        <v>7969.6427231127936</v>
      </c>
      <c r="C25" s="3158">
        <f t="shared" ref="C25:D25" si="28">SUM(C26:C27)</f>
        <v>7969.6427231127936</v>
      </c>
      <c r="D25" s="3158">
        <f t="shared" si="28"/>
        <v>7969.6427231127936</v>
      </c>
      <c r="E25" s="3159">
        <f t="shared" si="2"/>
        <v>23908.928169338382</v>
      </c>
      <c r="F25" s="3158">
        <f>SUM(F26:F27)</f>
        <v>7969.6427231127936</v>
      </c>
      <c r="G25" s="3158">
        <f t="shared" ref="G25:H25" si="29">SUM(G26:G27)</f>
        <v>7969.6427231127936</v>
      </c>
      <c r="H25" s="3158">
        <f t="shared" si="29"/>
        <v>7969.6427231127936</v>
      </c>
      <c r="I25" s="3159">
        <f t="shared" si="4"/>
        <v>23908.928169338382</v>
      </c>
      <c r="J25" s="3159">
        <f t="shared" si="5"/>
        <v>47817.856338676764</v>
      </c>
      <c r="K25" s="3158">
        <f>SUM(K26:K27)</f>
        <v>7997.1530506936333</v>
      </c>
      <c r="L25" s="3158">
        <f t="shared" ref="L25:M25" si="30">SUM(L26:L27)</f>
        <v>7997.1530506936333</v>
      </c>
      <c r="M25" s="3158">
        <f t="shared" si="30"/>
        <v>7997.1530506936333</v>
      </c>
      <c r="N25" s="3159">
        <f t="shared" si="10"/>
        <v>23991.459152080901</v>
      </c>
      <c r="O25" s="3159">
        <f t="shared" si="7"/>
        <v>71809.315490757668</v>
      </c>
      <c r="P25" s="3158">
        <f>SUM(P26:P27)</f>
        <v>7997.1530506936333</v>
      </c>
      <c r="Q25" s="3158">
        <f t="shared" ref="Q25:R25" si="31">SUM(Q26:Q27)</f>
        <v>7997.1530506936333</v>
      </c>
      <c r="R25" s="3158">
        <f t="shared" si="31"/>
        <v>7997.1530506936333</v>
      </c>
      <c r="S25" s="3159">
        <f t="shared" si="11"/>
        <v>23991.459152080901</v>
      </c>
      <c r="T25" s="3160">
        <f t="shared" si="9"/>
        <v>95800.774642838573</v>
      </c>
    </row>
    <row r="26" spans="1:20" ht="19.7" customHeight="1" x14ac:dyDescent="0.25">
      <c r="A26" s="3123" t="s">
        <v>337</v>
      </c>
      <c r="B26" s="3161">
        <f>SUM('Прил. 1 План ФХД с транспортир.'!C41)/3</f>
        <v>7944.2926975895889</v>
      </c>
      <c r="C26" s="3161">
        <f>SUM(B26)</f>
        <v>7944.2926975895889</v>
      </c>
      <c r="D26" s="3161">
        <f>SUM(B26)</f>
        <v>7944.2926975895889</v>
      </c>
      <c r="E26" s="3159">
        <f t="shared" si="2"/>
        <v>23832.878092768766</v>
      </c>
      <c r="F26" s="3161">
        <f>SUM(B26)</f>
        <v>7944.2926975895889</v>
      </c>
      <c r="G26" s="3161">
        <f>SUM(B26)</f>
        <v>7944.2926975895889</v>
      </c>
      <c r="H26" s="3161">
        <f>SUM(B26)</f>
        <v>7944.2926975895889</v>
      </c>
      <c r="I26" s="3159">
        <f t="shared" si="4"/>
        <v>23832.878092768766</v>
      </c>
      <c r="J26" s="3159">
        <f t="shared" si="5"/>
        <v>47665.756185537532</v>
      </c>
      <c r="K26" s="3161">
        <f>SUM('Прил. 1 План ФХД с транспортир.'!F41)/3</f>
        <v>7971.5540304273336</v>
      </c>
      <c r="L26" s="3161">
        <f>SUM(K26)</f>
        <v>7971.5540304273336</v>
      </c>
      <c r="M26" s="3161">
        <f>SUM(K26)</f>
        <v>7971.5540304273336</v>
      </c>
      <c r="N26" s="3159">
        <f t="shared" si="10"/>
        <v>23914.662091282</v>
      </c>
      <c r="O26" s="3159">
        <f t="shared" si="7"/>
        <v>71580.418276819531</v>
      </c>
      <c r="P26" s="3161">
        <f>SUM(K26)</f>
        <v>7971.5540304273336</v>
      </c>
      <c r="Q26" s="3161">
        <f>SUM(K26)</f>
        <v>7971.5540304273336</v>
      </c>
      <c r="R26" s="3161">
        <f>SUM(K26)</f>
        <v>7971.5540304273336</v>
      </c>
      <c r="S26" s="3159">
        <f t="shared" si="11"/>
        <v>23914.662091282</v>
      </c>
      <c r="T26" s="3160">
        <f t="shared" si="9"/>
        <v>95495.080368101539</v>
      </c>
    </row>
    <row r="27" spans="1:20" ht="19.7" customHeight="1" x14ac:dyDescent="0.25">
      <c r="A27" s="3123" t="s">
        <v>3843</v>
      </c>
      <c r="B27" s="3161">
        <f>SUM('Прил. 1 План ФХД с транспортир.'!C42)/3</f>
        <v>25.350025523204696</v>
      </c>
      <c r="C27" s="3161">
        <f>SUM(B27)</f>
        <v>25.350025523204696</v>
      </c>
      <c r="D27" s="3161">
        <f>SUM(B27)</f>
        <v>25.350025523204696</v>
      </c>
      <c r="E27" s="3159">
        <f t="shared" si="2"/>
        <v>76.050076569614092</v>
      </c>
      <c r="F27" s="3161">
        <f>SUM(B27)</f>
        <v>25.350025523204696</v>
      </c>
      <c r="G27" s="3161">
        <f>SUM(B27)</f>
        <v>25.350025523204696</v>
      </c>
      <c r="H27" s="3161">
        <f>SUM(B27)</f>
        <v>25.350025523204696</v>
      </c>
      <c r="I27" s="3159">
        <f t="shared" si="4"/>
        <v>76.050076569614092</v>
      </c>
      <c r="J27" s="3159">
        <f t="shared" si="5"/>
        <v>152.10015313922818</v>
      </c>
      <c r="K27" s="3161">
        <f>SUM('Прил. 1 План ФХД с транспортир.'!F42)/3</f>
        <v>25.599020266299764</v>
      </c>
      <c r="L27" s="3161">
        <f>SUM(K27)</f>
        <v>25.599020266299764</v>
      </c>
      <c r="M27" s="3161">
        <f>SUM(K27)</f>
        <v>25.599020266299764</v>
      </c>
      <c r="N27" s="3159">
        <f t="shared" si="10"/>
        <v>76.797060798899295</v>
      </c>
      <c r="O27" s="3159">
        <f t="shared" si="7"/>
        <v>228.89721393812749</v>
      </c>
      <c r="P27" s="3161">
        <f>SUM(K27)</f>
        <v>25.599020266299764</v>
      </c>
      <c r="Q27" s="3161">
        <f>SUM(K27)</f>
        <v>25.599020266299764</v>
      </c>
      <c r="R27" s="3161">
        <f>SUM(K27)</f>
        <v>25.599020266299764</v>
      </c>
      <c r="S27" s="3159">
        <f t="shared" si="11"/>
        <v>76.797060798899295</v>
      </c>
      <c r="T27" s="3160">
        <f t="shared" si="9"/>
        <v>305.69427473702677</v>
      </c>
    </row>
    <row r="28" spans="1:20" ht="19.7" customHeight="1" x14ac:dyDescent="0.25">
      <c r="A28" s="3136" t="s">
        <v>3870</v>
      </c>
      <c r="B28" s="3161">
        <f>SUM('Прил. 1 План ФХД с транспортир.'!C43)/3</f>
        <v>269.3336438566667</v>
      </c>
      <c r="C28" s="3161">
        <f>SUM(B28)</f>
        <v>269.3336438566667</v>
      </c>
      <c r="D28" s="3161">
        <f>SUM(B28)</f>
        <v>269.3336438566667</v>
      </c>
      <c r="E28" s="3159">
        <f t="shared" si="2"/>
        <v>808.00093157000015</v>
      </c>
      <c r="F28" s="3161">
        <f>SUM(B28)</f>
        <v>269.3336438566667</v>
      </c>
      <c r="G28" s="3161">
        <f>SUM(B28)</f>
        <v>269.3336438566667</v>
      </c>
      <c r="H28" s="3161">
        <f>SUM(B28)</f>
        <v>269.3336438566667</v>
      </c>
      <c r="I28" s="3159">
        <f t="shared" si="4"/>
        <v>808.00093157000015</v>
      </c>
      <c r="J28" s="3159">
        <f t="shared" si="5"/>
        <v>1616.0018631400003</v>
      </c>
      <c r="K28" s="3161">
        <f>SUM('Прил. 1 План ФХД с транспортир.'!F43)/3</f>
        <v>352.25409293666667</v>
      </c>
      <c r="L28" s="3161">
        <f>SUM(K28)</f>
        <v>352.25409293666667</v>
      </c>
      <c r="M28" s="3161">
        <f>SUM(K28)</f>
        <v>352.25409293666667</v>
      </c>
      <c r="N28" s="3159">
        <f t="shared" si="10"/>
        <v>1056.76227881</v>
      </c>
      <c r="O28" s="3159">
        <f t="shared" si="7"/>
        <v>2672.7641419500005</v>
      </c>
      <c r="P28" s="3161">
        <f>SUM(K28)</f>
        <v>352.25409293666667</v>
      </c>
      <c r="Q28" s="3161">
        <f>SUM(K28)</f>
        <v>352.25409293666667</v>
      </c>
      <c r="R28" s="3161">
        <f>SUM(K28)</f>
        <v>352.25409293666667</v>
      </c>
      <c r="S28" s="3159">
        <f t="shared" si="11"/>
        <v>1056.76227881</v>
      </c>
      <c r="T28" s="3160">
        <f t="shared" si="9"/>
        <v>3729.5264207600003</v>
      </c>
    </row>
    <row r="29" spans="1:20" ht="19.7" customHeight="1" x14ac:dyDescent="0.25">
      <c r="A29" s="3127" t="s">
        <v>3852</v>
      </c>
      <c r="B29" s="3158">
        <f>SUM(B30:B31)</f>
        <v>433.33333333333331</v>
      </c>
      <c r="C29" s="3158">
        <f t="shared" ref="C29:D29" si="32">SUM(C30:C31)</f>
        <v>433.33333333333331</v>
      </c>
      <c r="D29" s="3158">
        <f t="shared" si="32"/>
        <v>433.33333333333331</v>
      </c>
      <c r="E29" s="3159">
        <f t="shared" si="2"/>
        <v>1300</v>
      </c>
      <c r="F29" s="3158">
        <f>SUM(F30:F31)</f>
        <v>433.33333333333331</v>
      </c>
      <c r="G29" s="3158">
        <f t="shared" ref="G29:H29" si="33">SUM(G30:G31)</f>
        <v>433.33333333333331</v>
      </c>
      <c r="H29" s="3158">
        <f t="shared" si="33"/>
        <v>433.33333333333331</v>
      </c>
      <c r="I29" s="3159">
        <f t="shared" si="4"/>
        <v>1300</v>
      </c>
      <c r="J29" s="3159">
        <f t="shared" si="5"/>
        <v>2600</v>
      </c>
      <c r="K29" s="3158">
        <f>SUM(K30:K31)</f>
        <v>433.33333333333331</v>
      </c>
      <c r="L29" s="3158">
        <f t="shared" ref="L29:M29" si="34">SUM(L30:L31)</f>
        <v>433.33333333333331</v>
      </c>
      <c r="M29" s="3158">
        <f t="shared" si="34"/>
        <v>433.33333333333331</v>
      </c>
      <c r="N29" s="3159">
        <f t="shared" si="10"/>
        <v>1300</v>
      </c>
      <c r="O29" s="3159">
        <f t="shared" si="7"/>
        <v>3900</v>
      </c>
      <c r="P29" s="3158">
        <f>SUM(P30:P31)</f>
        <v>433.33333333333331</v>
      </c>
      <c r="Q29" s="3158">
        <f t="shared" ref="Q29:R29" si="35">SUM(Q30:Q31)</f>
        <v>433.33333333333331</v>
      </c>
      <c r="R29" s="3158">
        <f t="shared" si="35"/>
        <v>433.33333333333331</v>
      </c>
      <c r="S29" s="3159">
        <f t="shared" si="11"/>
        <v>1300</v>
      </c>
      <c r="T29" s="3160">
        <f t="shared" si="9"/>
        <v>5200</v>
      </c>
    </row>
    <row r="30" spans="1:20" ht="19.7" customHeight="1" x14ac:dyDescent="0.25">
      <c r="A30" s="3137" t="s">
        <v>3850</v>
      </c>
      <c r="B30" s="3161">
        <f>SUM('Прил. 1 План ФХД с транспортир.'!C45)/3</f>
        <v>93.333333333333329</v>
      </c>
      <c r="C30" s="3161">
        <f>SUM(B30)</f>
        <v>93.333333333333329</v>
      </c>
      <c r="D30" s="3161">
        <f>SUM(B30)</f>
        <v>93.333333333333329</v>
      </c>
      <c r="E30" s="3159">
        <f t="shared" si="2"/>
        <v>280</v>
      </c>
      <c r="F30" s="3161">
        <f>SUM(B30)</f>
        <v>93.333333333333329</v>
      </c>
      <c r="G30" s="3161">
        <f>SUM(B30)</f>
        <v>93.333333333333329</v>
      </c>
      <c r="H30" s="3161">
        <f>SUM(B30)</f>
        <v>93.333333333333329</v>
      </c>
      <c r="I30" s="3159">
        <f t="shared" si="4"/>
        <v>280</v>
      </c>
      <c r="J30" s="3159">
        <f t="shared" si="5"/>
        <v>560</v>
      </c>
      <c r="K30" s="3161">
        <f>SUM(B30)</f>
        <v>93.333333333333329</v>
      </c>
      <c r="L30" s="3161">
        <f>SUM(B30)</f>
        <v>93.333333333333329</v>
      </c>
      <c r="M30" s="3161">
        <f>SUM(B30)</f>
        <v>93.333333333333329</v>
      </c>
      <c r="N30" s="3159">
        <f t="shared" si="10"/>
        <v>280</v>
      </c>
      <c r="O30" s="3159">
        <f t="shared" si="7"/>
        <v>840</v>
      </c>
      <c r="P30" s="3161">
        <f>SUM(B30)</f>
        <v>93.333333333333329</v>
      </c>
      <c r="Q30" s="3161">
        <f>SUM(B30)</f>
        <v>93.333333333333329</v>
      </c>
      <c r="R30" s="3161">
        <f>SUM(B30)</f>
        <v>93.333333333333329</v>
      </c>
      <c r="S30" s="3159">
        <f t="shared" si="11"/>
        <v>280</v>
      </c>
      <c r="T30" s="3160">
        <f t="shared" si="9"/>
        <v>1120</v>
      </c>
    </row>
    <row r="31" spans="1:20" ht="19.7" customHeight="1" x14ac:dyDescent="0.25">
      <c r="A31" s="3137" t="s">
        <v>3753</v>
      </c>
      <c r="B31" s="3161">
        <f>SUM('Прил. 1 План ФХД с транспортир.'!C46)/3</f>
        <v>340</v>
      </c>
      <c r="C31" s="3161">
        <f>SUM(B31)</f>
        <v>340</v>
      </c>
      <c r="D31" s="3161">
        <f>SUM(B31)</f>
        <v>340</v>
      </c>
      <c r="E31" s="3159">
        <f t="shared" si="2"/>
        <v>1020</v>
      </c>
      <c r="F31" s="3161">
        <f>SUM(B31)</f>
        <v>340</v>
      </c>
      <c r="G31" s="3161">
        <f>SUM(B31)</f>
        <v>340</v>
      </c>
      <c r="H31" s="3161">
        <f>SUM(B31)</f>
        <v>340</v>
      </c>
      <c r="I31" s="3159">
        <f t="shared" si="4"/>
        <v>1020</v>
      </c>
      <c r="J31" s="3159">
        <f t="shared" si="5"/>
        <v>2040</v>
      </c>
      <c r="K31" s="3161">
        <f>SUM(B31)</f>
        <v>340</v>
      </c>
      <c r="L31" s="3161">
        <f>SUM(B31)</f>
        <v>340</v>
      </c>
      <c r="M31" s="3161">
        <f>SUM(B31)</f>
        <v>340</v>
      </c>
      <c r="N31" s="3159">
        <f t="shared" si="10"/>
        <v>1020</v>
      </c>
      <c r="O31" s="3159">
        <f t="shared" si="7"/>
        <v>3060</v>
      </c>
      <c r="P31" s="3161">
        <f>SUM(B31)</f>
        <v>340</v>
      </c>
      <c r="Q31" s="3161">
        <f>SUM(B31)</f>
        <v>340</v>
      </c>
      <c r="R31" s="3161">
        <f>SUM(B31)</f>
        <v>340</v>
      </c>
      <c r="S31" s="3159">
        <f t="shared" si="11"/>
        <v>1020</v>
      </c>
      <c r="T31" s="3160">
        <f t="shared" si="9"/>
        <v>4080</v>
      </c>
    </row>
    <row r="32" spans="1:20" ht="19.7" customHeight="1" x14ac:dyDescent="0.25">
      <c r="A32" s="3122" t="s">
        <v>3853</v>
      </c>
      <c r="B32" s="3154">
        <f>SUM(B33:B37)</f>
        <v>-206.48836531836093</v>
      </c>
      <c r="C32" s="3154">
        <f t="shared" ref="C32:D32" si="36">SUM(C33:C37)</f>
        <v>-206.48836531836093</v>
      </c>
      <c r="D32" s="3154">
        <f t="shared" si="36"/>
        <v>-206.48836531836093</v>
      </c>
      <c r="E32" s="3155">
        <f t="shared" si="2"/>
        <v>-619.4650959550828</v>
      </c>
      <c r="F32" s="3154">
        <f>SUM(F33:F37)</f>
        <v>-206.48836531836093</v>
      </c>
      <c r="G32" s="3154">
        <f t="shared" ref="G32:H32" si="37">SUM(G33:G37)</f>
        <v>-206.48836531836093</v>
      </c>
      <c r="H32" s="3154">
        <f t="shared" si="37"/>
        <v>-206.48836531836093</v>
      </c>
      <c r="I32" s="3155">
        <f t="shared" si="4"/>
        <v>-619.4650959550828</v>
      </c>
      <c r="J32" s="3155">
        <f t="shared" si="5"/>
        <v>-1238.9301919101656</v>
      </c>
      <c r="K32" s="3154">
        <f>SUM(K33:K37)</f>
        <v>739.82138550525656</v>
      </c>
      <c r="L32" s="3154">
        <f t="shared" ref="L32:M32" si="38">SUM(L33:L37)</f>
        <v>739.82138550525656</v>
      </c>
      <c r="M32" s="3154">
        <f t="shared" si="38"/>
        <v>739.82138550525656</v>
      </c>
      <c r="N32" s="3155">
        <f t="shared" si="10"/>
        <v>2219.4641565157699</v>
      </c>
      <c r="O32" s="3155">
        <f t="shared" si="7"/>
        <v>980.5339646056043</v>
      </c>
      <c r="P32" s="3154">
        <f>SUM(P33:P37)</f>
        <v>739.82138550525656</v>
      </c>
      <c r="Q32" s="3154">
        <f t="shared" ref="Q32:R32" si="39">SUM(Q33:Q37)</f>
        <v>739.82138550525656</v>
      </c>
      <c r="R32" s="3154">
        <f t="shared" si="39"/>
        <v>739.82138550525656</v>
      </c>
      <c r="S32" s="3155">
        <f t="shared" si="11"/>
        <v>2219.4641565157699</v>
      </c>
      <c r="T32" s="3156">
        <f t="shared" si="9"/>
        <v>3199.9981211213744</v>
      </c>
    </row>
    <row r="33" spans="1:20" ht="19.7" customHeight="1" x14ac:dyDescent="0.25">
      <c r="A33" s="3123" t="s">
        <v>347</v>
      </c>
      <c r="B33" s="3161">
        <f>SUM(B9-B21)</f>
        <v>-332.67488545490232</v>
      </c>
      <c r="C33" s="3161">
        <f t="shared" ref="C33:D33" si="40">SUM(C9-C21)</f>
        <v>-332.67488545490232</v>
      </c>
      <c r="D33" s="3161">
        <f t="shared" si="40"/>
        <v>-332.67488545490232</v>
      </c>
      <c r="E33" s="3159">
        <f t="shared" ref="E33:E39" si="41">SUM(B33:D33)</f>
        <v>-998.02465636470697</v>
      </c>
      <c r="F33" s="3161">
        <f>SUM(F9-F21)</f>
        <v>-332.67488545490232</v>
      </c>
      <c r="G33" s="3161">
        <f t="shared" ref="G33:H33" si="42">SUM(G9-G21)</f>
        <v>-332.67488545490232</v>
      </c>
      <c r="H33" s="3161">
        <f t="shared" si="42"/>
        <v>-332.67488545490232</v>
      </c>
      <c r="I33" s="3159">
        <f t="shared" ref="I33:I39" si="43">SUM(F33:H33)</f>
        <v>-998.02465636470697</v>
      </c>
      <c r="J33" s="3159">
        <f t="shared" si="5"/>
        <v>-1996.0493127294139</v>
      </c>
      <c r="K33" s="3161">
        <f>SUM(K9-K21)</f>
        <v>332.67450096649918</v>
      </c>
      <c r="L33" s="3161">
        <f t="shared" ref="L33:M33" si="44">SUM(L9-L21)</f>
        <v>332.67450096649918</v>
      </c>
      <c r="M33" s="3161">
        <f t="shared" si="44"/>
        <v>332.67450096649918</v>
      </c>
      <c r="N33" s="3159">
        <f t="shared" ref="N33:N39" si="45">SUM(K33:M33)</f>
        <v>998.02350289949754</v>
      </c>
      <c r="O33" s="3159">
        <f t="shared" si="7"/>
        <v>-998.0258098299164</v>
      </c>
      <c r="P33" s="3161">
        <f>SUM(P9-P21)</f>
        <v>332.67450096649918</v>
      </c>
      <c r="Q33" s="3161">
        <f t="shared" ref="Q33:R33" si="46">SUM(Q9-Q21)</f>
        <v>332.67450096649918</v>
      </c>
      <c r="R33" s="3161">
        <f t="shared" si="46"/>
        <v>332.67450096649918</v>
      </c>
      <c r="S33" s="3159">
        <f t="shared" ref="S33:S39" si="47">SUM(P33:R33)</f>
        <v>998.02350289949754</v>
      </c>
      <c r="T33" s="3160">
        <f t="shared" si="9"/>
        <v>-2.3069304188538808E-3</v>
      </c>
    </row>
    <row r="34" spans="1:20" ht="19.7" customHeight="1" x14ac:dyDescent="0.25">
      <c r="A34" s="3119" t="s">
        <v>3869</v>
      </c>
      <c r="B34" s="3161">
        <f>SUM(B12-B24)</f>
        <v>8.000000661922968E-11</v>
      </c>
      <c r="C34" s="3161">
        <f t="shared" ref="C34:D35" si="48">SUM(C12-C24)</f>
        <v>8.000000661922968E-11</v>
      </c>
      <c r="D34" s="3161">
        <f t="shared" si="48"/>
        <v>8.000000661922968E-11</v>
      </c>
      <c r="E34" s="3159">
        <f t="shared" si="41"/>
        <v>2.4000001985768904E-10</v>
      </c>
      <c r="F34" s="3161">
        <f>SUM(F12-F24)</f>
        <v>8.000000661922968E-11</v>
      </c>
      <c r="G34" s="3161">
        <f t="shared" ref="G34:H35" si="49">SUM(G12-G24)</f>
        <v>8.000000661922968E-11</v>
      </c>
      <c r="H34" s="3161">
        <f t="shared" si="49"/>
        <v>8.000000661922968E-11</v>
      </c>
      <c r="I34" s="3159">
        <f t="shared" si="43"/>
        <v>2.4000001985768904E-10</v>
      </c>
      <c r="J34" s="3159">
        <f t="shared" si="5"/>
        <v>4.8000003971537808E-10</v>
      </c>
      <c r="K34" s="3161">
        <f>SUM(K12-K24)</f>
        <v>-1.5999290781110176E-10</v>
      </c>
      <c r="L34" s="3161">
        <f t="shared" ref="L34:M35" si="50">SUM(L12-L24)</f>
        <v>-1.5999290781110176E-10</v>
      </c>
      <c r="M34" s="3161">
        <f t="shared" si="50"/>
        <v>-1.5999290781110176E-10</v>
      </c>
      <c r="N34" s="3159">
        <f t="shared" si="45"/>
        <v>-4.7997872343330528E-10</v>
      </c>
      <c r="O34" s="3159">
        <f t="shared" si="7"/>
        <v>2.1316282072803006E-14</v>
      </c>
      <c r="P34" s="3161">
        <f>SUM(P12-P24)</f>
        <v>-1.5999290781110176E-10</v>
      </c>
      <c r="Q34" s="3161">
        <f t="shared" ref="Q34:R35" si="51">SUM(Q12-Q24)</f>
        <v>-1.5999290781110176E-10</v>
      </c>
      <c r="R34" s="3161">
        <f t="shared" si="51"/>
        <v>-1.5999290781110176E-10</v>
      </c>
      <c r="S34" s="3159">
        <f t="shared" si="47"/>
        <v>-4.7997872343330528E-10</v>
      </c>
      <c r="T34" s="3160">
        <f t="shared" si="9"/>
        <v>-4.7995740715123247E-10</v>
      </c>
    </row>
    <row r="35" spans="1:20" ht="19.7" customHeight="1" x14ac:dyDescent="0.25">
      <c r="A35" s="3123" t="s">
        <v>337</v>
      </c>
      <c r="B35" s="3161">
        <f>SUM(B13-B25)</f>
        <v>-140.48014653153859</v>
      </c>
      <c r="C35" s="3161">
        <f t="shared" si="48"/>
        <v>-140.48014653153859</v>
      </c>
      <c r="D35" s="3161">
        <f t="shared" si="48"/>
        <v>-140.48014653153859</v>
      </c>
      <c r="E35" s="3159">
        <f t="shared" si="41"/>
        <v>-421.44043959461578</v>
      </c>
      <c r="F35" s="3161">
        <f>SUM(F13-F25)</f>
        <v>-140.48014653153859</v>
      </c>
      <c r="G35" s="3161">
        <f t="shared" si="49"/>
        <v>-140.48014653153859</v>
      </c>
      <c r="H35" s="3161">
        <f t="shared" si="49"/>
        <v>-140.48014653153859</v>
      </c>
      <c r="I35" s="3159">
        <f t="shared" si="43"/>
        <v>-421.44043959461578</v>
      </c>
      <c r="J35" s="3159">
        <f t="shared" si="5"/>
        <v>-842.88087918923156</v>
      </c>
      <c r="K35" s="3161">
        <f>SUM(K13-K25)</f>
        <v>140.48021787125072</v>
      </c>
      <c r="L35" s="3161">
        <f t="shared" si="50"/>
        <v>140.48021787125072</v>
      </c>
      <c r="M35" s="3161">
        <f t="shared" si="50"/>
        <v>140.48021787125072</v>
      </c>
      <c r="N35" s="3159">
        <f t="shared" si="45"/>
        <v>421.44065361375215</v>
      </c>
      <c r="O35" s="3159">
        <f t="shared" si="7"/>
        <v>-421.44022557547942</v>
      </c>
      <c r="P35" s="3161">
        <f>SUM(P13-P25)</f>
        <v>140.48021787125072</v>
      </c>
      <c r="Q35" s="3161">
        <f t="shared" si="51"/>
        <v>140.48021787125072</v>
      </c>
      <c r="R35" s="3161">
        <f t="shared" si="51"/>
        <v>140.48021787125072</v>
      </c>
      <c r="S35" s="3159">
        <f t="shared" si="47"/>
        <v>421.44065361375215</v>
      </c>
      <c r="T35" s="3160">
        <f t="shared" si="9"/>
        <v>4.2803827273019124E-4</v>
      </c>
    </row>
    <row r="36" spans="1:20" ht="19.7" customHeight="1" x14ac:dyDescent="0.25">
      <c r="A36" s="3119" t="s">
        <v>3870</v>
      </c>
      <c r="B36" s="3161">
        <f>SUM(B16-B28)</f>
        <v>1.3333192327991128E-9</v>
      </c>
      <c r="C36" s="3161">
        <f t="shared" ref="C36:D37" si="52">SUM(C16-C28)</f>
        <v>1.3333192327991128E-9</v>
      </c>
      <c r="D36" s="3161">
        <f t="shared" si="52"/>
        <v>1.3333192327991128E-9</v>
      </c>
      <c r="E36" s="3159">
        <f t="shared" si="41"/>
        <v>3.9999576983973384E-9</v>
      </c>
      <c r="F36" s="3161">
        <f>SUM(F16-F28)</f>
        <v>1.3333192327991128E-9</v>
      </c>
      <c r="G36" s="3161">
        <f t="shared" ref="G36:H37" si="53">SUM(G16-G28)</f>
        <v>1.3333192327991128E-9</v>
      </c>
      <c r="H36" s="3161">
        <f t="shared" si="53"/>
        <v>1.3333192327991128E-9</v>
      </c>
      <c r="I36" s="3159">
        <f t="shared" si="43"/>
        <v>3.9999576983973384E-9</v>
      </c>
      <c r="J36" s="3159">
        <f t="shared" si="5"/>
        <v>7.9999153967946768E-9</v>
      </c>
      <c r="K36" s="3161">
        <f>SUM(K16-K28)</f>
        <v>9.999894245993346E-10</v>
      </c>
      <c r="L36" s="3161">
        <f t="shared" ref="L36:M37" si="54">SUM(L16-L28)</f>
        <v>9.999894245993346E-10</v>
      </c>
      <c r="M36" s="3161">
        <f t="shared" si="54"/>
        <v>9.999894245993346E-10</v>
      </c>
      <c r="N36" s="3159">
        <f t="shared" si="45"/>
        <v>2.9999682737980038E-9</v>
      </c>
      <c r="O36" s="3159">
        <f t="shared" si="7"/>
        <v>1.0999883670592681E-8</v>
      </c>
      <c r="P36" s="3161">
        <f>SUM(P16-P28)</f>
        <v>9.999894245993346E-10</v>
      </c>
      <c r="Q36" s="3161">
        <f t="shared" ref="Q36:R37" si="55">SUM(Q16-Q28)</f>
        <v>9.999894245993346E-10</v>
      </c>
      <c r="R36" s="3161">
        <f t="shared" si="55"/>
        <v>9.999894245993346E-10</v>
      </c>
      <c r="S36" s="3159">
        <f t="shared" si="47"/>
        <v>2.9999682737980038E-9</v>
      </c>
      <c r="T36" s="3160">
        <f t="shared" si="9"/>
        <v>1.3999851944390684E-8</v>
      </c>
    </row>
    <row r="37" spans="1:20" ht="19.7" customHeight="1" x14ac:dyDescent="0.25">
      <c r="A37" s="3123" t="s">
        <v>3854</v>
      </c>
      <c r="B37" s="3161">
        <f>SUM(B17-B29)</f>
        <v>266.66666666666669</v>
      </c>
      <c r="C37" s="3161">
        <f t="shared" si="52"/>
        <v>266.66666666666669</v>
      </c>
      <c r="D37" s="3161">
        <f t="shared" si="52"/>
        <v>266.66666666666669</v>
      </c>
      <c r="E37" s="3159">
        <f t="shared" si="41"/>
        <v>800</v>
      </c>
      <c r="F37" s="3161">
        <f>SUM(F17-F29)</f>
        <v>266.66666666666669</v>
      </c>
      <c r="G37" s="3161">
        <f t="shared" si="53"/>
        <v>266.66666666666669</v>
      </c>
      <c r="H37" s="3161">
        <f t="shared" si="53"/>
        <v>266.66666666666669</v>
      </c>
      <c r="I37" s="3159">
        <f t="shared" si="43"/>
        <v>800</v>
      </c>
      <c r="J37" s="3159">
        <f t="shared" si="5"/>
        <v>1600</v>
      </c>
      <c r="K37" s="3161">
        <f>SUM(K17-K29)</f>
        <v>266.66666666666669</v>
      </c>
      <c r="L37" s="3161">
        <f t="shared" si="54"/>
        <v>266.66666666666669</v>
      </c>
      <c r="M37" s="3161">
        <f t="shared" si="54"/>
        <v>266.66666666666669</v>
      </c>
      <c r="N37" s="3159">
        <f t="shared" si="45"/>
        <v>800</v>
      </c>
      <c r="O37" s="3159">
        <f t="shared" si="7"/>
        <v>2400</v>
      </c>
      <c r="P37" s="3161">
        <f>SUM(P17-P29)</f>
        <v>266.66666666666669</v>
      </c>
      <c r="Q37" s="3161">
        <f t="shared" si="55"/>
        <v>266.66666666666669</v>
      </c>
      <c r="R37" s="3161">
        <f t="shared" si="55"/>
        <v>266.66666666666669</v>
      </c>
      <c r="S37" s="3159">
        <f t="shared" si="47"/>
        <v>800</v>
      </c>
      <c r="T37" s="3160">
        <f t="shared" si="9"/>
        <v>3200</v>
      </c>
    </row>
    <row r="38" spans="1:20" ht="19.7" customHeight="1" x14ac:dyDescent="0.25">
      <c r="A38" s="3122" t="s">
        <v>3855</v>
      </c>
      <c r="B38" s="3154">
        <f>SUM('Прил. 1 План ФХД с транспортир.'!C53)/3</f>
        <v>173.33333333333334</v>
      </c>
      <c r="C38" s="3154">
        <f>SUM(B38)</f>
        <v>173.33333333333334</v>
      </c>
      <c r="D38" s="3154">
        <f>SUM(B38)</f>
        <v>173.33333333333334</v>
      </c>
      <c r="E38" s="3155">
        <f t="shared" si="41"/>
        <v>520</v>
      </c>
      <c r="F38" s="3154">
        <f>SUM(B38)</f>
        <v>173.33333333333334</v>
      </c>
      <c r="G38" s="3154">
        <f>SUM(B38)</f>
        <v>173.33333333333334</v>
      </c>
      <c r="H38" s="3154">
        <f>SUM(B38)</f>
        <v>173.33333333333334</v>
      </c>
      <c r="I38" s="3155">
        <f t="shared" si="43"/>
        <v>520</v>
      </c>
      <c r="J38" s="3155">
        <f t="shared" si="5"/>
        <v>1040</v>
      </c>
      <c r="K38" s="3154">
        <f>SUM(B38)</f>
        <v>173.33333333333334</v>
      </c>
      <c r="L38" s="3154">
        <f>SUM(B38)</f>
        <v>173.33333333333334</v>
      </c>
      <c r="M38" s="3154">
        <f>SUM(B38)</f>
        <v>173.33333333333334</v>
      </c>
      <c r="N38" s="3155">
        <f t="shared" si="45"/>
        <v>520</v>
      </c>
      <c r="O38" s="3155">
        <f t="shared" si="7"/>
        <v>1560</v>
      </c>
      <c r="P38" s="3154">
        <f>SUM(B38)</f>
        <v>173.33333333333334</v>
      </c>
      <c r="Q38" s="3154">
        <f>SUM(B38)</f>
        <v>173.33333333333334</v>
      </c>
      <c r="R38" s="3154">
        <f>SUM(B38)</f>
        <v>173.33333333333334</v>
      </c>
      <c r="S38" s="3155">
        <f t="shared" si="47"/>
        <v>520</v>
      </c>
      <c r="T38" s="3156">
        <f t="shared" si="9"/>
        <v>2080</v>
      </c>
    </row>
    <row r="39" spans="1:20" ht="19.7" customHeight="1" x14ac:dyDescent="0.25">
      <c r="A39" s="3122" t="s">
        <v>3856</v>
      </c>
      <c r="B39" s="3154">
        <f>SUM(B40:B42)</f>
        <v>440</v>
      </c>
      <c r="C39" s="3154">
        <f t="shared" ref="C39:D39" si="56">SUM(C40:C42)</f>
        <v>440</v>
      </c>
      <c r="D39" s="3154">
        <f t="shared" si="56"/>
        <v>440</v>
      </c>
      <c r="E39" s="3155">
        <f t="shared" si="41"/>
        <v>1320</v>
      </c>
      <c r="F39" s="3154">
        <f>SUM(F40:F42)</f>
        <v>440</v>
      </c>
      <c r="G39" s="3154">
        <f t="shared" ref="G39:H39" si="57">SUM(G40:G42)</f>
        <v>440</v>
      </c>
      <c r="H39" s="3154">
        <f t="shared" si="57"/>
        <v>440</v>
      </c>
      <c r="I39" s="3155">
        <f t="shared" si="43"/>
        <v>1320</v>
      </c>
      <c r="J39" s="3155">
        <f t="shared" si="5"/>
        <v>2640</v>
      </c>
      <c r="K39" s="3154">
        <f>SUM(K40:K42)</f>
        <v>440</v>
      </c>
      <c r="L39" s="3154">
        <f t="shared" ref="L39:M39" si="58">SUM(L40:L42)</f>
        <v>440</v>
      </c>
      <c r="M39" s="3154">
        <f t="shared" si="58"/>
        <v>440</v>
      </c>
      <c r="N39" s="3155">
        <f t="shared" si="45"/>
        <v>1320</v>
      </c>
      <c r="O39" s="3155">
        <f t="shared" si="7"/>
        <v>3960</v>
      </c>
      <c r="P39" s="3154">
        <f>SUM(P40:P42)</f>
        <v>440</v>
      </c>
      <c r="Q39" s="3154">
        <f t="shared" ref="Q39:R39" si="59">SUM(Q40:Q42)</f>
        <v>440</v>
      </c>
      <c r="R39" s="3154">
        <f t="shared" si="59"/>
        <v>440</v>
      </c>
      <c r="S39" s="3155">
        <f t="shared" si="47"/>
        <v>1320</v>
      </c>
      <c r="T39" s="3156">
        <f t="shared" si="9"/>
        <v>5280</v>
      </c>
    </row>
    <row r="40" spans="1:20" ht="19.7" customHeight="1" x14ac:dyDescent="0.25">
      <c r="A40" s="3123" t="s">
        <v>3857</v>
      </c>
      <c r="B40" s="3161">
        <f>SUM('Прил. 1 План ФХД с транспортир.'!C55)/3</f>
        <v>320</v>
      </c>
      <c r="C40" s="3161">
        <f t="shared" ref="C40:C42" si="60">SUM(B40)</f>
        <v>320</v>
      </c>
      <c r="D40" s="3161">
        <f t="shared" ref="D40:D42" si="61">SUM(B40)</f>
        <v>320</v>
      </c>
      <c r="E40" s="3162">
        <f t="shared" ref="E40:E42" si="62">SUM(B40:D40)</f>
        <v>960</v>
      </c>
      <c r="F40" s="3161">
        <f t="shared" ref="F40:F42" si="63">SUM(B40)</f>
        <v>320</v>
      </c>
      <c r="G40" s="3161">
        <f t="shared" ref="G40:G42" si="64">SUM(B40)</f>
        <v>320</v>
      </c>
      <c r="H40" s="3161">
        <f t="shared" ref="H40:H42" si="65">SUM(B40)</f>
        <v>320</v>
      </c>
      <c r="I40" s="3162">
        <f t="shared" ref="I40:I42" si="66">SUM(F40:H40)</f>
        <v>960</v>
      </c>
      <c r="J40" s="3162">
        <f t="shared" si="5"/>
        <v>1920</v>
      </c>
      <c r="K40" s="3161">
        <f>SUM('Прил. 1 План ФХД с транспортир.'!F55)/3</f>
        <v>320</v>
      </c>
      <c r="L40" s="3161">
        <f t="shared" ref="L40:L42" si="67">SUM(K40)</f>
        <v>320</v>
      </c>
      <c r="M40" s="3161">
        <f t="shared" ref="M40:M42" si="68">SUM(K40)</f>
        <v>320</v>
      </c>
      <c r="N40" s="3162">
        <f t="shared" ref="N40:N42" si="69">SUM(K40:M40)</f>
        <v>960</v>
      </c>
      <c r="O40" s="3162">
        <f t="shared" si="7"/>
        <v>2880</v>
      </c>
      <c r="P40" s="3161">
        <f t="shared" ref="P40:P42" si="70">SUM(K40)</f>
        <v>320</v>
      </c>
      <c r="Q40" s="3161">
        <f t="shared" ref="Q40:Q42" si="71">SUM(K40)</f>
        <v>320</v>
      </c>
      <c r="R40" s="3161">
        <f t="shared" ref="R40:R42" si="72">SUM(K40)</f>
        <v>320</v>
      </c>
      <c r="S40" s="3162">
        <f t="shared" ref="S40:S42" si="73">SUM(P40:R40)</f>
        <v>960</v>
      </c>
      <c r="T40" s="3163">
        <f t="shared" si="9"/>
        <v>3840</v>
      </c>
    </row>
    <row r="41" spans="1:20" ht="19.7" customHeight="1" x14ac:dyDescent="0.25">
      <c r="A41" s="3123" t="s">
        <v>3977</v>
      </c>
      <c r="B41" s="3161">
        <f>SUM('Прил. 1 План ФХД с транспортир.'!C56)/3</f>
        <v>80</v>
      </c>
      <c r="C41" s="3161">
        <f t="shared" si="60"/>
        <v>80</v>
      </c>
      <c r="D41" s="3161">
        <f t="shared" si="61"/>
        <v>80</v>
      </c>
      <c r="E41" s="3162">
        <f t="shared" si="62"/>
        <v>240</v>
      </c>
      <c r="F41" s="3161">
        <f t="shared" si="63"/>
        <v>80</v>
      </c>
      <c r="G41" s="3161">
        <f t="shared" si="64"/>
        <v>80</v>
      </c>
      <c r="H41" s="3161">
        <f t="shared" si="65"/>
        <v>80</v>
      </c>
      <c r="I41" s="3162">
        <f t="shared" si="66"/>
        <v>240</v>
      </c>
      <c r="J41" s="3162">
        <f t="shared" si="5"/>
        <v>480</v>
      </c>
      <c r="K41" s="3161">
        <f>SUM('Прил. 1 План ФХД с транспортир.'!F56)/3</f>
        <v>80</v>
      </c>
      <c r="L41" s="3161">
        <f t="shared" si="67"/>
        <v>80</v>
      </c>
      <c r="M41" s="3161">
        <f t="shared" si="68"/>
        <v>80</v>
      </c>
      <c r="N41" s="3162">
        <f t="shared" si="69"/>
        <v>240</v>
      </c>
      <c r="O41" s="3162">
        <f t="shared" si="7"/>
        <v>720</v>
      </c>
      <c r="P41" s="3161">
        <f t="shared" si="70"/>
        <v>80</v>
      </c>
      <c r="Q41" s="3161">
        <f t="shared" si="71"/>
        <v>80</v>
      </c>
      <c r="R41" s="3161">
        <f t="shared" si="72"/>
        <v>80</v>
      </c>
      <c r="S41" s="3162">
        <f t="shared" si="73"/>
        <v>240</v>
      </c>
      <c r="T41" s="3163">
        <f t="shared" si="9"/>
        <v>960</v>
      </c>
    </row>
    <row r="42" spans="1:20" ht="19.7" customHeight="1" x14ac:dyDescent="0.25">
      <c r="A42" s="3123" t="s">
        <v>3858</v>
      </c>
      <c r="B42" s="3161">
        <f>SUM('Прил. 1 План ФХД с транспортир.'!C57)/3</f>
        <v>40</v>
      </c>
      <c r="C42" s="3161">
        <f t="shared" si="60"/>
        <v>40</v>
      </c>
      <c r="D42" s="3161">
        <f t="shared" si="61"/>
        <v>40</v>
      </c>
      <c r="E42" s="3162">
        <f t="shared" si="62"/>
        <v>120</v>
      </c>
      <c r="F42" s="3161">
        <f t="shared" si="63"/>
        <v>40</v>
      </c>
      <c r="G42" s="3161">
        <f t="shared" si="64"/>
        <v>40</v>
      </c>
      <c r="H42" s="3161">
        <f t="shared" si="65"/>
        <v>40</v>
      </c>
      <c r="I42" s="3162">
        <f t="shared" si="66"/>
        <v>120</v>
      </c>
      <c r="J42" s="3162">
        <f t="shared" si="5"/>
        <v>240</v>
      </c>
      <c r="K42" s="3161">
        <f>SUM('Прил. 1 План ФХД с транспортир.'!F57)/3</f>
        <v>40</v>
      </c>
      <c r="L42" s="3161">
        <f t="shared" si="67"/>
        <v>40</v>
      </c>
      <c r="M42" s="3161">
        <f t="shared" si="68"/>
        <v>40</v>
      </c>
      <c r="N42" s="3162">
        <f t="shared" si="69"/>
        <v>120</v>
      </c>
      <c r="O42" s="3162">
        <f t="shared" si="7"/>
        <v>360</v>
      </c>
      <c r="P42" s="3161">
        <f t="shared" si="70"/>
        <v>40</v>
      </c>
      <c r="Q42" s="3161">
        <f t="shared" si="71"/>
        <v>40</v>
      </c>
      <c r="R42" s="3161">
        <f t="shared" si="72"/>
        <v>40</v>
      </c>
      <c r="S42" s="3162">
        <f t="shared" si="73"/>
        <v>120</v>
      </c>
      <c r="T42" s="3163">
        <f t="shared" si="9"/>
        <v>480</v>
      </c>
    </row>
    <row r="43" spans="1:20" ht="19.7" customHeight="1" x14ac:dyDescent="0.25">
      <c r="A43" s="3122" t="s">
        <v>3859</v>
      </c>
      <c r="B43" s="3154">
        <f>SUM(B32+B38-B39)</f>
        <v>-473.15503198502756</v>
      </c>
      <c r="C43" s="3154">
        <f t="shared" ref="C43:D43" si="74">SUM(C32+C38-C39)</f>
        <v>-473.15503198502756</v>
      </c>
      <c r="D43" s="3154">
        <f t="shared" si="74"/>
        <v>-473.15503198502756</v>
      </c>
      <c r="E43" s="3155">
        <f t="shared" ref="E43" si="75">SUM(B43:D43)</f>
        <v>-1419.4650959550827</v>
      </c>
      <c r="F43" s="3154">
        <f>SUM(F32+F38-F39)</f>
        <v>-473.15503198502756</v>
      </c>
      <c r="G43" s="3154">
        <f t="shared" ref="G43:H43" si="76">SUM(G32+G38-G39)</f>
        <v>-473.15503198502756</v>
      </c>
      <c r="H43" s="3154">
        <f t="shared" si="76"/>
        <v>-473.15503198502756</v>
      </c>
      <c r="I43" s="3155">
        <f t="shared" ref="I43" si="77">SUM(F43:H43)</f>
        <v>-1419.4650959550827</v>
      </c>
      <c r="J43" s="3155">
        <f t="shared" si="5"/>
        <v>-2838.9301919101654</v>
      </c>
      <c r="K43" s="3154">
        <f>SUM(K32+K38-K39)</f>
        <v>473.15471883858993</v>
      </c>
      <c r="L43" s="3154">
        <f t="shared" ref="L43:M43" si="78">SUM(L32+L38-L39)</f>
        <v>473.15471883858993</v>
      </c>
      <c r="M43" s="3154">
        <f t="shared" si="78"/>
        <v>473.15471883858993</v>
      </c>
      <c r="N43" s="3155">
        <f t="shared" ref="N43" si="79">SUM(K43:M43)</f>
        <v>1419.4641565157699</v>
      </c>
      <c r="O43" s="3155">
        <f t="shared" si="7"/>
        <v>-1419.4660353943955</v>
      </c>
      <c r="P43" s="3154">
        <f>SUM(P32+P38-P39)</f>
        <v>473.15471883858993</v>
      </c>
      <c r="Q43" s="3154">
        <f t="shared" ref="Q43:R43" si="80">SUM(Q32+Q38-Q39)</f>
        <v>473.15471883858993</v>
      </c>
      <c r="R43" s="3154">
        <f t="shared" si="80"/>
        <v>473.15471883858993</v>
      </c>
      <c r="S43" s="3155">
        <f t="shared" ref="S43" si="81">SUM(P43:R43)</f>
        <v>1419.4641565157699</v>
      </c>
      <c r="T43" s="3156">
        <f t="shared" si="9"/>
        <v>-1.878878625575453E-3</v>
      </c>
    </row>
    <row r="44" spans="1:20" ht="19.7" customHeight="1" x14ac:dyDescent="0.25">
      <c r="A44" s="3122" t="s">
        <v>3860</v>
      </c>
      <c r="B44" s="4216">
        <f>SUM(B43-(B43*20%))</f>
        <v>-378.52402558802203</v>
      </c>
      <c r="C44" s="4216">
        <f t="shared" ref="C44:D44" si="82">SUM(C43-(C43*20%))</f>
        <v>-378.52402558802203</v>
      </c>
      <c r="D44" s="4216">
        <f t="shared" si="82"/>
        <v>-378.52402558802203</v>
      </c>
      <c r="E44" s="3155">
        <f t="shared" ref="E44:E46" si="83">SUM(B44:D44)</f>
        <v>-1135.572076764066</v>
      </c>
      <c r="F44" s="4216">
        <f>SUM(F43-(F43*20%))</f>
        <v>-378.52402558802203</v>
      </c>
      <c r="G44" s="4216">
        <f t="shared" ref="G44:H44" si="84">SUM(G43-(G43*20%))</f>
        <v>-378.52402558802203</v>
      </c>
      <c r="H44" s="4216">
        <f t="shared" si="84"/>
        <v>-378.52402558802203</v>
      </c>
      <c r="I44" s="3155">
        <f t="shared" ref="I44:I46" si="85">SUM(F44:H44)</f>
        <v>-1135.572076764066</v>
      </c>
      <c r="J44" s="3155">
        <f t="shared" si="5"/>
        <v>-2271.1441535281319</v>
      </c>
      <c r="K44" s="4216">
        <f>SUM(K43-(K43*20%))</f>
        <v>378.52377507087192</v>
      </c>
      <c r="L44" s="4216">
        <f t="shared" ref="L44:M44" si="86">SUM(L43-(L43*20%))</f>
        <v>378.52377507087192</v>
      </c>
      <c r="M44" s="4216">
        <f t="shared" si="86"/>
        <v>378.52377507087192</v>
      </c>
      <c r="N44" s="3155">
        <f t="shared" ref="N44:N46" si="87">SUM(K44:M44)</f>
        <v>1135.5713252126156</v>
      </c>
      <c r="O44" s="3155">
        <f t="shared" si="7"/>
        <v>-1135.5728283155163</v>
      </c>
      <c r="P44" s="4216">
        <f>SUM(P43-(P43*20%))</f>
        <v>378.52377507087192</v>
      </c>
      <c r="Q44" s="4216">
        <f t="shared" ref="Q44:R44" si="88">SUM(Q43-(Q43*20%))</f>
        <v>378.52377507087192</v>
      </c>
      <c r="R44" s="4216">
        <f t="shared" si="88"/>
        <v>378.52377507087192</v>
      </c>
      <c r="S44" s="3155">
        <f t="shared" ref="S44:S46" si="89">SUM(P44:R44)</f>
        <v>1135.5713252126156</v>
      </c>
      <c r="T44" s="3156">
        <f t="shared" si="9"/>
        <v>-1.5031029006422614E-3</v>
      </c>
    </row>
    <row r="45" spans="1:20" ht="19.7" customHeight="1" x14ac:dyDescent="0.25">
      <c r="A45" s="3135" t="s">
        <v>3861</v>
      </c>
      <c r="B45" s="4215">
        <f t="shared" ref="B45:E45" si="90">B44/B20*100</f>
        <v>-1.8354131732077796</v>
      </c>
      <c r="C45" s="4215">
        <f t="shared" si="90"/>
        <v>-1.8354131732077796</v>
      </c>
      <c r="D45" s="4215">
        <f t="shared" si="90"/>
        <v>-1.8354131732077796</v>
      </c>
      <c r="E45" s="4218">
        <f t="shared" si="90"/>
        <v>-1.8354131732077796</v>
      </c>
      <c r="F45" s="4215">
        <f t="shared" ref="F45:J45" si="91">F44/F20*100</f>
        <v>-1.8354131732077796</v>
      </c>
      <c r="G45" s="4215">
        <f t="shared" si="91"/>
        <v>-1.8354131732077796</v>
      </c>
      <c r="H45" s="4215">
        <f t="shared" si="91"/>
        <v>-1.8354131732077796</v>
      </c>
      <c r="I45" s="4218">
        <f t="shared" si="91"/>
        <v>-1.8354131732077796</v>
      </c>
      <c r="J45" s="4218">
        <f t="shared" si="91"/>
        <v>-1.8354131732077796</v>
      </c>
      <c r="K45" s="4215">
        <f t="shared" ref="K45:O45" si="92">K44/K20*100</f>
        <v>1.8216420914234939</v>
      </c>
      <c r="L45" s="4215">
        <f t="shared" si="92"/>
        <v>1.8216420914234939</v>
      </c>
      <c r="M45" s="4215">
        <f t="shared" si="92"/>
        <v>1.8216420914234939</v>
      </c>
      <c r="N45" s="4218">
        <f t="shared" si="92"/>
        <v>1.8216420914234934</v>
      </c>
      <c r="O45" s="4218">
        <f t="shared" si="92"/>
        <v>-0.61026711794429955</v>
      </c>
      <c r="P45" s="4215">
        <f t="shared" ref="P45:T45" si="93">P44/P20*100</f>
        <v>1.8216420914234939</v>
      </c>
      <c r="Q45" s="4215">
        <f t="shared" si="93"/>
        <v>1.8216420914234939</v>
      </c>
      <c r="R45" s="4215">
        <f t="shared" si="93"/>
        <v>1.8216420914234939</v>
      </c>
      <c r="S45" s="4218">
        <f t="shared" si="93"/>
        <v>1.8216420914234934</v>
      </c>
      <c r="T45" s="4219">
        <f t="shared" si="93"/>
        <v>-6.0507544704537589E-7</v>
      </c>
    </row>
    <row r="46" spans="1:20" ht="19.7" customHeight="1" thickBot="1" x14ac:dyDescent="0.3">
      <c r="A46" s="3138" t="s">
        <v>3862</v>
      </c>
      <c r="B46" s="4217">
        <f>SUM(B44)</f>
        <v>-378.52402558802203</v>
      </c>
      <c r="C46" s="4217">
        <f t="shared" ref="C46:D46" si="94">SUM(C44)</f>
        <v>-378.52402558802203</v>
      </c>
      <c r="D46" s="4217">
        <f t="shared" si="94"/>
        <v>-378.52402558802203</v>
      </c>
      <c r="E46" s="3164">
        <f t="shared" si="83"/>
        <v>-1135.572076764066</v>
      </c>
      <c r="F46" s="4217">
        <f>SUM(F44)</f>
        <v>-378.52402558802203</v>
      </c>
      <c r="G46" s="4217">
        <f t="shared" ref="G46:H46" si="95">SUM(G44)</f>
        <v>-378.52402558802203</v>
      </c>
      <c r="H46" s="4217">
        <f t="shared" si="95"/>
        <v>-378.52402558802203</v>
      </c>
      <c r="I46" s="3164">
        <f t="shared" si="85"/>
        <v>-1135.572076764066</v>
      </c>
      <c r="J46" s="3164">
        <f t="shared" si="5"/>
        <v>-2271.1441535281319</v>
      </c>
      <c r="K46" s="4217">
        <f>SUM(K44)</f>
        <v>378.52377507087192</v>
      </c>
      <c r="L46" s="4217">
        <f t="shared" ref="L46:M46" si="96">SUM(L44)</f>
        <v>378.52377507087192</v>
      </c>
      <c r="M46" s="4217">
        <f t="shared" si="96"/>
        <v>378.52377507087192</v>
      </c>
      <c r="N46" s="3164">
        <f t="shared" si="87"/>
        <v>1135.5713252126156</v>
      </c>
      <c r="O46" s="3164">
        <f t="shared" si="7"/>
        <v>-1135.5728283155163</v>
      </c>
      <c r="P46" s="4217">
        <f>SUM(P44)</f>
        <v>378.52377507087192</v>
      </c>
      <c r="Q46" s="4217">
        <f t="shared" ref="Q46:R46" si="97">SUM(Q44)</f>
        <v>378.52377507087192</v>
      </c>
      <c r="R46" s="4217">
        <f t="shared" si="97"/>
        <v>378.52377507087192</v>
      </c>
      <c r="S46" s="3164">
        <f t="shared" si="89"/>
        <v>1135.5713252126156</v>
      </c>
      <c r="T46" s="3165">
        <f t="shared" si="9"/>
        <v>-1.5031029006422614E-3</v>
      </c>
    </row>
    <row r="47" spans="1:20" x14ac:dyDescent="0.25">
      <c r="A47" s="3166"/>
      <c r="B47" s="3167"/>
      <c r="C47" s="3167"/>
      <c r="D47" s="3167"/>
      <c r="E47" s="3167"/>
      <c r="F47" s="3167"/>
      <c r="G47" s="3167"/>
      <c r="H47" s="3167"/>
      <c r="I47" s="3167"/>
      <c r="J47" s="3167"/>
      <c r="K47" s="3167"/>
      <c r="L47" s="3167"/>
      <c r="M47" s="3167"/>
      <c r="N47" s="3167"/>
      <c r="O47" s="3167"/>
      <c r="P47" s="3167"/>
      <c r="Q47" s="3167"/>
      <c r="R47" s="3167"/>
      <c r="S47" s="3167"/>
      <c r="T47" s="3167"/>
    </row>
    <row r="48" spans="1:20" x14ac:dyDescent="0.25">
      <c r="A48" s="3166"/>
      <c r="B48" s="3167"/>
      <c r="C48" s="3167"/>
      <c r="D48" s="3167"/>
      <c r="E48" s="3167"/>
      <c r="F48" s="3167"/>
      <c r="G48" s="3167"/>
      <c r="H48" s="3167"/>
      <c r="I48" s="3167"/>
      <c r="J48" s="3167"/>
      <c r="K48" s="3167"/>
      <c r="L48" s="3167"/>
      <c r="M48" s="3167"/>
      <c r="N48" s="3167"/>
      <c r="O48" s="3167"/>
      <c r="P48" s="3167"/>
      <c r="Q48" s="3167"/>
      <c r="R48" s="3167"/>
      <c r="S48" s="3167"/>
      <c r="T48" s="3167"/>
    </row>
    <row r="49" spans="1:20" x14ac:dyDescent="0.25">
      <c r="A49" s="4495" t="s">
        <v>3871</v>
      </c>
      <c r="B49" s="4496"/>
      <c r="C49" s="4496"/>
      <c r="D49" s="4496"/>
      <c r="E49" s="4496"/>
      <c r="F49" s="4496"/>
      <c r="G49" s="4496"/>
      <c r="H49" s="4496"/>
      <c r="I49" s="4496"/>
      <c r="J49" s="4496"/>
      <c r="K49" s="4496"/>
      <c r="L49" s="4496"/>
      <c r="M49" s="4496"/>
      <c r="N49" s="4496"/>
      <c r="O49" s="4496"/>
      <c r="P49" s="4496"/>
      <c r="Q49" s="4496"/>
      <c r="R49" s="4496"/>
      <c r="S49" s="4496"/>
      <c r="T49" s="4496"/>
    </row>
    <row r="50" spans="1:20" x14ac:dyDescent="0.25">
      <c r="B50" s="3168"/>
      <c r="C50" s="3168"/>
      <c r="D50" s="3168"/>
      <c r="E50" s="3168"/>
      <c r="F50" s="3168"/>
      <c r="G50" s="3168"/>
      <c r="H50" s="3168"/>
      <c r="I50" s="3168"/>
      <c r="J50" s="3168"/>
      <c r="K50" s="3168"/>
      <c r="L50" s="3168"/>
      <c r="M50" s="3168"/>
      <c r="N50" s="3168"/>
      <c r="O50" s="3168"/>
      <c r="P50" s="3168"/>
      <c r="Q50" s="3168"/>
      <c r="R50" s="3168"/>
      <c r="S50" s="3168"/>
      <c r="T50" s="3168"/>
    </row>
  </sheetData>
  <mergeCells count="2">
    <mergeCell ref="A5:T5"/>
    <mergeCell ref="A49:T49"/>
  </mergeCells>
  <printOptions horizontalCentered="1" verticalCentered="1"/>
  <pageMargins left="0" right="0" top="0" bottom="0" header="0.31496062992125984" footer="0.31496062992125984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90">
    <tabColor rgb="FFFFFF00"/>
    <pageSetUpPr fitToPage="1"/>
  </sheetPr>
  <dimension ref="A1:L76"/>
  <sheetViews>
    <sheetView topLeftCell="A43" zoomScale="90" zoomScaleNormal="90" workbookViewId="0">
      <selection activeCell="L71" sqref="L71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661"/>
      <c r="B1" s="5"/>
      <c r="C1" s="1661"/>
      <c r="D1" s="1661"/>
      <c r="E1" s="1661"/>
      <c r="F1" s="4497" t="s">
        <v>3980</v>
      </c>
      <c r="G1" s="4497"/>
      <c r="H1" s="4497"/>
      <c r="I1" s="4497"/>
    </row>
    <row r="2" spans="1:11" ht="6" customHeight="1" x14ac:dyDescent="0.25">
      <c r="A2" s="1661"/>
      <c r="B2" s="5"/>
      <c r="C2" s="1661"/>
      <c r="D2" s="1661"/>
      <c r="E2" s="1661"/>
      <c r="F2" s="3064"/>
      <c r="G2" s="4207"/>
      <c r="H2" s="4207"/>
      <c r="I2" s="4207"/>
    </row>
    <row r="3" spans="1:11" ht="15.75" customHeight="1" x14ac:dyDescent="0.25">
      <c r="A3" s="1661"/>
      <c r="B3" s="5"/>
      <c r="C3" s="1661"/>
      <c r="D3" s="1661"/>
      <c r="E3" s="1661"/>
      <c r="F3" s="4208" t="s">
        <v>3981</v>
      </c>
      <c r="G3" s="4208"/>
      <c r="H3" s="4208"/>
      <c r="I3" s="4208"/>
    </row>
    <row r="4" spans="1:11" ht="37.5" customHeight="1" x14ac:dyDescent="0.25">
      <c r="A4" s="1661"/>
      <c r="B4" s="5"/>
      <c r="C4" s="1661"/>
      <c r="D4" s="1661"/>
      <c r="E4" s="1661"/>
      <c r="F4" s="4497" t="s">
        <v>3982</v>
      </c>
      <c r="G4" s="4497"/>
      <c r="H4" s="4497"/>
      <c r="I4" s="4497"/>
    </row>
    <row r="5" spans="1:11" ht="21" customHeight="1" x14ac:dyDescent="0.25">
      <c r="A5" s="1661"/>
      <c r="B5" s="1661"/>
      <c r="C5" s="1661"/>
      <c r="D5" s="1661"/>
      <c r="E5" s="1661"/>
      <c r="F5" s="4208" t="s">
        <v>3983</v>
      </c>
      <c r="G5" s="4209"/>
      <c r="H5" s="4209"/>
      <c r="I5" s="4208"/>
    </row>
    <row r="6" spans="1:11" ht="21" customHeight="1" x14ac:dyDescent="0.3">
      <c r="A6" s="1661"/>
      <c r="B6" s="1661"/>
      <c r="C6" s="1661"/>
      <c r="D6" s="1661"/>
      <c r="E6" s="1661"/>
      <c r="F6" s="4210" t="s">
        <v>3971</v>
      </c>
      <c r="G6" s="4210"/>
      <c r="H6" s="4210"/>
      <c r="I6" s="4210"/>
    </row>
    <row r="7" spans="1:11" ht="6" customHeight="1" x14ac:dyDescent="0.25">
      <c r="A7" s="1661"/>
      <c r="B7" s="1661"/>
      <c r="C7" s="1661"/>
      <c r="D7" s="1661"/>
      <c r="E7" s="1661"/>
      <c r="F7" s="1661"/>
      <c r="G7" s="1661"/>
      <c r="H7" s="1661"/>
      <c r="I7" s="1661"/>
    </row>
    <row r="8" spans="1:11" ht="45.2" customHeight="1" x14ac:dyDescent="0.2">
      <c r="A8" s="4498" t="s">
        <v>3976</v>
      </c>
      <c r="B8" s="4499"/>
      <c r="C8" s="4499"/>
      <c r="D8" s="4499"/>
      <c r="E8" s="4499"/>
      <c r="F8" s="4499"/>
      <c r="G8" s="4499"/>
      <c r="H8" s="4499"/>
      <c r="I8" s="4499"/>
    </row>
    <row r="9" spans="1:11" ht="16.5" thickBot="1" x14ac:dyDescent="0.3">
      <c r="A9" s="1661"/>
      <c r="B9" s="1661"/>
      <c r="C9" s="1661"/>
      <c r="D9" s="1661"/>
      <c r="E9" s="1661"/>
      <c r="F9" s="1661"/>
      <c r="G9" s="1661"/>
      <c r="H9" s="1661"/>
      <c r="I9" s="3068" t="s">
        <v>3829</v>
      </c>
    </row>
    <row r="10" spans="1:11" ht="30" customHeight="1" x14ac:dyDescent="0.2">
      <c r="A10" s="3111" t="s">
        <v>358</v>
      </c>
      <c r="B10" s="3112" t="s">
        <v>989</v>
      </c>
      <c r="C10" s="3112" t="s">
        <v>3830</v>
      </c>
      <c r="D10" s="3112" t="s">
        <v>3831</v>
      </c>
      <c r="E10" s="3112" t="s">
        <v>375</v>
      </c>
      <c r="F10" s="3112" t="s">
        <v>3832</v>
      </c>
      <c r="G10" s="3112" t="s">
        <v>3833</v>
      </c>
      <c r="H10" s="3112" t="s">
        <v>3834</v>
      </c>
      <c r="I10" s="3113" t="s">
        <v>243</v>
      </c>
    </row>
    <row r="11" spans="1:11" ht="19.5" customHeight="1" x14ac:dyDescent="0.2">
      <c r="A11" s="3114" t="s">
        <v>3835</v>
      </c>
      <c r="B11" s="3115" t="s">
        <v>3836</v>
      </c>
      <c r="C11" s="3224">
        <v>293</v>
      </c>
      <c r="D11" s="3224">
        <v>293</v>
      </c>
      <c r="E11" s="3224">
        <v>293</v>
      </c>
      <c r="F11" s="3224">
        <v>293</v>
      </c>
      <c r="G11" s="3224">
        <v>293</v>
      </c>
      <c r="H11" s="3224">
        <v>293</v>
      </c>
      <c r="I11" s="3225">
        <v>293</v>
      </c>
    </row>
    <row r="12" spans="1:11" ht="19.5" customHeight="1" x14ac:dyDescent="0.2">
      <c r="A12" s="4500" t="s">
        <v>3837</v>
      </c>
      <c r="B12" s="4501"/>
      <c r="C12" s="4501"/>
      <c r="D12" s="4501"/>
      <c r="E12" s="4501"/>
      <c r="F12" s="4501"/>
      <c r="G12" s="4501"/>
      <c r="H12" s="4501"/>
      <c r="I12" s="4502"/>
    </row>
    <row r="13" spans="1:11" ht="20.100000000000001" customHeight="1" x14ac:dyDescent="0.2">
      <c r="A13" s="3116" t="s">
        <v>3838</v>
      </c>
      <c r="B13" s="3117" t="s">
        <v>3839</v>
      </c>
      <c r="C13" s="4211">
        <f>SUM(C14:C15)</f>
        <v>876.60995000000003</v>
      </c>
      <c r="D13" s="4211">
        <f t="shared" ref="D13:G13" si="0">SUM(D14:D15)</f>
        <v>876.60995000000003</v>
      </c>
      <c r="E13" s="4211">
        <f t="shared" si="0"/>
        <v>1753.2199000000001</v>
      </c>
      <c r="F13" s="4211">
        <f t="shared" si="0"/>
        <v>876.60995000000003</v>
      </c>
      <c r="G13" s="4211">
        <f t="shared" si="0"/>
        <v>2629.8298500000001</v>
      </c>
      <c r="H13" s="4211">
        <f>SUM(H14:H15)</f>
        <v>876.60995000000003</v>
      </c>
      <c r="I13" s="4212">
        <f>SUM(G13:H13)</f>
        <v>3506.4398000000001</v>
      </c>
      <c r="K13" s="128">
        <f>SUM(C13+D13+F13+H13)</f>
        <v>3506.4398000000001</v>
      </c>
    </row>
    <row r="14" spans="1:11" ht="20.100000000000001" customHeight="1" x14ac:dyDescent="0.2">
      <c r="A14" s="3119" t="s">
        <v>3840</v>
      </c>
      <c r="B14" s="3117" t="s">
        <v>3839</v>
      </c>
      <c r="C14" s="4213">
        <f>SUM('Прил. 1 План ФХД вода '!M19)</f>
        <v>876.16750000000002</v>
      </c>
      <c r="D14" s="4213">
        <f>SUM('Прил. 1 План ФХД вода '!P19)</f>
        <v>876.16750000000002</v>
      </c>
      <c r="E14" s="4213">
        <f>SUM('Прил. 1 План ФХД вода '!S19)</f>
        <v>1752.335</v>
      </c>
      <c r="F14" s="4213">
        <f>SUM('Прил. 1 План ФХД вода '!V19)</f>
        <v>876.16750000000002</v>
      </c>
      <c r="G14" s="4213">
        <f>SUM('Прил. 1 План ФХД вода '!Y19)</f>
        <v>2628.5025000000001</v>
      </c>
      <c r="H14" s="4213">
        <f>SUM('Прил. 1 План ФХД вода '!AB19)</f>
        <v>876.16750000000002</v>
      </c>
      <c r="I14" s="4214">
        <f>SUM('Прил. 1 План ФХД вода '!AE19)</f>
        <v>3504.67</v>
      </c>
      <c r="K14" s="128">
        <f t="shared" ref="K14:K61" si="1">SUM(C14+D14+F14+H14)</f>
        <v>3504.67</v>
      </c>
    </row>
    <row r="15" spans="1:11" ht="20.100000000000001" customHeight="1" x14ac:dyDescent="0.2">
      <c r="A15" s="3119" t="s">
        <v>1696</v>
      </c>
      <c r="B15" s="3117" t="s">
        <v>3839</v>
      </c>
      <c r="C15" s="4213">
        <f>SUM('Прил. 1 План ФХД вода '!N19)</f>
        <v>0.44245000000000001</v>
      </c>
      <c r="D15" s="4213">
        <f>SUM('Прил. 1 План ФХД вода '!Q19)</f>
        <v>0.44245000000000001</v>
      </c>
      <c r="E15" s="4213">
        <f>SUM('Прил. 1 План ФХД вода '!T19)</f>
        <v>0.88490000000000002</v>
      </c>
      <c r="F15" s="4213">
        <f>SUM('Прил. 1 План ФХД вода '!W19)</f>
        <v>0.44245000000000001</v>
      </c>
      <c r="G15" s="4213">
        <f>SUM('Прил. 1 План ФХД вода '!Z19)</f>
        <v>1.32735</v>
      </c>
      <c r="H15" s="4213">
        <f>SUM('Прил. 1 План ФХД вода '!AC19)</f>
        <v>0.44245000000000001</v>
      </c>
      <c r="I15" s="4214">
        <f>SUM('Прил. 1 План ФХД вода '!AF19)</f>
        <v>1.7698</v>
      </c>
      <c r="K15" s="128">
        <f t="shared" si="1"/>
        <v>1.7698</v>
      </c>
    </row>
    <row r="16" spans="1:11" ht="20.100000000000001" customHeight="1" x14ac:dyDescent="0.2">
      <c r="A16" s="3116" t="s">
        <v>3841</v>
      </c>
      <c r="B16" s="3117" t="s">
        <v>3839</v>
      </c>
      <c r="C16" s="4211">
        <f>SUM('Прил. 1 План ФХД трансп. воды'!C15)</f>
        <v>81.603660000000005</v>
      </c>
      <c r="D16" s="4211">
        <f>SUM('Прил. 1 План ФХД трансп. воды'!D15)</f>
        <v>81.603660000000005</v>
      </c>
      <c r="E16" s="4211">
        <f>SUM('Прил. 1 План ФХД трансп. воды'!E15)</f>
        <v>163.20732000000001</v>
      </c>
      <c r="F16" s="4211">
        <f>SUM('Прил. 1 План ФХД трансп. воды'!F15)</f>
        <v>81.603660000000005</v>
      </c>
      <c r="G16" s="4211">
        <f>SUM('Прил. 1 План ФХД трансп. воды'!G15)</f>
        <v>244.81098000000003</v>
      </c>
      <c r="H16" s="4211">
        <f>SUM('Прил. 1 План ФХД трансп. воды'!H15)</f>
        <v>81.603660000000005</v>
      </c>
      <c r="I16" s="4212">
        <f>SUM(G16:H16)</f>
        <v>326.41464000000002</v>
      </c>
      <c r="K16" s="128">
        <f t="shared" si="1"/>
        <v>326.41464000000002</v>
      </c>
    </row>
    <row r="17" spans="1:11" ht="20.100000000000001" customHeight="1" x14ac:dyDescent="0.2">
      <c r="A17" s="3122" t="s">
        <v>3842</v>
      </c>
      <c r="B17" s="3117" t="s">
        <v>3839</v>
      </c>
      <c r="C17" s="4211">
        <f>SUM(C18:C19)</f>
        <v>711.10124999999994</v>
      </c>
      <c r="D17" s="4211">
        <f t="shared" ref="D17:I17" si="2">SUM(D18:D19)</f>
        <v>711.10124999999994</v>
      </c>
      <c r="E17" s="4211">
        <f t="shared" si="2"/>
        <v>1422.2024999999999</v>
      </c>
      <c r="F17" s="4211">
        <f t="shared" si="2"/>
        <v>711.10124999999994</v>
      </c>
      <c r="G17" s="4211">
        <f t="shared" si="2"/>
        <v>2133.30375</v>
      </c>
      <c r="H17" s="4211">
        <f t="shared" si="2"/>
        <v>711.10124999999994</v>
      </c>
      <c r="I17" s="4212">
        <f t="shared" si="2"/>
        <v>2844.4049999999997</v>
      </c>
      <c r="K17" s="128">
        <f>SUM(C17+D17+F17+H17)</f>
        <v>2844.4049999999997</v>
      </c>
    </row>
    <row r="18" spans="1:11" ht="20.100000000000001" customHeight="1" x14ac:dyDescent="0.2">
      <c r="A18" s="3123" t="s">
        <v>337</v>
      </c>
      <c r="B18" s="3117" t="s">
        <v>3839</v>
      </c>
      <c r="C18" s="4213">
        <f>SUM('Прил. 1 План ФХД стоки'!N15)</f>
        <v>706.68449999999996</v>
      </c>
      <c r="D18" s="4213">
        <f>SUM('Прил. 1 План ФХД стоки'!Q15)</f>
        <v>706.68449999999996</v>
      </c>
      <c r="E18" s="4213">
        <f>SUM('Прил. 1 План ФХД стоки'!T15)</f>
        <v>1413.3689999999999</v>
      </c>
      <c r="F18" s="4213">
        <f>SUM('Прил. 1 План ФХД стоки'!W15)</f>
        <v>706.68449999999996</v>
      </c>
      <c r="G18" s="4213">
        <f>SUM('Прил. 1 План ФХД стоки'!Z15)</f>
        <v>2120.0535</v>
      </c>
      <c r="H18" s="4213">
        <f>SUM('Прил. 1 План ФХД стоки'!AC15)</f>
        <v>706.68449999999996</v>
      </c>
      <c r="I18" s="4214">
        <f>SUM(G18:H18)</f>
        <v>2826.7379999999998</v>
      </c>
      <c r="K18" s="128">
        <f t="shared" si="1"/>
        <v>2826.7379999999998</v>
      </c>
    </row>
    <row r="19" spans="1:11" ht="20.100000000000001" customHeight="1" x14ac:dyDescent="0.2">
      <c r="A19" s="3123" t="s">
        <v>3843</v>
      </c>
      <c r="B19" s="3117" t="s">
        <v>3839</v>
      </c>
      <c r="C19" s="4213">
        <f>SUM('Прил. 1 План ФХД стоки'!O15)</f>
        <v>4.4167500000000004</v>
      </c>
      <c r="D19" s="4213">
        <f>SUM('Прил. 1 План ФХД стоки'!R15)</f>
        <v>4.4167500000000004</v>
      </c>
      <c r="E19" s="4213">
        <f>SUM('Прил. 1 План ФХД стоки'!U15)</f>
        <v>8.8335000000000008</v>
      </c>
      <c r="F19" s="4213">
        <f>SUM('Прил. 1 План ФХД стоки'!X15)</f>
        <v>4.4167500000000004</v>
      </c>
      <c r="G19" s="4213">
        <f>SUM('Прил. 1 План ФХД стоки'!AA15)</f>
        <v>13.250250000000001</v>
      </c>
      <c r="H19" s="4213">
        <f>SUM('Прил. 1 План ФХД стоки'!AD15)</f>
        <v>4.4167500000000004</v>
      </c>
      <c r="I19" s="4214">
        <f>SUM(G19:H19)</f>
        <v>17.667000000000002</v>
      </c>
      <c r="K19" s="128">
        <f t="shared" si="1"/>
        <v>17.667000000000002</v>
      </c>
    </row>
    <row r="20" spans="1:11" ht="20.100000000000001" customHeight="1" x14ac:dyDescent="0.2">
      <c r="A20" s="3116" t="s">
        <v>3844</v>
      </c>
      <c r="B20" s="3117" t="s">
        <v>3839</v>
      </c>
      <c r="C20" s="4211">
        <f>SUM('Прил. 1 План ФХД трансп. стоков'!C11)</f>
        <v>149.06899999999999</v>
      </c>
      <c r="D20" s="4211">
        <f>SUM('Прил. 1 План ФХД трансп. стоков'!D11)</f>
        <v>149.06899999999999</v>
      </c>
      <c r="E20" s="4211">
        <f>SUM('Прил. 1 План ФХД трансп. стоков'!E11)</f>
        <v>298.13799999999998</v>
      </c>
      <c r="F20" s="4211">
        <f>SUM('Прил. 1 План ФХД трансп. стоков'!F11)</f>
        <v>149.06899999999999</v>
      </c>
      <c r="G20" s="4211">
        <f>SUM('Прил. 1 План ФХД трансп. стоков'!G11)</f>
        <v>447.20699999999999</v>
      </c>
      <c r="H20" s="4211">
        <f>SUM('Прил. 1 План ФХД трансп. стоков'!H11)</f>
        <v>149.06899999999999</v>
      </c>
      <c r="I20" s="4212">
        <f>SUM(G20:H20)</f>
        <v>596.27599999999995</v>
      </c>
      <c r="K20" s="128">
        <f t="shared" si="1"/>
        <v>596.27599999999995</v>
      </c>
    </row>
    <row r="21" spans="1:11" ht="20.100000000000001" customHeight="1" x14ac:dyDescent="0.2">
      <c r="A21" s="3124" t="s">
        <v>3845</v>
      </c>
      <c r="B21" s="3125" t="s">
        <v>181</v>
      </c>
      <c r="C21" s="3222">
        <f>SUM(C22+C27+C32+C26+C31)</f>
        <v>61250.640956482661</v>
      </c>
      <c r="D21" s="3222">
        <f t="shared" ref="D21:G21" si="3">SUM(D22+D27+D32+D26+D31)</f>
        <v>61250.640956482661</v>
      </c>
      <c r="E21" s="3222">
        <f t="shared" si="3"/>
        <v>122501.28191296532</v>
      </c>
      <c r="F21" s="3222">
        <f t="shared" si="3"/>
        <v>64557.248870594347</v>
      </c>
      <c r="G21" s="3222">
        <f t="shared" si="3"/>
        <v>187058.53078355969</v>
      </c>
      <c r="H21" s="3222">
        <f>SUM(H22+H27+H32+H26+H31)</f>
        <v>64557.248870594347</v>
      </c>
      <c r="I21" s="3223">
        <f>SUM(I22+I27+I32+I26+I31)</f>
        <v>251615.77965415397</v>
      </c>
      <c r="K21" s="128">
        <f t="shared" si="1"/>
        <v>251615.779654154</v>
      </c>
    </row>
    <row r="22" spans="1:11" ht="20.100000000000001" customHeight="1" x14ac:dyDescent="0.2">
      <c r="A22" s="3122" t="s">
        <v>3846</v>
      </c>
      <c r="B22" s="3125" t="s">
        <v>181</v>
      </c>
      <c r="C22" s="3126">
        <f>SUM(C23+C25)</f>
        <v>34707.657664910897</v>
      </c>
      <c r="D22" s="3126">
        <f t="shared" ref="D22:I22" si="4">SUM(D23+D25)</f>
        <v>34707.657664910897</v>
      </c>
      <c r="E22" s="3126">
        <f t="shared" si="4"/>
        <v>69415.315329821795</v>
      </c>
      <c r="F22" s="3126">
        <f t="shared" si="4"/>
        <v>36821.64328097269</v>
      </c>
      <c r="G22" s="3126">
        <f t="shared" si="4"/>
        <v>106236.95861079449</v>
      </c>
      <c r="H22" s="3126">
        <f>SUM(H23+H25)</f>
        <v>36821.64328097269</v>
      </c>
      <c r="I22" s="3118">
        <f t="shared" si="4"/>
        <v>143058.60189176718</v>
      </c>
      <c r="J22" s="523"/>
      <c r="K22" s="128">
        <f t="shared" si="1"/>
        <v>143058.60189176718</v>
      </c>
    </row>
    <row r="23" spans="1:11" ht="20.100000000000001" customHeight="1" x14ac:dyDescent="0.2">
      <c r="A23" s="3129" t="s">
        <v>3847</v>
      </c>
      <c r="B23" s="3125" t="s">
        <v>181</v>
      </c>
      <c r="C23" s="3130">
        <f>SUM('ФАКТ.СЕБЕСТ.ВОДА 9 мес. 2021'!AD37)</f>
        <v>34700.029057971689</v>
      </c>
      <c r="D23" s="3130">
        <f>SUM('ФАКТ.СЕБЕСТ.ВОДА 9 мес. 2021'!BQ37)</f>
        <v>34700.029057971689</v>
      </c>
      <c r="E23" s="3130">
        <f>SUM('ФАКТ.СЕБЕСТ.ВОДА 9 мес. 2021'!CC37)</f>
        <v>69400.058115943379</v>
      </c>
      <c r="F23" s="3130">
        <f>SUM('ФАКТ.СЕБЕСТ.ВОДА 9 мес. 2021'!DP37)</f>
        <v>36812.382780098676</v>
      </c>
      <c r="G23" s="3130">
        <f>SUM('ФАКТ.СЕБЕСТ.ВОДА 9 мес. 2021'!EB37)</f>
        <v>106212.44089604206</v>
      </c>
      <c r="H23" s="3130">
        <f>SUM('ФАКТ.СЕБЕСТ.ВОДА 9 мес. 2021'!FO37)</f>
        <v>36812.382780098676</v>
      </c>
      <c r="I23" s="3131">
        <f>SUM('ФАКТ.СЕБЕСТ.ВОДА 9 мес. 2021'!GA37)</f>
        <v>143024.82367614075</v>
      </c>
      <c r="J23" s="523"/>
      <c r="K23" s="128">
        <f t="shared" si="1"/>
        <v>143024.82367614075</v>
      </c>
    </row>
    <row r="24" spans="1:11" ht="20.100000000000001" customHeight="1" x14ac:dyDescent="0.2">
      <c r="A24" s="3132" t="s">
        <v>3848</v>
      </c>
      <c r="B24" s="3125" t="s">
        <v>181</v>
      </c>
      <c r="C24" s="3133">
        <f>SUM('ФАКТ.СЕБЕСТ.ВОДА 9 мес. 2021'!AD31)</f>
        <v>4376.7032525988088</v>
      </c>
      <c r="D24" s="3133">
        <f>SUM('ФАКТ.СЕБЕСТ.ВОДА 9 мес. 2021'!BQ31)</f>
        <v>4376.7032525988088</v>
      </c>
      <c r="E24" s="3133">
        <f>SUM('ФАКТ.СЕБЕСТ.ВОДА 9 мес. 2021'!CC31)</f>
        <v>8753.4065051976177</v>
      </c>
      <c r="F24" s="3133">
        <f>SUM('ФАКТ.СЕБЕСТ.ВОДА 9 мес. 2021'!DP31)</f>
        <v>5101.3145207260204</v>
      </c>
      <c r="G24" s="3133">
        <f>SUM('ФАКТ.СЕБЕСТ.ВОДА 9 мес. 2021'!EB31)</f>
        <v>13854.721025923638</v>
      </c>
      <c r="H24" s="3133">
        <f>SUM('ФАКТ.СЕБЕСТ.ВОДА 9 мес. 2021'!FO31)</f>
        <v>5101.3145207260204</v>
      </c>
      <c r="I24" s="3134">
        <f>SUM('ФАКТ.СЕБЕСТ.ВОДА 9 мес. 2021'!GA31)</f>
        <v>18956.035546649658</v>
      </c>
      <c r="J24" s="523"/>
      <c r="K24" s="128">
        <f t="shared" si="1"/>
        <v>18956.035546649658</v>
      </c>
    </row>
    <row r="25" spans="1:11" ht="20.100000000000001" customHeight="1" x14ac:dyDescent="0.2">
      <c r="A25" s="3135" t="s">
        <v>1696</v>
      </c>
      <c r="B25" s="3125" t="s">
        <v>181</v>
      </c>
      <c r="C25" s="3130">
        <f>SUM('ФАКТ.СЕБЕСТ.ВОДА 9 мес. 2021'!AE37)</f>
        <v>7.6286069392095222</v>
      </c>
      <c r="D25" s="3130">
        <f>SUM('ФАКТ.СЕБЕСТ.ВОДА 9 мес. 2021'!BR37)</f>
        <v>7.6286069392095222</v>
      </c>
      <c r="E25" s="3130">
        <f>SUM('ФАКТ.СЕБЕСТ.ВОДА 9 мес. 2021'!CD37)</f>
        <v>15.257213878419044</v>
      </c>
      <c r="F25" s="3130">
        <f>SUM('ФАКТ.СЕБЕСТ.ВОДА 9 мес. 2021'!DQ37)</f>
        <v>9.2605008740116794</v>
      </c>
      <c r="G25" s="3130">
        <f>SUM('ФАКТ.СЕБЕСТ.ВОДА 9 мес. 2021'!EC37)</f>
        <v>24.517714752430724</v>
      </c>
      <c r="H25" s="3130">
        <f>SUM('ФАКТ.СЕБЕСТ.ВОДА 9 мес. 2021'!FP37)</f>
        <v>9.2605008740116794</v>
      </c>
      <c r="I25" s="3131">
        <f>SUM('ФАКТ.СЕБЕСТ.ВОДА 9 мес. 2021'!GB37)</f>
        <v>33.778215626442403</v>
      </c>
      <c r="J25" s="523"/>
      <c r="K25" s="128">
        <f t="shared" si="1"/>
        <v>33.778215626442403</v>
      </c>
    </row>
    <row r="26" spans="1:11" ht="20.100000000000001" customHeight="1" x14ac:dyDescent="0.2">
      <c r="A26" s="3116" t="s">
        <v>3841</v>
      </c>
      <c r="B26" s="3125" t="s">
        <v>181</v>
      </c>
      <c r="C26" s="4211">
        <v>147.49463025399999</v>
      </c>
      <c r="D26" s="4211">
        <v>147.49463025399999</v>
      </c>
      <c r="E26" s="4211">
        <f>SUM(C26:D26)</f>
        <v>294.98926050799997</v>
      </c>
      <c r="F26" s="4211">
        <v>165.943505114</v>
      </c>
      <c r="G26" s="4211">
        <f>SUM(E26:F26)</f>
        <v>460.93276562199998</v>
      </c>
      <c r="H26" s="4211">
        <v>165.943505114</v>
      </c>
      <c r="I26" s="4212">
        <f>SUM(G26:H26)</f>
        <v>626.87627073599992</v>
      </c>
      <c r="J26" s="523"/>
      <c r="K26" s="128">
        <f t="shared" si="1"/>
        <v>626.87627073599992</v>
      </c>
    </row>
    <row r="27" spans="1:11" ht="20.100000000000001" customHeight="1" x14ac:dyDescent="0.2">
      <c r="A27" s="3122" t="s">
        <v>3842</v>
      </c>
      <c r="B27" s="3125" t="s">
        <v>181</v>
      </c>
      <c r="C27" s="3126">
        <f>SUM(C28+C30)</f>
        <v>23487.487729743763</v>
      </c>
      <c r="D27" s="3126">
        <f t="shared" ref="D27:I27" si="5">SUM(D28+D30)</f>
        <v>23487.487729743763</v>
      </c>
      <c r="E27" s="3126">
        <f t="shared" si="5"/>
        <v>46974.975459487527</v>
      </c>
      <c r="F27" s="3126">
        <f t="shared" si="5"/>
        <v>24412.899805694651</v>
      </c>
      <c r="G27" s="3126">
        <f t="shared" si="5"/>
        <v>71387.875265182171</v>
      </c>
      <c r="H27" s="3126">
        <f>SUM(H28+H30)</f>
        <v>24412.899805694651</v>
      </c>
      <c r="I27" s="3118">
        <f t="shared" si="5"/>
        <v>95800.775070876829</v>
      </c>
      <c r="J27" s="523"/>
      <c r="K27" s="128">
        <f t="shared" si="1"/>
        <v>95800.775070876814</v>
      </c>
    </row>
    <row r="28" spans="1:11" ht="20.100000000000001" customHeight="1" x14ac:dyDescent="0.2">
      <c r="A28" s="3135" t="s">
        <v>3842</v>
      </c>
      <c r="B28" s="3125" t="s">
        <v>181</v>
      </c>
      <c r="C28" s="3130">
        <f>SUM('ФАКТ.СЕБЕСТ.СТОКИ 9 мес. 2021'!AD25)</f>
        <v>23422.713451841668</v>
      </c>
      <c r="D28" s="3130">
        <f>SUM('ФАКТ.СЕБЕСТ.СТОКИ 9 мес. 2021'!BQ25)</f>
        <v>23422.713451841668</v>
      </c>
      <c r="E28" s="3130">
        <f>SUM('ФАКТ.СЕБЕСТ.СТОКИ 9 мес. 2021'!CC25)</f>
        <v>46845.426903683336</v>
      </c>
      <c r="F28" s="3130">
        <f>SUM('ФАКТ.СЕБЕСТ.СТОКИ 9 мес. 2021'!DP25)</f>
        <v>24324.826797555768</v>
      </c>
      <c r="G28" s="3130">
        <f>SUM('ФАКТ.СЕБЕСТ.СТОКИ 9 мес. 2021'!EB25)</f>
        <v>71170.253701239097</v>
      </c>
      <c r="H28" s="3130">
        <f>SUM('ФАКТ.СЕБЕСТ.СТОКИ 9 мес. 2021'!FO25)</f>
        <v>24324.826797555768</v>
      </c>
      <c r="I28" s="3131">
        <f>SUM('ФАКТ.СЕБЕСТ.СТОКИ 9 мес. 2021'!GA25)</f>
        <v>95495.080498794865</v>
      </c>
      <c r="J28" s="523"/>
      <c r="K28" s="128">
        <f t="shared" si="1"/>
        <v>95495.080498794865</v>
      </c>
    </row>
    <row r="29" spans="1:11" ht="20.100000000000001" customHeight="1" x14ac:dyDescent="0.2">
      <c r="A29" s="3132" t="s">
        <v>3848</v>
      </c>
      <c r="B29" s="3125" t="s">
        <v>181</v>
      </c>
      <c r="C29" s="3133">
        <f>SUM('ФАКТ.СЕБЕСТ.СТОКИ 9 мес. 2021'!AD22)</f>
        <v>3587.3256763869999</v>
      </c>
      <c r="D29" s="3133">
        <f>SUM('ФАКТ.СЕБЕСТ.СТОКИ 9 мес. 2021'!BQ22)</f>
        <v>3587.3256763869999</v>
      </c>
      <c r="E29" s="3133">
        <f>SUM('ФАКТ.СЕБЕСТ.СТОКИ 9 мес. 2021'!CC22)</f>
        <v>7174.6513527739999</v>
      </c>
      <c r="F29" s="3133">
        <f>SUM('ФАКТ.СЕБЕСТ.СТОКИ 9 мес. 2021'!DP22)</f>
        <v>3848.435084837246</v>
      </c>
      <c r="G29" s="3133">
        <f>SUM('ФАКТ.СЕБЕСТ.СТОКИ 9 мес. 2021'!EB22)</f>
        <v>11023.086437611246</v>
      </c>
      <c r="H29" s="3133">
        <f>SUM('ФАКТ.СЕБЕСТ.СТОКИ 9 мес. 2021'!FO22)</f>
        <v>3848.435084837246</v>
      </c>
      <c r="I29" s="3134">
        <f>SUM('ФАКТ.СЕБЕСТ.СТОКИ 9 мес. 2021'!GA22)</f>
        <v>14871.521522448493</v>
      </c>
      <c r="J29" s="523"/>
      <c r="K29" s="128">
        <f t="shared" si="1"/>
        <v>14871.521522448493</v>
      </c>
    </row>
    <row r="30" spans="1:11" ht="20.100000000000001" customHeight="1" x14ac:dyDescent="0.2">
      <c r="A30" s="3135" t="s">
        <v>3843</v>
      </c>
      <c r="B30" s="3125" t="s">
        <v>181</v>
      </c>
      <c r="C30" s="3130">
        <f>SUM('ФАКТ.СЕБЕСТ.СТОКИ 9 мес. 2021'!AE25)</f>
        <v>64.774277902096202</v>
      </c>
      <c r="D30" s="3130">
        <f>SUM('ФАКТ.СЕБЕСТ.СТОКИ 9 мес. 2021'!BR25)</f>
        <v>64.774277902096202</v>
      </c>
      <c r="E30" s="3130">
        <f>SUM('ФАКТ.СЕБЕСТ.СТОКИ 9 мес. 2021'!CD25)</f>
        <v>129.5485558041924</v>
      </c>
      <c r="F30" s="3130">
        <f>SUM('ФАКТ.СЕБЕСТ.СТОКИ 9 мес. 2021'!DQ25)</f>
        <v>88.073008138883779</v>
      </c>
      <c r="G30" s="3130">
        <f>SUM('ФАКТ.СЕБЕСТ.СТОКИ 9 мес. 2021'!EC25)</f>
        <v>217.62156394307618</v>
      </c>
      <c r="H30" s="3130">
        <f>SUM('ФАКТ.СЕБЕСТ.СТОКИ 9 мес. 2021'!FP25)</f>
        <v>88.073008138883779</v>
      </c>
      <c r="I30" s="3131">
        <f>SUM('ФАКТ.СЕБЕСТ.СТОКИ 9 мес. 2021'!GB25)</f>
        <v>305.69457208195996</v>
      </c>
      <c r="J30" s="523"/>
      <c r="K30" s="128">
        <f t="shared" si="1"/>
        <v>305.69457208195996</v>
      </c>
    </row>
    <row r="31" spans="1:11" ht="20.100000000000001" customHeight="1" x14ac:dyDescent="0.2">
      <c r="A31" s="3116" t="s">
        <v>3844</v>
      </c>
      <c r="B31" s="3125" t="s">
        <v>181</v>
      </c>
      <c r="C31" s="4211">
        <v>808.00093157399999</v>
      </c>
      <c r="D31" s="4211">
        <f>SUM(C31)</f>
        <v>808.00093157399999</v>
      </c>
      <c r="E31" s="4211">
        <f>SUM(C31:D31)</f>
        <v>1616.001863148</v>
      </c>
      <c r="F31" s="4211">
        <v>1056.762278813</v>
      </c>
      <c r="G31" s="4211">
        <f>SUM(E31+F31)</f>
        <v>2672.764141961</v>
      </c>
      <c r="H31" s="4211">
        <f>SUM(F31)</f>
        <v>1056.762278813</v>
      </c>
      <c r="I31" s="4212">
        <f>SUM(G31:H31)</f>
        <v>3729.5264207740001</v>
      </c>
      <c r="J31" s="523"/>
      <c r="K31" s="128">
        <f t="shared" si="1"/>
        <v>3729.5264207740001</v>
      </c>
    </row>
    <row r="32" spans="1:11" ht="20.100000000000001" customHeight="1" x14ac:dyDescent="0.2">
      <c r="A32" s="3122" t="s">
        <v>3849</v>
      </c>
      <c r="B32" s="3125" t="s">
        <v>181</v>
      </c>
      <c r="C32" s="3126">
        <f>SUM(C33:C34)</f>
        <v>2100</v>
      </c>
      <c r="D32" s="3126">
        <f t="shared" ref="D32:I32" si="6">SUM(D33:D34)</f>
        <v>2100</v>
      </c>
      <c r="E32" s="3126">
        <f t="shared" si="6"/>
        <v>4200</v>
      </c>
      <c r="F32" s="3126">
        <f t="shared" si="6"/>
        <v>2100</v>
      </c>
      <c r="G32" s="3126">
        <f t="shared" si="6"/>
        <v>6300</v>
      </c>
      <c r="H32" s="3126">
        <f t="shared" si="6"/>
        <v>2100</v>
      </c>
      <c r="I32" s="3118">
        <f t="shared" si="6"/>
        <v>8400</v>
      </c>
      <c r="K32" s="128">
        <f t="shared" si="1"/>
        <v>8400</v>
      </c>
    </row>
    <row r="33" spans="1:12" ht="20.100000000000001" customHeight="1" x14ac:dyDescent="0.2">
      <c r="A33" s="3053" t="s">
        <v>3850</v>
      </c>
      <c r="B33" s="3125" t="s">
        <v>181</v>
      </c>
      <c r="C33" s="3133">
        <v>400</v>
      </c>
      <c r="D33" s="3133">
        <v>400</v>
      </c>
      <c r="E33" s="3133">
        <f>SUM(C33:D33)</f>
        <v>800</v>
      </c>
      <c r="F33" s="3133">
        <v>400</v>
      </c>
      <c r="G33" s="3133">
        <f>SUM(E33:F33)</f>
        <v>1200</v>
      </c>
      <c r="H33" s="3133">
        <v>400</v>
      </c>
      <c r="I33" s="3134">
        <f>SUM(G33:H33)</f>
        <v>1600</v>
      </c>
      <c r="K33" s="128">
        <f t="shared" si="1"/>
        <v>1600</v>
      </c>
    </row>
    <row r="34" spans="1:12" ht="20.100000000000001" customHeight="1" x14ac:dyDescent="0.2">
      <c r="A34" s="3053" t="s">
        <v>3753</v>
      </c>
      <c r="B34" s="3125" t="s">
        <v>181</v>
      </c>
      <c r="C34" s="3133">
        <v>1700</v>
      </c>
      <c r="D34" s="3133">
        <v>1700</v>
      </c>
      <c r="E34" s="3133">
        <f>SUM(C34:D34)</f>
        <v>3400</v>
      </c>
      <c r="F34" s="3133">
        <v>1700</v>
      </c>
      <c r="G34" s="3133">
        <f>SUM(E34:F34)</f>
        <v>5100</v>
      </c>
      <c r="H34" s="3133">
        <v>1700</v>
      </c>
      <c r="I34" s="3134">
        <f>SUM(G34:H34)</f>
        <v>6800</v>
      </c>
      <c r="K34" s="128">
        <f t="shared" si="1"/>
        <v>6800</v>
      </c>
    </row>
    <row r="35" spans="1:12" ht="20.100000000000001" customHeight="1" x14ac:dyDescent="0.2">
      <c r="A35" s="3124" t="s">
        <v>3851</v>
      </c>
      <c r="B35" s="3125" t="s">
        <v>181</v>
      </c>
      <c r="C35" s="3222">
        <f t="shared" ref="C35:I35" si="7">SUM(C36+C39+C40+C43+C44)</f>
        <v>61870.106052437739</v>
      </c>
      <c r="D35" s="3222">
        <f t="shared" si="7"/>
        <v>61870.106052437739</v>
      </c>
      <c r="E35" s="3222">
        <f t="shared" si="7"/>
        <v>123740.21210487548</v>
      </c>
      <c r="F35" s="3222">
        <f t="shared" si="7"/>
        <v>62337.784714078574</v>
      </c>
      <c r="G35" s="3222">
        <f t="shared" si="7"/>
        <v>186077.99681895407</v>
      </c>
      <c r="H35" s="3222">
        <f t="shared" si="7"/>
        <v>62337.784714078574</v>
      </c>
      <c r="I35" s="3223">
        <f t="shared" si="7"/>
        <v>248415.78153303266</v>
      </c>
      <c r="K35" s="128">
        <f t="shared" si="1"/>
        <v>248415.78153303266</v>
      </c>
    </row>
    <row r="36" spans="1:12" ht="20.100000000000001" customHeight="1" x14ac:dyDescent="0.2">
      <c r="A36" s="3122" t="s">
        <v>3846</v>
      </c>
      <c r="B36" s="3125" t="s">
        <v>181</v>
      </c>
      <c r="C36" s="3126">
        <f>SUM(C37:C38)</f>
        <v>35705.682321275606</v>
      </c>
      <c r="D36" s="3126">
        <f t="shared" ref="D36:I36" si="8">SUM(D37:D38)</f>
        <v>35705.682321275606</v>
      </c>
      <c r="E36" s="3126">
        <f t="shared" si="8"/>
        <v>71411.364642551212</v>
      </c>
      <c r="F36" s="3126">
        <f t="shared" si="8"/>
        <v>35823.619778073189</v>
      </c>
      <c r="G36" s="3126">
        <f t="shared" si="8"/>
        <v>107234.98442062442</v>
      </c>
      <c r="H36" s="3126">
        <f t="shared" si="8"/>
        <v>35823.619778073189</v>
      </c>
      <c r="I36" s="3118">
        <f t="shared" si="8"/>
        <v>143058.60419869761</v>
      </c>
      <c r="K36" s="128">
        <f t="shared" si="1"/>
        <v>143058.60419869761</v>
      </c>
    </row>
    <row r="37" spans="1:12" ht="20.100000000000001" customHeight="1" x14ac:dyDescent="0.2">
      <c r="A37" s="3129" t="s">
        <v>3840</v>
      </c>
      <c r="B37" s="3125" t="s">
        <v>181</v>
      </c>
      <c r="C37" s="3130">
        <f>SUM('ФАКТ.СЕБЕСТ.ВОДА 9 мес. 2021'!AD81)</f>
        <v>35697.246757918241</v>
      </c>
      <c r="D37" s="3130">
        <f>SUM('ФАКТ.СЕБЕСТ.ВОДА 9 мес. 2021'!BQ81)</f>
        <v>35697.246757918241</v>
      </c>
      <c r="E37" s="3130">
        <f>SUM('ФАКТ.СЕБЕСТ.ВОДА 9 мес. 2021'!CC81)</f>
        <v>71394.493515836482</v>
      </c>
      <c r="F37" s="3130">
        <f>SUM('ФАКТ.СЕБЕСТ.ВОДА 9 мес. 2021'!DP81)</f>
        <v>35815.163072334304</v>
      </c>
      <c r="G37" s="3130">
        <f>SUM('ФАКТ.СЕБЕСТ.ВОДА 9 мес. 2021'!EB81)</f>
        <v>107209.65658817079</v>
      </c>
      <c r="H37" s="3130">
        <f>SUM('ФАКТ.СЕБЕСТ.ВОДА 9 мес. 2021'!FO81)</f>
        <v>35815.163072334304</v>
      </c>
      <c r="I37" s="3131">
        <f>SUM('ФАКТ.СЕБЕСТ.ВОДА 9 мес. 2021'!GA81)</f>
        <v>143024.81966050511</v>
      </c>
      <c r="K37" s="128">
        <f t="shared" si="1"/>
        <v>143024.81966050511</v>
      </c>
    </row>
    <row r="38" spans="1:12" ht="20.100000000000001" customHeight="1" x14ac:dyDescent="0.2">
      <c r="A38" s="3135" t="s">
        <v>1696</v>
      </c>
      <c r="B38" s="3125" t="s">
        <v>181</v>
      </c>
      <c r="C38" s="3130">
        <f>SUM('ФАКТ.СЕБЕСТ.ВОДА 9 мес. 2021'!AE81)</f>
        <v>8.435563357368661</v>
      </c>
      <c r="D38" s="3130">
        <f>SUM('ФАКТ.СЕБЕСТ.ВОДА 9 мес. 2021'!BR81)</f>
        <v>8.435563357368661</v>
      </c>
      <c r="E38" s="3130">
        <f>SUM('ФАКТ.СЕБЕСТ.ВОДА 9 мес. 2021'!CD81)</f>
        <v>16.871126714737322</v>
      </c>
      <c r="F38" s="3130">
        <f>SUM('ФАКТ.СЕБЕСТ.ВОДА 9 мес. 2021'!DQ81)</f>
        <v>8.4567057388856366</v>
      </c>
      <c r="G38" s="3130">
        <f>SUM('ФАКТ.СЕБЕСТ.ВОДА 9 мес. 2021'!EC81)</f>
        <v>25.32783245362296</v>
      </c>
      <c r="H38" s="3130">
        <f>SUM('ФАКТ.СЕБЕСТ.ВОДА 9 мес. 2021'!FP81)</f>
        <v>8.4567057388856366</v>
      </c>
      <c r="I38" s="3131">
        <f>SUM('ФАКТ.СЕБЕСТ.ВОДА 9 мес. 2021'!GB81)</f>
        <v>33.784538192508599</v>
      </c>
      <c r="K38" s="128">
        <f t="shared" si="1"/>
        <v>33.784538192508599</v>
      </c>
    </row>
    <row r="39" spans="1:12" ht="20.100000000000001" customHeight="1" x14ac:dyDescent="0.2">
      <c r="A39" s="3116" t="s">
        <v>3841</v>
      </c>
      <c r="B39" s="3125" t="s">
        <v>181</v>
      </c>
      <c r="C39" s="4211">
        <v>147.49463025375999</v>
      </c>
      <c r="D39" s="4211">
        <f>SUM(C39)</f>
        <v>147.49463025375999</v>
      </c>
      <c r="E39" s="4211">
        <f>SUM(C39:D39)</f>
        <v>294.98926050751999</v>
      </c>
      <c r="F39" s="4211">
        <v>165.94350511447999</v>
      </c>
      <c r="G39" s="4211">
        <f>SUM(E39:F39)</f>
        <v>460.93276562199998</v>
      </c>
      <c r="H39" s="4211">
        <f>SUM(F39)</f>
        <v>165.94350511447999</v>
      </c>
      <c r="I39" s="4212">
        <f>SUM(G39:H39)</f>
        <v>626.87627073647991</v>
      </c>
      <c r="K39" s="128">
        <f t="shared" si="1"/>
        <v>626.87627073647991</v>
      </c>
    </row>
    <row r="40" spans="1:12" ht="20.100000000000001" customHeight="1" x14ac:dyDescent="0.2">
      <c r="A40" s="3122" t="s">
        <v>3842</v>
      </c>
      <c r="B40" s="3125" t="s">
        <v>181</v>
      </c>
      <c r="C40" s="3126">
        <f>SUM(C41:C42)</f>
        <v>23908.928169338378</v>
      </c>
      <c r="D40" s="3126">
        <f t="shared" ref="D40:I40" si="9">SUM(D41:D42)</f>
        <v>23908.928169338378</v>
      </c>
      <c r="E40" s="3126">
        <f t="shared" si="9"/>
        <v>47817.856338676756</v>
      </c>
      <c r="F40" s="3126">
        <f t="shared" si="9"/>
        <v>23991.459152080901</v>
      </c>
      <c r="G40" s="3126">
        <f t="shared" si="9"/>
        <v>71809.315490757654</v>
      </c>
      <c r="H40" s="3126">
        <f t="shared" si="9"/>
        <v>23991.459152080901</v>
      </c>
      <c r="I40" s="3118">
        <f t="shared" si="9"/>
        <v>95800.774642838573</v>
      </c>
      <c r="K40" s="128">
        <f t="shared" si="1"/>
        <v>95800.774642838558</v>
      </c>
    </row>
    <row r="41" spans="1:12" ht="20.100000000000001" customHeight="1" x14ac:dyDescent="0.2">
      <c r="A41" s="3135" t="s">
        <v>337</v>
      </c>
      <c r="B41" s="3125" t="s">
        <v>181</v>
      </c>
      <c r="C41" s="3130">
        <f>SUM('ФАКТ.СЕБЕСТ.СТОКИ 9 мес. 2021'!AD66)</f>
        <v>23832.878092768766</v>
      </c>
      <c r="D41" s="3130">
        <f>SUM('ФАКТ.СЕБЕСТ.СТОКИ 9 мес. 2021'!BQ66)</f>
        <v>23832.878092768766</v>
      </c>
      <c r="E41" s="3130">
        <f>SUM('ФАКТ.СЕБЕСТ.СТОКИ 9 мес. 2021'!CC66)</f>
        <v>47665.756185537532</v>
      </c>
      <c r="F41" s="3130">
        <f>SUM('ФАКТ.СЕБЕСТ.СТОКИ 9 мес. 2021'!DP66)</f>
        <v>23914.662091282</v>
      </c>
      <c r="G41" s="3130">
        <f>SUM('ФАКТ.СЕБЕСТ.СТОКИ 9 мес. 2021'!EB66)</f>
        <v>71580.418276819531</v>
      </c>
      <c r="H41" s="3130">
        <f>SUM('ФАКТ.СЕБЕСТ.СТОКИ 9 мес. 2021'!FO66)</f>
        <v>23914.662091282</v>
      </c>
      <c r="I41" s="3131">
        <f>SUM('ФАКТ.СЕБЕСТ.СТОКИ 9 мес. 2021'!GA66)</f>
        <v>95495.080368101539</v>
      </c>
      <c r="K41" s="128">
        <f t="shared" si="1"/>
        <v>95495.080368101539</v>
      </c>
    </row>
    <row r="42" spans="1:12" ht="20.100000000000001" customHeight="1" x14ac:dyDescent="0.2">
      <c r="A42" s="3135" t="s">
        <v>3843</v>
      </c>
      <c r="B42" s="3125" t="s">
        <v>181</v>
      </c>
      <c r="C42" s="3130">
        <f>SUM('ФАКТ.СЕБЕСТ.СТОКИ 9 мес. 2021'!AE66)</f>
        <v>76.050076569614092</v>
      </c>
      <c r="D42" s="3130">
        <f>SUM('ФАКТ.СЕБЕСТ.СТОКИ 9 мес. 2021'!BR66)</f>
        <v>76.050076569614092</v>
      </c>
      <c r="E42" s="3130">
        <f>SUM('ФАКТ.СЕБЕСТ.СТОКИ 9 мес. 2021'!CD66)</f>
        <v>152.10015313922818</v>
      </c>
      <c r="F42" s="3130">
        <f>SUM('ФАКТ.СЕБЕСТ.СТОКИ 9 мес. 2021'!DQ66)</f>
        <v>76.797060798899295</v>
      </c>
      <c r="G42" s="3130">
        <f>SUM('ФАКТ.СЕБЕСТ.СТОКИ 9 мес. 2021'!EC66)</f>
        <v>228.89721393812749</v>
      </c>
      <c r="H42" s="3130">
        <f>SUM('ФАКТ.СЕБЕСТ.СТОКИ 9 мес. 2021'!FP66)</f>
        <v>76.797060798899295</v>
      </c>
      <c r="I42" s="3131">
        <f>SUM('ФАКТ.СЕБЕСТ.СТОКИ 9 мес. 2021'!GB66)</f>
        <v>305.69427473702677</v>
      </c>
      <c r="K42" s="128">
        <f t="shared" si="1"/>
        <v>305.69427473702677</v>
      </c>
    </row>
    <row r="43" spans="1:12" ht="20.100000000000001" customHeight="1" x14ac:dyDescent="0.2">
      <c r="A43" s="3116" t="s">
        <v>3844</v>
      </c>
      <c r="B43" s="3125" t="s">
        <v>181</v>
      </c>
      <c r="C43" s="4211">
        <v>808.00093157000003</v>
      </c>
      <c r="D43" s="4211">
        <f>SUM(C43)</f>
        <v>808.00093157000003</v>
      </c>
      <c r="E43" s="4211">
        <f>SUM(C43:D43)</f>
        <v>1616.0018631400001</v>
      </c>
      <c r="F43" s="4211">
        <v>1056.76227881</v>
      </c>
      <c r="G43" s="4211">
        <f>SUM(E43:F43)</f>
        <v>2672.7641419500001</v>
      </c>
      <c r="H43" s="4211">
        <f>SUM(F43)</f>
        <v>1056.76227881</v>
      </c>
      <c r="I43" s="4212">
        <f>SUM(G43:H43)</f>
        <v>3729.5264207600003</v>
      </c>
      <c r="K43" s="128">
        <f t="shared" si="1"/>
        <v>3729.5264207600003</v>
      </c>
    </row>
    <row r="44" spans="1:12" ht="20.100000000000001" customHeight="1" x14ac:dyDescent="0.2">
      <c r="A44" s="3122" t="s">
        <v>3852</v>
      </c>
      <c r="B44" s="3125" t="s">
        <v>181</v>
      </c>
      <c r="C44" s="3126">
        <f>SUM(C45:C46)</f>
        <v>1300</v>
      </c>
      <c r="D44" s="3126">
        <f t="shared" ref="D44:I44" si="10">SUM(D45:D46)</f>
        <v>1300</v>
      </c>
      <c r="E44" s="3126">
        <f t="shared" si="10"/>
        <v>2600</v>
      </c>
      <c r="F44" s="3126">
        <f t="shared" si="10"/>
        <v>1300</v>
      </c>
      <c r="G44" s="3126">
        <f t="shared" si="10"/>
        <v>3900</v>
      </c>
      <c r="H44" s="3126">
        <f t="shared" si="10"/>
        <v>1300</v>
      </c>
      <c r="I44" s="3118">
        <f t="shared" si="10"/>
        <v>5200</v>
      </c>
      <c r="K44" s="128">
        <f t="shared" si="1"/>
        <v>5200</v>
      </c>
    </row>
    <row r="45" spans="1:12" ht="20.100000000000001" customHeight="1" x14ac:dyDescent="0.2">
      <c r="A45" s="3137" t="s">
        <v>3850</v>
      </c>
      <c r="B45" s="3125" t="s">
        <v>181</v>
      </c>
      <c r="C45" s="3130">
        <f>SUM(C33*70%)</f>
        <v>280</v>
      </c>
      <c r="D45" s="3130">
        <f>SUM(D33*70%)</f>
        <v>280</v>
      </c>
      <c r="E45" s="3130">
        <f>SUM(E33*70%)</f>
        <v>560</v>
      </c>
      <c r="F45" s="3130">
        <f t="shared" ref="F45:I45" si="11">SUM(F33*70%)</f>
        <v>280</v>
      </c>
      <c r="G45" s="3130">
        <f t="shared" si="11"/>
        <v>840</v>
      </c>
      <c r="H45" s="3130">
        <f t="shared" si="11"/>
        <v>280</v>
      </c>
      <c r="I45" s="3131">
        <f t="shared" si="11"/>
        <v>1120</v>
      </c>
      <c r="K45" s="128">
        <f t="shared" si="1"/>
        <v>1120</v>
      </c>
    </row>
    <row r="46" spans="1:12" ht="20.100000000000001" customHeight="1" x14ac:dyDescent="0.2">
      <c r="A46" s="3137" t="s">
        <v>3753</v>
      </c>
      <c r="B46" s="3125" t="s">
        <v>181</v>
      </c>
      <c r="C46" s="3130">
        <f>SUM(C34*60%)</f>
        <v>1020</v>
      </c>
      <c r="D46" s="3130">
        <f t="shared" ref="D46:I46" si="12">SUM(D34*60%)</f>
        <v>1020</v>
      </c>
      <c r="E46" s="3130">
        <f t="shared" si="12"/>
        <v>2040</v>
      </c>
      <c r="F46" s="3130">
        <f t="shared" si="12"/>
        <v>1020</v>
      </c>
      <c r="G46" s="3130">
        <f t="shared" si="12"/>
        <v>3060</v>
      </c>
      <c r="H46" s="3130">
        <f t="shared" si="12"/>
        <v>1020</v>
      </c>
      <c r="I46" s="3131">
        <f t="shared" si="12"/>
        <v>4080</v>
      </c>
      <c r="K46" s="128">
        <f t="shared" si="1"/>
        <v>4080</v>
      </c>
    </row>
    <row r="47" spans="1:12" ht="20.100000000000001" customHeight="1" x14ac:dyDescent="0.2">
      <c r="A47" s="3122" t="s">
        <v>3853</v>
      </c>
      <c r="B47" s="3125" t="s">
        <v>181</v>
      </c>
      <c r="C47" s="3126">
        <f t="shared" ref="C47:I47" si="13">SUM(C48:C52)</f>
        <v>-619.4650959550836</v>
      </c>
      <c r="D47" s="3126">
        <f t="shared" si="13"/>
        <v>-619.4650959550836</v>
      </c>
      <c r="E47" s="3126">
        <f t="shared" si="13"/>
        <v>-1238.9301919101672</v>
      </c>
      <c r="F47" s="3126">
        <f t="shared" si="13"/>
        <v>2219.4641565157717</v>
      </c>
      <c r="G47" s="3126">
        <f t="shared" si="13"/>
        <v>980.53396460559316</v>
      </c>
      <c r="H47" s="3126">
        <f>SUM(H48:H52)</f>
        <v>2219.4641565157717</v>
      </c>
      <c r="I47" s="3118">
        <f t="shared" si="13"/>
        <v>3199.9981211213462</v>
      </c>
      <c r="K47" s="128">
        <f t="shared" si="1"/>
        <v>3199.9981211213762</v>
      </c>
    </row>
    <row r="48" spans="1:12" ht="20.100000000000001" customHeight="1" x14ac:dyDescent="0.2">
      <c r="A48" s="3123" t="s">
        <v>347</v>
      </c>
      <c r="B48" s="3128" t="s">
        <v>181</v>
      </c>
      <c r="C48" s="3133">
        <f>SUM(C22-C36)</f>
        <v>-998.02465636470879</v>
      </c>
      <c r="D48" s="3133">
        <f t="shared" ref="D48:I48" si="14">SUM(D22-D36)</f>
        <v>-998.02465636470879</v>
      </c>
      <c r="E48" s="3133">
        <f t="shared" si="14"/>
        <v>-1996.0493127294176</v>
      </c>
      <c r="F48" s="3133">
        <f t="shared" si="14"/>
        <v>998.02350289950118</v>
      </c>
      <c r="G48" s="3133">
        <f t="shared" si="14"/>
        <v>-998.02580982992367</v>
      </c>
      <c r="H48" s="3133">
        <f t="shared" si="14"/>
        <v>998.02350289950118</v>
      </c>
      <c r="I48" s="3134">
        <f t="shared" si="14"/>
        <v>-2.3069304297678173E-3</v>
      </c>
      <c r="K48" s="128">
        <f t="shared" si="1"/>
        <v>-2.306930415215902E-3</v>
      </c>
      <c r="L48" s="129"/>
    </row>
    <row r="49" spans="1:12" ht="20.100000000000001" customHeight="1" x14ac:dyDescent="0.2">
      <c r="A49" s="3119" t="s">
        <v>3841</v>
      </c>
      <c r="B49" s="3128" t="s">
        <v>181</v>
      </c>
      <c r="C49" s="3133">
        <f>SUM(C26-C39)</f>
        <v>2.3999291443033144E-10</v>
      </c>
      <c r="D49" s="3133">
        <f t="shared" ref="D49:I50" si="15">SUM(D26-D39)</f>
        <v>2.3999291443033144E-10</v>
      </c>
      <c r="E49" s="3133">
        <f t="shared" si="15"/>
        <v>4.7998582886066288E-10</v>
      </c>
      <c r="F49" s="3133">
        <f t="shared" si="15"/>
        <v>-4.7998582886066288E-10</v>
      </c>
      <c r="G49" s="3133">
        <f t="shared" si="15"/>
        <v>0</v>
      </c>
      <c r="H49" s="3133">
        <f t="shared" si="15"/>
        <v>-4.7998582886066288E-10</v>
      </c>
      <c r="I49" s="3134">
        <f t="shared" si="15"/>
        <v>-4.7998582886066288E-10</v>
      </c>
      <c r="K49" s="128">
        <f t="shared" si="1"/>
        <v>-4.7998582886066288E-10</v>
      </c>
      <c r="L49" s="129"/>
    </row>
    <row r="50" spans="1:12" ht="20.100000000000001" customHeight="1" x14ac:dyDescent="0.2">
      <c r="A50" s="3123" t="s">
        <v>337</v>
      </c>
      <c r="B50" s="3128" t="s">
        <v>181</v>
      </c>
      <c r="C50" s="3133">
        <f>SUM(C27-C40)</f>
        <v>-421.44043959461487</v>
      </c>
      <c r="D50" s="3133">
        <f t="shared" si="15"/>
        <v>-421.44043959461487</v>
      </c>
      <c r="E50" s="3133">
        <f t="shared" si="15"/>
        <v>-842.88087918922974</v>
      </c>
      <c r="F50" s="3133">
        <f t="shared" si="15"/>
        <v>421.44065361375033</v>
      </c>
      <c r="G50" s="3133">
        <f t="shared" si="15"/>
        <v>-421.44022557548305</v>
      </c>
      <c r="H50" s="3133">
        <f t="shared" si="15"/>
        <v>421.44065361375033</v>
      </c>
      <c r="I50" s="3134">
        <f t="shared" si="15"/>
        <v>4.2803825635928661E-4</v>
      </c>
      <c r="K50" s="128">
        <f t="shared" si="1"/>
        <v>4.2803827091120183E-4</v>
      </c>
      <c r="L50" s="129"/>
    </row>
    <row r="51" spans="1:12" ht="20.100000000000001" customHeight="1" x14ac:dyDescent="0.2">
      <c r="A51" s="3119" t="s">
        <v>3844</v>
      </c>
      <c r="B51" s="3128" t="s">
        <v>181</v>
      </c>
      <c r="C51" s="3133">
        <f>SUM(C31-C43)</f>
        <v>3.9999576983973384E-9</v>
      </c>
      <c r="D51" s="3133">
        <f t="shared" ref="D51:I52" si="16">SUM(D31-D43)</f>
        <v>3.9999576983973384E-9</v>
      </c>
      <c r="E51" s="3133">
        <f t="shared" si="16"/>
        <v>7.9999153967946768E-9</v>
      </c>
      <c r="F51" s="3133">
        <f t="shared" si="16"/>
        <v>2.9999682737980038E-9</v>
      </c>
      <c r="G51" s="3133">
        <f t="shared" si="16"/>
        <v>1.0999883670592681E-8</v>
      </c>
      <c r="H51" s="3133">
        <f t="shared" si="16"/>
        <v>2.9999682737980038E-9</v>
      </c>
      <c r="I51" s="3134">
        <f t="shared" si="16"/>
        <v>1.3999851944390684E-8</v>
      </c>
      <c r="K51" s="128">
        <f t="shared" si="1"/>
        <v>1.3999851944390684E-8</v>
      </c>
      <c r="L51" s="129"/>
    </row>
    <row r="52" spans="1:12" ht="20.100000000000001" customHeight="1" x14ac:dyDescent="0.2">
      <c r="A52" s="3123" t="s">
        <v>3854</v>
      </c>
      <c r="B52" s="3128" t="s">
        <v>181</v>
      </c>
      <c r="C52" s="3133">
        <f>SUM(C32-C44)</f>
        <v>800</v>
      </c>
      <c r="D52" s="3133">
        <f t="shared" si="16"/>
        <v>800</v>
      </c>
      <c r="E52" s="3133">
        <f t="shared" si="16"/>
        <v>1600</v>
      </c>
      <c r="F52" s="3133">
        <f t="shared" si="16"/>
        <v>800</v>
      </c>
      <c r="G52" s="3133">
        <f t="shared" si="16"/>
        <v>2400</v>
      </c>
      <c r="H52" s="3133">
        <f t="shared" si="16"/>
        <v>800</v>
      </c>
      <c r="I52" s="3134">
        <f t="shared" si="16"/>
        <v>3200</v>
      </c>
      <c r="K52" s="128">
        <f t="shared" si="1"/>
        <v>3200</v>
      </c>
    </row>
    <row r="53" spans="1:12" ht="20.100000000000001" customHeight="1" x14ac:dyDescent="0.2">
      <c r="A53" s="3122" t="s">
        <v>3855</v>
      </c>
      <c r="B53" s="3125" t="s">
        <v>181</v>
      </c>
      <c r="C53" s="3126">
        <v>520</v>
      </c>
      <c r="D53" s="3126">
        <v>520</v>
      </c>
      <c r="E53" s="3126">
        <f>SUM(C53:D53)</f>
        <v>1040</v>
      </c>
      <c r="F53" s="3126">
        <v>520</v>
      </c>
      <c r="G53" s="3126">
        <f>SUM(E53:F53)</f>
        <v>1560</v>
      </c>
      <c r="H53" s="3126">
        <v>520</v>
      </c>
      <c r="I53" s="3118">
        <f>SUM(G53:H53)</f>
        <v>2080</v>
      </c>
      <c r="K53" s="128">
        <f t="shared" si="1"/>
        <v>2080</v>
      </c>
    </row>
    <row r="54" spans="1:12" ht="20.100000000000001" customHeight="1" x14ac:dyDescent="0.2">
      <c r="A54" s="3122" t="s">
        <v>3856</v>
      </c>
      <c r="B54" s="3125" t="s">
        <v>181</v>
      </c>
      <c r="C54" s="3126">
        <f t="shared" ref="C54:I54" si="17">SUM(C55:C57)</f>
        <v>1320</v>
      </c>
      <c r="D54" s="3126">
        <f t="shared" si="17"/>
        <v>1320</v>
      </c>
      <c r="E54" s="3126">
        <f t="shared" si="17"/>
        <v>2640</v>
      </c>
      <c r="F54" s="3126">
        <f t="shared" si="17"/>
        <v>1320</v>
      </c>
      <c r="G54" s="3126">
        <f t="shared" si="17"/>
        <v>3960</v>
      </c>
      <c r="H54" s="3126">
        <f t="shared" si="17"/>
        <v>1320</v>
      </c>
      <c r="I54" s="3118">
        <f t="shared" si="17"/>
        <v>5280</v>
      </c>
      <c r="K54" s="128">
        <f t="shared" si="1"/>
        <v>5280</v>
      </c>
    </row>
    <row r="55" spans="1:12" ht="20.100000000000001" customHeight="1" x14ac:dyDescent="0.2">
      <c r="A55" s="3123" t="s">
        <v>3857</v>
      </c>
      <c r="B55" s="3128" t="s">
        <v>181</v>
      </c>
      <c r="C55" s="3133">
        <v>960</v>
      </c>
      <c r="D55" s="3133">
        <v>960</v>
      </c>
      <c r="E55" s="3133">
        <f>C55+D55</f>
        <v>1920</v>
      </c>
      <c r="F55" s="3133">
        <v>960</v>
      </c>
      <c r="G55" s="3133">
        <f>E55+F55</f>
        <v>2880</v>
      </c>
      <c r="H55" s="3133">
        <v>960</v>
      </c>
      <c r="I55" s="3134">
        <f>SUM(G55:H55)</f>
        <v>3840</v>
      </c>
      <c r="K55" s="128">
        <f t="shared" si="1"/>
        <v>3840</v>
      </c>
    </row>
    <row r="56" spans="1:12" ht="20.100000000000001" customHeight="1" x14ac:dyDescent="0.2">
      <c r="A56" s="3123" t="s">
        <v>3977</v>
      </c>
      <c r="B56" s="3128" t="s">
        <v>181</v>
      </c>
      <c r="C56" s="3133">
        <v>240</v>
      </c>
      <c r="D56" s="3133">
        <v>240</v>
      </c>
      <c r="E56" s="3133">
        <f>C56+D56</f>
        <v>480</v>
      </c>
      <c r="F56" s="3133">
        <v>240</v>
      </c>
      <c r="G56" s="3133">
        <f>E56+F56</f>
        <v>720</v>
      </c>
      <c r="H56" s="3133">
        <v>240</v>
      </c>
      <c r="I56" s="3134">
        <f t="shared" ref="I56:I57" si="18">G56+H56</f>
        <v>960</v>
      </c>
      <c r="K56" s="128">
        <f t="shared" si="1"/>
        <v>960</v>
      </c>
    </row>
    <row r="57" spans="1:12" ht="20.100000000000001" customHeight="1" x14ac:dyDescent="0.2">
      <c r="A57" s="3123" t="s">
        <v>3858</v>
      </c>
      <c r="B57" s="3128" t="s">
        <v>181</v>
      </c>
      <c r="C57" s="3133">
        <v>120</v>
      </c>
      <c r="D57" s="3133">
        <v>120</v>
      </c>
      <c r="E57" s="3133">
        <f>C57+D57</f>
        <v>240</v>
      </c>
      <c r="F57" s="3133">
        <v>120</v>
      </c>
      <c r="G57" s="3133">
        <f>E57+F57</f>
        <v>360</v>
      </c>
      <c r="H57" s="3133">
        <v>120</v>
      </c>
      <c r="I57" s="3134">
        <f t="shared" si="18"/>
        <v>480</v>
      </c>
      <c r="K57" s="128">
        <f t="shared" si="1"/>
        <v>480</v>
      </c>
    </row>
    <row r="58" spans="1:12" ht="20.100000000000001" customHeight="1" x14ac:dyDescent="0.2">
      <c r="A58" s="3122" t="s">
        <v>3859</v>
      </c>
      <c r="B58" s="3125" t="s">
        <v>181</v>
      </c>
      <c r="C58" s="3126">
        <f>SUM(C47+C53-C54)</f>
        <v>-1419.4650959550836</v>
      </c>
      <c r="D58" s="3126">
        <f t="shared" ref="D58:I58" si="19">SUM(D47+D53-D54)</f>
        <v>-1419.4650959550836</v>
      </c>
      <c r="E58" s="3126">
        <f t="shared" si="19"/>
        <v>-2838.9301919101672</v>
      </c>
      <c r="F58" s="3126">
        <f t="shared" si="19"/>
        <v>1419.4641565157717</v>
      </c>
      <c r="G58" s="3126">
        <f t="shared" si="19"/>
        <v>-1419.4660353944068</v>
      </c>
      <c r="H58" s="3126">
        <f t="shared" si="19"/>
        <v>1419.4641565157717</v>
      </c>
      <c r="I58" s="3118">
        <f t="shared" si="19"/>
        <v>-1.8788786537697888E-3</v>
      </c>
      <c r="K58" s="128">
        <f t="shared" si="1"/>
        <v>-1.8788786237564636E-3</v>
      </c>
    </row>
    <row r="59" spans="1:12" ht="20.100000000000001" customHeight="1" x14ac:dyDescent="0.2">
      <c r="A59" s="3122" t="s">
        <v>3860</v>
      </c>
      <c r="B59" s="3125" t="s">
        <v>181</v>
      </c>
      <c r="C59" s="3126">
        <f>SUM(C58-(C58*20%))</f>
        <v>-1135.5720767640669</v>
      </c>
      <c r="D59" s="3126">
        <f t="shared" ref="D59:I59" si="20">SUM(D58-(D58*20%))</f>
        <v>-1135.5720767640669</v>
      </c>
      <c r="E59" s="3126">
        <f t="shared" si="20"/>
        <v>-2271.1441535281338</v>
      </c>
      <c r="F59" s="3126">
        <f t="shared" si="20"/>
        <v>1135.5713252126175</v>
      </c>
      <c r="G59" s="3126">
        <f t="shared" si="20"/>
        <v>-1135.5728283155254</v>
      </c>
      <c r="H59" s="3126">
        <f t="shared" si="20"/>
        <v>1135.5713252126175</v>
      </c>
      <c r="I59" s="3118">
        <f t="shared" si="20"/>
        <v>-1.503102923015831E-3</v>
      </c>
      <c r="K59" s="128">
        <f t="shared" si="1"/>
        <v>-1.503102898823272E-3</v>
      </c>
    </row>
    <row r="60" spans="1:12" ht="20.100000000000001" customHeight="1" x14ac:dyDescent="0.2">
      <c r="A60" s="3135" t="s">
        <v>3861</v>
      </c>
      <c r="B60" s="3117" t="s">
        <v>44</v>
      </c>
      <c r="C60" s="3130">
        <f t="shared" ref="C60:I60" si="21">C59/C35*100</f>
        <v>-1.835413173207781</v>
      </c>
      <c r="D60" s="3130">
        <f t="shared" si="21"/>
        <v>-1.835413173207781</v>
      </c>
      <c r="E60" s="3130">
        <f t="shared" si="21"/>
        <v>-1.835413173207781</v>
      </c>
      <c r="F60" s="3130">
        <f t="shared" si="21"/>
        <v>1.8216420914234963</v>
      </c>
      <c r="G60" s="3130">
        <f t="shared" si="21"/>
        <v>-0.61026711794430444</v>
      </c>
      <c r="H60" s="3130">
        <f t="shared" si="21"/>
        <v>1.8216420914234963</v>
      </c>
      <c r="I60" s="3131">
        <f t="shared" si="21"/>
        <v>-6.0507545605187669E-7</v>
      </c>
      <c r="K60" s="128">
        <f t="shared" si="1"/>
        <v>-2.7542163568569311E-2</v>
      </c>
    </row>
    <row r="61" spans="1:12" ht="20.100000000000001" customHeight="1" thickBot="1" x14ac:dyDescent="0.25">
      <c r="A61" s="3138" t="s">
        <v>3862</v>
      </c>
      <c r="B61" s="3139" t="s">
        <v>181</v>
      </c>
      <c r="C61" s="3140">
        <f>SUM(C59)</f>
        <v>-1135.5720767640669</v>
      </c>
      <c r="D61" s="3140">
        <f t="shared" ref="D61:I61" si="22">SUM(D59)</f>
        <v>-1135.5720767640669</v>
      </c>
      <c r="E61" s="3140">
        <f t="shared" si="22"/>
        <v>-2271.1441535281338</v>
      </c>
      <c r="F61" s="3140">
        <f t="shared" si="22"/>
        <v>1135.5713252126175</v>
      </c>
      <c r="G61" s="3140">
        <f t="shared" si="22"/>
        <v>-1135.5728283155254</v>
      </c>
      <c r="H61" s="3140">
        <f t="shared" si="22"/>
        <v>1135.5713252126175</v>
      </c>
      <c r="I61" s="3141">
        <f t="shared" si="22"/>
        <v>-1.503102923015831E-3</v>
      </c>
      <c r="K61" s="128">
        <f t="shared" si="1"/>
        <v>-1.503102898823272E-3</v>
      </c>
    </row>
    <row r="62" spans="1:12" ht="48.2" hidden="1" customHeight="1" x14ac:dyDescent="0.2">
      <c r="A62" s="3142" t="s">
        <v>3863</v>
      </c>
      <c r="B62" s="3117" t="s">
        <v>181</v>
      </c>
      <c r="C62" s="3120">
        <v>0</v>
      </c>
      <c r="D62" s="3120">
        <v>0</v>
      </c>
      <c r="E62" s="3120">
        <v>0</v>
      </c>
      <c r="F62" s="3120">
        <v>0</v>
      </c>
      <c r="G62" s="3120">
        <v>0</v>
      </c>
      <c r="H62" s="3120">
        <v>0</v>
      </c>
      <c r="I62" s="3121">
        <v>0</v>
      </c>
    </row>
    <row r="63" spans="1:12" ht="49.5" hidden="1" customHeight="1" x14ac:dyDescent="0.2">
      <c r="A63" s="3143" t="s">
        <v>3864</v>
      </c>
      <c r="B63" s="3125" t="s">
        <v>181</v>
      </c>
      <c r="C63" s="3130">
        <v>0</v>
      </c>
      <c r="D63" s="3130">
        <v>0</v>
      </c>
      <c r="E63" s="3130">
        <v>0</v>
      </c>
      <c r="F63" s="3130">
        <v>0</v>
      </c>
      <c r="G63" s="3130">
        <v>0</v>
      </c>
      <c r="H63" s="3130">
        <v>0</v>
      </c>
      <c r="I63" s="3131">
        <v>0</v>
      </c>
    </row>
    <row r="64" spans="1:12" ht="49.5" hidden="1" customHeight="1" thickBot="1" x14ac:dyDescent="0.25">
      <c r="A64" s="3144" t="s">
        <v>3865</v>
      </c>
      <c r="B64" s="3139" t="s">
        <v>181</v>
      </c>
      <c r="C64" s="3145">
        <f>SUM(C61-(C62+C63))</f>
        <v>-1135.5720767640669</v>
      </c>
      <c r="D64" s="3145">
        <f t="shared" ref="D64:I64" si="23">SUM(D61-(D62+D63))</f>
        <v>-1135.5720767640669</v>
      </c>
      <c r="E64" s="3145">
        <f t="shared" si="23"/>
        <v>-2271.1441535281338</v>
      </c>
      <c r="F64" s="3145">
        <f t="shared" si="23"/>
        <v>1135.5713252126175</v>
      </c>
      <c r="G64" s="3145">
        <f t="shared" si="23"/>
        <v>-1135.5728283155254</v>
      </c>
      <c r="H64" s="3145">
        <f t="shared" si="23"/>
        <v>1135.5713252126175</v>
      </c>
      <c r="I64" s="3146">
        <f t="shared" si="23"/>
        <v>-1.503102923015831E-3</v>
      </c>
    </row>
    <row r="65" spans="1:9" ht="15.75" x14ac:dyDescent="0.25">
      <c r="A65" s="2428"/>
      <c r="B65" s="2428"/>
      <c r="C65" s="2428"/>
      <c r="D65" s="2428"/>
      <c r="E65" s="2428"/>
      <c r="F65" s="2428"/>
      <c r="G65" s="2428"/>
      <c r="H65" s="2428"/>
      <c r="I65" s="2428"/>
    </row>
    <row r="66" spans="1:9" ht="18.75" x14ac:dyDescent="0.3">
      <c r="A66" s="389" t="s">
        <v>3816</v>
      </c>
      <c r="B66" s="389"/>
      <c r="C66" s="389"/>
      <c r="D66" s="389"/>
      <c r="E66" s="389" t="s">
        <v>3984</v>
      </c>
      <c r="F66" s="2428"/>
      <c r="G66" s="2428"/>
      <c r="H66" s="2428"/>
      <c r="I66" s="2428"/>
    </row>
    <row r="67" spans="1:9" ht="18.75" x14ac:dyDescent="0.3">
      <c r="A67" s="4210"/>
      <c r="B67" s="361"/>
      <c r="C67" s="361"/>
      <c r="D67" s="4210"/>
      <c r="E67" s="4210"/>
      <c r="F67" s="1661"/>
      <c r="G67" s="1661"/>
      <c r="H67" s="1661"/>
      <c r="I67" s="1661"/>
    </row>
    <row r="68" spans="1:9" ht="18.75" x14ac:dyDescent="0.3">
      <c r="A68" s="4210" t="s">
        <v>3824</v>
      </c>
      <c r="B68" s="361"/>
      <c r="C68" s="361"/>
      <c r="D68" s="4210"/>
      <c r="E68" s="4210" t="s">
        <v>3825</v>
      </c>
      <c r="F68" s="3061"/>
      <c r="G68" s="3059"/>
      <c r="H68" s="3059"/>
      <c r="I68" s="3059"/>
    </row>
    <row r="69" spans="1:9" ht="15" x14ac:dyDescent="0.2">
      <c r="A69" s="2971"/>
      <c r="B69" s="2971"/>
      <c r="C69" s="2971"/>
      <c r="D69" s="2971"/>
      <c r="E69" s="2971"/>
      <c r="F69" s="2971"/>
      <c r="G69" s="2971"/>
      <c r="H69" s="2971"/>
      <c r="I69" s="2971"/>
    </row>
    <row r="70" spans="1:9" ht="15" x14ac:dyDescent="0.2">
      <c r="A70" s="2971"/>
      <c r="B70" s="2971"/>
      <c r="C70" s="2971"/>
      <c r="D70" s="2971"/>
      <c r="E70" s="2971"/>
      <c r="F70" s="2971"/>
      <c r="G70" s="2971"/>
      <c r="H70" s="2971"/>
      <c r="I70" s="2971"/>
    </row>
    <row r="71" spans="1:9" ht="15" x14ac:dyDescent="0.2">
      <c r="A71" s="2971"/>
      <c r="B71" s="2971"/>
      <c r="C71" s="2971"/>
      <c r="D71" s="2971"/>
      <c r="E71" s="2971"/>
      <c r="F71" s="2971"/>
      <c r="G71" s="2971"/>
      <c r="H71" s="2971"/>
      <c r="I71" s="2971"/>
    </row>
    <row r="72" spans="1:9" ht="15" x14ac:dyDescent="0.2">
      <c r="A72" s="2971"/>
      <c r="B72" s="2971"/>
      <c r="C72" s="2971"/>
      <c r="D72" s="2971"/>
      <c r="E72" s="2971"/>
      <c r="F72" s="2971"/>
      <c r="G72" s="2971"/>
      <c r="H72" s="2971"/>
      <c r="I72" s="2971"/>
    </row>
    <row r="73" spans="1:9" ht="15" x14ac:dyDescent="0.2">
      <c r="A73" s="2971"/>
      <c r="B73" s="2971"/>
      <c r="C73" s="2971"/>
      <c r="D73" s="2971"/>
      <c r="E73" s="2971"/>
      <c r="F73" s="2971"/>
      <c r="G73" s="2971"/>
      <c r="H73" s="2971"/>
      <c r="I73" s="2971"/>
    </row>
    <row r="74" spans="1:9" ht="66.75" customHeight="1" x14ac:dyDescent="0.2">
      <c r="A74" s="4503"/>
      <c r="B74" s="4503"/>
      <c r="C74" s="4503"/>
      <c r="D74" s="4503"/>
      <c r="E74" s="4503"/>
      <c r="F74" s="4503"/>
      <c r="G74" s="4503"/>
      <c r="H74" s="4503"/>
      <c r="I74" s="4503"/>
    </row>
    <row r="75" spans="1:9" ht="31.5" customHeight="1" x14ac:dyDescent="0.2">
      <c r="A75" s="4503"/>
      <c r="B75" s="4242"/>
      <c r="C75" s="4242"/>
      <c r="D75" s="4242"/>
      <c r="E75" s="4242"/>
      <c r="F75" s="4242"/>
      <c r="G75" s="4242"/>
      <c r="H75" s="4242"/>
      <c r="I75" s="4242"/>
    </row>
    <row r="76" spans="1:9" ht="15" x14ac:dyDescent="0.2">
      <c r="A76" s="2971"/>
      <c r="B76" s="2971"/>
      <c r="C76" s="2971"/>
      <c r="D76" s="2971"/>
      <c r="E76" s="2971"/>
      <c r="F76" s="2971"/>
      <c r="G76" s="2971"/>
      <c r="H76" s="2971"/>
      <c r="I76" s="2971"/>
    </row>
  </sheetData>
  <mergeCells count="6">
    <mergeCell ref="F1:I1"/>
    <mergeCell ref="A8:I8"/>
    <mergeCell ref="A12:I12"/>
    <mergeCell ref="A74:I74"/>
    <mergeCell ref="A75:I75"/>
    <mergeCell ref="F4:I4"/>
  </mergeCells>
  <printOptions horizontalCentered="1" verticalCentered="1"/>
  <pageMargins left="0.31496062992125984" right="0.31496062992125984" top="0.15748031496062992" bottom="0.15748031496062992" header="0" footer="0"/>
  <pageSetup paperSize="9" scale="6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K50"/>
  <sheetViews>
    <sheetView topLeftCell="A7" zoomScale="80" zoomScaleNormal="80" workbookViewId="0">
      <selection activeCell="A41" sqref="A41:D43"/>
    </sheetView>
  </sheetViews>
  <sheetFormatPr defaultRowHeight="12.75" x14ac:dyDescent="0.2"/>
  <cols>
    <col min="1" max="1" width="54.28515625" customWidth="1"/>
    <col min="2" max="9" width="20.7109375" customWidth="1"/>
    <col min="11" max="11" width="17.7109375" customWidth="1"/>
  </cols>
  <sheetData>
    <row r="1" spans="1:11" ht="75.75" customHeight="1" x14ac:dyDescent="0.2">
      <c r="G1" s="4497" t="s">
        <v>3980</v>
      </c>
      <c r="H1" s="4497"/>
      <c r="I1" s="4497"/>
    </row>
    <row r="2" spans="1:11" x14ac:dyDescent="0.2">
      <c r="G2" s="3064"/>
      <c r="H2" s="4207"/>
      <c r="I2" s="4207"/>
    </row>
    <row r="3" spans="1:11" ht="18" customHeight="1" x14ac:dyDescent="0.2">
      <c r="G3" s="4208" t="s">
        <v>3981</v>
      </c>
      <c r="H3" s="4208"/>
      <c r="I3" s="4208"/>
    </row>
    <row r="4" spans="1:11" ht="43.5" customHeight="1" x14ac:dyDescent="0.2">
      <c r="G4" s="4497" t="s">
        <v>3982</v>
      </c>
      <c r="H4" s="4511"/>
      <c r="I4" s="4511"/>
    </row>
    <row r="5" spans="1:11" ht="18.75" x14ac:dyDescent="0.2">
      <c r="G5" s="4208" t="s">
        <v>3983</v>
      </c>
      <c r="H5" s="4209"/>
      <c r="I5" s="4209"/>
    </row>
    <row r="6" spans="1:11" ht="24" customHeight="1" x14ac:dyDescent="0.3">
      <c r="A6" s="2905"/>
      <c r="G6" s="4210" t="s">
        <v>3971</v>
      </c>
      <c r="H6" s="4210"/>
      <c r="I6" s="4210"/>
    </row>
    <row r="7" spans="1:11" ht="20.25" x14ac:dyDescent="0.3">
      <c r="A7" s="4504" t="s">
        <v>3975</v>
      </c>
      <c r="B7" s="4492"/>
      <c r="C7" s="4492"/>
      <c r="D7" s="4492"/>
      <c r="E7" s="4492"/>
      <c r="F7" s="4492"/>
      <c r="G7" s="4492"/>
      <c r="H7" s="4492"/>
      <c r="I7" s="4492"/>
    </row>
    <row r="8" spans="1:11" ht="21" thickBot="1" x14ac:dyDescent="0.35">
      <c r="A8" s="2906"/>
      <c r="B8" s="565"/>
      <c r="C8" s="565"/>
      <c r="D8" s="565"/>
      <c r="E8" s="565"/>
      <c r="F8" s="565"/>
      <c r="G8" s="565"/>
      <c r="H8" s="565"/>
      <c r="I8" s="565"/>
      <c r="J8" s="565"/>
    </row>
    <row r="9" spans="1:11" ht="18.75" x14ac:dyDescent="0.3">
      <c r="A9" s="4505" t="s">
        <v>3882</v>
      </c>
      <c r="B9" s="4506"/>
      <c r="C9" s="4506"/>
      <c r="D9" s="4506"/>
      <c r="E9" s="4506"/>
      <c r="F9" s="4506"/>
      <c r="G9" s="4506"/>
      <c r="H9" s="4506"/>
      <c r="I9" s="4507"/>
      <c r="J9" s="365"/>
      <c r="K9" s="523"/>
    </row>
    <row r="10" spans="1:11" ht="19.5" customHeight="1" x14ac:dyDescent="0.2">
      <c r="A10" s="3177" t="s">
        <v>527</v>
      </c>
      <c r="B10" s="3196" t="s">
        <v>3819</v>
      </c>
      <c r="C10" s="4200" t="s">
        <v>585</v>
      </c>
      <c r="D10" s="4200" t="s">
        <v>584</v>
      </c>
      <c r="E10" s="4200" t="s">
        <v>583</v>
      </c>
      <c r="F10" s="4200" t="s">
        <v>216</v>
      </c>
      <c r="G10" s="4200" t="s">
        <v>220</v>
      </c>
      <c r="H10" s="4200" t="s">
        <v>3820</v>
      </c>
      <c r="I10" s="3220" t="s">
        <v>1992</v>
      </c>
      <c r="J10" s="565"/>
    </row>
    <row r="11" spans="1:11" ht="18.75" x14ac:dyDescent="0.3">
      <c r="A11" s="3095" t="s">
        <v>3881</v>
      </c>
      <c r="B11" s="3101" t="s">
        <v>3821</v>
      </c>
      <c r="C11" s="3190">
        <f>SUM(I11/4)</f>
        <v>149.06899999999999</v>
      </c>
      <c r="D11" s="3190">
        <f>SUM(C11)</f>
        <v>149.06899999999999</v>
      </c>
      <c r="E11" s="3190">
        <f>SUM(C11+D11)</f>
        <v>298.13799999999998</v>
      </c>
      <c r="F11" s="3190">
        <f>SUM(C11)</f>
        <v>149.06899999999999</v>
      </c>
      <c r="G11" s="3190">
        <f>SUM(E11+F11)</f>
        <v>447.20699999999999</v>
      </c>
      <c r="H11" s="3190">
        <f>SUM(C11)</f>
        <v>149.06899999999999</v>
      </c>
      <c r="I11" s="3201">
        <v>596.27599999999995</v>
      </c>
      <c r="J11" s="565"/>
    </row>
    <row r="12" spans="1:11" ht="18.75" hidden="1" x14ac:dyDescent="0.3">
      <c r="A12" s="3197" t="s">
        <v>3777</v>
      </c>
      <c r="B12" s="3188"/>
      <c r="C12" s="3219"/>
      <c r="D12" s="3219"/>
      <c r="E12" s="3219"/>
      <c r="F12" s="3219"/>
      <c r="G12" s="3219"/>
      <c r="H12" s="3219"/>
      <c r="I12" s="3221"/>
      <c r="J12" s="565"/>
    </row>
    <row r="13" spans="1:11" ht="20.25" hidden="1" customHeight="1" x14ac:dyDescent="0.2">
      <c r="A13" s="3177" t="s">
        <v>527</v>
      </c>
      <c r="B13" s="3196" t="s">
        <v>3819</v>
      </c>
      <c r="C13" s="4200" t="s">
        <v>3716</v>
      </c>
      <c r="D13" s="4200" t="s">
        <v>3717</v>
      </c>
      <c r="E13" s="4200" t="s">
        <v>3718</v>
      </c>
      <c r="F13" s="4200" t="s">
        <v>3719</v>
      </c>
      <c r="G13" s="4200" t="s">
        <v>3720</v>
      </c>
      <c r="H13" s="4200" t="s">
        <v>3721</v>
      </c>
      <c r="I13" s="3220" t="s">
        <v>1991</v>
      </c>
      <c r="J13" s="565"/>
    </row>
    <row r="14" spans="1:11" ht="18.75" hidden="1" x14ac:dyDescent="0.2">
      <c r="A14" s="3077" t="s">
        <v>3780</v>
      </c>
      <c r="B14" s="3191"/>
      <c r="C14" s="3203">
        <f>SUM(C11*C16)</f>
        <v>808.00093157422816</v>
      </c>
      <c r="D14" s="3203">
        <f>SUM(D11*D16)</f>
        <v>808.00093157422816</v>
      </c>
      <c r="E14" s="3203">
        <f>SUM(C14+D14)</f>
        <v>1616.0018631484563</v>
      </c>
      <c r="F14" s="3203">
        <f>SUM(F11*F16)</f>
        <v>1056.7622788134813</v>
      </c>
      <c r="G14" s="3203">
        <f>SUM(E14+F14)</f>
        <v>2672.7641419619376</v>
      </c>
      <c r="H14" s="3203">
        <f>SUM(H11*H16)</f>
        <v>1056.7622788134813</v>
      </c>
      <c r="I14" s="3204">
        <f>SUM(G14+H14)</f>
        <v>3729.526420775419</v>
      </c>
      <c r="J14" s="565"/>
    </row>
    <row r="15" spans="1:11" ht="18.75" hidden="1" x14ac:dyDescent="0.2">
      <c r="A15" s="3071" t="s">
        <v>3782</v>
      </c>
      <c r="B15" s="3192"/>
      <c r="C15" s="3206">
        <f>SUM(C14)</f>
        <v>808.00093157422816</v>
      </c>
      <c r="D15" s="3206">
        <f>SUM(D14)</f>
        <v>808.00093157422816</v>
      </c>
      <c r="E15" s="3206">
        <f>SUM(C15+D15)</f>
        <v>1616.0018631484563</v>
      </c>
      <c r="F15" s="3206">
        <f>SUM(F14)</f>
        <v>1056.7622788134813</v>
      </c>
      <c r="G15" s="3206">
        <f>SUM(E15+F15)</f>
        <v>2672.7641419619376</v>
      </c>
      <c r="H15" s="3206">
        <f>SUM(H14)</f>
        <v>1056.7622788134813</v>
      </c>
      <c r="I15" s="3207">
        <f>SUM(G15+H15)</f>
        <v>3729.526420775419</v>
      </c>
      <c r="J15" s="565"/>
    </row>
    <row r="16" spans="1:11" ht="18.75" hidden="1" x14ac:dyDescent="0.2">
      <c r="A16" s="3071" t="s">
        <v>3783</v>
      </c>
      <c r="B16" s="3193"/>
      <c r="C16" s="3206">
        <v>5.4203149653799798</v>
      </c>
      <c r="D16" s="3206">
        <f>SUM(C16)</f>
        <v>5.4203149653799798</v>
      </c>
      <c r="E16" s="3206">
        <f>SUM(E14/E11)</f>
        <v>5.4203149653799798</v>
      </c>
      <c r="F16" s="3206">
        <v>7.0890814241289704</v>
      </c>
      <c r="G16" s="3206">
        <f>SUM(G14/G11)</f>
        <v>5.9765704516296427</v>
      </c>
      <c r="H16" s="3206">
        <f>SUM(F16)</f>
        <v>7.0890814241289704</v>
      </c>
      <c r="I16" s="3207">
        <f>SUM(I15/I11)</f>
        <v>6.2546981947544751</v>
      </c>
      <c r="J16" s="565"/>
    </row>
    <row r="17" spans="1:11" ht="18" customHeight="1" x14ac:dyDescent="0.3">
      <c r="A17" s="4508" t="s">
        <v>3808</v>
      </c>
      <c r="B17" s="4509"/>
      <c r="C17" s="4509"/>
      <c r="D17" s="4509"/>
      <c r="E17" s="4509"/>
      <c r="F17" s="4509"/>
      <c r="G17" s="4509"/>
      <c r="H17" s="4509"/>
      <c r="I17" s="4510"/>
      <c r="J17" s="565"/>
    </row>
    <row r="18" spans="1:11" ht="20.25" customHeight="1" x14ac:dyDescent="0.2">
      <c r="A18" s="4201" t="s">
        <v>527</v>
      </c>
      <c r="B18" s="3196" t="s">
        <v>3819</v>
      </c>
      <c r="C18" s="4200" t="s">
        <v>585</v>
      </c>
      <c r="D18" s="4200" t="s">
        <v>584</v>
      </c>
      <c r="E18" s="4200" t="s">
        <v>583</v>
      </c>
      <c r="F18" s="4200" t="s">
        <v>216</v>
      </c>
      <c r="G18" s="4200" t="s">
        <v>220</v>
      </c>
      <c r="H18" s="4200" t="s">
        <v>3820</v>
      </c>
      <c r="I18" s="3220" t="s">
        <v>1992</v>
      </c>
      <c r="J18" s="565"/>
    </row>
    <row r="19" spans="1:11" ht="18.75" x14ac:dyDescent="0.3">
      <c r="A19" s="3089" t="s">
        <v>3878</v>
      </c>
      <c r="B19" s="3102" t="s">
        <v>902</v>
      </c>
      <c r="C19" s="3202">
        <f>SUM(I19/4)</f>
        <v>14.141806649999999</v>
      </c>
      <c r="D19" s="3202">
        <f>SUM(C19)</f>
        <v>14.141806649999999</v>
      </c>
      <c r="E19" s="3202">
        <f>SUM(C19+D19)</f>
        <v>28.283613299999999</v>
      </c>
      <c r="F19" s="3202">
        <f>SUM(C19)</f>
        <v>14.141806649999999</v>
      </c>
      <c r="G19" s="3202">
        <f>SUM(E19+F19)</f>
        <v>42.425419949999998</v>
      </c>
      <c r="H19" s="3202">
        <f>SUM(C19)</f>
        <v>14.141806649999999</v>
      </c>
      <c r="I19" s="3210">
        <v>56.567226599999998</v>
      </c>
      <c r="J19" s="389"/>
      <c r="K19" s="1253"/>
    </row>
    <row r="20" spans="1:11" ht="18.75" x14ac:dyDescent="0.3">
      <c r="A20" s="3089" t="s">
        <v>3879</v>
      </c>
      <c r="B20" s="3102" t="s">
        <v>902</v>
      </c>
      <c r="C20" s="3202">
        <f>SUM(I20/4)</f>
        <v>523.52196452500004</v>
      </c>
      <c r="D20" s="3202">
        <f>SUM(C20)</f>
        <v>523.52196452500004</v>
      </c>
      <c r="E20" s="3202">
        <f>SUM(C20+D20)</f>
        <v>1047.0439290500001</v>
      </c>
      <c r="F20" s="3202">
        <f>SUM(C20)</f>
        <v>523.52196452500004</v>
      </c>
      <c r="G20" s="3202">
        <f>SUM(E20+F20)</f>
        <v>1570.5658935750002</v>
      </c>
      <c r="H20" s="3202">
        <f>SUM(C20)</f>
        <v>523.52196452500004</v>
      </c>
      <c r="I20" s="3210">
        <v>2094.0878581000002</v>
      </c>
      <c r="J20" s="389"/>
      <c r="K20" s="1253"/>
    </row>
    <row r="21" spans="1:11" ht="18.75" x14ac:dyDescent="0.3">
      <c r="A21" s="3089" t="s">
        <v>5</v>
      </c>
      <c r="B21" s="3102" t="s">
        <v>902</v>
      </c>
      <c r="C21" s="3202">
        <f>SUM(I21/4)</f>
        <v>158.10363327499999</v>
      </c>
      <c r="D21" s="3202">
        <f>SUM(C21)</f>
        <v>158.10363327499999</v>
      </c>
      <c r="E21" s="3202">
        <f>SUM(C21+D21)</f>
        <v>316.20726654999999</v>
      </c>
      <c r="F21" s="3202">
        <f>SUM(C21)</f>
        <v>158.10363327499999</v>
      </c>
      <c r="G21" s="3202">
        <f>SUM(E21+F21)</f>
        <v>474.31089982499998</v>
      </c>
      <c r="H21" s="3202">
        <f>SUM(C21)</f>
        <v>158.10363327499999</v>
      </c>
      <c r="I21" s="3210">
        <v>632.41453309999997</v>
      </c>
      <c r="J21" s="389"/>
      <c r="K21" s="1253"/>
    </row>
    <row r="22" spans="1:11" ht="18.75" x14ac:dyDescent="0.3">
      <c r="A22" s="3089" t="s">
        <v>3</v>
      </c>
      <c r="B22" s="3102" t="s">
        <v>902</v>
      </c>
      <c r="C22" s="3202">
        <f>SUM(I22/4)</f>
        <v>92.494169725000006</v>
      </c>
      <c r="D22" s="3202">
        <f>SUM(C22)</f>
        <v>92.494169725000006</v>
      </c>
      <c r="E22" s="3202">
        <f>SUM(C22+D22)</f>
        <v>184.98833945000001</v>
      </c>
      <c r="F22" s="3202">
        <f>SUM(C22)</f>
        <v>92.494169725000006</v>
      </c>
      <c r="G22" s="3202">
        <f>SUM(E22+F22)</f>
        <v>277.48250917500002</v>
      </c>
      <c r="H22" s="3202">
        <f>SUM(C22)</f>
        <v>92.494169725000006</v>
      </c>
      <c r="I22" s="3210">
        <v>369.97667890000002</v>
      </c>
      <c r="J22" s="389"/>
      <c r="K22" s="1253"/>
    </row>
    <row r="23" spans="1:11" ht="18.75" x14ac:dyDescent="0.3">
      <c r="A23" s="3089" t="s">
        <v>3756</v>
      </c>
      <c r="B23" s="3102" t="s">
        <v>902</v>
      </c>
      <c r="C23" s="3209">
        <f>SUM(C24:C26)</f>
        <v>54.555033699999996</v>
      </c>
      <c r="D23" s="3209">
        <f t="shared" ref="D23:H23" si="0">SUM(D24:D26)</f>
        <v>54.555033699999996</v>
      </c>
      <c r="E23" s="3209">
        <f t="shared" si="0"/>
        <v>109.11006739999999</v>
      </c>
      <c r="F23" s="3209">
        <f t="shared" si="0"/>
        <v>54.555033699999996</v>
      </c>
      <c r="G23" s="3209">
        <f t="shared" si="0"/>
        <v>163.66510109999999</v>
      </c>
      <c r="H23" s="3209">
        <f t="shared" si="0"/>
        <v>54.555033699999996</v>
      </c>
      <c r="I23" s="3210">
        <v>218.22013480000001</v>
      </c>
      <c r="J23" s="389"/>
      <c r="K23" s="1253"/>
    </row>
    <row r="24" spans="1:11" ht="18.75" x14ac:dyDescent="0.3">
      <c r="A24" s="3090" t="s">
        <v>3757</v>
      </c>
      <c r="B24" s="3102" t="s">
        <v>902</v>
      </c>
      <c r="C24" s="4202">
        <f>SUM(I24/4)</f>
        <v>34.414843925</v>
      </c>
      <c r="D24" s="4202">
        <f>SUM(C24)</f>
        <v>34.414843925</v>
      </c>
      <c r="E24" s="4202">
        <f>SUM(C24+D24)</f>
        <v>68.829687849999999</v>
      </c>
      <c r="F24" s="4202">
        <f>SUM(C24)</f>
        <v>34.414843925</v>
      </c>
      <c r="G24" s="4202">
        <f>SUM(E24+F24)</f>
        <v>103.244531775</v>
      </c>
      <c r="H24" s="4202">
        <f>SUM(C24)</f>
        <v>34.414843925</v>
      </c>
      <c r="I24" s="3211">
        <v>137.6593757</v>
      </c>
      <c r="J24" s="389"/>
      <c r="K24" s="1253"/>
    </row>
    <row r="25" spans="1:11" ht="18.75" x14ac:dyDescent="0.3">
      <c r="A25" s="3093" t="s">
        <v>3758</v>
      </c>
      <c r="B25" s="3102" t="s">
        <v>902</v>
      </c>
      <c r="C25" s="4202">
        <f t="shared" ref="C25:C26" si="1">SUM(I25/4)</f>
        <v>10.393282875000001</v>
      </c>
      <c r="D25" s="4202">
        <f>SUM(C25)</f>
        <v>10.393282875000001</v>
      </c>
      <c r="E25" s="4202">
        <f>SUM(C25+D25)</f>
        <v>20.786565750000001</v>
      </c>
      <c r="F25" s="4202">
        <f>SUM(C25)</f>
        <v>10.393282875000001</v>
      </c>
      <c r="G25" s="4202">
        <f>SUM(E25+F25)</f>
        <v>31.179848625000002</v>
      </c>
      <c r="H25" s="4202">
        <f>SUM(C25)</f>
        <v>10.393282875000001</v>
      </c>
      <c r="I25" s="3211">
        <v>41.573131500000002</v>
      </c>
      <c r="J25" s="389"/>
      <c r="K25" s="1253"/>
    </row>
    <row r="26" spans="1:11" ht="18.75" x14ac:dyDescent="0.3">
      <c r="A26" s="3093" t="s">
        <v>3880</v>
      </c>
      <c r="B26" s="3102" t="s">
        <v>902</v>
      </c>
      <c r="C26" s="4202">
        <f t="shared" si="1"/>
        <v>9.7469069000000008</v>
      </c>
      <c r="D26" s="4202">
        <f>SUM(C26)</f>
        <v>9.7469069000000008</v>
      </c>
      <c r="E26" s="4202">
        <f>SUM(C26+D26)</f>
        <v>19.493813800000002</v>
      </c>
      <c r="F26" s="4202">
        <f>SUM(C26)</f>
        <v>9.7469069000000008</v>
      </c>
      <c r="G26" s="4202">
        <f>SUM(E26+F26)</f>
        <v>29.240720700000004</v>
      </c>
      <c r="H26" s="4202">
        <f>SUM(C26)</f>
        <v>9.7469069000000008</v>
      </c>
      <c r="I26" s="3211">
        <v>38.987627600000003</v>
      </c>
      <c r="J26" s="389"/>
      <c r="K26" s="1253"/>
    </row>
    <row r="27" spans="1:11" ht="18.75" x14ac:dyDescent="0.3">
      <c r="A27" s="3089" t="s">
        <v>3759</v>
      </c>
      <c r="B27" s="3102" t="s">
        <v>902</v>
      </c>
      <c r="C27" s="3209">
        <f>SUM(C28:C30)</f>
        <v>14.254997325</v>
      </c>
      <c r="D27" s="3209">
        <f t="shared" ref="D27:H27" si="2">SUM(D28:D30)</f>
        <v>14.254997325</v>
      </c>
      <c r="E27" s="3209">
        <f t="shared" si="2"/>
        <v>28.509994649999999</v>
      </c>
      <c r="F27" s="3209">
        <f t="shared" si="2"/>
        <v>14.254997325</v>
      </c>
      <c r="G27" s="3209">
        <f t="shared" si="2"/>
        <v>42.764991974999994</v>
      </c>
      <c r="H27" s="3209">
        <f t="shared" si="2"/>
        <v>14.254997325</v>
      </c>
      <c r="I27" s="3210">
        <v>57.019989299999999</v>
      </c>
      <c r="J27" s="389"/>
      <c r="K27" s="1253"/>
    </row>
    <row r="28" spans="1:11" ht="18.75" x14ac:dyDescent="0.3">
      <c r="A28" s="3093" t="s">
        <v>3745</v>
      </c>
      <c r="B28" s="3102" t="s">
        <v>902</v>
      </c>
      <c r="C28" s="4202">
        <f t="shared" ref="C28:C30" si="3">SUM(I28/4)</f>
        <v>10.94853865</v>
      </c>
      <c r="D28" s="4202">
        <f>SUM(C28)</f>
        <v>10.94853865</v>
      </c>
      <c r="E28" s="4202">
        <f>SUM(C28+D28)</f>
        <v>21.897077299999999</v>
      </c>
      <c r="F28" s="4202">
        <f>SUM(C28)</f>
        <v>10.94853865</v>
      </c>
      <c r="G28" s="4202">
        <f>SUM(E28+F28)</f>
        <v>32.845615949999996</v>
      </c>
      <c r="H28" s="4202">
        <f>SUM(C28)</f>
        <v>10.94853865</v>
      </c>
      <c r="I28" s="3211">
        <v>43.794154599999999</v>
      </c>
      <c r="J28" s="389"/>
      <c r="K28" s="1253"/>
    </row>
    <row r="29" spans="1:11" ht="18.75" x14ac:dyDescent="0.3">
      <c r="A29" s="3093" t="s">
        <v>3746</v>
      </c>
      <c r="B29" s="3102" t="s">
        <v>902</v>
      </c>
      <c r="C29" s="4202">
        <f t="shared" si="3"/>
        <v>3.306458675</v>
      </c>
      <c r="D29" s="4202">
        <f>SUM(C29)</f>
        <v>3.306458675</v>
      </c>
      <c r="E29" s="4202">
        <f>SUM(C29+D29)</f>
        <v>6.61291735</v>
      </c>
      <c r="F29" s="4202">
        <f>SUM(C29)</f>
        <v>3.306458675</v>
      </c>
      <c r="G29" s="4202">
        <f>SUM(E29+F29)</f>
        <v>9.919376025</v>
      </c>
      <c r="H29" s="4202">
        <f>SUM(C29)</f>
        <v>3.306458675</v>
      </c>
      <c r="I29" s="3211">
        <v>13.2258347</v>
      </c>
      <c r="J29" s="389"/>
      <c r="K29" s="1253"/>
    </row>
    <row r="30" spans="1:11" ht="18.75" x14ac:dyDescent="0.3">
      <c r="A30" s="3093" t="s">
        <v>3747</v>
      </c>
      <c r="B30" s="3102" t="s">
        <v>902</v>
      </c>
      <c r="C30" s="4202">
        <f t="shared" si="3"/>
        <v>0</v>
      </c>
      <c r="D30" s="4202">
        <f>SUM(C30)</f>
        <v>0</v>
      </c>
      <c r="E30" s="4202">
        <f>SUM(C30+D30)</f>
        <v>0</v>
      </c>
      <c r="F30" s="4202">
        <f>SUM(C30)</f>
        <v>0</v>
      </c>
      <c r="G30" s="4202">
        <f>SUM(E30+F30)</f>
        <v>0</v>
      </c>
      <c r="H30" s="4202">
        <f>SUM(C30)</f>
        <v>0</v>
      </c>
      <c r="I30" s="3211">
        <v>0</v>
      </c>
      <c r="J30" s="389"/>
      <c r="K30" s="1253"/>
    </row>
    <row r="31" spans="1:11" ht="18.75" x14ac:dyDescent="0.3">
      <c r="A31" s="3094" t="s">
        <v>12</v>
      </c>
      <c r="B31" s="3107" t="s">
        <v>902</v>
      </c>
      <c r="C31" s="3213">
        <f t="shared" ref="C31:H31" si="4">SUM(C19+C20+C21+C22+C23+C27)</f>
        <v>857.07160520000002</v>
      </c>
      <c r="D31" s="3213">
        <f t="shared" si="4"/>
        <v>857.07160520000002</v>
      </c>
      <c r="E31" s="3213">
        <f t="shared" si="4"/>
        <v>1714.1432104</v>
      </c>
      <c r="F31" s="3213">
        <f t="shared" si="4"/>
        <v>857.07160520000002</v>
      </c>
      <c r="G31" s="3213">
        <f t="shared" si="4"/>
        <v>2571.2148156000003</v>
      </c>
      <c r="H31" s="3213">
        <f t="shared" si="4"/>
        <v>857.07160520000002</v>
      </c>
      <c r="I31" s="3214">
        <f>SUM(I19+I20+I21+I22+I23+I27)</f>
        <v>3428.2864208000001</v>
      </c>
      <c r="J31" s="389"/>
      <c r="K31" s="1253"/>
    </row>
    <row r="32" spans="1:11" ht="18.75" x14ac:dyDescent="0.3">
      <c r="A32" s="3094" t="s">
        <v>13</v>
      </c>
      <c r="B32" s="3100" t="s">
        <v>3821</v>
      </c>
      <c r="C32" s="3212">
        <f>SUM(C11)</f>
        <v>149.06899999999999</v>
      </c>
      <c r="D32" s="3212">
        <f t="shared" ref="D32:I32" si="5">SUM(D11)</f>
        <v>149.06899999999999</v>
      </c>
      <c r="E32" s="3212">
        <f t="shared" si="5"/>
        <v>298.13799999999998</v>
      </c>
      <c r="F32" s="3212">
        <f t="shared" si="5"/>
        <v>149.06899999999999</v>
      </c>
      <c r="G32" s="3212">
        <f t="shared" si="5"/>
        <v>447.20699999999999</v>
      </c>
      <c r="H32" s="3212">
        <f t="shared" si="5"/>
        <v>149.06899999999999</v>
      </c>
      <c r="I32" s="3215">
        <f t="shared" si="5"/>
        <v>596.27599999999995</v>
      </c>
      <c r="J32" s="389"/>
      <c r="K32" s="1253"/>
    </row>
    <row r="33" spans="1:11" ht="18.75" x14ac:dyDescent="0.3">
      <c r="A33" s="3199" t="s">
        <v>14</v>
      </c>
      <c r="B33" s="3109" t="s">
        <v>2029</v>
      </c>
      <c r="C33" s="3212">
        <f t="shared" ref="C33:G33" si="6">SUM(C31/C32)</f>
        <v>5.7494959059227613</v>
      </c>
      <c r="D33" s="3212">
        <f t="shared" ref="D33:F33" si="7">SUM(D31/D32)</f>
        <v>5.7494959059227613</v>
      </c>
      <c r="E33" s="3212">
        <f t="shared" si="7"/>
        <v>5.7494959059227613</v>
      </c>
      <c r="F33" s="3212">
        <f t="shared" si="7"/>
        <v>5.7494959059227613</v>
      </c>
      <c r="G33" s="3212">
        <f t="shared" si="6"/>
        <v>5.7494959059227613</v>
      </c>
      <c r="H33" s="3212">
        <f t="shared" ref="H33:I33" si="8">SUM(H31/H32)</f>
        <v>5.7494959059227613</v>
      </c>
      <c r="I33" s="3215">
        <f t="shared" si="8"/>
        <v>5.7494959059227613</v>
      </c>
      <c r="J33" s="389"/>
      <c r="K33" s="1253"/>
    </row>
    <row r="34" spans="1:11" ht="18.75" x14ac:dyDescent="0.3">
      <c r="A34" s="3199" t="s">
        <v>1753</v>
      </c>
      <c r="B34" s="3107" t="s">
        <v>902</v>
      </c>
      <c r="C34" s="3190">
        <f t="shared" ref="C34" si="9">SUM(I34/4)</f>
        <v>75.31</v>
      </c>
      <c r="D34" s="3190">
        <f>SUM(C34)</f>
        <v>75.31</v>
      </c>
      <c r="E34" s="3190">
        <f>SUM(C34+D34)</f>
        <v>150.62</v>
      </c>
      <c r="F34" s="3190">
        <f>SUM(C34)</f>
        <v>75.31</v>
      </c>
      <c r="G34" s="3190">
        <f>SUM(E34+F34)</f>
        <v>225.93</v>
      </c>
      <c r="H34" s="3190">
        <f>SUM(C34)</f>
        <v>75.31</v>
      </c>
      <c r="I34" s="3214">
        <v>301.24</v>
      </c>
      <c r="J34" s="389"/>
      <c r="K34" s="1253"/>
    </row>
    <row r="35" spans="1:11" ht="18.75" x14ac:dyDescent="0.3">
      <c r="A35" s="3199" t="s">
        <v>3713</v>
      </c>
      <c r="B35" s="3107" t="s">
        <v>902</v>
      </c>
      <c r="C35" s="3212">
        <f>SUM(C31+C34)</f>
        <v>932.38160519999997</v>
      </c>
      <c r="D35" s="3212">
        <f t="shared" ref="D35:I35" si="10">SUM(D31+D34)</f>
        <v>932.38160519999997</v>
      </c>
      <c r="E35" s="3212">
        <f t="shared" si="10"/>
        <v>1864.7632103999999</v>
      </c>
      <c r="F35" s="3212">
        <f t="shared" si="10"/>
        <v>932.38160519999997</v>
      </c>
      <c r="G35" s="3212">
        <f t="shared" si="10"/>
        <v>2797.1448156000001</v>
      </c>
      <c r="H35" s="3212">
        <f t="shared" si="10"/>
        <v>932.38160519999997</v>
      </c>
      <c r="I35" s="3212">
        <f t="shared" si="10"/>
        <v>3729.5264207999999</v>
      </c>
      <c r="J35" s="389"/>
      <c r="K35" s="1253"/>
    </row>
    <row r="36" spans="1:11" ht="19.5" x14ac:dyDescent="0.3">
      <c r="A36" s="3199" t="s">
        <v>3787</v>
      </c>
      <c r="B36" s="4203" t="s">
        <v>902</v>
      </c>
      <c r="C36" s="3213">
        <f>SUM(C11*C16)-C35</f>
        <v>-124.38067362577181</v>
      </c>
      <c r="D36" s="3213">
        <f>SUM(D11*D16)-D35</f>
        <v>-124.38067362577181</v>
      </c>
      <c r="E36" s="3213">
        <f>SUM(C36+D36)</f>
        <v>-248.76134725154361</v>
      </c>
      <c r="F36" s="3213">
        <f>SUM(F11*F16)-F35</f>
        <v>124.38067361348135</v>
      </c>
      <c r="G36" s="3216">
        <f>SUM(E36+F36)</f>
        <v>-124.38067363806226</v>
      </c>
      <c r="H36" s="3213">
        <f>SUM(H11*H16)-H35</f>
        <v>124.38067361348135</v>
      </c>
      <c r="I36" s="3214">
        <f>SUM(G36+H36)</f>
        <v>-2.4580913304816931E-8</v>
      </c>
      <c r="J36" s="2674"/>
      <c r="K36" s="1253"/>
    </row>
    <row r="37" spans="1:11" ht="19.5" x14ac:dyDescent="0.3">
      <c r="A37" s="3095" t="s">
        <v>529</v>
      </c>
      <c r="B37" s="3107" t="s">
        <v>902</v>
      </c>
      <c r="C37" s="3213">
        <f>SUM(C35:C36)</f>
        <v>808.00093157422816</v>
      </c>
      <c r="D37" s="3213">
        <f>SUM(D35:D36)</f>
        <v>808.00093157422816</v>
      </c>
      <c r="E37" s="3213">
        <f>SUM(C37+D37)</f>
        <v>1616.0018631484563</v>
      </c>
      <c r="F37" s="3213">
        <f>SUM(F35:F36)</f>
        <v>1056.7622788134813</v>
      </c>
      <c r="G37" s="3216">
        <f>SUM(E37+F37)</f>
        <v>2672.7641419619376</v>
      </c>
      <c r="H37" s="3213">
        <f>SUM(H35:H36)</f>
        <v>1056.7622788134813</v>
      </c>
      <c r="I37" s="3214">
        <f>SUM(G37+H37)</f>
        <v>3729.526420775419</v>
      </c>
      <c r="J37" s="2674"/>
      <c r="K37" s="1253"/>
    </row>
    <row r="38" spans="1:11" ht="19.5" thickBot="1" x14ac:dyDescent="0.35">
      <c r="A38" s="3096" t="s">
        <v>69</v>
      </c>
      <c r="B38" s="3187" t="s">
        <v>2029</v>
      </c>
      <c r="C38" s="3217">
        <f t="shared" ref="C38:D38" si="11">SUM(C37/C32)</f>
        <v>5.4203149653799798</v>
      </c>
      <c r="D38" s="3217">
        <f t="shared" si="11"/>
        <v>5.4203149653799798</v>
      </c>
      <c r="E38" s="3217">
        <f>SUM(E37/E32)</f>
        <v>5.4203149653799798</v>
      </c>
      <c r="F38" s="3217">
        <f t="shared" ref="F38" si="12">SUM(F37/F32)</f>
        <v>7.0890814241289695</v>
      </c>
      <c r="G38" s="3217">
        <f>SUM(G37/G32)</f>
        <v>5.9765704516296427</v>
      </c>
      <c r="H38" s="3217">
        <f t="shared" ref="H38" si="13">SUM(H37/H32)</f>
        <v>7.0890814241289695</v>
      </c>
      <c r="I38" s="3218">
        <f>SUM(I37/I32)</f>
        <v>6.2546981947544751</v>
      </c>
      <c r="J38" s="2674"/>
      <c r="K38" s="1253"/>
    </row>
    <row r="39" spans="1:11" ht="18.75" x14ac:dyDescent="0.3">
      <c r="A39" s="1661"/>
      <c r="B39" s="389"/>
      <c r="C39" s="389"/>
      <c r="D39" s="389"/>
      <c r="E39" s="389"/>
      <c r="F39" s="389"/>
      <c r="G39" s="389"/>
      <c r="H39" s="389"/>
      <c r="I39" s="2111"/>
      <c r="J39" s="389"/>
    </row>
    <row r="40" spans="1:11" ht="18.75" x14ac:dyDescent="0.3">
      <c r="A40" s="1661"/>
      <c r="B40" s="389"/>
      <c r="C40" s="389"/>
      <c r="D40" s="389"/>
      <c r="E40" s="389"/>
      <c r="F40" s="389"/>
      <c r="G40" s="389"/>
      <c r="H40" s="389"/>
      <c r="I40" s="2111"/>
      <c r="J40" s="389"/>
    </row>
    <row r="41" spans="1:11" ht="18.75" x14ac:dyDescent="0.3">
      <c r="A41" s="389" t="s">
        <v>3816</v>
      </c>
      <c r="B41" s="389"/>
      <c r="C41" s="389"/>
      <c r="D41" s="389" t="s">
        <v>3984</v>
      </c>
      <c r="E41" s="389"/>
      <c r="F41" s="389"/>
      <c r="G41" s="389"/>
      <c r="H41" s="389"/>
      <c r="I41" s="2111"/>
      <c r="J41" s="389"/>
    </row>
    <row r="42" spans="1:11" ht="18.75" x14ac:dyDescent="0.3">
      <c r="A42" s="4210"/>
      <c r="B42" s="361"/>
      <c r="C42" s="361"/>
      <c r="D42" s="4210"/>
      <c r="E42" s="389"/>
      <c r="F42" s="389"/>
      <c r="G42" s="389"/>
      <c r="H42" s="389"/>
      <c r="I42" s="389"/>
      <c r="J42" s="389"/>
    </row>
    <row r="43" spans="1:11" ht="18.75" x14ac:dyDescent="0.3">
      <c r="A43" s="4210" t="s">
        <v>3824</v>
      </c>
      <c r="B43" s="361"/>
      <c r="C43" s="361"/>
      <c r="D43" s="4210" t="s">
        <v>3825</v>
      </c>
      <c r="E43" s="3179"/>
      <c r="F43" s="389"/>
      <c r="G43" s="389"/>
      <c r="H43" s="389"/>
      <c r="I43" s="389"/>
      <c r="J43" s="389"/>
    </row>
    <row r="44" spans="1:11" ht="18.75" x14ac:dyDescent="0.3">
      <c r="A44" s="1661"/>
      <c r="B44" s="2971"/>
      <c r="C44" s="2971"/>
      <c r="D44" s="389"/>
      <c r="E44" s="389"/>
      <c r="F44" s="389"/>
      <c r="G44" s="389"/>
      <c r="H44" s="389"/>
      <c r="I44" s="389"/>
      <c r="J44" s="389"/>
    </row>
    <row r="45" spans="1:11" ht="18.75" x14ac:dyDescent="0.3">
      <c r="A45" s="1661"/>
      <c r="B45" s="2971"/>
      <c r="C45" s="2971"/>
      <c r="D45" s="389"/>
      <c r="E45" s="389"/>
      <c r="F45" s="389"/>
      <c r="G45" s="389"/>
      <c r="H45" s="389"/>
      <c r="I45" s="389"/>
      <c r="J45" s="389"/>
    </row>
    <row r="46" spans="1:11" ht="18.75" x14ac:dyDescent="0.3">
      <c r="A46" s="565"/>
      <c r="B46" s="565"/>
      <c r="C46" s="565"/>
      <c r="D46" s="389"/>
      <c r="E46" s="389"/>
      <c r="F46" s="389"/>
      <c r="G46" s="389"/>
      <c r="H46" s="389"/>
      <c r="I46" s="389"/>
      <c r="J46" s="389"/>
    </row>
    <row r="47" spans="1:11" ht="18.75" x14ac:dyDescent="0.3">
      <c r="A47" s="565"/>
      <c r="B47" s="565"/>
      <c r="C47" s="565"/>
      <c r="D47" s="389"/>
      <c r="E47" s="389"/>
      <c r="F47" s="389"/>
      <c r="G47" s="389"/>
      <c r="H47" s="389"/>
      <c r="I47" s="389"/>
      <c r="J47" s="389"/>
    </row>
    <row r="48" spans="1:11" ht="18.75" x14ac:dyDescent="0.3">
      <c r="A48" s="565"/>
      <c r="B48" s="565"/>
      <c r="C48" s="565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</sheetData>
  <sheetProtection formatCells="0" formatColumns="0" formatRows="0" insertColumns="0" insertRows="0" insertHyperlinks="0" deleteColumns="0" deleteRows="0" sort="0" autoFilter="0" pivotTables="0"/>
  <mergeCells count="5">
    <mergeCell ref="A7:I7"/>
    <mergeCell ref="A9:I9"/>
    <mergeCell ref="A17:I17"/>
    <mergeCell ref="G1:I1"/>
    <mergeCell ref="G4:I4"/>
  </mergeCells>
  <printOptions horizontalCentered="1"/>
  <pageMargins left="0.39370078740157483" right="0.39370078740157483" top="0.78740157480314965" bottom="0.39370078740157483" header="0" footer="0"/>
  <pageSetup paperSize="9" scale="6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R53"/>
  <sheetViews>
    <sheetView topLeftCell="A13" zoomScale="80" zoomScaleNormal="80" workbookViewId="0">
      <selection activeCell="A44" sqref="A44:D46"/>
    </sheetView>
  </sheetViews>
  <sheetFormatPr defaultRowHeight="12.75" x14ac:dyDescent="0.2"/>
  <cols>
    <col min="1" max="1" width="57" customWidth="1"/>
    <col min="2" max="9" width="20.7109375" customWidth="1"/>
    <col min="11" max="11" width="0" hidden="1" customWidth="1"/>
  </cols>
  <sheetData>
    <row r="1" spans="1:11" ht="75.75" customHeight="1" x14ac:dyDescent="0.2">
      <c r="G1" s="4497" t="s">
        <v>3980</v>
      </c>
      <c r="H1" s="4497"/>
      <c r="I1" s="4497"/>
      <c r="J1" s="4207"/>
    </row>
    <row r="2" spans="1:11" ht="12" customHeight="1" x14ac:dyDescent="0.2">
      <c r="G2" s="3064"/>
      <c r="H2" s="4207"/>
      <c r="I2" s="4207"/>
      <c r="J2" s="4207"/>
    </row>
    <row r="3" spans="1:11" ht="18" customHeight="1" x14ac:dyDescent="0.2">
      <c r="G3" s="4208" t="s">
        <v>3981</v>
      </c>
      <c r="H3" s="4208"/>
      <c r="I3" s="4208"/>
      <c r="J3" s="4208"/>
    </row>
    <row r="4" spans="1:11" ht="42.75" customHeight="1" x14ac:dyDescent="0.2">
      <c r="G4" s="4497" t="s">
        <v>3982</v>
      </c>
      <c r="H4" s="4511"/>
      <c r="I4" s="4511"/>
      <c r="J4" s="4220"/>
    </row>
    <row r="5" spans="1:11" ht="24.75" customHeight="1" x14ac:dyDescent="0.2">
      <c r="G5" s="4208" t="s">
        <v>3983</v>
      </c>
      <c r="H5" s="4209"/>
      <c r="I5" s="4209"/>
      <c r="J5" s="4208"/>
    </row>
    <row r="6" spans="1:11" ht="18.75" x14ac:dyDescent="0.3">
      <c r="G6" s="4210" t="s">
        <v>3971</v>
      </c>
      <c r="H6" s="4210"/>
      <c r="I6" s="4210"/>
      <c r="J6" s="4210"/>
    </row>
    <row r="8" spans="1:11" ht="20.25" x14ac:dyDescent="0.3">
      <c r="A8" s="4504" t="s">
        <v>3974</v>
      </c>
      <c r="B8" s="4492"/>
      <c r="C8" s="4492"/>
      <c r="D8" s="4492"/>
      <c r="E8" s="4492"/>
      <c r="F8" s="4492"/>
      <c r="G8" s="4492"/>
      <c r="H8" s="4492"/>
      <c r="I8" s="4492"/>
    </row>
    <row r="9" spans="1:11" ht="21" thickBot="1" x14ac:dyDescent="0.35">
      <c r="A9" s="2906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customHeight="1" x14ac:dyDescent="0.3">
      <c r="A10" s="4505" t="s">
        <v>3883</v>
      </c>
      <c r="B10" s="4506"/>
      <c r="C10" s="4506"/>
      <c r="D10" s="4506"/>
      <c r="E10" s="4506"/>
      <c r="F10" s="4506"/>
      <c r="G10" s="4506"/>
      <c r="H10" s="4506"/>
      <c r="I10" s="4507"/>
      <c r="J10" s="365"/>
      <c r="K10" s="523"/>
    </row>
    <row r="11" spans="1:11" ht="19.5" customHeight="1" x14ac:dyDescent="0.2">
      <c r="A11" s="4197" t="s">
        <v>527</v>
      </c>
      <c r="B11" s="3196" t="s">
        <v>3819</v>
      </c>
      <c r="C11" s="4198" t="s">
        <v>585</v>
      </c>
      <c r="D11" s="4198" t="s">
        <v>584</v>
      </c>
      <c r="E11" s="4198" t="s">
        <v>583</v>
      </c>
      <c r="F11" s="4198" t="s">
        <v>216</v>
      </c>
      <c r="G11" s="4198" t="s">
        <v>220</v>
      </c>
      <c r="H11" s="4198" t="s">
        <v>3820</v>
      </c>
      <c r="I11" s="1503" t="s">
        <v>1992</v>
      </c>
      <c r="J11" s="565"/>
    </row>
    <row r="12" spans="1:11" ht="18.75" x14ac:dyDescent="0.3">
      <c r="A12" s="3095" t="s">
        <v>3876</v>
      </c>
      <c r="B12" s="3100" t="s">
        <v>3821</v>
      </c>
      <c r="C12" s="3190">
        <f>SUM(I12/4)</f>
        <v>81.603660000000005</v>
      </c>
      <c r="D12" s="3190">
        <f>SUM(C12)</f>
        <v>81.603660000000005</v>
      </c>
      <c r="E12" s="3190">
        <f>SUM(C12+D12)</f>
        <v>163.20732000000001</v>
      </c>
      <c r="F12" s="3190">
        <f>SUM(C12)</f>
        <v>81.603660000000005</v>
      </c>
      <c r="G12" s="3190">
        <f>SUM(E12+F12)</f>
        <v>244.81098000000003</v>
      </c>
      <c r="H12" s="3190">
        <f>SUM(C12)</f>
        <v>81.603660000000005</v>
      </c>
      <c r="I12" s="3201">
        <v>326.41464000000002</v>
      </c>
      <c r="J12" s="565"/>
      <c r="K12" s="1253" t="e">
        <f>SUM(#REF!+#REF!+#REF!+#REF!+#REF!+#REF!+#REF!+#REF!+#REF!+#REF!+#REF!+#REF!)</f>
        <v>#REF!</v>
      </c>
    </row>
    <row r="13" spans="1:11" ht="18.75" customHeight="1" x14ac:dyDescent="0.3">
      <c r="A13" s="3186" t="s">
        <v>51</v>
      </c>
      <c r="B13" s="3101" t="s">
        <v>3821</v>
      </c>
      <c r="C13" s="3202">
        <v>0</v>
      </c>
      <c r="D13" s="3202">
        <v>0</v>
      </c>
      <c r="E13" s="3202">
        <v>0</v>
      </c>
      <c r="F13" s="3202">
        <v>0</v>
      </c>
      <c r="G13" s="3202">
        <f>SUM(E13+F13)</f>
        <v>0</v>
      </c>
      <c r="H13" s="3202">
        <v>0</v>
      </c>
      <c r="I13" s="4204">
        <f>SUM('[42]V тр. воды'!F12)</f>
        <v>0</v>
      </c>
      <c r="J13" s="565"/>
      <c r="K13" s="1253" t="e">
        <f>SUM(#REF!+#REF!+#REF!+#REF!+#REF!+#REF!+#REF!+#REF!+#REF!+#REF!+#REF!+#REF!)</f>
        <v>#REF!</v>
      </c>
    </row>
    <row r="14" spans="1:11" ht="18.75" x14ac:dyDescent="0.3">
      <c r="A14" s="3053" t="s">
        <v>111</v>
      </c>
      <c r="B14" s="3101" t="s">
        <v>3821</v>
      </c>
      <c r="C14" s="4205">
        <f t="shared" ref="C14:I14" si="0">SUM(C13/C12)</f>
        <v>0</v>
      </c>
      <c r="D14" s="4205">
        <f t="shared" si="0"/>
        <v>0</v>
      </c>
      <c r="E14" s="4205">
        <f t="shared" si="0"/>
        <v>0</v>
      </c>
      <c r="F14" s="4205">
        <f t="shared" si="0"/>
        <v>0</v>
      </c>
      <c r="G14" s="4205">
        <f t="shared" si="0"/>
        <v>0</v>
      </c>
      <c r="H14" s="4205">
        <f t="shared" si="0"/>
        <v>0</v>
      </c>
      <c r="I14" s="4206">
        <f t="shared" si="0"/>
        <v>0</v>
      </c>
      <c r="J14" s="565"/>
      <c r="K14" s="1253" t="e">
        <f>SUM(#REF!+#REF!+#REF!+#REF!+#REF!+#REF!+#REF!+#REF!+#REF!+#REF!+#REF!+#REF!)</f>
        <v>#REF!</v>
      </c>
    </row>
    <row r="15" spans="1:11" ht="18.75" x14ac:dyDescent="0.3">
      <c r="A15" s="3095" t="s">
        <v>3877</v>
      </c>
      <c r="B15" s="3100" t="s">
        <v>3821</v>
      </c>
      <c r="C15" s="3190">
        <f t="shared" ref="C15:I15" si="1">SUM(C12)</f>
        <v>81.603660000000005</v>
      </c>
      <c r="D15" s="3190">
        <f t="shared" si="1"/>
        <v>81.603660000000005</v>
      </c>
      <c r="E15" s="3190">
        <f t="shared" si="1"/>
        <v>163.20732000000001</v>
      </c>
      <c r="F15" s="3190">
        <f t="shared" si="1"/>
        <v>81.603660000000005</v>
      </c>
      <c r="G15" s="3190">
        <f t="shared" si="1"/>
        <v>244.81098000000003</v>
      </c>
      <c r="H15" s="3190">
        <f t="shared" si="1"/>
        <v>81.603660000000005</v>
      </c>
      <c r="I15" s="3201">
        <f t="shared" si="1"/>
        <v>326.41464000000002</v>
      </c>
      <c r="J15" s="565"/>
      <c r="K15" s="1253" t="e">
        <f>SUM(#REF!+#REF!+#REF!+#REF!+#REF!+#REF!+#REF!+#REF!+#REF!+#REF!+#REF!+#REF!)</f>
        <v>#REF!</v>
      </c>
    </row>
    <row r="16" spans="1:11" ht="18.75" hidden="1" x14ac:dyDescent="0.3">
      <c r="A16" s="3197" t="s">
        <v>3777</v>
      </c>
      <c r="B16" s="3195"/>
      <c r="C16" s="3188"/>
      <c r="D16" s="3188"/>
      <c r="E16" s="3188"/>
      <c r="F16" s="3188"/>
      <c r="G16" s="3188"/>
      <c r="H16" s="3188"/>
      <c r="I16" s="3198"/>
      <c r="J16" s="565"/>
    </row>
    <row r="17" spans="1:11" ht="37.5" hidden="1" customHeight="1" x14ac:dyDescent="0.2">
      <c r="A17" s="4197" t="s">
        <v>527</v>
      </c>
      <c r="B17" s="3194"/>
      <c r="C17" s="4199" t="s">
        <v>3716</v>
      </c>
      <c r="D17" s="4199" t="s">
        <v>3717</v>
      </c>
      <c r="E17" s="4199" t="s">
        <v>3718</v>
      </c>
      <c r="F17" s="4199" t="s">
        <v>3719</v>
      </c>
      <c r="G17" s="4199" t="s">
        <v>3720</v>
      </c>
      <c r="H17" s="4199" t="s">
        <v>3721</v>
      </c>
      <c r="I17" s="3200" t="s">
        <v>1992</v>
      </c>
      <c r="J17" s="565"/>
    </row>
    <row r="18" spans="1:11" ht="18.75" hidden="1" customHeight="1" x14ac:dyDescent="0.2">
      <c r="A18" s="3077" t="s">
        <v>3780</v>
      </c>
      <c r="B18" s="3191"/>
      <c r="C18" s="3203">
        <f>SUM(C15*C20)</f>
        <v>147.49463025366023</v>
      </c>
      <c r="D18" s="3203">
        <f>SUM(D15*D20)</f>
        <v>147.49463025366023</v>
      </c>
      <c r="E18" s="3203">
        <f>SUM(C18+D18)</f>
        <v>294.98926050732047</v>
      </c>
      <c r="F18" s="3203">
        <f>SUM(F15*F20)</f>
        <v>165.94350511447428</v>
      </c>
      <c r="G18" s="3203">
        <f>SUM(E18+F18)</f>
        <v>460.93276562179472</v>
      </c>
      <c r="H18" s="3203">
        <f>SUM(H15*H20)</f>
        <v>165.94350511447428</v>
      </c>
      <c r="I18" s="3204">
        <f>SUM(G18+H18)</f>
        <v>626.87627073626902</v>
      </c>
      <c r="J18" s="565"/>
      <c r="K18" s="1253" t="e">
        <f>SUM(#REF!+#REF!+#REF!+#REF!+#REF!+#REF!+#REF!+#REF!+#REF!+#REF!+#REF!+#REF!)</f>
        <v>#REF!</v>
      </c>
    </row>
    <row r="19" spans="1:11" ht="18.75" hidden="1" x14ac:dyDescent="0.2">
      <c r="A19" s="3071" t="s">
        <v>3782</v>
      </c>
      <c r="B19" s="3205"/>
      <c r="C19" s="3206">
        <f>SUM(C18)</f>
        <v>147.49463025366023</v>
      </c>
      <c r="D19" s="3206">
        <f>SUM(D18)</f>
        <v>147.49463025366023</v>
      </c>
      <c r="E19" s="3206">
        <f>SUM(C19+D19)</f>
        <v>294.98926050732047</v>
      </c>
      <c r="F19" s="3206">
        <f>SUM(F18)</f>
        <v>165.94350511447428</v>
      </c>
      <c r="G19" s="3206">
        <f>SUM(E19+F19)</f>
        <v>460.93276562179472</v>
      </c>
      <c r="H19" s="3206">
        <f>SUM(H18)</f>
        <v>165.94350511447428</v>
      </c>
      <c r="I19" s="3207">
        <f>SUM(G19+H19)</f>
        <v>626.87627073626902</v>
      </c>
      <c r="J19" s="565"/>
      <c r="K19" s="1253" t="e">
        <f>SUM(#REF!+#REF!+#REF!+#REF!+#REF!+#REF!+#REF!+#REF!+#REF!+#REF!+#REF!+#REF!)</f>
        <v>#REF!</v>
      </c>
    </row>
    <row r="20" spans="1:11" ht="18.75" hidden="1" x14ac:dyDescent="0.2">
      <c r="A20" s="3071" t="s">
        <v>3783</v>
      </c>
      <c r="B20" s="3208"/>
      <c r="C20" s="3206">
        <v>1.8074511639999999</v>
      </c>
      <c r="D20" s="3206">
        <f>SUM(C20)</f>
        <v>1.8074511639999999</v>
      </c>
      <c r="E20" s="3206">
        <f>SUM(E18/E15)</f>
        <v>1.8074511639999997</v>
      </c>
      <c r="F20" s="3206">
        <v>2.0335301763974098</v>
      </c>
      <c r="G20" s="3206">
        <f>SUM(G18/G15)</f>
        <v>1.8828108347991364</v>
      </c>
      <c r="H20" s="3206">
        <f>SUM(F20)</f>
        <v>2.0335301763974098</v>
      </c>
      <c r="I20" s="3207">
        <f>SUM(I19/I15)</f>
        <v>1.9204906701987048</v>
      </c>
      <c r="J20" s="565"/>
      <c r="K20" s="1253"/>
    </row>
    <row r="21" spans="1:11" ht="18" customHeight="1" x14ac:dyDescent="0.3">
      <c r="A21" s="4508" t="s">
        <v>3808</v>
      </c>
      <c r="B21" s="4512"/>
      <c r="C21" s="4512"/>
      <c r="D21" s="4512"/>
      <c r="E21" s="4512"/>
      <c r="F21" s="4512"/>
      <c r="G21" s="4512"/>
      <c r="H21" s="4512"/>
      <c r="I21" s="4513"/>
      <c r="J21" s="565"/>
    </row>
    <row r="22" spans="1:11" ht="20.25" customHeight="1" x14ac:dyDescent="0.2">
      <c r="A22" s="4514" t="s">
        <v>527</v>
      </c>
      <c r="B22" s="3196" t="s">
        <v>3819</v>
      </c>
      <c r="C22" s="4198" t="s">
        <v>585</v>
      </c>
      <c r="D22" s="4198" t="s">
        <v>584</v>
      </c>
      <c r="E22" s="4198" t="s">
        <v>583</v>
      </c>
      <c r="F22" s="4198" t="s">
        <v>216</v>
      </c>
      <c r="G22" s="4198" t="s">
        <v>220</v>
      </c>
      <c r="H22" s="4198" t="s">
        <v>3820</v>
      </c>
      <c r="I22" s="1503" t="s">
        <v>1992</v>
      </c>
      <c r="J22" s="565"/>
    </row>
    <row r="23" spans="1:11" ht="35.25" customHeight="1" x14ac:dyDescent="0.3">
      <c r="A23" s="4514"/>
      <c r="B23" s="3189"/>
      <c r="C23" s="3189" t="s">
        <v>3573</v>
      </c>
      <c r="D23" s="3189" t="s">
        <v>3573</v>
      </c>
      <c r="E23" s="3189" t="s">
        <v>3573</v>
      </c>
      <c r="F23" s="3189" t="s">
        <v>3573</v>
      </c>
      <c r="G23" s="3189" t="s">
        <v>3573</v>
      </c>
      <c r="H23" s="3189" t="s">
        <v>3573</v>
      </c>
      <c r="I23" s="1503" t="s">
        <v>3573</v>
      </c>
      <c r="J23" s="389"/>
    </row>
    <row r="24" spans="1:11" ht="18.75" x14ac:dyDescent="0.3">
      <c r="A24" s="3089" t="s">
        <v>3878</v>
      </c>
      <c r="B24" s="3102" t="s">
        <v>902</v>
      </c>
      <c r="C24" s="3202">
        <f>SUM(I24/4)</f>
        <v>5.0207933975000003</v>
      </c>
      <c r="D24" s="3202">
        <f>SUM(C24)</f>
        <v>5.0207933975000003</v>
      </c>
      <c r="E24" s="3202">
        <f>SUM(C24+D24)</f>
        <v>10.041586795000001</v>
      </c>
      <c r="F24" s="3202">
        <f>SUM(C24)</f>
        <v>5.0207933975000003</v>
      </c>
      <c r="G24" s="3202">
        <f>SUM(E24+F24)</f>
        <v>15.062380192500001</v>
      </c>
      <c r="H24" s="3202">
        <f>SUM(C24)</f>
        <v>5.0207933975000003</v>
      </c>
      <c r="I24" s="3210">
        <v>20.083173590000001</v>
      </c>
      <c r="J24" s="389"/>
      <c r="K24" s="1253" t="e">
        <f>SUM(#REF!+#REF!+#REF!+#REF!+#REF!+#REF!+#REF!+#REF!+#REF!+#REF!+#REF!+#REF!)</f>
        <v>#REF!</v>
      </c>
    </row>
    <row r="25" spans="1:11" ht="18.75" x14ac:dyDescent="0.3">
      <c r="A25" s="3089" t="s">
        <v>3879</v>
      </c>
      <c r="B25" s="3102" t="s">
        <v>902</v>
      </c>
      <c r="C25" s="3202">
        <f>SUM(I25/4)</f>
        <v>93.415575390000001</v>
      </c>
      <c r="D25" s="3202">
        <f>SUM(C25)</f>
        <v>93.415575390000001</v>
      </c>
      <c r="E25" s="3202">
        <f>SUM(C25+D25)</f>
        <v>186.83115078</v>
      </c>
      <c r="F25" s="3202">
        <f>SUM(C25)</f>
        <v>93.415575390000001</v>
      </c>
      <c r="G25" s="3202">
        <f>SUM(E25+F25)</f>
        <v>280.24672616999999</v>
      </c>
      <c r="H25" s="3202">
        <f>SUM(C25)</f>
        <v>93.415575390000001</v>
      </c>
      <c r="I25" s="3210">
        <v>373.66230156</v>
      </c>
      <c r="J25" s="389"/>
      <c r="K25" s="1253" t="e">
        <f>SUM(#REF!+#REF!+#REF!+#REF!+#REF!+#REF!+#REF!+#REF!+#REF!+#REF!+#REF!+#REF!)</f>
        <v>#REF!</v>
      </c>
    </row>
    <row r="26" spans="1:11" ht="18.75" x14ac:dyDescent="0.3">
      <c r="A26" s="3089" t="s">
        <v>5</v>
      </c>
      <c r="B26" s="3102" t="s">
        <v>902</v>
      </c>
      <c r="C26" s="3202">
        <f>SUM(I26/4)</f>
        <v>28.211503767779998</v>
      </c>
      <c r="D26" s="3202">
        <f>SUM(C26)</f>
        <v>28.211503767779998</v>
      </c>
      <c r="E26" s="3202">
        <f>SUM(C26+D26)</f>
        <v>56.423007535559996</v>
      </c>
      <c r="F26" s="3202">
        <f>SUM(C26)</f>
        <v>28.211503767779998</v>
      </c>
      <c r="G26" s="3202">
        <f>SUM(E26+F26)</f>
        <v>84.634511303339991</v>
      </c>
      <c r="H26" s="3202">
        <f>SUM(C26)</f>
        <v>28.211503767779998</v>
      </c>
      <c r="I26" s="3210">
        <f>SUM(I25*30.2%)</f>
        <v>112.84601507111999</v>
      </c>
      <c r="J26" s="389"/>
      <c r="K26" s="1253" t="e">
        <f>SUM(#REF!+#REF!+#REF!+#REF!+#REF!+#REF!+#REF!+#REF!+#REF!+#REF!+#REF!+#REF!)</f>
        <v>#REF!</v>
      </c>
    </row>
    <row r="27" spans="1:11" ht="18.75" x14ac:dyDescent="0.3">
      <c r="A27" s="3089" t="s">
        <v>3</v>
      </c>
      <c r="B27" s="3102" t="s">
        <v>902</v>
      </c>
      <c r="C27" s="3202">
        <f>SUM(I27/4)</f>
        <v>23.304789835000001</v>
      </c>
      <c r="D27" s="3202">
        <f>SUM(C27)</f>
        <v>23.304789835000001</v>
      </c>
      <c r="E27" s="3202">
        <f>SUM(C27+D27)</f>
        <v>46.609579670000002</v>
      </c>
      <c r="F27" s="3202">
        <f>SUM(C27)</f>
        <v>23.304789835000001</v>
      </c>
      <c r="G27" s="3202">
        <f>SUM(E27+F27)</f>
        <v>69.914369504999996</v>
      </c>
      <c r="H27" s="3202">
        <f>SUM(C27)</f>
        <v>23.304789835000001</v>
      </c>
      <c r="I27" s="3210">
        <v>93.219159340000004</v>
      </c>
      <c r="J27" s="389"/>
      <c r="K27" s="1253" t="e">
        <f>SUM(#REF!+#REF!+#REF!+#REF!+#REF!+#REF!+#REF!+#REF!+#REF!+#REF!+#REF!+#REF!)</f>
        <v>#REF!</v>
      </c>
    </row>
    <row r="28" spans="1:11" ht="18.75" x14ac:dyDescent="0.3">
      <c r="A28" s="3089" t="s">
        <v>3756</v>
      </c>
      <c r="B28" s="3102" t="s">
        <v>902</v>
      </c>
      <c r="C28" s="3209">
        <f>SUM(C29:C31)</f>
        <v>4.9960336052649996</v>
      </c>
      <c r="D28" s="3209">
        <f t="shared" ref="D28:H28" si="2">SUM(D29:D31)</f>
        <v>4.9960336052649996</v>
      </c>
      <c r="E28" s="3209">
        <f t="shared" si="2"/>
        <v>9.9920672105299992</v>
      </c>
      <c r="F28" s="3209">
        <f t="shared" si="2"/>
        <v>4.9960336052649996</v>
      </c>
      <c r="G28" s="3209">
        <f t="shared" si="2"/>
        <v>14.988100815794999</v>
      </c>
      <c r="H28" s="3209">
        <f t="shared" si="2"/>
        <v>4.9960336052649996</v>
      </c>
      <c r="I28" s="3210">
        <v>19.984134430000001</v>
      </c>
      <c r="J28" s="389"/>
      <c r="K28" s="1253" t="e">
        <f>SUM(#REF!+#REF!+#REF!+#REF!+#REF!+#REF!+#REF!+#REF!+#REF!+#REF!+#REF!+#REF!)</f>
        <v>#REF!</v>
      </c>
    </row>
    <row r="29" spans="1:11" ht="18.75" x14ac:dyDescent="0.3">
      <c r="A29" s="3090" t="s">
        <v>3757</v>
      </c>
      <c r="B29" s="3102" t="s">
        <v>902</v>
      </c>
      <c r="C29" s="4202">
        <f>SUM(I29/4)</f>
        <v>2.4793902575</v>
      </c>
      <c r="D29" s="4202">
        <f>SUM(C29)</f>
        <v>2.4793902575</v>
      </c>
      <c r="E29" s="4202">
        <f>SUM(C29+D29)</f>
        <v>4.9587805149999999</v>
      </c>
      <c r="F29" s="4202">
        <f>SUM(C29)</f>
        <v>2.4793902575</v>
      </c>
      <c r="G29" s="4202">
        <f>SUM(E29+F29)</f>
        <v>7.4381707724999995</v>
      </c>
      <c r="H29" s="4202">
        <f>SUM(C29)</f>
        <v>2.4793902575</v>
      </c>
      <c r="I29" s="3211">
        <v>9.9175610299999999</v>
      </c>
      <c r="J29" s="389"/>
      <c r="K29" s="1253" t="e">
        <f>SUM(#REF!+#REF!+#REF!+#REF!+#REF!+#REF!+#REF!+#REF!+#REF!+#REF!+#REF!+#REF!)</f>
        <v>#REF!</v>
      </c>
    </row>
    <row r="30" spans="1:11" ht="18.75" x14ac:dyDescent="0.3">
      <c r="A30" s="3093" t="s">
        <v>3758</v>
      </c>
      <c r="B30" s="3102" t="s">
        <v>902</v>
      </c>
      <c r="C30" s="4202">
        <f t="shared" ref="C30:C31" si="3">SUM(I30/4)</f>
        <v>0.748775857765</v>
      </c>
      <c r="D30" s="4202">
        <f>SUM(C30)</f>
        <v>0.748775857765</v>
      </c>
      <c r="E30" s="4202">
        <f>SUM(C30+D30)</f>
        <v>1.49755171553</v>
      </c>
      <c r="F30" s="4202">
        <f>SUM(C30)</f>
        <v>0.748775857765</v>
      </c>
      <c r="G30" s="4202">
        <f>SUM(E30+F30)</f>
        <v>2.2463275732949999</v>
      </c>
      <c r="H30" s="4202">
        <f>SUM(C30)</f>
        <v>0.748775857765</v>
      </c>
      <c r="I30" s="3211">
        <f>SUM(I29*30.2%)</f>
        <v>2.99510343106</v>
      </c>
      <c r="J30" s="389"/>
      <c r="K30" s="1253" t="e">
        <f>SUM(#REF!+#REF!+#REF!+#REF!+#REF!+#REF!+#REF!+#REF!+#REF!+#REF!+#REF!+#REF!)</f>
        <v>#REF!</v>
      </c>
    </row>
    <row r="31" spans="1:11" ht="18.75" x14ac:dyDescent="0.3">
      <c r="A31" s="3093" t="s">
        <v>3880</v>
      </c>
      <c r="B31" s="3102" t="s">
        <v>902</v>
      </c>
      <c r="C31" s="4202">
        <f t="shared" si="3"/>
        <v>1.76786749</v>
      </c>
      <c r="D31" s="4202">
        <f>SUM(C31)</f>
        <v>1.76786749</v>
      </c>
      <c r="E31" s="4202">
        <f>SUM(C31+D31)</f>
        <v>3.53573498</v>
      </c>
      <c r="F31" s="4202">
        <f>SUM(C31)</f>
        <v>1.76786749</v>
      </c>
      <c r="G31" s="4202">
        <f>SUM(E31+F31)</f>
        <v>5.3036024699999995</v>
      </c>
      <c r="H31" s="4202">
        <f>SUM(C31)</f>
        <v>1.76786749</v>
      </c>
      <c r="I31" s="3211">
        <v>7.0714699599999999</v>
      </c>
      <c r="J31" s="389"/>
      <c r="K31" s="1253" t="e">
        <f>SUM(#REF!+#REF!+#REF!+#REF!+#REF!+#REF!+#REF!+#REF!+#REF!+#REF!+#REF!+#REF!)</f>
        <v>#REF!</v>
      </c>
    </row>
    <row r="32" spans="1:11" ht="18.75" x14ac:dyDescent="0.3">
      <c r="A32" s="3089" t="s">
        <v>3759</v>
      </c>
      <c r="B32" s="3102" t="s">
        <v>902</v>
      </c>
      <c r="C32" s="3209">
        <f>SUM(C33:C35)</f>
        <v>1.7703716825</v>
      </c>
      <c r="D32" s="3209">
        <f t="shared" ref="D32:H32" si="4">SUM(D33:D35)</f>
        <v>1.7703716825</v>
      </c>
      <c r="E32" s="3209">
        <f t="shared" si="4"/>
        <v>3.540743365</v>
      </c>
      <c r="F32" s="3209">
        <f t="shared" si="4"/>
        <v>1.7703716825</v>
      </c>
      <c r="G32" s="3209">
        <f t="shared" si="4"/>
        <v>5.3111150475000004</v>
      </c>
      <c r="H32" s="3209">
        <f t="shared" si="4"/>
        <v>1.7703716825</v>
      </c>
      <c r="I32" s="3210">
        <v>7.0814867399999999</v>
      </c>
      <c r="J32" s="389"/>
      <c r="K32" s="1253" t="e">
        <f>SUM(#REF!+#REF!+#REF!+#REF!+#REF!+#REF!+#REF!+#REF!+#REF!+#REF!+#REF!+#REF!)</f>
        <v>#REF!</v>
      </c>
    </row>
    <row r="33" spans="1:18" ht="18.75" x14ac:dyDescent="0.3">
      <c r="A33" s="3093" t="s">
        <v>3745</v>
      </c>
      <c r="B33" s="3102" t="s">
        <v>902</v>
      </c>
      <c r="C33" s="4202">
        <f t="shared" ref="C33:C35" si="5">SUM(I33/4)</f>
        <v>1.3597324749999999</v>
      </c>
      <c r="D33" s="4202">
        <f>SUM(C33)</f>
        <v>1.3597324749999999</v>
      </c>
      <c r="E33" s="4202">
        <f>SUM(C33+D33)</f>
        <v>2.7194649499999999</v>
      </c>
      <c r="F33" s="4202">
        <f>SUM(C33)</f>
        <v>1.3597324749999999</v>
      </c>
      <c r="G33" s="4202">
        <f>SUM(E33+F33)</f>
        <v>4.0791974250000003</v>
      </c>
      <c r="H33" s="4202">
        <f>SUM(C33)</f>
        <v>1.3597324749999999</v>
      </c>
      <c r="I33" s="3211">
        <v>5.4389298999999998</v>
      </c>
      <c r="J33" s="389"/>
      <c r="K33" s="1253" t="e">
        <f>SUM(#REF!+#REF!+#REF!+#REF!+#REF!+#REF!+#REF!+#REF!+#REF!+#REF!+#REF!+#REF!)</f>
        <v>#REF!</v>
      </c>
    </row>
    <row r="34" spans="1:18" ht="18.75" x14ac:dyDescent="0.3">
      <c r="A34" s="3093" t="s">
        <v>3746</v>
      </c>
      <c r="B34" s="3102" t="s">
        <v>902</v>
      </c>
      <c r="C34" s="4202">
        <f t="shared" si="5"/>
        <v>0.41063920749999999</v>
      </c>
      <c r="D34" s="4202">
        <f>SUM(C34)</f>
        <v>0.41063920749999999</v>
      </c>
      <c r="E34" s="4202">
        <f>SUM(C34+D34)</f>
        <v>0.82127841499999998</v>
      </c>
      <c r="F34" s="4202">
        <f>SUM(C34)</f>
        <v>0.41063920749999999</v>
      </c>
      <c r="G34" s="4202">
        <f>SUM(E34+F34)</f>
        <v>1.2319176224999999</v>
      </c>
      <c r="H34" s="4202">
        <f>SUM(C34)</f>
        <v>0.41063920749999999</v>
      </c>
      <c r="I34" s="3211">
        <v>1.64255683</v>
      </c>
      <c r="J34" s="389"/>
      <c r="K34" s="1253" t="e">
        <f>SUM(#REF!+#REF!+#REF!+#REF!+#REF!+#REF!+#REF!+#REF!+#REF!+#REF!+#REF!+#REF!)</f>
        <v>#REF!</v>
      </c>
    </row>
    <row r="35" spans="1:18" ht="18.75" x14ac:dyDescent="0.3">
      <c r="A35" s="3093" t="s">
        <v>3747</v>
      </c>
      <c r="B35" s="3102" t="s">
        <v>902</v>
      </c>
      <c r="C35" s="4202">
        <f t="shared" si="5"/>
        <v>0</v>
      </c>
      <c r="D35" s="4202">
        <f>SUM(C35)</f>
        <v>0</v>
      </c>
      <c r="E35" s="4202">
        <f>SUM(C35+D35)</f>
        <v>0</v>
      </c>
      <c r="F35" s="4202">
        <f>SUM(C35)</f>
        <v>0</v>
      </c>
      <c r="G35" s="4202">
        <f>SUM(E35+F35)</f>
        <v>0</v>
      </c>
      <c r="H35" s="4202">
        <f>SUM(C35)</f>
        <v>0</v>
      </c>
      <c r="I35" s="3211">
        <v>0</v>
      </c>
      <c r="J35" s="389"/>
      <c r="K35" s="1253" t="e">
        <f>SUM(#REF!+#REF!+#REF!+#REF!+#REF!+#REF!+#REF!+#REF!+#REF!+#REF!+#REF!+#REF!)</f>
        <v>#REF!</v>
      </c>
    </row>
    <row r="36" spans="1:18" ht="18.75" x14ac:dyDescent="0.3">
      <c r="A36" s="3094" t="s">
        <v>12</v>
      </c>
      <c r="B36" s="3107" t="s">
        <v>902</v>
      </c>
      <c r="C36" s="3213">
        <f t="shared" ref="C36:H36" si="6">SUM(C24+C25+C26+C27+C28+C32)</f>
        <v>156.71906767804504</v>
      </c>
      <c r="D36" s="3213">
        <f t="shared" si="6"/>
        <v>156.71906767804504</v>
      </c>
      <c r="E36" s="3213">
        <f t="shared" si="6"/>
        <v>313.43813535609007</v>
      </c>
      <c r="F36" s="3213">
        <f t="shared" si="6"/>
        <v>156.71906767804504</v>
      </c>
      <c r="G36" s="3213">
        <f t="shared" si="6"/>
        <v>470.15720303413491</v>
      </c>
      <c r="H36" s="3213">
        <f t="shared" si="6"/>
        <v>156.71906767804504</v>
      </c>
      <c r="I36" s="3214">
        <f>SUM(I24+I25+I26+I27+I28+I32)</f>
        <v>626.87627073112003</v>
      </c>
      <c r="J36" s="389"/>
      <c r="K36" s="1253" t="e">
        <f>SUM(#REF!+#REF!+#REF!+#REF!+#REF!+#REF!+#REF!+#REF!+#REF!+#REF!+#REF!+#REF!)</f>
        <v>#REF!</v>
      </c>
    </row>
    <row r="37" spans="1:18" ht="18.75" x14ac:dyDescent="0.3">
      <c r="A37" s="3094" t="s">
        <v>13</v>
      </c>
      <c r="B37" s="3100" t="s">
        <v>3821</v>
      </c>
      <c r="C37" s="3212">
        <f t="shared" ref="C37:I37" si="7">SUM(C15)</f>
        <v>81.603660000000005</v>
      </c>
      <c r="D37" s="3212">
        <f t="shared" si="7"/>
        <v>81.603660000000005</v>
      </c>
      <c r="E37" s="3212">
        <f t="shared" si="7"/>
        <v>163.20732000000001</v>
      </c>
      <c r="F37" s="3212">
        <f t="shared" si="7"/>
        <v>81.603660000000005</v>
      </c>
      <c r="G37" s="3212">
        <f t="shared" si="7"/>
        <v>244.81098000000003</v>
      </c>
      <c r="H37" s="3212">
        <f t="shared" si="7"/>
        <v>81.603660000000005</v>
      </c>
      <c r="I37" s="3215">
        <f t="shared" si="7"/>
        <v>326.41464000000002</v>
      </c>
      <c r="J37" s="389"/>
      <c r="K37" s="1253" t="e">
        <f>SUM(#REF!+#REF!+#REF!+#REF!+#REF!+#REF!+#REF!+#REF!+#REF!+#REF!+#REF!+#REF!)</f>
        <v>#REF!</v>
      </c>
    </row>
    <row r="38" spans="1:18" ht="18.75" x14ac:dyDescent="0.3">
      <c r="A38" s="3199" t="s">
        <v>14</v>
      </c>
      <c r="B38" s="3109" t="s">
        <v>2029</v>
      </c>
      <c r="C38" s="3212">
        <f t="shared" ref="C38:G38" si="8">SUM(C36/C37)</f>
        <v>1.9204906701249065</v>
      </c>
      <c r="D38" s="3212">
        <f t="shared" ref="D38" si="9">SUM(D36/D37)</f>
        <v>1.9204906701249065</v>
      </c>
      <c r="E38" s="3212">
        <f t="shared" ref="E38" si="10">SUM(E36/E37)</f>
        <v>1.9204906701249065</v>
      </c>
      <c r="F38" s="3212">
        <f t="shared" ref="F38" si="11">SUM(F36/F37)</f>
        <v>1.9204906701249065</v>
      </c>
      <c r="G38" s="3212">
        <f t="shared" si="8"/>
        <v>1.9204906701249056</v>
      </c>
      <c r="H38" s="3212">
        <f t="shared" ref="H38" si="12">SUM(H36/H37)</f>
        <v>1.9204906701249065</v>
      </c>
      <c r="I38" s="3215">
        <f t="shared" ref="I38" si="13">SUM(I36/I37)</f>
        <v>1.9204906701829305</v>
      </c>
      <c r="J38" s="389"/>
      <c r="K38" s="1253" t="e">
        <f>SUM(#REF!+#REF!+#REF!+#REF!+#REF!+#REF!+#REF!+#REF!+#REF!+#REF!+#REF!+#REF!)</f>
        <v>#REF!</v>
      </c>
    </row>
    <row r="39" spans="1:18" ht="19.5" x14ac:dyDescent="0.3">
      <c r="A39" s="3199" t="s">
        <v>3787</v>
      </c>
      <c r="B39" s="3107" t="s">
        <v>902</v>
      </c>
      <c r="C39" s="3213">
        <f>SUM(C15*C20)-C36</f>
        <v>-9.2244374243848029</v>
      </c>
      <c r="D39" s="3213">
        <f>SUM(D15*D20)-D36</f>
        <v>-9.2244374243848029</v>
      </c>
      <c r="E39" s="3213">
        <f>SUM(C39+D39)</f>
        <v>-18.448874848769606</v>
      </c>
      <c r="F39" s="3213">
        <f>SUM(F15*F20)-F36</f>
        <v>9.2244374364292412</v>
      </c>
      <c r="G39" s="3216">
        <f>SUM(E39+F39)</f>
        <v>-9.2244374123403645</v>
      </c>
      <c r="H39" s="3213">
        <f>SUM(H15*H20)-H36</f>
        <v>9.2244374364292412</v>
      </c>
      <c r="I39" s="3214">
        <f>SUM(G39+H39)</f>
        <v>2.4088876671157777E-8</v>
      </c>
      <c r="J39" s="2674"/>
      <c r="K39" s="1253" t="e">
        <f>SUM(#REF!+#REF!+#REF!+#REF!+#REF!+#REF!+#REF!+#REF!+#REF!+#REF!+#REF!+#REF!)</f>
        <v>#REF!</v>
      </c>
    </row>
    <row r="40" spans="1:18" ht="19.5" x14ac:dyDescent="0.3">
      <c r="A40" s="3095" t="s">
        <v>529</v>
      </c>
      <c r="B40" s="3107" t="s">
        <v>902</v>
      </c>
      <c r="C40" s="3213">
        <f>SUM(C36+C39)</f>
        <v>147.49463025366023</v>
      </c>
      <c r="D40" s="3213">
        <f>SUM(D36+D39)</f>
        <v>147.49463025366023</v>
      </c>
      <c r="E40" s="3213">
        <f>SUM(C40+D40)</f>
        <v>294.98926050732047</v>
      </c>
      <c r="F40" s="3213">
        <f>SUM(F36+F39)</f>
        <v>165.94350511447428</v>
      </c>
      <c r="G40" s="3216">
        <f>SUM(E40+F40)</f>
        <v>460.93276562179472</v>
      </c>
      <c r="H40" s="3213">
        <f>SUM(H36+H39)</f>
        <v>165.94350511447428</v>
      </c>
      <c r="I40" s="3214">
        <f>SUM(G40+H40)</f>
        <v>626.87627073626902</v>
      </c>
      <c r="J40" s="2674"/>
      <c r="K40" s="1253" t="e">
        <f>SUM(#REF!+#REF!+#REF!+#REF!+#REF!+#REF!+#REF!+#REF!+#REF!+#REF!+#REF!+#REF!)</f>
        <v>#REF!</v>
      </c>
    </row>
    <row r="41" spans="1:18" ht="19.5" thickBot="1" x14ac:dyDescent="0.35">
      <c r="A41" s="3096" t="s">
        <v>69</v>
      </c>
      <c r="B41" s="3187" t="s">
        <v>2029</v>
      </c>
      <c r="C41" s="3217">
        <f t="shared" ref="C41:D41" si="14">SUM(C40/C37)</f>
        <v>1.8074511639999997</v>
      </c>
      <c r="D41" s="3217">
        <f t="shared" si="14"/>
        <v>1.8074511639999997</v>
      </c>
      <c r="E41" s="3217">
        <f>SUM(E40/E37)</f>
        <v>1.8074511639999997</v>
      </c>
      <c r="F41" s="3217">
        <f t="shared" ref="F41" si="15">SUM(F40/F37)</f>
        <v>2.0335301763974098</v>
      </c>
      <c r="G41" s="3217">
        <f>SUM(G40/G37)</f>
        <v>1.8828108347991364</v>
      </c>
      <c r="H41" s="3217">
        <f t="shared" ref="H41" si="16">SUM(H40/H37)</f>
        <v>2.0335301763974098</v>
      </c>
      <c r="I41" s="3218">
        <f>SUM(I40/I37)</f>
        <v>1.9204906701987048</v>
      </c>
      <c r="J41" s="2674"/>
      <c r="K41" s="1253" t="e">
        <f>SUM(#REF!+#REF!+#REF!+#REF!+#REF!+#REF!+#REF!+#REF!+#REF!+#REF!+#REF!+#REF!)</f>
        <v>#REF!</v>
      </c>
    </row>
    <row r="42" spans="1:18" ht="18.75" x14ac:dyDescent="0.3">
      <c r="A42" s="1661"/>
      <c r="B42" s="389"/>
      <c r="C42" s="389"/>
      <c r="D42" s="389"/>
      <c r="E42" s="389"/>
      <c r="F42" s="389"/>
      <c r="G42" s="389"/>
      <c r="H42" s="389"/>
      <c r="I42" s="389"/>
      <c r="J42" s="389"/>
    </row>
    <row r="43" spans="1:18" ht="18.75" x14ac:dyDescent="0.3">
      <c r="A43" s="1661"/>
      <c r="B43" s="389"/>
      <c r="C43" s="389"/>
      <c r="D43" s="389"/>
      <c r="E43" s="389"/>
      <c r="F43" s="389"/>
      <c r="G43" s="389"/>
      <c r="H43" s="389"/>
      <c r="I43" s="389"/>
      <c r="J43" s="389"/>
    </row>
    <row r="44" spans="1:18" ht="18.75" x14ac:dyDescent="0.3">
      <c r="A44" s="389" t="s">
        <v>3816</v>
      </c>
      <c r="B44" s="389"/>
      <c r="C44" s="389"/>
      <c r="D44" s="389" t="s">
        <v>3984</v>
      </c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</row>
    <row r="45" spans="1:18" ht="18.75" x14ac:dyDescent="0.3">
      <c r="A45" s="4210"/>
      <c r="B45" s="361"/>
      <c r="C45" s="361"/>
      <c r="D45" s="4210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4210"/>
    </row>
    <row r="46" spans="1:18" ht="18.75" x14ac:dyDescent="0.3">
      <c r="A46" s="4210" t="s">
        <v>3824</v>
      </c>
      <c r="B46" s="361"/>
      <c r="C46" s="361"/>
      <c r="D46" s="4210" t="s">
        <v>3825</v>
      </c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4210"/>
    </row>
    <row r="47" spans="1:18" ht="18.75" x14ac:dyDescent="0.3">
      <c r="A47" s="1661"/>
      <c r="B47" s="2971"/>
      <c r="C47" s="2971"/>
      <c r="D47" s="389"/>
      <c r="E47" s="389"/>
      <c r="F47" s="389"/>
      <c r="G47" s="389"/>
      <c r="H47" s="389"/>
      <c r="I47" s="389"/>
      <c r="J47" s="389"/>
    </row>
    <row r="48" spans="1:18" ht="18.75" x14ac:dyDescent="0.3">
      <c r="A48" s="1661"/>
      <c r="B48" s="2971"/>
      <c r="C48" s="2971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  <row r="52" spans="1:10" ht="18.75" x14ac:dyDescent="0.3">
      <c r="A52" s="565"/>
      <c r="B52" s="565"/>
      <c r="C52" s="565"/>
      <c r="D52" s="389"/>
      <c r="E52" s="389"/>
      <c r="F52" s="389"/>
      <c r="G52" s="389"/>
      <c r="H52" s="389"/>
      <c r="I52" s="389"/>
      <c r="J52" s="389"/>
    </row>
    <row r="53" spans="1:10" ht="18.75" x14ac:dyDescent="0.3">
      <c r="A53" s="565"/>
      <c r="B53" s="565"/>
      <c r="C53" s="565"/>
      <c r="D53" s="389"/>
      <c r="E53" s="389"/>
      <c r="F53" s="389"/>
      <c r="G53" s="389"/>
      <c r="H53" s="389"/>
      <c r="I53" s="389"/>
      <c r="J53" s="389"/>
    </row>
  </sheetData>
  <sheetProtection formatCells="0" formatColumns="0" formatRows="0" insertColumns="0" insertRows="0" insertHyperlinks="0" deleteColumns="0" deleteRows="0" sort="0" autoFilter="0" pivotTables="0"/>
  <mergeCells count="6">
    <mergeCell ref="G1:I1"/>
    <mergeCell ref="A10:I10"/>
    <mergeCell ref="A8:I8"/>
    <mergeCell ref="A21:I21"/>
    <mergeCell ref="A22:A23"/>
    <mergeCell ref="G4:I4"/>
  </mergeCells>
  <printOptions horizontalCentered="1"/>
  <pageMargins left="0.19685039370078741" right="0.19685039370078741" top="0.39370078740157483" bottom="0.39370078740157483" header="0" footer="0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4">
    <tabColor rgb="FFFFFF00"/>
    <pageSetUpPr fitToPage="1"/>
  </sheetPr>
  <dimension ref="A1:AG462"/>
  <sheetViews>
    <sheetView zoomScale="73" zoomScaleNormal="73" zoomScalePageLayoutView="90" workbookViewId="0">
      <selection activeCell="A63" sqref="A63:R65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23"/>
      <c r="AD1" s="4497" t="s">
        <v>3980</v>
      </c>
      <c r="AE1" s="4518"/>
      <c r="AF1" s="4518"/>
      <c r="AG1" s="4518"/>
    </row>
    <row r="2" spans="1:33" ht="12.2" customHeight="1" x14ac:dyDescent="0.2">
      <c r="P2" s="3062"/>
      <c r="Q2" s="3063"/>
      <c r="R2" s="3063"/>
      <c r="S2" s="3063"/>
      <c r="AD2" s="3064"/>
      <c r="AE2" s="4207"/>
      <c r="AF2" s="4207"/>
      <c r="AG2" s="4207"/>
    </row>
    <row r="3" spans="1:33" ht="24" customHeight="1" x14ac:dyDescent="0.2">
      <c r="P3" s="3062"/>
      <c r="Q3" s="3063"/>
      <c r="R3" s="3063"/>
      <c r="S3" s="3063"/>
      <c r="AD3" s="4208" t="s">
        <v>3981</v>
      </c>
      <c r="AE3" s="4208"/>
      <c r="AF3" s="4208"/>
      <c r="AG3" s="4208"/>
    </row>
    <row r="4" spans="1:33" ht="44.25" customHeight="1" x14ac:dyDescent="0.2">
      <c r="P4" s="4519"/>
      <c r="Q4" s="4519"/>
      <c r="R4" s="4519"/>
      <c r="S4" s="4519"/>
      <c r="AD4" s="4497" t="s">
        <v>3982</v>
      </c>
      <c r="AE4" s="4511"/>
      <c r="AF4" s="4511"/>
      <c r="AG4" s="4511"/>
    </row>
    <row r="5" spans="1:33" ht="23.25" customHeight="1" x14ac:dyDescent="0.2">
      <c r="P5" s="4519"/>
      <c r="Q5" s="4519"/>
      <c r="R5" s="4519"/>
      <c r="S5" s="4519"/>
      <c r="AD5" s="4208" t="s">
        <v>3983</v>
      </c>
      <c r="AE5" s="4209"/>
      <c r="AF5" s="4209"/>
      <c r="AG5" s="4208"/>
    </row>
    <row r="6" spans="1:33" ht="21" customHeight="1" x14ac:dyDescent="0.3">
      <c r="P6" s="4519"/>
      <c r="Q6" s="4519"/>
      <c r="R6" s="4520"/>
      <c r="S6" s="4519"/>
      <c r="AD6" s="4210" t="s">
        <v>3971</v>
      </c>
      <c r="AE6" s="4210"/>
      <c r="AF6" s="4210"/>
      <c r="AG6" s="4210"/>
    </row>
    <row r="7" spans="1:33" ht="21" customHeight="1" x14ac:dyDescent="0.3">
      <c r="P7" s="4521"/>
      <c r="Q7" s="4521"/>
      <c r="R7" s="4521"/>
      <c r="S7" s="4521"/>
    </row>
    <row r="8" spans="1:33" ht="12.2" customHeight="1" x14ac:dyDescent="0.35">
      <c r="Q8" s="2972"/>
    </row>
    <row r="10" spans="1:33" ht="43.5" customHeight="1" x14ac:dyDescent="0.4">
      <c r="A10" s="4515" t="s">
        <v>3973</v>
      </c>
      <c r="B10" s="4515"/>
      <c r="C10" s="4515"/>
      <c r="D10" s="4515"/>
      <c r="E10" s="4515"/>
      <c r="F10" s="4515"/>
      <c r="G10" s="4515"/>
      <c r="H10" s="4515"/>
      <c r="I10" s="4515"/>
      <c r="J10" s="4515"/>
      <c r="K10" s="4516"/>
      <c r="L10" s="4516"/>
      <c r="M10" s="4516"/>
      <c r="N10" s="4516"/>
      <c r="O10" s="4516"/>
      <c r="P10" s="4516"/>
      <c r="Q10" s="4516"/>
      <c r="R10" s="4516"/>
      <c r="S10" s="4517"/>
      <c r="T10" s="4517"/>
      <c r="U10" s="4517"/>
      <c r="V10" s="4517"/>
      <c r="W10" s="4517"/>
      <c r="X10" s="4517"/>
      <c r="Y10" s="4517"/>
      <c r="Z10" s="4517"/>
      <c r="AA10" s="4517"/>
      <c r="AB10" s="4517"/>
      <c r="AC10" s="4517"/>
      <c r="AD10" s="4517"/>
      <c r="AE10" s="4517"/>
      <c r="AF10" s="4517"/>
      <c r="AG10" s="4517"/>
    </row>
    <row r="11" spans="1:33" ht="16.5" customHeight="1" thickBot="1" x14ac:dyDescent="0.35">
      <c r="A11" s="3060"/>
      <c r="B11" s="3060"/>
      <c r="C11" s="3060"/>
      <c r="D11" s="3060"/>
      <c r="E11" s="3060"/>
      <c r="F11" s="3060"/>
      <c r="G11" s="3060"/>
      <c r="H11" s="3060"/>
      <c r="I11" s="3060"/>
      <c r="J11" s="3060"/>
      <c r="K11" s="3060"/>
      <c r="L11" s="3059"/>
      <c r="M11" s="3059"/>
      <c r="N11" s="3059"/>
      <c r="O11" s="3059"/>
      <c r="P11" s="3059"/>
      <c r="Q11" s="3059"/>
      <c r="R11" s="3059"/>
      <c r="S11" s="3068"/>
      <c r="AG11" s="3068" t="s">
        <v>3826</v>
      </c>
    </row>
    <row r="12" spans="1:33" ht="18.75" customHeight="1" x14ac:dyDescent="0.2">
      <c r="A12" s="4522" t="s">
        <v>3827</v>
      </c>
      <c r="B12" s="4523"/>
      <c r="C12" s="4523"/>
      <c r="D12" s="4523"/>
      <c r="E12" s="4523"/>
      <c r="F12" s="4523"/>
      <c r="G12" s="4523"/>
      <c r="H12" s="4523"/>
      <c r="I12" s="4523"/>
      <c r="J12" s="4523"/>
      <c r="K12" s="4523"/>
      <c r="L12" s="4524"/>
      <c r="M12" s="4524"/>
      <c r="N12" s="4524"/>
      <c r="O12" s="4524"/>
      <c r="P12" s="4524"/>
      <c r="Q12" s="4524"/>
      <c r="R12" s="4524"/>
      <c r="S12" s="4524"/>
      <c r="T12" s="4524"/>
      <c r="U12" s="4524"/>
      <c r="V12" s="4524"/>
      <c r="W12" s="4524"/>
      <c r="X12" s="4524"/>
      <c r="Y12" s="4524"/>
      <c r="Z12" s="4524"/>
      <c r="AA12" s="4524"/>
      <c r="AB12" s="4524"/>
      <c r="AC12" s="4524"/>
      <c r="AD12" s="4524"/>
      <c r="AE12" s="4524"/>
      <c r="AF12" s="4524"/>
      <c r="AG12" s="4525"/>
    </row>
    <row r="13" spans="1:33" ht="19.5" customHeight="1" x14ac:dyDescent="0.2">
      <c r="A13" s="4514" t="s">
        <v>527</v>
      </c>
      <c r="B13" s="3098"/>
      <c r="C13" s="3098"/>
      <c r="D13" s="3098"/>
      <c r="E13" s="4526" t="s">
        <v>232</v>
      </c>
      <c r="F13" s="4526"/>
      <c r="G13" s="4526"/>
      <c r="H13" s="4526"/>
      <c r="I13" s="4526"/>
      <c r="J13" s="2404"/>
      <c r="K13" s="3178" t="s">
        <v>362</v>
      </c>
      <c r="L13" s="4527" t="s">
        <v>3819</v>
      </c>
      <c r="M13" s="4528" t="s">
        <v>585</v>
      </c>
      <c r="N13" s="4529"/>
      <c r="O13" s="4529"/>
      <c r="P13" s="4528" t="s">
        <v>584</v>
      </c>
      <c r="Q13" s="4529"/>
      <c r="R13" s="4529"/>
      <c r="S13" s="4528" t="s">
        <v>583</v>
      </c>
      <c r="T13" s="4529"/>
      <c r="U13" s="4529"/>
      <c r="V13" s="4528" t="s">
        <v>216</v>
      </c>
      <c r="W13" s="4529"/>
      <c r="X13" s="4529"/>
      <c r="Y13" s="4528" t="s">
        <v>220</v>
      </c>
      <c r="Z13" s="4529"/>
      <c r="AA13" s="4529"/>
      <c r="AB13" s="4528" t="s">
        <v>3820</v>
      </c>
      <c r="AC13" s="4529"/>
      <c r="AD13" s="4529"/>
      <c r="AE13" s="4528" t="s">
        <v>1808</v>
      </c>
      <c r="AF13" s="4529"/>
      <c r="AG13" s="4530"/>
    </row>
    <row r="14" spans="1:33" ht="19.5" customHeight="1" x14ac:dyDescent="0.2">
      <c r="A14" s="4514"/>
      <c r="B14" s="3098"/>
      <c r="C14" s="3098"/>
      <c r="D14" s="3098"/>
      <c r="E14" s="3099" t="s">
        <v>512</v>
      </c>
      <c r="F14" s="3099" t="s">
        <v>153</v>
      </c>
      <c r="G14" s="3099" t="s">
        <v>513</v>
      </c>
      <c r="H14" s="3099" t="s">
        <v>514</v>
      </c>
      <c r="I14" s="3099" t="s">
        <v>515</v>
      </c>
      <c r="J14" s="2404"/>
      <c r="K14" s="3099" t="s">
        <v>512</v>
      </c>
      <c r="L14" s="4527"/>
      <c r="M14" s="3176" t="s">
        <v>616</v>
      </c>
      <c r="N14" s="3176" t="s">
        <v>3791</v>
      </c>
      <c r="O14" s="3176" t="s">
        <v>3792</v>
      </c>
      <c r="P14" s="3176" t="s">
        <v>616</v>
      </c>
      <c r="Q14" s="3176" t="s">
        <v>3791</v>
      </c>
      <c r="R14" s="3176" t="s">
        <v>3792</v>
      </c>
      <c r="S14" s="3176" t="s">
        <v>616</v>
      </c>
      <c r="T14" s="3176" t="s">
        <v>3791</v>
      </c>
      <c r="U14" s="3176" t="s">
        <v>3792</v>
      </c>
      <c r="V14" s="3176" t="s">
        <v>616</v>
      </c>
      <c r="W14" s="3176" t="s">
        <v>3791</v>
      </c>
      <c r="X14" s="3176" t="s">
        <v>3792</v>
      </c>
      <c r="Y14" s="3176" t="s">
        <v>616</v>
      </c>
      <c r="Z14" s="3176" t="s">
        <v>3791</v>
      </c>
      <c r="AA14" s="3176" t="s">
        <v>3792</v>
      </c>
      <c r="AB14" s="3176" t="s">
        <v>616</v>
      </c>
      <c r="AC14" s="3176" t="s">
        <v>3791</v>
      </c>
      <c r="AD14" s="3176" t="s">
        <v>3792</v>
      </c>
      <c r="AE14" s="3176" t="s">
        <v>616</v>
      </c>
      <c r="AF14" s="3176" t="s">
        <v>3791</v>
      </c>
      <c r="AG14" s="3070" t="s">
        <v>3792</v>
      </c>
    </row>
    <row r="15" spans="1:33" ht="18.75" customHeight="1" x14ac:dyDescent="0.3">
      <c r="A15" s="3071" t="s">
        <v>3804</v>
      </c>
      <c r="B15" s="2410"/>
      <c r="C15" s="2410"/>
      <c r="D15" s="2410"/>
      <c r="E15" s="2405">
        <v>3600</v>
      </c>
      <c r="F15" s="2406" t="e">
        <f>E15/#REF!*100</f>
        <v>#REF!</v>
      </c>
      <c r="G15" s="2405" t="e">
        <f>SUM(G16:G18)</f>
        <v>#REF!</v>
      </c>
      <c r="H15" s="2405">
        <f>SUM(H16:H18)</f>
        <v>1764.1999999999998</v>
      </c>
      <c r="I15" s="2405">
        <f>SUM(I16:I18)</f>
        <v>2589</v>
      </c>
      <c r="J15" s="2414"/>
      <c r="K15" s="2405">
        <f>SUM(K16:K18)</f>
        <v>3644.7</v>
      </c>
      <c r="L15" s="3100" t="s">
        <v>3821</v>
      </c>
      <c r="M15" s="3074">
        <f>SUM('ФАКТ.СЕБЕСТ.СТОКИ 9 мес. 2021'!AC8)</f>
        <v>711.10124999999994</v>
      </c>
      <c r="N15" s="3074">
        <f>SUM('ФАКТ.СЕБЕСТ.СТОКИ 9 мес. 2021'!AD8)</f>
        <v>706.68449999999996</v>
      </c>
      <c r="O15" s="3074">
        <f>SUM('ФАКТ.СЕБЕСТ.СТОКИ 9 мес. 2021'!AE8)</f>
        <v>4.4167500000000004</v>
      </c>
      <c r="P15" s="3074">
        <f>SUM('ФАКТ.СЕБЕСТ.СТОКИ 9 мес. 2021'!BP8)</f>
        <v>711.10124999999994</v>
      </c>
      <c r="Q15" s="3074">
        <f>SUM('ФАКТ.СЕБЕСТ.СТОКИ 9 мес. 2021'!BQ8)</f>
        <v>706.68449999999996</v>
      </c>
      <c r="R15" s="3074">
        <f>SUM('ФАКТ.СЕБЕСТ.СТОКИ 9 мес. 2021'!BR8)</f>
        <v>4.4167500000000004</v>
      </c>
      <c r="S15" s="3074">
        <f>SUM('ФАКТ.СЕБЕСТ.СТОКИ 9 мес. 2021'!CB8)</f>
        <v>1422.2024999999999</v>
      </c>
      <c r="T15" s="3074">
        <f>SUM('ФАКТ.СЕБЕСТ.СТОКИ 9 мес. 2021'!CC8)</f>
        <v>1413.3689999999999</v>
      </c>
      <c r="U15" s="3074">
        <f>SUM('ФАКТ.СЕБЕСТ.СТОКИ 9 мес. 2021'!CD8)</f>
        <v>8.8335000000000008</v>
      </c>
      <c r="V15" s="3074">
        <f>SUM('ФАКТ.СЕБЕСТ.СТОКИ 9 мес. 2021'!DO8)</f>
        <v>711.10124999999994</v>
      </c>
      <c r="W15" s="3074">
        <f>SUM('ФАКТ.СЕБЕСТ.СТОКИ 9 мес. 2021'!DP8)</f>
        <v>706.68449999999996</v>
      </c>
      <c r="X15" s="3074">
        <f>SUM('ФАКТ.СЕБЕСТ.СТОКИ 9 мес. 2021'!DQ8)</f>
        <v>4.4167500000000004</v>
      </c>
      <c r="Y15" s="3074">
        <f>SUM('ФАКТ.СЕБЕСТ.СТОКИ 9 мес. 2021'!EA8)</f>
        <v>2133.30375</v>
      </c>
      <c r="Z15" s="3074">
        <f>SUM('ФАКТ.СЕБЕСТ.СТОКИ 9 мес. 2021'!EB8)</f>
        <v>2120.0535</v>
      </c>
      <c r="AA15" s="3074">
        <f>SUM('ФАКТ.СЕБЕСТ.СТОКИ 9 мес. 2021'!EC8)</f>
        <v>13.250250000000001</v>
      </c>
      <c r="AB15" s="3074">
        <f>SUM('ФАКТ.СЕБЕСТ.СТОКИ 9 мес. 2021'!FN8)</f>
        <v>711.10124999999994</v>
      </c>
      <c r="AC15" s="3074">
        <f>SUM('ФАКТ.СЕБЕСТ.СТОКИ 9 мес. 2021'!FO8)</f>
        <v>706.68449999999996</v>
      </c>
      <c r="AD15" s="3074">
        <f>SUM('ФАКТ.СЕБЕСТ.СТОКИ 9 мес. 2021'!FP8)</f>
        <v>4.4167500000000004</v>
      </c>
      <c r="AE15" s="3074">
        <f>SUM('ФАКТ.СЕБЕСТ.СТОКИ 9 мес. 2021'!FZ8)</f>
        <v>2844.4049999999997</v>
      </c>
      <c r="AF15" s="3074">
        <f>SUM('ФАКТ.СЕБЕСТ.СТОКИ 9 мес. 2021'!GA8)</f>
        <v>2826.7379999999998</v>
      </c>
      <c r="AG15" s="3076">
        <f>SUM('ФАКТ.СЕБЕСТ.СТОКИ 9 мес. 2021'!GB8)</f>
        <v>17.667000000000002</v>
      </c>
    </row>
    <row r="16" spans="1:33" ht="18.75" customHeight="1" x14ac:dyDescent="0.3">
      <c r="A16" s="3077" t="s">
        <v>255</v>
      </c>
      <c r="B16" s="2410"/>
      <c r="C16" s="2410"/>
      <c r="D16" s="2410"/>
      <c r="E16" s="2408">
        <v>2600</v>
      </c>
      <c r="F16" s="2409" t="e">
        <f>E16/#REF!*100</f>
        <v>#REF!</v>
      </c>
      <c r="G16" s="2408">
        <f>E16</f>
        <v>2600</v>
      </c>
      <c r="H16" s="2408">
        <v>1250.8</v>
      </c>
      <c r="I16" s="2411">
        <v>1837.1</v>
      </c>
      <c r="J16" s="2411"/>
      <c r="K16" s="2408">
        <v>2600</v>
      </c>
      <c r="L16" s="3101" t="s">
        <v>3821</v>
      </c>
      <c r="M16" s="3079">
        <f>SUM('ФАКТ.СЕБЕСТ.СТОКИ 9 мес. 2021'!AC9)</f>
        <v>711.10124999999994</v>
      </c>
      <c r="N16" s="3079">
        <f>SUM('ФАКТ.СЕБЕСТ.СТОКИ 9 мес. 2021'!AD9)</f>
        <v>706.68449999999996</v>
      </c>
      <c r="O16" s="3079">
        <f>SUM('ФАКТ.СЕБЕСТ.СТОКИ 9 мес. 2021'!AE9)</f>
        <v>4.4167500000000004</v>
      </c>
      <c r="P16" s="3079">
        <f>SUM('ФАКТ.СЕБЕСТ.СТОКИ 9 мес. 2021'!BP9)</f>
        <v>711.10124999999994</v>
      </c>
      <c r="Q16" s="3079">
        <f>SUM('ФАКТ.СЕБЕСТ.СТОКИ 9 мес. 2021'!BQ9)</f>
        <v>706.68449999999996</v>
      </c>
      <c r="R16" s="3079">
        <f>SUM('ФАКТ.СЕБЕСТ.СТОКИ 9 мес. 2021'!BR9)</f>
        <v>4.4167500000000004</v>
      </c>
      <c r="S16" s="3079">
        <f>SUM('ФАКТ.СЕБЕСТ.СТОКИ 9 мес. 2021'!CB9)</f>
        <v>1422.2024999999999</v>
      </c>
      <c r="T16" s="3079">
        <f>SUM('ФАКТ.СЕБЕСТ.СТОКИ 9 мес. 2021'!CC9)</f>
        <v>1413.3689999999999</v>
      </c>
      <c r="U16" s="3079">
        <f>SUM('ФАКТ.СЕБЕСТ.СТОКИ 9 мес. 2021'!CD9)</f>
        <v>8.8335000000000008</v>
      </c>
      <c r="V16" s="3079">
        <f>SUM('ФАКТ.СЕБЕСТ.СТОКИ 9 мес. 2021'!DO9)</f>
        <v>711.10124999999994</v>
      </c>
      <c r="W16" s="3079">
        <f>SUM('ФАКТ.СЕБЕСТ.СТОКИ 9 мес. 2021'!DP9)</f>
        <v>706.68449999999996</v>
      </c>
      <c r="X16" s="3079">
        <f>SUM('ФАКТ.СЕБЕСТ.СТОКИ 9 мес. 2021'!DQ9)</f>
        <v>4.4167500000000004</v>
      </c>
      <c r="Y16" s="3079">
        <f>SUM('ФАКТ.СЕБЕСТ.СТОКИ 9 мес. 2021'!EA9)</f>
        <v>2133.30375</v>
      </c>
      <c r="Z16" s="3079">
        <f>SUM('ФАКТ.СЕБЕСТ.СТОКИ 9 мес. 2021'!EB9)</f>
        <v>2120.0535</v>
      </c>
      <c r="AA16" s="3079">
        <f>SUM('ФАКТ.СЕБЕСТ.СТОКИ 9 мес. 2021'!EC9)</f>
        <v>13.250250000000001</v>
      </c>
      <c r="AB16" s="3079">
        <f>SUM('ФАКТ.СЕБЕСТ.СТОКИ 9 мес. 2021'!FN9)</f>
        <v>711.10124999999994</v>
      </c>
      <c r="AC16" s="3079">
        <f>SUM('ФАКТ.СЕБЕСТ.СТОКИ 9 мес. 2021'!FO9)</f>
        <v>706.68449999999996</v>
      </c>
      <c r="AD16" s="3079">
        <f>SUM('ФАКТ.СЕБЕСТ.СТОКИ 9 мес. 2021'!FP9)</f>
        <v>4.4167500000000004</v>
      </c>
      <c r="AE16" s="3079">
        <f>SUM('ФАКТ.СЕБЕСТ.СТОКИ 9 мес. 2021'!FZ9)</f>
        <v>2844.4049999999997</v>
      </c>
      <c r="AF16" s="3079">
        <f>SUM('ФАКТ.СЕБЕСТ.СТОКИ 9 мес. 2021'!GA9)</f>
        <v>2826.7379999999998</v>
      </c>
      <c r="AG16" s="3081">
        <f>SUM('ФАКТ.СЕБЕСТ.СТОКИ 9 мес. 2021'!GB9)</f>
        <v>17.667000000000002</v>
      </c>
    </row>
    <row r="17" spans="1:33" ht="18.75" customHeight="1" x14ac:dyDescent="0.3">
      <c r="A17" s="3077" t="s">
        <v>3795</v>
      </c>
      <c r="B17" s="2410"/>
      <c r="C17" s="2410"/>
      <c r="D17" s="2410"/>
      <c r="E17" s="2408"/>
      <c r="F17" s="2409"/>
      <c r="G17" s="2408"/>
      <c r="H17" s="2408"/>
      <c r="I17" s="2411"/>
      <c r="J17" s="2411"/>
      <c r="K17" s="2408"/>
      <c r="L17" s="3101" t="s">
        <v>3821</v>
      </c>
      <c r="M17" s="3079">
        <f>SUM('ФАКТ.СЕБЕСТ.СТОКИ 9 мес. 2021'!AC10)</f>
        <v>536.66224999999997</v>
      </c>
      <c r="N17" s="3079">
        <f>SUM('ФАКТ.СЕБЕСТ.СТОКИ 9 мес. 2021'!AD10)</f>
        <v>536.66224999999997</v>
      </c>
      <c r="O17" s="3079">
        <f>SUM('ФАКТ.СЕБЕСТ.СТОКИ 9 мес. 2021'!AE10)</f>
        <v>0</v>
      </c>
      <c r="P17" s="3079">
        <f>SUM('ФАКТ.СЕБЕСТ.СТОКИ 9 мес. 2021'!BP10)</f>
        <v>536.66224999999997</v>
      </c>
      <c r="Q17" s="3079">
        <f>SUM('ФАКТ.СЕБЕСТ.СТОКИ 9 мес. 2021'!BQ10)</f>
        <v>536.66224999999997</v>
      </c>
      <c r="R17" s="3079">
        <f>SUM('ФАКТ.СЕБЕСТ.СТОКИ 9 мес. 2021'!BR10)</f>
        <v>0</v>
      </c>
      <c r="S17" s="3079">
        <f>SUM('ФАКТ.СЕБЕСТ.СТОКИ 9 мес. 2021'!CB10)</f>
        <v>1073.3244999999999</v>
      </c>
      <c r="T17" s="3079">
        <f>SUM('ФАКТ.СЕБЕСТ.СТОКИ 9 мес. 2021'!CC10)</f>
        <v>1073.3244999999999</v>
      </c>
      <c r="U17" s="3079">
        <f>SUM('ФАКТ.СЕБЕСТ.СТОКИ 9 мес. 2021'!CD10)</f>
        <v>0</v>
      </c>
      <c r="V17" s="3079">
        <f>SUM('ФАКТ.СЕБЕСТ.СТОКИ 9 мес. 2021'!DO10)</f>
        <v>536.66224999999997</v>
      </c>
      <c r="W17" s="3079">
        <f>SUM('ФАКТ.СЕБЕСТ.СТОКИ 9 мес. 2021'!DP10)</f>
        <v>536.66224999999997</v>
      </c>
      <c r="X17" s="3079">
        <f>SUM('ФАКТ.СЕБЕСТ.СТОКИ 9 мес. 2021'!DQ10)</f>
        <v>0</v>
      </c>
      <c r="Y17" s="3079">
        <f>SUM('ФАКТ.СЕБЕСТ.СТОКИ 9 мес. 2021'!EA10)</f>
        <v>1609.98675</v>
      </c>
      <c r="Z17" s="3079">
        <f>SUM('ФАКТ.СЕБЕСТ.СТОКИ 9 мес. 2021'!EB10)</f>
        <v>1609.98675</v>
      </c>
      <c r="AA17" s="3079">
        <f>SUM('ФАКТ.СЕБЕСТ.СТОКИ 9 мес. 2021'!EC10)</f>
        <v>0</v>
      </c>
      <c r="AB17" s="3079">
        <f>SUM('ФАКТ.СЕБЕСТ.СТОКИ 9 мес. 2021'!FN10)</f>
        <v>536.66224999999997</v>
      </c>
      <c r="AC17" s="3079">
        <f>SUM('ФАКТ.СЕБЕСТ.СТОКИ 9 мес. 2021'!FO10)</f>
        <v>536.66224999999997</v>
      </c>
      <c r="AD17" s="3079">
        <f>SUM('ФАКТ.СЕБЕСТ.СТОКИ 9 мес. 2021'!FP10)</f>
        <v>0</v>
      </c>
      <c r="AE17" s="3079">
        <f>SUM('ФАКТ.СЕБЕСТ.СТОКИ 9 мес. 2021'!FZ10)</f>
        <v>2146.6489999999999</v>
      </c>
      <c r="AF17" s="3079">
        <f>SUM('ФАКТ.СЕБЕСТ.СТОКИ 9 мес. 2021'!GA10)</f>
        <v>2146.6489999999999</v>
      </c>
      <c r="AG17" s="3081">
        <f>SUM('ФАКТ.СЕБЕСТ.СТОКИ 9 мес. 2021'!GB10)</f>
        <v>0</v>
      </c>
    </row>
    <row r="18" spans="1:33" ht="18.75" customHeight="1" x14ac:dyDescent="0.3">
      <c r="A18" s="3186" t="s">
        <v>3814</v>
      </c>
      <c r="B18" s="2410"/>
      <c r="C18" s="2410"/>
      <c r="D18" s="2410"/>
      <c r="E18" s="2408">
        <v>972</v>
      </c>
      <c r="F18" s="2409" t="e">
        <f>E18/#REF!*100</f>
        <v>#REF!</v>
      </c>
      <c r="G18" s="2408" t="e">
        <f>#REF!+2.4</f>
        <v>#REF!</v>
      </c>
      <c r="H18" s="2408">
        <v>513.4</v>
      </c>
      <c r="I18" s="2411">
        <v>751.9</v>
      </c>
      <c r="J18" s="2411"/>
      <c r="K18" s="2408">
        <v>1044.7</v>
      </c>
      <c r="L18" s="3101" t="s">
        <v>3821</v>
      </c>
      <c r="M18" s="3079">
        <f>SUM('ФАКТ.СЕБЕСТ.СТОКИ 9 мес. 2021'!AC11)</f>
        <v>4.4167500000000004</v>
      </c>
      <c r="N18" s="3079">
        <f>SUM('ФАКТ.СЕБЕСТ.СТОКИ 9 мес. 2021'!AD11)</f>
        <v>0</v>
      </c>
      <c r="O18" s="3079">
        <f>SUM('ФАКТ.СЕБЕСТ.СТОКИ 9 мес. 2021'!AE11)</f>
        <v>4.4167500000000004</v>
      </c>
      <c r="P18" s="3079">
        <f>SUM('ФАКТ.СЕБЕСТ.СТОКИ 9 мес. 2021'!BP11)</f>
        <v>4.4167500000000004</v>
      </c>
      <c r="Q18" s="3079">
        <f>SUM('ФАКТ.СЕБЕСТ.СТОКИ 9 мес. 2021'!BQ11)</f>
        <v>0</v>
      </c>
      <c r="R18" s="3079">
        <f>SUM('ФАКТ.СЕБЕСТ.СТОКИ 9 мес. 2021'!BR11)</f>
        <v>4.4167500000000004</v>
      </c>
      <c r="S18" s="3079">
        <f>SUM('ФАКТ.СЕБЕСТ.СТОКИ 9 мес. 2021'!CB11)</f>
        <v>8.8335000000000008</v>
      </c>
      <c r="T18" s="3079">
        <f>SUM('ФАКТ.СЕБЕСТ.СТОКИ 9 мес. 2021'!CC11)</f>
        <v>0</v>
      </c>
      <c r="U18" s="3079">
        <f>SUM('ФАКТ.СЕБЕСТ.СТОКИ 9 мес. 2021'!CD11)</f>
        <v>8.8335000000000008</v>
      </c>
      <c r="V18" s="3079">
        <f>SUM('ФАКТ.СЕБЕСТ.СТОКИ 9 мес. 2021'!DO11)</f>
        <v>4.4167500000000004</v>
      </c>
      <c r="W18" s="3079">
        <f>SUM('ФАКТ.СЕБЕСТ.СТОКИ 9 мес. 2021'!DP11)</f>
        <v>0</v>
      </c>
      <c r="X18" s="3079">
        <f>SUM('ФАКТ.СЕБЕСТ.СТОКИ 9 мес. 2021'!DQ11)</f>
        <v>4.4167500000000004</v>
      </c>
      <c r="Y18" s="3079">
        <f>SUM('ФАКТ.СЕБЕСТ.СТОКИ 9 мес. 2021'!EA11)</f>
        <v>13.250250000000001</v>
      </c>
      <c r="Z18" s="3079">
        <f>SUM('ФАКТ.СЕБЕСТ.СТОКИ 9 мес. 2021'!EB11)</f>
        <v>0</v>
      </c>
      <c r="AA18" s="3079">
        <f>SUM('ФАКТ.СЕБЕСТ.СТОКИ 9 мес. 2021'!EC11)</f>
        <v>13.250250000000001</v>
      </c>
      <c r="AB18" s="3079">
        <f>SUM('ФАКТ.СЕБЕСТ.СТОКИ 9 мес. 2021'!FN11)</f>
        <v>4.4167500000000004</v>
      </c>
      <c r="AC18" s="3079">
        <f>SUM('ФАКТ.СЕБЕСТ.СТОКИ 9 мес. 2021'!FO11)</f>
        <v>0</v>
      </c>
      <c r="AD18" s="3079">
        <f>SUM('ФАКТ.СЕБЕСТ.СТОКИ 9 мес. 2021'!FP11)</f>
        <v>4.4167500000000004</v>
      </c>
      <c r="AE18" s="3079">
        <f>SUM('ФАКТ.СЕБЕСТ.СТОКИ 9 мес. 2021'!FZ11)</f>
        <v>17.667000000000002</v>
      </c>
      <c r="AF18" s="3079">
        <f>SUM('ФАКТ.СЕБЕСТ.СТОКИ 9 мес. 2021'!GA11)</f>
        <v>0</v>
      </c>
      <c r="AG18" s="3081">
        <f>SUM('ФАКТ.СЕБЕСТ.СТОКИ 9 мес. 2021'!GB11)</f>
        <v>17.667000000000002</v>
      </c>
    </row>
    <row r="19" spans="1:33" ht="18.75" customHeight="1" x14ac:dyDescent="0.3">
      <c r="A19" s="3053" t="s">
        <v>3679</v>
      </c>
      <c r="B19" s="2410"/>
      <c r="C19" s="2410"/>
      <c r="D19" s="2410"/>
      <c r="E19" s="2408"/>
      <c r="F19" s="2409"/>
      <c r="G19" s="2408"/>
      <c r="H19" s="2408"/>
      <c r="I19" s="2411"/>
      <c r="J19" s="2411"/>
      <c r="K19" s="2408"/>
      <c r="L19" s="3101" t="s">
        <v>3821</v>
      </c>
      <c r="M19" s="3086">
        <f>SUM('ФАКТ.СЕБЕСТ.СТОКИ 9 мес. 2021'!AC12)</f>
        <v>170.02225000000001</v>
      </c>
      <c r="N19" s="3086">
        <f>SUM('ФАКТ.СЕБЕСТ.СТОКИ 9 мес. 2021'!AD12)</f>
        <v>170.02225000000001</v>
      </c>
      <c r="O19" s="3086">
        <f>SUM('ФАКТ.СЕБЕСТ.СТОКИ 9 мес. 2021'!AE12)</f>
        <v>0</v>
      </c>
      <c r="P19" s="3086">
        <f>SUM('ФАКТ.СЕБЕСТ.СТОКИ 9 мес. 2021'!BP12)</f>
        <v>170.02225000000001</v>
      </c>
      <c r="Q19" s="3086">
        <f>SUM('ФАКТ.СЕБЕСТ.СТОКИ 9 мес. 2021'!BQ12)</f>
        <v>170.02225000000001</v>
      </c>
      <c r="R19" s="3086">
        <f>SUM('ФАКТ.СЕБЕСТ.СТОКИ 9 мес. 2021'!BR12)</f>
        <v>0</v>
      </c>
      <c r="S19" s="3086">
        <f>SUM('ФАКТ.СЕБЕСТ.СТОКИ 9 мес. 2021'!CB12)</f>
        <v>340.04450000000003</v>
      </c>
      <c r="T19" s="3086">
        <f>SUM('ФАКТ.СЕБЕСТ.СТОКИ 9 мес. 2021'!CC12)</f>
        <v>340.04450000000003</v>
      </c>
      <c r="U19" s="3086">
        <f>SUM('ФАКТ.СЕБЕСТ.СТОКИ 9 мес. 2021'!CD12)</f>
        <v>0</v>
      </c>
      <c r="V19" s="3086">
        <f>SUM('ФАКТ.СЕБЕСТ.СТОКИ 9 мес. 2021'!DO12)</f>
        <v>170.02225000000001</v>
      </c>
      <c r="W19" s="3086">
        <f>SUM('ФАКТ.СЕБЕСТ.СТОКИ 9 мес. 2021'!DP12)</f>
        <v>170.02225000000001</v>
      </c>
      <c r="X19" s="3086">
        <f>SUM('ФАКТ.СЕБЕСТ.СТОКИ 9 мес. 2021'!DQ12)</f>
        <v>0</v>
      </c>
      <c r="Y19" s="3086">
        <f>SUM('ФАКТ.СЕБЕСТ.СТОКИ 9 мес. 2021'!EA12)</f>
        <v>510.06675000000007</v>
      </c>
      <c r="Z19" s="3086">
        <f>SUM('ФАКТ.СЕБЕСТ.СТОКИ 9 мес. 2021'!EB12)</f>
        <v>510.06675000000007</v>
      </c>
      <c r="AA19" s="3086">
        <f>SUM('ФАКТ.СЕБЕСТ.СТОКИ 9 мес. 2021'!EC12)</f>
        <v>0</v>
      </c>
      <c r="AB19" s="3086">
        <f>SUM('ФАКТ.СЕБЕСТ.СТОКИ 9 мес. 2021'!FN12)</f>
        <v>170.02225000000001</v>
      </c>
      <c r="AC19" s="3086">
        <f>SUM('ФАКТ.СЕБЕСТ.СТОКИ 9 мес. 2021'!FO12)</f>
        <v>170.02225000000001</v>
      </c>
      <c r="AD19" s="3086">
        <f>SUM('ФАКТ.СЕБЕСТ.СТОКИ 9 мес. 2021'!FP12)</f>
        <v>0</v>
      </c>
      <c r="AE19" s="3086">
        <f>SUM('ФАКТ.СЕБЕСТ.СТОКИ 9 мес. 2021'!FZ12)</f>
        <v>680.08900000000006</v>
      </c>
      <c r="AF19" s="3086">
        <f>SUM('ФАКТ.СЕБЕСТ.СТОКИ 9 мес. 2021'!GA12)</f>
        <v>680.08900000000006</v>
      </c>
      <c r="AG19" s="3088">
        <f>SUM('ФАКТ.СЕБЕСТ.СТОКИ 9 мес. 2021'!GB12)</f>
        <v>0</v>
      </c>
    </row>
    <row r="20" spans="1:33" ht="18.75" customHeight="1" x14ac:dyDescent="0.3">
      <c r="A20" s="3054" t="s">
        <v>3681</v>
      </c>
      <c r="B20" s="2410"/>
      <c r="C20" s="2410"/>
      <c r="D20" s="2410"/>
      <c r="E20" s="2408"/>
      <c r="F20" s="2409"/>
      <c r="G20" s="2408"/>
      <c r="H20" s="2408"/>
      <c r="I20" s="2411"/>
      <c r="J20" s="2411"/>
      <c r="K20" s="2408"/>
      <c r="L20" s="3101" t="s">
        <v>3821</v>
      </c>
      <c r="M20" s="3086">
        <f>SUM('ФАКТ.СЕБЕСТ.СТОКИ 9 мес. 2021'!AC13)</f>
        <v>74.550000000000011</v>
      </c>
      <c r="N20" s="3086">
        <f>SUM('ФАКТ.СЕБЕСТ.СТОКИ 9 мес. 2021'!AD13)</f>
        <v>74.550000000000011</v>
      </c>
      <c r="O20" s="3086">
        <f>SUM('ФАКТ.СЕБЕСТ.СТОКИ 9 мес. 2021'!AE13)</f>
        <v>0</v>
      </c>
      <c r="P20" s="3086">
        <f>SUM('ФАКТ.СЕБЕСТ.СТОКИ 9 мес. 2021'!BP13)</f>
        <v>74.550000000000011</v>
      </c>
      <c r="Q20" s="3086">
        <f>SUM('ФАКТ.СЕБЕСТ.СТОКИ 9 мес. 2021'!BQ13)</f>
        <v>74.550000000000011</v>
      </c>
      <c r="R20" s="3086">
        <f>SUM('ФАКТ.СЕБЕСТ.СТОКИ 9 мес. 2021'!BR13)</f>
        <v>0</v>
      </c>
      <c r="S20" s="3086">
        <f>SUM('ФАКТ.СЕБЕСТ.СТОКИ 9 мес. 2021'!CB13)</f>
        <v>149.10000000000002</v>
      </c>
      <c r="T20" s="3086">
        <f>SUM('ФАКТ.СЕБЕСТ.СТОКИ 9 мес. 2021'!CC13)</f>
        <v>149.10000000000002</v>
      </c>
      <c r="U20" s="3086">
        <f>SUM('ФАКТ.СЕБЕСТ.СТОКИ 9 мес. 2021'!CD13)</f>
        <v>0</v>
      </c>
      <c r="V20" s="3086">
        <f>SUM('ФАКТ.СЕБЕСТ.СТОКИ 9 мес. 2021'!DO13)</f>
        <v>74.550000000000011</v>
      </c>
      <c r="W20" s="3086">
        <f>SUM('ФАКТ.СЕБЕСТ.СТОКИ 9 мес. 2021'!DP13)</f>
        <v>74.550000000000011</v>
      </c>
      <c r="X20" s="3086">
        <f>SUM('ФАКТ.СЕБЕСТ.СТОКИ 9 мес. 2021'!DQ13)</f>
        <v>0</v>
      </c>
      <c r="Y20" s="3086">
        <f>SUM('ФАКТ.СЕБЕСТ.СТОКИ 9 мес. 2021'!EA13)</f>
        <v>223.65000000000003</v>
      </c>
      <c r="Z20" s="3086">
        <f>SUM('ФАКТ.СЕБЕСТ.СТОКИ 9 мес. 2021'!EB13)</f>
        <v>223.65000000000003</v>
      </c>
      <c r="AA20" s="3086">
        <f>SUM('ФАКТ.СЕБЕСТ.СТОКИ 9 мес. 2021'!EC13)</f>
        <v>0</v>
      </c>
      <c r="AB20" s="3086">
        <f>SUM('ФАКТ.СЕБЕСТ.СТОКИ 9 мес. 2021'!FN13)</f>
        <v>74.550000000000011</v>
      </c>
      <c r="AC20" s="3086">
        <f>SUM('ФАКТ.СЕБЕСТ.СТОКИ 9 мес. 2021'!FO13)</f>
        <v>74.550000000000011</v>
      </c>
      <c r="AD20" s="3086">
        <f>SUM('ФАКТ.СЕБЕСТ.СТОКИ 9 мес. 2021'!FP13)</f>
        <v>0</v>
      </c>
      <c r="AE20" s="3086">
        <f>SUM('ФАКТ.СЕБЕСТ.СТОКИ 9 мес. 2021'!FZ13)</f>
        <v>298.20000000000005</v>
      </c>
      <c r="AF20" s="3086">
        <f>SUM('ФАКТ.СЕБЕСТ.СТОКИ 9 мес. 2021'!GA13)</f>
        <v>298.20000000000005</v>
      </c>
      <c r="AG20" s="3088">
        <f>SUM('ФАКТ.СЕБЕСТ.СТОКИ 9 мес. 2021'!GB13)</f>
        <v>0</v>
      </c>
    </row>
    <row r="21" spans="1:33" ht="18.75" customHeight="1" x14ac:dyDescent="0.3">
      <c r="A21" s="3054" t="s">
        <v>3680</v>
      </c>
      <c r="B21" s="2410"/>
      <c r="C21" s="2410"/>
      <c r="D21" s="2410"/>
      <c r="E21" s="2408"/>
      <c r="F21" s="2409"/>
      <c r="G21" s="2408"/>
      <c r="H21" s="2408"/>
      <c r="I21" s="2411"/>
      <c r="J21" s="2411"/>
      <c r="K21" s="2408"/>
      <c r="L21" s="3101" t="s">
        <v>3821</v>
      </c>
      <c r="M21" s="3086">
        <f>SUM('ФАКТ.СЕБЕСТ.СТОКИ 9 мес. 2021'!AC14)</f>
        <v>27.372</v>
      </c>
      <c r="N21" s="3086">
        <f>SUM('ФАКТ.СЕБЕСТ.СТОКИ 9 мес. 2021'!AD14)</f>
        <v>27.372</v>
      </c>
      <c r="O21" s="3086">
        <f>SUM('ФАКТ.СЕБЕСТ.СТОКИ 9 мес. 2021'!AE14)</f>
        <v>0</v>
      </c>
      <c r="P21" s="3086">
        <f>SUM('ФАКТ.СЕБЕСТ.СТОКИ 9 мес. 2021'!BP14)</f>
        <v>27.372</v>
      </c>
      <c r="Q21" s="3086">
        <f>SUM('ФАКТ.СЕБЕСТ.СТОКИ 9 мес. 2021'!BQ14)</f>
        <v>27.372</v>
      </c>
      <c r="R21" s="3086">
        <f>SUM('ФАКТ.СЕБЕСТ.СТОКИ 9 мес. 2021'!BR14)</f>
        <v>0</v>
      </c>
      <c r="S21" s="3086">
        <f>SUM('ФАКТ.СЕБЕСТ.СТОКИ 9 мес. 2021'!CB14)</f>
        <v>54.744</v>
      </c>
      <c r="T21" s="3086">
        <f>SUM('ФАКТ.СЕБЕСТ.СТОКИ 9 мес. 2021'!CC14)</f>
        <v>54.744</v>
      </c>
      <c r="U21" s="3086">
        <f>SUM('ФАКТ.СЕБЕСТ.СТОКИ 9 мес. 2021'!CD14)</f>
        <v>0</v>
      </c>
      <c r="V21" s="3086">
        <f>SUM('ФАКТ.СЕБЕСТ.СТОКИ 9 мес. 2021'!DO14)</f>
        <v>27.372</v>
      </c>
      <c r="W21" s="3086">
        <f>SUM('ФАКТ.СЕБЕСТ.СТОКИ 9 мес. 2021'!DP14)</f>
        <v>27.372</v>
      </c>
      <c r="X21" s="3086">
        <f>SUM('ФАКТ.СЕБЕСТ.СТОКИ 9 мес. 2021'!DQ14)</f>
        <v>0</v>
      </c>
      <c r="Y21" s="3086">
        <f>SUM('ФАКТ.СЕБЕСТ.СТОКИ 9 мес. 2021'!EA14)</f>
        <v>82.116</v>
      </c>
      <c r="Z21" s="3086">
        <f>SUM('ФАКТ.СЕБЕСТ.СТОКИ 9 мес. 2021'!EB14)</f>
        <v>82.116</v>
      </c>
      <c r="AA21" s="3086">
        <f>SUM('ФАКТ.СЕБЕСТ.СТОКИ 9 мес. 2021'!EC14)</f>
        <v>0</v>
      </c>
      <c r="AB21" s="3086">
        <f>SUM('ФАКТ.СЕБЕСТ.СТОКИ 9 мес. 2021'!FN14)</f>
        <v>27.372</v>
      </c>
      <c r="AC21" s="3086">
        <f>SUM('ФАКТ.СЕБЕСТ.СТОКИ 9 мес. 2021'!FO14)</f>
        <v>27.372</v>
      </c>
      <c r="AD21" s="3086">
        <f>SUM('ФАКТ.СЕБЕСТ.СТОКИ 9 мес. 2021'!FP14)</f>
        <v>0</v>
      </c>
      <c r="AE21" s="3086">
        <f>SUM('ФАКТ.СЕБЕСТ.СТОКИ 9 мес. 2021'!FZ14)</f>
        <v>109.488</v>
      </c>
      <c r="AF21" s="3086">
        <f>SUM('ФАКТ.СЕБЕСТ.СТОКИ 9 мес. 2021'!GA14)</f>
        <v>109.488</v>
      </c>
      <c r="AG21" s="3088">
        <f>SUM('ФАКТ.СЕБЕСТ.СТОКИ 9 мес. 2021'!GB14)</f>
        <v>0</v>
      </c>
    </row>
    <row r="22" spans="1:33" ht="18.75" customHeight="1" x14ac:dyDescent="0.3">
      <c r="A22" s="3054" t="s">
        <v>3682</v>
      </c>
      <c r="B22" s="2410"/>
      <c r="C22" s="2410"/>
      <c r="D22" s="2410"/>
      <c r="E22" s="2408"/>
      <c r="F22" s="2409"/>
      <c r="G22" s="2408"/>
      <c r="H22" s="2408"/>
      <c r="I22" s="2411"/>
      <c r="J22" s="2411"/>
      <c r="K22" s="2408"/>
      <c r="L22" s="3101" t="s">
        <v>3821</v>
      </c>
      <c r="M22" s="3086">
        <f>SUM('ФАКТ.СЕБЕСТ.СТОКИ 9 мес. 2021'!AC15)</f>
        <v>21.263000000000002</v>
      </c>
      <c r="N22" s="3086">
        <f>SUM('ФАКТ.СЕБЕСТ.СТОКИ 9 мес. 2021'!AD15)</f>
        <v>21.263000000000002</v>
      </c>
      <c r="O22" s="3086">
        <f>SUM('ФАКТ.СЕБЕСТ.СТОКИ 9 мес. 2021'!AE15)</f>
        <v>0</v>
      </c>
      <c r="P22" s="3086">
        <f>SUM('ФАКТ.СЕБЕСТ.СТОКИ 9 мес. 2021'!BP15)</f>
        <v>21.263000000000002</v>
      </c>
      <c r="Q22" s="3086">
        <f>SUM('ФАКТ.СЕБЕСТ.СТОКИ 9 мес. 2021'!BQ15)</f>
        <v>21.263000000000002</v>
      </c>
      <c r="R22" s="3086">
        <f>SUM('ФАКТ.СЕБЕСТ.СТОКИ 9 мес. 2021'!BR15)</f>
        <v>0</v>
      </c>
      <c r="S22" s="3086">
        <f>SUM('ФАКТ.СЕБЕСТ.СТОКИ 9 мес. 2021'!CB15)</f>
        <v>42.526000000000003</v>
      </c>
      <c r="T22" s="3086">
        <f>SUM('ФАКТ.СЕБЕСТ.СТОКИ 9 мес. 2021'!CC15)</f>
        <v>42.526000000000003</v>
      </c>
      <c r="U22" s="3086">
        <f>SUM('ФАКТ.СЕБЕСТ.СТОКИ 9 мес. 2021'!CD15)</f>
        <v>0</v>
      </c>
      <c r="V22" s="3086">
        <f>SUM('ФАКТ.СЕБЕСТ.СТОКИ 9 мес. 2021'!DO15)</f>
        <v>21.263000000000002</v>
      </c>
      <c r="W22" s="3086">
        <f>SUM('ФАКТ.СЕБЕСТ.СТОКИ 9 мес. 2021'!DP15)</f>
        <v>21.263000000000002</v>
      </c>
      <c r="X22" s="3086">
        <f>SUM('ФАКТ.СЕБЕСТ.СТОКИ 9 мес. 2021'!DQ15)</f>
        <v>0</v>
      </c>
      <c r="Y22" s="3086">
        <f>SUM('ФАКТ.СЕБЕСТ.СТОКИ 9 мес. 2021'!EA15)</f>
        <v>63.789000000000001</v>
      </c>
      <c r="Z22" s="3086">
        <f>SUM('ФАКТ.СЕБЕСТ.СТОКИ 9 мес. 2021'!EB15)</f>
        <v>63.789000000000001</v>
      </c>
      <c r="AA22" s="3086">
        <f>SUM('ФАКТ.СЕБЕСТ.СТОКИ 9 мес. 2021'!EC15)</f>
        <v>0</v>
      </c>
      <c r="AB22" s="3086">
        <f>SUM('ФАКТ.СЕБЕСТ.СТОКИ 9 мес. 2021'!FN15)</f>
        <v>21.263000000000002</v>
      </c>
      <c r="AC22" s="3086">
        <f>SUM('ФАКТ.СЕБЕСТ.СТОКИ 9 мес. 2021'!FO15)</f>
        <v>21.263000000000002</v>
      </c>
      <c r="AD22" s="3086">
        <f>SUM('ФАКТ.СЕБЕСТ.СТОКИ 9 мес. 2021'!FP15)</f>
        <v>0</v>
      </c>
      <c r="AE22" s="3086">
        <f>SUM('ФАКТ.СЕБЕСТ.СТОКИ 9 мес. 2021'!FZ15)</f>
        <v>85.052000000000007</v>
      </c>
      <c r="AF22" s="3086">
        <f>SUM('ФАКТ.СЕБЕСТ.СТОКИ 9 мес. 2021'!GA15)</f>
        <v>85.052000000000007</v>
      </c>
      <c r="AG22" s="3088">
        <f>SUM('ФАКТ.СЕБЕСТ.СТОКИ 9 мес. 2021'!GB15)</f>
        <v>0</v>
      </c>
    </row>
    <row r="23" spans="1:33" ht="18.75" customHeight="1" x14ac:dyDescent="0.3">
      <c r="A23" s="4531" t="s">
        <v>3808</v>
      </c>
      <c r="B23" s="4532"/>
      <c r="C23" s="4532"/>
      <c r="D23" s="4532"/>
      <c r="E23" s="4532"/>
      <c r="F23" s="4532"/>
      <c r="G23" s="4532"/>
      <c r="H23" s="4532"/>
      <c r="I23" s="4532"/>
      <c r="J23" s="4532"/>
      <c r="K23" s="4532"/>
      <c r="L23" s="4533"/>
      <c r="M23" s="4533"/>
      <c r="N23" s="4533"/>
      <c r="O23" s="4533"/>
      <c r="P23" s="4533"/>
      <c r="Q23" s="4533"/>
      <c r="R23" s="4533"/>
      <c r="S23" s="4533"/>
      <c r="T23" s="4534"/>
      <c r="U23" s="4534"/>
      <c r="V23" s="4534"/>
      <c r="W23" s="4534"/>
      <c r="X23" s="4534"/>
      <c r="Y23" s="4534"/>
      <c r="Z23" s="4534"/>
      <c r="AA23" s="4534"/>
      <c r="AB23" s="4534"/>
      <c r="AC23" s="4534"/>
      <c r="AD23" s="4534"/>
      <c r="AE23" s="4534"/>
      <c r="AF23" s="4534"/>
      <c r="AG23" s="4535"/>
    </row>
    <row r="24" spans="1:33" ht="19.5" customHeight="1" x14ac:dyDescent="0.2">
      <c r="A24" s="4514" t="s">
        <v>527</v>
      </c>
      <c r="B24" s="3098"/>
      <c r="C24" s="3098"/>
      <c r="D24" s="3098"/>
      <c r="E24" s="4526" t="s">
        <v>232</v>
      </c>
      <c r="F24" s="4526"/>
      <c r="G24" s="4526"/>
      <c r="H24" s="4526"/>
      <c r="I24" s="4526"/>
      <c r="J24" s="2404"/>
      <c r="K24" s="3178" t="s">
        <v>362</v>
      </c>
      <c r="L24" s="4528" t="s">
        <v>3819</v>
      </c>
      <c r="M24" s="4528" t="s">
        <v>585</v>
      </c>
      <c r="N24" s="4529"/>
      <c r="O24" s="4529"/>
      <c r="P24" s="4528" t="s">
        <v>584</v>
      </c>
      <c r="Q24" s="4529"/>
      <c r="R24" s="4529"/>
      <c r="S24" s="4528" t="s">
        <v>583</v>
      </c>
      <c r="T24" s="4529"/>
      <c r="U24" s="4529"/>
      <c r="V24" s="4528" t="s">
        <v>216</v>
      </c>
      <c r="W24" s="4529"/>
      <c r="X24" s="4529"/>
      <c r="Y24" s="4528" t="s">
        <v>220</v>
      </c>
      <c r="Z24" s="4529"/>
      <c r="AA24" s="4529"/>
      <c r="AB24" s="4528" t="s">
        <v>3820</v>
      </c>
      <c r="AC24" s="4529"/>
      <c r="AD24" s="4529"/>
      <c r="AE24" s="4528" t="s">
        <v>1809</v>
      </c>
      <c r="AF24" s="4529"/>
      <c r="AG24" s="4530"/>
    </row>
    <row r="25" spans="1:33" ht="41.25" customHeight="1" x14ac:dyDescent="0.2">
      <c r="A25" s="4514"/>
      <c r="B25" s="3098"/>
      <c r="C25" s="3098"/>
      <c r="D25" s="3098"/>
      <c r="E25" s="3099" t="s">
        <v>512</v>
      </c>
      <c r="F25" s="3099" t="s">
        <v>153</v>
      </c>
      <c r="G25" s="3099" t="s">
        <v>513</v>
      </c>
      <c r="H25" s="3099" t="s">
        <v>514</v>
      </c>
      <c r="I25" s="3099" t="s">
        <v>515</v>
      </c>
      <c r="J25" s="2404"/>
      <c r="K25" s="3099" t="s">
        <v>512</v>
      </c>
      <c r="L25" s="4528"/>
      <c r="M25" s="3176" t="s">
        <v>616</v>
      </c>
      <c r="N25" s="3176" t="s">
        <v>3724</v>
      </c>
      <c r="O25" s="3176" t="s">
        <v>3660</v>
      </c>
      <c r="P25" s="3176" t="s">
        <v>616</v>
      </c>
      <c r="Q25" s="3176" t="s">
        <v>3724</v>
      </c>
      <c r="R25" s="3176" t="s">
        <v>3660</v>
      </c>
      <c r="S25" s="3176" t="s">
        <v>616</v>
      </c>
      <c r="T25" s="3176" t="s">
        <v>3724</v>
      </c>
      <c r="U25" s="3176" t="s">
        <v>3660</v>
      </c>
      <c r="V25" s="3176" t="s">
        <v>616</v>
      </c>
      <c r="W25" s="3176" t="s">
        <v>3724</v>
      </c>
      <c r="X25" s="3176" t="s">
        <v>3660</v>
      </c>
      <c r="Y25" s="3176" t="s">
        <v>616</v>
      </c>
      <c r="Z25" s="3176" t="s">
        <v>3724</v>
      </c>
      <c r="AA25" s="3176" t="s">
        <v>3660</v>
      </c>
      <c r="AB25" s="3176" t="s">
        <v>616</v>
      </c>
      <c r="AC25" s="3176" t="s">
        <v>3724</v>
      </c>
      <c r="AD25" s="3176" t="s">
        <v>3660</v>
      </c>
      <c r="AE25" s="3176" t="s">
        <v>616</v>
      </c>
      <c r="AF25" s="3176" t="s">
        <v>3724</v>
      </c>
      <c r="AG25" s="3070" t="s">
        <v>3660</v>
      </c>
    </row>
    <row r="26" spans="1:33" ht="18.75" customHeight="1" x14ac:dyDescent="0.3">
      <c r="A26" s="3077" t="s">
        <v>1</v>
      </c>
      <c r="B26" s="3092"/>
      <c r="C26" s="3092"/>
      <c r="D26" s="3092"/>
      <c r="E26" s="3092"/>
      <c r="F26" s="3092"/>
      <c r="G26" s="3092"/>
      <c r="H26" s="3092"/>
      <c r="I26" s="3092"/>
      <c r="J26" s="3092"/>
      <c r="K26" s="3092"/>
      <c r="L26" s="3102" t="s">
        <v>902</v>
      </c>
      <c r="M26" s="3079">
        <f>SUM('ФАКТ.СЕБЕСТ.СТОКИ 9 мес. 2021'!AC35)</f>
        <v>2057.2607124796668</v>
      </c>
      <c r="N26" s="3079">
        <f>SUM('ФАКТ.СЕБЕСТ.СТОКИ 9 мес. 2021'!AD35)</f>
        <v>2044.5999628307654</v>
      </c>
      <c r="O26" s="3079">
        <f>SUM('ФАКТ.СЕБЕСТ.СТОКИ 9 мес. 2021'!AE35)</f>
        <v>12.660749648901724</v>
      </c>
      <c r="P26" s="3079">
        <f>SUM('ФАКТ.СЕБЕСТ.СТОКИ 9 мес. 2021'!BP35)</f>
        <v>2057.2607124796668</v>
      </c>
      <c r="Q26" s="3079">
        <f>SUM('ФАКТ.СЕБЕСТ.СТОКИ 9 мес. 2021'!BQ35)</f>
        <v>2044.5999628307654</v>
      </c>
      <c r="R26" s="3079">
        <f>SUM('ФАКТ.СЕБЕСТ.СТОКИ 9 мес. 2021'!BR35)</f>
        <v>12.660749648901724</v>
      </c>
      <c r="S26" s="3079">
        <f>SUM('ФАКТ.СЕБЕСТ.СТОКИ 9 мес. 2021'!CB35)</f>
        <v>4114.5214249593337</v>
      </c>
      <c r="T26" s="3079">
        <f>SUM('ФАКТ.СЕБЕСТ.СТОКИ 9 мес. 2021'!CC35)</f>
        <v>4089.1999256615309</v>
      </c>
      <c r="U26" s="3079">
        <f>SUM('ФАКТ.СЕБЕСТ.СТОКИ 9 мес. 2021'!CD35)</f>
        <v>25.321499297803449</v>
      </c>
      <c r="V26" s="3079">
        <f>SUM('ФАКТ.СЕБЕСТ.СТОКИ 9 мес. 2021'!DO35)</f>
        <v>2139.7916952221826</v>
      </c>
      <c r="W26" s="3079">
        <f>SUM('ФАКТ.СЕБЕСТ.СТОКИ 9 мес. 2021'!DP35)</f>
        <v>2126.3839613439959</v>
      </c>
      <c r="X26" s="3079">
        <f>SUM('ФАКТ.СЕБЕСТ.СТОКИ 9 мес. 2021'!DQ35)</f>
        <v>13.407733878186928</v>
      </c>
      <c r="Y26" s="3079">
        <f>SUM('ФАКТ.СЕБЕСТ.СТОКИ 9 мес. 2021'!EA35)</f>
        <v>6254.3131201815158</v>
      </c>
      <c r="Z26" s="3079">
        <f>SUM('ФАКТ.СЕБЕСТ.СТОКИ 9 мес. 2021'!EB35)</f>
        <v>6215.5838870055268</v>
      </c>
      <c r="AA26" s="3079">
        <f>SUM('ФАКТ.СЕБЕСТ.СТОКИ 9 мес. 2021'!EC35)</f>
        <v>38.729233175990373</v>
      </c>
      <c r="AB26" s="3079">
        <f>SUM('ФАКТ.СЕБЕСТ.СТОКИ 9 мес. 2021'!FN35)</f>
        <v>2139.7916952221826</v>
      </c>
      <c r="AC26" s="3079">
        <f>SUM('ФАКТ.СЕБЕСТ.СТОКИ 9 мес. 2021'!FO35)</f>
        <v>2126.3839613439959</v>
      </c>
      <c r="AD26" s="3079">
        <f>SUM('ФАКТ.СЕБЕСТ.СТОКИ 9 мес. 2021'!FP35)</f>
        <v>13.407733878186928</v>
      </c>
      <c r="AE26" s="3079">
        <f>SUM('ФАКТ.СЕБЕСТ.СТОКИ 9 мес. 2021'!FZ35)</f>
        <v>8394.104815403698</v>
      </c>
      <c r="AF26" s="3079">
        <f>SUM('ФАКТ.СЕБЕСТ.СТОКИ 9 мес. 2021'!GA35)</f>
        <v>8341.9678483495227</v>
      </c>
      <c r="AG26" s="3081">
        <f>SUM('ФАКТ.СЕБЕСТ.СТОКИ 9 мес. 2021'!GB35)</f>
        <v>52.136967054177305</v>
      </c>
    </row>
    <row r="27" spans="1:33" ht="18.75" customHeight="1" x14ac:dyDescent="0.3">
      <c r="A27" s="3077" t="s">
        <v>2</v>
      </c>
      <c r="B27" s="3092"/>
      <c r="C27" s="3092"/>
      <c r="D27" s="3092"/>
      <c r="E27" s="3092"/>
      <c r="F27" s="3092"/>
      <c r="G27" s="3092"/>
      <c r="H27" s="3092"/>
      <c r="I27" s="3092"/>
      <c r="J27" s="3092"/>
      <c r="K27" s="3092"/>
      <c r="L27" s="3102" t="s">
        <v>902</v>
      </c>
      <c r="M27" s="3079">
        <f>SUM('ФАКТ.СЕБЕСТ.СТОКИ 9 мес. 2021'!AC36)</f>
        <v>1283.1550000000002</v>
      </c>
      <c r="N27" s="3079">
        <f>SUM('ФАКТ.СЕБЕСТ.СТОКИ 9 мес. 2021'!AD36)</f>
        <v>1283.1550000000002</v>
      </c>
      <c r="O27" s="3079">
        <f>SUM('ФАКТ.СЕБЕСТ.СТОКИ 9 мес. 2021'!AE36)</f>
        <v>0</v>
      </c>
      <c r="P27" s="3079">
        <f>SUM('ФАКТ.СЕБЕСТ.СТОКИ 9 мес. 2021'!BP36)</f>
        <v>1283.1550000000002</v>
      </c>
      <c r="Q27" s="3079">
        <f>SUM('ФАКТ.СЕБЕСТ.СТОКИ 9 мес. 2021'!BQ36)</f>
        <v>1283.1550000000002</v>
      </c>
      <c r="R27" s="3079">
        <f>SUM('ФАКТ.СЕБЕСТ.СТОКИ 9 мес. 2021'!BR36)</f>
        <v>0</v>
      </c>
      <c r="S27" s="3079">
        <f>SUM('ФАКТ.СЕБЕСТ.СТОКИ 9 мес. 2021'!CB36)</f>
        <v>2566.3100000000004</v>
      </c>
      <c r="T27" s="3079">
        <f>SUM('ФАКТ.СЕБЕСТ.СТОКИ 9 мес. 2021'!CC36)</f>
        <v>2566.3100000000004</v>
      </c>
      <c r="U27" s="3079">
        <f>SUM('ФАКТ.СЕБЕСТ.СТОКИ 9 мес. 2021'!CD36)</f>
        <v>0</v>
      </c>
      <c r="V27" s="3079">
        <f>SUM('ФАКТ.СЕБЕСТ.СТОКИ 9 мес. 2021'!DO36)</f>
        <v>1283.1550000000002</v>
      </c>
      <c r="W27" s="3079">
        <f>SUM('ФАКТ.СЕБЕСТ.СТОКИ 9 мес. 2021'!DP36)</f>
        <v>1283.1550000000002</v>
      </c>
      <c r="X27" s="3079">
        <f>SUM('ФАКТ.СЕБЕСТ.СТОКИ 9 мес. 2021'!DQ36)</f>
        <v>0</v>
      </c>
      <c r="Y27" s="3079">
        <f>SUM('ФАКТ.СЕБЕСТ.СТОКИ 9 мес. 2021'!EA36)</f>
        <v>3849.4650000000006</v>
      </c>
      <c r="Z27" s="3079">
        <f>SUM('ФАКТ.СЕБЕСТ.СТОКИ 9 мес. 2021'!EB36)</f>
        <v>3849.4650000000006</v>
      </c>
      <c r="AA27" s="3079">
        <f>SUM('ФАКТ.СЕБЕСТ.СТОКИ 9 мес. 2021'!EC36)</f>
        <v>0</v>
      </c>
      <c r="AB27" s="3079">
        <f>SUM('ФАКТ.СЕБЕСТ.СТОКИ 9 мес. 2021'!FN36)</f>
        <v>1283.1550000000002</v>
      </c>
      <c r="AC27" s="3079">
        <f>SUM('ФАКТ.СЕБЕСТ.СТОКИ 9 мес. 2021'!FO36)</f>
        <v>1283.1550000000002</v>
      </c>
      <c r="AD27" s="3079">
        <f>SUM('ФАКТ.СЕБЕСТ.СТОКИ 9 мес. 2021'!FP36)</f>
        <v>0</v>
      </c>
      <c r="AE27" s="3079">
        <f>SUM('ФАКТ.СЕБЕСТ.СТОКИ 9 мес. 2021'!FZ36)</f>
        <v>5132.6200000000008</v>
      </c>
      <c r="AF27" s="3079">
        <f>SUM('ФАКТ.СЕБЕСТ.СТОКИ 9 мес. 2021'!GA36)</f>
        <v>5132.6200000000008</v>
      </c>
      <c r="AG27" s="3081">
        <f>SUM('ФАКТ.СЕБЕСТ.СТОКИ 9 мес. 2021'!GB36)</f>
        <v>0</v>
      </c>
    </row>
    <row r="28" spans="1:33" ht="18.75" customHeight="1" x14ac:dyDescent="0.3">
      <c r="A28" s="3077" t="s">
        <v>210</v>
      </c>
      <c r="B28" s="3092"/>
      <c r="C28" s="3092"/>
      <c r="D28" s="3092"/>
      <c r="E28" s="3092"/>
      <c r="F28" s="3092"/>
      <c r="G28" s="3092"/>
      <c r="H28" s="3092"/>
      <c r="I28" s="3092"/>
      <c r="J28" s="3092"/>
      <c r="K28" s="3092"/>
      <c r="L28" s="3102" t="s">
        <v>902</v>
      </c>
      <c r="M28" s="3079">
        <f>SUM('ФАКТ.СЕБЕСТ.СТОКИ 9 мес. 2021'!AC37)</f>
        <v>0</v>
      </c>
      <c r="N28" s="3079">
        <f>SUM('ФАКТ.СЕБЕСТ.СТОКИ 9 мес. 2021'!AD37)</f>
        <v>0</v>
      </c>
      <c r="O28" s="3079">
        <f>SUM('ФАКТ.СЕБЕСТ.СТОКИ 9 мес. 2021'!AE37)</f>
        <v>0</v>
      </c>
      <c r="P28" s="3079">
        <f>SUM('ФАКТ.СЕБЕСТ.СТОКИ 9 мес. 2021'!BP37)</f>
        <v>0</v>
      </c>
      <c r="Q28" s="3079">
        <f>SUM('ФАКТ.СЕБЕСТ.СТОКИ 9 мес. 2021'!BQ37)</f>
        <v>0</v>
      </c>
      <c r="R28" s="3079">
        <f>SUM('ФАКТ.СЕБЕСТ.СТОКИ 9 мес. 2021'!BR37)</f>
        <v>0</v>
      </c>
      <c r="S28" s="3079">
        <f>SUM('ФАКТ.СЕБЕСТ.СТОКИ 9 мес. 2021'!CB37)</f>
        <v>0</v>
      </c>
      <c r="T28" s="3079">
        <f>SUM('ФАКТ.СЕБЕСТ.СТОКИ 9 мес. 2021'!CC37)</f>
        <v>0</v>
      </c>
      <c r="U28" s="3079">
        <f>SUM('ФАКТ.СЕБЕСТ.СТОКИ 9 мес. 2021'!CD37)</f>
        <v>0</v>
      </c>
      <c r="V28" s="3079">
        <f>SUM('ФАКТ.СЕБЕСТ.СТОКИ 9 мес. 2021'!DO37)</f>
        <v>0</v>
      </c>
      <c r="W28" s="3079">
        <f>SUM('ФАКТ.СЕБЕСТ.СТОКИ 9 мес. 2021'!DP37)</f>
        <v>0</v>
      </c>
      <c r="X28" s="3079">
        <f>SUM('ФАКТ.СЕБЕСТ.СТОКИ 9 мес. 2021'!DQ37)</f>
        <v>0</v>
      </c>
      <c r="Y28" s="3079">
        <f>SUM('ФАКТ.СЕБЕСТ.СТОКИ 9 мес. 2021'!EA37)</f>
        <v>0</v>
      </c>
      <c r="Z28" s="3079">
        <f>SUM('ФАКТ.СЕБЕСТ.СТОКИ 9 мес. 2021'!EB37)</f>
        <v>0</v>
      </c>
      <c r="AA28" s="3079">
        <f>SUM('ФАКТ.СЕБЕСТ.СТОКИ 9 мес. 2021'!EC37)</f>
        <v>0</v>
      </c>
      <c r="AB28" s="3079">
        <f>SUM('ФАКТ.СЕБЕСТ.СТОКИ 9 мес. 2021'!FN37)</f>
        <v>0</v>
      </c>
      <c r="AC28" s="3079">
        <f>SUM('ФАКТ.СЕБЕСТ.СТОКИ 9 мес. 2021'!FO37)</f>
        <v>0</v>
      </c>
      <c r="AD28" s="3079">
        <f>SUM('ФАКТ.СЕБЕСТ.СТОКИ 9 мес. 2021'!FP37)</f>
        <v>0</v>
      </c>
      <c r="AE28" s="3079">
        <f>SUM('ФАКТ.СЕБЕСТ.СТОКИ 9 мес. 2021'!FZ37)</f>
        <v>0</v>
      </c>
      <c r="AF28" s="3079">
        <f>SUM('ФАКТ.СЕБЕСТ.СТОКИ 9 мес. 2021'!GA37)</f>
        <v>0</v>
      </c>
      <c r="AG28" s="3081">
        <f>SUM('ФАКТ.СЕБЕСТ.СТОКИ 9 мес. 2021'!GB37)</f>
        <v>0</v>
      </c>
    </row>
    <row r="29" spans="1:33" ht="18.75" customHeight="1" x14ac:dyDescent="0.3">
      <c r="A29" s="3077" t="s">
        <v>8</v>
      </c>
      <c r="B29" s="3092"/>
      <c r="C29" s="3092"/>
      <c r="D29" s="3092"/>
      <c r="E29" s="3092"/>
      <c r="F29" s="3092"/>
      <c r="G29" s="3092"/>
      <c r="H29" s="3092"/>
      <c r="I29" s="3092"/>
      <c r="J29" s="3092"/>
      <c r="K29" s="3092"/>
      <c r="L29" s="3102" t="s">
        <v>902</v>
      </c>
      <c r="M29" s="3079">
        <f>SUM('ФАКТ.СЕБЕСТ.СТОКИ 9 мес. 2021'!AC38)</f>
        <v>290.93180513540381</v>
      </c>
      <c r="N29" s="3079">
        <f>SUM('ФАКТ.СЕБЕСТ.СТОКИ 9 мес. 2021'!AD38)</f>
        <v>290.93180513540381</v>
      </c>
      <c r="O29" s="3079">
        <f>SUM('ФАКТ.СЕБЕСТ.СТОКИ 9 мес. 2021'!AE38)</f>
        <v>0</v>
      </c>
      <c r="P29" s="3079">
        <f>SUM('ФАКТ.СЕБЕСТ.СТОКИ 9 мес. 2021'!BP38)</f>
        <v>290.93180513540381</v>
      </c>
      <c r="Q29" s="3079">
        <f>SUM('ФАКТ.СЕБЕСТ.СТОКИ 9 мес. 2021'!BQ38)</f>
        <v>290.93180513540381</v>
      </c>
      <c r="R29" s="3079">
        <f>SUM('ФАКТ.СЕБЕСТ.СТОКИ 9 мес. 2021'!BR38)</f>
        <v>0</v>
      </c>
      <c r="S29" s="3079">
        <f>SUM('ФАКТ.СЕБЕСТ.СТОКИ 9 мес. 2021'!CB38)</f>
        <v>581.86361027080761</v>
      </c>
      <c r="T29" s="3079">
        <f>SUM('ФАКТ.СЕБЕСТ.СТОКИ 9 мес. 2021'!CC38)</f>
        <v>581.86361027080761</v>
      </c>
      <c r="U29" s="3079">
        <f>SUM('ФАКТ.СЕБЕСТ.СТОКИ 9 мес. 2021'!CD38)</f>
        <v>0</v>
      </c>
      <c r="V29" s="3079">
        <f>SUM('ФАКТ.СЕБЕСТ.СТОКИ 9 мес. 2021'!DO38)</f>
        <v>290.93180513540381</v>
      </c>
      <c r="W29" s="3079">
        <f>SUM('ФАКТ.СЕБЕСТ.СТОКИ 9 мес. 2021'!DP38)</f>
        <v>290.93180513540381</v>
      </c>
      <c r="X29" s="3079">
        <f>SUM('ФАКТ.СЕБЕСТ.СТОКИ 9 мес. 2021'!DQ38)</f>
        <v>0</v>
      </c>
      <c r="Y29" s="3079">
        <f>SUM('ФАКТ.СЕБЕСТ.СТОКИ 9 мес. 2021'!EA38)</f>
        <v>872.79541540621142</v>
      </c>
      <c r="Z29" s="3079">
        <f>SUM('ФАКТ.СЕБЕСТ.СТОКИ 9 мес. 2021'!EB38)</f>
        <v>872.79541540621142</v>
      </c>
      <c r="AA29" s="3079">
        <f>SUM('ФАКТ.СЕБЕСТ.СТОКИ 9 мес. 2021'!EC38)</f>
        <v>0</v>
      </c>
      <c r="AB29" s="3079">
        <f>SUM('ФАКТ.СЕБЕСТ.СТОКИ 9 мес. 2021'!FN38)</f>
        <v>290.93180513540381</v>
      </c>
      <c r="AC29" s="3079">
        <f>SUM('ФАКТ.СЕБЕСТ.СТОКИ 9 мес. 2021'!FO38)</f>
        <v>290.93180513540381</v>
      </c>
      <c r="AD29" s="3079">
        <f>SUM('ФАКТ.СЕБЕСТ.СТОКИ 9 мес. 2021'!FP38)</f>
        <v>0</v>
      </c>
      <c r="AE29" s="3079">
        <f>SUM('ФАКТ.СЕБЕСТ.СТОКИ 9 мес. 2021'!FZ38)</f>
        <v>1163.7272205416152</v>
      </c>
      <c r="AF29" s="3079">
        <f>SUM('ФАКТ.СЕБЕСТ.СТОКИ 9 мес. 2021'!GA38)</f>
        <v>1163.7272205416152</v>
      </c>
      <c r="AG29" s="3081">
        <f>SUM('ФАКТ.СЕБЕСТ.СТОКИ 9 мес. 2021'!GB38)</f>
        <v>0</v>
      </c>
    </row>
    <row r="30" spans="1:33" ht="18.75" customHeight="1" x14ac:dyDescent="0.3">
      <c r="A30" s="3077" t="s">
        <v>3</v>
      </c>
      <c r="B30" s="3092"/>
      <c r="C30" s="3092"/>
      <c r="D30" s="3092"/>
      <c r="E30" s="3092"/>
      <c r="F30" s="3092"/>
      <c r="G30" s="3092"/>
      <c r="H30" s="3092"/>
      <c r="I30" s="3092"/>
      <c r="J30" s="3092"/>
      <c r="K30" s="3092"/>
      <c r="L30" s="3102" t="s">
        <v>902</v>
      </c>
      <c r="M30" s="3079">
        <f>SUM('ФАКТ.СЕБЕСТ.СТОКИ 9 мес. 2021'!AC39)</f>
        <v>466.27699313361745</v>
      </c>
      <c r="N30" s="3079">
        <f>SUM('ФАКТ.СЕБЕСТ.СТОКИ 9 мес. 2021'!AD39)</f>
        <v>466.27699313361745</v>
      </c>
      <c r="O30" s="3079">
        <f>SUM('ФАКТ.СЕБЕСТ.СТОКИ 9 мес. 2021'!AE39)</f>
        <v>0</v>
      </c>
      <c r="P30" s="3079">
        <f>SUM('ФАКТ.СЕБЕСТ.СТОКИ 9 мес. 2021'!BP39)</f>
        <v>466.27699313361745</v>
      </c>
      <c r="Q30" s="3079">
        <f>SUM('ФАКТ.СЕБЕСТ.СТОКИ 9 мес. 2021'!BQ39)</f>
        <v>466.27699313361745</v>
      </c>
      <c r="R30" s="3079">
        <f>SUM('ФАКТ.СЕБЕСТ.СТОКИ 9 мес. 2021'!BR39)</f>
        <v>0</v>
      </c>
      <c r="S30" s="3079">
        <f>SUM('ФАКТ.СЕБЕСТ.СТОКИ 9 мес. 2021'!CB39)</f>
        <v>932.5539862672349</v>
      </c>
      <c r="T30" s="3079">
        <f>SUM('ФАКТ.СЕБЕСТ.СТОКИ 9 мес. 2021'!CC39)</f>
        <v>932.5539862672349</v>
      </c>
      <c r="U30" s="3079">
        <f>SUM('ФАКТ.СЕБЕСТ.СТОКИ 9 мес. 2021'!CD39)</f>
        <v>0</v>
      </c>
      <c r="V30" s="3079">
        <f>SUM('ФАКТ.СЕБЕСТ.СТОКИ 9 мес. 2021'!DO39)</f>
        <v>466.27699313361745</v>
      </c>
      <c r="W30" s="3079">
        <f>SUM('ФАКТ.СЕБЕСТ.СТОКИ 9 мес. 2021'!DP39)</f>
        <v>466.27699313361745</v>
      </c>
      <c r="X30" s="3079">
        <f>SUM('ФАКТ.СЕБЕСТ.СТОКИ 9 мес. 2021'!DQ39)</f>
        <v>0</v>
      </c>
      <c r="Y30" s="3079">
        <f>SUM('ФАКТ.СЕБЕСТ.СТОКИ 9 мес. 2021'!EA39)</f>
        <v>1398.8309794008524</v>
      </c>
      <c r="Z30" s="3079">
        <f>SUM('ФАКТ.СЕБЕСТ.СТОКИ 9 мес. 2021'!EB39)</f>
        <v>1398.8309794008524</v>
      </c>
      <c r="AA30" s="3079">
        <f>SUM('ФАКТ.СЕБЕСТ.СТОКИ 9 мес. 2021'!EC39)</f>
        <v>0</v>
      </c>
      <c r="AB30" s="3079">
        <f>SUM('ФАКТ.СЕБЕСТ.СТОКИ 9 мес. 2021'!FN39)</f>
        <v>466.27699313361745</v>
      </c>
      <c r="AC30" s="3079">
        <f>SUM('ФАКТ.СЕБЕСТ.СТОКИ 9 мес. 2021'!FO39)</f>
        <v>466.27699313361745</v>
      </c>
      <c r="AD30" s="3079">
        <f>SUM('ФАКТ.СЕБЕСТ.СТОКИ 9 мес. 2021'!FP39)</f>
        <v>0</v>
      </c>
      <c r="AE30" s="3079">
        <f>SUM('ФАКТ.СЕБЕСТ.СТОКИ 9 мес. 2021'!FZ39)</f>
        <v>1865.1079725344698</v>
      </c>
      <c r="AF30" s="3079">
        <f>SUM('ФАКТ.СЕБЕСТ.СТОКИ 9 мес. 2021'!GA39)</f>
        <v>1865.1079725344698</v>
      </c>
      <c r="AG30" s="3081">
        <f>SUM('ФАКТ.СЕБЕСТ.СТОКИ 9 мес. 2021'!GB39)</f>
        <v>0</v>
      </c>
    </row>
    <row r="31" spans="1:33" ht="18.75" customHeight="1" x14ac:dyDescent="0.3">
      <c r="A31" s="3077" t="s">
        <v>4</v>
      </c>
      <c r="B31" s="3092"/>
      <c r="C31" s="3092"/>
      <c r="D31" s="3092"/>
      <c r="E31" s="3092"/>
      <c r="F31" s="3092"/>
      <c r="G31" s="3092"/>
      <c r="H31" s="3092"/>
      <c r="I31" s="3092"/>
      <c r="J31" s="3092"/>
      <c r="K31" s="3092"/>
      <c r="L31" s="3102" t="s">
        <v>902</v>
      </c>
      <c r="M31" s="3079">
        <f>SUM('ФАКТ.СЕБЕСТ.СТОКИ 9 мес. 2021'!AC40)</f>
        <v>9879.4521932778662</v>
      </c>
      <c r="N31" s="3079">
        <f>SUM('ФАКТ.СЕБЕСТ.СТОКИ 9 мес. 2021'!AD40)</f>
        <v>9848.2019149897133</v>
      </c>
      <c r="O31" s="3079">
        <f>SUM('ФАКТ.СЕБЕСТ.СТОКИ 9 мес. 2021'!AE40)</f>
        <v>31.250278288151996</v>
      </c>
      <c r="P31" s="3079">
        <f>SUM('ФАКТ.СЕБЕСТ.СТОКИ 9 мес. 2021'!BP40)</f>
        <v>9879.4521932778662</v>
      </c>
      <c r="Q31" s="3079">
        <f>SUM('ФАКТ.СЕБЕСТ.СТОКИ 9 мес. 2021'!BQ40)</f>
        <v>9848.2019149897133</v>
      </c>
      <c r="R31" s="3079">
        <f>SUM('ФАКТ.СЕБЕСТ.СТОКИ 9 мес. 2021'!BR40)</f>
        <v>31.250278288151996</v>
      </c>
      <c r="S31" s="3079">
        <f>SUM('ФАКТ.СЕБЕСТ.СТОКИ 9 мес. 2021'!CB40)</f>
        <v>19758.904386555732</v>
      </c>
      <c r="T31" s="3079">
        <f>SUM('ФАКТ.СЕБЕСТ.СТОКИ 9 мес. 2021'!CC40)</f>
        <v>19696.403829979427</v>
      </c>
      <c r="U31" s="3079">
        <f>SUM('ФАКТ.СЕБЕСТ.СТОКИ 9 мес. 2021'!CD40)</f>
        <v>62.500556576303993</v>
      </c>
      <c r="V31" s="3079">
        <f>SUM('ФАКТ.СЕБЕСТ.СТОКИ 9 мес. 2021'!DO40)</f>
        <v>9879.4521932778662</v>
      </c>
      <c r="W31" s="3079">
        <f>SUM('ФАКТ.СЕБЕСТ.СТОКИ 9 мес. 2021'!DP40)</f>
        <v>9848.2019149897133</v>
      </c>
      <c r="X31" s="3079">
        <f>SUM('ФАКТ.СЕБЕСТ.СТОКИ 9 мес. 2021'!DQ40)</f>
        <v>31.250278288151996</v>
      </c>
      <c r="Y31" s="3079">
        <f>SUM('ФАКТ.СЕБЕСТ.СТОКИ 9 мес. 2021'!EA40)</f>
        <v>29638.356579833599</v>
      </c>
      <c r="Z31" s="3079">
        <f>SUM('ФАКТ.СЕБЕСТ.СТОКИ 9 мес. 2021'!EB40)</f>
        <v>29544.60574496914</v>
      </c>
      <c r="AA31" s="3079">
        <f>SUM('ФАКТ.СЕБЕСТ.СТОКИ 9 мес. 2021'!EC40)</f>
        <v>93.750834864455982</v>
      </c>
      <c r="AB31" s="3079">
        <f>SUM('ФАКТ.СЕБЕСТ.СТОКИ 9 мес. 2021'!FN40)</f>
        <v>9879.4521932778662</v>
      </c>
      <c r="AC31" s="3079">
        <f>SUM('ФАКТ.СЕБЕСТ.СТОКИ 9 мес. 2021'!FO40)</f>
        <v>9848.2019149897133</v>
      </c>
      <c r="AD31" s="3079">
        <f>SUM('ФАКТ.СЕБЕСТ.СТОКИ 9 мес. 2021'!FP40)</f>
        <v>31.250278288151996</v>
      </c>
      <c r="AE31" s="3079">
        <f>SUM('ФАКТ.СЕБЕСТ.СТОКИ 9 мес. 2021'!FZ40)</f>
        <v>39517.808773111465</v>
      </c>
      <c r="AF31" s="3079">
        <f>SUM('ФАКТ.СЕБЕСТ.СТОКИ 9 мес. 2021'!GA40)</f>
        <v>39392.807659958853</v>
      </c>
      <c r="AG31" s="3081">
        <f>SUM('ФАКТ.СЕБЕСТ.СТОКИ 9 мес. 2021'!GB40)</f>
        <v>125.00111315260799</v>
      </c>
    </row>
    <row r="32" spans="1:33" ht="18.75" customHeight="1" x14ac:dyDescent="0.3">
      <c r="A32" s="3077" t="s">
        <v>114</v>
      </c>
      <c r="B32" s="3092"/>
      <c r="C32" s="3092"/>
      <c r="D32" s="3092"/>
      <c r="E32" s="3092"/>
      <c r="F32" s="3092"/>
      <c r="G32" s="3092"/>
      <c r="H32" s="3092"/>
      <c r="I32" s="3092"/>
      <c r="J32" s="3092"/>
      <c r="K32" s="3092"/>
      <c r="L32" s="3102" t="s">
        <v>902</v>
      </c>
      <c r="M32" s="3079">
        <f>SUM('ФАКТ.СЕБЕСТ.СТОКИ 9 мес. 2021'!AC41)</f>
        <v>2976.7193696411173</v>
      </c>
      <c r="N32" s="3079">
        <f>SUM('ФАКТ.СЕБЕСТ.СТОКИ 9 мес. 2021'!AD41)</f>
        <v>2967.303821008557</v>
      </c>
      <c r="O32" s="3079">
        <f>SUM('ФАКТ.СЕБЕСТ.СТОКИ 9 мес. 2021'!AE41)</f>
        <v>9.4155486325603786</v>
      </c>
      <c r="P32" s="3079">
        <f>SUM('ФАКТ.СЕБЕСТ.СТОКИ 9 мес. 2021'!BP41)</f>
        <v>2976.7193696411173</v>
      </c>
      <c r="Q32" s="3079">
        <f>SUM('ФАКТ.СЕБЕСТ.СТОКИ 9 мес. 2021'!BQ41)</f>
        <v>2967.303821008557</v>
      </c>
      <c r="R32" s="3079">
        <f>SUM('ФАКТ.СЕБЕСТ.СТОКИ 9 мес. 2021'!BR41)</f>
        <v>9.4155486325603786</v>
      </c>
      <c r="S32" s="3079">
        <f>SUM('ФАКТ.СЕБЕСТ.СТОКИ 9 мес. 2021'!CB41)</f>
        <v>5953.4387392822346</v>
      </c>
      <c r="T32" s="3079">
        <f>SUM('ФАКТ.СЕБЕСТ.СТОКИ 9 мес. 2021'!CC41)</f>
        <v>5934.6076420171139</v>
      </c>
      <c r="U32" s="3079">
        <f>SUM('ФАКТ.СЕБЕСТ.СТОКИ 9 мес. 2021'!CD41)</f>
        <v>18.831097265120757</v>
      </c>
      <c r="V32" s="3079">
        <f>SUM('ФАКТ.СЕБЕСТ.СТОКИ 9 мес. 2021'!DO41)</f>
        <v>2976.7193696411173</v>
      </c>
      <c r="W32" s="3079">
        <f>SUM('ФАКТ.СЕБЕСТ.СТОКИ 9 мес. 2021'!DP41)</f>
        <v>2967.303821008557</v>
      </c>
      <c r="X32" s="3079">
        <f>SUM('ФАКТ.СЕБЕСТ.СТОКИ 9 мес. 2021'!DQ41)</f>
        <v>9.4155486325603786</v>
      </c>
      <c r="Y32" s="3079">
        <f>SUM('ФАКТ.СЕБЕСТ.СТОКИ 9 мес. 2021'!EA41)</f>
        <v>8930.1581089233514</v>
      </c>
      <c r="Z32" s="3079">
        <f>SUM('ФАКТ.СЕБЕСТ.СТОКИ 9 мес. 2021'!EB41)</f>
        <v>8901.9114630256699</v>
      </c>
      <c r="AA32" s="3079">
        <f>SUM('ФАКТ.СЕБЕСТ.СТОКИ 9 мес. 2021'!EC41)</f>
        <v>28.246645897681134</v>
      </c>
      <c r="AB32" s="3079">
        <f>SUM('ФАКТ.СЕБЕСТ.СТОКИ 9 мес. 2021'!FN41)</f>
        <v>2976.7193696411173</v>
      </c>
      <c r="AC32" s="3079">
        <f>SUM('ФАКТ.СЕБЕСТ.СТОКИ 9 мес. 2021'!FO41)</f>
        <v>2967.303821008557</v>
      </c>
      <c r="AD32" s="3079">
        <f>SUM('ФАКТ.СЕБЕСТ.СТОКИ 9 мес. 2021'!FP41)</f>
        <v>9.4155486325603786</v>
      </c>
      <c r="AE32" s="3079">
        <f>SUM('ФАКТ.СЕБЕСТ.СТОКИ 9 мес. 2021'!FZ41)</f>
        <v>11906.877478564469</v>
      </c>
      <c r="AF32" s="3079">
        <f>SUM('ФАКТ.СЕБЕСТ.СТОКИ 9 мес. 2021'!GA41)</f>
        <v>11869.215284034228</v>
      </c>
      <c r="AG32" s="3081">
        <f>SUM('ФАКТ.СЕБЕСТ.СТОКИ 9 мес. 2021'!GB41)</f>
        <v>37.662194530241514</v>
      </c>
    </row>
    <row r="33" spans="1:33" ht="18.75" customHeight="1" x14ac:dyDescent="0.3">
      <c r="A33" s="3082" t="s">
        <v>310</v>
      </c>
      <c r="B33" s="3092"/>
      <c r="C33" s="3092"/>
      <c r="D33" s="3092"/>
      <c r="E33" s="3092"/>
      <c r="F33" s="3092"/>
      <c r="G33" s="3092"/>
      <c r="H33" s="3092"/>
      <c r="I33" s="3092"/>
      <c r="J33" s="3092"/>
      <c r="K33" s="3092"/>
      <c r="L33" s="3102" t="s">
        <v>44</v>
      </c>
      <c r="M33" s="3103">
        <f>SUM('ФАКТ.СЕБЕСТ.СТОКИ 9 мес. 2021'!AC42)</f>
        <v>0.30130409170525907</v>
      </c>
      <c r="N33" s="3103">
        <f>SUM('ФАКТ.СЕБЕСТ.СТОКИ 9 мес. 2021'!AD42)</f>
        <v>0.30130412095756226</v>
      </c>
      <c r="O33" s="3103">
        <f>SUM('ФАКТ.СЕБЕСТ.СТОКИ 9 мес. 2021'!AE42)</f>
        <v>0.30129487314454162</v>
      </c>
      <c r="P33" s="3103">
        <f>SUM('ФАКТ.СЕБЕСТ.СТОКИ 9 мес. 2021'!BP42)</f>
        <v>0.30130409170525907</v>
      </c>
      <c r="Q33" s="3103">
        <f>SUM('ФАКТ.СЕБЕСТ.СТОКИ 9 мес. 2021'!BQ42)</f>
        <v>0.30130412095756226</v>
      </c>
      <c r="R33" s="3103">
        <f>SUM('ФАКТ.СЕБЕСТ.СТОКИ 9 мес. 2021'!BR42)</f>
        <v>0.30129487314454162</v>
      </c>
      <c r="S33" s="3103">
        <f>SUM('ФАКТ.СЕБЕСТ.СТОКИ 9 мес. 2021'!CB42)</f>
        <v>0.30130409170525907</v>
      </c>
      <c r="T33" s="3103">
        <f>SUM('ФАКТ.СЕБЕСТ.СТОКИ 9 мес. 2021'!CC42)</f>
        <v>0.30130412095756226</v>
      </c>
      <c r="U33" s="3103">
        <f>SUM('ФАКТ.СЕБЕСТ.СТОКИ 9 мес. 2021'!CD42)</f>
        <v>0.30129487314454162</v>
      </c>
      <c r="V33" s="3103">
        <f>SUM('ФАКТ.СЕБЕСТ.СТОКИ 9 мес. 2021'!DO42)</f>
        <v>0.30130409170525907</v>
      </c>
      <c r="W33" s="3103">
        <f>SUM('ФАКТ.СЕБЕСТ.СТОКИ 9 мес. 2021'!DP42)</f>
        <v>0.30130412095756226</v>
      </c>
      <c r="X33" s="3103">
        <f>SUM('ФАКТ.СЕБЕСТ.СТОКИ 9 мес. 2021'!DQ42)</f>
        <v>0.30129487314454162</v>
      </c>
      <c r="Y33" s="3103">
        <f>SUM('ФАКТ.СЕБЕСТ.СТОКИ 9 мес. 2021'!EA42)</f>
        <v>0.30130409170525907</v>
      </c>
      <c r="Z33" s="3103">
        <f>SUM('ФАКТ.СЕБЕСТ.СТОКИ 9 мес. 2021'!EB42)</f>
        <v>0.30130412095756226</v>
      </c>
      <c r="AA33" s="3103">
        <f>SUM('ФАКТ.СЕБЕСТ.СТОКИ 9 мес. 2021'!EC42)</f>
        <v>0.30129487314454162</v>
      </c>
      <c r="AB33" s="3103">
        <f>SUM('ФАКТ.СЕБЕСТ.СТОКИ 9 мес. 2021'!FN42)</f>
        <v>0.30130409170525907</v>
      </c>
      <c r="AC33" s="3103">
        <f>SUM('ФАКТ.СЕБЕСТ.СТОКИ 9 мес. 2021'!FO42)</f>
        <v>0.30130412095756226</v>
      </c>
      <c r="AD33" s="3103">
        <f>SUM('ФАКТ.СЕБЕСТ.СТОКИ 9 мес. 2021'!FP42)</f>
        <v>0.30129487314454162</v>
      </c>
      <c r="AE33" s="3103">
        <f>SUM('ФАКТ.СЕБЕСТ.СТОКИ 9 мес. 2021'!FZ42)</f>
        <v>0.30130409170525907</v>
      </c>
      <c r="AF33" s="3103">
        <f>SUM('ФАКТ.СЕБЕСТ.СТОКИ 9 мес. 2021'!GA42)</f>
        <v>0.30130412095756226</v>
      </c>
      <c r="AG33" s="3104">
        <f>SUM('ФАКТ.СЕБЕСТ.СТОКИ 9 мес. 2021'!GB42)</f>
        <v>0.30129487314454162</v>
      </c>
    </row>
    <row r="34" spans="1:33" ht="18.75" customHeight="1" x14ac:dyDescent="0.3">
      <c r="A34" s="3089" t="s">
        <v>3756</v>
      </c>
      <c r="B34" s="3092"/>
      <c r="C34" s="3092"/>
      <c r="D34" s="3092"/>
      <c r="E34" s="3092"/>
      <c r="F34" s="3092"/>
      <c r="G34" s="3092"/>
      <c r="H34" s="3092"/>
      <c r="I34" s="3092"/>
      <c r="J34" s="3092"/>
      <c r="K34" s="3092"/>
      <c r="L34" s="3102" t="s">
        <v>902</v>
      </c>
      <c r="M34" s="3079">
        <f>SUM('ФАКТ.СЕБЕСТ.СТОКИ 9 мес. 2021'!AC43)</f>
        <v>4971.9194739826607</v>
      </c>
      <c r="N34" s="3079">
        <f>SUM('ФАКТ.СЕБЕСТ.СТОКИ 9 мес. 2021'!AD43)</f>
        <v>4971.9194739826607</v>
      </c>
      <c r="O34" s="3079">
        <f>SUM('ФАКТ.СЕБЕСТ.СТОКИ 9 мес. 2021'!AE43)</f>
        <v>0</v>
      </c>
      <c r="P34" s="3079">
        <f>SUM('ФАКТ.СЕБЕСТ.СТОКИ 9 мес. 2021'!BP43)</f>
        <v>4971.9194739826607</v>
      </c>
      <c r="Q34" s="3079">
        <f>SUM('ФАКТ.СЕБЕСТ.СТОКИ 9 мес. 2021'!BQ43)</f>
        <v>4971.9194739826607</v>
      </c>
      <c r="R34" s="3079">
        <f>SUM('ФАКТ.СЕБЕСТ.СТОКИ 9 мес. 2021'!BR43)</f>
        <v>0</v>
      </c>
      <c r="S34" s="3079">
        <f>SUM('ФАКТ.СЕБЕСТ.СТОКИ 9 мес. 2021'!CB43)</f>
        <v>9943.8389479653215</v>
      </c>
      <c r="T34" s="3079">
        <f>SUM('ФАКТ.СЕБЕСТ.СТОКИ 9 мес. 2021'!CC43)</f>
        <v>9943.8389479653215</v>
      </c>
      <c r="U34" s="3079">
        <f>SUM('ФАКТ.СЕБЕСТ.СТОКИ 9 мес. 2021'!CD43)</f>
        <v>0</v>
      </c>
      <c r="V34" s="3079">
        <f>SUM('ФАКТ.СЕБЕСТ.СТОКИ 9 мес. 2021'!DO43)</f>
        <v>4971.9194739826607</v>
      </c>
      <c r="W34" s="3079">
        <f>SUM('ФАКТ.СЕБЕСТ.СТОКИ 9 мес. 2021'!DP43)</f>
        <v>4971.9194739826607</v>
      </c>
      <c r="X34" s="3079">
        <f>SUM('ФАКТ.СЕБЕСТ.СТОКИ 9 мес. 2021'!DQ43)</f>
        <v>0</v>
      </c>
      <c r="Y34" s="3079">
        <f>SUM('ФАКТ.СЕБЕСТ.СТОКИ 9 мес. 2021'!EA43)</f>
        <v>14915.758421947983</v>
      </c>
      <c r="Z34" s="3079">
        <f>SUM('ФАКТ.СЕБЕСТ.СТОКИ 9 мес. 2021'!EB43)</f>
        <v>14915.758421947983</v>
      </c>
      <c r="AA34" s="3079">
        <f>SUM('ФАКТ.СЕБЕСТ.СТОКИ 9 мес. 2021'!EC43)</f>
        <v>0</v>
      </c>
      <c r="AB34" s="3079">
        <f>SUM('ФАКТ.СЕБЕСТ.СТОКИ 9 мес. 2021'!FN43)</f>
        <v>4971.9194739826607</v>
      </c>
      <c r="AC34" s="3079">
        <f>SUM('ФАКТ.СЕБЕСТ.СТОКИ 9 мес. 2021'!FO43)</f>
        <v>4971.9194739826607</v>
      </c>
      <c r="AD34" s="3079">
        <f>SUM('ФАКТ.СЕБЕСТ.СТОКИ 9 мес. 2021'!FP43)</f>
        <v>0</v>
      </c>
      <c r="AE34" s="3079">
        <f>SUM('ФАКТ.СЕБЕСТ.СТОКИ 9 мес. 2021'!FZ43)</f>
        <v>19887.677895930643</v>
      </c>
      <c r="AF34" s="3079">
        <f>SUM('ФАКТ.СЕБЕСТ.СТОКИ 9 мес. 2021'!GA43)</f>
        <v>19887.677895930643</v>
      </c>
      <c r="AG34" s="3081">
        <f>SUM('ФАКТ.СЕБЕСТ.СТОКИ 9 мес. 2021'!GB43)</f>
        <v>0</v>
      </c>
    </row>
    <row r="35" spans="1:33" ht="18.75" customHeight="1" x14ac:dyDescent="0.3">
      <c r="A35" s="3090" t="s">
        <v>3757</v>
      </c>
      <c r="B35" s="3105"/>
      <c r="C35" s="3105"/>
      <c r="D35" s="3105"/>
      <c r="E35" s="3105"/>
      <c r="F35" s="3105"/>
      <c r="G35" s="3105"/>
      <c r="H35" s="3105"/>
      <c r="I35" s="3105"/>
      <c r="J35" s="3105"/>
      <c r="K35" s="3105"/>
      <c r="L35" s="3102" t="s">
        <v>902</v>
      </c>
      <c r="M35" s="3086">
        <f>SUM('ФАКТ.СЕБЕСТ.СТОКИ 9 мес. 2021'!AC44)</f>
        <v>1753.249853025317</v>
      </c>
      <c r="N35" s="3086">
        <f>SUM('ФАКТ.СЕБЕСТ.СТОКИ 9 мес. 2021'!AD44)</f>
        <v>1753.249853025317</v>
      </c>
      <c r="O35" s="3086">
        <f>SUM('ФАКТ.СЕБЕСТ.СТОКИ 9 мес. 2021'!AE44)</f>
        <v>0</v>
      </c>
      <c r="P35" s="3086">
        <f>SUM('ФАКТ.СЕБЕСТ.СТОКИ 9 мес. 2021'!BP44)</f>
        <v>1753.249853025317</v>
      </c>
      <c r="Q35" s="3086">
        <f>SUM('ФАКТ.СЕБЕСТ.СТОКИ 9 мес. 2021'!BQ44)</f>
        <v>1753.249853025317</v>
      </c>
      <c r="R35" s="3086">
        <f>SUM('ФАКТ.СЕБЕСТ.СТОКИ 9 мес. 2021'!BR44)</f>
        <v>0</v>
      </c>
      <c r="S35" s="3086">
        <f>SUM('ФАКТ.СЕБЕСТ.СТОКИ 9 мес. 2021'!CB44)</f>
        <v>3506.4997060506339</v>
      </c>
      <c r="T35" s="3086">
        <f>SUM('ФАКТ.СЕБЕСТ.СТОКИ 9 мес. 2021'!CC44)</f>
        <v>3506.4997060506339</v>
      </c>
      <c r="U35" s="3086">
        <f>SUM('ФАКТ.СЕБЕСТ.СТОКИ 9 мес. 2021'!CD44)</f>
        <v>0</v>
      </c>
      <c r="V35" s="3086">
        <f>SUM('ФАКТ.СЕБЕСТ.СТОКИ 9 мес. 2021'!DO44)</f>
        <v>1753.249853025317</v>
      </c>
      <c r="W35" s="3086">
        <f>SUM('ФАКТ.СЕБЕСТ.СТОКИ 9 мес. 2021'!DP44)</f>
        <v>1753.249853025317</v>
      </c>
      <c r="X35" s="3086">
        <f>SUM('ФАКТ.СЕБЕСТ.СТОКИ 9 мес. 2021'!DQ44)</f>
        <v>0</v>
      </c>
      <c r="Y35" s="3086">
        <f>SUM('ФАКТ.СЕБЕСТ.СТОКИ 9 мес. 2021'!EA44)</f>
        <v>5259.7495590759509</v>
      </c>
      <c r="Z35" s="3086">
        <f>SUM('ФАКТ.СЕБЕСТ.СТОКИ 9 мес. 2021'!EB44)</f>
        <v>5259.7495590759509</v>
      </c>
      <c r="AA35" s="3086">
        <f>SUM('ФАКТ.СЕБЕСТ.СТОКИ 9 мес. 2021'!EC44)</f>
        <v>0</v>
      </c>
      <c r="AB35" s="3086">
        <f>SUM('ФАКТ.СЕБЕСТ.СТОКИ 9 мес. 2021'!FN44)</f>
        <v>1753.249853025317</v>
      </c>
      <c r="AC35" s="3086">
        <f>SUM('ФАКТ.СЕБЕСТ.СТОКИ 9 мес. 2021'!FO44)</f>
        <v>1753.249853025317</v>
      </c>
      <c r="AD35" s="3086">
        <f>SUM('ФАКТ.СЕБЕСТ.СТОКИ 9 мес. 2021'!FP44)</f>
        <v>0</v>
      </c>
      <c r="AE35" s="3086">
        <f>SUM('ФАКТ.СЕБЕСТ.СТОКИ 9 мес. 2021'!FZ44)</f>
        <v>7012.9994121012678</v>
      </c>
      <c r="AF35" s="3086">
        <f>SUM('ФАКТ.СЕБЕСТ.СТОКИ 9 мес. 2021'!GA44)</f>
        <v>7012.9994121012678</v>
      </c>
      <c r="AG35" s="3088">
        <f>SUM('ФАКТ.СЕБЕСТ.СТОКИ 9 мес. 2021'!GB44)</f>
        <v>0</v>
      </c>
    </row>
    <row r="36" spans="1:33" ht="18.75" customHeight="1" x14ac:dyDescent="0.3">
      <c r="A36" s="3090" t="s">
        <v>3758</v>
      </c>
      <c r="B36" s="3105"/>
      <c r="C36" s="3105"/>
      <c r="D36" s="3105"/>
      <c r="E36" s="3105"/>
      <c r="F36" s="3105"/>
      <c r="G36" s="3105"/>
      <c r="H36" s="3105"/>
      <c r="I36" s="3105"/>
      <c r="J36" s="3105"/>
      <c r="K36" s="3105"/>
      <c r="L36" s="3102" t="s">
        <v>902</v>
      </c>
      <c r="M36" s="3086">
        <f>SUM('ФАКТ.СЕБЕСТ.СТОКИ 9 мес. 2021'!AC45)</f>
        <v>525.97448436345121</v>
      </c>
      <c r="N36" s="3086">
        <f>SUM('ФАКТ.СЕБЕСТ.СТОКИ 9 мес. 2021'!AD45)</f>
        <v>525.97448436345121</v>
      </c>
      <c r="O36" s="3086">
        <f>SUM('ФАКТ.СЕБЕСТ.СТОКИ 9 мес. 2021'!AE45)</f>
        <v>0</v>
      </c>
      <c r="P36" s="3086">
        <f>SUM('ФАКТ.СЕБЕСТ.СТОКИ 9 мес. 2021'!BP45)</f>
        <v>525.97448436345121</v>
      </c>
      <c r="Q36" s="3086">
        <f>SUM('ФАКТ.СЕБЕСТ.СТОКИ 9 мес. 2021'!BQ45)</f>
        <v>525.97448436345121</v>
      </c>
      <c r="R36" s="3086">
        <f>SUM('ФАКТ.СЕБЕСТ.СТОКИ 9 мес. 2021'!BR45)</f>
        <v>0</v>
      </c>
      <c r="S36" s="3086">
        <f>SUM('ФАКТ.СЕБЕСТ.СТОКИ 9 мес. 2021'!CB45)</f>
        <v>1051.9489687269024</v>
      </c>
      <c r="T36" s="3086">
        <f>SUM('ФАКТ.СЕБЕСТ.СТОКИ 9 мес. 2021'!CC45)</f>
        <v>1051.9489687269024</v>
      </c>
      <c r="U36" s="3086">
        <f>SUM('ФАКТ.СЕБЕСТ.СТОКИ 9 мес. 2021'!CD45)</f>
        <v>0</v>
      </c>
      <c r="V36" s="3086">
        <f>SUM('ФАКТ.СЕБЕСТ.СТОКИ 9 мес. 2021'!DO45)</f>
        <v>525.97448436345121</v>
      </c>
      <c r="W36" s="3086">
        <f>SUM('ФАКТ.СЕБЕСТ.СТОКИ 9 мес. 2021'!DP45)</f>
        <v>525.97448436345121</v>
      </c>
      <c r="X36" s="3086">
        <f>SUM('ФАКТ.СЕБЕСТ.СТОКИ 9 мес. 2021'!DQ45)</f>
        <v>0</v>
      </c>
      <c r="Y36" s="3086">
        <f>SUM('ФАКТ.СЕБЕСТ.СТОКИ 9 мес. 2021'!EA45)</f>
        <v>1577.9234530903536</v>
      </c>
      <c r="Z36" s="3086">
        <f>SUM('ФАКТ.СЕБЕСТ.СТОКИ 9 мес. 2021'!EB45)</f>
        <v>1577.9234530903536</v>
      </c>
      <c r="AA36" s="3086">
        <f>SUM('ФАКТ.СЕБЕСТ.СТОКИ 9 мес. 2021'!EC45)</f>
        <v>0</v>
      </c>
      <c r="AB36" s="3086">
        <f>SUM('ФАКТ.СЕБЕСТ.СТОКИ 9 мес. 2021'!FN45)</f>
        <v>525.97448436345121</v>
      </c>
      <c r="AC36" s="3086">
        <f>SUM('ФАКТ.СЕБЕСТ.СТОКИ 9 мес. 2021'!FO45)</f>
        <v>525.97448436345121</v>
      </c>
      <c r="AD36" s="3086">
        <f>SUM('ФАКТ.СЕБЕСТ.СТОКИ 9 мес. 2021'!FP45)</f>
        <v>0</v>
      </c>
      <c r="AE36" s="3086">
        <f>SUM('ФАКТ.СЕБЕСТ.СТОКИ 9 мес. 2021'!FZ45)</f>
        <v>2103.8979374538048</v>
      </c>
      <c r="AF36" s="3086">
        <f>SUM('ФАКТ.СЕБЕСТ.СТОКИ 9 мес. 2021'!GA45)</f>
        <v>2103.8979374538048</v>
      </c>
      <c r="AG36" s="3088">
        <f>SUM('ФАКТ.СЕБЕСТ.СТОКИ 9 мес. 2021'!GB45)</f>
        <v>0</v>
      </c>
    </row>
    <row r="37" spans="1:33" ht="18.75" customHeight="1" x14ac:dyDescent="0.3">
      <c r="A37" s="3090" t="s">
        <v>31</v>
      </c>
      <c r="B37" s="3105"/>
      <c r="C37" s="3105"/>
      <c r="D37" s="3105"/>
      <c r="E37" s="3105"/>
      <c r="F37" s="3105"/>
      <c r="G37" s="3105"/>
      <c r="H37" s="3105"/>
      <c r="I37" s="3105"/>
      <c r="J37" s="3105"/>
      <c r="K37" s="3105"/>
      <c r="L37" s="3102" t="s">
        <v>902</v>
      </c>
      <c r="M37" s="3086">
        <f>SUM('ФАКТ.СЕБЕСТ.СТОКИ 9 мес. 2021'!AC46)</f>
        <v>544.22261838992915</v>
      </c>
      <c r="N37" s="3086">
        <f>SUM('ФАКТ.СЕБЕСТ.СТОКИ 9 мес. 2021'!AD46)</f>
        <v>544.22261838992915</v>
      </c>
      <c r="O37" s="3086">
        <f>SUM('ФАКТ.СЕБЕСТ.СТОКИ 9 мес. 2021'!AE46)</f>
        <v>0</v>
      </c>
      <c r="P37" s="3086">
        <f>SUM('ФАКТ.СЕБЕСТ.СТОКИ 9 мес. 2021'!BP46)</f>
        <v>544.22261838992915</v>
      </c>
      <c r="Q37" s="3086">
        <f>SUM('ФАКТ.СЕБЕСТ.СТОКИ 9 мес. 2021'!BQ46)</f>
        <v>544.22261838992915</v>
      </c>
      <c r="R37" s="3086">
        <f>SUM('ФАКТ.СЕБЕСТ.СТОКИ 9 мес. 2021'!BR46)</f>
        <v>0</v>
      </c>
      <c r="S37" s="3086">
        <f>SUM('ФАКТ.СЕБЕСТ.СТОКИ 9 мес. 2021'!CB46)</f>
        <v>1088.4452367798583</v>
      </c>
      <c r="T37" s="3086">
        <f>SUM('ФАКТ.СЕБЕСТ.СТОКИ 9 мес. 2021'!CC46)</f>
        <v>1088.4452367798583</v>
      </c>
      <c r="U37" s="3086">
        <f>SUM('ФАКТ.СЕБЕСТ.СТОКИ 9 мес. 2021'!CD46)</f>
        <v>0</v>
      </c>
      <c r="V37" s="3086">
        <f>SUM('ФАКТ.СЕБЕСТ.СТОКИ 9 мес. 2021'!DO46)</f>
        <v>544.22261838992915</v>
      </c>
      <c r="W37" s="3086">
        <f>SUM('ФАКТ.СЕБЕСТ.СТОКИ 9 мес. 2021'!DP46)</f>
        <v>544.22261838992915</v>
      </c>
      <c r="X37" s="3086">
        <f>SUM('ФАКТ.СЕБЕСТ.СТОКИ 9 мес. 2021'!DQ46)</f>
        <v>0</v>
      </c>
      <c r="Y37" s="3086">
        <f>SUM('ФАКТ.СЕБЕСТ.СТОКИ 9 мес. 2021'!EA46)</f>
        <v>1632.6678551697873</v>
      </c>
      <c r="Z37" s="3086">
        <f>SUM('ФАКТ.СЕБЕСТ.СТОКИ 9 мес. 2021'!EB46)</f>
        <v>1632.6678551697873</v>
      </c>
      <c r="AA37" s="3086">
        <f>SUM('ФАКТ.СЕБЕСТ.СТОКИ 9 мес. 2021'!EC46)</f>
        <v>0</v>
      </c>
      <c r="AB37" s="3086">
        <f>SUM('ФАКТ.СЕБЕСТ.СТОКИ 9 мес. 2021'!FN46)</f>
        <v>544.22261838992915</v>
      </c>
      <c r="AC37" s="3086">
        <f>SUM('ФАКТ.СЕБЕСТ.СТОКИ 9 мес. 2021'!FO46)</f>
        <v>544.22261838992915</v>
      </c>
      <c r="AD37" s="3086">
        <f>SUM('ФАКТ.СЕБЕСТ.СТОКИ 9 мес. 2021'!FP46)</f>
        <v>0</v>
      </c>
      <c r="AE37" s="3086">
        <f>SUM('ФАКТ.СЕБЕСТ.СТОКИ 9 мес. 2021'!FZ46)</f>
        <v>2176.8904735597166</v>
      </c>
      <c r="AF37" s="3086">
        <f>SUM('ФАКТ.СЕБЕСТ.СТОКИ 9 мес. 2021'!GA46)</f>
        <v>2176.8904735597166</v>
      </c>
      <c r="AG37" s="3088">
        <f>SUM('ФАКТ.СЕБЕСТ.СТОКИ 9 мес. 2021'!GB46)</f>
        <v>0</v>
      </c>
    </row>
    <row r="38" spans="1:33" ht="18.75" customHeight="1" x14ac:dyDescent="0.3">
      <c r="A38" s="3090" t="s">
        <v>289</v>
      </c>
      <c r="B38" s="3105"/>
      <c r="C38" s="3105"/>
      <c r="D38" s="3105"/>
      <c r="E38" s="3105"/>
      <c r="F38" s="3105"/>
      <c r="G38" s="3105"/>
      <c r="H38" s="3105"/>
      <c r="I38" s="3105"/>
      <c r="J38" s="3105"/>
      <c r="K38" s="3105"/>
      <c r="L38" s="3102" t="s">
        <v>902</v>
      </c>
      <c r="M38" s="3086">
        <f>SUM('ФАКТ.СЕБЕСТ.СТОКИ 9 мес. 2021'!AC47)</f>
        <v>2148.4725182039633</v>
      </c>
      <c r="N38" s="3086">
        <f>SUM('ФАКТ.СЕБЕСТ.СТОКИ 9 мес. 2021'!AD47)</f>
        <v>2148.4725182039633</v>
      </c>
      <c r="O38" s="3086">
        <f>SUM('ФАКТ.СЕБЕСТ.СТОКИ 9 мес. 2021'!AE47)</f>
        <v>0</v>
      </c>
      <c r="P38" s="3086">
        <f>SUM('ФАКТ.СЕБЕСТ.СТОКИ 9 мес. 2021'!BP47)</f>
        <v>2148.4725182039633</v>
      </c>
      <c r="Q38" s="3086">
        <f>SUM('ФАКТ.СЕБЕСТ.СТОКИ 9 мес. 2021'!BQ47)</f>
        <v>2148.4725182039633</v>
      </c>
      <c r="R38" s="3086">
        <f>SUM('ФАКТ.СЕБЕСТ.СТОКИ 9 мес. 2021'!BR47)</f>
        <v>0</v>
      </c>
      <c r="S38" s="3086">
        <f>SUM('ФАКТ.СЕБЕСТ.СТОКИ 9 мес. 2021'!CB47)</f>
        <v>4296.9450364079266</v>
      </c>
      <c r="T38" s="3086">
        <f>SUM('ФАКТ.СЕБЕСТ.СТОКИ 9 мес. 2021'!CC47)</f>
        <v>4296.9450364079266</v>
      </c>
      <c r="U38" s="3086">
        <f>SUM('ФАКТ.СЕБЕСТ.СТОКИ 9 мес. 2021'!CD47)</f>
        <v>0</v>
      </c>
      <c r="V38" s="3086">
        <f>SUM('ФАКТ.СЕБЕСТ.СТОКИ 9 мес. 2021'!DO47)</f>
        <v>2148.4725182039633</v>
      </c>
      <c r="W38" s="3086">
        <f>SUM('ФАКТ.СЕБЕСТ.СТОКИ 9 мес. 2021'!DP47)</f>
        <v>2148.4725182039633</v>
      </c>
      <c r="X38" s="3086">
        <f>SUM('ФАКТ.СЕБЕСТ.СТОКИ 9 мес. 2021'!DQ47)</f>
        <v>0</v>
      </c>
      <c r="Y38" s="3086">
        <f>SUM('ФАКТ.СЕБЕСТ.СТОКИ 9 мес. 2021'!EA47)</f>
        <v>6445.4175546118895</v>
      </c>
      <c r="Z38" s="3086">
        <f>SUM('ФАКТ.СЕБЕСТ.СТОКИ 9 мес. 2021'!EB47)</f>
        <v>6445.4175546118895</v>
      </c>
      <c r="AA38" s="3086">
        <f>SUM('ФАКТ.СЕБЕСТ.СТОКИ 9 мес. 2021'!EC47)</f>
        <v>0</v>
      </c>
      <c r="AB38" s="3086">
        <f>SUM('ФАКТ.СЕБЕСТ.СТОКИ 9 мес. 2021'!FN47)</f>
        <v>2148.4725182039633</v>
      </c>
      <c r="AC38" s="3086">
        <f>SUM('ФАКТ.СЕБЕСТ.СТОКИ 9 мес. 2021'!FO47)</f>
        <v>2148.4725182039633</v>
      </c>
      <c r="AD38" s="3086">
        <f>SUM('ФАКТ.СЕБЕСТ.СТОКИ 9 мес. 2021'!FP47)</f>
        <v>0</v>
      </c>
      <c r="AE38" s="3086">
        <f>SUM('ФАКТ.СЕБЕСТ.СТОКИ 9 мес. 2021'!FZ47)</f>
        <v>8593.8900728158533</v>
      </c>
      <c r="AF38" s="3086">
        <f>SUM('ФАКТ.СЕБЕСТ.СТОКИ 9 мес. 2021'!GA47)</f>
        <v>8593.8900728158533</v>
      </c>
      <c r="AG38" s="3088">
        <f>SUM('ФАКТ.СЕБЕСТ.СТОКИ 9 мес. 2021'!GB47)</f>
        <v>0</v>
      </c>
    </row>
    <row r="39" spans="1:33" ht="18.75" customHeight="1" x14ac:dyDescent="0.3">
      <c r="A39" s="3089" t="s">
        <v>3741</v>
      </c>
      <c r="B39" s="3106"/>
      <c r="C39" s="3106"/>
      <c r="D39" s="3106"/>
      <c r="E39" s="3106"/>
      <c r="F39" s="3106"/>
      <c r="G39" s="3106"/>
      <c r="H39" s="3106"/>
      <c r="I39" s="3106"/>
      <c r="J39" s="3106"/>
      <c r="K39" s="3106"/>
      <c r="L39" s="3102" t="s">
        <v>902</v>
      </c>
      <c r="M39" s="3079">
        <f>SUM('ФАКТ.СЕБЕСТ.СТОКИ 9 мес. 2021'!AC48)</f>
        <v>586.36005499999999</v>
      </c>
      <c r="N39" s="3079">
        <f>SUM('ФАКТ.СЕБЕСТ.СТОКИ 9 мес. 2021'!AD48)</f>
        <v>586.36005499999999</v>
      </c>
      <c r="O39" s="3079">
        <f>SUM('ФАКТ.СЕБЕСТ.СТОКИ 9 мес. 2021'!AE48)</f>
        <v>0</v>
      </c>
      <c r="P39" s="3079">
        <f>SUM('ФАКТ.СЕБЕСТ.СТОКИ 9 мес. 2021'!BP48)</f>
        <v>586.36005499999999</v>
      </c>
      <c r="Q39" s="3079">
        <f>SUM('ФАКТ.СЕБЕСТ.СТОКИ 9 мес. 2021'!BQ48)</f>
        <v>586.36005499999999</v>
      </c>
      <c r="R39" s="3079">
        <f>SUM('ФАКТ.СЕБЕСТ.СТОКИ 9 мес. 2021'!BR48)</f>
        <v>0</v>
      </c>
      <c r="S39" s="3079">
        <f>SUM('ФАКТ.СЕБЕСТ.СТОКИ 9 мес. 2021'!CB48)</f>
        <v>1172.72011</v>
      </c>
      <c r="T39" s="3079">
        <f>SUM('ФАКТ.СЕБЕСТ.СТОКИ 9 мес. 2021'!CC48)</f>
        <v>1172.72011</v>
      </c>
      <c r="U39" s="3079">
        <f>SUM('ФАКТ.СЕБЕСТ.СТОКИ 9 мес. 2021'!CD48)</f>
        <v>0</v>
      </c>
      <c r="V39" s="3079">
        <f>SUM('ФАКТ.СЕБЕСТ.СТОКИ 9 мес. 2021'!DO48)</f>
        <v>586.36005499999999</v>
      </c>
      <c r="W39" s="3079">
        <f>SUM('ФАКТ.СЕБЕСТ.СТОКИ 9 мес. 2021'!DP48)</f>
        <v>586.36005499999999</v>
      </c>
      <c r="X39" s="3079">
        <f>SUM('ФАКТ.СЕБЕСТ.СТОКИ 9 мес. 2021'!DQ48)</f>
        <v>0</v>
      </c>
      <c r="Y39" s="3079">
        <f>SUM('ФАКТ.СЕБЕСТ.СТОКИ 9 мес. 2021'!EA48)</f>
        <v>1759.0801649999999</v>
      </c>
      <c r="Z39" s="3079">
        <f>SUM('ФАКТ.СЕБЕСТ.СТОКИ 9 мес. 2021'!EB48)</f>
        <v>1759.0801649999999</v>
      </c>
      <c r="AA39" s="3079">
        <f>SUM('ФАКТ.СЕБЕСТ.СТОКИ 9 мес. 2021'!EC48)</f>
        <v>0</v>
      </c>
      <c r="AB39" s="3079">
        <f>SUM('ФАКТ.СЕБЕСТ.СТОКИ 9 мес. 2021'!FN48)</f>
        <v>586.36005499999999</v>
      </c>
      <c r="AC39" s="3079">
        <f>SUM('ФАКТ.СЕБЕСТ.СТОКИ 9 мес. 2021'!FO48)</f>
        <v>586.36005499999999</v>
      </c>
      <c r="AD39" s="3079">
        <f>SUM('ФАКТ.СЕБЕСТ.СТОКИ 9 мес. 2021'!FP48)</f>
        <v>0</v>
      </c>
      <c r="AE39" s="3079">
        <f>SUM('ФАКТ.СЕБЕСТ.СТОКИ 9 мес. 2021'!FZ48)</f>
        <v>2345.44022</v>
      </c>
      <c r="AF39" s="3079">
        <f>SUM('ФАКТ.СЕБЕСТ.СТОКИ 9 мес. 2021'!GA48)</f>
        <v>2345.44022</v>
      </c>
      <c r="AG39" s="3081">
        <f>SUM('ФАКТ.СЕБЕСТ.СТОКИ 9 мес. 2021'!GB48)</f>
        <v>0</v>
      </c>
    </row>
    <row r="40" spans="1:33" ht="18.75" customHeight="1" x14ac:dyDescent="0.3">
      <c r="A40" s="3082" t="s">
        <v>3828</v>
      </c>
      <c r="B40" s="3106"/>
      <c r="C40" s="3106"/>
      <c r="D40" s="3106"/>
      <c r="E40" s="3106"/>
      <c r="F40" s="3106"/>
      <c r="G40" s="3106"/>
      <c r="H40" s="3106"/>
      <c r="I40" s="3106"/>
      <c r="J40" s="3106"/>
      <c r="K40" s="3106"/>
      <c r="L40" s="3102" t="s">
        <v>902</v>
      </c>
      <c r="M40" s="3086">
        <f>SUM('ФАКТ.СЕБЕСТ.СТОКИ 9 мес. 2021'!AC49)</f>
        <v>131.45500000000001</v>
      </c>
      <c r="N40" s="3086">
        <f>SUM('ФАКТ.СЕБЕСТ.СТОКИ 9 мес. 2021'!AD49)</f>
        <v>131.45500000000001</v>
      </c>
      <c r="O40" s="3086">
        <f>SUM('ФАКТ.СЕБЕСТ.СТОКИ 9 мес. 2021'!AE49)</f>
        <v>0</v>
      </c>
      <c r="P40" s="3086">
        <f>SUM('ФАКТ.СЕБЕСТ.СТОКИ 9 мес. 2021'!BP49)</f>
        <v>131.45500000000001</v>
      </c>
      <c r="Q40" s="3086">
        <f>SUM('ФАКТ.СЕБЕСТ.СТОКИ 9 мес. 2021'!BQ49)</f>
        <v>131.45500000000001</v>
      </c>
      <c r="R40" s="3086">
        <f>SUM('ФАКТ.СЕБЕСТ.СТОКИ 9 мес. 2021'!BR49)</f>
        <v>0</v>
      </c>
      <c r="S40" s="3086">
        <f>SUM('ФАКТ.СЕБЕСТ.СТОКИ 9 мес. 2021'!CB49)</f>
        <v>262.91000000000003</v>
      </c>
      <c r="T40" s="3086">
        <f>SUM('ФАКТ.СЕБЕСТ.СТОКИ 9 мес. 2021'!CC49)</f>
        <v>262.91000000000003</v>
      </c>
      <c r="U40" s="3086">
        <f>SUM('ФАКТ.СЕБЕСТ.СТОКИ 9 мес. 2021'!CD49)</f>
        <v>0</v>
      </c>
      <c r="V40" s="3086">
        <f>SUM('ФАКТ.СЕБЕСТ.СТОКИ 9 мес. 2021'!DO49)</f>
        <v>131.45500000000001</v>
      </c>
      <c r="W40" s="3086">
        <f>SUM('ФАКТ.СЕБЕСТ.СТОКИ 9 мес. 2021'!DP49)</f>
        <v>131.45500000000001</v>
      </c>
      <c r="X40" s="3086">
        <f>SUM('ФАКТ.СЕБЕСТ.СТОКИ 9 мес. 2021'!DQ49)</f>
        <v>0</v>
      </c>
      <c r="Y40" s="3086">
        <f>SUM('ФАКТ.СЕБЕСТ.СТОКИ 9 мес. 2021'!EA49)</f>
        <v>394.36500000000001</v>
      </c>
      <c r="Z40" s="3086">
        <f>SUM('ФАКТ.СЕБЕСТ.СТОКИ 9 мес. 2021'!EB49)</f>
        <v>394.36500000000001</v>
      </c>
      <c r="AA40" s="3086">
        <f>SUM('ФАКТ.СЕБЕСТ.СТОКИ 9 мес. 2021'!EC49)</f>
        <v>0</v>
      </c>
      <c r="AB40" s="3086">
        <f>SUM('ФАКТ.СЕБЕСТ.СТОКИ 9 мес. 2021'!FN49)</f>
        <v>131.45500000000001</v>
      </c>
      <c r="AC40" s="3086">
        <f>SUM('ФАКТ.СЕБЕСТ.СТОКИ 9 мес. 2021'!FO49)</f>
        <v>131.45500000000001</v>
      </c>
      <c r="AD40" s="3086">
        <f>SUM('ФАКТ.СЕБЕСТ.СТОКИ 9 мес. 2021'!FP49)</f>
        <v>0</v>
      </c>
      <c r="AE40" s="3086">
        <f>SUM('ФАКТ.СЕБЕСТ.СТОКИ 9 мес. 2021'!FZ49)</f>
        <v>525.82000000000005</v>
      </c>
      <c r="AF40" s="3086">
        <f>SUM('ФАКТ.СЕБЕСТ.СТОКИ 9 мес. 2021'!GA49)</f>
        <v>525.82000000000005</v>
      </c>
      <c r="AG40" s="3088">
        <f>SUM('ФАКТ.СЕБЕСТ.СТОКИ 9 мес. 2021'!GB49)</f>
        <v>0</v>
      </c>
    </row>
    <row r="41" spans="1:33" ht="18.75" customHeight="1" x14ac:dyDescent="0.3">
      <c r="A41" s="3082" t="s">
        <v>524</v>
      </c>
      <c r="B41" s="3106"/>
      <c r="C41" s="3106"/>
      <c r="D41" s="3106"/>
      <c r="E41" s="3106"/>
      <c r="F41" s="3106"/>
      <c r="G41" s="3106"/>
      <c r="H41" s="3106"/>
      <c r="I41" s="3106"/>
      <c r="J41" s="3106"/>
      <c r="K41" s="3106"/>
      <c r="L41" s="3102" t="s">
        <v>902</v>
      </c>
      <c r="M41" s="3086">
        <f>SUM('ФАКТ.СЕБЕСТ.СТОКИ 9 мес. 2021'!AC50)</f>
        <v>18.572500000000002</v>
      </c>
      <c r="N41" s="3086">
        <f>SUM('ФАКТ.СЕБЕСТ.СТОКИ 9 мес. 2021'!AD50)</f>
        <v>18.572500000000002</v>
      </c>
      <c r="O41" s="3086">
        <f>SUM('ФАКТ.СЕБЕСТ.СТОКИ 9 мес. 2021'!AE50)</f>
        <v>0</v>
      </c>
      <c r="P41" s="3086">
        <f>SUM('ФАКТ.СЕБЕСТ.СТОКИ 9 мес. 2021'!BP50)</f>
        <v>18.572500000000002</v>
      </c>
      <c r="Q41" s="3086">
        <f>SUM('ФАКТ.СЕБЕСТ.СТОКИ 9 мес. 2021'!BQ50)</f>
        <v>18.572500000000002</v>
      </c>
      <c r="R41" s="3086">
        <f>SUM('ФАКТ.СЕБЕСТ.СТОКИ 9 мес. 2021'!BR50)</f>
        <v>0</v>
      </c>
      <c r="S41" s="3086">
        <f>SUM('ФАКТ.СЕБЕСТ.СТОКИ 9 мес. 2021'!CB50)</f>
        <v>37.145000000000003</v>
      </c>
      <c r="T41" s="3086">
        <f>SUM('ФАКТ.СЕБЕСТ.СТОКИ 9 мес. 2021'!CC50)</f>
        <v>37.145000000000003</v>
      </c>
      <c r="U41" s="3086">
        <f>SUM('ФАКТ.СЕБЕСТ.СТОКИ 9 мес. 2021'!CD50)</f>
        <v>0</v>
      </c>
      <c r="V41" s="3086">
        <f>SUM('ФАКТ.СЕБЕСТ.СТОКИ 9 мес. 2021'!DO50)</f>
        <v>18.572500000000002</v>
      </c>
      <c r="W41" s="3086">
        <f>SUM('ФАКТ.СЕБЕСТ.СТОКИ 9 мес. 2021'!DP50)</f>
        <v>18.572500000000002</v>
      </c>
      <c r="X41" s="3086">
        <f>SUM('ФАКТ.СЕБЕСТ.СТОКИ 9 мес. 2021'!DQ50)</f>
        <v>0</v>
      </c>
      <c r="Y41" s="3086">
        <f>SUM('ФАКТ.СЕБЕСТ.СТОКИ 9 мес. 2021'!EA50)</f>
        <v>55.717500000000001</v>
      </c>
      <c r="Z41" s="3086">
        <f>SUM('ФАКТ.СЕБЕСТ.СТОКИ 9 мес. 2021'!EB50)</f>
        <v>55.717500000000001</v>
      </c>
      <c r="AA41" s="3086">
        <f>SUM('ФАКТ.СЕБЕСТ.СТОКИ 9 мес. 2021'!EC50)</f>
        <v>0</v>
      </c>
      <c r="AB41" s="3086">
        <f>SUM('ФАКТ.СЕБЕСТ.СТОКИ 9 мес. 2021'!FN50)</f>
        <v>18.572500000000002</v>
      </c>
      <c r="AC41" s="3086">
        <f>SUM('ФАКТ.СЕБЕСТ.СТОКИ 9 мес. 2021'!FO50)</f>
        <v>18.572500000000002</v>
      </c>
      <c r="AD41" s="3086">
        <f>SUM('ФАКТ.СЕБЕСТ.СТОКИ 9 мес. 2021'!FP50)</f>
        <v>0</v>
      </c>
      <c r="AE41" s="3086">
        <f>SUM('ФАКТ.СЕБЕСТ.СТОКИ 9 мес. 2021'!FZ50)</f>
        <v>74.290000000000006</v>
      </c>
      <c r="AF41" s="3086">
        <f>SUM('ФАКТ.СЕБЕСТ.СТОКИ 9 мес. 2021'!GA50)</f>
        <v>74.290000000000006</v>
      </c>
      <c r="AG41" s="3088">
        <f>SUM('ФАКТ.СЕБЕСТ.СТОКИ 9 мес. 2021'!GB50)</f>
        <v>0</v>
      </c>
    </row>
    <row r="42" spans="1:33" ht="18.75" customHeight="1" x14ac:dyDescent="0.3">
      <c r="A42" s="3082" t="s">
        <v>526</v>
      </c>
      <c r="B42" s="3106"/>
      <c r="C42" s="3106"/>
      <c r="D42" s="3106"/>
      <c r="E42" s="3106"/>
      <c r="F42" s="3106"/>
      <c r="G42" s="3106"/>
      <c r="H42" s="3106"/>
      <c r="I42" s="3106"/>
      <c r="J42" s="3106"/>
      <c r="K42" s="3106"/>
      <c r="L42" s="3102" t="s">
        <v>902</v>
      </c>
      <c r="M42" s="3086">
        <f>SUM('ФАКТ.СЕБЕСТ.СТОКИ 9 мес. 2021'!AC51)</f>
        <v>436.33255500000001</v>
      </c>
      <c r="N42" s="3086">
        <f>SUM('ФАКТ.СЕБЕСТ.СТОКИ 9 мес. 2021'!AD51)</f>
        <v>436.33255500000001</v>
      </c>
      <c r="O42" s="3086">
        <f>SUM('ФАКТ.СЕБЕСТ.СТОКИ 9 мес. 2021'!AE51)</f>
        <v>0</v>
      </c>
      <c r="P42" s="3086">
        <f>SUM('ФАКТ.СЕБЕСТ.СТОКИ 9 мес. 2021'!BP51)</f>
        <v>436.33255500000001</v>
      </c>
      <c r="Q42" s="3086">
        <f>SUM('ФАКТ.СЕБЕСТ.СТОКИ 9 мес. 2021'!BQ51)</f>
        <v>436.33255500000001</v>
      </c>
      <c r="R42" s="3086">
        <f>SUM('ФАКТ.СЕБЕСТ.СТОКИ 9 мес. 2021'!BR51)</f>
        <v>0</v>
      </c>
      <c r="S42" s="3086">
        <f>SUM('ФАКТ.СЕБЕСТ.СТОКИ 9 мес. 2021'!CB51)</f>
        <v>872.66511000000003</v>
      </c>
      <c r="T42" s="3086">
        <f>SUM('ФАКТ.СЕБЕСТ.СТОКИ 9 мес. 2021'!CC51)</f>
        <v>872.66511000000003</v>
      </c>
      <c r="U42" s="3086">
        <f>SUM('ФАКТ.СЕБЕСТ.СТОКИ 9 мес. 2021'!CD51)</f>
        <v>0</v>
      </c>
      <c r="V42" s="3086">
        <f>SUM('ФАКТ.СЕБЕСТ.СТОКИ 9 мес. 2021'!DO51)</f>
        <v>436.33255500000001</v>
      </c>
      <c r="W42" s="3086">
        <f>SUM('ФАКТ.СЕБЕСТ.СТОКИ 9 мес. 2021'!DP51)</f>
        <v>436.33255500000001</v>
      </c>
      <c r="X42" s="3086">
        <f>SUM('ФАКТ.СЕБЕСТ.СТОКИ 9 мес. 2021'!DQ51)</f>
        <v>0</v>
      </c>
      <c r="Y42" s="3086">
        <f>SUM('ФАКТ.СЕБЕСТ.СТОКИ 9 мес. 2021'!EA51)</f>
        <v>1308.9976650000001</v>
      </c>
      <c r="Z42" s="3086">
        <f>SUM('ФАКТ.СЕБЕСТ.СТОКИ 9 мес. 2021'!EB51)</f>
        <v>1308.9976650000001</v>
      </c>
      <c r="AA42" s="3086">
        <f>SUM('ФАКТ.СЕБЕСТ.СТОКИ 9 мес. 2021'!EC51)</f>
        <v>0</v>
      </c>
      <c r="AB42" s="3086">
        <f>SUM('ФАКТ.СЕБЕСТ.СТОКИ 9 мес. 2021'!FN51)</f>
        <v>436.33255500000001</v>
      </c>
      <c r="AC42" s="3086">
        <f>SUM('ФАКТ.СЕБЕСТ.СТОКИ 9 мес. 2021'!FO51)</f>
        <v>436.33255500000001</v>
      </c>
      <c r="AD42" s="3086">
        <f>SUM('ФАКТ.СЕБЕСТ.СТОКИ 9 мес. 2021'!FP51)</f>
        <v>0</v>
      </c>
      <c r="AE42" s="3086">
        <f>SUM('ФАКТ.СЕБЕСТ.СТОКИ 9 мес. 2021'!FZ51)</f>
        <v>1745.3302200000001</v>
      </c>
      <c r="AF42" s="3086">
        <f>SUM('ФАКТ.СЕБЕСТ.СТОКИ 9 мес. 2021'!GA51)</f>
        <v>1745.3302200000001</v>
      </c>
      <c r="AG42" s="3088">
        <f>SUM('ФАКТ.СЕБЕСТ.СТОКИ 9 мес. 2021'!GB51)</f>
        <v>0</v>
      </c>
    </row>
    <row r="43" spans="1:33" ht="18.75" customHeight="1" x14ac:dyDescent="0.3">
      <c r="A43" s="3089" t="s">
        <v>3759</v>
      </c>
      <c r="B43" s="3092"/>
      <c r="C43" s="3092"/>
      <c r="D43" s="3092"/>
      <c r="E43" s="3092"/>
      <c r="F43" s="3092"/>
      <c r="G43" s="3092"/>
      <c r="H43" s="3092"/>
      <c r="I43" s="3092"/>
      <c r="J43" s="3092"/>
      <c r="K43" s="3092"/>
      <c r="L43" s="3102" t="s">
        <v>902</v>
      </c>
      <c r="M43" s="3079">
        <f>SUM('ФАКТ.СЕБЕСТ.СТОКИ 9 мес. 2021'!AC52)</f>
        <v>2664.3350666880492</v>
      </c>
      <c r="N43" s="3079">
        <f>SUM('ФАКТ.СЕБЕСТ.СТОКИ 9 мес. 2021'!AD52)</f>
        <v>2649.1740666880492</v>
      </c>
      <c r="O43" s="3079">
        <f>SUM('ФАКТ.СЕБЕСТ.СТОКИ 9 мес. 2021'!AE52)</f>
        <v>15.161</v>
      </c>
      <c r="P43" s="3079">
        <f>SUM('ФАКТ.СЕБЕСТ.СТОКИ 9 мес. 2021'!BP52)</f>
        <v>2664.3350666880492</v>
      </c>
      <c r="Q43" s="3079">
        <f>SUM('ФАКТ.СЕБЕСТ.СТОКИ 9 мес. 2021'!BQ52)</f>
        <v>2649.1740666880492</v>
      </c>
      <c r="R43" s="3079">
        <f>SUM('ФАКТ.СЕБЕСТ.СТОКИ 9 мес. 2021'!BR52)</f>
        <v>15.161</v>
      </c>
      <c r="S43" s="3079">
        <f>SUM('ФАКТ.СЕБЕСТ.СТОКИ 9 мес. 2021'!CB52)</f>
        <v>5328.6701333760984</v>
      </c>
      <c r="T43" s="3079">
        <f>SUM('ФАКТ.СЕБЕСТ.СТОКИ 9 мес. 2021'!CC52)</f>
        <v>5298.3481333760983</v>
      </c>
      <c r="U43" s="3079">
        <f>SUM('ФАКТ.СЕБЕСТ.СТОКИ 9 мес. 2021'!CD52)</f>
        <v>30.321999999999999</v>
      </c>
      <c r="V43" s="3079">
        <f>SUM('ФАКТ.СЕБЕСТ.СТОКИ 9 мес. 2021'!DO52)</f>
        <v>2664.3350666880492</v>
      </c>
      <c r="W43" s="3079">
        <f>SUM('ФАКТ.СЕБЕСТ.СТОКИ 9 мес. 2021'!DP52)</f>
        <v>2649.1740666880492</v>
      </c>
      <c r="X43" s="3079">
        <f>SUM('ФАКТ.СЕБЕСТ.СТОКИ 9 мес. 2021'!DQ52)</f>
        <v>15.161</v>
      </c>
      <c r="Y43" s="3079">
        <f>SUM('ФАКТ.СЕБЕСТ.СТОКИ 9 мес. 2021'!EA52)</f>
        <v>7993.0052000641481</v>
      </c>
      <c r="Z43" s="3079">
        <f>SUM('ФАКТ.СЕБЕСТ.СТОКИ 9 мес. 2021'!EB52)</f>
        <v>7947.5222000641479</v>
      </c>
      <c r="AA43" s="3079">
        <f>SUM('ФАКТ.СЕБЕСТ.СТОКИ 9 мес. 2021'!EC52)</f>
        <v>45.482999999999997</v>
      </c>
      <c r="AB43" s="3079">
        <f>SUM('ФАКТ.СЕБЕСТ.СТОКИ 9 мес. 2021'!FN52)</f>
        <v>2664.3350666880492</v>
      </c>
      <c r="AC43" s="3079">
        <f>SUM('ФАКТ.СЕБЕСТ.СТОКИ 9 мес. 2021'!FO52)</f>
        <v>2649.1740666880492</v>
      </c>
      <c r="AD43" s="3079">
        <f>SUM('ФАКТ.СЕБЕСТ.СТОКИ 9 мес. 2021'!FP52)</f>
        <v>15.161</v>
      </c>
      <c r="AE43" s="3079">
        <f>SUM('ФАКТ.СЕБЕСТ.СТОКИ 9 мес. 2021'!FZ52)</f>
        <v>10657.340266752197</v>
      </c>
      <c r="AF43" s="3079">
        <f>SUM('ФАКТ.СЕБЕСТ.СТОКИ 9 мес. 2021'!GA52)</f>
        <v>10596.696266752197</v>
      </c>
      <c r="AG43" s="3081">
        <f>SUM('ФАКТ.СЕБЕСТ.СТОКИ 9 мес. 2021'!GB52)</f>
        <v>60.643999999999998</v>
      </c>
    </row>
    <row r="44" spans="1:33" ht="18.75" customHeight="1" x14ac:dyDescent="0.3">
      <c r="A44" s="3093" t="s">
        <v>3745</v>
      </c>
      <c r="B44" s="3105"/>
      <c r="C44" s="3105"/>
      <c r="D44" s="3105"/>
      <c r="E44" s="3105"/>
      <c r="F44" s="3105"/>
      <c r="G44" s="3105"/>
      <c r="H44" s="3105"/>
      <c r="I44" s="3105"/>
      <c r="J44" s="3105"/>
      <c r="K44" s="3105"/>
      <c r="L44" s="3102" t="s">
        <v>902</v>
      </c>
      <c r="M44" s="3086">
        <f>SUM('ФАКТ.СЕБЕСТ.СТОКИ 9 мес. 2021'!AC53)</f>
        <v>1642.859313423663</v>
      </c>
      <c r="N44" s="3086">
        <f>SUM('ФАКТ.СЕБЕСТ.СТОКИ 9 мес. 2021'!AD53)</f>
        <v>1633.4130194853369</v>
      </c>
      <c r="O44" s="3086">
        <f>SUM('ФАКТ.СЕБЕСТ.СТОКИ 9 мес. 2021'!AE53)</f>
        <v>9.4462939383260505</v>
      </c>
      <c r="P44" s="3086">
        <f>SUM('ФАКТ.СЕБЕСТ.СТОКИ 9 мес. 2021'!BP53)</f>
        <v>1642.859313423663</v>
      </c>
      <c r="Q44" s="3086">
        <f>SUM('ФАКТ.СЕБЕСТ.СТОКИ 9 мес. 2021'!BQ53)</f>
        <v>1633.4130194853369</v>
      </c>
      <c r="R44" s="3086">
        <f>SUM('ФАКТ.СЕБЕСТ.СТОКИ 9 мес. 2021'!BR53)</f>
        <v>9.4462939383260505</v>
      </c>
      <c r="S44" s="3086">
        <f>SUM('ФАКТ.СЕБЕСТ.СТОКИ 9 мес. 2021'!CB53)</f>
        <v>3285.718626847326</v>
      </c>
      <c r="T44" s="3086">
        <f>SUM('ФАКТ.СЕБЕСТ.СТОКИ 9 мес. 2021'!CC53)</f>
        <v>3266.8260389706738</v>
      </c>
      <c r="U44" s="3086">
        <f>SUM('ФАКТ.СЕБЕСТ.СТОКИ 9 мес. 2021'!CD53)</f>
        <v>18.892587876652101</v>
      </c>
      <c r="V44" s="3086">
        <f>SUM('ФАКТ.СЕБЕСТ.СТОКИ 9 мес. 2021'!DO53)</f>
        <v>1642.859313423663</v>
      </c>
      <c r="W44" s="3086">
        <f>SUM('ФАКТ.СЕБЕСТ.СТОКИ 9 мес. 2021'!DP53)</f>
        <v>1633.4130194853369</v>
      </c>
      <c r="X44" s="3086">
        <f>SUM('ФАКТ.СЕБЕСТ.СТОКИ 9 мес. 2021'!DQ53)</f>
        <v>9.4462939383260505</v>
      </c>
      <c r="Y44" s="3086">
        <f>SUM('ФАКТ.СЕБЕСТ.СТОКИ 9 мес. 2021'!EA53)</f>
        <v>4928.5779402709886</v>
      </c>
      <c r="Z44" s="3086">
        <f>SUM('ФАКТ.СЕБЕСТ.СТОКИ 9 мес. 2021'!EB53)</f>
        <v>4900.2390584560108</v>
      </c>
      <c r="AA44" s="3086">
        <f>SUM('ФАКТ.СЕБЕСТ.СТОКИ 9 мес. 2021'!EC53)</f>
        <v>28.338881814978151</v>
      </c>
      <c r="AB44" s="3086">
        <f>SUM('ФАКТ.СЕБЕСТ.СТОКИ 9 мес. 2021'!FN53)</f>
        <v>1642.859313423663</v>
      </c>
      <c r="AC44" s="3086">
        <f>SUM('ФАКТ.СЕБЕСТ.СТОКИ 9 мес. 2021'!FO53)</f>
        <v>1633.4130194853369</v>
      </c>
      <c r="AD44" s="3086">
        <f>SUM('ФАКТ.СЕБЕСТ.СТОКИ 9 мес. 2021'!FP53)</f>
        <v>9.4462939383260505</v>
      </c>
      <c r="AE44" s="3086">
        <f>SUM('ФАКТ.СЕБЕСТ.СТОКИ 9 мес. 2021'!FZ53)</f>
        <v>6571.4372536946521</v>
      </c>
      <c r="AF44" s="3086">
        <f>SUM('ФАКТ.СЕБЕСТ.СТОКИ 9 мес. 2021'!GA53)</f>
        <v>6533.6520779413477</v>
      </c>
      <c r="AG44" s="3088">
        <f>SUM('ФАКТ.СЕБЕСТ.СТОКИ 9 мес. 2021'!GB53)</f>
        <v>37.785175753304202</v>
      </c>
    </row>
    <row r="45" spans="1:33" ht="18.75" customHeight="1" x14ac:dyDescent="0.3">
      <c r="A45" s="3093" t="s">
        <v>3746</v>
      </c>
      <c r="B45" s="3105"/>
      <c r="C45" s="3105"/>
      <c r="D45" s="3105"/>
      <c r="E45" s="3105"/>
      <c r="F45" s="3105"/>
      <c r="G45" s="3105"/>
      <c r="H45" s="3105"/>
      <c r="I45" s="3105"/>
      <c r="J45" s="3105"/>
      <c r="K45" s="3105"/>
      <c r="L45" s="3102" t="s">
        <v>902</v>
      </c>
      <c r="M45" s="3086">
        <f>SUM('ФАКТ.СЕБЕСТ.СТОКИ 9 мес. 2021'!AC54)</f>
        <v>492.85790584560112</v>
      </c>
      <c r="N45" s="3086">
        <f>SUM('ФАКТ.СЕБЕСТ.СТОКИ 9 мес. 2021'!AD54)</f>
        <v>490.02390584560112</v>
      </c>
      <c r="O45" s="3086">
        <f>SUM('ФАКТ.СЕБЕСТ.СТОКИ 9 мес. 2021'!AE54)</f>
        <v>2.8340000000000001</v>
      </c>
      <c r="P45" s="3086">
        <f>SUM('ФАКТ.СЕБЕСТ.СТОКИ 9 мес. 2021'!BP54)</f>
        <v>492.85790584560112</v>
      </c>
      <c r="Q45" s="3086">
        <f>SUM('ФАКТ.СЕБЕСТ.СТОКИ 9 мес. 2021'!BQ54)</f>
        <v>490.02390584560112</v>
      </c>
      <c r="R45" s="3086">
        <f>SUM('ФАКТ.СЕБЕСТ.СТОКИ 9 мес. 2021'!BR54)</f>
        <v>2.8340000000000001</v>
      </c>
      <c r="S45" s="3086">
        <f>SUM('ФАКТ.СЕБЕСТ.СТОКИ 9 мес. 2021'!CB54)</f>
        <v>985.71581169120225</v>
      </c>
      <c r="T45" s="3086">
        <f>SUM('ФАКТ.СЕБЕСТ.СТОКИ 9 мес. 2021'!CC54)</f>
        <v>980.04781169120224</v>
      </c>
      <c r="U45" s="3086">
        <f>SUM('ФАКТ.СЕБЕСТ.СТОКИ 9 мес. 2021'!CD54)</f>
        <v>5.6680000000000001</v>
      </c>
      <c r="V45" s="3086">
        <f>SUM('ФАКТ.СЕБЕСТ.СТОКИ 9 мес. 2021'!DO54)</f>
        <v>492.85790584560112</v>
      </c>
      <c r="W45" s="3086">
        <f>SUM('ФАКТ.СЕБЕСТ.СТОКИ 9 мес. 2021'!DP54)</f>
        <v>490.02390584560112</v>
      </c>
      <c r="X45" s="3086">
        <f>SUM('ФАКТ.СЕБЕСТ.СТОКИ 9 мес. 2021'!DQ54)</f>
        <v>2.8340000000000001</v>
      </c>
      <c r="Y45" s="3086">
        <f>SUM('ФАКТ.СЕБЕСТ.СТОКИ 9 мес. 2021'!EA54)</f>
        <v>1478.5737175368033</v>
      </c>
      <c r="Z45" s="3086">
        <f>SUM('ФАКТ.СЕБЕСТ.СТОКИ 9 мес. 2021'!EB54)</f>
        <v>1470.0717175368034</v>
      </c>
      <c r="AA45" s="3086">
        <f>SUM('ФАКТ.СЕБЕСТ.СТОКИ 9 мес. 2021'!EC54)</f>
        <v>8.5020000000000007</v>
      </c>
      <c r="AB45" s="3086">
        <f>SUM('ФАКТ.СЕБЕСТ.СТОКИ 9 мес. 2021'!FN54)</f>
        <v>492.85790584560112</v>
      </c>
      <c r="AC45" s="3086">
        <f>SUM('ФАКТ.СЕБЕСТ.СТОКИ 9 мес. 2021'!FO54)</f>
        <v>490.02390584560112</v>
      </c>
      <c r="AD45" s="3086">
        <f>SUM('ФАКТ.СЕБЕСТ.СТОКИ 9 мес. 2021'!FP54)</f>
        <v>2.8340000000000001</v>
      </c>
      <c r="AE45" s="3086">
        <f>SUM('ФАКТ.СЕБЕСТ.СТОКИ 9 мес. 2021'!FZ54)</f>
        <v>1971.4316233824045</v>
      </c>
      <c r="AF45" s="3086">
        <f>SUM('ФАКТ.СЕБЕСТ.СТОКИ 9 мес. 2021'!GA54)</f>
        <v>1960.0956233824045</v>
      </c>
      <c r="AG45" s="3088">
        <f>SUM('ФАКТ.СЕБЕСТ.СТОКИ 9 мес. 2021'!GB54)</f>
        <v>11.336</v>
      </c>
    </row>
    <row r="46" spans="1:33" ht="18.75" customHeight="1" x14ac:dyDescent="0.3">
      <c r="A46" s="3093" t="s">
        <v>274</v>
      </c>
      <c r="B46" s="3105"/>
      <c r="C46" s="3105"/>
      <c r="D46" s="3105"/>
      <c r="E46" s="3105"/>
      <c r="F46" s="3105"/>
      <c r="G46" s="3105"/>
      <c r="H46" s="3105"/>
      <c r="I46" s="3105"/>
      <c r="J46" s="3105"/>
      <c r="K46" s="3105"/>
      <c r="L46" s="3102" t="s">
        <v>902</v>
      </c>
      <c r="M46" s="3086">
        <f>SUM('ФАКТ.СЕБЕСТ.СТОКИ 9 мес. 2021'!AC55)</f>
        <v>2.6959338554044012</v>
      </c>
      <c r="N46" s="3086">
        <f>SUM('ФАКТ.СЕБЕСТ.СТОКИ 9 мес. 2021'!AD55)</f>
        <v>2.6396449966169762</v>
      </c>
      <c r="O46" s="3086">
        <f>SUM('ФАКТ.СЕБЕСТ.СТОКИ 9 мес. 2021'!AE55)</f>
        <v>5.6288858787424997E-2</v>
      </c>
      <c r="P46" s="3086">
        <f>SUM('ФАКТ.СЕБЕСТ.СТОКИ 9 мес. 2021'!BP55)</f>
        <v>2.6959338554044012</v>
      </c>
      <c r="Q46" s="3086">
        <f>SUM('ФАКТ.СЕБЕСТ.СТОКИ 9 мес. 2021'!BQ55)</f>
        <v>2.6396449966169762</v>
      </c>
      <c r="R46" s="3086">
        <f>SUM('ФАКТ.СЕБЕСТ.СТОКИ 9 мес. 2021'!BR55)</f>
        <v>5.6288858787424997E-2</v>
      </c>
      <c r="S46" s="3086">
        <f>SUM('ФАКТ.СЕБЕСТ.СТОКИ 9 мес. 2021'!CB55)</f>
        <v>5.3918677108088024</v>
      </c>
      <c r="T46" s="3086">
        <f>SUM('ФАКТ.СЕБЕСТ.СТОКИ 9 мес. 2021'!CC55)</f>
        <v>5.2792899932339523</v>
      </c>
      <c r="U46" s="3086">
        <f>SUM('ФАКТ.СЕБЕСТ.СТОКИ 9 мес. 2021'!CD55)</f>
        <v>0.11257771757484999</v>
      </c>
      <c r="V46" s="3086">
        <f>SUM('ФАКТ.СЕБЕСТ.СТОКИ 9 мес. 2021'!DO55)</f>
        <v>0.01</v>
      </c>
      <c r="W46" s="3086">
        <f>SUM('ФАКТ.СЕБЕСТ.СТОКИ 9 мес. 2021'!DP55)</f>
        <v>2.6396449966169762</v>
      </c>
      <c r="X46" s="3086">
        <f>SUM('ФАКТ.СЕБЕСТ.СТОКИ 9 мес. 2021'!DQ55)</f>
        <v>5.6288858787424997E-2</v>
      </c>
      <c r="Y46" s="3086">
        <f>SUM('ФАКТ.СЕБЕСТ.СТОКИ 9 мес. 2021'!EA55)</f>
        <v>5.4018677108088022</v>
      </c>
      <c r="Z46" s="3086">
        <f>SUM('ФАКТ.СЕБЕСТ.СТОКИ 9 мес. 2021'!EB55)</f>
        <v>7.9189349898509285</v>
      </c>
      <c r="AA46" s="3086">
        <f>SUM('ФАКТ.СЕБЕСТ.СТОКИ 9 мес. 2021'!EC55)</f>
        <v>0.16886657636227498</v>
      </c>
      <c r="AB46" s="3086">
        <f>SUM('ФАКТ.СЕБЕСТ.СТОКИ 9 мес. 2021'!FN55)</f>
        <v>2.6959338554044012</v>
      </c>
      <c r="AC46" s="3086">
        <f>SUM('ФАКТ.СЕБЕСТ.СТОКИ 9 мес. 2021'!FO55)</f>
        <v>2.6396449966169762</v>
      </c>
      <c r="AD46" s="3086">
        <f>SUM('ФАКТ.СЕБЕСТ.СТОКИ 9 мес. 2021'!FP55)</f>
        <v>5.6288858787424997E-2</v>
      </c>
      <c r="AE46" s="3086">
        <f>SUM('ФАКТ.СЕБЕСТ.СТОКИ 9 мес. 2021'!FZ55)</f>
        <v>8.097801566213203</v>
      </c>
      <c r="AF46" s="3086">
        <f>SUM('ФАКТ.СЕБЕСТ.СТОКИ 9 мес. 2021'!GA55)</f>
        <v>10.558579986467905</v>
      </c>
      <c r="AG46" s="3088">
        <f>SUM('ФАКТ.СЕБЕСТ.СТОКИ 9 мес. 2021'!GB55)</f>
        <v>0.22515543514969999</v>
      </c>
    </row>
    <row r="47" spans="1:33" ht="18.75" customHeight="1" x14ac:dyDescent="0.3">
      <c r="A47" s="3093" t="s">
        <v>1546</v>
      </c>
      <c r="B47" s="3105"/>
      <c r="C47" s="3105"/>
      <c r="D47" s="3105"/>
      <c r="E47" s="3105"/>
      <c r="F47" s="3105"/>
      <c r="G47" s="3105"/>
      <c r="H47" s="3105"/>
      <c r="I47" s="3105"/>
      <c r="J47" s="3105"/>
      <c r="K47" s="3105"/>
      <c r="L47" s="3102" t="s">
        <v>902</v>
      </c>
      <c r="M47" s="3086">
        <f>SUM('ФАКТ.СЕБЕСТ.СТОКИ 9 мес. 2021'!AC56)</f>
        <v>11.020337850836876</v>
      </c>
      <c r="N47" s="3086">
        <f>SUM('ФАКТ.СЕБЕСТ.СТОКИ 9 мес. 2021'!AD56)</f>
        <v>10.958931823068776</v>
      </c>
      <c r="O47" s="3086">
        <f>SUM('ФАКТ.СЕБЕСТ.СТОКИ 9 мес. 2021'!AE56)</f>
        <v>6.1406027768099995E-2</v>
      </c>
      <c r="P47" s="3086">
        <f>SUM('ФАКТ.СЕБЕСТ.СТОКИ 9 мес. 2021'!BP56)</f>
        <v>11.020337850836876</v>
      </c>
      <c r="Q47" s="3086">
        <f>SUM('ФАКТ.СЕБЕСТ.СТОКИ 9 мес. 2021'!BQ56)</f>
        <v>10.958931823068776</v>
      </c>
      <c r="R47" s="3086">
        <f>SUM('ФАКТ.СЕБЕСТ.СТОКИ 9 мес. 2021'!BR56)</f>
        <v>6.1406027768099995E-2</v>
      </c>
      <c r="S47" s="3086">
        <f>SUM('ФАКТ.СЕБЕСТ.СТОКИ 9 мес. 2021'!CB56)</f>
        <v>22.040675701673752</v>
      </c>
      <c r="T47" s="3086">
        <f>SUM('ФАКТ.СЕБЕСТ.СТОКИ 9 мес. 2021'!CC56)</f>
        <v>21.917863646137551</v>
      </c>
      <c r="U47" s="3086">
        <f>SUM('ФАКТ.СЕБЕСТ.СТОКИ 9 мес. 2021'!CD56)</f>
        <v>0.12281205553619999</v>
      </c>
      <c r="V47" s="3086">
        <f>SUM('ФАКТ.СЕБЕСТ.СТОКИ 9 мес. 2021'!DO56)</f>
        <v>11.020337850836876</v>
      </c>
      <c r="W47" s="3086">
        <f>SUM('ФАКТ.СЕБЕСТ.СТОКИ 9 мес. 2021'!DP56)</f>
        <v>10.958931823068776</v>
      </c>
      <c r="X47" s="3086">
        <f>SUM('ФАКТ.СЕБЕСТ.СТОКИ 9 мес. 2021'!DQ56)</f>
        <v>6.1406027768099995E-2</v>
      </c>
      <c r="Y47" s="3086">
        <f>SUM('ФАКТ.СЕБЕСТ.СТОКИ 9 мес. 2021'!EA56)</f>
        <v>33.06101355251063</v>
      </c>
      <c r="Z47" s="3086">
        <f>SUM('ФАКТ.СЕБЕСТ.СТОКИ 9 мес. 2021'!EB56)</f>
        <v>32.876795469206328</v>
      </c>
      <c r="AA47" s="3086">
        <f>SUM('ФАКТ.СЕБЕСТ.СТОКИ 9 мес. 2021'!EC56)</f>
        <v>0.18421808330429998</v>
      </c>
      <c r="AB47" s="3086">
        <f>SUM('ФАКТ.СЕБЕСТ.СТОКИ 9 мес. 2021'!FN56)</f>
        <v>11.020337850836876</v>
      </c>
      <c r="AC47" s="3086">
        <f>SUM('ФАКТ.СЕБЕСТ.СТОКИ 9 мес. 2021'!FO56)</f>
        <v>10.958931823068776</v>
      </c>
      <c r="AD47" s="3086">
        <f>SUM('ФАКТ.СЕБЕСТ.СТОКИ 9 мес. 2021'!FP56)</f>
        <v>6.1406027768099995E-2</v>
      </c>
      <c r="AE47" s="3086">
        <f>SUM('ФАКТ.СЕБЕСТ.СТОКИ 9 мес. 2021'!FZ56)</f>
        <v>44.081351403347504</v>
      </c>
      <c r="AF47" s="3086">
        <f>SUM('ФАКТ.СЕБЕСТ.СТОКИ 9 мес. 2021'!GA56)</f>
        <v>43.835727292275102</v>
      </c>
      <c r="AG47" s="3088">
        <f>SUM('ФАКТ.СЕБЕСТ.СТОКИ 9 мес. 2021'!GB56)</f>
        <v>0.24562411107239998</v>
      </c>
    </row>
    <row r="48" spans="1:33" ht="18.75" customHeight="1" x14ac:dyDescent="0.3">
      <c r="A48" s="3093" t="s">
        <v>275</v>
      </c>
      <c r="B48" s="3105"/>
      <c r="C48" s="3105"/>
      <c r="D48" s="3105"/>
      <c r="E48" s="3105"/>
      <c r="F48" s="3105"/>
      <c r="G48" s="3105"/>
      <c r="H48" s="3105"/>
      <c r="I48" s="3105"/>
      <c r="J48" s="3105"/>
      <c r="K48" s="3105"/>
      <c r="L48" s="3102" t="s">
        <v>902</v>
      </c>
      <c r="M48" s="3086">
        <f>SUM('ФАКТ.СЕБЕСТ.СТОКИ 9 мес. 2021'!AC57)</f>
        <v>13.052850504620462</v>
      </c>
      <c r="N48" s="3086">
        <f>SUM('ФАКТ.СЕБЕСТ.СТОКИ 9 мес. 2021'!AD57)</f>
        <v>12.945389956026286</v>
      </c>
      <c r="O48" s="3086">
        <f>SUM('ФАКТ.СЕБЕСТ.СТОКИ 9 мес. 2021'!AE57)</f>
        <v>0.107460548594175</v>
      </c>
      <c r="P48" s="3086">
        <f>SUM('ФАКТ.СЕБЕСТ.СТОКИ 9 мес. 2021'!BP57)</f>
        <v>13.052850504620462</v>
      </c>
      <c r="Q48" s="3086">
        <f>SUM('ФАКТ.СЕБЕСТ.СТОКИ 9 мес. 2021'!BQ57)</f>
        <v>12.945389956026286</v>
      </c>
      <c r="R48" s="3086">
        <f>SUM('ФАКТ.СЕБЕСТ.СТОКИ 9 мес. 2021'!BR57)</f>
        <v>0.107460548594175</v>
      </c>
      <c r="S48" s="3086">
        <f>SUM('ФАКТ.СЕБЕСТ.СТОКИ 9 мес. 2021'!CB57)</f>
        <v>26.105701009240924</v>
      </c>
      <c r="T48" s="3086">
        <f>SUM('ФАКТ.СЕБЕСТ.СТОКИ 9 мес. 2021'!CC57)</f>
        <v>25.890779912052572</v>
      </c>
      <c r="U48" s="3086">
        <f>SUM('ФАКТ.СЕБЕСТ.СТОКИ 9 мес. 2021'!CD57)</f>
        <v>0.21492109718835001</v>
      </c>
      <c r="V48" s="3086">
        <f>SUM('ФАКТ.СЕБЕСТ.СТОКИ 9 мес. 2021'!DO57)</f>
        <v>13.052850504620462</v>
      </c>
      <c r="W48" s="3086">
        <f>SUM('ФАКТ.СЕБЕСТ.СТОКИ 9 мес. 2021'!DP57)</f>
        <v>12.945389956026286</v>
      </c>
      <c r="X48" s="3086">
        <f>SUM('ФАКТ.СЕБЕСТ.СТОКИ 9 мес. 2021'!DQ57)</f>
        <v>0.107460548594175</v>
      </c>
      <c r="Y48" s="3086">
        <f>SUM('ФАКТ.СЕБЕСТ.СТОКИ 9 мес. 2021'!EA57)</f>
        <v>39.158551513861383</v>
      </c>
      <c r="Z48" s="3086">
        <f>SUM('ФАКТ.СЕБЕСТ.СТОКИ 9 мес. 2021'!EB57)</f>
        <v>38.836169868078855</v>
      </c>
      <c r="AA48" s="3086">
        <f>SUM('ФАКТ.СЕБЕСТ.СТОКИ 9 мес. 2021'!EC57)</f>
        <v>0.32238164578252504</v>
      </c>
      <c r="AB48" s="3086">
        <f>SUM('ФАКТ.СЕБЕСТ.СТОКИ 9 мес. 2021'!FN57)</f>
        <v>13.052850504620462</v>
      </c>
      <c r="AC48" s="3086">
        <f>SUM('ФАКТ.СЕБЕСТ.СТОКИ 9 мес. 2021'!FO57)</f>
        <v>12.945389956026286</v>
      </c>
      <c r="AD48" s="3086">
        <f>SUM('ФАКТ.СЕБЕСТ.СТОКИ 9 мес. 2021'!FP57)</f>
        <v>0.107460548594175</v>
      </c>
      <c r="AE48" s="3086">
        <f>SUM('ФАКТ.СЕБЕСТ.СТОКИ 9 мес. 2021'!FZ57)</f>
        <v>52.211402018481849</v>
      </c>
      <c r="AF48" s="3086">
        <f>SUM('ФАКТ.СЕБЕСТ.СТОКИ 9 мес. 2021'!GA57)</f>
        <v>51.781559824105145</v>
      </c>
      <c r="AG48" s="3088">
        <f>SUM('ФАКТ.СЕБЕСТ.СТОКИ 9 мес. 2021'!GB57)</f>
        <v>0.42984219437670002</v>
      </c>
    </row>
    <row r="49" spans="1:33" ht="18.75" customHeight="1" x14ac:dyDescent="0.3">
      <c r="A49" s="3090" t="s">
        <v>3747</v>
      </c>
      <c r="B49" s="3105"/>
      <c r="C49" s="3105"/>
      <c r="D49" s="3105"/>
      <c r="E49" s="3105"/>
      <c r="F49" s="3105"/>
      <c r="G49" s="3105"/>
      <c r="H49" s="3105"/>
      <c r="I49" s="3105"/>
      <c r="J49" s="3105"/>
      <c r="K49" s="3105"/>
      <c r="L49" s="3102" t="s">
        <v>902</v>
      </c>
      <c r="M49" s="3086">
        <f>SUM('ФАКТ.СЕБЕСТ.СТОКИ 9 мес. 2021'!AC58)</f>
        <v>501.84872520792385</v>
      </c>
      <c r="N49" s="3086">
        <f>SUM('ФАКТ.СЕБЕСТ.СТОКИ 9 мес. 2021'!AD58)</f>
        <v>499.1931745813996</v>
      </c>
      <c r="O49" s="3086">
        <f>SUM('ФАКТ.СЕБЕСТ.СТОКИ 9 мес. 2021'!AE58)</f>
        <v>2.6555506265242488</v>
      </c>
      <c r="P49" s="3086">
        <f>SUM('ФАКТ.СЕБЕСТ.СТОКИ 9 мес. 2021'!BP58)</f>
        <v>501.84872520792385</v>
      </c>
      <c r="Q49" s="3086">
        <f>SUM('ФАКТ.СЕБЕСТ.СТОКИ 9 мес. 2021'!BQ58)</f>
        <v>499.1931745813996</v>
      </c>
      <c r="R49" s="3086">
        <f>SUM('ФАКТ.СЕБЕСТ.СТОКИ 9 мес. 2021'!BR58)</f>
        <v>2.6555506265242488</v>
      </c>
      <c r="S49" s="3086">
        <f>SUM('ФАКТ.СЕБЕСТ.СТОКИ 9 мес. 2021'!CB58)</f>
        <v>1003.6974504158477</v>
      </c>
      <c r="T49" s="3086">
        <f>SUM('ФАКТ.СЕБЕСТ.СТОКИ 9 мес. 2021'!CC58)</f>
        <v>998.38634916279921</v>
      </c>
      <c r="U49" s="3086">
        <f>SUM('ФАКТ.СЕБЕСТ.СТОКИ 9 мес. 2021'!CD58)</f>
        <v>5.3111012530484976</v>
      </c>
      <c r="V49" s="3086">
        <f>SUM('ФАКТ.СЕБЕСТ.СТОКИ 9 мес. 2021'!DO58)</f>
        <v>501.84872520792385</v>
      </c>
      <c r="W49" s="3086">
        <f>SUM('ФАКТ.СЕБЕСТ.СТОКИ 9 мес. 2021'!DP58)</f>
        <v>499.1931745813996</v>
      </c>
      <c r="X49" s="3086">
        <f>SUM('ФАКТ.СЕБЕСТ.СТОКИ 9 мес. 2021'!DQ58)</f>
        <v>2.6555506265242488</v>
      </c>
      <c r="Y49" s="3086">
        <f>SUM('ФАКТ.СЕБЕСТ.СТОКИ 9 мес. 2021'!EA58)</f>
        <v>1505.5461756237714</v>
      </c>
      <c r="Z49" s="3086">
        <f>SUM('ФАКТ.СЕБЕСТ.СТОКИ 9 мес. 2021'!EB58)</f>
        <v>1497.5795237441989</v>
      </c>
      <c r="AA49" s="3086">
        <f>SUM('ФАКТ.СЕБЕСТ.СТОКИ 9 мес. 2021'!EC58)</f>
        <v>7.9666518795727459</v>
      </c>
      <c r="AB49" s="3086">
        <f>SUM('ФАКТ.СЕБЕСТ.СТОКИ 9 мес. 2021'!FN58)</f>
        <v>501.84872520792385</v>
      </c>
      <c r="AC49" s="3086">
        <f>SUM('ФАКТ.СЕБЕСТ.СТОКИ 9 мес. 2021'!FO58)</f>
        <v>499.1931745813996</v>
      </c>
      <c r="AD49" s="3086">
        <f>SUM('ФАКТ.СЕБЕСТ.СТОКИ 9 мес. 2021'!FP58)</f>
        <v>2.6555506265242488</v>
      </c>
      <c r="AE49" s="3086">
        <f>SUM('ФАКТ.СЕБЕСТ.СТОКИ 9 мес. 2021'!FZ58)</f>
        <v>2007.3949008316954</v>
      </c>
      <c r="AF49" s="3086">
        <f>SUM('ФАКТ.СЕБЕСТ.СТОКИ 9 мес. 2021'!GA58)</f>
        <v>1996.7726983255984</v>
      </c>
      <c r="AG49" s="3088">
        <f>SUM('ФАКТ.СЕБЕСТ.СТОКИ 9 мес. 2021'!GB58)</f>
        <v>10.622202506096995</v>
      </c>
    </row>
    <row r="50" spans="1:33" ht="18.75" customHeight="1" x14ac:dyDescent="0.3">
      <c r="A50" s="3077" t="s">
        <v>506</v>
      </c>
      <c r="B50" s="3092"/>
      <c r="C50" s="3092"/>
      <c r="D50" s="3092"/>
      <c r="E50" s="3092"/>
      <c r="F50" s="3092"/>
      <c r="G50" s="3092"/>
      <c r="H50" s="3092"/>
      <c r="I50" s="3092"/>
      <c r="J50" s="3092"/>
      <c r="K50" s="3092"/>
      <c r="L50" s="3102" t="s">
        <v>902</v>
      </c>
      <c r="M50" s="3079">
        <f>SUM('ФАКТ.СЕБЕСТ.СТОКИ 9 мес. 2021'!AC59)</f>
        <v>0</v>
      </c>
      <c r="N50" s="3079">
        <f>SUM('ФАКТ.СЕБЕСТ.СТОКИ 9 мес. 2021'!AD59)</f>
        <v>0</v>
      </c>
      <c r="O50" s="3079">
        <f>SUM('ФАКТ.СЕБЕСТ.СТОКИ 9 мес. 2021'!AE59)</f>
        <v>0</v>
      </c>
      <c r="P50" s="3079">
        <f>SUM('ФАКТ.СЕБЕСТ.СТОКИ 9 мес. 2021'!BP59)</f>
        <v>0</v>
      </c>
      <c r="Q50" s="3079">
        <f>SUM('ФАКТ.СЕБЕСТ.СТОКИ 9 мес. 2021'!BQ59)</f>
        <v>0</v>
      </c>
      <c r="R50" s="3079">
        <f>SUM('ФАКТ.СЕБЕСТ.СТОКИ 9 мес. 2021'!BR59)</f>
        <v>0</v>
      </c>
      <c r="S50" s="3079">
        <f>SUM('ФАКТ.СЕБЕСТ.СТОКИ 9 мес. 2021'!CB59)</f>
        <v>0</v>
      </c>
      <c r="T50" s="3079">
        <f>SUM('ФАКТ.СЕБЕСТ.СТОКИ 9 мес. 2021'!CC59)</f>
        <v>0</v>
      </c>
      <c r="U50" s="3079">
        <f>SUM('ФАКТ.СЕБЕСТ.СТОКИ 9 мес. 2021'!CD59)</f>
        <v>0</v>
      </c>
      <c r="V50" s="3079">
        <f>SUM('ФАКТ.СЕБЕСТ.СТОКИ 9 мес. 2021'!DO59)</f>
        <v>0</v>
      </c>
      <c r="W50" s="3079">
        <f>SUM('ФАКТ.СЕБЕСТ.СТОКИ 9 мес. 2021'!DP59)</f>
        <v>0</v>
      </c>
      <c r="X50" s="3079">
        <f>SUM('ФАКТ.СЕБЕСТ.СТОКИ 9 мес. 2021'!DQ59)</f>
        <v>0</v>
      </c>
      <c r="Y50" s="3079">
        <f>SUM('ФАКТ.СЕБЕСТ.СТОКИ 9 мес. 2021'!EA59)</f>
        <v>0</v>
      </c>
      <c r="Z50" s="3079">
        <f>SUM('ФАКТ.СЕБЕСТ.СТОКИ 9 мес. 2021'!EB59)</f>
        <v>0</v>
      </c>
      <c r="AA50" s="3079">
        <f>SUM('ФАКТ.СЕБЕСТ.СТОКИ 9 мес. 2021'!EC59)</f>
        <v>0</v>
      </c>
      <c r="AB50" s="3079">
        <f>SUM('ФАКТ.СЕБЕСТ.СТОКИ 9 мес. 2021'!FN59)</f>
        <v>0</v>
      </c>
      <c r="AC50" s="3079">
        <f>SUM('ФАКТ.СЕБЕСТ.СТОКИ 9 мес. 2021'!FO59)</f>
        <v>0</v>
      </c>
      <c r="AD50" s="3079">
        <f>SUM('ФАКТ.СЕБЕСТ.СТОКИ 9 мес. 2021'!FP59)</f>
        <v>0</v>
      </c>
      <c r="AE50" s="3079">
        <f>SUM('ФАКТ.СЕБЕСТ.СТОКИ 9 мес. 2021'!FZ59)</f>
        <v>0</v>
      </c>
      <c r="AF50" s="3079">
        <f>SUM('ФАКТ.СЕБЕСТ.СТОКИ 9 мес. 2021'!GA59)</f>
        <v>0</v>
      </c>
      <c r="AG50" s="3081">
        <f>SUM('ФАКТ.СЕБЕСТ.СТОКИ 9 мес. 2021'!GB59)</f>
        <v>0</v>
      </c>
    </row>
    <row r="51" spans="1:33" ht="18.75" customHeight="1" x14ac:dyDescent="0.3">
      <c r="A51" s="3077" t="s">
        <v>3749</v>
      </c>
      <c r="B51" s="3092"/>
      <c r="C51" s="3092"/>
      <c r="D51" s="3092"/>
      <c r="E51" s="3092"/>
      <c r="F51" s="3092"/>
      <c r="G51" s="3092"/>
      <c r="H51" s="3092"/>
      <c r="I51" s="3092"/>
      <c r="J51" s="3092"/>
      <c r="K51" s="3092"/>
      <c r="L51" s="3102" t="s">
        <v>902</v>
      </c>
      <c r="M51" s="3079">
        <f>SUM('ФАКТ.СЕБЕСТ.СТОКИ 9 мес. 2021'!AC60)</f>
        <v>0</v>
      </c>
      <c r="N51" s="3079">
        <f>SUM('ФАКТ.СЕБЕСТ.СТОКИ 9 мес. 2021'!AD60)</f>
        <v>0</v>
      </c>
      <c r="O51" s="3079">
        <f>SUM('ФАКТ.СЕБЕСТ.СТОКИ 9 мес. 2021'!AE60)</f>
        <v>0</v>
      </c>
      <c r="P51" s="3079">
        <f>SUM('ФАКТ.СЕБЕСТ.СТОКИ 9 мес. 2021'!BP60)</f>
        <v>0</v>
      </c>
      <c r="Q51" s="3079">
        <f>SUM('ФАКТ.СЕБЕСТ.СТОКИ 9 мес. 2021'!BQ60)</f>
        <v>0</v>
      </c>
      <c r="R51" s="3079">
        <f>SUM('ФАКТ.СЕБЕСТ.СТОКИ 9 мес. 2021'!BR60)</f>
        <v>0</v>
      </c>
      <c r="S51" s="3079">
        <f>SUM('ФАКТ.СЕБЕСТ.СТОКИ 9 мес. 2021'!CB60)</f>
        <v>0</v>
      </c>
      <c r="T51" s="3079">
        <f>SUM('ФАКТ.СЕБЕСТ.СТОКИ 9 мес. 2021'!CC60)</f>
        <v>0</v>
      </c>
      <c r="U51" s="3079">
        <f>SUM('ФАКТ.СЕБЕСТ.СТОКИ 9 мес. 2021'!CD60)</f>
        <v>0</v>
      </c>
      <c r="V51" s="3079">
        <f>SUM('ФАКТ.СЕБЕСТ.СТОКИ 9 мес. 2021'!DO60)</f>
        <v>0</v>
      </c>
      <c r="W51" s="3079">
        <f>SUM('ФАКТ.СЕБЕСТ.СТОКИ 9 мес. 2021'!DP60)</f>
        <v>0</v>
      </c>
      <c r="X51" s="3079">
        <f>SUM('ФАКТ.СЕБЕСТ.СТОКИ 9 мес. 2021'!DQ60)</f>
        <v>0</v>
      </c>
      <c r="Y51" s="3079">
        <f>SUM('ФАКТ.СЕБЕСТ.СТОКИ 9 мес. 2021'!EA60)</f>
        <v>0</v>
      </c>
      <c r="Z51" s="3079">
        <f>SUM('ФАКТ.СЕБЕСТ.СТОКИ 9 мес. 2021'!EB60)</f>
        <v>0</v>
      </c>
      <c r="AA51" s="3079">
        <f>SUM('ФАКТ.СЕБЕСТ.СТОКИ 9 мес. 2021'!EC60)</f>
        <v>0</v>
      </c>
      <c r="AB51" s="3079">
        <f>SUM('ФАКТ.СЕБЕСТ.СТОКИ 9 мес. 2021'!FN60)</f>
        <v>0</v>
      </c>
      <c r="AC51" s="3079">
        <f>SUM('ФАКТ.СЕБЕСТ.СТОКИ 9 мес. 2021'!FO60)</f>
        <v>0</v>
      </c>
      <c r="AD51" s="3079">
        <f>SUM('ФАКТ.СЕБЕСТ.СТОКИ 9 мес. 2021'!FP60)</f>
        <v>0</v>
      </c>
      <c r="AE51" s="3079">
        <f>SUM('ФАКТ.СЕБЕСТ.СТОКИ 9 мес. 2021'!FZ60)</f>
        <v>0</v>
      </c>
      <c r="AF51" s="3079">
        <f>SUM('ФАКТ.СЕБЕСТ.СТОКИ 9 мес. 2021'!GA60)</f>
        <v>0</v>
      </c>
      <c r="AG51" s="3081">
        <f>SUM('ФАКТ.СЕБЕСТ.СТОКИ 9 мес. 2021'!GB60)</f>
        <v>0</v>
      </c>
    </row>
    <row r="52" spans="1:33" ht="18.75" customHeight="1" x14ac:dyDescent="0.3">
      <c r="A52" s="3071" t="s">
        <v>12</v>
      </c>
      <c r="B52" s="3092"/>
      <c r="C52" s="3092"/>
      <c r="D52" s="3092"/>
      <c r="E52" s="3092"/>
      <c r="F52" s="3092"/>
      <c r="G52" s="3092"/>
      <c r="H52" s="3092"/>
      <c r="I52" s="3092"/>
      <c r="J52" s="3092"/>
      <c r="K52" s="3092"/>
      <c r="L52" s="3107" t="s">
        <v>902</v>
      </c>
      <c r="M52" s="3074">
        <f>SUM('ФАКТ.СЕБЕСТ.СТОКИ 9 мес. 2021'!AC61)</f>
        <v>25176.410669338387</v>
      </c>
      <c r="N52" s="3074">
        <f>SUM('ФАКТ.СЕБЕСТ.СТОКИ 9 мес. 2021'!AD61)</f>
        <v>25107.923092768768</v>
      </c>
      <c r="O52" s="3074">
        <f>SUM('ФАКТ.СЕБЕСТ.СТОКИ 9 мес. 2021'!AE61)</f>
        <v>68.487576569614092</v>
      </c>
      <c r="P52" s="3074">
        <f>SUM('ФАКТ.СЕБЕСТ.СТОКИ 9 мес. 2021'!BP61)</f>
        <v>25176.410669338387</v>
      </c>
      <c r="Q52" s="3074">
        <f>SUM('ФАКТ.СЕБЕСТ.СТОКИ 9 мес. 2021'!BQ61)</f>
        <v>25107.923092768768</v>
      </c>
      <c r="R52" s="3074">
        <f>SUM('ФАКТ.СЕБЕСТ.СТОКИ 9 мес. 2021'!BR61)</f>
        <v>68.487576569614092</v>
      </c>
      <c r="S52" s="3074">
        <f>SUM('ФАКТ.СЕБЕСТ.СТОКИ 9 мес. 2021'!CB61)</f>
        <v>50352.821338676775</v>
      </c>
      <c r="T52" s="3074">
        <f>SUM('ФАКТ.СЕБЕСТ.СТОКИ 9 мес. 2021'!CC61)</f>
        <v>50215.846185537535</v>
      </c>
      <c r="U52" s="3074">
        <f>SUM('ФАКТ.СЕБЕСТ.СТОКИ 9 мес. 2021'!CD61)</f>
        <v>136.97515313922818</v>
      </c>
      <c r="V52" s="3074">
        <f>SUM('ФАКТ.СЕБЕСТ.СТОКИ 9 мес. 2021'!DO61)</f>
        <v>25258.941652080899</v>
      </c>
      <c r="W52" s="3074">
        <f>SUM('ФАКТ.СЕБЕСТ.СТОКИ 9 мес. 2021'!DP61)</f>
        <v>25189.707091282002</v>
      </c>
      <c r="X52" s="3074">
        <f>SUM('ФАКТ.СЕБЕСТ.СТОКИ 9 мес. 2021'!DQ61)</f>
        <v>69.234560798899295</v>
      </c>
      <c r="Y52" s="3074">
        <f>SUM('ФАКТ.СЕБЕСТ.СТОКИ 9 мес. 2021'!EA61)</f>
        <v>75611.762990757677</v>
      </c>
      <c r="Z52" s="3074">
        <f>SUM('ФАКТ.СЕБЕСТ.СТОКИ 9 мес. 2021'!EB61)</f>
        <v>75405.553276819541</v>
      </c>
      <c r="AA52" s="3074">
        <f>SUM('ФАКТ.СЕБЕСТ.СТОКИ 9 мес. 2021'!EC61)</f>
        <v>206.20971393812749</v>
      </c>
      <c r="AB52" s="3074">
        <f>SUM('ФАКТ.СЕБЕСТ.СТОКИ 9 мес. 2021'!FN61)</f>
        <v>25258.941652080899</v>
      </c>
      <c r="AC52" s="3074">
        <f>SUM('ФАКТ.СЕБЕСТ.СТОКИ 9 мес. 2021'!FO61)</f>
        <v>25189.707091282002</v>
      </c>
      <c r="AD52" s="3074">
        <f>SUM('ФАКТ.СЕБЕСТ.СТОКИ 9 мес. 2021'!FP61)</f>
        <v>69.234560798899295</v>
      </c>
      <c r="AE52" s="3074">
        <f>SUM('ФАКТ.СЕБЕСТ.СТОКИ 9 мес. 2021'!FZ61)</f>
        <v>100870.70464283858</v>
      </c>
      <c r="AF52" s="3074">
        <f>SUM('ФАКТ.СЕБЕСТ.СТОКИ 9 мес. 2021'!GA61)</f>
        <v>100595.26036810155</v>
      </c>
      <c r="AG52" s="3076">
        <f>SUM('ФАКТ.СЕБЕСТ.СТОКИ 9 мес. 2021'!GB61)</f>
        <v>275.44427473702677</v>
      </c>
    </row>
    <row r="53" spans="1:33" ht="18.75" customHeight="1" x14ac:dyDescent="0.3">
      <c r="A53" s="3071" t="s">
        <v>13</v>
      </c>
      <c r="B53" s="3092"/>
      <c r="C53" s="3092"/>
      <c r="D53" s="3092"/>
      <c r="E53" s="3092"/>
      <c r="F53" s="3092"/>
      <c r="G53" s="3092"/>
      <c r="H53" s="3092"/>
      <c r="I53" s="3092"/>
      <c r="J53" s="3092"/>
      <c r="K53" s="3092"/>
      <c r="L53" s="3108" t="s">
        <v>3821</v>
      </c>
      <c r="M53" s="3074">
        <f>SUM('ФАКТ.СЕБЕСТ.СТОКИ 9 мес. 2021'!AC62)</f>
        <v>711.10124999999994</v>
      </c>
      <c r="N53" s="3074">
        <f>SUM('ФАКТ.СЕБЕСТ.СТОКИ 9 мес. 2021'!AD62)</f>
        <v>706.68449999999996</v>
      </c>
      <c r="O53" s="3074">
        <f>SUM('ФАКТ.СЕБЕСТ.СТОКИ 9 мес. 2021'!AE62)</f>
        <v>4.4167500000000004</v>
      </c>
      <c r="P53" s="3074">
        <f>SUM('ФАКТ.СЕБЕСТ.СТОКИ 9 мес. 2021'!BP62)</f>
        <v>711.10124999999994</v>
      </c>
      <c r="Q53" s="3074">
        <f>SUM('ФАКТ.СЕБЕСТ.СТОКИ 9 мес. 2021'!BQ62)</f>
        <v>706.68449999999996</v>
      </c>
      <c r="R53" s="3074">
        <f>SUM('ФАКТ.СЕБЕСТ.СТОКИ 9 мес. 2021'!BR62)</f>
        <v>4.4167500000000004</v>
      </c>
      <c r="S53" s="3074">
        <f>SUM('ФАКТ.СЕБЕСТ.СТОКИ 9 мес. 2021'!CB62)</f>
        <v>1422.2024999999999</v>
      </c>
      <c r="T53" s="3074">
        <f>SUM('ФАКТ.СЕБЕСТ.СТОКИ 9 мес. 2021'!CC62)</f>
        <v>1413.3689999999999</v>
      </c>
      <c r="U53" s="3074">
        <f>SUM('ФАКТ.СЕБЕСТ.СТОКИ 9 мес. 2021'!CD62)</f>
        <v>8.8335000000000008</v>
      </c>
      <c r="V53" s="3074">
        <f>SUM('ФАКТ.СЕБЕСТ.СТОКИ 9 мес. 2021'!DO62)</f>
        <v>711.10124999999994</v>
      </c>
      <c r="W53" s="3074">
        <f>SUM('ФАКТ.СЕБЕСТ.СТОКИ 9 мес. 2021'!DP62)</f>
        <v>706.68449999999996</v>
      </c>
      <c r="X53" s="3074">
        <f>SUM('ФАКТ.СЕБЕСТ.СТОКИ 9 мес. 2021'!DQ62)</f>
        <v>4.4167500000000004</v>
      </c>
      <c r="Y53" s="3074">
        <f>SUM('ФАКТ.СЕБЕСТ.СТОКИ 9 мес. 2021'!EA62)</f>
        <v>2133.30375</v>
      </c>
      <c r="Z53" s="3074">
        <f>SUM('ФАКТ.СЕБЕСТ.СТОКИ 9 мес. 2021'!EB62)</f>
        <v>2120.0535</v>
      </c>
      <c r="AA53" s="3074">
        <f>SUM('ФАКТ.СЕБЕСТ.СТОКИ 9 мес. 2021'!EC62)</f>
        <v>13.250250000000001</v>
      </c>
      <c r="AB53" s="3074">
        <f>SUM('ФАКТ.СЕБЕСТ.СТОКИ 9 мес. 2021'!FN62)</f>
        <v>711.10124999999994</v>
      </c>
      <c r="AC53" s="3074">
        <f>SUM('ФАКТ.СЕБЕСТ.СТОКИ 9 мес. 2021'!FO62)</f>
        <v>706.68449999999996</v>
      </c>
      <c r="AD53" s="3074">
        <f>SUM('ФАКТ.СЕБЕСТ.СТОКИ 9 мес. 2021'!FP62)</f>
        <v>4.4167500000000004</v>
      </c>
      <c r="AE53" s="3074">
        <f>SUM('ФАКТ.СЕБЕСТ.СТОКИ 9 мес. 2021'!FZ62)</f>
        <v>2844.4049999999997</v>
      </c>
      <c r="AF53" s="3074">
        <f>SUM('ФАКТ.СЕБЕСТ.СТОКИ 9 мес. 2021'!GA62)</f>
        <v>2826.7379999999998</v>
      </c>
      <c r="AG53" s="3076">
        <f>SUM('ФАКТ.СЕБЕСТ.СТОКИ 9 мес. 2021'!GB62)</f>
        <v>17.667000000000002</v>
      </c>
    </row>
    <row r="54" spans="1:33" ht="18.75" customHeight="1" x14ac:dyDescent="0.3">
      <c r="A54" s="3071" t="s">
        <v>14</v>
      </c>
      <c r="B54" s="3092"/>
      <c r="C54" s="3092"/>
      <c r="D54" s="3092"/>
      <c r="E54" s="3092"/>
      <c r="F54" s="3092"/>
      <c r="G54" s="3092"/>
      <c r="H54" s="3092"/>
      <c r="I54" s="3092"/>
      <c r="J54" s="3092"/>
      <c r="K54" s="3092"/>
      <c r="L54" s="3109" t="s">
        <v>2029</v>
      </c>
      <c r="M54" s="3074">
        <f>SUM('ФАКТ.СЕБЕСТ.СТОКИ 9 мес. 2021'!AC63)</f>
        <v>35.404818469013222</v>
      </c>
      <c r="N54" s="3074">
        <f>SUM('ФАКТ.СЕБЕСТ.СТОКИ 9 мес. 2021'!AD63)</f>
        <v>35.529183239152367</v>
      </c>
      <c r="O54" s="3074">
        <f>SUM('ФАКТ.СЕБЕСТ.СТОКИ 9 мес. 2021'!AE63)</f>
        <v>15.506328537864739</v>
      </c>
      <c r="P54" s="3074">
        <f>SUM('ФАКТ.СЕБЕСТ.СТОКИ 9 мес. 2021'!BP63)</f>
        <v>35.404818469013222</v>
      </c>
      <c r="Q54" s="3074">
        <f>SUM('ФАКТ.СЕБЕСТ.СТОКИ 9 мес. 2021'!BQ63)</f>
        <v>35.529183239152367</v>
      </c>
      <c r="R54" s="3074">
        <f>SUM('ФАКТ.СЕБЕСТ.СТОКИ 9 мес. 2021'!BR63)</f>
        <v>15.506328537864739</v>
      </c>
      <c r="S54" s="3074">
        <f>SUM('ФАКТ.СЕБЕСТ.СТОКИ 9 мес. 2021'!CB63)</f>
        <v>35.404818469013222</v>
      </c>
      <c r="T54" s="3074">
        <f>SUM('ФАКТ.СЕБЕСТ.СТОКИ 9 мес. 2021'!CC63)</f>
        <v>35.529183239152367</v>
      </c>
      <c r="U54" s="3074">
        <f>SUM('ФАКТ.СЕБЕСТ.СТОКИ 9 мес. 2021'!CD63)</f>
        <v>15.506328537864739</v>
      </c>
      <c r="V54" s="3074">
        <f>SUM('ФАКТ.СЕБЕСТ.СТОКИ 9 мес. 2021'!DO63)</f>
        <v>35.520879272931808</v>
      </c>
      <c r="W54" s="3074">
        <f>SUM('ФАКТ.СЕБЕСТ.СТОКИ 9 мес. 2021'!DP63)</f>
        <v>35.644912391996719</v>
      </c>
      <c r="X54" s="3074">
        <f>SUM('ФАКТ.СЕБЕСТ.СТОКИ 9 мес. 2021'!DQ63)</f>
        <v>15.675453851564903</v>
      </c>
      <c r="Y54" s="3074">
        <f>SUM('ФАКТ.СЕБЕСТ.СТОКИ 9 мес. 2021'!EA63)</f>
        <v>35.44350540365275</v>
      </c>
      <c r="Z54" s="3074">
        <f>SUM('ФАКТ.СЕБЕСТ.СТОКИ 9 мес. 2021'!EB63)</f>
        <v>35.567759623433815</v>
      </c>
      <c r="AA54" s="3074">
        <f>SUM('ФАКТ.СЕБЕСТ.СТОКИ 9 мес. 2021'!EC63)</f>
        <v>15.562703642431462</v>
      </c>
      <c r="AB54" s="3074">
        <f>SUM('ФАКТ.СЕБЕСТ.СТОКИ 9 мес. 2021'!FN63)</f>
        <v>35.520879272931808</v>
      </c>
      <c r="AC54" s="3074">
        <f>SUM('ФАКТ.СЕБЕСТ.СТОКИ 9 мес. 2021'!FO63)</f>
        <v>35.644912391996719</v>
      </c>
      <c r="AD54" s="3074">
        <f>SUM('ФАКТ.СЕБЕСТ.СТОКИ 9 мес. 2021'!FP63)</f>
        <v>15.675453851564903</v>
      </c>
      <c r="AE54" s="3074">
        <f>SUM('ФАКТ.СЕБЕСТ.СТОКИ 9 мес. 2021'!FZ63)</f>
        <v>35.462848870972522</v>
      </c>
      <c r="AF54" s="3074">
        <f>SUM('ФАКТ.СЕБЕСТ.СТОКИ 9 мес. 2021'!GA63)</f>
        <v>35.587047815574543</v>
      </c>
      <c r="AG54" s="3076">
        <f>SUM('ФАКТ.СЕБЕСТ.СТОКИ 9 мес. 2021'!GB63)</f>
        <v>15.590891194714821</v>
      </c>
    </row>
    <row r="55" spans="1:33" ht="18.75" customHeight="1" x14ac:dyDescent="0.3">
      <c r="A55" s="3094" t="s">
        <v>3786</v>
      </c>
      <c r="B55" s="3092"/>
      <c r="C55" s="3092"/>
      <c r="D55" s="3092"/>
      <c r="E55" s="3092"/>
      <c r="F55" s="3092"/>
      <c r="G55" s="3092"/>
      <c r="H55" s="3092"/>
      <c r="I55" s="3092"/>
      <c r="J55" s="3092"/>
      <c r="K55" s="3092"/>
      <c r="L55" s="3107" t="s">
        <v>902</v>
      </c>
      <c r="M55" s="3074">
        <f>SUM('ФАКТ.СЕБЕСТ.СТОКИ 9 мес. 2021'!AC64)</f>
        <v>-1267.4825000000001</v>
      </c>
      <c r="N55" s="3074">
        <f>SUM('ФАКТ.СЕБЕСТ.СТОКИ 9 мес. 2021'!AD64)</f>
        <v>-1275.0450000000001</v>
      </c>
      <c r="O55" s="3074">
        <f>SUM('ФАКТ.СЕБЕСТ.СТОКИ 9 мес. 2021'!AE64)</f>
        <v>7.5625</v>
      </c>
      <c r="P55" s="3074">
        <f>SUM('ФАКТ.СЕБЕСТ.СТОКИ 9 мес. 2021'!BP64)</f>
        <v>-1267.4825000000001</v>
      </c>
      <c r="Q55" s="3074">
        <f>SUM('ФАКТ.СЕБЕСТ.СТОКИ 9 мес. 2021'!BQ64)</f>
        <v>-1275.0450000000001</v>
      </c>
      <c r="R55" s="3074">
        <f>SUM('ФАКТ.СЕБЕСТ.СТОКИ 9 мес. 2021'!BR64)</f>
        <v>7.5625</v>
      </c>
      <c r="S55" s="3074">
        <f>SUM('ФАКТ.СЕБЕСТ.СТОКИ 9 мес. 2021'!CB64)</f>
        <v>-2534.9650000000001</v>
      </c>
      <c r="T55" s="3074">
        <f>SUM('ФАКТ.СЕБЕСТ.СТОКИ 9 мес. 2021'!CC64)</f>
        <v>-2550.09</v>
      </c>
      <c r="U55" s="3074">
        <f>SUM('ФАКТ.СЕБЕСТ.СТОКИ 9 мес. 2021'!CD64)</f>
        <v>15.125</v>
      </c>
      <c r="V55" s="3074">
        <f>SUM('ФАКТ.СЕБЕСТ.СТОКИ 9 мес. 2021'!DO64)</f>
        <v>-1267.4825000000001</v>
      </c>
      <c r="W55" s="3074">
        <f>SUM('ФАКТ.СЕБЕСТ.СТОКИ 9 мес. 2021'!DP64)</f>
        <v>-1275.0450000000001</v>
      </c>
      <c r="X55" s="3074">
        <f>SUM('ФАКТ.СЕБЕСТ.СТОКИ 9 мес. 2021'!DQ64)</f>
        <v>7.5625</v>
      </c>
      <c r="Y55" s="3074">
        <f>SUM('ФАКТ.СЕБЕСТ.СТОКИ 9 мес. 2021'!EA64)</f>
        <v>-3802.4475000000002</v>
      </c>
      <c r="Z55" s="3074">
        <f>SUM('ФАКТ.СЕБЕСТ.СТОКИ 9 мес. 2021'!EB64)</f>
        <v>-3825.1350000000002</v>
      </c>
      <c r="AA55" s="3074">
        <f>SUM('ФАКТ.СЕБЕСТ.СТОКИ 9 мес. 2021'!EC64)</f>
        <v>22.6875</v>
      </c>
      <c r="AB55" s="3074">
        <f>SUM('ФАКТ.СЕБЕСТ.СТОКИ 9 мес. 2021'!FN64)</f>
        <v>-1267.4825000000001</v>
      </c>
      <c r="AC55" s="3074">
        <f>SUM('ФАКТ.СЕБЕСТ.СТОКИ 9 мес. 2021'!FO64)</f>
        <v>-1275.0450000000001</v>
      </c>
      <c r="AD55" s="3074">
        <f>SUM('ФАКТ.СЕБЕСТ.СТОКИ 9 мес. 2021'!FP64)</f>
        <v>7.5625</v>
      </c>
      <c r="AE55" s="3074">
        <f>SUM('ФАКТ.СЕБЕСТ.СТОКИ 9 мес. 2021'!FZ64)</f>
        <v>-5069.93</v>
      </c>
      <c r="AF55" s="3074">
        <f>SUM('ФАКТ.СЕБЕСТ.СТОКИ 9 мес. 2021'!GA64)</f>
        <v>-5100.18</v>
      </c>
      <c r="AG55" s="3076">
        <f>SUM('ФАКТ.СЕБЕСТ.СТОКИ 9 мес. 2021'!GB64)</f>
        <v>30.25</v>
      </c>
    </row>
    <row r="56" spans="1:33" ht="18.75" customHeight="1" x14ac:dyDescent="0.3">
      <c r="A56" s="3090" t="s">
        <v>312</v>
      </c>
      <c r="B56" s="3092"/>
      <c r="C56" s="3092"/>
      <c r="D56" s="3092"/>
      <c r="E56" s="3092"/>
      <c r="F56" s="3092"/>
      <c r="G56" s="3092"/>
      <c r="H56" s="3092"/>
      <c r="I56" s="3092"/>
      <c r="J56" s="3092"/>
      <c r="K56" s="3092"/>
      <c r="L56" s="3107" t="s">
        <v>902</v>
      </c>
      <c r="M56" s="3086">
        <f>SUM('ФАКТ.СЕБЕСТ.СТОКИ 9 мес. 2021'!AC65)</f>
        <v>0</v>
      </c>
      <c r="N56" s="3086">
        <f>SUM('ФАКТ.СЕБЕСТ.СТОКИ 9 мес. 2021'!AD65)</f>
        <v>0</v>
      </c>
      <c r="O56" s="3086">
        <f>SUM('ФАКТ.СЕБЕСТ.СТОКИ 9 мес. 2021'!AE65)</f>
        <v>0</v>
      </c>
      <c r="P56" s="3086">
        <f>SUM('ФАКТ.СЕБЕСТ.СТОКИ 9 мес. 2021'!BP65)</f>
        <v>0</v>
      </c>
      <c r="Q56" s="3086">
        <f>SUM('ФАКТ.СЕБЕСТ.СТОКИ 9 мес. 2021'!BQ65)</f>
        <v>0</v>
      </c>
      <c r="R56" s="3086">
        <f>SUM('ФАКТ.СЕБЕСТ.СТОКИ 9 мес. 2021'!BR65)</f>
        <v>0</v>
      </c>
      <c r="S56" s="3086">
        <f>SUM('ФАКТ.СЕБЕСТ.СТОКИ 9 мес. 2021'!CB65)</f>
        <v>0</v>
      </c>
      <c r="T56" s="3086">
        <f>SUM('ФАКТ.СЕБЕСТ.СТОКИ 9 мес. 2021'!CC65)</f>
        <v>0</v>
      </c>
      <c r="U56" s="3086">
        <f>SUM('ФАКТ.СЕБЕСТ.СТОКИ 9 мес. 2021'!CD65)</f>
        <v>0</v>
      </c>
      <c r="V56" s="3086">
        <f>SUM('ФАКТ.СЕБЕСТ.СТОКИ 9 мес. 2021'!DO65)</f>
        <v>0</v>
      </c>
      <c r="W56" s="3086">
        <f>SUM('ФАКТ.СЕБЕСТ.СТОКИ 9 мес. 2021'!DP65)</f>
        <v>0</v>
      </c>
      <c r="X56" s="3086">
        <f>SUM('ФАКТ.СЕБЕСТ.СТОКИ 9 мес. 2021'!DQ65)</f>
        <v>0</v>
      </c>
      <c r="Y56" s="3086">
        <f>SUM('ФАКТ.СЕБЕСТ.СТОКИ 9 мес. 2021'!EA65)</f>
        <v>0</v>
      </c>
      <c r="Z56" s="3086">
        <f>SUM('ФАКТ.СЕБЕСТ.СТОКИ 9 мес. 2021'!EB65)</f>
        <v>0</v>
      </c>
      <c r="AA56" s="3086">
        <f>SUM('ФАКТ.СЕБЕСТ.СТОКИ 9 мес. 2021'!EC65)</f>
        <v>0</v>
      </c>
      <c r="AB56" s="3086">
        <f>SUM('ФАКТ.СЕБЕСТ.СТОКИ 9 мес. 2021'!FN65)</f>
        <v>0</v>
      </c>
      <c r="AC56" s="3086">
        <f>SUM('ФАКТ.СЕБЕСТ.СТОКИ 9 мес. 2021'!FO65)</f>
        <v>0</v>
      </c>
      <c r="AD56" s="3086">
        <f>SUM('ФАКТ.СЕБЕСТ.СТОКИ 9 мес. 2021'!FP65)</f>
        <v>0</v>
      </c>
      <c r="AE56" s="3086">
        <f>SUM('ФАКТ.СЕБЕСТ.СТОКИ 9 мес. 2021'!FZ65)</f>
        <v>0</v>
      </c>
      <c r="AF56" s="3086">
        <f>SUM('ФАКТ.СЕБЕСТ.СТОКИ 9 мес. 2021'!GA65)</f>
        <v>0</v>
      </c>
      <c r="AG56" s="3088">
        <f>SUM('ФАКТ.СЕБЕСТ.СТОКИ 9 мес. 2021'!GB65)</f>
        <v>0</v>
      </c>
    </row>
    <row r="57" spans="1:33" ht="18.75" customHeight="1" x14ac:dyDescent="0.3">
      <c r="A57" s="3094" t="s">
        <v>3713</v>
      </c>
      <c r="B57" s="3092"/>
      <c r="C57" s="3092"/>
      <c r="D57" s="3092"/>
      <c r="E57" s="3092"/>
      <c r="F57" s="3092"/>
      <c r="G57" s="3092"/>
      <c r="H57" s="3092"/>
      <c r="I57" s="3092"/>
      <c r="J57" s="3092"/>
      <c r="K57" s="3092"/>
      <c r="L57" s="3107" t="s">
        <v>902</v>
      </c>
      <c r="M57" s="3074">
        <f>SUM('ФАКТ.СЕБЕСТ.СТОКИ 9 мес. 2021'!AC66)</f>
        <v>23908.928169338382</v>
      </c>
      <c r="N57" s="3074">
        <f>SUM('ФАКТ.СЕБЕСТ.СТОКИ 9 мес. 2021'!AD66)</f>
        <v>23832.878092768766</v>
      </c>
      <c r="O57" s="3074">
        <f>SUM('ФАКТ.СЕБЕСТ.СТОКИ 9 мес. 2021'!AE66)</f>
        <v>76.050076569614092</v>
      </c>
      <c r="P57" s="3074">
        <f>SUM('ФАКТ.СЕБЕСТ.СТОКИ 9 мес. 2021'!BP66)</f>
        <v>23908.928169338382</v>
      </c>
      <c r="Q57" s="3074">
        <f>SUM('ФАКТ.СЕБЕСТ.СТОКИ 9 мес. 2021'!BQ66)</f>
        <v>23832.878092768766</v>
      </c>
      <c r="R57" s="3074">
        <f>SUM('ФАКТ.СЕБЕСТ.СТОКИ 9 мес. 2021'!BR66)</f>
        <v>76.050076569614092</v>
      </c>
      <c r="S57" s="3074">
        <f>SUM('ФАКТ.СЕБЕСТ.СТОКИ 9 мес. 2021'!CB66)</f>
        <v>47817.856338676764</v>
      </c>
      <c r="T57" s="3074">
        <f>SUM('ФАКТ.СЕБЕСТ.СТОКИ 9 мес. 2021'!CC66)</f>
        <v>47665.756185537532</v>
      </c>
      <c r="U57" s="3074">
        <f>SUM('ФАКТ.СЕБЕСТ.СТОКИ 9 мес. 2021'!CD66)</f>
        <v>152.10015313922818</v>
      </c>
      <c r="V57" s="3074">
        <f>SUM('ФАКТ.СЕБЕСТ.СТОКИ 9 мес. 2021'!DO66)</f>
        <v>23991.459152080901</v>
      </c>
      <c r="W57" s="3074">
        <f>SUM('ФАКТ.СЕБЕСТ.СТОКИ 9 мес. 2021'!DP66)</f>
        <v>23914.662091282</v>
      </c>
      <c r="X57" s="3074">
        <f>SUM('ФАКТ.СЕБЕСТ.СТОКИ 9 мес. 2021'!DQ66)</f>
        <v>76.797060798899295</v>
      </c>
      <c r="Y57" s="3074">
        <f>SUM('ФАКТ.СЕБЕСТ.СТОКИ 9 мес. 2021'!EA66)</f>
        <v>71809.315490757668</v>
      </c>
      <c r="Z57" s="3074">
        <f>SUM('ФАКТ.СЕБЕСТ.СТОКИ 9 мес. 2021'!EB66)</f>
        <v>71580.418276819531</v>
      </c>
      <c r="AA57" s="3074">
        <f>SUM('ФАКТ.СЕБЕСТ.СТОКИ 9 мес. 2021'!EC66)</f>
        <v>228.89721393812749</v>
      </c>
      <c r="AB57" s="3074">
        <f>SUM('ФАКТ.СЕБЕСТ.СТОКИ 9 мес. 2021'!FN66)</f>
        <v>23991.459152080901</v>
      </c>
      <c r="AC57" s="3074">
        <f>SUM('ФАКТ.СЕБЕСТ.СТОКИ 9 мес. 2021'!FO66)</f>
        <v>23914.662091282</v>
      </c>
      <c r="AD57" s="3074">
        <f>SUM('ФАКТ.СЕБЕСТ.СТОКИ 9 мес. 2021'!FP66)</f>
        <v>76.797060798899295</v>
      </c>
      <c r="AE57" s="3074">
        <f>SUM('ФАКТ.СЕБЕСТ.СТОКИ 9 мес. 2021'!FZ66)</f>
        <v>95800.774642838573</v>
      </c>
      <c r="AF57" s="3074">
        <f>SUM('ФАКТ.СЕБЕСТ.СТОКИ 9 мес. 2021'!GA66)</f>
        <v>95495.080368101539</v>
      </c>
      <c r="AG57" s="3076">
        <f>SUM('ФАКТ.СЕБЕСТ.СТОКИ 9 мес. 2021'!GB66)</f>
        <v>305.69427473702677</v>
      </c>
    </row>
    <row r="58" spans="1:33" ht="18.75" customHeight="1" x14ac:dyDescent="0.3">
      <c r="A58" s="3095" t="s">
        <v>3787</v>
      </c>
      <c r="B58" s="3092"/>
      <c r="C58" s="3092"/>
      <c r="D58" s="3092"/>
      <c r="E58" s="3092"/>
      <c r="F58" s="3092"/>
      <c r="G58" s="3092"/>
      <c r="H58" s="3092"/>
      <c r="I58" s="3092"/>
      <c r="J58" s="3092"/>
      <c r="K58" s="3092"/>
      <c r="L58" s="3107" t="s">
        <v>902</v>
      </c>
      <c r="M58" s="3074">
        <f>SUM('ФАКТ.СЕБЕСТ.СТОКИ 9 мес. 2021'!AC67)</f>
        <v>-421.44043959461578</v>
      </c>
      <c r="N58" s="3074">
        <f>SUM('ФАКТ.СЕБЕСТ.СТОКИ 9 мес. 2021'!AD67)</f>
        <v>-410.16464092709793</v>
      </c>
      <c r="O58" s="3074">
        <f>SUM('ФАКТ.СЕБЕСТ.СТОКИ 9 мес. 2021'!AE67)</f>
        <v>-11.275798667517879</v>
      </c>
      <c r="P58" s="3074">
        <f>SUM('ФАКТ.СЕБЕСТ.СТОКИ 9 мес. 2021'!BP67)</f>
        <v>-421.44043959461578</v>
      </c>
      <c r="Q58" s="3074">
        <f>SUM('ФАКТ.СЕБЕСТ.СТОКИ 9 мес. 2021'!BQ67)</f>
        <v>-410.16464092709793</v>
      </c>
      <c r="R58" s="3074">
        <f>SUM('ФАКТ.СЕБЕСТ.СТОКИ 9 мес. 2021'!BR67)</f>
        <v>-11.275798667517879</v>
      </c>
      <c r="S58" s="3074">
        <f>SUM('ФАКТ.СЕБЕСТ.СТОКИ 9 мес. 2021'!CB67)</f>
        <v>-842.88087918923156</v>
      </c>
      <c r="T58" s="3074">
        <f>SUM('ФАКТ.СЕБЕСТ.СТОКИ 9 мес. 2021'!CC67)</f>
        <v>-820.32928185419587</v>
      </c>
      <c r="U58" s="3074">
        <f>SUM('ФАКТ.СЕБЕСТ.СТОКИ 9 мес. 2021'!CD67)</f>
        <v>-22.551597335035758</v>
      </c>
      <c r="V58" s="3074">
        <f>SUM('ФАКТ.СЕБЕСТ.СТОКИ 9 мес. 2021'!DO67)</f>
        <v>421.44065361375021</v>
      </c>
      <c r="W58" s="3074">
        <f>SUM('ФАКТ.СЕБЕСТ.СТОКИ 9 мес. 2021'!DP67)</f>
        <v>410.16470627376566</v>
      </c>
      <c r="X58" s="3074">
        <f>SUM('ФАКТ.СЕБЕСТ.СТОКИ 9 мес. 2021'!DQ67)</f>
        <v>11.275947339984494</v>
      </c>
      <c r="Y58" s="3074">
        <f>SUM('ФАКТ.СЕБЕСТ.СТОКИ 9 мес. 2021'!EA67)</f>
        <v>-421.44022557548135</v>
      </c>
      <c r="Z58" s="3074">
        <f>SUM('ФАКТ.СЕБЕСТ.СТОКИ 9 мес. 2021'!EB67)</f>
        <v>-410.16457558043021</v>
      </c>
      <c r="AA58" s="3074">
        <f>SUM('ФАКТ.СЕБЕСТ.СТОКИ 9 мес. 2021'!EC67)</f>
        <v>-11.275649995051264</v>
      </c>
      <c r="AB58" s="3074">
        <f>SUM('ФАКТ.СЕБЕСТ.СТОКИ 9 мес. 2021'!FN67)</f>
        <v>421.44065361375021</v>
      </c>
      <c r="AC58" s="3074">
        <f>SUM('ФАКТ.СЕБЕСТ.СТОКИ 9 мес. 2021'!FO67)</f>
        <v>410.16470627376566</v>
      </c>
      <c r="AD58" s="3074">
        <f>SUM('ФАКТ.СЕБЕСТ.СТОКИ 9 мес. 2021'!FP67)</f>
        <v>11.275947339984494</v>
      </c>
      <c r="AE58" s="3074">
        <f>SUM('ФАКТ.СЕБЕСТ.СТОКИ 9 мес. 2021'!FZ67)</f>
        <v>4.2803826886483876E-4</v>
      </c>
      <c r="AF58" s="3074">
        <f>SUM('ФАКТ.СЕБЕСТ.СТОКИ 9 мес. 2021'!GA67)</f>
        <v>1.3069333544990513E-4</v>
      </c>
      <c r="AG58" s="3076">
        <f>SUM('ФАКТ.СЕБЕСТ.СТОКИ 9 мес. 2021'!GB67)</f>
        <v>2.9734493323019251E-4</v>
      </c>
    </row>
    <row r="59" spans="1:33" ht="18.75" customHeight="1" x14ac:dyDescent="0.3">
      <c r="A59" s="3095" t="s">
        <v>529</v>
      </c>
      <c r="B59" s="3092"/>
      <c r="C59" s="3092"/>
      <c r="D59" s="3092"/>
      <c r="E59" s="3092"/>
      <c r="F59" s="3092"/>
      <c r="G59" s="3092"/>
      <c r="H59" s="3092"/>
      <c r="I59" s="3092"/>
      <c r="J59" s="3092"/>
      <c r="K59" s="3092"/>
      <c r="L59" s="3107" t="s">
        <v>902</v>
      </c>
      <c r="M59" s="3074">
        <f>SUM('ФАКТ.СЕБЕСТ.СТОКИ 9 мес. 2021'!AC68)</f>
        <v>23487.487729743763</v>
      </c>
      <c r="N59" s="3074">
        <f>SUM('ФАКТ.СЕБЕСТ.СТОКИ 9 мес. 2021'!AD68)</f>
        <v>23422.713451841668</v>
      </c>
      <c r="O59" s="3074">
        <f>SUM('ФАКТ.СЕБЕСТ.СТОКИ 9 мес. 2021'!AE68)</f>
        <v>64.774277902096202</v>
      </c>
      <c r="P59" s="3074">
        <f>SUM('ФАКТ.СЕБЕСТ.СТОКИ 9 мес. 2021'!BP68)</f>
        <v>23487.487729743763</v>
      </c>
      <c r="Q59" s="3074">
        <f>SUM('ФАКТ.СЕБЕСТ.СТОКИ 9 мес. 2021'!BQ68)</f>
        <v>23422.713451841668</v>
      </c>
      <c r="R59" s="3074">
        <f>SUM('ФАКТ.СЕБЕСТ.СТОКИ 9 мес. 2021'!BR68)</f>
        <v>64.774277902096202</v>
      </c>
      <c r="S59" s="3074">
        <f>SUM('ФАКТ.СЕБЕСТ.СТОКИ 9 мес. 2021'!CB68)</f>
        <v>46974.975459487527</v>
      </c>
      <c r="T59" s="3074">
        <f>SUM('ФАКТ.СЕБЕСТ.СТОКИ 9 мес. 2021'!CC68)</f>
        <v>46845.426903683336</v>
      </c>
      <c r="U59" s="3074">
        <f>SUM('ФАКТ.СЕБЕСТ.СТОКИ 9 мес. 2021'!CD68)</f>
        <v>129.5485558041924</v>
      </c>
      <c r="V59" s="3074">
        <f>SUM('ФАКТ.СЕБЕСТ.СТОКИ 9 мес. 2021'!DO68)</f>
        <v>24412.899805694651</v>
      </c>
      <c r="W59" s="3074">
        <f>SUM('ФАКТ.СЕБЕСТ.СТОКИ 9 мес. 2021'!DP68)</f>
        <v>24324.826797555768</v>
      </c>
      <c r="X59" s="3074">
        <f>SUM('ФАКТ.СЕБЕСТ.СТОКИ 9 мес. 2021'!DQ68)</f>
        <v>88.073008138883779</v>
      </c>
      <c r="Y59" s="3074">
        <f>SUM('ФАКТ.СЕБЕСТ.СТОКИ 9 мес. 2021'!EA68)</f>
        <v>71387.875265182171</v>
      </c>
      <c r="Z59" s="3074">
        <f>SUM('ФАКТ.СЕБЕСТ.СТОКИ 9 мес. 2021'!EB68)</f>
        <v>71170.253701239097</v>
      </c>
      <c r="AA59" s="3074">
        <f>SUM('ФАКТ.СЕБЕСТ.СТОКИ 9 мес. 2021'!EC68)</f>
        <v>217.62156394307618</v>
      </c>
      <c r="AB59" s="3074">
        <f>SUM('ФАКТ.СЕБЕСТ.СТОКИ 9 мес. 2021'!FN68)</f>
        <v>24412.899805694651</v>
      </c>
      <c r="AC59" s="3074">
        <f>SUM('ФАКТ.СЕБЕСТ.СТОКИ 9 мес. 2021'!FO68)</f>
        <v>24324.826797555768</v>
      </c>
      <c r="AD59" s="3074">
        <f>SUM('ФАКТ.СЕБЕСТ.СТОКИ 9 мес. 2021'!FP68)</f>
        <v>88.073008138883779</v>
      </c>
      <c r="AE59" s="3074">
        <f>SUM('ФАКТ.СЕБЕСТ.СТОКИ 9 мес. 2021'!FZ68)</f>
        <v>95800.775070876814</v>
      </c>
      <c r="AF59" s="3074">
        <f>SUM('ФАКТ.СЕБЕСТ.СТОКИ 9 мес. 2021'!GA68)</f>
        <v>95495.080498794865</v>
      </c>
      <c r="AG59" s="3076">
        <f>SUM('ФАКТ.СЕБЕСТ.СТОКИ 9 мес. 2021'!GB68)</f>
        <v>305.69457208195996</v>
      </c>
    </row>
    <row r="60" spans="1:33" ht="18.75" customHeight="1" thickBot="1" x14ac:dyDescent="0.35">
      <c r="A60" s="3110" t="s">
        <v>69</v>
      </c>
      <c r="B60" s="3182"/>
      <c r="C60" s="3182"/>
      <c r="D60" s="3182"/>
      <c r="E60" s="3182"/>
      <c r="F60" s="3182"/>
      <c r="G60" s="3182"/>
      <c r="H60" s="3182"/>
      <c r="I60" s="3182"/>
      <c r="J60" s="3182"/>
      <c r="K60" s="3182"/>
      <c r="L60" s="3187" t="s">
        <v>2029</v>
      </c>
      <c r="M60" s="3184">
        <f>SUM('ФАКТ.СЕБЕСТ.СТОКИ 9 мес. 2021'!AC69)</f>
        <v>33.02973764951723</v>
      </c>
      <c r="N60" s="3184">
        <f>SUM('ФАКТ.СЕБЕСТ.СТОКИ 9 мес. 2021'!AD69)</f>
        <v>33.144512794382315</v>
      </c>
      <c r="O60" s="3184">
        <f>SUM('ФАКТ.СЕБЕСТ.СТОКИ 9 мес. 2021'!AE69)</f>
        <v>14.665597532596637</v>
      </c>
      <c r="P60" s="3184">
        <f>SUM('ФАКТ.СЕБЕСТ.СТОКИ 9 мес. 2021'!BP69)</f>
        <v>33.02973764951723</v>
      </c>
      <c r="Q60" s="3184">
        <f>SUM('ФАКТ.СЕБЕСТ.СТОКИ 9 мес. 2021'!BQ69)</f>
        <v>33.144512794382315</v>
      </c>
      <c r="R60" s="3184">
        <f>SUM('ФАКТ.СЕБЕСТ.СТОКИ 9 мес. 2021'!BR69)</f>
        <v>14.665597532596637</v>
      </c>
      <c r="S60" s="3184">
        <f>SUM('ФАКТ.СЕБЕСТ.СТОКИ 9 мес. 2021'!CB69)</f>
        <v>33.02973764951723</v>
      </c>
      <c r="T60" s="3184">
        <f>SUM('ФАКТ.СЕБЕСТ.СТОКИ 9 мес. 2021'!CC69)</f>
        <v>33.144512794382315</v>
      </c>
      <c r="U60" s="3184">
        <f>SUM('ФАКТ.СЕБЕСТ.СТОКИ 9 мес. 2021'!CD69)</f>
        <v>14.665597532596637</v>
      </c>
      <c r="V60" s="3184">
        <f>SUM('ФАКТ.СЕБЕСТ.СТОКИ 9 мес. 2021'!DO69)</f>
        <v>34.331116427786696</v>
      </c>
      <c r="W60" s="3184">
        <f>SUM('ФАКТ.СЕБЕСТ.СТОКИ 9 мес. 2021'!DP69)</f>
        <v>34.421056068946989</v>
      </c>
      <c r="X60" s="3184">
        <f>SUM('ФАКТ.СЕБЕСТ.СТОКИ 9 мес. 2021'!DQ69)</f>
        <v>19.940682207252792</v>
      </c>
      <c r="Y60" s="3184">
        <f>SUM('ФАКТ.СЕБЕСТ.СТОКИ 9 мес. 2021'!EA69)</f>
        <v>33.463530575607045</v>
      </c>
      <c r="Z60" s="3184">
        <f>SUM('ФАКТ.СЕБЕСТ.СТОКИ 9 мес. 2021'!EB69)</f>
        <v>33.570027219237204</v>
      </c>
      <c r="AA60" s="3184">
        <f>SUM('ФАКТ.СЕБЕСТ.СТОКИ 9 мес. 2021'!EC69)</f>
        <v>16.423959090815355</v>
      </c>
      <c r="AB60" s="3184">
        <f>SUM('ФАКТ.СЕБЕСТ.СТОКИ 9 мес. 2021'!FN69)</f>
        <v>34.331116427786696</v>
      </c>
      <c r="AC60" s="3184">
        <f>SUM('ФАКТ.СЕБЕСТ.СТОКИ 9 мес. 2021'!FO69)</f>
        <v>34.421056068946989</v>
      </c>
      <c r="AD60" s="3184">
        <f>SUM('ФАКТ.СЕБЕСТ.СТОКИ 9 мес. 2021'!FP69)</f>
        <v>19.940682207252792</v>
      </c>
      <c r="AE60" s="3184">
        <f>SUM('ФАКТ.СЕБЕСТ.СТОКИ 9 мес. 2021'!FZ69)</f>
        <v>33.680427038651956</v>
      </c>
      <c r="AF60" s="3184">
        <f>SUM('ФАКТ.СЕБЕСТ.СТОКИ 9 мес. 2021'!GA69)</f>
        <v>33.782784431664652</v>
      </c>
      <c r="AG60" s="3097">
        <f>SUM('ФАКТ.СЕБЕСТ.СТОКИ 9 мес. 2021'!GB69)</f>
        <v>17.303139869924713</v>
      </c>
    </row>
    <row r="61" spans="1:33" ht="12.75" customHeight="1" x14ac:dyDescent="0.2"/>
    <row r="62" spans="1:33" ht="12.75" customHeight="1" x14ac:dyDescent="0.2"/>
    <row r="63" spans="1:33" ht="18.75" customHeight="1" x14ac:dyDescent="0.3">
      <c r="A63" s="389" t="s">
        <v>3816</v>
      </c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 t="s">
        <v>3984</v>
      </c>
    </row>
    <row r="64" spans="1:33" ht="18.75" customHeight="1" x14ac:dyDescent="0.3">
      <c r="A64" s="4210"/>
      <c r="B64" s="361"/>
      <c r="C64" s="361"/>
      <c r="D64" s="361"/>
      <c r="E64" s="361"/>
      <c r="F64" s="361"/>
      <c r="G64" s="361"/>
      <c r="H64" s="361"/>
      <c r="I64" s="361"/>
      <c r="J64" s="361"/>
      <c r="K64" s="361"/>
      <c r="L64" s="361"/>
      <c r="M64" s="361"/>
      <c r="N64" s="361"/>
      <c r="O64" s="361"/>
      <c r="P64" s="361"/>
      <c r="Q64" s="361"/>
      <c r="R64" s="4210"/>
    </row>
    <row r="65" spans="1:18" ht="18.75" customHeight="1" x14ac:dyDescent="0.3">
      <c r="A65" s="4210" t="s">
        <v>3824</v>
      </c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4210" t="s">
        <v>3825</v>
      </c>
    </row>
    <row r="66" spans="1:18" ht="18.75" customHeight="1" x14ac:dyDescent="0.2"/>
    <row r="67" spans="1:18" ht="18.75" customHeight="1" x14ac:dyDescent="0.2"/>
    <row r="68" spans="1:18" ht="18.75" customHeight="1" x14ac:dyDescent="0.2"/>
    <row r="69" spans="1:18" ht="18.75" customHeight="1" x14ac:dyDescent="0.2"/>
    <row r="70" spans="1:18" ht="18.75" customHeight="1" x14ac:dyDescent="0.2"/>
    <row r="71" spans="1:18" ht="18.75" customHeight="1" x14ac:dyDescent="0.2"/>
    <row r="72" spans="1:18" ht="18.75" customHeight="1" x14ac:dyDescent="0.2"/>
    <row r="73" spans="1:18" ht="18.75" customHeight="1" x14ac:dyDescent="0.2"/>
    <row r="74" spans="1:18" ht="18.75" customHeight="1" x14ac:dyDescent="0.2"/>
    <row r="75" spans="1:18" ht="18.75" customHeight="1" x14ac:dyDescent="0.2"/>
    <row r="76" spans="1:18" ht="18.75" customHeight="1" x14ac:dyDescent="0.2"/>
    <row r="77" spans="1:18" ht="18.75" customHeight="1" x14ac:dyDescent="0.2"/>
    <row r="78" spans="1:18" ht="18.75" customHeight="1" x14ac:dyDescent="0.2"/>
    <row r="79" spans="1:18" ht="18.75" customHeight="1" x14ac:dyDescent="0.2"/>
    <row r="80" spans="1:18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  <row r="459" ht="18.75" customHeight="1" x14ac:dyDescent="0.2"/>
    <row r="460" ht="18.75" customHeight="1" x14ac:dyDescent="0.2"/>
    <row r="461" ht="18.75" customHeight="1" x14ac:dyDescent="0.2"/>
    <row r="462" ht="18.75" customHeight="1" x14ac:dyDescent="0.2"/>
  </sheetData>
  <mergeCells count="29">
    <mergeCell ref="AB24:AD24"/>
    <mergeCell ref="AE24:AG24"/>
    <mergeCell ref="AE13:AG13"/>
    <mergeCell ref="A23:AG23"/>
    <mergeCell ref="A24:A25"/>
    <mergeCell ref="E24:I24"/>
    <mergeCell ref="L24:L25"/>
    <mergeCell ref="M24:O24"/>
    <mergeCell ref="P24:R24"/>
    <mergeCell ref="S24:U24"/>
    <mergeCell ref="V24:X24"/>
    <mergeCell ref="Y24:AA24"/>
    <mergeCell ref="A12:AG12"/>
    <mergeCell ref="A13:A14"/>
    <mergeCell ref="E13:I13"/>
    <mergeCell ref="L13:L14"/>
    <mergeCell ref="M13:O13"/>
    <mergeCell ref="P13:R13"/>
    <mergeCell ref="S13:U13"/>
    <mergeCell ref="V13:X13"/>
    <mergeCell ref="Y13:AA13"/>
    <mergeCell ref="AB13:AD13"/>
    <mergeCell ref="A10:AG10"/>
    <mergeCell ref="AD1:AG1"/>
    <mergeCell ref="P4:S4"/>
    <mergeCell ref="P5:S5"/>
    <mergeCell ref="P6:S6"/>
    <mergeCell ref="P7:S7"/>
    <mergeCell ref="AD4:AG4"/>
  </mergeCells>
  <printOptions horizontalCentered="1" verticalCentered="1"/>
  <pageMargins left="0.15748031496062992" right="0.15748031496062992" top="0.19685039370078741" bottom="0.19685039370078741" header="0" footer="0"/>
  <pageSetup paperSize="9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4408" t="s">
        <v>56</v>
      </c>
      <c r="B2" s="4408"/>
      <c r="C2" s="4408"/>
      <c r="D2" s="4408"/>
      <c r="E2" s="4408"/>
      <c r="F2" s="4408"/>
      <c r="G2" s="4408"/>
      <c r="H2" s="4408"/>
      <c r="I2" s="4408"/>
      <c r="J2" s="4408"/>
      <c r="K2" s="4408"/>
      <c r="L2" s="4408"/>
      <c r="M2" s="4408"/>
      <c r="N2" s="4408"/>
      <c r="O2" s="4408"/>
      <c r="P2" s="4408"/>
      <c r="Q2" s="4408"/>
      <c r="R2" s="4408"/>
      <c r="S2" s="4408"/>
      <c r="T2" s="4408"/>
      <c r="U2" s="4408"/>
      <c r="V2" s="4408"/>
      <c r="W2" s="4408"/>
      <c r="X2" s="4408"/>
      <c r="Y2" s="4408"/>
      <c r="Z2" s="4408"/>
      <c r="AA2" s="4408"/>
      <c r="AB2" s="4408"/>
      <c r="AC2" s="4408"/>
      <c r="AD2" s="4408"/>
      <c r="AE2" s="4408"/>
      <c r="AF2" s="4408"/>
      <c r="AG2" s="4408"/>
    </row>
    <row r="3" spans="1:34" x14ac:dyDescent="0.2">
      <c r="A3" s="4409" t="s">
        <v>19</v>
      </c>
      <c r="B3" s="4410"/>
      <c r="C3" s="4410"/>
      <c r="D3" s="4410"/>
      <c r="E3" s="4410"/>
      <c r="F3" s="4410"/>
      <c r="G3" s="4410"/>
      <c r="H3" s="4410"/>
      <c r="I3" s="4410"/>
      <c r="J3" s="4410"/>
      <c r="K3" s="4410"/>
      <c r="L3" s="4410"/>
      <c r="M3" s="4410"/>
      <c r="N3" s="4410"/>
      <c r="O3" s="4410"/>
      <c r="P3" s="4410"/>
      <c r="Q3" s="4410"/>
      <c r="R3" s="4410"/>
      <c r="S3" s="4410"/>
      <c r="T3" s="4410"/>
      <c r="U3" s="4410"/>
      <c r="V3" s="4410"/>
      <c r="W3" s="4410"/>
      <c r="X3" s="4410"/>
      <c r="Y3" s="4410"/>
      <c r="Z3" s="4410"/>
      <c r="AA3" s="4410"/>
      <c r="AB3" s="4410"/>
      <c r="AC3" s="4410"/>
      <c r="AD3" s="4410"/>
      <c r="AE3" s="4410"/>
      <c r="AF3" s="4410"/>
      <c r="AG3" s="4410"/>
    </row>
    <row r="4" spans="1:34" ht="12.75" hidden="1" customHeight="1" x14ac:dyDescent="0.2">
      <c r="A4" s="4411"/>
      <c r="B4" s="4413" t="s">
        <v>57</v>
      </c>
      <c r="C4" s="991"/>
      <c r="D4" s="991"/>
      <c r="E4" s="991"/>
      <c r="F4" s="991"/>
      <c r="G4" s="991"/>
      <c r="H4" s="991"/>
      <c r="I4" s="991"/>
      <c r="J4" s="4415" t="s">
        <v>58</v>
      </c>
      <c r="K4" s="4416"/>
      <c r="L4" s="4416"/>
      <c r="M4" s="4417"/>
      <c r="N4" s="4415" t="s">
        <v>66</v>
      </c>
      <c r="O4" s="4417"/>
      <c r="P4" s="4415" t="s">
        <v>92</v>
      </c>
      <c r="Q4" s="4416"/>
      <c r="R4" s="4417"/>
      <c r="S4" s="4415" t="s">
        <v>117</v>
      </c>
      <c r="T4" s="4416"/>
      <c r="U4" s="4416"/>
      <c r="V4" s="4416"/>
      <c r="W4" s="4338" t="s">
        <v>154</v>
      </c>
      <c r="X4" s="4418"/>
      <c r="Y4" s="4418"/>
      <c r="Z4" s="4418"/>
      <c r="AA4" s="4418"/>
      <c r="AB4" s="4418"/>
      <c r="AC4" s="4418"/>
      <c r="AD4" s="4418"/>
      <c r="AE4" s="4418"/>
      <c r="AF4" s="4418"/>
      <c r="AG4" s="4418"/>
      <c r="AH4" s="4419"/>
    </row>
    <row r="5" spans="1:34" ht="12.75" hidden="1" customHeight="1" x14ac:dyDescent="0.2">
      <c r="A5" s="4411"/>
      <c r="B5" s="4413"/>
      <c r="C5" s="991"/>
      <c r="D5" s="991"/>
      <c r="E5" s="991"/>
      <c r="F5" s="991"/>
      <c r="G5" s="991"/>
      <c r="H5" s="991"/>
      <c r="I5" s="991"/>
      <c r="J5" s="4403" t="s">
        <v>60</v>
      </c>
      <c r="K5" s="1007"/>
      <c r="L5" s="1007"/>
      <c r="M5" s="4406" t="s">
        <v>61</v>
      </c>
      <c r="N5" s="4403" t="s">
        <v>60</v>
      </c>
      <c r="O5" s="4406" t="s">
        <v>65</v>
      </c>
      <c r="P5" s="4403" t="s">
        <v>60</v>
      </c>
      <c r="Q5" s="1007"/>
      <c r="R5" s="4406" t="s">
        <v>109</v>
      </c>
      <c r="S5" s="4403" t="s">
        <v>59</v>
      </c>
      <c r="T5" s="970"/>
      <c r="U5" s="592"/>
      <c r="V5" s="4400" t="s">
        <v>107</v>
      </c>
      <c r="W5" s="4403" t="s">
        <v>93</v>
      </c>
      <c r="X5" s="977"/>
      <c r="Y5" s="592"/>
      <c r="Z5" s="592"/>
      <c r="AA5" s="592"/>
      <c r="AB5" s="1121"/>
      <c r="AC5" s="592"/>
      <c r="AD5" s="970"/>
      <c r="AE5" s="592"/>
      <c r="AF5" s="4400" t="s">
        <v>121</v>
      </c>
      <c r="AG5" s="4400" t="s">
        <v>94</v>
      </c>
      <c r="AH5" s="4406" t="s">
        <v>60</v>
      </c>
    </row>
    <row r="6" spans="1:34" ht="12.75" hidden="1" customHeight="1" x14ac:dyDescent="0.2">
      <c r="A6" s="4411"/>
      <c r="B6" s="4413"/>
      <c r="C6" s="991"/>
      <c r="D6" s="991"/>
      <c r="E6" s="991"/>
      <c r="F6" s="991"/>
      <c r="G6" s="991"/>
      <c r="H6" s="991"/>
      <c r="I6" s="991"/>
      <c r="J6" s="4404"/>
      <c r="K6" s="319"/>
      <c r="L6" s="319"/>
      <c r="M6" s="4407"/>
      <c r="N6" s="4404"/>
      <c r="O6" s="4407"/>
      <c r="P6" s="4404"/>
      <c r="Q6" s="319"/>
      <c r="R6" s="4407"/>
      <c r="S6" s="4404"/>
      <c r="T6" s="944"/>
      <c r="U6" s="944"/>
      <c r="V6" s="4401"/>
      <c r="W6" s="4404"/>
      <c r="X6" s="978"/>
      <c r="Y6" s="944"/>
      <c r="Z6" s="944"/>
      <c r="AA6" s="944"/>
      <c r="AB6" s="967"/>
      <c r="AC6" s="944"/>
      <c r="AD6" s="944"/>
      <c r="AE6" s="944"/>
      <c r="AF6" s="4401"/>
      <c r="AG6" s="4401"/>
      <c r="AH6" s="4407"/>
    </row>
    <row r="7" spans="1:34" ht="13.5" hidden="1" customHeight="1" thickBot="1" x14ac:dyDescent="0.25">
      <c r="A7" s="4412"/>
      <c r="B7" s="4414"/>
      <c r="C7" s="992"/>
      <c r="D7" s="992"/>
      <c r="E7" s="992"/>
      <c r="F7" s="992"/>
      <c r="G7" s="992"/>
      <c r="H7" s="992"/>
      <c r="I7" s="992"/>
      <c r="J7" s="4405"/>
      <c r="K7" s="1008"/>
      <c r="L7" s="1008"/>
      <c r="M7" s="4279"/>
      <c r="N7" s="4405"/>
      <c r="O7" s="4279"/>
      <c r="P7" s="4405"/>
      <c r="Q7" s="1008"/>
      <c r="R7" s="4279"/>
      <c r="S7" s="4405"/>
      <c r="T7" s="945"/>
      <c r="U7" s="945"/>
      <c r="V7" s="4402"/>
      <c r="W7" s="4405"/>
      <c r="X7" s="979"/>
      <c r="Y7" s="945"/>
      <c r="Z7" s="945"/>
      <c r="AA7" s="945"/>
      <c r="AB7" s="968"/>
      <c r="AC7" s="945"/>
      <c r="AD7" s="945"/>
      <c r="AE7" s="945"/>
      <c r="AF7" s="4402"/>
      <c r="AG7" s="4402"/>
      <c r="AH7" s="4279"/>
    </row>
    <row r="8" spans="1:34" ht="13.5" hidden="1" thickBot="1" x14ac:dyDescent="0.25">
      <c r="A8" s="4368" t="s">
        <v>46</v>
      </c>
      <c r="B8" s="4369"/>
      <c r="C8" s="4369"/>
      <c r="D8" s="4369"/>
      <c r="E8" s="4369"/>
      <c r="F8" s="4369"/>
      <c r="G8" s="4369"/>
      <c r="H8" s="4369"/>
      <c r="I8" s="4369"/>
      <c r="J8" s="4369"/>
      <c r="K8" s="4369"/>
      <c r="L8" s="4369"/>
      <c r="M8" s="4369"/>
      <c r="N8" s="4369"/>
      <c r="O8" s="4369"/>
      <c r="P8" s="4369"/>
      <c r="Q8" s="4369"/>
      <c r="R8" s="4369"/>
      <c r="S8" s="4369"/>
      <c r="T8" s="4369"/>
      <c r="U8" s="4369"/>
      <c r="V8" s="4369"/>
      <c r="W8" s="4369"/>
      <c r="X8" s="4369"/>
      <c r="Y8" s="4369"/>
      <c r="Z8" s="4369"/>
      <c r="AA8" s="4369"/>
      <c r="AB8" s="4369"/>
      <c r="AC8" s="4369"/>
      <c r="AD8" s="4369"/>
      <c r="AE8" s="4369"/>
      <c r="AF8" s="4369"/>
      <c r="AG8" s="4369"/>
      <c r="AH8" s="4370"/>
    </row>
    <row r="9" spans="1:34" hidden="1" x14ac:dyDescent="0.2">
      <c r="A9" s="33" t="s">
        <v>18</v>
      </c>
      <c r="B9" s="37">
        <f>B10+B12</f>
        <v>10513.699999999999</v>
      </c>
      <c r="C9" s="993"/>
      <c r="D9" s="993"/>
      <c r="E9" s="993"/>
      <c r="F9" s="993"/>
      <c r="G9" s="993"/>
      <c r="H9" s="993"/>
      <c r="I9" s="993"/>
      <c r="J9" s="42">
        <f>J10+J12</f>
        <v>8838.9000000000015</v>
      </c>
      <c r="K9" s="1013"/>
      <c r="L9" s="1013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948">
        <f>P10+P11+P12</f>
        <v>8372.9</v>
      </c>
      <c r="Q9" s="993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948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3">
        <f>AH10+AH12</f>
        <v>7835.7</v>
      </c>
    </row>
    <row r="10" spans="1:34" hidden="1" x14ac:dyDescent="0.2">
      <c r="A10" s="34" t="s">
        <v>20</v>
      </c>
      <c r="B10" s="38">
        <v>744.9</v>
      </c>
      <c r="C10" s="994"/>
      <c r="D10" s="994"/>
      <c r="E10" s="994"/>
      <c r="F10" s="994"/>
      <c r="G10" s="994"/>
      <c r="H10" s="994"/>
      <c r="I10" s="994"/>
      <c r="J10" s="946">
        <v>643.70000000000005</v>
      </c>
      <c r="K10" s="1014"/>
      <c r="L10" s="1014"/>
      <c r="M10" s="45">
        <f>J10/B10*100</f>
        <v>86.414283796482763</v>
      </c>
      <c r="N10" s="946">
        <v>811.9</v>
      </c>
      <c r="O10" s="108">
        <f>N10/J10*100</f>
        <v>126.13018486872764</v>
      </c>
      <c r="P10" s="949">
        <v>876.4</v>
      </c>
      <c r="Q10" s="994"/>
      <c r="R10" s="45">
        <f t="shared" ref="R10:R19" si="1">P10/N10*100</f>
        <v>107.9443281192265</v>
      </c>
      <c r="S10" s="113">
        <v>841.6</v>
      </c>
      <c r="T10" s="1002"/>
      <c r="U10" s="593"/>
      <c r="V10" s="11">
        <v>580.70000000000005</v>
      </c>
      <c r="W10" s="949">
        <v>876</v>
      </c>
      <c r="X10" s="980"/>
      <c r="Y10" s="597"/>
      <c r="Z10" s="597"/>
      <c r="AA10" s="597"/>
      <c r="AB10" s="1122"/>
      <c r="AC10" s="597"/>
      <c r="AD10" s="971"/>
      <c r="AE10" s="597"/>
      <c r="AF10" s="946">
        <v>876</v>
      </c>
      <c r="AG10" s="6">
        <f t="shared" si="0"/>
        <v>104.08745247148288</v>
      </c>
      <c r="AH10" s="268">
        <f>7835.7-4227.7-2796.3</f>
        <v>811.69999999999982</v>
      </c>
    </row>
    <row r="11" spans="1:34" hidden="1" x14ac:dyDescent="0.2">
      <c r="A11" s="55" t="s">
        <v>110</v>
      </c>
      <c r="B11" s="32"/>
      <c r="C11" s="995"/>
      <c r="D11" s="995"/>
      <c r="E11" s="995"/>
      <c r="F11" s="995"/>
      <c r="G11" s="995"/>
      <c r="H11" s="995"/>
      <c r="I11" s="995"/>
      <c r="J11" s="2"/>
      <c r="K11" s="1015"/>
      <c r="L11" s="1015"/>
      <c r="M11" s="47"/>
      <c r="N11" s="2">
        <v>54.2</v>
      </c>
      <c r="O11" s="109"/>
      <c r="P11" s="56">
        <v>0</v>
      </c>
      <c r="Q11" s="995"/>
      <c r="R11" s="45">
        <f t="shared" si="1"/>
        <v>0</v>
      </c>
      <c r="S11" s="112">
        <v>22.5</v>
      </c>
      <c r="T11" s="1003"/>
      <c r="U11" s="594"/>
      <c r="V11" s="31"/>
      <c r="W11" s="56"/>
      <c r="X11" s="981"/>
      <c r="Y11" s="597"/>
      <c r="Z11" s="597"/>
      <c r="AA11" s="597"/>
      <c r="AB11" s="1122"/>
      <c r="AC11" s="597"/>
      <c r="AD11" s="971"/>
      <c r="AE11" s="597"/>
      <c r="AF11" s="2"/>
      <c r="AG11" s="31">
        <f t="shared" si="0"/>
        <v>0</v>
      </c>
      <c r="AH11" s="174"/>
    </row>
    <row r="12" spans="1:34" hidden="1" x14ac:dyDescent="0.2">
      <c r="A12" s="34" t="s">
        <v>21</v>
      </c>
      <c r="B12" s="38">
        <f>B13+B15</f>
        <v>9768.7999999999993</v>
      </c>
      <c r="C12" s="994"/>
      <c r="D12" s="994"/>
      <c r="E12" s="994"/>
      <c r="F12" s="994"/>
      <c r="G12" s="994"/>
      <c r="H12" s="994"/>
      <c r="I12" s="994"/>
      <c r="J12" s="946">
        <f>J13+J15</f>
        <v>8195.2000000000007</v>
      </c>
      <c r="K12" s="1014"/>
      <c r="L12" s="1014"/>
      <c r="M12" s="45">
        <f>J12/B12*100</f>
        <v>83.891573171730414</v>
      </c>
      <c r="N12" s="946">
        <f>N13+N15</f>
        <v>7996.7999999999993</v>
      </c>
      <c r="O12" s="108">
        <f>N12/J12*100</f>
        <v>97.579070675517357</v>
      </c>
      <c r="P12" s="949">
        <f>P13+P15</f>
        <v>7496.5</v>
      </c>
      <c r="Q12" s="994"/>
      <c r="R12" s="45">
        <f t="shared" si="1"/>
        <v>93.74374749899961</v>
      </c>
      <c r="S12" s="113">
        <f>S13+S15</f>
        <v>5795</v>
      </c>
      <c r="T12" s="1004"/>
      <c r="U12" s="947"/>
      <c r="V12" s="946">
        <f>V13+V15</f>
        <v>6086.2000000000007</v>
      </c>
      <c r="W12" s="949">
        <f>W13+W15</f>
        <v>5783.1</v>
      </c>
      <c r="X12" s="980"/>
      <c r="Y12" s="597"/>
      <c r="Z12" s="597"/>
      <c r="AA12" s="597"/>
      <c r="AB12" s="1122"/>
      <c r="AC12" s="597"/>
      <c r="AD12" s="971"/>
      <c r="AE12" s="597"/>
      <c r="AF12" s="946">
        <f>AF13+AF15</f>
        <v>5505</v>
      </c>
      <c r="AG12" s="6">
        <f t="shared" si="0"/>
        <v>94.995685936151858</v>
      </c>
      <c r="AH12" s="246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994"/>
      <c r="D13" s="994"/>
      <c r="E13" s="994"/>
      <c r="F13" s="994"/>
      <c r="G13" s="994"/>
      <c r="H13" s="994"/>
      <c r="I13" s="994"/>
      <c r="J13" s="946">
        <v>3172</v>
      </c>
      <c r="K13" s="1014"/>
      <c r="L13" s="1014"/>
      <c r="M13" s="45">
        <f>J13/B13*100</f>
        <v>71.36268532475421</v>
      </c>
      <c r="N13" s="946">
        <v>3094</v>
      </c>
      <c r="O13" s="108">
        <f>N13/J13*100</f>
        <v>97.540983606557376</v>
      </c>
      <c r="P13" s="949">
        <v>2972.2</v>
      </c>
      <c r="Q13" s="994"/>
      <c r="R13" s="45">
        <f t="shared" si="1"/>
        <v>96.063348416289585</v>
      </c>
      <c r="S13" s="113">
        <v>1150</v>
      </c>
      <c r="T13" s="1002"/>
      <c r="U13" s="593"/>
      <c r="V13" s="11">
        <v>2822.4</v>
      </c>
      <c r="W13" s="949">
        <v>1683.1</v>
      </c>
      <c r="X13" s="980"/>
      <c r="Y13" s="597"/>
      <c r="Z13" s="597"/>
      <c r="AA13" s="597"/>
      <c r="AB13" s="1122"/>
      <c r="AC13" s="597"/>
      <c r="AD13" s="971"/>
      <c r="AE13" s="597"/>
      <c r="AF13" s="946">
        <v>1100</v>
      </c>
      <c r="AG13" s="6">
        <f t="shared" si="0"/>
        <v>95.652173913043484</v>
      </c>
      <c r="AH13" s="174">
        <v>2796.3</v>
      </c>
    </row>
    <row r="14" spans="1:34" ht="27.75" hidden="1" customHeight="1" x14ac:dyDescent="0.2">
      <c r="A14" s="35" t="s">
        <v>111</v>
      </c>
      <c r="B14" s="39">
        <f>B13/B12*100</f>
        <v>45.500982720497909</v>
      </c>
      <c r="C14" s="996"/>
      <c r="D14" s="996"/>
      <c r="E14" s="996"/>
      <c r="F14" s="996"/>
      <c r="G14" s="996"/>
      <c r="H14" s="996"/>
      <c r="I14" s="996"/>
      <c r="J14" s="30">
        <f>J13/J12*100</f>
        <v>38.705583756345177</v>
      </c>
      <c r="K14" s="1016"/>
      <c r="L14" s="1016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996"/>
      <c r="R14" s="45"/>
      <c r="S14" s="118">
        <f>S13/S12*100</f>
        <v>19.844693701466781</v>
      </c>
      <c r="T14" s="1003"/>
      <c r="U14" s="594"/>
      <c r="V14" s="31">
        <f>V13/V12*100</f>
        <v>46.373763596332687</v>
      </c>
      <c r="W14" s="46">
        <f>W13/W12*100</f>
        <v>29.103767875360965</v>
      </c>
      <c r="X14" s="982"/>
      <c r="Y14" s="597"/>
      <c r="Z14" s="597"/>
      <c r="AA14" s="597"/>
      <c r="AB14" s="1122"/>
      <c r="AC14" s="597"/>
      <c r="AD14" s="971"/>
      <c r="AE14" s="597"/>
      <c r="AF14" s="94">
        <f>AF13/AF12*100</f>
        <v>19.981834695731155</v>
      </c>
      <c r="AG14" s="31">
        <f t="shared" si="0"/>
        <v>100.69107135805395</v>
      </c>
      <c r="AH14" s="247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994"/>
      <c r="D15" s="994"/>
      <c r="E15" s="994"/>
      <c r="F15" s="994"/>
      <c r="G15" s="994"/>
      <c r="H15" s="994"/>
      <c r="I15" s="994"/>
      <c r="J15" s="946">
        <f>SUM(J17:J19)</f>
        <v>5023.2000000000007</v>
      </c>
      <c r="K15" s="1014"/>
      <c r="L15" s="1014"/>
      <c r="M15" s="45">
        <f>J15/B15*100</f>
        <v>94.351884896410539</v>
      </c>
      <c r="N15" s="946">
        <f>SUM(N17:N19)</f>
        <v>4902.7999999999993</v>
      </c>
      <c r="O15" s="108">
        <f>N15/J15*100</f>
        <v>97.603121516164975</v>
      </c>
      <c r="P15" s="949">
        <f>SUM(P17:P19)</f>
        <v>4524.3</v>
      </c>
      <c r="Q15" s="994"/>
      <c r="R15" s="45">
        <f t="shared" si="1"/>
        <v>92.279921677408851</v>
      </c>
      <c r="S15" s="113">
        <f>SUM(S17:S19)</f>
        <v>4645</v>
      </c>
      <c r="T15" s="1004"/>
      <c r="U15" s="947"/>
      <c r="V15" s="946">
        <f>SUM(V17:V19)</f>
        <v>3263.8</v>
      </c>
      <c r="W15" s="949">
        <f>SUM(W17:W19)</f>
        <v>4100</v>
      </c>
      <c r="X15" s="980"/>
      <c r="Y15" s="597"/>
      <c r="Z15" s="597"/>
      <c r="AA15" s="597"/>
      <c r="AB15" s="1122"/>
      <c r="AC15" s="597"/>
      <c r="AD15" s="971"/>
      <c r="AE15" s="597"/>
      <c r="AF15" s="946">
        <f>SUM(AF17:AF19)</f>
        <v>4405</v>
      </c>
      <c r="AG15" s="6">
        <f t="shared" si="0"/>
        <v>94.833153928955866</v>
      </c>
      <c r="AH15" s="246">
        <f>SUM(AH17:AH19)</f>
        <v>4227.7</v>
      </c>
    </row>
    <row r="16" spans="1:34" hidden="1" x14ac:dyDescent="0.2">
      <c r="A16" s="34" t="s">
        <v>50</v>
      </c>
      <c r="B16" s="38"/>
      <c r="C16" s="994"/>
      <c r="D16" s="994"/>
      <c r="E16" s="994"/>
      <c r="F16" s="994"/>
      <c r="G16" s="994"/>
      <c r="H16" s="994"/>
      <c r="I16" s="994"/>
      <c r="J16" s="946"/>
      <c r="K16" s="1014"/>
      <c r="L16" s="1014"/>
      <c r="M16" s="45"/>
      <c r="N16" s="946"/>
      <c r="O16" s="108"/>
      <c r="P16" s="949"/>
      <c r="Q16" s="994"/>
      <c r="R16" s="45"/>
      <c r="S16" s="113"/>
      <c r="T16" s="1002"/>
      <c r="U16" s="593"/>
      <c r="V16" s="6"/>
      <c r="W16" s="949"/>
      <c r="X16" s="980"/>
      <c r="Y16" s="597"/>
      <c r="Z16" s="597"/>
      <c r="AA16" s="597"/>
      <c r="AB16" s="1122"/>
      <c r="AC16" s="597"/>
      <c r="AD16" s="971"/>
      <c r="AE16" s="597"/>
      <c r="AF16" s="946"/>
      <c r="AG16" s="6"/>
      <c r="AH16" s="174"/>
    </row>
    <row r="17" spans="1:34" hidden="1" x14ac:dyDescent="0.2">
      <c r="A17" s="34" t="s">
        <v>24</v>
      </c>
      <c r="B17" s="38">
        <v>3682.8</v>
      </c>
      <c r="C17" s="994"/>
      <c r="D17" s="994"/>
      <c r="E17" s="994"/>
      <c r="F17" s="994"/>
      <c r="G17" s="994"/>
      <c r="H17" s="994"/>
      <c r="I17" s="994"/>
      <c r="J17" s="946">
        <v>3570.3</v>
      </c>
      <c r="K17" s="1014"/>
      <c r="L17" s="1014"/>
      <c r="M17" s="45">
        <f>J17/B17*100</f>
        <v>96.945259042033243</v>
      </c>
      <c r="N17" s="946">
        <v>3407.1</v>
      </c>
      <c r="O17" s="108">
        <f>N17/J17*100</f>
        <v>95.42895554995377</v>
      </c>
      <c r="P17" s="949">
        <v>3159.6</v>
      </c>
      <c r="Q17" s="994"/>
      <c r="R17" s="45">
        <f t="shared" si="1"/>
        <v>92.735757682486579</v>
      </c>
      <c r="S17" s="113">
        <v>3192</v>
      </c>
      <c r="T17" s="1002"/>
      <c r="U17" s="593"/>
      <c r="V17" s="11">
        <v>2288.1</v>
      </c>
      <c r="W17" s="949">
        <v>2860</v>
      </c>
      <c r="X17" s="980"/>
      <c r="Y17" s="597"/>
      <c r="Z17" s="597"/>
      <c r="AA17" s="597"/>
      <c r="AB17" s="1122"/>
      <c r="AC17" s="597"/>
      <c r="AD17" s="971"/>
      <c r="AE17" s="597"/>
      <c r="AF17" s="946">
        <v>3100</v>
      </c>
      <c r="AG17" s="6">
        <f>AF17/S17*100</f>
        <v>97.11779448621553</v>
      </c>
      <c r="AH17" s="174">
        <v>2975.5</v>
      </c>
    </row>
    <row r="18" spans="1:34" hidden="1" x14ac:dyDescent="0.2">
      <c r="A18" s="34" t="s">
        <v>25</v>
      </c>
      <c r="B18" s="38">
        <v>129.69999999999999</v>
      </c>
      <c r="C18" s="994"/>
      <c r="D18" s="994"/>
      <c r="E18" s="994"/>
      <c r="F18" s="994"/>
      <c r="G18" s="994"/>
      <c r="H18" s="994"/>
      <c r="I18" s="994"/>
      <c r="J18" s="946">
        <v>59.4</v>
      </c>
      <c r="K18" s="1014"/>
      <c r="L18" s="1014"/>
      <c r="M18" s="45">
        <f>J18/B18*100</f>
        <v>45.797995373939862</v>
      </c>
      <c r="N18" s="946">
        <v>46.1</v>
      </c>
      <c r="O18" s="108">
        <f>N18/J18*100</f>
        <v>77.609427609427613</v>
      </c>
      <c r="P18" s="949">
        <v>54.9</v>
      </c>
      <c r="Q18" s="994"/>
      <c r="R18" s="45">
        <f t="shared" si="1"/>
        <v>119.08893709327548</v>
      </c>
      <c r="S18" s="113">
        <v>59</v>
      </c>
      <c r="T18" s="1002"/>
      <c r="U18" s="593"/>
      <c r="V18" s="11">
        <v>36.799999999999997</v>
      </c>
      <c r="W18" s="949">
        <v>55</v>
      </c>
      <c r="X18" s="980"/>
      <c r="Y18" s="597"/>
      <c r="Z18" s="597"/>
      <c r="AA18" s="597"/>
      <c r="AB18" s="1122"/>
      <c r="AC18" s="597"/>
      <c r="AD18" s="971"/>
      <c r="AE18" s="597"/>
      <c r="AF18" s="946">
        <v>55</v>
      </c>
      <c r="AG18" s="6">
        <f>AF18/S18*100</f>
        <v>93.220338983050837</v>
      </c>
      <c r="AH18" s="174">
        <v>46</v>
      </c>
    </row>
    <row r="19" spans="1:34" ht="13.5" hidden="1" thickBot="1" x14ac:dyDescent="0.25">
      <c r="A19" s="36" t="s">
        <v>26</v>
      </c>
      <c r="B19" s="40">
        <v>1511.4</v>
      </c>
      <c r="C19" s="997"/>
      <c r="D19" s="997"/>
      <c r="E19" s="997"/>
      <c r="F19" s="997"/>
      <c r="G19" s="997"/>
      <c r="H19" s="997"/>
      <c r="I19" s="997"/>
      <c r="J19" s="49">
        <v>1393.5</v>
      </c>
      <c r="K19" s="1017"/>
      <c r="L19" s="1017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09"/>
      <c r="R19" s="119">
        <f t="shared" si="1"/>
        <v>90.355960264900673</v>
      </c>
      <c r="S19" s="117">
        <v>1394</v>
      </c>
      <c r="T19" s="1005"/>
      <c r="U19" s="51"/>
      <c r="V19" s="51">
        <v>938.9</v>
      </c>
      <c r="W19" s="950">
        <v>1185</v>
      </c>
      <c r="X19" s="983"/>
      <c r="Y19" s="53"/>
      <c r="Z19" s="53"/>
      <c r="AA19" s="53"/>
      <c r="AB19" s="972"/>
      <c r="AC19" s="53"/>
      <c r="AD19" s="972"/>
      <c r="AE19" s="53"/>
      <c r="AF19" s="49">
        <v>1250</v>
      </c>
      <c r="AG19" s="53">
        <f>AF19/S19*100</f>
        <v>89.670014347202297</v>
      </c>
      <c r="AH19" s="175">
        <v>1206.2</v>
      </c>
    </row>
    <row r="20" spans="1:34" ht="13.5" hidden="1" thickBot="1" x14ac:dyDescent="0.25">
      <c r="A20" s="4371" t="s">
        <v>47</v>
      </c>
      <c r="B20" s="4372"/>
      <c r="C20" s="4372"/>
      <c r="D20" s="4372"/>
      <c r="E20" s="4372"/>
      <c r="F20" s="4372"/>
      <c r="G20" s="4372"/>
      <c r="H20" s="4372"/>
      <c r="I20" s="4372"/>
      <c r="J20" s="4372"/>
      <c r="K20" s="4372"/>
      <c r="L20" s="4372"/>
      <c r="M20" s="4372"/>
      <c r="N20" s="4372"/>
      <c r="O20" s="4372"/>
      <c r="P20" s="4372"/>
      <c r="Q20" s="4372"/>
      <c r="R20" s="4372"/>
      <c r="S20" s="4372"/>
      <c r="T20" s="4372"/>
      <c r="U20" s="4372"/>
      <c r="V20" s="4372"/>
      <c r="W20" s="4372"/>
      <c r="X20" s="4372"/>
      <c r="Y20" s="4372"/>
      <c r="Z20" s="4372"/>
      <c r="AA20" s="4372"/>
      <c r="AB20" s="4372"/>
      <c r="AC20" s="4372"/>
      <c r="AD20" s="4372"/>
      <c r="AE20" s="4372"/>
      <c r="AF20" s="4372"/>
      <c r="AG20" s="4372"/>
      <c r="AH20" s="4373"/>
    </row>
    <row r="21" spans="1:34" hidden="1" x14ac:dyDescent="0.2">
      <c r="A21" s="148" t="s">
        <v>115</v>
      </c>
      <c r="B21" s="149">
        <f>SUM(B23:B26)</f>
        <v>4738.2</v>
      </c>
      <c r="C21" s="151"/>
      <c r="D21" s="151"/>
      <c r="E21" s="151"/>
      <c r="F21" s="151"/>
      <c r="G21" s="151"/>
      <c r="H21" s="151"/>
      <c r="I21" s="151"/>
      <c r="J21" s="145">
        <f>SUM(J23:J26)</f>
        <v>4585.8</v>
      </c>
      <c r="K21" s="1018"/>
      <c r="L21" s="1018"/>
      <c r="M21" s="150">
        <f>J21/B21*100</f>
        <v>96.783588704571372</v>
      </c>
      <c r="N21" s="149">
        <f>SUM(N23:N26)</f>
        <v>4415.2</v>
      </c>
      <c r="O21" s="151">
        <f>SUM(O23:O26)</f>
        <v>389.68342743817789</v>
      </c>
      <c r="P21" s="152">
        <f>SUM(P23:P26)</f>
        <v>4093.2000000000003</v>
      </c>
      <c r="Q21" s="151"/>
      <c r="R21" s="153">
        <f>P21/N21*100</f>
        <v>92.707012139880419</v>
      </c>
      <c r="S21" s="116">
        <f>SUM(S23:S26)</f>
        <v>4224.5</v>
      </c>
      <c r="T21" s="145"/>
      <c r="U21" s="145"/>
      <c r="V21" s="145">
        <f>SUM(V23:V26)</f>
        <v>2958.3</v>
      </c>
      <c r="W21" s="948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8">
        <f>SUM(AH23:AH26)</f>
        <v>3805.3</v>
      </c>
    </row>
    <row r="22" spans="1:34" hidden="1" x14ac:dyDescent="0.2">
      <c r="A22" s="34" t="s">
        <v>23</v>
      </c>
      <c r="B22" s="38"/>
      <c r="C22" s="994"/>
      <c r="D22" s="994"/>
      <c r="E22" s="994"/>
      <c r="F22" s="994"/>
      <c r="G22" s="994"/>
      <c r="H22" s="994"/>
      <c r="I22" s="994"/>
      <c r="J22" s="946"/>
      <c r="K22" s="1014"/>
      <c r="L22" s="1014"/>
      <c r="M22" s="108"/>
      <c r="N22" s="38"/>
      <c r="O22" s="106"/>
      <c r="P22" s="120"/>
      <c r="Q22" s="1010"/>
      <c r="R22" s="45"/>
      <c r="S22" s="113"/>
      <c r="T22" s="1002"/>
      <c r="U22" s="593"/>
      <c r="V22" s="6"/>
      <c r="W22" s="949"/>
      <c r="X22" s="980"/>
      <c r="Y22" s="597"/>
      <c r="Z22" s="597"/>
      <c r="AA22" s="597"/>
      <c r="AB22" s="1122"/>
      <c r="AC22" s="597"/>
      <c r="AD22" s="971"/>
      <c r="AE22" s="597"/>
      <c r="AF22" s="946"/>
      <c r="AG22" s="6"/>
      <c r="AH22" s="249"/>
    </row>
    <row r="23" spans="1:34" hidden="1" x14ac:dyDescent="0.2">
      <c r="A23" s="34" t="s">
        <v>27</v>
      </c>
      <c r="B23" s="38">
        <v>3483.6</v>
      </c>
      <c r="C23" s="994"/>
      <c r="D23" s="994"/>
      <c r="E23" s="994"/>
      <c r="F23" s="994"/>
      <c r="G23" s="994"/>
      <c r="H23" s="994"/>
      <c r="I23" s="994"/>
      <c r="J23" s="946">
        <v>3439.8</v>
      </c>
      <c r="K23" s="1014"/>
      <c r="L23" s="1014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11"/>
      <c r="R23" s="45">
        <f>P23/N23*100</f>
        <v>92.496110789128522</v>
      </c>
      <c r="S23" s="113">
        <v>3064.5</v>
      </c>
      <c r="T23" s="1002"/>
      <c r="U23" s="593"/>
      <c r="V23" s="11">
        <v>2188.8000000000002</v>
      </c>
      <c r="W23" s="949">
        <v>2632</v>
      </c>
      <c r="X23" s="980"/>
      <c r="Y23" s="597"/>
      <c r="Z23" s="597"/>
      <c r="AA23" s="597"/>
      <c r="AB23" s="1122"/>
      <c r="AC23" s="597"/>
      <c r="AD23" s="971"/>
      <c r="AE23" s="597"/>
      <c r="AF23" s="946">
        <v>2955</v>
      </c>
      <c r="AG23" s="6">
        <f>AF23/S23*100</f>
        <v>96.426823299069994</v>
      </c>
      <c r="AH23" s="249">
        <v>2735</v>
      </c>
    </row>
    <row r="24" spans="1:34" hidden="1" x14ac:dyDescent="0.2">
      <c r="A24" s="34" t="s">
        <v>28</v>
      </c>
      <c r="B24" s="38">
        <v>293.89999999999998</v>
      </c>
      <c r="C24" s="994"/>
      <c r="D24" s="994"/>
      <c r="E24" s="994"/>
      <c r="F24" s="994"/>
      <c r="G24" s="994"/>
      <c r="H24" s="994"/>
      <c r="I24" s="994"/>
      <c r="J24" s="946">
        <v>272.2</v>
      </c>
      <c r="K24" s="1014"/>
      <c r="L24" s="1014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11"/>
      <c r="R24" s="45">
        <f>P24/N24*100</f>
        <v>0</v>
      </c>
      <c r="S24" s="113"/>
      <c r="T24" s="1002"/>
      <c r="U24" s="593"/>
      <c r="V24" s="11"/>
      <c r="W24" s="949"/>
      <c r="X24" s="980"/>
      <c r="Y24" s="597"/>
      <c r="Z24" s="597"/>
      <c r="AA24" s="597"/>
      <c r="AB24" s="1122"/>
      <c r="AC24" s="597"/>
      <c r="AD24" s="971"/>
      <c r="AE24" s="597"/>
      <c r="AF24" s="946"/>
      <c r="AG24" s="6"/>
      <c r="AH24" s="249"/>
    </row>
    <row r="25" spans="1:34" hidden="1" x14ac:dyDescent="0.2">
      <c r="A25" s="34" t="s">
        <v>29</v>
      </c>
      <c r="B25" s="38">
        <v>932.3</v>
      </c>
      <c r="C25" s="994"/>
      <c r="D25" s="994"/>
      <c r="E25" s="994"/>
      <c r="F25" s="994"/>
      <c r="G25" s="994"/>
      <c r="H25" s="994"/>
      <c r="I25" s="994"/>
      <c r="J25" s="946">
        <v>845.1</v>
      </c>
      <c r="K25" s="1014"/>
      <c r="L25" s="1014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11"/>
      <c r="R25" s="45">
        <f>P25/N25*100</f>
        <v>120.92343658679134</v>
      </c>
      <c r="S25" s="116">
        <v>1132</v>
      </c>
      <c r="T25" s="1002"/>
      <c r="U25" s="593"/>
      <c r="V25" s="11">
        <v>755.4</v>
      </c>
      <c r="W25" s="949">
        <v>1035</v>
      </c>
      <c r="X25" s="980"/>
      <c r="Y25" s="597"/>
      <c r="Z25" s="597"/>
      <c r="AA25" s="597"/>
      <c r="AB25" s="1122"/>
      <c r="AC25" s="597"/>
      <c r="AD25" s="971"/>
      <c r="AE25" s="597"/>
      <c r="AF25" s="946">
        <v>1035</v>
      </c>
      <c r="AG25" s="6">
        <f>AF25/S25*100</f>
        <v>91.431095406360413</v>
      </c>
      <c r="AH25" s="249">
        <f>449.5+407.8+92.5+92.5</f>
        <v>1042.3</v>
      </c>
    </row>
    <row r="26" spans="1:34" ht="13.5" hidden="1" thickBot="1" x14ac:dyDescent="0.25">
      <c r="A26" s="36" t="s">
        <v>67</v>
      </c>
      <c r="B26" s="40">
        <v>28.4</v>
      </c>
      <c r="C26" s="997"/>
      <c r="D26" s="997"/>
      <c r="E26" s="997"/>
      <c r="F26" s="997"/>
      <c r="G26" s="997"/>
      <c r="H26" s="997"/>
      <c r="I26" s="997"/>
      <c r="J26" s="49">
        <v>28.7</v>
      </c>
      <c r="K26" s="1017"/>
      <c r="L26" s="1017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12"/>
      <c r="R26" s="50">
        <f>P26/N26*100</f>
        <v>91.666666666666657</v>
      </c>
      <c r="S26" s="117">
        <v>28</v>
      </c>
      <c r="T26" s="1005"/>
      <c r="U26" s="51"/>
      <c r="V26" s="51">
        <v>14.1</v>
      </c>
      <c r="W26" s="950">
        <v>28</v>
      </c>
      <c r="X26" s="983"/>
      <c r="Y26" s="53"/>
      <c r="Z26" s="53"/>
      <c r="AA26" s="53"/>
      <c r="AB26" s="972"/>
      <c r="AC26" s="53"/>
      <c r="AD26" s="972"/>
      <c r="AE26" s="53"/>
      <c r="AF26" s="49">
        <v>28</v>
      </c>
      <c r="AG26" s="53">
        <f>AF26/S26*100</f>
        <v>100</v>
      </c>
      <c r="AH26" s="250">
        <v>28</v>
      </c>
    </row>
    <row r="27" spans="1:34" hidden="1" x14ac:dyDescent="0.2">
      <c r="A27" s="231" t="s">
        <v>354</v>
      </c>
      <c r="N27" s="159">
        <f>N10/N9</f>
        <v>9.1606584752169151E-2</v>
      </c>
      <c r="O27" s="159">
        <f t="shared" ref="O27:AF27" si="2">O10/O9</f>
        <v>1.257886347624589</v>
      </c>
      <c r="P27" s="159">
        <f t="shared" si="2"/>
        <v>0.10467102198760286</v>
      </c>
      <c r="Q27" s="159"/>
      <c r="S27" s="159">
        <f t="shared" si="2"/>
        <v>0.12638344521031369</v>
      </c>
      <c r="T27" s="159"/>
      <c r="U27" s="159"/>
      <c r="V27" s="159">
        <f t="shared" si="2"/>
        <v>8.7101951431699895E-2</v>
      </c>
      <c r="W27" s="159">
        <f t="shared" si="2"/>
        <v>0.1315493084651079</v>
      </c>
      <c r="X27" s="159"/>
      <c r="AF27" s="159">
        <f t="shared" si="2"/>
        <v>0.13728255759285379</v>
      </c>
      <c r="AH27" s="159">
        <f>AH10/AH9</f>
        <v>0.10358997919777427</v>
      </c>
    </row>
    <row r="28" spans="1:34" hidden="1" x14ac:dyDescent="0.2">
      <c r="A28" s="105" t="s">
        <v>241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4374" t="s">
        <v>233</v>
      </c>
      <c r="B31" s="4374"/>
      <c r="C31" s="4374"/>
      <c r="D31" s="4374"/>
      <c r="E31" s="4374"/>
      <c r="F31" s="4374"/>
      <c r="G31" s="4374"/>
      <c r="H31" s="4374"/>
      <c r="I31" s="4374"/>
      <c r="J31" s="4374"/>
      <c r="K31" s="4374"/>
      <c r="L31" s="4374"/>
      <c r="M31" s="4374"/>
      <c r="N31" s="4374"/>
      <c r="O31" s="4374"/>
      <c r="P31" s="4374"/>
      <c r="Q31" s="4374"/>
      <c r="R31" s="4374"/>
      <c r="S31" s="4374"/>
      <c r="T31" s="4374"/>
      <c r="U31" s="4374"/>
      <c r="V31" s="4374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4375" t="s">
        <v>527</v>
      </c>
      <c r="B33" s="4348" t="s">
        <v>92</v>
      </c>
      <c r="C33" s="4349"/>
      <c r="D33" s="4349"/>
      <c r="E33" s="4350"/>
      <c r="F33" s="4348" t="s">
        <v>117</v>
      </c>
      <c r="G33" s="4349"/>
      <c r="H33" s="4349"/>
      <c r="I33" s="4350"/>
      <c r="J33" s="4348" t="s">
        <v>155</v>
      </c>
      <c r="K33" s="4349"/>
      <c r="L33" s="4349"/>
      <c r="M33" s="4350"/>
      <c r="N33" s="4378" t="s">
        <v>232</v>
      </c>
      <c r="O33" s="4379"/>
      <c r="P33" s="4379"/>
      <c r="Q33" s="4379"/>
      <c r="R33" s="4379"/>
      <c r="S33" s="4379"/>
      <c r="T33" s="4380"/>
      <c r="U33" s="4381"/>
      <c r="V33" s="4379" t="s">
        <v>362</v>
      </c>
      <c r="W33" s="4379"/>
      <c r="X33" s="4379"/>
      <c r="Y33" s="4382"/>
      <c r="Z33" s="4383"/>
      <c r="AA33" s="4378" t="s">
        <v>648</v>
      </c>
      <c r="AB33" s="4379"/>
      <c r="AC33" s="4379"/>
      <c r="AD33" s="4379"/>
      <c r="AE33" s="4383"/>
      <c r="AF33" s="4384" t="s">
        <v>237</v>
      </c>
      <c r="AG33" s="4385"/>
    </row>
    <row r="34" spans="1:33" ht="21" customHeight="1" x14ac:dyDescent="0.2">
      <c r="A34" s="4376"/>
      <c r="B34" s="4322" t="s">
        <v>513</v>
      </c>
      <c r="C34" s="4323"/>
      <c r="D34" s="4320" t="s">
        <v>878</v>
      </c>
      <c r="E34" s="4321"/>
      <c r="F34" s="4329" t="s">
        <v>513</v>
      </c>
      <c r="G34" s="4323"/>
      <c r="H34" s="4320" t="s">
        <v>878</v>
      </c>
      <c r="I34" s="4328"/>
      <c r="J34" s="4329" t="s">
        <v>513</v>
      </c>
      <c r="K34" s="4323"/>
      <c r="L34" s="4320" t="s">
        <v>878</v>
      </c>
      <c r="M34" s="4328"/>
      <c r="N34" s="4390" t="s">
        <v>512</v>
      </c>
      <c r="O34" s="4320" t="s">
        <v>153</v>
      </c>
      <c r="P34" s="4322" t="s">
        <v>513</v>
      </c>
      <c r="Q34" s="4323"/>
      <c r="R34" s="4320" t="s">
        <v>514</v>
      </c>
      <c r="S34" s="4320" t="s">
        <v>515</v>
      </c>
      <c r="T34" s="4320" t="s">
        <v>878</v>
      </c>
      <c r="U34" s="4328"/>
      <c r="V34" s="4343" t="s">
        <v>512</v>
      </c>
      <c r="W34" s="4322" t="s">
        <v>513</v>
      </c>
      <c r="X34" s="4323"/>
      <c r="Y34" s="4341" t="s">
        <v>514</v>
      </c>
      <c r="Z34" s="4395" t="s">
        <v>515</v>
      </c>
      <c r="AA34" s="4393" t="s">
        <v>512</v>
      </c>
      <c r="AB34" s="4394"/>
      <c r="AC34" s="4397" t="s">
        <v>513</v>
      </c>
      <c r="AD34" s="4394"/>
      <c r="AE34" s="4328" t="s">
        <v>516</v>
      </c>
      <c r="AF34" s="4386"/>
      <c r="AG34" s="4387"/>
    </row>
    <row r="35" spans="1:33" ht="6" customHeight="1" x14ac:dyDescent="0.2">
      <c r="A35" s="4376"/>
      <c r="B35" s="4324"/>
      <c r="C35" s="4325"/>
      <c r="D35" s="4320"/>
      <c r="E35" s="4321"/>
      <c r="F35" s="4330"/>
      <c r="G35" s="4325"/>
      <c r="H35" s="4320"/>
      <c r="I35" s="4328"/>
      <c r="J35" s="4330"/>
      <c r="K35" s="4325"/>
      <c r="L35" s="4320"/>
      <c r="M35" s="4328"/>
      <c r="N35" s="4390"/>
      <c r="O35" s="4320"/>
      <c r="P35" s="4324"/>
      <c r="Q35" s="4325"/>
      <c r="R35" s="4320"/>
      <c r="S35" s="4320"/>
      <c r="T35" s="4320"/>
      <c r="U35" s="4328"/>
      <c r="V35" s="4343"/>
      <c r="W35" s="4324"/>
      <c r="X35" s="4325"/>
      <c r="Y35" s="4341"/>
      <c r="Z35" s="4395"/>
      <c r="AA35" s="4330"/>
      <c r="AB35" s="4325"/>
      <c r="AC35" s="4324"/>
      <c r="AD35" s="4325"/>
      <c r="AE35" s="4398"/>
      <c r="AF35" s="4386"/>
      <c r="AG35" s="4387"/>
    </row>
    <row r="36" spans="1:33" ht="38.25" thickBot="1" x14ac:dyDescent="0.25">
      <c r="A36" s="4377"/>
      <c r="B36" s="976" t="s">
        <v>368</v>
      </c>
      <c r="C36" s="973" t="s">
        <v>25</v>
      </c>
      <c r="D36" s="976" t="s">
        <v>368</v>
      </c>
      <c r="E36" s="973" t="s">
        <v>25</v>
      </c>
      <c r="F36" s="943" t="s">
        <v>368</v>
      </c>
      <c r="G36" s="973" t="s">
        <v>25</v>
      </c>
      <c r="H36" s="1019" t="s">
        <v>368</v>
      </c>
      <c r="I36" s="455" t="s">
        <v>25</v>
      </c>
      <c r="J36" s="943" t="s">
        <v>368</v>
      </c>
      <c r="K36" s="973" t="s">
        <v>25</v>
      </c>
      <c r="L36" s="1019" t="s">
        <v>368</v>
      </c>
      <c r="M36" s="455" t="s">
        <v>25</v>
      </c>
      <c r="N36" s="4391"/>
      <c r="O36" s="4392"/>
      <c r="P36" s="1019" t="s">
        <v>368</v>
      </c>
      <c r="Q36" s="973" t="s">
        <v>25</v>
      </c>
      <c r="R36" s="4392"/>
      <c r="S36" s="4392"/>
      <c r="T36" s="1019" t="s">
        <v>368</v>
      </c>
      <c r="U36" s="455" t="s">
        <v>25</v>
      </c>
      <c r="V36" s="4323"/>
      <c r="W36" s="976" t="s">
        <v>368</v>
      </c>
      <c r="X36" s="973" t="s">
        <v>25</v>
      </c>
      <c r="Y36" s="4342"/>
      <c r="Z36" s="4396"/>
      <c r="AA36" s="969" t="s">
        <v>368</v>
      </c>
      <c r="AB36" s="973" t="s">
        <v>25</v>
      </c>
      <c r="AC36" s="1020" t="s">
        <v>368</v>
      </c>
      <c r="AD36" s="973" t="s">
        <v>25</v>
      </c>
      <c r="AE36" s="4399"/>
      <c r="AF36" s="4388"/>
      <c r="AG36" s="4389"/>
    </row>
    <row r="37" spans="1:33" ht="20.100000000000001" customHeight="1" thickBot="1" x14ac:dyDescent="0.3">
      <c r="A37" s="4331" t="s">
        <v>510</v>
      </c>
      <c r="B37" s="4332"/>
      <c r="C37" s="4332"/>
      <c r="D37" s="4332"/>
      <c r="E37" s="4332"/>
      <c r="F37" s="4332"/>
      <c r="G37" s="4332"/>
      <c r="H37" s="4332"/>
      <c r="I37" s="4332"/>
      <c r="J37" s="4332"/>
      <c r="K37" s="4332"/>
      <c r="L37" s="4332"/>
      <c r="M37" s="4332"/>
      <c r="N37" s="4333"/>
      <c r="O37" s="4333"/>
      <c r="P37" s="4333"/>
      <c r="Q37" s="4333"/>
      <c r="R37" s="4333"/>
      <c r="S37" s="4333"/>
      <c r="T37" s="4333"/>
      <c r="U37" s="4333"/>
      <c r="V37" s="4332"/>
      <c r="W37" s="4332"/>
      <c r="X37" s="4332"/>
      <c r="Y37" s="4332"/>
      <c r="Z37" s="4332"/>
      <c r="AA37" s="4333"/>
      <c r="AB37" s="4333"/>
      <c r="AC37" s="4333"/>
      <c r="AD37" s="4333"/>
      <c r="AE37" s="4333"/>
      <c r="AF37" s="4332"/>
      <c r="AG37" s="4334"/>
    </row>
    <row r="38" spans="1:33" ht="36" customHeight="1" x14ac:dyDescent="0.2">
      <c r="A38" s="606" t="s">
        <v>521</v>
      </c>
      <c r="B38" s="1021"/>
      <c r="C38" s="1022"/>
      <c r="D38" s="1023">
        <f>8372.9-E38</f>
        <v>8318</v>
      </c>
      <c r="E38" s="1152">
        <v>54.9</v>
      </c>
      <c r="F38" s="1025">
        <f>6659.1-G38</f>
        <v>6600.1</v>
      </c>
      <c r="G38" s="1026">
        <v>59</v>
      </c>
      <c r="H38" s="1023">
        <v>9115.2999999999993</v>
      </c>
      <c r="I38" s="1024">
        <v>52.2</v>
      </c>
      <c r="J38" s="1025">
        <v>6326</v>
      </c>
      <c r="K38" s="1026">
        <v>55</v>
      </c>
      <c r="L38" s="1023">
        <v>7789.7</v>
      </c>
      <c r="M38" s="1024">
        <v>46</v>
      </c>
      <c r="N38" s="1157">
        <f>N41+N43</f>
        <v>5850</v>
      </c>
      <c r="O38" s="1140">
        <f>N38/J38*100</f>
        <v>92.475497944988945</v>
      </c>
      <c r="P38" s="1027">
        <f>SUM(P41:P43)</f>
        <v>5498.0912165809077</v>
      </c>
      <c r="Q38" s="1029">
        <v>46.13</v>
      </c>
      <c r="R38" s="1029">
        <f>SUM(R41:R43)-R42</f>
        <v>3465.3000000000006</v>
      </c>
      <c r="S38" s="1029">
        <f>SUM(S41:S43)-S42</f>
        <v>5119.5</v>
      </c>
      <c r="T38" s="1030">
        <v>6928.1</v>
      </c>
      <c r="U38" s="1031">
        <v>49.8</v>
      </c>
      <c r="V38" s="1144">
        <f>SUM(V39:V40)</f>
        <v>5800.03</v>
      </c>
      <c r="W38" s="1027">
        <f>SUM(W39:W40)</f>
        <v>5561.39</v>
      </c>
      <c r="X38" s="1032">
        <v>46.13</v>
      </c>
      <c r="Y38" s="1123">
        <f t="shared" ref="Y38:Z38" si="3">SUM(Y39:Y40)</f>
        <v>0</v>
      </c>
      <c r="Z38" s="1031">
        <f t="shared" si="3"/>
        <v>0</v>
      </c>
      <c r="AA38" s="985">
        <f>SUM(AA39:AA40)</f>
        <v>5782.63</v>
      </c>
      <c r="AB38" s="1123">
        <v>49.8</v>
      </c>
      <c r="AC38" s="986">
        <f>SUM(AC39:AC40)</f>
        <v>5642.86</v>
      </c>
      <c r="AD38" s="986">
        <f>SUM(AD39:AD40)</f>
        <v>49.8</v>
      </c>
      <c r="AE38" s="1032">
        <f>SUM(AC38/W38*100)</f>
        <v>101.46492153939933</v>
      </c>
      <c r="AF38" s="4335"/>
      <c r="AG38" s="4327"/>
    </row>
    <row r="39" spans="1:33" ht="36" hidden="1" customHeight="1" x14ac:dyDescent="0.2">
      <c r="A39" s="602" t="s">
        <v>520</v>
      </c>
      <c r="B39" s="1033"/>
      <c r="C39" s="1034"/>
      <c r="D39" s="1035"/>
      <c r="E39" s="1153"/>
      <c r="F39" s="1037"/>
      <c r="G39" s="1161"/>
      <c r="H39" s="1162"/>
      <c r="I39" s="1036"/>
      <c r="J39" s="1037"/>
      <c r="K39" s="1161"/>
      <c r="L39" s="1162"/>
      <c r="M39" s="1036"/>
      <c r="N39" s="1111">
        <f>SUM(N38-N40)</f>
        <v>5825</v>
      </c>
      <c r="O39" s="1141"/>
      <c r="P39" s="1076">
        <f>SUM(P38-P40)</f>
        <v>5498.0912165809077</v>
      </c>
      <c r="Q39" s="1077"/>
      <c r="R39" s="1077">
        <f>SUM(R38-R40)</f>
        <v>3437.3000000000006</v>
      </c>
      <c r="S39" s="1077">
        <f>SUM(S38-S40)</f>
        <v>5081</v>
      </c>
      <c r="T39" s="1148"/>
      <c r="U39" s="1149">
        <v>6928.1</v>
      </c>
      <c r="V39" s="1145">
        <v>5753.9</v>
      </c>
      <c r="W39" s="1076">
        <v>5561.39</v>
      </c>
      <c r="X39" s="1065"/>
      <c r="Y39" s="1126"/>
      <c r="Z39" s="1039"/>
      <c r="AA39" s="1062">
        <v>5736.5</v>
      </c>
      <c r="AB39" s="1124"/>
      <c r="AC39" s="1063">
        <f>AC41+AC43</f>
        <v>5642.86</v>
      </c>
      <c r="AD39" s="1064"/>
      <c r="AE39" s="1065">
        <f>SUM(AC39/W39*100)</f>
        <v>101.46492153939933</v>
      </c>
      <c r="AF39" s="4336"/>
      <c r="AG39" s="4337"/>
    </row>
    <row r="40" spans="1:33" ht="36" hidden="1" customHeight="1" x14ac:dyDescent="0.2">
      <c r="A40" s="602" t="s">
        <v>519</v>
      </c>
      <c r="B40" s="1033"/>
      <c r="C40" s="1034"/>
      <c r="D40" s="1035"/>
      <c r="E40" s="1153"/>
      <c r="F40" s="1037"/>
      <c r="G40" s="1161"/>
      <c r="H40" s="1162"/>
      <c r="I40" s="1036"/>
      <c r="J40" s="1037"/>
      <c r="K40" s="1161"/>
      <c r="L40" s="1162"/>
      <c r="M40" s="1036"/>
      <c r="N40" s="1111">
        <v>25</v>
      </c>
      <c r="O40" s="1141"/>
      <c r="P40" s="1076">
        <v>0</v>
      </c>
      <c r="Q40" s="1077"/>
      <c r="R40" s="1077">
        <v>28</v>
      </c>
      <c r="S40" s="1077">
        <v>38.5</v>
      </c>
      <c r="T40" s="1148"/>
      <c r="U40" s="1149">
        <v>49.8</v>
      </c>
      <c r="V40" s="1145">
        <v>46.13</v>
      </c>
      <c r="W40" s="1076">
        <v>0</v>
      </c>
      <c r="X40" s="1065">
        <v>46.13</v>
      </c>
      <c r="Y40" s="1126"/>
      <c r="Z40" s="1039"/>
      <c r="AA40" s="1062">
        <v>46.13</v>
      </c>
      <c r="AB40" s="1124"/>
      <c r="AC40" s="1063"/>
      <c r="AD40" s="1064">
        <v>49.8</v>
      </c>
      <c r="AE40" s="1065">
        <f>SUM(AC40/40*100)</f>
        <v>0</v>
      </c>
      <c r="AF40" s="4336"/>
      <c r="AG40" s="4337"/>
    </row>
    <row r="41" spans="1:33" ht="36" customHeight="1" x14ac:dyDescent="0.2">
      <c r="A41" s="602" t="s">
        <v>20</v>
      </c>
      <c r="B41" s="1040"/>
      <c r="C41" s="1041"/>
      <c r="D41" s="1042">
        <v>876.4</v>
      </c>
      <c r="E41" s="1108"/>
      <c r="F41" s="1044">
        <f>841.6+22.5</f>
        <v>864.1</v>
      </c>
      <c r="G41" s="1163"/>
      <c r="H41" s="1091">
        <v>913.3</v>
      </c>
      <c r="I41" s="1043"/>
      <c r="J41" s="1044">
        <v>876</v>
      </c>
      <c r="K41" s="1163"/>
      <c r="L41" s="1091">
        <v>811.7</v>
      </c>
      <c r="M41" s="1043"/>
      <c r="N41" s="1111">
        <v>876</v>
      </c>
      <c r="O41" s="1118">
        <f>N41/J41*100</f>
        <v>100</v>
      </c>
      <c r="P41" s="1076">
        <v>507</v>
      </c>
      <c r="Q41" s="1077"/>
      <c r="R41" s="1077">
        <f>3493.3-3054.18</f>
        <v>439.12000000000035</v>
      </c>
      <c r="S41" s="1077">
        <v>648.79999999999995</v>
      </c>
      <c r="T41" s="1118">
        <v>841</v>
      </c>
      <c r="U41" s="1149"/>
      <c r="V41" s="1145">
        <v>754</v>
      </c>
      <c r="W41" s="1076">
        <v>557.12</v>
      </c>
      <c r="X41" s="1065"/>
      <c r="Y41" s="1124"/>
      <c r="Z41" s="1038"/>
      <c r="AA41" s="1062">
        <v>750</v>
      </c>
      <c r="AB41" s="1124"/>
      <c r="AC41" s="1066">
        <v>685</v>
      </c>
      <c r="AD41" s="1067"/>
      <c r="AE41" s="1065">
        <f>SUM(AC41/41*100)</f>
        <v>1670.7317073170732</v>
      </c>
      <c r="AF41" s="989"/>
      <c r="AG41" s="990"/>
    </row>
    <row r="42" spans="1:33" s="181" customFormat="1" ht="36" customHeight="1" x14ac:dyDescent="0.2">
      <c r="A42" s="603" t="s">
        <v>373</v>
      </c>
      <c r="B42" s="600"/>
      <c r="C42" s="998"/>
      <c r="D42" s="608">
        <f>D41/D38</f>
        <v>0.10536186583313296</v>
      </c>
      <c r="E42" s="1154"/>
      <c r="F42" s="1132">
        <f>F41/F38</f>
        <v>0.13092225875365524</v>
      </c>
      <c r="G42" s="1166"/>
      <c r="H42" s="1127">
        <f>H41/H38</f>
        <v>0.10019417901769552</v>
      </c>
      <c r="I42" s="999"/>
      <c r="J42" s="1132">
        <f>J41/J38</f>
        <v>0.13847613025608599</v>
      </c>
      <c r="K42" s="1127"/>
      <c r="L42" s="1127">
        <f>L41/L38</f>
        <v>0.1042017022478401</v>
      </c>
      <c r="M42" s="1138"/>
      <c r="N42" s="1158">
        <f>N41/N38</f>
        <v>0.14974358974358976</v>
      </c>
      <c r="O42" s="1142"/>
      <c r="P42" s="1132">
        <f>507/5558.2</f>
        <v>9.1216580907488035E-2</v>
      </c>
      <c r="Q42" s="1127"/>
      <c r="R42" s="1127">
        <f>439.12/3493</f>
        <v>0.12571428571428572</v>
      </c>
      <c r="S42" s="1127">
        <f>SUM(648.8/5158)</f>
        <v>0.12578518805738659</v>
      </c>
      <c r="T42" s="1068">
        <f>SUM(T41/T38)</f>
        <v>0.12138970280452072</v>
      </c>
      <c r="U42" s="1068"/>
      <c r="V42" s="1146">
        <f>SUM(V41/V38)</f>
        <v>0.12999932758968488</v>
      </c>
      <c r="W42" s="1132">
        <f>SUM(W41/W38)</f>
        <v>0.10017639475023329</v>
      </c>
      <c r="X42" s="1138"/>
      <c r="Y42" s="1136" t="e">
        <f t="shared" ref="Y42:Z42" si="4">SUM(Y41/Y38)</f>
        <v>#DIV/0!</v>
      </c>
      <c r="Z42" s="656" t="e">
        <f t="shared" si="4"/>
        <v>#DIV/0!</v>
      </c>
      <c r="AA42" s="1079">
        <f>SUM(AA41/AA38)</f>
        <v>0.12969877028272603</v>
      </c>
      <c r="AB42" s="1125"/>
      <c r="AC42" s="1080">
        <f>SUM(AC41/AC38)</f>
        <v>0.12139234359881337</v>
      </c>
      <c r="AD42" s="1081"/>
      <c r="AE42" s="1069">
        <f>SUM(AC42/W42*100)</f>
        <v>121.1785909260132</v>
      </c>
      <c r="AF42" s="4338" t="s">
        <v>876</v>
      </c>
      <c r="AG42" s="4339"/>
    </row>
    <row r="43" spans="1:33" ht="36" customHeight="1" x14ac:dyDescent="0.2">
      <c r="A43" s="604" t="s">
        <v>522</v>
      </c>
      <c r="B43" s="1045"/>
      <c r="C43" s="1046"/>
      <c r="D43" s="1047">
        <f>7496.5-E43</f>
        <v>7441.6</v>
      </c>
      <c r="E43" s="1155">
        <v>54.9</v>
      </c>
      <c r="F43" s="1049">
        <f>5795-G43</f>
        <v>5736</v>
      </c>
      <c r="G43" s="1164">
        <v>59</v>
      </c>
      <c r="H43" s="1165">
        <v>8202</v>
      </c>
      <c r="I43" s="1048">
        <v>52.2</v>
      </c>
      <c r="J43" s="1049">
        <v>5450</v>
      </c>
      <c r="K43" s="1164">
        <v>55</v>
      </c>
      <c r="L43" s="1165">
        <v>6978</v>
      </c>
      <c r="M43" s="1048">
        <v>46</v>
      </c>
      <c r="N43" s="1159">
        <f>N46+N48</f>
        <v>4974</v>
      </c>
      <c r="O43" s="1143">
        <f>N43/J43*100</f>
        <v>91.266055045871568</v>
      </c>
      <c r="P43" s="1139">
        <f>P46+P48</f>
        <v>4991</v>
      </c>
      <c r="Q43" s="1150">
        <v>46.13</v>
      </c>
      <c r="R43" s="1150">
        <f>R46+R48</f>
        <v>3026.1800000000003</v>
      </c>
      <c r="S43" s="1150">
        <f>S46+S48</f>
        <v>4470.7</v>
      </c>
      <c r="T43" s="1148">
        <v>6087.1</v>
      </c>
      <c r="U43" s="1151">
        <v>49.8</v>
      </c>
      <c r="V43" s="1147">
        <f>V46+V48</f>
        <v>4999.8999999999996</v>
      </c>
      <c r="W43" s="1139">
        <f>W46+W48</f>
        <v>5004.2700000000004</v>
      </c>
      <c r="X43" s="1071">
        <v>46.13</v>
      </c>
      <c r="Y43" s="1126">
        <f t="shared" ref="Y43:Z43" si="5">SUM(Y44:Y45)</f>
        <v>0</v>
      </c>
      <c r="Z43" s="1039">
        <f t="shared" si="5"/>
        <v>0</v>
      </c>
      <c r="AA43" s="1070">
        <f>SUM(AA44:AA45)</f>
        <v>5032.63</v>
      </c>
      <c r="AB43" s="1126">
        <v>49.8</v>
      </c>
      <c r="AC43" s="1063">
        <f>SUM(AC44:AC45)</f>
        <v>4957.8599999999997</v>
      </c>
      <c r="AD43" s="1063">
        <f>SUM(AD44:AD45)</f>
        <v>49.8</v>
      </c>
      <c r="AE43" s="1071">
        <f>SUM(AC43/W43*100)</f>
        <v>99.07259200642649</v>
      </c>
      <c r="AF43" s="4336"/>
      <c r="AG43" s="4340"/>
    </row>
    <row r="44" spans="1:33" ht="36" hidden="1" customHeight="1" x14ac:dyDescent="0.2">
      <c r="A44" s="602" t="s">
        <v>520</v>
      </c>
      <c r="B44" s="1045"/>
      <c r="C44" s="1046"/>
      <c r="D44" s="1047"/>
      <c r="E44" s="1155"/>
      <c r="F44" s="1049"/>
      <c r="G44" s="1164"/>
      <c r="H44" s="1165"/>
      <c r="I44" s="1048"/>
      <c r="J44" s="1049"/>
      <c r="K44" s="1164"/>
      <c r="L44" s="1165"/>
      <c r="M44" s="1048"/>
      <c r="N44" s="1111">
        <f>SUM(N43-N45)</f>
        <v>4949</v>
      </c>
      <c r="O44" s="1141"/>
      <c r="P44" s="1076">
        <f>SUM(P43-P45)</f>
        <v>4945</v>
      </c>
      <c r="Q44" s="1077"/>
      <c r="R44" s="1077">
        <f>SUM(R43-R45)</f>
        <v>2998.1800000000003</v>
      </c>
      <c r="S44" s="1077">
        <f>SUM(S43-S45)</f>
        <v>4432.2</v>
      </c>
      <c r="T44" s="1148"/>
      <c r="U44" s="1149">
        <f>SUM(U39-U41)</f>
        <v>6928.1</v>
      </c>
      <c r="V44" s="1145">
        <f>SUM(V43-V45)</f>
        <v>4953.7699999999995</v>
      </c>
      <c r="W44" s="1076">
        <f>SUM(W43-W45)</f>
        <v>4958.1400000000003</v>
      </c>
      <c r="X44" s="1065"/>
      <c r="Y44" s="1124">
        <f t="shared" ref="Y44:Z44" si="6">SUM(Y39-Y41)</f>
        <v>0</v>
      </c>
      <c r="Z44" s="1038">
        <f t="shared" si="6"/>
        <v>0</v>
      </c>
      <c r="AA44" s="1062">
        <f>SUM(AA39-AA41)</f>
        <v>4986.5</v>
      </c>
      <c r="AB44" s="1124"/>
      <c r="AC44" s="1066">
        <f>AC48+AC46</f>
        <v>4957.8599999999997</v>
      </c>
      <c r="AD44" s="1067"/>
      <c r="AE44" s="1065">
        <f>SUM(AC44/45*100)</f>
        <v>11017.466666666665</v>
      </c>
      <c r="AF44" s="4336"/>
      <c r="AG44" s="4340"/>
    </row>
    <row r="45" spans="1:33" ht="36" hidden="1" customHeight="1" x14ac:dyDescent="0.2">
      <c r="A45" s="602" t="s">
        <v>519</v>
      </c>
      <c r="B45" s="1045"/>
      <c r="C45" s="1046"/>
      <c r="D45" s="1047"/>
      <c r="E45" s="1155"/>
      <c r="F45" s="1049"/>
      <c r="G45" s="1164"/>
      <c r="H45" s="1165"/>
      <c r="I45" s="1048"/>
      <c r="J45" s="1049"/>
      <c r="K45" s="1164"/>
      <c r="L45" s="1165"/>
      <c r="M45" s="1048"/>
      <c r="N45" s="1111">
        <v>25</v>
      </c>
      <c r="O45" s="1141"/>
      <c r="P45" s="1076">
        <v>46</v>
      </c>
      <c r="Q45" s="1077"/>
      <c r="R45" s="1077">
        <v>28</v>
      </c>
      <c r="S45" s="1077">
        <v>38.5</v>
      </c>
      <c r="T45" s="1148"/>
      <c r="U45" s="1149">
        <f>SUM(U40)</f>
        <v>49.8</v>
      </c>
      <c r="V45" s="1145">
        <v>46.13</v>
      </c>
      <c r="W45" s="1076">
        <v>46.13</v>
      </c>
      <c r="X45" s="1065"/>
      <c r="Y45" s="1124">
        <f t="shared" ref="Y45:Z45" si="7">SUM(Y40)</f>
        <v>0</v>
      </c>
      <c r="Z45" s="1038">
        <f t="shared" si="7"/>
        <v>0</v>
      </c>
      <c r="AA45" s="1062">
        <f>SUM(AA40)</f>
        <v>46.13</v>
      </c>
      <c r="AB45" s="1124"/>
      <c r="AC45" s="1066">
        <f>SUM(AC40)</f>
        <v>0</v>
      </c>
      <c r="AD45" s="1067">
        <v>49.8</v>
      </c>
      <c r="AE45" s="1065">
        <f>SUM(AC45/46*100)</f>
        <v>0</v>
      </c>
      <c r="AF45" s="4336"/>
      <c r="AG45" s="4340"/>
    </row>
    <row r="46" spans="1:33" ht="36" customHeight="1" x14ac:dyDescent="0.2">
      <c r="A46" s="602" t="s">
        <v>51</v>
      </c>
      <c r="B46" s="1040"/>
      <c r="C46" s="1041"/>
      <c r="D46" s="1042">
        <v>2972.2</v>
      </c>
      <c r="E46" s="1108"/>
      <c r="F46" s="1044">
        <v>1150</v>
      </c>
      <c r="G46" s="1163"/>
      <c r="H46" s="1091">
        <v>3822.7</v>
      </c>
      <c r="I46" s="1043"/>
      <c r="J46" s="1044">
        <v>1100</v>
      </c>
      <c r="K46" s="1163"/>
      <c r="L46" s="1091">
        <v>2796.3</v>
      </c>
      <c r="M46" s="1043"/>
      <c r="N46" s="1111">
        <v>999</v>
      </c>
      <c r="O46" s="1118">
        <f>N46/J46*100</f>
        <v>90.818181818181813</v>
      </c>
      <c r="P46" s="1076">
        <f>N46</f>
        <v>999</v>
      </c>
      <c r="Q46" s="1077"/>
      <c r="R46" s="1077">
        <v>981.98</v>
      </c>
      <c r="S46" s="1077">
        <v>1481.3</v>
      </c>
      <c r="T46" s="1118">
        <v>2097.9</v>
      </c>
      <c r="U46" s="1149"/>
      <c r="V46" s="1145">
        <v>1007.9</v>
      </c>
      <c r="W46" s="1076">
        <v>998</v>
      </c>
      <c r="X46" s="1065"/>
      <c r="Y46" s="1124"/>
      <c r="Z46" s="1038"/>
      <c r="AA46" s="1062">
        <v>997.3</v>
      </c>
      <c r="AB46" s="1124"/>
      <c r="AC46" s="1066">
        <v>982.5</v>
      </c>
      <c r="AD46" s="1067"/>
      <c r="AE46" s="1065">
        <f>SUM(AC46/W46*100)</f>
        <v>98.446893787575149</v>
      </c>
      <c r="AF46" s="4336"/>
      <c r="AG46" s="4340"/>
    </row>
    <row r="47" spans="1:33" s="181" customFormat="1" ht="36" customHeight="1" x14ac:dyDescent="0.2">
      <c r="A47" s="603" t="s">
        <v>111</v>
      </c>
      <c r="B47" s="608"/>
      <c r="C47" s="608"/>
      <c r="D47" s="608">
        <f>D46/D43</f>
        <v>0.39940335411739408</v>
      </c>
      <c r="E47" s="1135"/>
      <c r="F47" s="1132">
        <f>F46/F43</f>
        <v>0.20048814504881451</v>
      </c>
      <c r="G47" s="1127"/>
      <c r="H47" s="1127">
        <f>H46/H43</f>
        <v>0.46606925140209704</v>
      </c>
      <c r="I47" s="1138"/>
      <c r="J47" s="1132">
        <f>J46/J43</f>
        <v>0.20183486238532111</v>
      </c>
      <c r="K47" s="1127"/>
      <c r="L47" s="1127">
        <f>L46/L43</f>
        <v>0.40073086844368017</v>
      </c>
      <c r="M47" s="1138"/>
      <c r="N47" s="1158">
        <f>N46/N43*100</f>
        <v>20.084439083232812</v>
      </c>
      <c r="O47" s="1135"/>
      <c r="P47" s="1132">
        <f>P46/P43</f>
        <v>0.20016028851933479</v>
      </c>
      <c r="Q47" s="1127"/>
      <c r="R47" s="1127">
        <f>R46/R43*100</f>
        <v>32.449490777151389</v>
      </c>
      <c r="S47" s="1127">
        <f>S46/S43*100</f>
        <v>33.133513767418968</v>
      </c>
      <c r="T47" s="1127"/>
      <c r="U47" s="1138"/>
      <c r="V47" s="1146">
        <f>V46/V43</f>
        <v>0.20158403168063363</v>
      </c>
      <c r="W47" s="1132">
        <f>W46/W43</f>
        <v>0.19942968704726163</v>
      </c>
      <c r="X47" s="1138"/>
      <c r="Y47" s="1137" t="e">
        <f t="shared" ref="Y47:Z47" si="8">Y46/Y43*100</f>
        <v>#DIV/0!</v>
      </c>
      <c r="Z47" s="657" t="e">
        <f t="shared" si="8"/>
        <v>#DIV/0!</v>
      </c>
      <c r="AA47" s="1132">
        <f>AA46/AA43</f>
        <v>0.19816676370009317</v>
      </c>
      <c r="AB47" s="1127"/>
      <c r="AC47" s="1127">
        <f>AC46/AC43</f>
        <v>0.19817017826239547</v>
      </c>
      <c r="AD47" s="1127"/>
      <c r="AE47" s="1069">
        <f>SUM(AC47/W47*100)</f>
        <v>99.368444686689159</v>
      </c>
      <c r="AF47" s="4366"/>
      <c r="AG47" s="4367"/>
    </row>
    <row r="48" spans="1:33" ht="36" customHeight="1" x14ac:dyDescent="0.2">
      <c r="A48" s="604" t="s">
        <v>517</v>
      </c>
      <c r="B48" s="1045"/>
      <c r="C48" s="1046"/>
      <c r="D48" s="1047">
        <v>4524.3</v>
      </c>
      <c r="E48" s="1155">
        <v>54.9</v>
      </c>
      <c r="F48" s="1049">
        <f>4645-G48</f>
        <v>4586</v>
      </c>
      <c r="G48" s="1164">
        <v>59</v>
      </c>
      <c r="H48" s="1165">
        <v>4379.3</v>
      </c>
      <c r="I48" s="1048">
        <v>52.2</v>
      </c>
      <c r="J48" s="1049">
        <v>4405</v>
      </c>
      <c r="K48" s="1164">
        <v>55</v>
      </c>
      <c r="L48" s="1165">
        <v>4181.7</v>
      </c>
      <c r="M48" s="1048">
        <v>46</v>
      </c>
      <c r="N48" s="1159">
        <f>SUM(N49:N50)</f>
        <v>3975</v>
      </c>
      <c r="O48" s="1143">
        <f>N48/J48*100</f>
        <v>90.238365493757087</v>
      </c>
      <c r="P48" s="1139">
        <f>SUM(P49:P50)</f>
        <v>3992</v>
      </c>
      <c r="Q48" s="1150">
        <v>46.13</v>
      </c>
      <c r="R48" s="1150">
        <f>SUM(R49:R50)</f>
        <v>2044.2</v>
      </c>
      <c r="S48" s="1150">
        <f>SUM(S49:S50)</f>
        <v>2989.3999999999996</v>
      </c>
      <c r="T48" s="1148">
        <v>3989.2</v>
      </c>
      <c r="U48" s="1151">
        <v>49.8</v>
      </c>
      <c r="V48" s="1147">
        <f>SUM(V49:V50)</f>
        <v>3992</v>
      </c>
      <c r="W48" s="1139">
        <f>SUM(W49:W51)</f>
        <v>4006.2700000000004</v>
      </c>
      <c r="X48" s="1071">
        <v>46.13</v>
      </c>
      <c r="Y48" s="1126">
        <f>SUM(Y49:Y50)</f>
        <v>0</v>
      </c>
      <c r="Z48" s="1039">
        <f>SUM(Z49:Z50)</f>
        <v>0</v>
      </c>
      <c r="AA48" s="1070">
        <f>SUM(AA49:AA51)</f>
        <v>3989.2169999999996</v>
      </c>
      <c r="AB48" s="1126">
        <v>49.8</v>
      </c>
      <c r="AC48" s="1063">
        <f>SUM(AC49:AC51)</f>
        <v>3975.3599999999997</v>
      </c>
      <c r="AD48" s="1063">
        <f>SUM(AD49:AD51)</f>
        <v>49.8</v>
      </c>
      <c r="AE48" s="1167">
        <f>AC48/W48</f>
        <v>0.99228459389906298</v>
      </c>
      <c r="AF48" s="4336"/>
      <c r="AG48" s="4340"/>
    </row>
    <row r="49" spans="1:33" ht="36" customHeight="1" x14ac:dyDescent="0.2">
      <c r="A49" s="602" t="s">
        <v>24</v>
      </c>
      <c r="B49" s="1040"/>
      <c r="C49" s="1041"/>
      <c r="D49" s="1042">
        <v>3159.6</v>
      </c>
      <c r="E49" s="1108"/>
      <c r="F49" s="1044">
        <v>3192</v>
      </c>
      <c r="G49" s="1163"/>
      <c r="H49" s="1091">
        <v>3094</v>
      </c>
      <c r="I49" s="1043"/>
      <c r="J49" s="1044">
        <v>3100</v>
      </c>
      <c r="K49" s="1163"/>
      <c r="L49" s="1091">
        <v>2975.5</v>
      </c>
      <c r="M49" s="1043"/>
      <c r="N49" s="1111">
        <v>2800</v>
      </c>
      <c r="O49" s="1118">
        <f>N49/J49*100</f>
        <v>90.322580645161281</v>
      </c>
      <c r="P49" s="1076">
        <v>2800</v>
      </c>
      <c r="Q49" s="1077"/>
      <c r="R49" s="1077">
        <f>1426.4</f>
        <v>1426.4</v>
      </c>
      <c r="S49" s="1077">
        <v>2084.6999999999998</v>
      </c>
      <c r="T49" s="1118">
        <v>2780.7</v>
      </c>
      <c r="U49" s="1149"/>
      <c r="V49" s="1145">
        <v>2800</v>
      </c>
      <c r="W49" s="1076">
        <v>2445.422</v>
      </c>
      <c r="X49" s="1065"/>
      <c r="Y49" s="1124"/>
      <c r="Z49" s="1038"/>
      <c r="AA49" s="1062">
        <v>2428.56</v>
      </c>
      <c r="AB49" s="1124"/>
      <c r="AC49" s="1066">
        <f>AA49</f>
        <v>2428.56</v>
      </c>
      <c r="AD49" s="1067">
        <v>0</v>
      </c>
      <c r="AE49" s="1065">
        <f>SUM(AC49/W49*100)</f>
        <v>99.310466659742161</v>
      </c>
      <c r="AF49" s="4353" t="s">
        <v>883</v>
      </c>
      <c r="AG49" s="4354"/>
    </row>
    <row r="50" spans="1:33" ht="36" customHeight="1" x14ac:dyDescent="0.2">
      <c r="A50" s="783" t="s">
        <v>26</v>
      </c>
      <c r="B50" s="1050"/>
      <c r="C50" s="1051"/>
      <c r="D50" s="1052">
        <v>1309.8</v>
      </c>
      <c r="E50" s="1156">
        <v>54.9</v>
      </c>
      <c r="F50" s="1087">
        <v>1394</v>
      </c>
      <c r="G50" s="1084">
        <v>59</v>
      </c>
      <c r="H50" s="1085">
        <v>1285.3</v>
      </c>
      <c r="I50" s="1086">
        <v>52.2</v>
      </c>
      <c r="J50" s="1087">
        <v>1250</v>
      </c>
      <c r="K50" s="1084">
        <v>55</v>
      </c>
      <c r="L50" s="1085">
        <v>1206.2</v>
      </c>
      <c r="M50" s="1086">
        <v>46</v>
      </c>
      <c r="N50" s="1160">
        <v>1175</v>
      </c>
      <c r="O50" s="1078">
        <f>N50/J50*100</f>
        <v>94</v>
      </c>
      <c r="P50" s="1088">
        <v>1192</v>
      </c>
      <c r="Q50" s="1089">
        <v>46.13</v>
      </c>
      <c r="R50" s="1089">
        <v>617.79999999999995</v>
      </c>
      <c r="S50" s="1089">
        <v>904.7</v>
      </c>
      <c r="T50" s="1078">
        <v>1208.5</v>
      </c>
      <c r="U50" s="1090">
        <v>49.8</v>
      </c>
      <c r="V50" s="1129">
        <v>1192</v>
      </c>
      <c r="W50" s="1088">
        <v>1003.2910000000001</v>
      </c>
      <c r="X50" s="1075">
        <v>46.13</v>
      </c>
      <c r="Y50" s="1128"/>
      <c r="Z50" s="1053"/>
      <c r="AA50" s="1072">
        <v>1003.1</v>
      </c>
      <c r="AB50" s="1128">
        <v>49.8</v>
      </c>
      <c r="AC50" s="1073">
        <v>1003.1</v>
      </c>
      <c r="AD50" s="1074">
        <v>49.8</v>
      </c>
      <c r="AE50" s="1075">
        <f>SUM(AC50/W50*100)</f>
        <v>99.980962651912549</v>
      </c>
      <c r="AF50" s="4353" t="s">
        <v>883</v>
      </c>
      <c r="AG50" s="4354"/>
    </row>
    <row r="51" spans="1:33" ht="36" customHeight="1" x14ac:dyDescent="0.2">
      <c r="A51" s="602" t="s">
        <v>828</v>
      </c>
      <c r="B51" s="1040"/>
      <c r="C51" s="1041"/>
      <c r="D51" s="1042"/>
      <c r="E51" s="1108"/>
      <c r="F51" s="1044"/>
      <c r="G51" s="1163"/>
      <c r="H51" s="1091"/>
      <c r="I51" s="1043"/>
      <c r="J51" s="1044"/>
      <c r="K51" s="1163"/>
      <c r="L51" s="1091"/>
      <c r="M51" s="1043"/>
      <c r="N51" s="1111"/>
      <c r="O51" s="1118"/>
      <c r="P51" s="1076"/>
      <c r="Q51" s="1077"/>
      <c r="R51" s="1077"/>
      <c r="S51" s="1077"/>
      <c r="T51" s="1118"/>
      <c r="U51" s="1149"/>
      <c r="V51" s="1145"/>
      <c r="W51" s="1076">
        <f>SUM(W52:W53)</f>
        <v>557.55700000000002</v>
      </c>
      <c r="X51" s="1065"/>
      <c r="Y51" s="1124"/>
      <c r="Z51" s="1038"/>
      <c r="AA51" s="1076">
        <f>SUM(AA52:AA53)</f>
        <v>557.55700000000002</v>
      </c>
      <c r="AB51" s="1111"/>
      <c r="AC51" s="1077">
        <f>SUM(AC52:AC53)</f>
        <v>543.70000000000005</v>
      </c>
      <c r="AD51" s="1078">
        <v>0</v>
      </c>
      <c r="AE51" s="1075">
        <f>SUM(AC51/W51*100)</f>
        <v>97.514693564962869</v>
      </c>
      <c r="AF51" s="4355"/>
      <c r="AG51" s="4356"/>
    </row>
    <row r="52" spans="1:33" ht="50.25" customHeight="1" x14ac:dyDescent="0.2">
      <c r="A52" s="603" t="s">
        <v>639</v>
      </c>
      <c r="B52" s="1040"/>
      <c r="C52" s="1041"/>
      <c r="D52" s="1042"/>
      <c r="E52" s="1108"/>
      <c r="F52" s="1044"/>
      <c r="G52" s="1163"/>
      <c r="H52" s="1091"/>
      <c r="I52" s="1043"/>
      <c r="J52" s="1044"/>
      <c r="K52" s="1163"/>
      <c r="L52" s="1091"/>
      <c r="M52" s="1043"/>
      <c r="N52" s="1111"/>
      <c r="O52" s="1118"/>
      <c r="P52" s="1076"/>
      <c r="Q52" s="1077"/>
      <c r="R52" s="1077"/>
      <c r="S52" s="1077"/>
      <c r="T52" s="1118"/>
      <c r="U52" s="1149"/>
      <c r="V52" s="1145"/>
      <c r="W52" s="1076">
        <v>509.79</v>
      </c>
      <c r="X52" s="1065"/>
      <c r="Y52" s="1124"/>
      <c r="Z52" s="1038"/>
      <c r="AA52" s="1076">
        <v>509.79</v>
      </c>
      <c r="AB52" s="1129"/>
      <c r="AC52" s="1078">
        <v>494</v>
      </c>
      <c r="AD52" s="1078">
        <v>0</v>
      </c>
      <c r="AE52" s="1075">
        <f>SUM(AC52/W52*100)</f>
        <v>96.902646187645885</v>
      </c>
      <c r="AF52" s="4355" t="s">
        <v>875</v>
      </c>
      <c r="AG52" s="4356"/>
    </row>
    <row r="53" spans="1:33" ht="58.5" customHeight="1" thickBot="1" x14ac:dyDescent="0.25">
      <c r="A53" s="1082" t="s">
        <v>640</v>
      </c>
      <c r="B53" s="1083"/>
      <c r="C53" s="1084"/>
      <c r="D53" s="1085"/>
      <c r="E53" s="1156"/>
      <c r="F53" s="1057"/>
      <c r="G53" s="1054"/>
      <c r="H53" s="1055"/>
      <c r="I53" s="1056"/>
      <c r="J53" s="1057"/>
      <c r="K53" s="1054"/>
      <c r="L53" s="1055"/>
      <c r="M53" s="1056"/>
      <c r="N53" s="1160"/>
      <c r="O53" s="1078"/>
      <c r="P53" s="1058"/>
      <c r="Q53" s="1059"/>
      <c r="R53" s="1059"/>
      <c r="S53" s="1059"/>
      <c r="T53" s="987"/>
      <c r="U53" s="1060"/>
      <c r="V53" s="1129"/>
      <c r="W53" s="1058">
        <v>47.767000000000003</v>
      </c>
      <c r="X53" s="1061"/>
      <c r="Y53" s="1128"/>
      <c r="Z53" s="1090"/>
      <c r="AA53" s="1058">
        <v>47.767000000000003</v>
      </c>
      <c r="AB53" s="1133"/>
      <c r="AC53" s="987">
        <v>49.7</v>
      </c>
      <c r="AD53" s="987">
        <v>0</v>
      </c>
      <c r="AE53" s="1061">
        <f>SUM(AC53/W53*100)</f>
        <v>104.04672681977097</v>
      </c>
      <c r="AF53" s="4357" t="s">
        <v>875</v>
      </c>
      <c r="AG53" s="4358"/>
    </row>
    <row r="54" spans="1:33" ht="58.5" customHeight="1" x14ac:dyDescent="0.2">
      <c r="A54" s="1099" t="s">
        <v>879</v>
      </c>
      <c r="B54" s="1105"/>
      <c r="C54" s="1092"/>
      <c r="D54" s="1092"/>
      <c r="E54" s="1106"/>
      <c r="F54" s="1102"/>
      <c r="G54" s="1092"/>
      <c r="H54" s="1092"/>
      <c r="I54" s="1107"/>
      <c r="J54" s="1105"/>
      <c r="K54" s="1092"/>
      <c r="L54" s="1092"/>
      <c r="M54" s="1106"/>
      <c r="N54" s="1110"/>
      <c r="O54" s="1093"/>
      <c r="P54" s="1093"/>
      <c r="Q54" s="1093"/>
      <c r="R54" s="1093"/>
      <c r="S54" s="1093"/>
      <c r="T54" s="1093"/>
      <c r="U54" s="1113"/>
      <c r="V54" s="1168"/>
      <c r="W54" s="1115"/>
      <c r="X54" s="1116"/>
      <c r="Y54" s="1094"/>
      <c r="Z54" s="1094"/>
      <c r="AA54" s="1093"/>
      <c r="AB54" s="1093"/>
      <c r="AC54" s="1093">
        <f>1/3*((T48-L48)/L48+(L48-H48)/H48+(H48-D48)/D48)</f>
        <v>-4.1068144286008995E-2</v>
      </c>
      <c r="AD54" s="1093"/>
      <c r="AE54" s="1117"/>
      <c r="AF54" s="1119"/>
      <c r="AG54" s="1095"/>
    </row>
    <row r="55" spans="1:33" ht="58.5" customHeight="1" x14ac:dyDescent="0.2">
      <c r="A55" s="1100" t="s">
        <v>880</v>
      </c>
      <c r="B55" s="1044"/>
      <c r="C55" s="1091"/>
      <c r="D55" s="1091"/>
      <c r="E55" s="1043"/>
      <c r="F55" s="1103"/>
      <c r="G55" s="1091"/>
      <c r="H55" s="1091"/>
      <c r="I55" s="1108"/>
      <c r="J55" s="1044"/>
      <c r="K55" s="1091"/>
      <c r="L55" s="1091"/>
      <c r="M55" s="1043"/>
      <c r="N55" s="1111"/>
      <c r="O55" s="1077"/>
      <c r="P55" s="1077"/>
      <c r="Q55" s="1077"/>
      <c r="R55" s="1077"/>
      <c r="S55" s="1077"/>
      <c r="T55" s="1077"/>
      <c r="U55" s="1067"/>
      <c r="V55" s="1134"/>
      <c r="W55" s="1076"/>
      <c r="X55" s="1065"/>
      <c r="Y55" s="1066"/>
      <c r="Z55" s="1066"/>
      <c r="AA55" s="1077"/>
      <c r="AB55" s="1077"/>
      <c r="AC55" s="1077">
        <f>AC54</f>
        <v>-4.1068144286008995E-2</v>
      </c>
      <c r="AD55" s="1077"/>
      <c r="AE55" s="1118"/>
      <c r="AF55" s="1120"/>
      <c r="AG55" s="1096"/>
    </row>
    <row r="56" spans="1:33" ht="58.5" customHeight="1" thickBot="1" x14ac:dyDescent="0.25">
      <c r="A56" s="1101" t="s">
        <v>881</v>
      </c>
      <c r="B56" s="1057"/>
      <c r="C56" s="1055"/>
      <c r="D56" s="1055"/>
      <c r="E56" s="1056"/>
      <c r="F56" s="1104"/>
      <c r="G56" s="1055"/>
      <c r="H56" s="1055"/>
      <c r="I56" s="1109"/>
      <c r="J56" s="1057"/>
      <c r="K56" s="1055"/>
      <c r="L56" s="1055"/>
      <c r="M56" s="1056"/>
      <c r="N56" s="1112"/>
      <c r="O56" s="1059"/>
      <c r="P56" s="1059"/>
      <c r="Q56" s="1059"/>
      <c r="R56" s="1059"/>
      <c r="S56" s="1059"/>
      <c r="T56" s="1059"/>
      <c r="U56" s="1114"/>
      <c r="V56" s="1169"/>
      <c r="W56" s="1058"/>
      <c r="X56" s="1061"/>
      <c r="Y56" s="1097"/>
      <c r="Z56" s="1097"/>
      <c r="AA56" s="1059"/>
      <c r="AB56" s="1059"/>
      <c r="AC56" s="1059">
        <f>T48*(1+AC55)*(1+AC55)</f>
        <v>3668.2700723301605</v>
      </c>
      <c r="AD56" s="1059"/>
      <c r="AE56" s="987">
        <f>AC56/W48</f>
        <v>0.9156322645079239</v>
      </c>
      <c r="AF56" s="966"/>
      <c r="AG56" s="1098"/>
    </row>
    <row r="57" spans="1:33" ht="20.100000000000001" customHeight="1" thickBot="1" x14ac:dyDescent="0.25">
      <c r="A57" s="4359" t="s">
        <v>511</v>
      </c>
      <c r="B57" s="4360"/>
      <c r="C57" s="4360"/>
      <c r="D57" s="4360"/>
      <c r="E57" s="4360"/>
      <c r="F57" s="4360"/>
      <c r="G57" s="4360"/>
      <c r="H57" s="4360"/>
      <c r="I57" s="4360"/>
      <c r="J57" s="4360"/>
      <c r="K57" s="4360"/>
      <c r="L57" s="4360"/>
      <c r="M57" s="4360"/>
      <c r="N57" s="4360"/>
      <c r="O57" s="4360"/>
      <c r="P57" s="4360"/>
      <c r="Q57" s="4360"/>
      <c r="R57" s="4360"/>
      <c r="S57" s="4360"/>
      <c r="T57" s="4360"/>
      <c r="U57" s="4360"/>
      <c r="V57" s="4360"/>
      <c r="W57" s="4360"/>
      <c r="X57" s="4360"/>
      <c r="Y57" s="4360"/>
      <c r="Z57" s="4360"/>
      <c r="AA57" s="4360"/>
      <c r="AB57" s="4360"/>
      <c r="AC57" s="4360"/>
      <c r="AD57" s="4360"/>
      <c r="AE57" s="4360"/>
      <c r="AF57" s="4360"/>
      <c r="AG57" s="4361"/>
    </row>
    <row r="58" spans="1:33" ht="20.100000000000001" customHeight="1" x14ac:dyDescent="0.2">
      <c r="A58" s="601" t="s">
        <v>882</v>
      </c>
      <c r="B58" s="1105"/>
      <c r="C58" s="1092"/>
      <c r="D58" s="1092"/>
      <c r="E58" s="1106"/>
      <c r="F58" s="1105">
        <f>F59</f>
        <v>4196.5</v>
      </c>
      <c r="G58" s="1092">
        <v>28</v>
      </c>
      <c r="H58" s="1092">
        <v>8680.7000000000007</v>
      </c>
      <c r="I58" s="1106">
        <v>18.3</v>
      </c>
      <c r="J58" s="1105">
        <v>3990</v>
      </c>
      <c r="K58" s="1092">
        <v>28</v>
      </c>
      <c r="L58" s="1092">
        <v>4731.6000000000004</v>
      </c>
      <c r="M58" s="1106">
        <v>30.2</v>
      </c>
      <c r="N58" s="1157">
        <v>3600</v>
      </c>
      <c r="O58" s="1028" t="e">
        <f>N58/#REF!*100</f>
        <v>#REF!</v>
      </c>
      <c r="P58" s="1029">
        <v>3644.7</v>
      </c>
      <c r="Q58" s="1029">
        <f>Q59</f>
        <v>28</v>
      </c>
      <c r="R58" s="1029">
        <f>SUM(R59:R61)</f>
        <v>3537.9999999999995</v>
      </c>
      <c r="S58" s="1029">
        <f>SUM(S59:S61)</f>
        <v>5192.1999999999989</v>
      </c>
      <c r="T58" s="1029">
        <v>4374.8</v>
      </c>
      <c r="U58" s="986">
        <v>30.2</v>
      </c>
      <c r="V58" s="1030">
        <f t="shared" ref="U58:X59" si="9">SUM(V59:V61)</f>
        <v>7317.4</v>
      </c>
      <c r="W58" s="1027">
        <f>W59</f>
        <v>3644.7</v>
      </c>
      <c r="X58" s="1032">
        <f t="shared" si="9"/>
        <v>28</v>
      </c>
      <c r="Y58" s="1123">
        <f t="shared" ref="Y58:Z59" si="10">SUM(Y59:Y61)</f>
        <v>0</v>
      </c>
      <c r="Z58" s="1176">
        <f t="shared" si="10"/>
        <v>0</v>
      </c>
      <c r="AA58" s="1027">
        <v>4658</v>
      </c>
      <c r="AB58" s="1029">
        <v>28</v>
      </c>
      <c r="AC58" s="1029">
        <f>AC59</f>
        <v>3445</v>
      </c>
      <c r="AD58" s="1029">
        <f t="shared" ref="AA58:AD59" si="11">SUM(AD59:AD61)</f>
        <v>28</v>
      </c>
      <c r="AE58" s="1116">
        <f>SUM(AC58/W58*100)</f>
        <v>94.520811040689225</v>
      </c>
      <c r="AF58" s="4326"/>
      <c r="AG58" s="4327"/>
    </row>
    <row r="59" spans="1:33" ht="36" customHeight="1" x14ac:dyDescent="0.2">
      <c r="A59" s="1173" t="s">
        <v>518</v>
      </c>
      <c r="B59" s="1044"/>
      <c r="C59" s="1091"/>
      <c r="D59" s="1091">
        <v>4093.2</v>
      </c>
      <c r="E59" s="1043">
        <v>26.4</v>
      </c>
      <c r="F59" s="1044">
        <v>4196.5</v>
      </c>
      <c r="G59" s="1091">
        <v>28</v>
      </c>
      <c r="H59" s="1091">
        <v>3988.3</v>
      </c>
      <c r="I59" s="1043">
        <v>18.3</v>
      </c>
      <c r="J59" s="1044">
        <v>3990</v>
      </c>
      <c r="K59" s="1091">
        <v>28</v>
      </c>
      <c r="L59" s="1091">
        <v>3771</v>
      </c>
      <c r="M59" s="1043">
        <f>M60+M61+M62</f>
        <v>30.2</v>
      </c>
      <c r="N59" s="1159">
        <v>3600</v>
      </c>
      <c r="O59" s="1170" t="e">
        <f>N59/#REF!*100</f>
        <v>#REF!</v>
      </c>
      <c r="P59" s="1150">
        <f>SUM(P60:P62)</f>
        <v>3644.7</v>
      </c>
      <c r="Q59" s="1150">
        <v>28</v>
      </c>
      <c r="R59" s="1150">
        <f>SUM(R60:R62)</f>
        <v>1773.7999999999997</v>
      </c>
      <c r="S59" s="1150">
        <f>SUM(S60:S62)</f>
        <v>2603.1999999999998</v>
      </c>
      <c r="T59" s="1150">
        <v>3476.2</v>
      </c>
      <c r="U59" s="1063">
        <f t="shared" si="9"/>
        <v>30.2</v>
      </c>
      <c r="V59" s="1148">
        <f t="shared" si="9"/>
        <v>3672.7</v>
      </c>
      <c r="W59" s="1139">
        <f t="shared" si="9"/>
        <v>3644.7</v>
      </c>
      <c r="X59" s="1071">
        <f t="shared" si="9"/>
        <v>28</v>
      </c>
      <c r="Y59" s="1126">
        <f t="shared" si="10"/>
        <v>0</v>
      </c>
      <c r="Z59" s="1064">
        <f t="shared" si="10"/>
        <v>0</v>
      </c>
      <c r="AA59" s="1139">
        <f t="shared" si="11"/>
        <v>3445</v>
      </c>
      <c r="AB59" s="1150">
        <v>28</v>
      </c>
      <c r="AC59" s="1150">
        <f t="shared" si="11"/>
        <v>3445</v>
      </c>
      <c r="AD59" s="1150">
        <f t="shared" si="11"/>
        <v>28</v>
      </c>
      <c r="AE59" s="1065">
        <f>SUM(AC59/W59*100)</f>
        <v>94.520811040689225</v>
      </c>
      <c r="AF59" s="4351"/>
      <c r="AG59" s="4352"/>
    </row>
    <row r="60" spans="1:33" ht="36" customHeight="1" x14ac:dyDescent="0.2">
      <c r="A60" s="1174" t="s">
        <v>27</v>
      </c>
      <c r="B60" s="1044"/>
      <c r="C60" s="1091"/>
      <c r="D60" s="1091">
        <v>3032.3</v>
      </c>
      <c r="E60" s="1043">
        <v>0</v>
      </c>
      <c r="F60" s="1044">
        <v>3064.5</v>
      </c>
      <c r="G60" s="1091">
        <v>0</v>
      </c>
      <c r="H60" s="1091">
        <v>2946</v>
      </c>
      <c r="I60" s="1043">
        <v>0</v>
      </c>
      <c r="J60" s="1044">
        <v>2955</v>
      </c>
      <c r="K60" s="1091">
        <v>0</v>
      </c>
      <c r="L60" s="1091">
        <v>2748.3</v>
      </c>
      <c r="M60" s="1043">
        <v>0</v>
      </c>
      <c r="N60" s="1111">
        <v>2600</v>
      </c>
      <c r="O60" s="1171" t="e">
        <f>N60/#REF!*100</f>
        <v>#REF!</v>
      </c>
      <c r="P60" s="1077">
        <v>2600</v>
      </c>
      <c r="Q60" s="1077">
        <v>0</v>
      </c>
      <c r="R60" s="1077">
        <v>1250.8</v>
      </c>
      <c r="S60" s="1077">
        <v>1837.1</v>
      </c>
      <c r="T60" s="1077">
        <v>2448.6999999999998</v>
      </c>
      <c r="U60" s="1066">
        <v>0</v>
      </c>
      <c r="V60" s="1118">
        <v>2600</v>
      </c>
      <c r="W60" s="1076">
        <f>V60</f>
        <v>2600</v>
      </c>
      <c r="X60" s="1065">
        <v>0</v>
      </c>
      <c r="Y60" s="1124"/>
      <c r="Z60" s="1067"/>
      <c r="AA60" s="1076">
        <v>2448</v>
      </c>
      <c r="AB60" s="1077">
        <v>0</v>
      </c>
      <c r="AC60" s="1077">
        <f>AA60</f>
        <v>2448</v>
      </c>
      <c r="AD60" s="1077">
        <v>0</v>
      </c>
      <c r="AE60" s="1065">
        <f>SUM(AC60/W60*100)</f>
        <v>94.15384615384616</v>
      </c>
      <c r="AF60" s="4362" t="s">
        <v>883</v>
      </c>
      <c r="AG60" s="4363"/>
    </row>
    <row r="61" spans="1:33" ht="36" customHeight="1" x14ac:dyDescent="0.2">
      <c r="A61" s="1174" t="s">
        <v>29</v>
      </c>
      <c r="B61" s="1044"/>
      <c r="C61" s="1091"/>
      <c r="D61" s="1091">
        <v>1034.5</v>
      </c>
      <c r="E61" s="1043">
        <v>0</v>
      </c>
      <c r="F61" s="1044">
        <v>1132</v>
      </c>
      <c r="G61" s="1091">
        <v>0</v>
      </c>
      <c r="H61" s="1091">
        <v>1042.3</v>
      </c>
      <c r="I61" s="1043">
        <v>0</v>
      </c>
      <c r="J61" s="1044">
        <v>1035</v>
      </c>
      <c r="K61" s="1091">
        <v>0</v>
      </c>
      <c r="L61" s="1091">
        <v>1022.7</v>
      </c>
      <c r="M61" s="1043">
        <v>0</v>
      </c>
      <c r="N61" s="1111">
        <v>972</v>
      </c>
      <c r="O61" s="1171" t="e">
        <f>N61/#REF!*100</f>
        <v>#REF!</v>
      </c>
      <c r="P61" s="1077">
        <v>1044.7</v>
      </c>
      <c r="Q61" s="1077">
        <v>0</v>
      </c>
      <c r="R61" s="1077">
        <v>513.4</v>
      </c>
      <c r="S61" s="1077">
        <v>751.9</v>
      </c>
      <c r="T61" s="1077">
        <v>997.3</v>
      </c>
      <c r="U61" s="1066">
        <v>0</v>
      </c>
      <c r="V61" s="1118">
        <v>1044.7</v>
      </c>
      <c r="W61" s="1076">
        <f>V61</f>
        <v>1044.7</v>
      </c>
      <c r="X61" s="1065">
        <v>0</v>
      </c>
      <c r="Y61" s="1124"/>
      <c r="Z61" s="1067"/>
      <c r="AA61" s="1076">
        <v>997</v>
      </c>
      <c r="AB61" s="1077">
        <v>0</v>
      </c>
      <c r="AC61" s="1077">
        <f>AA61</f>
        <v>997</v>
      </c>
      <c r="AD61" s="1077">
        <v>0</v>
      </c>
      <c r="AE61" s="1065">
        <f>SUM(AC61/W61*100)</f>
        <v>95.434095912702205</v>
      </c>
      <c r="AF61" s="4362" t="s">
        <v>883</v>
      </c>
      <c r="AG61" s="4363"/>
    </row>
    <row r="62" spans="1:33" ht="36" customHeight="1" thickBot="1" x14ac:dyDescent="0.25">
      <c r="A62" s="605" t="s">
        <v>67</v>
      </c>
      <c r="B62" s="1057"/>
      <c r="C62" s="1055"/>
      <c r="D62" s="1055">
        <v>0</v>
      </c>
      <c r="E62" s="1056">
        <v>26.4</v>
      </c>
      <c r="F62" s="1057">
        <v>0</v>
      </c>
      <c r="G62" s="1055">
        <v>28</v>
      </c>
      <c r="H62" s="1055">
        <v>0</v>
      </c>
      <c r="I62" s="1056">
        <v>18.3</v>
      </c>
      <c r="J62" s="1057">
        <v>0</v>
      </c>
      <c r="K62" s="1055">
        <v>28</v>
      </c>
      <c r="L62" s="1055">
        <v>0</v>
      </c>
      <c r="M62" s="1056">
        <v>30.2</v>
      </c>
      <c r="N62" s="1112">
        <v>28</v>
      </c>
      <c r="O62" s="1172" t="e">
        <f>N62/#REF!*100</f>
        <v>#REF!</v>
      </c>
      <c r="P62" s="1059">
        <v>0</v>
      </c>
      <c r="Q62" s="1059">
        <v>28</v>
      </c>
      <c r="R62" s="1059">
        <v>9.6</v>
      </c>
      <c r="S62" s="1059">
        <v>14.2</v>
      </c>
      <c r="T62" s="1059">
        <v>0</v>
      </c>
      <c r="U62" s="1097">
        <v>30.2</v>
      </c>
      <c r="V62" s="987">
        <v>28</v>
      </c>
      <c r="W62" s="1058">
        <v>0</v>
      </c>
      <c r="X62" s="1061">
        <v>28</v>
      </c>
      <c r="Y62" s="1175"/>
      <c r="Z62" s="1114"/>
      <c r="AA62" s="1058">
        <v>0</v>
      </c>
      <c r="AB62" s="1059">
        <v>28</v>
      </c>
      <c r="AC62" s="1059">
        <v>0</v>
      </c>
      <c r="AD62" s="1059">
        <v>28</v>
      </c>
      <c r="AE62" s="1061" t="e">
        <f>SUM(AC62/W62*100)</f>
        <v>#DIV/0!</v>
      </c>
      <c r="AF62" s="4364"/>
      <c r="AG62" s="4365"/>
    </row>
    <row r="64" spans="1:33" hidden="1" outlineLevel="1" x14ac:dyDescent="0.2">
      <c r="A64" s="157" t="s">
        <v>267</v>
      </c>
    </row>
    <row r="65" spans="1:34" hidden="1" outlineLevel="1" x14ac:dyDescent="0.2">
      <c r="A65" s="25"/>
      <c r="B65" s="25"/>
      <c r="C65" s="974"/>
      <c r="D65" s="974"/>
      <c r="E65" s="974"/>
      <c r="F65" s="974"/>
      <c r="G65" s="974"/>
      <c r="H65" s="974"/>
      <c r="I65" s="974"/>
      <c r="J65" s="25"/>
      <c r="K65" s="974"/>
      <c r="L65" s="974"/>
      <c r="M65" s="25"/>
      <c r="N65" s="25" t="s">
        <v>258</v>
      </c>
      <c r="O65" s="25" t="s">
        <v>259</v>
      </c>
      <c r="P65" s="25" t="s">
        <v>259</v>
      </c>
      <c r="Q65" s="974"/>
      <c r="R65" s="25" t="s">
        <v>260</v>
      </c>
      <c r="S65" s="25" t="s">
        <v>261</v>
      </c>
      <c r="T65" s="974"/>
      <c r="U65" s="579"/>
      <c r="V65" s="25" t="s">
        <v>262</v>
      </c>
      <c r="W65" s="25" t="s">
        <v>264</v>
      </c>
      <c r="X65" s="974"/>
      <c r="Y65" s="579"/>
      <c r="Z65" s="579"/>
      <c r="AA65" s="579"/>
      <c r="AB65" s="1130"/>
      <c r="AC65" s="579"/>
      <c r="AD65" s="974"/>
      <c r="AE65" s="579"/>
      <c r="AF65" s="25" t="s">
        <v>265</v>
      </c>
      <c r="AG65" s="25" t="s">
        <v>266</v>
      </c>
    </row>
    <row r="66" spans="1:34" hidden="1" outlineLevel="1" x14ac:dyDescent="0.2">
      <c r="A66" s="25" t="s">
        <v>254</v>
      </c>
      <c r="B66" s="25"/>
      <c r="C66" s="974"/>
      <c r="D66" s="974"/>
      <c r="E66" s="974"/>
      <c r="F66" s="974"/>
      <c r="G66" s="974"/>
      <c r="H66" s="974"/>
      <c r="I66" s="974"/>
      <c r="J66" s="25"/>
      <c r="K66" s="974"/>
      <c r="L66" s="974"/>
      <c r="M66" s="25"/>
      <c r="N66" s="25"/>
      <c r="O66" s="25"/>
      <c r="P66" s="25"/>
      <c r="Q66" s="974"/>
      <c r="R66" s="25"/>
      <c r="S66" s="25"/>
      <c r="T66" s="974"/>
      <c r="U66" s="579"/>
      <c r="V66" s="25"/>
      <c r="W66" s="25"/>
      <c r="X66" s="974"/>
      <c r="Y66" s="579"/>
      <c r="Z66" s="579"/>
      <c r="AA66" s="579"/>
      <c r="AB66" s="1130"/>
      <c r="AC66" s="579"/>
      <c r="AD66" s="974"/>
      <c r="AE66" s="579"/>
      <c r="AF66" s="25"/>
      <c r="AG66" s="25"/>
    </row>
    <row r="67" spans="1:34" hidden="1" outlineLevel="1" x14ac:dyDescent="0.2">
      <c r="A67" s="156" t="s">
        <v>230</v>
      </c>
      <c r="B67" s="25"/>
      <c r="C67" s="974"/>
      <c r="D67" s="974"/>
      <c r="E67" s="974"/>
      <c r="F67" s="974"/>
      <c r="G67" s="974"/>
      <c r="H67" s="974"/>
      <c r="I67" s="974"/>
      <c r="J67" s="25"/>
      <c r="K67" s="974"/>
      <c r="L67" s="974"/>
      <c r="M67" s="25"/>
      <c r="N67" s="25"/>
      <c r="O67" s="25"/>
      <c r="P67" s="25"/>
      <c r="Q67" s="974"/>
      <c r="R67" s="25"/>
      <c r="S67" s="25"/>
      <c r="T67" s="974"/>
      <c r="U67" s="579"/>
      <c r="V67" s="25"/>
      <c r="W67" s="25"/>
      <c r="X67" s="974"/>
      <c r="Y67" s="579"/>
      <c r="Z67" s="579"/>
      <c r="AA67" s="579"/>
      <c r="AB67" s="1130"/>
      <c r="AC67" s="579"/>
      <c r="AD67" s="974"/>
      <c r="AE67" s="579"/>
      <c r="AF67" s="25"/>
      <c r="AG67" s="25"/>
    </row>
    <row r="68" spans="1:34" hidden="1" outlineLevel="1" x14ac:dyDescent="0.2">
      <c r="A68" s="25" t="s">
        <v>255</v>
      </c>
      <c r="B68" s="25"/>
      <c r="C68" s="974"/>
      <c r="D68" s="974"/>
      <c r="E68" s="974"/>
      <c r="F68" s="974"/>
      <c r="G68" s="974"/>
      <c r="H68" s="974"/>
      <c r="I68" s="974"/>
      <c r="J68" s="25"/>
      <c r="K68" s="974"/>
      <c r="L68" s="974"/>
      <c r="M68" s="25"/>
      <c r="N68" s="25">
        <v>236.8</v>
      </c>
      <c r="O68" s="25">
        <v>236.8</v>
      </c>
      <c r="P68" s="25">
        <v>236.8</v>
      </c>
      <c r="Q68" s="974"/>
      <c r="R68" s="25">
        <v>236.8</v>
      </c>
      <c r="S68" s="25">
        <v>236.8</v>
      </c>
      <c r="T68" s="974"/>
      <c r="U68" s="579"/>
      <c r="V68" s="25">
        <f>S68</f>
        <v>236.8</v>
      </c>
      <c r="W68" s="25">
        <v>229.09</v>
      </c>
      <c r="X68" s="974"/>
      <c r="Y68" s="579"/>
      <c r="Z68" s="579"/>
      <c r="AA68" s="579"/>
      <c r="AB68" s="1130"/>
      <c r="AC68" s="579"/>
      <c r="AD68" s="974"/>
      <c r="AE68" s="579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256</v>
      </c>
      <c r="B69" s="25"/>
      <c r="C69" s="974"/>
      <c r="D69" s="974"/>
      <c r="E69" s="974"/>
      <c r="F69" s="974"/>
      <c r="G69" s="974"/>
      <c r="H69" s="974"/>
      <c r="I69" s="974"/>
      <c r="J69" s="25"/>
      <c r="K69" s="974"/>
      <c r="L69" s="974"/>
      <c r="M69" s="25"/>
      <c r="N69" s="25">
        <v>100.3</v>
      </c>
      <c r="O69" s="25">
        <v>100.3</v>
      </c>
      <c r="P69" s="25">
        <v>100.3</v>
      </c>
      <c r="Q69" s="974"/>
      <c r="R69" s="25">
        <v>100.3</v>
      </c>
      <c r="S69" s="25">
        <v>100.3</v>
      </c>
      <c r="T69" s="974"/>
      <c r="U69" s="579"/>
      <c r="V69" s="25">
        <f>S69</f>
        <v>100.3</v>
      </c>
      <c r="W69" s="25">
        <v>87.4</v>
      </c>
      <c r="X69" s="974"/>
      <c r="Y69" s="579"/>
      <c r="Z69" s="579"/>
      <c r="AA69" s="579"/>
      <c r="AB69" s="1130"/>
      <c r="AC69" s="579"/>
      <c r="AD69" s="974"/>
      <c r="AE69" s="579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257</v>
      </c>
      <c r="B70" s="25"/>
      <c r="C70" s="974"/>
      <c r="D70" s="974"/>
      <c r="E70" s="974"/>
      <c r="F70" s="974"/>
      <c r="G70" s="974"/>
      <c r="H70" s="974"/>
      <c r="I70" s="974"/>
      <c r="J70" s="25"/>
      <c r="K70" s="974"/>
      <c r="L70" s="974"/>
      <c r="M70" s="25"/>
      <c r="N70" s="25">
        <v>3.6</v>
      </c>
      <c r="O70" s="25">
        <v>3.6</v>
      </c>
      <c r="P70" s="25">
        <v>3.6</v>
      </c>
      <c r="Q70" s="974"/>
      <c r="R70" s="25">
        <v>3.6</v>
      </c>
      <c r="S70" s="25">
        <v>3.6</v>
      </c>
      <c r="T70" s="974"/>
      <c r="U70" s="579"/>
      <c r="V70" s="25">
        <f>S70</f>
        <v>3.6</v>
      </c>
      <c r="W70" s="25">
        <v>2.1</v>
      </c>
      <c r="X70" s="974"/>
      <c r="Y70" s="579"/>
      <c r="Z70" s="579"/>
      <c r="AA70" s="579"/>
      <c r="AB70" s="1130"/>
      <c r="AC70" s="579"/>
      <c r="AD70" s="974"/>
      <c r="AE70" s="579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974"/>
      <c r="D71" s="974"/>
      <c r="E71" s="974"/>
      <c r="F71" s="974"/>
      <c r="G71" s="974"/>
      <c r="H71" s="974"/>
      <c r="I71" s="974"/>
      <c r="J71" s="25"/>
      <c r="K71" s="974"/>
      <c r="L71" s="974"/>
      <c r="M71" s="25"/>
      <c r="N71" s="4344" t="s">
        <v>268</v>
      </c>
      <c r="O71" s="4345"/>
      <c r="P71" s="4345"/>
      <c r="Q71" s="4346"/>
      <c r="R71" s="4345"/>
      <c r="S71" s="4345"/>
      <c r="T71" s="1006"/>
      <c r="U71" s="596"/>
      <c r="V71" s="4345" t="s">
        <v>269</v>
      </c>
      <c r="W71" s="4345"/>
      <c r="X71" s="984"/>
      <c r="Y71" s="598"/>
      <c r="Z71" s="598"/>
      <c r="AA71" s="598"/>
      <c r="AB71" s="1131"/>
      <c r="AC71" s="598"/>
      <c r="AD71" s="975"/>
      <c r="AE71" s="598"/>
      <c r="AF71" s="4347" t="s">
        <v>270</v>
      </c>
      <c r="AG71" s="4347"/>
    </row>
    <row r="72" spans="1:34" collapsed="1" x14ac:dyDescent="0.2"/>
  </sheetData>
  <mergeCells count="76"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  <mergeCell ref="V5:V7"/>
    <mergeCell ref="W5:W7"/>
    <mergeCell ref="AF5:AF7"/>
    <mergeCell ref="AG5:AG7"/>
    <mergeCell ref="AH5:AH7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W34:X35"/>
    <mergeCell ref="AF60:AG60"/>
    <mergeCell ref="AF61:AG61"/>
    <mergeCell ref="AF62:AG62"/>
    <mergeCell ref="AF47:AG47"/>
    <mergeCell ref="AF48:AG48"/>
    <mergeCell ref="AF49:AG49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5">
    <tabColor rgb="FFFFFF00"/>
    <pageSetUpPr fitToPage="1"/>
  </sheetPr>
  <dimension ref="A1:BI74"/>
  <sheetViews>
    <sheetView zoomScale="70" zoomScaleNormal="70" zoomScalePageLayoutView="90" workbookViewId="0">
      <selection activeCell="AF38" sqref="AF38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3062"/>
      <c r="V1" s="3062"/>
      <c r="W1" s="3062"/>
      <c r="X1" s="3063"/>
      <c r="Y1" s="3063"/>
      <c r="Z1" s="3063"/>
      <c r="AA1" s="3063"/>
      <c r="AB1" s="4209"/>
      <c r="AC1" s="4497" t="s">
        <v>3980</v>
      </c>
      <c r="AD1" s="4497"/>
      <c r="AE1" s="4497"/>
      <c r="AF1" s="4497"/>
    </row>
    <row r="2" spans="1:61" ht="12.75" customHeight="1" x14ac:dyDescent="0.2">
      <c r="U2" s="3064"/>
      <c r="V2" s="3064"/>
      <c r="W2" s="3064"/>
      <c r="X2" s="3065"/>
      <c r="Y2" s="3065"/>
      <c r="Z2" s="3065"/>
      <c r="AA2" s="3065"/>
      <c r="AB2" s="3065"/>
      <c r="AC2" s="3064"/>
      <c r="AD2" s="3065"/>
      <c r="AE2" s="3065"/>
      <c r="AF2" s="3065"/>
    </row>
    <row r="3" spans="1:61" ht="18.75" x14ac:dyDescent="0.2">
      <c r="U3" s="3066"/>
      <c r="V3" s="3066"/>
      <c r="W3" s="3066"/>
      <c r="X3" s="3066"/>
      <c r="Y3" s="3066"/>
      <c r="Z3" s="3066"/>
      <c r="AA3" s="3066"/>
      <c r="AB3" s="3066"/>
      <c r="AC3" s="3066" t="s">
        <v>3981</v>
      </c>
      <c r="AD3" s="3066"/>
      <c r="AE3" s="3066"/>
      <c r="AF3" s="3066"/>
    </row>
    <row r="4" spans="1:61" ht="44.25" customHeight="1" x14ac:dyDescent="0.2">
      <c r="U4" s="3066"/>
      <c r="V4" s="3066"/>
      <c r="W4" s="3066"/>
      <c r="X4" s="3066"/>
      <c r="Y4" s="3066"/>
      <c r="Z4" s="3066"/>
      <c r="AA4" s="3066"/>
      <c r="AB4" s="4208"/>
      <c r="AC4" s="4497" t="s">
        <v>3982</v>
      </c>
      <c r="AD4" s="4497"/>
      <c r="AE4" s="4497"/>
      <c r="AF4" s="4497"/>
    </row>
    <row r="5" spans="1:61" ht="26.25" customHeight="1" x14ac:dyDescent="0.2">
      <c r="U5" s="3066"/>
      <c r="V5" s="3066"/>
      <c r="W5" s="3066"/>
      <c r="X5" s="3066"/>
      <c r="Y5" s="3066"/>
      <c r="Z5" s="3066"/>
      <c r="AA5" s="3063"/>
      <c r="AB5" s="3063"/>
      <c r="AC5" s="3066" t="s">
        <v>3983</v>
      </c>
      <c r="AD5" s="3063"/>
      <c r="AE5" s="3063"/>
      <c r="AF5" s="3066"/>
    </row>
    <row r="6" spans="1:61" ht="25.5" customHeight="1" x14ac:dyDescent="0.3">
      <c r="U6" s="3067"/>
      <c r="V6" s="3067"/>
      <c r="W6" s="3067"/>
      <c r="X6" s="3067"/>
      <c r="Y6" s="3067"/>
      <c r="Z6" s="3067"/>
      <c r="AA6" s="3067"/>
      <c r="AB6" s="3067"/>
      <c r="AC6" s="3067" t="s">
        <v>3971</v>
      </c>
      <c r="AD6" s="3067"/>
      <c r="AE6" s="3067"/>
      <c r="AF6" s="3067"/>
    </row>
    <row r="7" spans="1:61" ht="12.2" customHeight="1" x14ac:dyDescent="0.25">
      <c r="U7" s="3061"/>
      <c r="V7" s="3061"/>
      <c r="W7" s="3061"/>
      <c r="X7" s="3061"/>
      <c r="Y7" s="3061"/>
      <c r="Z7" s="3061"/>
      <c r="AA7" s="3061"/>
      <c r="AB7" s="3061"/>
      <c r="AC7" s="3061"/>
      <c r="AD7" s="3061"/>
      <c r="AE7" s="3061"/>
      <c r="AF7" s="3061"/>
    </row>
    <row r="8" spans="1:61" ht="44.25" customHeight="1" x14ac:dyDescent="0.4">
      <c r="A8" s="4515" t="s">
        <v>3972</v>
      </c>
      <c r="B8" s="4515"/>
      <c r="C8" s="4515"/>
      <c r="D8" s="4515"/>
      <c r="E8" s="4515"/>
      <c r="F8" s="4515"/>
      <c r="G8" s="4515"/>
      <c r="H8" s="4515"/>
      <c r="I8" s="4515"/>
      <c r="J8" s="4515"/>
      <c r="K8" s="4516"/>
      <c r="L8" s="4516"/>
      <c r="M8" s="4516"/>
      <c r="N8" s="4516"/>
      <c r="O8" s="4516"/>
      <c r="P8" s="4516"/>
      <c r="Q8" s="4516"/>
      <c r="R8" s="4516"/>
      <c r="S8" s="4516"/>
      <c r="T8" s="4516"/>
      <c r="U8" s="4516"/>
      <c r="V8" s="4516"/>
      <c r="W8" s="4516"/>
      <c r="X8" s="4516"/>
      <c r="Y8" s="4516"/>
      <c r="Z8" s="4516"/>
      <c r="AA8" s="4516"/>
      <c r="AB8" s="4516"/>
      <c r="AC8" s="4516"/>
      <c r="AD8" s="4516"/>
      <c r="AE8" s="4516"/>
      <c r="AF8" s="4516"/>
    </row>
    <row r="9" spans="1:61" ht="16.5" collapsed="1" thickBot="1" x14ac:dyDescent="0.3">
      <c r="AF9" s="3068" t="s">
        <v>3817</v>
      </c>
    </row>
    <row r="10" spans="1:61" ht="18.75" x14ac:dyDescent="0.3">
      <c r="A10" s="4536" t="s">
        <v>3818</v>
      </c>
      <c r="B10" s="4537"/>
      <c r="C10" s="4537"/>
      <c r="D10" s="4537"/>
      <c r="E10" s="4537"/>
      <c r="F10" s="4537"/>
      <c r="G10" s="4537"/>
      <c r="H10" s="4537"/>
      <c r="I10" s="4537"/>
      <c r="J10" s="4537"/>
      <c r="K10" s="4537"/>
      <c r="L10" s="4537"/>
      <c r="M10" s="4537"/>
      <c r="N10" s="4537"/>
      <c r="O10" s="4537"/>
      <c r="P10" s="4537"/>
      <c r="Q10" s="4537"/>
      <c r="R10" s="4537"/>
      <c r="S10" s="4537"/>
      <c r="T10" s="4537"/>
      <c r="U10" s="4537"/>
      <c r="V10" s="4537"/>
      <c r="W10" s="4537"/>
      <c r="X10" s="4537"/>
      <c r="Y10" s="4537"/>
      <c r="Z10" s="4537"/>
      <c r="AA10" s="4537"/>
      <c r="AB10" s="4538"/>
      <c r="AC10" s="4538"/>
      <c r="AD10" s="4538"/>
      <c r="AE10" s="4538"/>
      <c r="AF10" s="4525"/>
    </row>
    <row r="11" spans="1:61" ht="18.75" customHeight="1" x14ac:dyDescent="0.3">
      <c r="A11" s="4539" t="s">
        <v>527</v>
      </c>
      <c r="B11" s="3069"/>
      <c r="C11" s="3069"/>
      <c r="D11" s="3069"/>
      <c r="E11" s="3069"/>
      <c r="F11" s="3069"/>
      <c r="G11" s="3069"/>
      <c r="H11" s="3069"/>
      <c r="I11" s="3069"/>
      <c r="J11" s="3069"/>
      <c r="K11" s="4527" t="s">
        <v>3819</v>
      </c>
      <c r="L11" s="4541" t="s">
        <v>585</v>
      </c>
      <c r="M11" s="4542"/>
      <c r="N11" s="4543"/>
      <c r="O11" s="4541" t="s">
        <v>584</v>
      </c>
      <c r="P11" s="4542"/>
      <c r="Q11" s="4543"/>
      <c r="R11" s="4541" t="s">
        <v>583</v>
      </c>
      <c r="S11" s="4542"/>
      <c r="T11" s="4543"/>
      <c r="U11" s="4541" t="s">
        <v>216</v>
      </c>
      <c r="V11" s="4542"/>
      <c r="W11" s="4543"/>
      <c r="X11" s="4541" t="s">
        <v>220</v>
      </c>
      <c r="Y11" s="4542"/>
      <c r="Z11" s="4543"/>
      <c r="AA11" s="4541" t="s">
        <v>3820</v>
      </c>
      <c r="AB11" s="4542"/>
      <c r="AC11" s="4543"/>
      <c r="AD11" s="4541" t="s">
        <v>1809</v>
      </c>
      <c r="AE11" s="4542"/>
      <c r="AF11" s="4544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</row>
    <row r="12" spans="1:61" ht="18.75" x14ac:dyDescent="0.3">
      <c r="A12" s="4540"/>
      <c r="B12" s="3069"/>
      <c r="C12" s="3069"/>
      <c r="D12" s="3069"/>
      <c r="E12" s="3069"/>
      <c r="F12" s="3069"/>
      <c r="G12" s="3069"/>
      <c r="H12" s="3069"/>
      <c r="I12" s="3069"/>
      <c r="J12" s="3069"/>
      <c r="K12" s="4527"/>
      <c r="L12" s="3174" t="s">
        <v>616</v>
      </c>
      <c r="M12" s="3174" t="s">
        <v>3724</v>
      </c>
      <c r="N12" s="3174" t="s">
        <v>3660</v>
      </c>
      <c r="O12" s="3174" t="s">
        <v>616</v>
      </c>
      <c r="P12" s="3174" t="s">
        <v>3724</v>
      </c>
      <c r="Q12" s="3174" t="s">
        <v>3660</v>
      </c>
      <c r="R12" s="3174" t="s">
        <v>616</v>
      </c>
      <c r="S12" s="3174" t="s">
        <v>3724</v>
      </c>
      <c r="T12" s="3174" t="s">
        <v>3660</v>
      </c>
      <c r="U12" s="3174" t="s">
        <v>616</v>
      </c>
      <c r="V12" s="3174" t="s">
        <v>3724</v>
      </c>
      <c r="W12" s="3174" t="s">
        <v>3660</v>
      </c>
      <c r="X12" s="3174" t="s">
        <v>616</v>
      </c>
      <c r="Y12" s="3174" t="s">
        <v>3724</v>
      </c>
      <c r="Z12" s="3174" t="s">
        <v>3660</v>
      </c>
      <c r="AA12" s="3174" t="s">
        <v>616</v>
      </c>
      <c r="AB12" s="3174" t="s">
        <v>3724</v>
      </c>
      <c r="AC12" s="3174" t="s">
        <v>3660</v>
      </c>
      <c r="AD12" s="3174" t="s">
        <v>616</v>
      </c>
      <c r="AE12" s="3174" t="s">
        <v>3724</v>
      </c>
      <c r="AF12" s="3070" t="s">
        <v>3660</v>
      </c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</row>
    <row r="13" spans="1:61" ht="18.75" x14ac:dyDescent="0.3">
      <c r="A13" s="3071" t="s">
        <v>3725</v>
      </c>
      <c r="B13" s="3072"/>
      <c r="C13" s="3072"/>
      <c r="D13" s="3072"/>
      <c r="E13" s="3072"/>
      <c r="F13" s="3072"/>
      <c r="G13" s="3072"/>
      <c r="H13" s="3072"/>
      <c r="I13" s="3072"/>
      <c r="J13" s="3072"/>
      <c r="K13" s="3073" t="s">
        <v>3821</v>
      </c>
      <c r="L13" s="3074">
        <f>SUM('ПОЛНАЯ СЕБЕСТОИМОСТЬ ВОДА 2021'!B8)</f>
        <v>1497.42245</v>
      </c>
      <c r="M13" s="3074">
        <f>SUM('ПОЛНАЯ СЕБЕСТОИМОСТЬ ВОДА 2021'!C8)</f>
        <v>1496.98</v>
      </c>
      <c r="N13" s="3074">
        <f>SUM('ПОЛНАЯ СЕБЕСТОИМОСТЬ ВОДА 2021'!D8)</f>
        <v>0.44245000000000001</v>
      </c>
      <c r="O13" s="3074">
        <f>SUM('ПОЛНАЯ СЕБЕСТОИМОСТЬ ВОДА 2021'!Q8)</f>
        <v>1497.42245</v>
      </c>
      <c r="P13" s="3074">
        <f>SUM('ПОЛНАЯ СЕБЕСТОИМОСТЬ ВОДА 2021'!R8)</f>
        <v>1496.98</v>
      </c>
      <c r="Q13" s="3074">
        <f>SUM('ПОЛНАЯ СЕБЕСТОИМОСТЬ ВОДА 2021'!S8)</f>
        <v>0.44245000000000001</v>
      </c>
      <c r="R13" s="3074">
        <f>SUM('ПОЛНАЯ СЕБЕСТОИМОСТЬ ВОДА 2021'!AF8)</f>
        <v>2994.8449000000001</v>
      </c>
      <c r="S13" s="3074">
        <f>SUM('ПОЛНАЯ СЕБЕСТОИМОСТЬ ВОДА 2021'!AG8)</f>
        <v>2993.96</v>
      </c>
      <c r="T13" s="3074">
        <f>SUM('ПОЛНАЯ СЕБЕСТОИМОСТЬ ВОДА 2021'!AH8)</f>
        <v>0.88490000000000002</v>
      </c>
      <c r="U13" s="3074">
        <f>SUM('ПОЛНАЯ СЕБЕСТОИМОСТЬ ВОДА 2021'!AO8)</f>
        <v>1497.42245</v>
      </c>
      <c r="V13" s="3074">
        <f>SUM('ПОЛНАЯ СЕБЕСТОИМОСТЬ ВОДА 2021'!AP8)</f>
        <v>1496.98</v>
      </c>
      <c r="W13" s="3074">
        <f>SUM('ПОЛНАЯ СЕБЕСТОИМОСТЬ ВОДА 2021'!AQ8)</f>
        <v>0.44245000000000001</v>
      </c>
      <c r="X13" s="3074">
        <f>SUM('ПОЛНАЯ СЕБЕСТОИМОСТЬ ВОДА 2021'!BD8)</f>
        <v>4492.2673500000001</v>
      </c>
      <c r="Y13" s="3074">
        <f>SUM('ПОЛНАЯ СЕБЕСТОИМОСТЬ ВОДА 2021'!BE8)</f>
        <v>4490.9400000000005</v>
      </c>
      <c r="Z13" s="3074">
        <f>SUM('ПОЛНАЯ СЕБЕСТОИМОСТЬ ВОДА 2021'!BF8)</f>
        <v>1.32735</v>
      </c>
      <c r="AA13" s="3074">
        <f>SUM('ПОЛНАЯ СЕБЕСТОИМОСТЬ ВОДА 2021'!BM8)</f>
        <v>1497.42245</v>
      </c>
      <c r="AB13" s="3074">
        <f>SUM('ПОЛНАЯ СЕБЕСТОИМОСТЬ ВОДА 2021'!BN8)</f>
        <v>1496.98</v>
      </c>
      <c r="AC13" s="3074">
        <f>SUM('ПОЛНАЯ СЕБЕСТОИМОСТЬ ВОДА 2021'!BO8)</f>
        <v>0.44245000000000001</v>
      </c>
      <c r="AD13" s="3075">
        <f>SUM('ПОЛНАЯ СЕБЕСТОИМОСТЬ ВОДА 2021'!CB8)</f>
        <v>5989.6898000000001</v>
      </c>
      <c r="AE13" s="3075">
        <f>SUM('ПОЛНАЯ СЕБЕСТОИМОСТЬ ВОДА 2021'!CC8)</f>
        <v>5987.92</v>
      </c>
      <c r="AF13" s="3076">
        <f>SUM('ПОЛНАЯ СЕБЕСТОИМОСТЬ ВОДА 2021'!CD8)</f>
        <v>1.7698</v>
      </c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</row>
    <row r="14" spans="1:61" ht="18.75" x14ac:dyDescent="0.3">
      <c r="A14" s="3077" t="s">
        <v>20</v>
      </c>
      <c r="B14" s="3072"/>
      <c r="C14" s="3072"/>
      <c r="D14" s="3072"/>
      <c r="E14" s="3072"/>
      <c r="F14" s="3072"/>
      <c r="G14" s="3072"/>
      <c r="H14" s="3072"/>
      <c r="I14" s="3072"/>
      <c r="J14" s="3072"/>
      <c r="K14" s="3078" t="s">
        <v>3821</v>
      </c>
      <c r="L14" s="3079">
        <f>SUM('ПОЛНАЯ СЕБЕСТОИМОСТЬ ВОДА 2021'!B9)</f>
        <v>285.92325</v>
      </c>
      <c r="M14" s="3079">
        <f>SUM('ПОЛНАЯ СЕБЕСТОИМОСТЬ ВОДА 2021'!C9)</f>
        <v>285.92325</v>
      </c>
      <c r="N14" s="3079">
        <f>SUM('ПОЛНАЯ СЕБЕСТОИМОСТЬ ВОДА 2021'!D9)</f>
        <v>0</v>
      </c>
      <c r="O14" s="3079">
        <f>SUM('ПОЛНАЯ СЕБЕСТОИМОСТЬ ВОДА 2021'!Q9)</f>
        <v>285.92325</v>
      </c>
      <c r="P14" s="3079">
        <f>SUM('ПОЛНАЯ СЕБЕСТОИМОСТЬ ВОДА 2021'!R9)</f>
        <v>285.92325</v>
      </c>
      <c r="Q14" s="3079">
        <f>SUM('ПОЛНАЯ СЕБЕСТОИМОСТЬ ВОДА 2021'!S9)</f>
        <v>0</v>
      </c>
      <c r="R14" s="3079">
        <f>SUM('ПОЛНАЯ СЕБЕСТОИМОСТЬ ВОДА 2021'!AF9)</f>
        <v>571.84649999999999</v>
      </c>
      <c r="S14" s="3079">
        <f>SUM('ПОЛНАЯ СЕБЕСТОИМОСТЬ ВОДА 2021'!AG9)</f>
        <v>571.84649999999999</v>
      </c>
      <c r="T14" s="3079">
        <f>SUM('ПОЛНАЯ СЕБЕСТОИМОСТЬ ВОДА 2021'!AH9)</f>
        <v>0</v>
      </c>
      <c r="U14" s="3079">
        <f>SUM('ПОЛНАЯ СЕБЕСТОИМОСТЬ ВОДА 2021'!AO9)</f>
        <v>285.92325</v>
      </c>
      <c r="V14" s="3079">
        <f>SUM('ПОЛНАЯ СЕБЕСТОИМОСТЬ ВОДА 2021'!AP9)</f>
        <v>285.92325</v>
      </c>
      <c r="W14" s="3079">
        <f>SUM('ПОЛНАЯ СЕБЕСТОИМОСТЬ ВОДА 2021'!AQ9)</f>
        <v>0</v>
      </c>
      <c r="X14" s="3079">
        <f>SUM('ПОЛНАЯ СЕБЕСТОИМОСТЬ ВОДА 2021'!BD9)</f>
        <v>857.76974999999993</v>
      </c>
      <c r="Y14" s="3079">
        <f>SUM('ПОЛНАЯ СЕБЕСТОИМОСТЬ ВОДА 2021'!BE9)</f>
        <v>857.76974999999993</v>
      </c>
      <c r="Z14" s="3079">
        <f>SUM('ПОЛНАЯ СЕБЕСТОИМОСТЬ ВОДА 2021'!BF9)</f>
        <v>0</v>
      </c>
      <c r="AA14" s="3079">
        <f>SUM('ПОЛНАЯ СЕБЕСТОИМОСТЬ ВОДА 2021'!BM9)</f>
        <v>285.92325</v>
      </c>
      <c r="AB14" s="3079">
        <f>SUM('ПОЛНАЯ СЕБЕСТОИМОСТЬ ВОДА 2021'!BN9)</f>
        <v>285.92325</v>
      </c>
      <c r="AC14" s="3079">
        <f>SUM('ПОЛНАЯ СЕБЕСТОИМОСТЬ ВОДА 2021'!BO9)</f>
        <v>0</v>
      </c>
      <c r="AD14" s="3080">
        <f>SUM('ПОЛНАЯ СЕБЕСТОИМОСТЬ ВОДА 2021'!CB9)</f>
        <v>1143.693</v>
      </c>
      <c r="AE14" s="3080">
        <f>SUM('ПОЛНАЯ СЕБЕСТОИМОСТЬ ВОДА 2021'!CC9)</f>
        <v>1143.693</v>
      </c>
      <c r="AF14" s="3081">
        <f>SUM('ПОЛНАЯ СЕБЕСТОИМОСТЬ ВОДА 2021'!CD9)</f>
        <v>0</v>
      </c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</row>
    <row r="15" spans="1:61" ht="18.75" x14ac:dyDescent="0.3">
      <c r="A15" s="3082" t="s">
        <v>373</v>
      </c>
      <c r="B15" s="3072"/>
      <c r="C15" s="3072"/>
      <c r="D15" s="3072"/>
      <c r="E15" s="3072"/>
      <c r="F15" s="3072"/>
      <c r="G15" s="3072"/>
      <c r="H15" s="3072"/>
      <c r="I15" s="3072"/>
      <c r="J15" s="3072"/>
      <c r="K15" s="3078" t="s">
        <v>44</v>
      </c>
      <c r="L15" s="3083">
        <f>SUM('ПОЛНАЯ СЕБЕСТОИМОСТЬ ВОДА 2021'!B10)</f>
        <v>0.19094361113659009</v>
      </c>
      <c r="M15" s="3083">
        <f>SUM('ПОЛНАЯ СЕБЕСТОИМОСТЬ ВОДА 2021'!C10)</f>
        <v>0.19100004676081175</v>
      </c>
      <c r="N15" s="3083">
        <f>SUM('ПОЛНАЯ СЕБЕСТОИМОСТЬ ВОДА 2021'!D10)</f>
        <v>0</v>
      </c>
      <c r="O15" s="3083">
        <f>SUM('ПОЛНАЯ СЕБЕСТОИМОСТЬ ВОДА 2021'!Q10)</f>
        <v>0.19094361113659009</v>
      </c>
      <c r="P15" s="3083">
        <f>SUM('ПОЛНАЯ СЕБЕСТОИМОСТЬ ВОДА 2021'!R10)</f>
        <v>0.19100004676081175</v>
      </c>
      <c r="Q15" s="3083">
        <f>SUM('ПОЛНАЯ СЕБЕСТОИМОСТЬ ВОДА 2021'!S10)</f>
        <v>0</v>
      </c>
      <c r="R15" s="3083">
        <f>SUM('ПОЛНАЯ СЕБЕСТОИМОСТЬ ВОДА 2021'!AF10)</f>
        <v>0.19094361113659009</v>
      </c>
      <c r="S15" s="3083">
        <f>SUM('ПОЛНАЯ СЕБЕСТОИМОСТЬ ВОДА 2021'!AG10)</f>
        <v>0.19100004676081175</v>
      </c>
      <c r="T15" s="3083">
        <f>SUM('ПОЛНАЯ СЕБЕСТОИМОСТЬ ВОДА 2021'!AH10)</f>
        <v>0</v>
      </c>
      <c r="U15" s="3083">
        <f>SUM('ПОЛНАЯ СЕБЕСТОИМОСТЬ ВОДА 2021'!AO10)</f>
        <v>0.19094361113659009</v>
      </c>
      <c r="V15" s="3083">
        <f>SUM('ПОЛНАЯ СЕБЕСТОИМОСТЬ ВОДА 2021'!AP10)</f>
        <v>0.19100004676081175</v>
      </c>
      <c r="W15" s="3083">
        <f>SUM('ПОЛНАЯ СЕБЕСТОИМОСТЬ ВОДА 2021'!AQ10)</f>
        <v>0</v>
      </c>
      <c r="X15" s="3083">
        <f>SUM('ПОЛНАЯ СЕБЕСТОИМОСТЬ ВОДА 2021'!BD10)</f>
        <v>0.19094361113659006</v>
      </c>
      <c r="Y15" s="3083">
        <f>SUM('ПОЛНАЯ СЕБЕСТОИМОСТЬ ВОДА 2021'!BE10)</f>
        <v>0.19100004676081173</v>
      </c>
      <c r="Z15" s="3083">
        <f>SUM('ПОЛНАЯ СЕБЕСТОИМОСТЬ ВОДА 2021'!BF10)</f>
        <v>0</v>
      </c>
      <c r="AA15" s="3083">
        <f>SUM('ПОЛНАЯ СЕБЕСТОИМОСТЬ ВОДА 2021'!BM10)</f>
        <v>0.19094361113659009</v>
      </c>
      <c r="AB15" s="3083">
        <f>SUM('ПОЛНАЯ СЕБЕСТОИМОСТЬ ВОДА 2021'!BN10)</f>
        <v>0.19100004676081175</v>
      </c>
      <c r="AC15" s="3083">
        <f>SUM('ПОЛНАЯ СЕБЕСТОИМОСТЬ ВОДА 2021'!BO10)</f>
        <v>0</v>
      </c>
      <c r="AD15" s="3084">
        <f>SUM('ПОЛНАЯ СЕБЕСТОИМОСТЬ ВОДА 2021'!CB10)</f>
        <v>0.19094361113659009</v>
      </c>
      <c r="AE15" s="3084">
        <f>SUM('ПОЛНАЯ СЕБЕСТОИМОСТЬ ВОДА 2021'!CC10)</f>
        <v>0.19100004676081175</v>
      </c>
      <c r="AF15" s="3085">
        <f>SUM('ПОЛНАЯ СЕБЕСТОИМОСТЬ ВОДА 2021'!CD10)</f>
        <v>0</v>
      </c>
      <c r="AG15" s="389"/>
      <c r="AH15" s="389"/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389"/>
      <c r="BH15" s="389"/>
      <c r="BI15" s="389"/>
    </row>
    <row r="16" spans="1:61" ht="18.75" x14ac:dyDescent="0.3">
      <c r="A16" s="3071" t="s">
        <v>3726</v>
      </c>
      <c r="B16" s="3072"/>
      <c r="C16" s="3072"/>
      <c r="D16" s="3072"/>
      <c r="E16" s="3072"/>
      <c r="F16" s="3072"/>
      <c r="G16" s="3072"/>
      <c r="H16" s="3072"/>
      <c r="I16" s="3072"/>
      <c r="J16" s="3072"/>
      <c r="K16" s="3073" t="s">
        <v>3821</v>
      </c>
      <c r="L16" s="3074">
        <f>SUM('ПОЛНАЯ СЕБЕСТОИМОСТЬ ВОДА 2021'!B11)</f>
        <v>1211.4992</v>
      </c>
      <c r="M16" s="3074">
        <f>SUM('ПОЛНАЯ СЕБЕСТОИМОСТЬ ВОДА 2021'!C11)</f>
        <v>1211.05675</v>
      </c>
      <c r="N16" s="3074">
        <f>SUM('ПОЛНАЯ СЕБЕСТОИМОСТЬ ВОДА 2021'!D11)</f>
        <v>0.44245000000000001</v>
      </c>
      <c r="O16" s="3074">
        <f>SUM('ПОЛНАЯ СЕБЕСТОИМОСТЬ ВОДА 2021'!Q11)</f>
        <v>1211.4992</v>
      </c>
      <c r="P16" s="3074">
        <f>SUM('ПОЛНАЯ СЕБЕСТОИМОСТЬ ВОДА 2021'!R11)</f>
        <v>1211.05675</v>
      </c>
      <c r="Q16" s="3074">
        <f>SUM('ПОЛНАЯ СЕБЕСТОИМОСТЬ ВОДА 2021'!S11)</f>
        <v>0.44245000000000001</v>
      </c>
      <c r="R16" s="3074">
        <f>SUM('ПОЛНАЯ СЕБЕСТОИМОСТЬ ВОДА 2021'!AF11)</f>
        <v>2422.9983999999999</v>
      </c>
      <c r="S16" s="3074">
        <f>SUM('ПОЛНАЯ СЕБЕСТОИМОСТЬ ВОДА 2021'!AG11)</f>
        <v>2422.1134999999999</v>
      </c>
      <c r="T16" s="3074">
        <f>SUM('ПОЛНАЯ СЕБЕСТОИМОСТЬ ВОДА 2021'!AH11)</f>
        <v>0.88490000000000002</v>
      </c>
      <c r="U16" s="3074">
        <f>SUM('ПОЛНАЯ СЕБЕСТОИМОСТЬ ВОДА 2021'!AO11)</f>
        <v>1211.4992</v>
      </c>
      <c r="V16" s="3074">
        <f>SUM('ПОЛНАЯ СЕБЕСТОИМОСТЬ ВОДА 2021'!AP11)</f>
        <v>1211.05675</v>
      </c>
      <c r="W16" s="3074">
        <f>SUM('ПОЛНАЯ СЕБЕСТОИМОСТЬ ВОДА 2021'!AQ11)</f>
        <v>0.44245000000000001</v>
      </c>
      <c r="X16" s="3074">
        <f>SUM('ПОЛНАЯ СЕБЕСТОИМОСТЬ ВОДА 2021'!BD11)</f>
        <v>3634.4976000000006</v>
      </c>
      <c r="Y16" s="3074">
        <f>SUM('ПОЛНАЯ СЕБЕСТОИМОСТЬ ВОДА 2021'!BE11)</f>
        <v>3633.1702500000006</v>
      </c>
      <c r="Z16" s="3074">
        <f>SUM('ПОЛНАЯ СЕБЕСТОИМОСТЬ ВОДА 2021'!BF11)</f>
        <v>1.32735</v>
      </c>
      <c r="AA16" s="3074">
        <f>SUM('ПОЛНАЯ СЕБЕСТОИМОСТЬ ВОДА 2021'!BM11)</f>
        <v>1211.4992</v>
      </c>
      <c r="AB16" s="3074">
        <f>SUM('ПОЛНАЯ СЕБЕСТОИМОСТЬ ВОДА 2021'!BN11)</f>
        <v>1211.05675</v>
      </c>
      <c r="AC16" s="3074">
        <f>SUM('ПОЛНАЯ СЕБЕСТОИМОСТЬ ВОДА 2021'!BO11)</f>
        <v>0.44245000000000001</v>
      </c>
      <c r="AD16" s="3075">
        <f>SUM('ПОЛНАЯ СЕБЕСТОИМОСТЬ ВОДА 2021'!CB11)</f>
        <v>4845.9967999999999</v>
      </c>
      <c r="AE16" s="3075">
        <f>SUM('ПОЛНАЯ СЕБЕСТОИМОСТЬ ВОДА 2021'!CC11)</f>
        <v>4844.2269999999999</v>
      </c>
      <c r="AF16" s="3076">
        <f>SUM('ПОЛНАЯ СЕБЕСТОИМОСТЬ ВОДА 2021'!CD11)</f>
        <v>1.7698</v>
      </c>
      <c r="AG16" s="389"/>
      <c r="AH16" s="389"/>
      <c r="AI16" s="389"/>
      <c r="AJ16" s="389"/>
      <c r="AK16" s="389"/>
      <c r="AL16" s="389"/>
      <c r="AM16" s="389"/>
      <c r="AN16" s="389"/>
      <c r="AO16" s="389"/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389"/>
      <c r="BF16" s="389"/>
      <c r="BG16" s="389"/>
      <c r="BH16" s="389"/>
      <c r="BI16" s="389"/>
    </row>
    <row r="17" spans="1:61" ht="18.75" x14ac:dyDescent="0.3">
      <c r="A17" s="3077" t="s">
        <v>51</v>
      </c>
      <c r="B17" s="3072"/>
      <c r="C17" s="3072"/>
      <c r="D17" s="3072"/>
      <c r="E17" s="3072"/>
      <c r="F17" s="3072"/>
      <c r="G17" s="3072"/>
      <c r="H17" s="3072"/>
      <c r="I17" s="3072"/>
      <c r="J17" s="3072"/>
      <c r="K17" s="3078" t="s">
        <v>3821</v>
      </c>
      <c r="L17" s="3079">
        <f>SUM('ПОЛНАЯ СЕБЕСТОИМОСТЬ ВОДА 2021'!B12)</f>
        <v>334.88924999999995</v>
      </c>
      <c r="M17" s="3079">
        <f>SUM('ПОЛНАЯ СЕБЕСТОИМОСТЬ ВОДА 2021'!C12)</f>
        <v>334.88924999999995</v>
      </c>
      <c r="N17" s="3079">
        <f>SUM('ПОЛНАЯ СЕБЕСТОИМОСТЬ ВОДА 2021'!D12)</f>
        <v>0</v>
      </c>
      <c r="O17" s="3079">
        <f>SUM('ПОЛНАЯ СЕБЕСТОИМОСТЬ ВОДА 2021'!Q12)</f>
        <v>334.88924999999995</v>
      </c>
      <c r="P17" s="3079">
        <f>SUM('ПОЛНАЯ СЕБЕСТОИМОСТЬ ВОДА 2021'!R12)</f>
        <v>334.88924999999995</v>
      </c>
      <c r="Q17" s="3079">
        <f>SUM('ПОЛНАЯ СЕБЕСТОИМОСТЬ ВОДА 2021'!S12)</f>
        <v>0</v>
      </c>
      <c r="R17" s="3079">
        <f>SUM('ПОЛНАЯ СЕБЕСТОИМОСТЬ ВОДА 2021'!AF12)</f>
        <v>669.77849999999989</v>
      </c>
      <c r="S17" s="3079">
        <f>SUM('ПОЛНАЯ СЕБЕСТОИМОСТЬ ВОДА 2021'!AG12)</f>
        <v>669.77849999999989</v>
      </c>
      <c r="T17" s="3079">
        <f>SUM('ПОЛНАЯ СЕБЕСТОИМОСТЬ ВОДА 2021'!AH12)</f>
        <v>0</v>
      </c>
      <c r="U17" s="3079">
        <f>SUM('ПОЛНАЯ СЕБЕСТОИМОСТЬ ВОДА 2021'!AO12)</f>
        <v>334.88924999999995</v>
      </c>
      <c r="V17" s="3079">
        <f>SUM('ПОЛНАЯ СЕБЕСТОИМОСТЬ ВОДА 2021'!AP12)</f>
        <v>334.88924999999995</v>
      </c>
      <c r="W17" s="3079">
        <f>SUM('ПОЛНАЯ СЕБЕСТОИМОСТЬ ВОДА 2021'!AQ12)</f>
        <v>0</v>
      </c>
      <c r="X17" s="3079">
        <f>SUM('ПОЛНАЯ СЕБЕСТОИМОСТЬ ВОДА 2021'!BD12)</f>
        <v>1004.6677500000005</v>
      </c>
      <c r="Y17" s="3079">
        <f>SUM('ПОЛНАЯ СЕБЕСТОИМОСТЬ ВОДА 2021'!BE12)</f>
        <v>1004.6677500000005</v>
      </c>
      <c r="Z17" s="3079">
        <f>SUM('ПОЛНАЯ СЕБЕСТОИМОСТЬ ВОДА 2021'!BF12)</f>
        <v>0</v>
      </c>
      <c r="AA17" s="3079">
        <f>SUM('ПОЛНАЯ СЕБЕСТОИМОСТЬ ВОДА 2021'!BM12)</f>
        <v>334.88924999999995</v>
      </c>
      <c r="AB17" s="3079">
        <f>SUM('ПОЛНАЯ СЕБЕСТОИМОСТЬ ВОДА 2021'!BN12)</f>
        <v>334.88924999999995</v>
      </c>
      <c r="AC17" s="3079">
        <f>SUM('ПОЛНАЯ СЕБЕСТОИМОСТЬ ВОДА 2021'!BO12)</f>
        <v>0</v>
      </c>
      <c r="AD17" s="3080">
        <f>SUM('ПОЛНАЯ СЕБЕСТОИМОСТЬ ВОДА 2021'!CB12)</f>
        <v>1339.5569999999998</v>
      </c>
      <c r="AE17" s="3080">
        <f>SUM('ПОЛНАЯ СЕБЕСТОИМОСТЬ ВОДА 2021'!CC12)</f>
        <v>1339.5569999999998</v>
      </c>
      <c r="AF17" s="3081">
        <f>SUM('ПОЛНАЯ СЕБЕСТОИМОСТЬ ВОДА 2021'!CD12)</f>
        <v>0</v>
      </c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</row>
    <row r="18" spans="1:61" ht="18.75" customHeight="1" x14ac:dyDescent="0.3">
      <c r="A18" s="3082" t="s">
        <v>111</v>
      </c>
      <c r="B18" s="3072"/>
      <c r="C18" s="3072"/>
      <c r="D18" s="3072"/>
      <c r="E18" s="3072"/>
      <c r="F18" s="3072"/>
      <c r="G18" s="3072"/>
      <c r="H18" s="3072"/>
      <c r="I18" s="3072"/>
      <c r="J18" s="3072"/>
      <c r="K18" s="3078" t="s">
        <v>44</v>
      </c>
      <c r="L18" s="3103">
        <f>SUM('ПОЛНАЯ СЕБЕСТОИМОСТЬ ВОДА 2021'!B13)</f>
        <v>0.27642548175021492</v>
      </c>
      <c r="M18" s="3103">
        <f>SUM('ПОЛНАЯ СЕБЕСТОИМОСТЬ ВОДА 2021'!C13)</f>
        <v>0.27652647161249871</v>
      </c>
      <c r="N18" s="3103">
        <f>SUM('ПОЛНАЯ СЕБЕСТОИМОСТЬ ВОДА 2021'!D13)</f>
        <v>0</v>
      </c>
      <c r="O18" s="3103">
        <f>SUM('ПОЛНАЯ СЕБЕСТОИМОСТЬ ВОДА 2021'!Q13)</f>
        <v>0.27642548175021492</v>
      </c>
      <c r="P18" s="3103">
        <f>SUM('ПОЛНАЯ СЕБЕСТОИМОСТЬ ВОДА 2021'!R13)</f>
        <v>0.27652647161249871</v>
      </c>
      <c r="Q18" s="3103">
        <f>SUM('ПОЛНАЯ СЕБЕСТОИМОСТЬ ВОДА 2021'!S13)</f>
        <v>0</v>
      </c>
      <c r="R18" s="3103">
        <f>SUM('ПОЛНАЯ СЕБЕСТОИМОСТЬ ВОДА 2021'!AF13)</f>
        <v>0.27642548175021492</v>
      </c>
      <c r="S18" s="3103">
        <f>SUM('ПОЛНАЯ СЕБЕСТОИМОСТЬ ВОДА 2021'!AG13)</f>
        <v>0.27652647161249871</v>
      </c>
      <c r="T18" s="3103">
        <f>SUM('ПОЛНАЯ СЕБЕСТОИМОСТЬ ВОДА 2021'!AH13)</f>
        <v>0</v>
      </c>
      <c r="U18" s="3103">
        <f>SUM('ПОЛНАЯ СЕБЕСТОИМОСТЬ ВОДА 2021'!AO13)</f>
        <v>0.27642548175021492</v>
      </c>
      <c r="V18" s="3103">
        <f>SUM('ПОЛНАЯ СЕБЕСТОИМОСТЬ ВОДА 2021'!AP13)</f>
        <v>0.27652647161249871</v>
      </c>
      <c r="W18" s="3103">
        <f>SUM('ПОЛНАЯ СЕБЕСТОИМОСТЬ ВОДА 2021'!AQ13)</f>
        <v>0</v>
      </c>
      <c r="X18" s="3103">
        <f>SUM('ПОЛНАЯ СЕБЕСТОИМОСТЬ ВОДА 2021'!BD13)</f>
        <v>0.27642548175021503</v>
      </c>
      <c r="Y18" s="3103">
        <f>SUM('ПОЛНАЯ СЕБЕСТОИМОСТЬ ВОДА 2021'!BE13)</f>
        <v>0.27652647161249888</v>
      </c>
      <c r="Z18" s="3103">
        <f>SUM('ПОЛНАЯ СЕБЕСТОИМОСТЬ ВОДА 2021'!BF13)</f>
        <v>0</v>
      </c>
      <c r="AA18" s="3103">
        <f>SUM('ПОЛНАЯ СЕБЕСТОИМОСТЬ ВОДА 2021'!BM13)</f>
        <v>0.27642548175021492</v>
      </c>
      <c r="AB18" s="3103">
        <f>SUM('ПОЛНАЯ СЕБЕСТОИМОСТЬ ВОДА 2021'!BN13)</f>
        <v>0.27652647161249871</v>
      </c>
      <c r="AC18" s="3103">
        <f>SUM('ПОЛНАЯ СЕБЕСТОИМОСТЬ ВОДА 2021'!BO13)</f>
        <v>0</v>
      </c>
      <c r="AD18" s="3175">
        <f>SUM('ПОЛНАЯ СЕБЕСТОИМОСТЬ ВОДА 2021'!CB13)</f>
        <v>0.27642548175021492</v>
      </c>
      <c r="AE18" s="3175">
        <f>SUM('ПОЛНАЯ СЕБЕСТОИМОСТЬ ВОДА 2021'!CC13)</f>
        <v>0.27652647161249871</v>
      </c>
      <c r="AF18" s="3104">
        <f>SUM('ПОЛНАЯ СЕБЕСТОИМОСТЬ ВОДА 2021'!CD13)</f>
        <v>0</v>
      </c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</row>
    <row r="19" spans="1:61" ht="18.75" x14ac:dyDescent="0.3">
      <c r="A19" s="3071" t="s">
        <v>3727</v>
      </c>
      <c r="B19" s="3072"/>
      <c r="C19" s="3072"/>
      <c r="D19" s="3072"/>
      <c r="E19" s="3072"/>
      <c r="F19" s="3072"/>
      <c r="G19" s="3072"/>
      <c r="H19" s="3072"/>
      <c r="I19" s="3072"/>
      <c r="J19" s="3072"/>
      <c r="K19" s="3073" t="s">
        <v>3821</v>
      </c>
      <c r="L19" s="3074">
        <f>SUM('ПОЛНАЯ СЕБЕСТОИМОСТЬ ВОДА 2021'!B14)</f>
        <v>876.60995000000003</v>
      </c>
      <c r="M19" s="3074">
        <f>SUM('ПОЛНАЯ СЕБЕСТОИМОСТЬ ВОДА 2021'!C14)</f>
        <v>876.16750000000002</v>
      </c>
      <c r="N19" s="3074">
        <f>SUM('ПОЛНАЯ СЕБЕСТОИМОСТЬ ВОДА 2021'!D14)</f>
        <v>0.44245000000000001</v>
      </c>
      <c r="O19" s="3074">
        <f>SUM('ПОЛНАЯ СЕБЕСТОИМОСТЬ ВОДА 2021'!Q14)</f>
        <v>876.60995000000003</v>
      </c>
      <c r="P19" s="3074">
        <f>SUM('ПОЛНАЯ СЕБЕСТОИМОСТЬ ВОДА 2021'!R14)</f>
        <v>876.16750000000002</v>
      </c>
      <c r="Q19" s="3074">
        <f>SUM('ПОЛНАЯ СЕБЕСТОИМОСТЬ ВОДА 2021'!S14)</f>
        <v>0.44245000000000001</v>
      </c>
      <c r="R19" s="3074">
        <f>SUM('ПОЛНАЯ СЕБЕСТОИМОСТЬ ВОДА 2021'!AF14)</f>
        <v>1753.2199000000001</v>
      </c>
      <c r="S19" s="3074">
        <f>SUM('ПОЛНАЯ СЕБЕСТОИМОСТЬ ВОДА 2021'!AG14)</f>
        <v>1752.335</v>
      </c>
      <c r="T19" s="3074">
        <f>SUM('ПОЛНАЯ СЕБЕСТОИМОСТЬ ВОДА 2021'!AH14)</f>
        <v>0.88490000000000002</v>
      </c>
      <c r="U19" s="3074">
        <f>SUM('ПОЛНАЯ СЕБЕСТОИМОСТЬ ВОДА 2021'!AO14)</f>
        <v>876.60995000000003</v>
      </c>
      <c r="V19" s="3074">
        <f>SUM('ПОЛНАЯ СЕБЕСТОИМОСТЬ ВОДА 2021'!AP14)</f>
        <v>876.16750000000002</v>
      </c>
      <c r="W19" s="3074">
        <f>SUM('ПОЛНАЯ СЕБЕСТОИМОСТЬ ВОДА 2021'!AQ14)</f>
        <v>0.44245000000000001</v>
      </c>
      <c r="X19" s="3074">
        <f>SUM('ПОЛНАЯ СЕБЕСТОИМОСТЬ ВОДА 2021'!BD14)</f>
        <v>2629.8298500000001</v>
      </c>
      <c r="Y19" s="3074">
        <f>SUM('ПОЛНАЯ СЕБЕСТОИМОСТЬ ВОДА 2021'!BE14)</f>
        <v>2628.5025000000001</v>
      </c>
      <c r="Z19" s="3074">
        <f>SUM('ПОЛНАЯ СЕБЕСТОИМОСТЬ ВОДА 2021'!BF14)</f>
        <v>1.32735</v>
      </c>
      <c r="AA19" s="3074">
        <f>SUM('ПОЛНАЯ СЕБЕСТОИМОСТЬ ВОДА 2021'!BM14)</f>
        <v>876.60995000000003</v>
      </c>
      <c r="AB19" s="3074">
        <f>SUM('ПОЛНАЯ СЕБЕСТОИМОСТЬ ВОДА 2021'!BN14)</f>
        <v>876.16750000000002</v>
      </c>
      <c r="AC19" s="3074">
        <f>SUM('ПОЛНАЯ СЕБЕСТОИМОСТЬ ВОДА 2021'!BO14)</f>
        <v>0.44245000000000001</v>
      </c>
      <c r="AD19" s="3075">
        <f>SUM('ПОЛНАЯ СЕБЕСТОИМОСТЬ ВОДА 2021'!CB14)</f>
        <v>3506.4398000000001</v>
      </c>
      <c r="AE19" s="3075">
        <f>SUM('ПОЛНАЯ СЕБЕСТОИМОСТЬ ВОДА 2021'!CC14)</f>
        <v>3504.67</v>
      </c>
      <c r="AF19" s="3076">
        <f>SUM('ПОЛНАЯ СЕБЕСТОИМОСТЬ ВОДА 2021'!CD14)</f>
        <v>1.7698</v>
      </c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</row>
    <row r="20" spans="1:61" ht="18.75" x14ac:dyDescent="0.3">
      <c r="A20" s="3077" t="s">
        <v>24</v>
      </c>
      <c r="B20" s="3072"/>
      <c r="C20" s="3072"/>
      <c r="D20" s="3072"/>
      <c r="E20" s="3072"/>
      <c r="F20" s="3072"/>
      <c r="G20" s="3072"/>
      <c r="H20" s="3072"/>
      <c r="I20" s="3072"/>
      <c r="J20" s="3072"/>
      <c r="K20" s="3078" t="s">
        <v>3821</v>
      </c>
      <c r="L20" s="3079">
        <f>SUM('ПОЛНАЯ СЕБЕСТОИМОСТЬ ВОДА 2021'!B15)</f>
        <v>593.505</v>
      </c>
      <c r="M20" s="3079">
        <f>SUM('ПОЛНАЯ СЕБЕСТОИМОСТЬ ВОДА 2021'!C15)</f>
        <v>593.505</v>
      </c>
      <c r="N20" s="3079">
        <f>SUM('ПОЛНАЯ СЕБЕСТОИМОСТЬ ВОДА 2021'!D15)</f>
        <v>0</v>
      </c>
      <c r="O20" s="3079">
        <f>SUM('ПОЛНАЯ СЕБЕСТОИМОСТЬ ВОДА 2021'!Q15)</f>
        <v>593.505</v>
      </c>
      <c r="P20" s="3079">
        <f>SUM('ПОЛНАЯ СЕБЕСТОИМОСТЬ ВОДА 2021'!R15)</f>
        <v>593.505</v>
      </c>
      <c r="Q20" s="3079">
        <f>SUM('ПОЛНАЯ СЕБЕСТОИМОСТЬ ВОДА 2021'!S15)</f>
        <v>0</v>
      </c>
      <c r="R20" s="3079">
        <f>SUM('ПОЛНАЯ СЕБЕСТОИМОСТЬ ВОДА 2021'!AF15)</f>
        <v>1187.01</v>
      </c>
      <c r="S20" s="3079">
        <f>SUM('ПОЛНАЯ СЕБЕСТОИМОСТЬ ВОДА 2021'!AG15)</f>
        <v>1187.01</v>
      </c>
      <c r="T20" s="3079">
        <f>SUM('ПОЛНАЯ СЕБЕСТОИМОСТЬ ВОДА 2021'!AH15)</f>
        <v>0</v>
      </c>
      <c r="U20" s="3079">
        <f>SUM('ПОЛНАЯ СЕБЕСТОИМОСТЬ ВОДА 2021'!AO15)</f>
        <v>593.505</v>
      </c>
      <c r="V20" s="3079">
        <f>SUM('ПОЛНАЯ СЕБЕСТОИМОСТЬ ВОДА 2021'!AP15)</f>
        <v>593.505</v>
      </c>
      <c r="W20" s="3079">
        <f>SUM('ПОЛНАЯ СЕБЕСТОИМОСТЬ ВОДА 2021'!AQ15)</f>
        <v>0</v>
      </c>
      <c r="X20" s="3079">
        <f>SUM('ПОЛНАЯ СЕБЕСТОИМОСТЬ ВОДА 2021'!BD15)</f>
        <v>1780.5149999999999</v>
      </c>
      <c r="Y20" s="3079">
        <f>SUM('ПОЛНАЯ СЕБЕСТОИМОСТЬ ВОДА 2021'!BE15)</f>
        <v>1780.5149999999999</v>
      </c>
      <c r="Z20" s="3079">
        <f>SUM('ПОЛНАЯ СЕБЕСТОИМОСТЬ ВОДА 2021'!BF15)</f>
        <v>0</v>
      </c>
      <c r="AA20" s="3079">
        <f>SUM('ПОЛНАЯ СЕБЕСТОИМОСТЬ ВОДА 2021'!BM15)</f>
        <v>593.505</v>
      </c>
      <c r="AB20" s="3079">
        <f>SUM('ПОЛНАЯ СЕБЕСТОИМОСТЬ ВОДА 2021'!BN15)</f>
        <v>593.505</v>
      </c>
      <c r="AC20" s="3079">
        <f>SUM('ПОЛНАЯ СЕБЕСТОИМОСТЬ ВОДА 2021'!BO15)</f>
        <v>0</v>
      </c>
      <c r="AD20" s="3080">
        <f>SUM('ПОЛНАЯ СЕБЕСТОИМОСТЬ ВОДА 2021'!CB15)</f>
        <v>2374.02</v>
      </c>
      <c r="AE20" s="3080">
        <f>SUM('ПОЛНАЯ СЕБЕСТОИМОСТЬ ВОДА 2021'!CC15)</f>
        <v>2374.02</v>
      </c>
      <c r="AF20" s="3081">
        <f>SUM('ПОЛНАЯ СЕБЕСТОИМОСТЬ ВОДА 2021'!CD15)</f>
        <v>0</v>
      </c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1:61" ht="19.5" customHeight="1" x14ac:dyDescent="0.3">
      <c r="A21" s="3180" t="s">
        <v>3811</v>
      </c>
      <c r="B21" s="3072"/>
      <c r="C21" s="3072"/>
      <c r="D21" s="3072"/>
      <c r="E21" s="3072"/>
      <c r="F21" s="3072"/>
      <c r="G21" s="3072"/>
      <c r="H21" s="3072"/>
      <c r="I21" s="3072"/>
      <c r="J21" s="3072"/>
      <c r="K21" s="3078" t="s">
        <v>3821</v>
      </c>
      <c r="L21" s="3079">
        <f>SUM('ПОЛНАЯ СЕБЕСТОИМОСТЬ ВОДА 2021'!B16)</f>
        <v>0</v>
      </c>
      <c r="M21" s="3079">
        <f>SUM('ПОЛНАЯ СЕБЕСТОИМОСТЬ ВОДА 2021'!C16)</f>
        <v>0</v>
      </c>
      <c r="N21" s="3079">
        <f>SUM('ПОЛНАЯ СЕБЕСТОИМОСТЬ ВОДА 2021'!D16)</f>
        <v>0</v>
      </c>
      <c r="O21" s="3079">
        <f>SUM('ПОЛНАЯ СЕБЕСТОИМОСТЬ ВОДА 2021'!Q16)</f>
        <v>0</v>
      </c>
      <c r="P21" s="3079">
        <f>SUM('ПОЛНАЯ СЕБЕСТОИМОСТЬ ВОДА 2021'!R16)</f>
        <v>0</v>
      </c>
      <c r="Q21" s="3079">
        <f>SUM('ПОЛНАЯ СЕБЕСТОИМОСТЬ ВОДА 2021'!S16)</f>
        <v>0</v>
      </c>
      <c r="R21" s="3079">
        <f>SUM('ПОЛНАЯ СЕБЕСТОИМОСТЬ ВОДА 2021'!AF16)</f>
        <v>0</v>
      </c>
      <c r="S21" s="3079">
        <f>SUM('ПОЛНАЯ СЕБЕСТОИМОСТЬ ВОДА 2021'!AG16)</f>
        <v>0</v>
      </c>
      <c r="T21" s="3079">
        <f>SUM('ПОЛНАЯ СЕБЕСТОИМОСТЬ ВОДА 2021'!AH16)</f>
        <v>0</v>
      </c>
      <c r="U21" s="3079">
        <f>SUM('ПОЛНАЯ СЕБЕСТОИМОСТЬ ВОДА 2021'!AO16)</f>
        <v>0</v>
      </c>
      <c r="V21" s="3079">
        <f>SUM('ПОЛНАЯ СЕБЕСТОИМОСТЬ ВОДА 2021'!AP16)</f>
        <v>0</v>
      </c>
      <c r="W21" s="3079">
        <f>SUM('ПОЛНАЯ СЕБЕСТОИМОСТЬ ВОДА 2021'!AQ16)</f>
        <v>0</v>
      </c>
      <c r="X21" s="3079">
        <f>SUM('ПОЛНАЯ СЕБЕСТОИМОСТЬ ВОДА 2021'!BD16)</f>
        <v>0</v>
      </c>
      <c r="Y21" s="3079">
        <f>SUM('ПОЛНАЯ СЕБЕСТОИМОСТЬ ВОДА 2021'!BE16)</f>
        <v>0</v>
      </c>
      <c r="Z21" s="3079">
        <f>SUM('ПОЛНАЯ СЕБЕСТОИМОСТЬ ВОДА 2021'!BF16)</f>
        <v>0</v>
      </c>
      <c r="AA21" s="3079">
        <f>SUM('ПОЛНАЯ СЕБЕСТОИМОСТЬ ВОДА 2021'!BM16)</f>
        <v>0</v>
      </c>
      <c r="AB21" s="3079">
        <f>SUM('ПОЛНАЯ СЕБЕСТОИМОСТЬ ВОДА 2021'!BN16)</f>
        <v>0</v>
      </c>
      <c r="AC21" s="3079">
        <f>SUM('ПОЛНАЯ СЕБЕСТОИМОСТЬ ВОДА 2021'!BO16)</f>
        <v>0</v>
      </c>
      <c r="AD21" s="3080">
        <f>SUM('ПОЛНАЯ СЕБЕСТОИМОСТЬ ВОДА 2021'!CB16)</f>
        <v>0</v>
      </c>
      <c r="AE21" s="3080">
        <f>SUM('ПОЛНАЯ СЕБЕСТОИМОСТЬ ВОДА 2021'!CC16)</f>
        <v>0</v>
      </c>
      <c r="AF21" s="3081">
        <f>SUM('ПОЛНАЯ СЕБЕСТОИМОСТЬ ВОДА 2021'!CD16)</f>
        <v>0</v>
      </c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1:61" ht="18.75" x14ac:dyDescent="0.3">
      <c r="A22" s="3180" t="s">
        <v>3678</v>
      </c>
      <c r="B22" s="3072"/>
      <c r="C22" s="3072"/>
      <c r="D22" s="3072"/>
      <c r="E22" s="3072"/>
      <c r="F22" s="3072"/>
      <c r="G22" s="3072"/>
      <c r="H22" s="3072"/>
      <c r="I22" s="3072"/>
      <c r="J22" s="3072"/>
      <c r="K22" s="3078" t="s">
        <v>3821</v>
      </c>
      <c r="L22" s="3079">
        <f>SUM('ПОЛНАЯ СЕБЕСТОИМОСТЬ ВОДА 2021'!B17)</f>
        <v>214.98195000000001</v>
      </c>
      <c r="M22" s="3079">
        <f>SUM('ПОЛНАЯ СЕБЕСТОИМОСТЬ ВОДА 2021'!C17)</f>
        <v>214.5395</v>
      </c>
      <c r="N22" s="3079">
        <f>SUM('ПОЛНАЯ СЕБЕСТОИМОСТЬ ВОДА 2021'!D17)</f>
        <v>0.44245000000000001</v>
      </c>
      <c r="O22" s="3079">
        <f>SUM('ПОЛНАЯ СЕБЕСТОИМОСТЬ ВОДА 2021'!Q17)</f>
        <v>214.98195000000001</v>
      </c>
      <c r="P22" s="3079">
        <f>SUM('ПОЛНАЯ СЕБЕСТОИМОСТЬ ВОДА 2021'!R17)</f>
        <v>214.5395</v>
      </c>
      <c r="Q22" s="3079">
        <f>SUM('ПОЛНАЯ СЕБЕСТОИМОСТЬ ВОДА 2021'!S17)</f>
        <v>0.44245000000000001</v>
      </c>
      <c r="R22" s="3079">
        <f>SUM('ПОЛНАЯ СЕБЕСТОИМОСТЬ ВОДА 2021'!AF17)</f>
        <v>429.96390000000002</v>
      </c>
      <c r="S22" s="3079">
        <f>SUM('ПОЛНАЯ СЕБЕСТОИМОСТЬ ВОДА 2021'!AG17)</f>
        <v>429.07900000000001</v>
      </c>
      <c r="T22" s="3079">
        <f>SUM('ПОЛНАЯ СЕБЕСТОИМОСТЬ ВОДА 2021'!AH17)</f>
        <v>0.88490000000000002</v>
      </c>
      <c r="U22" s="3079">
        <f>SUM('ПОЛНАЯ СЕБЕСТОИМОСТЬ ВОДА 2021'!AO17)</f>
        <v>214.98195000000001</v>
      </c>
      <c r="V22" s="3079">
        <f>SUM('ПОЛНАЯ СЕБЕСТОИМОСТЬ ВОДА 2021'!AP17)</f>
        <v>214.5395</v>
      </c>
      <c r="W22" s="3079">
        <f>SUM('ПОЛНАЯ СЕБЕСТОИМОСТЬ ВОДА 2021'!AQ17)</f>
        <v>0.44245000000000001</v>
      </c>
      <c r="X22" s="3079">
        <f>SUM('ПОЛНАЯ СЕБЕСТОИМОСТЬ ВОДА 2021'!BD17)</f>
        <v>644.94585000000006</v>
      </c>
      <c r="Y22" s="3079">
        <f>SUM('ПОЛНАЯ СЕБЕСТОИМОСТЬ ВОДА 2021'!BE17)</f>
        <v>643.61850000000004</v>
      </c>
      <c r="Z22" s="3079">
        <f>SUM('ПОЛНАЯ СЕБЕСТОИМОСТЬ ВОДА 2021'!BF17)</f>
        <v>1.32735</v>
      </c>
      <c r="AA22" s="3079">
        <f>SUM('ПОЛНАЯ СЕБЕСТОИМОСТЬ ВОДА 2021'!BM17)</f>
        <v>214.98195000000001</v>
      </c>
      <c r="AB22" s="3079">
        <f>SUM('ПОЛНАЯ СЕБЕСТОИМОСТЬ ВОДА 2021'!BN17)</f>
        <v>214.5395</v>
      </c>
      <c r="AC22" s="3079">
        <f>SUM('ПОЛНАЯ СЕБЕСТОИМОСТЬ ВОДА 2021'!BO17)</f>
        <v>0.44245000000000001</v>
      </c>
      <c r="AD22" s="3080">
        <f>SUM('ПОЛНАЯ СЕБЕСТОИМОСТЬ ВОДА 2021'!CB17)</f>
        <v>859.92780000000005</v>
      </c>
      <c r="AE22" s="3080">
        <f>SUM('ПОЛНАЯ СЕБЕСТОИМОСТЬ ВОДА 2021'!CC17)</f>
        <v>858.15800000000002</v>
      </c>
      <c r="AF22" s="3081">
        <f>SUM('ПОЛНАЯ СЕБЕСТОИМОСТЬ ВОДА 2021'!CD17)</f>
        <v>1.7698</v>
      </c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1:61" ht="18.75" x14ac:dyDescent="0.3">
      <c r="A23" s="3053" t="s">
        <v>3679</v>
      </c>
      <c r="B23" s="3072"/>
      <c r="C23" s="3072"/>
      <c r="D23" s="3072"/>
      <c r="E23" s="3072"/>
      <c r="F23" s="3072"/>
      <c r="G23" s="3072"/>
      <c r="H23" s="3072"/>
      <c r="I23" s="3072"/>
      <c r="J23" s="3072"/>
      <c r="K23" s="3078" t="s">
        <v>3821</v>
      </c>
      <c r="L23" s="3086">
        <f>SUM('ПОЛНАЯ СЕБЕСТОИМОСТЬ ВОДА 2021'!B18)</f>
        <v>72.080999999999989</v>
      </c>
      <c r="M23" s="3086">
        <f>SUM('ПОЛНАЯ СЕБЕСТОИМОСТЬ ВОДА 2021'!C18)</f>
        <v>72.080999999999989</v>
      </c>
      <c r="N23" s="3086">
        <f>SUM('ПОЛНАЯ СЕБЕСТОИМОСТЬ ВОДА 2021'!D18)</f>
        <v>0</v>
      </c>
      <c r="O23" s="3086">
        <f>SUM('ПОЛНАЯ СЕБЕСТОИМОСТЬ ВОДА 2021'!Q18)</f>
        <v>72.080999999999989</v>
      </c>
      <c r="P23" s="3086">
        <f>SUM('ПОЛНАЯ СЕБЕСТОИМОСТЬ ВОДА 2021'!R18)</f>
        <v>72.080999999999989</v>
      </c>
      <c r="Q23" s="3086">
        <f>SUM('ПОЛНАЯ СЕБЕСТОИМОСТЬ ВОДА 2021'!S18)</f>
        <v>0</v>
      </c>
      <c r="R23" s="3086">
        <f>SUM('ПОЛНАЯ СЕБЕСТОИМОСТЬ ВОДА 2021'!AF18)</f>
        <v>144.16199999999998</v>
      </c>
      <c r="S23" s="3086">
        <f>SUM('ПОЛНАЯ СЕБЕСТОИМОСТЬ ВОДА 2021'!AG18)</f>
        <v>144.16199999999998</v>
      </c>
      <c r="T23" s="3086">
        <f>SUM('ПОЛНАЯ СЕБЕСТОИМОСТЬ ВОДА 2021'!AH18)</f>
        <v>0</v>
      </c>
      <c r="U23" s="3086">
        <f>SUM('ПОЛНАЯ СЕБЕСТОИМОСТЬ ВОДА 2021'!AO18)</f>
        <v>72.080999999999989</v>
      </c>
      <c r="V23" s="3086">
        <f>SUM('ПОЛНАЯ СЕБЕСТОИМОСТЬ ВОДА 2021'!AP18)</f>
        <v>72.080999999999989</v>
      </c>
      <c r="W23" s="3086">
        <f>SUM('ПОЛНАЯ СЕБЕСТОИМОСТЬ ВОДА 2021'!AQ18)</f>
        <v>0</v>
      </c>
      <c r="X23" s="3086">
        <f>SUM('ПОЛНАЯ СЕБЕСТОИМОСТЬ ВОДА 2021'!BD18)</f>
        <v>216.24299999999997</v>
      </c>
      <c r="Y23" s="3086">
        <f>SUM('ПОЛНАЯ СЕБЕСТОИМОСТЬ ВОДА 2021'!BE18)</f>
        <v>216.24299999999997</v>
      </c>
      <c r="Z23" s="3086">
        <f>SUM('ПОЛНАЯ СЕБЕСТОИМОСТЬ ВОДА 2021'!BF18)</f>
        <v>0</v>
      </c>
      <c r="AA23" s="3086">
        <f>SUM('ПОЛНАЯ СЕБЕСТОИМОСТЬ ВОДА 2021'!BM18)</f>
        <v>72.080999999999989</v>
      </c>
      <c r="AB23" s="3086">
        <f>SUM('ПОЛНАЯ СЕБЕСТОИМОСТЬ ВОДА 2021'!BN18)</f>
        <v>72.080999999999989</v>
      </c>
      <c r="AC23" s="3086">
        <f>SUM('ПОЛНАЯ СЕБЕСТОИМОСТЬ ВОДА 2021'!BO18)</f>
        <v>0</v>
      </c>
      <c r="AD23" s="3087">
        <f>SUM('ПОЛНАЯ СЕБЕСТОИМОСТЬ ВОДА 2021'!CB18)</f>
        <v>288.32399999999996</v>
      </c>
      <c r="AE23" s="3087">
        <f>SUM('ПОЛНАЯ СЕБЕСТОИМОСТЬ ВОДА 2021'!CC18)</f>
        <v>288.32399999999996</v>
      </c>
      <c r="AF23" s="3088">
        <f>SUM('ПОЛНАЯ СЕБЕСТОИМОСТЬ ВОДА 2021'!CD18)</f>
        <v>0</v>
      </c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1:61" ht="18.75" x14ac:dyDescent="0.3">
      <c r="A24" s="3054" t="s">
        <v>3681</v>
      </c>
      <c r="B24" s="3072"/>
      <c r="C24" s="3072"/>
      <c r="D24" s="3072"/>
      <c r="E24" s="3072"/>
      <c r="F24" s="3072"/>
      <c r="G24" s="3072"/>
      <c r="H24" s="3072"/>
      <c r="I24" s="3072"/>
      <c r="J24" s="3072"/>
      <c r="K24" s="3078" t="s">
        <v>3821</v>
      </c>
      <c r="L24" s="3086">
        <f>SUM('ПОЛНАЯ СЕБЕСТОИМОСТЬ ВОДА 2021'!B19)</f>
        <v>27.606999999999999</v>
      </c>
      <c r="M24" s="3086">
        <f>SUM('ПОЛНАЯ СЕБЕСТОИМОСТЬ ВОДА 2021'!C19)</f>
        <v>27.606999999999999</v>
      </c>
      <c r="N24" s="3086">
        <f>SUM('ПОЛНАЯ СЕБЕСТОИМОСТЬ ВОДА 2021'!D19)</f>
        <v>0</v>
      </c>
      <c r="O24" s="3086">
        <f>SUM('ПОЛНАЯ СЕБЕСТОИМОСТЬ ВОДА 2021'!Q19)</f>
        <v>27.606999999999999</v>
      </c>
      <c r="P24" s="3086">
        <f>SUM('ПОЛНАЯ СЕБЕСТОИМОСТЬ ВОДА 2021'!R19)</f>
        <v>27.606999999999999</v>
      </c>
      <c r="Q24" s="3086">
        <f>SUM('ПОЛНАЯ СЕБЕСТОИМОСТЬ ВОДА 2021'!S19)</f>
        <v>0</v>
      </c>
      <c r="R24" s="3086">
        <f>SUM('ПОЛНАЯ СЕБЕСТОИМОСТЬ ВОДА 2021'!AF19)</f>
        <v>55.213999999999999</v>
      </c>
      <c r="S24" s="3086">
        <f>SUM('ПОЛНАЯ СЕБЕСТОИМОСТЬ ВОДА 2021'!AG19)</f>
        <v>55.213999999999999</v>
      </c>
      <c r="T24" s="3086">
        <f>SUM('ПОЛНАЯ СЕБЕСТОИМОСТЬ ВОДА 2021'!AH19)</f>
        <v>0</v>
      </c>
      <c r="U24" s="3086">
        <f>SUM('ПОЛНАЯ СЕБЕСТОИМОСТЬ ВОДА 2021'!AO19)</f>
        <v>27.606999999999999</v>
      </c>
      <c r="V24" s="3086">
        <f>SUM('ПОЛНАЯ СЕБЕСТОИМОСТЬ ВОДА 2021'!AP19)</f>
        <v>27.606999999999999</v>
      </c>
      <c r="W24" s="3086">
        <f>SUM('ПОЛНАЯ СЕБЕСТОИМОСТЬ ВОДА 2021'!AQ19)</f>
        <v>0</v>
      </c>
      <c r="X24" s="3086">
        <f>SUM('ПОЛНАЯ СЕБЕСТОИМОСТЬ ВОДА 2021'!BD19)</f>
        <v>82.820999999999998</v>
      </c>
      <c r="Y24" s="3086">
        <f>SUM('ПОЛНАЯ СЕБЕСТОИМОСТЬ ВОДА 2021'!BE19)</f>
        <v>82.820999999999998</v>
      </c>
      <c r="Z24" s="3086">
        <f>SUM('ПОЛНАЯ СЕБЕСТОИМОСТЬ ВОДА 2021'!BF19)</f>
        <v>0</v>
      </c>
      <c r="AA24" s="3086">
        <f>SUM('ПОЛНАЯ СЕБЕСТОИМОСТЬ ВОДА 2021'!BM19)</f>
        <v>27.606999999999999</v>
      </c>
      <c r="AB24" s="3086">
        <f>SUM('ПОЛНАЯ СЕБЕСТОИМОСТЬ ВОДА 2021'!BN19)</f>
        <v>27.606999999999999</v>
      </c>
      <c r="AC24" s="3086">
        <f>SUM('ПОЛНАЯ СЕБЕСТОИМОСТЬ ВОДА 2021'!BO19)</f>
        <v>0</v>
      </c>
      <c r="AD24" s="3087">
        <f>SUM('ПОЛНАЯ СЕБЕСТОИМОСТЬ ВОДА 2021'!CB19)</f>
        <v>110.428</v>
      </c>
      <c r="AE24" s="3087">
        <f>SUM('ПОЛНАЯ СЕБЕСТОИМОСТЬ ВОДА 2021'!CC19)</f>
        <v>110.428</v>
      </c>
      <c r="AF24" s="3088">
        <f>SUM('ПОЛНАЯ СЕБЕСТОИМОСТЬ ВОДА 2021'!CD19)</f>
        <v>0</v>
      </c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1:61" ht="18.75" x14ac:dyDescent="0.3">
      <c r="A25" s="3054" t="s">
        <v>3680</v>
      </c>
      <c r="B25" s="3072"/>
      <c r="C25" s="3072"/>
      <c r="D25" s="3072"/>
      <c r="E25" s="3072"/>
      <c r="F25" s="3072"/>
      <c r="G25" s="3072"/>
      <c r="H25" s="3072"/>
      <c r="I25" s="3072"/>
      <c r="J25" s="3072"/>
      <c r="K25" s="3078" t="s">
        <v>3821</v>
      </c>
      <c r="L25" s="3086">
        <f>SUM('ПОЛНАЯ СЕБЕСТОИМОСТЬ ВОДА 2021'!B20)</f>
        <v>21.263999999999999</v>
      </c>
      <c r="M25" s="3086">
        <f>SUM('ПОЛНАЯ СЕБЕСТОИМОСТЬ ВОДА 2021'!C20)</f>
        <v>21.263999999999999</v>
      </c>
      <c r="N25" s="3086">
        <f>SUM('ПОЛНАЯ СЕБЕСТОИМОСТЬ ВОДА 2021'!D20)</f>
        <v>0</v>
      </c>
      <c r="O25" s="3086">
        <f>SUM('ПОЛНАЯ СЕБЕСТОИМОСТЬ ВОДА 2021'!Q20)</f>
        <v>21.263999999999999</v>
      </c>
      <c r="P25" s="3086">
        <f>SUM('ПОЛНАЯ СЕБЕСТОИМОСТЬ ВОДА 2021'!R20)</f>
        <v>21.263999999999999</v>
      </c>
      <c r="Q25" s="3086">
        <f>SUM('ПОЛНАЯ СЕБЕСТОИМОСТЬ ВОДА 2021'!S20)</f>
        <v>0</v>
      </c>
      <c r="R25" s="3086">
        <f>SUM('ПОЛНАЯ СЕБЕСТОИМОСТЬ ВОДА 2021'!AF20)</f>
        <v>42.527999999999999</v>
      </c>
      <c r="S25" s="3086">
        <f>SUM('ПОЛНАЯ СЕБЕСТОИМОСТЬ ВОДА 2021'!AG20)</f>
        <v>42.527999999999999</v>
      </c>
      <c r="T25" s="3086">
        <f>SUM('ПОЛНАЯ СЕБЕСТОИМОСТЬ ВОДА 2021'!AH20)</f>
        <v>0</v>
      </c>
      <c r="U25" s="3086">
        <f>SUM('ПОЛНАЯ СЕБЕСТОИМОСТЬ ВОДА 2021'!AO20)</f>
        <v>21.263999999999999</v>
      </c>
      <c r="V25" s="3086">
        <f>SUM('ПОЛНАЯ СЕБЕСТОИМОСТЬ ВОДА 2021'!AP20)</f>
        <v>21.263999999999999</v>
      </c>
      <c r="W25" s="3086">
        <f>SUM('ПОЛНАЯ СЕБЕСТОИМОСТЬ ВОДА 2021'!AQ20)</f>
        <v>0</v>
      </c>
      <c r="X25" s="3086">
        <f>SUM('ПОЛНАЯ СЕБЕСТОИМОСТЬ ВОДА 2021'!BD20)</f>
        <v>63.792000000000002</v>
      </c>
      <c r="Y25" s="3086">
        <f>SUM('ПОЛНАЯ СЕБЕСТОИМОСТЬ ВОДА 2021'!BE20)</f>
        <v>63.792000000000002</v>
      </c>
      <c r="Z25" s="3086">
        <f>SUM('ПОЛНАЯ СЕБЕСТОИМОСТЬ ВОДА 2021'!BF20)</f>
        <v>0</v>
      </c>
      <c r="AA25" s="3086">
        <f>SUM('ПОЛНАЯ СЕБЕСТОИМОСТЬ ВОДА 2021'!BM20)</f>
        <v>21.263999999999999</v>
      </c>
      <c r="AB25" s="3086">
        <f>SUM('ПОЛНАЯ СЕБЕСТОИМОСТЬ ВОДА 2021'!BN20)</f>
        <v>21.263999999999999</v>
      </c>
      <c r="AC25" s="3086">
        <f>SUM('ПОЛНАЯ СЕБЕСТОИМОСТЬ ВОДА 2021'!BO20)</f>
        <v>0</v>
      </c>
      <c r="AD25" s="3087">
        <f>SUM('ПОЛНАЯ СЕБЕСТОИМОСТЬ ВОДА 2021'!CB20)</f>
        <v>85.055999999999997</v>
      </c>
      <c r="AE25" s="3087">
        <f>SUM('ПОЛНАЯ СЕБЕСТОИМОСТЬ ВОДА 2021'!CC20)</f>
        <v>85.055999999999997</v>
      </c>
      <c r="AF25" s="3088">
        <f>SUM('ПОЛНАЯ СЕБЕСТОИМОСТЬ ВОДА 2021'!CD20)</f>
        <v>0</v>
      </c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1:61" ht="18.75" x14ac:dyDescent="0.3">
      <c r="A26" s="3054" t="s">
        <v>3682</v>
      </c>
      <c r="B26" s="3072"/>
      <c r="C26" s="3072"/>
      <c r="D26" s="3072"/>
      <c r="E26" s="3072"/>
      <c r="F26" s="3072"/>
      <c r="G26" s="3072"/>
      <c r="H26" s="3072"/>
      <c r="I26" s="3072"/>
      <c r="J26" s="3072"/>
      <c r="K26" s="3078" t="s">
        <v>3821</v>
      </c>
      <c r="L26" s="3086">
        <f>SUM('ПОЛНАЯ СЕБЕСТОИМОСТЬ ВОДА 2021'!B21)</f>
        <v>23.21</v>
      </c>
      <c r="M26" s="3086">
        <f>SUM('ПОЛНАЯ СЕБЕСТОИМОСТЬ ВОДА 2021'!C21)</f>
        <v>23.21</v>
      </c>
      <c r="N26" s="3086">
        <f>SUM('ПОЛНАЯ СЕБЕСТОИМОСТЬ ВОДА 2021'!D21)</f>
        <v>0</v>
      </c>
      <c r="O26" s="3086">
        <f>SUM('ПОЛНАЯ СЕБЕСТОИМОСТЬ ВОДА 2021'!Q21)</f>
        <v>23.21</v>
      </c>
      <c r="P26" s="3086">
        <f>SUM('ПОЛНАЯ СЕБЕСТОИМОСТЬ ВОДА 2021'!R21)</f>
        <v>23.21</v>
      </c>
      <c r="Q26" s="3086">
        <f>SUM('ПОЛНАЯ СЕБЕСТОИМОСТЬ ВОДА 2021'!S21)</f>
        <v>0</v>
      </c>
      <c r="R26" s="3086">
        <f>SUM('ПОЛНАЯ СЕБЕСТОИМОСТЬ ВОДА 2021'!AF21)</f>
        <v>46.42</v>
      </c>
      <c r="S26" s="3086">
        <f>SUM('ПОЛНАЯ СЕБЕСТОИМОСТЬ ВОДА 2021'!AG21)</f>
        <v>46.42</v>
      </c>
      <c r="T26" s="3086">
        <f>SUM('ПОЛНАЯ СЕБЕСТОИМОСТЬ ВОДА 2021'!AH21)</f>
        <v>0</v>
      </c>
      <c r="U26" s="3086">
        <f>SUM('ПОЛНАЯ СЕБЕСТОИМОСТЬ ВОДА 2021'!AO21)</f>
        <v>23.21</v>
      </c>
      <c r="V26" s="3086">
        <f>SUM('ПОЛНАЯ СЕБЕСТОИМОСТЬ ВОДА 2021'!AP21)</f>
        <v>23.21</v>
      </c>
      <c r="W26" s="3086">
        <f>SUM('ПОЛНАЯ СЕБЕСТОИМОСТЬ ВОДА 2021'!AQ21)</f>
        <v>0</v>
      </c>
      <c r="X26" s="3086">
        <f>SUM('ПОЛНАЯ СЕБЕСТОИМОСТЬ ВОДА 2021'!BD21)</f>
        <v>69.63</v>
      </c>
      <c r="Y26" s="3086">
        <f>SUM('ПОЛНАЯ СЕБЕСТОИМОСТЬ ВОДА 2021'!BE21)</f>
        <v>69.63</v>
      </c>
      <c r="Z26" s="3086">
        <f>SUM('ПОЛНАЯ СЕБЕСТОИМОСТЬ ВОДА 2021'!BF21)</f>
        <v>0</v>
      </c>
      <c r="AA26" s="3086">
        <f>SUM('ПОЛНАЯ СЕБЕСТОИМОСТЬ ВОДА 2021'!BM21)</f>
        <v>23.21</v>
      </c>
      <c r="AB26" s="3086">
        <f>SUM('ПОЛНАЯ СЕБЕСТОИМОСТЬ ВОДА 2021'!BN21)</f>
        <v>23.21</v>
      </c>
      <c r="AC26" s="3086">
        <f>SUM('ПОЛНАЯ СЕБЕСТОИМОСТЬ ВОДА 2021'!BO21)</f>
        <v>0</v>
      </c>
      <c r="AD26" s="3087">
        <f>SUM('ПОЛНАЯ СЕБЕСТОИМОСТЬ ВОДА 2021'!CB21)</f>
        <v>92.84</v>
      </c>
      <c r="AE26" s="3087">
        <f>SUM('ПОЛНАЯ СЕБЕСТОИМОСТЬ ВОДА 2021'!CC21)</f>
        <v>92.84</v>
      </c>
      <c r="AF26" s="3088">
        <f>SUM('ПОЛНАЯ СЕБЕСТОИМОСТЬ ВОДА 2021'!CD21)</f>
        <v>0</v>
      </c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1:61" ht="18.75" x14ac:dyDescent="0.3">
      <c r="A27" s="3077" t="s">
        <v>3728</v>
      </c>
      <c r="B27" s="3072"/>
      <c r="C27" s="3072"/>
      <c r="D27" s="3072"/>
      <c r="E27" s="3072"/>
      <c r="F27" s="3072"/>
      <c r="G27" s="3072"/>
      <c r="H27" s="3072"/>
      <c r="I27" s="3072"/>
      <c r="J27" s="3072"/>
      <c r="K27" s="3078" t="s">
        <v>3821</v>
      </c>
      <c r="L27" s="3079">
        <f>SUM('ПОЛНАЯ СЕБЕСТОИМОСТЬ ВОДА 2021'!B22)</f>
        <v>68.123000000000005</v>
      </c>
      <c r="M27" s="3079">
        <f>SUM('ПОЛНАЯ СЕБЕСТОИМОСТЬ ВОДА 2021'!C22)</f>
        <v>68.123000000000005</v>
      </c>
      <c r="N27" s="3079">
        <f>SUM('ПОЛНАЯ СЕБЕСТОИМОСТЬ ВОДА 2021'!D22)</f>
        <v>0</v>
      </c>
      <c r="O27" s="3079">
        <f>SUM('ПОЛНАЯ СЕБЕСТОИМОСТЬ ВОДА 2021'!Q22)</f>
        <v>68.123000000000005</v>
      </c>
      <c r="P27" s="3079">
        <f>SUM('ПОЛНАЯ СЕБЕСТОИМОСТЬ ВОДА 2021'!R22)</f>
        <v>68.123000000000005</v>
      </c>
      <c r="Q27" s="3079">
        <f>SUM('ПОЛНАЯ СЕБЕСТОИМОСТЬ ВОДА 2021'!S22)</f>
        <v>0</v>
      </c>
      <c r="R27" s="3079">
        <f>SUM('ПОЛНАЯ СЕБЕСТОИМОСТЬ ВОДА 2021'!AF22)</f>
        <v>136.24600000000001</v>
      </c>
      <c r="S27" s="3079">
        <f>SUM('ПОЛНАЯ СЕБЕСТОИМОСТЬ ВОДА 2021'!AG22)</f>
        <v>136.24600000000001</v>
      </c>
      <c r="T27" s="3079">
        <f>SUM('ПОЛНАЯ СЕБЕСТОИМОСТЬ ВОДА 2021'!AH22)</f>
        <v>0</v>
      </c>
      <c r="U27" s="3079">
        <f>SUM('ПОЛНАЯ СЕБЕСТОИМОСТЬ ВОДА 2021'!AO22)</f>
        <v>68.123000000000005</v>
      </c>
      <c r="V27" s="3079">
        <f>SUM('ПОЛНАЯ СЕБЕСТОИМОСТЬ ВОДА 2021'!AP22)</f>
        <v>68.123000000000005</v>
      </c>
      <c r="W27" s="3079">
        <f>SUM('ПОЛНАЯ СЕБЕСТОИМОСТЬ ВОДА 2021'!AQ22)</f>
        <v>0</v>
      </c>
      <c r="X27" s="3079">
        <f>SUM('ПОЛНАЯ СЕБЕСТОИМОСТЬ ВОДА 2021'!BD22)</f>
        <v>204.369</v>
      </c>
      <c r="Y27" s="3079">
        <f>SUM('ПОЛНАЯ СЕБЕСТОИМОСТЬ ВОДА 2021'!BE22)</f>
        <v>204.369</v>
      </c>
      <c r="Z27" s="3079">
        <f>SUM('ПОЛНАЯ СЕБЕСТОИМОСТЬ ВОДА 2021'!BF22)</f>
        <v>0</v>
      </c>
      <c r="AA27" s="3079">
        <f>SUM('ПОЛНАЯ СЕБЕСТОИМОСТЬ ВОДА 2021'!BM22)</f>
        <v>68.123000000000005</v>
      </c>
      <c r="AB27" s="3079">
        <f>SUM('ПОЛНАЯ СЕБЕСТОИМОСТЬ ВОДА 2021'!BN22)</f>
        <v>68.123000000000005</v>
      </c>
      <c r="AC27" s="3079">
        <f>SUM('ПОЛНАЯ СЕБЕСТОИМОСТЬ ВОДА 2021'!BO22)</f>
        <v>0</v>
      </c>
      <c r="AD27" s="3080">
        <f>SUM('ПОЛНАЯ СЕБЕСТОИМОСТЬ ВОДА 2021'!CB22)</f>
        <v>272.49200000000002</v>
      </c>
      <c r="AE27" s="3080">
        <f>SUM('ПОЛНАЯ СЕБЕСТОИМОСТЬ ВОДА 2021'!CC22)</f>
        <v>272.49200000000002</v>
      </c>
      <c r="AF27" s="3081">
        <f>SUM('ПОЛНАЯ СЕБЕСТОИМОСТЬ ВОДА 2021'!CD22)</f>
        <v>0</v>
      </c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1:61" ht="18" customHeight="1" x14ac:dyDescent="0.3">
      <c r="A28" s="3082" t="s">
        <v>639</v>
      </c>
      <c r="B28" s="3072"/>
      <c r="C28" s="3072"/>
      <c r="D28" s="3072"/>
      <c r="E28" s="3072"/>
      <c r="F28" s="3072"/>
      <c r="G28" s="3072"/>
      <c r="H28" s="3072"/>
      <c r="I28" s="3072"/>
      <c r="J28" s="3072"/>
      <c r="K28" s="3078" t="s">
        <v>3821</v>
      </c>
      <c r="L28" s="3086">
        <f>SUM('ПОЛНАЯ СЕБЕСТОИМОСТЬ ВОДА 2021'!B23)</f>
        <v>59.28575</v>
      </c>
      <c r="M28" s="3086">
        <f>SUM('ПОЛНАЯ СЕБЕСТОИМОСТЬ ВОДА 2021'!C23)</f>
        <v>59.28575</v>
      </c>
      <c r="N28" s="3086">
        <f>SUM('ПОЛНАЯ СЕБЕСТОИМОСТЬ ВОДА 2021'!D23)</f>
        <v>0</v>
      </c>
      <c r="O28" s="3086">
        <f>SUM('ПОЛНАЯ СЕБЕСТОИМОСТЬ ВОДА 2021'!Q23)</f>
        <v>59.28575</v>
      </c>
      <c r="P28" s="3086">
        <f>SUM('ПОЛНАЯ СЕБЕСТОИМОСТЬ ВОДА 2021'!R23)</f>
        <v>59.28575</v>
      </c>
      <c r="Q28" s="3086">
        <f>SUM('ПОЛНАЯ СЕБЕСТОИМОСТЬ ВОДА 2021'!S23)</f>
        <v>0</v>
      </c>
      <c r="R28" s="3086">
        <f>SUM('ПОЛНАЯ СЕБЕСТОИМОСТЬ ВОДА 2021'!AF23)</f>
        <v>118.5715</v>
      </c>
      <c r="S28" s="3086">
        <f>SUM('ПОЛНАЯ СЕБЕСТОИМОСТЬ ВОДА 2021'!AG23)</f>
        <v>118.5715</v>
      </c>
      <c r="T28" s="3086">
        <f>SUM('ПОЛНАЯ СЕБЕСТОИМОСТЬ ВОДА 2021'!AH23)</f>
        <v>0</v>
      </c>
      <c r="U28" s="3086">
        <f>SUM('ПОЛНАЯ СЕБЕСТОИМОСТЬ ВОДА 2021'!AO23)</f>
        <v>59.28575</v>
      </c>
      <c r="V28" s="3086">
        <f>SUM('ПОЛНАЯ СЕБЕСТОИМОСТЬ ВОДА 2021'!AP23)</f>
        <v>59.28575</v>
      </c>
      <c r="W28" s="3086">
        <f>SUM('ПОЛНАЯ СЕБЕСТОИМОСТЬ ВОДА 2021'!AQ23)</f>
        <v>0</v>
      </c>
      <c r="X28" s="3086">
        <f>SUM('ПОЛНАЯ СЕБЕСТОИМОСТЬ ВОДА 2021'!BD23)</f>
        <v>177.85724999999999</v>
      </c>
      <c r="Y28" s="3086">
        <f>SUM('ПОЛНАЯ СЕБЕСТОИМОСТЬ ВОДА 2021'!BE23)</f>
        <v>177.85724999999999</v>
      </c>
      <c r="Z28" s="3086">
        <f>SUM('ПОЛНАЯ СЕБЕСТОИМОСТЬ ВОДА 2021'!BF23)</f>
        <v>0</v>
      </c>
      <c r="AA28" s="3086">
        <f>SUM('ПОЛНАЯ СЕБЕСТОИМОСТЬ ВОДА 2021'!BM23)</f>
        <v>59.28575</v>
      </c>
      <c r="AB28" s="3086">
        <f>SUM('ПОЛНАЯ СЕБЕСТОИМОСТЬ ВОДА 2021'!BN23)</f>
        <v>59.28575</v>
      </c>
      <c r="AC28" s="3086">
        <f>SUM('ПОЛНАЯ СЕБЕСТОИМОСТЬ ВОДА 2021'!BO23)</f>
        <v>0</v>
      </c>
      <c r="AD28" s="3087">
        <f>SUM('ПОЛНАЯ СЕБЕСТОИМОСТЬ ВОДА 2021'!CB23)</f>
        <v>237.143</v>
      </c>
      <c r="AE28" s="3087">
        <f>SUM('ПОЛНАЯ СЕБЕСТОИМОСТЬ ВОДА 2021'!CC23)</f>
        <v>237.143</v>
      </c>
      <c r="AF28" s="3088">
        <f>SUM('ПОЛНАЯ СЕБЕСТОИМОСТЬ ВОДА 2021'!CD23)</f>
        <v>0</v>
      </c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1:61" ht="18.75" x14ac:dyDescent="0.3">
      <c r="A29" s="3082" t="s">
        <v>640</v>
      </c>
      <c r="B29" s="3072"/>
      <c r="C29" s="3072"/>
      <c r="D29" s="3072"/>
      <c r="E29" s="3072"/>
      <c r="F29" s="3072"/>
      <c r="G29" s="3072"/>
      <c r="H29" s="3072"/>
      <c r="I29" s="3072"/>
      <c r="J29" s="3072"/>
      <c r="K29" s="3078" t="s">
        <v>3821</v>
      </c>
      <c r="L29" s="3086">
        <f>SUM('ПОЛНАЯ СЕБЕСТОИМОСТЬ ВОДА 2021'!B24)</f>
        <v>8.8372499999999992</v>
      </c>
      <c r="M29" s="3086">
        <f>SUM('ПОЛНАЯ СЕБЕСТОИМОСТЬ ВОДА 2021'!C24)</f>
        <v>8.8372499999999992</v>
      </c>
      <c r="N29" s="3086">
        <f>SUM('ПОЛНАЯ СЕБЕСТОИМОСТЬ ВОДА 2021'!D24)</f>
        <v>0</v>
      </c>
      <c r="O29" s="3086">
        <f>SUM('ПОЛНАЯ СЕБЕСТОИМОСТЬ ВОДА 2021'!Q24)</f>
        <v>8.8372499999999992</v>
      </c>
      <c r="P29" s="3086">
        <f>SUM('ПОЛНАЯ СЕБЕСТОИМОСТЬ ВОДА 2021'!R24)</f>
        <v>8.8372499999999992</v>
      </c>
      <c r="Q29" s="3086">
        <f>SUM('ПОЛНАЯ СЕБЕСТОИМОСТЬ ВОДА 2021'!S24)</f>
        <v>0</v>
      </c>
      <c r="R29" s="3086">
        <f>SUM('ПОЛНАЯ СЕБЕСТОИМОСТЬ ВОДА 2021'!AF24)</f>
        <v>17.674499999999998</v>
      </c>
      <c r="S29" s="3086">
        <f>SUM('ПОЛНАЯ СЕБЕСТОИМОСТЬ ВОДА 2021'!AG24)</f>
        <v>17.674499999999998</v>
      </c>
      <c r="T29" s="3086">
        <f>SUM('ПОЛНАЯ СЕБЕСТОИМОСТЬ ВОДА 2021'!AH24)</f>
        <v>0</v>
      </c>
      <c r="U29" s="3086">
        <f>SUM('ПОЛНАЯ СЕБЕСТОИМОСТЬ ВОДА 2021'!AO24)</f>
        <v>8.8372499999999992</v>
      </c>
      <c r="V29" s="3086">
        <f>SUM('ПОЛНАЯ СЕБЕСТОИМОСТЬ ВОДА 2021'!AP24)</f>
        <v>8.8372499999999992</v>
      </c>
      <c r="W29" s="3086">
        <f>SUM('ПОЛНАЯ СЕБЕСТОИМОСТЬ ВОДА 2021'!AQ24)</f>
        <v>0</v>
      </c>
      <c r="X29" s="3086">
        <f>SUM('ПОЛНАЯ СЕБЕСТОИМОСТЬ ВОДА 2021'!BD24)</f>
        <v>26.511749999999999</v>
      </c>
      <c r="Y29" s="3086">
        <f>SUM('ПОЛНАЯ СЕБЕСТОИМОСТЬ ВОДА 2021'!BE24)</f>
        <v>26.511749999999999</v>
      </c>
      <c r="Z29" s="3086">
        <f>SUM('ПОЛНАЯ СЕБЕСТОИМОСТЬ ВОДА 2021'!BF24)</f>
        <v>0</v>
      </c>
      <c r="AA29" s="3086">
        <f>SUM('ПОЛНАЯ СЕБЕСТОИМОСТЬ ВОДА 2021'!BM24)</f>
        <v>8.8372499999999992</v>
      </c>
      <c r="AB29" s="3086">
        <f>SUM('ПОЛНАЯ СЕБЕСТОИМОСТЬ ВОДА 2021'!BN24)</f>
        <v>8.8372499999999992</v>
      </c>
      <c r="AC29" s="3086">
        <f>SUM('ПОЛНАЯ СЕБЕСТОИМОСТЬ ВОДА 2021'!BO24)</f>
        <v>0</v>
      </c>
      <c r="AD29" s="3087">
        <f>SUM('ПОЛНАЯ СЕБЕСТОИМОСТЬ ВОДА 2021'!CB24)</f>
        <v>35.348999999999997</v>
      </c>
      <c r="AE29" s="3087">
        <f>SUM('ПОЛНАЯ СЕБЕСТОИМОСТЬ ВОДА 2021'!CC24)</f>
        <v>35.348999999999997</v>
      </c>
      <c r="AF29" s="3088">
        <f>SUM('ПОЛНАЯ СЕБЕСТОИМОСТЬ ВОДА 2021'!CD24)</f>
        <v>0</v>
      </c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  <row r="30" spans="1:61" ht="18.75" x14ac:dyDescent="0.3">
      <c r="A30" s="4545" t="s">
        <v>3808</v>
      </c>
      <c r="B30" s="4546"/>
      <c r="C30" s="4546"/>
      <c r="D30" s="4546"/>
      <c r="E30" s="4546"/>
      <c r="F30" s="4546"/>
      <c r="G30" s="4546"/>
      <c r="H30" s="4546"/>
      <c r="I30" s="4546"/>
      <c r="J30" s="4546"/>
      <c r="K30" s="4547"/>
      <c r="L30" s="4547"/>
      <c r="M30" s="4547"/>
      <c r="N30" s="4547"/>
      <c r="O30" s="4547"/>
      <c r="P30" s="4547"/>
      <c r="Q30" s="4547"/>
      <c r="R30" s="4547"/>
      <c r="S30" s="4547"/>
      <c r="T30" s="4547"/>
      <c r="U30" s="4547"/>
      <c r="V30" s="4547"/>
      <c r="W30" s="4547"/>
      <c r="X30" s="4547"/>
      <c r="Y30" s="4547"/>
      <c r="Z30" s="4547"/>
      <c r="AA30" s="4547"/>
      <c r="AB30" s="4548"/>
      <c r="AC30" s="4548"/>
      <c r="AD30" s="4548"/>
      <c r="AE30" s="4548"/>
      <c r="AF30" s="4549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</row>
    <row r="31" spans="1:61" ht="18.75" customHeight="1" x14ac:dyDescent="0.3">
      <c r="A31" s="4539" t="s">
        <v>527</v>
      </c>
      <c r="B31" s="3069"/>
      <c r="C31" s="3069"/>
      <c r="D31" s="3069"/>
      <c r="E31" s="3069"/>
      <c r="F31" s="3069"/>
      <c r="G31" s="3069"/>
      <c r="H31" s="3069"/>
      <c r="I31" s="3069"/>
      <c r="J31" s="3069"/>
      <c r="K31" s="4527" t="s">
        <v>3819</v>
      </c>
      <c r="L31" s="4541" t="s">
        <v>585</v>
      </c>
      <c r="M31" s="4542"/>
      <c r="N31" s="4543"/>
      <c r="O31" s="4541" t="s">
        <v>584</v>
      </c>
      <c r="P31" s="4542"/>
      <c r="Q31" s="4543"/>
      <c r="R31" s="4541" t="s">
        <v>583</v>
      </c>
      <c r="S31" s="4542"/>
      <c r="T31" s="4543"/>
      <c r="U31" s="4541" t="s">
        <v>216</v>
      </c>
      <c r="V31" s="4542"/>
      <c r="W31" s="4543"/>
      <c r="X31" s="4541" t="s">
        <v>220</v>
      </c>
      <c r="Y31" s="4542"/>
      <c r="Z31" s="4543"/>
      <c r="AA31" s="4541" t="s">
        <v>3820</v>
      </c>
      <c r="AB31" s="4542"/>
      <c r="AC31" s="4543"/>
      <c r="AD31" s="4541" t="s">
        <v>1809</v>
      </c>
      <c r="AE31" s="4542"/>
      <c r="AF31" s="4544"/>
      <c r="AG31" s="389"/>
      <c r="AH31" s="389"/>
      <c r="AI31" s="389"/>
      <c r="AJ31" s="389"/>
      <c r="AK31" s="389"/>
      <c r="AL31" s="389"/>
      <c r="AM31" s="389"/>
      <c r="AN31" s="389"/>
      <c r="AO31" s="389"/>
      <c r="AP31" s="389"/>
      <c r="AQ31" s="389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</row>
    <row r="32" spans="1:61" ht="18.75" x14ac:dyDescent="0.3">
      <c r="A32" s="4540"/>
      <c r="B32" s="3069"/>
      <c r="C32" s="3069"/>
      <c r="D32" s="3069"/>
      <c r="E32" s="3069"/>
      <c r="F32" s="3069"/>
      <c r="G32" s="3069"/>
      <c r="H32" s="3069"/>
      <c r="I32" s="3069"/>
      <c r="J32" s="3069"/>
      <c r="K32" s="4527"/>
      <c r="L32" s="3174" t="s">
        <v>616</v>
      </c>
      <c r="M32" s="3174" t="s">
        <v>3724</v>
      </c>
      <c r="N32" s="3174" t="s">
        <v>3660</v>
      </c>
      <c r="O32" s="3174" t="s">
        <v>616</v>
      </c>
      <c r="P32" s="3174" t="s">
        <v>3724</v>
      </c>
      <c r="Q32" s="3174" t="s">
        <v>3660</v>
      </c>
      <c r="R32" s="3174" t="s">
        <v>616</v>
      </c>
      <c r="S32" s="3174" t="s">
        <v>3724</v>
      </c>
      <c r="T32" s="3174" t="s">
        <v>3660</v>
      </c>
      <c r="U32" s="3174" t="s">
        <v>616</v>
      </c>
      <c r="V32" s="3174" t="s">
        <v>3724</v>
      </c>
      <c r="W32" s="3174" t="s">
        <v>3660</v>
      </c>
      <c r="X32" s="3174" t="s">
        <v>616</v>
      </c>
      <c r="Y32" s="3174" t="s">
        <v>3724</v>
      </c>
      <c r="Z32" s="3174" t="s">
        <v>3660</v>
      </c>
      <c r="AA32" s="3174" t="s">
        <v>616</v>
      </c>
      <c r="AB32" s="3174" t="s">
        <v>3724</v>
      </c>
      <c r="AC32" s="3174" t="s">
        <v>3660</v>
      </c>
      <c r="AD32" s="3174" t="s">
        <v>616</v>
      </c>
      <c r="AE32" s="3174" t="s">
        <v>3724</v>
      </c>
      <c r="AF32" s="3070" t="s">
        <v>3660</v>
      </c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</row>
    <row r="33" spans="1:61" ht="18.75" x14ac:dyDescent="0.3">
      <c r="A33" s="3089" t="s">
        <v>1</v>
      </c>
      <c r="B33" s="3072"/>
      <c r="C33" s="3072"/>
      <c r="D33" s="3072"/>
      <c r="E33" s="3072"/>
      <c r="F33" s="3072"/>
      <c r="G33" s="3072"/>
      <c r="H33" s="3072"/>
      <c r="I33" s="3072"/>
      <c r="J33" s="3072"/>
      <c r="K33" s="3078" t="s">
        <v>902</v>
      </c>
      <c r="L33" s="3079">
        <f>SUM('ФАКТ.СЕБЕСТ.ВОДА 9 мес. 2021'!AC48)</f>
        <v>3050.6503512466907</v>
      </c>
      <c r="M33" s="3079">
        <f>SUM('ФАКТ.СЕБЕСТ.ВОДА 9 мес. 2021'!AD48)</f>
        <v>3050.2920057972506</v>
      </c>
      <c r="N33" s="3079">
        <f>SUM('ФАКТ.СЕБЕСТ.ВОДА 9 мес. 2021'!AE48)</f>
        <v>0.35834544944025576</v>
      </c>
      <c r="O33" s="3079">
        <f>SUM('ФАКТ.СЕБЕСТ.ВОДА 9 мес. 2021'!BP48)</f>
        <v>3050.6503512466907</v>
      </c>
      <c r="P33" s="3079">
        <f>SUM('ФАКТ.СЕБЕСТ.ВОДА 9 мес. 2021'!BQ48)</f>
        <v>3050.2920057972506</v>
      </c>
      <c r="Q33" s="3079">
        <f>SUM('ФАКТ.СЕБЕСТ.ВОДА 9 мес. 2021'!BR48)</f>
        <v>0.35834544944025576</v>
      </c>
      <c r="R33" s="3079">
        <f>SUM('ФАКТ.СЕБЕСТ.ВОДА 9 мес. 2021'!CB48)</f>
        <v>6101.3007024933813</v>
      </c>
      <c r="S33" s="3079">
        <f>SUM('ФАКТ.СЕБЕСТ.ВОДА 9 мес. 2021'!CC48)</f>
        <v>6100.5840115945011</v>
      </c>
      <c r="T33" s="3079">
        <f>SUM('ФАКТ.СЕБЕСТ.ВОДА 9 мес. 2021'!CD48)</f>
        <v>0.71669089888051152</v>
      </c>
      <c r="U33" s="3079">
        <f>SUM('ФАКТ.СЕБЕСТ.ВОДА 9 мес. 2021'!DO48)</f>
        <v>3168.5878080442671</v>
      </c>
      <c r="V33" s="3079">
        <f>SUM('ФАКТ.СЕБЕСТ.ВОДА 9 мес. 2021'!DP48)</f>
        <v>3168.2083202133099</v>
      </c>
      <c r="W33" s="3079">
        <f>SUM('ФАКТ.СЕБЕСТ.ВОДА 9 мес. 2021'!DQ48)</f>
        <v>0.37948783095723088</v>
      </c>
      <c r="X33" s="3079">
        <f>SUM('ФАКТ.СЕБЕСТ.ВОДА 9 мес. 2021'!EA48)</f>
        <v>9269.8885105376485</v>
      </c>
      <c r="Y33" s="3079">
        <f>SUM('ФАКТ.СЕБЕСТ.ВОДА 9 мес. 2021'!EB48)</f>
        <v>9268.7923318078101</v>
      </c>
      <c r="Z33" s="3079">
        <f>SUM('ФАКТ.СЕБЕСТ.ВОДА 9 мес. 2021'!EC48)</f>
        <v>1.0961787298377423</v>
      </c>
      <c r="AA33" s="3079">
        <f>SUM('ФАКТ.СЕБЕСТ.ВОДА 9 мес. 2021'!FN48)</f>
        <v>3168.5878080442671</v>
      </c>
      <c r="AB33" s="3079">
        <f>SUM('ФАКТ.СЕБЕСТ.ВОДА 9 мес. 2021'!FO48)</f>
        <v>3168.2083202133099</v>
      </c>
      <c r="AC33" s="3079">
        <f>SUM('ФАКТ.СЕБЕСТ.ВОДА 9 мес. 2021'!FP48)</f>
        <v>0.37948783095723088</v>
      </c>
      <c r="AD33" s="3080">
        <f>SUM('ФАКТ.СЕБЕСТ.ВОДА 9 мес. 2021'!FZ48)</f>
        <v>12438.476318581916</v>
      </c>
      <c r="AE33" s="3080">
        <f>SUM('ФАКТ.СЕБЕСТ.ВОДА 9 мес. 2021'!GA48)</f>
        <v>12437.000652021121</v>
      </c>
      <c r="AF33" s="3081">
        <f>SUM('ФАКТ.СЕБЕСТ.ВОДА 9 мес. 2021'!GB48)</f>
        <v>1.4756665607949733</v>
      </c>
      <c r="AG33" s="389"/>
      <c r="AH33" s="389"/>
      <c r="AI33" s="389"/>
      <c r="AJ33" s="389"/>
      <c r="AK33" s="389"/>
      <c r="AL33" s="389"/>
      <c r="AM33" s="389"/>
      <c r="AN33" s="389"/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</row>
    <row r="34" spans="1:61" ht="18.75" x14ac:dyDescent="0.3">
      <c r="A34" s="3089" t="s">
        <v>2</v>
      </c>
      <c r="B34" s="3072"/>
      <c r="C34" s="3072"/>
      <c r="D34" s="3072"/>
      <c r="E34" s="3072"/>
      <c r="F34" s="3072"/>
      <c r="G34" s="3072"/>
      <c r="H34" s="3072"/>
      <c r="I34" s="3072"/>
      <c r="J34" s="3072"/>
      <c r="K34" s="3078" t="s">
        <v>902</v>
      </c>
      <c r="L34" s="3079">
        <f>SUM('ФАКТ.СЕБЕСТ.ВОДА 9 мес. 2021'!AC49)</f>
        <v>1535.6775000000002</v>
      </c>
      <c r="M34" s="3079">
        <f>SUM('ФАКТ.СЕБЕСТ.ВОДА 9 мес. 2021'!AD49)</f>
        <v>1535.6775000000002</v>
      </c>
      <c r="N34" s="3079">
        <f>SUM('ФАКТ.СЕБЕСТ.ВОДА 9 мес. 2021'!AE49)</f>
        <v>0</v>
      </c>
      <c r="O34" s="3079">
        <f>SUM('ФАКТ.СЕБЕСТ.ВОДА 9 мес. 2021'!BP49)</f>
        <v>1535.6775000000002</v>
      </c>
      <c r="P34" s="3079">
        <f>SUM('ФАКТ.СЕБЕСТ.ВОДА 9 мес. 2021'!BQ49)</f>
        <v>1535.6775000000002</v>
      </c>
      <c r="Q34" s="3079">
        <f>SUM('ФАКТ.СЕБЕСТ.ВОДА 9 мес. 2021'!BR49)</f>
        <v>0</v>
      </c>
      <c r="R34" s="3079">
        <f>SUM('ФАКТ.СЕБЕСТ.ВОДА 9 мес. 2021'!CB49)</f>
        <v>3071.3550000000005</v>
      </c>
      <c r="S34" s="3079">
        <f>SUM('ФАКТ.СЕБЕСТ.ВОДА 9 мес. 2021'!CC49)</f>
        <v>3071.3550000000005</v>
      </c>
      <c r="T34" s="3079">
        <f>SUM('ФАКТ.СЕБЕСТ.ВОДА 9 мес. 2021'!CD49)</f>
        <v>0</v>
      </c>
      <c r="U34" s="3079">
        <f>SUM('ФАКТ.СЕБЕСТ.ВОДА 9 мес. 2021'!DO49)</f>
        <v>1535.6775000000002</v>
      </c>
      <c r="V34" s="3079">
        <f>SUM('ФАКТ.СЕБЕСТ.ВОДА 9 мес. 2021'!DP49)</f>
        <v>1535.6775000000002</v>
      </c>
      <c r="W34" s="3079">
        <f>SUM('ФАКТ.СЕБЕСТ.ВОДА 9 мес. 2021'!DQ49)</f>
        <v>0</v>
      </c>
      <c r="X34" s="3079">
        <f>SUM('ФАКТ.СЕБЕСТ.ВОДА 9 мес. 2021'!EA49)</f>
        <v>4607.0325000000012</v>
      </c>
      <c r="Y34" s="3079">
        <f>SUM('ФАКТ.СЕБЕСТ.ВОДА 9 мес. 2021'!EB49)</f>
        <v>4607.0325000000012</v>
      </c>
      <c r="Z34" s="3079">
        <f>SUM('ФАКТ.СЕБЕСТ.ВОДА 9 мес. 2021'!EC49)</f>
        <v>0</v>
      </c>
      <c r="AA34" s="3079">
        <f>SUM('ФАКТ.СЕБЕСТ.ВОДА 9 мес. 2021'!FN49)</f>
        <v>1535.6775000000002</v>
      </c>
      <c r="AB34" s="3079">
        <f>SUM('ФАКТ.СЕБЕСТ.ВОДА 9 мес. 2021'!FO49)</f>
        <v>1535.6775000000002</v>
      </c>
      <c r="AC34" s="3079">
        <f>SUM('ФАКТ.СЕБЕСТ.ВОДА 9 мес. 2021'!FP49)</f>
        <v>0</v>
      </c>
      <c r="AD34" s="3080">
        <f>SUM('ФАКТ.СЕБЕСТ.ВОДА 9 мес. 2021'!FZ49)</f>
        <v>6142.7100000000009</v>
      </c>
      <c r="AE34" s="3080">
        <f>SUM('ФАКТ.СЕБЕСТ.ВОДА 9 мес. 2021'!GA49)</f>
        <v>6142.7100000000009</v>
      </c>
      <c r="AF34" s="3081">
        <f>SUM('ФАКТ.СЕБЕСТ.ВОДА 9 мес. 2021'!GB49)</f>
        <v>0</v>
      </c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</row>
    <row r="35" spans="1:61" ht="18.75" x14ac:dyDescent="0.3">
      <c r="A35" s="3089" t="s">
        <v>210</v>
      </c>
      <c r="B35" s="3072"/>
      <c r="C35" s="3072"/>
      <c r="D35" s="3072"/>
      <c r="E35" s="3072"/>
      <c r="F35" s="3072"/>
      <c r="G35" s="3072"/>
      <c r="H35" s="3072"/>
      <c r="I35" s="3072"/>
      <c r="J35" s="3072"/>
      <c r="K35" s="3078" t="s">
        <v>902</v>
      </c>
      <c r="L35" s="3079">
        <f>SUM('ФАКТ.СЕБЕСТ.ВОДА 9 мес. 2021'!AC50)</f>
        <v>0</v>
      </c>
      <c r="M35" s="3079">
        <f>SUM('ФАКТ.СЕБЕСТ.ВОДА 9 мес. 2021'!AD50)</f>
        <v>0</v>
      </c>
      <c r="N35" s="3079">
        <f>SUM('ФАКТ.СЕБЕСТ.ВОДА 9 мес. 2021'!AE50)</f>
        <v>0</v>
      </c>
      <c r="O35" s="3079">
        <f>SUM('ФАКТ.СЕБЕСТ.ВОДА 9 мес. 2021'!BP50)</f>
        <v>0</v>
      </c>
      <c r="P35" s="3079">
        <f>SUM('ФАКТ.СЕБЕСТ.ВОДА 9 мес. 2021'!BQ50)</f>
        <v>0</v>
      </c>
      <c r="Q35" s="3079">
        <f>SUM('ФАКТ.СЕБЕСТ.ВОДА 9 мес. 2021'!BR50)</f>
        <v>0</v>
      </c>
      <c r="R35" s="3079">
        <f>SUM('ФАКТ.СЕБЕСТ.ВОДА 9 мес. 2021'!CB50)</f>
        <v>0</v>
      </c>
      <c r="S35" s="3079">
        <f>SUM('ФАКТ.СЕБЕСТ.ВОДА 9 мес. 2021'!CC50)</f>
        <v>0</v>
      </c>
      <c r="T35" s="3079">
        <f>SUM('ФАКТ.СЕБЕСТ.ВОДА 9 мес. 2021'!CD50)</f>
        <v>0</v>
      </c>
      <c r="U35" s="3079">
        <f>SUM('ФАКТ.СЕБЕСТ.ВОДА 9 мес. 2021'!DO50)</f>
        <v>0</v>
      </c>
      <c r="V35" s="3079">
        <f>SUM('ФАКТ.СЕБЕСТ.ВОДА 9 мес. 2021'!DP50)</f>
        <v>0</v>
      </c>
      <c r="W35" s="3079">
        <f>SUM('ФАКТ.СЕБЕСТ.ВОДА 9 мес. 2021'!DQ50)</f>
        <v>0</v>
      </c>
      <c r="X35" s="3079">
        <f>SUM('ФАКТ.СЕБЕСТ.ВОДА 9 мес. 2021'!EA50)</f>
        <v>0</v>
      </c>
      <c r="Y35" s="3079">
        <f>SUM('ФАКТ.СЕБЕСТ.ВОДА 9 мес. 2021'!EB50)</f>
        <v>0</v>
      </c>
      <c r="Z35" s="3079">
        <f>SUM('ФАКТ.СЕБЕСТ.ВОДА 9 мес. 2021'!EC50)</f>
        <v>0</v>
      </c>
      <c r="AA35" s="3079">
        <f>SUM('ФАКТ.СЕБЕСТ.ВОДА 9 мес. 2021'!FN50)</f>
        <v>0</v>
      </c>
      <c r="AB35" s="3079">
        <f>SUM('ФАКТ.СЕБЕСТ.ВОДА 9 мес. 2021'!FO50)</f>
        <v>0</v>
      </c>
      <c r="AC35" s="3079">
        <f>SUM('ФАКТ.СЕБЕСТ.ВОДА 9 мес. 2021'!FP50)</f>
        <v>0</v>
      </c>
      <c r="AD35" s="3080">
        <f>SUM('ФАКТ.СЕБЕСТ.ВОДА 9 мес. 2021'!FZ50)</f>
        <v>0</v>
      </c>
      <c r="AE35" s="3080">
        <f>SUM('ФАКТ.СЕБЕСТ.ВОДА 9 мес. 2021'!GA50)</f>
        <v>0</v>
      </c>
      <c r="AF35" s="3081">
        <f>SUM('ФАКТ.СЕБЕСТ.ВОДА 9 мес. 2021'!GB50)</f>
        <v>0</v>
      </c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</row>
    <row r="36" spans="1:61" ht="18.75" x14ac:dyDescent="0.3">
      <c r="A36" s="3089" t="s">
        <v>3</v>
      </c>
      <c r="B36" s="3072"/>
      <c r="C36" s="3072"/>
      <c r="D36" s="3072"/>
      <c r="E36" s="3072"/>
      <c r="F36" s="3072"/>
      <c r="G36" s="3072"/>
      <c r="H36" s="3072"/>
      <c r="I36" s="3072"/>
      <c r="J36" s="3072"/>
      <c r="K36" s="3078" t="s">
        <v>902</v>
      </c>
      <c r="L36" s="3079">
        <f>SUM('ФАКТ.СЕБЕСТ.ВОДА 9 мес. 2021'!AC51)</f>
        <v>427.55857159484708</v>
      </c>
      <c r="M36" s="3079">
        <f>SUM('ФАКТ.СЕБЕСТ.ВОДА 9 мес. 2021'!AD51)</f>
        <v>427.55857159484708</v>
      </c>
      <c r="N36" s="3079">
        <f>SUM('ФАКТ.СЕБЕСТ.ВОДА 9 мес. 2021'!AE51)</f>
        <v>0</v>
      </c>
      <c r="O36" s="3079">
        <f>SUM('ФАКТ.СЕБЕСТ.ВОДА 9 мес. 2021'!BP51)</f>
        <v>427.55857159484708</v>
      </c>
      <c r="P36" s="3079">
        <f>SUM('ФАКТ.СЕБЕСТ.ВОДА 9 мес. 2021'!BQ51)</f>
        <v>427.55857159484708</v>
      </c>
      <c r="Q36" s="3079">
        <f>SUM('ФАКТ.СЕБЕСТ.ВОДА 9 мес. 2021'!BR51)</f>
        <v>0</v>
      </c>
      <c r="R36" s="3079">
        <f>SUM('ФАКТ.СЕБЕСТ.ВОДА 9 мес. 2021'!CB51)</f>
        <v>855.11714318969416</v>
      </c>
      <c r="S36" s="3079">
        <f>SUM('ФАКТ.СЕБЕСТ.ВОДА 9 мес. 2021'!CC51)</f>
        <v>855.11714318969416</v>
      </c>
      <c r="T36" s="3079">
        <f>SUM('ФАКТ.СЕБЕСТ.ВОДА 9 мес. 2021'!CD51)</f>
        <v>0</v>
      </c>
      <c r="U36" s="3079">
        <f>SUM('ФАКТ.СЕБЕСТ.ВОДА 9 мес. 2021'!DO51)</f>
        <v>427.55857159484708</v>
      </c>
      <c r="V36" s="3079">
        <f>SUM('ФАКТ.СЕБЕСТ.ВОДА 9 мес. 2021'!DP51)</f>
        <v>427.55857159484708</v>
      </c>
      <c r="W36" s="3079">
        <f>SUM('ФАКТ.СЕБЕСТ.ВОДА 9 мес. 2021'!DQ51)</f>
        <v>0</v>
      </c>
      <c r="X36" s="3079">
        <f>SUM('ФАКТ.СЕБЕСТ.ВОДА 9 мес. 2021'!EA51)</f>
        <v>1282.6757147845412</v>
      </c>
      <c r="Y36" s="3079">
        <f>SUM('ФАКТ.СЕБЕСТ.ВОДА 9 мес. 2021'!EB51)</f>
        <v>1282.6757147845412</v>
      </c>
      <c r="Z36" s="3079">
        <f>SUM('ФАКТ.СЕБЕСТ.ВОДА 9 мес. 2021'!EC51)</f>
        <v>0</v>
      </c>
      <c r="AA36" s="3079">
        <f>SUM('ФАКТ.СЕБЕСТ.ВОДА 9 мес. 2021'!FN51)</f>
        <v>427.55857159484708</v>
      </c>
      <c r="AB36" s="3079">
        <f>SUM('ФАКТ.СЕБЕСТ.ВОДА 9 мес. 2021'!FO51)</f>
        <v>427.55857159484708</v>
      </c>
      <c r="AC36" s="3079">
        <f>SUM('ФАКТ.СЕБЕСТ.ВОДА 9 мес. 2021'!FP51)</f>
        <v>0</v>
      </c>
      <c r="AD36" s="3080">
        <f>SUM('ФАКТ.СЕБЕСТ.ВОДА 9 мес. 2021'!FZ51)</f>
        <v>1710.2342863793883</v>
      </c>
      <c r="AE36" s="3080">
        <f>SUM('ФАКТ.СЕБЕСТ.ВОДА 9 мес. 2021'!GA51)</f>
        <v>1710.2342863793883</v>
      </c>
      <c r="AF36" s="3081">
        <f>SUM('ФАКТ.СЕБЕСТ.ВОДА 9 мес. 2021'!GB51)</f>
        <v>0</v>
      </c>
      <c r="AG36" s="389"/>
      <c r="AH36" s="389"/>
      <c r="AI36" s="389"/>
      <c r="AJ36" s="389"/>
      <c r="AK36" s="389"/>
      <c r="AL36" s="389"/>
      <c r="AM36" s="389"/>
      <c r="AN36" s="389"/>
      <c r="AO36" s="389"/>
      <c r="AP36" s="389"/>
      <c r="AQ36" s="389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</row>
    <row r="37" spans="1:61" ht="18.75" x14ac:dyDescent="0.3">
      <c r="A37" s="3089" t="s">
        <v>8</v>
      </c>
      <c r="B37" s="3072"/>
      <c r="C37" s="3072"/>
      <c r="D37" s="3072"/>
      <c r="E37" s="3072"/>
      <c r="F37" s="3072"/>
      <c r="G37" s="3072"/>
      <c r="H37" s="3072"/>
      <c r="I37" s="3072"/>
      <c r="J37" s="3072"/>
      <c r="K37" s="3078" t="s">
        <v>902</v>
      </c>
      <c r="L37" s="3079">
        <f>SUM('ФАКТ.СЕБЕСТ.ВОДА 9 мес. 2021'!AC52)</f>
        <v>3138.8682482340892</v>
      </c>
      <c r="M37" s="3079">
        <f>SUM('ФАКТ.СЕБЕСТ.ВОДА 9 мес. 2021'!AD52)</f>
        <v>3138.8682482340892</v>
      </c>
      <c r="N37" s="3079">
        <f>SUM('ФАКТ.СЕБЕСТ.ВОДА 9 мес. 2021'!AE52)</f>
        <v>0</v>
      </c>
      <c r="O37" s="3079">
        <f>SUM('ФАКТ.СЕБЕСТ.ВОДА 9 мес. 2021'!BP52)</f>
        <v>3138.8682482340892</v>
      </c>
      <c r="P37" s="3079">
        <f>SUM('ФАКТ.СЕБЕСТ.ВОДА 9 мес. 2021'!BQ52)</f>
        <v>3138.8682482340892</v>
      </c>
      <c r="Q37" s="3079">
        <f>SUM('ФАКТ.СЕБЕСТ.ВОДА 9 мес. 2021'!BR52)</f>
        <v>0</v>
      </c>
      <c r="R37" s="3079">
        <f>SUM('ФАКТ.СЕБЕСТ.ВОДА 9 мес. 2021'!CB52)</f>
        <v>6277.7364964681783</v>
      </c>
      <c r="S37" s="3079">
        <f>SUM('ФАКТ.СЕБЕСТ.ВОДА 9 мес. 2021'!CC52)</f>
        <v>6277.7364964681783</v>
      </c>
      <c r="T37" s="3079">
        <f>SUM('ФАКТ.СЕБЕСТ.ВОДА 9 мес. 2021'!CD52)</f>
        <v>0</v>
      </c>
      <c r="U37" s="3079">
        <f>SUM('ФАКТ.СЕБЕСТ.ВОДА 9 мес. 2021'!DO52)</f>
        <v>3138.8682482340892</v>
      </c>
      <c r="V37" s="3079">
        <f>SUM('ФАКТ.СЕБЕСТ.ВОДА 9 мес. 2021'!DP52)</f>
        <v>3138.8682482340892</v>
      </c>
      <c r="W37" s="3079">
        <f>SUM('ФАКТ.СЕБЕСТ.ВОДА 9 мес. 2021'!DQ52)</f>
        <v>0</v>
      </c>
      <c r="X37" s="3079">
        <f>SUM('ФАКТ.СЕБЕСТ.ВОДА 9 мес. 2021'!EA52)</f>
        <v>9416.6047447022684</v>
      </c>
      <c r="Y37" s="3079">
        <f>SUM('ФАКТ.СЕБЕСТ.ВОДА 9 мес. 2021'!EB52)</f>
        <v>9416.6047447022684</v>
      </c>
      <c r="Z37" s="3079">
        <f>SUM('ФАКТ.СЕБЕСТ.ВОДА 9 мес. 2021'!EC52)</f>
        <v>0</v>
      </c>
      <c r="AA37" s="3079">
        <f>SUM('ФАКТ.СЕБЕСТ.ВОДА 9 мес. 2021'!FN52)</f>
        <v>3138.8682482340892</v>
      </c>
      <c r="AB37" s="3079">
        <f>SUM('ФАКТ.СЕБЕСТ.ВОДА 9 мес. 2021'!FO52)</f>
        <v>3138.8682482340892</v>
      </c>
      <c r="AC37" s="3079">
        <f>SUM('ФАКТ.СЕБЕСТ.ВОДА 9 мес. 2021'!FP52)</f>
        <v>0</v>
      </c>
      <c r="AD37" s="3080">
        <f>SUM('ФАКТ.СЕБЕСТ.ВОДА 9 мес. 2021'!FZ52)</f>
        <v>12555.472992936357</v>
      </c>
      <c r="AE37" s="3080">
        <f>SUM('ФАКТ.СЕБЕСТ.ВОДА 9 мес. 2021'!GA52)</f>
        <v>12555.472992936357</v>
      </c>
      <c r="AF37" s="3081">
        <f>SUM('ФАКТ.СЕБЕСТ.ВОДА 9 мес. 2021'!GB52)</f>
        <v>0</v>
      </c>
      <c r="AG37" s="389"/>
      <c r="AH37" s="389"/>
      <c r="AI37" s="389"/>
      <c r="AJ37" s="389"/>
      <c r="AK37" s="389"/>
      <c r="AL37" s="389"/>
      <c r="AM37" s="389"/>
      <c r="AN37" s="389"/>
      <c r="AO37" s="389"/>
      <c r="AP37" s="389"/>
      <c r="AQ37" s="389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</row>
    <row r="38" spans="1:61" ht="18.75" x14ac:dyDescent="0.3">
      <c r="A38" s="3089" t="s">
        <v>4</v>
      </c>
      <c r="B38" s="3072"/>
      <c r="C38" s="3072"/>
      <c r="D38" s="3072"/>
      <c r="E38" s="3072"/>
      <c r="F38" s="3072"/>
      <c r="G38" s="3072"/>
      <c r="H38" s="3072"/>
      <c r="I38" s="3072"/>
      <c r="J38" s="3072"/>
      <c r="K38" s="3078" t="s">
        <v>902</v>
      </c>
      <c r="L38" s="3079">
        <f>SUM('ФАКТ.СЕБЕСТ.ВОДА 9 мес. 2021'!AC53)</f>
        <v>14238.845040576343</v>
      </c>
      <c r="M38" s="3079">
        <f>SUM('ФАКТ.СЕБЕСТ.ВОДА 9 мес. 2021'!AD53)</f>
        <v>14234.715290576343</v>
      </c>
      <c r="N38" s="3079">
        <f>SUM('ФАКТ.СЕБЕСТ.ВОДА 9 мес. 2021'!AE53)</f>
        <v>4.1297499999999996</v>
      </c>
      <c r="O38" s="3079">
        <f>SUM('ФАКТ.СЕБЕСТ.ВОДА 9 мес. 2021'!BP53)</f>
        <v>14238.845040576343</v>
      </c>
      <c r="P38" s="3079">
        <f>SUM('ФАКТ.СЕБЕСТ.ВОДА 9 мес. 2021'!BQ53)</f>
        <v>14234.715290576343</v>
      </c>
      <c r="Q38" s="3079">
        <f>SUM('ФАКТ.СЕБЕСТ.ВОДА 9 мес. 2021'!BR53)</f>
        <v>4.1297499999999996</v>
      </c>
      <c r="R38" s="3079">
        <f>SUM('ФАКТ.СЕБЕСТ.ВОДА 9 мес. 2021'!CB53)</f>
        <v>28477.690081152687</v>
      </c>
      <c r="S38" s="3079">
        <f>SUM('ФАКТ.СЕБЕСТ.ВОДА 9 мес. 2021'!CC53)</f>
        <v>28469.430581152686</v>
      </c>
      <c r="T38" s="3079">
        <f>SUM('ФАКТ.СЕБЕСТ.ВОДА 9 мес. 2021'!CD53)</f>
        <v>8.2594999999999992</v>
      </c>
      <c r="U38" s="3079">
        <f>SUM('ФАКТ.СЕБЕСТ.ВОДА 9 мес. 2021'!DO53)</f>
        <v>14238.845040576343</v>
      </c>
      <c r="V38" s="3079">
        <f>SUM('ФАКТ.СЕБЕСТ.ВОДА 9 мес. 2021'!DP53)</f>
        <v>14234.715290576343</v>
      </c>
      <c r="W38" s="3079">
        <f>SUM('ФАКТ.СЕБЕСТ.ВОДА 9 мес. 2021'!DQ53)</f>
        <v>4.1297499999999996</v>
      </c>
      <c r="X38" s="3079">
        <f>SUM('ФАКТ.СЕБЕСТ.ВОДА 9 мес. 2021'!EA53)</f>
        <v>42716.53512172903</v>
      </c>
      <c r="Y38" s="3079">
        <f>SUM('ФАКТ.СЕБЕСТ.ВОДА 9 мес. 2021'!EB53)</f>
        <v>42704.14587172903</v>
      </c>
      <c r="Z38" s="3079">
        <f>SUM('ФАКТ.СЕБЕСТ.ВОДА 9 мес. 2021'!EC53)</f>
        <v>12.389249999999999</v>
      </c>
      <c r="AA38" s="3079">
        <f>SUM('ФАКТ.СЕБЕСТ.ВОДА 9 мес. 2021'!FN53)</f>
        <v>14238.845040576343</v>
      </c>
      <c r="AB38" s="3079">
        <f>SUM('ФАКТ.СЕБЕСТ.ВОДА 9 мес. 2021'!FO53)</f>
        <v>14234.715290576343</v>
      </c>
      <c r="AC38" s="3079">
        <f>SUM('ФАКТ.СЕБЕСТ.ВОДА 9 мес. 2021'!FP53)</f>
        <v>4.1297499999999996</v>
      </c>
      <c r="AD38" s="3080">
        <f>SUM('ФАКТ.СЕБЕСТ.ВОДА 9 мес. 2021'!FZ53)</f>
        <v>56955.380162305373</v>
      </c>
      <c r="AE38" s="3080">
        <f>SUM('ФАКТ.СЕБЕСТ.ВОДА 9 мес. 2021'!GA53)</f>
        <v>56938.861162305373</v>
      </c>
      <c r="AF38" s="3081">
        <f>SUM('ФАКТ.СЕБЕСТ.ВОДА 9 мес. 2021'!GB53)</f>
        <v>16.518999999999998</v>
      </c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</row>
    <row r="39" spans="1:61" ht="18.75" x14ac:dyDescent="0.3">
      <c r="A39" s="3089" t="s">
        <v>5</v>
      </c>
      <c r="B39" s="3072"/>
      <c r="C39" s="3072"/>
      <c r="D39" s="3072"/>
      <c r="E39" s="3072"/>
      <c r="F39" s="3072"/>
      <c r="G39" s="3072"/>
      <c r="H39" s="3072"/>
      <c r="I39" s="3072"/>
      <c r="J39" s="3072"/>
      <c r="K39" s="3078" t="s">
        <v>902</v>
      </c>
      <c r="L39" s="3079">
        <f>SUM('ФАКТ.СЕБЕСТ.ВОДА 9 мес. 2021'!AC54)</f>
        <v>4264.7596719819594</v>
      </c>
      <c r="M39" s="3079">
        <f>SUM('ФАКТ.СЕБЕСТ.ВОДА 9 мес. 2021'!AD54)</f>
        <v>4263.516614563141</v>
      </c>
      <c r="N39" s="3079">
        <f>SUM('ФАКТ.СЕБЕСТ.ВОДА 9 мес. 2021'!AE54)</f>
        <v>1.2430574188184058</v>
      </c>
      <c r="O39" s="3079">
        <f>SUM('ФАКТ.СЕБЕСТ.ВОДА 9 мес. 2021'!BP54)</f>
        <v>4264.7596719819594</v>
      </c>
      <c r="P39" s="3079">
        <f>SUM('ФАКТ.СЕБЕСТ.ВОДА 9 мес. 2021'!BQ54)</f>
        <v>4263.516614563141</v>
      </c>
      <c r="Q39" s="3079">
        <f>SUM('ФАКТ.СЕБЕСТ.ВОДА 9 мес. 2021'!BR54)</f>
        <v>1.2430574188184058</v>
      </c>
      <c r="R39" s="3079">
        <f>SUM('ФАКТ.СЕБЕСТ.ВОДА 9 мес. 2021'!CB54)</f>
        <v>8529.5193439639188</v>
      </c>
      <c r="S39" s="3079">
        <f>SUM('ФАКТ.СЕБЕСТ.ВОДА 9 мес. 2021'!CC54)</f>
        <v>8527.0332291262821</v>
      </c>
      <c r="T39" s="3079">
        <f>SUM('ФАКТ.СЕБЕСТ.ВОДА 9 мес. 2021'!CD54)</f>
        <v>2.4861148376368116</v>
      </c>
      <c r="U39" s="3079">
        <f>SUM('ФАКТ.СЕБЕСТ.ВОДА 9 мес. 2021'!DO54)</f>
        <v>4264.7596719819594</v>
      </c>
      <c r="V39" s="3079">
        <f>SUM('ФАКТ.СЕБЕСТ.ВОДА 9 мес. 2021'!DP54)</f>
        <v>4263.516614563141</v>
      </c>
      <c r="W39" s="3079">
        <f>SUM('ФАКТ.СЕБЕСТ.ВОДА 9 мес. 2021'!DQ54)</f>
        <v>1.2430574188184058</v>
      </c>
      <c r="X39" s="3079">
        <f>SUM('ФАКТ.СЕБЕСТ.ВОДА 9 мес. 2021'!EA54)</f>
        <v>12794.279015945878</v>
      </c>
      <c r="Y39" s="3079">
        <f>SUM('ФАКТ.СЕБЕСТ.ВОДА 9 мес. 2021'!EB54)</f>
        <v>12790.549843689423</v>
      </c>
      <c r="Z39" s="3079">
        <f>SUM('ФАКТ.СЕБЕСТ.ВОДА 9 мес. 2021'!EC54)</f>
        <v>3.7291722564552172</v>
      </c>
      <c r="AA39" s="3079">
        <f>SUM('ФАКТ.СЕБЕСТ.ВОДА 9 мес. 2021'!FN54)</f>
        <v>4264.7596719819594</v>
      </c>
      <c r="AB39" s="3079">
        <f>SUM('ФАКТ.СЕБЕСТ.ВОДА 9 мес. 2021'!FO54)</f>
        <v>4263.516614563141</v>
      </c>
      <c r="AC39" s="3079">
        <f>SUM('ФАКТ.СЕБЕСТ.ВОДА 9 мес. 2021'!FP54)</f>
        <v>1.2430574188184058</v>
      </c>
      <c r="AD39" s="3080">
        <f>SUM('ФАКТ.СЕБЕСТ.ВОДА 9 мес. 2021'!FZ54)</f>
        <v>17059.038687927838</v>
      </c>
      <c r="AE39" s="3080">
        <f>SUM('ФАКТ.СЕБЕСТ.ВОДА 9 мес. 2021'!GA54)</f>
        <v>17054.066458252564</v>
      </c>
      <c r="AF39" s="3081">
        <f>SUM('ФАКТ.СЕБЕСТ.ВОДА 9 мес. 2021'!GB54)</f>
        <v>4.9722296752736233</v>
      </c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</row>
    <row r="40" spans="1:61" ht="18.75" x14ac:dyDescent="0.3">
      <c r="A40" s="3090" t="s">
        <v>310</v>
      </c>
      <c r="B40" s="3072"/>
      <c r="C40" s="3072"/>
      <c r="D40" s="3072"/>
      <c r="E40" s="3072"/>
      <c r="F40" s="3072"/>
      <c r="G40" s="3072"/>
      <c r="H40" s="3072"/>
      <c r="I40" s="3072"/>
      <c r="J40" s="3072"/>
      <c r="K40" s="3091" t="s">
        <v>44</v>
      </c>
      <c r="L40" s="3083">
        <f>SUM('ФАКТ.СЕБЕСТ.ВОДА 9 мес. 2021'!AC55)</f>
        <v>0.29951584274066484</v>
      </c>
      <c r="M40" s="3083">
        <f>SUM('ФАКТ.СЕБЕСТ.ВОДА 9 мес. 2021'!AD55)</f>
        <v>0.29951541197214332</v>
      </c>
      <c r="N40" s="3083">
        <f>SUM('ФАКТ.СЕБЕСТ.ВОДА 9 мес. 2021'!AE55)</f>
        <v>0.30100064624212264</v>
      </c>
      <c r="O40" s="3083">
        <f>SUM('ФАКТ.СЕБЕСТ.ВОДА 9 мес. 2021'!BP55)</f>
        <v>0.29951584274066484</v>
      </c>
      <c r="P40" s="3083">
        <f>SUM('ФАКТ.СЕБЕСТ.ВОДА 9 мес. 2021'!BQ55)</f>
        <v>0.29951541197214332</v>
      </c>
      <c r="Q40" s="3083">
        <f>SUM('ФАКТ.СЕБЕСТ.ВОДА 9 мес. 2021'!BR55)</f>
        <v>0.30100064624212264</v>
      </c>
      <c r="R40" s="3083">
        <f>SUM('ФАКТ.СЕБЕСТ.ВОДА 9 мес. 2021'!CB55)</f>
        <v>0.29951584274066484</v>
      </c>
      <c r="S40" s="3083">
        <f>SUM('ФАКТ.СЕБЕСТ.ВОДА 9 мес. 2021'!CC55)</f>
        <v>0.29951541197214332</v>
      </c>
      <c r="T40" s="3083">
        <f>SUM('ФАКТ.СЕБЕСТ.ВОДА 9 мес. 2021'!CD55)</f>
        <v>0.30100064624212264</v>
      </c>
      <c r="U40" s="3083">
        <f>SUM('ФАКТ.СЕБЕСТ.ВОДА 9 мес. 2021'!DO55)</f>
        <v>0.29951584274066484</v>
      </c>
      <c r="V40" s="3083">
        <f>SUM('ФАКТ.СЕБЕСТ.ВОДА 9 мес. 2021'!DP55)</f>
        <v>0.29951541197214332</v>
      </c>
      <c r="W40" s="3083">
        <f>SUM('ФАКТ.СЕБЕСТ.ВОДА 9 мес. 2021'!DQ55)</f>
        <v>0.30100064624212264</v>
      </c>
      <c r="X40" s="3083">
        <f>SUM('ФАКТ.СЕБЕСТ.ВОДА 9 мес. 2021'!EA55)</f>
        <v>0.29951584274066484</v>
      </c>
      <c r="Y40" s="3083">
        <f>SUM('ФАКТ.СЕБЕСТ.ВОДА 9 мес. 2021'!EB55)</f>
        <v>0.29951541197214332</v>
      </c>
      <c r="Z40" s="3083">
        <f>SUM('ФАКТ.СЕБЕСТ.ВОДА 9 мес. 2021'!EC55)</f>
        <v>0.30100064624212264</v>
      </c>
      <c r="AA40" s="3083">
        <f>SUM('ФАКТ.СЕБЕСТ.ВОДА 9 мес. 2021'!FN55)</f>
        <v>0.29951584274066484</v>
      </c>
      <c r="AB40" s="3083">
        <f>SUM('ФАКТ.СЕБЕСТ.ВОДА 9 мес. 2021'!FO55)</f>
        <v>0.29951541197214332</v>
      </c>
      <c r="AC40" s="3083">
        <f>SUM('ФАКТ.СЕБЕСТ.ВОДА 9 мес. 2021'!FP55)</f>
        <v>0.30100064624212264</v>
      </c>
      <c r="AD40" s="3084">
        <f>SUM('ФАКТ.СЕБЕСТ.ВОДА 9 мес. 2021'!FZ55)</f>
        <v>0.29951584274066484</v>
      </c>
      <c r="AE40" s="3084">
        <f>SUM('ФАКТ.СЕБЕСТ.ВОДА 9 мес. 2021'!GA55)</f>
        <v>0.29951541197214332</v>
      </c>
      <c r="AF40" s="3085">
        <f>SUM('ФАКТ.СЕБЕСТ.ВОДА 9 мес. 2021'!GB55)</f>
        <v>0.30100064624212264</v>
      </c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</row>
    <row r="41" spans="1:61" ht="18.75" x14ac:dyDescent="0.3">
      <c r="A41" s="3089" t="s">
        <v>3756</v>
      </c>
      <c r="B41" s="3072"/>
      <c r="C41" s="3072"/>
      <c r="D41" s="3072"/>
      <c r="E41" s="3072"/>
      <c r="F41" s="3072"/>
      <c r="G41" s="3072"/>
      <c r="H41" s="3072"/>
      <c r="I41" s="3072"/>
      <c r="J41" s="3072"/>
      <c r="K41" s="3078" t="s">
        <v>902</v>
      </c>
      <c r="L41" s="3079">
        <f>SUM('ФАКТ.СЕБЕСТ.ВОДА 9 мес. 2021'!AC56)</f>
        <v>4856.5982390288273</v>
      </c>
      <c r="M41" s="3079">
        <f>SUM('ФАКТ.СЕБЕСТ.ВОДА 9 мес. 2021'!AD56)</f>
        <v>4856.5982390288273</v>
      </c>
      <c r="N41" s="3079">
        <f>SUM('ФАКТ.СЕБЕСТ.ВОДА 9 мес. 2021'!AE56)</f>
        <v>0</v>
      </c>
      <c r="O41" s="3079">
        <f>SUM('ФАКТ.СЕБЕСТ.ВОДА 9 мес. 2021'!BP56)</f>
        <v>4856.5982390288273</v>
      </c>
      <c r="P41" s="3079">
        <f>SUM('ФАКТ.СЕБЕСТ.ВОДА 9 мес. 2021'!BQ56)</f>
        <v>4856.5982390288273</v>
      </c>
      <c r="Q41" s="3079">
        <f>SUM('ФАКТ.СЕБЕСТ.ВОДА 9 мес. 2021'!BR56)</f>
        <v>0</v>
      </c>
      <c r="R41" s="3079">
        <f>SUM('ФАКТ.СЕБЕСТ.ВОДА 9 мес. 2021'!CB56)</f>
        <v>9713.1964780576545</v>
      </c>
      <c r="S41" s="3079">
        <f>SUM('ФАКТ.СЕБЕСТ.ВОДА 9 мес. 2021'!CC56)</f>
        <v>9713.1964780576545</v>
      </c>
      <c r="T41" s="3079">
        <f>SUM('ФАКТ.СЕБЕСТ.ВОДА 9 мес. 2021'!CD56)</f>
        <v>0</v>
      </c>
      <c r="U41" s="3079">
        <f>SUM('ФАКТ.СЕБЕСТ.ВОДА 9 мес. 2021'!DO56)</f>
        <v>4856.5982390288273</v>
      </c>
      <c r="V41" s="3079">
        <f>SUM('ФАКТ.СЕБЕСТ.ВОДА 9 мес. 2021'!DP56)</f>
        <v>4856.5982390288273</v>
      </c>
      <c r="W41" s="3079">
        <f>SUM('ФАКТ.СЕБЕСТ.ВОДА 9 мес. 2021'!DQ56)</f>
        <v>0</v>
      </c>
      <c r="X41" s="3079">
        <f>SUM('ФАКТ.СЕБЕСТ.ВОДА 9 мес. 2021'!EA56)</f>
        <v>14569.794717086483</v>
      </c>
      <c r="Y41" s="3079">
        <f>SUM('ФАКТ.СЕБЕСТ.ВОДА 9 мес. 2021'!EB56)</f>
        <v>14569.794717086483</v>
      </c>
      <c r="Z41" s="3079">
        <f>SUM('ФАКТ.СЕБЕСТ.ВОДА 9 мес. 2021'!EC56)</f>
        <v>0</v>
      </c>
      <c r="AA41" s="3079">
        <f>SUM('ФАКТ.СЕБЕСТ.ВОДА 9 мес. 2021'!FN56)</f>
        <v>4856.5982390288273</v>
      </c>
      <c r="AB41" s="3079">
        <f>SUM('ФАКТ.СЕБЕСТ.ВОДА 9 мес. 2021'!FO56)</f>
        <v>4856.5982390288273</v>
      </c>
      <c r="AC41" s="3079">
        <f>SUM('ФАКТ.СЕБЕСТ.ВОДА 9 мес. 2021'!FP56)</f>
        <v>0</v>
      </c>
      <c r="AD41" s="3080">
        <f>SUM('ФАКТ.СЕБЕСТ.ВОДА 9 мес. 2021'!FZ56)</f>
        <v>19426.392956115309</v>
      </c>
      <c r="AE41" s="3080">
        <f>SUM('ФАКТ.СЕБЕСТ.ВОДА 9 мес. 2021'!GA56)</f>
        <v>19426.392956115309</v>
      </c>
      <c r="AF41" s="3081">
        <f>SUM('ФАКТ.СЕБЕСТ.ВОДА 9 мес. 2021'!GB56)</f>
        <v>0</v>
      </c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</row>
    <row r="42" spans="1:61" ht="18.75" x14ac:dyDescent="0.3">
      <c r="A42" s="3090" t="s">
        <v>3757</v>
      </c>
      <c r="B42" s="3072"/>
      <c r="C42" s="3072"/>
      <c r="D42" s="3072"/>
      <c r="E42" s="3072"/>
      <c r="F42" s="3072"/>
      <c r="G42" s="3072"/>
      <c r="H42" s="3072"/>
      <c r="I42" s="3072"/>
      <c r="J42" s="3072"/>
      <c r="K42" s="3078" t="s">
        <v>902</v>
      </c>
      <c r="L42" s="3086">
        <f>SUM('ФАКТ.СЕБЕСТ.ВОДА 9 мес. 2021'!AC57)</f>
        <v>1843.5730859019936</v>
      </c>
      <c r="M42" s="3086">
        <f>SUM('ФАКТ.СЕБЕСТ.ВОДА 9 мес. 2021'!AD57)</f>
        <v>1843.5730859019936</v>
      </c>
      <c r="N42" s="3086">
        <f>SUM('ФАКТ.СЕБЕСТ.ВОДА 9 мес. 2021'!AE57)</f>
        <v>0</v>
      </c>
      <c r="O42" s="3086">
        <f>SUM('ФАКТ.СЕБЕСТ.ВОДА 9 мес. 2021'!BP57)</f>
        <v>1843.5730859019936</v>
      </c>
      <c r="P42" s="3086">
        <f>SUM('ФАКТ.СЕБЕСТ.ВОДА 9 мес. 2021'!BQ57)</f>
        <v>1843.5730859019936</v>
      </c>
      <c r="Q42" s="3086">
        <f>SUM('ФАКТ.СЕБЕСТ.ВОДА 9 мес. 2021'!BR57)</f>
        <v>0</v>
      </c>
      <c r="R42" s="3086">
        <f>SUM('ФАКТ.СЕБЕСТ.ВОДА 9 мес. 2021'!CB57)</f>
        <v>3687.1461718039873</v>
      </c>
      <c r="S42" s="3086">
        <f>SUM('ФАКТ.СЕБЕСТ.ВОДА 9 мес. 2021'!CC57)</f>
        <v>3687.1461718039873</v>
      </c>
      <c r="T42" s="3086">
        <f>SUM('ФАКТ.СЕБЕСТ.ВОДА 9 мес. 2021'!CD57)</f>
        <v>0</v>
      </c>
      <c r="U42" s="3086">
        <f>SUM('ФАКТ.СЕБЕСТ.ВОДА 9 мес. 2021'!DO57)</f>
        <v>1843.5730859019936</v>
      </c>
      <c r="V42" s="3086">
        <f>SUM('ФАКТ.СЕБЕСТ.ВОДА 9 мес. 2021'!DP57)</f>
        <v>1843.5730859019936</v>
      </c>
      <c r="W42" s="3086">
        <f>SUM('ФАКТ.СЕБЕСТ.ВОДА 9 мес. 2021'!DQ57)</f>
        <v>0</v>
      </c>
      <c r="X42" s="3086">
        <f>SUM('ФАКТ.СЕБЕСТ.ВОДА 9 мес. 2021'!EA57)</f>
        <v>5530.7192577059814</v>
      </c>
      <c r="Y42" s="3086">
        <f>SUM('ФАКТ.СЕБЕСТ.ВОДА 9 мес. 2021'!EB57)</f>
        <v>5530.7192577059814</v>
      </c>
      <c r="Z42" s="3086">
        <f>SUM('ФАКТ.СЕБЕСТ.ВОДА 9 мес. 2021'!EC57)</f>
        <v>0</v>
      </c>
      <c r="AA42" s="3086">
        <f>SUM('ФАКТ.СЕБЕСТ.ВОДА 9 мес. 2021'!FN57)</f>
        <v>1843.5730859019936</v>
      </c>
      <c r="AB42" s="3086">
        <f>SUM('ФАКТ.СЕБЕСТ.ВОДА 9 мес. 2021'!FO57)</f>
        <v>1843.5730859019936</v>
      </c>
      <c r="AC42" s="3086">
        <f>SUM('ФАКТ.СЕБЕСТ.ВОДА 9 мес. 2021'!FP57)</f>
        <v>0</v>
      </c>
      <c r="AD42" s="3087">
        <f>SUM('ФАКТ.СЕБЕСТ.ВОДА 9 мес. 2021'!FZ57)</f>
        <v>7374.2923436079745</v>
      </c>
      <c r="AE42" s="3087">
        <f>SUM('ФАКТ.СЕБЕСТ.ВОДА 9 мес. 2021'!GA57)</f>
        <v>7374.2923436079745</v>
      </c>
      <c r="AF42" s="3088">
        <f>SUM('ФАКТ.СЕБЕСТ.ВОДА 9 мес. 2021'!GB57)</f>
        <v>0</v>
      </c>
    </row>
    <row r="43" spans="1:61" ht="18.75" x14ac:dyDescent="0.3">
      <c r="A43" s="3090" t="s">
        <v>3758</v>
      </c>
      <c r="B43" s="3072"/>
      <c r="C43" s="3072"/>
      <c r="D43" s="3072"/>
      <c r="E43" s="3072"/>
      <c r="F43" s="3072"/>
      <c r="G43" s="3072"/>
      <c r="H43" s="3072"/>
      <c r="I43" s="3072"/>
      <c r="J43" s="3072"/>
      <c r="K43" s="3078" t="s">
        <v>902</v>
      </c>
      <c r="L43" s="3086">
        <f>SUM('ФАКТ.СЕБЕСТ.ВОДА 9 мес. 2021'!AC58)</f>
        <v>554.78242595548079</v>
      </c>
      <c r="M43" s="3086">
        <f>SUM('ФАКТ.СЕБЕСТ.ВОДА 9 мес. 2021'!AD58)</f>
        <v>554.78242595548079</v>
      </c>
      <c r="N43" s="3086">
        <f>SUM('ФАКТ.СЕБЕСТ.ВОДА 9 мес. 2021'!AE58)</f>
        <v>0</v>
      </c>
      <c r="O43" s="3086">
        <f>SUM('ФАКТ.СЕБЕСТ.ВОДА 9 мес. 2021'!BP58)</f>
        <v>554.78242595548079</v>
      </c>
      <c r="P43" s="3086">
        <f>SUM('ФАКТ.СЕБЕСТ.ВОДА 9 мес. 2021'!BQ58)</f>
        <v>554.78242595548079</v>
      </c>
      <c r="Q43" s="3086">
        <f>SUM('ФАКТ.СЕБЕСТ.ВОДА 9 мес. 2021'!BR58)</f>
        <v>0</v>
      </c>
      <c r="R43" s="3086">
        <f>SUM('ФАКТ.СЕБЕСТ.ВОДА 9 мес. 2021'!CB58)</f>
        <v>1109.5648519109616</v>
      </c>
      <c r="S43" s="3086">
        <f>SUM('ФАКТ.СЕБЕСТ.ВОДА 9 мес. 2021'!CC58)</f>
        <v>1109.5648519109616</v>
      </c>
      <c r="T43" s="3086">
        <f>SUM('ФАКТ.СЕБЕСТ.ВОДА 9 мес. 2021'!CD58)</f>
        <v>0</v>
      </c>
      <c r="U43" s="3086">
        <f>SUM('ФАКТ.СЕБЕСТ.ВОДА 9 мес. 2021'!DO58)</f>
        <v>554.78242595548079</v>
      </c>
      <c r="V43" s="3086">
        <f>SUM('ФАКТ.СЕБЕСТ.ВОДА 9 мес. 2021'!DP58)</f>
        <v>554.78242595548079</v>
      </c>
      <c r="W43" s="3086">
        <f>SUM('ФАКТ.СЕБЕСТ.ВОДА 9 мес. 2021'!DQ58)</f>
        <v>0</v>
      </c>
      <c r="X43" s="3086">
        <f>SUM('ФАКТ.СЕБЕСТ.ВОДА 9 мес. 2021'!EA58)</f>
        <v>1664.3472778664423</v>
      </c>
      <c r="Y43" s="3086">
        <f>SUM('ФАКТ.СЕБЕСТ.ВОДА 9 мес. 2021'!EB58)</f>
        <v>1664.3472778664423</v>
      </c>
      <c r="Z43" s="3086">
        <f>SUM('ФАКТ.СЕБЕСТ.ВОДА 9 мес. 2021'!EC58)</f>
        <v>0</v>
      </c>
      <c r="AA43" s="3086">
        <f>SUM('ФАКТ.СЕБЕСТ.ВОДА 9 мес. 2021'!FN58)</f>
        <v>554.78242595548079</v>
      </c>
      <c r="AB43" s="3086">
        <f>SUM('ФАКТ.СЕБЕСТ.ВОДА 9 мес. 2021'!FO58)</f>
        <v>554.78242595548079</v>
      </c>
      <c r="AC43" s="3086">
        <f>SUM('ФАКТ.СЕБЕСТ.ВОДА 9 мес. 2021'!FP58)</f>
        <v>0</v>
      </c>
      <c r="AD43" s="3087">
        <f>SUM('ФАКТ.СЕБЕСТ.ВОДА 9 мес. 2021'!FZ58)</f>
        <v>2219.1297038219232</v>
      </c>
      <c r="AE43" s="3087">
        <f>SUM('ФАКТ.СЕБЕСТ.ВОДА 9 мес. 2021'!GA58)</f>
        <v>2219.1297038219232</v>
      </c>
      <c r="AF43" s="3088">
        <f>SUM('ФАКТ.СЕБЕСТ.ВОДА 9 мес. 2021'!GB58)</f>
        <v>0</v>
      </c>
    </row>
    <row r="44" spans="1:61" ht="18.75" x14ac:dyDescent="0.3">
      <c r="A44" s="3090" t="s">
        <v>31</v>
      </c>
      <c r="B44" s="3072"/>
      <c r="C44" s="3072"/>
      <c r="D44" s="3072"/>
      <c r="E44" s="3072"/>
      <c r="F44" s="3072"/>
      <c r="G44" s="3072"/>
      <c r="H44" s="3072"/>
      <c r="I44" s="3072"/>
      <c r="J44" s="3072"/>
      <c r="K44" s="3078" t="s">
        <v>902</v>
      </c>
      <c r="L44" s="3086">
        <f>SUM('ФАКТ.СЕБЕСТ.ВОДА 9 мес. 2021'!AC59)</f>
        <v>390.02063784120003</v>
      </c>
      <c r="M44" s="3086">
        <f>SUM('ФАКТ.СЕБЕСТ.ВОДА 9 мес. 2021'!AD59)</f>
        <v>390.02063784120003</v>
      </c>
      <c r="N44" s="3086">
        <f>SUM('ФАКТ.СЕБЕСТ.ВОДА 9 мес. 2021'!AE59)</f>
        <v>0</v>
      </c>
      <c r="O44" s="3086">
        <f>SUM('ФАКТ.СЕБЕСТ.ВОДА 9 мес. 2021'!BP59)</f>
        <v>390.02063784120003</v>
      </c>
      <c r="P44" s="3086">
        <f>SUM('ФАКТ.СЕБЕСТ.ВОДА 9 мес. 2021'!BQ59)</f>
        <v>390.02063784120003</v>
      </c>
      <c r="Q44" s="3086">
        <f>SUM('ФАКТ.СЕБЕСТ.ВОДА 9 мес. 2021'!BR59)</f>
        <v>0</v>
      </c>
      <c r="R44" s="3086">
        <f>SUM('ФАКТ.СЕБЕСТ.ВОДА 9 мес. 2021'!CB59)</f>
        <v>780.04127568240006</v>
      </c>
      <c r="S44" s="3086">
        <f>SUM('ФАКТ.СЕБЕСТ.ВОДА 9 мес. 2021'!CC59)</f>
        <v>780.04127568240006</v>
      </c>
      <c r="T44" s="3086">
        <f>SUM('ФАКТ.СЕБЕСТ.ВОДА 9 мес. 2021'!CD59)</f>
        <v>0</v>
      </c>
      <c r="U44" s="3086">
        <f>SUM('ФАКТ.СЕБЕСТ.ВОДА 9 мес. 2021'!DO59)</f>
        <v>390.02063784120003</v>
      </c>
      <c r="V44" s="3086">
        <f>SUM('ФАКТ.СЕБЕСТ.ВОДА 9 мес. 2021'!DP59)</f>
        <v>390.02063784120003</v>
      </c>
      <c r="W44" s="3086">
        <f>SUM('ФАКТ.СЕБЕСТ.ВОДА 9 мес. 2021'!DQ59)</f>
        <v>0</v>
      </c>
      <c r="X44" s="3086">
        <f>SUM('ФАКТ.СЕБЕСТ.ВОДА 9 мес. 2021'!EA59)</f>
        <v>1170.0619135236002</v>
      </c>
      <c r="Y44" s="3086">
        <f>SUM('ФАКТ.СЕБЕСТ.ВОДА 9 мес. 2021'!EB59)</f>
        <v>1170.0619135236002</v>
      </c>
      <c r="Z44" s="3086">
        <f>SUM('ФАКТ.СЕБЕСТ.ВОДА 9 мес. 2021'!EC59)</f>
        <v>0</v>
      </c>
      <c r="AA44" s="3086">
        <f>SUM('ФАКТ.СЕБЕСТ.ВОДА 9 мес. 2021'!FN59)</f>
        <v>390.02063784120003</v>
      </c>
      <c r="AB44" s="3086">
        <f>SUM('ФАКТ.СЕБЕСТ.ВОДА 9 мес. 2021'!FO59)</f>
        <v>390.02063784120003</v>
      </c>
      <c r="AC44" s="3086">
        <f>SUM('ФАКТ.СЕБЕСТ.ВОДА 9 мес. 2021'!FP59)</f>
        <v>0</v>
      </c>
      <c r="AD44" s="3087">
        <f>SUM('ФАКТ.СЕБЕСТ.ВОДА 9 мес. 2021'!FZ59)</f>
        <v>1560.0825513648001</v>
      </c>
      <c r="AE44" s="3087">
        <f>SUM('ФАКТ.СЕБЕСТ.ВОДА 9 мес. 2021'!GA59)</f>
        <v>1560.0825513648001</v>
      </c>
      <c r="AF44" s="3088">
        <f>SUM('ФАКТ.СЕБЕСТ.ВОДА 9 мес. 2021'!GB59)</f>
        <v>0</v>
      </c>
    </row>
    <row r="45" spans="1:61" ht="18.75" x14ac:dyDescent="0.3">
      <c r="A45" s="3090" t="s">
        <v>289</v>
      </c>
      <c r="B45" s="3072"/>
      <c r="C45" s="3072"/>
      <c r="D45" s="3072"/>
      <c r="E45" s="3072"/>
      <c r="F45" s="3072"/>
      <c r="G45" s="3072"/>
      <c r="H45" s="3072"/>
      <c r="I45" s="3072"/>
      <c r="J45" s="3072"/>
      <c r="K45" s="3078" t="s">
        <v>902</v>
      </c>
      <c r="L45" s="3086">
        <f>SUM('ФАКТ.СЕБЕСТ.ВОДА 9 мес. 2021'!AC60)</f>
        <v>2068.2220893301528</v>
      </c>
      <c r="M45" s="3086">
        <f>SUM('ФАКТ.СЕБЕСТ.ВОДА 9 мес. 2021'!AD60)</f>
        <v>2068.2220893301528</v>
      </c>
      <c r="N45" s="3086">
        <f>SUM('ФАКТ.СЕБЕСТ.ВОДА 9 мес. 2021'!AE60)</f>
        <v>0</v>
      </c>
      <c r="O45" s="3086">
        <f>SUM('ФАКТ.СЕБЕСТ.ВОДА 9 мес. 2021'!BP60)</f>
        <v>2068.2220893301528</v>
      </c>
      <c r="P45" s="3086">
        <f>SUM('ФАКТ.СЕБЕСТ.ВОДА 9 мес. 2021'!BQ60)</f>
        <v>2068.2220893301528</v>
      </c>
      <c r="Q45" s="3086">
        <f>SUM('ФАКТ.СЕБЕСТ.ВОДА 9 мес. 2021'!BR60)</f>
        <v>0</v>
      </c>
      <c r="R45" s="3086">
        <f>SUM('ФАКТ.СЕБЕСТ.ВОДА 9 мес. 2021'!CB60)</f>
        <v>4136.4441786603056</v>
      </c>
      <c r="S45" s="3086">
        <f>SUM('ФАКТ.СЕБЕСТ.ВОДА 9 мес. 2021'!CC60)</f>
        <v>4136.4441786603056</v>
      </c>
      <c r="T45" s="3086">
        <f>SUM('ФАКТ.СЕБЕСТ.ВОДА 9 мес. 2021'!CD60)</f>
        <v>0</v>
      </c>
      <c r="U45" s="3086">
        <f>SUM('ФАКТ.СЕБЕСТ.ВОДА 9 мес. 2021'!DO60)</f>
        <v>2068.2220893301528</v>
      </c>
      <c r="V45" s="3086">
        <f>SUM('ФАКТ.СЕБЕСТ.ВОДА 9 мес. 2021'!DP60)</f>
        <v>2068.2220893301528</v>
      </c>
      <c r="W45" s="3086">
        <f>SUM('ФАКТ.СЕБЕСТ.ВОДА 9 мес. 2021'!DQ60)</f>
        <v>0</v>
      </c>
      <c r="X45" s="3086">
        <f>SUM('ФАКТ.СЕБЕСТ.ВОДА 9 мес. 2021'!EA60)</f>
        <v>6204.6662679904584</v>
      </c>
      <c r="Y45" s="3086">
        <f>SUM('ФАКТ.СЕБЕСТ.ВОДА 9 мес. 2021'!EB60)</f>
        <v>6204.6662679904584</v>
      </c>
      <c r="Z45" s="3086">
        <f>SUM('ФАКТ.СЕБЕСТ.ВОДА 9 мес. 2021'!EC60)</f>
        <v>0</v>
      </c>
      <c r="AA45" s="3086">
        <f>SUM('ФАКТ.СЕБЕСТ.ВОДА 9 мес. 2021'!FN60)</f>
        <v>2068.2220893301528</v>
      </c>
      <c r="AB45" s="3086">
        <f>SUM('ФАКТ.СЕБЕСТ.ВОДА 9 мес. 2021'!FO60)</f>
        <v>2068.2220893301528</v>
      </c>
      <c r="AC45" s="3086">
        <f>SUM('ФАКТ.СЕБЕСТ.ВОДА 9 мес. 2021'!FP60)</f>
        <v>0</v>
      </c>
      <c r="AD45" s="3087">
        <f>SUM('ФАКТ.СЕБЕСТ.ВОДА 9 мес. 2021'!FZ60)</f>
        <v>8272.8883573206112</v>
      </c>
      <c r="AE45" s="3087">
        <f>SUM('ФАКТ.СЕБЕСТ.ВОДА 9 мес. 2021'!GA60)</f>
        <v>8272.8883573206112</v>
      </c>
      <c r="AF45" s="3088">
        <f>SUM('ФАКТ.СЕБЕСТ.ВОДА 9 мес. 2021'!GB60)</f>
        <v>0</v>
      </c>
    </row>
    <row r="46" spans="1:61" ht="18.75" x14ac:dyDescent="0.3">
      <c r="A46" s="3089" t="s">
        <v>3741</v>
      </c>
      <c r="B46" s="3092"/>
      <c r="C46" s="3092"/>
      <c r="D46" s="3092"/>
      <c r="E46" s="3092"/>
      <c r="F46" s="3092"/>
      <c r="G46" s="3092"/>
      <c r="H46" s="3092"/>
      <c r="I46" s="3092"/>
      <c r="J46" s="3092"/>
      <c r="K46" s="3078" t="s">
        <v>902</v>
      </c>
      <c r="L46" s="3079">
        <f>SUM('ФАКТ.СЕБЕСТ.ВОДА 9 мес. 2021'!AC61)</f>
        <v>1267.7165799999998</v>
      </c>
      <c r="M46" s="3079">
        <f>SUM('ФАКТ.СЕБЕСТ.ВОДА 9 мес. 2021'!AD61)</f>
        <v>1267.5330799999999</v>
      </c>
      <c r="N46" s="3079">
        <f>SUM('ФАКТ.СЕБЕСТ.ВОДА 9 мес. 2021'!AE61)</f>
        <v>0.1835</v>
      </c>
      <c r="O46" s="3079">
        <f>SUM('ФАКТ.СЕБЕСТ.ВОДА 9 мес. 2021'!BP61)</f>
        <v>1267.7165799999998</v>
      </c>
      <c r="P46" s="3079">
        <f>SUM('ФАКТ.СЕБЕСТ.ВОДА 9 мес. 2021'!BQ61)</f>
        <v>1267.5330799999999</v>
      </c>
      <c r="Q46" s="3079">
        <f>SUM('ФАКТ.СЕБЕСТ.ВОДА 9 мес. 2021'!BR61)</f>
        <v>0.1835</v>
      </c>
      <c r="R46" s="3079">
        <f>SUM('ФАКТ.СЕБЕСТ.ВОДА 9 мес. 2021'!CB61)</f>
        <v>2535.4331599999996</v>
      </c>
      <c r="S46" s="3079">
        <f>SUM('ФАКТ.СЕБЕСТ.ВОДА 9 мес. 2021'!CC61)</f>
        <v>2535.0661599999999</v>
      </c>
      <c r="T46" s="3079">
        <f>SUM('ФАКТ.СЕБЕСТ.ВОДА 9 мес. 2021'!CD61)</f>
        <v>0.36699999999999999</v>
      </c>
      <c r="U46" s="3079">
        <f>SUM('ФАКТ.СЕБЕСТ.ВОДА 9 мес. 2021'!DO61)</f>
        <v>1267.7165799999998</v>
      </c>
      <c r="V46" s="3079">
        <f>SUM('ФАКТ.СЕБЕСТ.ВОДА 9 мес. 2021'!DP61)</f>
        <v>1267.5330799999999</v>
      </c>
      <c r="W46" s="3079">
        <f>SUM('ФАКТ.СЕБЕСТ.ВОДА 9 мес. 2021'!DQ61)</f>
        <v>0.1835</v>
      </c>
      <c r="X46" s="3079">
        <f>SUM('ФАКТ.СЕБЕСТ.ВОДА 9 мес. 2021'!EA61)</f>
        <v>3803.1497399999994</v>
      </c>
      <c r="Y46" s="3079">
        <f>SUM('ФАКТ.СЕБЕСТ.ВОДА 9 мес. 2021'!EB61)</f>
        <v>3802.5992399999996</v>
      </c>
      <c r="Z46" s="3079">
        <f>SUM('ФАКТ.СЕБЕСТ.ВОДА 9 мес. 2021'!EC61)</f>
        <v>0.55049999999999999</v>
      </c>
      <c r="AA46" s="3079">
        <f>SUM('ФАКТ.СЕБЕСТ.ВОДА 9 мес. 2021'!FN61)</f>
        <v>1267.7165799999998</v>
      </c>
      <c r="AB46" s="3079">
        <f>SUM('ФАКТ.СЕБЕСТ.ВОДА 9 мес. 2021'!FO61)</f>
        <v>1267.5330799999999</v>
      </c>
      <c r="AC46" s="3079">
        <f>SUM('ФАКТ.СЕБЕСТ.ВОДА 9 мес. 2021'!FP61)</f>
        <v>0.1835</v>
      </c>
      <c r="AD46" s="3080">
        <f>SUM('ФАКТ.СЕБЕСТ.ВОДА 9 мес. 2021'!FZ61)</f>
        <v>5070.8663199999992</v>
      </c>
      <c r="AE46" s="3080">
        <f>SUM('ФАКТ.СЕБЕСТ.ВОДА 9 мес. 2021'!GA61)</f>
        <v>5070.1323199999997</v>
      </c>
      <c r="AF46" s="3081">
        <f>SUM('ФАКТ.СЕБЕСТ.ВОДА 9 мес. 2021'!GB61)</f>
        <v>0.73399999999999999</v>
      </c>
    </row>
    <row r="47" spans="1:61" ht="18.75" x14ac:dyDescent="0.3">
      <c r="A47" s="3090" t="s">
        <v>3785</v>
      </c>
      <c r="B47" s="3092"/>
      <c r="C47" s="3092"/>
      <c r="D47" s="3092"/>
      <c r="E47" s="3092"/>
      <c r="F47" s="3092"/>
      <c r="G47" s="3092"/>
      <c r="H47" s="3092"/>
      <c r="I47" s="3092"/>
      <c r="J47" s="3092"/>
      <c r="K47" s="3078" t="s">
        <v>902</v>
      </c>
      <c r="L47" s="3086">
        <f>SUM('ФАКТ.СЕБЕСТ.ВОДА 9 мес. 2021'!AC62)</f>
        <v>617.24600000000009</v>
      </c>
      <c r="M47" s="3086">
        <f>SUM('ФАКТ.СЕБЕСТ.ВОДА 9 мес. 2021'!AD62)</f>
        <v>617.0625</v>
      </c>
      <c r="N47" s="3086">
        <f>SUM('ФАКТ.СЕБЕСТ.ВОДА 9 мес. 2021'!AE62)</f>
        <v>0.1835</v>
      </c>
      <c r="O47" s="3086">
        <f>SUM('ФАКТ.СЕБЕСТ.ВОДА 9 мес. 2021'!BP62)</f>
        <v>617.24600000000009</v>
      </c>
      <c r="P47" s="3086">
        <f>SUM('ФАКТ.СЕБЕСТ.ВОДА 9 мес. 2021'!BQ62)</f>
        <v>617.0625</v>
      </c>
      <c r="Q47" s="3086">
        <f>SUM('ФАКТ.СЕБЕСТ.ВОДА 9 мес. 2021'!BR62)</f>
        <v>0.1835</v>
      </c>
      <c r="R47" s="3086">
        <f>SUM('ФАКТ.СЕБЕСТ.ВОДА 9 мес. 2021'!CB62)</f>
        <v>1234.4920000000002</v>
      </c>
      <c r="S47" s="3086">
        <f>SUM('ФАКТ.СЕБЕСТ.ВОДА 9 мес. 2021'!CC62)</f>
        <v>1234.125</v>
      </c>
      <c r="T47" s="3086">
        <f>SUM('ФАКТ.СЕБЕСТ.ВОДА 9 мес. 2021'!CD62)</f>
        <v>0.36699999999999999</v>
      </c>
      <c r="U47" s="3086">
        <f>SUM('ФАКТ.СЕБЕСТ.ВОДА 9 мес. 2021'!DO62)</f>
        <v>617.24600000000009</v>
      </c>
      <c r="V47" s="3086">
        <f>SUM('ФАКТ.СЕБЕСТ.ВОДА 9 мес. 2021'!DP62)</f>
        <v>617.0625</v>
      </c>
      <c r="W47" s="3086">
        <f>SUM('ФАКТ.СЕБЕСТ.ВОДА 9 мес. 2021'!DQ62)</f>
        <v>0.1835</v>
      </c>
      <c r="X47" s="3086">
        <f>SUM('ФАКТ.СЕБЕСТ.ВОДА 9 мес. 2021'!EA62)</f>
        <v>1851.7380000000003</v>
      </c>
      <c r="Y47" s="3086">
        <f>SUM('ФАКТ.СЕБЕСТ.ВОДА 9 мес. 2021'!EB62)</f>
        <v>1851.1875</v>
      </c>
      <c r="Z47" s="3086">
        <f>SUM('ФАКТ.СЕБЕСТ.ВОДА 9 мес. 2021'!EC62)</f>
        <v>0.55049999999999999</v>
      </c>
      <c r="AA47" s="3086">
        <f>SUM('ФАКТ.СЕБЕСТ.ВОДА 9 мес. 2021'!FN62)</f>
        <v>617.24600000000009</v>
      </c>
      <c r="AB47" s="3086">
        <f>SUM('ФАКТ.СЕБЕСТ.ВОДА 9 мес. 2021'!FO62)</f>
        <v>617.0625</v>
      </c>
      <c r="AC47" s="3086">
        <f>SUM('ФАКТ.СЕБЕСТ.ВОДА 9 мес. 2021'!FP62)</f>
        <v>0.1835</v>
      </c>
      <c r="AD47" s="3087">
        <f>SUM('ФАКТ.СЕБЕСТ.ВОДА 9 мес. 2021'!FZ62)</f>
        <v>2468.9840000000004</v>
      </c>
      <c r="AE47" s="3087">
        <f>SUM('ФАКТ.СЕБЕСТ.ВОДА 9 мес. 2021'!GA62)</f>
        <v>2468.25</v>
      </c>
      <c r="AF47" s="3088">
        <f>SUM('ФАКТ.СЕБЕСТ.ВОДА 9 мес. 2021'!GB62)</f>
        <v>0.73399999999999999</v>
      </c>
    </row>
    <row r="48" spans="1:61" ht="18.75" x14ac:dyDescent="0.3">
      <c r="A48" s="3090" t="s">
        <v>524</v>
      </c>
      <c r="B48" s="3092"/>
      <c r="C48" s="3092"/>
      <c r="D48" s="3092"/>
      <c r="E48" s="3092"/>
      <c r="F48" s="3092"/>
      <c r="G48" s="3092"/>
      <c r="H48" s="3092"/>
      <c r="I48" s="3092"/>
      <c r="J48" s="3092"/>
      <c r="K48" s="3078" t="s">
        <v>902</v>
      </c>
      <c r="L48" s="3086">
        <f>SUM('ФАКТ.СЕБЕСТ.ВОДА 9 мес. 2021'!AC63)</f>
        <v>19.79</v>
      </c>
      <c r="M48" s="3086">
        <f>SUM('ФАКТ.СЕБЕСТ.ВОДА 9 мес. 2021'!AD63)</f>
        <v>19.79</v>
      </c>
      <c r="N48" s="3086">
        <f>SUM('ФАКТ.СЕБЕСТ.ВОДА 9 мес. 2021'!AE63)</f>
        <v>0</v>
      </c>
      <c r="O48" s="3086">
        <f>SUM('ФАКТ.СЕБЕСТ.ВОДА 9 мес. 2021'!BP63)</f>
        <v>19.79</v>
      </c>
      <c r="P48" s="3086">
        <f>SUM('ФАКТ.СЕБЕСТ.ВОДА 9 мес. 2021'!BQ63)</f>
        <v>19.79</v>
      </c>
      <c r="Q48" s="3086">
        <f>SUM('ФАКТ.СЕБЕСТ.ВОДА 9 мес. 2021'!BR63)</f>
        <v>0</v>
      </c>
      <c r="R48" s="3086">
        <f>SUM('ФАКТ.СЕБЕСТ.ВОДА 9 мес. 2021'!CB63)</f>
        <v>39.58</v>
      </c>
      <c r="S48" s="3086">
        <f>SUM('ФАКТ.СЕБЕСТ.ВОДА 9 мес. 2021'!CC63)</f>
        <v>39.58</v>
      </c>
      <c r="T48" s="3086">
        <f>SUM('ФАКТ.СЕБЕСТ.ВОДА 9 мес. 2021'!CD63)</f>
        <v>0</v>
      </c>
      <c r="U48" s="3086">
        <f>SUM('ФАКТ.СЕБЕСТ.ВОДА 9 мес. 2021'!DO63)</f>
        <v>19.79</v>
      </c>
      <c r="V48" s="3086">
        <f>SUM('ФАКТ.СЕБЕСТ.ВОДА 9 мес. 2021'!DP63)</f>
        <v>19.79</v>
      </c>
      <c r="W48" s="3086">
        <f>SUM('ФАКТ.СЕБЕСТ.ВОДА 9 мес. 2021'!DQ63)</f>
        <v>0</v>
      </c>
      <c r="X48" s="3086">
        <f>SUM('ФАКТ.СЕБЕСТ.ВОДА 9 мес. 2021'!EA63)</f>
        <v>59.37</v>
      </c>
      <c r="Y48" s="3086">
        <f>SUM('ФАКТ.СЕБЕСТ.ВОДА 9 мес. 2021'!EB63)</f>
        <v>59.37</v>
      </c>
      <c r="Z48" s="3086">
        <f>SUM('ФАКТ.СЕБЕСТ.ВОДА 9 мес. 2021'!EC63)</f>
        <v>0</v>
      </c>
      <c r="AA48" s="3086">
        <f>SUM('ФАКТ.СЕБЕСТ.ВОДА 9 мес. 2021'!FN63)</f>
        <v>19.79</v>
      </c>
      <c r="AB48" s="3086">
        <f>SUM('ФАКТ.СЕБЕСТ.ВОДА 9 мес. 2021'!FO63)</f>
        <v>19.79</v>
      </c>
      <c r="AC48" s="3086">
        <f>SUM('ФАКТ.СЕБЕСТ.ВОДА 9 мес. 2021'!FP63)</f>
        <v>0</v>
      </c>
      <c r="AD48" s="3087">
        <f>SUM('ФАКТ.СЕБЕСТ.ВОДА 9 мес. 2021'!FZ63)</f>
        <v>79.16</v>
      </c>
      <c r="AE48" s="3087">
        <f>SUM('ФАКТ.СЕБЕСТ.ВОДА 9 мес. 2021'!GA63)</f>
        <v>79.16</v>
      </c>
      <c r="AF48" s="3088">
        <f>SUM('ФАКТ.СЕБЕСТ.ВОДА 9 мес. 2021'!GB63)</f>
        <v>0</v>
      </c>
    </row>
    <row r="49" spans="1:32" ht="18.75" x14ac:dyDescent="0.3">
      <c r="A49" s="3090" t="s">
        <v>525</v>
      </c>
      <c r="B49" s="3092"/>
      <c r="C49" s="3092"/>
      <c r="D49" s="3092"/>
      <c r="E49" s="3092"/>
      <c r="F49" s="3092"/>
      <c r="G49" s="3092"/>
      <c r="H49" s="3092"/>
      <c r="I49" s="3092"/>
      <c r="J49" s="3092"/>
      <c r="K49" s="3078" t="s">
        <v>902</v>
      </c>
      <c r="L49" s="3086">
        <f>SUM('ФАКТ.СЕБЕСТ.ВОДА 9 мес. 2021'!AC64)</f>
        <v>0</v>
      </c>
      <c r="M49" s="3086">
        <f>SUM('ФАКТ.СЕБЕСТ.ВОДА 9 мес. 2021'!AD64)</f>
        <v>0</v>
      </c>
      <c r="N49" s="3086">
        <f>SUM('ФАКТ.СЕБЕСТ.ВОДА 9 мес. 2021'!AE64)</f>
        <v>0</v>
      </c>
      <c r="O49" s="3086">
        <f>SUM('ФАКТ.СЕБЕСТ.ВОДА 9 мес. 2021'!BP64)</f>
        <v>0</v>
      </c>
      <c r="P49" s="3086">
        <f>SUM('ФАКТ.СЕБЕСТ.ВОДА 9 мес. 2021'!BQ64)</f>
        <v>0</v>
      </c>
      <c r="Q49" s="3086">
        <f>SUM('ФАКТ.СЕБЕСТ.ВОДА 9 мес. 2021'!BR64)</f>
        <v>0</v>
      </c>
      <c r="R49" s="3086">
        <f>SUM('ФАКТ.СЕБЕСТ.ВОДА 9 мес. 2021'!CB64)</f>
        <v>0</v>
      </c>
      <c r="S49" s="3086">
        <f>SUM('ФАКТ.СЕБЕСТ.ВОДА 9 мес. 2021'!CC64)</f>
        <v>0</v>
      </c>
      <c r="T49" s="3086">
        <f>SUM('ФАКТ.СЕБЕСТ.ВОДА 9 мес. 2021'!CD64)</f>
        <v>0</v>
      </c>
      <c r="U49" s="3086">
        <f>SUM('ФАКТ.СЕБЕСТ.ВОДА 9 мес. 2021'!DO64)</f>
        <v>0</v>
      </c>
      <c r="V49" s="3086">
        <f>SUM('ФАКТ.СЕБЕСТ.ВОДА 9 мес. 2021'!DP64)</f>
        <v>0</v>
      </c>
      <c r="W49" s="3086">
        <f>SUM('ФАКТ.СЕБЕСТ.ВОДА 9 мес. 2021'!DQ64)</f>
        <v>0</v>
      </c>
      <c r="X49" s="3086">
        <f>SUM('ФАКТ.СЕБЕСТ.ВОДА 9 мес. 2021'!EA64)</f>
        <v>0</v>
      </c>
      <c r="Y49" s="3086">
        <f>SUM('ФАКТ.СЕБЕСТ.ВОДА 9 мес. 2021'!EB64)</f>
        <v>0</v>
      </c>
      <c r="Z49" s="3086">
        <f>SUM('ФАКТ.СЕБЕСТ.ВОДА 9 мес. 2021'!EC64)</f>
        <v>0</v>
      </c>
      <c r="AA49" s="3086">
        <f>SUM('ФАКТ.СЕБЕСТ.ВОДА 9 мес. 2021'!FN64)</f>
        <v>0</v>
      </c>
      <c r="AB49" s="3086">
        <f>SUM('ФАКТ.СЕБЕСТ.ВОДА 9 мес. 2021'!FO64)</f>
        <v>0</v>
      </c>
      <c r="AC49" s="3086">
        <f>SUM('ФАКТ.СЕБЕСТ.ВОДА 9 мес. 2021'!FP64)</f>
        <v>0</v>
      </c>
      <c r="AD49" s="3087">
        <f>SUM('ФАКТ.СЕБЕСТ.ВОДА 9 мес. 2021'!FZ64)</f>
        <v>0</v>
      </c>
      <c r="AE49" s="3087">
        <f>SUM('ФАКТ.СЕБЕСТ.ВОДА 9 мес. 2021'!GA64)</f>
        <v>0</v>
      </c>
      <c r="AF49" s="3088">
        <f>SUM('ФАКТ.СЕБЕСТ.ВОДА 9 мес. 2021'!GB64)</f>
        <v>0</v>
      </c>
    </row>
    <row r="50" spans="1:32" ht="18.75" x14ac:dyDescent="0.3">
      <c r="A50" s="3090" t="s">
        <v>526</v>
      </c>
      <c r="B50" s="3092"/>
      <c r="C50" s="3092"/>
      <c r="D50" s="3092"/>
      <c r="E50" s="3092"/>
      <c r="F50" s="3092"/>
      <c r="G50" s="3092"/>
      <c r="H50" s="3092"/>
      <c r="I50" s="3092"/>
      <c r="J50" s="3092"/>
      <c r="K50" s="3078" t="s">
        <v>902</v>
      </c>
      <c r="L50" s="3086">
        <f>SUM('ФАКТ.СЕБЕСТ.ВОДА 9 мес. 2021'!AC65)</f>
        <v>630.68057999999996</v>
      </c>
      <c r="M50" s="3086">
        <f>SUM('ФАКТ.СЕБЕСТ.ВОДА 9 мес. 2021'!AD65)</f>
        <v>630.68057999999996</v>
      </c>
      <c r="N50" s="3086">
        <f>SUM('ФАКТ.СЕБЕСТ.ВОДА 9 мес. 2021'!AE65)</f>
        <v>0</v>
      </c>
      <c r="O50" s="3086">
        <f>SUM('ФАКТ.СЕБЕСТ.ВОДА 9 мес. 2021'!BP65)</f>
        <v>630.68057999999996</v>
      </c>
      <c r="P50" s="3086">
        <f>SUM('ФАКТ.СЕБЕСТ.ВОДА 9 мес. 2021'!BQ65)</f>
        <v>630.68057999999996</v>
      </c>
      <c r="Q50" s="3086">
        <f>SUM('ФАКТ.СЕБЕСТ.ВОДА 9 мес. 2021'!BR65)</f>
        <v>0</v>
      </c>
      <c r="R50" s="3086">
        <f>SUM('ФАКТ.СЕБЕСТ.ВОДА 9 мес. 2021'!CB65)</f>
        <v>1261.3611599999999</v>
      </c>
      <c r="S50" s="3086">
        <f>SUM('ФАКТ.СЕБЕСТ.ВОДА 9 мес. 2021'!CC65)</f>
        <v>1261.3611599999999</v>
      </c>
      <c r="T50" s="3086">
        <f>SUM('ФАКТ.СЕБЕСТ.ВОДА 9 мес. 2021'!CD65)</f>
        <v>0</v>
      </c>
      <c r="U50" s="3086">
        <f>SUM('ФАКТ.СЕБЕСТ.ВОДА 9 мес. 2021'!DO65)</f>
        <v>630.68057999999996</v>
      </c>
      <c r="V50" s="3086">
        <f>SUM('ФАКТ.СЕБЕСТ.ВОДА 9 мес. 2021'!DP65)</f>
        <v>630.68057999999996</v>
      </c>
      <c r="W50" s="3086">
        <f>SUM('ФАКТ.СЕБЕСТ.ВОДА 9 мес. 2021'!DQ65)</f>
        <v>0</v>
      </c>
      <c r="X50" s="3086">
        <f>SUM('ФАКТ.СЕБЕСТ.ВОДА 9 мес. 2021'!EA65)</f>
        <v>1892.0417399999999</v>
      </c>
      <c r="Y50" s="3086">
        <f>SUM('ФАКТ.СЕБЕСТ.ВОДА 9 мес. 2021'!EB65)</f>
        <v>1892.0417399999999</v>
      </c>
      <c r="Z50" s="3086">
        <f>SUM('ФАКТ.СЕБЕСТ.ВОДА 9 мес. 2021'!EC65)</f>
        <v>0</v>
      </c>
      <c r="AA50" s="3086">
        <f>SUM('ФАКТ.СЕБЕСТ.ВОДА 9 мес. 2021'!FN65)</f>
        <v>630.68057999999996</v>
      </c>
      <c r="AB50" s="3086">
        <f>SUM('ФАКТ.СЕБЕСТ.ВОДА 9 мес. 2021'!FO65)</f>
        <v>630.68057999999996</v>
      </c>
      <c r="AC50" s="3086">
        <f>SUM('ФАКТ.СЕБЕСТ.ВОДА 9 мес. 2021'!FP65)</f>
        <v>0</v>
      </c>
      <c r="AD50" s="3087">
        <f>SUM('ФАКТ.СЕБЕСТ.ВОДА 9 мес. 2021'!FZ65)</f>
        <v>2522.7223199999999</v>
      </c>
      <c r="AE50" s="3087">
        <f>SUM('ФАКТ.СЕБЕСТ.ВОДА 9 мес. 2021'!GA65)</f>
        <v>2522.7223199999999</v>
      </c>
      <c r="AF50" s="3088">
        <f>SUM('ФАКТ.СЕБЕСТ.ВОДА 9 мес. 2021'!GB65)</f>
        <v>0</v>
      </c>
    </row>
    <row r="51" spans="1:32" ht="18.75" x14ac:dyDescent="0.3">
      <c r="A51" s="3181" t="s">
        <v>3743</v>
      </c>
      <c r="B51" s="3092"/>
      <c r="C51" s="3092"/>
      <c r="D51" s="3092"/>
      <c r="E51" s="3092"/>
      <c r="F51" s="3092"/>
      <c r="G51" s="3092"/>
      <c r="H51" s="3092"/>
      <c r="I51" s="3092"/>
      <c r="J51" s="3092"/>
      <c r="K51" s="3078" t="s">
        <v>902</v>
      </c>
      <c r="L51" s="3086">
        <f>SUM('ФАКТ.СЕБЕСТ.ВОДА 9 мес. 2021'!AC66)</f>
        <v>0</v>
      </c>
      <c r="M51" s="3086">
        <f>SUM('ФАКТ.СЕБЕСТ.ВОДА 9 мес. 2021'!AD66)</f>
        <v>0</v>
      </c>
      <c r="N51" s="3086">
        <f>SUM('ФАКТ.СЕБЕСТ.ВОДА 9 мес. 2021'!AE66)</f>
        <v>0</v>
      </c>
      <c r="O51" s="3086">
        <f>SUM('ФАКТ.СЕБЕСТ.ВОДА 9 мес. 2021'!BP66)</f>
        <v>0</v>
      </c>
      <c r="P51" s="3086">
        <f>SUM('ФАКТ.СЕБЕСТ.ВОДА 9 мес. 2021'!BQ66)</f>
        <v>0</v>
      </c>
      <c r="Q51" s="3086">
        <f>SUM('ФАКТ.СЕБЕСТ.ВОДА 9 мес. 2021'!BR66)</f>
        <v>0</v>
      </c>
      <c r="R51" s="3086">
        <f>SUM('ФАКТ.СЕБЕСТ.ВОДА 9 мес. 2021'!CB66)</f>
        <v>0</v>
      </c>
      <c r="S51" s="3086">
        <f>SUM('ФАКТ.СЕБЕСТ.ВОДА 9 мес. 2021'!CC66)</f>
        <v>0</v>
      </c>
      <c r="T51" s="3086">
        <f>SUM('ФАКТ.СЕБЕСТ.ВОДА 9 мес. 2021'!CD66)</f>
        <v>0</v>
      </c>
      <c r="U51" s="3086">
        <f>SUM('ФАКТ.СЕБЕСТ.ВОДА 9 мес. 2021'!DO66)</f>
        <v>0</v>
      </c>
      <c r="V51" s="3086">
        <f>SUM('ФАКТ.СЕБЕСТ.ВОДА 9 мес. 2021'!DP66)</f>
        <v>0</v>
      </c>
      <c r="W51" s="3086">
        <f>SUM('ФАКТ.СЕБЕСТ.ВОДА 9 мес. 2021'!DQ66)</f>
        <v>0</v>
      </c>
      <c r="X51" s="3086">
        <f>SUM('ФАКТ.СЕБЕСТ.ВОДА 9 мес. 2021'!EA66)</f>
        <v>0</v>
      </c>
      <c r="Y51" s="3086">
        <f>SUM('ФАКТ.СЕБЕСТ.ВОДА 9 мес. 2021'!EB66)</f>
        <v>0</v>
      </c>
      <c r="Z51" s="3086">
        <f>SUM('ФАКТ.СЕБЕСТ.ВОДА 9 мес. 2021'!EC66)</f>
        <v>0</v>
      </c>
      <c r="AA51" s="3086">
        <f>SUM('ФАКТ.СЕБЕСТ.ВОДА 9 мес. 2021'!FN66)</f>
        <v>0</v>
      </c>
      <c r="AB51" s="3086">
        <f>SUM('ФАКТ.СЕБЕСТ.ВОДА 9 мес. 2021'!FO66)</f>
        <v>0</v>
      </c>
      <c r="AC51" s="3086">
        <f>SUM('ФАКТ.СЕБЕСТ.ВОДА 9 мес. 2021'!FP66)</f>
        <v>0</v>
      </c>
      <c r="AD51" s="3087">
        <f>SUM('ФАКТ.СЕБЕСТ.ВОДА 9 мес. 2021'!FZ66)</f>
        <v>0</v>
      </c>
      <c r="AE51" s="3087">
        <f>SUM('ФАКТ.СЕБЕСТ.ВОДА 9 мес. 2021'!GA66)</f>
        <v>0</v>
      </c>
      <c r="AF51" s="3088">
        <f>SUM('ФАКТ.СЕБЕСТ.ВОДА 9 мес. 2021'!GB66)</f>
        <v>0</v>
      </c>
    </row>
    <row r="52" spans="1:32" ht="18.75" x14ac:dyDescent="0.3">
      <c r="A52" s="3089" t="s">
        <v>3759</v>
      </c>
      <c r="B52" s="3092"/>
      <c r="C52" s="3092"/>
      <c r="D52" s="3092"/>
      <c r="E52" s="3092"/>
      <c r="F52" s="3092"/>
      <c r="G52" s="3092"/>
      <c r="H52" s="3092"/>
      <c r="I52" s="3092"/>
      <c r="J52" s="3092"/>
      <c r="K52" s="3078" t="s">
        <v>902</v>
      </c>
      <c r="L52" s="3079">
        <f>SUM('ФАКТ.СЕБЕСТ.ВОДА 9 мес. 2021'!AC67)</f>
        <v>3753.862718612861</v>
      </c>
      <c r="M52" s="3079">
        <f>SUM('ФАКТ.СЕБЕСТ.ВОДА 9 мес. 2021'!AD67)</f>
        <v>3752.554708123751</v>
      </c>
      <c r="N52" s="3079">
        <f>SUM('ФАКТ.СЕБЕСТ.ВОДА 9 мес. 2021'!AE67)</f>
        <v>1.30801048911</v>
      </c>
      <c r="O52" s="3079">
        <f>SUM('ФАКТ.СЕБЕСТ.ВОДА 9 мес. 2021'!BP67)</f>
        <v>3753.862718612861</v>
      </c>
      <c r="P52" s="3079">
        <f>SUM('ФАКТ.СЕБЕСТ.ВОДА 9 мес. 2021'!BQ67)</f>
        <v>3752.554708123751</v>
      </c>
      <c r="Q52" s="3079">
        <f>SUM('ФАКТ.СЕБЕСТ.ВОДА 9 мес. 2021'!BR67)</f>
        <v>1.30801048911</v>
      </c>
      <c r="R52" s="3079">
        <f>SUM('ФАКТ.СЕБЕСТ.ВОДА 9 мес. 2021'!CB67)</f>
        <v>7507.7254372257221</v>
      </c>
      <c r="S52" s="3079">
        <f>SUM('ФАКТ.СЕБЕСТ.ВОДА 9 мес. 2021'!CC67)</f>
        <v>7505.1094162475019</v>
      </c>
      <c r="T52" s="3079">
        <f>SUM('ФАКТ.СЕБЕСТ.ВОДА 9 мес. 2021'!CD67)</f>
        <v>2.6160209782199999</v>
      </c>
      <c r="U52" s="3079">
        <f>SUM('ФАКТ.СЕБЕСТ.ВОДА 9 мес. 2021'!DO67)</f>
        <v>3753.862718612861</v>
      </c>
      <c r="V52" s="3079">
        <f>SUM('ФАКТ.СЕБЕСТ.ВОДА 9 мес. 2021'!DP67)</f>
        <v>3752.554708123751</v>
      </c>
      <c r="W52" s="3079">
        <f>SUM('ФАКТ.СЕБЕСТ.ВОДА 9 мес. 2021'!DQ67)</f>
        <v>1.30801048911</v>
      </c>
      <c r="X52" s="3079">
        <f>SUM('ФАКТ.СЕБЕСТ.ВОДА 9 мес. 2021'!EA67)</f>
        <v>11261.588155838583</v>
      </c>
      <c r="Y52" s="3079">
        <f>SUM('ФАКТ.СЕБЕСТ.ВОДА 9 мес. 2021'!EB67)</f>
        <v>11257.664124371253</v>
      </c>
      <c r="Z52" s="3079">
        <f>SUM('ФАКТ.СЕБЕСТ.ВОДА 9 мес. 2021'!EC67)</f>
        <v>3.9240314673299999</v>
      </c>
      <c r="AA52" s="3079">
        <f>SUM('ФАКТ.СЕБЕСТ.ВОДА 9 мес. 2021'!FN67)</f>
        <v>3753.862718612861</v>
      </c>
      <c r="AB52" s="3079">
        <f>SUM('ФАКТ.СЕБЕСТ.ВОДА 9 мес. 2021'!FO67)</f>
        <v>3752.554708123751</v>
      </c>
      <c r="AC52" s="3079">
        <f>SUM('ФАКТ.СЕБЕСТ.ВОДА 9 мес. 2021'!FP67)</f>
        <v>1.30801048911</v>
      </c>
      <c r="AD52" s="3080">
        <f>SUM('ФАКТ.СЕБЕСТ.ВОДА 9 мес. 2021'!FZ67)</f>
        <v>15015.450874451444</v>
      </c>
      <c r="AE52" s="3080">
        <f>SUM('ФАКТ.СЕБЕСТ.ВОДА 9 мес. 2021'!GA67)</f>
        <v>15010.218832495004</v>
      </c>
      <c r="AF52" s="3081">
        <f>SUM('ФАКТ.СЕБЕСТ.ВОДА 9 мес. 2021'!GB67)</f>
        <v>5.2320419564399998</v>
      </c>
    </row>
    <row r="53" spans="1:32" ht="18.75" customHeight="1" x14ac:dyDescent="0.3">
      <c r="A53" s="3093" t="s">
        <v>3745</v>
      </c>
      <c r="B53" s="3092"/>
      <c r="C53" s="3092"/>
      <c r="D53" s="3092"/>
      <c r="E53" s="3092"/>
      <c r="F53" s="3092"/>
      <c r="G53" s="3092"/>
      <c r="H53" s="3092"/>
      <c r="I53" s="3092"/>
      <c r="J53" s="3092"/>
      <c r="K53" s="3078" t="s">
        <v>902</v>
      </c>
      <c r="L53" s="3086">
        <f>SUM('ФАКТ.СЕБЕСТ.ВОДА 9 мес. 2021'!AC68)</f>
        <v>2523.4076018812898</v>
      </c>
      <c r="M53" s="3086">
        <f>SUM('ФАКТ.СЕБЕСТ.ВОДА 9 мес. 2021'!AD68)</f>
        <v>2522.587434049512</v>
      </c>
      <c r="N53" s="3086">
        <f>SUM('ФАКТ.СЕБЕСТ.ВОДА 9 мес. 2021'!AE68)</f>
        <v>0.82016783177750008</v>
      </c>
      <c r="O53" s="3086">
        <f>SUM('ФАКТ.СЕБЕСТ.ВОДА 9 мес. 2021'!BP68)</f>
        <v>2523.4076018812898</v>
      </c>
      <c r="P53" s="3086">
        <f>SUM('ФАКТ.СЕБЕСТ.ВОДА 9 мес. 2021'!BQ68)</f>
        <v>2522.587434049512</v>
      </c>
      <c r="Q53" s="3086">
        <f>SUM('ФАКТ.СЕБЕСТ.ВОДА 9 мес. 2021'!BR68)</f>
        <v>0.82016783177750008</v>
      </c>
      <c r="R53" s="3086">
        <f>SUM('ФАКТ.СЕБЕСТ.ВОДА 9 мес. 2021'!CB68)</f>
        <v>5046.8152037625796</v>
      </c>
      <c r="S53" s="3086">
        <f>SUM('ФАКТ.СЕБЕСТ.ВОДА 9 мес. 2021'!CC68)</f>
        <v>5045.174868099024</v>
      </c>
      <c r="T53" s="3086">
        <f>SUM('ФАКТ.СЕБЕСТ.ВОДА 9 мес. 2021'!CD68)</f>
        <v>1.6403356635550002</v>
      </c>
      <c r="U53" s="3086">
        <f>SUM('ФАКТ.СЕБЕСТ.ВОДА 9 мес. 2021'!DO68)</f>
        <v>2523.4076018812898</v>
      </c>
      <c r="V53" s="3086">
        <f>SUM('ФАКТ.СЕБЕСТ.ВОДА 9 мес. 2021'!DP68)</f>
        <v>2522.587434049512</v>
      </c>
      <c r="W53" s="3086">
        <f>SUM('ФАКТ.СЕБЕСТ.ВОДА 9 мес. 2021'!DQ68)</f>
        <v>0.82016783177750008</v>
      </c>
      <c r="X53" s="3086">
        <f>SUM('ФАКТ.СЕБЕСТ.ВОДА 9 мес. 2021'!EA68)</f>
        <v>7570.2228056438689</v>
      </c>
      <c r="Y53" s="3086">
        <f>SUM('ФАКТ.СЕБЕСТ.ВОДА 9 мес. 2021'!EB68)</f>
        <v>7567.762302148536</v>
      </c>
      <c r="Z53" s="3086">
        <f>SUM('ФАКТ.СЕБЕСТ.ВОДА 9 мес. 2021'!EC68)</f>
        <v>2.4605034953325005</v>
      </c>
      <c r="AA53" s="3086">
        <f>SUM('ФАКТ.СЕБЕСТ.ВОДА 9 мес. 2021'!FN68)</f>
        <v>2523.4076018812898</v>
      </c>
      <c r="AB53" s="3086">
        <f>SUM('ФАКТ.СЕБЕСТ.ВОДА 9 мес. 2021'!FO68)</f>
        <v>2522.587434049512</v>
      </c>
      <c r="AC53" s="3086">
        <f>SUM('ФАКТ.СЕБЕСТ.ВОДА 9 мес. 2021'!FP68)</f>
        <v>0.82016783177750008</v>
      </c>
      <c r="AD53" s="3087">
        <f>SUM('ФАКТ.СЕБЕСТ.ВОДА 9 мес. 2021'!FZ68)</f>
        <v>10093.630407525159</v>
      </c>
      <c r="AE53" s="3087">
        <f>SUM('ФАКТ.СЕБЕСТ.ВОДА 9 мес. 2021'!GA68)</f>
        <v>10090.349736198048</v>
      </c>
      <c r="AF53" s="3088">
        <f>SUM('ФАКТ.СЕБЕСТ.ВОДА 9 мес. 2021'!GB68)</f>
        <v>3.2806713271100003</v>
      </c>
    </row>
    <row r="54" spans="1:32" ht="18.75" x14ac:dyDescent="0.3">
      <c r="A54" s="3093" t="s">
        <v>3746</v>
      </c>
      <c r="B54" s="3092"/>
      <c r="C54" s="3092"/>
      <c r="D54" s="3092"/>
      <c r="E54" s="3092"/>
      <c r="F54" s="3092"/>
      <c r="G54" s="3092"/>
      <c r="H54" s="3092"/>
      <c r="I54" s="3092"/>
      <c r="J54" s="3092"/>
      <c r="K54" s="3078" t="s">
        <v>902</v>
      </c>
      <c r="L54" s="3086">
        <f>SUM('ФАКТ.СЕБЕСТ.ВОДА 9 мес. 2021'!AC69)</f>
        <v>757.02223021485361</v>
      </c>
      <c r="M54" s="3086">
        <f>SUM('ФАКТ.СЕБЕСТ.ВОДА 9 мес. 2021'!AD69)</f>
        <v>756.77623021485363</v>
      </c>
      <c r="N54" s="3086">
        <f>SUM('ФАКТ.СЕБЕСТ.ВОДА 9 мес. 2021'!AE69)</f>
        <v>0.246</v>
      </c>
      <c r="O54" s="3086">
        <f>SUM('ФАКТ.СЕБЕСТ.ВОДА 9 мес. 2021'!BP69)</f>
        <v>757.02223021485361</v>
      </c>
      <c r="P54" s="3086">
        <f>SUM('ФАКТ.СЕБЕСТ.ВОДА 9 мес. 2021'!BQ69)</f>
        <v>756.77623021485363</v>
      </c>
      <c r="Q54" s="3086">
        <f>SUM('ФАКТ.СЕБЕСТ.ВОДА 9 мес. 2021'!BR69)</f>
        <v>0.246</v>
      </c>
      <c r="R54" s="3086">
        <f>SUM('ФАКТ.СЕБЕСТ.ВОДА 9 мес. 2021'!CB69)</f>
        <v>1514.0444604297072</v>
      </c>
      <c r="S54" s="3086">
        <f>SUM('ФАКТ.СЕБЕСТ.ВОДА 9 мес. 2021'!CC69)</f>
        <v>1513.5524604297073</v>
      </c>
      <c r="T54" s="3086">
        <f>SUM('ФАКТ.СЕБЕСТ.ВОДА 9 мес. 2021'!CD69)</f>
        <v>0.49199999999999999</v>
      </c>
      <c r="U54" s="3086">
        <f>SUM('ФАКТ.СЕБЕСТ.ВОДА 9 мес. 2021'!DO69)</f>
        <v>757.02223021485361</v>
      </c>
      <c r="V54" s="3086">
        <f>SUM('ФАКТ.СЕБЕСТ.ВОДА 9 мес. 2021'!DP69)</f>
        <v>756.77623021485363</v>
      </c>
      <c r="W54" s="3086">
        <f>SUM('ФАКТ.СЕБЕСТ.ВОДА 9 мес. 2021'!DQ69)</f>
        <v>0.246</v>
      </c>
      <c r="X54" s="3086">
        <f>SUM('ФАКТ.СЕБЕСТ.ВОДА 9 мес. 2021'!EA69)</f>
        <v>2271.0666906445608</v>
      </c>
      <c r="Y54" s="3086">
        <f>SUM('ФАКТ.СЕБЕСТ.ВОДА 9 мес. 2021'!EB69)</f>
        <v>2270.328690644561</v>
      </c>
      <c r="Z54" s="3086">
        <f>SUM('ФАКТ.СЕБЕСТ.ВОДА 9 мес. 2021'!EC69)</f>
        <v>0.73799999999999999</v>
      </c>
      <c r="AA54" s="3086">
        <f>SUM('ФАКТ.СЕБЕСТ.ВОДА 9 мес. 2021'!FN69)</f>
        <v>757.02223021485361</v>
      </c>
      <c r="AB54" s="3086">
        <f>SUM('ФАКТ.СЕБЕСТ.ВОДА 9 мес. 2021'!FO69)</f>
        <v>756.77623021485363</v>
      </c>
      <c r="AC54" s="3086">
        <f>SUM('ФАКТ.СЕБЕСТ.ВОДА 9 мес. 2021'!FP69)</f>
        <v>0.246</v>
      </c>
      <c r="AD54" s="3087">
        <f>SUM('ФАКТ.СЕБЕСТ.ВОДА 9 мес. 2021'!FZ69)</f>
        <v>3028.0889208594144</v>
      </c>
      <c r="AE54" s="3087">
        <f>SUM('ФАКТ.СЕБЕСТ.ВОДА 9 мес. 2021'!GA69)</f>
        <v>3027.1049208594145</v>
      </c>
      <c r="AF54" s="3088">
        <f>SUM('ФАКТ.СЕБЕСТ.ВОДА 9 мес. 2021'!GB69)</f>
        <v>0.98399999999999999</v>
      </c>
    </row>
    <row r="55" spans="1:32" ht="18.75" x14ac:dyDescent="0.3">
      <c r="A55" s="3093" t="s">
        <v>274</v>
      </c>
      <c r="B55" s="3092"/>
      <c r="C55" s="3092"/>
      <c r="D55" s="3092"/>
      <c r="E55" s="3092"/>
      <c r="F55" s="3092"/>
      <c r="G55" s="3092"/>
      <c r="H55" s="3092"/>
      <c r="I55" s="3092"/>
      <c r="J55" s="3092"/>
      <c r="K55" s="3078" t="s">
        <v>902</v>
      </c>
      <c r="L55" s="3086">
        <f>SUM('ФАКТ.СЕБЕСТ.ВОДА 9 мес. 2021'!AC70)</f>
        <v>4.0826757298606422</v>
      </c>
      <c r="M55" s="3086">
        <f>SUM('ФАКТ.СЕБЕСТ.ВОДА 9 мес. 2021'!AD70)</f>
        <v>4.0765778277656421</v>
      </c>
      <c r="N55" s="3086">
        <f>SUM('ФАКТ.СЕБЕСТ.ВОДА 9 мес. 2021'!AE70)</f>
        <v>6.0979020949999997E-3</v>
      </c>
      <c r="O55" s="3086">
        <f>SUM('ФАКТ.СЕБЕСТ.ВОДА 9 мес. 2021'!BP70)</f>
        <v>4.0826757298606422</v>
      </c>
      <c r="P55" s="3086">
        <f>SUM('ФАКТ.СЕБЕСТ.ВОДА 9 мес. 2021'!BQ70)</f>
        <v>4.0765778277656421</v>
      </c>
      <c r="Q55" s="3086">
        <f>SUM('ФАКТ.СЕБЕСТ.ВОДА 9 мес. 2021'!BR70)</f>
        <v>6.0979020949999997E-3</v>
      </c>
      <c r="R55" s="3086">
        <f>SUM('ФАКТ.СЕБЕСТ.ВОДА 9 мес. 2021'!CB70)</f>
        <v>8.1653514597212844</v>
      </c>
      <c r="S55" s="3086">
        <f>SUM('ФАКТ.СЕБЕСТ.ВОДА 9 мес. 2021'!CC70)</f>
        <v>8.1531556555312843</v>
      </c>
      <c r="T55" s="3086">
        <f>SUM('ФАКТ.СЕБЕСТ.ВОДА 9 мес. 2021'!CD70)</f>
        <v>1.2195804189999999E-2</v>
      </c>
      <c r="U55" s="3086">
        <f>SUM('ФАКТ.СЕБЕСТ.ВОДА 9 мес. 2021'!DO70)</f>
        <v>4.0826757298606422</v>
      </c>
      <c r="V55" s="3086">
        <f>SUM('ФАКТ.СЕБЕСТ.ВОДА 9 мес. 2021'!DP70)</f>
        <v>4.0765778277656421</v>
      </c>
      <c r="W55" s="3086">
        <f>SUM('ФАКТ.СЕБЕСТ.ВОДА 9 мес. 2021'!DQ70)</f>
        <v>6.0979020949999997E-3</v>
      </c>
      <c r="X55" s="3086">
        <f>SUM('ФАКТ.СЕБЕСТ.ВОДА 9 мес. 2021'!EA70)</f>
        <v>12.248027189581926</v>
      </c>
      <c r="Y55" s="3086">
        <f>SUM('ФАКТ.СЕБЕСТ.ВОДА 9 мес. 2021'!EB70)</f>
        <v>12.229733483296926</v>
      </c>
      <c r="Z55" s="3086">
        <f>SUM('ФАКТ.СЕБЕСТ.ВОДА 9 мес. 2021'!EC70)</f>
        <v>1.8293706284999999E-2</v>
      </c>
      <c r="AA55" s="3086">
        <f>SUM('ФАКТ.СЕБЕСТ.ВОДА 9 мес. 2021'!FN70)</f>
        <v>4.0826757298606422</v>
      </c>
      <c r="AB55" s="3086">
        <f>SUM('ФАКТ.СЕБЕСТ.ВОДА 9 мес. 2021'!FO70)</f>
        <v>4.0765778277656421</v>
      </c>
      <c r="AC55" s="3086">
        <f>SUM('ФАКТ.СЕБЕСТ.ВОДА 9 мес. 2021'!FP70)</f>
        <v>6.0979020949999997E-3</v>
      </c>
      <c r="AD55" s="3087">
        <f>SUM('ФАКТ.СЕБЕСТ.ВОДА 9 мес. 2021'!FZ70)</f>
        <v>16.330702919442569</v>
      </c>
      <c r="AE55" s="3087">
        <f>SUM('ФАКТ.СЕБЕСТ.ВОДА 9 мес. 2021'!GA70)</f>
        <v>16.306311311062569</v>
      </c>
      <c r="AF55" s="3088">
        <f>SUM('ФАКТ.СЕБЕСТ.ВОДА 9 мес. 2021'!GB70)</f>
        <v>2.4391608379999999E-2</v>
      </c>
    </row>
    <row r="56" spans="1:32" ht="18.75" x14ac:dyDescent="0.3">
      <c r="A56" s="3093" t="s">
        <v>1546</v>
      </c>
      <c r="B56" s="3092"/>
      <c r="C56" s="3092"/>
      <c r="D56" s="3092"/>
      <c r="E56" s="3092"/>
      <c r="F56" s="3092"/>
      <c r="G56" s="3092"/>
      <c r="H56" s="3092"/>
      <c r="I56" s="3092"/>
      <c r="J56" s="3092"/>
      <c r="K56" s="3078" t="s">
        <v>902</v>
      </c>
      <c r="L56" s="3086">
        <f>SUM('ФАКТ.СЕБЕСТ.ВОДА 9 мес. 2021'!AC71)</f>
        <v>16.930698953817409</v>
      </c>
      <c r="M56" s="3086">
        <f>SUM('ФАКТ.СЕБЕСТ.ВОДА 9 мес. 2021'!AD71)</f>
        <v>16.924601051722409</v>
      </c>
      <c r="N56" s="3086">
        <f>SUM('ФАКТ.СЕБЕСТ.ВОДА 9 мес. 2021'!AE71)</f>
        <v>6.0979020949999997E-3</v>
      </c>
      <c r="O56" s="3086">
        <f>SUM('ФАКТ.СЕБЕСТ.ВОДА 9 мес. 2021'!BP71)</f>
        <v>16.930698953817409</v>
      </c>
      <c r="P56" s="3086">
        <f>SUM('ФАКТ.СЕБЕСТ.ВОДА 9 мес. 2021'!BQ71)</f>
        <v>16.924601051722409</v>
      </c>
      <c r="Q56" s="3086">
        <f>SUM('ФАКТ.СЕБЕСТ.ВОДА 9 мес. 2021'!BR71)</f>
        <v>6.0979020949999997E-3</v>
      </c>
      <c r="R56" s="3086">
        <f>SUM('ФАКТ.СЕБЕСТ.ВОДА 9 мес. 2021'!CB71)</f>
        <v>33.861397907634817</v>
      </c>
      <c r="S56" s="3086">
        <f>SUM('ФАКТ.СЕБЕСТ.ВОДА 9 мес. 2021'!CC71)</f>
        <v>33.849202103444817</v>
      </c>
      <c r="T56" s="3086">
        <f>SUM('ФАКТ.СЕБЕСТ.ВОДА 9 мес. 2021'!CD71)</f>
        <v>1.2195804189999999E-2</v>
      </c>
      <c r="U56" s="3086">
        <f>SUM('ФАКТ.СЕБЕСТ.ВОДА 9 мес. 2021'!DO71)</f>
        <v>16.930698953817409</v>
      </c>
      <c r="V56" s="3086">
        <f>SUM('ФАКТ.СЕБЕСТ.ВОДА 9 мес. 2021'!DP71)</f>
        <v>16.924601051722409</v>
      </c>
      <c r="W56" s="3086">
        <f>SUM('ФАКТ.СЕБЕСТ.ВОДА 9 мес. 2021'!DQ71)</f>
        <v>6.0979020949999997E-3</v>
      </c>
      <c r="X56" s="3086">
        <f>SUM('ФАКТ.СЕБЕСТ.ВОДА 9 мес. 2021'!EA71)</f>
        <v>50.792096861452222</v>
      </c>
      <c r="Y56" s="3086">
        <f>SUM('ФАКТ.СЕБЕСТ.ВОДА 9 мес. 2021'!EB71)</f>
        <v>50.773803155167229</v>
      </c>
      <c r="Z56" s="3086">
        <f>SUM('ФАКТ.СЕБЕСТ.ВОДА 9 мес. 2021'!EC71)</f>
        <v>1.8293706284999999E-2</v>
      </c>
      <c r="AA56" s="3086">
        <f>SUM('ФАКТ.СЕБЕСТ.ВОДА 9 мес. 2021'!FN71)</f>
        <v>16.930698953817409</v>
      </c>
      <c r="AB56" s="3086">
        <f>SUM('ФАКТ.СЕБЕСТ.ВОДА 9 мес. 2021'!FO71)</f>
        <v>16.924601051722409</v>
      </c>
      <c r="AC56" s="3086">
        <f>SUM('ФАКТ.СЕБЕСТ.ВОДА 9 мес. 2021'!FP71)</f>
        <v>6.0979020949999997E-3</v>
      </c>
      <c r="AD56" s="3087">
        <f>SUM('ФАКТ.СЕБЕСТ.ВОДА 9 мес. 2021'!FZ71)</f>
        <v>67.722795815269635</v>
      </c>
      <c r="AE56" s="3087">
        <f>SUM('ФАКТ.СЕБЕСТ.ВОДА 9 мес. 2021'!GA71)</f>
        <v>67.698404206889634</v>
      </c>
      <c r="AF56" s="3088">
        <f>SUM('ФАКТ.СЕБЕСТ.ВОДА 9 мес. 2021'!GB71)</f>
        <v>2.4391608379999999E-2</v>
      </c>
    </row>
    <row r="57" spans="1:32" ht="18.75" x14ac:dyDescent="0.3">
      <c r="A57" s="3093" t="s">
        <v>275</v>
      </c>
      <c r="B57" s="3092"/>
      <c r="C57" s="3092"/>
      <c r="D57" s="3092"/>
      <c r="E57" s="3092"/>
      <c r="F57" s="3092"/>
      <c r="G57" s="3092"/>
      <c r="H57" s="3092"/>
      <c r="I57" s="3092"/>
      <c r="J57" s="3092"/>
      <c r="K57" s="3078" t="s">
        <v>902</v>
      </c>
      <c r="L57" s="3086">
        <f>SUM('ФАКТ.СЕБЕСТ.ВОДА 9 мес. 2021'!AC72)</f>
        <v>20.001566187618014</v>
      </c>
      <c r="M57" s="3086">
        <f>SUM('ФАКТ.СЕБЕСТ.ВОДА 9 мес. 2021'!AD72)</f>
        <v>19.992419334475514</v>
      </c>
      <c r="N57" s="3086">
        <f>SUM('ФАКТ.СЕБЕСТ.ВОДА 9 мес. 2021'!AE72)</f>
        <v>9.1468531424999996E-3</v>
      </c>
      <c r="O57" s="3086">
        <f>SUM('ФАКТ.СЕБЕСТ.ВОДА 9 мес. 2021'!BP72)</f>
        <v>20.001566187618014</v>
      </c>
      <c r="P57" s="3086">
        <f>SUM('ФАКТ.СЕБЕСТ.ВОДА 9 мес. 2021'!BQ72)</f>
        <v>19.992419334475514</v>
      </c>
      <c r="Q57" s="3086">
        <f>SUM('ФАКТ.СЕБЕСТ.ВОДА 9 мес. 2021'!BR72)</f>
        <v>9.1468531424999996E-3</v>
      </c>
      <c r="R57" s="3086">
        <f>SUM('ФАКТ.СЕБЕСТ.ВОДА 9 мес. 2021'!CB72)</f>
        <v>40.003132375236028</v>
      </c>
      <c r="S57" s="3086">
        <f>SUM('ФАКТ.СЕБЕСТ.ВОДА 9 мес. 2021'!CC72)</f>
        <v>39.984838668951028</v>
      </c>
      <c r="T57" s="3086">
        <f>SUM('ФАКТ.СЕБЕСТ.ВОДА 9 мес. 2021'!CD72)</f>
        <v>1.8293706284999999E-2</v>
      </c>
      <c r="U57" s="3086">
        <f>SUM('ФАКТ.СЕБЕСТ.ВОДА 9 мес. 2021'!DO72)</f>
        <v>20.001566187618014</v>
      </c>
      <c r="V57" s="3086">
        <f>SUM('ФАКТ.СЕБЕСТ.ВОДА 9 мес. 2021'!DP72)</f>
        <v>19.992419334475514</v>
      </c>
      <c r="W57" s="3086">
        <f>SUM('ФАКТ.СЕБЕСТ.ВОДА 9 мес. 2021'!DQ72)</f>
        <v>9.1468531424999996E-3</v>
      </c>
      <c r="X57" s="3086">
        <f>SUM('ФАКТ.СЕБЕСТ.ВОДА 9 мес. 2021'!EA72)</f>
        <v>60.004698562854045</v>
      </c>
      <c r="Y57" s="3086">
        <f>SUM('ФАКТ.СЕБЕСТ.ВОДА 9 мес. 2021'!EB72)</f>
        <v>59.977258003426542</v>
      </c>
      <c r="Z57" s="3086">
        <f>SUM('ФАКТ.СЕБЕСТ.ВОДА 9 мес. 2021'!EC72)</f>
        <v>2.7440559427499997E-2</v>
      </c>
      <c r="AA57" s="3086">
        <f>SUM('ФАКТ.СЕБЕСТ.ВОДА 9 мес. 2021'!FN72)</f>
        <v>20.001566187618014</v>
      </c>
      <c r="AB57" s="3086">
        <f>SUM('ФАКТ.СЕБЕСТ.ВОДА 9 мес. 2021'!FO72)</f>
        <v>19.992419334475514</v>
      </c>
      <c r="AC57" s="3086">
        <f>SUM('ФАКТ.СЕБЕСТ.ВОДА 9 мес. 2021'!FP72)</f>
        <v>9.1468531424999996E-3</v>
      </c>
      <c r="AD57" s="3087">
        <f>SUM('ФАКТ.СЕБЕСТ.ВОДА 9 мес. 2021'!FZ72)</f>
        <v>80.006264750472056</v>
      </c>
      <c r="AE57" s="3087">
        <f>SUM('ФАКТ.СЕБЕСТ.ВОДА 9 мес. 2021'!GA72)</f>
        <v>79.969677337902056</v>
      </c>
      <c r="AF57" s="3088">
        <f>SUM('ФАКТ.СЕБЕСТ.ВОДА 9 мес. 2021'!GB72)</f>
        <v>3.6587412569999998E-2</v>
      </c>
    </row>
    <row r="58" spans="1:32" ht="18.75" x14ac:dyDescent="0.3">
      <c r="A58" s="3090" t="s">
        <v>3747</v>
      </c>
      <c r="B58" s="3092"/>
      <c r="C58" s="3092"/>
      <c r="D58" s="3092"/>
      <c r="E58" s="3092"/>
      <c r="F58" s="3092"/>
      <c r="G58" s="3092"/>
      <c r="H58" s="3092"/>
      <c r="I58" s="3092"/>
      <c r="J58" s="3092"/>
      <c r="K58" s="3078" t="s">
        <v>902</v>
      </c>
      <c r="L58" s="3086">
        <f>SUM('ФАКТ.СЕБЕСТ.ВОДА 9 мес. 2021'!AC73)</f>
        <v>432.41794564542272</v>
      </c>
      <c r="M58" s="3086">
        <f>SUM('ФАКТ.СЕБЕСТ.ВОДА 9 мес. 2021'!AD73)</f>
        <v>432.1974456454227</v>
      </c>
      <c r="N58" s="3086">
        <f>SUM('ФАКТ.СЕБЕСТ.ВОДА 9 мес. 2021'!AE73)</f>
        <v>0.22049999999999997</v>
      </c>
      <c r="O58" s="3086">
        <f>SUM('ФАКТ.СЕБЕСТ.ВОДА 9 мес. 2021'!BP73)</f>
        <v>432.41794564542272</v>
      </c>
      <c r="P58" s="3086">
        <f>SUM('ФАКТ.СЕБЕСТ.ВОДА 9 мес. 2021'!BQ73)</f>
        <v>432.1974456454227</v>
      </c>
      <c r="Q58" s="3086">
        <f>SUM('ФАКТ.СЕБЕСТ.ВОДА 9 мес. 2021'!BR73)</f>
        <v>0.22049999999999997</v>
      </c>
      <c r="R58" s="3086">
        <f>SUM('ФАКТ.СЕБЕСТ.ВОДА 9 мес. 2021'!CB73)</f>
        <v>864.83589129084544</v>
      </c>
      <c r="S58" s="3086">
        <f>SUM('ФАКТ.СЕБЕСТ.ВОДА 9 мес. 2021'!CC73)</f>
        <v>864.39489129084541</v>
      </c>
      <c r="T58" s="3086">
        <f>SUM('ФАКТ.СЕБЕСТ.ВОДА 9 мес. 2021'!CD73)</f>
        <v>0.44099999999999995</v>
      </c>
      <c r="U58" s="3086">
        <f>SUM('ФАКТ.СЕБЕСТ.ВОДА 9 мес. 2021'!DO73)</f>
        <v>432.41794564542272</v>
      </c>
      <c r="V58" s="3086">
        <f>SUM('ФАКТ.СЕБЕСТ.ВОДА 9 мес. 2021'!DP73)</f>
        <v>432.1974456454227</v>
      </c>
      <c r="W58" s="3086">
        <f>SUM('ФАКТ.СЕБЕСТ.ВОДА 9 мес. 2021'!DQ73)</f>
        <v>0.22049999999999997</v>
      </c>
      <c r="X58" s="3086">
        <f>SUM('ФАКТ.СЕБЕСТ.ВОДА 9 мес. 2021'!EA73)</f>
        <v>1297.2538369362683</v>
      </c>
      <c r="Y58" s="3086">
        <f>SUM('ФАКТ.СЕБЕСТ.ВОДА 9 мес. 2021'!EB73)</f>
        <v>1296.5923369362681</v>
      </c>
      <c r="Z58" s="3086">
        <f>SUM('ФАКТ.СЕБЕСТ.ВОДА 9 мес. 2021'!EC73)</f>
        <v>0.66149999999999998</v>
      </c>
      <c r="AA58" s="3086">
        <f>SUM('ФАКТ.СЕБЕСТ.ВОДА 9 мес. 2021'!FN73)</f>
        <v>432.41794564542272</v>
      </c>
      <c r="AB58" s="3086">
        <f>SUM('ФАКТ.СЕБЕСТ.ВОДА 9 мес. 2021'!FO73)</f>
        <v>432.1974456454227</v>
      </c>
      <c r="AC58" s="3086">
        <f>SUM('ФАКТ.СЕБЕСТ.ВОДА 9 мес. 2021'!FP73)</f>
        <v>0.22049999999999997</v>
      </c>
      <c r="AD58" s="3087">
        <f>SUM('ФАКТ.СЕБЕСТ.ВОДА 9 мес. 2021'!FZ73)</f>
        <v>1729.6717825816909</v>
      </c>
      <c r="AE58" s="3087">
        <f>SUM('ФАКТ.СЕБЕСТ.ВОДА 9 мес. 2021'!GA73)</f>
        <v>1728.7897825816908</v>
      </c>
      <c r="AF58" s="3088">
        <f>SUM('ФАКТ.СЕБЕСТ.ВОДА 9 мес. 2021'!GB73)</f>
        <v>0.8819999999999999</v>
      </c>
    </row>
    <row r="59" spans="1:32" ht="18.75" x14ac:dyDescent="0.3">
      <c r="A59" s="3077" t="s">
        <v>3800</v>
      </c>
      <c r="B59" s="3092"/>
      <c r="C59" s="3092"/>
      <c r="D59" s="3092"/>
      <c r="E59" s="3092"/>
      <c r="F59" s="3092"/>
      <c r="G59" s="3092"/>
      <c r="H59" s="3092"/>
      <c r="I59" s="3092"/>
      <c r="J59" s="3092"/>
      <c r="K59" s="3078" t="s">
        <v>902</v>
      </c>
      <c r="L59" s="3079">
        <f>SUM('ФАКТ.СЕБЕСТ.ВОДА 9 мес. 2021'!AC74)</f>
        <v>0</v>
      </c>
      <c r="M59" s="3079">
        <f>SUM('ФАКТ.СЕБЕСТ.ВОДА 9 мес. 2021'!AD74)</f>
        <v>0</v>
      </c>
      <c r="N59" s="3079">
        <f>SUM('ФАКТ.СЕБЕСТ.ВОДА 9 мес. 2021'!AE74)</f>
        <v>0</v>
      </c>
      <c r="O59" s="3079">
        <f>SUM('ФАКТ.СЕБЕСТ.ВОДА 9 мес. 2021'!BP74)</f>
        <v>0</v>
      </c>
      <c r="P59" s="3079">
        <f>SUM('ФАКТ.СЕБЕСТ.ВОДА 9 мес. 2021'!BQ74)</f>
        <v>0</v>
      </c>
      <c r="Q59" s="3079">
        <f>SUM('ФАКТ.СЕБЕСТ.ВОДА 9 мес. 2021'!BR74)</f>
        <v>0</v>
      </c>
      <c r="R59" s="3079">
        <f>SUM('ФАКТ.СЕБЕСТ.ВОДА 9 мес. 2021'!CB74)</f>
        <v>0</v>
      </c>
      <c r="S59" s="3079">
        <f>SUM('ФАКТ.СЕБЕСТ.ВОДА 9 мес. 2021'!CC74)</f>
        <v>0</v>
      </c>
      <c r="T59" s="3079">
        <f>SUM('ФАКТ.СЕБЕСТ.ВОДА 9 мес. 2021'!CD74)</f>
        <v>0</v>
      </c>
      <c r="U59" s="3079">
        <f>SUM('ФАКТ.СЕБЕСТ.ВОДА 9 мес. 2021'!DO74)</f>
        <v>0</v>
      </c>
      <c r="V59" s="3079">
        <f>SUM('ФАКТ.СЕБЕСТ.ВОДА 9 мес. 2021'!DP74)</f>
        <v>0</v>
      </c>
      <c r="W59" s="3079">
        <f>SUM('ФАКТ.СЕБЕСТ.ВОДА 9 мес. 2021'!DQ74)</f>
        <v>0</v>
      </c>
      <c r="X59" s="3079">
        <f>SUM('ФАКТ.СЕБЕСТ.ВОДА 9 мес. 2021'!EA74)</f>
        <v>0</v>
      </c>
      <c r="Y59" s="3079">
        <f>SUM('ФАКТ.СЕБЕСТ.ВОДА 9 мес. 2021'!EB74)</f>
        <v>0</v>
      </c>
      <c r="Z59" s="3079">
        <f>SUM('ФАКТ.СЕБЕСТ.ВОДА 9 мес. 2021'!EC74)</f>
        <v>0</v>
      </c>
      <c r="AA59" s="3079">
        <f>SUM('ФАКТ.СЕБЕСТ.ВОДА 9 мес. 2021'!FN74)</f>
        <v>0</v>
      </c>
      <c r="AB59" s="3079">
        <f>SUM('ФАКТ.СЕБЕСТ.ВОДА 9 мес. 2021'!FO74)</f>
        <v>0</v>
      </c>
      <c r="AC59" s="3079">
        <f>SUM('ФАКТ.СЕБЕСТ.ВОДА 9 мес. 2021'!FP74)</f>
        <v>0</v>
      </c>
      <c r="AD59" s="3080">
        <f>SUM('ФАКТ.СЕБЕСТ.ВОДА 9 мес. 2021'!FZ74)</f>
        <v>0</v>
      </c>
      <c r="AE59" s="3080">
        <f>SUM('ФАКТ.СЕБЕСТ.ВОДА 9 мес. 2021'!GA74)</f>
        <v>0</v>
      </c>
      <c r="AF59" s="3081">
        <f>SUM('ФАКТ.СЕБЕСТ.ВОДА 9 мес. 2021'!GB74)</f>
        <v>0</v>
      </c>
    </row>
    <row r="60" spans="1:32" ht="18.75" x14ac:dyDescent="0.3">
      <c r="A60" s="3077" t="s">
        <v>3749</v>
      </c>
      <c r="B60" s="3092"/>
      <c r="C60" s="3092"/>
      <c r="D60" s="3092"/>
      <c r="E60" s="3092"/>
      <c r="F60" s="3092"/>
      <c r="G60" s="3092"/>
      <c r="H60" s="3092"/>
      <c r="I60" s="3092"/>
      <c r="J60" s="3092"/>
      <c r="K60" s="3078" t="s">
        <v>902</v>
      </c>
      <c r="L60" s="3079">
        <f>SUM('ФАКТ.СЕБЕСТ.ВОДА 9 мес. 2021'!AC75)</f>
        <v>0</v>
      </c>
      <c r="M60" s="3079">
        <f>SUM('ФАКТ.СЕБЕСТ.ВОДА 9 мес. 2021'!AD75)</f>
        <v>0</v>
      </c>
      <c r="N60" s="3079">
        <f>SUM('ФАКТ.СЕБЕСТ.ВОДА 9 мес. 2021'!AE75)</f>
        <v>0</v>
      </c>
      <c r="O60" s="3079">
        <f>SUM('ФАКТ.СЕБЕСТ.ВОДА 9 мес. 2021'!BP75)</f>
        <v>0</v>
      </c>
      <c r="P60" s="3079">
        <f>SUM('ФАКТ.СЕБЕСТ.ВОДА 9 мес. 2021'!BQ75)</f>
        <v>0</v>
      </c>
      <c r="Q60" s="3079">
        <f>SUM('ФАКТ.СЕБЕСТ.ВОДА 9 мес. 2021'!BR75)</f>
        <v>0</v>
      </c>
      <c r="R60" s="3079">
        <f>SUM('ФАКТ.СЕБЕСТ.ВОДА 9 мес. 2021'!CB75)</f>
        <v>0</v>
      </c>
      <c r="S60" s="3079">
        <f>SUM('ФАКТ.СЕБЕСТ.ВОДА 9 мес. 2021'!CC75)</f>
        <v>0</v>
      </c>
      <c r="T60" s="3079">
        <f>SUM('ФАКТ.СЕБЕСТ.ВОДА 9 мес. 2021'!CD75)</f>
        <v>0</v>
      </c>
      <c r="U60" s="3079">
        <f>SUM('ФАКТ.СЕБЕСТ.ВОДА 9 мес. 2021'!DO75)</f>
        <v>0</v>
      </c>
      <c r="V60" s="3079">
        <f>SUM('ФАКТ.СЕБЕСТ.ВОДА 9 мес. 2021'!DP75)</f>
        <v>0</v>
      </c>
      <c r="W60" s="3079">
        <f>SUM('ФАКТ.СЕБЕСТ.ВОДА 9 мес. 2021'!DQ75)</f>
        <v>0</v>
      </c>
      <c r="X60" s="3079">
        <f>SUM('ФАКТ.СЕБЕСТ.ВОДА 9 мес. 2021'!EA75)</f>
        <v>0</v>
      </c>
      <c r="Y60" s="3079">
        <f>SUM('ФАКТ.СЕБЕСТ.ВОДА 9 мес. 2021'!EB75)</f>
        <v>0</v>
      </c>
      <c r="Z60" s="3079">
        <f>SUM('ФАКТ.СЕБЕСТ.ВОДА 9 мес. 2021'!EC75)</f>
        <v>0</v>
      </c>
      <c r="AA60" s="3079">
        <f>SUM('ФАКТ.СЕБЕСТ.ВОДА 9 мес. 2021'!FN75)</f>
        <v>0</v>
      </c>
      <c r="AB60" s="3079">
        <f>SUM('ФАКТ.СЕБЕСТ.ВОДА 9 мес. 2021'!FO75)</f>
        <v>0</v>
      </c>
      <c r="AC60" s="3079">
        <f>SUM('ФАКТ.СЕБЕСТ.ВОДА 9 мес. 2021'!FP75)</f>
        <v>0</v>
      </c>
      <c r="AD60" s="3080">
        <f>SUM('ФАКТ.СЕБЕСТ.ВОДА 9 мес. 2021'!FZ75)</f>
        <v>0</v>
      </c>
      <c r="AE60" s="3080">
        <f>SUM('ФАКТ.СЕБЕСТ.ВОДА 9 мес. 2021'!GA75)</f>
        <v>0</v>
      </c>
      <c r="AF60" s="3081">
        <f>SUM('ФАКТ.СЕБЕСТ.ВОДА 9 мес. 2021'!GB75)</f>
        <v>0</v>
      </c>
    </row>
    <row r="61" spans="1:32" ht="18.75" x14ac:dyDescent="0.3">
      <c r="A61" s="3094" t="s">
        <v>12</v>
      </c>
      <c r="B61" s="3092"/>
      <c r="C61" s="3092"/>
      <c r="D61" s="3092"/>
      <c r="E61" s="3092"/>
      <c r="F61" s="3092"/>
      <c r="G61" s="3092"/>
      <c r="H61" s="3092"/>
      <c r="I61" s="3092"/>
      <c r="J61" s="3092"/>
      <c r="K61" s="3073" t="s">
        <v>902</v>
      </c>
      <c r="L61" s="3074">
        <f>SUM('ФАКТ.СЕБЕСТ.ВОДА 9 мес. 2021'!AC76)</f>
        <v>36534.53692127562</v>
      </c>
      <c r="M61" s="3074">
        <f>SUM('ФАКТ.СЕБЕСТ.ВОДА 9 мес. 2021'!AD76)</f>
        <v>36527.314257918253</v>
      </c>
      <c r="N61" s="3074">
        <f>SUM('ФАКТ.СЕБЕСТ.ВОДА 9 мес. 2021'!AE76)</f>
        <v>7.2226633573686616</v>
      </c>
      <c r="O61" s="3074">
        <f>SUM('ФАКТ.СЕБЕСТ.ВОДА 9 мес. 2021'!BP76)</f>
        <v>36534.53692127562</v>
      </c>
      <c r="P61" s="3074">
        <f>SUM('ФАКТ.СЕБЕСТ.ВОДА 9 мес. 2021'!BQ76)</f>
        <v>36527.314257918253</v>
      </c>
      <c r="Q61" s="3074">
        <f>SUM('ФАКТ.СЕБЕСТ.ВОДА 9 мес. 2021'!BR76)</f>
        <v>7.2226633573686616</v>
      </c>
      <c r="R61" s="3074">
        <f>SUM('ФАКТ.СЕБЕСТ.ВОДА 9 мес. 2021'!CB76)</f>
        <v>73069.073842551239</v>
      </c>
      <c r="S61" s="3074">
        <f>SUM('ФАКТ.СЕБЕСТ.ВОДА 9 мес. 2021'!CC76)</f>
        <v>73054.628515836506</v>
      </c>
      <c r="T61" s="3074">
        <f>SUM('ФАКТ.СЕБЕСТ.ВОДА 9 мес. 2021'!CD76)</f>
        <v>14.445326714737323</v>
      </c>
      <c r="U61" s="3074">
        <f>SUM('ФАКТ.СЕБЕСТ.ВОДА 9 мес. 2021'!DO76)</f>
        <v>36652.474378073195</v>
      </c>
      <c r="V61" s="3074">
        <f>SUM('ФАКТ.СЕБЕСТ.ВОДА 9 мес. 2021'!DP76)</f>
        <v>36645.230572334309</v>
      </c>
      <c r="W61" s="3074">
        <f>SUM('ФАКТ.СЕБЕСТ.ВОДА 9 мес. 2021'!DQ76)</f>
        <v>7.2438057388856372</v>
      </c>
      <c r="X61" s="3074">
        <f>SUM('ФАКТ.СЕБЕСТ.ВОДА 9 мес. 2021'!EA76)</f>
        <v>109721.54822062443</v>
      </c>
      <c r="Y61" s="3074">
        <f>SUM('ФАКТ.СЕБЕСТ.ВОДА 9 мес. 2021'!EB76)</f>
        <v>109699.85908817081</v>
      </c>
      <c r="Z61" s="3074">
        <f>SUM('ФАКТ.СЕБЕСТ.ВОДА 9 мес. 2021'!EC76)</f>
        <v>21.689132453622957</v>
      </c>
      <c r="AA61" s="3074">
        <f>SUM('ФАКТ.СЕБЕСТ.ВОДА 9 мес. 2021'!FN76)</f>
        <v>36652.474378073195</v>
      </c>
      <c r="AB61" s="3074">
        <f>SUM('ФАКТ.СЕБЕСТ.ВОДА 9 мес. 2021'!FO76)</f>
        <v>36645.230572334309</v>
      </c>
      <c r="AC61" s="3074">
        <f>SUM('ФАКТ.СЕБЕСТ.ВОДА 9 мес. 2021'!FP76)</f>
        <v>7.2438057388856372</v>
      </c>
      <c r="AD61" s="3075">
        <f>SUM('ФАКТ.СЕБЕСТ.ВОДА 9 мес. 2021'!FZ76)</f>
        <v>146374.02259869763</v>
      </c>
      <c r="AE61" s="3075">
        <f>SUM('ФАКТ.СЕБЕСТ.ВОДА 9 мес. 2021'!GA76)</f>
        <v>146345.08966050512</v>
      </c>
      <c r="AF61" s="3076">
        <f>SUM('ФАКТ.СЕБЕСТ.ВОДА 9 мес. 2021'!GB76)</f>
        <v>28.932938192508594</v>
      </c>
    </row>
    <row r="62" spans="1:32" ht="18.75" x14ac:dyDescent="0.3">
      <c r="A62" s="3094" t="s">
        <v>13</v>
      </c>
      <c r="B62" s="3092"/>
      <c r="C62" s="3092"/>
      <c r="D62" s="3092"/>
      <c r="E62" s="3092"/>
      <c r="F62" s="3092"/>
      <c r="G62" s="3092"/>
      <c r="H62" s="3092"/>
      <c r="I62" s="3092"/>
      <c r="J62" s="3092"/>
      <c r="K62" s="3073" t="s">
        <v>3821</v>
      </c>
      <c r="L62" s="3074">
        <f>SUM('ФАКТ.СЕБЕСТ.ВОДА 9 мес. 2021'!AC77)</f>
        <v>876.60995000000003</v>
      </c>
      <c r="M62" s="3074">
        <f>SUM('ФАКТ.СЕБЕСТ.ВОДА 9 мес. 2021'!AD77)</f>
        <v>876.16750000000002</v>
      </c>
      <c r="N62" s="3074">
        <f>SUM('ФАКТ.СЕБЕСТ.ВОДА 9 мес. 2021'!AE77)</f>
        <v>0.44245000000000001</v>
      </c>
      <c r="O62" s="3074">
        <f>SUM('ФАКТ.СЕБЕСТ.ВОДА 9 мес. 2021'!BP77)</f>
        <v>876.60995000000003</v>
      </c>
      <c r="P62" s="3074">
        <f>SUM('ФАКТ.СЕБЕСТ.ВОДА 9 мес. 2021'!BQ77)</f>
        <v>876.16750000000002</v>
      </c>
      <c r="Q62" s="3074">
        <f>SUM('ФАКТ.СЕБЕСТ.ВОДА 9 мес. 2021'!BR77)</f>
        <v>0.44245000000000001</v>
      </c>
      <c r="R62" s="3074">
        <f>SUM('ФАКТ.СЕБЕСТ.ВОДА 9 мес. 2021'!CB77)</f>
        <v>1753.2199000000001</v>
      </c>
      <c r="S62" s="3074">
        <f>SUM('ФАКТ.СЕБЕСТ.ВОДА 9 мес. 2021'!CC77)</f>
        <v>1752.335</v>
      </c>
      <c r="T62" s="3074">
        <f>SUM('ФАКТ.СЕБЕСТ.ВОДА 9 мес. 2021'!CD77)</f>
        <v>0.88490000000000002</v>
      </c>
      <c r="U62" s="3074">
        <f>SUM('ФАКТ.СЕБЕСТ.ВОДА 9 мес. 2021'!DO77)</f>
        <v>876.60995000000003</v>
      </c>
      <c r="V62" s="3074">
        <f>SUM('ФАКТ.СЕБЕСТ.ВОДА 9 мес. 2021'!DP77)</f>
        <v>876.16750000000002</v>
      </c>
      <c r="W62" s="3074">
        <f>SUM('ФАКТ.СЕБЕСТ.ВОДА 9 мес. 2021'!DQ77)</f>
        <v>0.44245000000000001</v>
      </c>
      <c r="X62" s="3074">
        <f>SUM('ФАКТ.СЕБЕСТ.ВОДА 9 мес. 2021'!EA77)</f>
        <v>2629.8298500000001</v>
      </c>
      <c r="Y62" s="3074">
        <f>SUM('ФАКТ.СЕБЕСТ.ВОДА 9 мес. 2021'!EB77)</f>
        <v>2628.5025000000001</v>
      </c>
      <c r="Z62" s="3074">
        <f>SUM('ФАКТ.СЕБЕСТ.ВОДА 9 мес. 2021'!EC77)</f>
        <v>1.32735</v>
      </c>
      <c r="AA62" s="3074">
        <f>SUM('ФАКТ.СЕБЕСТ.ВОДА 9 мес. 2021'!FN77)</f>
        <v>876.60995000000003</v>
      </c>
      <c r="AB62" s="3074">
        <f>SUM('ФАКТ.СЕБЕСТ.ВОДА 9 мес. 2021'!FO77)</f>
        <v>876.16750000000002</v>
      </c>
      <c r="AC62" s="3074">
        <f>SUM('ФАКТ.СЕБЕСТ.ВОДА 9 мес. 2021'!FP77)</f>
        <v>0.44245000000000001</v>
      </c>
      <c r="AD62" s="3075">
        <f>SUM('ФАКТ.СЕБЕСТ.ВОДА 9 мес. 2021'!FZ77)</f>
        <v>3506.4398000000001</v>
      </c>
      <c r="AE62" s="3075">
        <f>SUM('ФАКТ.СЕБЕСТ.ВОДА 9 мес. 2021'!GA77)</f>
        <v>3504.67</v>
      </c>
      <c r="AF62" s="3076">
        <f>SUM('ФАКТ.СЕБЕСТ.ВОДА 9 мес. 2021'!GB77)</f>
        <v>1.7698</v>
      </c>
    </row>
    <row r="63" spans="1:32" ht="18.75" x14ac:dyDescent="0.3">
      <c r="A63" s="3094" t="s">
        <v>14</v>
      </c>
      <c r="B63" s="3092"/>
      <c r="C63" s="3092"/>
      <c r="D63" s="3092"/>
      <c r="E63" s="3092"/>
      <c r="F63" s="3092"/>
      <c r="G63" s="3092"/>
      <c r="H63" s="3092"/>
      <c r="I63" s="3092"/>
      <c r="J63" s="3092"/>
      <c r="K63" s="3073" t="s">
        <v>2029</v>
      </c>
      <c r="L63" s="3074">
        <f>SUM('ФАКТ.СЕБЕСТ.ВОДА 9 мес. 2021'!AC78)</f>
        <v>41.677073048595467</v>
      </c>
      <c r="M63" s="3074">
        <f>SUM('ФАКТ.СЕБЕСТ.ВОДА 9 мес. 2021'!AD78)</f>
        <v>41.689875803334694</v>
      </c>
      <c r="N63" s="3074">
        <f>SUM('ФАКТ.СЕБЕСТ.ВОДА 9 мес. 2021'!AE78)</f>
        <v>16.324247615252936</v>
      </c>
      <c r="O63" s="3074">
        <f>SUM('ФАКТ.СЕБЕСТ.ВОДА 9 мес. 2021'!BP78)</f>
        <v>41.677073048595467</v>
      </c>
      <c r="P63" s="3074">
        <f>SUM('ФАКТ.СЕБЕСТ.ВОДА 9 мес. 2021'!BQ78)</f>
        <v>41.689875803334694</v>
      </c>
      <c r="Q63" s="3074">
        <f>SUM('ФАКТ.СЕБЕСТ.ВОДА 9 мес. 2021'!BR78)</f>
        <v>16.324247615252936</v>
      </c>
      <c r="R63" s="3074">
        <f>SUM('ФАКТ.СЕБЕСТ.ВОДА 9 мес. 2021'!CB78)</f>
        <v>41.677073048595467</v>
      </c>
      <c r="S63" s="3074">
        <f>SUM('ФАКТ.СЕБЕСТ.ВОДА 9 мес. 2021'!CC78)</f>
        <v>41.689875803334694</v>
      </c>
      <c r="T63" s="3074">
        <f>SUM('ФАКТ.СЕБЕСТ.ВОДА 9 мес. 2021'!CD78)</f>
        <v>16.324247615252936</v>
      </c>
      <c r="U63" s="3074">
        <f>SUM('ФАКТ.СЕБЕСТ.ВОДА 9 мес. 2021'!DO78)</f>
        <v>41.811611171049556</v>
      </c>
      <c r="V63" s="3074">
        <f>SUM('ФАКТ.СЕБЕСТ.ВОДА 9 мес. 2021'!DP78)</f>
        <v>41.824457734775955</v>
      </c>
      <c r="W63" s="3074">
        <f>SUM('ФАКТ.СЕБЕСТ.ВОДА 9 мес. 2021'!DQ78)</f>
        <v>16.372032407923239</v>
      </c>
      <c r="X63" s="3074">
        <f>SUM('ФАКТ.СЕБЕСТ.ВОДА 9 мес. 2021'!EA78)</f>
        <v>41.721919089413497</v>
      </c>
      <c r="Y63" s="3074">
        <f>SUM('ФАКТ.СЕБЕСТ.ВОДА 9 мес. 2021'!EB78)</f>
        <v>41.734736447148443</v>
      </c>
      <c r="Z63" s="3074">
        <f>SUM('ФАКТ.СЕБЕСТ.ВОДА 9 мес. 2021'!EC78)</f>
        <v>16.340175879476366</v>
      </c>
      <c r="AA63" s="3074">
        <f>SUM('ФАКТ.СЕБЕСТ.ВОДА 9 мес. 2021'!FN78)</f>
        <v>41.811611171049556</v>
      </c>
      <c r="AB63" s="3074">
        <f>SUM('ФАКТ.СЕБЕСТ.ВОДА 9 мес. 2021'!FO78)</f>
        <v>41.824457734775955</v>
      </c>
      <c r="AC63" s="3074">
        <f>SUM('ФАКТ.СЕБЕСТ.ВОДА 9 мес. 2021'!FP78)</f>
        <v>16.372032407923239</v>
      </c>
      <c r="AD63" s="3075">
        <f>SUM('ФАКТ.СЕБЕСТ.ВОДА 9 мес. 2021'!FZ78)</f>
        <v>41.744342109822512</v>
      </c>
      <c r="AE63" s="3075">
        <f>SUM('ФАКТ.СЕБЕСТ.ВОДА 9 мес. 2021'!GA78)</f>
        <v>41.757166769055324</v>
      </c>
      <c r="AF63" s="3076">
        <f>SUM('ФАКТ.СЕБЕСТ.ВОДА 9 мес. 2021'!GB78)</f>
        <v>16.348140011588086</v>
      </c>
    </row>
    <row r="64" spans="1:32" ht="18.75" x14ac:dyDescent="0.3">
      <c r="A64" s="3094" t="s">
        <v>3822</v>
      </c>
      <c r="B64" s="3092"/>
      <c r="C64" s="3092"/>
      <c r="D64" s="3092"/>
      <c r="E64" s="3092"/>
      <c r="F64" s="3092"/>
      <c r="G64" s="3092"/>
      <c r="H64" s="3092"/>
      <c r="I64" s="3092"/>
      <c r="J64" s="3092"/>
      <c r="K64" s="3073" t="s">
        <v>902</v>
      </c>
      <c r="L64" s="3074">
        <f>SUM('ФАКТ.СЕБЕСТ.ВОДА 9 мес. 2021'!AC79)</f>
        <v>-828.85460000000012</v>
      </c>
      <c r="M64" s="3074">
        <f>SUM('ФАКТ.СЕБЕСТ.ВОДА 9 мес. 2021'!AD79)</f>
        <v>-830.0675</v>
      </c>
      <c r="N64" s="3074">
        <f>SUM('ФАКТ.СЕБЕСТ.ВОДА 9 мес. 2021'!AE79)</f>
        <v>1.2129000000000001</v>
      </c>
      <c r="O64" s="3074">
        <f>SUM('ФАКТ.СЕБЕСТ.ВОДА 9 мес. 2021'!BP79)</f>
        <v>-828.85460000000012</v>
      </c>
      <c r="P64" s="3074">
        <f>SUM('ФАКТ.СЕБЕСТ.ВОДА 9 мес. 2021'!BQ79)</f>
        <v>-830.0675</v>
      </c>
      <c r="Q64" s="3074">
        <f>SUM('ФАКТ.СЕБЕСТ.ВОДА 9 мес. 2021'!BR79)</f>
        <v>1.2129000000000001</v>
      </c>
      <c r="R64" s="3074">
        <f>SUM('ФАКТ.СЕБЕСТ.ВОДА 9 мес. 2021'!CB79)</f>
        <v>-1657.7092000000002</v>
      </c>
      <c r="S64" s="3074">
        <f>SUM('ФАКТ.СЕБЕСТ.ВОДА 9 мес. 2021'!CC79)</f>
        <v>-1660.135</v>
      </c>
      <c r="T64" s="3074">
        <f>SUM('ФАКТ.СЕБЕСТ.ВОДА 9 мес. 2021'!CD79)</f>
        <v>2.4258000000000002</v>
      </c>
      <c r="U64" s="3074">
        <f>SUM('ФАКТ.СЕБЕСТ.ВОДА 9 мес. 2021'!DO79)</f>
        <v>-828.85460000000012</v>
      </c>
      <c r="V64" s="3074">
        <f>SUM('ФАКТ.СЕБЕСТ.ВОДА 9 мес. 2021'!DP79)</f>
        <v>-830.0675</v>
      </c>
      <c r="W64" s="3074">
        <f>SUM('ФАКТ.СЕБЕСТ.ВОДА 9 мес. 2021'!DQ79)</f>
        <v>1.2129000000000001</v>
      </c>
      <c r="X64" s="3074">
        <f>SUM('ФАКТ.СЕБЕСТ.ВОДА 9 мес. 2021'!EA79)</f>
        <v>-2486.5638000000004</v>
      </c>
      <c r="Y64" s="3074">
        <f>SUM('ФАКТ.СЕБЕСТ.ВОДА 9 мес. 2021'!EB79)</f>
        <v>-2490.2024999999999</v>
      </c>
      <c r="Z64" s="3074">
        <f>SUM('ФАКТ.СЕБЕСТ.ВОДА 9 мес. 2021'!EC79)</f>
        <v>3.6387</v>
      </c>
      <c r="AA64" s="3074">
        <f>SUM('ФАКТ.СЕБЕСТ.ВОДА 9 мес. 2021'!FN79)</f>
        <v>-828.85460000000012</v>
      </c>
      <c r="AB64" s="3074">
        <f>SUM('ФАКТ.СЕБЕСТ.ВОДА 9 мес. 2021'!FO79)</f>
        <v>-830.0675</v>
      </c>
      <c r="AC64" s="3074">
        <f>SUM('ФАКТ.СЕБЕСТ.ВОДА 9 мес. 2021'!FP79)</f>
        <v>1.2129000000000001</v>
      </c>
      <c r="AD64" s="3075">
        <f>SUM('ФАКТ.СЕБЕСТ.ВОДА 9 мес. 2021'!FZ79)</f>
        <v>-3315.4184000000005</v>
      </c>
      <c r="AE64" s="3075">
        <f>SUM('ФАКТ.СЕБЕСТ.ВОДА 9 мес. 2021'!GA79)</f>
        <v>-3320.27</v>
      </c>
      <c r="AF64" s="3076">
        <f>SUM('ФАКТ.СЕБЕСТ.ВОДА 9 мес. 2021'!GB79)</f>
        <v>4.8516000000000004</v>
      </c>
    </row>
    <row r="65" spans="1:32" ht="18.75" x14ac:dyDescent="0.3">
      <c r="A65" s="3090" t="s">
        <v>312</v>
      </c>
      <c r="B65" s="3092"/>
      <c r="C65" s="3092"/>
      <c r="D65" s="3092"/>
      <c r="E65" s="3092"/>
      <c r="F65" s="3092"/>
      <c r="G65" s="3092"/>
      <c r="H65" s="3092"/>
      <c r="I65" s="3092"/>
      <c r="J65" s="3092"/>
      <c r="K65" s="3078" t="s">
        <v>902</v>
      </c>
      <c r="L65" s="3086">
        <f>SUM('ФАКТ.СЕБЕСТ.ВОДА 9 мес. 2021'!AC80)</f>
        <v>0</v>
      </c>
      <c r="M65" s="3086">
        <f>SUM('ФАКТ.СЕБЕСТ.ВОДА 9 мес. 2021'!AD80)</f>
        <v>0</v>
      </c>
      <c r="N65" s="3086">
        <f>SUM('ФАКТ.СЕБЕСТ.ВОДА 9 мес. 2021'!AE80)</f>
        <v>0</v>
      </c>
      <c r="O65" s="3086">
        <f>SUM('ФАКТ.СЕБЕСТ.ВОДА 9 мес. 2021'!BP80)</f>
        <v>0</v>
      </c>
      <c r="P65" s="3086">
        <f>SUM('ФАКТ.СЕБЕСТ.ВОДА 9 мес. 2021'!BQ80)</f>
        <v>0</v>
      </c>
      <c r="Q65" s="3086">
        <f>SUM('ФАКТ.СЕБЕСТ.ВОДА 9 мес. 2021'!BR80)</f>
        <v>0</v>
      </c>
      <c r="R65" s="3086">
        <f>SUM('ФАКТ.СЕБЕСТ.ВОДА 9 мес. 2021'!CB80)</f>
        <v>0</v>
      </c>
      <c r="S65" s="3086">
        <f>SUM('ФАКТ.СЕБЕСТ.ВОДА 9 мес. 2021'!CC80)</f>
        <v>0</v>
      </c>
      <c r="T65" s="3086">
        <f>SUM('ФАКТ.СЕБЕСТ.ВОДА 9 мес. 2021'!CD80)</f>
        <v>0</v>
      </c>
      <c r="U65" s="3086">
        <f>SUM('ФАКТ.СЕБЕСТ.ВОДА 9 мес. 2021'!DO80)</f>
        <v>0</v>
      </c>
      <c r="V65" s="3086">
        <f>SUM('ФАКТ.СЕБЕСТ.ВОДА 9 мес. 2021'!DP80)</f>
        <v>0</v>
      </c>
      <c r="W65" s="3086">
        <f>SUM('ФАКТ.СЕБЕСТ.ВОДА 9 мес. 2021'!DQ80)</f>
        <v>0</v>
      </c>
      <c r="X65" s="3086">
        <f>SUM('ФАКТ.СЕБЕСТ.ВОДА 9 мес. 2021'!EA80)</f>
        <v>0</v>
      </c>
      <c r="Y65" s="3086">
        <f>SUM('ФАКТ.СЕБЕСТ.ВОДА 9 мес. 2021'!EB80)</f>
        <v>0</v>
      </c>
      <c r="Z65" s="3086">
        <f>SUM('ФАКТ.СЕБЕСТ.ВОДА 9 мес. 2021'!EC80)</f>
        <v>0</v>
      </c>
      <c r="AA65" s="3086">
        <f>SUM('ФАКТ.СЕБЕСТ.ВОДА 9 мес. 2021'!FN80)</f>
        <v>0</v>
      </c>
      <c r="AB65" s="3086">
        <f>SUM('ФАКТ.СЕБЕСТ.ВОДА 9 мес. 2021'!FO80)</f>
        <v>0</v>
      </c>
      <c r="AC65" s="3086">
        <f>SUM('ФАКТ.СЕБЕСТ.ВОДА 9 мес. 2021'!FP80)</f>
        <v>0</v>
      </c>
      <c r="AD65" s="3087">
        <f>SUM('ФАКТ.СЕБЕСТ.ВОДА 9 мес. 2021'!FZ80)</f>
        <v>0</v>
      </c>
      <c r="AE65" s="3087">
        <f>SUM('ФАКТ.СЕБЕСТ.ВОДА 9 мес. 2021'!GA80)</f>
        <v>0</v>
      </c>
      <c r="AF65" s="3088">
        <f>SUM('ФАКТ.СЕБЕСТ.ВОДА 9 мес. 2021'!GB80)</f>
        <v>0</v>
      </c>
    </row>
    <row r="66" spans="1:32" ht="18.75" x14ac:dyDescent="0.3">
      <c r="A66" s="3094" t="s">
        <v>3713</v>
      </c>
      <c r="B66" s="3092"/>
      <c r="C66" s="3092"/>
      <c r="D66" s="3092"/>
      <c r="E66" s="3092"/>
      <c r="F66" s="3092"/>
      <c r="G66" s="3092"/>
      <c r="H66" s="3092"/>
      <c r="I66" s="3092"/>
      <c r="J66" s="3092"/>
      <c r="K66" s="3073" t="s">
        <v>902</v>
      </c>
      <c r="L66" s="3074">
        <f>SUM('ФАКТ.СЕБЕСТ.ВОДА 9 мес. 2021'!AC81)</f>
        <v>35705.682321275614</v>
      </c>
      <c r="M66" s="3074">
        <f>SUM('ФАКТ.СЕБЕСТ.ВОДА 9 мес. 2021'!AD81)</f>
        <v>35697.246757918241</v>
      </c>
      <c r="N66" s="3074">
        <f>SUM('ФАКТ.СЕБЕСТ.ВОДА 9 мес. 2021'!AE81)</f>
        <v>8.435563357368661</v>
      </c>
      <c r="O66" s="3074">
        <f>SUM('ФАКТ.СЕБЕСТ.ВОДА 9 мес. 2021'!BP81)</f>
        <v>35705.682321275614</v>
      </c>
      <c r="P66" s="3074">
        <f>SUM('ФАКТ.СЕБЕСТ.ВОДА 9 мес. 2021'!BQ81)</f>
        <v>35697.246757918241</v>
      </c>
      <c r="Q66" s="3074">
        <f>SUM('ФАКТ.СЕБЕСТ.ВОДА 9 мес. 2021'!BR81)</f>
        <v>8.435563357368661</v>
      </c>
      <c r="R66" s="3074">
        <f>SUM('ФАКТ.СЕБЕСТ.ВОДА 9 мес. 2021'!CB81)</f>
        <v>71411.364642551227</v>
      </c>
      <c r="S66" s="3074">
        <f>SUM('ФАКТ.СЕБЕСТ.ВОДА 9 мес. 2021'!CC81)</f>
        <v>71394.493515836482</v>
      </c>
      <c r="T66" s="3074">
        <f>SUM('ФАКТ.СЕБЕСТ.ВОДА 9 мес. 2021'!CD81)</f>
        <v>16.871126714737322</v>
      </c>
      <c r="U66" s="3074">
        <f>SUM('ФАКТ.СЕБЕСТ.ВОДА 9 мес. 2021'!DO81)</f>
        <v>35823.619778073189</v>
      </c>
      <c r="V66" s="3074">
        <f>SUM('ФАКТ.СЕБЕСТ.ВОДА 9 мес. 2021'!DP81)</f>
        <v>35815.163072334304</v>
      </c>
      <c r="W66" s="3074">
        <f>SUM('ФАКТ.СЕБЕСТ.ВОДА 9 мес. 2021'!DQ81)</f>
        <v>8.4567057388856366</v>
      </c>
      <c r="X66" s="3074">
        <f>SUM('ФАКТ.СЕБЕСТ.ВОДА 9 мес. 2021'!EA81)</f>
        <v>107234.98442062442</v>
      </c>
      <c r="Y66" s="3074">
        <f>SUM('ФАКТ.СЕБЕСТ.ВОДА 9 мес. 2021'!EB81)</f>
        <v>107209.65658817079</v>
      </c>
      <c r="Z66" s="3074">
        <f>SUM('ФАКТ.СЕБЕСТ.ВОДА 9 мес. 2021'!EC81)</f>
        <v>25.32783245362296</v>
      </c>
      <c r="AA66" s="3074">
        <f>SUM('ФАКТ.СЕБЕСТ.ВОДА 9 мес. 2021'!FN81)</f>
        <v>35823.619778073189</v>
      </c>
      <c r="AB66" s="3074">
        <f>SUM('ФАКТ.СЕБЕСТ.ВОДА 9 мес. 2021'!FO81)</f>
        <v>35815.163072334304</v>
      </c>
      <c r="AC66" s="3074">
        <f>SUM('ФАКТ.СЕБЕСТ.ВОДА 9 мес. 2021'!FP81)</f>
        <v>8.4567057388856366</v>
      </c>
      <c r="AD66" s="3075">
        <f>SUM('ФАКТ.СЕБЕСТ.ВОДА 9 мес. 2021'!FZ81)</f>
        <v>143058.60419869761</v>
      </c>
      <c r="AE66" s="3075">
        <f>SUM('ФАКТ.СЕБЕСТ.ВОДА 9 мес. 2021'!GA81)</f>
        <v>143024.81966050511</v>
      </c>
      <c r="AF66" s="3076">
        <f>SUM('ФАКТ.СЕБЕСТ.ВОДА 9 мес. 2021'!GB81)</f>
        <v>33.784538192508599</v>
      </c>
    </row>
    <row r="67" spans="1:32" ht="18.75" x14ac:dyDescent="0.3">
      <c r="A67" s="3095" t="s">
        <v>3823</v>
      </c>
      <c r="B67" s="3092"/>
      <c r="C67" s="3092"/>
      <c r="D67" s="3092"/>
      <c r="E67" s="3092"/>
      <c r="F67" s="3092"/>
      <c r="G67" s="3092"/>
      <c r="H67" s="3092"/>
      <c r="I67" s="3092"/>
      <c r="J67" s="3092"/>
      <c r="K67" s="3073" t="s">
        <v>902</v>
      </c>
      <c r="L67" s="3074">
        <f>SUM('ФАКТ.СЕБЕСТ.ВОДА 9 мес. 2021'!AC82)</f>
        <v>-998.02465636471277</v>
      </c>
      <c r="M67" s="3074">
        <f>SUM('ФАКТ.СЕБЕСТ.ВОДА 9 мес. 2021'!AD82)</f>
        <v>-997.21769994655369</v>
      </c>
      <c r="N67" s="3074">
        <f>SUM('ФАКТ.СЕБЕСТ.ВОДА 9 мес. 2021'!AE82)</f>
        <v>-0.80695641815913888</v>
      </c>
      <c r="O67" s="3074">
        <f>SUM('ФАКТ.СЕБЕСТ.ВОДА 9 мес. 2021'!BP82)</f>
        <v>-998.02465636471277</v>
      </c>
      <c r="P67" s="3074">
        <f>SUM('ФАКТ.СЕБЕСТ.ВОДА 9 мес. 2021'!BQ82)</f>
        <v>-997.21769994655369</v>
      </c>
      <c r="Q67" s="3074">
        <f>SUM('ФАКТ.СЕБЕСТ.ВОДА 9 мес. 2021'!BR82)</f>
        <v>-0.80695641815913888</v>
      </c>
      <c r="R67" s="3074">
        <f>SUM('ФАКТ.СЕБЕСТ.ВОДА 9 мес. 2021'!CB82)</f>
        <v>-1996.0493127294255</v>
      </c>
      <c r="S67" s="3074">
        <f>SUM('ФАКТ.СЕБЕСТ.ВОДА 9 мес. 2021'!CC82)</f>
        <v>-1994.4353998931074</v>
      </c>
      <c r="T67" s="3074">
        <f>SUM('ФАКТ.СЕБЕСТ.ВОДА 9 мес. 2021'!CD82)</f>
        <v>-1.6139128363182778</v>
      </c>
      <c r="U67" s="3074">
        <f>SUM('ФАКТ.СЕБЕСТ.ВОДА 9 мес. 2021'!DO82)</f>
        <v>998.02350289950198</v>
      </c>
      <c r="V67" s="3074">
        <f>SUM('ФАКТ.СЕБЕСТ.ВОДА 9 мес. 2021'!DP82)</f>
        <v>997.21970776437593</v>
      </c>
      <c r="W67" s="3074">
        <f>SUM('ФАКТ.СЕБЕСТ.ВОДА 9 мес. 2021'!DQ82)</f>
        <v>0.80379513512604372</v>
      </c>
      <c r="X67" s="3074">
        <f>SUM('ФАКТ.СЕБЕСТ.ВОДА 9 мес. 2021'!EA82)</f>
        <v>-998.02580982992356</v>
      </c>
      <c r="Y67" s="3074">
        <f>SUM('ФАКТ.СЕБЕСТ.ВОДА 9 мес. 2021'!EB82)</f>
        <v>-997.21569212873146</v>
      </c>
      <c r="Z67" s="3074">
        <f>SUM('ФАКТ.СЕБЕСТ.ВОДА 9 мес. 2021'!EC82)</f>
        <v>-0.81011770119223403</v>
      </c>
      <c r="AA67" s="3074">
        <f>SUM('ФАКТ.СЕБЕСТ.ВОДА 9 мес. 2021'!FN82)</f>
        <v>998.02350289950198</v>
      </c>
      <c r="AB67" s="3074">
        <f>SUM('ФАКТ.СЕБЕСТ.ВОДА 9 мес. 2021'!FO82)</f>
        <v>997.21970776437593</v>
      </c>
      <c r="AC67" s="3074">
        <f>SUM('ФАКТ.СЕБЕСТ.ВОДА 9 мес. 2021'!FP82)</f>
        <v>0.80379513512604372</v>
      </c>
      <c r="AD67" s="3075">
        <f>SUM('ФАКТ.СЕБЕСТ.ВОДА 9 мес. 2021'!FZ82)</f>
        <v>-2.3069304215823649E-3</v>
      </c>
      <c r="AE67" s="3075">
        <f>SUM('ФАКТ.СЕБЕСТ.ВОДА 9 мес. 2021'!GA82)</f>
        <v>4.0156356444640551E-3</v>
      </c>
      <c r="AF67" s="3076">
        <f>SUM('ФАКТ.СЕБЕСТ.ВОДА 9 мес. 2021'!GB82)</f>
        <v>-6.3225660661903049E-3</v>
      </c>
    </row>
    <row r="68" spans="1:32" ht="18.75" customHeight="1" x14ac:dyDescent="0.3">
      <c r="A68" s="3095" t="s">
        <v>529</v>
      </c>
      <c r="B68" s="3092"/>
      <c r="C68" s="3092"/>
      <c r="D68" s="3092"/>
      <c r="E68" s="3092"/>
      <c r="F68" s="3092"/>
      <c r="G68" s="3092"/>
      <c r="H68" s="3092"/>
      <c r="I68" s="3092"/>
      <c r="J68" s="3092"/>
      <c r="K68" s="3073" t="s">
        <v>902</v>
      </c>
      <c r="L68" s="3074">
        <f>SUM('ФАКТ.СЕБЕСТ.ВОДА 9 мес. 2021'!AC83)</f>
        <v>34707.657664910905</v>
      </c>
      <c r="M68" s="3074">
        <f>SUM('ФАКТ.СЕБЕСТ.ВОДА 9 мес. 2021'!AD83)</f>
        <v>34700.029057971689</v>
      </c>
      <c r="N68" s="3074">
        <f>SUM('ФАКТ.СЕБЕСТ.ВОДА 9 мес. 2021'!AE83)</f>
        <v>7.6286069392095222</v>
      </c>
      <c r="O68" s="3074">
        <f>SUM('ФАКТ.СЕБЕСТ.ВОДА 9 мес. 2021'!BP83)</f>
        <v>34707.657664910905</v>
      </c>
      <c r="P68" s="3074">
        <f>SUM('ФАКТ.СЕБЕСТ.ВОДА 9 мес. 2021'!BQ83)</f>
        <v>34700.029057971689</v>
      </c>
      <c r="Q68" s="3074">
        <f>SUM('ФАКТ.СЕБЕСТ.ВОДА 9 мес. 2021'!BR83)</f>
        <v>7.6286069392095222</v>
      </c>
      <c r="R68" s="3074">
        <f>SUM('ФАКТ.СЕБЕСТ.ВОДА 9 мес. 2021'!CB83)</f>
        <v>69415.315329821809</v>
      </c>
      <c r="S68" s="3074">
        <f>SUM('ФАКТ.СЕБЕСТ.ВОДА 9 мес. 2021'!CC83)</f>
        <v>69400.058115943379</v>
      </c>
      <c r="T68" s="3074">
        <f>SUM('ФАКТ.СЕБЕСТ.ВОДА 9 мес. 2021'!CD83)</f>
        <v>15.257213878419044</v>
      </c>
      <c r="U68" s="3074">
        <f>SUM('ФАКТ.СЕБЕСТ.ВОДА 9 мес. 2021'!DO83)</f>
        <v>36821.643280972698</v>
      </c>
      <c r="V68" s="3074">
        <f>SUM('ФАКТ.СЕБЕСТ.ВОДА 9 мес. 2021'!DP83)</f>
        <v>36812.382780098676</v>
      </c>
      <c r="W68" s="3074">
        <f>SUM('ФАКТ.СЕБЕСТ.ВОДА 9 мес. 2021'!DQ83)</f>
        <v>9.2605008740116794</v>
      </c>
      <c r="X68" s="3074">
        <f>SUM('ФАКТ.СЕБЕСТ.ВОДА 9 мес. 2021'!EA83)</f>
        <v>106236.95861079451</v>
      </c>
      <c r="Y68" s="3074">
        <f>SUM('ФАКТ.СЕБЕСТ.ВОДА 9 мес. 2021'!EB83)</f>
        <v>106212.44089604206</v>
      </c>
      <c r="Z68" s="3074">
        <f>SUM('ФАКТ.СЕБЕСТ.ВОДА 9 мес. 2021'!EC83)</f>
        <v>24.517714752430724</v>
      </c>
      <c r="AA68" s="3074">
        <f>SUM('ФАКТ.СЕБЕСТ.ВОДА 9 мес. 2021'!FN83)</f>
        <v>36821.643280972698</v>
      </c>
      <c r="AB68" s="3074">
        <f>SUM('ФАКТ.СЕБЕСТ.ВОДА 9 мес. 2021'!FO83)</f>
        <v>36812.382780098676</v>
      </c>
      <c r="AC68" s="3074">
        <f>SUM('ФАКТ.СЕБЕСТ.ВОДА 9 мес. 2021'!FP83)</f>
        <v>9.2605008740116794</v>
      </c>
      <c r="AD68" s="3075">
        <f>SUM('ФАКТ.СЕБЕСТ.ВОДА 9 мес. 2021'!FZ83)</f>
        <v>143058.6018917672</v>
      </c>
      <c r="AE68" s="3075">
        <f>SUM('ФАКТ.СЕБЕСТ.ВОДА 9 мес. 2021'!GA83)</f>
        <v>143024.82367614075</v>
      </c>
      <c r="AF68" s="3076">
        <f>SUM('ФАКТ.СЕБЕСТ.ВОДА 9 мес. 2021'!GB83)</f>
        <v>33.778215626442403</v>
      </c>
    </row>
    <row r="69" spans="1:32" ht="18.75" customHeight="1" thickBot="1" x14ac:dyDescent="0.35">
      <c r="A69" s="3096" t="s">
        <v>69</v>
      </c>
      <c r="B69" s="3182"/>
      <c r="C69" s="3182"/>
      <c r="D69" s="3182"/>
      <c r="E69" s="3182"/>
      <c r="F69" s="3182"/>
      <c r="G69" s="3182"/>
      <c r="H69" s="3182"/>
      <c r="I69" s="3182"/>
      <c r="J69" s="3182"/>
      <c r="K69" s="3183" t="s">
        <v>2029</v>
      </c>
      <c r="L69" s="3184">
        <f>SUM('ФАКТ.СЕБЕСТ.ВОДА 9 мес. 2021'!AC84)</f>
        <v>39.593045532863165</v>
      </c>
      <c r="M69" s="3184">
        <f>SUM('ФАКТ.СЕБЕСТ.ВОДА 9 мес. 2021'!AD84)</f>
        <v>39.604332571079944</v>
      </c>
      <c r="N69" s="3184">
        <f>SUM('ФАКТ.СЕБЕСТ.ВОДА 9 мес. 2021'!AE84)</f>
        <v>17.241737912101982</v>
      </c>
      <c r="O69" s="3184">
        <f>SUM('ФАКТ.СЕБЕСТ.ВОДА 9 мес. 2021'!BP84)</f>
        <v>39.593045532863165</v>
      </c>
      <c r="P69" s="3184">
        <f>SUM('ФАКТ.СЕБЕСТ.ВОДА 9 мес. 2021'!BQ84)</f>
        <v>39.604332571079944</v>
      </c>
      <c r="Q69" s="3184">
        <f>SUM('ФАКТ.СЕБЕСТ.ВОДА 9 мес. 2021'!BR84)</f>
        <v>17.241737912101982</v>
      </c>
      <c r="R69" s="3184">
        <f>SUM('ФАКТ.СЕБЕСТ.ВОДА 9 мес. 2021'!CB84)</f>
        <v>39.593045532863165</v>
      </c>
      <c r="S69" s="3184">
        <f>SUM('ФАКТ.СЕБЕСТ.ВОДА 9 мес. 2021'!CC84)</f>
        <v>39.604332571079944</v>
      </c>
      <c r="T69" s="3184">
        <f>SUM('ФАКТ.СЕБЕСТ.ВОДА 9 мес. 2021'!CD84)</f>
        <v>17.241737912101982</v>
      </c>
      <c r="U69" s="3184">
        <f>SUM('ФАКТ.СЕБЕСТ.ВОДА 9 мес. 2021'!DO84)</f>
        <v>42.004591986404783</v>
      </c>
      <c r="V69" s="3184">
        <f>SUM('ФАКТ.СЕБЕСТ.ВОДА 9 мес. 2021'!DP84)</f>
        <v>42.015234278946295</v>
      </c>
      <c r="W69" s="3184">
        <f>SUM('ФАКТ.СЕБЕСТ.ВОДА 9 мес. 2021'!DQ84)</f>
        <v>20.930050568452206</v>
      </c>
      <c r="X69" s="3184">
        <f>SUM('ФАКТ.СЕБЕСТ.ВОДА 9 мес. 2021'!EA84)</f>
        <v>40.396894350710369</v>
      </c>
      <c r="Y69" s="3184">
        <f>SUM('ФАКТ.СЕБЕСТ.ВОДА 9 мес. 2021'!EB84)</f>
        <v>40.407966473702061</v>
      </c>
      <c r="Z69" s="3184">
        <f>SUM('ФАКТ.СЕБЕСТ.ВОДА 9 мес. 2021'!EC84)</f>
        <v>18.471175464218724</v>
      </c>
      <c r="AA69" s="3184">
        <f>SUM('ФАКТ.СЕБЕСТ.ВОДА 9 мес. 2021'!FN84)</f>
        <v>42.004591986404783</v>
      </c>
      <c r="AB69" s="3184">
        <f>SUM('ФАКТ.СЕБЕСТ.ВОДА 9 мес. 2021'!FO84)</f>
        <v>42.015234278946295</v>
      </c>
      <c r="AC69" s="3184">
        <f>SUM('ФАКТ.СЕБЕСТ.ВОДА 9 мес. 2021'!FP84)</f>
        <v>20.930050568452206</v>
      </c>
      <c r="AD69" s="3185">
        <f>SUM('ФАКТ.СЕБЕСТ.ВОДА 9 мес. 2021'!FZ84)</f>
        <v>40.798818759633974</v>
      </c>
      <c r="AE69" s="3185">
        <f>SUM('ФАКТ.СЕБЕСТ.ВОДА 9 мес. 2021'!GA84)</f>
        <v>40.809783425013123</v>
      </c>
      <c r="AF69" s="3097">
        <f>SUM('ФАКТ.СЕБЕСТ.ВОДА 9 мес. 2021'!GB84)</f>
        <v>19.085894240277096</v>
      </c>
    </row>
    <row r="72" spans="1:32" ht="18.75" x14ac:dyDescent="0.3">
      <c r="A72" s="389" t="s">
        <v>3816</v>
      </c>
      <c r="B72" s="389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 t="s">
        <v>3984</v>
      </c>
      <c r="S72" s="389"/>
    </row>
    <row r="73" spans="1:32" ht="18.75" x14ac:dyDescent="0.3">
      <c r="A73" s="3067"/>
      <c r="B73" s="361"/>
      <c r="C73" s="361"/>
      <c r="D73" s="361"/>
      <c r="E73" s="361"/>
      <c r="F73" s="361"/>
      <c r="G73" s="361"/>
      <c r="H73" s="361"/>
      <c r="I73" s="361"/>
      <c r="J73" s="361"/>
      <c r="K73" s="361"/>
      <c r="L73" s="361"/>
      <c r="M73" s="361"/>
      <c r="N73" s="361"/>
      <c r="O73" s="361"/>
      <c r="P73" s="361"/>
      <c r="Q73" s="361"/>
      <c r="R73" s="3067"/>
      <c r="S73" s="3067"/>
      <c r="T73" s="3067"/>
      <c r="U73" s="361"/>
      <c r="V73" s="361"/>
      <c r="W73" s="361"/>
      <c r="X73" s="361"/>
      <c r="Y73" s="361"/>
      <c r="Z73" s="361"/>
    </row>
    <row r="74" spans="1:32" ht="18.75" x14ac:dyDescent="0.3">
      <c r="A74" s="3067" t="s">
        <v>3824</v>
      </c>
      <c r="B74" s="361"/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361"/>
      <c r="R74" s="3067" t="s">
        <v>3825</v>
      </c>
      <c r="S74" s="3067"/>
      <c r="T74" s="3067"/>
      <c r="U74" s="361"/>
      <c r="V74" s="361"/>
      <c r="W74" s="361"/>
      <c r="X74" s="361"/>
      <c r="Y74" s="361"/>
      <c r="Z74" s="361"/>
    </row>
  </sheetData>
  <mergeCells count="23">
    <mergeCell ref="AA31:AC31"/>
    <mergeCell ref="AD31:AF31"/>
    <mergeCell ref="AA11:AC11"/>
    <mergeCell ref="AD11:AF11"/>
    <mergeCell ref="A30:AF30"/>
    <mergeCell ref="A31:A32"/>
    <mergeCell ref="K31:K32"/>
    <mergeCell ref="L31:N31"/>
    <mergeCell ref="O31:Q31"/>
    <mergeCell ref="R31:T31"/>
    <mergeCell ref="U31:W31"/>
    <mergeCell ref="X31:Z31"/>
    <mergeCell ref="AC1:AF1"/>
    <mergeCell ref="A8:AF8"/>
    <mergeCell ref="A10:AF10"/>
    <mergeCell ref="A11:A12"/>
    <mergeCell ref="K11:K12"/>
    <mergeCell ref="L11:N11"/>
    <mergeCell ref="O11:Q11"/>
    <mergeCell ref="R11:T11"/>
    <mergeCell ref="U11:W11"/>
    <mergeCell ref="X11:Z11"/>
    <mergeCell ref="AC4:AF4"/>
  </mergeCells>
  <printOptions horizontalCentered="1" verticalCentered="1"/>
  <pageMargins left="0.15748031496062992" right="0.15748031496062992" top="0" bottom="0" header="0" footer="0"/>
  <pageSetup paperSize="9" scale="3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6">
    <tabColor rgb="FFFFFF00"/>
    <pageSetUpPr fitToPage="1"/>
  </sheetPr>
  <dimension ref="A1:I68"/>
  <sheetViews>
    <sheetView topLeftCell="A40" workbookViewId="0">
      <selection activeCell="G70" sqref="G70"/>
    </sheetView>
  </sheetViews>
  <sheetFormatPr defaultRowHeight="12.75" x14ac:dyDescent="0.2"/>
  <cols>
    <col min="1" max="7" width="12.7109375" style="2527" customWidth="1"/>
    <col min="8" max="8" width="9.140625" style="2527"/>
    <col min="9" max="9" width="19.28515625" style="2527" customWidth="1"/>
    <col min="10" max="258" width="9.140625" style="2527"/>
    <col min="259" max="259" width="20.7109375" style="2527" customWidth="1"/>
    <col min="260" max="262" width="14.7109375" style="2527" customWidth="1"/>
    <col min="263" max="514" width="9.140625" style="2527"/>
    <col min="515" max="515" width="20.7109375" style="2527" customWidth="1"/>
    <col min="516" max="518" width="14.7109375" style="2527" customWidth="1"/>
    <col min="519" max="770" width="9.140625" style="2527"/>
    <col min="771" max="771" width="20.7109375" style="2527" customWidth="1"/>
    <col min="772" max="774" width="14.7109375" style="2527" customWidth="1"/>
    <col min="775" max="1026" width="9.140625" style="2527"/>
    <col min="1027" max="1027" width="20.7109375" style="2527" customWidth="1"/>
    <col min="1028" max="1030" width="14.7109375" style="2527" customWidth="1"/>
    <col min="1031" max="1282" width="9.140625" style="2527"/>
    <col min="1283" max="1283" width="20.7109375" style="2527" customWidth="1"/>
    <col min="1284" max="1286" width="14.7109375" style="2527" customWidth="1"/>
    <col min="1287" max="1538" width="9.140625" style="2527"/>
    <col min="1539" max="1539" width="20.7109375" style="2527" customWidth="1"/>
    <col min="1540" max="1542" width="14.7109375" style="2527" customWidth="1"/>
    <col min="1543" max="1794" width="9.140625" style="2527"/>
    <col min="1795" max="1795" width="20.7109375" style="2527" customWidth="1"/>
    <col min="1796" max="1798" width="14.7109375" style="2527" customWidth="1"/>
    <col min="1799" max="2050" width="9.140625" style="2527"/>
    <col min="2051" max="2051" width="20.7109375" style="2527" customWidth="1"/>
    <col min="2052" max="2054" width="14.7109375" style="2527" customWidth="1"/>
    <col min="2055" max="2306" width="9.140625" style="2527"/>
    <col min="2307" max="2307" width="20.7109375" style="2527" customWidth="1"/>
    <col min="2308" max="2310" width="14.7109375" style="2527" customWidth="1"/>
    <col min="2311" max="2562" width="9.140625" style="2527"/>
    <col min="2563" max="2563" width="20.7109375" style="2527" customWidth="1"/>
    <col min="2564" max="2566" width="14.7109375" style="2527" customWidth="1"/>
    <col min="2567" max="2818" width="9.140625" style="2527"/>
    <col min="2819" max="2819" width="20.7109375" style="2527" customWidth="1"/>
    <col min="2820" max="2822" width="14.7109375" style="2527" customWidth="1"/>
    <col min="2823" max="3074" width="9.140625" style="2527"/>
    <col min="3075" max="3075" width="20.7109375" style="2527" customWidth="1"/>
    <col min="3076" max="3078" width="14.7109375" style="2527" customWidth="1"/>
    <col min="3079" max="3330" width="9.140625" style="2527"/>
    <col min="3331" max="3331" width="20.7109375" style="2527" customWidth="1"/>
    <col min="3332" max="3334" width="14.7109375" style="2527" customWidth="1"/>
    <col min="3335" max="3586" width="9.140625" style="2527"/>
    <col min="3587" max="3587" width="20.7109375" style="2527" customWidth="1"/>
    <col min="3588" max="3590" width="14.7109375" style="2527" customWidth="1"/>
    <col min="3591" max="3842" width="9.140625" style="2527"/>
    <col min="3843" max="3843" width="20.7109375" style="2527" customWidth="1"/>
    <col min="3844" max="3846" width="14.7109375" style="2527" customWidth="1"/>
    <col min="3847" max="4098" width="9.140625" style="2527"/>
    <col min="4099" max="4099" width="20.7109375" style="2527" customWidth="1"/>
    <col min="4100" max="4102" width="14.7109375" style="2527" customWidth="1"/>
    <col min="4103" max="4354" width="9.140625" style="2527"/>
    <col min="4355" max="4355" width="20.7109375" style="2527" customWidth="1"/>
    <col min="4356" max="4358" width="14.7109375" style="2527" customWidth="1"/>
    <col min="4359" max="4610" width="9.140625" style="2527"/>
    <col min="4611" max="4611" width="20.7109375" style="2527" customWidth="1"/>
    <col min="4612" max="4614" width="14.7109375" style="2527" customWidth="1"/>
    <col min="4615" max="4866" width="9.140625" style="2527"/>
    <col min="4867" max="4867" width="20.7109375" style="2527" customWidth="1"/>
    <col min="4868" max="4870" width="14.7109375" style="2527" customWidth="1"/>
    <col min="4871" max="5122" width="9.140625" style="2527"/>
    <col min="5123" max="5123" width="20.7109375" style="2527" customWidth="1"/>
    <col min="5124" max="5126" width="14.7109375" style="2527" customWidth="1"/>
    <col min="5127" max="5378" width="9.140625" style="2527"/>
    <col min="5379" max="5379" width="20.7109375" style="2527" customWidth="1"/>
    <col min="5380" max="5382" width="14.7109375" style="2527" customWidth="1"/>
    <col min="5383" max="5634" width="9.140625" style="2527"/>
    <col min="5635" max="5635" width="20.7109375" style="2527" customWidth="1"/>
    <col min="5636" max="5638" width="14.7109375" style="2527" customWidth="1"/>
    <col min="5639" max="5890" width="9.140625" style="2527"/>
    <col min="5891" max="5891" width="20.7109375" style="2527" customWidth="1"/>
    <col min="5892" max="5894" width="14.7109375" style="2527" customWidth="1"/>
    <col min="5895" max="6146" width="9.140625" style="2527"/>
    <col min="6147" max="6147" width="20.7109375" style="2527" customWidth="1"/>
    <col min="6148" max="6150" width="14.7109375" style="2527" customWidth="1"/>
    <col min="6151" max="6402" width="9.140625" style="2527"/>
    <col min="6403" max="6403" width="20.7109375" style="2527" customWidth="1"/>
    <col min="6404" max="6406" width="14.7109375" style="2527" customWidth="1"/>
    <col min="6407" max="6658" width="9.140625" style="2527"/>
    <col min="6659" max="6659" width="20.7109375" style="2527" customWidth="1"/>
    <col min="6660" max="6662" width="14.7109375" style="2527" customWidth="1"/>
    <col min="6663" max="6914" width="9.140625" style="2527"/>
    <col min="6915" max="6915" width="20.7109375" style="2527" customWidth="1"/>
    <col min="6916" max="6918" width="14.7109375" style="2527" customWidth="1"/>
    <col min="6919" max="7170" width="9.140625" style="2527"/>
    <col min="7171" max="7171" width="20.7109375" style="2527" customWidth="1"/>
    <col min="7172" max="7174" width="14.7109375" style="2527" customWidth="1"/>
    <col min="7175" max="7426" width="9.140625" style="2527"/>
    <col min="7427" max="7427" width="20.7109375" style="2527" customWidth="1"/>
    <col min="7428" max="7430" width="14.7109375" style="2527" customWidth="1"/>
    <col min="7431" max="7682" width="9.140625" style="2527"/>
    <col min="7683" max="7683" width="20.7109375" style="2527" customWidth="1"/>
    <col min="7684" max="7686" width="14.7109375" style="2527" customWidth="1"/>
    <col min="7687" max="7938" width="9.140625" style="2527"/>
    <col min="7939" max="7939" width="20.7109375" style="2527" customWidth="1"/>
    <col min="7940" max="7942" width="14.7109375" style="2527" customWidth="1"/>
    <col min="7943" max="8194" width="9.140625" style="2527"/>
    <col min="8195" max="8195" width="20.7109375" style="2527" customWidth="1"/>
    <col min="8196" max="8198" width="14.7109375" style="2527" customWidth="1"/>
    <col min="8199" max="8450" width="9.140625" style="2527"/>
    <col min="8451" max="8451" width="20.7109375" style="2527" customWidth="1"/>
    <col min="8452" max="8454" width="14.7109375" style="2527" customWidth="1"/>
    <col min="8455" max="8706" width="9.140625" style="2527"/>
    <col min="8707" max="8707" width="20.7109375" style="2527" customWidth="1"/>
    <col min="8708" max="8710" width="14.7109375" style="2527" customWidth="1"/>
    <col min="8711" max="8962" width="9.140625" style="2527"/>
    <col min="8963" max="8963" width="20.7109375" style="2527" customWidth="1"/>
    <col min="8964" max="8966" width="14.7109375" style="2527" customWidth="1"/>
    <col min="8967" max="9218" width="9.140625" style="2527"/>
    <col min="9219" max="9219" width="20.7109375" style="2527" customWidth="1"/>
    <col min="9220" max="9222" width="14.7109375" style="2527" customWidth="1"/>
    <col min="9223" max="9474" width="9.140625" style="2527"/>
    <col min="9475" max="9475" width="20.7109375" style="2527" customWidth="1"/>
    <col min="9476" max="9478" width="14.7109375" style="2527" customWidth="1"/>
    <col min="9479" max="9730" width="9.140625" style="2527"/>
    <col min="9731" max="9731" width="20.7109375" style="2527" customWidth="1"/>
    <col min="9732" max="9734" width="14.7109375" style="2527" customWidth="1"/>
    <col min="9735" max="9986" width="9.140625" style="2527"/>
    <col min="9987" max="9987" width="20.7109375" style="2527" customWidth="1"/>
    <col min="9988" max="9990" width="14.7109375" style="2527" customWidth="1"/>
    <col min="9991" max="10242" width="9.140625" style="2527"/>
    <col min="10243" max="10243" width="20.7109375" style="2527" customWidth="1"/>
    <col min="10244" max="10246" width="14.7109375" style="2527" customWidth="1"/>
    <col min="10247" max="10498" width="9.140625" style="2527"/>
    <col min="10499" max="10499" width="20.7109375" style="2527" customWidth="1"/>
    <col min="10500" max="10502" width="14.7109375" style="2527" customWidth="1"/>
    <col min="10503" max="10754" width="9.140625" style="2527"/>
    <col min="10755" max="10755" width="20.7109375" style="2527" customWidth="1"/>
    <col min="10756" max="10758" width="14.7109375" style="2527" customWidth="1"/>
    <col min="10759" max="11010" width="9.140625" style="2527"/>
    <col min="11011" max="11011" width="20.7109375" style="2527" customWidth="1"/>
    <col min="11012" max="11014" width="14.7109375" style="2527" customWidth="1"/>
    <col min="11015" max="11266" width="9.140625" style="2527"/>
    <col min="11267" max="11267" width="20.7109375" style="2527" customWidth="1"/>
    <col min="11268" max="11270" width="14.7109375" style="2527" customWidth="1"/>
    <col min="11271" max="11522" width="9.140625" style="2527"/>
    <col min="11523" max="11523" width="20.7109375" style="2527" customWidth="1"/>
    <col min="11524" max="11526" width="14.7109375" style="2527" customWidth="1"/>
    <col min="11527" max="11778" width="9.140625" style="2527"/>
    <col min="11779" max="11779" width="20.7109375" style="2527" customWidth="1"/>
    <col min="11780" max="11782" width="14.7109375" style="2527" customWidth="1"/>
    <col min="11783" max="12034" width="9.140625" style="2527"/>
    <col min="12035" max="12035" width="20.7109375" style="2527" customWidth="1"/>
    <col min="12036" max="12038" width="14.7109375" style="2527" customWidth="1"/>
    <col min="12039" max="12290" width="9.140625" style="2527"/>
    <col min="12291" max="12291" width="20.7109375" style="2527" customWidth="1"/>
    <col min="12292" max="12294" width="14.7109375" style="2527" customWidth="1"/>
    <col min="12295" max="12546" width="9.140625" style="2527"/>
    <col min="12547" max="12547" width="20.7109375" style="2527" customWidth="1"/>
    <col min="12548" max="12550" width="14.7109375" style="2527" customWidth="1"/>
    <col min="12551" max="12802" width="9.140625" style="2527"/>
    <col min="12803" max="12803" width="20.7109375" style="2527" customWidth="1"/>
    <col min="12804" max="12806" width="14.7109375" style="2527" customWidth="1"/>
    <col min="12807" max="13058" width="9.140625" style="2527"/>
    <col min="13059" max="13059" width="20.7109375" style="2527" customWidth="1"/>
    <col min="13060" max="13062" width="14.7109375" style="2527" customWidth="1"/>
    <col min="13063" max="13314" width="9.140625" style="2527"/>
    <col min="13315" max="13315" width="20.7109375" style="2527" customWidth="1"/>
    <col min="13316" max="13318" width="14.7109375" style="2527" customWidth="1"/>
    <col min="13319" max="13570" width="9.140625" style="2527"/>
    <col min="13571" max="13571" width="20.7109375" style="2527" customWidth="1"/>
    <col min="13572" max="13574" width="14.7109375" style="2527" customWidth="1"/>
    <col min="13575" max="13826" width="9.140625" style="2527"/>
    <col min="13827" max="13827" width="20.7109375" style="2527" customWidth="1"/>
    <col min="13828" max="13830" width="14.7109375" style="2527" customWidth="1"/>
    <col min="13831" max="14082" width="9.140625" style="2527"/>
    <col min="14083" max="14083" width="20.7109375" style="2527" customWidth="1"/>
    <col min="14084" max="14086" width="14.7109375" style="2527" customWidth="1"/>
    <col min="14087" max="14338" width="9.140625" style="2527"/>
    <col min="14339" max="14339" width="20.7109375" style="2527" customWidth="1"/>
    <col min="14340" max="14342" width="14.7109375" style="2527" customWidth="1"/>
    <col min="14343" max="14594" width="9.140625" style="2527"/>
    <col min="14595" max="14595" width="20.7109375" style="2527" customWidth="1"/>
    <col min="14596" max="14598" width="14.7109375" style="2527" customWidth="1"/>
    <col min="14599" max="14850" width="9.140625" style="2527"/>
    <col min="14851" max="14851" width="20.7109375" style="2527" customWidth="1"/>
    <col min="14852" max="14854" width="14.7109375" style="2527" customWidth="1"/>
    <col min="14855" max="15106" width="9.140625" style="2527"/>
    <col min="15107" max="15107" width="20.7109375" style="2527" customWidth="1"/>
    <col min="15108" max="15110" width="14.7109375" style="2527" customWidth="1"/>
    <col min="15111" max="15362" width="9.140625" style="2527"/>
    <col min="15363" max="15363" width="20.7109375" style="2527" customWidth="1"/>
    <col min="15364" max="15366" width="14.7109375" style="2527" customWidth="1"/>
    <col min="15367" max="15618" width="9.140625" style="2527"/>
    <col min="15619" max="15619" width="20.7109375" style="2527" customWidth="1"/>
    <col min="15620" max="15622" width="14.7109375" style="2527" customWidth="1"/>
    <col min="15623" max="15874" width="9.140625" style="2527"/>
    <col min="15875" max="15875" width="20.7109375" style="2527" customWidth="1"/>
    <col min="15876" max="15878" width="14.7109375" style="2527" customWidth="1"/>
    <col min="15879" max="16130" width="9.140625" style="2527"/>
    <col min="16131" max="16131" width="20.7109375" style="2527" customWidth="1"/>
    <col min="16132" max="16134" width="14.7109375" style="2527" customWidth="1"/>
    <col min="16135" max="16384" width="9.140625" style="2527"/>
  </cols>
  <sheetData>
    <row r="1" spans="1:9" ht="15.75" x14ac:dyDescent="0.25">
      <c r="A1" s="4550" t="s">
        <v>3970</v>
      </c>
      <c r="B1" s="4550"/>
      <c r="C1" s="4550"/>
      <c r="D1" s="4550"/>
      <c r="E1" s="4550"/>
      <c r="F1" s="4550"/>
      <c r="G1" s="4242"/>
    </row>
    <row r="2" spans="1:9" ht="15.75" x14ac:dyDescent="0.2">
      <c r="A2" s="4551" t="s">
        <v>368</v>
      </c>
      <c r="B2" s="4551"/>
      <c r="C2" s="4551"/>
      <c r="D2" s="4552"/>
      <c r="E2" s="4552"/>
      <c r="F2" s="4552"/>
      <c r="G2" s="4552"/>
    </row>
    <row r="3" spans="1:9" ht="13.5" x14ac:dyDescent="0.25">
      <c r="A3" s="4553" t="s">
        <v>1560</v>
      </c>
      <c r="B3" s="4555" t="s">
        <v>1708</v>
      </c>
      <c r="C3" s="4556"/>
      <c r="D3" s="4557" t="s">
        <v>1709</v>
      </c>
      <c r="E3" s="4555" t="s">
        <v>3572</v>
      </c>
      <c r="F3" s="4559"/>
      <c r="G3" s="4560"/>
    </row>
    <row r="4" spans="1:9" ht="15.75" x14ac:dyDescent="0.25">
      <c r="A4" s="4554"/>
      <c r="B4" s="2528" t="s">
        <v>3573</v>
      </c>
      <c r="C4" s="2528" t="s">
        <v>1677</v>
      </c>
      <c r="D4" s="4558"/>
      <c r="E4" s="2528" t="s">
        <v>3573</v>
      </c>
      <c r="F4" s="2528" t="s">
        <v>1677</v>
      </c>
      <c r="G4" s="2528" t="s">
        <v>1596</v>
      </c>
    </row>
    <row r="5" spans="1:9" ht="15.75" x14ac:dyDescent="0.25">
      <c r="A5" s="2529" t="s">
        <v>258</v>
      </c>
      <c r="B5" s="2530">
        <f>SUM('ФАКТ.СЕБЕСТ.ВОДА 9 мес. 2021'!C14)*1000</f>
        <v>292055.83333333331</v>
      </c>
      <c r="C5" s="2531">
        <f>SUM('ФАКТ.СЕБЕСТ.ВОДА 9 мес. 2021'!F14)*1000</f>
        <v>303879</v>
      </c>
      <c r="D5" s="2533">
        <f>SUM('ФАКТ.СЕБЕСТ.ВОДА 9 мес. 2021'!CC42)</f>
        <v>39.604332571079958</v>
      </c>
      <c r="E5" s="2533">
        <f>B5*D5/1000</f>
        <v>11566.676352657232</v>
      </c>
      <c r="F5" s="2533">
        <f>C5*D5/1000</f>
        <v>12034.924977367207</v>
      </c>
      <c r="G5" s="2533">
        <f>SUM(F5-E5)</f>
        <v>468.24862470997505</v>
      </c>
    </row>
    <row r="6" spans="1:9" ht="15.75" x14ac:dyDescent="0.25">
      <c r="A6" s="2529" t="s">
        <v>259</v>
      </c>
      <c r="B6" s="2530">
        <f>SUM('ФАКТ.СЕБЕСТ.ВОДА 9 мес. 2021'!L14)*1000</f>
        <v>292055.83333333331</v>
      </c>
      <c r="C6" s="2531">
        <f>SUM('ФАКТ.СЕБЕСТ.ВОДА 9 мес. 2021'!O14)*1000</f>
        <v>307413</v>
      </c>
      <c r="D6" s="2533">
        <f>SUM(D5)</f>
        <v>39.604332571079958</v>
      </c>
      <c r="E6" s="2533">
        <f t="shared" ref="E6:E16" si="0">B6*D6/1000</f>
        <v>11566.676352657232</v>
      </c>
      <c r="F6" s="2533">
        <f t="shared" ref="F6:F16" si="1">C6*D6/1000</f>
        <v>12174.886688673403</v>
      </c>
      <c r="G6" s="2533">
        <f t="shared" ref="G6:G16" si="2">SUM(F6-E6)</f>
        <v>608.21033601617091</v>
      </c>
    </row>
    <row r="7" spans="1:9" ht="15.75" x14ac:dyDescent="0.25">
      <c r="A7" s="2529" t="s">
        <v>260</v>
      </c>
      <c r="B7" s="2530">
        <f>SUM('ФАКТ.СЕБЕСТ.ВОДА 9 мес. 2021'!U14)*1000</f>
        <v>292055.83333333331</v>
      </c>
      <c r="C7" s="2531">
        <f>SUM('ФАКТ.СЕБЕСТ.ВОДА 9 мес. 2021'!X14)*1000</f>
        <v>295506</v>
      </c>
      <c r="D7" s="2533">
        <f>SUM(D5)</f>
        <v>39.604332571079958</v>
      </c>
      <c r="E7" s="2533">
        <f t="shared" si="0"/>
        <v>11566.676352657232</v>
      </c>
      <c r="F7" s="2533">
        <f t="shared" si="1"/>
        <v>11703.317900749555</v>
      </c>
      <c r="G7" s="2533">
        <f t="shared" si="2"/>
        <v>136.64154809232241</v>
      </c>
    </row>
    <row r="8" spans="1:9" ht="15.75" x14ac:dyDescent="0.25">
      <c r="A8" s="2529" t="s">
        <v>261</v>
      </c>
      <c r="B8" s="2530">
        <f>SUM('ФАКТ.СЕБЕСТ.ВОДА 9 мес. 2021'!AP14)*1000</f>
        <v>292055.83333333331</v>
      </c>
      <c r="C8" s="2531">
        <f>SUM('ФАКТ.СЕБЕСТ.ВОДА 9 мес. 2021'!AS14)*1000</f>
        <v>310128</v>
      </c>
      <c r="D8" s="2533">
        <f>SUM(D5)</f>
        <v>39.604332571079958</v>
      </c>
      <c r="E8" s="2533">
        <f t="shared" si="0"/>
        <v>11566.676352657232</v>
      </c>
      <c r="F8" s="2533">
        <f t="shared" si="1"/>
        <v>12282.412451603886</v>
      </c>
      <c r="G8" s="2533">
        <f t="shared" si="2"/>
        <v>715.73609894665424</v>
      </c>
    </row>
    <row r="9" spans="1:9" ht="15.75" x14ac:dyDescent="0.25">
      <c r="A9" s="2529" t="s">
        <v>262</v>
      </c>
      <c r="B9" s="2530">
        <f>SUM('ФАКТ.СЕБЕСТ.ВОДА 9 мес. 2021'!AY14)*1000</f>
        <v>292055.83333333331</v>
      </c>
      <c r="C9" s="2531">
        <f>SUM('ФАКТ.СЕБЕСТ.ВОДА 9 мес. 2021'!BB14)*1000</f>
        <v>296082.35100000002</v>
      </c>
      <c r="D9" s="2533">
        <f>SUM(D5)</f>
        <v>39.604332571079958</v>
      </c>
      <c r="E9" s="2533">
        <f t="shared" si="0"/>
        <v>11566.676352657232</v>
      </c>
      <c r="F9" s="2533">
        <f t="shared" si="1"/>
        <v>11726.14389743123</v>
      </c>
      <c r="G9" s="2533">
        <f t="shared" si="2"/>
        <v>159.46754477399736</v>
      </c>
    </row>
    <row r="10" spans="1:9" ht="15.75" x14ac:dyDescent="0.25">
      <c r="A10" s="2529" t="s">
        <v>263</v>
      </c>
      <c r="B10" s="2530">
        <f>SUM('ФАКТ.СЕБЕСТ.ВОДА 9 мес. 2021'!BH14)*1000</f>
        <v>292055.83333333331</v>
      </c>
      <c r="C10" s="2531">
        <f>SUM('ФАКТ.СЕБЕСТ.ВОДА 9 мес. 2021'!BK14)*1000</f>
        <v>296990</v>
      </c>
      <c r="D10" s="2533">
        <f>SUM(D5)</f>
        <v>39.604332571079958</v>
      </c>
      <c r="E10" s="2533">
        <f t="shared" si="0"/>
        <v>11566.676352657232</v>
      </c>
      <c r="F10" s="2533">
        <f t="shared" si="1"/>
        <v>11762.090730285037</v>
      </c>
      <c r="G10" s="2533">
        <f t="shared" si="2"/>
        <v>195.41437762780515</v>
      </c>
    </row>
    <row r="11" spans="1:9" ht="15.75" x14ac:dyDescent="0.25">
      <c r="A11" s="2529" t="s">
        <v>1210</v>
      </c>
      <c r="B11" s="2530">
        <f>SUM('ФАКТ.СЕБЕСТ.ВОДА 9 мес. 2021'!CO14)*1000</f>
        <v>292055.83333333331</v>
      </c>
      <c r="C11" s="2531">
        <f>SUM('ФАКТ.СЕБЕСТ.ВОДА 9 мес. 2021'!CR14)*1000</f>
        <v>271057</v>
      </c>
      <c r="D11" s="2530">
        <f>SUM('ФАКТ.СЕБЕСТ.ВОДА 9 мес. 2021'!CO42)</f>
        <v>42.015234278946295</v>
      </c>
      <c r="E11" s="2533">
        <f t="shared" si="0"/>
        <v>12270.794260032892</v>
      </c>
      <c r="F11" s="2533">
        <f t="shared" si="1"/>
        <v>11388.523357948347</v>
      </c>
      <c r="G11" s="2533">
        <f t="shared" si="2"/>
        <v>-882.27090208454501</v>
      </c>
      <c r="I11" s="2534"/>
    </row>
    <row r="12" spans="1:9" ht="15.75" x14ac:dyDescent="0.25">
      <c r="A12" s="2529" t="s">
        <v>264</v>
      </c>
      <c r="B12" s="2530">
        <f>SUM('ФАКТ.СЕБЕСТ.ВОДА 9 мес. 2021'!CX14)*1000</f>
        <v>292055.83333333331</v>
      </c>
      <c r="C12" s="2531">
        <f>SUM('ФАКТ.СЕБЕСТ.ВОДА 9 мес. 2021'!DA14)*1000</f>
        <v>285760</v>
      </c>
      <c r="D12" s="2530">
        <f>SUM(D11)</f>
        <v>42.015234278946295</v>
      </c>
      <c r="E12" s="2533">
        <f t="shared" si="0"/>
        <v>12270.794260032892</v>
      </c>
      <c r="F12" s="2533">
        <f t="shared" si="1"/>
        <v>12006.273347551694</v>
      </c>
      <c r="G12" s="2533">
        <f t="shared" si="2"/>
        <v>-264.52091248119723</v>
      </c>
    </row>
    <row r="13" spans="1:9" ht="15.75" x14ac:dyDescent="0.25">
      <c r="A13" s="2529" t="s">
        <v>1228</v>
      </c>
      <c r="B13" s="2530">
        <f>SUM('ФАКТ.СЕБЕСТ.ВОДА 9 мес. 2021'!DG14)*1000</f>
        <v>292055.83333333331</v>
      </c>
      <c r="C13" s="2531">
        <f>SUM('ФАКТ.СЕБЕСТ.ВОДА 9 мес. 2021'!DJ14)*1000</f>
        <v>295330.00000000006</v>
      </c>
      <c r="D13" s="2530">
        <f>SUM(D11)</f>
        <v>42.015234278946295</v>
      </c>
      <c r="E13" s="2533">
        <f t="shared" si="0"/>
        <v>12270.794260032892</v>
      </c>
      <c r="F13" s="2533">
        <f t="shared" si="1"/>
        <v>12408.359139601213</v>
      </c>
      <c r="G13" s="2533">
        <f t="shared" si="2"/>
        <v>137.56487956832098</v>
      </c>
    </row>
    <row r="14" spans="1:9" ht="15.75" x14ac:dyDescent="0.25">
      <c r="A14" s="2529" t="s">
        <v>265</v>
      </c>
      <c r="B14" s="2530">
        <f>SUM('ФАКТ.СЕБЕСТ.ВОДА 9 мес. 2021'!EN14)*1000</f>
        <v>292055.83333333331</v>
      </c>
      <c r="C14" s="2531">
        <f>SUM('ФАКТ.СЕБЕСТ.ВОДА 9 мес. 2021'!EQ14)*1000</f>
        <v>302335.00000000006</v>
      </c>
      <c r="D14" s="2530">
        <f>SUM(D11)</f>
        <v>42.015234278946295</v>
      </c>
      <c r="E14" s="2533">
        <f t="shared" si="0"/>
        <v>12270.794260032892</v>
      </c>
      <c r="F14" s="2533">
        <f t="shared" si="1"/>
        <v>12702.675855725231</v>
      </c>
      <c r="G14" s="2533">
        <f t="shared" si="2"/>
        <v>431.88159569233903</v>
      </c>
    </row>
    <row r="15" spans="1:9" ht="15.75" x14ac:dyDescent="0.25">
      <c r="A15" s="2529" t="s">
        <v>266</v>
      </c>
      <c r="B15" s="2530">
        <f>SUM('ФАКТ.СЕБЕСТ.ВОДА 9 мес. 2021'!EW14)*1000</f>
        <v>292055.83333333331</v>
      </c>
      <c r="C15" s="2531">
        <f>SUM('ФАКТ.СЕБЕСТ.ВОДА 9 мес. 2021'!EZ14)*1000</f>
        <v>294869</v>
      </c>
      <c r="D15" s="2530">
        <f>SUM(D11)</f>
        <v>42.015234278946295</v>
      </c>
      <c r="E15" s="2533">
        <f t="shared" si="0"/>
        <v>12270.794260032892</v>
      </c>
      <c r="F15" s="2533">
        <f t="shared" si="1"/>
        <v>12388.990116598616</v>
      </c>
      <c r="G15" s="2533">
        <f t="shared" si="2"/>
        <v>118.19585656572417</v>
      </c>
    </row>
    <row r="16" spans="1:9" ht="15.75" x14ac:dyDescent="0.25">
      <c r="A16" s="2529" t="s">
        <v>1319</v>
      </c>
      <c r="B16" s="2530">
        <f>SUM('ФАКТ.СЕБЕСТ.ВОДА 9 мес. 2021'!FF14)*1000</f>
        <v>292055.83333333331</v>
      </c>
      <c r="C16" s="2531">
        <f>SUM('ФАКТ.СЕБЕСТ.ВОДА 9 мес. 2021'!FI14)*1000</f>
        <v>303067</v>
      </c>
      <c r="D16" s="2530">
        <f>SUM(D11)</f>
        <v>42.015234278946295</v>
      </c>
      <c r="E16" s="2533">
        <f t="shared" si="0"/>
        <v>12270.794260032892</v>
      </c>
      <c r="F16" s="2533">
        <f t="shared" si="1"/>
        <v>12733.431007217416</v>
      </c>
      <c r="G16" s="2533">
        <f t="shared" si="2"/>
        <v>462.63674718452421</v>
      </c>
    </row>
    <row r="17" spans="1:7" ht="15.75" x14ac:dyDescent="0.25">
      <c r="A17" s="2535" t="s">
        <v>282</v>
      </c>
      <c r="B17" s="2536">
        <f>SUM(B5:B16)</f>
        <v>3504670.0000000005</v>
      </c>
      <c r="C17" s="2537">
        <f>SUM(C5:C16)</f>
        <v>3562416.3509999998</v>
      </c>
      <c r="D17" s="2537">
        <f>F17/C17*1000</f>
        <v>40.790299379229651</v>
      </c>
      <c r="E17" s="2537">
        <f>SUM(E5:E16)</f>
        <v>143024.82367614078</v>
      </c>
      <c r="F17" s="2537">
        <f>SUM(F5:F16)</f>
        <v>145312.02947075284</v>
      </c>
      <c r="G17" s="2537">
        <f>SUM(G5:G16)</f>
        <v>2287.2057946120913</v>
      </c>
    </row>
    <row r="18" spans="1:7" ht="15" x14ac:dyDescent="0.2">
      <c r="A18" s="2538"/>
      <c r="B18" s="2538"/>
      <c r="C18" s="2538"/>
      <c r="D18" s="2538"/>
      <c r="E18" s="2538"/>
      <c r="F18" s="2538"/>
    </row>
    <row r="19" spans="1:7" ht="15.75" x14ac:dyDescent="0.2">
      <c r="A19" s="4551" t="s">
        <v>25</v>
      </c>
      <c r="B19" s="4551"/>
      <c r="C19" s="4551"/>
      <c r="D19" s="4552"/>
      <c r="E19" s="4552"/>
      <c r="F19" s="4552"/>
      <c r="G19" s="4552"/>
    </row>
    <row r="20" spans="1:7" ht="15.75" customHeight="1" x14ac:dyDescent="0.25">
      <c r="A20" s="4553" t="s">
        <v>1560</v>
      </c>
      <c r="B20" s="4555" t="s">
        <v>1708</v>
      </c>
      <c r="C20" s="4556"/>
      <c r="D20" s="4557" t="s">
        <v>1709</v>
      </c>
      <c r="E20" s="4555" t="s">
        <v>3572</v>
      </c>
      <c r="F20" s="4559"/>
      <c r="G20" s="4560"/>
    </row>
    <row r="21" spans="1:7" ht="15.75" customHeight="1" x14ac:dyDescent="0.25">
      <c r="A21" s="4554"/>
      <c r="B21" s="2528" t="s">
        <v>3573</v>
      </c>
      <c r="C21" s="2528" t="s">
        <v>1677</v>
      </c>
      <c r="D21" s="4558"/>
      <c r="E21" s="2528" t="s">
        <v>3573</v>
      </c>
      <c r="F21" s="2528" t="s">
        <v>1677</v>
      </c>
      <c r="G21" s="2528" t="s">
        <v>1596</v>
      </c>
    </row>
    <row r="22" spans="1:7" ht="15.75" x14ac:dyDescent="0.25">
      <c r="A22" s="2529" t="s">
        <v>258</v>
      </c>
      <c r="B22" s="2530">
        <f>SUM('ФАКТ.СЕБЕСТ.ВОДА 9 мес. 2021'!D14)*1000</f>
        <v>147.48333333333332</v>
      </c>
      <c r="C22" s="2531">
        <f>SUM('ФАКТ.СЕБЕСТ.ВОДА 9 мес. 2021'!G14)*1000</f>
        <v>50</v>
      </c>
      <c r="D22" s="2531">
        <f>SUM('ФАКТ.СЕБЕСТ.ВОДА 9 мес. 2021'!CD43)</f>
        <v>17.241737912101982</v>
      </c>
      <c r="E22" s="2533">
        <f>B22*D22/1000</f>
        <v>2.5428689797365074</v>
      </c>
      <c r="F22" s="2533">
        <f>C22*D22/1000</f>
        <v>0.8620868956050991</v>
      </c>
      <c r="G22" s="2533">
        <f>SUM(F22-E22)</f>
        <v>-1.6807820841314083</v>
      </c>
    </row>
    <row r="23" spans="1:7" ht="15.75" x14ac:dyDescent="0.25">
      <c r="A23" s="2529" t="s">
        <v>259</v>
      </c>
      <c r="B23" s="2530">
        <f>SUM('ФАКТ.СЕБЕСТ.ВОДА 9 мес. 2021'!M14)*1000</f>
        <v>147.48333333333332</v>
      </c>
      <c r="C23" s="2531">
        <f>SUM('ФАКТ.СЕБЕСТ.ВОДА 9 мес. 2021'!P14)*1000</f>
        <v>16</v>
      </c>
      <c r="D23" s="2531">
        <f>SUM(D22)</f>
        <v>17.241737912101982</v>
      </c>
      <c r="E23" s="2533">
        <f t="shared" ref="E23:E33" si="3">B23*D23/1000</f>
        <v>2.5428689797365074</v>
      </c>
      <c r="F23" s="2533">
        <f t="shared" ref="F23:F33" si="4">C23*D23/1000</f>
        <v>0.27586780659363169</v>
      </c>
      <c r="G23" s="2533">
        <f t="shared" ref="G23:G33" si="5">SUM(F23-E23)</f>
        <v>-2.2670011731428756</v>
      </c>
    </row>
    <row r="24" spans="1:7" ht="15.75" x14ac:dyDescent="0.25">
      <c r="A24" s="2529" t="s">
        <v>260</v>
      </c>
      <c r="B24" s="2530">
        <f>SUM('ФАКТ.СЕБЕСТ.ВОДА 9 мес. 2021'!V14)*1000</f>
        <v>147.48333333333332</v>
      </c>
      <c r="C24" s="2531">
        <f>SUM('ФАКТ.СЕБЕСТ.ВОДА 9 мес. 2021'!Y14)*1000</f>
        <v>22</v>
      </c>
      <c r="D24" s="2531">
        <f>SUM(D22)</f>
        <v>17.241737912101982</v>
      </c>
      <c r="E24" s="2533">
        <f t="shared" si="3"/>
        <v>2.5428689797365074</v>
      </c>
      <c r="F24" s="2533">
        <f t="shared" si="4"/>
        <v>0.3793182340662436</v>
      </c>
      <c r="G24" s="2533">
        <f t="shared" si="5"/>
        <v>-2.1635507456702636</v>
      </c>
    </row>
    <row r="25" spans="1:7" ht="15.75" x14ac:dyDescent="0.25">
      <c r="A25" s="2529" t="s">
        <v>261</v>
      </c>
      <c r="B25" s="2530">
        <f>SUM('ФАКТ.СЕБЕСТ.ВОДА 9 мес. 2021'!AQ14)*1000</f>
        <v>147.48333333333332</v>
      </c>
      <c r="C25" s="2531">
        <f>SUM('ФАКТ.СЕБЕСТ.ВОДА 9 мес. 2021'!AT14)*1000</f>
        <v>154</v>
      </c>
      <c r="D25" s="2531">
        <f>SUM(D22)</f>
        <v>17.241737912101982</v>
      </c>
      <c r="E25" s="2533">
        <f t="shared" si="3"/>
        <v>2.5428689797365074</v>
      </c>
      <c r="F25" s="2533">
        <f t="shared" si="4"/>
        <v>2.6552276384637055</v>
      </c>
      <c r="G25" s="2533">
        <f t="shared" si="5"/>
        <v>0.11235865872719808</v>
      </c>
    </row>
    <row r="26" spans="1:7" ht="15.75" x14ac:dyDescent="0.25">
      <c r="A26" s="2529" t="s">
        <v>262</v>
      </c>
      <c r="B26" s="2530">
        <f>SUM('ФАКТ.СЕБЕСТ.ВОДА 9 мес. 2021'!AZ14)*1000</f>
        <v>147.48333333333332</v>
      </c>
      <c r="C26" s="2531">
        <f>SUM('ФАКТ.СЕБЕСТ.ВОДА 9 мес. 2021'!BC14)*1000</f>
        <v>67</v>
      </c>
      <c r="D26" s="2531">
        <f>SUM(D22)</f>
        <v>17.241737912101982</v>
      </c>
      <c r="E26" s="2533">
        <f t="shared" si="3"/>
        <v>2.5428689797365074</v>
      </c>
      <c r="F26" s="2533">
        <f t="shared" si="4"/>
        <v>1.1551964401108328</v>
      </c>
      <c r="G26" s="2533">
        <f t="shared" si="5"/>
        <v>-1.3876725396256746</v>
      </c>
    </row>
    <row r="27" spans="1:7" ht="15.75" x14ac:dyDescent="0.25">
      <c r="A27" s="2529" t="s">
        <v>263</v>
      </c>
      <c r="B27" s="2530">
        <f>SUM('ФАКТ.СЕБЕСТ.ВОДА 9 мес. 2021'!BI14)*1000</f>
        <v>147.48333333333332</v>
      </c>
      <c r="C27" s="2531">
        <f>SUM('ФАКТ.СЕБЕСТ.ВОДА 9 мес. 2021'!BL14)*1000</f>
        <v>105</v>
      </c>
      <c r="D27" s="2531">
        <f>SUM(D22)</f>
        <v>17.241737912101982</v>
      </c>
      <c r="E27" s="2533">
        <f t="shared" si="3"/>
        <v>2.5428689797365074</v>
      </c>
      <c r="F27" s="2533">
        <f t="shared" si="4"/>
        <v>1.8103824807707081</v>
      </c>
      <c r="G27" s="2533">
        <f t="shared" si="5"/>
        <v>-0.73248649896579932</v>
      </c>
    </row>
    <row r="28" spans="1:7" ht="15.75" x14ac:dyDescent="0.25">
      <c r="A28" s="2529" t="s">
        <v>1210</v>
      </c>
      <c r="B28" s="2530">
        <f>SUM('ФАКТ.СЕБЕСТ.ВОДА 9 мес. 2021'!CP14)*1000</f>
        <v>147.48333333333332</v>
      </c>
      <c r="C28" s="2531">
        <f>SUM('ФАКТ.СЕБЕСТ.ВОДА 9 мес. 2021'!CS14)*1000</f>
        <v>84</v>
      </c>
      <c r="D28" s="2531">
        <f>SUM('ФАКТ.СЕБЕСТ.ВОДА 9 мес. 2021'!CP43)</f>
        <v>20.930050568452209</v>
      </c>
      <c r="E28" s="2533">
        <f t="shared" si="3"/>
        <v>3.0868336246705597</v>
      </c>
      <c r="F28" s="2533">
        <f t="shared" si="4"/>
        <v>1.7581242477499857</v>
      </c>
      <c r="G28" s="2533">
        <f t="shared" si="5"/>
        <v>-1.328709376920574</v>
      </c>
    </row>
    <row r="29" spans="1:7" ht="15.75" x14ac:dyDescent="0.25">
      <c r="A29" s="2529" t="s">
        <v>264</v>
      </c>
      <c r="B29" s="2530">
        <f>SUM('ФАКТ.СЕБЕСТ.ВОДА 9 мес. 2021'!CY14)*1000</f>
        <v>147.48333333333332</v>
      </c>
      <c r="C29" s="2531">
        <f>SUM('ФАКТ.СЕБЕСТ.ВОДА 9 мес. 2021'!DB14)*1000</f>
        <v>75</v>
      </c>
      <c r="D29" s="2531">
        <f>SUM(D28)</f>
        <v>20.930050568452209</v>
      </c>
      <c r="E29" s="2533">
        <f t="shared" si="3"/>
        <v>3.0868336246705597</v>
      </c>
      <c r="F29" s="2533">
        <f t="shared" si="4"/>
        <v>1.5697537926339158</v>
      </c>
      <c r="G29" s="2533">
        <f t="shared" si="5"/>
        <v>-1.5170798320366439</v>
      </c>
    </row>
    <row r="30" spans="1:7" ht="15.75" x14ac:dyDescent="0.25">
      <c r="A30" s="2529" t="s">
        <v>1228</v>
      </c>
      <c r="B30" s="2530">
        <f>SUM('ФАКТ.СЕБЕСТ.ВОДА 9 мес. 2021'!DH14)*1000</f>
        <v>147.48333333333332</v>
      </c>
      <c r="C30" s="2531">
        <f>SUM('ФАКТ.СЕБЕСТ.ВОДА 9 мес. 2021'!DK14)*1000</f>
        <v>25</v>
      </c>
      <c r="D30" s="2531">
        <f>SUM(D28)</f>
        <v>20.930050568452209</v>
      </c>
      <c r="E30" s="2533">
        <f t="shared" si="3"/>
        <v>3.0868336246705597</v>
      </c>
      <c r="F30" s="2533">
        <f t="shared" si="4"/>
        <v>0.5232512642113053</v>
      </c>
      <c r="G30" s="2533">
        <f t="shared" si="5"/>
        <v>-2.5635823604592543</v>
      </c>
    </row>
    <row r="31" spans="1:7" ht="15.75" x14ac:dyDescent="0.25">
      <c r="A31" s="2529" t="s">
        <v>265</v>
      </c>
      <c r="B31" s="2530">
        <f>SUM('ФАКТ.СЕБЕСТ.ВОДА 9 мес. 2021'!EO14)*1000</f>
        <v>147.48333333333332</v>
      </c>
      <c r="C31" s="2531">
        <f>SUM('ФАКТ.СЕБЕСТ.ВОДА 9 мес. 2021'!ER14)*1000</f>
        <v>27</v>
      </c>
      <c r="D31" s="2531">
        <f>SUM(D28)</f>
        <v>20.930050568452209</v>
      </c>
      <c r="E31" s="2533">
        <f t="shared" si="3"/>
        <v>3.0868336246705597</v>
      </c>
      <c r="F31" s="2533">
        <f t="shared" si="4"/>
        <v>0.56511136534820972</v>
      </c>
      <c r="G31" s="2533">
        <f t="shared" si="5"/>
        <v>-2.5217222593223498</v>
      </c>
    </row>
    <row r="32" spans="1:7" ht="15.75" x14ac:dyDescent="0.25">
      <c r="A32" s="2529" t="s">
        <v>266</v>
      </c>
      <c r="B32" s="2530">
        <f>SUM('ФАКТ.СЕБЕСТ.ВОДА 9 мес. 2021'!EX14)*1000</f>
        <v>147.48333333333332</v>
      </c>
      <c r="C32" s="2531">
        <f>SUM('ФАКТ.СЕБЕСТ.ВОДА 9 мес. 2021'!FA14)*1000</f>
        <v>71</v>
      </c>
      <c r="D32" s="2531">
        <f>SUM(D28)</f>
        <v>20.930050568452209</v>
      </c>
      <c r="E32" s="2533">
        <f t="shared" si="3"/>
        <v>3.0868336246705597</v>
      </c>
      <c r="F32" s="2533">
        <f t="shared" si="4"/>
        <v>1.486033590360107</v>
      </c>
      <c r="G32" s="2533">
        <f t="shared" si="5"/>
        <v>-1.6008000343104527</v>
      </c>
    </row>
    <row r="33" spans="1:7" ht="15.75" x14ac:dyDescent="0.25">
      <c r="A33" s="2529" t="s">
        <v>1319</v>
      </c>
      <c r="B33" s="2530">
        <f>SUM('ФАКТ.СЕБЕСТ.ВОДА 9 мес. 2021'!FG14)*1000</f>
        <v>147.48333333333332</v>
      </c>
      <c r="C33" s="2531">
        <f>SUM('ФАКТ.СЕБЕСТ.ВОДА 9 мес. 2021'!FJ14)*1000</f>
        <v>86</v>
      </c>
      <c r="D33" s="2531">
        <f>SUM(D28)</f>
        <v>20.930050568452209</v>
      </c>
      <c r="E33" s="2533">
        <f t="shared" si="3"/>
        <v>3.0868336246705597</v>
      </c>
      <c r="F33" s="2533">
        <f t="shared" si="4"/>
        <v>1.7999843488868901</v>
      </c>
      <c r="G33" s="2533">
        <f t="shared" si="5"/>
        <v>-1.2868492757836696</v>
      </c>
    </row>
    <row r="34" spans="1:7" ht="15.75" x14ac:dyDescent="0.25">
      <c r="A34" s="2535" t="s">
        <v>282</v>
      </c>
      <c r="B34" s="2536">
        <f>SUM(B22:B33)</f>
        <v>1769.8</v>
      </c>
      <c r="C34" s="2537">
        <f>SUM(C22:C33)</f>
        <v>782</v>
      </c>
      <c r="D34" s="2537">
        <f>F34/C34*1000</f>
        <v>18.977414456266796</v>
      </c>
      <c r="E34" s="2537">
        <f>SUM(E22:E33)</f>
        <v>33.77821562644241</v>
      </c>
      <c r="F34" s="2537">
        <f>SUM(F22:F33)</f>
        <v>14.840338104800635</v>
      </c>
      <c r="G34" s="2537">
        <f>SUM(G22:G33)</f>
        <v>-18.937877521641767</v>
      </c>
    </row>
    <row r="35" spans="1:7" ht="15" x14ac:dyDescent="0.2">
      <c r="A35" s="2538"/>
      <c r="B35" s="2538"/>
      <c r="C35" s="2538"/>
      <c r="D35" s="2538"/>
      <c r="E35" s="2538"/>
      <c r="F35" s="2538"/>
    </row>
    <row r="36" spans="1:7" ht="15.75" x14ac:dyDescent="0.2">
      <c r="A36" s="4551" t="s">
        <v>47</v>
      </c>
      <c r="B36" s="4551"/>
      <c r="C36" s="4551"/>
      <c r="D36" s="4552"/>
      <c r="E36" s="4552"/>
      <c r="F36" s="4552"/>
      <c r="G36" s="4552"/>
    </row>
    <row r="37" spans="1:7" ht="12.75" customHeight="1" x14ac:dyDescent="0.25">
      <c r="A37" s="4553" t="s">
        <v>1560</v>
      </c>
      <c r="B37" s="4555" t="s">
        <v>1708</v>
      </c>
      <c r="C37" s="4556"/>
      <c r="D37" s="4557" t="s">
        <v>1709</v>
      </c>
      <c r="E37" s="4555" t="s">
        <v>3572</v>
      </c>
      <c r="F37" s="4559"/>
      <c r="G37" s="4560"/>
    </row>
    <row r="38" spans="1:7" ht="15.75" x14ac:dyDescent="0.25">
      <c r="A38" s="4554"/>
      <c r="B38" s="2528" t="s">
        <v>3573</v>
      </c>
      <c r="C38" s="2528" t="s">
        <v>1677</v>
      </c>
      <c r="D38" s="4558"/>
      <c r="E38" s="2528" t="s">
        <v>3573</v>
      </c>
      <c r="F38" s="2528" t="s">
        <v>1677</v>
      </c>
      <c r="G38" s="2528" t="s">
        <v>1596</v>
      </c>
    </row>
    <row r="39" spans="1:7" ht="15.75" x14ac:dyDescent="0.25">
      <c r="A39" s="2529" t="s">
        <v>258</v>
      </c>
      <c r="B39" s="2530">
        <f>SUM('ФАКТ.СЕБЕСТ.СТОКИ 9 мес. 2021'!C9)*1000</f>
        <v>235561.5</v>
      </c>
      <c r="C39" s="2530">
        <f>SUM('ФАКТ.СЕБЕСТ.СТОКИ 9 мес. 2021'!F9)*1000</f>
        <v>261071.00000000003</v>
      </c>
      <c r="D39" s="2531">
        <f>SUM('ФАКТ.СЕБЕСТ.СТОКИ 9 мес. 2021'!CC30)</f>
        <v>33.144512794382315</v>
      </c>
      <c r="E39" s="2533">
        <f>B39*D39/1000</f>
        <v>7807.5711506138896</v>
      </c>
      <c r="F39" s="2533">
        <f>C39*D39/1000</f>
        <v>8653.0710997421866</v>
      </c>
      <c r="G39" s="2533">
        <f>SUM(F39-E39)</f>
        <v>845.49994912829698</v>
      </c>
    </row>
    <row r="40" spans="1:7" ht="15.75" x14ac:dyDescent="0.25">
      <c r="A40" s="2529" t="s">
        <v>259</v>
      </c>
      <c r="B40" s="2530">
        <f>SUM('ФАКТ.СЕБЕСТ.СТОКИ 9 мес. 2021'!L9)*1000</f>
        <v>235561.5</v>
      </c>
      <c r="C40" s="2530">
        <f>SUM('ФАКТ.СЕБЕСТ.СТОКИ 9 мес. 2021'!O9)*1000</f>
        <v>264030</v>
      </c>
      <c r="D40" s="2531">
        <f>SUM(D39)</f>
        <v>33.144512794382315</v>
      </c>
      <c r="E40" s="2533">
        <f t="shared" ref="E40:E50" si="6">B40*D40/1000</f>
        <v>7807.5711506138896</v>
      </c>
      <c r="F40" s="2533">
        <f t="shared" ref="F40:F50" si="7">C40*D40/1000</f>
        <v>8751.1457131007628</v>
      </c>
      <c r="G40" s="2533">
        <f t="shared" ref="G40:G50" si="8">SUM(F40-E40)</f>
        <v>943.57456248687322</v>
      </c>
    </row>
    <row r="41" spans="1:7" ht="15.75" x14ac:dyDescent="0.25">
      <c r="A41" s="2529" t="s">
        <v>260</v>
      </c>
      <c r="B41" s="2530">
        <f>SUM('ФАКТ.СЕБЕСТ.СТОКИ 9 мес. 2021'!U9)*1000</f>
        <v>235561.5</v>
      </c>
      <c r="C41" s="2530">
        <f>SUM('ФАКТ.СЕБЕСТ.СТОКИ 9 мес. 2021'!X9)*1000</f>
        <v>258370</v>
      </c>
      <c r="D41" s="2531">
        <f>SUM(D39)</f>
        <v>33.144512794382315</v>
      </c>
      <c r="E41" s="2533">
        <f t="shared" si="6"/>
        <v>7807.5711506138896</v>
      </c>
      <c r="F41" s="2533">
        <f t="shared" si="7"/>
        <v>8563.5477706845595</v>
      </c>
      <c r="G41" s="2533">
        <f t="shared" si="8"/>
        <v>755.97662007066992</v>
      </c>
    </row>
    <row r="42" spans="1:7" ht="15.75" x14ac:dyDescent="0.25">
      <c r="A42" s="2529" t="s">
        <v>261</v>
      </c>
      <c r="B42" s="2530">
        <f>SUM('ФАКТ.СЕБЕСТ.СТОКИ 9 мес. 2021'!AP9)*1000</f>
        <v>235561.5</v>
      </c>
      <c r="C42" s="2530">
        <f>SUM('ФАКТ.СЕБЕСТ.СТОКИ 9 мес. 2021'!AS9)*1000</f>
        <v>270568</v>
      </c>
      <c r="D42" s="2531">
        <f>SUM(D39)</f>
        <v>33.144512794382315</v>
      </c>
      <c r="E42" s="2533">
        <f t="shared" si="6"/>
        <v>7807.5711506138896</v>
      </c>
      <c r="F42" s="2533">
        <f t="shared" si="7"/>
        <v>8967.844537750434</v>
      </c>
      <c r="G42" s="2533">
        <f t="shared" si="8"/>
        <v>1160.2733871365444</v>
      </c>
    </row>
    <row r="43" spans="1:7" ht="15.75" x14ac:dyDescent="0.25">
      <c r="A43" s="2529" t="s">
        <v>262</v>
      </c>
      <c r="B43" s="2530">
        <f>SUM('ФАКТ.СЕБЕСТ.СТОКИ 9 мес. 2021'!AY9)*1000</f>
        <v>235561.5</v>
      </c>
      <c r="C43" s="2530">
        <f>SUM('ФАКТ.СЕБЕСТ.СТОКИ 9 мес. 2021'!BB9)*1000</f>
        <v>260581.00000000003</v>
      </c>
      <c r="D43" s="2531">
        <f>SUM(D39)</f>
        <v>33.144512794382315</v>
      </c>
      <c r="E43" s="2533">
        <f t="shared" si="6"/>
        <v>7807.5711506138896</v>
      </c>
      <c r="F43" s="2533">
        <f t="shared" si="7"/>
        <v>8636.8302884729401</v>
      </c>
      <c r="G43" s="2533">
        <f t="shared" si="8"/>
        <v>829.2591378590505</v>
      </c>
    </row>
    <row r="44" spans="1:7" ht="15.75" x14ac:dyDescent="0.25">
      <c r="A44" s="2529" t="s">
        <v>263</v>
      </c>
      <c r="B44" s="2530">
        <f>SUM('ФАКТ.СЕБЕСТ.СТОКИ 9 мес. 2021'!BH9)*1000</f>
        <v>235561.5</v>
      </c>
      <c r="C44" s="2530">
        <f>SUM('ФАКТ.СЕБЕСТ.СТОКИ 9 мес. 2021'!BK9)*1000</f>
        <v>263117</v>
      </c>
      <c r="D44" s="2531">
        <f>SUM(D39)</f>
        <v>33.144512794382315</v>
      </c>
      <c r="E44" s="2533">
        <f t="shared" si="6"/>
        <v>7807.5711506138896</v>
      </c>
      <c r="F44" s="2533">
        <f t="shared" si="7"/>
        <v>8720.8847729194913</v>
      </c>
      <c r="G44" s="2533">
        <f t="shared" si="8"/>
        <v>913.31362230560171</v>
      </c>
    </row>
    <row r="45" spans="1:7" ht="15.75" x14ac:dyDescent="0.25">
      <c r="A45" s="2529" t="s">
        <v>1210</v>
      </c>
      <c r="B45" s="2530">
        <f>SUM('ФАКТ.СЕБЕСТ.СТОКИ 9 мес. 2021'!CO9)*1000</f>
        <v>235561.5</v>
      </c>
      <c r="C45" s="2530">
        <f>SUM('ФАКТ.СЕБЕСТ.СТОКИ 9 мес. 2021'!CR9)*1000</f>
        <v>237593.00000000003</v>
      </c>
      <c r="D45" s="2531">
        <f>SUM('ФАКТ.СЕБЕСТ.СТОКИ 9 мес. 2021'!CO30)</f>
        <v>34.421056068946989</v>
      </c>
      <c r="E45" s="2533">
        <f t="shared" si="6"/>
        <v>8108.2755991852564</v>
      </c>
      <c r="F45" s="2533">
        <f t="shared" si="7"/>
        <v>8178.2019745893231</v>
      </c>
      <c r="G45" s="2533">
        <f t="shared" si="8"/>
        <v>69.926375404066675</v>
      </c>
    </row>
    <row r="46" spans="1:7" ht="15.75" x14ac:dyDescent="0.25">
      <c r="A46" s="2529" t="s">
        <v>264</v>
      </c>
      <c r="B46" s="2530">
        <f>SUM('ФАКТ.СЕБЕСТ.СТОКИ 9 мес. 2021'!CX9)*1000</f>
        <v>235561.5</v>
      </c>
      <c r="C46" s="2530">
        <f>SUM('ФАКТ.СЕБЕСТ.СТОКИ 9 мес. 2021'!DA9)*1000</f>
        <v>250726.99999999997</v>
      </c>
      <c r="D46" s="2531">
        <f>SUM(D45)</f>
        <v>34.421056068946989</v>
      </c>
      <c r="E46" s="2533">
        <f t="shared" si="6"/>
        <v>8108.2755991852564</v>
      </c>
      <c r="F46" s="2533">
        <f t="shared" si="7"/>
        <v>8630.2881249988714</v>
      </c>
      <c r="G46" s="2533">
        <f t="shared" si="8"/>
        <v>522.01252581361496</v>
      </c>
    </row>
    <row r="47" spans="1:7" ht="15.75" x14ac:dyDescent="0.25">
      <c r="A47" s="2529" t="s">
        <v>1228</v>
      </c>
      <c r="B47" s="2530">
        <f>SUM('ФАКТ.СЕБЕСТ.СТОКИ 9 мес. 2021'!DG9)*1000</f>
        <v>235561.5</v>
      </c>
      <c r="C47" s="2530">
        <f>SUM('ФАКТ.СЕБЕСТ.СТОКИ 9 мес. 2021'!DJ9)*1000</f>
        <v>249692.99999999997</v>
      </c>
      <c r="D47" s="2531">
        <f>SUM(D45)</f>
        <v>34.421056068946989</v>
      </c>
      <c r="E47" s="2533">
        <f t="shared" si="6"/>
        <v>8108.2755991852564</v>
      </c>
      <c r="F47" s="2533">
        <f t="shared" si="7"/>
        <v>8594.6967530235797</v>
      </c>
      <c r="G47" s="2533">
        <f t="shared" si="8"/>
        <v>486.42115383832333</v>
      </c>
    </row>
    <row r="48" spans="1:7" ht="15.75" x14ac:dyDescent="0.25">
      <c r="A48" s="2529" t="s">
        <v>265</v>
      </c>
      <c r="B48" s="2530">
        <f>SUM('ФАКТ.СЕБЕСТ.СТОКИ 9 мес. 2021'!EN9)*1000</f>
        <v>235561.5</v>
      </c>
      <c r="C48" s="2530">
        <f>SUM('ФАКТ.СЕБЕСТ.СТОКИ 9 мес. 2021'!EQ9)*1000</f>
        <v>255597</v>
      </c>
      <c r="D48" s="2531">
        <f>SUM(D45)</f>
        <v>34.421056068946989</v>
      </c>
      <c r="E48" s="2533">
        <f t="shared" si="6"/>
        <v>8108.2755991852564</v>
      </c>
      <c r="F48" s="2533">
        <f t="shared" si="7"/>
        <v>8797.9186680546445</v>
      </c>
      <c r="G48" s="2533">
        <f t="shared" si="8"/>
        <v>689.64306886938812</v>
      </c>
    </row>
    <row r="49" spans="1:7" ht="15.75" x14ac:dyDescent="0.25">
      <c r="A49" s="2529" t="s">
        <v>266</v>
      </c>
      <c r="B49" s="2530">
        <f>SUM('ФАКТ.СЕБЕСТ.СТОКИ 9 мес. 2021'!EW9)*1000</f>
        <v>235561.5</v>
      </c>
      <c r="C49" s="2530">
        <f>SUM('ФАКТ.СЕБЕСТ.СТОКИ 9 мес. 2021'!EZ9)*1000</f>
        <v>250144.99999999997</v>
      </c>
      <c r="D49" s="2531">
        <f>SUM(D45)</f>
        <v>34.421056068946989</v>
      </c>
      <c r="E49" s="2533">
        <f t="shared" si="6"/>
        <v>8108.2755991852564</v>
      </c>
      <c r="F49" s="2533">
        <f t="shared" si="7"/>
        <v>8610.2550703667439</v>
      </c>
      <c r="G49" s="2533">
        <f t="shared" si="8"/>
        <v>501.9794711814875</v>
      </c>
    </row>
    <row r="50" spans="1:7" ht="15.75" x14ac:dyDescent="0.25">
      <c r="A50" s="2529" t="s">
        <v>1319</v>
      </c>
      <c r="B50" s="2530">
        <f>SUM('ФАКТ.СЕБЕСТ.СТОКИ 9 мес. 2021'!FF9)*1000</f>
        <v>235561.5</v>
      </c>
      <c r="C50" s="2530">
        <f>SUM('ФАКТ.СЕБЕСТ.СТОКИ 9 мес. 2021'!FI9)*1000</f>
        <v>266370</v>
      </c>
      <c r="D50" s="2531">
        <f>SUM(D45)</f>
        <v>34.421056068946989</v>
      </c>
      <c r="E50" s="2533">
        <f t="shared" si="6"/>
        <v>8108.2755991852564</v>
      </c>
      <c r="F50" s="2533">
        <f t="shared" si="7"/>
        <v>9168.73670508541</v>
      </c>
      <c r="G50" s="2533">
        <f t="shared" si="8"/>
        <v>1060.4611059001536</v>
      </c>
    </row>
    <row r="51" spans="1:7" ht="15.75" x14ac:dyDescent="0.25">
      <c r="A51" s="2535" t="s">
        <v>282</v>
      </c>
      <c r="B51" s="2536">
        <f>SUM(B39:B50)</f>
        <v>2826738</v>
      </c>
      <c r="C51" s="2537">
        <f>SUM(C39:C50)</f>
        <v>3087862</v>
      </c>
      <c r="D51" s="2537">
        <f>F51/C51*1000</f>
        <v>33.768808800001082</v>
      </c>
      <c r="E51" s="2537">
        <f>SUM(E39:E50)</f>
        <v>95495.08049879488</v>
      </c>
      <c r="F51" s="2537">
        <f>SUM(F39:F50)</f>
        <v>104273.42147878895</v>
      </c>
      <c r="G51" s="2537">
        <f>SUM(G39:G50)</f>
        <v>8778.3409799940709</v>
      </c>
    </row>
    <row r="52" spans="1:7" ht="15" x14ac:dyDescent="0.2">
      <c r="A52" s="2538"/>
      <c r="B52" s="2538"/>
      <c r="C52" s="2538"/>
      <c r="D52" s="2538"/>
      <c r="E52" s="2538"/>
      <c r="F52" s="2538"/>
    </row>
    <row r="53" spans="1:7" ht="15.75" x14ac:dyDescent="0.2">
      <c r="A53" s="4551" t="s">
        <v>1752</v>
      </c>
      <c r="B53" s="4551"/>
      <c r="C53" s="4551"/>
      <c r="D53" s="4552"/>
      <c r="E53" s="4552"/>
      <c r="F53" s="4552"/>
      <c r="G53" s="4552"/>
    </row>
    <row r="54" spans="1:7" ht="12.75" customHeight="1" x14ac:dyDescent="0.25">
      <c r="A54" s="4553" t="s">
        <v>1560</v>
      </c>
      <c r="B54" s="4555" t="s">
        <v>1708</v>
      </c>
      <c r="C54" s="4556"/>
      <c r="D54" s="4557" t="s">
        <v>1709</v>
      </c>
      <c r="E54" s="4555" t="s">
        <v>3572</v>
      </c>
      <c r="F54" s="4559"/>
      <c r="G54" s="4560"/>
    </row>
    <row r="55" spans="1:7" ht="15.75" x14ac:dyDescent="0.25">
      <c r="A55" s="4554"/>
      <c r="B55" s="2528" t="s">
        <v>3573</v>
      </c>
      <c r="C55" s="2528" t="s">
        <v>1677</v>
      </c>
      <c r="D55" s="4558"/>
      <c r="E55" s="2528" t="s">
        <v>3573</v>
      </c>
      <c r="F55" s="2528" t="s">
        <v>1677</v>
      </c>
      <c r="G55" s="2528" t="s">
        <v>1596</v>
      </c>
    </row>
    <row r="56" spans="1:7" ht="15.75" x14ac:dyDescent="0.25">
      <c r="A56" s="2529" t="s">
        <v>258</v>
      </c>
      <c r="B56" s="2530">
        <f>SUM('ФАКТ.СЕБЕСТ.СТОКИ 9 мес. 2021'!D9)*1000</f>
        <v>1472.25</v>
      </c>
      <c r="C56" s="2530">
        <f>SUM('ФАКТ.СЕБЕСТ.СТОКИ 9 мес. 2021'!G9)*1000</f>
        <v>210</v>
      </c>
      <c r="D56" s="2533">
        <f>SUM('ФАКТ.СЕБЕСТ.СТОКИ 9 мес. 2021'!CD29)</f>
        <v>14.665597532596637</v>
      </c>
      <c r="E56" s="2533">
        <f>B56*D56/1000</f>
        <v>21.591425967365399</v>
      </c>
      <c r="F56" s="2533">
        <f>C56*D56/1000</f>
        <v>3.0797754818452936</v>
      </c>
      <c r="G56" s="2533">
        <f>SUM(F56-E56)</f>
        <v>-18.511650485520107</v>
      </c>
    </row>
    <row r="57" spans="1:7" ht="15.75" x14ac:dyDescent="0.25">
      <c r="A57" s="2529" t="s">
        <v>259</v>
      </c>
      <c r="B57" s="2530">
        <f>SUM('ФАКТ.СЕБЕСТ.СТОКИ 9 мес. 2021'!M9)*1000</f>
        <v>1472.25</v>
      </c>
      <c r="C57" s="2530">
        <f>SUM('ФАКТ.СЕБЕСТ.СТОКИ 9 мес. 2021'!P9)*1000</f>
        <v>236</v>
      </c>
      <c r="D57" s="2533">
        <f>SUM(D56)</f>
        <v>14.665597532596637</v>
      </c>
      <c r="E57" s="2533">
        <f t="shared" ref="E57:E67" si="9">B57*D57/1000</f>
        <v>21.591425967365399</v>
      </c>
      <c r="F57" s="2533">
        <f t="shared" ref="F57:F67" si="10">C57*D57/1000</f>
        <v>3.4610810176928064</v>
      </c>
      <c r="G57" s="2533">
        <f t="shared" ref="G57:G67" si="11">SUM(F57-E57)</f>
        <v>-18.130344949672594</v>
      </c>
    </row>
    <row r="58" spans="1:7" ht="15.75" x14ac:dyDescent="0.25">
      <c r="A58" s="2529" t="s">
        <v>260</v>
      </c>
      <c r="B58" s="2530">
        <f>SUM('ФАКТ.СЕБЕСТ.СТОКИ 9 мес. 2021'!V9)*1000</f>
        <v>1472.25</v>
      </c>
      <c r="C58" s="2530">
        <f>SUM('ФАКТ.СЕБЕСТ.СТОКИ 9 мес. 2021'!Y9)*1000</f>
        <v>2886.5</v>
      </c>
      <c r="D58" s="2533">
        <f>SUM(D56)</f>
        <v>14.665597532596637</v>
      </c>
      <c r="E58" s="2533">
        <f t="shared" si="9"/>
        <v>21.591425967365399</v>
      </c>
      <c r="F58" s="2533">
        <f t="shared" si="10"/>
        <v>42.332247277840196</v>
      </c>
      <c r="G58" s="2533">
        <f t="shared" si="11"/>
        <v>20.740821310474796</v>
      </c>
    </row>
    <row r="59" spans="1:7" ht="15.75" x14ac:dyDescent="0.25">
      <c r="A59" s="2529" t="s">
        <v>261</v>
      </c>
      <c r="B59" s="2530">
        <f>SUM('ФАКТ.СЕБЕСТ.СТОКИ 9 мес. 2021'!AQ9)*1000</f>
        <v>1472.25</v>
      </c>
      <c r="C59" s="2530">
        <f>SUM('ФАКТ.СЕБЕСТ.СТОКИ 9 мес. 2021'!AT9)*1000</f>
        <v>733.75</v>
      </c>
      <c r="D59" s="2533">
        <f>SUM(D56)</f>
        <v>14.665597532596637</v>
      </c>
      <c r="E59" s="2533">
        <f t="shared" si="9"/>
        <v>21.591425967365399</v>
      </c>
      <c r="F59" s="2533">
        <f t="shared" si="10"/>
        <v>10.760882189542782</v>
      </c>
      <c r="G59" s="2533">
        <f t="shared" si="11"/>
        <v>-10.830543777822617</v>
      </c>
    </row>
    <row r="60" spans="1:7" ht="15.75" x14ac:dyDescent="0.25">
      <c r="A60" s="2529" t="s">
        <v>262</v>
      </c>
      <c r="B60" s="2530">
        <f>SUM('ФАКТ.СЕБЕСТ.СТОКИ 9 мес. 2021'!AZ9)*1000</f>
        <v>1472.25</v>
      </c>
      <c r="C60" s="2530">
        <f>SUM('ФАКТ.СЕБЕСТ.СТОКИ 9 мес. 2021'!BC9)*1000</f>
        <v>268.5</v>
      </c>
      <c r="D60" s="2533">
        <f>SUM(D56)</f>
        <v>14.665597532596637</v>
      </c>
      <c r="E60" s="2533">
        <f t="shared" si="9"/>
        <v>21.591425967365399</v>
      </c>
      <c r="F60" s="2533">
        <f t="shared" si="10"/>
        <v>3.9377129375021966</v>
      </c>
      <c r="G60" s="2533">
        <f t="shared" si="11"/>
        <v>-17.653713029863201</v>
      </c>
    </row>
    <row r="61" spans="1:7" ht="15.75" x14ac:dyDescent="0.25">
      <c r="A61" s="2529" t="s">
        <v>263</v>
      </c>
      <c r="B61" s="2530">
        <f>SUM('ФАКТ.СЕБЕСТ.СТОКИ 9 мес. 2021'!BI9)*1000</f>
        <v>1472.25</v>
      </c>
      <c r="C61" s="2530">
        <f>SUM('ФАКТ.СЕБЕСТ.СТОКИ 9 мес. 2021'!BL9)*1000</f>
        <v>3097</v>
      </c>
      <c r="D61" s="2533">
        <f>SUM(D56)</f>
        <v>14.665597532596637</v>
      </c>
      <c r="E61" s="2533">
        <f t="shared" si="9"/>
        <v>21.591425967365399</v>
      </c>
      <c r="F61" s="2533">
        <f t="shared" si="10"/>
        <v>45.419355558451784</v>
      </c>
      <c r="G61" s="2533">
        <f t="shared" si="11"/>
        <v>23.827929591086384</v>
      </c>
    </row>
    <row r="62" spans="1:7" ht="15.75" x14ac:dyDescent="0.25">
      <c r="A62" s="2529" t="s">
        <v>1210</v>
      </c>
      <c r="B62" s="2530">
        <f>SUM('ФАКТ.СЕБЕСТ.СТОКИ 9 мес. 2021'!CP9)*1000</f>
        <v>1472.25</v>
      </c>
      <c r="C62" s="2530">
        <f>SUM('ФАКТ.СЕБЕСТ.СТОКИ 9 мес. 2021'!CS9)*1000</f>
        <v>466</v>
      </c>
      <c r="D62" s="2533">
        <f>SUM('ФАКТ.СЕБЕСТ.СТОКИ 9 мес. 2021'!CP29)</f>
        <v>19.940682207252795</v>
      </c>
      <c r="E62" s="2533">
        <f t="shared" si="9"/>
        <v>29.357669379627929</v>
      </c>
      <c r="F62" s="2533">
        <f t="shared" si="10"/>
        <v>9.2923579085798025</v>
      </c>
      <c r="G62" s="2533">
        <f t="shared" si="11"/>
        <v>-20.065311471048126</v>
      </c>
    </row>
    <row r="63" spans="1:7" ht="15.75" x14ac:dyDescent="0.25">
      <c r="A63" s="2529" t="s">
        <v>264</v>
      </c>
      <c r="B63" s="2530">
        <f>SUM('ФАКТ.СЕБЕСТ.СТОКИ 9 мес. 2021'!CY9)*1000</f>
        <v>1472.25</v>
      </c>
      <c r="C63" s="2530">
        <f>SUM('ФАКТ.СЕБЕСТ.СТОКИ 9 мес. 2021'!DB9)*1000</f>
        <v>815</v>
      </c>
      <c r="D63" s="2533">
        <f>SUM(D62)</f>
        <v>19.940682207252795</v>
      </c>
      <c r="E63" s="2533">
        <f t="shared" si="9"/>
        <v>29.357669379627929</v>
      </c>
      <c r="F63" s="2533">
        <f t="shared" si="10"/>
        <v>16.25165599891103</v>
      </c>
      <c r="G63" s="2533">
        <f t="shared" si="11"/>
        <v>-13.106013380716899</v>
      </c>
    </row>
    <row r="64" spans="1:7" ht="15.75" x14ac:dyDescent="0.25">
      <c r="A64" s="2529" t="s">
        <v>1228</v>
      </c>
      <c r="B64" s="2530">
        <f>SUM('ФАКТ.СЕБЕСТ.СТОКИ 9 мес. 2021'!DH9)*1000</f>
        <v>1472.25</v>
      </c>
      <c r="C64" s="2530">
        <f>SUM('ФАКТ.СЕБЕСТ.СТОКИ 9 мес. 2021'!DK9)*1000</f>
        <v>2896</v>
      </c>
      <c r="D64" s="2533">
        <f>SUM(D62)</f>
        <v>19.940682207252795</v>
      </c>
      <c r="E64" s="2533">
        <f t="shared" si="9"/>
        <v>29.357669379627929</v>
      </c>
      <c r="F64" s="2533">
        <f t="shared" si="10"/>
        <v>57.748215672204097</v>
      </c>
      <c r="G64" s="2533">
        <f t="shared" si="11"/>
        <v>28.390546292576168</v>
      </c>
    </row>
    <row r="65" spans="1:7" ht="15.75" x14ac:dyDescent="0.25">
      <c r="A65" s="2529" t="s">
        <v>265</v>
      </c>
      <c r="B65" s="2530">
        <f>SUM('ФАКТ.СЕБЕСТ.СТОКИ 9 мес. 2021'!EO9)*1000</f>
        <v>1472.25</v>
      </c>
      <c r="C65" s="2530">
        <f>SUM('ФАКТ.СЕБЕСТ.СТОКИ 9 мес. 2021'!ER9)*1000</f>
        <v>1129</v>
      </c>
      <c r="D65" s="2533">
        <f>SUM(D62)</f>
        <v>19.940682207252795</v>
      </c>
      <c r="E65" s="2533">
        <f t="shared" si="9"/>
        <v>29.357669379627929</v>
      </c>
      <c r="F65" s="2533">
        <f t="shared" si="10"/>
        <v>22.513030211988408</v>
      </c>
      <c r="G65" s="2533">
        <f t="shared" si="11"/>
        <v>-6.8446391676395208</v>
      </c>
    </row>
    <row r="66" spans="1:7" ht="15.75" x14ac:dyDescent="0.25">
      <c r="A66" s="2529" t="s">
        <v>266</v>
      </c>
      <c r="B66" s="2530">
        <f>SUM('ФАКТ.СЕБЕСТ.СТОКИ 9 мес. 2021'!EX9)*1000</f>
        <v>1472.25</v>
      </c>
      <c r="C66" s="2530">
        <f>SUM('ФАКТ.СЕБЕСТ.СТОКИ 9 мес. 2021'!FA9)*1000</f>
        <v>296</v>
      </c>
      <c r="D66" s="2533">
        <f>SUM(D62)</f>
        <v>19.940682207252795</v>
      </c>
      <c r="E66" s="2533">
        <f t="shared" si="9"/>
        <v>29.357669379627929</v>
      </c>
      <c r="F66" s="2533">
        <f t="shared" si="10"/>
        <v>5.9024419333468279</v>
      </c>
      <c r="G66" s="2533">
        <f t="shared" si="11"/>
        <v>-23.4552274462811</v>
      </c>
    </row>
    <row r="67" spans="1:7" ht="15.75" x14ac:dyDescent="0.25">
      <c r="A67" s="2529" t="s">
        <v>1319</v>
      </c>
      <c r="B67" s="2530">
        <f>SUM('ФАКТ.СЕБЕСТ.СТОКИ 9 мес. 2021'!FG9)*1000</f>
        <v>1472.25</v>
      </c>
      <c r="C67" s="2530">
        <f>SUM('ФАКТ.СЕБЕСТ.СТОКИ 9 мес. 2021'!FJ9)*1000</f>
        <v>3184</v>
      </c>
      <c r="D67" s="2533">
        <f>SUM(D62)</f>
        <v>19.940682207252795</v>
      </c>
      <c r="E67" s="2533">
        <f t="shared" si="9"/>
        <v>29.357669379627929</v>
      </c>
      <c r="F67" s="2533">
        <f t="shared" si="10"/>
        <v>63.491132147892905</v>
      </c>
      <c r="G67" s="2533">
        <f t="shared" si="11"/>
        <v>34.133462768264977</v>
      </c>
    </row>
    <row r="68" spans="1:7" ht="15.75" x14ac:dyDescent="0.25">
      <c r="A68" s="2535" t="s">
        <v>282</v>
      </c>
      <c r="B68" s="2536">
        <f>SUM(B56:B67)</f>
        <v>17667</v>
      </c>
      <c r="C68" s="2537">
        <f>SUM(C56:C67)</f>
        <v>16217.75</v>
      </c>
      <c r="D68" s="2537">
        <f>F68/C68*1000</f>
        <v>17.523385693810681</v>
      </c>
      <c r="E68" s="2537">
        <f>SUM(E56:E67)</f>
        <v>305.69457208195996</v>
      </c>
      <c r="F68" s="2537">
        <f>SUM(F56:F67)</f>
        <v>284.18988833579817</v>
      </c>
      <c r="G68" s="2537">
        <f>SUM(G56:G67)</f>
        <v>-21.504683746161845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7">
    <tabColor theme="1"/>
    <pageSetUpPr fitToPage="1"/>
  </sheetPr>
  <dimension ref="A1:GM430"/>
  <sheetViews>
    <sheetView tabSelected="1" zoomScale="70" zoomScaleNormal="70" zoomScalePageLayoutView="90" workbookViewId="0">
      <pane xSplit="1" ySplit="6" topLeftCell="EA67" activePane="bottomRight" state="frozen"/>
      <selection pane="topRight" activeCell="B1" sqref="B1"/>
      <selection pane="bottomLeft" activeCell="A7" sqref="A7"/>
      <selection pane="bottomRight" activeCell="EA5" sqref="EA5:EL5"/>
    </sheetView>
  </sheetViews>
  <sheetFormatPr defaultRowHeight="12.75" x14ac:dyDescent="0.2"/>
  <cols>
    <col min="1" max="1" width="57" customWidth="1"/>
    <col min="2" max="5" width="12.7109375" hidden="1" customWidth="1"/>
    <col min="6" max="6" width="13.7109375" hidden="1" customWidth="1"/>
    <col min="7" max="28" width="12.7109375" hidden="1" customWidth="1"/>
    <col min="29" max="30" width="14.140625" hidden="1" customWidth="1"/>
    <col min="31" max="31" width="12.7109375" hidden="1" customWidth="1"/>
    <col min="32" max="32" width="14.85546875" hidden="1" customWidth="1"/>
    <col min="33" max="33" width="14.28515625" hidden="1" customWidth="1"/>
    <col min="34" max="37" width="12.7109375" hidden="1" customWidth="1"/>
    <col min="38" max="38" width="13.28515625" hidden="1" customWidth="1"/>
    <col min="39" max="39" width="13.140625" hidden="1" customWidth="1"/>
    <col min="40" max="76" width="12.7109375" hidden="1" customWidth="1"/>
    <col min="77" max="77" width="13.42578125" hidden="1" customWidth="1"/>
    <col min="78" max="78" width="13.140625" hidden="1" customWidth="1"/>
    <col min="79" max="88" width="12.7109375" hidden="1" customWidth="1"/>
    <col min="89" max="89" width="13.28515625" hidden="1" customWidth="1"/>
    <col min="90" max="90" width="13.5703125" hidden="1" customWidth="1"/>
    <col min="91" max="127" width="12.7109375" hidden="1" customWidth="1"/>
    <col min="128" max="128" width="13.42578125" hidden="1" customWidth="1"/>
    <col min="129" max="129" width="13.140625" hidden="1" customWidth="1"/>
    <col min="130" max="130" width="12.7109375" hidden="1" customWidth="1"/>
    <col min="131" max="131" width="14.28515625" customWidth="1"/>
    <col min="132" max="133" width="12.7109375" customWidth="1"/>
    <col min="134" max="136" width="13.140625" customWidth="1"/>
    <col min="137" max="139" width="12.7109375" customWidth="1"/>
    <col min="140" max="140" width="13.28515625" customWidth="1"/>
    <col min="141" max="141" width="13.140625" customWidth="1"/>
    <col min="142" max="142" width="12.7109375" customWidth="1"/>
    <col min="143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3" width="14.85546875" hidden="1" customWidth="1"/>
    <col min="184" max="187" width="14.28515625" hidden="1" customWidth="1"/>
    <col min="188" max="188" width="14" hidden="1" customWidth="1"/>
    <col min="189" max="190" width="12.7109375" hidden="1" customWidth="1"/>
    <col min="191" max="192" width="13.140625" hidden="1" customWidth="1"/>
    <col min="193" max="193" width="12.7109375" hidden="1" customWidth="1"/>
    <col min="195" max="195" width="12.42578125" customWidth="1"/>
  </cols>
  <sheetData>
    <row r="1" spans="1:195" ht="23.25" x14ac:dyDescent="0.35">
      <c r="A1" s="2905" t="s">
        <v>3806</v>
      </c>
      <c r="BA1" s="2972"/>
      <c r="BB1" s="2972"/>
      <c r="BC1" s="2972"/>
    </row>
    <row r="2" spans="1:195" ht="23.25" x14ac:dyDescent="0.35">
      <c r="A2" s="2905" t="s">
        <v>3969</v>
      </c>
      <c r="BA2" s="2972"/>
      <c r="BB2" s="2972"/>
      <c r="BC2" s="2972"/>
    </row>
    <row r="3" spans="1:195" ht="23.25" x14ac:dyDescent="0.35">
      <c r="BA3" s="2972"/>
      <c r="BB3" s="2972"/>
      <c r="BC3" s="2972"/>
    </row>
    <row r="4" spans="1:195" ht="18.75" customHeight="1" x14ac:dyDescent="0.2">
      <c r="A4" s="4561" t="s">
        <v>3790</v>
      </c>
      <c r="B4" s="4562"/>
      <c r="C4" s="4562"/>
      <c r="D4" s="4562"/>
      <c r="E4" s="4562"/>
      <c r="F4" s="4562"/>
      <c r="G4" s="4562"/>
      <c r="H4" s="4562"/>
      <c r="I4" s="4562"/>
      <c r="J4" s="4562"/>
      <c r="K4" s="4562"/>
      <c r="L4" s="4562"/>
      <c r="M4" s="4562"/>
      <c r="N4" s="4562"/>
      <c r="O4" s="4562"/>
      <c r="P4" s="4562"/>
      <c r="Q4" s="4562"/>
      <c r="R4" s="4562"/>
      <c r="S4" s="4562"/>
      <c r="T4" s="4562"/>
      <c r="U4" s="4562"/>
      <c r="V4" s="4562"/>
      <c r="W4" s="4562"/>
      <c r="X4" s="4562"/>
      <c r="Y4" s="4562"/>
      <c r="Z4" s="4562"/>
      <c r="AA4" s="4562"/>
      <c r="AB4" s="4562"/>
      <c r="AC4" s="4562"/>
      <c r="AD4" s="4562"/>
      <c r="AE4" s="4562"/>
      <c r="AF4" s="4562"/>
      <c r="AG4" s="4562"/>
      <c r="AH4" s="4562"/>
      <c r="AI4" s="4562"/>
      <c r="AJ4" s="4562"/>
      <c r="AK4" s="4562"/>
      <c r="AL4" s="4562"/>
      <c r="AM4" s="4562"/>
      <c r="AN4" s="4562"/>
      <c r="AO4" s="4562"/>
      <c r="AP4" s="4562"/>
      <c r="AQ4" s="4562"/>
      <c r="AR4" s="4562"/>
      <c r="AS4" s="4562"/>
      <c r="AT4" s="4562"/>
      <c r="AU4" s="4562"/>
      <c r="AV4" s="4562"/>
      <c r="AW4" s="4562"/>
      <c r="AX4" s="4562"/>
      <c r="AY4" s="4562"/>
      <c r="AZ4" s="4562"/>
      <c r="BA4" s="4562"/>
      <c r="BB4" s="4562"/>
      <c r="BC4" s="4562"/>
      <c r="BD4" s="4562"/>
      <c r="BE4" s="4562"/>
      <c r="BF4" s="4562"/>
      <c r="BG4" s="4562"/>
      <c r="BH4" s="4562"/>
      <c r="BI4" s="4562"/>
      <c r="BJ4" s="4562"/>
      <c r="BK4" s="4562"/>
      <c r="BL4" s="4562"/>
      <c r="BM4" s="4562"/>
      <c r="BN4" s="4562"/>
      <c r="BO4" s="4562"/>
      <c r="BP4" s="4562"/>
      <c r="BQ4" s="4562"/>
      <c r="BR4" s="4562"/>
      <c r="BS4" s="4562"/>
      <c r="BT4" s="4562"/>
      <c r="BU4" s="4562"/>
      <c r="BV4" s="4562"/>
      <c r="BW4" s="4562"/>
      <c r="BX4" s="4562"/>
      <c r="BY4" s="4562"/>
      <c r="BZ4" s="4562"/>
      <c r="CA4" s="4562"/>
      <c r="CB4" s="4562"/>
      <c r="CC4" s="4562"/>
      <c r="CD4" s="4562"/>
      <c r="CE4" s="4562"/>
      <c r="CF4" s="4562"/>
      <c r="CG4" s="4562"/>
      <c r="CH4" s="4562"/>
      <c r="CI4" s="4562"/>
      <c r="CJ4" s="4562"/>
      <c r="CK4" s="4562"/>
      <c r="CL4" s="4562"/>
      <c r="CM4" s="4562"/>
      <c r="CN4" s="4562"/>
      <c r="CO4" s="4562"/>
      <c r="CP4" s="4562"/>
      <c r="CQ4" s="4562"/>
      <c r="CR4" s="4562"/>
      <c r="CS4" s="4562"/>
      <c r="CT4" s="4562"/>
      <c r="CU4" s="4562"/>
      <c r="CV4" s="4562"/>
      <c r="CW4" s="4562"/>
      <c r="CX4" s="4562"/>
      <c r="CY4" s="4562"/>
      <c r="CZ4" s="4562"/>
      <c r="DA4" s="4562"/>
      <c r="DB4" s="4562"/>
      <c r="DC4" s="4562"/>
      <c r="DD4" s="4562"/>
      <c r="DE4" s="4562"/>
      <c r="DF4" s="4562"/>
      <c r="DG4" s="4562"/>
      <c r="DH4" s="4562"/>
      <c r="DI4" s="4562"/>
      <c r="DJ4" s="4562"/>
      <c r="DK4" s="4562"/>
      <c r="DL4" s="4562"/>
      <c r="DM4" s="4562"/>
      <c r="DN4" s="4562"/>
      <c r="DO4" s="4562"/>
      <c r="DP4" s="4562"/>
      <c r="DQ4" s="4562"/>
      <c r="DR4" s="4562"/>
      <c r="DS4" s="4562"/>
      <c r="DT4" s="4562"/>
      <c r="DU4" s="4562"/>
      <c r="DV4" s="4562"/>
      <c r="DW4" s="4562"/>
      <c r="DX4" s="4562"/>
      <c r="DY4" s="4562"/>
      <c r="DZ4" s="4562"/>
      <c r="EA4" s="4562"/>
      <c r="EB4" s="4562"/>
      <c r="EC4" s="4562"/>
      <c r="ED4" s="4562"/>
      <c r="EE4" s="4562"/>
      <c r="EF4" s="4562"/>
      <c r="EG4" s="4562"/>
      <c r="EH4" s="4562"/>
      <c r="EI4" s="4562"/>
      <c r="EJ4" s="4562"/>
      <c r="EK4" s="4562"/>
      <c r="EL4" s="4562"/>
      <c r="EM4" s="4562"/>
      <c r="EN4" s="4562"/>
      <c r="EO4" s="4562"/>
      <c r="EP4" s="4562"/>
      <c r="EQ4" s="4562"/>
      <c r="ER4" s="4562"/>
      <c r="ES4" s="4562"/>
      <c r="ET4" s="4562"/>
      <c r="EU4" s="4562"/>
      <c r="EV4" s="4562"/>
      <c r="EW4" s="4562"/>
      <c r="EX4" s="4562"/>
      <c r="EY4" s="4562"/>
      <c r="EZ4" s="4562"/>
      <c r="FA4" s="4562"/>
      <c r="FB4" s="4562"/>
      <c r="FC4" s="4562"/>
      <c r="FD4" s="4562"/>
      <c r="FE4" s="4562"/>
      <c r="FF4" s="4562"/>
      <c r="FG4" s="4562"/>
      <c r="FH4" s="4562"/>
      <c r="FI4" s="4562"/>
      <c r="FJ4" s="4562"/>
      <c r="FK4" s="4562"/>
      <c r="FL4" s="4562"/>
      <c r="FM4" s="4562"/>
      <c r="FN4" s="4562"/>
      <c r="FO4" s="4562"/>
      <c r="FP4" s="4562"/>
      <c r="FQ4" s="4562"/>
      <c r="FR4" s="4562"/>
      <c r="FS4" s="4562"/>
      <c r="FT4" s="4562"/>
      <c r="FU4" s="4562"/>
      <c r="FV4" s="4562"/>
      <c r="FW4" s="4562"/>
      <c r="FX4" s="4562"/>
      <c r="FY4" s="4562"/>
      <c r="FZ4" s="4562"/>
      <c r="GA4" s="4562"/>
      <c r="GB4" s="4562"/>
      <c r="GC4" s="4562"/>
      <c r="GD4" s="4562"/>
      <c r="GE4" s="4562"/>
      <c r="GF4" s="4562"/>
      <c r="GG4" s="4562"/>
      <c r="GH4" s="4562"/>
      <c r="GI4" s="4562"/>
      <c r="GJ4" s="4562"/>
      <c r="GK4" s="4563"/>
      <c r="GM4" s="4234"/>
    </row>
    <row r="5" spans="1:195" ht="19.5" customHeight="1" x14ac:dyDescent="0.2">
      <c r="A5" s="4564" t="s">
        <v>527</v>
      </c>
      <c r="B5" s="4565" t="s">
        <v>3764</v>
      </c>
      <c r="C5" s="4566"/>
      <c r="D5" s="4566"/>
      <c r="E5" s="4567"/>
      <c r="F5" s="4567"/>
      <c r="G5" s="4567"/>
      <c r="H5" s="4567"/>
      <c r="I5" s="4568"/>
      <c r="J5" s="4569"/>
      <c r="K5" s="4565" t="s">
        <v>3765</v>
      </c>
      <c r="L5" s="4566"/>
      <c r="M5" s="4566"/>
      <c r="N5" s="4567"/>
      <c r="O5" s="4567"/>
      <c r="P5" s="4567"/>
      <c r="Q5" s="4567"/>
      <c r="R5" s="4568"/>
      <c r="S5" s="4569"/>
      <c r="T5" s="4565" t="s">
        <v>3766</v>
      </c>
      <c r="U5" s="4566"/>
      <c r="V5" s="4566"/>
      <c r="W5" s="4567"/>
      <c r="X5" s="4567"/>
      <c r="Y5" s="4567"/>
      <c r="Z5" s="4567"/>
      <c r="AA5" s="4570"/>
      <c r="AB5" s="4571"/>
      <c r="AC5" s="4572" t="s">
        <v>3716</v>
      </c>
      <c r="AD5" s="4573"/>
      <c r="AE5" s="4573"/>
      <c r="AF5" s="4574"/>
      <c r="AG5" s="4574"/>
      <c r="AH5" s="4574"/>
      <c r="AI5" s="4574"/>
      <c r="AJ5" s="4574"/>
      <c r="AK5" s="4574"/>
      <c r="AL5" s="4574"/>
      <c r="AM5" s="4574"/>
      <c r="AN5" s="4574"/>
      <c r="AO5" s="4565" t="s">
        <v>3767</v>
      </c>
      <c r="AP5" s="4566"/>
      <c r="AQ5" s="4566"/>
      <c r="AR5" s="4567"/>
      <c r="AS5" s="4567"/>
      <c r="AT5" s="4567"/>
      <c r="AU5" s="4567"/>
      <c r="AV5" s="4570"/>
      <c r="AW5" s="4571"/>
      <c r="AX5" s="4565" t="s">
        <v>3768</v>
      </c>
      <c r="AY5" s="4566"/>
      <c r="AZ5" s="4566"/>
      <c r="BA5" s="4567"/>
      <c r="BB5" s="4567"/>
      <c r="BC5" s="4567"/>
      <c r="BD5" s="4567"/>
      <c r="BE5" s="4568"/>
      <c r="BF5" s="4569"/>
      <c r="BG5" s="4565" t="s">
        <v>3769</v>
      </c>
      <c r="BH5" s="4566"/>
      <c r="BI5" s="4566"/>
      <c r="BJ5" s="4567"/>
      <c r="BK5" s="4567"/>
      <c r="BL5" s="4567"/>
      <c r="BM5" s="4567"/>
      <c r="BN5" s="4568"/>
      <c r="BO5" s="4569"/>
      <c r="BP5" s="4572" t="s">
        <v>3717</v>
      </c>
      <c r="BQ5" s="4573"/>
      <c r="BR5" s="4573"/>
      <c r="BS5" s="4574"/>
      <c r="BT5" s="4574"/>
      <c r="BU5" s="4574"/>
      <c r="BV5" s="4574"/>
      <c r="BW5" s="4574"/>
      <c r="BX5" s="4574"/>
      <c r="BY5" s="4568"/>
      <c r="BZ5" s="4568"/>
      <c r="CA5" s="4568"/>
      <c r="CB5" s="4572" t="s">
        <v>3718</v>
      </c>
      <c r="CC5" s="4573"/>
      <c r="CD5" s="4573"/>
      <c r="CE5" s="4574"/>
      <c r="CF5" s="4574"/>
      <c r="CG5" s="4574"/>
      <c r="CH5" s="4574"/>
      <c r="CI5" s="4574"/>
      <c r="CJ5" s="4574"/>
      <c r="CK5" s="4568"/>
      <c r="CL5" s="4568"/>
      <c r="CM5" s="4568"/>
      <c r="CN5" s="4565" t="s">
        <v>1360</v>
      </c>
      <c r="CO5" s="4566"/>
      <c r="CP5" s="4566"/>
      <c r="CQ5" s="4567"/>
      <c r="CR5" s="4567"/>
      <c r="CS5" s="4567"/>
      <c r="CT5" s="4567"/>
      <c r="CU5" s="4568"/>
      <c r="CV5" s="4569"/>
      <c r="CW5" s="4565" t="s">
        <v>3770</v>
      </c>
      <c r="CX5" s="4566"/>
      <c r="CY5" s="4566"/>
      <c r="CZ5" s="4567"/>
      <c r="DA5" s="4567"/>
      <c r="DB5" s="4567"/>
      <c r="DC5" s="4567"/>
      <c r="DD5" s="4568"/>
      <c r="DE5" s="4569"/>
      <c r="DF5" s="4565" t="s">
        <v>3771</v>
      </c>
      <c r="DG5" s="4566"/>
      <c r="DH5" s="4566"/>
      <c r="DI5" s="4567"/>
      <c r="DJ5" s="4567"/>
      <c r="DK5" s="4567"/>
      <c r="DL5" s="4567"/>
      <c r="DM5" s="4568"/>
      <c r="DN5" s="4569"/>
      <c r="DO5" s="4572" t="s">
        <v>3719</v>
      </c>
      <c r="DP5" s="4573"/>
      <c r="DQ5" s="4573"/>
      <c r="DR5" s="4574"/>
      <c r="DS5" s="4574"/>
      <c r="DT5" s="4574"/>
      <c r="DU5" s="4574"/>
      <c r="DV5" s="4574"/>
      <c r="DW5" s="4574"/>
      <c r="DX5" s="4568"/>
      <c r="DY5" s="4568"/>
      <c r="DZ5" s="4568"/>
      <c r="EA5" s="4572" t="s">
        <v>3720</v>
      </c>
      <c r="EB5" s="4573"/>
      <c r="EC5" s="4573"/>
      <c r="ED5" s="4574"/>
      <c r="EE5" s="4574"/>
      <c r="EF5" s="4574"/>
      <c r="EG5" s="4574"/>
      <c r="EH5" s="4574"/>
      <c r="EI5" s="4574"/>
      <c r="EJ5" s="4568"/>
      <c r="EK5" s="4568"/>
      <c r="EL5" s="4568"/>
      <c r="EM5" s="4565" t="s">
        <v>3772</v>
      </c>
      <c r="EN5" s="4566"/>
      <c r="EO5" s="4566"/>
      <c r="EP5" s="4567"/>
      <c r="EQ5" s="4567"/>
      <c r="ER5" s="4567"/>
      <c r="ES5" s="4567"/>
      <c r="ET5" s="4568"/>
      <c r="EU5" s="4569"/>
      <c r="EV5" s="4565" t="s">
        <v>3773</v>
      </c>
      <c r="EW5" s="4566"/>
      <c r="EX5" s="4566"/>
      <c r="EY5" s="4567"/>
      <c r="EZ5" s="4567"/>
      <c r="FA5" s="4567"/>
      <c r="FB5" s="4567"/>
      <c r="FC5" s="4568"/>
      <c r="FD5" s="4569"/>
      <c r="FE5" s="4565" t="s">
        <v>3774</v>
      </c>
      <c r="FF5" s="4566"/>
      <c r="FG5" s="4566"/>
      <c r="FH5" s="4567"/>
      <c r="FI5" s="4567"/>
      <c r="FJ5" s="4567"/>
      <c r="FK5" s="4567"/>
      <c r="FL5" s="4568"/>
      <c r="FM5" s="4569"/>
      <c r="FN5" s="4572" t="s">
        <v>3721</v>
      </c>
      <c r="FO5" s="4573"/>
      <c r="FP5" s="4573"/>
      <c r="FQ5" s="4574"/>
      <c r="FR5" s="4574"/>
      <c r="FS5" s="4574"/>
      <c r="FT5" s="4574"/>
      <c r="FU5" s="4574"/>
      <c r="FV5" s="4574"/>
      <c r="FW5" s="4568"/>
      <c r="FX5" s="4568"/>
      <c r="FY5" s="4568"/>
      <c r="FZ5" s="4572" t="s">
        <v>1992</v>
      </c>
      <c r="GA5" s="4573"/>
      <c r="GB5" s="4573"/>
      <c r="GC5" s="4574"/>
      <c r="GD5" s="4574"/>
      <c r="GE5" s="4574"/>
      <c r="GF5" s="4574"/>
      <c r="GG5" s="4574"/>
      <c r="GH5" s="4574"/>
      <c r="GI5" s="4568"/>
      <c r="GJ5" s="4568"/>
      <c r="GK5" s="4569"/>
      <c r="GM5" s="4234"/>
    </row>
    <row r="6" spans="1:195" ht="19.5" customHeight="1" x14ac:dyDescent="0.2">
      <c r="A6" s="4564"/>
      <c r="B6" s="4575" t="s">
        <v>3573</v>
      </c>
      <c r="C6" s="4576"/>
      <c r="D6" s="4577"/>
      <c r="E6" s="4575" t="s">
        <v>1677</v>
      </c>
      <c r="F6" s="4576"/>
      <c r="G6" s="4577"/>
      <c r="H6" s="4575" t="s">
        <v>3775</v>
      </c>
      <c r="I6" s="4576"/>
      <c r="J6" s="4577"/>
      <c r="K6" s="4575" t="s">
        <v>3573</v>
      </c>
      <c r="L6" s="4576"/>
      <c r="M6" s="4577"/>
      <c r="N6" s="4575" t="s">
        <v>1677</v>
      </c>
      <c r="O6" s="4576"/>
      <c r="P6" s="4577"/>
      <c r="Q6" s="4575" t="s">
        <v>3775</v>
      </c>
      <c r="R6" s="4576"/>
      <c r="S6" s="4577"/>
      <c r="T6" s="4575" t="s">
        <v>3573</v>
      </c>
      <c r="U6" s="4576"/>
      <c r="V6" s="4577"/>
      <c r="W6" s="4575" t="s">
        <v>1677</v>
      </c>
      <c r="X6" s="4576"/>
      <c r="Y6" s="4577"/>
      <c r="Z6" s="4575" t="s">
        <v>3775</v>
      </c>
      <c r="AA6" s="4576"/>
      <c r="AB6" s="4577"/>
      <c r="AC6" s="4578" t="s">
        <v>3573</v>
      </c>
      <c r="AD6" s="4579"/>
      <c r="AE6" s="4580"/>
      <c r="AF6" s="4581" t="s">
        <v>1677</v>
      </c>
      <c r="AG6" s="4582"/>
      <c r="AH6" s="4583"/>
      <c r="AI6" s="4581" t="s">
        <v>3775</v>
      </c>
      <c r="AJ6" s="4582"/>
      <c r="AK6" s="4583"/>
      <c r="AL6" s="4578" t="s">
        <v>3776</v>
      </c>
      <c r="AM6" s="4579"/>
      <c r="AN6" s="4580"/>
      <c r="AO6" s="4575" t="s">
        <v>3573</v>
      </c>
      <c r="AP6" s="4576"/>
      <c r="AQ6" s="4577"/>
      <c r="AR6" s="4575" t="s">
        <v>1677</v>
      </c>
      <c r="AS6" s="4576"/>
      <c r="AT6" s="4577"/>
      <c r="AU6" s="4575" t="s">
        <v>3775</v>
      </c>
      <c r="AV6" s="4576"/>
      <c r="AW6" s="4577"/>
      <c r="AX6" s="4575" t="s">
        <v>3573</v>
      </c>
      <c r="AY6" s="4576"/>
      <c r="AZ6" s="4577"/>
      <c r="BA6" s="4575" t="s">
        <v>1677</v>
      </c>
      <c r="BB6" s="4576"/>
      <c r="BC6" s="4577"/>
      <c r="BD6" s="4575" t="s">
        <v>3775</v>
      </c>
      <c r="BE6" s="4576"/>
      <c r="BF6" s="4577"/>
      <c r="BG6" s="4575" t="s">
        <v>3573</v>
      </c>
      <c r="BH6" s="4576"/>
      <c r="BI6" s="4577"/>
      <c r="BJ6" s="4575" t="s">
        <v>1677</v>
      </c>
      <c r="BK6" s="4576"/>
      <c r="BL6" s="4577"/>
      <c r="BM6" s="4575" t="s">
        <v>3775</v>
      </c>
      <c r="BN6" s="4576"/>
      <c r="BO6" s="4577"/>
      <c r="BP6" s="4578" t="s">
        <v>3573</v>
      </c>
      <c r="BQ6" s="4579"/>
      <c r="BR6" s="4580"/>
      <c r="BS6" s="4581" t="s">
        <v>1677</v>
      </c>
      <c r="BT6" s="4582"/>
      <c r="BU6" s="4583"/>
      <c r="BV6" s="4581" t="s">
        <v>3775</v>
      </c>
      <c r="BW6" s="4582"/>
      <c r="BX6" s="4583"/>
      <c r="BY6" s="4578" t="s">
        <v>3776</v>
      </c>
      <c r="BZ6" s="4579"/>
      <c r="CA6" s="4580"/>
      <c r="CB6" s="4578" t="s">
        <v>3573</v>
      </c>
      <c r="CC6" s="4579"/>
      <c r="CD6" s="4580"/>
      <c r="CE6" s="4581" t="s">
        <v>1677</v>
      </c>
      <c r="CF6" s="4582"/>
      <c r="CG6" s="4583"/>
      <c r="CH6" s="4581" t="s">
        <v>3775</v>
      </c>
      <c r="CI6" s="4582"/>
      <c r="CJ6" s="4583"/>
      <c r="CK6" s="4578" t="s">
        <v>3776</v>
      </c>
      <c r="CL6" s="4579"/>
      <c r="CM6" s="4580"/>
      <c r="CN6" s="4575" t="s">
        <v>3573</v>
      </c>
      <c r="CO6" s="4576"/>
      <c r="CP6" s="4577"/>
      <c r="CQ6" s="4575" t="s">
        <v>1677</v>
      </c>
      <c r="CR6" s="4576"/>
      <c r="CS6" s="4577"/>
      <c r="CT6" s="4575" t="s">
        <v>3775</v>
      </c>
      <c r="CU6" s="4576"/>
      <c r="CV6" s="4577"/>
      <c r="CW6" s="4575" t="s">
        <v>3573</v>
      </c>
      <c r="CX6" s="4576"/>
      <c r="CY6" s="4577"/>
      <c r="CZ6" s="4575" t="s">
        <v>1677</v>
      </c>
      <c r="DA6" s="4576"/>
      <c r="DB6" s="4577"/>
      <c r="DC6" s="4575" t="s">
        <v>3775</v>
      </c>
      <c r="DD6" s="4576"/>
      <c r="DE6" s="4577"/>
      <c r="DF6" s="4575" t="s">
        <v>3573</v>
      </c>
      <c r="DG6" s="4576"/>
      <c r="DH6" s="4577"/>
      <c r="DI6" s="4575" t="s">
        <v>1677</v>
      </c>
      <c r="DJ6" s="4576"/>
      <c r="DK6" s="4577"/>
      <c r="DL6" s="4575" t="s">
        <v>3775</v>
      </c>
      <c r="DM6" s="4576"/>
      <c r="DN6" s="4577"/>
      <c r="DO6" s="4578" t="s">
        <v>3573</v>
      </c>
      <c r="DP6" s="4579"/>
      <c r="DQ6" s="4580"/>
      <c r="DR6" s="4581" t="s">
        <v>1677</v>
      </c>
      <c r="DS6" s="4582"/>
      <c r="DT6" s="4583"/>
      <c r="DU6" s="4581" t="s">
        <v>3775</v>
      </c>
      <c r="DV6" s="4582"/>
      <c r="DW6" s="4583"/>
      <c r="DX6" s="4578" t="s">
        <v>3776</v>
      </c>
      <c r="DY6" s="4579"/>
      <c r="DZ6" s="4580"/>
      <c r="EA6" s="4578" t="s">
        <v>3573</v>
      </c>
      <c r="EB6" s="4579"/>
      <c r="EC6" s="4580"/>
      <c r="ED6" s="4581" t="s">
        <v>1677</v>
      </c>
      <c r="EE6" s="4582"/>
      <c r="EF6" s="4583"/>
      <c r="EG6" s="4581" t="s">
        <v>3775</v>
      </c>
      <c r="EH6" s="4582"/>
      <c r="EI6" s="4583"/>
      <c r="EJ6" s="4578" t="s">
        <v>3776</v>
      </c>
      <c r="EK6" s="4579"/>
      <c r="EL6" s="4580"/>
      <c r="EM6" s="4575" t="s">
        <v>3573</v>
      </c>
      <c r="EN6" s="4576"/>
      <c r="EO6" s="4577"/>
      <c r="EP6" s="4575" t="s">
        <v>1677</v>
      </c>
      <c r="EQ6" s="4576"/>
      <c r="ER6" s="4577"/>
      <c r="ES6" s="4575" t="s">
        <v>3775</v>
      </c>
      <c r="ET6" s="4576"/>
      <c r="EU6" s="4577"/>
      <c r="EV6" s="4575" t="s">
        <v>3573</v>
      </c>
      <c r="EW6" s="4576"/>
      <c r="EX6" s="4577"/>
      <c r="EY6" s="4575" t="s">
        <v>1677</v>
      </c>
      <c r="EZ6" s="4576"/>
      <c r="FA6" s="4577"/>
      <c r="FB6" s="4575" t="s">
        <v>3775</v>
      </c>
      <c r="FC6" s="4576"/>
      <c r="FD6" s="4577"/>
      <c r="FE6" s="4575" t="s">
        <v>3573</v>
      </c>
      <c r="FF6" s="4576"/>
      <c r="FG6" s="4577"/>
      <c r="FH6" s="4575" t="s">
        <v>1677</v>
      </c>
      <c r="FI6" s="4576"/>
      <c r="FJ6" s="4577"/>
      <c r="FK6" s="4575" t="s">
        <v>3775</v>
      </c>
      <c r="FL6" s="4576"/>
      <c r="FM6" s="4577"/>
      <c r="FN6" s="4578" t="s">
        <v>3573</v>
      </c>
      <c r="FO6" s="4579"/>
      <c r="FP6" s="4580"/>
      <c r="FQ6" s="4581" t="s">
        <v>1677</v>
      </c>
      <c r="FR6" s="4582"/>
      <c r="FS6" s="4583"/>
      <c r="FT6" s="4581" t="s">
        <v>3775</v>
      </c>
      <c r="FU6" s="4582"/>
      <c r="FV6" s="4583"/>
      <c r="FW6" s="4578" t="s">
        <v>3776</v>
      </c>
      <c r="FX6" s="4579"/>
      <c r="FY6" s="4580"/>
      <c r="FZ6" s="4578" t="s">
        <v>3573</v>
      </c>
      <c r="GA6" s="4579"/>
      <c r="GB6" s="4580"/>
      <c r="GC6" s="4581" t="s">
        <v>1677</v>
      </c>
      <c r="GD6" s="4582"/>
      <c r="GE6" s="4583"/>
      <c r="GF6" s="4581" t="s">
        <v>3775</v>
      </c>
      <c r="GG6" s="4582"/>
      <c r="GH6" s="4583"/>
      <c r="GI6" s="4578" t="s">
        <v>3776</v>
      </c>
      <c r="GJ6" s="4579"/>
      <c r="GK6" s="4580"/>
      <c r="GM6" s="4234"/>
    </row>
    <row r="7" spans="1:195" ht="24.75" customHeight="1" x14ac:dyDescent="0.2">
      <c r="A7" s="4564"/>
      <c r="B7" s="2832" t="s">
        <v>616</v>
      </c>
      <c r="C7" s="2832" t="s">
        <v>3791</v>
      </c>
      <c r="D7" s="2832" t="s">
        <v>3792</v>
      </c>
      <c r="E7" s="2832" t="s">
        <v>616</v>
      </c>
      <c r="F7" s="2832" t="s">
        <v>3791</v>
      </c>
      <c r="G7" s="2832" t="s">
        <v>3792</v>
      </c>
      <c r="H7" s="2832" t="s">
        <v>616</v>
      </c>
      <c r="I7" s="2832" t="s">
        <v>3791</v>
      </c>
      <c r="J7" s="2832" t="s">
        <v>3792</v>
      </c>
      <c r="K7" s="2832" t="s">
        <v>616</v>
      </c>
      <c r="L7" s="2832" t="s">
        <v>3791</v>
      </c>
      <c r="M7" s="2832" t="s">
        <v>3792</v>
      </c>
      <c r="N7" s="2832" t="s">
        <v>616</v>
      </c>
      <c r="O7" s="2832" t="s">
        <v>3791</v>
      </c>
      <c r="P7" s="2832" t="s">
        <v>3792</v>
      </c>
      <c r="Q7" s="2832" t="s">
        <v>616</v>
      </c>
      <c r="R7" s="2832" t="s">
        <v>3791</v>
      </c>
      <c r="S7" s="2832" t="s">
        <v>3792</v>
      </c>
      <c r="T7" s="2832" t="s">
        <v>616</v>
      </c>
      <c r="U7" s="2832" t="s">
        <v>3791</v>
      </c>
      <c r="V7" s="2832" t="s">
        <v>3792</v>
      </c>
      <c r="W7" s="2832" t="s">
        <v>616</v>
      </c>
      <c r="X7" s="2832" t="s">
        <v>3791</v>
      </c>
      <c r="Y7" s="2832" t="s">
        <v>3792</v>
      </c>
      <c r="Z7" s="2832" t="s">
        <v>616</v>
      </c>
      <c r="AA7" s="2832" t="s">
        <v>3791</v>
      </c>
      <c r="AB7" s="2832" t="s">
        <v>3792</v>
      </c>
      <c r="AC7" s="2833" t="s">
        <v>616</v>
      </c>
      <c r="AD7" s="2833" t="s">
        <v>3791</v>
      </c>
      <c r="AE7" s="2833" t="s">
        <v>3792</v>
      </c>
      <c r="AF7" s="2833" t="s">
        <v>616</v>
      </c>
      <c r="AG7" s="2833" t="s">
        <v>3791</v>
      </c>
      <c r="AH7" s="2833" t="s">
        <v>3792</v>
      </c>
      <c r="AI7" s="2833" t="s">
        <v>616</v>
      </c>
      <c r="AJ7" s="2833" t="s">
        <v>3791</v>
      </c>
      <c r="AK7" s="2833" t="s">
        <v>3792</v>
      </c>
      <c r="AL7" s="2833" t="s">
        <v>616</v>
      </c>
      <c r="AM7" s="2833" t="s">
        <v>3791</v>
      </c>
      <c r="AN7" s="2833" t="s">
        <v>3792</v>
      </c>
      <c r="AO7" s="2832" t="s">
        <v>616</v>
      </c>
      <c r="AP7" s="2832" t="s">
        <v>3791</v>
      </c>
      <c r="AQ7" s="2832" t="s">
        <v>3792</v>
      </c>
      <c r="AR7" s="2832" t="s">
        <v>616</v>
      </c>
      <c r="AS7" s="2832" t="s">
        <v>3791</v>
      </c>
      <c r="AT7" s="2832" t="s">
        <v>3792</v>
      </c>
      <c r="AU7" s="2832" t="s">
        <v>616</v>
      </c>
      <c r="AV7" s="2832" t="s">
        <v>3791</v>
      </c>
      <c r="AW7" s="2832" t="s">
        <v>3792</v>
      </c>
      <c r="AX7" s="2832" t="s">
        <v>616</v>
      </c>
      <c r="AY7" s="2832" t="s">
        <v>3791</v>
      </c>
      <c r="AZ7" s="2832" t="s">
        <v>3792</v>
      </c>
      <c r="BA7" s="2832" t="s">
        <v>616</v>
      </c>
      <c r="BB7" s="2832" t="s">
        <v>3791</v>
      </c>
      <c r="BC7" s="2832" t="s">
        <v>3792</v>
      </c>
      <c r="BD7" s="2832" t="s">
        <v>616</v>
      </c>
      <c r="BE7" s="2832" t="s">
        <v>3791</v>
      </c>
      <c r="BF7" s="2832" t="s">
        <v>3792</v>
      </c>
      <c r="BG7" s="2832" t="s">
        <v>616</v>
      </c>
      <c r="BH7" s="2832" t="s">
        <v>3791</v>
      </c>
      <c r="BI7" s="2832" t="s">
        <v>3792</v>
      </c>
      <c r="BJ7" s="2832" t="s">
        <v>616</v>
      </c>
      <c r="BK7" s="2832" t="s">
        <v>3791</v>
      </c>
      <c r="BL7" s="2832" t="s">
        <v>3792</v>
      </c>
      <c r="BM7" s="2832" t="s">
        <v>616</v>
      </c>
      <c r="BN7" s="2832" t="s">
        <v>3791</v>
      </c>
      <c r="BO7" s="2832" t="s">
        <v>3792</v>
      </c>
      <c r="BP7" s="2833" t="s">
        <v>616</v>
      </c>
      <c r="BQ7" s="2833" t="s">
        <v>3791</v>
      </c>
      <c r="BR7" s="2833" t="s">
        <v>3792</v>
      </c>
      <c r="BS7" s="2833" t="s">
        <v>616</v>
      </c>
      <c r="BT7" s="2833" t="s">
        <v>3791</v>
      </c>
      <c r="BU7" s="2833" t="s">
        <v>3792</v>
      </c>
      <c r="BV7" s="2833" t="s">
        <v>616</v>
      </c>
      <c r="BW7" s="2833" t="s">
        <v>3791</v>
      </c>
      <c r="BX7" s="2833" t="s">
        <v>3792</v>
      </c>
      <c r="BY7" s="2833" t="s">
        <v>616</v>
      </c>
      <c r="BZ7" s="2833" t="s">
        <v>3791</v>
      </c>
      <c r="CA7" s="2833" t="s">
        <v>3792</v>
      </c>
      <c r="CB7" s="2833" t="s">
        <v>616</v>
      </c>
      <c r="CC7" s="2833" t="s">
        <v>3791</v>
      </c>
      <c r="CD7" s="2833" t="s">
        <v>3792</v>
      </c>
      <c r="CE7" s="2833" t="s">
        <v>616</v>
      </c>
      <c r="CF7" s="2833" t="s">
        <v>3791</v>
      </c>
      <c r="CG7" s="2833" t="s">
        <v>3792</v>
      </c>
      <c r="CH7" s="2833" t="s">
        <v>616</v>
      </c>
      <c r="CI7" s="2833" t="s">
        <v>3791</v>
      </c>
      <c r="CJ7" s="2833" t="s">
        <v>3792</v>
      </c>
      <c r="CK7" s="2833" t="s">
        <v>616</v>
      </c>
      <c r="CL7" s="2833" t="s">
        <v>3791</v>
      </c>
      <c r="CM7" s="2833" t="s">
        <v>3792</v>
      </c>
      <c r="CN7" s="2832" t="s">
        <v>616</v>
      </c>
      <c r="CO7" s="2832" t="s">
        <v>3791</v>
      </c>
      <c r="CP7" s="2832" t="s">
        <v>3792</v>
      </c>
      <c r="CQ7" s="2832" t="s">
        <v>616</v>
      </c>
      <c r="CR7" s="2832" t="s">
        <v>3791</v>
      </c>
      <c r="CS7" s="2832" t="s">
        <v>3792</v>
      </c>
      <c r="CT7" s="2832" t="s">
        <v>616</v>
      </c>
      <c r="CU7" s="2832" t="s">
        <v>3791</v>
      </c>
      <c r="CV7" s="2832" t="s">
        <v>3792</v>
      </c>
      <c r="CW7" s="2832" t="s">
        <v>616</v>
      </c>
      <c r="CX7" s="2832" t="s">
        <v>3791</v>
      </c>
      <c r="CY7" s="2832" t="s">
        <v>3792</v>
      </c>
      <c r="CZ7" s="2832" t="s">
        <v>616</v>
      </c>
      <c r="DA7" s="2832" t="s">
        <v>3791</v>
      </c>
      <c r="DB7" s="2832" t="s">
        <v>3792</v>
      </c>
      <c r="DC7" s="2832" t="s">
        <v>616</v>
      </c>
      <c r="DD7" s="2832" t="s">
        <v>3791</v>
      </c>
      <c r="DE7" s="2832" t="s">
        <v>3792</v>
      </c>
      <c r="DF7" s="2832" t="s">
        <v>616</v>
      </c>
      <c r="DG7" s="2832" t="s">
        <v>3791</v>
      </c>
      <c r="DH7" s="2832" t="s">
        <v>3792</v>
      </c>
      <c r="DI7" s="2832" t="s">
        <v>616</v>
      </c>
      <c r="DJ7" s="2832" t="s">
        <v>3791</v>
      </c>
      <c r="DK7" s="2832" t="s">
        <v>3792</v>
      </c>
      <c r="DL7" s="2832" t="s">
        <v>616</v>
      </c>
      <c r="DM7" s="2832" t="s">
        <v>3791</v>
      </c>
      <c r="DN7" s="2832" t="s">
        <v>3792</v>
      </c>
      <c r="DO7" s="2833" t="s">
        <v>616</v>
      </c>
      <c r="DP7" s="2833" t="s">
        <v>3791</v>
      </c>
      <c r="DQ7" s="2833" t="s">
        <v>3792</v>
      </c>
      <c r="DR7" s="2833" t="s">
        <v>616</v>
      </c>
      <c r="DS7" s="2833" t="s">
        <v>3791</v>
      </c>
      <c r="DT7" s="2833" t="s">
        <v>3792</v>
      </c>
      <c r="DU7" s="2833" t="s">
        <v>616</v>
      </c>
      <c r="DV7" s="2833" t="s">
        <v>3791</v>
      </c>
      <c r="DW7" s="2833" t="s">
        <v>3792</v>
      </c>
      <c r="DX7" s="2833" t="s">
        <v>616</v>
      </c>
      <c r="DY7" s="2833" t="s">
        <v>3791</v>
      </c>
      <c r="DZ7" s="2833" t="s">
        <v>3792</v>
      </c>
      <c r="EA7" s="2833" t="s">
        <v>616</v>
      </c>
      <c r="EB7" s="2833" t="s">
        <v>3791</v>
      </c>
      <c r="EC7" s="2833" t="s">
        <v>3792</v>
      </c>
      <c r="ED7" s="2833" t="s">
        <v>616</v>
      </c>
      <c r="EE7" s="2833" t="s">
        <v>3791</v>
      </c>
      <c r="EF7" s="2833" t="s">
        <v>3792</v>
      </c>
      <c r="EG7" s="2833" t="s">
        <v>616</v>
      </c>
      <c r="EH7" s="2833" t="s">
        <v>3791</v>
      </c>
      <c r="EI7" s="2833" t="s">
        <v>3792</v>
      </c>
      <c r="EJ7" s="2833" t="s">
        <v>616</v>
      </c>
      <c r="EK7" s="2833" t="s">
        <v>3791</v>
      </c>
      <c r="EL7" s="2833" t="s">
        <v>3792</v>
      </c>
      <c r="EM7" s="2832" t="s">
        <v>616</v>
      </c>
      <c r="EN7" s="2832" t="s">
        <v>3791</v>
      </c>
      <c r="EO7" s="2832" t="s">
        <v>3792</v>
      </c>
      <c r="EP7" s="2832" t="s">
        <v>616</v>
      </c>
      <c r="EQ7" s="2832" t="s">
        <v>3791</v>
      </c>
      <c r="ER7" s="2832" t="s">
        <v>3792</v>
      </c>
      <c r="ES7" s="2832" t="s">
        <v>616</v>
      </c>
      <c r="ET7" s="2832" t="s">
        <v>3791</v>
      </c>
      <c r="EU7" s="2832" t="s">
        <v>3792</v>
      </c>
      <c r="EV7" s="2832" t="s">
        <v>616</v>
      </c>
      <c r="EW7" s="2832" t="s">
        <v>3791</v>
      </c>
      <c r="EX7" s="2832" t="s">
        <v>3792</v>
      </c>
      <c r="EY7" s="2832" t="s">
        <v>616</v>
      </c>
      <c r="EZ7" s="2832" t="s">
        <v>3791</v>
      </c>
      <c r="FA7" s="2832" t="s">
        <v>3792</v>
      </c>
      <c r="FB7" s="2832" t="s">
        <v>616</v>
      </c>
      <c r="FC7" s="2832" t="s">
        <v>3791</v>
      </c>
      <c r="FD7" s="2832" t="s">
        <v>3792</v>
      </c>
      <c r="FE7" s="2832" t="s">
        <v>616</v>
      </c>
      <c r="FF7" s="2832" t="s">
        <v>3791</v>
      </c>
      <c r="FG7" s="2832" t="s">
        <v>3792</v>
      </c>
      <c r="FH7" s="2832" t="s">
        <v>616</v>
      </c>
      <c r="FI7" s="2832" t="s">
        <v>3791</v>
      </c>
      <c r="FJ7" s="2832" t="s">
        <v>3792</v>
      </c>
      <c r="FK7" s="2832" t="s">
        <v>616</v>
      </c>
      <c r="FL7" s="2832" t="s">
        <v>3791</v>
      </c>
      <c r="FM7" s="2832" t="s">
        <v>3792</v>
      </c>
      <c r="FN7" s="2833" t="s">
        <v>616</v>
      </c>
      <c r="FO7" s="2833" t="s">
        <v>3791</v>
      </c>
      <c r="FP7" s="2833" t="s">
        <v>3792</v>
      </c>
      <c r="FQ7" s="2833" t="s">
        <v>616</v>
      </c>
      <c r="FR7" s="2833" t="s">
        <v>3791</v>
      </c>
      <c r="FS7" s="2833" t="s">
        <v>3792</v>
      </c>
      <c r="FT7" s="2833" t="s">
        <v>616</v>
      </c>
      <c r="FU7" s="2833" t="s">
        <v>3791</v>
      </c>
      <c r="FV7" s="2833" t="s">
        <v>3792</v>
      </c>
      <c r="FW7" s="2833" t="s">
        <v>616</v>
      </c>
      <c r="FX7" s="2833" t="s">
        <v>3791</v>
      </c>
      <c r="FY7" s="2833" t="s">
        <v>3792</v>
      </c>
      <c r="FZ7" s="2833" t="s">
        <v>616</v>
      </c>
      <c r="GA7" s="2833" t="s">
        <v>3791</v>
      </c>
      <c r="GB7" s="2833" t="s">
        <v>3792</v>
      </c>
      <c r="GC7" s="2833" t="s">
        <v>616</v>
      </c>
      <c r="GD7" s="2833" t="s">
        <v>3791</v>
      </c>
      <c r="GE7" s="2833" t="s">
        <v>3792</v>
      </c>
      <c r="GF7" s="2833" t="s">
        <v>616</v>
      </c>
      <c r="GG7" s="2833" t="s">
        <v>3791</v>
      </c>
      <c r="GH7" s="2833" t="s">
        <v>3792</v>
      </c>
      <c r="GI7" s="2833" t="s">
        <v>616</v>
      </c>
      <c r="GJ7" s="2833" t="s">
        <v>3791</v>
      </c>
      <c r="GK7" s="2833" t="s">
        <v>3792</v>
      </c>
      <c r="GM7" s="4234"/>
    </row>
    <row r="8" spans="1:195" ht="18.75" customHeight="1" x14ac:dyDescent="0.3">
      <c r="A8" s="3015" t="s">
        <v>3793</v>
      </c>
      <c r="B8" s="2837">
        <f>SUM(C8:D8)</f>
        <v>237.03375</v>
      </c>
      <c r="C8" s="2837">
        <f>SUM(GA8/12)</f>
        <v>235.5615</v>
      </c>
      <c r="D8" s="2837">
        <f>SUM(GB8/12)</f>
        <v>1.4722500000000001</v>
      </c>
      <c r="E8" s="2837">
        <f>SUM(F8:G8)</f>
        <v>399.79999999999995</v>
      </c>
      <c r="F8" s="3016">
        <f>SUM('ПОЛНАЯ СЕБЕСТОИМОСТЬ СТОКИ 2021'!F8)</f>
        <v>399.59</v>
      </c>
      <c r="G8" s="3016">
        <f>SUM('ПОЛНАЯ СЕБЕСТОИМОСТЬ СТОКИ 2021'!G8)</f>
        <v>0.21</v>
      </c>
      <c r="H8" s="2837">
        <f>SUM(I8:J8)</f>
        <v>488.71</v>
      </c>
      <c r="I8" s="2838">
        <v>488.36099999999999</v>
      </c>
      <c r="J8" s="2838">
        <v>0.34899999999999998</v>
      </c>
      <c r="K8" s="2837">
        <f>SUM(L8:M8)</f>
        <v>237.03375</v>
      </c>
      <c r="L8" s="2837">
        <f t="shared" ref="L8:M12" si="0">SUM(GA8/12)</f>
        <v>235.5615</v>
      </c>
      <c r="M8" s="2837">
        <f t="shared" si="0"/>
        <v>1.4722500000000001</v>
      </c>
      <c r="N8" s="2837">
        <f>SUM(O8:P8)</f>
        <v>344.71</v>
      </c>
      <c r="O8" s="3016">
        <f>SUM('ПОЛНАЯ СЕБЕСТОИМОСТЬ СТОКИ 2021'!I8)</f>
        <v>344.47399999999999</v>
      </c>
      <c r="P8" s="3016">
        <f>SUM('ПОЛНАЯ СЕБЕСТОИМОСТЬ СТОКИ 2021'!J8)</f>
        <v>0.23599999999999999</v>
      </c>
      <c r="Q8" s="2837">
        <f>SUM(R8:S8)</f>
        <v>444.71000000000004</v>
      </c>
      <c r="R8" s="2838">
        <v>444.51100000000002</v>
      </c>
      <c r="S8" s="2838">
        <v>0.19900000000000001</v>
      </c>
      <c r="T8" s="2837">
        <f>SUM(U8:V8)</f>
        <v>237.03375</v>
      </c>
      <c r="U8" s="2837">
        <f t="shared" ref="U8:V12" si="1">SUM(GA8/12)</f>
        <v>235.5615</v>
      </c>
      <c r="V8" s="2837">
        <f t="shared" si="1"/>
        <v>1.4722500000000001</v>
      </c>
      <c r="W8" s="2837">
        <f>SUM(X8:Y8)</f>
        <v>413.05</v>
      </c>
      <c r="X8" s="3016">
        <f>SUM('ПОЛНАЯ СЕБЕСТОИМОСТЬ СТОКИ 2021'!L8)</f>
        <v>410.1635</v>
      </c>
      <c r="Y8" s="3016">
        <f>SUM('ПОЛНАЯ СЕБЕСТОИМОСТЬ СТОКИ 2021'!M8)</f>
        <v>2.8864999999999998</v>
      </c>
      <c r="Z8" s="2837">
        <f>SUM(AA8:AB8)</f>
        <v>582.6099999999999</v>
      </c>
      <c r="AA8" s="2838">
        <v>579.82399999999996</v>
      </c>
      <c r="AB8" s="2838">
        <v>2.786</v>
      </c>
      <c r="AC8" s="2839">
        <f>SUM(AD8:AE8)</f>
        <v>711.10124999999994</v>
      </c>
      <c r="AD8" s="2839">
        <f>SUM(C8+L8+U8)</f>
        <v>706.68449999999996</v>
      </c>
      <c r="AE8" s="2839">
        <f>SUM(D8+M8+V8)</f>
        <v>4.4167500000000004</v>
      </c>
      <c r="AF8" s="2839">
        <f>SUM(AG8:AH8)</f>
        <v>1157.56</v>
      </c>
      <c r="AG8" s="2839">
        <f>SUM(F8+O8+X8)</f>
        <v>1154.2275</v>
      </c>
      <c r="AH8" s="2839">
        <f>SUM(G8+P8+Y8)</f>
        <v>3.3324999999999996</v>
      </c>
      <c r="AI8" s="2912">
        <f t="shared" ref="AI8:AK12" si="2">SUM(H8+Q8+Z8)</f>
        <v>1516.03</v>
      </c>
      <c r="AJ8" s="2912">
        <f t="shared" si="2"/>
        <v>1512.6959999999999</v>
      </c>
      <c r="AK8" s="2912">
        <f t="shared" si="2"/>
        <v>3.3340000000000001</v>
      </c>
      <c r="AL8" s="2839">
        <f>SUM(AM8:AN8)</f>
        <v>446.45875000000001</v>
      </c>
      <c r="AM8" s="2839">
        <f>SUM(AG8-AD8)</f>
        <v>447.54300000000001</v>
      </c>
      <c r="AN8" s="2839">
        <f>SUM(AH8-AE8)</f>
        <v>-1.0842500000000008</v>
      </c>
      <c r="AO8" s="2837">
        <f>SUM(AP8:AQ8)</f>
        <v>237.03375</v>
      </c>
      <c r="AP8" s="2837">
        <f t="shared" ref="AP8:AQ12" si="3">SUM(GA8/12)</f>
        <v>235.5615</v>
      </c>
      <c r="AQ8" s="2837">
        <f t="shared" si="3"/>
        <v>1.4722500000000001</v>
      </c>
      <c r="AR8" s="2837">
        <f>SUM(AS8:AT8)</f>
        <v>538.33974999999998</v>
      </c>
      <c r="AS8" s="3016">
        <f>SUM('ПОЛНАЯ СЕБЕСТОИМОСТЬ СТОКИ 2021'!U8)</f>
        <v>537.60599999999999</v>
      </c>
      <c r="AT8" s="3016">
        <f>SUM('ПОЛНАЯ СЕБЕСТОИМОСТЬ СТОКИ 2021'!V8)</f>
        <v>0.73375000000000001</v>
      </c>
      <c r="AU8" s="2837">
        <f>SUM(AV8:AW8)</f>
        <v>506.66999999999996</v>
      </c>
      <c r="AV8" s="2838">
        <v>506.38099999999997</v>
      </c>
      <c r="AW8" s="2838">
        <v>0.28899999999999998</v>
      </c>
      <c r="AX8" s="2837">
        <f>SUM(AY8:AZ8)</f>
        <v>237.03375</v>
      </c>
      <c r="AY8" s="2837">
        <f t="shared" ref="AY8:AZ12" si="4">SUM(GA8/12)</f>
        <v>235.5615</v>
      </c>
      <c r="AZ8" s="2837">
        <f t="shared" si="4"/>
        <v>1.4722500000000001</v>
      </c>
      <c r="BA8" s="2837">
        <f>SUM(BB8:BC8)</f>
        <v>521.22</v>
      </c>
      <c r="BB8" s="3016">
        <f>SUM('ПОЛНАЯ СЕБЕСТОИМОСТЬ СТОКИ 2021'!X8)</f>
        <v>520.95150000000001</v>
      </c>
      <c r="BC8" s="3016">
        <f>SUM('ПОЛНАЯ СЕБЕСТОИМОСТЬ СТОКИ 2021'!Y8)</f>
        <v>0.26850000000000002</v>
      </c>
      <c r="BD8" s="2837">
        <f>SUM(BE8:BF8)</f>
        <v>518.36700000000008</v>
      </c>
      <c r="BE8" s="2838">
        <v>517.56100000000004</v>
      </c>
      <c r="BF8" s="2838">
        <v>0.80600000000000005</v>
      </c>
      <c r="BG8" s="2837">
        <f>SUM(BH8:BI8)</f>
        <v>237.03375</v>
      </c>
      <c r="BH8" s="2837">
        <f t="shared" ref="BH8:BI12" si="5">SUM(GA8/12)</f>
        <v>235.5615</v>
      </c>
      <c r="BI8" s="2837">
        <f t="shared" si="5"/>
        <v>1.4722500000000001</v>
      </c>
      <c r="BJ8" s="2837">
        <f>SUM(BK8:BL8)</f>
        <v>409.39</v>
      </c>
      <c r="BK8" s="3016">
        <f>SUM('ПОЛНАЯ СЕБЕСТОИМОСТЬ СТОКИ 2021'!AA8)</f>
        <v>406.29300000000001</v>
      </c>
      <c r="BL8" s="3016">
        <f>SUM('ПОЛНАЯ СЕБЕСТОИМОСТЬ СТОКИ 2021'!AB8)</f>
        <v>3.097</v>
      </c>
      <c r="BM8" s="2837">
        <f>SUM(BN8:BO8)</f>
        <v>435.81399999999996</v>
      </c>
      <c r="BN8" s="2838">
        <v>432.48399999999998</v>
      </c>
      <c r="BO8" s="2838">
        <v>3.33</v>
      </c>
      <c r="BP8" s="2839">
        <f>SUM(BQ8:BR8)</f>
        <v>711.10124999999994</v>
      </c>
      <c r="BQ8" s="2839">
        <f>SUM(AP8+AY8+BH8)</f>
        <v>706.68449999999996</v>
      </c>
      <c r="BR8" s="2839">
        <f>SUM(AQ8+AZ8+BI8)</f>
        <v>4.4167500000000004</v>
      </c>
      <c r="BS8" s="2839">
        <f>SUM(BT8:BU8)</f>
        <v>1468.94975</v>
      </c>
      <c r="BT8" s="2839">
        <f>SUM(AS8+BB8+BK8)</f>
        <v>1464.8505</v>
      </c>
      <c r="BU8" s="2839">
        <f>SUM(AT8+BC8+BL8)</f>
        <v>4.0992499999999996</v>
      </c>
      <c r="BV8" s="2912">
        <f t="shared" ref="BV8:BX12" si="6">SUM(AU8+BD8+BM8)</f>
        <v>1460.8510000000001</v>
      </c>
      <c r="BW8" s="2839">
        <f t="shared" si="6"/>
        <v>1456.4259999999999</v>
      </c>
      <c r="BX8" s="2839">
        <f t="shared" si="6"/>
        <v>4.4249999999999998</v>
      </c>
      <c r="BY8" s="2839">
        <f>SUM(BZ8:CA8)</f>
        <v>757.84850000000006</v>
      </c>
      <c r="BZ8" s="2839">
        <f>SUM(BT8-BQ8)</f>
        <v>758.16600000000005</v>
      </c>
      <c r="CA8" s="2839">
        <f>SUM(BU8-BR8)</f>
        <v>-0.31750000000000078</v>
      </c>
      <c r="CB8" s="2839">
        <f>SUM(CC8:CD8)</f>
        <v>1422.2024999999999</v>
      </c>
      <c r="CC8" s="2839">
        <f>SUM(AD8+BQ8)</f>
        <v>1413.3689999999999</v>
      </c>
      <c r="CD8" s="2839">
        <f>SUM(AE8+BR8)</f>
        <v>8.8335000000000008</v>
      </c>
      <c r="CE8" s="2839">
        <f>SUM(CF8:CG8)</f>
        <v>2626.5097500000002</v>
      </c>
      <c r="CF8" s="2839">
        <f t="shared" ref="CF8:CJ12" si="7">SUM(AG8+BT8)</f>
        <v>2619.078</v>
      </c>
      <c r="CG8" s="2839">
        <f t="shared" si="7"/>
        <v>7.4317499999999992</v>
      </c>
      <c r="CH8" s="2912">
        <f t="shared" si="7"/>
        <v>2976.8810000000003</v>
      </c>
      <c r="CI8" s="2912">
        <f t="shared" si="7"/>
        <v>2969.1219999999998</v>
      </c>
      <c r="CJ8" s="2912">
        <f t="shared" si="7"/>
        <v>7.7590000000000003</v>
      </c>
      <c r="CK8" s="2839">
        <f>SUM(CL8:CM8)</f>
        <v>1204.3072500000001</v>
      </c>
      <c r="CL8" s="2913">
        <f t="shared" ref="CL8:CM12" si="8">SUM(CF8-CC8)</f>
        <v>1205.7090000000001</v>
      </c>
      <c r="CM8" s="2913">
        <f t="shared" si="8"/>
        <v>-1.4017500000000016</v>
      </c>
      <c r="CN8" s="2837">
        <f>SUM(CO8:CP8)</f>
        <v>237.03375</v>
      </c>
      <c r="CO8" s="2837">
        <f t="shared" ref="CO8:CP12" si="9">SUM(GA8/12)</f>
        <v>235.5615</v>
      </c>
      <c r="CP8" s="2837">
        <f t="shared" si="9"/>
        <v>1.4722500000000001</v>
      </c>
      <c r="CQ8" s="2837">
        <f>SUM(CR8:CS8)</f>
        <v>390.85</v>
      </c>
      <c r="CR8" s="3016">
        <f>SUM('ПОЛНАЯ СЕБЕСТОИМОСТЬ СТОКИ 2021'!AS8)</f>
        <v>390.38400000000001</v>
      </c>
      <c r="CS8" s="3016">
        <f>SUM('ПОЛНАЯ СЕБЕСТОИМОСТЬ СТОКИ 2021'!AT8)</f>
        <v>0.46600000000000003</v>
      </c>
      <c r="CT8" s="2837">
        <f>SUM(CU8:CV8)</f>
        <v>420.64</v>
      </c>
      <c r="CU8" s="2838">
        <v>419.85199999999998</v>
      </c>
      <c r="CV8" s="2838">
        <v>0.78800000000000003</v>
      </c>
      <c r="CW8" s="2837">
        <f>SUM(CX8:CY8)</f>
        <v>237.03375</v>
      </c>
      <c r="CX8" s="2837">
        <f t="shared" ref="CX8:CY12" si="10">SUM(GA8/12)</f>
        <v>235.5615</v>
      </c>
      <c r="CY8" s="2837">
        <f t="shared" si="10"/>
        <v>1.4722500000000001</v>
      </c>
      <c r="CZ8" s="2837">
        <f>SUM(DA8:DB8)</f>
        <v>441.55</v>
      </c>
      <c r="DA8" s="3016">
        <f>SUM('ПОЛНАЯ СЕБЕСТОИМОСТЬ СТОКИ 2021'!AV8)</f>
        <v>440.73500000000001</v>
      </c>
      <c r="DB8" s="3016">
        <f>SUM('ПОЛНАЯ СЕБЕСТОИМОСТЬ СТОКИ 2021'!AW8)</f>
        <v>0.81499999999999995</v>
      </c>
      <c r="DC8" s="2837">
        <f>SUM(DD8:DE8)</f>
        <v>447.54949999999997</v>
      </c>
      <c r="DD8" s="2838">
        <v>447.27199999999999</v>
      </c>
      <c r="DE8" s="2838">
        <v>0.27750000000000002</v>
      </c>
      <c r="DF8" s="2837">
        <f>SUM(DG8:DH8)</f>
        <v>237.03375</v>
      </c>
      <c r="DG8" s="2837">
        <f t="shared" ref="DG8:DH12" si="11">SUM(GA8/12)</f>
        <v>235.5615</v>
      </c>
      <c r="DH8" s="2837">
        <f t="shared" si="11"/>
        <v>1.4722500000000001</v>
      </c>
      <c r="DI8" s="2837">
        <f>SUM(DJ8:DK8)</f>
        <v>368.56</v>
      </c>
      <c r="DJ8" s="3016">
        <f>SUM('ПОЛНАЯ СЕБЕСТОИМОСТЬ СТОКИ 2021'!AY8)</f>
        <v>365.66399999999999</v>
      </c>
      <c r="DK8" s="3016">
        <f>SUM('ПОЛНАЯ СЕБЕСТОИМОСТЬ СТОКИ 2021'!AZ8)</f>
        <v>2.8959999999999999</v>
      </c>
      <c r="DL8" s="2837">
        <f>SUM(DM8:DN8)</f>
        <v>496</v>
      </c>
      <c r="DM8" s="2838">
        <v>492.9735</v>
      </c>
      <c r="DN8" s="2838">
        <v>3.0265</v>
      </c>
      <c r="DO8" s="2839">
        <f>SUM(DP8:DQ8)</f>
        <v>711.10124999999994</v>
      </c>
      <c r="DP8" s="2839">
        <f>SUM(CO8+CX8+DG8)</f>
        <v>706.68449999999996</v>
      </c>
      <c r="DQ8" s="2839">
        <f>SUM(CP8+CY8+DH8)</f>
        <v>4.4167500000000004</v>
      </c>
      <c r="DR8" s="2839">
        <f>SUM(DS8:DT8)</f>
        <v>1200.9599999999998</v>
      </c>
      <c r="DS8" s="2839">
        <f>SUM(CR8+DA8+DJ8)</f>
        <v>1196.7829999999999</v>
      </c>
      <c r="DT8" s="2839">
        <f>SUM(CS8+DB8+DK8)</f>
        <v>4.1769999999999996</v>
      </c>
      <c r="DU8" s="2912">
        <f t="shared" ref="DU8:DW12" si="12">SUM(CT8+DC8+DL8)</f>
        <v>1364.1895</v>
      </c>
      <c r="DV8" s="2839">
        <f t="shared" si="12"/>
        <v>1360.0975000000001</v>
      </c>
      <c r="DW8" s="2839">
        <f t="shared" si="12"/>
        <v>4.0920000000000005</v>
      </c>
      <c r="DX8" s="2839">
        <f>SUM(DY8:DZ8)</f>
        <v>489.85874999999993</v>
      </c>
      <c r="DY8" s="2913">
        <f t="shared" ref="DY8:DZ12" si="13">SUM(DS8-DP8)</f>
        <v>490.09849999999994</v>
      </c>
      <c r="DZ8" s="2913">
        <f t="shared" si="13"/>
        <v>-0.2397500000000008</v>
      </c>
      <c r="EA8" s="2839">
        <f>SUM(EB8:EC8)</f>
        <v>2133.30375</v>
      </c>
      <c r="EB8" s="2839">
        <f>SUM(CC8+DP8)</f>
        <v>2120.0535</v>
      </c>
      <c r="EC8" s="2839">
        <f>SUM(CD8+DQ8)</f>
        <v>13.250250000000001</v>
      </c>
      <c r="ED8" s="2839">
        <f>SUM(EE8:EF8)</f>
        <v>3827.4697499999997</v>
      </c>
      <c r="EE8" s="2839">
        <f t="shared" ref="EE8:EI12" si="14">SUM(CF8+DS8)</f>
        <v>3815.8609999999999</v>
      </c>
      <c r="EF8" s="2839">
        <f t="shared" si="14"/>
        <v>11.608749999999999</v>
      </c>
      <c r="EG8" s="2839">
        <f t="shared" si="14"/>
        <v>4341.0704999999998</v>
      </c>
      <c r="EH8" s="2839">
        <f t="shared" si="14"/>
        <v>4329.2195000000002</v>
      </c>
      <c r="EI8" s="2839">
        <f t="shared" si="14"/>
        <v>11.851000000000001</v>
      </c>
      <c r="EJ8" s="2839">
        <f>SUM(EK8:EL8)</f>
        <v>1694.1659999999999</v>
      </c>
      <c r="EK8" s="2913">
        <f t="shared" ref="EK8:EL12" si="15">SUM(EE8-EB8)</f>
        <v>1695.8074999999999</v>
      </c>
      <c r="EL8" s="2913">
        <f t="shared" si="15"/>
        <v>-1.6415000000000024</v>
      </c>
      <c r="EM8" s="2837">
        <f>SUM(EN8:EO8)</f>
        <v>237.03375</v>
      </c>
      <c r="EN8" s="2837">
        <f t="shared" ref="EN8:EO12" si="16">SUM(GA8/12)</f>
        <v>235.5615</v>
      </c>
      <c r="EO8" s="2837">
        <f t="shared" si="16"/>
        <v>1.4722500000000001</v>
      </c>
      <c r="EP8" s="2837">
        <f>SUM(EQ8:ER8)</f>
        <v>383.52000000000004</v>
      </c>
      <c r="EQ8" s="3016">
        <f>SUM('ПОЛНАЯ СЕБЕСТОИМОСТЬ СТОКИ 2021'!BQ8)</f>
        <v>382.39100000000002</v>
      </c>
      <c r="ER8" s="3016">
        <f>SUM('ПОЛНАЯ СЕБЕСТОИМОСТЬ СТОКИ 2021'!BR8)</f>
        <v>1.129</v>
      </c>
      <c r="ES8" s="2837">
        <f>SUM(ET8:EU8)</f>
        <v>479.22</v>
      </c>
      <c r="ET8" s="2838">
        <v>478.85250000000002</v>
      </c>
      <c r="EU8" s="2838">
        <v>0.36749999999999999</v>
      </c>
      <c r="EV8" s="2837">
        <f>SUM(EW8:EX8)</f>
        <v>237.03375</v>
      </c>
      <c r="EW8" s="2837">
        <f t="shared" ref="EW8:EX12" si="17">SUM(GA8/12)</f>
        <v>235.5615</v>
      </c>
      <c r="EX8" s="2837">
        <f t="shared" si="17"/>
        <v>1.4722500000000001</v>
      </c>
      <c r="EY8" s="2837">
        <f>SUM(EZ8:FA8)</f>
        <v>411.54</v>
      </c>
      <c r="EZ8" s="3016">
        <f>SUM('ПОЛНАЯ СЕБЕСТОИМОСТЬ СТОКИ 2021'!BT8)</f>
        <v>411.24400000000003</v>
      </c>
      <c r="FA8" s="3016">
        <f>SUM('ПОЛНАЯ СЕБЕСТОИМОСТЬ СТОКИ 2021'!BU8)</f>
        <v>0.29599999999999999</v>
      </c>
      <c r="FB8" s="2837">
        <f>SUM(FC8:FD8)</f>
        <v>443.92999999999995</v>
      </c>
      <c r="FC8" s="2838">
        <v>443.10199999999998</v>
      </c>
      <c r="FD8" s="2838">
        <v>0.82799999999999996</v>
      </c>
      <c r="FE8" s="2837">
        <f>SUM(FF8:FG8)</f>
        <v>237.03375</v>
      </c>
      <c r="FF8" s="2837">
        <f t="shared" ref="FF8:FG12" si="18">SUM(GA8/12)</f>
        <v>235.5615</v>
      </c>
      <c r="FG8" s="2837">
        <f t="shared" si="18"/>
        <v>1.4722500000000001</v>
      </c>
      <c r="FH8" s="2837">
        <f>SUM(FI8:FJ8)</f>
        <v>430.18</v>
      </c>
      <c r="FI8" s="3016">
        <f>SUM('ПОЛНАЯ СЕБЕСТОИМОСТЬ СТОКИ 2021'!BW8)</f>
        <v>426.99599999999998</v>
      </c>
      <c r="FJ8" s="3016">
        <f>SUM('ПОЛНАЯ СЕБЕСТОИМОСТЬ СТОКИ 2021'!BX8)</f>
        <v>3.1840000000000002</v>
      </c>
      <c r="FK8" s="2837">
        <f>SUM(FL8:FM8)</f>
        <v>428.72</v>
      </c>
      <c r="FL8" s="2838">
        <v>425.476</v>
      </c>
      <c r="FM8" s="2838">
        <v>3.2440000000000002</v>
      </c>
      <c r="FN8" s="2839">
        <f>SUM(FO8:FP8)</f>
        <v>711.10124999999994</v>
      </c>
      <c r="FO8" s="2839">
        <f>SUM(EN8+EW8+FF8)</f>
        <v>706.68449999999996</v>
      </c>
      <c r="FP8" s="2839">
        <f>SUM(EO8+EX8+FG8)</f>
        <v>4.4167500000000004</v>
      </c>
      <c r="FQ8" s="2839">
        <f>SUM(FR8:FS8)</f>
        <v>1225.2399999999998</v>
      </c>
      <c r="FR8" s="2839">
        <f>SUM(EQ8+EZ8+FI8)</f>
        <v>1220.6309999999999</v>
      </c>
      <c r="FS8" s="2839">
        <f>SUM(ER8+FA8+FJ8)</f>
        <v>4.609</v>
      </c>
      <c r="FT8" s="2912">
        <f t="shared" ref="FT8:FV12" si="19">SUM(ES8+FB8+FK8)</f>
        <v>1351.87</v>
      </c>
      <c r="FU8" s="2912">
        <f t="shared" si="19"/>
        <v>1347.4304999999999</v>
      </c>
      <c r="FV8" s="2912">
        <f t="shared" si="19"/>
        <v>4.4395000000000007</v>
      </c>
      <c r="FW8" s="2839">
        <f>SUM(FX8:FY8)</f>
        <v>514.13874999999985</v>
      </c>
      <c r="FX8" s="2913">
        <f t="shared" ref="FX8:FY12" si="20">SUM(FR8-FO8)</f>
        <v>513.9464999999999</v>
      </c>
      <c r="FY8" s="2913">
        <f t="shared" si="20"/>
        <v>0.19224999999999959</v>
      </c>
      <c r="FZ8" s="2839">
        <f>SUM(GA8:GB8)</f>
        <v>2844.4049999999997</v>
      </c>
      <c r="GA8" s="2839">
        <f>SUM(объемы!BD63)</f>
        <v>2826.7379999999998</v>
      </c>
      <c r="GB8" s="2839">
        <f>SUM(объемы!BO63)</f>
        <v>17.667000000000002</v>
      </c>
      <c r="GC8" s="2839">
        <f>SUM(GD8:GE8)</f>
        <v>5052.70975</v>
      </c>
      <c r="GD8" s="2912">
        <f t="shared" ref="GD8:GF12" si="21">SUM(EE8+FR8)</f>
        <v>5036.4920000000002</v>
      </c>
      <c r="GE8" s="2912">
        <f t="shared" si="21"/>
        <v>16.217749999999999</v>
      </c>
      <c r="GF8" s="2912">
        <f>SUM(EG8+FT8)</f>
        <v>5692.9404999999997</v>
      </c>
      <c r="GG8" s="2912">
        <f t="shared" ref="GG8:GH12" si="22">SUM(EH8+FU8)</f>
        <v>5676.65</v>
      </c>
      <c r="GH8" s="2912">
        <f t="shared" si="22"/>
        <v>16.290500000000002</v>
      </c>
      <c r="GI8" s="2839">
        <f>SUM(GJ8:GK8)</f>
        <v>2208.3047500000002</v>
      </c>
      <c r="GJ8" s="2913">
        <f t="shared" ref="GJ8:GK12" si="23">SUM(GD8-GA8)</f>
        <v>2209.7540000000004</v>
      </c>
      <c r="GK8" s="2913">
        <f t="shared" si="23"/>
        <v>-1.4492500000000028</v>
      </c>
      <c r="GM8" s="4234"/>
    </row>
    <row r="9" spans="1:195" ht="18.75" customHeight="1" x14ac:dyDescent="0.3">
      <c r="A9" s="2910" t="s">
        <v>3804</v>
      </c>
      <c r="B9" s="2837">
        <f t="shared" ref="B9:B12" si="24">SUM(C9:D9)</f>
        <v>237.03375</v>
      </c>
      <c r="C9" s="2837">
        <f t="shared" ref="C9:D12" si="25">SUM(GA9/12)</f>
        <v>235.5615</v>
      </c>
      <c r="D9" s="2837">
        <f t="shared" si="25"/>
        <v>1.4722500000000001</v>
      </c>
      <c r="E9" s="2837">
        <f t="shared" ref="E9:E16" si="26">SUM(F9:G9)</f>
        <v>261.28100000000001</v>
      </c>
      <c r="F9" s="3016">
        <f>SUM('ПОЛНАЯ СЕБЕСТОИМОСТЬ СТОКИ 2021'!F9)</f>
        <v>261.07100000000003</v>
      </c>
      <c r="G9" s="3016">
        <f>SUM('ПОЛНАЯ СЕБЕСТОИМОСТЬ СТОКИ 2021'!G9)</f>
        <v>0.21</v>
      </c>
      <c r="H9" s="2837">
        <f t="shared" ref="H9:H16" si="27">SUM(I9:J9)</f>
        <v>270.74199999999996</v>
      </c>
      <c r="I9" s="2836">
        <f>SUM(I10:I12)</f>
        <v>270.39299999999997</v>
      </c>
      <c r="J9" s="2836">
        <f>SUM(J10:J12)</f>
        <v>0.34899999999999998</v>
      </c>
      <c r="K9" s="2837">
        <f>SUM(L9:M9)</f>
        <v>237.03375</v>
      </c>
      <c r="L9" s="2837">
        <f t="shared" si="0"/>
        <v>235.5615</v>
      </c>
      <c r="M9" s="2837">
        <f t="shared" si="0"/>
        <v>1.4722500000000001</v>
      </c>
      <c r="N9" s="2837">
        <f t="shared" ref="N9:N16" si="28">SUM(O9:P9)</f>
        <v>264.26599999999996</v>
      </c>
      <c r="O9" s="3016">
        <f>SUM('ПОЛНАЯ СЕБЕСТОИМОСТЬ СТОКИ 2021'!I9)</f>
        <v>264.02999999999997</v>
      </c>
      <c r="P9" s="3016">
        <f>SUM('ПОЛНАЯ СЕБЕСТОИМОСТЬ СТОКИ 2021'!J9)</f>
        <v>0.23599999999999999</v>
      </c>
      <c r="Q9" s="2837">
        <f t="shared" ref="Q9:Q16" si="29">SUM(R9:S9)</f>
        <v>270.12900000000002</v>
      </c>
      <c r="R9" s="2836">
        <f>SUM(R10:R12)</f>
        <v>269.93</v>
      </c>
      <c r="S9" s="2837">
        <f>SUM(S10:S12)</f>
        <v>0.19900000000000001</v>
      </c>
      <c r="T9" s="2837">
        <f>SUM(U9:V9)</f>
        <v>237.03375</v>
      </c>
      <c r="U9" s="2837">
        <f t="shared" si="1"/>
        <v>235.5615</v>
      </c>
      <c r="V9" s="2837">
        <f t="shared" si="1"/>
        <v>1.4722500000000001</v>
      </c>
      <c r="W9" s="2837">
        <f t="shared" ref="W9:W16" si="30">SUM(X9:Y9)</f>
        <v>261.25650000000002</v>
      </c>
      <c r="X9" s="3016">
        <f>SUM('ПОЛНАЯ СЕБЕСТОИМОСТЬ СТОКИ 2021'!L9)</f>
        <v>258.37</v>
      </c>
      <c r="Y9" s="3016">
        <f>SUM('ПОЛНАЯ СЕБЕСТОИМОСТЬ СТОКИ 2021'!M9)</f>
        <v>2.8864999999999998</v>
      </c>
      <c r="Z9" s="2836">
        <f t="shared" ref="Z9:Z16" si="31">SUM(AA9:AB9)</f>
        <v>261.31700000000001</v>
      </c>
      <c r="AA9" s="2836">
        <f>SUM(AA10:AA12)</f>
        <v>258.53100000000001</v>
      </c>
      <c r="AB9" s="2836">
        <f>SUM(AB10:AB12)</f>
        <v>2.786</v>
      </c>
      <c r="AC9" s="2839">
        <f t="shared" ref="AC9:AC12" si="32">SUM(AD9:AE9)</f>
        <v>711.10124999999994</v>
      </c>
      <c r="AD9" s="2839">
        <f t="shared" ref="AD9:AE12" si="33">SUM(C9+L9+U9)</f>
        <v>706.68449999999996</v>
      </c>
      <c r="AE9" s="2839">
        <f t="shared" si="33"/>
        <v>4.4167500000000004</v>
      </c>
      <c r="AF9" s="2839">
        <f t="shared" ref="AF9:AF12" si="34">SUM(AG9:AH9)</f>
        <v>786.80349999999999</v>
      </c>
      <c r="AG9" s="2839">
        <f t="shared" ref="AG9:AH12" si="35">SUM(F9+O9+X9)</f>
        <v>783.471</v>
      </c>
      <c r="AH9" s="2839">
        <f t="shared" si="35"/>
        <v>3.3324999999999996</v>
      </c>
      <c r="AI9" s="2912">
        <f t="shared" si="2"/>
        <v>802.18799999999999</v>
      </c>
      <c r="AJ9" s="2912">
        <f t="shared" si="2"/>
        <v>798.85400000000004</v>
      </c>
      <c r="AK9" s="2912">
        <f t="shared" si="2"/>
        <v>3.3340000000000001</v>
      </c>
      <c r="AL9" s="2839">
        <f t="shared" ref="AL9:AL12" si="36">SUM(AM9:AN9)</f>
        <v>75.702250000000049</v>
      </c>
      <c r="AM9" s="2839">
        <f t="shared" ref="AM9:AN12" si="37">SUM(AG9-AD9)</f>
        <v>76.786500000000046</v>
      </c>
      <c r="AN9" s="2839">
        <f t="shared" si="37"/>
        <v>-1.0842500000000008</v>
      </c>
      <c r="AO9" s="2837">
        <f>SUM(AP9:AQ9)</f>
        <v>237.03375</v>
      </c>
      <c r="AP9" s="2837">
        <f t="shared" si="3"/>
        <v>235.5615</v>
      </c>
      <c r="AQ9" s="2837">
        <f t="shared" si="3"/>
        <v>1.4722500000000001</v>
      </c>
      <c r="AR9" s="2837">
        <f t="shared" ref="AR9:AR16" si="38">SUM(AS9:AT9)</f>
        <v>271.30174999999997</v>
      </c>
      <c r="AS9" s="3016">
        <f>SUM('ПОЛНАЯ СЕБЕСТОИМОСТЬ СТОКИ 2021'!U9)</f>
        <v>270.56799999999998</v>
      </c>
      <c r="AT9" s="3016">
        <f>SUM('ПОЛНАЯ СЕБЕСТОИМОСТЬ СТОКИ 2021'!V9)</f>
        <v>0.73375000000000001</v>
      </c>
      <c r="AU9" s="2836">
        <f t="shared" ref="AU9:AU16" si="39">SUM(AV9:AW9)</f>
        <v>264.99900000000002</v>
      </c>
      <c r="AV9" s="2836">
        <f>SUM(AV10:AV12)</f>
        <v>264.71000000000004</v>
      </c>
      <c r="AW9" s="2836">
        <f>SUM(AW10:AW12)</f>
        <v>0.28899999999999998</v>
      </c>
      <c r="AX9" s="2837">
        <f>SUM(AY9:AZ9)</f>
        <v>237.03375</v>
      </c>
      <c r="AY9" s="2837">
        <f t="shared" si="4"/>
        <v>235.5615</v>
      </c>
      <c r="AZ9" s="2837">
        <f t="shared" si="4"/>
        <v>1.4722500000000001</v>
      </c>
      <c r="BA9" s="2837">
        <f t="shared" ref="BA9:BA16" si="40">SUM(BB9:BC9)</f>
        <v>260.84950000000003</v>
      </c>
      <c r="BB9" s="3016">
        <f>SUM('ПОЛНАЯ СЕБЕСТОИМОСТЬ СТОКИ 2021'!X9)</f>
        <v>260.58100000000002</v>
      </c>
      <c r="BC9" s="3016">
        <f>SUM('ПОЛНАЯ СЕБЕСТОИМОСТЬ СТОКИ 2021'!Y9)</f>
        <v>0.26850000000000002</v>
      </c>
      <c r="BD9" s="2836">
        <f t="shared" ref="BD9:BD16" si="41">SUM(BE9:BF9)</f>
        <v>251.90200000000002</v>
      </c>
      <c r="BE9" s="2836">
        <f>SUM(BE10:BE12)</f>
        <v>251.096</v>
      </c>
      <c r="BF9" s="2836">
        <f>SUM(BF10:BF12)</f>
        <v>0.80600000000000005</v>
      </c>
      <c r="BG9" s="2837">
        <f>SUM(BH9:BI9)</f>
        <v>237.03375</v>
      </c>
      <c r="BH9" s="2837">
        <f t="shared" si="5"/>
        <v>235.5615</v>
      </c>
      <c r="BI9" s="2837">
        <f t="shared" si="5"/>
        <v>1.4722500000000001</v>
      </c>
      <c r="BJ9" s="2837">
        <f t="shared" ref="BJ9:BJ16" si="42">SUM(BK9:BL9)</f>
        <v>266.214</v>
      </c>
      <c r="BK9" s="3016">
        <f>SUM('ПОЛНАЯ СЕБЕСТОИМОСТЬ СТОКИ 2021'!AA9)</f>
        <v>263.11700000000002</v>
      </c>
      <c r="BL9" s="3016">
        <f>SUM('ПОЛНАЯ СЕБЕСТОИМОСТЬ СТОКИ 2021'!AB9)</f>
        <v>3.097</v>
      </c>
      <c r="BM9" s="2836">
        <f t="shared" ref="BM9:BM16" si="43">SUM(BN9:BO9)</f>
        <v>248.24200000000002</v>
      </c>
      <c r="BN9" s="2836">
        <f>SUM(BN10:BN12)</f>
        <v>244.91200000000001</v>
      </c>
      <c r="BO9" s="2836">
        <f>SUM(BO10:BO12)</f>
        <v>3.33</v>
      </c>
      <c r="BP9" s="2839">
        <f t="shared" ref="BP9:BP12" si="44">SUM(BQ9:BR9)</f>
        <v>711.10124999999994</v>
      </c>
      <c r="BQ9" s="2839">
        <f t="shared" ref="BQ9:BR12" si="45">SUM(AP9+AY9+BH9)</f>
        <v>706.68449999999996</v>
      </c>
      <c r="BR9" s="2839">
        <f t="shared" si="45"/>
        <v>4.4167500000000004</v>
      </c>
      <c r="BS9" s="2839">
        <f t="shared" ref="BS9:BS12" si="46">SUM(BT9:BU9)</f>
        <v>798.36525000000006</v>
      </c>
      <c r="BT9" s="2839">
        <f t="shared" ref="BT9:BU12" si="47">SUM(AS9+BB9+BK9)</f>
        <v>794.26600000000008</v>
      </c>
      <c r="BU9" s="2839">
        <f t="shared" si="47"/>
        <v>4.0992499999999996</v>
      </c>
      <c r="BV9" s="2912">
        <f t="shared" si="6"/>
        <v>765.14300000000003</v>
      </c>
      <c r="BW9" s="2839">
        <f t="shared" si="6"/>
        <v>760.71800000000007</v>
      </c>
      <c r="BX9" s="2839">
        <f t="shared" si="6"/>
        <v>4.4249999999999998</v>
      </c>
      <c r="BY9" s="2839">
        <f t="shared" ref="BY9:BY12" si="48">SUM(BZ9:CA9)</f>
        <v>87.264000000000124</v>
      </c>
      <c r="BZ9" s="2839">
        <f t="shared" ref="BZ9:CA12" si="49">SUM(BT9-BQ9)</f>
        <v>87.581500000000119</v>
      </c>
      <c r="CA9" s="2839">
        <f t="shared" si="49"/>
        <v>-0.31750000000000078</v>
      </c>
      <c r="CB9" s="2839">
        <f t="shared" ref="CB9:CB12" si="50">SUM(CC9:CD9)</f>
        <v>1422.2024999999999</v>
      </c>
      <c r="CC9" s="2839">
        <f t="shared" ref="CC9:CD12" si="51">SUM(AD9+BQ9)</f>
        <v>1413.3689999999999</v>
      </c>
      <c r="CD9" s="2839">
        <f t="shared" si="51"/>
        <v>8.8335000000000008</v>
      </c>
      <c r="CE9" s="2839">
        <f>SUM(CF9:CG9)</f>
        <v>1585.16875</v>
      </c>
      <c r="CF9" s="2839">
        <f t="shared" si="7"/>
        <v>1577.7370000000001</v>
      </c>
      <c r="CG9" s="2839">
        <f t="shared" si="7"/>
        <v>7.4317499999999992</v>
      </c>
      <c r="CH9" s="2912">
        <f t="shared" si="7"/>
        <v>1567.3310000000001</v>
      </c>
      <c r="CI9" s="2912">
        <f t="shared" si="7"/>
        <v>1559.5720000000001</v>
      </c>
      <c r="CJ9" s="2912">
        <f t="shared" si="7"/>
        <v>7.7590000000000003</v>
      </c>
      <c r="CK9" s="2839">
        <f t="shared" ref="CK9:CK12" si="52">SUM(CL9:CM9)</f>
        <v>162.96625000000017</v>
      </c>
      <c r="CL9" s="2913">
        <f t="shared" si="8"/>
        <v>164.36800000000017</v>
      </c>
      <c r="CM9" s="2913">
        <f t="shared" si="8"/>
        <v>-1.4017500000000016</v>
      </c>
      <c r="CN9" s="2837">
        <f>SUM(CO9:CP9)</f>
        <v>237.03375</v>
      </c>
      <c r="CO9" s="2837">
        <f t="shared" si="9"/>
        <v>235.5615</v>
      </c>
      <c r="CP9" s="2837">
        <f t="shared" si="9"/>
        <v>1.4722500000000001</v>
      </c>
      <c r="CQ9" s="2837">
        <f t="shared" ref="CQ9:CQ16" si="53">SUM(CR9:CS9)</f>
        <v>238.05900000000003</v>
      </c>
      <c r="CR9" s="3016">
        <f>SUM('ПОЛНАЯ СЕБЕСТОИМОСТЬ СТОКИ 2021'!AS9)</f>
        <v>237.59300000000002</v>
      </c>
      <c r="CS9" s="3016">
        <f>SUM('ПОЛНАЯ СЕБЕСТОИМОСТЬ СТОКИ 2021'!AT9)</f>
        <v>0.46600000000000003</v>
      </c>
      <c r="CT9" s="2837">
        <f t="shared" ref="CT9:CT16" si="54">SUM(CU9:CV9)</f>
        <v>234.697</v>
      </c>
      <c r="CU9" s="2836">
        <f>SUM(CU10:CU12)</f>
        <v>233.90899999999999</v>
      </c>
      <c r="CV9" s="2836">
        <f>SUM(CV10:CV12)</f>
        <v>0.78800000000000003</v>
      </c>
      <c r="CW9" s="2837">
        <f>SUM(CX9:CY9)</f>
        <v>237.03375</v>
      </c>
      <c r="CX9" s="2837">
        <f t="shared" si="10"/>
        <v>235.5615</v>
      </c>
      <c r="CY9" s="2837">
        <f t="shared" si="10"/>
        <v>1.4722500000000001</v>
      </c>
      <c r="CZ9" s="2837">
        <f t="shared" ref="CZ9:CZ16" si="55">SUM(DA9:DB9)</f>
        <v>251.54199999999997</v>
      </c>
      <c r="DA9" s="3016">
        <f>SUM('ПОЛНАЯ СЕБЕСТОИМОСТЬ СТОКИ 2021'!AV9)</f>
        <v>250.72699999999998</v>
      </c>
      <c r="DB9" s="3016">
        <f>SUM('ПОЛНАЯ СЕБЕСТОИМОСТЬ СТОКИ 2021'!AW9)</f>
        <v>0.81499999999999995</v>
      </c>
      <c r="DC9" s="2836">
        <f t="shared" ref="DC9:DC16" si="56">SUM(DD9:DE9)</f>
        <v>240.25450000000001</v>
      </c>
      <c r="DD9" s="2836">
        <f>SUM(DD10:DD12)</f>
        <v>239.977</v>
      </c>
      <c r="DE9" s="2836">
        <f>SUM(DE10:DE12)</f>
        <v>0.27750000000000002</v>
      </c>
      <c r="DF9" s="2837">
        <f>SUM(DG9:DH9)</f>
        <v>237.03375</v>
      </c>
      <c r="DG9" s="2837">
        <f t="shared" si="11"/>
        <v>235.5615</v>
      </c>
      <c r="DH9" s="2837">
        <f t="shared" si="11"/>
        <v>1.4722500000000001</v>
      </c>
      <c r="DI9" s="2837">
        <f t="shared" ref="DI9:DI16" si="57">SUM(DJ9:DK9)</f>
        <v>252.58899999999997</v>
      </c>
      <c r="DJ9" s="3016">
        <f>SUM('ПОЛНАЯ СЕБЕСТОИМОСТЬ СТОКИ 2021'!AY9)</f>
        <v>249.69299999999998</v>
      </c>
      <c r="DK9" s="3016">
        <f>SUM('ПОЛНАЯ СЕБЕСТОИМОСТЬ СТОКИ 2021'!AZ9)</f>
        <v>2.8959999999999999</v>
      </c>
      <c r="DL9" s="2836">
        <f t="shared" ref="DL9:DL16" si="58">SUM(DM9:DN9)</f>
        <v>244.66345699999999</v>
      </c>
      <c r="DM9" s="2836">
        <f>SUM(DM10:DM12)</f>
        <v>241.636957</v>
      </c>
      <c r="DN9" s="2836">
        <f>SUM(DN10:DN12)</f>
        <v>3.0265</v>
      </c>
      <c r="DO9" s="2839">
        <f t="shared" ref="DO9:DO12" si="59">SUM(DP9:DQ9)</f>
        <v>711.10124999999994</v>
      </c>
      <c r="DP9" s="2839">
        <f t="shared" ref="DP9:DQ12" si="60">SUM(CO9+CX9+DG9)</f>
        <v>706.68449999999996</v>
      </c>
      <c r="DQ9" s="2839">
        <f t="shared" si="60"/>
        <v>4.4167500000000004</v>
      </c>
      <c r="DR9" s="2839">
        <f t="shared" ref="DR9:DR12" si="61">SUM(DS9:DT9)</f>
        <v>742.18999999999994</v>
      </c>
      <c r="DS9" s="2839">
        <f t="shared" ref="DS9:DT12" si="62">SUM(CR9+DA9+DJ9)</f>
        <v>738.01299999999992</v>
      </c>
      <c r="DT9" s="2839">
        <f t="shared" si="62"/>
        <v>4.1769999999999996</v>
      </c>
      <c r="DU9" s="2912">
        <f t="shared" si="12"/>
        <v>719.614957</v>
      </c>
      <c r="DV9" s="2839">
        <f t="shared" si="12"/>
        <v>715.52295699999991</v>
      </c>
      <c r="DW9" s="2839">
        <f t="shared" si="12"/>
        <v>4.0920000000000005</v>
      </c>
      <c r="DX9" s="2839">
        <f t="shared" ref="DX9:DX12" si="63">SUM(DY9:DZ9)</f>
        <v>31.088749999999962</v>
      </c>
      <c r="DY9" s="2913">
        <f t="shared" si="13"/>
        <v>31.328499999999963</v>
      </c>
      <c r="DZ9" s="2913">
        <f t="shared" si="13"/>
        <v>-0.2397500000000008</v>
      </c>
      <c r="EA9" s="2839">
        <f t="shared" ref="EA9:EA12" si="64">SUM(EB9:EC9)</f>
        <v>2133.30375</v>
      </c>
      <c r="EB9" s="2839">
        <f t="shared" ref="EB9:EC12" si="65">SUM(CC9+DP9)</f>
        <v>2120.0535</v>
      </c>
      <c r="EC9" s="2839">
        <f t="shared" si="65"/>
        <v>13.250250000000001</v>
      </c>
      <c r="ED9" s="2839">
        <f t="shared" ref="ED9:ED12" si="66">SUM(EE9:EF9)</f>
        <v>2327.3587499999999</v>
      </c>
      <c r="EE9" s="2839">
        <f t="shared" si="14"/>
        <v>2315.75</v>
      </c>
      <c r="EF9" s="2839">
        <f t="shared" si="14"/>
        <v>11.608749999999999</v>
      </c>
      <c r="EG9" s="2839">
        <f t="shared" si="14"/>
        <v>2286.9459569999999</v>
      </c>
      <c r="EH9" s="2839">
        <f t="shared" si="14"/>
        <v>2275.0949570000002</v>
      </c>
      <c r="EI9" s="2839">
        <f t="shared" si="14"/>
        <v>11.851000000000001</v>
      </c>
      <c r="EJ9" s="2839">
        <f t="shared" ref="EJ9:EJ12" si="67">SUM(EK9:EL9)</f>
        <v>194.05500000000001</v>
      </c>
      <c r="EK9" s="2913">
        <f t="shared" si="15"/>
        <v>195.69650000000001</v>
      </c>
      <c r="EL9" s="2913">
        <f t="shared" si="15"/>
        <v>-1.6415000000000024</v>
      </c>
      <c r="EM9" s="2837">
        <f>SUM(EN9:EO9)</f>
        <v>237.03375</v>
      </c>
      <c r="EN9" s="2837">
        <f t="shared" si="16"/>
        <v>235.5615</v>
      </c>
      <c r="EO9" s="2837">
        <f t="shared" si="16"/>
        <v>1.4722500000000001</v>
      </c>
      <c r="EP9" s="2837">
        <f t="shared" ref="EP9:EP16" si="68">SUM(EQ9:ER9)</f>
        <v>256.726</v>
      </c>
      <c r="EQ9" s="3016">
        <f>SUM('ПОЛНАЯ СЕБЕСТОИМОСТЬ СТОКИ 2021'!BQ9)</f>
        <v>255.59700000000001</v>
      </c>
      <c r="ER9" s="3016">
        <f>SUM('ПОЛНАЯ СЕБЕСТОИМОСТЬ СТОКИ 2021'!BR9)</f>
        <v>1.129</v>
      </c>
      <c r="ES9" s="2836">
        <f t="shared" ref="ES9:ES16" si="69">SUM(ET9:EU9)</f>
        <v>253.467658</v>
      </c>
      <c r="ET9" s="2836">
        <f>SUM(ET10:ET12)</f>
        <v>253.10015799999999</v>
      </c>
      <c r="EU9" s="2836">
        <f>SUM(EU10:EU12)</f>
        <v>0.36749999999999999</v>
      </c>
      <c r="EV9" s="2837">
        <f>SUM(EW9:EX9)</f>
        <v>237.03375</v>
      </c>
      <c r="EW9" s="2837">
        <f t="shared" si="17"/>
        <v>235.5615</v>
      </c>
      <c r="EX9" s="2837">
        <f t="shared" si="17"/>
        <v>1.4722500000000001</v>
      </c>
      <c r="EY9" s="2837">
        <f t="shared" ref="EY9:EY16" si="70">SUM(EZ9:FA9)</f>
        <v>250.44099999999997</v>
      </c>
      <c r="EZ9" s="3016">
        <f>SUM('ПОЛНАЯ СЕБЕСТОИМОСТЬ СТОКИ 2021'!BT9)</f>
        <v>250.14499999999998</v>
      </c>
      <c r="FA9" s="3016">
        <f>SUM('ПОЛНАЯ СЕБЕСТОИМОСТЬ СТОКИ 2021'!BU9)</f>
        <v>0.29599999999999999</v>
      </c>
      <c r="FB9" s="2837">
        <f t="shared" ref="FB9:FB16" si="71">SUM(FC9:FD9)</f>
        <v>264.02399999999994</v>
      </c>
      <c r="FC9" s="2837">
        <f>SUM(FC10:FC12)</f>
        <v>263.19599999999997</v>
      </c>
      <c r="FD9" s="2837">
        <f>SUM(FD10:FD12)</f>
        <v>0.82799999999999996</v>
      </c>
      <c r="FE9" s="2837">
        <f>SUM(FF9:FG9)</f>
        <v>237.03375</v>
      </c>
      <c r="FF9" s="2837">
        <f t="shared" si="18"/>
        <v>235.5615</v>
      </c>
      <c r="FG9" s="2837">
        <f t="shared" si="18"/>
        <v>1.4722500000000001</v>
      </c>
      <c r="FH9" s="2837">
        <f t="shared" ref="FH9:FH16" si="72">SUM(FI9:FJ9)</f>
        <v>269.55400000000003</v>
      </c>
      <c r="FI9" s="3016">
        <f>SUM('ПОЛНАЯ СЕБЕСТОИМОСТЬ СТОКИ 2021'!BW9)</f>
        <v>266.37</v>
      </c>
      <c r="FJ9" s="3016">
        <f>SUM('ПОЛНАЯ СЕБЕСТОИМОСТЬ СТОКИ 2021'!BX9)</f>
        <v>3.1840000000000002</v>
      </c>
      <c r="FK9" s="2837">
        <f t="shared" ref="FK9:FK16" si="73">SUM(FL9:FM9)</f>
        <v>271.10400000000004</v>
      </c>
      <c r="FL9" s="2837">
        <f>SUM(FL10:FL12)</f>
        <v>267.86</v>
      </c>
      <c r="FM9" s="2837">
        <f>SUM(FM10:FM12)</f>
        <v>3.2440000000000002</v>
      </c>
      <c r="FN9" s="2839">
        <f t="shared" ref="FN9:FN12" si="74">SUM(FO9:FP9)</f>
        <v>711.10124999999994</v>
      </c>
      <c r="FO9" s="2839">
        <f t="shared" ref="FO9:FP12" si="75">SUM(EN9+EW9+FF9)</f>
        <v>706.68449999999996</v>
      </c>
      <c r="FP9" s="2839">
        <f t="shared" si="75"/>
        <v>4.4167500000000004</v>
      </c>
      <c r="FQ9" s="2839">
        <f t="shared" ref="FQ9:FQ12" si="76">SUM(FR9:FS9)</f>
        <v>776.721</v>
      </c>
      <c r="FR9" s="2839">
        <f t="shared" ref="FR9:FS12" si="77">SUM(EQ9+EZ9+FI9)</f>
        <v>772.11199999999997</v>
      </c>
      <c r="FS9" s="2839">
        <f t="shared" si="77"/>
        <v>4.609</v>
      </c>
      <c r="FT9" s="2912">
        <f t="shared" si="19"/>
        <v>788.59565799999996</v>
      </c>
      <c r="FU9" s="2912">
        <f t="shared" si="19"/>
        <v>784.156158</v>
      </c>
      <c r="FV9" s="2912">
        <f t="shared" si="19"/>
        <v>4.4395000000000007</v>
      </c>
      <c r="FW9" s="2839">
        <f t="shared" ref="FW9:FW12" si="78">SUM(FX9:FY9)</f>
        <v>65.61975000000001</v>
      </c>
      <c r="FX9" s="2913">
        <f t="shared" si="20"/>
        <v>65.427500000000009</v>
      </c>
      <c r="FY9" s="2913">
        <f t="shared" si="20"/>
        <v>0.19224999999999959</v>
      </c>
      <c r="FZ9" s="2839">
        <f t="shared" ref="FZ9:FZ16" si="79">SUM(GA9:GB9)</f>
        <v>2844.4049999999997</v>
      </c>
      <c r="GA9" s="2839">
        <f>SUM(объемы!BD63)</f>
        <v>2826.7379999999998</v>
      </c>
      <c r="GB9" s="2839">
        <f>SUM(объемы!BO63)</f>
        <v>17.667000000000002</v>
      </c>
      <c r="GC9" s="4230">
        <f t="shared" ref="GC9:GC12" si="80">SUM(GD9:GE9)</f>
        <v>3104.0797499999999</v>
      </c>
      <c r="GD9" s="2912">
        <f t="shared" si="21"/>
        <v>3087.8620000000001</v>
      </c>
      <c r="GE9" s="2912">
        <f t="shared" si="21"/>
        <v>16.217749999999999</v>
      </c>
      <c r="GF9" s="2912">
        <f t="shared" si="21"/>
        <v>3075.5416150000001</v>
      </c>
      <c r="GG9" s="2912">
        <f t="shared" si="22"/>
        <v>3059.251115</v>
      </c>
      <c r="GH9" s="2912">
        <f t="shared" si="22"/>
        <v>16.290500000000002</v>
      </c>
      <c r="GI9" s="2839">
        <f t="shared" ref="GI9:GI12" si="81">SUM(GJ9:GK9)</f>
        <v>259.67475000000024</v>
      </c>
      <c r="GJ9" s="2913">
        <f t="shared" si="23"/>
        <v>261.12400000000025</v>
      </c>
      <c r="GK9" s="2913">
        <f t="shared" si="23"/>
        <v>-1.4492500000000028</v>
      </c>
      <c r="GM9" s="4234"/>
    </row>
    <row r="10" spans="1:195" ht="18.75" customHeight="1" x14ac:dyDescent="0.3">
      <c r="A10" s="2914" t="s">
        <v>255</v>
      </c>
      <c r="B10" s="2845">
        <f t="shared" si="24"/>
        <v>178.88741666666667</v>
      </c>
      <c r="C10" s="2845">
        <f t="shared" si="25"/>
        <v>178.88741666666667</v>
      </c>
      <c r="D10" s="2845">
        <f t="shared" si="25"/>
        <v>0</v>
      </c>
      <c r="E10" s="2845">
        <f t="shared" si="26"/>
        <v>211.63800000000001</v>
      </c>
      <c r="F10" s="3017">
        <f>SUM('ПОЛНАЯ СЕБЕСТОИМОСТЬ СТОКИ 2021'!F10)</f>
        <v>211.63800000000001</v>
      </c>
      <c r="G10" s="3017">
        <f>SUM('ПОЛНАЯ СЕБЕСТОИМОСТЬ СТОКИ 2021'!G10)</f>
        <v>0</v>
      </c>
      <c r="H10" s="2843">
        <f t="shared" si="27"/>
        <v>211.66</v>
      </c>
      <c r="I10" s="2844">
        <v>211.66</v>
      </c>
      <c r="J10" s="2844"/>
      <c r="K10" s="2845">
        <f>SUM(L10:M10)</f>
        <v>178.88741666666667</v>
      </c>
      <c r="L10" s="2845">
        <f t="shared" si="0"/>
        <v>178.88741666666667</v>
      </c>
      <c r="M10" s="2845">
        <f t="shared" si="0"/>
        <v>0</v>
      </c>
      <c r="N10" s="2845">
        <f t="shared" si="28"/>
        <v>198.41</v>
      </c>
      <c r="O10" s="3017">
        <f>SUM('ПОЛНАЯ СЕБЕСТОИМОСТЬ СТОКИ 2021'!I10)</f>
        <v>198.41</v>
      </c>
      <c r="P10" s="3017">
        <f>SUM('ПОЛНАЯ СЕБЕСТОИМОСТЬ СТОКИ 2021'!J10)</f>
        <v>0</v>
      </c>
      <c r="Q10" s="2843">
        <f t="shared" si="29"/>
        <v>202.30199999999999</v>
      </c>
      <c r="R10" s="2844">
        <v>202.30199999999999</v>
      </c>
      <c r="S10" s="2844"/>
      <c r="T10" s="2845">
        <f>SUM(U10:V10)</f>
        <v>178.88741666666667</v>
      </c>
      <c r="U10" s="2845">
        <f t="shared" si="1"/>
        <v>178.88741666666667</v>
      </c>
      <c r="V10" s="2845">
        <f t="shared" si="1"/>
        <v>0</v>
      </c>
      <c r="W10" s="2845">
        <f t="shared" si="30"/>
        <v>197.654</v>
      </c>
      <c r="X10" s="3017">
        <f>SUM('ПОЛНАЯ СЕБЕСТОИМОСТЬ СТОКИ 2021'!L10)</f>
        <v>197.654</v>
      </c>
      <c r="Y10" s="3017">
        <f>SUM('ПОЛНАЯ СЕБЕСТОИМОСТЬ СТОКИ 2021'!M10)</f>
        <v>0</v>
      </c>
      <c r="Z10" s="2843">
        <f t="shared" si="31"/>
        <v>195.19499999999999</v>
      </c>
      <c r="AA10" s="2844">
        <v>195.19499999999999</v>
      </c>
      <c r="AB10" s="2844"/>
      <c r="AC10" s="2846">
        <f t="shared" si="32"/>
        <v>536.66224999999997</v>
      </c>
      <c r="AD10" s="2846">
        <f t="shared" si="33"/>
        <v>536.66224999999997</v>
      </c>
      <c r="AE10" s="2846">
        <f t="shared" si="33"/>
        <v>0</v>
      </c>
      <c r="AF10" s="2846">
        <f t="shared" si="34"/>
        <v>607.702</v>
      </c>
      <c r="AG10" s="2846">
        <f t="shared" si="35"/>
        <v>607.702</v>
      </c>
      <c r="AH10" s="2846">
        <f t="shared" si="35"/>
        <v>0</v>
      </c>
      <c r="AI10" s="2916">
        <f t="shared" si="2"/>
        <v>609.15699999999993</v>
      </c>
      <c r="AJ10" s="2916">
        <f t="shared" si="2"/>
        <v>609.15699999999993</v>
      </c>
      <c r="AK10" s="2916">
        <f t="shared" si="2"/>
        <v>0</v>
      </c>
      <c r="AL10" s="2846">
        <f t="shared" si="36"/>
        <v>71.039750000000026</v>
      </c>
      <c r="AM10" s="2846">
        <f t="shared" si="37"/>
        <v>71.039750000000026</v>
      </c>
      <c r="AN10" s="2846">
        <f t="shared" si="37"/>
        <v>0</v>
      </c>
      <c r="AO10" s="2845">
        <f>SUM(AP10:AQ10)</f>
        <v>178.88741666666667</v>
      </c>
      <c r="AP10" s="2845">
        <f t="shared" si="3"/>
        <v>178.88741666666667</v>
      </c>
      <c r="AQ10" s="2845">
        <f t="shared" si="3"/>
        <v>0</v>
      </c>
      <c r="AR10" s="2845">
        <f t="shared" si="38"/>
        <v>209.45099999999999</v>
      </c>
      <c r="AS10" s="3017">
        <f>SUM('ПОЛНАЯ СЕБЕСТОИМОСТЬ СТОКИ 2021'!U10)</f>
        <v>209.45099999999999</v>
      </c>
      <c r="AT10" s="3017">
        <f>SUM('ПОЛНАЯ СЕБЕСТОИМОСТЬ СТОКИ 2021'!V10)</f>
        <v>0</v>
      </c>
      <c r="AU10" s="2843">
        <f t="shared" si="39"/>
        <v>210.49100000000001</v>
      </c>
      <c r="AV10" s="2844">
        <v>210.49100000000001</v>
      </c>
      <c r="AW10" s="2844"/>
      <c r="AX10" s="2845">
        <f>SUM(AY10:AZ10)</f>
        <v>178.88741666666667</v>
      </c>
      <c r="AY10" s="2845">
        <f t="shared" si="4"/>
        <v>178.88741666666667</v>
      </c>
      <c r="AZ10" s="2845">
        <f t="shared" si="4"/>
        <v>0</v>
      </c>
      <c r="BA10" s="2845">
        <f t="shared" si="40"/>
        <v>205.357</v>
      </c>
      <c r="BB10" s="3017">
        <f>SUM('ПОЛНАЯ СЕБЕСТОИМОСТЬ СТОКИ 2021'!X10)</f>
        <v>205.357</v>
      </c>
      <c r="BC10" s="3017">
        <f>SUM('ПОЛНАЯ СЕБЕСТОИМОСТЬ СТОКИ 2021'!Y10)</f>
        <v>0</v>
      </c>
      <c r="BD10" s="2843">
        <f t="shared" si="41"/>
        <v>206.65700000000001</v>
      </c>
      <c r="BE10" s="2844">
        <v>206.65700000000001</v>
      </c>
      <c r="BF10" s="2844"/>
      <c r="BG10" s="2845">
        <f>SUM(BH10:BI10)</f>
        <v>178.88741666666667</v>
      </c>
      <c r="BH10" s="2845">
        <f t="shared" si="5"/>
        <v>178.88741666666667</v>
      </c>
      <c r="BI10" s="2845">
        <f t="shared" si="5"/>
        <v>0</v>
      </c>
      <c r="BJ10" s="2845">
        <f t="shared" si="42"/>
        <v>202.36600000000001</v>
      </c>
      <c r="BK10" s="3017">
        <f>SUM('ПОЛНАЯ СЕБЕСТОИМОСТЬ СТОКИ 2021'!AA10)</f>
        <v>202.36600000000001</v>
      </c>
      <c r="BL10" s="3017">
        <f>SUM('ПОЛНАЯ СЕБЕСТОИМОСТЬ СТОКИ 2021'!AB10)</f>
        <v>0</v>
      </c>
      <c r="BM10" s="2843">
        <f t="shared" si="43"/>
        <v>199.511</v>
      </c>
      <c r="BN10" s="2844">
        <v>199.511</v>
      </c>
      <c r="BO10" s="2844"/>
      <c r="BP10" s="2846">
        <f t="shared" si="44"/>
        <v>536.66224999999997</v>
      </c>
      <c r="BQ10" s="2846">
        <f t="shared" si="45"/>
        <v>536.66224999999997</v>
      </c>
      <c r="BR10" s="2846">
        <f t="shared" si="45"/>
        <v>0</v>
      </c>
      <c r="BS10" s="2846">
        <f t="shared" si="46"/>
        <v>617.17399999999998</v>
      </c>
      <c r="BT10" s="2846">
        <f t="shared" si="47"/>
        <v>617.17399999999998</v>
      </c>
      <c r="BU10" s="2846">
        <f t="shared" si="47"/>
        <v>0</v>
      </c>
      <c r="BV10" s="2916">
        <f t="shared" si="6"/>
        <v>616.65899999999999</v>
      </c>
      <c r="BW10" s="2846">
        <f t="shared" si="6"/>
        <v>616.65899999999999</v>
      </c>
      <c r="BX10" s="2846">
        <f t="shared" si="6"/>
        <v>0</v>
      </c>
      <c r="BY10" s="2846">
        <f t="shared" si="48"/>
        <v>80.511750000000006</v>
      </c>
      <c r="BZ10" s="2846">
        <f t="shared" si="49"/>
        <v>80.511750000000006</v>
      </c>
      <c r="CA10" s="2846">
        <f t="shared" si="49"/>
        <v>0</v>
      </c>
      <c r="CB10" s="2846">
        <f t="shared" si="50"/>
        <v>1073.3244999999999</v>
      </c>
      <c r="CC10" s="2846">
        <f t="shared" si="51"/>
        <v>1073.3244999999999</v>
      </c>
      <c r="CD10" s="2846">
        <f t="shared" si="51"/>
        <v>0</v>
      </c>
      <c r="CE10" s="2846">
        <f t="shared" ref="CE10:CE12" si="82">SUM(CF10:CG10)</f>
        <v>1224.876</v>
      </c>
      <c r="CF10" s="2846">
        <f t="shared" si="7"/>
        <v>1224.876</v>
      </c>
      <c r="CG10" s="2846">
        <f t="shared" si="7"/>
        <v>0</v>
      </c>
      <c r="CH10" s="2916">
        <f t="shared" si="7"/>
        <v>1225.8159999999998</v>
      </c>
      <c r="CI10" s="2916">
        <f t="shared" si="7"/>
        <v>1225.8159999999998</v>
      </c>
      <c r="CJ10" s="2916">
        <f t="shared" si="7"/>
        <v>0</v>
      </c>
      <c r="CK10" s="2846">
        <f t="shared" si="52"/>
        <v>151.55150000000003</v>
      </c>
      <c r="CL10" s="2917">
        <f t="shared" si="8"/>
        <v>151.55150000000003</v>
      </c>
      <c r="CM10" s="2917">
        <f t="shared" si="8"/>
        <v>0</v>
      </c>
      <c r="CN10" s="2845">
        <f>SUM(CO10:CP10)</f>
        <v>178.88741666666667</v>
      </c>
      <c r="CO10" s="2845">
        <f t="shared" si="9"/>
        <v>178.88741666666667</v>
      </c>
      <c r="CP10" s="2845">
        <f t="shared" si="9"/>
        <v>0</v>
      </c>
      <c r="CQ10" s="2845">
        <f t="shared" si="53"/>
        <v>188.018</v>
      </c>
      <c r="CR10" s="3017">
        <f>SUM('ПОЛНАЯ СЕБЕСТОИМОСТЬ СТОКИ 2021'!AS10)</f>
        <v>188.018</v>
      </c>
      <c r="CS10" s="3017">
        <f>SUM('ПОЛНАЯ СЕБЕСТОИМОСТЬ СТОКИ 2021'!AT10)</f>
        <v>0</v>
      </c>
      <c r="CT10" s="2843">
        <f t="shared" si="54"/>
        <v>190.238</v>
      </c>
      <c r="CU10" s="2844">
        <v>190.238</v>
      </c>
      <c r="CV10" s="2844"/>
      <c r="CW10" s="2845">
        <f>SUM(CX10:CY10)</f>
        <v>178.88741666666667</v>
      </c>
      <c r="CX10" s="2845">
        <f t="shared" si="10"/>
        <v>178.88741666666667</v>
      </c>
      <c r="CY10" s="2845">
        <f t="shared" si="10"/>
        <v>0</v>
      </c>
      <c r="CZ10" s="2845">
        <f t="shared" si="55"/>
        <v>194.14699999999999</v>
      </c>
      <c r="DA10" s="3017">
        <f>SUM('ПОЛНАЯ СЕБЕСТОИМОСТЬ СТОКИ 2021'!AV10)</f>
        <v>194.14699999999999</v>
      </c>
      <c r="DB10" s="3017">
        <f>SUM('ПОЛНАЯ СЕБЕСТОИМОСТЬ СТОКИ 2021'!AW10)</f>
        <v>0</v>
      </c>
      <c r="DC10" s="2843">
        <f t="shared" si="56"/>
        <v>192.72200000000001</v>
      </c>
      <c r="DD10" s="2844">
        <v>192.72200000000001</v>
      </c>
      <c r="DE10" s="2844"/>
      <c r="DF10" s="2845">
        <f>SUM(DG10:DH10)</f>
        <v>178.88741666666667</v>
      </c>
      <c r="DG10" s="2845">
        <f t="shared" si="11"/>
        <v>178.88741666666667</v>
      </c>
      <c r="DH10" s="2845">
        <f t="shared" si="11"/>
        <v>0</v>
      </c>
      <c r="DI10" s="2845">
        <f t="shared" si="57"/>
        <v>188.57599999999999</v>
      </c>
      <c r="DJ10" s="3017">
        <f>SUM('ПОЛНАЯ СЕБЕСТОИМОСТЬ СТОКИ 2021'!AY10)</f>
        <v>188.57599999999999</v>
      </c>
      <c r="DK10" s="3017">
        <f>SUM('ПОЛНАЯ СЕБЕСТОИМОСТЬ СТОКИ 2021'!AZ10)</f>
        <v>0</v>
      </c>
      <c r="DL10" s="2843">
        <f t="shared" si="58"/>
        <v>199.118821</v>
      </c>
      <c r="DM10" s="2844">
        <v>199.118821</v>
      </c>
      <c r="DN10" s="2844"/>
      <c r="DO10" s="2846">
        <f t="shared" si="59"/>
        <v>536.66224999999997</v>
      </c>
      <c r="DP10" s="2846">
        <f t="shared" si="60"/>
        <v>536.66224999999997</v>
      </c>
      <c r="DQ10" s="2846">
        <f t="shared" si="60"/>
        <v>0</v>
      </c>
      <c r="DR10" s="2846">
        <f t="shared" si="61"/>
        <v>570.74099999999999</v>
      </c>
      <c r="DS10" s="2846">
        <f t="shared" si="62"/>
        <v>570.74099999999999</v>
      </c>
      <c r="DT10" s="2846">
        <f t="shared" si="62"/>
        <v>0</v>
      </c>
      <c r="DU10" s="2916">
        <f t="shared" si="12"/>
        <v>582.07882100000006</v>
      </c>
      <c r="DV10" s="2846">
        <f t="shared" si="12"/>
        <v>582.07882100000006</v>
      </c>
      <c r="DW10" s="2846">
        <f t="shared" si="12"/>
        <v>0</v>
      </c>
      <c r="DX10" s="2846">
        <f t="shared" si="63"/>
        <v>34.078750000000014</v>
      </c>
      <c r="DY10" s="2917">
        <f t="shared" si="13"/>
        <v>34.078750000000014</v>
      </c>
      <c r="DZ10" s="2917">
        <f t="shared" si="13"/>
        <v>0</v>
      </c>
      <c r="EA10" s="2846">
        <f t="shared" si="64"/>
        <v>1609.98675</v>
      </c>
      <c r="EB10" s="2846">
        <f t="shared" si="65"/>
        <v>1609.98675</v>
      </c>
      <c r="EC10" s="2846">
        <f t="shared" si="65"/>
        <v>0</v>
      </c>
      <c r="ED10" s="2846">
        <f t="shared" si="66"/>
        <v>1795.617</v>
      </c>
      <c r="EE10" s="2846">
        <f t="shared" si="14"/>
        <v>1795.617</v>
      </c>
      <c r="EF10" s="2846">
        <f t="shared" si="14"/>
        <v>0</v>
      </c>
      <c r="EG10" s="2846">
        <f t="shared" si="14"/>
        <v>1807.8948209999999</v>
      </c>
      <c r="EH10" s="2846">
        <f t="shared" si="14"/>
        <v>1807.8948209999999</v>
      </c>
      <c r="EI10" s="2846">
        <f t="shared" si="14"/>
        <v>0</v>
      </c>
      <c r="EJ10" s="2846">
        <f t="shared" si="67"/>
        <v>185.63024999999993</v>
      </c>
      <c r="EK10" s="2917">
        <f t="shared" si="15"/>
        <v>185.63024999999993</v>
      </c>
      <c r="EL10" s="2917">
        <f t="shared" si="15"/>
        <v>0</v>
      </c>
      <c r="EM10" s="2845">
        <f>SUM(EN10:EO10)</f>
        <v>178.88741666666667</v>
      </c>
      <c r="EN10" s="2845">
        <f t="shared" si="16"/>
        <v>178.88741666666667</v>
      </c>
      <c r="EO10" s="2845">
        <f t="shared" si="16"/>
        <v>0</v>
      </c>
      <c r="EP10" s="2845">
        <f t="shared" si="68"/>
        <v>195.09200000000001</v>
      </c>
      <c r="EQ10" s="3017">
        <f>SUM('ПОЛНАЯ СЕБЕСТОИМОСТЬ СТОКИ 2021'!BQ10)</f>
        <v>195.09200000000001</v>
      </c>
      <c r="ER10" s="3017">
        <f>SUM('ПОЛНАЯ СЕБЕСТОИМОСТЬ СТОКИ 2021'!BR10)</f>
        <v>0</v>
      </c>
      <c r="ES10" s="2843">
        <f t="shared" si="69"/>
        <v>196.01757799999999</v>
      </c>
      <c r="ET10" s="2844">
        <v>196.01757799999999</v>
      </c>
      <c r="EU10" s="2844"/>
      <c r="EV10" s="2845">
        <f>SUM(EW10:EX10)</f>
        <v>178.88741666666667</v>
      </c>
      <c r="EW10" s="2845">
        <f t="shared" si="17"/>
        <v>178.88741666666667</v>
      </c>
      <c r="EX10" s="2845">
        <f t="shared" si="17"/>
        <v>0</v>
      </c>
      <c r="EY10" s="2845">
        <f t="shared" si="70"/>
        <v>198.24299999999999</v>
      </c>
      <c r="EZ10" s="3017">
        <f>SUM('ПОЛНАЯ СЕБЕСТОИМОСТЬ СТОКИ 2021'!BT10)</f>
        <v>198.24299999999999</v>
      </c>
      <c r="FA10" s="3017">
        <f>SUM('ПОЛНАЯ СЕБЕСТОИМОСТЬ СТОКИ 2021'!BU10)</f>
        <v>0</v>
      </c>
      <c r="FB10" s="2845">
        <f t="shared" si="71"/>
        <v>200.56299999999999</v>
      </c>
      <c r="FC10" s="2852">
        <v>200.56299999999999</v>
      </c>
      <c r="FD10" s="2852"/>
      <c r="FE10" s="2845">
        <f>SUM(FF10:FG10)</f>
        <v>178.88741666666667</v>
      </c>
      <c r="FF10" s="2845">
        <f t="shared" si="18"/>
        <v>178.88741666666667</v>
      </c>
      <c r="FG10" s="2845">
        <f t="shared" si="18"/>
        <v>0</v>
      </c>
      <c r="FH10" s="2845">
        <f t="shared" si="72"/>
        <v>202.09399999999999</v>
      </c>
      <c r="FI10" s="3017">
        <f>SUM('ПОЛНАЯ СЕБЕСТОИМОСТЬ СТОКИ 2021'!BW10)</f>
        <v>202.09399999999999</v>
      </c>
      <c r="FJ10" s="3017">
        <f>SUM('ПОЛНАЯ СЕБЕСТОИМОСТЬ СТОКИ 2021'!BX10)</f>
        <v>0</v>
      </c>
      <c r="FK10" s="2845">
        <f t="shared" si="73"/>
        <v>202.804</v>
      </c>
      <c r="FL10" s="2852">
        <v>202.804</v>
      </c>
      <c r="FM10" s="2852"/>
      <c r="FN10" s="2846">
        <f t="shared" si="74"/>
        <v>536.66224999999997</v>
      </c>
      <c r="FO10" s="2846">
        <f t="shared" si="75"/>
        <v>536.66224999999997</v>
      </c>
      <c r="FP10" s="2846">
        <f t="shared" si="75"/>
        <v>0</v>
      </c>
      <c r="FQ10" s="2846">
        <f t="shared" si="76"/>
        <v>595.42900000000009</v>
      </c>
      <c r="FR10" s="2846">
        <f t="shared" si="77"/>
        <v>595.42900000000009</v>
      </c>
      <c r="FS10" s="2846">
        <f t="shared" si="77"/>
        <v>0</v>
      </c>
      <c r="FT10" s="2916">
        <f t="shared" si="19"/>
        <v>599.38457799999992</v>
      </c>
      <c r="FU10" s="2916">
        <f t="shared" si="19"/>
        <v>599.38457799999992</v>
      </c>
      <c r="FV10" s="2916">
        <f t="shared" si="19"/>
        <v>0</v>
      </c>
      <c r="FW10" s="2846">
        <f t="shared" si="78"/>
        <v>58.766750000000116</v>
      </c>
      <c r="FX10" s="2917">
        <f t="shared" si="20"/>
        <v>58.766750000000116</v>
      </c>
      <c r="FY10" s="2917">
        <f t="shared" si="20"/>
        <v>0</v>
      </c>
      <c r="FZ10" s="2846">
        <f t="shared" si="79"/>
        <v>2146.6489999999999</v>
      </c>
      <c r="GA10" s="2846">
        <f>SUM(объемы!BN64)</f>
        <v>2146.6489999999999</v>
      </c>
      <c r="GB10" s="2846">
        <v>0</v>
      </c>
      <c r="GC10" s="2846">
        <f t="shared" si="80"/>
        <v>2391.0460000000003</v>
      </c>
      <c r="GD10" s="2916">
        <f t="shared" si="21"/>
        <v>2391.0460000000003</v>
      </c>
      <c r="GE10" s="2916">
        <f t="shared" si="21"/>
        <v>0</v>
      </c>
      <c r="GF10" s="2916">
        <f t="shared" si="21"/>
        <v>2407.279399</v>
      </c>
      <c r="GG10" s="2916">
        <f t="shared" si="22"/>
        <v>2407.279399</v>
      </c>
      <c r="GH10" s="2916">
        <f t="shared" si="22"/>
        <v>0</v>
      </c>
      <c r="GI10" s="2846">
        <f t="shared" si="81"/>
        <v>244.39700000000039</v>
      </c>
      <c r="GJ10" s="2917">
        <f t="shared" si="23"/>
        <v>244.39700000000039</v>
      </c>
      <c r="GK10" s="2917">
        <f t="shared" si="23"/>
        <v>0</v>
      </c>
      <c r="GM10" s="4234"/>
    </row>
    <row r="11" spans="1:195" ht="18.75" customHeight="1" x14ac:dyDescent="0.3">
      <c r="A11" s="2914" t="s">
        <v>3795</v>
      </c>
      <c r="B11" s="2845">
        <f t="shared" si="24"/>
        <v>1.4722500000000001</v>
      </c>
      <c r="C11" s="2845">
        <f>SUM(GA11/12)</f>
        <v>0</v>
      </c>
      <c r="D11" s="2845">
        <f t="shared" si="25"/>
        <v>1.4722500000000001</v>
      </c>
      <c r="E11" s="2845">
        <f t="shared" si="26"/>
        <v>0.21</v>
      </c>
      <c r="F11" s="3017">
        <f>SUM('ПОЛНАЯ СЕБЕСТОИМОСТЬ СТОКИ 2021'!F11)</f>
        <v>0</v>
      </c>
      <c r="G11" s="3017">
        <f>SUM('ПОЛНАЯ СЕБЕСТОИМОСТЬ СТОКИ 2021'!G11)</f>
        <v>0.21</v>
      </c>
      <c r="H11" s="2843">
        <f t="shared" si="27"/>
        <v>0.34899999999999998</v>
      </c>
      <c r="I11" s="2843">
        <v>0</v>
      </c>
      <c r="J11" s="2852">
        <v>0.34899999999999998</v>
      </c>
      <c r="K11" s="2845">
        <f>SUM(L11:M11)</f>
        <v>1.4722500000000001</v>
      </c>
      <c r="L11" s="2845">
        <f t="shared" si="0"/>
        <v>0</v>
      </c>
      <c r="M11" s="2845">
        <f t="shared" si="0"/>
        <v>1.4722500000000001</v>
      </c>
      <c r="N11" s="2845">
        <f t="shared" si="28"/>
        <v>0.23599999999999999</v>
      </c>
      <c r="O11" s="3017">
        <f>SUM('ПОЛНАЯ СЕБЕСТОИМОСТЬ СТОКИ 2021'!I11)</f>
        <v>0</v>
      </c>
      <c r="P11" s="3017">
        <f>SUM('ПОЛНАЯ СЕБЕСТОИМОСТЬ СТОКИ 2021'!J11)</f>
        <v>0.23599999999999999</v>
      </c>
      <c r="Q11" s="2843">
        <f t="shared" si="29"/>
        <v>0.19900000000000001</v>
      </c>
      <c r="R11" s="2843">
        <v>0</v>
      </c>
      <c r="S11" s="2852">
        <v>0.19900000000000001</v>
      </c>
      <c r="T11" s="2845">
        <f>SUM(U11:V11)</f>
        <v>1.4722500000000001</v>
      </c>
      <c r="U11" s="2845">
        <f t="shared" si="1"/>
        <v>0</v>
      </c>
      <c r="V11" s="2845">
        <f t="shared" si="1"/>
        <v>1.4722500000000001</v>
      </c>
      <c r="W11" s="2845">
        <f t="shared" si="30"/>
        <v>2.8864999999999998</v>
      </c>
      <c r="X11" s="3017">
        <f>SUM('ПОЛНАЯ СЕБЕСТОИМОСТЬ СТОКИ 2021'!L11)</f>
        <v>0</v>
      </c>
      <c r="Y11" s="3017">
        <f>SUM('ПОЛНАЯ СЕБЕСТОИМОСТЬ СТОКИ 2021'!M11)</f>
        <v>2.8864999999999998</v>
      </c>
      <c r="Z11" s="2843">
        <f t="shared" si="31"/>
        <v>2.786</v>
      </c>
      <c r="AA11" s="2843">
        <v>0</v>
      </c>
      <c r="AB11" s="2852">
        <v>2.786</v>
      </c>
      <c r="AC11" s="2846">
        <f t="shared" si="32"/>
        <v>4.4167500000000004</v>
      </c>
      <c r="AD11" s="2846">
        <f t="shared" si="33"/>
        <v>0</v>
      </c>
      <c r="AE11" s="2846">
        <f t="shared" si="33"/>
        <v>4.4167500000000004</v>
      </c>
      <c r="AF11" s="2846">
        <f t="shared" si="34"/>
        <v>3.3324999999999996</v>
      </c>
      <c r="AG11" s="2846">
        <f t="shared" si="35"/>
        <v>0</v>
      </c>
      <c r="AH11" s="2846">
        <f t="shared" si="35"/>
        <v>3.3324999999999996</v>
      </c>
      <c r="AI11" s="2916">
        <f t="shared" si="2"/>
        <v>3.3340000000000001</v>
      </c>
      <c r="AJ11" s="2916">
        <f t="shared" si="2"/>
        <v>0</v>
      </c>
      <c r="AK11" s="2916">
        <f t="shared" si="2"/>
        <v>3.3340000000000001</v>
      </c>
      <c r="AL11" s="2846">
        <f t="shared" si="36"/>
        <v>-1.0842500000000008</v>
      </c>
      <c r="AM11" s="2846">
        <f t="shared" si="37"/>
        <v>0</v>
      </c>
      <c r="AN11" s="2846">
        <f t="shared" si="37"/>
        <v>-1.0842500000000008</v>
      </c>
      <c r="AO11" s="2845">
        <f>SUM(AP11:AQ11)</f>
        <v>1.4722500000000001</v>
      </c>
      <c r="AP11" s="2845">
        <f t="shared" si="3"/>
        <v>0</v>
      </c>
      <c r="AQ11" s="2845">
        <f t="shared" si="3"/>
        <v>1.4722500000000001</v>
      </c>
      <c r="AR11" s="2845">
        <f t="shared" si="38"/>
        <v>0.73375000000000001</v>
      </c>
      <c r="AS11" s="3017">
        <f>SUM('ПОЛНАЯ СЕБЕСТОИМОСТЬ СТОКИ 2021'!U11)</f>
        <v>0</v>
      </c>
      <c r="AT11" s="3017">
        <f>SUM('ПОЛНАЯ СЕБЕСТОИМОСТЬ СТОКИ 2021'!V11)</f>
        <v>0.73375000000000001</v>
      </c>
      <c r="AU11" s="2843">
        <f t="shared" si="39"/>
        <v>0.28899999999999998</v>
      </c>
      <c r="AV11" s="2843">
        <v>0</v>
      </c>
      <c r="AW11" s="2852">
        <v>0.28899999999999998</v>
      </c>
      <c r="AX11" s="2845">
        <f>SUM(AY11:AZ11)</f>
        <v>1.4722500000000001</v>
      </c>
      <c r="AY11" s="2845">
        <f t="shared" si="4"/>
        <v>0</v>
      </c>
      <c r="AZ11" s="2845">
        <f t="shared" si="4"/>
        <v>1.4722500000000001</v>
      </c>
      <c r="BA11" s="2845">
        <f t="shared" si="40"/>
        <v>0.26850000000000002</v>
      </c>
      <c r="BB11" s="3017">
        <f>SUM('ПОЛНАЯ СЕБЕСТОИМОСТЬ СТОКИ 2021'!X11)</f>
        <v>0</v>
      </c>
      <c r="BC11" s="3017">
        <f>SUM('ПОЛНАЯ СЕБЕСТОИМОСТЬ СТОКИ 2021'!Y11)</f>
        <v>0.26850000000000002</v>
      </c>
      <c r="BD11" s="2843">
        <f t="shared" si="41"/>
        <v>0.80600000000000005</v>
      </c>
      <c r="BE11" s="2843">
        <v>0</v>
      </c>
      <c r="BF11" s="2852">
        <v>0.80600000000000005</v>
      </c>
      <c r="BG11" s="2845">
        <f>SUM(BH11:BI11)</f>
        <v>1.4722500000000001</v>
      </c>
      <c r="BH11" s="2845">
        <f t="shared" si="5"/>
        <v>0</v>
      </c>
      <c r="BI11" s="2845">
        <f t="shared" si="5"/>
        <v>1.4722500000000001</v>
      </c>
      <c r="BJ11" s="2845">
        <f t="shared" si="42"/>
        <v>3.097</v>
      </c>
      <c r="BK11" s="3017">
        <f>SUM('ПОЛНАЯ СЕБЕСТОИМОСТЬ СТОКИ 2021'!AA11)</f>
        <v>0</v>
      </c>
      <c r="BL11" s="3017">
        <f>SUM('ПОЛНАЯ СЕБЕСТОИМОСТЬ СТОКИ 2021'!AB11)</f>
        <v>3.097</v>
      </c>
      <c r="BM11" s="2843">
        <f t="shared" si="43"/>
        <v>3.33</v>
      </c>
      <c r="BN11" s="2843">
        <v>0</v>
      </c>
      <c r="BO11" s="2852">
        <v>3.33</v>
      </c>
      <c r="BP11" s="2846">
        <f t="shared" si="44"/>
        <v>4.4167500000000004</v>
      </c>
      <c r="BQ11" s="2846">
        <f t="shared" si="45"/>
        <v>0</v>
      </c>
      <c r="BR11" s="2846">
        <f t="shared" si="45"/>
        <v>4.4167500000000004</v>
      </c>
      <c r="BS11" s="2846">
        <f t="shared" si="46"/>
        <v>4.0992499999999996</v>
      </c>
      <c r="BT11" s="2846">
        <f t="shared" si="47"/>
        <v>0</v>
      </c>
      <c r="BU11" s="2846">
        <f t="shared" si="47"/>
        <v>4.0992499999999996</v>
      </c>
      <c r="BV11" s="2916">
        <f t="shared" si="6"/>
        <v>4.4249999999999998</v>
      </c>
      <c r="BW11" s="2846">
        <f t="shared" si="6"/>
        <v>0</v>
      </c>
      <c r="BX11" s="2846">
        <f t="shared" si="6"/>
        <v>4.4249999999999998</v>
      </c>
      <c r="BY11" s="2846">
        <f t="shared" si="48"/>
        <v>-0.31750000000000078</v>
      </c>
      <c r="BZ11" s="2846">
        <f t="shared" si="49"/>
        <v>0</v>
      </c>
      <c r="CA11" s="2846">
        <f t="shared" si="49"/>
        <v>-0.31750000000000078</v>
      </c>
      <c r="CB11" s="2846">
        <f t="shared" si="50"/>
        <v>8.8335000000000008</v>
      </c>
      <c r="CC11" s="2846">
        <f t="shared" si="51"/>
        <v>0</v>
      </c>
      <c r="CD11" s="2846">
        <f t="shared" si="51"/>
        <v>8.8335000000000008</v>
      </c>
      <c r="CE11" s="2846">
        <f t="shared" si="82"/>
        <v>7.4317499999999992</v>
      </c>
      <c r="CF11" s="2846">
        <f t="shared" si="7"/>
        <v>0</v>
      </c>
      <c r="CG11" s="2846">
        <f t="shared" si="7"/>
        <v>7.4317499999999992</v>
      </c>
      <c r="CH11" s="2916">
        <f t="shared" si="7"/>
        <v>7.7590000000000003</v>
      </c>
      <c r="CI11" s="2916">
        <f t="shared" si="7"/>
        <v>0</v>
      </c>
      <c r="CJ11" s="2916">
        <f t="shared" si="7"/>
        <v>7.7590000000000003</v>
      </c>
      <c r="CK11" s="2846">
        <f t="shared" si="52"/>
        <v>-1.4017500000000016</v>
      </c>
      <c r="CL11" s="2917">
        <f t="shared" si="8"/>
        <v>0</v>
      </c>
      <c r="CM11" s="2917">
        <f t="shared" si="8"/>
        <v>-1.4017500000000016</v>
      </c>
      <c r="CN11" s="2845">
        <f>SUM(CO11:CP11)</f>
        <v>1.4722500000000001</v>
      </c>
      <c r="CO11" s="2845">
        <f t="shared" si="9"/>
        <v>0</v>
      </c>
      <c r="CP11" s="2845">
        <f t="shared" si="9"/>
        <v>1.4722500000000001</v>
      </c>
      <c r="CQ11" s="2845">
        <f t="shared" si="53"/>
        <v>0.46600000000000003</v>
      </c>
      <c r="CR11" s="3017">
        <f>SUM('ПОЛНАЯ СЕБЕСТОИМОСТЬ СТОКИ 2021'!AS11)</f>
        <v>0</v>
      </c>
      <c r="CS11" s="3017">
        <f>SUM('ПОЛНАЯ СЕБЕСТОИМОСТЬ СТОКИ 2021'!AT11)</f>
        <v>0.46600000000000003</v>
      </c>
      <c r="CT11" s="2843">
        <f t="shared" si="54"/>
        <v>0.78800000000000003</v>
      </c>
      <c r="CU11" s="2843">
        <v>0</v>
      </c>
      <c r="CV11" s="2852">
        <v>0.78800000000000003</v>
      </c>
      <c r="CW11" s="2845">
        <f>SUM(CX11:CY11)</f>
        <v>1.4722500000000001</v>
      </c>
      <c r="CX11" s="2845">
        <f t="shared" si="10"/>
        <v>0</v>
      </c>
      <c r="CY11" s="2845">
        <f t="shared" si="10"/>
        <v>1.4722500000000001</v>
      </c>
      <c r="CZ11" s="2845">
        <f t="shared" si="55"/>
        <v>0.81499999999999995</v>
      </c>
      <c r="DA11" s="3017">
        <f>SUM('ПОЛНАЯ СЕБЕСТОИМОСТЬ СТОКИ 2021'!AV11)</f>
        <v>0</v>
      </c>
      <c r="DB11" s="3017">
        <f>SUM('ПОЛНАЯ СЕБЕСТОИМОСТЬ СТОКИ 2021'!AW11)</f>
        <v>0.81499999999999995</v>
      </c>
      <c r="DC11" s="2843">
        <f t="shared" si="56"/>
        <v>0.27750000000000002</v>
      </c>
      <c r="DD11" s="2843">
        <v>0</v>
      </c>
      <c r="DE11" s="2852">
        <v>0.27750000000000002</v>
      </c>
      <c r="DF11" s="2845">
        <f>SUM(DG11:DH11)</f>
        <v>1.4722500000000001</v>
      </c>
      <c r="DG11" s="2845">
        <f t="shared" si="11"/>
        <v>0</v>
      </c>
      <c r="DH11" s="2845">
        <f t="shared" si="11"/>
        <v>1.4722500000000001</v>
      </c>
      <c r="DI11" s="2845">
        <f t="shared" si="57"/>
        <v>2.8959999999999999</v>
      </c>
      <c r="DJ11" s="3017">
        <f>SUM('ПОЛНАЯ СЕБЕСТОИМОСТЬ СТОКИ 2021'!AY11)</f>
        <v>0</v>
      </c>
      <c r="DK11" s="3017">
        <f>SUM('ПОЛНАЯ СЕБЕСТОИМОСТЬ СТОКИ 2021'!AZ11)</f>
        <v>2.8959999999999999</v>
      </c>
      <c r="DL11" s="2843">
        <f t="shared" si="58"/>
        <v>3.0265</v>
      </c>
      <c r="DM11" s="2843">
        <v>0</v>
      </c>
      <c r="DN11" s="2852">
        <v>3.0265</v>
      </c>
      <c r="DO11" s="2846">
        <f t="shared" si="59"/>
        <v>4.4167500000000004</v>
      </c>
      <c r="DP11" s="2846">
        <f t="shared" si="60"/>
        <v>0</v>
      </c>
      <c r="DQ11" s="2846">
        <f t="shared" si="60"/>
        <v>4.4167500000000004</v>
      </c>
      <c r="DR11" s="2846">
        <f t="shared" si="61"/>
        <v>4.1769999999999996</v>
      </c>
      <c r="DS11" s="2846">
        <f t="shared" si="62"/>
        <v>0</v>
      </c>
      <c r="DT11" s="2846">
        <f t="shared" si="62"/>
        <v>4.1769999999999996</v>
      </c>
      <c r="DU11" s="2916">
        <f t="shared" si="12"/>
        <v>4.0920000000000005</v>
      </c>
      <c r="DV11" s="2846">
        <f t="shared" si="12"/>
        <v>0</v>
      </c>
      <c r="DW11" s="2846">
        <f t="shared" si="12"/>
        <v>4.0920000000000005</v>
      </c>
      <c r="DX11" s="2846">
        <f t="shared" si="63"/>
        <v>-0.2397500000000008</v>
      </c>
      <c r="DY11" s="2917">
        <f t="shared" si="13"/>
        <v>0</v>
      </c>
      <c r="DZ11" s="2917">
        <f t="shared" si="13"/>
        <v>-0.2397500000000008</v>
      </c>
      <c r="EA11" s="2846">
        <f t="shared" si="64"/>
        <v>13.250250000000001</v>
      </c>
      <c r="EB11" s="2846">
        <f t="shared" si="65"/>
        <v>0</v>
      </c>
      <c r="EC11" s="2846">
        <f t="shared" si="65"/>
        <v>13.250250000000001</v>
      </c>
      <c r="ED11" s="2846">
        <f t="shared" si="66"/>
        <v>11.608749999999999</v>
      </c>
      <c r="EE11" s="2846">
        <f t="shared" si="14"/>
        <v>0</v>
      </c>
      <c r="EF11" s="2846">
        <f t="shared" si="14"/>
        <v>11.608749999999999</v>
      </c>
      <c r="EG11" s="2846">
        <f t="shared" si="14"/>
        <v>11.851000000000001</v>
      </c>
      <c r="EH11" s="2846">
        <f t="shared" si="14"/>
        <v>0</v>
      </c>
      <c r="EI11" s="2846">
        <f t="shared" si="14"/>
        <v>11.851000000000001</v>
      </c>
      <c r="EJ11" s="2846">
        <f t="shared" si="67"/>
        <v>-1.6415000000000024</v>
      </c>
      <c r="EK11" s="2917">
        <f t="shared" si="15"/>
        <v>0</v>
      </c>
      <c r="EL11" s="2917">
        <f t="shared" si="15"/>
        <v>-1.6415000000000024</v>
      </c>
      <c r="EM11" s="2845">
        <f>SUM(EN11:EO11)</f>
        <v>1.4722500000000001</v>
      </c>
      <c r="EN11" s="2845">
        <f t="shared" si="16"/>
        <v>0</v>
      </c>
      <c r="EO11" s="2845">
        <f t="shared" si="16"/>
        <v>1.4722500000000001</v>
      </c>
      <c r="EP11" s="2845">
        <f t="shared" si="68"/>
        <v>1.129</v>
      </c>
      <c r="EQ11" s="3017">
        <f>SUM('ПОЛНАЯ СЕБЕСТОИМОСТЬ СТОКИ 2021'!BQ11)</f>
        <v>0</v>
      </c>
      <c r="ER11" s="3017">
        <f>SUM('ПОЛНАЯ СЕБЕСТОИМОСТЬ СТОКИ 2021'!BR11)</f>
        <v>1.129</v>
      </c>
      <c r="ES11" s="2843">
        <f t="shared" si="69"/>
        <v>0.36749999999999999</v>
      </c>
      <c r="ET11" s="2843">
        <v>0</v>
      </c>
      <c r="EU11" s="2852">
        <v>0.36749999999999999</v>
      </c>
      <c r="EV11" s="2845">
        <f>SUM(EW11:EX11)</f>
        <v>1.4722500000000001</v>
      </c>
      <c r="EW11" s="2845">
        <f t="shared" si="17"/>
        <v>0</v>
      </c>
      <c r="EX11" s="2845">
        <f t="shared" si="17"/>
        <v>1.4722500000000001</v>
      </c>
      <c r="EY11" s="2845">
        <f t="shared" si="70"/>
        <v>0.29599999999999999</v>
      </c>
      <c r="EZ11" s="3017">
        <f>SUM('ПОЛНАЯ СЕБЕСТОИМОСТЬ СТОКИ 2021'!BT11)</f>
        <v>0</v>
      </c>
      <c r="FA11" s="3017">
        <f>SUM('ПОЛНАЯ СЕБЕСТОИМОСТЬ СТОКИ 2021'!BU11)</f>
        <v>0.29599999999999999</v>
      </c>
      <c r="FB11" s="2845">
        <f t="shared" si="71"/>
        <v>0.82799999999999996</v>
      </c>
      <c r="FC11" s="2845">
        <v>0</v>
      </c>
      <c r="FD11" s="2852">
        <v>0.82799999999999996</v>
      </c>
      <c r="FE11" s="2845">
        <f>SUM(FF11:FG11)</f>
        <v>1.4722500000000001</v>
      </c>
      <c r="FF11" s="2845">
        <f t="shared" si="18"/>
        <v>0</v>
      </c>
      <c r="FG11" s="2845">
        <f t="shared" si="18"/>
        <v>1.4722500000000001</v>
      </c>
      <c r="FH11" s="2845">
        <f t="shared" si="72"/>
        <v>3.1840000000000002</v>
      </c>
      <c r="FI11" s="3017">
        <f>SUM('ПОЛНАЯ СЕБЕСТОИМОСТЬ СТОКИ 2021'!BW11)</f>
        <v>0</v>
      </c>
      <c r="FJ11" s="3017">
        <f>SUM('ПОЛНАЯ СЕБЕСТОИМОСТЬ СТОКИ 2021'!BX11)</f>
        <v>3.1840000000000002</v>
      </c>
      <c r="FK11" s="2845">
        <f t="shared" si="73"/>
        <v>3.2440000000000002</v>
      </c>
      <c r="FL11" s="2845">
        <v>0</v>
      </c>
      <c r="FM11" s="2852">
        <v>3.2440000000000002</v>
      </c>
      <c r="FN11" s="2846">
        <f t="shared" si="74"/>
        <v>4.4167500000000004</v>
      </c>
      <c r="FO11" s="2846">
        <f t="shared" si="75"/>
        <v>0</v>
      </c>
      <c r="FP11" s="2846">
        <f t="shared" si="75"/>
        <v>4.4167500000000004</v>
      </c>
      <c r="FQ11" s="2846">
        <f t="shared" si="76"/>
        <v>4.609</v>
      </c>
      <c r="FR11" s="2846">
        <f t="shared" si="77"/>
        <v>0</v>
      </c>
      <c r="FS11" s="2846">
        <f t="shared" si="77"/>
        <v>4.609</v>
      </c>
      <c r="FT11" s="2916">
        <f t="shared" si="19"/>
        <v>4.4395000000000007</v>
      </c>
      <c r="FU11" s="2916">
        <f t="shared" si="19"/>
        <v>0</v>
      </c>
      <c r="FV11" s="2916">
        <f t="shared" si="19"/>
        <v>4.4395000000000007</v>
      </c>
      <c r="FW11" s="2846">
        <f t="shared" si="78"/>
        <v>0.19224999999999959</v>
      </c>
      <c r="FX11" s="2917">
        <f t="shared" si="20"/>
        <v>0</v>
      </c>
      <c r="FY11" s="2917">
        <f t="shared" si="20"/>
        <v>0.19224999999999959</v>
      </c>
      <c r="FZ11" s="2846">
        <f t="shared" si="79"/>
        <v>17.667000000000002</v>
      </c>
      <c r="GA11" s="2846">
        <v>0</v>
      </c>
      <c r="GB11" s="2846">
        <f>SUM(объемы!BO63)</f>
        <v>17.667000000000002</v>
      </c>
      <c r="GC11" s="2846">
        <f t="shared" si="80"/>
        <v>16.217749999999999</v>
      </c>
      <c r="GD11" s="2916">
        <f t="shared" si="21"/>
        <v>0</v>
      </c>
      <c r="GE11" s="2916">
        <f t="shared" si="21"/>
        <v>16.217749999999999</v>
      </c>
      <c r="GF11" s="2916">
        <f t="shared" si="21"/>
        <v>16.290500000000002</v>
      </c>
      <c r="GG11" s="2916">
        <f t="shared" si="22"/>
        <v>0</v>
      </c>
      <c r="GH11" s="2916">
        <f t="shared" si="22"/>
        <v>16.290500000000002</v>
      </c>
      <c r="GI11" s="2846">
        <f t="shared" si="81"/>
        <v>-1.4492500000000028</v>
      </c>
      <c r="GJ11" s="2917">
        <f t="shared" si="23"/>
        <v>0</v>
      </c>
      <c r="GK11" s="2917">
        <f t="shared" si="23"/>
        <v>-1.4492500000000028</v>
      </c>
      <c r="GM11" s="4234"/>
    </row>
    <row r="12" spans="1:195" ht="18.75" customHeight="1" x14ac:dyDescent="0.3">
      <c r="A12" s="2914" t="s">
        <v>3814</v>
      </c>
      <c r="B12" s="2845">
        <f t="shared" si="24"/>
        <v>56.674083333333336</v>
      </c>
      <c r="C12" s="2845">
        <f t="shared" si="25"/>
        <v>56.674083333333336</v>
      </c>
      <c r="D12" s="2845">
        <f t="shared" si="25"/>
        <v>0</v>
      </c>
      <c r="E12" s="2845">
        <f t="shared" si="26"/>
        <v>49.433</v>
      </c>
      <c r="F12" s="3017">
        <f>SUM('ПОЛНАЯ СЕБЕСТОИМОСТЬ СТОКИ 2021'!F12)</f>
        <v>49.433</v>
      </c>
      <c r="G12" s="3017">
        <f>SUM('ПОЛНАЯ СЕБЕСТОИМОСТЬ СТОКИ 2021'!G12)</f>
        <v>0</v>
      </c>
      <c r="H12" s="2843">
        <f t="shared" si="27"/>
        <v>58.732999999999997</v>
      </c>
      <c r="I12" s="2844">
        <v>58.732999999999997</v>
      </c>
      <c r="J12" s="2844"/>
      <c r="K12" s="2845">
        <f>SUM(L12:M12)</f>
        <v>56.674083333333336</v>
      </c>
      <c r="L12" s="2845">
        <f t="shared" si="0"/>
        <v>56.674083333333336</v>
      </c>
      <c r="M12" s="2845">
        <f t="shared" si="0"/>
        <v>0</v>
      </c>
      <c r="N12" s="2845">
        <f t="shared" si="28"/>
        <v>65.62</v>
      </c>
      <c r="O12" s="3017">
        <f>SUM('ПОЛНАЯ СЕБЕСТОИМОСТЬ СТОКИ 2021'!I12)</f>
        <v>65.62</v>
      </c>
      <c r="P12" s="3017">
        <f>SUM('ПОЛНАЯ СЕБЕСТОИМОСТЬ СТОКИ 2021'!J12)</f>
        <v>0</v>
      </c>
      <c r="Q12" s="2843">
        <f t="shared" si="29"/>
        <v>67.628</v>
      </c>
      <c r="R12" s="2852">
        <v>67.628</v>
      </c>
      <c r="S12" s="2844"/>
      <c r="T12" s="2845">
        <f>SUM(U12:V12)</f>
        <v>56.674083333333336</v>
      </c>
      <c r="U12" s="2845">
        <f t="shared" si="1"/>
        <v>56.674083333333336</v>
      </c>
      <c r="V12" s="2845">
        <f t="shared" si="1"/>
        <v>0</v>
      </c>
      <c r="W12" s="2845">
        <f t="shared" si="30"/>
        <v>60.716000000000001</v>
      </c>
      <c r="X12" s="3017">
        <f>SUM('ПОЛНАЯ СЕБЕСТОИМОСТЬ СТОКИ 2021'!L12)</f>
        <v>60.716000000000001</v>
      </c>
      <c r="Y12" s="3017">
        <f>SUM('ПОЛНАЯ СЕБЕСТОИМОСТЬ СТОКИ 2021'!M12)</f>
        <v>0</v>
      </c>
      <c r="Z12" s="2843">
        <f t="shared" si="31"/>
        <v>63.335999999999999</v>
      </c>
      <c r="AA12" s="2844">
        <v>63.335999999999999</v>
      </c>
      <c r="AB12" s="2844"/>
      <c r="AC12" s="2846">
        <f t="shared" si="32"/>
        <v>170.02225000000001</v>
      </c>
      <c r="AD12" s="2846">
        <f t="shared" si="33"/>
        <v>170.02225000000001</v>
      </c>
      <c r="AE12" s="2846">
        <f t="shared" si="33"/>
        <v>0</v>
      </c>
      <c r="AF12" s="2846">
        <f t="shared" si="34"/>
        <v>175.76900000000001</v>
      </c>
      <c r="AG12" s="2846">
        <f t="shared" si="35"/>
        <v>175.76900000000001</v>
      </c>
      <c r="AH12" s="2846">
        <f t="shared" si="35"/>
        <v>0</v>
      </c>
      <c r="AI12" s="2916">
        <f t="shared" si="2"/>
        <v>189.697</v>
      </c>
      <c r="AJ12" s="2916">
        <f t="shared" si="2"/>
        <v>189.697</v>
      </c>
      <c r="AK12" s="2916">
        <f t="shared" si="2"/>
        <v>0</v>
      </c>
      <c r="AL12" s="2846">
        <f t="shared" si="36"/>
        <v>5.7467499999999916</v>
      </c>
      <c r="AM12" s="2846">
        <f t="shared" si="37"/>
        <v>5.7467499999999916</v>
      </c>
      <c r="AN12" s="2846">
        <f t="shared" si="37"/>
        <v>0</v>
      </c>
      <c r="AO12" s="2845">
        <f>SUM(AP12:AQ12)</f>
        <v>56.674083333333336</v>
      </c>
      <c r="AP12" s="2845">
        <f t="shared" si="3"/>
        <v>56.674083333333336</v>
      </c>
      <c r="AQ12" s="2845">
        <f t="shared" si="3"/>
        <v>0</v>
      </c>
      <c r="AR12" s="2845">
        <f t="shared" si="38"/>
        <v>61.116999999999997</v>
      </c>
      <c r="AS12" s="3017">
        <f>SUM('ПОЛНАЯ СЕБЕСТОИМОСТЬ СТОКИ 2021'!U12)</f>
        <v>61.116999999999997</v>
      </c>
      <c r="AT12" s="3017">
        <f>SUM('ПОЛНАЯ СЕБЕСТОИМОСТЬ СТОКИ 2021'!V12)</f>
        <v>0</v>
      </c>
      <c r="AU12" s="2843">
        <f t="shared" si="39"/>
        <v>54.219000000000001</v>
      </c>
      <c r="AV12" s="2844">
        <v>54.219000000000001</v>
      </c>
      <c r="AW12" s="2844"/>
      <c r="AX12" s="2845">
        <f>SUM(AY12:AZ12)</f>
        <v>56.674083333333336</v>
      </c>
      <c r="AY12" s="2845">
        <f t="shared" si="4"/>
        <v>56.674083333333336</v>
      </c>
      <c r="AZ12" s="2845">
        <f t="shared" si="4"/>
        <v>0</v>
      </c>
      <c r="BA12" s="2845">
        <f t="shared" si="40"/>
        <v>55.223999999999997</v>
      </c>
      <c r="BB12" s="3017">
        <f>SUM('ПОЛНАЯ СЕБЕСТОИМОСТЬ СТОКИ 2021'!X12)</f>
        <v>55.223999999999997</v>
      </c>
      <c r="BC12" s="3017">
        <f>SUM('ПОЛНАЯ СЕБЕСТОИМОСТЬ СТОКИ 2021'!Y12)</f>
        <v>0</v>
      </c>
      <c r="BD12" s="2843">
        <f t="shared" si="41"/>
        <v>44.439</v>
      </c>
      <c r="BE12" s="2844">
        <v>44.439</v>
      </c>
      <c r="BF12" s="2844"/>
      <c r="BG12" s="2845">
        <f>SUM(BH12:BI12)</f>
        <v>56.674083333333336</v>
      </c>
      <c r="BH12" s="2845">
        <f t="shared" si="5"/>
        <v>56.674083333333336</v>
      </c>
      <c r="BI12" s="2845">
        <f t="shared" si="5"/>
        <v>0</v>
      </c>
      <c r="BJ12" s="2845">
        <f t="shared" si="42"/>
        <v>60.750999999999998</v>
      </c>
      <c r="BK12" s="3017">
        <f>SUM('ПОЛНАЯ СЕБЕСТОИМОСТЬ СТОКИ 2021'!AA12)</f>
        <v>60.750999999999998</v>
      </c>
      <c r="BL12" s="3017">
        <f>SUM('ПОЛНАЯ СЕБЕСТОИМОСТЬ СТОКИ 2021'!AB12)</f>
        <v>0</v>
      </c>
      <c r="BM12" s="2843">
        <f t="shared" si="43"/>
        <v>45.401000000000003</v>
      </c>
      <c r="BN12" s="2844">
        <v>45.401000000000003</v>
      </c>
      <c r="BO12" s="2844"/>
      <c r="BP12" s="2846">
        <f t="shared" si="44"/>
        <v>170.02225000000001</v>
      </c>
      <c r="BQ12" s="2846">
        <f t="shared" si="45"/>
        <v>170.02225000000001</v>
      </c>
      <c r="BR12" s="2846">
        <f t="shared" si="45"/>
        <v>0</v>
      </c>
      <c r="BS12" s="2846">
        <f t="shared" si="46"/>
        <v>177.09199999999998</v>
      </c>
      <c r="BT12" s="2846">
        <f t="shared" si="47"/>
        <v>177.09199999999998</v>
      </c>
      <c r="BU12" s="2846">
        <f t="shared" si="47"/>
        <v>0</v>
      </c>
      <c r="BV12" s="2916">
        <f t="shared" si="6"/>
        <v>144.059</v>
      </c>
      <c r="BW12" s="2846">
        <f t="shared" si="6"/>
        <v>144.059</v>
      </c>
      <c r="BX12" s="2846">
        <f t="shared" si="6"/>
        <v>0</v>
      </c>
      <c r="BY12" s="2846">
        <f t="shared" si="48"/>
        <v>7.0697499999999707</v>
      </c>
      <c r="BZ12" s="2846">
        <f t="shared" si="49"/>
        <v>7.0697499999999707</v>
      </c>
      <c r="CA12" s="2846">
        <f t="shared" si="49"/>
        <v>0</v>
      </c>
      <c r="CB12" s="2846">
        <f t="shared" si="50"/>
        <v>340.04450000000003</v>
      </c>
      <c r="CC12" s="2846">
        <f t="shared" si="51"/>
        <v>340.04450000000003</v>
      </c>
      <c r="CD12" s="2846">
        <f t="shared" si="51"/>
        <v>0</v>
      </c>
      <c r="CE12" s="2846">
        <f t="shared" si="82"/>
        <v>352.86099999999999</v>
      </c>
      <c r="CF12" s="2846">
        <f t="shared" si="7"/>
        <v>352.86099999999999</v>
      </c>
      <c r="CG12" s="2846">
        <f t="shared" si="7"/>
        <v>0</v>
      </c>
      <c r="CH12" s="2916">
        <f t="shared" si="7"/>
        <v>333.75599999999997</v>
      </c>
      <c r="CI12" s="2916">
        <f t="shared" si="7"/>
        <v>333.75599999999997</v>
      </c>
      <c r="CJ12" s="2916">
        <f t="shared" si="7"/>
        <v>0</v>
      </c>
      <c r="CK12" s="2846">
        <f t="shared" si="52"/>
        <v>12.816499999999962</v>
      </c>
      <c r="CL12" s="2917">
        <f t="shared" si="8"/>
        <v>12.816499999999962</v>
      </c>
      <c r="CM12" s="2917">
        <f t="shared" si="8"/>
        <v>0</v>
      </c>
      <c r="CN12" s="2845">
        <f>SUM(CO12:CP12)</f>
        <v>56.674083333333336</v>
      </c>
      <c r="CO12" s="2845">
        <f t="shared" si="9"/>
        <v>56.674083333333336</v>
      </c>
      <c r="CP12" s="2845">
        <f t="shared" si="9"/>
        <v>0</v>
      </c>
      <c r="CQ12" s="2845">
        <f t="shared" si="53"/>
        <v>49.575000000000003</v>
      </c>
      <c r="CR12" s="3017">
        <f>SUM('ПОЛНАЯ СЕБЕСТОИМОСТЬ СТОКИ 2021'!AS12)</f>
        <v>49.575000000000003</v>
      </c>
      <c r="CS12" s="3017">
        <f>SUM('ПОЛНАЯ СЕБЕСТОИМОСТЬ СТОКИ 2021'!AT12)</f>
        <v>0</v>
      </c>
      <c r="CT12" s="2843">
        <f t="shared" si="54"/>
        <v>43.670999999999999</v>
      </c>
      <c r="CU12" s="2844">
        <v>43.670999999999999</v>
      </c>
      <c r="CV12" s="2844"/>
      <c r="CW12" s="2845">
        <f>SUM(CX12:CY12)</f>
        <v>56.674083333333336</v>
      </c>
      <c r="CX12" s="2845">
        <f t="shared" si="10"/>
        <v>56.674083333333336</v>
      </c>
      <c r="CY12" s="2845">
        <f t="shared" si="10"/>
        <v>0</v>
      </c>
      <c r="CZ12" s="2845">
        <f t="shared" si="55"/>
        <v>56.58</v>
      </c>
      <c r="DA12" s="3017">
        <f>SUM('ПОЛНАЯ СЕБЕСТОИМОСТЬ СТОКИ 2021'!AV12)</f>
        <v>56.58</v>
      </c>
      <c r="DB12" s="3017">
        <f>SUM('ПОЛНАЯ СЕБЕСТОИМОСТЬ СТОКИ 2021'!AW12)</f>
        <v>0</v>
      </c>
      <c r="DC12" s="2843">
        <f t="shared" si="56"/>
        <v>47.255000000000003</v>
      </c>
      <c r="DD12" s="2844">
        <v>47.255000000000003</v>
      </c>
      <c r="DE12" s="2844"/>
      <c r="DF12" s="2845">
        <f>SUM(DG12:DH12)</f>
        <v>56.674083333333336</v>
      </c>
      <c r="DG12" s="2845">
        <f t="shared" si="11"/>
        <v>56.674083333333336</v>
      </c>
      <c r="DH12" s="2845">
        <f t="shared" si="11"/>
        <v>0</v>
      </c>
      <c r="DI12" s="2845">
        <f t="shared" si="57"/>
        <v>61.116999999999997</v>
      </c>
      <c r="DJ12" s="3017">
        <f>SUM('ПОЛНАЯ СЕБЕСТОИМОСТЬ СТОКИ 2021'!AY12)</f>
        <v>61.116999999999997</v>
      </c>
      <c r="DK12" s="3017">
        <f>SUM('ПОЛНАЯ СЕБЕСТОИМОСТЬ СТОКИ 2021'!AZ12)</f>
        <v>0</v>
      </c>
      <c r="DL12" s="2843">
        <f t="shared" si="58"/>
        <v>42.518135999999998</v>
      </c>
      <c r="DM12" s="2844">
        <v>42.518135999999998</v>
      </c>
      <c r="DN12" s="2844"/>
      <c r="DO12" s="2846">
        <f t="shared" si="59"/>
        <v>170.02225000000001</v>
      </c>
      <c r="DP12" s="2846">
        <f t="shared" si="60"/>
        <v>170.02225000000001</v>
      </c>
      <c r="DQ12" s="2846">
        <f t="shared" si="60"/>
        <v>0</v>
      </c>
      <c r="DR12" s="2846">
        <f t="shared" si="61"/>
        <v>167.27199999999999</v>
      </c>
      <c r="DS12" s="2846">
        <f t="shared" si="62"/>
        <v>167.27199999999999</v>
      </c>
      <c r="DT12" s="2846">
        <f t="shared" si="62"/>
        <v>0</v>
      </c>
      <c r="DU12" s="2916">
        <f t="shared" si="12"/>
        <v>133.44413600000001</v>
      </c>
      <c r="DV12" s="2846">
        <f t="shared" si="12"/>
        <v>133.44413600000001</v>
      </c>
      <c r="DW12" s="2846">
        <f t="shared" si="12"/>
        <v>0</v>
      </c>
      <c r="DX12" s="2846">
        <f t="shared" si="63"/>
        <v>-2.7502500000000225</v>
      </c>
      <c r="DY12" s="2917">
        <f t="shared" si="13"/>
        <v>-2.7502500000000225</v>
      </c>
      <c r="DZ12" s="2917">
        <f t="shared" si="13"/>
        <v>0</v>
      </c>
      <c r="EA12" s="2846">
        <f t="shared" si="64"/>
        <v>510.06675000000007</v>
      </c>
      <c r="EB12" s="2846">
        <f t="shared" si="65"/>
        <v>510.06675000000007</v>
      </c>
      <c r="EC12" s="2846">
        <f t="shared" si="65"/>
        <v>0</v>
      </c>
      <c r="ED12" s="2846">
        <f t="shared" si="66"/>
        <v>520.13300000000004</v>
      </c>
      <c r="EE12" s="2846">
        <f t="shared" si="14"/>
        <v>520.13300000000004</v>
      </c>
      <c r="EF12" s="2846">
        <f t="shared" si="14"/>
        <v>0</v>
      </c>
      <c r="EG12" s="2846">
        <f t="shared" si="14"/>
        <v>467.20013599999999</v>
      </c>
      <c r="EH12" s="2846">
        <f t="shared" si="14"/>
        <v>467.20013599999999</v>
      </c>
      <c r="EI12" s="2846">
        <f t="shared" si="14"/>
        <v>0</v>
      </c>
      <c r="EJ12" s="2846">
        <f t="shared" si="67"/>
        <v>10.066249999999968</v>
      </c>
      <c r="EK12" s="2917">
        <f t="shared" si="15"/>
        <v>10.066249999999968</v>
      </c>
      <c r="EL12" s="2917">
        <f t="shared" si="15"/>
        <v>0</v>
      </c>
      <c r="EM12" s="2845">
        <f>SUM(EN12:EO12)</f>
        <v>56.674083333333336</v>
      </c>
      <c r="EN12" s="2845">
        <f t="shared" si="16"/>
        <v>56.674083333333336</v>
      </c>
      <c r="EO12" s="2845">
        <f t="shared" si="16"/>
        <v>0</v>
      </c>
      <c r="EP12" s="2845">
        <f t="shared" si="68"/>
        <v>60.505000000000003</v>
      </c>
      <c r="EQ12" s="3017">
        <f>SUM('ПОЛНАЯ СЕБЕСТОИМОСТЬ СТОКИ 2021'!BQ12)</f>
        <v>60.505000000000003</v>
      </c>
      <c r="ER12" s="3017">
        <f>SUM('ПОЛНАЯ СЕБЕСТОИМОСТЬ СТОКИ 2021'!BR12)</f>
        <v>0</v>
      </c>
      <c r="ES12" s="2843">
        <f t="shared" si="69"/>
        <v>57.08258</v>
      </c>
      <c r="ET12" s="2844">
        <v>57.08258</v>
      </c>
      <c r="EU12" s="2844"/>
      <c r="EV12" s="2845">
        <f>SUM(EW12:EX12)</f>
        <v>56.674083333333336</v>
      </c>
      <c r="EW12" s="2845">
        <f t="shared" si="17"/>
        <v>56.674083333333336</v>
      </c>
      <c r="EX12" s="2845">
        <f t="shared" si="17"/>
        <v>0</v>
      </c>
      <c r="EY12" s="2845">
        <f t="shared" si="70"/>
        <v>51.902000000000001</v>
      </c>
      <c r="EZ12" s="3017">
        <f>SUM('ПОЛНАЯ СЕБЕСТОИМОСТЬ СТОКИ 2021'!BT12)</f>
        <v>51.902000000000001</v>
      </c>
      <c r="FA12" s="3017">
        <f>SUM('ПОЛНАЯ СЕБЕСТОИМОСТЬ СТОКИ 2021'!BU12)</f>
        <v>0</v>
      </c>
      <c r="FB12" s="2845">
        <f t="shared" si="71"/>
        <v>62.633000000000003</v>
      </c>
      <c r="FC12" s="2852">
        <v>62.633000000000003</v>
      </c>
      <c r="FD12" s="2852"/>
      <c r="FE12" s="2845">
        <f>SUM(FF12:FG12)</f>
        <v>56.674083333333336</v>
      </c>
      <c r="FF12" s="2845">
        <f t="shared" si="18"/>
        <v>56.674083333333336</v>
      </c>
      <c r="FG12" s="2845">
        <f t="shared" si="18"/>
        <v>0</v>
      </c>
      <c r="FH12" s="2845">
        <f t="shared" si="72"/>
        <v>64.275999999999996</v>
      </c>
      <c r="FI12" s="3017">
        <f>SUM('ПОЛНАЯ СЕБЕСТОИМОСТЬ СТОКИ 2021'!BW12)</f>
        <v>64.275999999999996</v>
      </c>
      <c r="FJ12" s="3017">
        <f>SUM('ПОЛНАЯ СЕБЕСТОИМОСТЬ СТОКИ 2021'!BX12)</f>
        <v>0</v>
      </c>
      <c r="FK12" s="2845">
        <f t="shared" si="73"/>
        <v>65.055999999999997</v>
      </c>
      <c r="FL12" s="2852">
        <v>65.055999999999997</v>
      </c>
      <c r="FM12" s="2852"/>
      <c r="FN12" s="2846">
        <f t="shared" si="74"/>
        <v>170.02225000000001</v>
      </c>
      <c r="FO12" s="2846">
        <f t="shared" si="75"/>
        <v>170.02225000000001</v>
      </c>
      <c r="FP12" s="2846">
        <f t="shared" si="75"/>
        <v>0</v>
      </c>
      <c r="FQ12" s="2846">
        <f t="shared" si="76"/>
        <v>176.68299999999999</v>
      </c>
      <c r="FR12" s="2846">
        <f t="shared" si="77"/>
        <v>176.68299999999999</v>
      </c>
      <c r="FS12" s="2846">
        <f t="shared" si="77"/>
        <v>0</v>
      </c>
      <c r="FT12" s="2916">
        <f t="shared" si="19"/>
        <v>184.77158</v>
      </c>
      <c r="FU12" s="2916">
        <f t="shared" si="19"/>
        <v>184.77158</v>
      </c>
      <c r="FV12" s="2916">
        <f t="shared" si="19"/>
        <v>0</v>
      </c>
      <c r="FW12" s="2846">
        <f t="shared" si="78"/>
        <v>6.6607499999999789</v>
      </c>
      <c r="FX12" s="2917">
        <f t="shared" si="20"/>
        <v>6.6607499999999789</v>
      </c>
      <c r="FY12" s="2917">
        <f t="shared" si="20"/>
        <v>0</v>
      </c>
      <c r="FZ12" s="2846">
        <f t="shared" si="79"/>
        <v>680.08900000000006</v>
      </c>
      <c r="GA12" s="2846">
        <f>SUM(объемы!BN65)</f>
        <v>680.08900000000006</v>
      </c>
      <c r="GB12" s="2846">
        <v>0</v>
      </c>
      <c r="GC12" s="2846">
        <f t="shared" si="80"/>
        <v>696.81600000000003</v>
      </c>
      <c r="GD12" s="2916">
        <f t="shared" si="21"/>
        <v>696.81600000000003</v>
      </c>
      <c r="GE12" s="2916">
        <f t="shared" si="21"/>
        <v>0</v>
      </c>
      <c r="GF12" s="2916">
        <f t="shared" si="21"/>
        <v>651.97171600000001</v>
      </c>
      <c r="GG12" s="2916">
        <f t="shared" si="22"/>
        <v>651.97171600000001</v>
      </c>
      <c r="GH12" s="2916">
        <f t="shared" si="22"/>
        <v>0</v>
      </c>
      <c r="GI12" s="2846">
        <f t="shared" si="81"/>
        <v>16.726999999999975</v>
      </c>
      <c r="GJ12" s="2917">
        <f t="shared" si="23"/>
        <v>16.726999999999975</v>
      </c>
      <c r="GK12" s="2917">
        <f t="shared" si="23"/>
        <v>0</v>
      </c>
      <c r="GM12" s="4234"/>
    </row>
    <row r="13" spans="1:195" ht="18.75" customHeight="1" x14ac:dyDescent="0.3">
      <c r="A13" s="2882" t="s">
        <v>3679</v>
      </c>
      <c r="B13" s="2853">
        <f t="shared" ref="B13" si="83">SUM(C13:D13)</f>
        <v>24.850000000000005</v>
      </c>
      <c r="C13" s="2853">
        <f t="shared" ref="C13" si="84">SUM(GA13/12)</f>
        <v>24.850000000000005</v>
      </c>
      <c r="D13" s="2853">
        <f t="shared" ref="D13" si="85">SUM(GB13/12)</f>
        <v>0</v>
      </c>
      <c r="E13" s="2853">
        <f t="shared" si="26"/>
        <v>16.442</v>
      </c>
      <c r="F13" s="3058">
        <f>SUM('ПОЛНАЯ СЕБЕСТОИМОСТЬ СТОКИ 2021'!F13)</f>
        <v>16.442</v>
      </c>
      <c r="G13" s="3058">
        <f>SUM('ПОЛНАЯ СЕБЕСТОИМОСТЬ СТОКИ 2021'!G13)</f>
        <v>0</v>
      </c>
      <c r="H13" s="2854">
        <f t="shared" si="27"/>
        <v>20.529</v>
      </c>
      <c r="I13" s="2854">
        <f>SUM(I14:I16)</f>
        <v>20.529</v>
      </c>
      <c r="J13" s="2855"/>
      <c r="K13" s="2853">
        <f t="shared" ref="K13:K16" si="86">SUM(L13:M13)</f>
        <v>24.850000000000005</v>
      </c>
      <c r="L13" s="2853">
        <f t="shared" ref="L13:L16" si="87">SUM(GA13/12)</f>
        <v>24.850000000000005</v>
      </c>
      <c r="M13" s="2853">
        <f t="shared" ref="M13:M16" si="88">SUM(GB13/12)</f>
        <v>0</v>
      </c>
      <c r="N13" s="2853">
        <f t="shared" si="28"/>
        <v>32.838000000000001</v>
      </c>
      <c r="O13" s="3058">
        <f>SUM('ПОЛНАЯ СЕБЕСТОИМОСТЬ СТОКИ 2021'!I13)</f>
        <v>32.838000000000001</v>
      </c>
      <c r="P13" s="3058">
        <f>SUM('ПОЛНАЯ СЕБЕСТОИМОСТЬ СТОКИ 2021'!J13)</f>
        <v>0</v>
      </c>
      <c r="Q13" s="2854">
        <f t="shared" si="29"/>
        <v>29.414000000000001</v>
      </c>
      <c r="R13" s="2853">
        <f>SUM(R14:R16)</f>
        <v>29.414000000000001</v>
      </c>
      <c r="S13" s="2855"/>
      <c r="T13" s="2853">
        <f t="shared" ref="T13:T16" si="89">SUM(U13:V13)</f>
        <v>24.850000000000005</v>
      </c>
      <c r="U13" s="2853">
        <f t="shared" ref="U13:U16" si="90">SUM(GA13/12)</f>
        <v>24.850000000000005</v>
      </c>
      <c r="V13" s="2853">
        <f t="shared" ref="V13:V16" si="91">SUM(GB13/12)</f>
        <v>0</v>
      </c>
      <c r="W13" s="2853">
        <f t="shared" si="30"/>
        <v>24.514000000000003</v>
      </c>
      <c r="X13" s="3058">
        <f>SUM('ПОЛНАЯ СЕБЕСТОИМОСТЬ СТОКИ 2021'!L13)</f>
        <v>24.514000000000003</v>
      </c>
      <c r="Y13" s="3058">
        <f>SUM('ПОЛНАЯ СЕБЕСТОИМОСТЬ СТОКИ 2021'!M13)</f>
        <v>0</v>
      </c>
      <c r="Z13" s="2854">
        <f t="shared" si="31"/>
        <v>26.513999999999999</v>
      </c>
      <c r="AA13" s="2854">
        <f>SUM(AA14:AA16)</f>
        <v>26.513999999999999</v>
      </c>
      <c r="AB13" s="2855"/>
      <c r="AC13" s="2856">
        <f t="shared" ref="AC13:AC16" si="92">SUM(AD13:AE13)</f>
        <v>74.550000000000011</v>
      </c>
      <c r="AD13" s="2856">
        <f t="shared" ref="AD13:AD16" si="93">SUM(C13+L13+U13)</f>
        <v>74.550000000000011</v>
      </c>
      <c r="AE13" s="2856">
        <f t="shared" ref="AE13:AE16" si="94">SUM(D13+M13+V13)</f>
        <v>0</v>
      </c>
      <c r="AF13" s="2856">
        <f t="shared" ref="AF13:AF16" si="95">SUM(AG13:AH13)</f>
        <v>73.794000000000011</v>
      </c>
      <c r="AG13" s="2856">
        <f t="shared" ref="AG13:AG16" si="96">SUM(F13+O13+X13)</f>
        <v>73.794000000000011</v>
      </c>
      <c r="AH13" s="2856">
        <f t="shared" ref="AH13:AH16" si="97">SUM(G13+P13+Y13)</f>
        <v>0</v>
      </c>
      <c r="AI13" s="2921">
        <f t="shared" ref="AI13:AI16" si="98">SUM(H13+Q13+Z13)</f>
        <v>76.456999999999994</v>
      </c>
      <c r="AJ13" s="2921">
        <f t="shared" ref="AJ13:AJ16" si="99">SUM(I13+R13+AA13)</f>
        <v>76.456999999999994</v>
      </c>
      <c r="AK13" s="2921">
        <f t="shared" ref="AK13:AK16" si="100">SUM(J13+S13+AB13)</f>
        <v>0</v>
      </c>
      <c r="AL13" s="2856">
        <f t="shared" ref="AL13:AL16" si="101">SUM(AM13:AN13)</f>
        <v>-0.75600000000000023</v>
      </c>
      <c r="AM13" s="2856">
        <f t="shared" ref="AM13:AM16" si="102">SUM(AG13-AD13)</f>
        <v>-0.75600000000000023</v>
      </c>
      <c r="AN13" s="2856">
        <f t="shared" ref="AN13:AN16" si="103">SUM(AH13-AE13)</f>
        <v>0</v>
      </c>
      <c r="AO13" s="2853">
        <f t="shared" ref="AO13:AO16" si="104">SUM(AP13:AQ13)</f>
        <v>24.850000000000005</v>
      </c>
      <c r="AP13" s="2853">
        <f t="shared" ref="AP13:AP16" si="105">SUM(GA13/12)</f>
        <v>24.850000000000005</v>
      </c>
      <c r="AQ13" s="2853">
        <f t="shared" ref="AQ13:AQ16" si="106">SUM(GB13/12)</f>
        <v>0</v>
      </c>
      <c r="AR13" s="2853">
        <f t="shared" si="38"/>
        <v>25.868000000000002</v>
      </c>
      <c r="AS13" s="3058">
        <f>SUM('ПОЛНАЯ СЕБЕСТОИМОСТЬ СТОКИ 2021'!U13)</f>
        <v>25.868000000000002</v>
      </c>
      <c r="AT13" s="3058">
        <f>SUM('ПОЛНАЯ СЕБЕСТОИМОСТЬ СТОКИ 2021'!V13)</f>
        <v>0</v>
      </c>
      <c r="AU13" s="2854">
        <f t="shared" si="39"/>
        <v>21.448</v>
      </c>
      <c r="AV13" s="2854">
        <f>SUM(AV14:AV16)</f>
        <v>21.448</v>
      </c>
      <c r="AW13" s="2855"/>
      <c r="AX13" s="2853">
        <f t="shared" ref="AX13:AX16" si="107">SUM(AY13:AZ13)</f>
        <v>24.850000000000005</v>
      </c>
      <c r="AY13" s="2853">
        <f t="shared" ref="AY13:AY16" si="108">SUM(GA13/12)</f>
        <v>24.850000000000005</v>
      </c>
      <c r="AZ13" s="2853">
        <f t="shared" ref="AZ13:AZ16" si="109">SUM(GB13/12)</f>
        <v>0</v>
      </c>
      <c r="BA13" s="2853">
        <f t="shared" si="40"/>
        <v>24.771999999999998</v>
      </c>
      <c r="BB13" s="3058">
        <f>SUM('ПОЛНАЯ СЕБЕСТОИМОСТЬ СТОКИ 2021'!X13)</f>
        <v>24.771999999999998</v>
      </c>
      <c r="BC13" s="3058">
        <f>SUM('ПОЛНАЯ СЕБЕСТОИМОСТЬ СТОКИ 2021'!Y13)</f>
        <v>0</v>
      </c>
      <c r="BD13" s="2854">
        <f t="shared" si="41"/>
        <v>16.499000000000002</v>
      </c>
      <c r="BE13" s="2854">
        <f>SUM(BE14:BE16)</f>
        <v>16.499000000000002</v>
      </c>
      <c r="BF13" s="2855"/>
      <c r="BG13" s="2853">
        <f t="shared" ref="BG13:BG16" si="110">SUM(BH13:BI13)</f>
        <v>24.850000000000005</v>
      </c>
      <c r="BH13" s="2853">
        <f t="shared" ref="BH13:BH16" si="111">SUM(GA13/12)</f>
        <v>24.850000000000005</v>
      </c>
      <c r="BI13" s="2853">
        <f t="shared" ref="BI13:BI16" si="112">SUM(GB13/12)</f>
        <v>0</v>
      </c>
      <c r="BJ13" s="2853">
        <f t="shared" si="42"/>
        <v>25.765999999999998</v>
      </c>
      <c r="BK13" s="3058">
        <f>SUM('ПОЛНАЯ СЕБЕСТОИМОСТЬ СТОКИ 2021'!AA13)</f>
        <v>25.765999999999998</v>
      </c>
      <c r="BL13" s="3058">
        <f>SUM('ПОЛНАЯ СЕБЕСТОИМОСТЬ СТОКИ 2021'!AB13)</f>
        <v>0</v>
      </c>
      <c r="BM13" s="2854">
        <f t="shared" si="43"/>
        <v>16.337999999999997</v>
      </c>
      <c r="BN13" s="2854">
        <f>SUM(BN14:BN16)</f>
        <v>16.337999999999997</v>
      </c>
      <c r="BO13" s="2855"/>
      <c r="BP13" s="2856">
        <f t="shared" ref="BP13:BP16" si="113">SUM(BQ13:BR13)</f>
        <v>74.550000000000011</v>
      </c>
      <c r="BQ13" s="2856">
        <f t="shared" ref="BQ13:BQ16" si="114">SUM(AP13+AY13+BH13)</f>
        <v>74.550000000000011</v>
      </c>
      <c r="BR13" s="2856">
        <f t="shared" ref="BR13:BR16" si="115">SUM(AQ13+AZ13+BI13)</f>
        <v>0</v>
      </c>
      <c r="BS13" s="2856">
        <f t="shared" ref="BS13:BS16" si="116">SUM(BT13:BU13)</f>
        <v>76.406000000000006</v>
      </c>
      <c r="BT13" s="2856">
        <f t="shared" ref="BT13:BT16" si="117">SUM(AS13+BB13+BK13)</f>
        <v>76.406000000000006</v>
      </c>
      <c r="BU13" s="2856">
        <f t="shared" ref="BU13:BU16" si="118">SUM(AT13+BC13+BL13)</f>
        <v>0</v>
      </c>
      <c r="BV13" s="2921">
        <f t="shared" ref="BV13:BV16" si="119">SUM(AU13+BD13+BM13)</f>
        <v>54.284999999999997</v>
      </c>
      <c r="BW13" s="2856">
        <f t="shared" ref="BW13:BW16" si="120">SUM(AV13+BE13+BN13)</f>
        <v>54.284999999999997</v>
      </c>
      <c r="BX13" s="2856">
        <f t="shared" ref="BX13:BX16" si="121">SUM(AW13+BF13+BO13)</f>
        <v>0</v>
      </c>
      <c r="BY13" s="2856">
        <f t="shared" ref="BY13:BY16" si="122">SUM(BZ13:CA13)</f>
        <v>1.8559999999999945</v>
      </c>
      <c r="BZ13" s="2856">
        <f t="shared" ref="BZ13:BZ16" si="123">SUM(BT13-BQ13)</f>
        <v>1.8559999999999945</v>
      </c>
      <c r="CA13" s="2856">
        <f t="shared" ref="CA13:CA16" si="124">SUM(BU13-BR13)</f>
        <v>0</v>
      </c>
      <c r="CB13" s="2856">
        <f t="shared" ref="CB13:CB16" si="125">SUM(CC13:CD13)</f>
        <v>149.10000000000002</v>
      </c>
      <c r="CC13" s="2856">
        <f t="shared" ref="CC13:CC16" si="126">SUM(AD13+BQ13)</f>
        <v>149.10000000000002</v>
      </c>
      <c r="CD13" s="2856">
        <f t="shared" ref="CD13:CD16" si="127">SUM(AE13+BR13)</f>
        <v>0</v>
      </c>
      <c r="CE13" s="2856">
        <f t="shared" ref="CE13:CE16" si="128">SUM(CF13:CG13)</f>
        <v>150.20000000000002</v>
      </c>
      <c r="CF13" s="2856">
        <f t="shared" ref="CF13:CF16" si="129">SUM(AG13+BT13)</f>
        <v>150.20000000000002</v>
      </c>
      <c r="CG13" s="2856">
        <f t="shared" ref="CG13:CG16" si="130">SUM(AH13+BU13)</f>
        <v>0</v>
      </c>
      <c r="CH13" s="2921">
        <f t="shared" ref="CH13:CH16" si="131">SUM(AI13+BV13)</f>
        <v>130.74199999999999</v>
      </c>
      <c r="CI13" s="2921">
        <f t="shared" ref="CI13:CI16" si="132">SUM(AJ13+BW13)</f>
        <v>130.74199999999999</v>
      </c>
      <c r="CJ13" s="2921">
        <f t="shared" ref="CJ13:CJ16" si="133">SUM(AK13+BX13)</f>
        <v>0</v>
      </c>
      <c r="CK13" s="2856">
        <f t="shared" ref="CK13:CK16" si="134">SUM(CL13:CM13)</f>
        <v>1.0999999999999943</v>
      </c>
      <c r="CL13" s="2922">
        <f t="shared" ref="CL13:CL16" si="135">SUM(CF13-CC13)</f>
        <v>1.0999999999999943</v>
      </c>
      <c r="CM13" s="2922">
        <f t="shared" ref="CM13:CM16" si="136">SUM(CG13-CD13)</f>
        <v>0</v>
      </c>
      <c r="CN13" s="2853">
        <f t="shared" ref="CN13:CN16" si="137">SUM(CO13:CP13)</f>
        <v>24.850000000000005</v>
      </c>
      <c r="CO13" s="2853">
        <f t="shared" ref="CO13:CO16" si="138">SUM(GA13/12)</f>
        <v>24.850000000000005</v>
      </c>
      <c r="CP13" s="2853">
        <f t="shared" ref="CP13:CP16" si="139">SUM(GB13/12)</f>
        <v>0</v>
      </c>
      <c r="CQ13" s="2853">
        <f t="shared" si="53"/>
        <v>18.241</v>
      </c>
      <c r="CR13" s="3058">
        <f>SUM('ПОЛНАЯ СЕБЕСТОИМОСТЬ СТОКИ 2021'!AS13)</f>
        <v>18.241</v>
      </c>
      <c r="CS13" s="3058">
        <f>SUM('ПОЛНАЯ СЕБЕСТОИМОСТЬ СТОКИ 2021'!AT13)</f>
        <v>0</v>
      </c>
      <c r="CT13" s="2854">
        <f t="shared" si="54"/>
        <v>19.166</v>
      </c>
      <c r="CU13" s="2854">
        <f>SUM(CU14:CU16)</f>
        <v>19.166</v>
      </c>
      <c r="CV13" s="2855"/>
      <c r="CW13" s="2853">
        <f t="shared" ref="CW13:CW16" si="140">SUM(CX13:CY13)</f>
        <v>24.850000000000005</v>
      </c>
      <c r="CX13" s="2853">
        <f t="shared" ref="CX13:CX16" si="141">SUM(GA13/12)</f>
        <v>24.850000000000005</v>
      </c>
      <c r="CY13" s="2853">
        <f t="shared" ref="CY13:CY16" si="142">SUM(GB13/12)</f>
        <v>0</v>
      </c>
      <c r="CZ13" s="2853">
        <f t="shared" si="55"/>
        <v>24.286000000000001</v>
      </c>
      <c r="DA13" s="3058">
        <f>SUM('ПОЛНАЯ СЕБЕСТОИМОСТЬ СТОКИ 2021'!AV13)</f>
        <v>24.286000000000001</v>
      </c>
      <c r="DB13" s="3058">
        <f>SUM('ПОЛНАЯ СЕБЕСТОИМОСТЬ СТОКИ 2021'!AW13)</f>
        <v>0</v>
      </c>
      <c r="DC13" s="2854">
        <f t="shared" si="56"/>
        <v>18.687000000000001</v>
      </c>
      <c r="DD13" s="2854">
        <f>SUM(DD14:DD16)</f>
        <v>18.687000000000001</v>
      </c>
      <c r="DE13" s="2855"/>
      <c r="DF13" s="2853">
        <f t="shared" ref="DF13:DF16" si="143">SUM(DG13:DH13)</f>
        <v>24.850000000000005</v>
      </c>
      <c r="DG13" s="2853">
        <f t="shared" ref="DG13:DG16" si="144">SUM(GA13/12)</f>
        <v>24.850000000000005</v>
      </c>
      <c r="DH13" s="2853">
        <f t="shared" ref="DH13:DH16" si="145">SUM(GB13/12)</f>
        <v>0</v>
      </c>
      <c r="DI13" s="2853">
        <f t="shared" si="57"/>
        <v>23.933999999999997</v>
      </c>
      <c r="DJ13" s="3058">
        <f>SUM('ПОЛНАЯ СЕБЕСТОИМОСТЬ СТОКИ 2021'!AY13)</f>
        <v>23.933999999999997</v>
      </c>
      <c r="DK13" s="3058">
        <f>SUM('ПОЛНАЯ СЕБЕСТОИМОСТЬ СТОКИ 2021'!AZ13)</f>
        <v>0</v>
      </c>
      <c r="DL13" s="2854">
        <f t="shared" si="58"/>
        <v>20.721</v>
      </c>
      <c r="DM13" s="2854">
        <f>SUM(DM14:DM16)</f>
        <v>20.721</v>
      </c>
      <c r="DN13" s="2855"/>
      <c r="DO13" s="2856">
        <f t="shared" ref="DO13:DO16" si="146">SUM(DP13:DQ13)</f>
        <v>74.550000000000011</v>
      </c>
      <c r="DP13" s="2856">
        <f t="shared" ref="DP13:DP16" si="147">SUM(CO13+CX13+DG13)</f>
        <v>74.550000000000011</v>
      </c>
      <c r="DQ13" s="2856">
        <f t="shared" ref="DQ13:DQ16" si="148">SUM(CP13+CY13+DH13)</f>
        <v>0</v>
      </c>
      <c r="DR13" s="2856">
        <f t="shared" ref="DR13:DR16" si="149">SUM(DS13:DT13)</f>
        <v>66.460999999999999</v>
      </c>
      <c r="DS13" s="2856">
        <f t="shared" ref="DS13:DS16" si="150">SUM(CR13+DA13+DJ13)</f>
        <v>66.460999999999999</v>
      </c>
      <c r="DT13" s="2856">
        <f t="shared" ref="DT13:DT16" si="151">SUM(CS13+DB13+DK13)</f>
        <v>0</v>
      </c>
      <c r="DU13" s="2921">
        <f t="shared" ref="DU13:DU16" si="152">SUM(CT13+DC13+DL13)</f>
        <v>58.573999999999998</v>
      </c>
      <c r="DV13" s="2856">
        <f t="shared" ref="DV13:DV16" si="153">SUM(CU13+DD13+DM13)</f>
        <v>58.573999999999998</v>
      </c>
      <c r="DW13" s="2856">
        <f t="shared" ref="DW13:DW16" si="154">SUM(CV13+DE13+DN13)</f>
        <v>0</v>
      </c>
      <c r="DX13" s="2856">
        <f t="shared" ref="DX13:DX16" si="155">SUM(DY13:DZ13)</f>
        <v>-8.0890000000000128</v>
      </c>
      <c r="DY13" s="2922">
        <f t="shared" ref="DY13:DY16" si="156">SUM(DS13-DP13)</f>
        <v>-8.0890000000000128</v>
      </c>
      <c r="DZ13" s="2922">
        <f t="shared" ref="DZ13:DZ16" si="157">SUM(DT13-DQ13)</f>
        <v>0</v>
      </c>
      <c r="EA13" s="2856">
        <f t="shared" ref="EA13:EA16" si="158">SUM(EB13:EC13)</f>
        <v>223.65000000000003</v>
      </c>
      <c r="EB13" s="2856">
        <f t="shared" ref="EB13:EB16" si="159">SUM(CC13+DP13)</f>
        <v>223.65000000000003</v>
      </c>
      <c r="EC13" s="2856">
        <f t="shared" ref="EC13:EC16" si="160">SUM(CD13+DQ13)</f>
        <v>0</v>
      </c>
      <c r="ED13" s="2856">
        <f t="shared" ref="ED13:ED16" si="161">SUM(EE13:EF13)</f>
        <v>216.661</v>
      </c>
      <c r="EE13" s="2856">
        <f t="shared" ref="EE13:EE16" si="162">SUM(CF13+DS13)</f>
        <v>216.661</v>
      </c>
      <c r="EF13" s="2856">
        <f t="shared" ref="EF13:EF16" si="163">SUM(CG13+DT13)</f>
        <v>0</v>
      </c>
      <c r="EG13" s="2856">
        <f t="shared" ref="EG13:EG16" si="164">SUM(CH13+DU13)</f>
        <v>189.31599999999997</v>
      </c>
      <c r="EH13" s="2856">
        <f t="shared" ref="EH13:EH16" si="165">SUM(CI13+DV13)</f>
        <v>189.31599999999997</v>
      </c>
      <c r="EI13" s="2856">
        <f t="shared" ref="EI13:EI16" si="166">SUM(CJ13+DW13)</f>
        <v>0</v>
      </c>
      <c r="EJ13" s="2856">
        <f t="shared" ref="EJ13:EJ16" si="167">SUM(EK13:EL13)</f>
        <v>-6.9890000000000327</v>
      </c>
      <c r="EK13" s="2922">
        <f t="shared" ref="EK13:EK16" si="168">SUM(EE13-EB13)</f>
        <v>-6.9890000000000327</v>
      </c>
      <c r="EL13" s="2922">
        <f t="shared" ref="EL13:EL16" si="169">SUM(EF13-EC13)</f>
        <v>0</v>
      </c>
      <c r="EM13" s="2853">
        <f t="shared" ref="EM13:EM16" si="170">SUM(EN13:EO13)</f>
        <v>24.850000000000005</v>
      </c>
      <c r="EN13" s="2853">
        <f t="shared" ref="EN13:EN16" si="171">SUM(GA13/12)</f>
        <v>24.850000000000005</v>
      </c>
      <c r="EO13" s="2853">
        <f t="shared" ref="EO13:EO16" si="172">SUM(GB13/12)</f>
        <v>0</v>
      </c>
      <c r="EP13" s="2853">
        <f t="shared" si="68"/>
        <v>28.509</v>
      </c>
      <c r="EQ13" s="3058">
        <f>SUM('ПОЛНАЯ СЕБЕСТОИМОСТЬ СТОКИ 2021'!BQ13)</f>
        <v>28.509</v>
      </c>
      <c r="ER13" s="3058">
        <f>SUM('ПОЛНАЯ СЕБЕСТОИМОСТЬ СТОКИ 2021'!BR13)</f>
        <v>0</v>
      </c>
      <c r="ES13" s="2854">
        <f t="shared" si="69"/>
        <v>26.812381999999999</v>
      </c>
      <c r="ET13" s="2854">
        <f>SUM(ET14:ET16)</f>
        <v>26.812381999999999</v>
      </c>
      <c r="EU13" s="2855"/>
      <c r="EV13" s="2853">
        <f t="shared" ref="EV13:EV16" si="173">SUM(EW13:EX13)</f>
        <v>24.850000000000005</v>
      </c>
      <c r="EW13" s="2853">
        <f t="shared" ref="EW13:EW16" si="174">SUM(GA13/12)</f>
        <v>24.850000000000005</v>
      </c>
      <c r="EX13" s="2853">
        <f t="shared" ref="EX13:EX16" si="175">SUM(GB13/12)</f>
        <v>0</v>
      </c>
      <c r="EY13" s="2853">
        <f t="shared" si="70"/>
        <v>23.097000000000001</v>
      </c>
      <c r="EZ13" s="3058">
        <f>SUM('ПОЛНАЯ СЕБЕСТОИМОСТЬ СТОКИ 2021'!BT13)</f>
        <v>23.097000000000001</v>
      </c>
      <c r="FA13" s="3058">
        <f>SUM('ПОЛНАЯ СЕБЕСТОИМОСТЬ СТОКИ 2021'!BU13)</f>
        <v>0</v>
      </c>
      <c r="FB13" s="2853">
        <f t="shared" si="71"/>
        <v>28.515000000000001</v>
      </c>
      <c r="FC13" s="2853">
        <f>SUM(FC14:FC16)</f>
        <v>28.515000000000001</v>
      </c>
      <c r="FD13" s="3051"/>
      <c r="FE13" s="2853">
        <f t="shared" ref="FE13:FE16" si="176">SUM(FF13:FG13)</f>
        <v>24.850000000000005</v>
      </c>
      <c r="FF13" s="2853">
        <f t="shared" ref="FF13:FF16" si="177">SUM(GA13/12)</f>
        <v>24.850000000000005</v>
      </c>
      <c r="FG13" s="2853">
        <f t="shared" ref="FG13:FG16" si="178">SUM(GB13/12)</f>
        <v>0</v>
      </c>
      <c r="FH13" s="2853">
        <f t="shared" si="72"/>
        <v>31.978999999999999</v>
      </c>
      <c r="FI13" s="3058">
        <f>SUM('ПОЛНАЯ СЕБЕСТОИМОСТЬ СТОКИ 2021'!BW13)</f>
        <v>31.978999999999999</v>
      </c>
      <c r="FJ13" s="3058">
        <f>SUM('ПОЛНАЯ СЕБЕСТОИМОСТЬ СТОКИ 2021'!BX13)</f>
        <v>0</v>
      </c>
      <c r="FK13" s="2853">
        <f t="shared" si="73"/>
        <v>29.849000000000004</v>
      </c>
      <c r="FL13" s="2853">
        <f>SUM(FL14:FL16)</f>
        <v>29.849000000000004</v>
      </c>
      <c r="FM13" s="3051"/>
      <c r="FN13" s="2856">
        <f t="shared" ref="FN13:FN16" si="179">SUM(FO13:FP13)</f>
        <v>74.550000000000011</v>
      </c>
      <c r="FO13" s="2856">
        <f t="shared" ref="FO13:FO16" si="180">SUM(EN13+EW13+FF13)</f>
        <v>74.550000000000011</v>
      </c>
      <c r="FP13" s="2856">
        <f t="shared" ref="FP13:FP16" si="181">SUM(EO13+EX13+FG13)</f>
        <v>0</v>
      </c>
      <c r="FQ13" s="2856">
        <f t="shared" ref="FQ13:FQ16" si="182">SUM(FR13:FS13)</f>
        <v>83.585000000000008</v>
      </c>
      <c r="FR13" s="2856">
        <f t="shared" ref="FR13:FR16" si="183">SUM(EQ13+EZ13+FI13)</f>
        <v>83.585000000000008</v>
      </c>
      <c r="FS13" s="2856">
        <f t="shared" ref="FS13:FS16" si="184">SUM(ER13+FA13+FJ13)</f>
        <v>0</v>
      </c>
      <c r="FT13" s="2921">
        <f t="shared" ref="FT13:FT16" si="185">SUM(ES13+FB13+FK13)</f>
        <v>85.176382000000004</v>
      </c>
      <c r="FU13" s="2921">
        <f t="shared" ref="FU13:FU16" si="186">SUM(ET13+FC13+FL13)</f>
        <v>85.176382000000004</v>
      </c>
      <c r="FV13" s="2921">
        <f t="shared" ref="FV13:FV16" si="187">SUM(EU13+FD13+FM13)</f>
        <v>0</v>
      </c>
      <c r="FW13" s="2856">
        <f t="shared" ref="FW13:FW16" si="188">SUM(FX13:FY13)</f>
        <v>9.0349999999999966</v>
      </c>
      <c r="FX13" s="2922">
        <f t="shared" ref="FX13:FX16" si="189">SUM(FR13-FO13)</f>
        <v>9.0349999999999966</v>
      </c>
      <c r="FY13" s="2922">
        <f t="shared" ref="FY13:FY16" si="190">SUM(FS13-FP13)</f>
        <v>0</v>
      </c>
      <c r="FZ13" s="2856">
        <f t="shared" si="79"/>
        <v>298.20000000000005</v>
      </c>
      <c r="GA13" s="2856">
        <f>SUM(объемы!BN66)</f>
        <v>298.20000000000005</v>
      </c>
      <c r="GB13" s="2856">
        <v>0</v>
      </c>
      <c r="GC13" s="2856">
        <f t="shared" ref="GC13:GC16" si="191">SUM(GD13:GE13)</f>
        <v>300.24599999999998</v>
      </c>
      <c r="GD13" s="2921">
        <f t="shared" ref="GD13:GD16" si="192">SUM(EE13+FR13)</f>
        <v>300.24599999999998</v>
      </c>
      <c r="GE13" s="2921">
        <f t="shared" ref="GE13:GE16" si="193">SUM(EF13+FS13)</f>
        <v>0</v>
      </c>
      <c r="GF13" s="2921">
        <f t="shared" ref="GF13:GF16" si="194">SUM(EG13+FT13)</f>
        <v>274.49238199999996</v>
      </c>
      <c r="GG13" s="2921">
        <f t="shared" ref="GG13:GG16" si="195">SUM(EH13+FU13)</f>
        <v>274.49238199999996</v>
      </c>
      <c r="GH13" s="2921">
        <f t="shared" ref="GH13:GH16" si="196">SUM(EI13+FV13)</f>
        <v>0</v>
      </c>
      <c r="GI13" s="2856">
        <f t="shared" ref="GI13:GI16" si="197">SUM(GJ13:GK13)</f>
        <v>2.0459999999999354</v>
      </c>
      <c r="GJ13" s="2922">
        <f t="shared" ref="GJ13:GJ16" si="198">SUM(GD13-GA13)</f>
        <v>2.0459999999999354</v>
      </c>
      <c r="GK13" s="2922">
        <f t="shared" ref="GK13:GK16" si="199">SUM(GE13-GB13)</f>
        <v>0</v>
      </c>
      <c r="GM13" s="4234"/>
    </row>
    <row r="14" spans="1:195" ht="18.75" customHeight="1" x14ac:dyDescent="0.3">
      <c r="A14" s="3057" t="s">
        <v>3681</v>
      </c>
      <c r="B14" s="2853">
        <f t="shared" ref="B14:B16" si="200">SUM(C14:D14)</f>
        <v>9.1240000000000006</v>
      </c>
      <c r="C14" s="2853">
        <f t="shared" ref="C14:C16" si="201">SUM(GA14/12)</f>
        <v>9.1240000000000006</v>
      </c>
      <c r="D14" s="2853">
        <f t="shared" ref="D14:D16" si="202">SUM(GB14/12)</f>
        <v>0</v>
      </c>
      <c r="E14" s="2853">
        <f t="shared" si="26"/>
        <v>1.907</v>
      </c>
      <c r="F14" s="3058">
        <f>SUM('ПОЛНАЯ СЕБЕСТОИМОСТЬ СТОКИ 2021'!F14)</f>
        <v>1.907</v>
      </c>
      <c r="G14" s="3058">
        <f>SUM('ПОЛНАЯ СЕБЕСТОИМОСТЬ СТОКИ 2021'!G14)</f>
        <v>0</v>
      </c>
      <c r="H14" s="2854">
        <f t="shared" si="27"/>
        <v>4.1189999999999998</v>
      </c>
      <c r="I14" s="2855">
        <v>4.1189999999999998</v>
      </c>
      <c r="J14" s="2855"/>
      <c r="K14" s="2853">
        <f t="shared" si="86"/>
        <v>9.1240000000000006</v>
      </c>
      <c r="L14" s="2853">
        <f t="shared" si="87"/>
        <v>9.1240000000000006</v>
      </c>
      <c r="M14" s="2853">
        <f t="shared" si="88"/>
        <v>0</v>
      </c>
      <c r="N14" s="2853">
        <f t="shared" si="28"/>
        <v>15.632999999999999</v>
      </c>
      <c r="O14" s="3058">
        <f>SUM('ПОЛНАЯ СЕБЕСТОИМОСТЬ СТОКИ 2021'!I14)</f>
        <v>15.632999999999999</v>
      </c>
      <c r="P14" s="3058">
        <f>SUM('ПОЛНАЯ СЕБЕСТОИМОСТЬ СТОКИ 2021'!J14)</f>
        <v>0</v>
      </c>
      <c r="Q14" s="2854">
        <f t="shared" si="29"/>
        <v>10.363</v>
      </c>
      <c r="R14" s="3051">
        <v>10.363</v>
      </c>
      <c r="S14" s="2855"/>
      <c r="T14" s="2853">
        <f t="shared" si="89"/>
        <v>9.1240000000000006</v>
      </c>
      <c r="U14" s="2853">
        <f t="shared" si="90"/>
        <v>9.1240000000000006</v>
      </c>
      <c r="V14" s="2853">
        <f t="shared" si="91"/>
        <v>0</v>
      </c>
      <c r="W14" s="2853">
        <f t="shared" si="30"/>
        <v>8.7569999999999997</v>
      </c>
      <c r="X14" s="3058">
        <f>SUM('ПОЛНАЯ СЕБЕСТОИМОСТЬ СТОКИ 2021'!L14)</f>
        <v>8.7569999999999997</v>
      </c>
      <c r="Y14" s="3058">
        <f>SUM('ПОЛНАЯ СЕБЕСТОИМОСТЬ СТОКИ 2021'!M14)</f>
        <v>0</v>
      </c>
      <c r="Z14" s="2854">
        <f t="shared" si="31"/>
        <v>9.66</v>
      </c>
      <c r="AA14" s="2855">
        <v>9.66</v>
      </c>
      <c r="AB14" s="2855"/>
      <c r="AC14" s="2856">
        <f t="shared" si="92"/>
        <v>27.372</v>
      </c>
      <c r="AD14" s="2856">
        <f t="shared" si="93"/>
        <v>27.372</v>
      </c>
      <c r="AE14" s="2856">
        <f t="shared" si="94"/>
        <v>0</v>
      </c>
      <c r="AF14" s="2856">
        <f t="shared" si="95"/>
        <v>26.296999999999997</v>
      </c>
      <c r="AG14" s="2856">
        <f t="shared" si="96"/>
        <v>26.296999999999997</v>
      </c>
      <c r="AH14" s="2856">
        <f t="shared" si="97"/>
        <v>0</v>
      </c>
      <c r="AI14" s="2921">
        <f t="shared" si="98"/>
        <v>24.141999999999999</v>
      </c>
      <c r="AJ14" s="2921">
        <f t="shared" si="99"/>
        <v>24.141999999999999</v>
      </c>
      <c r="AK14" s="2921">
        <f t="shared" si="100"/>
        <v>0</v>
      </c>
      <c r="AL14" s="2856">
        <f t="shared" si="101"/>
        <v>-1.0750000000000028</v>
      </c>
      <c r="AM14" s="2856">
        <f t="shared" si="102"/>
        <v>-1.0750000000000028</v>
      </c>
      <c r="AN14" s="2856">
        <f t="shared" si="103"/>
        <v>0</v>
      </c>
      <c r="AO14" s="2853">
        <f t="shared" si="104"/>
        <v>9.1240000000000006</v>
      </c>
      <c r="AP14" s="2853">
        <f t="shared" si="105"/>
        <v>9.1240000000000006</v>
      </c>
      <c r="AQ14" s="2853">
        <f t="shared" si="106"/>
        <v>0</v>
      </c>
      <c r="AR14" s="2853">
        <f t="shared" si="38"/>
        <v>7.8239999999999998</v>
      </c>
      <c r="AS14" s="3058">
        <f>SUM('ПОЛНАЯ СЕБЕСТОИМОСТЬ СТОКИ 2021'!U14)</f>
        <v>7.8239999999999998</v>
      </c>
      <c r="AT14" s="3058">
        <f>SUM('ПОЛНАЯ СЕБЕСТОИМОСТЬ СТОКИ 2021'!V14)</f>
        <v>0</v>
      </c>
      <c r="AU14" s="2854">
        <f t="shared" si="39"/>
        <v>9.0779999999999994</v>
      </c>
      <c r="AV14" s="2855">
        <v>9.0779999999999994</v>
      </c>
      <c r="AW14" s="2855"/>
      <c r="AX14" s="2853">
        <f t="shared" si="107"/>
        <v>9.1240000000000006</v>
      </c>
      <c r="AY14" s="2853">
        <f t="shared" si="108"/>
        <v>9.1240000000000006</v>
      </c>
      <c r="AZ14" s="2853">
        <f t="shared" si="109"/>
        <v>0</v>
      </c>
      <c r="BA14" s="2853">
        <f t="shared" si="40"/>
        <v>7.8049999999999997</v>
      </c>
      <c r="BB14" s="3058">
        <f>SUM('ПОЛНАЯ СЕБЕСТОИМОСТЬ СТОКИ 2021'!X14)</f>
        <v>7.8049999999999997</v>
      </c>
      <c r="BC14" s="3058">
        <f>SUM('ПОЛНАЯ СЕБЕСТОИМОСТЬ СТОКИ 2021'!Y14)</f>
        <v>0</v>
      </c>
      <c r="BD14" s="2854">
        <f t="shared" si="41"/>
        <v>7.56</v>
      </c>
      <c r="BE14" s="2855">
        <v>7.56</v>
      </c>
      <c r="BF14" s="2855"/>
      <c r="BG14" s="2853">
        <f t="shared" si="110"/>
        <v>9.1240000000000006</v>
      </c>
      <c r="BH14" s="2853">
        <f t="shared" si="111"/>
        <v>9.1240000000000006</v>
      </c>
      <c r="BI14" s="2853">
        <f t="shared" si="112"/>
        <v>0</v>
      </c>
      <c r="BJ14" s="2853">
        <f t="shared" si="42"/>
        <v>7.8360000000000003</v>
      </c>
      <c r="BK14" s="3058">
        <f>SUM('ПОЛНАЯ СЕБЕСТОИМОСТЬ СТОКИ 2021'!AA14)</f>
        <v>7.8360000000000003</v>
      </c>
      <c r="BL14" s="3058">
        <f>SUM('ПОЛНАЯ СЕБЕСТОИМОСТЬ СТОКИ 2021'!AB14)</f>
        <v>0</v>
      </c>
      <c r="BM14" s="2854">
        <f t="shared" si="43"/>
        <v>6.9870000000000001</v>
      </c>
      <c r="BN14" s="2855">
        <v>6.9870000000000001</v>
      </c>
      <c r="BO14" s="2855"/>
      <c r="BP14" s="2856">
        <f t="shared" si="113"/>
        <v>27.372</v>
      </c>
      <c r="BQ14" s="2856">
        <f t="shared" si="114"/>
        <v>27.372</v>
      </c>
      <c r="BR14" s="2856">
        <f t="shared" si="115"/>
        <v>0</v>
      </c>
      <c r="BS14" s="2856">
        <f t="shared" si="116"/>
        <v>23.465</v>
      </c>
      <c r="BT14" s="2856">
        <f t="shared" si="117"/>
        <v>23.465</v>
      </c>
      <c r="BU14" s="2856">
        <f t="shared" si="118"/>
        <v>0</v>
      </c>
      <c r="BV14" s="2921">
        <f t="shared" si="119"/>
        <v>23.625</v>
      </c>
      <c r="BW14" s="2856">
        <f t="shared" si="120"/>
        <v>23.625</v>
      </c>
      <c r="BX14" s="2856">
        <f t="shared" si="121"/>
        <v>0</v>
      </c>
      <c r="BY14" s="2856">
        <f t="shared" si="122"/>
        <v>-3.907</v>
      </c>
      <c r="BZ14" s="2856">
        <f t="shared" si="123"/>
        <v>-3.907</v>
      </c>
      <c r="CA14" s="2856">
        <f t="shared" si="124"/>
        <v>0</v>
      </c>
      <c r="CB14" s="2856">
        <f t="shared" si="125"/>
        <v>54.744</v>
      </c>
      <c r="CC14" s="2856">
        <f t="shared" si="126"/>
        <v>54.744</v>
      </c>
      <c r="CD14" s="2856">
        <f t="shared" si="127"/>
        <v>0</v>
      </c>
      <c r="CE14" s="2856">
        <f t="shared" si="128"/>
        <v>49.762</v>
      </c>
      <c r="CF14" s="2856">
        <f t="shared" si="129"/>
        <v>49.762</v>
      </c>
      <c r="CG14" s="2856">
        <f t="shared" si="130"/>
        <v>0</v>
      </c>
      <c r="CH14" s="2921">
        <f t="shared" si="131"/>
        <v>47.766999999999996</v>
      </c>
      <c r="CI14" s="2921">
        <f t="shared" si="132"/>
        <v>47.766999999999996</v>
      </c>
      <c r="CJ14" s="2921">
        <f t="shared" si="133"/>
        <v>0</v>
      </c>
      <c r="CK14" s="2856">
        <f t="shared" si="134"/>
        <v>-4.9819999999999993</v>
      </c>
      <c r="CL14" s="2922">
        <f t="shared" si="135"/>
        <v>-4.9819999999999993</v>
      </c>
      <c r="CM14" s="2922">
        <f t="shared" si="136"/>
        <v>0</v>
      </c>
      <c r="CN14" s="2853">
        <f t="shared" si="137"/>
        <v>9.1240000000000006</v>
      </c>
      <c r="CO14" s="2853">
        <f t="shared" si="138"/>
        <v>9.1240000000000006</v>
      </c>
      <c r="CP14" s="2853">
        <f t="shared" si="139"/>
        <v>0</v>
      </c>
      <c r="CQ14" s="2853">
        <f t="shared" si="53"/>
        <v>7.2590000000000003</v>
      </c>
      <c r="CR14" s="3058">
        <f>SUM('ПОЛНАЯ СЕБЕСТОИМОСТЬ СТОКИ 2021'!AS14)</f>
        <v>7.2590000000000003</v>
      </c>
      <c r="CS14" s="3058">
        <f>SUM('ПОЛНАЯ СЕБЕСТОИМОСТЬ СТОКИ 2021'!AT14)</f>
        <v>0</v>
      </c>
      <c r="CT14" s="2854">
        <f t="shared" si="54"/>
        <v>8.1769999999999996</v>
      </c>
      <c r="CU14" s="2855">
        <v>8.1769999999999996</v>
      </c>
      <c r="CV14" s="2855"/>
      <c r="CW14" s="2853">
        <f t="shared" si="140"/>
        <v>9.1240000000000006</v>
      </c>
      <c r="CX14" s="2853">
        <f t="shared" si="141"/>
        <v>9.1240000000000006</v>
      </c>
      <c r="CY14" s="2853">
        <f t="shared" si="142"/>
        <v>0</v>
      </c>
      <c r="CZ14" s="2853">
        <f t="shared" si="55"/>
        <v>6.8150000000000004</v>
      </c>
      <c r="DA14" s="3058">
        <f>SUM('ПОЛНАЯ СЕБЕСТОИМОСТЬ СТОКИ 2021'!AV14)</f>
        <v>6.8150000000000004</v>
      </c>
      <c r="DB14" s="3058">
        <f>SUM('ПОЛНАЯ СЕБЕСТОИМОСТЬ СТОКИ 2021'!AW14)</f>
        <v>0</v>
      </c>
      <c r="DC14" s="2854">
        <f t="shared" si="56"/>
        <v>7.3170000000000002</v>
      </c>
      <c r="DD14" s="2855">
        <f>7.551-0.234</f>
        <v>7.3170000000000002</v>
      </c>
      <c r="DE14" s="2855"/>
      <c r="DF14" s="2853">
        <f t="shared" si="143"/>
        <v>9.1240000000000006</v>
      </c>
      <c r="DG14" s="2853">
        <f t="shared" si="144"/>
        <v>9.1240000000000006</v>
      </c>
      <c r="DH14" s="2853">
        <f t="shared" si="145"/>
        <v>0</v>
      </c>
      <c r="DI14" s="2853">
        <f t="shared" si="57"/>
        <v>8.1920000000000002</v>
      </c>
      <c r="DJ14" s="3058">
        <f>SUM('ПОЛНАЯ СЕБЕСТОИМОСТЬ СТОКИ 2021'!AY14)</f>
        <v>8.1920000000000002</v>
      </c>
      <c r="DK14" s="3058">
        <f>SUM('ПОЛНАЯ СЕБЕСТОИМОСТЬ СТОКИ 2021'!AZ14)</f>
        <v>0</v>
      </c>
      <c r="DL14" s="2854">
        <f t="shared" si="58"/>
        <v>9.0830000000000002</v>
      </c>
      <c r="DM14" s="2855">
        <v>9.0830000000000002</v>
      </c>
      <c r="DN14" s="2855"/>
      <c r="DO14" s="2856">
        <f t="shared" si="146"/>
        <v>27.372</v>
      </c>
      <c r="DP14" s="2856">
        <f t="shared" si="147"/>
        <v>27.372</v>
      </c>
      <c r="DQ14" s="2856">
        <f t="shared" si="148"/>
        <v>0</v>
      </c>
      <c r="DR14" s="2856">
        <f t="shared" si="149"/>
        <v>22.266000000000002</v>
      </c>
      <c r="DS14" s="2856">
        <f t="shared" si="150"/>
        <v>22.266000000000002</v>
      </c>
      <c r="DT14" s="2856">
        <f t="shared" si="151"/>
        <v>0</v>
      </c>
      <c r="DU14" s="2921">
        <f t="shared" si="152"/>
        <v>24.576999999999998</v>
      </c>
      <c r="DV14" s="2856">
        <f t="shared" si="153"/>
        <v>24.576999999999998</v>
      </c>
      <c r="DW14" s="2856">
        <f t="shared" si="154"/>
        <v>0</v>
      </c>
      <c r="DX14" s="2856">
        <f t="shared" si="155"/>
        <v>-5.1059999999999981</v>
      </c>
      <c r="DY14" s="2922">
        <f t="shared" si="156"/>
        <v>-5.1059999999999981</v>
      </c>
      <c r="DZ14" s="2922">
        <f t="shared" si="157"/>
        <v>0</v>
      </c>
      <c r="EA14" s="2856">
        <f t="shared" si="158"/>
        <v>82.116</v>
      </c>
      <c r="EB14" s="2856">
        <f t="shared" si="159"/>
        <v>82.116</v>
      </c>
      <c r="EC14" s="2856">
        <f t="shared" si="160"/>
        <v>0</v>
      </c>
      <c r="ED14" s="2856">
        <f t="shared" si="161"/>
        <v>72.028000000000006</v>
      </c>
      <c r="EE14" s="2856">
        <f t="shared" si="162"/>
        <v>72.028000000000006</v>
      </c>
      <c r="EF14" s="2856">
        <f t="shared" si="163"/>
        <v>0</v>
      </c>
      <c r="EG14" s="2856">
        <f t="shared" si="164"/>
        <v>72.343999999999994</v>
      </c>
      <c r="EH14" s="2856">
        <f t="shared" si="165"/>
        <v>72.343999999999994</v>
      </c>
      <c r="EI14" s="2856">
        <f t="shared" si="166"/>
        <v>0</v>
      </c>
      <c r="EJ14" s="2856">
        <f t="shared" si="167"/>
        <v>-10.087999999999994</v>
      </c>
      <c r="EK14" s="2922">
        <f t="shared" si="168"/>
        <v>-10.087999999999994</v>
      </c>
      <c r="EL14" s="2922">
        <f t="shared" si="169"/>
        <v>0</v>
      </c>
      <c r="EM14" s="2853">
        <f t="shared" si="170"/>
        <v>9.1240000000000006</v>
      </c>
      <c r="EN14" s="2853">
        <f t="shared" si="171"/>
        <v>9.1240000000000006</v>
      </c>
      <c r="EO14" s="2853">
        <f t="shared" si="172"/>
        <v>0</v>
      </c>
      <c r="EP14" s="2853">
        <f t="shared" si="68"/>
        <v>9.6690000000000005</v>
      </c>
      <c r="EQ14" s="3058">
        <f>SUM('ПОЛНАЯ СЕБЕСТОИМОСТЬ СТОКИ 2021'!BQ14)</f>
        <v>9.6690000000000005</v>
      </c>
      <c r="ER14" s="3058">
        <f>SUM('ПОЛНАЯ СЕБЕСТОИМОСТЬ СТОКИ 2021'!BR14)</f>
        <v>0</v>
      </c>
      <c r="ES14" s="2854">
        <f t="shared" si="69"/>
        <v>10.789870000000001</v>
      </c>
      <c r="ET14" s="2855">
        <v>10.789870000000001</v>
      </c>
      <c r="EU14" s="2855"/>
      <c r="EV14" s="2853">
        <f t="shared" si="173"/>
        <v>9.1240000000000006</v>
      </c>
      <c r="EW14" s="2853">
        <f t="shared" si="174"/>
        <v>9.1240000000000006</v>
      </c>
      <c r="EX14" s="2853">
        <f t="shared" si="175"/>
        <v>0</v>
      </c>
      <c r="EY14" s="2853">
        <f t="shared" si="70"/>
        <v>9.7769999999999992</v>
      </c>
      <c r="EZ14" s="3058">
        <f>SUM('ПОЛНАЯ СЕБЕСТОИМОСТЬ СТОКИ 2021'!BT14)</f>
        <v>9.7769999999999992</v>
      </c>
      <c r="FA14" s="3058">
        <f>SUM('ПОЛНАЯ СЕБЕСТОИМОСТЬ СТОКИ 2021'!BU14)</f>
        <v>0</v>
      </c>
      <c r="FB14" s="2853">
        <f t="shared" si="71"/>
        <v>10.519</v>
      </c>
      <c r="FC14" s="3051">
        <v>10.519</v>
      </c>
      <c r="FD14" s="3051"/>
      <c r="FE14" s="2853">
        <f t="shared" si="176"/>
        <v>9.1240000000000006</v>
      </c>
      <c r="FF14" s="2853">
        <f t="shared" si="177"/>
        <v>9.1240000000000006</v>
      </c>
      <c r="FG14" s="2853">
        <f t="shared" si="178"/>
        <v>0</v>
      </c>
      <c r="FH14" s="2853">
        <f t="shared" si="72"/>
        <v>12.867000000000001</v>
      </c>
      <c r="FI14" s="3058">
        <f>SUM('ПОЛНАЯ СЕБЕСТОИМОСТЬ СТОКИ 2021'!BW14)</f>
        <v>12.867000000000001</v>
      </c>
      <c r="FJ14" s="3058">
        <f>SUM('ПОЛНАЯ СЕБЕСТОИМОСТЬ СТОКИ 2021'!BX14)</f>
        <v>0</v>
      </c>
      <c r="FK14" s="2853">
        <f t="shared" si="73"/>
        <v>11.66</v>
      </c>
      <c r="FL14" s="3051">
        <v>11.66</v>
      </c>
      <c r="FM14" s="3051"/>
      <c r="FN14" s="2856">
        <f t="shared" si="179"/>
        <v>27.372</v>
      </c>
      <c r="FO14" s="2856">
        <f t="shared" si="180"/>
        <v>27.372</v>
      </c>
      <c r="FP14" s="2856">
        <f t="shared" si="181"/>
        <v>0</v>
      </c>
      <c r="FQ14" s="2856">
        <f t="shared" si="182"/>
        <v>32.313000000000002</v>
      </c>
      <c r="FR14" s="2856">
        <f t="shared" si="183"/>
        <v>32.313000000000002</v>
      </c>
      <c r="FS14" s="2856">
        <f t="shared" si="184"/>
        <v>0</v>
      </c>
      <c r="FT14" s="2921">
        <f t="shared" si="185"/>
        <v>32.968869999999995</v>
      </c>
      <c r="FU14" s="2921">
        <f t="shared" si="186"/>
        <v>32.968869999999995</v>
      </c>
      <c r="FV14" s="2921">
        <f t="shared" si="187"/>
        <v>0</v>
      </c>
      <c r="FW14" s="2856">
        <f t="shared" si="188"/>
        <v>4.9410000000000025</v>
      </c>
      <c r="FX14" s="2922">
        <f t="shared" si="189"/>
        <v>4.9410000000000025</v>
      </c>
      <c r="FY14" s="2922">
        <f t="shared" si="190"/>
        <v>0</v>
      </c>
      <c r="FZ14" s="2856">
        <f t="shared" si="79"/>
        <v>109.488</v>
      </c>
      <c r="GA14" s="2856">
        <f>SUM(объемы!BN67)</f>
        <v>109.488</v>
      </c>
      <c r="GB14" s="2856">
        <v>0</v>
      </c>
      <c r="GC14" s="2856">
        <f t="shared" si="191"/>
        <v>104.34100000000001</v>
      </c>
      <c r="GD14" s="2921">
        <f t="shared" si="192"/>
        <v>104.34100000000001</v>
      </c>
      <c r="GE14" s="2921">
        <f t="shared" si="193"/>
        <v>0</v>
      </c>
      <c r="GF14" s="2921">
        <f t="shared" si="194"/>
        <v>105.31286999999999</v>
      </c>
      <c r="GG14" s="2921">
        <f t="shared" si="195"/>
        <v>105.31286999999999</v>
      </c>
      <c r="GH14" s="2921">
        <f t="shared" si="196"/>
        <v>0</v>
      </c>
      <c r="GI14" s="2856">
        <f t="shared" si="197"/>
        <v>-5.1469999999999914</v>
      </c>
      <c r="GJ14" s="2922">
        <f t="shared" si="198"/>
        <v>-5.1469999999999914</v>
      </c>
      <c r="GK14" s="2922">
        <f t="shared" si="199"/>
        <v>0</v>
      </c>
      <c r="GM14" s="4234"/>
    </row>
    <row r="15" spans="1:195" ht="18.75" customHeight="1" x14ac:dyDescent="0.3">
      <c r="A15" s="3057" t="s">
        <v>3680</v>
      </c>
      <c r="B15" s="2853">
        <f t="shared" si="200"/>
        <v>7.0876666666666672</v>
      </c>
      <c r="C15" s="2853">
        <f t="shared" si="201"/>
        <v>7.0876666666666672</v>
      </c>
      <c r="D15" s="2853">
        <f t="shared" si="202"/>
        <v>0</v>
      </c>
      <c r="E15" s="2853">
        <f t="shared" si="26"/>
        <v>7.76</v>
      </c>
      <c r="F15" s="3058">
        <f>SUM('ПОЛНАЯ СЕБЕСТОИМОСТЬ СТОКИ 2021'!F15)</f>
        <v>7.76</v>
      </c>
      <c r="G15" s="3058">
        <f>SUM('ПОЛНАЯ СЕБЕСТОИМОСТЬ СТОКИ 2021'!G15)</f>
        <v>0</v>
      </c>
      <c r="H15" s="2854">
        <f t="shared" si="27"/>
        <v>7.41</v>
      </c>
      <c r="I15" s="2855">
        <v>7.41</v>
      </c>
      <c r="J15" s="2855"/>
      <c r="K15" s="2853">
        <f t="shared" si="86"/>
        <v>7.0876666666666672</v>
      </c>
      <c r="L15" s="2853">
        <f t="shared" si="87"/>
        <v>7.0876666666666672</v>
      </c>
      <c r="M15" s="2853">
        <f t="shared" si="88"/>
        <v>0</v>
      </c>
      <c r="N15" s="2853">
        <f t="shared" si="28"/>
        <v>8.14</v>
      </c>
      <c r="O15" s="3058">
        <f>SUM('ПОЛНАЯ СЕБЕСТОИМОСТЬ СТОКИ 2021'!I15)</f>
        <v>8.14</v>
      </c>
      <c r="P15" s="3058">
        <f>SUM('ПОЛНАЯ СЕБЕСТОИМОСТЬ СТОКИ 2021'!J15)</f>
        <v>0</v>
      </c>
      <c r="Q15" s="2854">
        <f t="shared" si="29"/>
        <v>7.7670000000000003</v>
      </c>
      <c r="R15" s="3051">
        <v>7.7670000000000003</v>
      </c>
      <c r="S15" s="2855"/>
      <c r="T15" s="2853">
        <f t="shared" si="89"/>
        <v>7.0876666666666672</v>
      </c>
      <c r="U15" s="2853">
        <f t="shared" si="90"/>
        <v>7.0876666666666672</v>
      </c>
      <c r="V15" s="2853">
        <f t="shared" si="91"/>
        <v>0</v>
      </c>
      <c r="W15" s="2853">
        <f t="shared" si="30"/>
        <v>7.5049999999999999</v>
      </c>
      <c r="X15" s="3058">
        <f>SUM('ПОЛНАЯ СЕБЕСТОИМОСТЬ СТОКИ 2021'!L15)</f>
        <v>7.5049999999999999</v>
      </c>
      <c r="Y15" s="3058">
        <f>SUM('ПОЛНАЯ СЕБЕСТОИМОСТЬ СТОКИ 2021'!M15)</f>
        <v>0</v>
      </c>
      <c r="Z15" s="2854">
        <f t="shared" si="31"/>
        <v>7.3540000000000001</v>
      </c>
      <c r="AA15" s="2855">
        <v>7.3540000000000001</v>
      </c>
      <c r="AB15" s="2855"/>
      <c r="AC15" s="2856">
        <f t="shared" si="92"/>
        <v>21.263000000000002</v>
      </c>
      <c r="AD15" s="2856">
        <f t="shared" si="93"/>
        <v>21.263000000000002</v>
      </c>
      <c r="AE15" s="2856">
        <f t="shared" si="94"/>
        <v>0</v>
      </c>
      <c r="AF15" s="2856">
        <f t="shared" si="95"/>
        <v>23.405000000000001</v>
      </c>
      <c r="AG15" s="2856">
        <f t="shared" si="96"/>
        <v>23.405000000000001</v>
      </c>
      <c r="AH15" s="2856">
        <f t="shared" si="97"/>
        <v>0</v>
      </c>
      <c r="AI15" s="2921">
        <f t="shared" si="98"/>
        <v>22.530999999999999</v>
      </c>
      <c r="AJ15" s="2921">
        <f t="shared" si="99"/>
        <v>22.530999999999999</v>
      </c>
      <c r="AK15" s="2921">
        <f t="shared" si="100"/>
        <v>0</v>
      </c>
      <c r="AL15" s="2856">
        <f t="shared" si="101"/>
        <v>2.1419999999999995</v>
      </c>
      <c r="AM15" s="2856">
        <f t="shared" si="102"/>
        <v>2.1419999999999995</v>
      </c>
      <c r="AN15" s="2856">
        <f t="shared" si="103"/>
        <v>0</v>
      </c>
      <c r="AO15" s="2853">
        <f t="shared" si="104"/>
        <v>7.0876666666666672</v>
      </c>
      <c r="AP15" s="2853">
        <f t="shared" si="105"/>
        <v>7.0876666666666672</v>
      </c>
      <c r="AQ15" s="2853">
        <f t="shared" si="106"/>
        <v>0</v>
      </c>
      <c r="AR15" s="2853">
        <f t="shared" si="38"/>
        <v>8.6929999999999996</v>
      </c>
      <c r="AS15" s="3058">
        <f>SUM('ПОЛНАЯ СЕБЕСТОИМОСТЬ СТОКИ 2021'!U15)</f>
        <v>8.6929999999999996</v>
      </c>
      <c r="AT15" s="3058">
        <f>SUM('ПОЛНАЯ СЕБЕСТОИМОСТЬ СТОКИ 2021'!V15)</f>
        <v>0</v>
      </c>
      <c r="AU15" s="2854">
        <f t="shared" si="39"/>
        <v>6.9180000000000001</v>
      </c>
      <c r="AV15" s="2855">
        <v>6.9180000000000001</v>
      </c>
      <c r="AW15" s="2855"/>
      <c r="AX15" s="2853">
        <f t="shared" si="107"/>
        <v>7.0876666666666672</v>
      </c>
      <c r="AY15" s="2853">
        <f t="shared" si="108"/>
        <v>7.0876666666666672</v>
      </c>
      <c r="AZ15" s="2853">
        <f t="shared" si="109"/>
        <v>0</v>
      </c>
      <c r="BA15" s="2853">
        <f t="shared" si="40"/>
        <v>8.657</v>
      </c>
      <c r="BB15" s="3058">
        <f>SUM('ПОЛНАЯ СЕБЕСТОИМОСТЬ СТОКИ 2021'!X15)</f>
        <v>8.657</v>
      </c>
      <c r="BC15" s="3058">
        <f>SUM('ПОЛНАЯ СЕБЕСТОИМОСТЬ СТОКИ 2021'!Y15)</f>
        <v>0</v>
      </c>
      <c r="BD15" s="2854">
        <f t="shared" si="41"/>
        <v>6.2430000000000003</v>
      </c>
      <c r="BE15" s="2855">
        <v>6.2430000000000003</v>
      </c>
      <c r="BF15" s="2855"/>
      <c r="BG15" s="2853">
        <f t="shared" si="110"/>
        <v>7.0876666666666672</v>
      </c>
      <c r="BH15" s="2853">
        <f t="shared" si="111"/>
        <v>7.0876666666666672</v>
      </c>
      <c r="BI15" s="2853">
        <f t="shared" si="112"/>
        <v>0</v>
      </c>
      <c r="BJ15" s="2853">
        <f t="shared" si="42"/>
        <v>10.673999999999999</v>
      </c>
      <c r="BK15" s="3058">
        <f>SUM('ПОЛНАЯ СЕБЕСТОИМОСТЬ СТОКИ 2021'!AA15)</f>
        <v>10.673999999999999</v>
      </c>
      <c r="BL15" s="3058">
        <f>SUM('ПОЛНАЯ СЕБЕСТОИМОСТЬ СТОКИ 2021'!AB15)</f>
        <v>0</v>
      </c>
      <c r="BM15" s="2854">
        <f t="shared" si="43"/>
        <v>5.8869999999999996</v>
      </c>
      <c r="BN15" s="2855">
        <v>5.8869999999999996</v>
      </c>
      <c r="BO15" s="2855"/>
      <c r="BP15" s="2856">
        <f t="shared" si="113"/>
        <v>21.263000000000002</v>
      </c>
      <c r="BQ15" s="2856">
        <f t="shared" si="114"/>
        <v>21.263000000000002</v>
      </c>
      <c r="BR15" s="2856">
        <f t="shared" si="115"/>
        <v>0</v>
      </c>
      <c r="BS15" s="2856">
        <f t="shared" si="116"/>
        <v>28.024000000000001</v>
      </c>
      <c r="BT15" s="2856">
        <f t="shared" si="117"/>
        <v>28.024000000000001</v>
      </c>
      <c r="BU15" s="2856">
        <f t="shared" si="118"/>
        <v>0</v>
      </c>
      <c r="BV15" s="2921">
        <f t="shared" si="119"/>
        <v>19.048000000000002</v>
      </c>
      <c r="BW15" s="2856">
        <f t="shared" si="120"/>
        <v>19.048000000000002</v>
      </c>
      <c r="BX15" s="2856">
        <f t="shared" si="121"/>
        <v>0</v>
      </c>
      <c r="BY15" s="2856">
        <f t="shared" si="122"/>
        <v>6.7609999999999992</v>
      </c>
      <c r="BZ15" s="2856">
        <f t="shared" si="123"/>
        <v>6.7609999999999992</v>
      </c>
      <c r="CA15" s="2856">
        <f t="shared" si="124"/>
        <v>0</v>
      </c>
      <c r="CB15" s="2856">
        <f t="shared" si="125"/>
        <v>42.526000000000003</v>
      </c>
      <c r="CC15" s="2856">
        <f t="shared" si="126"/>
        <v>42.526000000000003</v>
      </c>
      <c r="CD15" s="2856">
        <f t="shared" si="127"/>
        <v>0</v>
      </c>
      <c r="CE15" s="2856">
        <f t="shared" si="128"/>
        <v>51.429000000000002</v>
      </c>
      <c r="CF15" s="2856">
        <f t="shared" si="129"/>
        <v>51.429000000000002</v>
      </c>
      <c r="CG15" s="2856">
        <f t="shared" si="130"/>
        <v>0</v>
      </c>
      <c r="CH15" s="2921">
        <f t="shared" si="131"/>
        <v>41.579000000000001</v>
      </c>
      <c r="CI15" s="2921">
        <f t="shared" si="132"/>
        <v>41.579000000000001</v>
      </c>
      <c r="CJ15" s="2921">
        <f t="shared" si="133"/>
        <v>0</v>
      </c>
      <c r="CK15" s="2856">
        <f t="shared" si="134"/>
        <v>8.9029999999999987</v>
      </c>
      <c r="CL15" s="2922">
        <f t="shared" si="135"/>
        <v>8.9029999999999987</v>
      </c>
      <c r="CM15" s="2922">
        <f t="shared" si="136"/>
        <v>0</v>
      </c>
      <c r="CN15" s="2853">
        <f t="shared" si="137"/>
        <v>7.0876666666666672</v>
      </c>
      <c r="CO15" s="2853">
        <f t="shared" si="138"/>
        <v>7.0876666666666672</v>
      </c>
      <c r="CP15" s="2853">
        <f t="shared" si="139"/>
        <v>0</v>
      </c>
      <c r="CQ15" s="2853">
        <f t="shared" si="53"/>
        <v>6.5019999999999998</v>
      </c>
      <c r="CR15" s="3058">
        <f>SUM('ПОЛНАЯ СЕБЕСТОИМОСТЬ СТОКИ 2021'!AS15)</f>
        <v>6.5019999999999998</v>
      </c>
      <c r="CS15" s="3058">
        <f>SUM('ПОЛНАЯ СЕБЕСТОИМОСТЬ СТОКИ 2021'!AT15)</f>
        <v>0</v>
      </c>
      <c r="CT15" s="2854">
        <f t="shared" si="54"/>
        <v>7.9169999999999998</v>
      </c>
      <c r="CU15" s="2855">
        <v>7.9169999999999998</v>
      </c>
      <c r="CV15" s="2855"/>
      <c r="CW15" s="2853">
        <f t="shared" si="140"/>
        <v>7.0876666666666672</v>
      </c>
      <c r="CX15" s="2853">
        <f t="shared" si="141"/>
        <v>7.0876666666666672</v>
      </c>
      <c r="CY15" s="2853">
        <f t="shared" si="142"/>
        <v>0</v>
      </c>
      <c r="CZ15" s="2853">
        <f t="shared" si="55"/>
        <v>13.29</v>
      </c>
      <c r="DA15" s="3058">
        <f>SUM('ПОЛНАЯ СЕБЕСТОИМОСТЬ СТОКИ 2021'!AV15)</f>
        <v>13.29</v>
      </c>
      <c r="DB15" s="3058">
        <f>SUM('ПОЛНАЯ СЕБЕСТОИМОСТЬ СТОКИ 2021'!AW15)</f>
        <v>0</v>
      </c>
      <c r="DC15" s="2854">
        <f t="shared" si="56"/>
        <v>7.1760000000000002</v>
      </c>
      <c r="DD15" s="2855">
        <v>7.1760000000000002</v>
      </c>
      <c r="DE15" s="2855"/>
      <c r="DF15" s="2853">
        <f t="shared" si="143"/>
        <v>7.0876666666666672</v>
      </c>
      <c r="DG15" s="2853">
        <f t="shared" si="144"/>
        <v>7.0876666666666672</v>
      </c>
      <c r="DH15" s="2853">
        <f t="shared" si="145"/>
        <v>0</v>
      </c>
      <c r="DI15" s="2853">
        <f t="shared" si="57"/>
        <v>10.45</v>
      </c>
      <c r="DJ15" s="3058">
        <f>SUM('ПОЛНАЯ СЕБЕСТОИМОСТЬ СТОКИ 2021'!AY15)</f>
        <v>10.45</v>
      </c>
      <c r="DK15" s="3058">
        <f>SUM('ПОЛНАЯ СЕБЕСТОИМОСТЬ СТОКИ 2021'!AZ15)</f>
        <v>0</v>
      </c>
      <c r="DL15" s="2854">
        <f t="shared" si="58"/>
        <v>6.0919999999999996</v>
      </c>
      <c r="DM15" s="2855">
        <v>6.0919999999999996</v>
      </c>
      <c r="DN15" s="2855"/>
      <c r="DO15" s="2856">
        <f t="shared" si="146"/>
        <v>21.263000000000002</v>
      </c>
      <c r="DP15" s="2856">
        <f t="shared" si="147"/>
        <v>21.263000000000002</v>
      </c>
      <c r="DQ15" s="2856">
        <f t="shared" si="148"/>
        <v>0</v>
      </c>
      <c r="DR15" s="2856">
        <f t="shared" si="149"/>
        <v>30.241999999999997</v>
      </c>
      <c r="DS15" s="2856">
        <f t="shared" si="150"/>
        <v>30.241999999999997</v>
      </c>
      <c r="DT15" s="2856">
        <f t="shared" si="151"/>
        <v>0</v>
      </c>
      <c r="DU15" s="2921">
        <f t="shared" si="152"/>
        <v>21.184999999999999</v>
      </c>
      <c r="DV15" s="2856">
        <f t="shared" si="153"/>
        <v>21.184999999999999</v>
      </c>
      <c r="DW15" s="2856">
        <f t="shared" si="154"/>
        <v>0</v>
      </c>
      <c r="DX15" s="2856">
        <f t="shared" si="155"/>
        <v>8.9789999999999957</v>
      </c>
      <c r="DY15" s="2922">
        <f t="shared" si="156"/>
        <v>8.9789999999999957</v>
      </c>
      <c r="DZ15" s="2922">
        <f t="shared" si="157"/>
        <v>0</v>
      </c>
      <c r="EA15" s="2856">
        <f t="shared" si="158"/>
        <v>63.789000000000001</v>
      </c>
      <c r="EB15" s="2856">
        <f t="shared" si="159"/>
        <v>63.789000000000001</v>
      </c>
      <c r="EC15" s="2856">
        <f t="shared" si="160"/>
        <v>0</v>
      </c>
      <c r="ED15" s="2856">
        <f t="shared" si="161"/>
        <v>81.670999999999992</v>
      </c>
      <c r="EE15" s="2856">
        <f t="shared" si="162"/>
        <v>81.670999999999992</v>
      </c>
      <c r="EF15" s="2856">
        <f t="shared" si="163"/>
        <v>0</v>
      </c>
      <c r="EG15" s="2856">
        <f t="shared" si="164"/>
        <v>62.763999999999996</v>
      </c>
      <c r="EH15" s="2856">
        <f t="shared" si="165"/>
        <v>62.763999999999996</v>
      </c>
      <c r="EI15" s="2856">
        <f t="shared" si="166"/>
        <v>0</v>
      </c>
      <c r="EJ15" s="2856">
        <f t="shared" si="167"/>
        <v>17.881999999999991</v>
      </c>
      <c r="EK15" s="2922">
        <f t="shared" si="168"/>
        <v>17.881999999999991</v>
      </c>
      <c r="EL15" s="2922">
        <f t="shared" si="169"/>
        <v>0</v>
      </c>
      <c r="EM15" s="2853">
        <f t="shared" si="170"/>
        <v>7.0876666666666672</v>
      </c>
      <c r="EN15" s="2853">
        <f t="shared" si="171"/>
        <v>7.0876666666666672</v>
      </c>
      <c r="EO15" s="2853">
        <f t="shared" si="172"/>
        <v>0</v>
      </c>
      <c r="EP15" s="2853">
        <f t="shared" si="68"/>
        <v>10.641999999999999</v>
      </c>
      <c r="EQ15" s="3058">
        <f>SUM('ПОЛНАЯ СЕБЕСТОИМОСТЬ СТОКИ 2021'!BQ15)</f>
        <v>10.641999999999999</v>
      </c>
      <c r="ER15" s="3058">
        <f>SUM('ПОЛНАЯ СЕБЕСТОИМОСТЬ СТОКИ 2021'!BR15)</f>
        <v>0</v>
      </c>
      <c r="ES15" s="2854">
        <f t="shared" si="69"/>
        <v>6.1258119999999998</v>
      </c>
      <c r="ET15" s="2855">
        <v>6.1258119999999998</v>
      </c>
      <c r="EU15" s="2855"/>
      <c r="EV15" s="2853">
        <f t="shared" si="173"/>
        <v>7.0876666666666672</v>
      </c>
      <c r="EW15" s="2853">
        <f t="shared" si="174"/>
        <v>7.0876666666666672</v>
      </c>
      <c r="EX15" s="2853">
        <f t="shared" si="175"/>
        <v>0</v>
      </c>
      <c r="EY15" s="2853">
        <f t="shared" si="70"/>
        <v>4.1219999999999999</v>
      </c>
      <c r="EZ15" s="3058">
        <f>SUM('ПОЛНАЯ СЕБЕСТОИМОСТЬ СТОКИ 2021'!BT15)</f>
        <v>4.1219999999999999</v>
      </c>
      <c r="FA15" s="3058">
        <f>SUM('ПОЛНАЯ СЕБЕСТОИМОСТЬ СТОКИ 2021'!BU15)</f>
        <v>0</v>
      </c>
      <c r="FB15" s="2853">
        <f t="shared" si="71"/>
        <v>7.4889999999999999</v>
      </c>
      <c r="FC15" s="3051">
        <v>7.4889999999999999</v>
      </c>
      <c r="FD15" s="3051"/>
      <c r="FE15" s="2853">
        <f t="shared" si="176"/>
        <v>7.0876666666666672</v>
      </c>
      <c r="FF15" s="2853">
        <f t="shared" si="177"/>
        <v>7.0876666666666672</v>
      </c>
      <c r="FG15" s="2853">
        <f t="shared" si="178"/>
        <v>0</v>
      </c>
      <c r="FH15" s="2853">
        <f t="shared" si="72"/>
        <v>9.6340000000000003</v>
      </c>
      <c r="FI15" s="3058">
        <f>SUM('ПОЛНАЯ СЕБЕСТОИМОСТЬ СТОКИ 2021'!BW15)</f>
        <v>9.6340000000000003</v>
      </c>
      <c r="FJ15" s="3058">
        <f>SUM('ПОЛНАЯ СЕБЕСТОИМОСТЬ СТОКИ 2021'!BX15)</f>
        <v>0</v>
      </c>
      <c r="FK15" s="2853">
        <f t="shared" si="73"/>
        <v>6.3330000000000002</v>
      </c>
      <c r="FL15" s="3051">
        <v>6.3330000000000002</v>
      </c>
      <c r="FM15" s="3051"/>
      <c r="FN15" s="2856">
        <f t="shared" si="179"/>
        <v>21.263000000000002</v>
      </c>
      <c r="FO15" s="2856">
        <f t="shared" si="180"/>
        <v>21.263000000000002</v>
      </c>
      <c r="FP15" s="2856">
        <f t="shared" si="181"/>
        <v>0</v>
      </c>
      <c r="FQ15" s="2856">
        <f t="shared" si="182"/>
        <v>24.398</v>
      </c>
      <c r="FR15" s="2856">
        <f t="shared" si="183"/>
        <v>24.398</v>
      </c>
      <c r="FS15" s="2856">
        <f t="shared" si="184"/>
        <v>0</v>
      </c>
      <c r="FT15" s="2921">
        <f t="shared" si="185"/>
        <v>19.947811999999999</v>
      </c>
      <c r="FU15" s="2921">
        <f t="shared" si="186"/>
        <v>19.947811999999999</v>
      </c>
      <c r="FV15" s="2921">
        <f t="shared" si="187"/>
        <v>0</v>
      </c>
      <c r="FW15" s="2856">
        <f t="shared" si="188"/>
        <v>3.134999999999998</v>
      </c>
      <c r="FX15" s="2922">
        <f t="shared" si="189"/>
        <v>3.134999999999998</v>
      </c>
      <c r="FY15" s="2922">
        <f t="shared" si="190"/>
        <v>0</v>
      </c>
      <c r="FZ15" s="2856">
        <f t="shared" si="79"/>
        <v>85.052000000000007</v>
      </c>
      <c r="GA15" s="2856">
        <f>SUM(объемы!BN68)</f>
        <v>85.052000000000007</v>
      </c>
      <c r="GB15" s="2856">
        <v>0</v>
      </c>
      <c r="GC15" s="2856">
        <f t="shared" si="191"/>
        <v>106.06899999999999</v>
      </c>
      <c r="GD15" s="2921">
        <f t="shared" si="192"/>
        <v>106.06899999999999</v>
      </c>
      <c r="GE15" s="2921">
        <f t="shared" si="193"/>
        <v>0</v>
      </c>
      <c r="GF15" s="2921">
        <f t="shared" si="194"/>
        <v>82.711811999999995</v>
      </c>
      <c r="GG15" s="2921">
        <f t="shared" si="195"/>
        <v>82.711811999999995</v>
      </c>
      <c r="GH15" s="2921">
        <f t="shared" si="196"/>
        <v>0</v>
      </c>
      <c r="GI15" s="2856">
        <f t="shared" si="197"/>
        <v>21.016999999999982</v>
      </c>
      <c r="GJ15" s="2922">
        <f t="shared" si="198"/>
        <v>21.016999999999982</v>
      </c>
      <c r="GK15" s="2922">
        <f t="shared" si="199"/>
        <v>0</v>
      </c>
      <c r="GM15" s="4234"/>
    </row>
    <row r="16" spans="1:195" ht="18.75" customHeight="1" x14ac:dyDescent="0.3">
      <c r="A16" s="3057" t="s">
        <v>3682</v>
      </c>
      <c r="B16" s="2853">
        <f t="shared" si="200"/>
        <v>8.6383333333333336</v>
      </c>
      <c r="C16" s="2853">
        <f t="shared" si="201"/>
        <v>8.6383333333333336</v>
      </c>
      <c r="D16" s="2853">
        <f t="shared" si="202"/>
        <v>0</v>
      </c>
      <c r="E16" s="2853">
        <f t="shared" si="26"/>
        <v>6.7750000000000004</v>
      </c>
      <c r="F16" s="3058">
        <f>SUM('ПОЛНАЯ СЕБЕСТОИМОСТЬ СТОКИ 2021'!F16)</f>
        <v>6.7750000000000004</v>
      </c>
      <c r="G16" s="3058">
        <f>SUM('ПОЛНАЯ СЕБЕСТОИМОСТЬ СТОКИ 2021'!G16)</f>
        <v>0</v>
      </c>
      <c r="H16" s="2854">
        <f t="shared" si="27"/>
        <v>9</v>
      </c>
      <c r="I16" s="2855">
        <v>9</v>
      </c>
      <c r="J16" s="2855"/>
      <c r="K16" s="2853">
        <f t="shared" si="86"/>
        <v>8.6383333333333336</v>
      </c>
      <c r="L16" s="2853">
        <f t="shared" si="87"/>
        <v>8.6383333333333336</v>
      </c>
      <c r="M16" s="2853">
        <f t="shared" si="88"/>
        <v>0</v>
      </c>
      <c r="N16" s="2853">
        <f t="shared" si="28"/>
        <v>9.0649999999999995</v>
      </c>
      <c r="O16" s="3058">
        <f>SUM('ПОЛНАЯ СЕБЕСТОИМОСТЬ СТОКИ 2021'!I16)</f>
        <v>9.0649999999999995</v>
      </c>
      <c r="P16" s="3058">
        <f>SUM('ПОЛНАЯ СЕБЕСТОИМОСТЬ СТОКИ 2021'!J16)</f>
        <v>0</v>
      </c>
      <c r="Q16" s="2854">
        <f t="shared" si="29"/>
        <v>11.284000000000001</v>
      </c>
      <c r="R16" s="3051">
        <v>11.284000000000001</v>
      </c>
      <c r="S16" s="2855"/>
      <c r="T16" s="2853">
        <f t="shared" si="89"/>
        <v>8.6383333333333336</v>
      </c>
      <c r="U16" s="2853">
        <f t="shared" si="90"/>
        <v>8.6383333333333336</v>
      </c>
      <c r="V16" s="2853">
        <f t="shared" si="91"/>
        <v>0</v>
      </c>
      <c r="W16" s="2853">
        <f t="shared" si="30"/>
        <v>8.2520000000000007</v>
      </c>
      <c r="X16" s="3058">
        <f>SUM('ПОЛНАЯ СЕБЕСТОИМОСТЬ СТОКИ 2021'!L16)</f>
        <v>8.2520000000000007</v>
      </c>
      <c r="Y16" s="3058">
        <f>SUM('ПОЛНАЯ СЕБЕСТОИМОСТЬ СТОКИ 2021'!M16)</f>
        <v>0</v>
      </c>
      <c r="Z16" s="2854">
        <f t="shared" si="31"/>
        <v>9.5</v>
      </c>
      <c r="AA16" s="2855">
        <v>9.5</v>
      </c>
      <c r="AB16" s="2855"/>
      <c r="AC16" s="2856">
        <f t="shared" si="92"/>
        <v>25.914999999999999</v>
      </c>
      <c r="AD16" s="2856">
        <f t="shared" si="93"/>
        <v>25.914999999999999</v>
      </c>
      <c r="AE16" s="2856">
        <f t="shared" si="94"/>
        <v>0</v>
      </c>
      <c r="AF16" s="2856">
        <f t="shared" si="95"/>
        <v>24.091999999999999</v>
      </c>
      <c r="AG16" s="2856">
        <f t="shared" si="96"/>
        <v>24.091999999999999</v>
      </c>
      <c r="AH16" s="2856">
        <f t="shared" si="97"/>
        <v>0</v>
      </c>
      <c r="AI16" s="2921">
        <f t="shared" si="98"/>
        <v>29.783999999999999</v>
      </c>
      <c r="AJ16" s="2921">
        <f t="shared" si="99"/>
        <v>29.783999999999999</v>
      </c>
      <c r="AK16" s="2921">
        <f t="shared" si="100"/>
        <v>0</v>
      </c>
      <c r="AL16" s="2856">
        <f t="shared" si="101"/>
        <v>-1.8230000000000004</v>
      </c>
      <c r="AM16" s="2856">
        <f t="shared" si="102"/>
        <v>-1.8230000000000004</v>
      </c>
      <c r="AN16" s="2856">
        <f t="shared" si="103"/>
        <v>0</v>
      </c>
      <c r="AO16" s="2853">
        <f t="shared" si="104"/>
        <v>8.6383333333333336</v>
      </c>
      <c r="AP16" s="2853">
        <f t="shared" si="105"/>
        <v>8.6383333333333336</v>
      </c>
      <c r="AQ16" s="2853">
        <f t="shared" si="106"/>
        <v>0</v>
      </c>
      <c r="AR16" s="2853">
        <f t="shared" si="38"/>
        <v>9.3510000000000009</v>
      </c>
      <c r="AS16" s="3058">
        <f>SUM('ПОЛНАЯ СЕБЕСТОИМОСТЬ СТОКИ 2021'!U16)</f>
        <v>9.3510000000000009</v>
      </c>
      <c r="AT16" s="3058">
        <f>SUM('ПОЛНАЯ СЕБЕСТОИМОСТЬ СТОКИ 2021'!V16)</f>
        <v>0</v>
      </c>
      <c r="AU16" s="2854">
        <f t="shared" si="39"/>
        <v>5.452</v>
      </c>
      <c r="AV16" s="2855">
        <v>5.452</v>
      </c>
      <c r="AW16" s="2855"/>
      <c r="AX16" s="2853">
        <f t="shared" si="107"/>
        <v>8.6383333333333336</v>
      </c>
      <c r="AY16" s="2853">
        <f t="shared" si="108"/>
        <v>8.6383333333333336</v>
      </c>
      <c r="AZ16" s="2853">
        <f t="shared" si="109"/>
        <v>0</v>
      </c>
      <c r="BA16" s="2853">
        <f t="shared" si="40"/>
        <v>8.31</v>
      </c>
      <c r="BB16" s="3058">
        <f>SUM('ПОЛНАЯ СЕБЕСТОИМОСТЬ СТОКИ 2021'!X16)</f>
        <v>8.31</v>
      </c>
      <c r="BC16" s="3058">
        <f>SUM('ПОЛНАЯ СЕБЕСТОИМОСТЬ СТОКИ 2021'!Y16)</f>
        <v>0</v>
      </c>
      <c r="BD16" s="2854">
        <f t="shared" si="41"/>
        <v>2.6960000000000002</v>
      </c>
      <c r="BE16" s="2855">
        <v>2.6960000000000002</v>
      </c>
      <c r="BF16" s="2855"/>
      <c r="BG16" s="2853">
        <f t="shared" si="110"/>
        <v>8.6383333333333336</v>
      </c>
      <c r="BH16" s="2853">
        <f t="shared" si="111"/>
        <v>8.6383333333333336</v>
      </c>
      <c r="BI16" s="2853">
        <f t="shared" si="112"/>
        <v>0</v>
      </c>
      <c r="BJ16" s="2853">
        <f t="shared" si="42"/>
        <v>7.2560000000000002</v>
      </c>
      <c r="BK16" s="3058">
        <f>SUM('ПОЛНАЯ СЕБЕСТОИМОСТЬ СТОКИ 2021'!AA16)</f>
        <v>7.2560000000000002</v>
      </c>
      <c r="BL16" s="3058">
        <f>SUM('ПОЛНАЯ СЕБЕСТОИМОСТЬ СТОКИ 2021'!AB16)</f>
        <v>0</v>
      </c>
      <c r="BM16" s="2854">
        <f t="shared" si="43"/>
        <v>3.464</v>
      </c>
      <c r="BN16" s="2855">
        <v>3.464</v>
      </c>
      <c r="BO16" s="2855"/>
      <c r="BP16" s="2856">
        <f t="shared" si="113"/>
        <v>25.914999999999999</v>
      </c>
      <c r="BQ16" s="2856">
        <f t="shared" si="114"/>
        <v>25.914999999999999</v>
      </c>
      <c r="BR16" s="2856">
        <f t="shared" si="115"/>
        <v>0</v>
      </c>
      <c r="BS16" s="2856">
        <f t="shared" si="116"/>
        <v>24.917000000000002</v>
      </c>
      <c r="BT16" s="2856">
        <f t="shared" si="117"/>
        <v>24.917000000000002</v>
      </c>
      <c r="BU16" s="2856">
        <f t="shared" si="118"/>
        <v>0</v>
      </c>
      <c r="BV16" s="2921">
        <f t="shared" si="119"/>
        <v>11.612</v>
      </c>
      <c r="BW16" s="2856">
        <f t="shared" si="120"/>
        <v>11.612</v>
      </c>
      <c r="BX16" s="2856">
        <f t="shared" si="121"/>
        <v>0</v>
      </c>
      <c r="BY16" s="2856">
        <f t="shared" si="122"/>
        <v>-0.99799999999999756</v>
      </c>
      <c r="BZ16" s="2856">
        <f t="shared" si="123"/>
        <v>-0.99799999999999756</v>
      </c>
      <c r="CA16" s="2856">
        <f t="shared" si="124"/>
        <v>0</v>
      </c>
      <c r="CB16" s="2856">
        <f t="shared" si="125"/>
        <v>51.83</v>
      </c>
      <c r="CC16" s="2856">
        <f t="shared" si="126"/>
        <v>51.83</v>
      </c>
      <c r="CD16" s="2856">
        <f t="shared" si="127"/>
        <v>0</v>
      </c>
      <c r="CE16" s="2856">
        <f t="shared" si="128"/>
        <v>49.009</v>
      </c>
      <c r="CF16" s="2856">
        <f t="shared" si="129"/>
        <v>49.009</v>
      </c>
      <c r="CG16" s="2856">
        <f t="shared" si="130"/>
        <v>0</v>
      </c>
      <c r="CH16" s="2921">
        <f t="shared" si="131"/>
        <v>41.396000000000001</v>
      </c>
      <c r="CI16" s="2921">
        <f t="shared" si="132"/>
        <v>41.396000000000001</v>
      </c>
      <c r="CJ16" s="2921">
        <f t="shared" si="133"/>
        <v>0</v>
      </c>
      <c r="CK16" s="2856">
        <f t="shared" si="134"/>
        <v>-2.820999999999998</v>
      </c>
      <c r="CL16" s="2922">
        <f t="shared" si="135"/>
        <v>-2.820999999999998</v>
      </c>
      <c r="CM16" s="2922">
        <f t="shared" si="136"/>
        <v>0</v>
      </c>
      <c r="CN16" s="2853">
        <f t="shared" si="137"/>
        <v>8.6383333333333336</v>
      </c>
      <c r="CO16" s="2853">
        <f t="shared" si="138"/>
        <v>8.6383333333333336</v>
      </c>
      <c r="CP16" s="2853">
        <f t="shared" si="139"/>
        <v>0</v>
      </c>
      <c r="CQ16" s="2853">
        <f t="shared" si="53"/>
        <v>4.4800000000000004</v>
      </c>
      <c r="CR16" s="3058">
        <f>SUM('ПОЛНАЯ СЕБЕСТОИМОСТЬ СТОКИ 2021'!AS16)</f>
        <v>4.4800000000000004</v>
      </c>
      <c r="CS16" s="3058">
        <f>SUM('ПОЛНАЯ СЕБЕСТОИМОСТЬ СТОКИ 2021'!AT16)</f>
        <v>0</v>
      </c>
      <c r="CT16" s="2854">
        <f t="shared" si="54"/>
        <v>3.0720000000000001</v>
      </c>
      <c r="CU16" s="2855">
        <v>3.0720000000000001</v>
      </c>
      <c r="CV16" s="2855"/>
      <c r="CW16" s="2853">
        <f t="shared" si="140"/>
        <v>8.6383333333333336</v>
      </c>
      <c r="CX16" s="2853">
        <f t="shared" si="141"/>
        <v>8.6383333333333336</v>
      </c>
      <c r="CY16" s="2853">
        <f t="shared" si="142"/>
        <v>0</v>
      </c>
      <c r="CZ16" s="2853">
        <f t="shared" si="55"/>
        <v>4.181</v>
      </c>
      <c r="DA16" s="3058">
        <f>SUM('ПОЛНАЯ СЕБЕСТОИМОСТЬ СТОКИ 2021'!AV16)</f>
        <v>4.181</v>
      </c>
      <c r="DB16" s="3058">
        <f>SUM('ПОЛНАЯ СЕБЕСТОИМОСТЬ СТОКИ 2021'!AW16)</f>
        <v>0</v>
      </c>
      <c r="DC16" s="2854">
        <f t="shared" si="56"/>
        <v>4.194</v>
      </c>
      <c r="DD16" s="2855">
        <v>4.194</v>
      </c>
      <c r="DE16" s="2855"/>
      <c r="DF16" s="2853">
        <f t="shared" si="143"/>
        <v>8.6383333333333336</v>
      </c>
      <c r="DG16" s="2853">
        <f t="shared" si="144"/>
        <v>8.6383333333333336</v>
      </c>
      <c r="DH16" s="2853">
        <f t="shared" si="145"/>
        <v>0</v>
      </c>
      <c r="DI16" s="2853">
        <f t="shared" si="57"/>
        <v>5.2919999999999998</v>
      </c>
      <c r="DJ16" s="3058">
        <f>SUM('ПОЛНАЯ СЕБЕСТОИМОСТЬ СТОКИ 2021'!AY16)</f>
        <v>5.2919999999999998</v>
      </c>
      <c r="DK16" s="3058">
        <f>SUM('ПОЛНАЯ СЕБЕСТОИМОСТЬ СТОКИ 2021'!AZ16)</f>
        <v>0</v>
      </c>
      <c r="DL16" s="2854">
        <f t="shared" si="58"/>
        <v>5.5460000000000003</v>
      </c>
      <c r="DM16" s="2855">
        <v>5.5460000000000003</v>
      </c>
      <c r="DN16" s="2855"/>
      <c r="DO16" s="2856">
        <f t="shared" si="146"/>
        <v>25.914999999999999</v>
      </c>
      <c r="DP16" s="2856">
        <f t="shared" si="147"/>
        <v>25.914999999999999</v>
      </c>
      <c r="DQ16" s="2856">
        <f t="shared" si="148"/>
        <v>0</v>
      </c>
      <c r="DR16" s="2856">
        <f t="shared" si="149"/>
        <v>13.953000000000001</v>
      </c>
      <c r="DS16" s="2856">
        <f t="shared" si="150"/>
        <v>13.953000000000001</v>
      </c>
      <c r="DT16" s="2856">
        <f t="shared" si="151"/>
        <v>0</v>
      </c>
      <c r="DU16" s="2921">
        <f t="shared" si="152"/>
        <v>12.812000000000001</v>
      </c>
      <c r="DV16" s="2856">
        <f t="shared" si="153"/>
        <v>12.812000000000001</v>
      </c>
      <c r="DW16" s="2856">
        <f t="shared" si="154"/>
        <v>0</v>
      </c>
      <c r="DX16" s="2856">
        <f t="shared" si="155"/>
        <v>-11.961999999999998</v>
      </c>
      <c r="DY16" s="2922">
        <f t="shared" si="156"/>
        <v>-11.961999999999998</v>
      </c>
      <c r="DZ16" s="2922">
        <f t="shared" si="157"/>
        <v>0</v>
      </c>
      <c r="EA16" s="2856">
        <f t="shared" si="158"/>
        <v>77.745000000000005</v>
      </c>
      <c r="EB16" s="2856">
        <f t="shared" si="159"/>
        <v>77.745000000000005</v>
      </c>
      <c r="EC16" s="2856">
        <f t="shared" si="160"/>
        <v>0</v>
      </c>
      <c r="ED16" s="2856">
        <f t="shared" si="161"/>
        <v>62.962000000000003</v>
      </c>
      <c r="EE16" s="2856">
        <f t="shared" si="162"/>
        <v>62.962000000000003</v>
      </c>
      <c r="EF16" s="2856">
        <f t="shared" si="163"/>
        <v>0</v>
      </c>
      <c r="EG16" s="2856">
        <f t="shared" si="164"/>
        <v>54.207999999999998</v>
      </c>
      <c r="EH16" s="2856">
        <f t="shared" si="165"/>
        <v>54.207999999999998</v>
      </c>
      <c r="EI16" s="2856">
        <f t="shared" si="166"/>
        <v>0</v>
      </c>
      <c r="EJ16" s="2856">
        <f t="shared" si="167"/>
        <v>-14.783000000000001</v>
      </c>
      <c r="EK16" s="2922">
        <f t="shared" si="168"/>
        <v>-14.783000000000001</v>
      </c>
      <c r="EL16" s="2922">
        <f t="shared" si="169"/>
        <v>0</v>
      </c>
      <c r="EM16" s="2853">
        <f t="shared" si="170"/>
        <v>8.6383333333333336</v>
      </c>
      <c r="EN16" s="2853">
        <f t="shared" si="171"/>
        <v>8.6383333333333336</v>
      </c>
      <c r="EO16" s="2853">
        <f t="shared" si="172"/>
        <v>0</v>
      </c>
      <c r="EP16" s="2853">
        <f t="shared" si="68"/>
        <v>8.1980000000000004</v>
      </c>
      <c r="EQ16" s="3058">
        <f>SUM('ПОЛНАЯ СЕБЕСТОИМОСТЬ СТОКИ 2021'!BQ16)</f>
        <v>8.1980000000000004</v>
      </c>
      <c r="ER16" s="3058">
        <f>SUM('ПОЛНАЯ СЕБЕСТОИМОСТЬ СТОКИ 2021'!BR16)</f>
        <v>0</v>
      </c>
      <c r="ES16" s="2854">
        <f t="shared" si="69"/>
        <v>9.8966999999999992</v>
      </c>
      <c r="ET16" s="2855">
        <v>9.8966999999999992</v>
      </c>
      <c r="EU16" s="2855"/>
      <c r="EV16" s="2853">
        <f t="shared" si="173"/>
        <v>8.6383333333333336</v>
      </c>
      <c r="EW16" s="2853">
        <f t="shared" si="174"/>
        <v>8.6383333333333336</v>
      </c>
      <c r="EX16" s="2853">
        <f t="shared" si="175"/>
        <v>0</v>
      </c>
      <c r="EY16" s="2853">
        <f t="shared" si="70"/>
        <v>9.1980000000000004</v>
      </c>
      <c r="EZ16" s="3058">
        <f>SUM('ПОЛНАЯ СЕБЕСТОИМОСТЬ СТОКИ 2021'!BT16)</f>
        <v>9.1980000000000004</v>
      </c>
      <c r="FA16" s="3058">
        <f>SUM('ПОЛНАЯ СЕБЕСТОИМОСТЬ СТОКИ 2021'!BU16)</f>
        <v>0</v>
      </c>
      <c r="FB16" s="2853">
        <f t="shared" si="71"/>
        <v>10.507</v>
      </c>
      <c r="FC16" s="3051">
        <v>10.507</v>
      </c>
      <c r="FD16" s="3051"/>
      <c r="FE16" s="2853">
        <f t="shared" si="176"/>
        <v>8.6383333333333336</v>
      </c>
      <c r="FF16" s="2853">
        <f t="shared" si="177"/>
        <v>8.6383333333333336</v>
      </c>
      <c r="FG16" s="2853">
        <f t="shared" si="178"/>
        <v>0</v>
      </c>
      <c r="FH16" s="2853">
        <f t="shared" si="72"/>
        <v>9.4779999999999998</v>
      </c>
      <c r="FI16" s="3058">
        <f>SUM('ПОЛНАЯ СЕБЕСТОИМОСТЬ СТОКИ 2021'!BW16)</f>
        <v>9.4779999999999998</v>
      </c>
      <c r="FJ16" s="3058">
        <f>SUM('ПОЛНАЯ СЕБЕСТОИМОСТЬ СТОКИ 2021'!BX16)</f>
        <v>0</v>
      </c>
      <c r="FK16" s="2853">
        <f t="shared" si="73"/>
        <v>11.856</v>
      </c>
      <c r="FL16" s="3051">
        <v>11.856</v>
      </c>
      <c r="FM16" s="3051"/>
      <c r="FN16" s="2856">
        <f t="shared" si="179"/>
        <v>25.914999999999999</v>
      </c>
      <c r="FO16" s="2856">
        <f t="shared" si="180"/>
        <v>25.914999999999999</v>
      </c>
      <c r="FP16" s="2856">
        <f t="shared" si="181"/>
        <v>0</v>
      </c>
      <c r="FQ16" s="2856">
        <f t="shared" si="182"/>
        <v>26.874000000000002</v>
      </c>
      <c r="FR16" s="2856">
        <f t="shared" si="183"/>
        <v>26.874000000000002</v>
      </c>
      <c r="FS16" s="2856">
        <f t="shared" si="184"/>
        <v>0</v>
      </c>
      <c r="FT16" s="2921">
        <f t="shared" si="185"/>
        <v>32.259700000000002</v>
      </c>
      <c r="FU16" s="2921">
        <f t="shared" si="186"/>
        <v>32.259700000000002</v>
      </c>
      <c r="FV16" s="2921">
        <f t="shared" si="187"/>
        <v>0</v>
      </c>
      <c r="FW16" s="2856">
        <f t="shared" si="188"/>
        <v>0.95900000000000318</v>
      </c>
      <c r="FX16" s="2922">
        <f t="shared" si="189"/>
        <v>0.95900000000000318</v>
      </c>
      <c r="FY16" s="2922">
        <f t="shared" si="190"/>
        <v>0</v>
      </c>
      <c r="FZ16" s="2856">
        <f t="shared" si="79"/>
        <v>103.66</v>
      </c>
      <c r="GA16" s="2856">
        <f>SUM(объемы!BN69)</f>
        <v>103.66</v>
      </c>
      <c r="GB16" s="2856">
        <v>0</v>
      </c>
      <c r="GC16" s="2856">
        <f t="shared" si="191"/>
        <v>89.836000000000013</v>
      </c>
      <c r="GD16" s="2921">
        <f t="shared" si="192"/>
        <v>89.836000000000013</v>
      </c>
      <c r="GE16" s="2921">
        <f t="shared" si="193"/>
        <v>0</v>
      </c>
      <c r="GF16" s="2921">
        <f t="shared" si="194"/>
        <v>86.467700000000008</v>
      </c>
      <c r="GG16" s="2921">
        <f t="shared" si="195"/>
        <v>86.467700000000008</v>
      </c>
      <c r="GH16" s="2921">
        <f t="shared" si="196"/>
        <v>0</v>
      </c>
      <c r="GI16" s="2856">
        <f t="shared" si="197"/>
        <v>-13.823999999999984</v>
      </c>
      <c r="GJ16" s="2922">
        <f t="shared" si="198"/>
        <v>-13.823999999999984</v>
      </c>
      <c r="GK16" s="2922">
        <f t="shared" si="199"/>
        <v>0</v>
      </c>
      <c r="GM16" s="4234"/>
    </row>
    <row r="17" spans="1:195" ht="18.75" customHeight="1" x14ac:dyDescent="0.3">
      <c r="A17" s="3018" t="s">
        <v>3777</v>
      </c>
      <c r="B17" s="3019"/>
      <c r="C17" s="3019"/>
      <c r="D17" s="3019"/>
      <c r="E17" s="3019"/>
      <c r="F17" s="3019"/>
      <c r="G17" s="3019"/>
      <c r="H17" s="3019"/>
      <c r="I17" s="3019"/>
      <c r="J17" s="3019"/>
      <c r="K17" s="3020"/>
      <c r="L17" s="3020"/>
      <c r="M17" s="3020"/>
      <c r="N17" s="3020"/>
      <c r="O17" s="3020"/>
      <c r="P17" s="3020"/>
      <c r="Q17" s="3020"/>
      <c r="R17" s="3020"/>
      <c r="S17" s="3020"/>
      <c r="T17" s="3020"/>
      <c r="U17" s="3020"/>
      <c r="V17" s="3020"/>
      <c r="W17" s="3020"/>
      <c r="X17" s="3020"/>
      <c r="Y17" s="3020"/>
      <c r="Z17" s="3020"/>
      <c r="AA17" s="3020"/>
      <c r="AB17" s="3020"/>
      <c r="AC17" s="3020"/>
      <c r="AD17" s="3020"/>
      <c r="AE17" s="3020"/>
      <c r="AF17" s="3020"/>
      <c r="AG17" s="3020"/>
      <c r="AH17" s="3020"/>
      <c r="AI17" s="3020"/>
      <c r="AJ17" s="3020"/>
      <c r="AK17" s="3020"/>
      <c r="AL17" s="3020"/>
      <c r="AM17" s="3020"/>
      <c r="AN17" s="3020"/>
      <c r="AO17" s="3020"/>
      <c r="AP17" s="3020"/>
      <c r="AQ17" s="3020"/>
      <c r="AR17" s="3020"/>
      <c r="AS17" s="3020"/>
      <c r="AT17" s="3020"/>
      <c r="AU17" s="3020"/>
      <c r="AV17" s="3020"/>
      <c r="AW17" s="3020"/>
      <c r="AX17" s="3020"/>
      <c r="AY17" s="3020"/>
      <c r="AZ17" s="3020"/>
      <c r="BA17" s="3020"/>
      <c r="BB17" s="3020"/>
      <c r="BC17" s="3020"/>
      <c r="BD17" s="3020"/>
      <c r="BE17" s="3020"/>
      <c r="BF17" s="3020"/>
      <c r="BG17" s="3020"/>
      <c r="BH17" s="3020"/>
      <c r="BI17" s="3020"/>
      <c r="BJ17" s="3020"/>
      <c r="BK17" s="3020"/>
      <c r="BL17" s="3020"/>
      <c r="BM17" s="3020"/>
      <c r="BN17" s="3020"/>
      <c r="BO17" s="3020"/>
      <c r="BP17" s="3020"/>
      <c r="BQ17" s="3020"/>
      <c r="BR17" s="3020"/>
      <c r="BS17" s="3020"/>
      <c r="BT17" s="3020"/>
      <c r="BU17" s="3020"/>
      <c r="BV17" s="3020"/>
      <c r="BW17" s="3020"/>
      <c r="BX17" s="3020"/>
      <c r="BY17" s="3020"/>
      <c r="BZ17" s="3020"/>
      <c r="CA17" s="3020"/>
      <c r="CB17" s="3020"/>
      <c r="CC17" s="3020"/>
      <c r="CD17" s="3020"/>
      <c r="CE17" s="3020"/>
      <c r="CF17" s="3020"/>
      <c r="CG17" s="3020"/>
      <c r="CH17" s="3020"/>
      <c r="CI17" s="3020"/>
      <c r="CJ17" s="3020"/>
      <c r="CK17" s="3020"/>
      <c r="CL17" s="3020"/>
      <c r="CM17" s="3020"/>
      <c r="CN17" s="3020"/>
      <c r="CO17" s="3020"/>
      <c r="CP17" s="3020"/>
      <c r="CQ17" s="3020"/>
      <c r="CR17" s="3020"/>
      <c r="CS17" s="3020"/>
      <c r="CT17" s="3020"/>
      <c r="CU17" s="3020"/>
      <c r="CV17" s="3020"/>
      <c r="CW17" s="3020"/>
      <c r="CX17" s="3020"/>
      <c r="CY17" s="3020"/>
      <c r="CZ17" s="3020"/>
      <c r="DA17" s="3020"/>
      <c r="DB17" s="3020"/>
      <c r="DC17" s="3020"/>
      <c r="DD17" s="3020"/>
      <c r="DE17" s="3020"/>
      <c r="DF17" s="3020"/>
      <c r="DG17" s="3020"/>
      <c r="DH17" s="3020"/>
      <c r="DI17" s="3020"/>
      <c r="DJ17" s="3020"/>
      <c r="DK17" s="3020"/>
      <c r="DL17" s="3020"/>
      <c r="DM17" s="3020"/>
      <c r="DN17" s="3020"/>
      <c r="DO17" s="3020"/>
      <c r="DP17" s="3020"/>
      <c r="DQ17" s="3020"/>
      <c r="DR17" s="3020"/>
      <c r="DS17" s="3020"/>
      <c r="DT17" s="3020"/>
      <c r="DU17" s="3020"/>
      <c r="DV17" s="3020"/>
      <c r="DW17" s="3020"/>
      <c r="DX17" s="3020"/>
      <c r="DY17" s="3020"/>
      <c r="DZ17" s="3020"/>
      <c r="EA17" s="3020"/>
      <c r="EB17" s="3020"/>
      <c r="EC17" s="3020"/>
      <c r="ED17" s="3020"/>
      <c r="EE17" s="3020"/>
      <c r="EF17" s="3020"/>
      <c r="EG17" s="3020"/>
      <c r="EH17" s="3020"/>
      <c r="EI17" s="3020"/>
      <c r="EJ17" s="3020"/>
      <c r="EK17" s="3020"/>
      <c r="EL17" s="3020"/>
      <c r="EM17" s="3020"/>
      <c r="EN17" s="3020"/>
      <c r="EO17" s="3020"/>
      <c r="EP17" s="3020"/>
      <c r="EQ17" s="3020"/>
      <c r="ER17" s="3020"/>
      <c r="ES17" s="3020"/>
      <c r="ET17" s="3020"/>
      <c r="EU17" s="3020"/>
      <c r="EV17" s="3020"/>
      <c r="EW17" s="3020"/>
      <c r="EX17" s="3020"/>
      <c r="EY17" s="3020"/>
      <c r="EZ17" s="3020"/>
      <c r="FA17" s="3020"/>
      <c r="FB17" s="3020"/>
      <c r="FC17" s="3020"/>
      <c r="FD17" s="3020"/>
      <c r="FE17" s="3020"/>
      <c r="FF17" s="3020"/>
      <c r="FG17" s="3020"/>
      <c r="FH17" s="3020"/>
      <c r="FI17" s="3020"/>
      <c r="FJ17" s="3020"/>
      <c r="FK17" s="3020"/>
      <c r="FL17" s="3020"/>
      <c r="FM17" s="3020"/>
      <c r="FN17" s="3021"/>
      <c r="FO17" s="3021"/>
      <c r="FP17" s="3021"/>
      <c r="FQ17" s="3021"/>
      <c r="FR17" s="3021"/>
      <c r="FS17" s="3021"/>
      <c r="FT17" s="3021"/>
      <c r="FU17" s="3021"/>
      <c r="FV17" s="3021"/>
      <c r="FW17" s="3021"/>
      <c r="FX17" s="3021"/>
      <c r="FY17" s="3021"/>
      <c r="FZ17" s="3021"/>
      <c r="GA17" s="3021"/>
      <c r="GB17" s="3021"/>
      <c r="GC17" s="3021"/>
      <c r="GD17" s="3021"/>
      <c r="GE17" s="3021"/>
      <c r="GF17" s="3021"/>
      <c r="GG17" s="3021"/>
      <c r="GH17" s="3021"/>
      <c r="GI17" s="3021"/>
      <c r="GJ17" s="3021"/>
      <c r="GK17" s="3022"/>
      <c r="GM17" s="4234"/>
    </row>
    <row r="18" spans="1:195" ht="18.75" customHeight="1" x14ac:dyDescent="0.2">
      <c r="A18" s="4564" t="s">
        <v>527</v>
      </c>
      <c r="B18" s="4565" t="s">
        <v>3764</v>
      </c>
      <c r="C18" s="4566"/>
      <c r="D18" s="4566"/>
      <c r="E18" s="4567"/>
      <c r="F18" s="4567"/>
      <c r="G18" s="4567"/>
      <c r="H18" s="4567"/>
      <c r="I18" s="4568"/>
      <c r="J18" s="4569"/>
      <c r="K18" s="4565" t="s">
        <v>3765</v>
      </c>
      <c r="L18" s="4566"/>
      <c r="M18" s="4566"/>
      <c r="N18" s="4567"/>
      <c r="O18" s="4567"/>
      <c r="P18" s="4567"/>
      <c r="Q18" s="4567"/>
      <c r="R18" s="4568"/>
      <c r="S18" s="4569"/>
      <c r="T18" s="4565" t="s">
        <v>3766</v>
      </c>
      <c r="U18" s="4566"/>
      <c r="V18" s="4566"/>
      <c r="W18" s="4567"/>
      <c r="X18" s="4567"/>
      <c r="Y18" s="4567"/>
      <c r="Z18" s="4567"/>
      <c r="AA18" s="4570"/>
      <c r="AB18" s="4571"/>
      <c r="AC18" s="4572" t="s">
        <v>3716</v>
      </c>
      <c r="AD18" s="4573"/>
      <c r="AE18" s="4573"/>
      <c r="AF18" s="4574"/>
      <c r="AG18" s="4574"/>
      <c r="AH18" s="4574"/>
      <c r="AI18" s="4574"/>
      <c r="AJ18" s="4574"/>
      <c r="AK18" s="4574"/>
      <c r="AL18" s="4574"/>
      <c r="AM18" s="4574"/>
      <c r="AN18" s="4574"/>
      <c r="AO18" s="4565" t="s">
        <v>3767</v>
      </c>
      <c r="AP18" s="4566"/>
      <c r="AQ18" s="4566"/>
      <c r="AR18" s="4567"/>
      <c r="AS18" s="4567"/>
      <c r="AT18" s="4567"/>
      <c r="AU18" s="4567"/>
      <c r="AV18" s="4570"/>
      <c r="AW18" s="4571"/>
      <c r="AX18" s="4565" t="s">
        <v>3768</v>
      </c>
      <c r="AY18" s="4566"/>
      <c r="AZ18" s="4566"/>
      <c r="BA18" s="4567"/>
      <c r="BB18" s="4567"/>
      <c r="BC18" s="4567"/>
      <c r="BD18" s="4567"/>
      <c r="BE18" s="4568"/>
      <c r="BF18" s="4569"/>
      <c r="BG18" s="4565" t="s">
        <v>3769</v>
      </c>
      <c r="BH18" s="4566"/>
      <c r="BI18" s="4566"/>
      <c r="BJ18" s="4567"/>
      <c r="BK18" s="4567"/>
      <c r="BL18" s="4567"/>
      <c r="BM18" s="4567"/>
      <c r="BN18" s="4568"/>
      <c r="BO18" s="4569"/>
      <c r="BP18" s="4572" t="s">
        <v>3717</v>
      </c>
      <c r="BQ18" s="4573"/>
      <c r="BR18" s="4573"/>
      <c r="BS18" s="4574"/>
      <c r="BT18" s="4574"/>
      <c r="BU18" s="4574"/>
      <c r="BV18" s="4574"/>
      <c r="BW18" s="4574"/>
      <c r="BX18" s="4574"/>
      <c r="BY18" s="4568"/>
      <c r="BZ18" s="4568"/>
      <c r="CA18" s="4568"/>
      <c r="CB18" s="4572" t="s">
        <v>3718</v>
      </c>
      <c r="CC18" s="4573"/>
      <c r="CD18" s="4573"/>
      <c r="CE18" s="4574"/>
      <c r="CF18" s="4574"/>
      <c r="CG18" s="4574"/>
      <c r="CH18" s="4574"/>
      <c r="CI18" s="4574"/>
      <c r="CJ18" s="4574"/>
      <c r="CK18" s="4568"/>
      <c r="CL18" s="4568"/>
      <c r="CM18" s="4568"/>
      <c r="CN18" s="4565" t="s">
        <v>1360</v>
      </c>
      <c r="CO18" s="4566"/>
      <c r="CP18" s="4566"/>
      <c r="CQ18" s="4567"/>
      <c r="CR18" s="4567"/>
      <c r="CS18" s="4567"/>
      <c r="CT18" s="4567"/>
      <c r="CU18" s="4568"/>
      <c r="CV18" s="4569"/>
      <c r="CW18" s="4565" t="s">
        <v>3770</v>
      </c>
      <c r="CX18" s="4566"/>
      <c r="CY18" s="4566"/>
      <c r="CZ18" s="4567"/>
      <c r="DA18" s="4567"/>
      <c r="DB18" s="4567"/>
      <c r="DC18" s="4567"/>
      <c r="DD18" s="4568"/>
      <c r="DE18" s="4569"/>
      <c r="DF18" s="4565" t="s">
        <v>3771</v>
      </c>
      <c r="DG18" s="4566"/>
      <c r="DH18" s="4566"/>
      <c r="DI18" s="4567"/>
      <c r="DJ18" s="4567"/>
      <c r="DK18" s="4567"/>
      <c r="DL18" s="4567"/>
      <c r="DM18" s="4568"/>
      <c r="DN18" s="4569"/>
      <c r="DO18" s="4572" t="s">
        <v>3719</v>
      </c>
      <c r="DP18" s="4573"/>
      <c r="DQ18" s="4573"/>
      <c r="DR18" s="4574"/>
      <c r="DS18" s="4574"/>
      <c r="DT18" s="4574"/>
      <c r="DU18" s="4574"/>
      <c r="DV18" s="4574"/>
      <c r="DW18" s="4574"/>
      <c r="DX18" s="4568"/>
      <c r="DY18" s="4568"/>
      <c r="DZ18" s="4568"/>
      <c r="EA18" s="4572" t="s">
        <v>3720</v>
      </c>
      <c r="EB18" s="4573"/>
      <c r="EC18" s="4573"/>
      <c r="ED18" s="4574"/>
      <c r="EE18" s="4574"/>
      <c r="EF18" s="4574"/>
      <c r="EG18" s="4574"/>
      <c r="EH18" s="4574"/>
      <c r="EI18" s="4574"/>
      <c r="EJ18" s="4568"/>
      <c r="EK18" s="4568"/>
      <c r="EL18" s="4568"/>
      <c r="EM18" s="4565" t="s">
        <v>3772</v>
      </c>
      <c r="EN18" s="4566"/>
      <c r="EO18" s="4566"/>
      <c r="EP18" s="4567"/>
      <c r="EQ18" s="4567"/>
      <c r="ER18" s="4567"/>
      <c r="ES18" s="4567"/>
      <c r="ET18" s="4568"/>
      <c r="EU18" s="4569"/>
      <c r="EV18" s="4565" t="s">
        <v>3773</v>
      </c>
      <c r="EW18" s="4566"/>
      <c r="EX18" s="4566"/>
      <c r="EY18" s="4567"/>
      <c r="EZ18" s="4567"/>
      <c r="FA18" s="4567"/>
      <c r="FB18" s="4567"/>
      <c r="FC18" s="4568"/>
      <c r="FD18" s="4569"/>
      <c r="FE18" s="4565" t="s">
        <v>3774</v>
      </c>
      <c r="FF18" s="4566"/>
      <c r="FG18" s="4566"/>
      <c r="FH18" s="4567"/>
      <c r="FI18" s="4567"/>
      <c r="FJ18" s="4567"/>
      <c r="FK18" s="4567"/>
      <c r="FL18" s="4568"/>
      <c r="FM18" s="4569"/>
      <c r="FN18" s="4572" t="s">
        <v>3721</v>
      </c>
      <c r="FO18" s="4573"/>
      <c r="FP18" s="4573"/>
      <c r="FQ18" s="4574"/>
      <c r="FR18" s="4574"/>
      <c r="FS18" s="4574"/>
      <c r="FT18" s="4574"/>
      <c r="FU18" s="4574"/>
      <c r="FV18" s="4574"/>
      <c r="FW18" s="4568"/>
      <c r="FX18" s="4568"/>
      <c r="FY18" s="4568"/>
      <c r="FZ18" s="4572" t="s">
        <v>1992</v>
      </c>
      <c r="GA18" s="4573"/>
      <c r="GB18" s="4573"/>
      <c r="GC18" s="4574"/>
      <c r="GD18" s="4574"/>
      <c r="GE18" s="4574"/>
      <c r="GF18" s="4574"/>
      <c r="GG18" s="4574"/>
      <c r="GH18" s="4574"/>
      <c r="GI18" s="4568"/>
      <c r="GJ18" s="4568"/>
      <c r="GK18" s="4569"/>
      <c r="GM18" s="4234"/>
    </row>
    <row r="19" spans="1:195" ht="18.75" customHeight="1" x14ac:dyDescent="0.2">
      <c r="A19" s="4564"/>
      <c r="B19" s="4575" t="s">
        <v>3573</v>
      </c>
      <c r="C19" s="4576"/>
      <c r="D19" s="4577"/>
      <c r="E19" s="4575" t="s">
        <v>1677</v>
      </c>
      <c r="F19" s="4576"/>
      <c r="G19" s="4577"/>
      <c r="H19" s="4575" t="s">
        <v>3775</v>
      </c>
      <c r="I19" s="4576"/>
      <c r="J19" s="4577"/>
      <c r="K19" s="4575" t="s">
        <v>3573</v>
      </c>
      <c r="L19" s="4576"/>
      <c r="M19" s="4577"/>
      <c r="N19" s="4575" t="s">
        <v>1677</v>
      </c>
      <c r="O19" s="4576"/>
      <c r="P19" s="4577"/>
      <c r="Q19" s="4575" t="s">
        <v>3775</v>
      </c>
      <c r="R19" s="4576"/>
      <c r="S19" s="4577"/>
      <c r="T19" s="4575" t="s">
        <v>3573</v>
      </c>
      <c r="U19" s="4576"/>
      <c r="V19" s="4577"/>
      <c r="W19" s="4575" t="s">
        <v>1677</v>
      </c>
      <c r="X19" s="4576"/>
      <c r="Y19" s="4577"/>
      <c r="Z19" s="4575" t="s">
        <v>3775</v>
      </c>
      <c r="AA19" s="4576"/>
      <c r="AB19" s="4577"/>
      <c r="AC19" s="4578" t="s">
        <v>3573</v>
      </c>
      <c r="AD19" s="4579"/>
      <c r="AE19" s="4580"/>
      <c r="AF19" s="4581" t="s">
        <v>1677</v>
      </c>
      <c r="AG19" s="4582"/>
      <c r="AH19" s="4583"/>
      <c r="AI19" s="4581" t="s">
        <v>3775</v>
      </c>
      <c r="AJ19" s="4582"/>
      <c r="AK19" s="4583"/>
      <c r="AL19" s="4578" t="s">
        <v>3776</v>
      </c>
      <c r="AM19" s="4579"/>
      <c r="AN19" s="4580"/>
      <c r="AO19" s="4575" t="s">
        <v>3573</v>
      </c>
      <c r="AP19" s="4576"/>
      <c r="AQ19" s="4577"/>
      <c r="AR19" s="4575" t="s">
        <v>1677</v>
      </c>
      <c r="AS19" s="4576"/>
      <c r="AT19" s="4577"/>
      <c r="AU19" s="4575" t="s">
        <v>3775</v>
      </c>
      <c r="AV19" s="4576"/>
      <c r="AW19" s="4577"/>
      <c r="AX19" s="4575" t="s">
        <v>3573</v>
      </c>
      <c r="AY19" s="4576"/>
      <c r="AZ19" s="4577"/>
      <c r="BA19" s="4575" t="s">
        <v>1677</v>
      </c>
      <c r="BB19" s="4576"/>
      <c r="BC19" s="4577"/>
      <c r="BD19" s="4575" t="s">
        <v>3775</v>
      </c>
      <c r="BE19" s="4576"/>
      <c r="BF19" s="4577"/>
      <c r="BG19" s="4575" t="s">
        <v>3573</v>
      </c>
      <c r="BH19" s="4576"/>
      <c r="BI19" s="4577"/>
      <c r="BJ19" s="4575" t="s">
        <v>1677</v>
      </c>
      <c r="BK19" s="4576"/>
      <c r="BL19" s="4577"/>
      <c r="BM19" s="4575" t="s">
        <v>3775</v>
      </c>
      <c r="BN19" s="4576"/>
      <c r="BO19" s="4577"/>
      <c r="BP19" s="4578" t="s">
        <v>3573</v>
      </c>
      <c r="BQ19" s="4579"/>
      <c r="BR19" s="4580"/>
      <c r="BS19" s="4581" t="s">
        <v>1677</v>
      </c>
      <c r="BT19" s="4582"/>
      <c r="BU19" s="4583"/>
      <c r="BV19" s="4581" t="s">
        <v>3775</v>
      </c>
      <c r="BW19" s="4582"/>
      <c r="BX19" s="4583"/>
      <c r="BY19" s="4578" t="s">
        <v>3776</v>
      </c>
      <c r="BZ19" s="4579"/>
      <c r="CA19" s="4580"/>
      <c r="CB19" s="4578" t="s">
        <v>3573</v>
      </c>
      <c r="CC19" s="4579"/>
      <c r="CD19" s="4580"/>
      <c r="CE19" s="4581" t="s">
        <v>1677</v>
      </c>
      <c r="CF19" s="4582"/>
      <c r="CG19" s="4583"/>
      <c r="CH19" s="4581" t="s">
        <v>3775</v>
      </c>
      <c r="CI19" s="4582"/>
      <c r="CJ19" s="4583"/>
      <c r="CK19" s="4578" t="s">
        <v>3776</v>
      </c>
      <c r="CL19" s="4579"/>
      <c r="CM19" s="4580"/>
      <c r="CN19" s="4575" t="s">
        <v>3573</v>
      </c>
      <c r="CO19" s="4576"/>
      <c r="CP19" s="4577"/>
      <c r="CQ19" s="4575" t="s">
        <v>1677</v>
      </c>
      <c r="CR19" s="4576"/>
      <c r="CS19" s="4577"/>
      <c r="CT19" s="4575" t="s">
        <v>3775</v>
      </c>
      <c r="CU19" s="4576"/>
      <c r="CV19" s="4577"/>
      <c r="CW19" s="4575" t="s">
        <v>3573</v>
      </c>
      <c r="CX19" s="4576"/>
      <c r="CY19" s="4577"/>
      <c r="CZ19" s="4575" t="s">
        <v>1677</v>
      </c>
      <c r="DA19" s="4576"/>
      <c r="DB19" s="4577"/>
      <c r="DC19" s="4575" t="s">
        <v>3775</v>
      </c>
      <c r="DD19" s="4576"/>
      <c r="DE19" s="4577"/>
      <c r="DF19" s="4575" t="s">
        <v>3573</v>
      </c>
      <c r="DG19" s="4576"/>
      <c r="DH19" s="4577"/>
      <c r="DI19" s="4575" t="s">
        <v>1677</v>
      </c>
      <c r="DJ19" s="4576"/>
      <c r="DK19" s="4577"/>
      <c r="DL19" s="4575" t="s">
        <v>3775</v>
      </c>
      <c r="DM19" s="4576"/>
      <c r="DN19" s="4577"/>
      <c r="DO19" s="4578" t="s">
        <v>3573</v>
      </c>
      <c r="DP19" s="4579"/>
      <c r="DQ19" s="4580"/>
      <c r="DR19" s="4581" t="s">
        <v>1677</v>
      </c>
      <c r="DS19" s="4582"/>
      <c r="DT19" s="4583"/>
      <c r="DU19" s="4581" t="s">
        <v>3775</v>
      </c>
      <c r="DV19" s="4582"/>
      <c r="DW19" s="4583"/>
      <c r="DX19" s="4578" t="s">
        <v>3776</v>
      </c>
      <c r="DY19" s="4579"/>
      <c r="DZ19" s="4580"/>
      <c r="EA19" s="4578" t="s">
        <v>3573</v>
      </c>
      <c r="EB19" s="4579"/>
      <c r="EC19" s="4580"/>
      <c r="ED19" s="4581" t="s">
        <v>1677</v>
      </c>
      <c r="EE19" s="4582"/>
      <c r="EF19" s="4583"/>
      <c r="EG19" s="4581" t="s">
        <v>3775</v>
      </c>
      <c r="EH19" s="4582"/>
      <c r="EI19" s="4583"/>
      <c r="EJ19" s="4578" t="s">
        <v>3776</v>
      </c>
      <c r="EK19" s="4579"/>
      <c r="EL19" s="4580"/>
      <c r="EM19" s="4575" t="s">
        <v>3573</v>
      </c>
      <c r="EN19" s="4576"/>
      <c r="EO19" s="4577"/>
      <c r="EP19" s="4575" t="s">
        <v>1677</v>
      </c>
      <c r="EQ19" s="4576"/>
      <c r="ER19" s="4577"/>
      <c r="ES19" s="4575" t="s">
        <v>3775</v>
      </c>
      <c r="ET19" s="4576"/>
      <c r="EU19" s="4577"/>
      <c r="EV19" s="4575" t="s">
        <v>3573</v>
      </c>
      <c r="EW19" s="4576"/>
      <c r="EX19" s="4577"/>
      <c r="EY19" s="4575" t="s">
        <v>1677</v>
      </c>
      <c r="EZ19" s="4576"/>
      <c r="FA19" s="4577"/>
      <c r="FB19" s="4575" t="s">
        <v>3775</v>
      </c>
      <c r="FC19" s="4576"/>
      <c r="FD19" s="4577"/>
      <c r="FE19" s="4575" t="s">
        <v>3573</v>
      </c>
      <c r="FF19" s="4576"/>
      <c r="FG19" s="4577"/>
      <c r="FH19" s="4575" t="s">
        <v>1677</v>
      </c>
      <c r="FI19" s="4576"/>
      <c r="FJ19" s="4577"/>
      <c r="FK19" s="4575" t="s">
        <v>3775</v>
      </c>
      <c r="FL19" s="4576"/>
      <c r="FM19" s="4577"/>
      <c r="FN19" s="4578" t="s">
        <v>3573</v>
      </c>
      <c r="FO19" s="4579"/>
      <c r="FP19" s="4580"/>
      <c r="FQ19" s="4581" t="s">
        <v>1677</v>
      </c>
      <c r="FR19" s="4582"/>
      <c r="FS19" s="4583"/>
      <c r="FT19" s="4581" t="s">
        <v>3775</v>
      </c>
      <c r="FU19" s="4582"/>
      <c r="FV19" s="4583"/>
      <c r="FW19" s="4578" t="s">
        <v>3776</v>
      </c>
      <c r="FX19" s="4579"/>
      <c r="FY19" s="4580"/>
      <c r="FZ19" s="4578" t="s">
        <v>3573</v>
      </c>
      <c r="GA19" s="4579"/>
      <c r="GB19" s="4580"/>
      <c r="GC19" s="4581" t="s">
        <v>1677</v>
      </c>
      <c r="GD19" s="4582"/>
      <c r="GE19" s="4583"/>
      <c r="GF19" s="4581" t="s">
        <v>3775</v>
      </c>
      <c r="GG19" s="4582"/>
      <c r="GH19" s="4583"/>
      <c r="GI19" s="4578" t="s">
        <v>3776</v>
      </c>
      <c r="GJ19" s="4579"/>
      <c r="GK19" s="4580"/>
      <c r="GM19" s="4234"/>
    </row>
    <row r="20" spans="1:195" ht="24.75" customHeight="1" x14ac:dyDescent="0.2">
      <c r="A20" s="4564"/>
      <c r="B20" s="2832" t="s">
        <v>616</v>
      </c>
      <c r="C20" s="2832" t="s">
        <v>3791</v>
      </c>
      <c r="D20" s="2832" t="s">
        <v>3792</v>
      </c>
      <c r="E20" s="2832" t="s">
        <v>616</v>
      </c>
      <c r="F20" s="2832" t="s">
        <v>3791</v>
      </c>
      <c r="G20" s="2832" t="s">
        <v>3792</v>
      </c>
      <c r="H20" s="2832" t="s">
        <v>616</v>
      </c>
      <c r="I20" s="2832" t="s">
        <v>3791</v>
      </c>
      <c r="J20" s="2832" t="s">
        <v>3792</v>
      </c>
      <c r="K20" s="2832" t="s">
        <v>616</v>
      </c>
      <c r="L20" s="2832" t="s">
        <v>3791</v>
      </c>
      <c r="M20" s="2832" t="s">
        <v>3792</v>
      </c>
      <c r="N20" s="2832" t="s">
        <v>616</v>
      </c>
      <c r="O20" s="2832" t="s">
        <v>3791</v>
      </c>
      <c r="P20" s="2832" t="s">
        <v>3792</v>
      </c>
      <c r="Q20" s="2832" t="s">
        <v>616</v>
      </c>
      <c r="R20" s="2832" t="s">
        <v>3791</v>
      </c>
      <c r="S20" s="2832" t="s">
        <v>3792</v>
      </c>
      <c r="T20" s="2832" t="s">
        <v>616</v>
      </c>
      <c r="U20" s="2832" t="s">
        <v>3791</v>
      </c>
      <c r="V20" s="2832" t="s">
        <v>3792</v>
      </c>
      <c r="W20" s="2832" t="s">
        <v>616</v>
      </c>
      <c r="X20" s="2832" t="s">
        <v>3791</v>
      </c>
      <c r="Y20" s="2832" t="s">
        <v>3792</v>
      </c>
      <c r="Z20" s="2832" t="s">
        <v>616</v>
      </c>
      <c r="AA20" s="2832" t="s">
        <v>3791</v>
      </c>
      <c r="AB20" s="2832" t="s">
        <v>3792</v>
      </c>
      <c r="AC20" s="2833" t="s">
        <v>616</v>
      </c>
      <c r="AD20" s="2833" t="s">
        <v>3791</v>
      </c>
      <c r="AE20" s="2833" t="s">
        <v>3792</v>
      </c>
      <c r="AF20" s="2833" t="s">
        <v>616</v>
      </c>
      <c r="AG20" s="2833" t="s">
        <v>3791</v>
      </c>
      <c r="AH20" s="2833" t="s">
        <v>3792</v>
      </c>
      <c r="AI20" s="2833" t="s">
        <v>616</v>
      </c>
      <c r="AJ20" s="2833" t="s">
        <v>3791</v>
      </c>
      <c r="AK20" s="2833" t="s">
        <v>3792</v>
      </c>
      <c r="AL20" s="2833" t="s">
        <v>616</v>
      </c>
      <c r="AM20" s="2833" t="s">
        <v>3791</v>
      </c>
      <c r="AN20" s="2833" t="s">
        <v>3792</v>
      </c>
      <c r="AO20" s="2832" t="s">
        <v>616</v>
      </c>
      <c r="AP20" s="2832" t="s">
        <v>3791</v>
      </c>
      <c r="AQ20" s="2832" t="s">
        <v>3792</v>
      </c>
      <c r="AR20" s="2832" t="s">
        <v>616</v>
      </c>
      <c r="AS20" s="2832" t="s">
        <v>3791</v>
      </c>
      <c r="AT20" s="2832" t="s">
        <v>3792</v>
      </c>
      <c r="AU20" s="2832" t="s">
        <v>616</v>
      </c>
      <c r="AV20" s="2832" t="s">
        <v>3791</v>
      </c>
      <c r="AW20" s="2832" t="s">
        <v>3792</v>
      </c>
      <c r="AX20" s="2832" t="s">
        <v>616</v>
      </c>
      <c r="AY20" s="2832" t="s">
        <v>3791</v>
      </c>
      <c r="AZ20" s="2832" t="s">
        <v>3792</v>
      </c>
      <c r="BA20" s="2832" t="s">
        <v>616</v>
      </c>
      <c r="BB20" s="2832" t="s">
        <v>3791</v>
      </c>
      <c r="BC20" s="2832" t="s">
        <v>3792</v>
      </c>
      <c r="BD20" s="2832" t="s">
        <v>616</v>
      </c>
      <c r="BE20" s="2832" t="s">
        <v>3791</v>
      </c>
      <c r="BF20" s="2832" t="s">
        <v>3792</v>
      </c>
      <c r="BG20" s="2832" t="s">
        <v>616</v>
      </c>
      <c r="BH20" s="2832" t="s">
        <v>3791</v>
      </c>
      <c r="BI20" s="2832" t="s">
        <v>3792</v>
      </c>
      <c r="BJ20" s="2832" t="s">
        <v>616</v>
      </c>
      <c r="BK20" s="2832" t="s">
        <v>3791</v>
      </c>
      <c r="BL20" s="2832" t="s">
        <v>3792</v>
      </c>
      <c r="BM20" s="2832" t="s">
        <v>616</v>
      </c>
      <c r="BN20" s="2832" t="s">
        <v>3791</v>
      </c>
      <c r="BO20" s="2832" t="s">
        <v>3792</v>
      </c>
      <c r="BP20" s="2833" t="s">
        <v>616</v>
      </c>
      <c r="BQ20" s="2833" t="s">
        <v>3791</v>
      </c>
      <c r="BR20" s="2833" t="s">
        <v>3792</v>
      </c>
      <c r="BS20" s="2833" t="s">
        <v>616</v>
      </c>
      <c r="BT20" s="2833" t="s">
        <v>3791</v>
      </c>
      <c r="BU20" s="2833" t="s">
        <v>3792</v>
      </c>
      <c r="BV20" s="2833" t="s">
        <v>616</v>
      </c>
      <c r="BW20" s="2833" t="s">
        <v>3791</v>
      </c>
      <c r="BX20" s="2833" t="s">
        <v>3792</v>
      </c>
      <c r="BY20" s="2833" t="s">
        <v>616</v>
      </c>
      <c r="BZ20" s="2833" t="s">
        <v>3791</v>
      </c>
      <c r="CA20" s="2833" t="s">
        <v>3792</v>
      </c>
      <c r="CB20" s="2833" t="s">
        <v>616</v>
      </c>
      <c r="CC20" s="2833" t="s">
        <v>3791</v>
      </c>
      <c r="CD20" s="2833" t="s">
        <v>3792</v>
      </c>
      <c r="CE20" s="2833" t="s">
        <v>616</v>
      </c>
      <c r="CF20" s="2833" t="s">
        <v>3791</v>
      </c>
      <c r="CG20" s="2833" t="s">
        <v>3792</v>
      </c>
      <c r="CH20" s="2833" t="s">
        <v>616</v>
      </c>
      <c r="CI20" s="2833" t="s">
        <v>3791</v>
      </c>
      <c r="CJ20" s="2833" t="s">
        <v>3792</v>
      </c>
      <c r="CK20" s="2833" t="s">
        <v>616</v>
      </c>
      <c r="CL20" s="2833" t="s">
        <v>3791</v>
      </c>
      <c r="CM20" s="2833" t="s">
        <v>3792</v>
      </c>
      <c r="CN20" s="2832" t="s">
        <v>616</v>
      </c>
      <c r="CO20" s="2832" t="s">
        <v>3791</v>
      </c>
      <c r="CP20" s="2832" t="s">
        <v>3792</v>
      </c>
      <c r="CQ20" s="2832" t="s">
        <v>616</v>
      </c>
      <c r="CR20" s="2832" t="s">
        <v>3791</v>
      </c>
      <c r="CS20" s="2832" t="s">
        <v>3792</v>
      </c>
      <c r="CT20" s="2832" t="s">
        <v>616</v>
      </c>
      <c r="CU20" s="2832" t="s">
        <v>3791</v>
      </c>
      <c r="CV20" s="2832" t="s">
        <v>3792</v>
      </c>
      <c r="CW20" s="2832" t="s">
        <v>616</v>
      </c>
      <c r="CX20" s="2832" t="s">
        <v>3791</v>
      </c>
      <c r="CY20" s="2832" t="s">
        <v>3792</v>
      </c>
      <c r="CZ20" s="2832" t="s">
        <v>616</v>
      </c>
      <c r="DA20" s="2832" t="s">
        <v>3791</v>
      </c>
      <c r="DB20" s="2832" t="s">
        <v>3792</v>
      </c>
      <c r="DC20" s="2832" t="s">
        <v>616</v>
      </c>
      <c r="DD20" s="2832" t="s">
        <v>3791</v>
      </c>
      <c r="DE20" s="2832" t="s">
        <v>3792</v>
      </c>
      <c r="DF20" s="2832" t="s">
        <v>616</v>
      </c>
      <c r="DG20" s="2832" t="s">
        <v>3791</v>
      </c>
      <c r="DH20" s="2832" t="s">
        <v>3792</v>
      </c>
      <c r="DI20" s="2832" t="s">
        <v>616</v>
      </c>
      <c r="DJ20" s="2832" t="s">
        <v>3791</v>
      </c>
      <c r="DK20" s="2832" t="s">
        <v>3792</v>
      </c>
      <c r="DL20" s="2832" t="s">
        <v>616</v>
      </c>
      <c r="DM20" s="2832" t="s">
        <v>3791</v>
      </c>
      <c r="DN20" s="2832" t="s">
        <v>3792</v>
      </c>
      <c r="DO20" s="2833" t="s">
        <v>616</v>
      </c>
      <c r="DP20" s="2833" t="s">
        <v>3791</v>
      </c>
      <c r="DQ20" s="2833" t="s">
        <v>3792</v>
      </c>
      <c r="DR20" s="2833" t="s">
        <v>616</v>
      </c>
      <c r="DS20" s="2833" t="s">
        <v>3791</v>
      </c>
      <c r="DT20" s="2833" t="s">
        <v>3792</v>
      </c>
      <c r="DU20" s="2833" t="s">
        <v>616</v>
      </c>
      <c r="DV20" s="2833" t="s">
        <v>3791</v>
      </c>
      <c r="DW20" s="2833" t="s">
        <v>3792</v>
      </c>
      <c r="DX20" s="2833" t="s">
        <v>616</v>
      </c>
      <c r="DY20" s="2833" t="s">
        <v>3791</v>
      </c>
      <c r="DZ20" s="2833" t="s">
        <v>3792</v>
      </c>
      <c r="EA20" s="2833" t="s">
        <v>616</v>
      </c>
      <c r="EB20" s="2833" t="s">
        <v>3791</v>
      </c>
      <c r="EC20" s="2833" t="s">
        <v>3792</v>
      </c>
      <c r="ED20" s="2833" t="s">
        <v>616</v>
      </c>
      <c r="EE20" s="2833" t="s">
        <v>3791</v>
      </c>
      <c r="EF20" s="2833" t="s">
        <v>3792</v>
      </c>
      <c r="EG20" s="2833" t="s">
        <v>616</v>
      </c>
      <c r="EH20" s="2833" t="s">
        <v>3791</v>
      </c>
      <c r="EI20" s="2833" t="s">
        <v>3792</v>
      </c>
      <c r="EJ20" s="2833" t="s">
        <v>616</v>
      </c>
      <c r="EK20" s="2833" t="s">
        <v>3791</v>
      </c>
      <c r="EL20" s="2833" t="s">
        <v>3792</v>
      </c>
      <c r="EM20" s="2832" t="s">
        <v>616</v>
      </c>
      <c r="EN20" s="2832" t="s">
        <v>3791</v>
      </c>
      <c r="EO20" s="2832" t="s">
        <v>3792</v>
      </c>
      <c r="EP20" s="2832" t="s">
        <v>616</v>
      </c>
      <c r="EQ20" s="2832" t="s">
        <v>3791</v>
      </c>
      <c r="ER20" s="2832" t="s">
        <v>3792</v>
      </c>
      <c r="ES20" s="2832" t="s">
        <v>616</v>
      </c>
      <c r="ET20" s="2832" t="s">
        <v>3791</v>
      </c>
      <c r="EU20" s="2832" t="s">
        <v>3792</v>
      </c>
      <c r="EV20" s="2832" t="s">
        <v>616</v>
      </c>
      <c r="EW20" s="2832" t="s">
        <v>3791</v>
      </c>
      <c r="EX20" s="2832" t="s">
        <v>3792</v>
      </c>
      <c r="EY20" s="2832" t="s">
        <v>616</v>
      </c>
      <c r="EZ20" s="2832" t="s">
        <v>3791</v>
      </c>
      <c r="FA20" s="2832" t="s">
        <v>3792</v>
      </c>
      <c r="FB20" s="2832" t="s">
        <v>616</v>
      </c>
      <c r="FC20" s="2832" t="s">
        <v>3791</v>
      </c>
      <c r="FD20" s="2832" t="s">
        <v>3792</v>
      </c>
      <c r="FE20" s="2832" t="s">
        <v>616</v>
      </c>
      <c r="FF20" s="2832" t="s">
        <v>3791</v>
      </c>
      <c r="FG20" s="2832" t="s">
        <v>3792</v>
      </c>
      <c r="FH20" s="2832" t="s">
        <v>616</v>
      </c>
      <c r="FI20" s="2832" t="s">
        <v>3791</v>
      </c>
      <c r="FJ20" s="2832" t="s">
        <v>3792</v>
      </c>
      <c r="FK20" s="2832" t="s">
        <v>616</v>
      </c>
      <c r="FL20" s="2832" t="s">
        <v>3791</v>
      </c>
      <c r="FM20" s="2832" t="s">
        <v>3792</v>
      </c>
      <c r="FN20" s="2833" t="s">
        <v>616</v>
      </c>
      <c r="FO20" s="2833" t="s">
        <v>3791</v>
      </c>
      <c r="FP20" s="2833" t="s">
        <v>3792</v>
      </c>
      <c r="FQ20" s="2833" t="s">
        <v>616</v>
      </c>
      <c r="FR20" s="2833" t="s">
        <v>3791</v>
      </c>
      <c r="FS20" s="2833" t="s">
        <v>3792</v>
      </c>
      <c r="FT20" s="2833" t="s">
        <v>616</v>
      </c>
      <c r="FU20" s="2833" t="s">
        <v>3791</v>
      </c>
      <c r="FV20" s="2833" t="s">
        <v>3792</v>
      </c>
      <c r="FW20" s="2833" t="s">
        <v>616</v>
      </c>
      <c r="FX20" s="2833" t="s">
        <v>3791</v>
      </c>
      <c r="FY20" s="2833" t="s">
        <v>3792</v>
      </c>
      <c r="FZ20" s="2833" t="s">
        <v>616</v>
      </c>
      <c r="GA20" s="2833" t="s">
        <v>3791</v>
      </c>
      <c r="GB20" s="2833" t="s">
        <v>3792</v>
      </c>
      <c r="GC20" s="2833" t="s">
        <v>616</v>
      </c>
      <c r="GD20" s="2833" t="s">
        <v>3791</v>
      </c>
      <c r="GE20" s="2833" t="s">
        <v>3792</v>
      </c>
      <c r="GF20" s="2833" t="s">
        <v>616</v>
      </c>
      <c r="GG20" s="2833" t="s">
        <v>3791</v>
      </c>
      <c r="GH20" s="2833" t="s">
        <v>3792</v>
      </c>
      <c r="GI20" s="2833" t="s">
        <v>616</v>
      </c>
      <c r="GJ20" s="2833" t="s">
        <v>3791</v>
      </c>
      <c r="GK20" s="2833" t="s">
        <v>3792</v>
      </c>
      <c r="GM20" s="4234"/>
    </row>
    <row r="21" spans="1:195" ht="18.75" customHeight="1" x14ac:dyDescent="0.3">
      <c r="A21" s="2914" t="s">
        <v>3778</v>
      </c>
      <c r="B21" s="2999">
        <f>SUM(C21:D21)</f>
        <v>4733.3610450000006</v>
      </c>
      <c r="C21" s="2999">
        <f>SUM(C10*C27)</f>
        <v>4733.3610450000006</v>
      </c>
      <c r="D21" s="2999"/>
      <c r="E21" s="2999">
        <f>SUM(F21:G21)</f>
        <v>5599.5919999999996</v>
      </c>
      <c r="F21" s="4228">
        <v>5599.5919999999996</v>
      </c>
      <c r="G21" s="3023"/>
      <c r="H21" s="2999">
        <f>SUM(I21:J21)</f>
        <v>5384.62</v>
      </c>
      <c r="I21" s="3023">
        <v>5384.62</v>
      </c>
      <c r="J21" s="3023"/>
      <c r="K21" s="2999">
        <f>SUM(L21:M21)</f>
        <v>4733.3610450000006</v>
      </c>
      <c r="L21" s="2999">
        <f>SUM(L10*L27)</f>
        <v>4733.3610450000006</v>
      </c>
      <c r="M21" s="2999"/>
      <c r="N21" s="2999">
        <f>SUM(O21:P21)</f>
        <v>5249.5959999999995</v>
      </c>
      <c r="O21" s="4228">
        <v>5249.5959999999995</v>
      </c>
      <c r="P21" s="3023"/>
      <c r="Q21" s="2999">
        <f>SUM(R21:S21)</f>
        <v>5146.9080000000004</v>
      </c>
      <c r="R21" s="3023">
        <v>5146.9080000000004</v>
      </c>
      <c r="S21" s="3023"/>
      <c r="T21" s="2999">
        <f>SUM(U21:V21)</f>
        <v>4733.3610450000006</v>
      </c>
      <c r="U21" s="2999">
        <f>SUM(U10*U27)</f>
        <v>4733.3610450000006</v>
      </c>
      <c r="V21" s="2999"/>
      <c r="W21" s="2999">
        <f>SUM(X21:Y21)</f>
        <v>5229.6109999999999</v>
      </c>
      <c r="X21" s="4228">
        <v>5229.6109999999999</v>
      </c>
      <c r="Y21" s="3023"/>
      <c r="Z21" s="2999">
        <f>SUM(AA21:AB21)</f>
        <v>4966.1000000000004</v>
      </c>
      <c r="AA21" s="3023">
        <v>4966.1000000000004</v>
      </c>
      <c r="AB21" s="3023"/>
      <c r="AC21" s="3001">
        <f t="shared" ref="AC21:AK25" si="203">SUM(B21+K21+T21)</f>
        <v>14200.083135000001</v>
      </c>
      <c r="AD21" s="3001">
        <f t="shared" si="203"/>
        <v>14200.083135000001</v>
      </c>
      <c r="AE21" s="3001">
        <f t="shared" si="203"/>
        <v>0</v>
      </c>
      <c r="AF21" s="3001">
        <f t="shared" si="203"/>
        <v>16078.798999999999</v>
      </c>
      <c r="AG21" s="3001">
        <f t="shared" si="203"/>
        <v>16078.798999999999</v>
      </c>
      <c r="AH21" s="3001">
        <f t="shared" si="203"/>
        <v>0</v>
      </c>
      <c r="AI21" s="3001">
        <f t="shared" si="203"/>
        <v>15497.628000000001</v>
      </c>
      <c r="AJ21" s="3001">
        <f t="shared" si="203"/>
        <v>15497.628000000001</v>
      </c>
      <c r="AK21" s="3001">
        <f t="shared" si="203"/>
        <v>0</v>
      </c>
      <c r="AL21" s="2927">
        <f t="shared" ref="AL21:AN30" si="204">SUM(AF21-AC21)</f>
        <v>1878.7158649999983</v>
      </c>
      <c r="AM21" s="2927">
        <f t="shared" si="204"/>
        <v>1878.7158649999983</v>
      </c>
      <c r="AN21" s="2927">
        <f t="shared" si="204"/>
        <v>0</v>
      </c>
      <c r="AO21" s="2999">
        <f>SUM(AP21:AQ21)</f>
        <v>4733.3610450000006</v>
      </c>
      <c r="AP21" s="2999">
        <f>SUM(AP10*AP27)</f>
        <v>4733.3610450000006</v>
      </c>
      <c r="AQ21" s="2999"/>
      <c r="AR21" s="2999">
        <f>SUM(AS21:AT21)</f>
        <v>5541.72</v>
      </c>
      <c r="AS21" s="4228">
        <v>5541.72</v>
      </c>
      <c r="AT21" s="3023"/>
      <c r="AU21" s="2999">
        <f>SUM(AV21:AW21)</f>
        <v>5355.59</v>
      </c>
      <c r="AV21" s="3023">
        <v>5355.59</v>
      </c>
      <c r="AW21" s="3023"/>
      <c r="AX21" s="2999">
        <f>SUM(AY21:AZ21)</f>
        <v>4733.3610450000006</v>
      </c>
      <c r="AY21" s="2999">
        <f>SUM(AY10*AY27)</f>
        <v>4733.3610450000006</v>
      </c>
      <c r="AZ21" s="2999"/>
      <c r="BA21" s="2999">
        <f>SUM(BB21:BC21)</f>
        <v>5433.4070000000002</v>
      </c>
      <c r="BB21" s="4228">
        <v>5433.4070000000002</v>
      </c>
      <c r="BC21" s="3023"/>
      <c r="BD21" s="2999">
        <f>SUM(BE21:BF21)</f>
        <v>5257.71</v>
      </c>
      <c r="BE21" s="3023">
        <v>5257.71</v>
      </c>
      <c r="BF21" s="3023"/>
      <c r="BG21" s="2999">
        <f>SUM(BH21:BI21)</f>
        <v>4733.3610450000006</v>
      </c>
      <c r="BH21" s="2999">
        <f>SUM(BH10*BH27)</f>
        <v>4733.3610450000006</v>
      </c>
      <c r="BI21" s="2999"/>
      <c r="BJ21" s="2999">
        <f>SUM(BK21:BL21)</f>
        <v>5354.2629999999999</v>
      </c>
      <c r="BK21" s="4228">
        <v>5354.2629999999999</v>
      </c>
      <c r="BL21" s="3023"/>
      <c r="BM21" s="2999">
        <f>SUM(BN21:BO21)</f>
        <v>5075.8900000000003</v>
      </c>
      <c r="BN21" s="3023">
        <v>5075.8900000000003</v>
      </c>
      <c r="BO21" s="3023"/>
      <c r="BP21" s="3001">
        <f t="shared" ref="BP21:BX25" si="205">SUM(AO21+AX21+BG21)</f>
        <v>14200.083135000001</v>
      </c>
      <c r="BQ21" s="3001">
        <f t="shared" si="205"/>
        <v>14200.083135000001</v>
      </c>
      <c r="BR21" s="3001">
        <f t="shared" si="205"/>
        <v>0</v>
      </c>
      <c r="BS21" s="3001">
        <f t="shared" si="205"/>
        <v>16329.39</v>
      </c>
      <c r="BT21" s="3001">
        <f t="shared" si="205"/>
        <v>16329.39</v>
      </c>
      <c r="BU21" s="3001">
        <f t="shared" si="205"/>
        <v>0</v>
      </c>
      <c r="BV21" s="3001">
        <f t="shared" si="205"/>
        <v>15689.189999999999</v>
      </c>
      <c r="BW21" s="3001">
        <f t="shared" si="205"/>
        <v>15689.189999999999</v>
      </c>
      <c r="BX21" s="3001">
        <f t="shared" si="205"/>
        <v>0</v>
      </c>
      <c r="BY21" s="2927">
        <f t="shared" ref="BY21:CA30" si="206">SUM(BS21-BP21)</f>
        <v>2129.3068649999987</v>
      </c>
      <c r="BZ21" s="2927">
        <f t="shared" si="206"/>
        <v>2129.3068649999987</v>
      </c>
      <c r="CA21" s="2927">
        <f t="shared" si="206"/>
        <v>0</v>
      </c>
      <c r="CB21" s="3001">
        <f t="shared" ref="CB21:CJ25" si="207">SUM(AC21+BP21)</f>
        <v>28400.166270000002</v>
      </c>
      <c r="CC21" s="3001">
        <f t="shared" si="207"/>
        <v>28400.166270000002</v>
      </c>
      <c r="CD21" s="3001">
        <f t="shared" si="207"/>
        <v>0</v>
      </c>
      <c r="CE21" s="3001">
        <f t="shared" si="207"/>
        <v>32408.188999999998</v>
      </c>
      <c r="CF21" s="3001">
        <f t="shared" si="207"/>
        <v>32408.188999999998</v>
      </c>
      <c r="CG21" s="3001">
        <f t="shared" si="207"/>
        <v>0</v>
      </c>
      <c r="CH21" s="3001">
        <f t="shared" si="207"/>
        <v>31186.817999999999</v>
      </c>
      <c r="CI21" s="3001">
        <f t="shared" si="207"/>
        <v>31186.817999999999</v>
      </c>
      <c r="CJ21" s="3001">
        <f t="shared" si="207"/>
        <v>0</v>
      </c>
      <c r="CK21" s="2927">
        <f t="shared" ref="CK21:CM30" si="208">SUM(CE21-CB21)</f>
        <v>4008.022729999997</v>
      </c>
      <c r="CL21" s="2927">
        <f t="shared" si="208"/>
        <v>4008.022729999997</v>
      </c>
      <c r="CM21" s="2927">
        <f t="shared" si="208"/>
        <v>0</v>
      </c>
      <c r="CN21" s="2999">
        <f>SUM(CO21:CP21)</f>
        <v>4874.6821041666662</v>
      </c>
      <c r="CO21" s="2999">
        <f>SUM(CO10*CO27)</f>
        <v>4874.6821041666662</v>
      </c>
      <c r="CP21" s="2999"/>
      <c r="CQ21" s="2999">
        <f>SUM(CR21:CS21)</f>
        <v>5123.4809999999998</v>
      </c>
      <c r="CR21" s="4228">
        <v>5123.4809999999998</v>
      </c>
      <c r="CS21" s="3023"/>
      <c r="CT21" s="2999">
        <f>SUM(CU21:CV21)</f>
        <v>5033.3909999999996</v>
      </c>
      <c r="CU21" s="3023">
        <v>5033.3909999999996</v>
      </c>
      <c r="CV21" s="3023"/>
      <c r="CW21" s="2999">
        <f>SUM(CX21:CY21)</f>
        <v>4874.6821041666662</v>
      </c>
      <c r="CX21" s="2999">
        <f>SUM(CX10*CX27)</f>
        <v>4874.6821041666662</v>
      </c>
      <c r="CY21" s="2999"/>
      <c r="CZ21" s="2999">
        <f>SUM(DA21:DB21)</f>
        <v>5290.5029999999997</v>
      </c>
      <c r="DA21" s="4228">
        <v>5290.5029999999997</v>
      </c>
      <c r="DB21" s="3023"/>
      <c r="DC21" s="2999">
        <f>SUM(DD21:DE21)</f>
        <v>5099.1000000000004</v>
      </c>
      <c r="DD21" s="3023">
        <v>5099.1000000000004</v>
      </c>
      <c r="DE21" s="3023"/>
      <c r="DF21" s="2999">
        <f>SUM(DG21:DH21)</f>
        <v>4874.6821041666662</v>
      </c>
      <c r="DG21" s="2999">
        <f>SUM(DG10*DG27)</f>
        <v>4874.6821041666662</v>
      </c>
      <c r="DH21" s="2999"/>
      <c r="DI21" s="2999">
        <f>SUM(DJ21:DK21)</f>
        <v>5138.6899999999996</v>
      </c>
      <c r="DJ21" s="3023">
        <v>5138.6899999999996</v>
      </c>
      <c r="DK21" s="3023"/>
      <c r="DL21" s="2999">
        <f>SUM(DM21:DN21)</f>
        <v>5268.35</v>
      </c>
      <c r="DM21" s="3023">
        <v>5268.35</v>
      </c>
      <c r="DN21" s="3023"/>
      <c r="DO21" s="3001">
        <f t="shared" ref="DO21:DW25" si="209">SUM(CN21+CW21+DF21)</f>
        <v>14624.046312499999</v>
      </c>
      <c r="DP21" s="3001">
        <f t="shared" si="209"/>
        <v>14624.046312499999</v>
      </c>
      <c r="DQ21" s="3001">
        <f t="shared" si="209"/>
        <v>0</v>
      </c>
      <c r="DR21" s="3001">
        <f t="shared" si="209"/>
        <v>15552.673999999999</v>
      </c>
      <c r="DS21" s="3001">
        <f t="shared" si="209"/>
        <v>15552.673999999999</v>
      </c>
      <c r="DT21" s="3001">
        <f t="shared" si="209"/>
        <v>0</v>
      </c>
      <c r="DU21" s="3001">
        <f t="shared" si="209"/>
        <v>15400.841</v>
      </c>
      <c r="DV21" s="3001">
        <f t="shared" si="209"/>
        <v>15400.841</v>
      </c>
      <c r="DW21" s="3001">
        <f t="shared" si="209"/>
        <v>0</v>
      </c>
      <c r="DX21" s="2927">
        <f t="shared" ref="DX21:DZ30" si="210">SUM(DR21-DO21)</f>
        <v>928.62768750000032</v>
      </c>
      <c r="DY21" s="2927">
        <f t="shared" si="210"/>
        <v>928.62768750000032</v>
      </c>
      <c r="DZ21" s="2927">
        <f t="shared" si="210"/>
        <v>0</v>
      </c>
      <c r="EA21" s="3001">
        <f t="shared" ref="EA21:EI25" si="211">SUM(CB21+DO21)</f>
        <v>43024.212582499997</v>
      </c>
      <c r="EB21" s="3001">
        <f t="shared" si="211"/>
        <v>43024.212582499997</v>
      </c>
      <c r="EC21" s="3001">
        <f t="shared" si="211"/>
        <v>0</v>
      </c>
      <c r="ED21" s="3001">
        <f t="shared" si="211"/>
        <v>47960.862999999998</v>
      </c>
      <c r="EE21" s="2990">
        <f t="shared" si="211"/>
        <v>47960.862999999998</v>
      </c>
      <c r="EF21" s="3001">
        <f t="shared" si="211"/>
        <v>0</v>
      </c>
      <c r="EG21" s="3001">
        <f t="shared" si="211"/>
        <v>46587.659</v>
      </c>
      <c r="EH21" s="3001">
        <f t="shared" si="211"/>
        <v>46587.659</v>
      </c>
      <c r="EI21" s="3001">
        <f t="shared" si="211"/>
        <v>0</v>
      </c>
      <c r="EJ21" s="2927">
        <f t="shared" ref="EJ21:EL30" si="212">SUM(ED21-EA21)</f>
        <v>4936.6504175000009</v>
      </c>
      <c r="EK21" s="2927">
        <f t="shared" si="212"/>
        <v>4936.6504175000009</v>
      </c>
      <c r="EL21" s="2927">
        <f t="shared" si="212"/>
        <v>0</v>
      </c>
      <c r="EM21" s="2999">
        <f>SUM(EN21:EO21)</f>
        <v>4874.6821041666662</v>
      </c>
      <c r="EN21" s="2999">
        <f>SUM(EN10*EN27)</f>
        <v>4874.6821041666662</v>
      </c>
      <c r="EO21" s="2999"/>
      <c r="EP21" s="2999">
        <f>SUM(EQ21:ER21)</f>
        <v>5316.2560000000003</v>
      </c>
      <c r="EQ21" s="3023">
        <v>5316.2560000000003</v>
      </c>
      <c r="ER21" s="3023"/>
      <c r="ES21" s="2999">
        <f>SUM(ET21:EU21)</f>
        <v>5186.2979999999998</v>
      </c>
      <c r="ET21" s="3023">
        <v>5186.2979999999998</v>
      </c>
      <c r="EU21" s="3023"/>
      <c r="EV21" s="2999">
        <f>SUM(EW21:EX21)</f>
        <v>4874.6821041666662</v>
      </c>
      <c r="EW21" s="2999">
        <f>SUM(EW10*EW27)</f>
        <v>4874.6821041666662</v>
      </c>
      <c r="EX21" s="2999"/>
      <c r="EY21" s="2999">
        <f>SUM(EZ21:FA21)</f>
        <v>5402.1220000000003</v>
      </c>
      <c r="EZ21" s="3023">
        <v>5402.1220000000003</v>
      </c>
      <c r="FA21" s="3023"/>
      <c r="FB21" s="2999">
        <f>SUM(FC21:FD21)</f>
        <v>5306.5590000000002</v>
      </c>
      <c r="FC21" s="3023">
        <v>5306.5590000000002</v>
      </c>
      <c r="FD21" s="3023"/>
      <c r="FE21" s="2999">
        <f>SUM(FF21:FG21)</f>
        <v>4874.6821041666662</v>
      </c>
      <c r="FF21" s="2999">
        <f>SUM(FF10*FF27)</f>
        <v>4874.6821041666662</v>
      </c>
      <c r="FG21" s="2999"/>
      <c r="FH21" s="2999">
        <f>SUM(FI21:FJ21)</f>
        <v>5507.076</v>
      </c>
      <c r="FI21" s="3023">
        <v>5507.076</v>
      </c>
      <c r="FJ21" s="3023"/>
      <c r="FK21" s="2999">
        <f>SUM(FL21:FM21)</f>
        <v>5365.8549999999996</v>
      </c>
      <c r="FL21" s="3023">
        <v>5365.8549999999996</v>
      </c>
      <c r="FM21" s="3023"/>
      <c r="FN21" s="3001">
        <f t="shared" ref="FN21:FV25" si="213">SUM(EM21+EV21+FE21)</f>
        <v>14624.046312499999</v>
      </c>
      <c r="FO21" s="3001">
        <f t="shared" si="213"/>
        <v>14624.046312499999</v>
      </c>
      <c r="FP21" s="3001">
        <f t="shared" si="213"/>
        <v>0</v>
      </c>
      <c r="FQ21" s="3001">
        <f t="shared" si="213"/>
        <v>16225.454000000002</v>
      </c>
      <c r="FR21" s="3001">
        <f t="shared" si="213"/>
        <v>16225.454000000002</v>
      </c>
      <c r="FS21" s="3001">
        <f t="shared" si="213"/>
        <v>0</v>
      </c>
      <c r="FT21" s="3001">
        <f t="shared" si="213"/>
        <v>15858.712</v>
      </c>
      <c r="FU21" s="3001">
        <f t="shared" si="213"/>
        <v>15858.712</v>
      </c>
      <c r="FV21" s="3001">
        <f t="shared" si="213"/>
        <v>0</v>
      </c>
      <c r="FW21" s="2927">
        <f t="shared" ref="FW21:FY30" si="214">SUM(FQ21-FN21)</f>
        <v>1601.4076875000028</v>
      </c>
      <c r="FX21" s="2927">
        <f t="shared" si="214"/>
        <v>1601.4076875000028</v>
      </c>
      <c r="FY21" s="2927">
        <f t="shared" si="214"/>
        <v>0</v>
      </c>
      <c r="FZ21" s="3001">
        <f t="shared" ref="FZ21:GH25" si="215">SUM(EA21+FN21)</f>
        <v>57648.258894999992</v>
      </c>
      <c r="GA21" s="3001">
        <f t="shared" si="215"/>
        <v>57648.258894999992</v>
      </c>
      <c r="GB21" s="3001">
        <f t="shared" si="215"/>
        <v>0</v>
      </c>
      <c r="GC21" s="3001">
        <f t="shared" si="215"/>
        <v>64186.316999999995</v>
      </c>
      <c r="GD21" s="3001">
        <f t="shared" si="215"/>
        <v>64186.316999999995</v>
      </c>
      <c r="GE21" s="3001">
        <f t="shared" si="215"/>
        <v>0</v>
      </c>
      <c r="GF21" s="3001">
        <f t="shared" si="215"/>
        <v>62446.370999999999</v>
      </c>
      <c r="GG21" s="3001">
        <f t="shared" si="215"/>
        <v>62446.370999999999</v>
      </c>
      <c r="GH21" s="3001">
        <f t="shared" si="215"/>
        <v>0</v>
      </c>
      <c r="GI21" s="2927">
        <f t="shared" ref="GI21:GK30" si="216">SUM(GC21-FZ21)</f>
        <v>6538.0581050000037</v>
      </c>
      <c r="GJ21" s="2927">
        <f t="shared" si="216"/>
        <v>6538.0581050000037</v>
      </c>
      <c r="GK21" s="2927">
        <f t="shared" si="216"/>
        <v>0</v>
      </c>
      <c r="GM21" s="4234"/>
    </row>
    <row r="22" spans="1:195" ht="18.75" customHeight="1" x14ac:dyDescent="0.3">
      <c r="A22" s="2914" t="s">
        <v>3779</v>
      </c>
      <c r="B22" s="2999">
        <f t="shared" ref="B22:B25" si="217">SUM(C22:D22)</f>
        <v>1195.7752254623333</v>
      </c>
      <c r="C22" s="2999">
        <f>SUM(C10*C28)</f>
        <v>1195.7752254623333</v>
      </c>
      <c r="D22" s="2999"/>
      <c r="E22" s="2999">
        <f t="shared" ref="E22:E25" si="218">SUM(F22:G22)</f>
        <v>1413.74271</v>
      </c>
      <c r="F22" s="3023">
        <v>1413.74271</v>
      </c>
      <c r="G22" s="3023"/>
      <c r="H22" s="2999">
        <f t="shared" ref="H22:H24" si="219">SUM(I22:J22)</f>
        <v>1401.1869999999999</v>
      </c>
      <c r="I22" s="3023">
        <v>1401.1869999999999</v>
      </c>
      <c r="J22" s="3023"/>
      <c r="K22" s="2999">
        <f t="shared" ref="K22:K25" si="220">SUM(L22:M22)</f>
        <v>1195.7752254623333</v>
      </c>
      <c r="L22" s="2999">
        <f>SUM(L10*L28)</f>
        <v>1195.7752254623333</v>
      </c>
      <c r="M22" s="2999"/>
      <c r="N22" s="2999">
        <f t="shared" ref="N22:N25" si="221">SUM(O22:P22)</f>
        <v>1325.3779999999999</v>
      </c>
      <c r="O22" s="3023">
        <v>1325.3779999999999</v>
      </c>
      <c r="P22" s="3023"/>
      <c r="Q22" s="2999">
        <f t="shared" ref="Q22:Q24" si="222">SUM(R22:S22)</f>
        <v>1339.241</v>
      </c>
      <c r="R22" s="3023">
        <v>1339.241</v>
      </c>
      <c r="S22" s="3023"/>
      <c r="T22" s="2999">
        <f t="shared" ref="T22:T25" si="223">SUM(U22:V22)</f>
        <v>1195.7752254623333</v>
      </c>
      <c r="U22" s="2999">
        <f>SUM(U10*U28)</f>
        <v>1195.7752254623333</v>
      </c>
      <c r="V22" s="2999"/>
      <c r="W22" s="2999">
        <f t="shared" ref="W22:W25" si="224">SUM(X22:Y22)</f>
        <v>1320.3330000000001</v>
      </c>
      <c r="X22" s="3023">
        <v>1320.3330000000001</v>
      </c>
      <c r="Y22" s="3023"/>
      <c r="Z22" s="2999">
        <f t="shared" ref="Z22:Z24" si="225">SUM(AA22:AB22)</f>
        <v>1292.194</v>
      </c>
      <c r="AA22" s="3023">
        <v>1292.194</v>
      </c>
      <c r="AB22" s="3023"/>
      <c r="AC22" s="3001">
        <f t="shared" si="203"/>
        <v>3587.3256763869999</v>
      </c>
      <c r="AD22" s="3001">
        <f t="shared" si="203"/>
        <v>3587.3256763869999</v>
      </c>
      <c r="AE22" s="3001">
        <f t="shared" si="203"/>
        <v>0</v>
      </c>
      <c r="AF22" s="3001">
        <f t="shared" si="203"/>
        <v>4059.4537100000002</v>
      </c>
      <c r="AG22" s="3001">
        <f t="shared" si="203"/>
        <v>4059.4537100000002</v>
      </c>
      <c r="AH22" s="3001">
        <f t="shared" si="203"/>
        <v>0</v>
      </c>
      <c r="AI22" s="3001">
        <f t="shared" si="203"/>
        <v>4032.6219999999998</v>
      </c>
      <c r="AJ22" s="3001">
        <f t="shared" si="203"/>
        <v>4032.6219999999998</v>
      </c>
      <c r="AK22" s="3001">
        <f t="shared" si="203"/>
        <v>0</v>
      </c>
      <c r="AL22" s="2927">
        <f t="shared" si="204"/>
        <v>472.1280336130003</v>
      </c>
      <c r="AM22" s="2927">
        <f t="shared" si="204"/>
        <v>472.1280336130003</v>
      </c>
      <c r="AN22" s="2927">
        <f t="shared" si="204"/>
        <v>0</v>
      </c>
      <c r="AO22" s="2999">
        <f t="shared" ref="AO22:AO25" si="226">SUM(AP22:AQ22)</f>
        <v>1195.7752254623333</v>
      </c>
      <c r="AP22" s="2999">
        <f>SUM(AP10*AP28)</f>
        <v>1195.7752254623333</v>
      </c>
      <c r="AQ22" s="2999"/>
      <c r="AR22" s="2999">
        <f t="shared" ref="AR22:AR25" si="227">SUM(AS22:AT22)</f>
        <v>1399.1315099999999</v>
      </c>
      <c r="AS22" s="3023">
        <v>1399.1315099999999</v>
      </c>
      <c r="AT22" s="3023"/>
      <c r="AU22" s="2999">
        <f t="shared" ref="AU22:AU24" si="228">SUM(AV22:AW22)</f>
        <v>1393.4480000000001</v>
      </c>
      <c r="AV22" s="3023">
        <v>1393.4480000000001</v>
      </c>
      <c r="AW22" s="3023"/>
      <c r="AX22" s="2999">
        <f t="shared" ref="AX22:AX25" si="229">SUM(AY22:AZ22)</f>
        <v>1195.7752254623333</v>
      </c>
      <c r="AY22" s="2999">
        <f>SUM(AY10*AY28)</f>
        <v>1195.7752254623333</v>
      </c>
      <c r="AZ22" s="2999"/>
      <c r="BA22" s="2999">
        <f t="shared" ref="BA22:BA25" si="230">SUM(BB22:BC22)</f>
        <v>1371.7860000000001</v>
      </c>
      <c r="BB22" s="3023">
        <v>1371.7860000000001</v>
      </c>
      <c r="BC22" s="3023"/>
      <c r="BD22" s="2999">
        <f t="shared" ref="BD22:BD24" si="231">SUM(BE22:BF22)</f>
        <v>1368.0709999999999</v>
      </c>
      <c r="BE22" s="3023">
        <v>1368.0709999999999</v>
      </c>
      <c r="BF22" s="3023"/>
      <c r="BG22" s="2999">
        <f t="shared" ref="BG22:BG25" si="232">SUM(BH22:BI22)</f>
        <v>1195.7752254623333</v>
      </c>
      <c r="BH22" s="2999">
        <f>SUM(BH10*BH28)</f>
        <v>1195.7752254623333</v>
      </c>
      <c r="BI22" s="2999"/>
      <c r="BJ22" s="2999">
        <f t="shared" ref="BJ22:BJ25" si="233">SUM(BK22:BL22)</f>
        <v>1351.8040000000001</v>
      </c>
      <c r="BK22" s="3023">
        <v>1351.8040000000001</v>
      </c>
      <c r="BL22" s="3023"/>
      <c r="BM22" s="2999">
        <f t="shared" ref="BM22:BM24" si="234">SUM(BN22:BO22)</f>
        <v>1320.7619999999999</v>
      </c>
      <c r="BN22" s="3023">
        <v>1320.7619999999999</v>
      </c>
      <c r="BO22" s="3023"/>
      <c r="BP22" s="3001">
        <f t="shared" si="205"/>
        <v>3587.3256763869999</v>
      </c>
      <c r="BQ22" s="3001">
        <f t="shared" si="205"/>
        <v>3587.3256763869999</v>
      </c>
      <c r="BR22" s="3001">
        <f t="shared" si="205"/>
        <v>0</v>
      </c>
      <c r="BS22" s="3001">
        <f t="shared" si="205"/>
        <v>4122.7215100000003</v>
      </c>
      <c r="BT22" s="3001">
        <f t="shared" si="205"/>
        <v>4122.7215100000003</v>
      </c>
      <c r="BU22" s="3001">
        <f t="shared" si="205"/>
        <v>0</v>
      </c>
      <c r="BV22" s="3001">
        <f t="shared" si="205"/>
        <v>4082.2809999999999</v>
      </c>
      <c r="BW22" s="3001">
        <f t="shared" si="205"/>
        <v>4082.2809999999999</v>
      </c>
      <c r="BX22" s="3001">
        <f t="shared" si="205"/>
        <v>0</v>
      </c>
      <c r="BY22" s="2927">
        <f t="shared" si="206"/>
        <v>535.39583361300038</v>
      </c>
      <c r="BZ22" s="2927">
        <f t="shared" si="206"/>
        <v>535.39583361300038</v>
      </c>
      <c r="CA22" s="2927">
        <f t="shared" si="206"/>
        <v>0</v>
      </c>
      <c r="CB22" s="3001">
        <f t="shared" si="207"/>
        <v>7174.6513527739999</v>
      </c>
      <c r="CC22" s="3001">
        <f t="shared" si="207"/>
        <v>7174.6513527739999</v>
      </c>
      <c r="CD22" s="3001">
        <f t="shared" si="207"/>
        <v>0</v>
      </c>
      <c r="CE22" s="3001">
        <f t="shared" si="207"/>
        <v>8182.175220000001</v>
      </c>
      <c r="CF22" s="3001">
        <f t="shared" si="207"/>
        <v>8182.175220000001</v>
      </c>
      <c r="CG22" s="3001">
        <f t="shared" si="207"/>
        <v>0</v>
      </c>
      <c r="CH22" s="3001">
        <f t="shared" si="207"/>
        <v>8114.9030000000002</v>
      </c>
      <c r="CI22" s="3001">
        <f t="shared" si="207"/>
        <v>8114.9030000000002</v>
      </c>
      <c r="CJ22" s="3001">
        <f t="shared" si="207"/>
        <v>0</v>
      </c>
      <c r="CK22" s="2927">
        <f t="shared" si="208"/>
        <v>1007.5238672260011</v>
      </c>
      <c r="CL22" s="2927">
        <f t="shared" si="208"/>
        <v>1007.5238672260011</v>
      </c>
      <c r="CM22" s="2927">
        <f t="shared" si="208"/>
        <v>0</v>
      </c>
      <c r="CN22" s="2999">
        <f t="shared" ref="CN22:CN25" si="235">SUM(CO22:CP22)</f>
        <v>1282.8116949457487</v>
      </c>
      <c r="CO22" s="2999">
        <f>SUM(CO10*CO28)</f>
        <v>1282.8116949457487</v>
      </c>
      <c r="CP22" s="2999"/>
      <c r="CQ22" s="2999">
        <f t="shared" ref="CQ22:CQ25" si="236">SUM(CR22:CS22)</f>
        <v>1451.8679999999999</v>
      </c>
      <c r="CR22" s="3023">
        <v>1451.8679999999999</v>
      </c>
      <c r="CS22" s="3023"/>
      <c r="CT22" s="2999">
        <f t="shared" ref="CT22:CT24" si="237">SUM(CU22:CV22)</f>
        <v>1270.7919999999999</v>
      </c>
      <c r="CU22" s="3023">
        <v>1270.7919999999999</v>
      </c>
      <c r="CV22" s="3023"/>
      <c r="CW22" s="2999">
        <f t="shared" ref="CW22:CW25" si="238">SUM(CX22:CY22)</f>
        <v>1282.8116949457487</v>
      </c>
      <c r="CX22" s="2999">
        <f>SUM(CX10*CX28)</f>
        <v>1282.8116949457487</v>
      </c>
      <c r="CY22" s="2999"/>
      <c r="CZ22" s="2999">
        <f t="shared" ref="CZ22:CZ25" si="239">SUM(DA22:DB22)</f>
        <v>1392.0329999999999</v>
      </c>
      <c r="DA22" s="4228">
        <v>1392.0329999999999</v>
      </c>
      <c r="DB22" s="3023"/>
      <c r="DC22" s="2999">
        <f t="shared" ref="DC22:DC24" si="240">SUM(DD22:DE22)</f>
        <v>1287.3820000000001</v>
      </c>
      <c r="DD22" s="3023">
        <v>1287.3820000000001</v>
      </c>
      <c r="DE22" s="3023"/>
      <c r="DF22" s="2999">
        <f t="shared" ref="DF22:DF25" si="241">SUM(DG22:DH22)</f>
        <v>1282.8116949457487</v>
      </c>
      <c r="DG22" s="2999">
        <f>SUM(DG10*DG28)</f>
        <v>1282.8116949457487</v>
      </c>
      <c r="DH22" s="2999"/>
      <c r="DI22" s="2999">
        <f t="shared" ref="DI22:DI25" si="242">SUM(DJ22:DK22)</f>
        <v>1352.088</v>
      </c>
      <c r="DJ22" s="3023">
        <v>1352.088</v>
      </c>
      <c r="DK22" s="3023"/>
      <c r="DL22" s="2999">
        <f t="shared" ref="DL22:DL24" si="243">SUM(DM22:DN22)</f>
        <v>1330.114</v>
      </c>
      <c r="DM22" s="3023">
        <v>1330.114</v>
      </c>
      <c r="DN22" s="3023"/>
      <c r="DO22" s="3001">
        <f t="shared" si="209"/>
        <v>3848.435084837246</v>
      </c>
      <c r="DP22" s="3001">
        <f t="shared" si="209"/>
        <v>3848.435084837246</v>
      </c>
      <c r="DQ22" s="3001">
        <f t="shared" si="209"/>
        <v>0</v>
      </c>
      <c r="DR22" s="3001">
        <f t="shared" si="209"/>
        <v>4195.9889999999996</v>
      </c>
      <c r="DS22" s="3001">
        <f t="shared" si="209"/>
        <v>4195.9889999999996</v>
      </c>
      <c r="DT22" s="3001">
        <f t="shared" si="209"/>
        <v>0</v>
      </c>
      <c r="DU22" s="3001">
        <f t="shared" si="209"/>
        <v>3888.288</v>
      </c>
      <c r="DV22" s="3001">
        <f t="shared" si="209"/>
        <v>3888.288</v>
      </c>
      <c r="DW22" s="3001">
        <f t="shared" si="209"/>
        <v>0</v>
      </c>
      <c r="DX22" s="2927">
        <f t="shared" si="210"/>
        <v>347.55391516275358</v>
      </c>
      <c r="DY22" s="2927">
        <f t="shared" si="210"/>
        <v>347.55391516275358</v>
      </c>
      <c r="DZ22" s="2927">
        <f t="shared" si="210"/>
        <v>0</v>
      </c>
      <c r="EA22" s="3001">
        <f t="shared" si="211"/>
        <v>11023.086437611246</v>
      </c>
      <c r="EB22" s="3001">
        <f t="shared" si="211"/>
        <v>11023.086437611246</v>
      </c>
      <c r="EC22" s="3001">
        <f t="shared" si="211"/>
        <v>0</v>
      </c>
      <c r="ED22" s="3001">
        <f t="shared" si="211"/>
        <v>12378.164220000001</v>
      </c>
      <c r="EE22" s="3001">
        <f t="shared" si="211"/>
        <v>12378.164220000001</v>
      </c>
      <c r="EF22" s="3001">
        <f t="shared" si="211"/>
        <v>0</v>
      </c>
      <c r="EG22" s="3001">
        <f t="shared" si="211"/>
        <v>12003.191000000001</v>
      </c>
      <c r="EH22" s="3001">
        <f t="shared" si="211"/>
        <v>12003.191000000001</v>
      </c>
      <c r="EI22" s="3001">
        <f t="shared" si="211"/>
        <v>0</v>
      </c>
      <c r="EJ22" s="2927">
        <f t="shared" si="212"/>
        <v>1355.0777823887547</v>
      </c>
      <c r="EK22" s="2927">
        <f t="shared" si="212"/>
        <v>1355.0777823887547</v>
      </c>
      <c r="EL22" s="2927">
        <f t="shared" si="212"/>
        <v>0</v>
      </c>
      <c r="EM22" s="2999">
        <f t="shared" ref="EM22:EM25" si="244">SUM(EN22:EO22)</f>
        <v>1282.8116949457487</v>
      </c>
      <c r="EN22" s="2999">
        <f>SUM(EN10*EN28)</f>
        <v>1282.8116949457487</v>
      </c>
      <c r="EO22" s="2999"/>
      <c r="EP22" s="2999">
        <f t="shared" ref="EP22:EP25" si="245">SUM(EQ22:ER22)</f>
        <v>1295.028</v>
      </c>
      <c r="EQ22" s="3023">
        <v>1295.028</v>
      </c>
      <c r="ER22" s="3023"/>
      <c r="ES22" s="2999">
        <f t="shared" ref="ES22:ES24" si="246">SUM(ET22:EU22)</f>
        <v>1309.3969999999999</v>
      </c>
      <c r="ET22" s="3023">
        <v>1309.3969999999999</v>
      </c>
      <c r="EU22" s="3023"/>
      <c r="EV22" s="2999">
        <f t="shared" ref="EV22:EV25" si="247">SUM(EW22:EX22)</f>
        <v>1282.8116949457487</v>
      </c>
      <c r="EW22" s="2999">
        <f>SUM(EW10*EW28)</f>
        <v>1282.8116949457487</v>
      </c>
      <c r="EX22" s="2999"/>
      <c r="EY22" s="2999">
        <f t="shared" ref="EY22:EY25" si="248">SUM(EZ22:FA22)</f>
        <v>1421.402</v>
      </c>
      <c r="EZ22" s="3023">
        <v>1421.402</v>
      </c>
      <c r="FA22" s="3023"/>
      <c r="FB22" s="2999">
        <f t="shared" ref="FB22:FB24" si="249">SUM(FC22:FD22)</f>
        <v>1339.759</v>
      </c>
      <c r="FC22" s="3023">
        <v>1339.759</v>
      </c>
      <c r="FD22" s="3023"/>
      <c r="FE22" s="2999">
        <f t="shared" ref="FE22:FE25" si="250">SUM(FF22:FG22)</f>
        <v>1282.8116949457487</v>
      </c>
      <c r="FF22" s="2999">
        <f>SUM(FF10*FF28)</f>
        <v>1282.8116949457487</v>
      </c>
      <c r="FG22" s="2999"/>
      <c r="FH22" s="2999">
        <f t="shared" ref="FH22:FH24" si="251">SUM(FI22:FJ22)</f>
        <v>1449.018</v>
      </c>
      <c r="FI22" s="3023">
        <v>1449.018</v>
      </c>
      <c r="FJ22" s="3023"/>
      <c r="FK22" s="2999">
        <f t="shared" ref="FK22:FK24" si="252">SUM(FL22:FM22)</f>
        <v>1354.7339999999999</v>
      </c>
      <c r="FL22" s="3023">
        <v>1354.7339999999999</v>
      </c>
      <c r="FM22" s="3023"/>
      <c r="FN22" s="3001">
        <f t="shared" si="213"/>
        <v>3848.435084837246</v>
      </c>
      <c r="FO22" s="3001">
        <f t="shared" si="213"/>
        <v>3848.435084837246</v>
      </c>
      <c r="FP22" s="3001">
        <f t="shared" si="213"/>
        <v>0</v>
      </c>
      <c r="FQ22" s="3001">
        <f t="shared" si="213"/>
        <v>4165.4480000000003</v>
      </c>
      <c r="FR22" s="3001">
        <f t="shared" si="213"/>
        <v>4165.4480000000003</v>
      </c>
      <c r="FS22" s="3001">
        <f t="shared" si="213"/>
        <v>0</v>
      </c>
      <c r="FT22" s="3001">
        <f t="shared" si="213"/>
        <v>4003.89</v>
      </c>
      <c r="FU22" s="3001">
        <f t="shared" si="213"/>
        <v>4003.89</v>
      </c>
      <c r="FV22" s="3001">
        <f t="shared" si="213"/>
        <v>0</v>
      </c>
      <c r="FW22" s="2927">
        <f t="shared" si="214"/>
        <v>317.01291516275433</v>
      </c>
      <c r="FX22" s="2927">
        <f t="shared" si="214"/>
        <v>317.01291516275433</v>
      </c>
      <c r="FY22" s="2927">
        <f t="shared" si="214"/>
        <v>0</v>
      </c>
      <c r="FZ22" s="3001">
        <f t="shared" si="215"/>
        <v>14871.521522448493</v>
      </c>
      <c r="GA22" s="3001">
        <f t="shared" si="215"/>
        <v>14871.521522448493</v>
      </c>
      <c r="GB22" s="3001">
        <f t="shared" si="215"/>
        <v>0</v>
      </c>
      <c r="GC22" s="3001">
        <f t="shared" si="215"/>
        <v>16543.612220000003</v>
      </c>
      <c r="GD22" s="3001">
        <f t="shared" si="215"/>
        <v>16543.612220000003</v>
      </c>
      <c r="GE22" s="3001">
        <f t="shared" si="215"/>
        <v>0</v>
      </c>
      <c r="GF22" s="3001">
        <f t="shared" si="215"/>
        <v>16007.081</v>
      </c>
      <c r="GG22" s="3001">
        <f t="shared" si="215"/>
        <v>16007.081</v>
      </c>
      <c r="GH22" s="3001">
        <f t="shared" si="215"/>
        <v>0</v>
      </c>
      <c r="GI22" s="2927">
        <f t="shared" si="216"/>
        <v>1672.0906975515099</v>
      </c>
      <c r="GJ22" s="2927">
        <f t="shared" si="216"/>
        <v>1672.0906975515099</v>
      </c>
      <c r="GK22" s="2927">
        <f t="shared" si="216"/>
        <v>0</v>
      </c>
      <c r="GM22" s="4234"/>
    </row>
    <row r="23" spans="1:195" ht="18.75" customHeight="1" x14ac:dyDescent="0.3">
      <c r="A23" s="2914" t="s">
        <v>3807</v>
      </c>
      <c r="B23" s="2999">
        <f t="shared" si="217"/>
        <v>21.591425967365403</v>
      </c>
      <c r="C23" s="2999"/>
      <c r="D23" s="2999">
        <f>SUM(D11*D29)</f>
        <v>21.591425967365403</v>
      </c>
      <c r="E23" s="2999">
        <f t="shared" si="218"/>
        <v>3.081</v>
      </c>
      <c r="F23" s="3023"/>
      <c r="G23" s="4228">
        <v>3.081</v>
      </c>
      <c r="H23" s="2999">
        <f t="shared" si="219"/>
        <v>5.0780000000000003</v>
      </c>
      <c r="I23" s="3023">
        <v>0</v>
      </c>
      <c r="J23" s="3023">
        <v>5.0780000000000003</v>
      </c>
      <c r="K23" s="2999">
        <f t="shared" si="220"/>
        <v>21.591425967365403</v>
      </c>
      <c r="L23" s="2999"/>
      <c r="M23" s="2999">
        <f>SUM(M11*M29)</f>
        <v>21.591425967365403</v>
      </c>
      <c r="N23" s="2999">
        <f t="shared" si="221"/>
        <v>3.4660000000000002</v>
      </c>
      <c r="O23" s="3023"/>
      <c r="P23" s="4228">
        <v>3.4660000000000002</v>
      </c>
      <c r="Q23" s="2999">
        <f t="shared" si="222"/>
        <v>2.8940000000000001</v>
      </c>
      <c r="R23" s="3023">
        <v>0</v>
      </c>
      <c r="S23" s="3023">
        <v>2.8940000000000001</v>
      </c>
      <c r="T23" s="2999">
        <f t="shared" si="223"/>
        <v>21.591425967365403</v>
      </c>
      <c r="U23" s="2999"/>
      <c r="V23" s="2999">
        <f>SUM(V11*V29)</f>
        <v>21.591425967365403</v>
      </c>
      <c r="W23" s="2999">
        <f t="shared" si="224"/>
        <v>42.344999999999999</v>
      </c>
      <c r="X23" s="3023"/>
      <c r="Y23" s="4228">
        <v>42.344999999999999</v>
      </c>
      <c r="Z23" s="2999">
        <f t="shared" si="225"/>
        <v>40.57</v>
      </c>
      <c r="AA23" s="3023">
        <v>0</v>
      </c>
      <c r="AB23" s="3023">
        <v>40.57</v>
      </c>
      <c r="AC23" s="3001">
        <f t="shared" si="203"/>
        <v>64.774277902096202</v>
      </c>
      <c r="AD23" s="3001">
        <f t="shared" si="203"/>
        <v>0</v>
      </c>
      <c r="AE23" s="3001">
        <f t="shared" si="203"/>
        <v>64.774277902096202</v>
      </c>
      <c r="AF23" s="3001">
        <f t="shared" si="203"/>
        <v>48.891999999999996</v>
      </c>
      <c r="AG23" s="3001">
        <f t="shared" si="203"/>
        <v>0</v>
      </c>
      <c r="AH23" s="3001">
        <f t="shared" si="203"/>
        <v>48.891999999999996</v>
      </c>
      <c r="AI23" s="3001">
        <f t="shared" si="203"/>
        <v>48.542000000000002</v>
      </c>
      <c r="AJ23" s="3001">
        <f t="shared" si="203"/>
        <v>0</v>
      </c>
      <c r="AK23" s="3001">
        <f t="shared" si="203"/>
        <v>48.542000000000002</v>
      </c>
      <c r="AL23" s="2927">
        <f t="shared" si="204"/>
        <v>-15.882277902096206</v>
      </c>
      <c r="AM23" s="2927">
        <f t="shared" si="204"/>
        <v>0</v>
      </c>
      <c r="AN23" s="2927">
        <f t="shared" si="204"/>
        <v>-15.882277902096206</v>
      </c>
      <c r="AO23" s="2999">
        <f t="shared" si="226"/>
        <v>21.591425967365403</v>
      </c>
      <c r="AP23" s="2999"/>
      <c r="AQ23" s="2999">
        <f>SUM(AQ11*AQ29)</f>
        <v>21.591425967365403</v>
      </c>
      <c r="AR23" s="2999">
        <f t="shared" si="227"/>
        <v>10.763999999999999</v>
      </c>
      <c r="AS23" s="3023"/>
      <c r="AT23" s="4228">
        <v>10.763999999999999</v>
      </c>
      <c r="AU23" s="2999">
        <f t="shared" si="228"/>
        <v>4.2049500000000002</v>
      </c>
      <c r="AV23" s="3023">
        <v>0</v>
      </c>
      <c r="AW23" s="3023">
        <v>4.2049500000000002</v>
      </c>
      <c r="AX23" s="2999">
        <f t="shared" si="229"/>
        <v>21.591425967365403</v>
      </c>
      <c r="AY23" s="2999"/>
      <c r="AZ23" s="2999">
        <f>SUM(AZ11*AZ29)</f>
        <v>21.591425967365403</v>
      </c>
      <c r="BA23" s="2999">
        <f t="shared" si="230"/>
        <v>3.9390000000000001</v>
      </c>
      <c r="BB23" s="3023"/>
      <c r="BC23" s="4228">
        <v>3.9390000000000001</v>
      </c>
      <c r="BD23" s="2999">
        <f t="shared" si="231"/>
        <v>11.73536</v>
      </c>
      <c r="BE23" s="3023">
        <v>0</v>
      </c>
      <c r="BF23" s="3023">
        <v>11.73536</v>
      </c>
      <c r="BG23" s="2999">
        <f t="shared" si="232"/>
        <v>21.591425967365403</v>
      </c>
      <c r="BH23" s="2999"/>
      <c r="BI23" s="2999">
        <f>SUM(BI11*BI29)</f>
        <v>21.591425967365403</v>
      </c>
      <c r="BJ23" s="2999">
        <f t="shared" si="233"/>
        <v>45.44</v>
      </c>
      <c r="BK23" s="3023"/>
      <c r="BL23" s="4228">
        <v>45.44</v>
      </c>
      <c r="BM23" s="2999">
        <f t="shared" si="234"/>
        <v>48.49</v>
      </c>
      <c r="BN23" s="3023">
        <v>0</v>
      </c>
      <c r="BO23" s="3023">
        <v>48.49</v>
      </c>
      <c r="BP23" s="3001">
        <f t="shared" si="205"/>
        <v>64.774277902096202</v>
      </c>
      <c r="BQ23" s="3001">
        <f t="shared" si="205"/>
        <v>0</v>
      </c>
      <c r="BR23" s="3001">
        <f t="shared" si="205"/>
        <v>64.774277902096202</v>
      </c>
      <c r="BS23" s="3001">
        <f t="shared" si="205"/>
        <v>60.143000000000001</v>
      </c>
      <c r="BT23" s="3001">
        <f t="shared" si="205"/>
        <v>0</v>
      </c>
      <c r="BU23" s="3001">
        <f t="shared" si="205"/>
        <v>60.143000000000001</v>
      </c>
      <c r="BV23" s="3001">
        <f t="shared" si="205"/>
        <v>64.430310000000006</v>
      </c>
      <c r="BW23" s="3001">
        <f t="shared" si="205"/>
        <v>0</v>
      </c>
      <c r="BX23" s="3001">
        <f t="shared" si="205"/>
        <v>64.430310000000006</v>
      </c>
      <c r="BY23" s="2927">
        <f t="shared" si="206"/>
        <v>-4.6312779020962012</v>
      </c>
      <c r="BZ23" s="2927">
        <f t="shared" si="206"/>
        <v>0</v>
      </c>
      <c r="CA23" s="2927">
        <f t="shared" si="206"/>
        <v>-4.6312779020962012</v>
      </c>
      <c r="CB23" s="3001">
        <f t="shared" si="207"/>
        <v>129.5485558041924</v>
      </c>
      <c r="CC23" s="3001">
        <f t="shared" si="207"/>
        <v>0</v>
      </c>
      <c r="CD23" s="3001">
        <f t="shared" si="207"/>
        <v>129.5485558041924</v>
      </c>
      <c r="CE23" s="3001">
        <f t="shared" si="207"/>
        <v>109.035</v>
      </c>
      <c r="CF23" s="3001">
        <f t="shared" si="207"/>
        <v>0</v>
      </c>
      <c r="CG23" s="3001">
        <f t="shared" si="207"/>
        <v>109.035</v>
      </c>
      <c r="CH23" s="3001">
        <f t="shared" si="207"/>
        <v>112.97231000000001</v>
      </c>
      <c r="CI23" s="3001">
        <f t="shared" si="207"/>
        <v>0</v>
      </c>
      <c r="CJ23" s="3001">
        <f t="shared" si="207"/>
        <v>112.97231000000001</v>
      </c>
      <c r="CK23" s="2927">
        <f t="shared" si="208"/>
        <v>-20.513555804192407</v>
      </c>
      <c r="CL23" s="2927">
        <f t="shared" si="208"/>
        <v>0</v>
      </c>
      <c r="CM23" s="2927">
        <f t="shared" si="208"/>
        <v>-20.513555804192407</v>
      </c>
      <c r="CN23" s="2999">
        <f t="shared" si="235"/>
        <v>29.357669379627929</v>
      </c>
      <c r="CO23" s="2999"/>
      <c r="CP23" s="2999">
        <f>SUM(CP11*CP29)</f>
        <v>29.357669379627929</v>
      </c>
      <c r="CQ23" s="2999">
        <f t="shared" si="236"/>
        <v>9.2919999999999998</v>
      </c>
      <c r="CR23" s="3023"/>
      <c r="CS23" s="4228">
        <v>9.2919999999999998</v>
      </c>
      <c r="CT23" s="2999">
        <f t="shared" si="237"/>
        <v>11.55</v>
      </c>
      <c r="CU23" s="3023">
        <v>0</v>
      </c>
      <c r="CV23" s="3023">
        <v>11.55</v>
      </c>
      <c r="CW23" s="2999">
        <f t="shared" si="238"/>
        <v>29.357669379627929</v>
      </c>
      <c r="CX23" s="2999"/>
      <c r="CY23" s="2999">
        <f>SUM(CY11*CY29)</f>
        <v>29.357669379627929</v>
      </c>
      <c r="CZ23" s="2999">
        <f t="shared" si="239"/>
        <v>16.245999999999999</v>
      </c>
      <c r="DA23" s="3023">
        <v>0</v>
      </c>
      <c r="DB23" s="4228">
        <v>16.245999999999999</v>
      </c>
      <c r="DC23" s="2999">
        <f t="shared" si="240"/>
        <v>4.07</v>
      </c>
      <c r="DD23" s="3023">
        <v>0</v>
      </c>
      <c r="DE23" s="3023">
        <v>4.07</v>
      </c>
      <c r="DF23" s="2999">
        <f t="shared" si="241"/>
        <v>29.357669379627929</v>
      </c>
      <c r="DG23" s="2999"/>
      <c r="DH23" s="2999">
        <f>SUM(DH11*DH29)</f>
        <v>29.357669379627929</v>
      </c>
      <c r="DI23" s="2999">
        <f t="shared" si="242"/>
        <v>57.735999999999997</v>
      </c>
      <c r="DJ23" s="3023">
        <v>0</v>
      </c>
      <c r="DK23" s="3023">
        <v>57.735999999999997</v>
      </c>
      <c r="DL23" s="2999">
        <f t="shared" si="243"/>
        <v>44.4</v>
      </c>
      <c r="DM23" s="3023">
        <v>0</v>
      </c>
      <c r="DN23" s="3023">
        <v>44.4</v>
      </c>
      <c r="DO23" s="3001">
        <f t="shared" si="209"/>
        <v>88.073008138883779</v>
      </c>
      <c r="DP23" s="3001">
        <f t="shared" si="209"/>
        <v>0</v>
      </c>
      <c r="DQ23" s="3001">
        <f t="shared" si="209"/>
        <v>88.073008138883779</v>
      </c>
      <c r="DR23" s="3001">
        <f t="shared" si="209"/>
        <v>83.274000000000001</v>
      </c>
      <c r="DS23" s="3001">
        <f t="shared" si="209"/>
        <v>0</v>
      </c>
      <c r="DT23" s="3001">
        <f t="shared" si="209"/>
        <v>83.274000000000001</v>
      </c>
      <c r="DU23" s="3001">
        <f t="shared" si="209"/>
        <v>60.019999999999996</v>
      </c>
      <c r="DV23" s="3001">
        <f t="shared" si="209"/>
        <v>0</v>
      </c>
      <c r="DW23" s="3001">
        <f t="shared" si="209"/>
        <v>60.019999999999996</v>
      </c>
      <c r="DX23" s="2927">
        <f t="shared" si="210"/>
        <v>-4.799008138883778</v>
      </c>
      <c r="DY23" s="2927">
        <f t="shared" si="210"/>
        <v>0</v>
      </c>
      <c r="DZ23" s="2927">
        <f t="shared" si="210"/>
        <v>-4.799008138883778</v>
      </c>
      <c r="EA23" s="3001">
        <f t="shared" si="211"/>
        <v>217.62156394307618</v>
      </c>
      <c r="EB23" s="3001">
        <f t="shared" si="211"/>
        <v>0</v>
      </c>
      <c r="EC23" s="3001">
        <f t="shared" si="211"/>
        <v>217.62156394307618</v>
      </c>
      <c r="ED23" s="3001">
        <f t="shared" si="211"/>
        <v>192.309</v>
      </c>
      <c r="EE23" s="3001">
        <f t="shared" si="211"/>
        <v>0</v>
      </c>
      <c r="EF23" s="2990">
        <f t="shared" si="211"/>
        <v>192.309</v>
      </c>
      <c r="EG23" s="3001">
        <f t="shared" si="211"/>
        <v>172.99231</v>
      </c>
      <c r="EH23" s="3001">
        <f t="shared" si="211"/>
        <v>0</v>
      </c>
      <c r="EI23" s="3001">
        <f t="shared" si="211"/>
        <v>172.99231</v>
      </c>
      <c r="EJ23" s="2927">
        <f t="shared" si="212"/>
        <v>-25.312563943076185</v>
      </c>
      <c r="EK23" s="2927">
        <f t="shared" si="212"/>
        <v>0</v>
      </c>
      <c r="EL23" s="2927">
        <f t="shared" si="212"/>
        <v>-25.312563943076185</v>
      </c>
      <c r="EM23" s="2999">
        <f t="shared" si="244"/>
        <v>29.357669379627929</v>
      </c>
      <c r="EN23" s="2999"/>
      <c r="EO23" s="2999">
        <f>SUM(EO11*EO29)</f>
        <v>29.357669379627929</v>
      </c>
      <c r="EP23" s="2999">
        <f t="shared" si="245"/>
        <v>22.507000000000001</v>
      </c>
      <c r="EQ23" s="3023">
        <v>0</v>
      </c>
      <c r="ER23" s="3023">
        <v>22.507000000000001</v>
      </c>
      <c r="ES23" s="2999">
        <f t="shared" si="246"/>
        <v>5.391</v>
      </c>
      <c r="ET23" s="3023">
        <v>0</v>
      </c>
      <c r="EU23" s="3023">
        <v>5.391</v>
      </c>
      <c r="EV23" s="2999">
        <f t="shared" si="247"/>
        <v>29.357669379627929</v>
      </c>
      <c r="EW23" s="2999"/>
      <c r="EX23" s="2999">
        <f>SUM(EX11*EX29)</f>
        <v>29.357669379627929</v>
      </c>
      <c r="EY23" s="2999">
        <f t="shared" si="248"/>
        <v>5.907</v>
      </c>
      <c r="EZ23" s="3023"/>
      <c r="FA23" s="3023">
        <v>5.907</v>
      </c>
      <c r="FB23" s="2999">
        <f t="shared" si="249"/>
        <v>12.154999999999999</v>
      </c>
      <c r="FC23" s="3023">
        <v>0</v>
      </c>
      <c r="FD23" s="3023">
        <v>12.154999999999999</v>
      </c>
      <c r="FE23" s="2999">
        <f t="shared" si="250"/>
        <v>29.357669379627929</v>
      </c>
      <c r="FF23" s="2999"/>
      <c r="FG23" s="2999">
        <f>SUM(FG11*FG29)</f>
        <v>29.357669379627929</v>
      </c>
      <c r="FH23" s="2999">
        <f t="shared" si="251"/>
        <v>63.469982999999999</v>
      </c>
      <c r="FI23" s="3023">
        <v>0</v>
      </c>
      <c r="FJ23" s="3023">
        <f>63.469+0.000983</f>
        <v>63.469982999999999</v>
      </c>
      <c r="FK23" s="2999">
        <f t="shared" si="252"/>
        <v>47.59</v>
      </c>
      <c r="FL23" s="3023">
        <v>0</v>
      </c>
      <c r="FM23" s="3023">
        <v>47.59</v>
      </c>
      <c r="FN23" s="3001">
        <f t="shared" si="213"/>
        <v>88.073008138883779</v>
      </c>
      <c r="FO23" s="3001">
        <f t="shared" si="213"/>
        <v>0</v>
      </c>
      <c r="FP23" s="3001">
        <f t="shared" si="213"/>
        <v>88.073008138883779</v>
      </c>
      <c r="FQ23" s="3001">
        <f t="shared" si="213"/>
        <v>91.883983000000001</v>
      </c>
      <c r="FR23" s="3001">
        <f t="shared" si="213"/>
        <v>0</v>
      </c>
      <c r="FS23" s="3001">
        <f t="shared" si="213"/>
        <v>91.883983000000001</v>
      </c>
      <c r="FT23" s="3001">
        <f t="shared" si="213"/>
        <v>65.135999999999996</v>
      </c>
      <c r="FU23" s="3001">
        <f t="shared" si="213"/>
        <v>0</v>
      </c>
      <c r="FV23" s="3001">
        <f t="shared" si="213"/>
        <v>65.135999999999996</v>
      </c>
      <c r="FW23" s="2927">
        <f t="shared" si="214"/>
        <v>3.8109748611162217</v>
      </c>
      <c r="FX23" s="2927">
        <f t="shared" si="214"/>
        <v>0</v>
      </c>
      <c r="FY23" s="2927">
        <f t="shared" si="214"/>
        <v>3.8109748611162217</v>
      </c>
      <c r="FZ23" s="3001">
        <f t="shared" si="215"/>
        <v>305.69457208195996</v>
      </c>
      <c r="GA23" s="3001">
        <f t="shared" si="215"/>
        <v>0</v>
      </c>
      <c r="GB23" s="3001">
        <f t="shared" si="215"/>
        <v>305.69457208195996</v>
      </c>
      <c r="GC23" s="3001">
        <f t="shared" si="215"/>
        <v>284.19298300000003</v>
      </c>
      <c r="GD23" s="3001">
        <f t="shared" si="215"/>
        <v>0</v>
      </c>
      <c r="GE23" s="3001">
        <f t="shared" si="215"/>
        <v>284.19298300000003</v>
      </c>
      <c r="GF23" s="3001">
        <f t="shared" si="215"/>
        <v>238.12831</v>
      </c>
      <c r="GG23" s="3001">
        <f t="shared" si="215"/>
        <v>0</v>
      </c>
      <c r="GH23" s="3001">
        <f t="shared" si="215"/>
        <v>238.12831</v>
      </c>
      <c r="GI23" s="2927">
        <f t="shared" si="216"/>
        <v>-21.501589081959935</v>
      </c>
      <c r="GJ23" s="2927">
        <f t="shared" si="216"/>
        <v>0</v>
      </c>
      <c r="GK23" s="2927">
        <f t="shared" si="216"/>
        <v>-21.501589081959935</v>
      </c>
      <c r="GM23" s="4234"/>
    </row>
    <row r="24" spans="1:195" ht="18.75" customHeight="1" x14ac:dyDescent="0.3">
      <c r="A24" s="2914" t="s">
        <v>3780</v>
      </c>
      <c r="B24" s="2999">
        <f t="shared" si="217"/>
        <v>1878.4348801515562</v>
      </c>
      <c r="C24" s="2999">
        <f>SUM(C12*C30)</f>
        <v>1878.4348801515562</v>
      </c>
      <c r="D24" s="2999"/>
      <c r="E24" s="2999">
        <f t="shared" si="218"/>
        <v>1638.1790000000001</v>
      </c>
      <c r="F24" s="4228">
        <v>1638.1790000000001</v>
      </c>
      <c r="G24" s="3023"/>
      <c r="H24" s="2999">
        <f t="shared" si="219"/>
        <v>1882.99</v>
      </c>
      <c r="I24" s="3023">
        <v>1882.99</v>
      </c>
      <c r="J24" s="3023"/>
      <c r="K24" s="2999">
        <f t="shared" si="220"/>
        <v>1878.4348801515562</v>
      </c>
      <c r="L24" s="2999">
        <f>SUM(L12*L30)</f>
        <v>1878.4348801515562</v>
      </c>
      <c r="M24" s="2999"/>
      <c r="N24" s="2999">
        <f t="shared" si="221"/>
        <v>2174.6570000000002</v>
      </c>
      <c r="O24" s="4228">
        <v>2174.6570000000002</v>
      </c>
      <c r="P24" s="3023"/>
      <c r="Q24" s="2999">
        <f t="shared" si="222"/>
        <v>2168.165</v>
      </c>
      <c r="R24" s="3023">
        <v>2168.165</v>
      </c>
      <c r="S24" s="3023"/>
      <c r="T24" s="2999">
        <f t="shared" si="223"/>
        <v>1878.4348801515562</v>
      </c>
      <c r="U24" s="2999">
        <f>SUM(U12*U30)</f>
        <v>1878.4348801515562</v>
      </c>
      <c r="V24" s="2999"/>
      <c r="W24" s="2999">
        <f t="shared" si="224"/>
        <v>2012.0840000000001</v>
      </c>
      <c r="X24" s="4228">
        <v>2012.0840000000001</v>
      </c>
      <c r="Y24" s="3023"/>
      <c r="Z24" s="2999">
        <f t="shared" si="225"/>
        <v>2030.56</v>
      </c>
      <c r="AA24" s="3023">
        <v>2030.56</v>
      </c>
      <c r="AB24" s="3023"/>
      <c r="AC24" s="3001">
        <f t="shared" si="203"/>
        <v>5635.3046404546685</v>
      </c>
      <c r="AD24" s="3001">
        <f t="shared" si="203"/>
        <v>5635.3046404546685</v>
      </c>
      <c r="AE24" s="3001">
        <f t="shared" si="203"/>
        <v>0</v>
      </c>
      <c r="AF24" s="3001">
        <f t="shared" si="203"/>
        <v>5824.92</v>
      </c>
      <c r="AG24" s="3001">
        <f t="shared" si="203"/>
        <v>5824.92</v>
      </c>
      <c r="AH24" s="3001">
        <f t="shared" si="203"/>
        <v>0</v>
      </c>
      <c r="AI24" s="3001">
        <f t="shared" si="203"/>
        <v>6081.7150000000001</v>
      </c>
      <c r="AJ24" s="3001">
        <f t="shared" si="203"/>
        <v>6081.7150000000001</v>
      </c>
      <c r="AK24" s="3001">
        <f t="shared" si="203"/>
        <v>0</v>
      </c>
      <c r="AL24" s="2927">
        <f t="shared" si="204"/>
        <v>189.61535954533156</v>
      </c>
      <c r="AM24" s="2927">
        <f t="shared" si="204"/>
        <v>189.61535954533156</v>
      </c>
      <c r="AN24" s="2927">
        <f t="shared" si="204"/>
        <v>0</v>
      </c>
      <c r="AO24" s="2999">
        <f t="shared" si="226"/>
        <v>1878.4348801515562</v>
      </c>
      <c r="AP24" s="2999">
        <f>SUM(AP12*AP30)</f>
        <v>1878.4348801515562</v>
      </c>
      <c r="AQ24" s="2999"/>
      <c r="AR24" s="2999">
        <f t="shared" si="227"/>
        <v>2025.4580000000001</v>
      </c>
      <c r="AS24" s="4228">
        <v>2025.4580000000001</v>
      </c>
      <c r="AT24" s="3023"/>
      <c r="AU24" s="2999">
        <f t="shared" si="228"/>
        <v>1738.27</v>
      </c>
      <c r="AV24" s="3023">
        <v>1738.27</v>
      </c>
      <c r="AW24" s="3023"/>
      <c r="AX24" s="2999">
        <f t="shared" si="229"/>
        <v>1878.4348801515562</v>
      </c>
      <c r="AY24" s="2999">
        <f>SUM(AY12*AY30)</f>
        <v>1878.4348801515562</v>
      </c>
      <c r="AZ24" s="2999"/>
      <c r="BA24" s="2999">
        <f t="shared" si="230"/>
        <v>1830.1289999999999</v>
      </c>
      <c r="BB24" s="4228">
        <v>1830.1289999999999</v>
      </c>
      <c r="BC24" s="3023"/>
      <c r="BD24" s="2999">
        <f t="shared" si="231"/>
        <v>1424.69</v>
      </c>
      <c r="BE24" s="3023">
        <v>1424.69</v>
      </c>
      <c r="BF24" s="3023"/>
      <c r="BG24" s="2999">
        <f t="shared" si="232"/>
        <v>1878.4348801515562</v>
      </c>
      <c r="BH24" s="2999">
        <f>SUM(BH12*BH30)</f>
        <v>1878.4348801515562</v>
      </c>
      <c r="BI24" s="2999"/>
      <c r="BJ24" s="2999">
        <f t="shared" si="233"/>
        <v>2013.2940000000001</v>
      </c>
      <c r="BK24" s="4228">
        <v>2013.2940000000001</v>
      </c>
      <c r="BL24" s="3023"/>
      <c r="BM24" s="2999">
        <f t="shared" si="234"/>
        <v>1455.55</v>
      </c>
      <c r="BN24" s="3023">
        <v>1455.55</v>
      </c>
      <c r="BO24" s="3023"/>
      <c r="BP24" s="3001">
        <f t="shared" si="205"/>
        <v>5635.3046404546685</v>
      </c>
      <c r="BQ24" s="3001">
        <f t="shared" si="205"/>
        <v>5635.3046404546685</v>
      </c>
      <c r="BR24" s="3001">
        <f t="shared" si="205"/>
        <v>0</v>
      </c>
      <c r="BS24" s="3001">
        <f t="shared" si="205"/>
        <v>5868.8810000000003</v>
      </c>
      <c r="BT24" s="3001">
        <f t="shared" si="205"/>
        <v>5868.8810000000003</v>
      </c>
      <c r="BU24" s="3001">
        <f t="shared" si="205"/>
        <v>0</v>
      </c>
      <c r="BV24" s="3001">
        <f t="shared" si="205"/>
        <v>4618.51</v>
      </c>
      <c r="BW24" s="3001">
        <f t="shared" si="205"/>
        <v>4618.51</v>
      </c>
      <c r="BX24" s="3001">
        <f t="shared" si="205"/>
        <v>0</v>
      </c>
      <c r="BY24" s="2927">
        <f t="shared" si="206"/>
        <v>233.5763595453318</v>
      </c>
      <c r="BZ24" s="2927">
        <f t="shared" si="206"/>
        <v>233.5763595453318</v>
      </c>
      <c r="CA24" s="2927">
        <f t="shared" si="206"/>
        <v>0</v>
      </c>
      <c r="CB24" s="3001">
        <f t="shared" si="207"/>
        <v>11270.609280909337</v>
      </c>
      <c r="CC24" s="3001">
        <f t="shared" si="207"/>
        <v>11270.609280909337</v>
      </c>
      <c r="CD24" s="3001">
        <f t="shared" si="207"/>
        <v>0</v>
      </c>
      <c r="CE24" s="3001">
        <f t="shared" si="207"/>
        <v>11693.800999999999</v>
      </c>
      <c r="CF24" s="3001">
        <f t="shared" si="207"/>
        <v>11693.800999999999</v>
      </c>
      <c r="CG24" s="3001">
        <f t="shared" si="207"/>
        <v>0</v>
      </c>
      <c r="CH24" s="3001">
        <f t="shared" si="207"/>
        <v>10700.225</v>
      </c>
      <c r="CI24" s="3001">
        <f t="shared" si="207"/>
        <v>10700.225</v>
      </c>
      <c r="CJ24" s="3001">
        <f t="shared" si="207"/>
        <v>0</v>
      </c>
      <c r="CK24" s="2927">
        <f t="shared" si="208"/>
        <v>423.19171909066245</v>
      </c>
      <c r="CL24" s="2927">
        <f t="shared" si="208"/>
        <v>423.19171909066245</v>
      </c>
      <c r="CM24" s="2927">
        <f t="shared" si="208"/>
        <v>0</v>
      </c>
      <c r="CN24" s="2999">
        <f t="shared" si="235"/>
        <v>1950.7818000728407</v>
      </c>
      <c r="CO24" s="2999">
        <f>SUM(CO12*CO30)</f>
        <v>1950.7818000728407</v>
      </c>
      <c r="CP24" s="2999"/>
      <c r="CQ24" s="2999">
        <f t="shared" si="236"/>
        <v>1706.394</v>
      </c>
      <c r="CR24" s="4228">
        <v>1706.394</v>
      </c>
      <c r="CS24" s="3023"/>
      <c r="CT24" s="2999">
        <f t="shared" si="237"/>
        <v>1447.2840000000001</v>
      </c>
      <c r="CU24" s="3023">
        <v>1447.2840000000001</v>
      </c>
      <c r="CV24" s="3023"/>
      <c r="CW24" s="2999">
        <f t="shared" si="238"/>
        <v>1950.7818000728407</v>
      </c>
      <c r="CX24" s="2999">
        <f>SUM(CX12*CX30)</f>
        <v>1950.7818000728407</v>
      </c>
      <c r="CY24" s="2999"/>
      <c r="CZ24" s="2999">
        <f t="shared" si="239"/>
        <v>1947.4829999999999</v>
      </c>
      <c r="DA24" s="4228">
        <v>1947.4829999999999</v>
      </c>
      <c r="DB24" s="3023"/>
      <c r="DC24" s="2999">
        <f t="shared" si="240"/>
        <v>1566.7</v>
      </c>
      <c r="DD24" s="3023">
        <v>1566.7</v>
      </c>
      <c r="DE24" s="3023"/>
      <c r="DF24" s="2999">
        <f t="shared" si="241"/>
        <v>1950.7818000728407</v>
      </c>
      <c r="DG24" s="2999">
        <f>SUM(DG12*DG30)</f>
        <v>1950.7818000728407</v>
      </c>
      <c r="DH24" s="2999"/>
      <c r="DI24" s="2999">
        <f t="shared" si="242"/>
        <v>2103.7460000000001</v>
      </c>
      <c r="DJ24" s="3023">
        <v>2103.7460000000001</v>
      </c>
      <c r="DK24" s="3023"/>
      <c r="DL24" s="2999">
        <f t="shared" si="243"/>
        <v>1427.81</v>
      </c>
      <c r="DM24" s="3023">
        <v>1427.81</v>
      </c>
      <c r="DN24" s="3023"/>
      <c r="DO24" s="3001">
        <f t="shared" si="209"/>
        <v>5852.3454002185226</v>
      </c>
      <c r="DP24" s="3001">
        <f t="shared" si="209"/>
        <v>5852.3454002185226</v>
      </c>
      <c r="DQ24" s="3001">
        <f t="shared" si="209"/>
        <v>0</v>
      </c>
      <c r="DR24" s="3001">
        <f t="shared" si="209"/>
        <v>5757.6229999999996</v>
      </c>
      <c r="DS24" s="3001">
        <f t="shared" si="209"/>
        <v>5757.6229999999996</v>
      </c>
      <c r="DT24" s="3001">
        <f t="shared" si="209"/>
        <v>0</v>
      </c>
      <c r="DU24" s="3001">
        <f t="shared" si="209"/>
        <v>4441.7939999999999</v>
      </c>
      <c r="DV24" s="3001">
        <f t="shared" si="209"/>
        <v>4441.7939999999999</v>
      </c>
      <c r="DW24" s="3001">
        <f t="shared" si="209"/>
        <v>0</v>
      </c>
      <c r="DX24" s="2927">
        <f t="shared" si="210"/>
        <v>-94.722400218523035</v>
      </c>
      <c r="DY24" s="2927">
        <f t="shared" si="210"/>
        <v>-94.722400218523035</v>
      </c>
      <c r="DZ24" s="2927">
        <f t="shared" si="210"/>
        <v>0</v>
      </c>
      <c r="EA24" s="3001">
        <f t="shared" si="211"/>
        <v>17122.95468112786</v>
      </c>
      <c r="EB24" s="3001">
        <f t="shared" si="211"/>
        <v>17122.95468112786</v>
      </c>
      <c r="EC24" s="3001">
        <f t="shared" si="211"/>
        <v>0</v>
      </c>
      <c r="ED24" s="3001">
        <f t="shared" si="211"/>
        <v>17451.423999999999</v>
      </c>
      <c r="EE24" s="2990">
        <f t="shared" si="211"/>
        <v>17451.423999999999</v>
      </c>
      <c r="EF24" s="3001">
        <f t="shared" si="211"/>
        <v>0</v>
      </c>
      <c r="EG24" s="3001">
        <f t="shared" si="211"/>
        <v>15142.019</v>
      </c>
      <c r="EH24" s="3001">
        <f t="shared" si="211"/>
        <v>15142.019</v>
      </c>
      <c r="EI24" s="3001">
        <f t="shared" si="211"/>
        <v>0</v>
      </c>
      <c r="EJ24" s="2927">
        <f t="shared" si="212"/>
        <v>328.46931887213941</v>
      </c>
      <c r="EK24" s="2927">
        <f t="shared" si="212"/>
        <v>328.46931887213941</v>
      </c>
      <c r="EL24" s="2927">
        <f t="shared" si="212"/>
        <v>0</v>
      </c>
      <c r="EM24" s="2999">
        <f t="shared" si="244"/>
        <v>1950.7818000728407</v>
      </c>
      <c r="EN24" s="2999">
        <f>SUM(EN12*EN30)</f>
        <v>1950.7818000728407</v>
      </c>
      <c r="EO24" s="2999"/>
      <c r="EP24" s="2999">
        <f t="shared" si="245"/>
        <v>2082.5659999999998</v>
      </c>
      <c r="EQ24" s="3023">
        <v>2082.5659999999998</v>
      </c>
      <c r="ER24" s="3023"/>
      <c r="ES24" s="2999">
        <f t="shared" si="246"/>
        <v>1891.723</v>
      </c>
      <c r="ET24" s="3023">
        <v>1891.723</v>
      </c>
      <c r="EU24" s="3023"/>
      <c r="EV24" s="2999">
        <f t="shared" si="247"/>
        <v>1950.7818000728407</v>
      </c>
      <c r="EW24" s="2999">
        <f>SUM(EW12*EW30)</f>
        <v>1950.7818000728407</v>
      </c>
      <c r="EX24" s="2999"/>
      <c r="EY24" s="2999">
        <f t="shared" si="248"/>
        <v>1786.3979999999999</v>
      </c>
      <c r="EZ24" s="3023">
        <v>1786.3979999999999</v>
      </c>
      <c r="FA24" s="3023"/>
      <c r="FB24" s="2999">
        <f t="shared" si="249"/>
        <v>2075.6489999999999</v>
      </c>
      <c r="FC24" s="3023">
        <v>2075.6489999999999</v>
      </c>
      <c r="FD24" s="3023"/>
      <c r="FE24" s="2999">
        <f t="shared" si="250"/>
        <v>1950.7818000728407</v>
      </c>
      <c r="FF24" s="2999">
        <f>SUM(FF12*FF30)</f>
        <v>1950.7818000728407</v>
      </c>
      <c r="FG24" s="2999"/>
      <c r="FH24" s="2999">
        <f t="shared" si="251"/>
        <v>2212.346</v>
      </c>
      <c r="FI24" s="3023">
        <v>2212.346</v>
      </c>
      <c r="FJ24" s="3023"/>
      <c r="FK24" s="2999">
        <f t="shared" si="252"/>
        <v>2155.9499999999998</v>
      </c>
      <c r="FL24" s="3023">
        <v>2155.9499999999998</v>
      </c>
      <c r="FM24" s="3023"/>
      <c r="FN24" s="3001">
        <f t="shared" si="213"/>
        <v>5852.3454002185226</v>
      </c>
      <c r="FO24" s="3001">
        <f t="shared" si="213"/>
        <v>5852.3454002185226</v>
      </c>
      <c r="FP24" s="3001">
        <f t="shared" si="213"/>
        <v>0</v>
      </c>
      <c r="FQ24" s="3001">
        <f t="shared" si="213"/>
        <v>6081.3099999999995</v>
      </c>
      <c r="FR24" s="3001">
        <f t="shared" si="213"/>
        <v>6081.3099999999995</v>
      </c>
      <c r="FS24" s="3001">
        <f t="shared" si="213"/>
        <v>0</v>
      </c>
      <c r="FT24" s="3001">
        <f t="shared" si="213"/>
        <v>6123.3220000000001</v>
      </c>
      <c r="FU24" s="3001">
        <f t="shared" si="213"/>
        <v>6123.3220000000001</v>
      </c>
      <c r="FV24" s="3001">
        <f t="shared" si="213"/>
        <v>0</v>
      </c>
      <c r="FW24" s="2927">
        <f t="shared" si="214"/>
        <v>228.96459978147686</v>
      </c>
      <c r="FX24" s="2927">
        <f t="shared" si="214"/>
        <v>228.96459978147686</v>
      </c>
      <c r="FY24" s="2927">
        <f t="shared" si="214"/>
        <v>0</v>
      </c>
      <c r="FZ24" s="3001">
        <f t="shared" si="215"/>
        <v>22975.30008134638</v>
      </c>
      <c r="GA24" s="3001">
        <f t="shared" si="215"/>
        <v>22975.30008134638</v>
      </c>
      <c r="GB24" s="3001">
        <f t="shared" si="215"/>
        <v>0</v>
      </c>
      <c r="GC24" s="3001">
        <f t="shared" si="215"/>
        <v>23532.733999999997</v>
      </c>
      <c r="GD24" s="3001">
        <f t="shared" si="215"/>
        <v>23532.733999999997</v>
      </c>
      <c r="GE24" s="3001">
        <f t="shared" si="215"/>
        <v>0</v>
      </c>
      <c r="GF24" s="3001">
        <f t="shared" si="215"/>
        <v>21265.341</v>
      </c>
      <c r="GG24" s="3001">
        <f t="shared" si="215"/>
        <v>21265.341</v>
      </c>
      <c r="GH24" s="3001">
        <f t="shared" si="215"/>
        <v>0</v>
      </c>
      <c r="GI24" s="2927">
        <f t="shared" si="216"/>
        <v>557.43391865361627</v>
      </c>
      <c r="GJ24" s="2927">
        <f t="shared" si="216"/>
        <v>557.43391865361627</v>
      </c>
      <c r="GK24" s="2927">
        <f t="shared" si="216"/>
        <v>0</v>
      </c>
      <c r="GM24" s="4234"/>
    </row>
    <row r="25" spans="1:195" ht="18.75" customHeight="1" x14ac:dyDescent="0.3">
      <c r="A25" s="2910" t="s">
        <v>3782</v>
      </c>
      <c r="B25" s="2997">
        <f t="shared" si="217"/>
        <v>7829.1625765812551</v>
      </c>
      <c r="C25" s="2997">
        <f>SUM(C21:C24)</f>
        <v>7807.5711506138896</v>
      </c>
      <c r="D25" s="2997">
        <f>SUM(D21:D24)</f>
        <v>21.591425967365403</v>
      </c>
      <c r="E25" s="2997">
        <f t="shared" si="218"/>
        <v>8654.5947099999994</v>
      </c>
      <c r="F25" s="2997">
        <f>SUM(F21:F24)</f>
        <v>8651.5137099999993</v>
      </c>
      <c r="G25" s="2997">
        <f>SUM(G21:G24)</f>
        <v>3.081</v>
      </c>
      <c r="H25" s="2997">
        <f>SUM(H21:H24)</f>
        <v>8673.875</v>
      </c>
      <c r="I25" s="2997">
        <f>SUM(I21:I24)</f>
        <v>8668.7970000000005</v>
      </c>
      <c r="J25" s="2997">
        <f>SUM(J21:J24)</f>
        <v>5.0780000000000003</v>
      </c>
      <c r="K25" s="2997">
        <f t="shared" si="220"/>
        <v>7829.1625765812551</v>
      </c>
      <c r="L25" s="2997">
        <f>SUM(L21:L24)</f>
        <v>7807.5711506138896</v>
      </c>
      <c r="M25" s="2997">
        <f>SUM(M21:M24)</f>
        <v>21.591425967365403</v>
      </c>
      <c r="N25" s="2997">
        <f t="shared" si="221"/>
        <v>8753.0969999999998</v>
      </c>
      <c r="O25" s="2997">
        <f>SUM(O21:O24)</f>
        <v>8749.6309999999994</v>
      </c>
      <c r="P25" s="2997">
        <f>SUM(P21:P24)</f>
        <v>3.4660000000000002</v>
      </c>
      <c r="Q25" s="2997">
        <f>SUM(Q21:Q24)</f>
        <v>8657.2080000000005</v>
      </c>
      <c r="R25" s="2997">
        <f>SUM(R21:R24)</f>
        <v>8654.3140000000003</v>
      </c>
      <c r="S25" s="2997">
        <f>SUM(S21:S24)</f>
        <v>2.8940000000000001</v>
      </c>
      <c r="T25" s="2997">
        <f t="shared" si="223"/>
        <v>7829.1625765812551</v>
      </c>
      <c r="U25" s="2997">
        <f>SUM(U21:U24)</f>
        <v>7807.5711506138896</v>
      </c>
      <c r="V25" s="2997">
        <f>SUM(V21:V24)</f>
        <v>21.591425967365403</v>
      </c>
      <c r="W25" s="2997">
        <f t="shared" si="224"/>
        <v>8604.3729999999996</v>
      </c>
      <c r="X25" s="2997">
        <f>SUM(X21:X24)</f>
        <v>8562.0280000000002</v>
      </c>
      <c r="Y25" s="2997">
        <f>SUM(Y21:Y24)</f>
        <v>42.344999999999999</v>
      </c>
      <c r="Z25" s="2997">
        <f>SUM(Z21:Z24)</f>
        <v>8329.4239999999991</v>
      </c>
      <c r="AA25" s="2997">
        <f>SUM(AA21:AA24)</f>
        <v>8288.8539999999994</v>
      </c>
      <c r="AB25" s="2997">
        <f>SUM(AB21:AB24)</f>
        <v>40.57</v>
      </c>
      <c r="AC25" s="2962">
        <f t="shared" si="203"/>
        <v>23487.487729743763</v>
      </c>
      <c r="AD25" s="2962">
        <f t="shared" si="203"/>
        <v>23422.713451841668</v>
      </c>
      <c r="AE25" s="2962">
        <f t="shared" si="203"/>
        <v>64.774277902096202</v>
      </c>
      <c r="AF25" s="2962">
        <f t="shared" si="203"/>
        <v>26012.064709999999</v>
      </c>
      <c r="AG25" s="2962">
        <f t="shared" si="203"/>
        <v>25963.172709999999</v>
      </c>
      <c r="AH25" s="2962">
        <f t="shared" si="203"/>
        <v>48.891999999999996</v>
      </c>
      <c r="AI25" s="2962">
        <f t="shared" si="203"/>
        <v>25660.506999999998</v>
      </c>
      <c r="AJ25" s="2962">
        <f t="shared" si="203"/>
        <v>25611.965</v>
      </c>
      <c r="AK25" s="2962">
        <f t="shared" si="203"/>
        <v>48.542000000000002</v>
      </c>
      <c r="AL25" s="2938">
        <f t="shared" si="204"/>
        <v>2524.5769802562354</v>
      </c>
      <c r="AM25" s="2938">
        <f t="shared" si="204"/>
        <v>2540.4592581583311</v>
      </c>
      <c r="AN25" s="2938">
        <f t="shared" si="204"/>
        <v>-15.882277902096206</v>
      </c>
      <c r="AO25" s="2997">
        <f t="shared" si="226"/>
        <v>7829.1625765812551</v>
      </c>
      <c r="AP25" s="2997">
        <f>SUM(AP21:AP24)</f>
        <v>7807.5711506138896</v>
      </c>
      <c r="AQ25" s="2997">
        <f>SUM(AQ21:AQ24)</f>
        <v>21.591425967365403</v>
      </c>
      <c r="AR25" s="2997">
        <f t="shared" si="227"/>
        <v>8977.0735100000002</v>
      </c>
      <c r="AS25" s="2997">
        <f>SUM(AS21:AS24)</f>
        <v>8966.309510000001</v>
      </c>
      <c r="AT25" s="2997">
        <f>SUM(AT21:AT24)</f>
        <v>10.763999999999999</v>
      </c>
      <c r="AU25" s="2997">
        <f>SUM(AU21:AU24)</f>
        <v>8491.5129500000003</v>
      </c>
      <c r="AV25" s="2997">
        <f>SUM(AV21:AV24)</f>
        <v>8487.3080000000009</v>
      </c>
      <c r="AW25" s="2997">
        <f>SUM(AW21:AW24)</f>
        <v>4.2049500000000002</v>
      </c>
      <c r="AX25" s="2997">
        <f t="shared" si="229"/>
        <v>7829.1625765812551</v>
      </c>
      <c r="AY25" s="2997">
        <f>SUM(AY21:AY24)</f>
        <v>7807.5711506138896</v>
      </c>
      <c r="AZ25" s="2997">
        <f>SUM(AZ21:AZ24)</f>
        <v>21.591425967365403</v>
      </c>
      <c r="BA25" s="2997">
        <f t="shared" si="230"/>
        <v>8639.2610000000004</v>
      </c>
      <c r="BB25" s="2997">
        <f>SUM(BB21:BB24)</f>
        <v>8635.3220000000001</v>
      </c>
      <c r="BC25" s="2997">
        <f>SUM(BC21:BC24)</f>
        <v>3.9390000000000001</v>
      </c>
      <c r="BD25" s="2997">
        <f>SUM(BD21:BD24)</f>
        <v>8062.2063600000001</v>
      </c>
      <c r="BE25" s="2997">
        <f>SUM(BE21:BE24)</f>
        <v>8050.4709999999995</v>
      </c>
      <c r="BF25" s="2997">
        <f>SUM(BF21:BF24)</f>
        <v>11.73536</v>
      </c>
      <c r="BG25" s="2997">
        <f t="shared" si="232"/>
        <v>7829.1625765812551</v>
      </c>
      <c r="BH25" s="2997">
        <f>SUM(BH21:BH24)</f>
        <v>7807.5711506138896</v>
      </c>
      <c r="BI25" s="2997">
        <f>SUM(BI21:BI24)</f>
        <v>21.591425967365403</v>
      </c>
      <c r="BJ25" s="2997">
        <f t="shared" si="233"/>
        <v>8764.8010000000013</v>
      </c>
      <c r="BK25" s="2997">
        <f>SUM(BK21:BK24)</f>
        <v>8719.3610000000008</v>
      </c>
      <c r="BL25" s="2997">
        <f>SUM(BL21:BL24)</f>
        <v>45.44</v>
      </c>
      <c r="BM25" s="2997">
        <f>SUM(BM21:BM24)</f>
        <v>7900.692</v>
      </c>
      <c r="BN25" s="2997">
        <f>SUM(BN21:BN24)</f>
        <v>7852.2020000000002</v>
      </c>
      <c r="BO25" s="2997">
        <f>SUM(BO21:BO24)</f>
        <v>48.49</v>
      </c>
      <c r="BP25" s="2962">
        <f t="shared" si="205"/>
        <v>23487.487729743763</v>
      </c>
      <c r="BQ25" s="2962">
        <f t="shared" si="205"/>
        <v>23422.713451841668</v>
      </c>
      <c r="BR25" s="2962">
        <f t="shared" si="205"/>
        <v>64.774277902096202</v>
      </c>
      <c r="BS25" s="2962">
        <f t="shared" si="205"/>
        <v>26381.13551</v>
      </c>
      <c r="BT25" s="2962">
        <f t="shared" si="205"/>
        <v>26320.99251</v>
      </c>
      <c r="BU25" s="2962">
        <f t="shared" si="205"/>
        <v>60.143000000000001</v>
      </c>
      <c r="BV25" s="2962">
        <f t="shared" si="205"/>
        <v>24454.41131</v>
      </c>
      <c r="BW25" s="2962">
        <f t="shared" si="205"/>
        <v>24389.981000000003</v>
      </c>
      <c r="BX25" s="2962">
        <f t="shared" si="205"/>
        <v>64.430310000000006</v>
      </c>
      <c r="BY25" s="2938">
        <f t="shared" si="206"/>
        <v>2893.6477802562367</v>
      </c>
      <c r="BZ25" s="2938">
        <f t="shared" si="206"/>
        <v>2898.2790581583322</v>
      </c>
      <c r="CA25" s="2938">
        <f t="shared" si="206"/>
        <v>-4.6312779020962012</v>
      </c>
      <c r="CB25" s="2962">
        <f t="shared" si="207"/>
        <v>46974.975459487527</v>
      </c>
      <c r="CC25" s="2962">
        <f t="shared" si="207"/>
        <v>46845.426903683336</v>
      </c>
      <c r="CD25" s="2962">
        <f t="shared" si="207"/>
        <v>129.5485558041924</v>
      </c>
      <c r="CE25" s="2962">
        <f t="shared" si="207"/>
        <v>52393.200219999999</v>
      </c>
      <c r="CF25" s="2962">
        <f t="shared" si="207"/>
        <v>52284.165219999995</v>
      </c>
      <c r="CG25" s="2962">
        <f t="shared" si="207"/>
        <v>109.035</v>
      </c>
      <c r="CH25" s="2962">
        <f t="shared" si="207"/>
        <v>50114.918309999994</v>
      </c>
      <c r="CI25" s="2962">
        <f t="shared" si="207"/>
        <v>50001.946000000004</v>
      </c>
      <c r="CJ25" s="2962">
        <f t="shared" si="207"/>
        <v>112.97231000000001</v>
      </c>
      <c r="CK25" s="2938">
        <f t="shared" si="208"/>
        <v>5418.2247605124721</v>
      </c>
      <c r="CL25" s="2938">
        <f t="shared" si="208"/>
        <v>5438.7383163166596</v>
      </c>
      <c r="CM25" s="2938">
        <f t="shared" si="208"/>
        <v>-20.513555804192407</v>
      </c>
      <c r="CN25" s="2997">
        <f t="shared" si="235"/>
        <v>8137.6332685648831</v>
      </c>
      <c r="CO25" s="2997">
        <f>SUM(CO21:CO24)</f>
        <v>8108.2755991852555</v>
      </c>
      <c r="CP25" s="2997">
        <f>SUM(CP21:CP24)</f>
        <v>29.357669379627929</v>
      </c>
      <c r="CQ25" s="2997">
        <f t="shared" si="236"/>
        <v>8291.0349999999999</v>
      </c>
      <c r="CR25" s="2997">
        <f>SUM(CR21:CR24)</f>
        <v>8281.7430000000004</v>
      </c>
      <c r="CS25" s="2997">
        <f>SUM(CS21:CS24)</f>
        <v>9.2919999999999998</v>
      </c>
      <c r="CT25" s="2997">
        <f>SUM(CT21:CT24)</f>
        <v>7763.0169999999998</v>
      </c>
      <c r="CU25" s="2997">
        <f>SUM(CU21:CU24)</f>
        <v>7751.4669999999987</v>
      </c>
      <c r="CV25" s="2997">
        <f>SUM(CV21:CV24)</f>
        <v>11.55</v>
      </c>
      <c r="CW25" s="2997">
        <f t="shared" si="238"/>
        <v>8137.6332685648831</v>
      </c>
      <c r="CX25" s="2997">
        <f>SUM(CX21:CX24)</f>
        <v>8108.2755991852555</v>
      </c>
      <c r="CY25" s="2997">
        <f>SUM(CY21:CY24)</f>
        <v>29.357669379627929</v>
      </c>
      <c r="CZ25" s="2996">
        <f t="shared" si="239"/>
        <v>8646.2649999999994</v>
      </c>
      <c r="DA25" s="2997">
        <f>SUM(DA21:DA24)</f>
        <v>8630.0190000000002</v>
      </c>
      <c r="DB25" s="2997">
        <f>SUM(DB21:DB24)</f>
        <v>16.245999999999999</v>
      </c>
      <c r="DC25" s="2997">
        <f>SUM(DC21:DC24)</f>
        <v>7957.2519999999995</v>
      </c>
      <c r="DD25" s="2997">
        <f>SUM(DD21:DD24)</f>
        <v>7953.1819999999998</v>
      </c>
      <c r="DE25" s="2997">
        <f>SUM(DE21:DE24)</f>
        <v>4.07</v>
      </c>
      <c r="DF25" s="2997">
        <f t="shared" si="241"/>
        <v>8137.6332685648831</v>
      </c>
      <c r="DG25" s="2997">
        <f>SUM(DG21:DG24)</f>
        <v>8108.2755991852555</v>
      </c>
      <c r="DH25" s="2997">
        <f>SUM(DH21:DH24)</f>
        <v>29.357669379627929</v>
      </c>
      <c r="DI25" s="2997">
        <f t="shared" si="242"/>
        <v>8652.26</v>
      </c>
      <c r="DJ25" s="2997">
        <f>SUM(DJ21:DJ24)</f>
        <v>8594.5239999999994</v>
      </c>
      <c r="DK25" s="2997">
        <f>SUM(DK21:DK24)</f>
        <v>57.735999999999997</v>
      </c>
      <c r="DL25" s="2997">
        <f>SUM(DL21:DL24)</f>
        <v>8070.6739999999991</v>
      </c>
      <c r="DM25" s="2997">
        <f>SUM(DM21:DM24)</f>
        <v>8026.2739999999994</v>
      </c>
      <c r="DN25" s="2997">
        <f>SUM(DN21:DN24)</f>
        <v>44.4</v>
      </c>
      <c r="DO25" s="2962">
        <f t="shared" si="209"/>
        <v>24412.899805694651</v>
      </c>
      <c r="DP25" s="2962">
        <f t="shared" si="209"/>
        <v>24324.826797555768</v>
      </c>
      <c r="DQ25" s="2962">
        <f t="shared" si="209"/>
        <v>88.073008138883779</v>
      </c>
      <c r="DR25" s="2962">
        <f t="shared" si="209"/>
        <v>25589.559999999998</v>
      </c>
      <c r="DS25" s="2962">
        <f t="shared" si="209"/>
        <v>25506.286</v>
      </c>
      <c r="DT25" s="2962">
        <f t="shared" si="209"/>
        <v>83.274000000000001</v>
      </c>
      <c r="DU25" s="2962">
        <f t="shared" si="209"/>
        <v>23790.942999999999</v>
      </c>
      <c r="DV25" s="2962">
        <f t="shared" si="209"/>
        <v>23730.922999999995</v>
      </c>
      <c r="DW25" s="2962">
        <f t="shared" si="209"/>
        <v>60.019999999999996</v>
      </c>
      <c r="DX25" s="2938">
        <f t="shared" si="210"/>
        <v>1176.6601943053465</v>
      </c>
      <c r="DY25" s="2938">
        <f t="shared" si="210"/>
        <v>1181.4592024442318</v>
      </c>
      <c r="DZ25" s="2938">
        <f t="shared" si="210"/>
        <v>-4.799008138883778</v>
      </c>
      <c r="EA25" s="2962">
        <f t="shared" si="211"/>
        <v>71387.875265182171</v>
      </c>
      <c r="EB25" s="2962">
        <f t="shared" si="211"/>
        <v>71170.253701239097</v>
      </c>
      <c r="EC25" s="2962">
        <f t="shared" si="211"/>
        <v>217.62156394307618</v>
      </c>
      <c r="ED25" s="2962">
        <f t="shared" si="211"/>
        <v>77982.760219999996</v>
      </c>
      <c r="EE25" s="2962">
        <f t="shared" si="211"/>
        <v>77790.451219999988</v>
      </c>
      <c r="EF25" s="2962">
        <f t="shared" si="211"/>
        <v>192.309</v>
      </c>
      <c r="EG25" s="2962">
        <f t="shared" si="211"/>
        <v>73905.861309999993</v>
      </c>
      <c r="EH25" s="2962">
        <f t="shared" si="211"/>
        <v>73732.869000000006</v>
      </c>
      <c r="EI25" s="2962">
        <f t="shared" si="211"/>
        <v>172.99231</v>
      </c>
      <c r="EJ25" s="2938">
        <f t="shared" si="212"/>
        <v>6594.8849548178259</v>
      </c>
      <c r="EK25" s="2938">
        <f t="shared" si="212"/>
        <v>6620.1975187608914</v>
      </c>
      <c r="EL25" s="2938">
        <f t="shared" si="212"/>
        <v>-25.312563943076185</v>
      </c>
      <c r="EM25" s="2997">
        <f t="shared" si="244"/>
        <v>8137.6332685648831</v>
      </c>
      <c r="EN25" s="2997">
        <f>SUM(EN21:EN24)</f>
        <v>8108.2755991852555</v>
      </c>
      <c r="EO25" s="2997">
        <f>SUM(EO21:EO24)</f>
        <v>29.357669379627929</v>
      </c>
      <c r="EP25" s="2997">
        <f t="shared" si="245"/>
        <v>8716.357</v>
      </c>
      <c r="EQ25" s="2997">
        <f>SUM(EQ21:EQ24)</f>
        <v>8693.85</v>
      </c>
      <c r="ER25" s="2997">
        <f>SUM(ER21:ER24)</f>
        <v>22.507000000000001</v>
      </c>
      <c r="ES25" s="2997">
        <f>SUM(ES21:ES24)</f>
        <v>8392.8089999999993</v>
      </c>
      <c r="ET25" s="2997">
        <f>SUM(ET21:ET24)</f>
        <v>8387.4179999999997</v>
      </c>
      <c r="EU25" s="2997">
        <f>SUM(EU21:EU24)</f>
        <v>5.391</v>
      </c>
      <c r="EV25" s="2997">
        <f t="shared" si="247"/>
        <v>8137.6332685648831</v>
      </c>
      <c r="EW25" s="2997">
        <f>SUM(EW21:EW24)</f>
        <v>8108.2755991852555</v>
      </c>
      <c r="EX25" s="2997">
        <f>SUM(EX21:EX24)</f>
        <v>29.357669379627929</v>
      </c>
      <c r="EY25" s="2997">
        <f t="shared" si="248"/>
        <v>8615.8289999999997</v>
      </c>
      <c r="EZ25" s="2997">
        <f>SUM(EZ21:EZ24)</f>
        <v>8609.9220000000005</v>
      </c>
      <c r="FA25" s="2997">
        <f>SUM(FA21:FA24)</f>
        <v>5.907</v>
      </c>
      <c r="FB25" s="2997">
        <f>SUM(FB21:FB24)</f>
        <v>8734.1219999999994</v>
      </c>
      <c r="FC25" s="2997">
        <f>SUM(FC21:FC24)</f>
        <v>8721.9670000000006</v>
      </c>
      <c r="FD25" s="2997">
        <f>SUM(FD21:FD24)</f>
        <v>12.154999999999999</v>
      </c>
      <c r="FE25" s="2997">
        <f t="shared" si="250"/>
        <v>8137.6332685648831</v>
      </c>
      <c r="FF25" s="2997">
        <f>SUM(FF21:FF24)</f>
        <v>8108.2755991852555</v>
      </c>
      <c r="FG25" s="2997">
        <f>SUM(FG21:FG24)</f>
        <v>29.357669379627929</v>
      </c>
      <c r="FH25" s="2997">
        <f t="shared" ref="FH25" si="253">SUM(FI25:FJ25)</f>
        <v>9231.9099830000014</v>
      </c>
      <c r="FI25" s="2997">
        <f>SUM(FI21:FI24)</f>
        <v>9168.44</v>
      </c>
      <c r="FJ25" s="2997">
        <f>SUM(FJ21:FJ24)</f>
        <v>63.469982999999999</v>
      </c>
      <c r="FK25" s="2997">
        <f>SUM(FK21:FK24)</f>
        <v>8924.1290000000008</v>
      </c>
      <c r="FL25" s="2997">
        <f>SUM(FL21:FL24)</f>
        <v>8876.5390000000007</v>
      </c>
      <c r="FM25" s="2997">
        <f>SUM(FM21:FM24)</f>
        <v>47.59</v>
      </c>
      <c r="FN25" s="2962">
        <f t="shared" si="213"/>
        <v>24412.899805694651</v>
      </c>
      <c r="FO25" s="2962">
        <f t="shared" si="213"/>
        <v>24324.826797555768</v>
      </c>
      <c r="FP25" s="2962">
        <f t="shared" si="213"/>
        <v>88.073008138883779</v>
      </c>
      <c r="FQ25" s="2962">
        <f t="shared" si="213"/>
        <v>26564.095983000003</v>
      </c>
      <c r="FR25" s="2962">
        <f t="shared" si="213"/>
        <v>26472.212</v>
      </c>
      <c r="FS25" s="2962">
        <f t="shared" si="213"/>
        <v>91.883983000000001</v>
      </c>
      <c r="FT25" s="2962">
        <f t="shared" si="213"/>
        <v>26051.059999999998</v>
      </c>
      <c r="FU25" s="2962">
        <f t="shared" si="213"/>
        <v>25985.924000000003</v>
      </c>
      <c r="FV25" s="2962">
        <f t="shared" si="213"/>
        <v>65.135999999999996</v>
      </c>
      <c r="FW25" s="2938">
        <f t="shared" si="214"/>
        <v>2151.1961773053517</v>
      </c>
      <c r="FX25" s="2938">
        <f t="shared" si="214"/>
        <v>2147.3852024442313</v>
      </c>
      <c r="FY25" s="2938">
        <f t="shared" si="214"/>
        <v>3.8109748611162217</v>
      </c>
      <c r="FZ25" s="2962">
        <f t="shared" si="215"/>
        <v>95800.775070876814</v>
      </c>
      <c r="GA25" s="2962">
        <f t="shared" si="215"/>
        <v>95495.080498794865</v>
      </c>
      <c r="GB25" s="2962">
        <f t="shared" si="215"/>
        <v>305.69457208195996</v>
      </c>
      <c r="GC25" s="2962">
        <f t="shared" si="215"/>
        <v>104546.856203</v>
      </c>
      <c r="GD25" s="2962">
        <f t="shared" si="215"/>
        <v>104262.66321999999</v>
      </c>
      <c r="GE25" s="2962">
        <f t="shared" si="215"/>
        <v>284.19298300000003</v>
      </c>
      <c r="GF25" s="2962">
        <f t="shared" si="215"/>
        <v>99956.921309999991</v>
      </c>
      <c r="GG25" s="2962">
        <f t="shared" si="215"/>
        <v>99718.793000000005</v>
      </c>
      <c r="GH25" s="2962">
        <f t="shared" si="215"/>
        <v>238.12831</v>
      </c>
      <c r="GI25" s="2938">
        <f t="shared" si="216"/>
        <v>8746.0811321231886</v>
      </c>
      <c r="GJ25" s="2938">
        <f t="shared" si="216"/>
        <v>8767.5827212051227</v>
      </c>
      <c r="GK25" s="2938">
        <f t="shared" si="216"/>
        <v>-21.501589081959935</v>
      </c>
      <c r="GM25" s="4234"/>
    </row>
    <row r="26" spans="1:195" ht="18.75" customHeight="1" x14ac:dyDescent="0.3">
      <c r="A26" s="2910" t="s">
        <v>3783</v>
      </c>
      <c r="B26" s="2936">
        <f>SUM(B25/B9)</f>
        <v>33.02973764951723</v>
      </c>
      <c r="C26" s="2936">
        <f t="shared" ref="C26:D26" si="254">SUM(C25/C9)</f>
        <v>33.144512794382315</v>
      </c>
      <c r="D26" s="2936">
        <f t="shared" si="254"/>
        <v>14.665597532596639</v>
      </c>
      <c r="E26" s="2936">
        <f>SUM(E25/E9)</f>
        <v>33.123704785269496</v>
      </c>
      <c r="F26" s="2936">
        <f t="shared" ref="F26:G26" si="255">SUM(F25/F9)</f>
        <v>33.138547406644165</v>
      </c>
      <c r="G26" s="2936">
        <f t="shared" si="255"/>
        <v>14.671428571428573</v>
      </c>
      <c r="H26" s="2936">
        <f>SUM(H25/H9)</f>
        <v>32.037419388199844</v>
      </c>
      <c r="I26" s="2936">
        <f t="shared" ref="I26:J26" si="256">SUM(I25/I9)</f>
        <v>32.059990458332877</v>
      </c>
      <c r="J26" s="2936">
        <f t="shared" si="256"/>
        <v>14.550143266475647</v>
      </c>
      <c r="K26" s="2936">
        <f>SUM(K25/K9)</f>
        <v>33.02973764951723</v>
      </c>
      <c r="L26" s="2936">
        <f t="shared" ref="L26:M26" si="257">SUM(L25/L9)</f>
        <v>33.144512794382315</v>
      </c>
      <c r="M26" s="2936">
        <f t="shared" si="257"/>
        <v>14.665597532596639</v>
      </c>
      <c r="N26" s="2936">
        <f>SUM(N25/N9)</f>
        <v>33.122297230820465</v>
      </c>
      <c r="O26" s="2936">
        <f t="shared" ref="O26:P26" si="258">SUM(O25/O9)</f>
        <v>33.138775896678411</v>
      </c>
      <c r="P26" s="2936">
        <f t="shared" si="258"/>
        <v>14.686440677966104</v>
      </c>
      <c r="Q26" s="2936">
        <f>SUM(Q25/Q9)</f>
        <v>32.048421309818643</v>
      </c>
      <c r="R26" s="2936">
        <f t="shared" ref="R26:S26" si="259">SUM(R25/R9)</f>
        <v>32.061327010706478</v>
      </c>
      <c r="S26" s="2936">
        <f t="shared" si="259"/>
        <v>14.542713567839195</v>
      </c>
      <c r="T26" s="2936">
        <f>SUM(T25/T9)</f>
        <v>33.02973764951723</v>
      </c>
      <c r="U26" s="2936">
        <f t="shared" ref="U26:V26" si="260">SUM(U25/U9)</f>
        <v>33.144512794382315</v>
      </c>
      <c r="V26" s="2936">
        <f t="shared" si="260"/>
        <v>14.665597532596639</v>
      </c>
      <c r="W26" s="2936">
        <f>SUM(W25/W9)</f>
        <v>32.934579618114761</v>
      </c>
      <c r="X26" s="2936">
        <f t="shared" ref="X26:Y26" si="261">SUM(X25/X9)</f>
        <v>33.138630645972832</v>
      </c>
      <c r="Y26" s="2936">
        <f t="shared" si="261"/>
        <v>14.670015589814655</v>
      </c>
      <c r="Z26" s="2936">
        <f>SUM(Z25/Z9)</f>
        <v>31.874788092623131</v>
      </c>
      <c r="AA26" s="2936">
        <f t="shared" ref="AA26:BX26" si="262">SUM(AA25/AA9)</f>
        <v>32.061354344353283</v>
      </c>
      <c r="AB26" s="2936">
        <f t="shared" si="262"/>
        <v>14.562096195262024</v>
      </c>
      <c r="AC26" s="2862">
        <f t="shared" si="262"/>
        <v>33.02973764951723</v>
      </c>
      <c r="AD26" s="2862">
        <f t="shared" si="262"/>
        <v>33.144512794382315</v>
      </c>
      <c r="AE26" s="2862">
        <f t="shared" si="262"/>
        <v>14.665597532596637</v>
      </c>
      <c r="AF26" s="2862">
        <f t="shared" si="262"/>
        <v>33.060433399190522</v>
      </c>
      <c r="AG26" s="2862">
        <f t="shared" si="262"/>
        <v>33.138651858205343</v>
      </c>
      <c r="AH26" s="2862">
        <f t="shared" si="262"/>
        <v>14.67126781695424</v>
      </c>
      <c r="AI26" s="2862">
        <f t="shared" si="262"/>
        <v>31.988146170224432</v>
      </c>
      <c r="AJ26" s="2862">
        <f t="shared" si="262"/>
        <v>32.060883465564423</v>
      </c>
      <c r="AK26" s="2862">
        <f t="shared" si="262"/>
        <v>14.559688062387522</v>
      </c>
      <c r="AL26" s="2964">
        <f t="shared" si="204"/>
        <v>3.0695749673292028E-2</v>
      </c>
      <c r="AM26" s="2964">
        <f t="shared" si="204"/>
        <v>-5.8609361769725865E-3</v>
      </c>
      <c r="AN26" s="2964">
        <f t="shared" si="204"/>
        <v>5.6702843576026396E-3</v>
      </c>
      <c r="AO26" s="2936">
        <f>SUM(AO25/AO9)</f>
        <v>33.02973764951723</v>
      </c>
      <c r="AP26" s="2936">
        <f t="shared" ref="AP26:AQ26" si="263">SUM(AP25/AP9)</f>
        <v>33.144512794382315</v>
      </c>
      <c r="AQ26" s="2936">
        <f t="shared" si="263"/>
        <v>14.665597532596639</v>
      </c>
      <c r="AR26" s="2936">
        <f>SUM(AR25/AR9)</f>
        <v>33.088889069090051</v>
      </c>
      <c r="AS26" s="2936">
        <f t="shared" ref="AS26:AT26" si="264">SUM(AS25/AS9)</f>
        <v>33.138839441471283</v>
      </c>
      <c r="AT26" s="2936">
        <f t="shared" si="264"/>
        <v>14.669846678023848</v>
      </c>
      <c r="AU26" s="2936">
        <f>SUM(AU25/AU9)</f>
        <v>32.043566013456655</v>
      </c>
      <c r="AV26" s="2936">
        <f t="shared" ref="AV26:AW26" si="265">SUM(AV25/AV9)</f>
        <v>32.062664802991954</v>
      </c>
      <c r="AW26" s="2936">
        <f t="shared" si="265"/>
        <v>14.550000000000002</v>
      </c>
      <c r="AX26" s="2936">
        <f>SUM(AX25/AX9)</f>
        <v>33.02973764951723</v>
      </c>
      <c r="AY26" s="2936">
        <f t="shared" ref="AY26:AZ26" si="266">SUM(AY25/AY9)</f>
        <v>33.144512794382315</v>
      </c>
      <c r="AZ26" s="2936">
        <f t="shared" si="266"/>
        <v>14.665597532596639</v>
      </c>
      <c r="BA26" s="2936">
        <f>SUM(BA25/BA9)</f>
        <v>33.119714624716551</v>
      </c>
      <c r="BB26" s="2936">
        <f t="shared" ref="BB26:BC26" si="267">SUM(BB25/BB9)</f>
        <v>33.138724619216291</v>
      </c>
      <c r="BC26" s="2936">
        <f t="shared" si="267"/>
        <v>14.670391061452513</v>
      </c>
      <c r="BD26" s="2936">
        <f>SUM(BD25/BD9)</f>
        <v>32.005328897745947</v>
      </c>
      <c r="BE26" s="2936">
        <f t="shared" ref="BE26:BF26" si="268">SUM(BE25/BE9)</f>
        <v>32.061327141810303</v>
      </c>
      <c r="BF26" s="2936">
        <f t="shared" si="268"/>
        <v>14.559999999999999</v>
      </c>
      <c r="BG26" s="2936">
        <f>SUM(BG25/BG9)</f>
        <v>33.02973764951723</v>
      </c>
      <c r="BH26" s="2936">
        <f t="shared" ref="BH26:BI26" si="269">SUM(BH25/BH9)</f>
        <v>33.144512794382315</v>
      </c>
      <c r="BI26" s="2936">
        <f t="shared" si="269"/>
        <v>14.665597532596639</v>
      </c>
      <c r="BJ26" s="2936">
        <f>SUM(BJ25/BJ9)</f>
        <v>32.923892056766363</v>
      </c>
      <c r="BK26" s="2936">
        <f t="shared" ref="BK26:BL26" si="270">SUM(BK25/BK9)</f>
        <v>33.138721557330008</v>
      </c>
      <c r="BL26" s="2936">
        <f t="shared" si="270"/>
        <v>14.672263480787858</v>
      </c>
      <c r="BM26" s="2936">
        <f>SUM(BM25/BM9)</f>
        <v>31.826572457521287</v>
      </c>
      <c r="BN26" s="2936">
        <f t="shared" ref="BN26:BO26" si="271">SUM(BN25/BN9)</f>
        <v>32.061319984320896</v>
      </c>
      <c r="BO26" s="2936">
        <f t="shared" si="271"/>
        <v>14.561561561561561</v>
      </c>
      <c r="BP26" s="2862">
        <f t="shared" si="262"/>
        <v>33.02973764951723</v>
      </c>
      <c r="BQ26" s="2862">
        <f t="shared" si="262"/>
        <v>33.144512794382315</v>
      </c>
      <c r="BR26" s="2862">
        <f t="shared" si="262"/>
        <v>14.665597532596637</v>
      </c>
      <c r="BS26" s="2862">
        <f t="shared" si="262"/>
        <v>33.043942618995501</v>
      </c>
      <c r="BT26" s="2862">
        <f t="shared" si="262"/>
        <v>33.138762719290511</v>
      </c>
      <c r="BU26" s="2862">
        <f t="shared" si="262"/>
        <v>14.671708239312071</v>
      </c>
      <c r="BV26" s="2862">
        <f t="shared" si="262"/>
        <v>31.960576402058177</v>
      </c>
      <c r="BW26" s="2862">
        <f t="shared" si="262"/>
        <v>32.061790308629483</v>
      </c>
      <c r="BX26" s="2862">
        <f t="shared" si="262"/>
        <v>14.560522033898307</v>
      </c>
      <c r="BY26" s="2964">
        <f t="shared" si="206"/>
        <v>1.4204969478271323E-2</v>
      </c>
      <c r="BZ26" s="2964">
        <f t="shared" si="206"/>
        <v>-5.7500750918038079E-3</v>
      </c>
      <c r="CA26" s="2964">
        <f t="shared" si="206"/>
        <v>6.1107067154342332E-3</v>
      </c>
      <c r="CB26" s="2862">
        <f t="shared" ref="CB26:CJ26" si="272">SUM(CB25/CB9)</f>
        <v>33.02973764951723</v>
      </c>
      <c r="CC26" s="2862">
        <f t="shared" si="272"/>
        <v>33.144512794382315</v>
      </c>
      <c r="CD26" s="2862">
        <f t="shared" si="272"/>
        <v>14.665597532596637</v>
      </c>
      <c r="CE26" s="2862">
        <f t="shared" si="272"/>
        <v>33.052127869666869</v>
      </c>
      <c r="CF26" s="2862">
        <f t="shared" si="272"/>
        <v>33.138707668008031</v>
      </c>
      <c r="CG26" s="2862">
        <f t="shared" si="272"/>
        <v>14.671510747805026</v>
      </c>
      <c r="CH26" s="2862">
        <f t="shared" si="272"/>
        <v>31.974687101831069</v>
      </c>
      <c r="CI26" s="2862">
        <f t="shared" si="272"/>
        <v>32.061325799642468</v>
      </c>
      <c r="CJ26" s="2862">
        <f t="shared" si="272"/>
        <v>14.560163680886712</v>
      </c>
      <c r="CK26" s="2964">
        <f t="shared" si="208"/>
        <v>2.2390220149638651E-2</v>
      </c>
      <c r="CL26" s="2964">
        <f t="shared" si="208"/>
        <v>-5.8051263742839865E-3</v>
      </c>
      <c r="CM26" s="2964">
        <f t="shared" si="208"/>
        <v>5.9132152083893885E-3</v>
      </c>
      <c r="CN26" s="2936">
        <f>SUM(CN25/CN9)</f>
        <v>34.331116427786689</v>
      </c>
      <c r="CO26" s="2936">
        <f t="shared" ref="CO26:CP26" si="273">SUM(CO25/CO9)</f>
        <v>34.421056068946989</v>
      </c>
      <c r="CP26" s="2936">
        <f t="shared" si="273"/>
        <v>19.940682207252795</v>
      </c>
      <c r="CQ26" s="2936">
        <f>SUM(CQ25/CQ9)</f>
        <v>34.827647767990285</v>
      </c>
      <c r="CR26" s="2936">
        <f t="shared" ref="CR26:CS26" si="274">SUM(CR25/CR9)</f>
        <v>34.856847634400005</v>
      </c>
      <c r="CS26" s="2936">
        <f t="shared" si="274"/>
        <v>19.939914163090126</v>
      </c>
      <c r="CT26" s="2936">
        <f>SUM(CT25/CT9)</f>
        <v>33.076762804807899</v>
      </c>
      <c r="CU26" s="2936">
        <f t="shared" ref="CU26:CV26" si="275">SUM(CU25/CU9)</f>
        <v>33.138814667242386</v>
      </c>
      <c r="CV26" s="2936">
        <f t="shared" si="275"/>
        <v>14.657360406091371</v>
      </c>
      <c r="CW26" s="2936">
        <f>SUM(CW25/CW9)</f>
        <v>34.331116427786689</v>
      </c>
      <c r="CX26" s="2936">
        <f t="shared" ref="CX26:CY26" si="276">SUM(CX25/CX9)</f>
        <v>34.421056068946989</v>
      </c>
      <c r="CY26" s="2936">
        <f t="shared" si="276"/>
        <v>19.940682207252795</v>
      </c>
      <c r="CZ26" s="2936">
        <f>SUM(CZ25/CZ9)</f>
        <v>34.373047045821373</v>
      </c>
      <c r="DA26" s="2936">
        <f t="shared" ref="DA26:DB26" si="277">SUM(DA25/DA9)</f>
        <v>34.419982690336504</v>
      </c>
      <c r="DB26" s="2936">
        <f t="shared" si="277"/>
        <v>19.933742331288343</v>
      </c>
      <c r="DC26" s="2936">
        <f>SUM(DC25/DC9)</f>
        <v>33.120095565327595</v>
      </c>
      <c r="DD26" s="2936">
        <f t="shared" ref="DD26:DE26" si="278">SUM(DD25/DD9)</f>
        <v>33.141434387462134</v>
      </c>
      <c r="DE26" s="2936">
        <f t="shared" si="278"/>
        <v>14.666666666666666</v>
      </c>
      <c r="DF26" s="2936">
        <f>SUM(DF25/DF9)</f>
        <v>34.331116427786689</v>
      </c>
      <c r="DG26" s="2936">
        <f t="shared" ref="DG26:DH26" si="279">SUM(DG25/DG9)</f>
        <v>34.421056068946989</v>
      </c>
      <c r="DH26" s="2936">
        <f t="shared" si="279"/>
        <v>19.940682207252795</v>
      </c>
      <c r="DI26" s="2936">
        <f>SUM(DI25/DI9)</f>
        <v>34.254302443891071</v>
      </c>
      <c r="DJ26" s="2936">
        <f t="shared" ref="DJ26:DK26" si="280">SUM(DJ25/DJ9)</f>
        <v>34.4203642072465</v>
      </c>
      <c r="DK26" s="2936">
        <f t="shared" si="280"/>
        <v>19.936464088397791</v>
      </c>
      <c r="DL26" s="2936">
        <f>SUM(DL25/DL9)</f>
        <v>32.986838733338097</v>
      </c>
      <c r="DM26" s="2936">
        <f t="shared" ref="DM26:FV26" si="281">SUM(DM25/DM9)</f>
        <v>33.216251767315541</v>
      </c>
      <c r="DN26" s="2936">
        <f t="shared" si="281"/>
        <v>14.670411366264663</v>
      </c>
      <c r="DO26" s="2862">
        <f t="shared" si="281"/>
        <v>34.331116427786696</v>
      </c>
      <c r="DP26" s="2862">
        <f t="shared" si="281"/>
        <v>34.421056068946989</v>
      </c>
      <c r="DQ26" s="2862">
        <f t="shared" si="281"/>
        <v>19.940682207252792</v>
      </c>
      <c r="DR26" s="2862">
        <f t="shared" si="281"/>
        <v>34.47844891469839</v>
      </c>
      <c r="DS26" s="2862">
        <f t="shared" si="281"/>
        <v>34.560754349855628</v>
      </c>
      <c r="DT26" s="2862">
        <f t="shared" si="281"/>
        <v>19.936317931529807</v>
      </c>
      <c r="DU26" s="2862">
        <f t="shared" si="281"/>
        <v>33.06065663112669</v>
      </c>
      <c r="DV26" s="2862">
        <f t="shared" si="281"/>
        <v>33.165844321050905</v>
      </c>
      <c r="DW26" s="2862">
        <f t="shared" si="281"/>
        <v>14.667644183773213</v>
      </c>
      <c r="DX26" s="2964">
        <f t="shared" si="210"/>
        <v>0.14733248691169365</v>
      </c>
      <c r="DY26" s="2964">
        <f t="shared" si="210"/>
        <v>0.13969828090863956</v>
      </c>
      <c r="DZ26" s="2964">
        <f t="shared" si="210"/>
        <v>-4.3642757229847007E-3</v>
      </c>
      <c r="EA26" s="2862">
        <f t="shared" si="281"/>
        <v>33.463530575607045</v>
      </c>
      <c r="EB26" s="2862">
        <f t="shared" si="281"/>
        <v>33.570027219237204</v>
      </c>
      <c r="EC26" s="2862">
        <f t="shared" si="281"/>
        <v>16.423959090815355</v>
      </c>
      <c r="ED26" s="2862">
        <f t="shared" si="281"/>
        <v>33.5069787672399</v>
      </c>
      <c r="EE26" s="2862">
        <f t="shared" si="281"/>
        <v>33.591903797905644</v>
      </c>
      <c r="EF26" s="2862">
        <f t="shared" si="281"/>
        <v>16.565866264671048</v>
      </c>
      <c r="EG26" s="2862">
        <f t="shared" si="281"/>
        <v>32.316400430795134</v>
      </c>
      <c r="EH26" s="2862">
        <f t="shared" si="281"/>
        <v>32.408699589939793</v>
      </c>
      <c r="EI26" s="2862">
        <f t="shared" si="281"/>
        <v>14.597275335414732</v>
      </c>
      <c r="EJ26" s="2964">
        <f t="shared" si="212"/>
        <v>4.3448191632855071E-2</v>
      </c>
      <c r="EK26" s="2964">
        <f t="shared" si="212"/>
        <v>2.1876578668440061E-2</v>
      </c>
      <c r="EL26" s="2964">
        <f t="shared" si="212"/>
        <v>0.14190717385569229</v>
      </c>
      <c r="EM26" s="2936">
        <f>SUM(EM25/EM9)</f>
        <v>34.331116427786689</v>
      </c>
      <c r="EN26" s="2936">
        <f t="shared" ref="EN26:EO26" si="282">SUM(EN25/EN9)</f>
        <v>34.421056068946989</v>
      </c>
      <c r="EO26" s="2936">
        <f t="shared" si="282"/>
        <v>19.940682207252795</v>
      </c>
      <c r="EP26" s="2936">
        <f>SUM(EP25/EP9)</f>
        <v>33.951983827115292</v>
      </c>
      <c r="EQ26" s="2936">
        <f t="shared" ref="EQ26:ER26" si="283">SUM(EQ25/EQ9)</f>
        <v>34.013896876723905</v>
      </c>
      <c r="ER26" s="2936">
        <f t="shared" si="283"/>
        <v>19.935341009743137</v>
      </c>
      <c r="ES26" s="2936">
        <f>SUM(ES25/ES9)</f>
        <v>33.111952294915667</v>
      </c>
      <c r="ET26" s="2936">
        <f t="shared" ref="ET26:EU26" si="284">SUM(ET25/ET9)</f>
        <v>33.138730794470703</v>
      </c>
      <c r="EU26" s="2936">
        <f t="shared" si="284"/>
        <v>14.669387755102042</v>
      </c>
      <c r="EV26" s="2936">
        <f>SUM(EV25/EV9)</f>
        <v>34.331116427786689</v>
      </c>
      <c r="EW26" s="2936">
        <f t="shared" ref="EW26:EX26" si="285">SUM(EW25/EW9)</f>
        <v>34.421056068946989</v>
      </c>
      <c r="EX26" s="2936">
        <f t="shared" si="285"/>
        <v>19.940682207252795</v>
      </c>
      <c r="EY26" s="2936">
        <f>SUM(EY25/EY9)</f>
        <v>34.402629761101423</v>
      </c>
      <c r="EZ26" s="2936">
        <f t="shared" ref="EZ26:FA26" si="286">SUM(EZ25/EZ9)</f>
        <v>34.419724559755345</v>
      </c>
      <c r="FA26" s="2936">
        <f t="shared" si="286"/>
        <v>19.956081081081081</v>
      </c>
      <c r="FB26" s="2936">
        <f>SUM(FB25/FB9)</f>
        <v>33.08078811017181</v>
      </c>
      <c r="FC26" s="2936">
        <f t="shared" ref="FC26:FD26" si="287">SUM(FC25/FC9)</f>
        <v>33.138676119697877</v>
      </c>
      <c r="FD26" s="2936">
        <f t="shared" si="287"/>
        <v>14.679951690821255</v>
      </c>
      <c r="FE26" s="2936">
        <f>SUM(FE25/FE9)</f>
        <v>34.331116427786689</v>
      </c>
      <c r="FF26" s="2936">
        <f t="shared" ref="FF26:FG26" si="288">SUM(FF25/FF9)</f>
        <v>34.421056068946989</v>
      </c>
      <c r="FG26" s="2936">
        <f t="shared" si="288"/>
        <v>19.940682207252795</v>
      </c>
      <c r="FH26" s="2936">
        <f>SUM(FH25/FH9)</f>
        <v>34.248833194832947</v>
      </c>
      <c r="FI26" s="2936">
        <f t="shared" ref="FI26:FJ26" si="289">SUM(FI25/FI9)</f>
        <v>34.41994218568157</v>
      </c>
      <c r="FJ26" s="2936">
        <f t="shared" si="289"/>
        <v>19.934039886934674</v>
      </c>
      <c r="FK26" s="2936">
        <f>SUM(FK25/FK9)</f>
        <v>32.917732678234181</v>
      </c>
      <c r="FL26" s="2936">
        <f t="shared" ref="FL26:FM26" si="290">SUM(FL25/FL9)</f>
        <v>33.138725453595164</v>
      </c>
      <c r="FM26" s="2936">
        <f t="shared" si="290"/>
        <v>14.67016029593095</v>
      </c>
      <c r="FN26" s="2862">
        <f t="shared" si="281"/>
        <v>34.331116427786696</v>
      </c>
      <c r="FO26" s="2862">
        <f t="shared" si="281"/>
        <v>34.421056068946989</v>
      </c>
      <c r="FP26" s="2862">
        <f t="shared" si="281"/>
        <v>19.940682207252792</v>
      </c>
      <c r="FQ26" s="2862">
        <f t="shared" si="281"/>
        <v>34.200306136952655</v>
      </c>
      <c r="FR26" s="2862">
        <f t="shared" si="281"/>
        <v>34.285455996021305</v>
      </c>
      <c r="FS26" s="2862">
        <f t="shared" si="281"/>
        <v>19.935774137556955</v>
      </c>
      <c r="FT26" s="2862">
        <f t="shared" si="281"/>
        <v>33.03474947613774</v>
      </c>
      <c r="FU26" s="2862">
        <f t="shared" si="281"/>
        <v>33.138710618912214</v>
      </c>
      <c r="FV26" s="2862">
        <f t="shared" si="281"/>
        <v>14.671922513796595</v>
      </c>
      <c r="FW26" s="2964">
        <f t="shared" si="214"/>
        <v>-0.13081029083404161</v>
      </c>
      <c r="FX26" s="2964">
        <f t="shared" si="214"/>
        <v>-0.13560007292568343</v>
      </c>
      <c r="FY26" s="2964">
        <f t="shared" si="214"/>
        <v>-4.908069695837014E-3</v>
      </c>
      <c r="FZ26" s="2862">
        <f t="shared" ref="FZ26:GH26" si="291">SUM(FZ25/FZ9)</f>
        <v>33.680427038651956</v>
      </c>
      <c r="GA26" s="2862">
        <f t="shared" si="291"/>
        <v>33.782784431664652</v>
      </c>
      <c r="GB26" s="2862">
        <f t="shared" si="291"/>
        <v>17.303139869924713</v>
      </c>
      <c r="GC26" s="2862">
        <f t="shared" si="291"/>
        <v>33.680467199014458</v>
      </c>
      <c r="GD26" s="2862">
        <f t="shared" si="291"/>
        <v>33.765324752207185</v>
      </c>
      <c r="GE26" s="2862">
        <f t="shared" si="291"/>
        <v>17.523576513388111</v>
      </c>
      <c r="GF26" s="2862">
        <f t="shared" si="291"/>
        <v>32.500591382828674</v>
      </c>
      <c r="GG26" s="2862">
        <f t="shared" si="291"/>
        <v>32.595818143552428</v>
      </c>
      <c r="GH26" s="2862">
        <f t="shared" si="291"/>
        <v>14.617618243761701</v>
      </c>
      <c r="GI26" s="2964">
        <f t="shared" si="216"/>
        <v>4.0160362502206226E-5</v>
      </c>
      <c r="GJ26" s="2964">
        <f t="shared" si="216"/>
        <v>-1.7459679457466848E-2</v>
      </c>
      <c r="GK26" s="2964">
        <f t="shared" si="216"/>
        <v>0.22043664346339753</v>
      </c>
      <c r="GM26" s="4234"/>
    </row>
    <row r="27" spans="1:195" ht="18.75" customHeight="1" x14ac:dyDescent="0.3">
      <c r="A27" s="2929" t="s">
        <v>255</v>
      </c>
      <c r="B27" s="3024">
        <f>SUM(C27)</f>
        <v>26.46</v>
      </c>
      <c r="C27" s="3024">
        <f>SUM('стоки 2019-2021'!AP45)</f>
        <v>26.46</v>
      </c>
      <c r="D27" s="3024"/>
      <c r="E27" s="2930">
        <f>SUM(E21/E10)</f>
        <v>26.458348689743804</v>
      </c>
      <c r="F27" s="2930">
        <f>SUM(F21/F10)</f>
        <v>26.458348689743804</v>
      </c>
      <c r="G27" s="3024"/>
      <c r="H27" s="2930">
        <f>SUM(H21/H10)</f>
        <v>25.439950864594159</v>
      </c>
      <c r="I27" s="2930">
        <f>SUM(I21/I10)</f>
        <v>25.439950864594159</v>
      </c>
      <c r="J27" s="3024"/>
      <c r="K27" s="3024">
        <f>SUM(L27)</f>
        <v>26.46</v>
      </c>
      <c r="L27" s="3024">
        <f>SUM(C27)</f>
        <v>26.46</v>
      </c>
      <c r="M27" s="3024"/>
      <c r="N27" s="2930">
        <f>SUM(N21/N10)</f>
        <v>26.458323673201953</v>
      </c>
      <c r="O27" s="2930">
        <f>SUM(O21/O10)</f>
        <v>26.458323673201953</v>
      </c>
      <c r="P27" s="3024"/>
      <c r="Q27" s="2930">
        <f>SUM(Q21/Q10)</f>
        <v>25.44170596435033</v>
      </c>
      <c r="R27" s="2930">
        <f>SUM(R21/R10)</f>
        <v>25.44170596435033</v>
      </c>
      <c r="S27" s="3024"/>
      <c r="T27" s="3024">
        <f>SUM(U27)</f>
        <v>26.46</v>
      </c>
      <c r="U27" s="3024">
        <f>SUM(C27)</f>
        <v>26.46</v>
      </c>
      <c r="V27" s="3024"/>
      <c r="W27" s="2930">
        <f>SUM(W21/W10)</f>
        <v>26.458412174810526</v>
      </c>
      <c r="X27" s="2930">
        <f>SUM(X21/X10)</f>
        <v>26.458412174810526</v>
      </c>
      <c r="Y27" s="3024"/>
      <c r="Z27" s="2930">
        <f>SUM(Z21/Z10)</f>
        <v>25.441737749430061</v>
      </c>
      <c r="AA27" s="2930">
        <f>SUM(AA21/AA10)</f>
        <v>25.441737749430061</v>
      </c>
      <c r="AB27" s="3024"/>
      <c r="AC27" s="2870">
        <f>SUM(AC21/AC10)</f>
        <v>26.460000000000004</v>
      </c>
      <c r="AD27" s="2870">
        <f t="shared" ref="AD27" si="292">SUM(AD21/AD10)</f>
        <v>26.460000000000004</v>
      </c>
      <c r="AE27" s="2870"/>
      <c r="AF27" s="2870">
        <f>SUM(AF21/AF10)</f>
        <v>26.458361170442089</v>
      </c>
      <c r="AG27" s="2870">
        <f t="shared" ref="AG27" si="293">SUM(AG21/AG10)</f>
        <v>26.458361170442089</v>
      </c>
      <c r="AH27" s="2870"/>
      <c r="AI27" s="2870">
        <f>SUM(AI21/AI10)</f>
        <v>25.441106315777382</v>
      </c>
      <c r="AJ27" s="2870">
        <f t="shared" ref="AJ27" si="294">SUM(AJ21/AJ10)</f>
        <v>25.441106315777382</v>
      </c>
      <c r="AK27" s="2870"/>
      <c r="AL27" s="2919">
        <f t="shared" si="204"/>
        <v>-1.6388295579154999E-3</v>
      </c>
      <c r="AM27" s="2919">
        <f t="shared" si="204"/>
        <v>-1.6388295579154999E-3</v>
      </c>
      <c r="AN27" s="2919">
        <f t="shared" si="204"/>
        <v>0</v>
      </c>
      <c r="AO27" s="3024">
        <f>SUM(AP27)</f>
        <v>26.46</v>
      </c>
      <c r="AP27" s="3024">
        <f>SUM(C27)</f>
        <v>26.46</v>
      </c>
      <c r="AQ27" s="3024"/>
      <c r="AR27" s="2930">
        <f>SUM(AR21/AR10)</f>
        <v>26.458312445392959</v>
      </c>
      <c r="AS27" s="2930">
        <f>SUM(AS21/AS10)</f>
        <v>26.458312445392959</v>
      </c>
      <c r="AT27" s="3024"/>
      <c r="AU27" s="2930">
        <f>SUM(AU21/AU10)</f>
        <v>25.443320617033507</v>
      </c>
      <c r="AV27" s="2930">
        <f>SUM(AV21/AV10)</f>
        <v>25.443320617033507</v>
      </c>
      <c r="AW27" s="3024"/>
      <c r="AX27" s="3024">
        <f>SUM(AY27)</f>
        <v>26.46</v>
      </c>
      <c r="AY27" s="3024">
        <f>SUM(L27)</f>
        <v>26.46</v>
      </c>
      <c r="AZ27" s="3024"/>
      <c r="BA27" s="2930">
        <f>SUM(BA21/BA10)</f>
        <v>26.45834814493784</v>
      </c>
      <c r="BB27" s="2930">
        <f>SUM(BB21/BB10)</f>
        <v>26.45834814493784</v>
      </c>
      <c r="BC27" s="3024"/>
      <c r="BD27" s="2930">
        <f>SUM(BD21/BD10)</f>
        <v>25.441722274106368</v>
      </c>
      <c r="BE27" s="2930">
        <f>SUM(BE21/BE10)</f>
        <v>25.441722274106368</v>
      </c>
      <c r="BF27" s="3024"/>
      <c r="BG27" s="3024">
        <f>SUM(BH27)</f>
        <v>26.46</v>
      </c>
      <c r="BH27" s="3024">
        <f>SUM(C27)</f>
        <v>26.46</v>
      </c>
      <c r="BI27" s="3024"/>
      <c r="BJ27" s="2930">
        <f>SUM(BJ21/BJ10)</f>
        <v>26.458313155371947</v>
      </c>
      <c r="BK27" s="2930">
        <f>SUM(BK21/BK10)</f>
        <v>26.458313155371947</v>
      </c>
      <c r="BL27" s="3024"/>
      <c r="BM27" s="2930">
        <f>SUM(BM21/BM10)</f>
        <v>25.441654846098714</v>
      </c>
      <c r="BN27" s="2930">
        <f>SUM(BN21/BN10)</f>
        <v>25.441654846098714</v>
      </c>
      <c r="BO27" s="3024"/>
      <c r="BP27" s="2870">
        <f>SUM(BP21/BP10)</f>
        <v>26.460000000000004</v>
      </c>
      <c r="BQ27" s="2870">
        <f t="shared" ref="BQ27" si="295">SUM(BQ21/BQ10)</f>
        <v>26.460000000000004</v>
      </c>
      <c r="BR27" s="2870"/>
      <c r="BS27" s="2870">
        <f>SUM(BS21/BS10)</f>
        <v>26.458324556770052</v>
      </c>
      <c r="BT27" s="2870">
        <f t="shared" ref="BT27" si="296">SUM(BT21/BT10)</f>
        <v>26.458324556770052</v>
      </c>
      <c r="BU27" s="2870"/>
      <c r="BV27" s="2870">
        <f>SUM(BV21/BV10)</f>
        <v>25.442246038734535</v>
      </c>
      <c r="BW27" s="2870">
        <f t="shared" ref="BW27" si="297">SUM(BW21/BW10)</f>
        <v>25.442246038734535</v>
      </c>
      <c r="BX27" s="2870"/>
      <c r="BY27" s="2919">
        <f t="shared" si="206"/>
        <v>-1.6754432299528332E-3</v>
      </c>
      <c r="BZ27" s="2919">
        <f t="shared" si="206"/>
        <v>-1.6754432299528332E-3</v>
      </c>
      <c r="CA27" s="2919">
        <f t="shared" si="206"/>
        <v>0</v>
      </c>
      <c r="CB27" s="2870">
        <f>SUM(CB21/CB10)</f>
        <v>26.460000000000004</v>
      </c>
      <c r="CC27" s="2870">
        <f t="shared" ref="CC27" si="298">SUM(CC21/CC10)</f>
        <v>26.460000000000004</v>
      </c>
      <c r="CD27" s="2870"/>
      <c r="CE27" s="2870">
        <f>SUM(CE21/CE10)</f>
        <v>26.4583427220388</v>
      </c>
      <c r="CF27" s="2870">
        <f t="shared" ref="CF27" si="299">SUM(CF21/CF10)</f>
        <v>26.4583427220388</v>
      </c>
      <c r="CG27" s="2870"/>
      <c r="CH27" s="2870">
        <f>SUM(CH21/CH10)</f>
        <v>25.441679664811037</v>
      </c>
      <c r="CI27" s="2870">
        <f t="shared" ref="CI27" si="300">SUM(CI21/CI10)</f>
        <v>25.441679664811037</v>
      </c>
      <c r="CJ27" s="2870"/>
      <c r="CK27" s="2919">
        <f t="shared" si="208"/>
        <v>-1.6572779612040733E-3</v>
      </c>
      <c r="CL27" s="2919">
        <f t="shared" si="208"/>
        <v>-1.6572779612040733E-3</v>
      </c>
      <c r="CM27" s="2919">
        <f t="shared" si="208"/>
        <v>0</v>
      </c>
      <c r="CN27" s="3024">
        <f>SUM(CO27)</f>
        <v>27.25</v>
      </c>
      <c r="CO27" s="3024">
        <f>SUM('стоки 2019-2021'!AP46)</f>
        <v>27.25</v>
      </c>
      <c r="CP27" s="3024"/>
      <c r="CQ27" s="2930">
        <f>SUM(CQ21/CQ10)</f>
        <v>27.249949472922804</v>
      </c>
      <c r="CR27" s="2930">
        <f>SUM(CR21/CR10)</f>
        <v>27.249949472922804</v>
      </c>
      <c r="CS27" s="3024"/>
      <c r="CT27" s="2930">
        <f>SUM(CT21/CT10)</f>
        <v>26.458388965401234</v>
      </c>
      <c r="CU27" s="2930">
        <f>SUM(CU21/CU10)</f>
        <v>26.458388965401234</v>
      </c>
      <c r="CV27" s="3024"/>
      <c r="CW27" s="3024">
        <f>SUM(CX27)</f>
        <v>27.25</v>
      </c>
      <c r="CX27" s="3024">
        <f>SUM(CO27)</f>
        <v>27.25</v>
      </c>
      <c r="CY27" s="3024"/>
      <c r="CZ27" s="2930">
        <f>SUM(CZ21/CZ10)</f>
        <v>27.249985835475179</v>
      </c>
      <c r="DA27" s="2930">
        <f>SUM(DA21/DA10)</f>
        <v>27.249985835475179</v>
      </c>
      <c r="DB27" s="3024"/>
      <c r="DC27" s="2930">
        <f>SUM(DC21/DC10)</f>
        <v>26.458318199271492</v>
      </c>
      <c r="DD27" s="2930">
        <f>SUM(DD21/DD10)</f>
        <v>26.458318199271492</v>
      </c>
      <c r="DE27" s="3024"/>
      <c r="DF27" s="3024">
        <f>SUM(DG27)</f>
        <v>27.25</v>
      </c>
      <c r="DG27" s="3024">
        <f>SUM(CO27)</f>
        <v>27.25</v>
      </c>
      <c r="DH27" s="3024"/>
      <c r="DI27" s="2930">
        <f>SUM(DI21/DI10)</f>
        <v>27.249968182589512</v>
      </c>
      <c r="DJ27" s="2930">
        <f>SUM(DJ21/DJ10)</f>
        <v>27.249968182589512</v>
      </c>
      <c r="DK27" s="3024"/>
      <c r="DL27" s="2930">
        <f>SUM(DL21/DL10)</f>
        <v>26.458322591213015</v>
      </c>
      <c r="DM27" s="2930">
        <f>SUM(DM21/DM10)</f>
        <v>26.458322591213015</v>
      </c>
      <c r="DN27" s="3024"/>
      <c r="DO27" s="2870">
        <f>SUM(DO21/DO10)</f>
        <v>27.25</v>
      </c>
      <c r="DP27" s="2870">
        <f t="shared" ref="DP27" si="301">SUM(DP21/DP10)</f>
        <v>27.25</v>
      </c>
      <c r="DQ27" s="2870"/>
      <c r="DR27" s="2870">
        <f t="shared" ref="DR27:DV27" si="302">SUM(DR21/DR10)</f>
        <v>27.249968024024906</v>
      </c>
      <c r="DS27" s="2870">
        <f t="shared" si="302"/>
        <v>27.249968024024906</v>
      </c>
      <c r="DT27" s="2870"/>
      <c r="DU27" s="2870">
        <f t="shared" si="302"/>
        <v>26.458342829827849</v>
      </c>
      <c r="DV27" s="2870">
        <f t="shared" si="302"/>
        <v>26.458342829827849</v>
      </c>
      <c r="DW27" s="2870"/>
      <c r="DX27" s="2919">
        <f t="shared" si="210"/>
        <v>-3.1975975094411524E-5</v>
      </c>
      <c r="DY27" s="2919">
        <f t="shared" si="210"/>
        <v>-3.1975975094411524E-5</v>
      </c>
      <c r="DZ27" s="2919">
        <f t="shared" si="210"/>
        <v>0</v>
      </c>
      <c r="EA27" s="2870">
        <f>SUM(EA21/EA10)</f>
        <v>26.723333333333329</v>
      </c>
      <c r="EB27" s="2870">
        <f t="shared" ref="EB27" si="303">SUM(EB21/EB10)</f>
        <v>26.723333333333329</v>
      </c>
      <c r="EC27" s="2870"/>
      <c r="ED27" s="2870">
        <f t="shared" ref="ED27:EH27" si="304">SUM(ED21/ED10)</f>
        <v>26.709962647936614</v>
      </c>
      <c r="EE27" s="2870">
        <f t="shared" si="304"/>
        <v>26.709962647936614</v>
      </c>
      <c r="EF27" s="2870"/>
      <c r="EG27" s="2870">
        <f t="shared" si="304"/>
        <v>25.769009601029222</v>
      </c>
      <c r="EH27" s="2870">
        <f t="shared" si="304"/>
        <v>25.769009601029222</v>
      </c>
      <c r="EI27" s="2870"/>
      <c r="EJ27" s="2919">
        <f t="shared" si="212"/>
        <v>-1.3370685396715487E-2</v>
      </c>
      <c r="EK27" s="2919">
        <f t="shared" si="212"/>
        <v>-1.3370685396715487E-2</v>
      </c>
      <c r="EL27" s="2919">
        <f t="shared" si="212"/>
        <v>0</v>
      </c>
      <c r="EM27" s="3024">
        <f>SUM(EN27)</f>
        <v>27.25</v>
      </c>
      <c r="EN27" s="3024">
        <f>SUM(CO27)</f>
        <v>27.25</v>
      </c>
      <c r="EO27" s="3024"/>
      <c r="EP27" s="2930">
        <f>SUM(EP21/EP10)</f>
        <v>27.24999487421319</v>
      </c>
      <c r="EQ27" s="2930">
        <f>SUM(EQ21/EQ10)</f>
        <v>27.24999487421319</v>
      </c>
      <c r="ER27" s="3024"/>
      <c r="ES27" s="2930">
        <f>SUM(ES21/ES10)</f>
        <v>26.458331201296652</v>
      </c>
      <c r="ET27" s="2930">
        <f>SUM(ET21/ET10)</f>
        <v>26.458331201296652</v>
      </c>
      <c r="EU27" s="3024"/>
      <c r="EV27" s="3024">
        <f>SUM(EW27)</f>
        <v>27.25</v>
      </c>
      <c r="EW27" s="3024">
        <f>SUM(CO27)</f>
        <v>27.25</v>
      </c>
      <c r="EX27" s="3024"/>
      <c r="EY27" s="2930">
        <f>SUM(EY21/EY10)</f>
        <v>27.250001261078577</v>
      </c>
      <c r="EZ27" s="2930">
        <f>SUM(EZ21/EZ10)</f>
        <v>27.250001261078577</v>
      </c>
      <c r="FA27" s="3024"/>
      <c r="FB27" s="2930">
        <f>SUM(FB21/FB10)</f>
        <v>26.458314843714945</v>
      </c>
      <c r="FC27" s="2930">
        <f>SUM(FC21/FC10)</f>
        <v>26.458314843714945</v>
      </c>
      <c r="FD27" s="3024"/>
      <c r="FE27" s="3024">
        <f>SUM(FF27)</f>
        <v>27.25</v>
      </c>
      <c r="FF27" s="3024">
        <f>SUM(CO27)</f>
        <v>27.25</v>
      </c>
      <c r="FG27" s="3024"/>
      <c r="FH27" s="2930">
        <f>SUM(FH21/FH10)</f>
        <v>27.25007174879017</v>
      </c>
      <c r="FI27" s="2930">
        <f>SUM(FI21/FI10)</f>
        <v>27.25007174879017</v>
      </c>
      <c r="FJ27" s="3024"/>
      <c r="FK27" s="2930">
        <f>SUM(FK21/FK10)</f>
        <v>26.458329224275651</v>
      </c>
      <c r="FL27" s="2930">
        <f>SUM(FL21/FL10)</f>
        <v>26.458329224275651</v>
      </c>
      <c r="FM27" s="3024"/>
      <c r="FN27" s="2870">
        <f>SUM(FN21/FN10)</f>
        <v>27.25</v>
      </c>
      <c r="FO27" s="2870">
        <f t="shared" ref="FO27" si="305">SUM(FO21/FO10)</f>
        <v>27.25</v>
      </c>
      <c r="FP27" s="2870"/>
      <c r="FQ27" s="2870">
        <f t="shared" ref="FQ27:FU27" si="306">SUM(FQ21/FQ10)</f>
        <v>27.250023092593743</v>
      </c>
      <c r="FR27" s="2870">
        <f t="shared" si="306"/>
        <v>27.250023092593743</v>
      </c>
      <c r="FS27" s="2870"/>
      <c r="FT27" s="2870">
        <f t="shared" si="306"/>
        <v>26.458325058873974</v>
      </c>
      <c r="FU27" s="2870">
        <f t="shared" si="306"/>
        <v>26.458325058873974</v>
      </c>
      <c r="FV27" s="2870"/>
      <c r="FW27" s="2919">
        <f t="shared" si="214"/>
        <v>2.3092593743001544E-5</v>
      </c>
      <c r="FX27" s="2919">
        <f t="shared" si="214"/>
        <v>2.3092593743001544E-5</v>
      </c>
      <c r="FY27" s="2919">
        <f t="shared" si="214"/>
        <v>0</v>
      </c>
      <c r="FZ27" s="2870">
        <f>SUM(FZ21/FZ10)</f>
        <v>26.854999999999997</v>
      </c>
      <c r="GA27" s="2870">
        <f t="shared" ref="GA27" si="307">SUM(GA21/GA10)</f>
        <v>26.854999999999997</v>
      </c>
      <c r="GB27" s="2870"/>
      <c r="GC27" s="2870">
        <f t="shared" ref="GC27:GG27" si="308">SUM(GC21/GC10)</f>
        <v>26.844450922316003</v>
      </c>
      <c r="GD27" s="2870">
        <f t="shared" si="308"/>
        <v>26.844450922316003</v>
      </c>
      <c r="GE27" s="2870"/>
      <c r="GF27" s="2870">
        <f t="shared" si="308"/>
        <v>25.940641134527482</v>
      </c>
      <c r="GG27" s="2870">
        <f t="shared" si="308"/>
        <v>25.940641134527482</v>
      </c>
      <c r="GH27" s="2870"/>
      <c r="GI27" s="2919">
        <f t="shared" si="216"/>
        <v>-1.0549077683993602E-2</v>
      </c>
      <c r="GJ27" s="2919">
        <f t="shared" si="216"/>
        <v>-1.0549077683993602E-2</v>
      </c>
      <c r="GK27" s="2919">
        <f t="shared" si="216"/>
        <v>0</v>
      </c>
      <c r="GM27" s="4234"/>
    </row>
    <row r="28" spans="1:195" ht="18.75" customHeight="1" x14ac:dyDescent="0.3">
      <c r="A28" s="2929" t="s">
        <v>3784</v>
      </c>
      <c r="B28" s="3024">
        <f>SUM(C28)</f>
        <v>6.6845127943823144</v>
      </c>
      <c r="C28" s="3024">
        <f>SUM(C30-C27)</f>
        <v>6.6845127943823144</v>
      </c>
      <c r="D28" s="3024"/>
      <c r="E28" s="2930">
        <f>SUM(E22/E10)</f>
        <v>6.6800041107929573</v>
      </c>
      <c r="F28" s="2930">
        <f>SUM(F22/F10)</f>
        <v>6.6800041107929573</v>
      </c>
      <c r="G28" s="3024"/>
      <c r="H28" s="2930">
        <f>SUM(H22/H10)</f>
        <v>6.6199896059718411</v>
      </c>
      <c r="I28" s="2930">
        <f>SUM(I22/I10)</f>
        <v>6.6199896059718411</v>
      </c>
      <c r="J28" s="3024"/>
      <c r="K28" s="3024">
        <f>SUM(L28)</f>
        <v>6.6845127943823144</v>
      </c>
      <c r="L28" s="3024">
        <f t="shared" ref="L28:L30" si="309">SUM(C28)</f>
        <v>6.6845127943823144</v>
      </c>
      <c r="M28" s="3024"/>
      <c r="N28" s="2930">
        <f>SUM(N22/N10)</f>
        <v>6.6799959679451639</v>
      </c>
      <c r="O28" s="2930">
        <f>SUM(O22/O10)</f>
        <v>6.6799959679451639</v>
      </c>
      <c r="P28" s="3024"/>
      <c r="Q28" s="2930">
        <f>SUM(Q22/Q10)</f>
        <v>6.6200086998645595</v>
      </c>
      <c r="R28" s="2930">
        <f>SUM(R22/R10)</f>
        <v>6.6200086998645595</v>
      </c>
      <c r="S28" s="3024"/>
      <c r="T28" s="3024">
        <f>SUM(U28)</f>
        <v>6.6845127943823144</v>
      </c>
      <c r="U28" s="3024">
        <f t="shared" ref="U28:U30" si="310">SUM(C28)</f>
        <v>6.6845127943823144</v>
      </c>
      <c r="V28" s="3024"/>
      <c r="W28" s="2930">
        <f>SUM(W22/W10)</f>
        <v>6.680021654001437</v>
      </c>
      <c r="X28" s="2930">
        <f>SUM(X22/X10)</f>
        <v>6.680021654001437</v>
      </c>
      <c r="Y28" s="3024"/>
      <c r="Z28" s="2930">
        <f>SUM(Z22/Z10)</f>
        <v>6.6200158815543428</v>
      </c>
      <c r="AA28" s="2930">
        <f>SUM(AA22/AA10)</f>
        <v>6.6200158815543428</v>
      </c>
      <c r="AB28" s="3024"/>
      <c r="AC28" s="2870">
        <f>SUM(AC22/AC10)</f>
        <v>6.6845127943823144</v>
      </c>
      <c r="AD28" s="2870">
        <f t="shared" ref="AD28" si="311">SUM(AD22/AD10)</f>
        <v>6.6845127943823144</v>
      </c>
      <c r="AE28" s="2870"/>
      <c r="AF28" s="2870">
        <f>SUM(AF22/AF10)</f>
        <v>6.6800071581136811</v>
      </c>
      <c r="AG28" s="2870">
        <f t="shared" ref="AG28" si="312">SUM(AG22/AG10)</f>
        <v>6.6800071581136811</v>
      </c>
      <c r="AH28" s="2870"/>
      <c r="AI28" s="2870">
        <f>SUM(AI22/AI10)</f>
        <v>6.6200043666903614</v>
      </c>
      <c r="AJ28" s="2870">
        <f t="shared" ref="AJ28" si="313">SUM(AJ22/AJ10)</f>
        <v>6.6200043666903614</v>
      </c>
      <c r="AK28" s="2870"/>
      <c r="AL28" s="2919">
        <f t="shared" si="204"/>
        <v>-4.5056362686333173E-3</v>
      </c>
      <c r="AM28" s="2919">
        <f t="shared" si="204"/>
        <v>-4.5056362686333173E-3</v>
      </c>
      <c r="AN28" s="2919">
        <f t="shared" si="204"/>
        <v>0</v>
      </c>
      <c r="AO28" s="3024">
        <f>SUM(AP28)</f>
        <v>6.6845127943823144</v>
      </c>
      <c r="AP28" s="3024">
        <f t="shared" ref="AP28:AP30" si="314">SUM(C28)</f>
        <v>6.6845127943823144</v>
      </c>
      <c r="AQ28" s="3024"/>
      <c r="AR28" s="2930">
        <f>SUM(AR22/AR10)</f>
        <v>6.679994413967945</v>
      </c>
      <c r="AS28" s="2930">
        <f>SUM(AS22/AS10)</f>
        <v>6.679994413967945</v>
      </c>
      <c r="AT28" s="3024"/>
      <c r="AU28" s="2930">
        <f>SUM(AU22/AU10)</f>
        <v>6.6199885030713901</v>
      </c>
      <c r="AV28" s="2930">
        <f>SUM(AV22/AV10)</f>
        <v>6.6199885030713901</v>
      </c>
      <c r="AW28" s="3024"/>
      <c r="AX28" s="3024">
        <f>SUM(AY28)</f>
        <v>6.6845127943823144</v>
      </c>
      <c r="AY28" s="3024">
        <f t="shared" ref="AY28" si="315">SUM(L28)</f>
        <v>6.6845127943823144</v>
      </c>
      <c r="AZ28" s="3024"/>
      <c r="BA28" s="2930">
        <f>SUM(BA22/BA10)</f>
        <v>6.6800060382650708</v>
      </c>
      <c r="BB28" s="2930">
        <f>SUM(BB22/BB10)</f>
        <v>6.6800060382650708</v>
      </c>
      <c r="BC28" s="3024"/>
      <c r="BD28" s="2930">
        <f>SUM(BD22/BD10)</f>
        <v>6.620008032633784</v>
      </c>
      <c r="BE28" s="2930">
        <f>SUM(BE22/BE10)</f>
        <v>6.620008032633784</v>
      </c>
      <c r="BF28" s="3024"/>
      <c r="BG28" s="3024">
        <f>SUM(BH28)</f>
        <v>6.6845127943823144</v>
      </c>
      <c r="BH28" s="3024">
        <f t="shared" ref="BH28:BH30" si="316">SUM(C28)</f>
        <v>6.6845127943823144</v>
      </c>
      <c r="BI28" s="3024"/>
      <c r="BJ28" s="2930">
        <f>SUM(BJ22/BJ10)</f>
        <v>6.6799956514434244</v>
      </c>
      <c r="BK28" s="2930">
        <f>SUM(BK22/BK10)</f>
        <v>6.6799956514434244</v>
      </c>
      <c r="BL28" s="3024"/>
      <c r="BM28" s="2930">
        <f>SUM(BM22/BM10)</f>
        <v>6.6199958899509301</v>
      </c>
      <c r="BN28" s="2930">
        <f>SUM(BN22/BN10)</f>
        <v>6.6199958899509301</v>
      </c>
      <c r="BO28" s="3024"/>
      <c r="BP28" s="2870">
        <f>SUM(BP22/BP10)</f>
        <v>6.6845127943823144</v>
      </c>
      <c r="BQ28" s="2870">
        <f t="shared" ref="BQ28" si="317">SUM(BQ22/BQ10)</f>
        <v>6.6845127943823144</v>
      </c>
      <c r="BR28" s="2870"/>
      <c r="BS28" s="2870">
        <f>SUM(BS22/BS10)</f>
        <v>6.6799986875662301</v>
      </c>
      <c r="BT28" s="2870">
        <f t="shared" ref="BT28" si="318">SUM(BT22/BT10)</f>
        <v>6.6799986875662301</v>
      </c>
      <c r="BU28" s="2870"/>
      <c r="BV28" s="2870">
        <f>SUM(BV22/BV10)</f>
        <v>6.6199974378059832</v>
      </c>
      <c r="BW28" s="2870">
        <f t="shared" ref="BW28" si="319">SUM(BW22/BW10)</f>
        <v>6.6199974378059832</v>
      </c>
      <c r="BX28" s="2870"/>
      <c r="BY28" s="2919">
        <f t="shared" si="206"/>
        <v>-4.514106816084329E-3</v>
      </c>
      <c r="BZ28" s="2919">
        <f t="shared" si="206"/>
        <v>-4.514106816084329E-3</v>
      </c>
      <c r="CA28" s="2919">
        <f t="shared" si="206"/>
        <v>0</v>
      </c>
      <c r="CB28" s="2870">
        <f>SUM(CB22/CB10)</f>
        <v>6.6845127943823144</v>
      </c>
      <c r="CC28" s="2870">
        <f t="shared" ref="CC28" si="320">SUM(CC22/CC10)</f>
        <v>6.6845127943823144</v>
      </c>
      <c r="CD28" s="2870"/>
      <c r="CE28" s="2870">
        <f>SUM(CE22/CE10)</f>
        <v>6.6800028900884669</v>
      </c>
      <c r="CF28" s="2870">
        <f t="shared" ref="CF28" si="321">SUM(CF22/CF10)</f>
        <v>6.6800028900884669</v>
      </c>
      <c r="CG28" s="2870"/>
      <c r="CH28" s="2870">
        <f>SUM(CH22/CH10)</f>
        <v>6.6200008810457698</v>
      </c>
      <c r="CI28" s="2870">
        <f t="shared" ref="CI28" si="322">SUM(CI22/CI10)</f>
        <v>6.6200008810457698</v>
      </c>
      <c r="CJ28" s="2870"/>
      <c r="CK28" s="2919">
        <f t="shared" si="208"/>
        <v>-4.5099042938474554E-3</v>
      </c>
      <c r="CL28" s="2919">
        <f t="shared" si="208"/>
        <v>-4.5099042938474554E-3</v>
      </c>
      <c r="CM28" s="2919">
        <f t="shared" si="208"/>
        <v>0</v>
      </c>
      <c r="CN28" s="3024">
        <f>SUM(CO28)</f>
        <v>7.1710560689469887</v>
      </c>
      <c r="CO28" s="3024">
        <f>SUM(CO30-CO27)</f>
        <v>7.1710560689469887</v>
      </c>
      <c r="CP28" s="3024"/>
      <c r="CQ28" s="2930">
        <f>SUM(CQ22/CQ10)</f>
        <v>7.7219627907966251</v>
      </c>
      <c r="CR28" s="2930">
        <f>SUM(CR22/CR10)</f>
        <v>7.7219627907966251</v>
      </c>
      <c r="CS28" s="3024"/>
      <c r="CT28" s="2930">
        <f>SUM(CT22/CT10)</f>
        <v>6.6800113541984247</v>
      </c>
      <c r="CU28" s="2930">
        <f>SUM(CU22/CU10)</f>
        <v>6.6800113541984247</v>
      </c>
      <c r="CV28" s="3024"/>
      <c r="CW28" s="3024">
        <f>SUM(CX28)</f>
        <v>7.1710560689469887</v>
      </c>
      <c r="CX28" s="3024">
        <f>SUM(CO28)</f>
        <v>7.1710560689469887</v>
      </c>
      <c r="CY28" s="3024"/>
      <c r="CZ28" s="2930">
        <f>SUM(CZ22/CZ10)</f>
        <v>7.1699949007710648</v>
      </c>
      <c r="DA28" s="2930">
        <f>SUM(DA22/DA10)</f>
        <v>7.1699949007710648</v>
      </c>
      <c r="DB28" s="3024"/>
      <c r="DC28" s="2930">
        <f>SUM(DC22/DC10)</f>
        <v>6.6799950187316446</v>
      </c>
      <c r="DD28" s="2930">
        <f>SUM(DD22/DD10)</f>
        <v>6.6799950187316446</v>
      </c>
      <c r="DE28" s="3024"/>
      <c r="DF28" s="3024">
        <f>SUM(DG28)</f>
        <v>7.1710560689469887</v>
      </c>
      <c r="DG28" s="3024">
        <f t="shared" ref="DG28:DG30" si="323">SUM(CO28)</f>
        <v>7.1710560689469887</v>
      </c>
      <c r="DH28" s="3024"/>
      <c r="DI28" s="2930">
        <f>SUM(DI22/DI10)</f>
        <v>7.1699898184286441</v>
      </c>
      <c r="DJ28" s="2930">
        <f>SUM(DJ22/DJ10)</f>
        <v>7.1699898184286441</v>
      </c>
      <c r="DK28" s="3024"/>
      <c r="DL28" s="2930">
        <f>SUM(DL22/DL10)</f>
        <v>6.680001384700847</v>
      </c>
      <c r="DM28" s="2930">
        <f>SUM(DM22/DM10)</f>
        <v>6.680001384700847</v>
      </c>
      <c r="DN28" s="3024"/>
      <c r="DO28" s="2870">
        <f>SUM(DO22/DO10)</f>
        <v>7.1710560689469887</v>
      </c>
      <c r="DP28" s="2870">
        <f t="shared" ref="DP28" si="324">SUM(DP22/DP10)</f>
        <v>7.1710560689469887</v>
      </c>
      <c r="DQ28" s="2870"/>
      <c r="DR28" s="2870">
        <f>SUM(DR22/DR10)</f>
        <v>7.351826835639983</v>
      </c>
      <c r="DS28" s="2870">
        <f>SUM(DS22/DS10)</f>
        <v>7.351826835639983</v>
      </c>
      <c r="DT28" s="2870"/>
      <c r="DU28" s="2870">
        <f>SUM(DU22/DU10)</f>
        <v>6.680002535258021</v>
      </c>
      <c r="DV28" s="2870">
        <f>SUM(DV22/DV10)</f>
        <v>6.680002535258021</v>
      </c>
      <c r="DW28" s="2870"/>
      <c r="DX28" s="2919">
        <f t="shared" si="210"/>
        <v>0.1807707666929943</v>
      </c>
      <c r="DY28" s="2919">
        <f t="shared" si="210"/>
        <v>0.1807707666929943</v>
      </c>
      <c r="DZ28" s="2919">
        <f t="shared" si="210"/>
        <v>0</v>
      </c>
      <c r="EA28" s="2870">
        <f>SUM(EA22/EA10)</f>
        <v>6.8466938859038722</v>
      </c>
      <c r="EB28" s="2870">
        <f t="shared" ref="EB28" si="325">SUM(EB22/EB10)</f>
        <v>6.8466938859038722</v>
      </c>
      <c r="EC28" s="2870"/>
      <c r="ED28" s="2870">
        <f>SUM(ED22/ED10)</f>
        <v>6.8935436788580198</v>
      </c>
      <c r="EE28" s="2870">
        <f>SUM(EE22/EE10)</f>
        <v>6.8935436788580198</v>
      </c>
      <c r="EF28" s="2870"/>
      <c r="EG28" s="2870">
        <f>SUM(EG22/EG10)</f>
        <v>6.6393193124811773</v>
      </c>
      <c r="EH28" s="2870">
        <f>SUM(EH22/EH10)</f>
        <v>6.6393193124811773</v>
      </c>
      <c r="EI28" s="2870"/>
      <c r="EJ28" s="2919">
        <f t="shared" si="212"/>
        <v>4.6849792954147595E-2</v>
      </c>
      <c r="EK28" s="2919">
        <f t="shared" si="212"/>
        <v>4.6849792954147595E-2</v>
      </c>
      <c r="EL28" s="2919">
        <f t="shared" si="212"/>
        <v>0</v>
      </c>
      <c r="EM28" s="3024">
        <f>SUM(EN28)</f>
        <v>7.1710560689469887</v>
      </c>
      <c r="EN28" s="3024">
        <f t="shared" ref="EN28:EN30" si="326">SUM(CO28)</f>
        <v>7.1710560689469887</v>
      </c>
      <c r="EO28" s="3024"/>
      <c r="EP28" s="2930">
        <f>SUM(EP22/EP10)</f>
        <v>6.6380374387468475</v>
      </c>
      <c r="EQ28" s="2930">
        <f>SUM(EQ22/EQ10)</f>
        <v>6.6380374387468475</v>
      </c>
      <c r="ER28" s="3024"/>
      <c r="ES28" s="2930">
        <f>SUM(ES22/ES10)</f>
        <v>6.6799978520293726</v>
      </c>
      <c r="ET28" s="2930">
        <f>SUM(ET22/ET10)</f>
        <v>6.6799978520293726</v>
      </c>
      <c r="EU28" s="3024"/>
      <c r="EV28" s="3024">
        <f>SUM(EW28)</f>
        <v>7.1710560689469887</v>
      </c>
      <c r="EW28" s="3024">
        <f t="shared" ref="EW28:EW30" si="327">SUM(CO28)</f>
        <v>7.1710560689469887</v>
      </c>
      <c r="EX28" s="3024"/>
      <c r="EY28" s="2930">
        <f>SUM(EY22/EY10)</f>
        <v>7.1699984362625671</v>
      </c>
      <c r="EZ28" s="2930">
        <f>SUM(EZ22/EZ10)</f>
        <v>7.1699984362625671</v>
      </c>
      <c r="FA28" s="3024"/>
      <c r="FB28" s="2930">
        <f>SUM(FB22/FB10)</f>
        <v>6.6799908258253025</v>
      </c>
      <c r="FC28" s="2930">
        <f>SUM(FC22/FC10)</f>
        <v>6.6799908258253025</v>
      </c>
      <c r="FD28" s="3024"/>
      <c r="FE28" s="3024">
        <f>SUM(FF28)</f>
        <v>7.1710560689469887</v>
      </c>
      <c r="FF28" s="3024">
        <f t="shared" ref="FF28:FF30" si="328">SUM(CO28)</f>
        <v>7.1710560689469887</v>
      </c>
      <c r="FG28" s="3024"/>
      <c r="FH28" s="2930">
        <f>SUM(FH22/FH10)</f>
        <v>7.17001989173355</v>
      </c>
      <c r="FI28" s="2930">
        <f>SUM(FI22/FI10)</f>
        <v>7.17001989173355</v>
      </c>
      <c r="FJ28" s="3024"/>
      <c r="FK28" s="2930">
        <f>SUM(FK22/FK10)</f>
        <v>6.6800161732510199</v>
      </c>
      <c r="FL28" s="2930">
        <f>SUM(FL22/FL10)</f>
        <v>6.6800161732510199</v>
      </c>
      <c r="FM28" s="3024"/>
      <c r="FN28" s="2870">
        <f>SUM(FN22/FN10)</f>
        <v>7.1710560689469887</v>
      </c>
      <c r="FO28" s="2870">
        <f t="shared" ref="FO28" si="329">SUM(FO22/FO10)</f>
        <v>7.1710560689469887</v>
      </c>
      <c r="FP28" s="2870"/>
      <c r="FQ28" s="2870">
        <f>SUM(FQ22/FQ10)</f>
        <v>6.9957089762171467</v>
      </c>
      <c r="FR28" s="2870">
        <f>SUM(FR22/FR10)</f>
        <v>6.9957089762171467</v>
      </c>
      <c r="FS28" s="2870"/>
      <c r="FT28" s="2870">
        <f>SUM(FT22/FT10)</f>
        <v>6.680001700010374</v>
      </c>
      <c r="FU28" s="2870">
        <f>SUM(FU22/FU10)</f>
        <v>6.680001700010374</v>
      </c>
      <c r="FV28" s="2870"/>
      <c r="FW28" s="2919">
        <f t="shared" si="214"/>
        <v>-0.17534709272984195</v>
      </c>
      <c r="FX28" s="2919">
        <f t="shared" si="214"/>
        <v>-0.17534709272984195</v>
      </c>
      <c r="FY28" s="2919">
        <f t="shared" si="214"/>
        <v>0</v>
      </c>
      <c r="FZ28" s="2870">
        <f>SUM(FZ22/FZ10)</f>
        <v>6.9277844316646524</v>
      </c>
      <c r="GA28" s="2870">
        <f t="shared" ref="GA28" si="330">SUM(GA22/GA10)</f>
        <v>6.9277844316646524</v>
      </c>
      <c r="GB28" s="2870"/>
      <c r="GC28" s="2870">
        <f>SUM(GC22/GC10)</f>
        <v>6.9189853394706757</v>
      </c>
      <c r="GD28" s="2870">
        <f>SUM(GD22/GD10)</f>
        <v>6.9189853394706757</v>
      </c>
      <c r="GE28" s="2870"/>
      <c r="GF28" s="2870">
        <f>SUM(GF22/GF10)</f>
        <v>6.6494487539125906</v>
      </c>
      <c r="GG28" s="2870">
        <f>SUM(GG22/GG10)</f>
        <v>6.6494487539125906</v>
      </c>
      <c r="GH28" s="2870"/>
      <c r="GI28" s="2919">
        <f t="shared" si="216"/>
        <v>-8.7990921939766764E-3</v>
      </c>
      <c r="GJ28" s="2919">
        <f t="shared" si="216"/>
        <v>-8.7990921939766764E-3</v>
      </c>
      <c r="GK28" s="2919">
        <f t="shared" si="216"/>
        <v>0</v>
      </c>
      <c r="GM28" s="4234"/>
    </row>
    <row r="29" spans="1:195" ht="18.75" customHeight="1" x14ac:dyDescent="0.3">
      <c r="A29" s="2929" t="s">
        <v>3795</v>
      </c>
      <c r="B29" s="3024">
        <f>SUM(D29)</f>
        <v>14.665597532596639</v>
      </c>
      <c r="C29" s="3024"/>
      <c r="D29" s="3024">
        <f>SUM('очистка 2019-2021'!AN39)</f>
        <v>14.665597532596639</v>
      </c>
      <c r="E29" s="2930">
        <f>SUM(E23/E11)</f>
        <v>14.671428571428573</v>
      </c>
      <c r="F29" s="2930"/>
      <c r="G29" s="3024">
        <f>SUM(G23/G11)</f>
        <v>14.671428571428573</v>
      </c>
      <c r="H29" s="2930">
        <f>SUM(H23/H11)</f>
        <v>14.550143266475647</v>
      </c>
      <c r="I29" s="2930"/>
      <c r="J29" s="3024">
        <f>SUM(J23/J11)</f>
        <v>14.550143266475647</v>
      </c>
      <c r="K29" s="3024">
        <f>SUM(M29)</f>
        <v>14.665597532596639</v>
      </c>
      <c r="L29" s="3024"/>
      <c r="M29" s="3024">
        <f>SUM(D29)</f>
        <v>14.665597532596639</v>
      </c>
      <c r="N29" s="2930">
        <f>SUM(N23/N11)</f>
        <v>14.686440677966104</v>
      </c>
      <c r="O29" s="2930"/>
      <c r="P29" s="3024">
        <f>SUM(P23/P11)</f>
        <v>14.686440677966104</v>
      </c>
      <c r="Q29" s="2930">
        <f>SUM(Q23/Q11)</f>
        <v>14.542713567839195</v>
      </c>
      <c r="R29" s="2930"/>
      <c r="S29" s="3024">
        <f>SUM(S23/S11)</f>
        <v>14.542713567839195</v>
      </c>
      <c r="T29" s="3024">
        <f>SUM(V29)</f>
        <v>14.665597532596639</v>
      </c>
      <c r="U29" s="3024"/>
      <c r="V29" s="3024">
        <f>SUM(D29)</f>
        <v>14.665597532596639</v>
      </c>
      <c r="W29" s="2930">
        <f>SUM(W23/W11)</f>
        <v>14.670015589814655</v>
      </c>
      <c r="X29" s="2930"/>
      <c r="Y29" s="3024">
        <f>SUM(Y23/Y11)</f>
        <v>14.670015589814655</v>
      </c>
      <c r="Z29" s="2930">
        <f>SUM(Z23/Z11)</f>
        <v>14.562096195262024</v>
      </c>
      <c r="AA29" s="2930"/>
      <c r="AB29" s="3024">
        <f>SUM(AB23/AB11)</f>
        <v>14.562096195262024</v>
      </c>
      <c r="AC29" s="2870">
        <f>SUM(AC23/AC11)</f>
        <v>14.665597532596637</v>
      </c>
      <c r="AD29" s="2870"/>
      <c r="AE29" s="2870">
        <f t="shared" ref="AE29" si="331">SUM(AE23/AE11)</f>
        <v>14.665597532596637</v>
      </c>
      <c r="AF29" s="2870">
        <f>SUM(AF23/AF11)</f>
        <v>14.67126781695424</v>
      </c>
      <c r="AG29" s="2870"/>
      <c r="AH29" s="2870">
        <f t="shared" ref="AH29" si="332">SUM(AH23/AH11)</f>
        <v>14.67126781695424</v>
      </c>
      <c r="AI29" s="2870">
        <f>SUM(AI23/AI11)</f>
        <v>14.559688062387522</v>
      </c>
      <c r="AJ29" s="2870"/>
      <c r="AK29" s="2870">
        <f>SUM(AK23/AK11)</f>
        <v>14.559688062387522</v>
      </c>
      <c r="AL29" s="2919">
        <f t="shared" si="204"/>
        <v>5.6702843576026396E-3</v>
      </c>
      <c r="AM29" s="2919">
        <f t="shared" si="204"/>
        <v>0</v>
      </c>
      <c r="AN29" s="2919">
        <f t="shared" si="204"/>
        <v>5.6702843576026396E-3</v>
      </c>
      <c r="AO29" s="3024">
        <f>SUM(AQ29)</f>
        <v>14.665597532596639</v>
      </c>
      <c r="AP29" s="3024"/>
      <c r="AQ29" s="3024">
        <f>SUM(D29)</f>
        <v>14.665597532596639</v>
      </c>
      <c r="AR29" s="2930">
        <f>SUM(AR23/AR11)</f>
        <v>14.669846678023848</v>
      </c>
      <c r="AS29" s="2930"/>
      <c r="AT29" s="3024">
        <f>SUM(AT23/AT11)</f>
        <v>14.669846678023848</v>
      </c>
      <c r="AU29" s="2930">
        <f>SUM(AU23/AU11)</f>
        <v>14.550000000000002</v>
      </c>
      <c r="AV29" s="2930"/>
      <c r="AW29" s="3024">
        <f>SUM(AW23/AW11)</f>
        <v>14.550000000000002</v>
      </c>
      <c r="AX29" s="3024">
        <f>SUM(AZ29)</f>
        <v>14.665597532596639</v>
      </c>
      <c r="AY29" s="3024"/>
      <c r="AZ29" s="3024">
        <f>SUM(M29)</f>
        <v>14.665597532596639</v>
      </c>
      <c r="BA29" s="2930">
        <f>SUM(BA23/BA11)</f>
        <v>14.670391061452513</v>
      </c>
      <c r="BB29" s="2930"/>
      <c r="BC29" s="3024">
        <f>SUM(BC23/BC11)</f>
        <v>14.670391061452513</v>
      </c>
      <c r="BD29" s="2930">
        <f>SUM(BD23/BD11)</f>
        <v>14.559999999999999</v>
      </c>
      <c r="BE29" s="2930"/>
      <c r="BF29" s="3024">
        <f>SUM(BF23/BF11)</f>
        <v>14.559999999999999</v>
      </c>
      <c r="BG29" s="3024">
        <f>SUM(BI29)</f>
        <v>14.665597532596639</v>
      </c>
      <c r="BH29" s="3024"/>
      <c r="BI29" s="3024">
        <f>SUM(D29)</f>
        <v>14.665597532596639</v>
      </c>
      <c r="BJ29" s="2930">
        <f>SUM(BJ23/BJ11)</f>
        <v>14.672263480787858</v>
      </c>
      <c r="BK29" s="2930"/>
      <c r="BL29" s="3024">
        <f>SUM(BL23/BL11)</f>
        <v>14.672263480787858</v>
      </c>
      <c r="BM29" s="2930">
        <f>SUM(BM23/BM11)</f>
        <v>14.561561561561561</v>
      </c>
      <c r="BN29" s="2930"/>
      <c r="BO29" s="3024">
        <f>SUM(BO23/BO11)</f>
        <v>14.561561561561561</v>
      </c>
      <c r="BP29" s="2870">
        <f>SUM(BP23/BP11)</f>
        <v>14.665597532596637</v>
      </c>
      <c r="BQ29" s="2870"/>
      <c r="BR29" s="2870">
        <f t="shared" ref="BR29" si="333">SUM(BR23/BR11)</f>
        <v>14.665597532596637</v>
      </c>
      <c r="BS29" s="2870">
        <f>SUM(BS23/BS11)</f>
        <v>14.671708239312071</v>
      </c>
      <c r="BT29" s="2870"/>
      <c r="BU29" s="2870">
        <f t="shared" ref="BU29" si="334">SUM(BU23/BU11)</f>
        <v>14.671708239312071</v>
      </c>
      <c r="BV29" s="2870">
        <f>SUM(BV23/BV11)</f>
        <v>14.560522033898307</v>
      </c>
      <c r="BW29" s="2870"/>
      <c r="BX29" s="2870">
        <f t="shared" ref="BX29" si="335">SUM(BX23/BX11)</f>
        <v>14.560522033898307</v>
      </c>
      <c r="BY29" s="2919">
        <f t="shared" si="206"/>
        <v>6.1107067154342332E-3</v>
      </c>
      <c r="BZ29" s="2919">
        <f t="shared" si="206"/>
        <v>0</v>
      </c>
      <c r="CA29" s="2919">
        <f t="shared" si="206"/>
        <v>6.1107067154342332E-3</v>
      </c>
      <c r="CB29" s="2870">
        <f>SUM(CB23/CB11)</f>
        <v>14.665597532596637</v>
      </c>
      <c r="CC29" s="2870"/>
      <c r="CD29" s="2870">
        <f t="shared" ref="CD29" si="336">SUM(CD23/CD11)</f>
        <v>14.665597532596637</v>
      </c>
      <c r="CE29" s="2870">
        <f>SUM(CE23/CE11)</f>
        <v>14.671510747805026</v>
      </c>
      <c r="CF29" s="2870"/>
      <c r="CG29" s="2870">
        <f t="shared" ref="CG29" si="337">SUM(CG23/CG11)</f>
        <v>14.671510747805026</v>
      </c>
      <c r="CH29" s="2870">
        <f>SUM(CH23/CH11)</f>
        <v>14.560163680886712</v>
      </c>
      <c r="CI29" s="2870"/>
      <c r="CJ29" s="2870">
        <f t="shared" ref="CJ29" si="338">SUM(CJ23/CJ11)</f>
        <v>14.560163680886712</v>
      </c>
      <c r="CK29" s="2919">
        <f t="shared" si="208"/>
        <v>5.9132152083893885E-3</v>
      </c>
      <c r="CL29" s="2919">
        <f t="shared" si="208"/>
        <v>0</v>
      </c>
      <c r="CM29" s="2919">
        <f t="shared" si="208"/>
        <v>5.9132152083893885E-3</v>
      </c>
      <c r="CN29" s="3024">
        <f>SUM(CP29)</f>
        <v>19.940682207252795</v>
      </c>
      <c r="CO29" s="3024"/>
      <c r="CP29" s="3024">
        <f>SUM('очистка 2019-2021'!AN40)</f>
        <v>19.940682207252795</v>
      </c>
      <c r="CQ29" s="2930">
        <f>SUM(CQ23/CQ11)</f>
        <v>19.939914163090126</v>
      </c>
      <c r="CR29" s="2930"/>
      <c r="CS29" s="3024">
        <f>SUM(CS23/CS11)</f>
        <v>19.939914163090126</v>
      </c>
      <c r="CT29" s="2930">
        <f>SUM(CT23/CT11)</f>
        <v>14.657360406091371</v>
      </c>
      <c r="CU29" s="2930"/>
      <c r="CV29" s="3024">
        <f>SUM(CV23/CV11)</f>
        <v>14.657360406091371</v>
      </c>
      <c r="CW29" s="3024">
        <f>SUM(CY29)</f>
        <v>19.940682207252795</v>
      </c>
      <c r="CX29" s="3024"/>
      <c r="CY29" s="3024">
        <f>SUM(CP29)</f>
        <v>19.940682207252795</v>
      </c>
      <c r="CZ29" s="2930">
        <f>SUM(CZ23/CZ11)</f>
        <v>19.933742331288343</v>
      </c>
      <c r="DA29" s="2930"/>
      <c r="DB29" s="3024">
        <f>SUM(DB23/DB11)</f>
        <v>19.933742331288343</v>
      </c>
      <c r="DC29" s="2930">
        <f>SUM(DC23/DC11)</f>
        <v>14.666666666666666</v>
      </c>
      <c r="DD29" s="2930"/>
      <c r="DE29" s="3024">
        <f>SUM(DE23/DE11)</f>
        <v>14.666666666666666</v>
      </c>
      <c r="DF29" s="3024">
        <f>SUM(DH29)</f>
        <v>19.940682207252795</v>
      </c>
      <c r="DG29" s="3024"/>
      <c r="DH29" s="3024">
        <f>SUM(CP29)</f>
        <v>19.940682207252795</v>
      </c>
      <c r="DI29" s="2930">
        <f>SUM(DI23/DI11)</f>
        <v>19.936464088397791</v>
      </c>
      <c r="DJ29" s="2930"/>
      <c r="DK29" s="3024">
        <f>SUM(DK23/DK11)</f>
        <v>19.936464088397791</v>
      </c>
      <c r="DL29" s="2930">
        <f>SUM(DL23/DL11)</f>
        <v>14.670411366264663</v>
      </c>
      <c r="DM29" s="2930"/>
      <c r="DN29" s="3024">
        <f>SUM(DN23/DN11)</f>
        <v>14.670411366264663</v>
      </c>
      <c r="DO29" s="2870">
        <f>SUM(DO23/DO11)</f>
        <v>19.940682207252792</v>
      </c>
      <c r="DP29" s="2870"/>
      <c r="DQ29" s="2870">
        <f t="shared" ref="DQ29" si="339">SUM(DQ23/DQ11)</f>
        <v>19.940682207252792</v>
      </c>
      <c r="DR29" s="2870">
        <f>SUM(DR23/DR11)</f>
        <v>19.936317931529807</v>
      </c>
      <c r="DS29" s="2870"/>
      <c r="DT29" s="2870">
        <f t="shared" ref="DT29" si="340">SUM(DT23/DT11)</f>
        <v>19.936317931529807</v>
      </c>
      <c r="DU29" s="2870">
        <f>SUM(DU23/DU11)</f>
        <v>14.667644183773213</v>
      </c>
      <c r="DV29" s="2870"/>
      <c r="DW29" s="2870">
        <f t="shared" ref="DW29" si="341">SUM(DW23/DW11)</f>
        <v>14.667644183773213</v>
      </c>
      <c r="DX29" s="2919">
        <f t="shared" si="210"/>
        <v>-4.3642757229847007E-3</v>
      </c>
      <c r="DY29" s="2919">
        <f t="shared" si="210"/>
        <v>0</v>
      </c>
      <c r="DZ29" s="2919">
        <f t="shared" si="210"/>
        <v>-4.3642757229847007E-3</v>
      </c>
      <c r="EA29" s="2870">
        <f>SUM(EA23/EA11)</f>
        <v>16.423959090815355</v>
      </c>
      <c r="EB29" s="2870"/>
      <c r="EC29" s="2870">
        <f t="shared" ref="EC29" si="342">SUM(EC23/EC11)</f>
        <v>16.423959090815355</v>
      </c>
      <c r="ED29" s="2870">
        <f>SUM(ED23/ED11)</f>
        <v>16.565866264671048</v>
      </c>
      <c r="EE29" s="2870"/>
      <c r="EF29" s="2870">
        <f t="shared" ref="EF29" si="343">SUM(EF23/EF11)</f>
        <v>16.565866264671048</v>
      </c>
      <c r="EG29" s="2870">
        <f>SUM(EG23/EG11)</f>
        <v>14.597275335414732</v>
      </c>
      <c r="EH29" s="2870"/>
      <c r="EI29" s="2870">
        <f t="shared" ref="EI29" si="344">SUM(EI23/EI11)</f>
        <v>14.597275335414732</v>
      </c>
      <c r="EJ29" s="2919">
        <f t="shared" si="212"/>
        <v>0.14190717385569229</v>
      </c>
      <c r="EK29" s="2919">
        <f t="shared" si="212"/>
        <v>0</v>
      </c>
      <c r="EL29" s="2919">
        <f t="shared" si="212"/>
        <v>0.14190717385569229</v>
      </c>
      <c r="EM29" s="3024">
        <f>SUM(EO29)</f>
        <v>19.940682207252795</v>
      </c>
      <c r="EN29" s="3024"/>
      <c r="EO29" s="3024">
        <f>SUM(CP29)</f>
        <v>19.940682207252795</v>
      </c>
      <c r="EP29" s="2930">
        <f>SUM(EP23/EP11)</f>
        <v>19.935341009743137</v>
      </c>
      <c r="EQ29" s="2930"/>
      <c r="ER29" s="3024">
        <f>SUM(ER23/ER11)</f>
        <v>19.935341009743137</v>
      </c>
      <c r="ES29" s="2930">
        <f>SUM(ES23/ES11)</f>
        <v>14.669387755102042</v>
      </c>
      <c r="ET29" s="2930"/>
      <c r="EU29" s="3024">
        <f>SUM(EU23/EU11)</f>
        <v>14.669387755102042</v>
      </c>
      <c r="EV29" s="3024">
        <f>SUM(EX29)</f>
        <v>19.940682207252795</v>
      </c>
      <c r="EW29" s="3024"/>
      <c r="EX29" s="3024">
        <f>SUM(CP29)</f>
        <v>19.940682207252795</v>
      </c>
      <c r="EY29" s="2930">
        <f>SUM(EY23/EY11)</f>
        <v>19.956081081081081</v>
      </c>
      <c r="EZ29" s="2930"/>
      <c r="FA29" s="3024">
        <f>SUM(FA23/FA11)</f>
        <v>19.956081081081081</v>
      </c>
      <c r="FB29" s="2930">
        <f>SUM(FB23/FB11)</f>
        <v>14.679951690821255</v>
      </c>
      <c r="FC29" s="2930"/>
      <c r="FD29" s="3024">
        <f>SUM(FD23/FD11)</f>
        <v>14.679951690821255</v>
      </c>
      <c r="FE29" s="3024">
        <f>SUM(FG29)</f>
        <v>19.940682207252795</v>
      </c>
      <c r="FF29" s="3024"/>
      <c r="FG29" s="3024">
        <f>SUM(CP29)</f>
        <v>19.940682207252795</v>
      </c>
      <c r="FH29" s="2930">
        <f>SUM(FH23/FH11)</f>
        <v>19.934039886934674</v>
      </c>
      <c r="FI29" s="2930"/>
      <c r="FJ29" s="3024">
        <f>SUM(FJ23/FJ11)</f>
        <v>19.934039886934674</v>
      </c>
      <c r="FK29" s="2930">
        <f>SUM(FK23/FK11)</f>
        <v>14.67016029593095</v>
      </c>
      <c r="FL29" s="2930"/>
      <c r="FM29" s="3024">
        <f>SUM(FM23/FM11)</f>
        <v>14.67016029593095</v>
      </c>
      <c r="FN29" s="2870">
        <f>SUM(FN23/FN11)</f>
        <v>19.940682207252792</v>
      </c>
      <c r="FO29" s="2870"/>
      <c r="FP29" s="2870">
        <f t="shared" ref="FP29" si="345">SUM(FP23/FP11)</f>
        <v>19.940682207252792</v>
      </c>
      <c r="FQ29" s="2870">
        <f>SUM(FQ23/FQ11)</f>
        <v>19.935774137556955</v>
      </c>
      <c r="FR29" s="2870"/>
      <c r="FS29" s="2870">
        <f t="shared" ref="FS29" si="346">SUM(FS23/FS11)</f>
        <v>19.935774137556955</v>
      </c>
      <c r="FT29" s="2870">
        <f>SUM(FT23/FT11)</f>
        <v>14.671922513796595</v>
      </c>
      <c r="FU29" s="2870"/>
      <c r="FV29" s="2870">
        <f t="shared" ref="FV29" si="347">SUM(FV23/FV11)</f>
        <v>14.671922513796595</v>
      </c>
      <c r="FW29" s="2919">
        <f t="shared" si="214"/>
        <v>-4.908069695837014E-3</v>
      </c>
      <c r="FX29" s="2919">
        <f t="shared" si="214"/>
        <v>0</v>
      </c>
      <c r="FY29" s="2919">
        <f t="shared" si="214"/>
        <v>-4.908069695837014E-3</v>
      </c>
      <c r="FZ29" s="2870">
        <f>SUM(FZ23/FZ11)</f>
        <v>17.303139869924713</v>
      </c>
      <c r="GA29" s="2870"/>
      <c r="GB29" s="2870">
        <f t="shared" ref="GB29" si="348">SUM(GB23/GB11)</f>
        <v>17.303139869924713</v>
      </c>
      <c r="GC29" s="2870">
        <f>SUM(GC23/GC11)</f>
        <v>17.523576513388111</v>
      </c>
      <c r="GD29" s="2870"/>
      <c r="GE29" s="2870">
        <f t="shared" ref="GE29" si="349">SUM(GE23/GE11)</f>
        <v>17.523576513388111</v>
      </c>
      <c r="GF29" s="2870">
        <f>SUM(GF23/GF11)</f>
        <v>14.617618243761701</v>
      </c>
      <c r="GG29" s="2870"/>
      <c r="GH29" s="2870">
        <f t="shared" ref="GH29" si="350">SUM(GH23/GH11)</f>
        <v>14.617618243761701</v>
      </c>
      <c r="GI29" s="2919">
        <f t="shared" si="216"/>
        <v>0.22043664346339753</v>
      </c>
      <c r="GJ29" s="2919">
        <f t="shared" si="216"/>
        <v>0</v>
      </c>
      <c r="GK29" s="2919">
        <f t="shared" si="216"/>
        <v>0.22043664346339753</v>
      </c>
      <c r="GM29" s="4234"/>
    </row>
    <row r="30" spans="1:195" ht="18.75" customHeight="1" x14ac:dyDescent="0.3">
      <c r="A30" s="2929" t="s">
        <v>256</v>
      </c>
      <c r="B30" s="3024">
        <f>SUM(C30)</f>
        <v>33.144512794382315</v>
      </c>
      <c r="C30" s="3024">
        <f>SUM('стоки 2019-2021'!AP39)</f>
        <v>33.144512794382315</v>
      </c>
      <c r="D30" s="3024"/>
      <c r="E30" s="2930">
        <f>SUM(E24/E12)</f>
        <v>33.139380575728765</v>
      </c>
      <c r="F30" s="2930">
        <f>SUM(F24/F12)</f>
        <v>33.139380575728765</v>
      </c>
      <c r="G30" s="3024"/>
      <c r="H30" s="2930">
        <f>SUM(H24/H12)</f>
        <v>32.060170602557335</v>
      </c>
      <c r="I30" s="2930">
        <f>SUM(I24/I12)</f>
        <v>32.060170602557335</v>
      </c>
      <c r="J30" s="3024"/>
      <c r="K30" s="3024">
        <f>SUM(L30)</f>
        <v>33.144512794382315</v>
      </c>
      <c r="L30" s="3024">
        <f t="shared" si="309"/>
        <v>33.144512794382315</v>
      </c>
      <c r="M30" s="3024"/>
      <c r="N30" s="2930">
        <f>SUM(N24/N12)</f>
        <v>33.14015544041451</v>
      </c>
      <c r="O30" s="2930">
        <f>SUM(O24/O12)</f>
        <v>33.14015544041451</v>
      </c>
      <c r="P30" s="3024"/>
      <c r="Q30" s="2930">
        <f>SUM(Q24/Q12)</f>
        <v>32.060167386289699</v>
      </c>
      <c r="R30" s="2930">
        <f>SUM(R24/R12)</f>
        <v>32.060167386289699</v>
      </c>
      <c r="S30" s="3024"/>
      <c r="T30" s="3024">
        <f>SUM(U30)</f>
        <v>33.144512794382315</v>
      </c>
      <c r="U30" s="3024">
        <f t="shared" si="310"/>
        <v>33.144512794382315</v>
      </c>
      <c r="V30" s="3024"/>
      <c r="W30" s="2930">
        <f>SUM(W24/W12)</f>
        <v>33.139271361749785</v>
      </c>
      <c r="X30" s="2930">
        <f>SUM(X24/X12)</f>
        <v>33.139271361749785</v>
      </c>
      <c r="Y30" s="3024"/>
      <c r="Z30" s="2930">
        <f>SUM(Z24/Z12)</f>
        <v>32.060123784261712</v>
      </c>
      <c r="AA30" s="2930">
        <f>SUM(AA24/AA12)</f>
        <v>32.060123784261712</v>
      </c>
      <c r="AB30" s="3024"/>
      <c r="AC30" s="2870">
        <f>SUM(AC24/AC12)</f>
        <v>33.144512794382315</v>
      </c>
      <c r="AD30" s="2870">
        <f t="shared" ref="AD30" si="351">SUM(AD24/AD12)</f>
        <v>33.144512794382315</v>
      </c>
      <c r="AE30" s="2870"/>
      <c r="AF30" s="2870">
        <f>SUM(AF24/AF12)</f>
        <v>33.139632130808046</v>
      </c>
      <c r="AG30" s="2870">
        <f t="shared" ref="AG30" si="352">SUM(AG24/AG12)</f>
        <v>33.139632130808046</v>
      </c>
      <c r="AH30" s="2870"/>
      <c r="AI30" s="2870">
        <f>SUM(AI24/AI12)</f>
        <v>32.060153824256581</v>
      </c>
      <c r="AJ30" s="2870">
        <f>SUM(AJ24/AJ12)</f>
        <v>32.060153824256581</v>
      </c>
      <c r="AK30" s="2870"/>
      <c r="AL30" s="2919">
        <f t="shared" si="204"/>
        <v>-4.8806635742693061E-3</v>
      </c>
      <c r="AM30" s="2919">
        <f t="shared" si="204"/>
        <v>-4.8806635742693061E-3</v>
      </c>
      <c r="AN30" s="2919">
        <f t="shared" si="204"/>
        <v>0</v>
      </c>
      <c r="AO30" s="3024">
        <f>SUM(AP30)</f>
        <v>33.144512794382315</v>
      </c>
      <c r="AP30" s="3024">
        <f t="shared" si="314"/>
        <v>33.144512794382315</v>
      </c>
      <c r="AQ30" s="3024"/>
      <c r="AR30" s="2930">
        <f>SUM(AR24/AR12)</f>
        <v>33.140664626863234</v>
      </c>
      <c r="AS30" s="2930">
        <f>SUM(AS24/AS12)</f>
        <v>33.140664626863234</v>
      </c>
      <c r="AT30" s="3024"/>
      <c r="AU30" s="2930">
        <f>SUM(AU24/AU12)</f>
        <v>32.060163411350267</v>
      </c>
      <c r="AV30" s="2930">
        <f>SUM(AV24/AV12)</f>
        <v>32.060163411350267</v>
      </c>
      <c r="AW30" s="3024"/>
      <c r="AX30" s="3024">
        <f>SUM(AY30)</f>
        <v>33.144512794382315</v>
      </c>
      <c r="AY30" s="3024">
        <f t="shared" ref="AY30" si="353">SUM(L30)</f>
        <v>33.144512794382315</v>
      </c>
      <c r="AZ30" s="3024"/>
      <c r="BA30" s="2930">
        <f>SUM(BA24/BA12)</f>
        <v>33.140102129508911</v>
      </c>
      <c r="BB30" s="2930">
        <f>SUM(BB24/BB12)</f>
        <v>33.140102129508911</v>
      </c>
      <c r="BC30" s="3024"/>
      <c r="BD30" s="2930">
        <f>SUM(BD24/BD12)</f>
        <v>32.059452282904658</v>
      </c>
      <c r="BE30" s="2930">
        <f>SUM(BE24/BE12)</f>
        <v>32.059452282904658</v>
      </c>
      <c r="BF30" s="3024"/>
      <c r="BG30" s="3024">
        <f>SUM(BH30)</f>
        <v>33.144512794382315</v>
      </c>
      <c r="BH30" s="3024">
        <f t="shared" si="316"/>
        <v>33.144512794382315</v>
      </c>
      <c r="BI30" s="3024"/>
      <c r="BJ30" s="2930">
        <f>SUM(BJ24/BJ12)</f>
        <v>33.140096459317547</v>
      </c>
      <c r="BK30" s="2930">
        <f>SUM(BK24/BK12)</f>
        <v>33.140096459317547</v>
      </c>
      <c r="BL30" s="3024"/>
      <c r="BM30" s="2930">
        <f>SUM(BM24/BM12)</f>
        <v>32.059866522763812</v>
      </c>
      <c r="BN30" s="2930">
        <f>SUM(BN24/BN12)</f>
        <v>32.059866522763812</v>
      </c>
      <c r="BO30" s="3024"/>
      <c r="BP30" s="2870">
        <f>SUM(BP24/BP12)</f>
        <v>33.144512794382315</v>
      </c>
      <c r="BQ30" s="2870">
        <f t="shared" ref="BQ30" si="354">SUM(BQ24/BQ12)</f>
        <v>33.144512794382315</v>
      </c>
      <c r="BR30" s="2870"/>
      <c r="BS30" s="2870">
        <f>SUM(BS24/BS12)</f>
        <v>33.140294310301996</v>
      </c>
      <c r="BT30" s="2870">
        <f t="shared" ref="BT30" si="355">SUM(BT24/BT12)</f>
        <v>33.140294310301996</v>
      </c>
      <c r="BU30" s="2870"/>
      <c r="BV30" s="2870">
        <f>SUM(BV24/BV12)</f>
        <v>32.059850477929182</v>
      </c>
      <c r="BW30" s="2870">
        <f t="shared" ref="BW30" si="356">SUM(BW24/BW12)</f>
        <v>32.059850477929182</v>
      </c>
      <c r="BX30" s="2870"/>
      <c r="BY30" s="2919">
        <f t="shared" si="206"/>
        <v>-4.218484080318774E-3</v>
      </c>
      <c r="BZ30" s="2919">
        <f t="shared" si="206"/>
        <v>-4.218484080318774E-3</v>
      </c>
      <c r="CA30" s="2919">
        <f t="shared" si="206"/>
        <v>0</v>
      </c>
      <c r="CB30" s="2870">
        <f>SUM(CB24/CB12)</f>
        <v>33.144512794382315</v>
      </c>
      <c r="CC30" s="2870">
        <f t="shared" ref="CC30" si="357">SUM(CC24/CC12)</f>
        <v>33.144512794382315</v>
      </c>
      <c r="CD30" s="2870"/>
      <c r="CE30" s="2870">
        <f>SUM(CE24/CE12)</f>
        <v>33.139964461926937</v>
      </c>
      <c r="CF30" s="2870">
        <f t="shared" ref="CF30" si="358">SUM(CF24/CF12)</f>
        <v>33.139964461926937</v>
      </c>
      <c r="CG30" s="2870"/>
      <c r="CH30" s="2870">
        <f>SUM(CH24/CH12)</f>
        <v>32.060022890974246</v>
      </c>
      <c r="CI30" s="2870">
        <f t="shared" ref="CI30" si="359">SUM(CI24/CI12)</f>
        <v>32.060022890974246</v>
      </c>
      <c r="CJ30" s="2870"/>
      <c r="CK30" s="2919">
        <f t="shared" si="208"/>
        <v>-4.5483324553785565E-3</v>
      </c>
      <c r="CL30" s="2919">
        <f t="shared" si="208"/>
        <v>-4.5483324553785565E-3</v>
      </c>
      <c r="CM30" s="2919">
        <f t="shared" si="208"/>
        <v>0</v>
      </c>
      <c r="CN30" s="3024">
        <f>SUM(CO30)</f>
        <v>34.421056068946989</v>
      </c>
      <c r="CO30" s="3024">
        <f>SUM('стоки 2019-2021'!AP40)</f>
        <v>34.421056068946989</v>
      </c>
      <c r="CP30" s="3024"/>
      <c r="CQ30" s="2930">
        <f>SUM(CQ24/CQ12)</f>
        <v>34.420453857791223</v>
      </c>
      <c r="CR30" s="2930">
        <f>SUM(CR24/CR12)</f>
        <v>34.420453857791223</v>
      </c>
      <c r="CS30" s="3024"/>
      <c r="CT30" s="2930">
        <f>SUM(CT24/CT12)</f>
        <v>33.140619633166175</v>
      </c>
      <c r="CU30" s="2930">
        <f>SUM(CU24/CU12)</f>
        <v>33.140619633166175</v>
      </c>
      <c r="CV30" s="3024"/>
      <c r="CW30" s="3024">
        <f>SUM(CX30)</f>
        <v>34.421056068946989</v>
      </c>
      <c r="CX30" s="3024">
        <f>SUM(CO30)</f>
        <v>34.421056068946989</v>
      </c>
      <c r="CY30" s="3024"/>
      <c r="CZ30" s="2930">
        <f>SUM(CZ24/CZ12)</f>
        <v>34.419989395546132</v>
      </c>
      <c r="DA30" s="2930">
        <f>SUM(DA24/DA12)</f>
        <v>34.419989395546132</v>
      </c>
      <c r="DB30" s="3024"/>
      <c r="DC30" s="2930">
        <f>SUM(DC24/DC12)</f>
        <v>33.154163580573481</v>
      </c>
      <c r="DD30" s="2930">
        <f>SUM(DD24/DD12)</f>
        <v>33.154163580573481</v>
      </c>
      <c r="DE30" s="3024"/>
      <c r="DF30" s="3024">
        <f>SUM(DG30)</f>
        <v>34.421056068946989</v>
      </c>
      <c r="DG30" s="3024">
        <f t="shared" si="323"/>
        <v>34.421056068946989</v>
      </c>
      <c r="DH30" s="3024"/>
      <c r="DI30" s="2930">
        <f>SUM(DI24/DI12)</f>
        <v>34.421617553217601</v>
      </c>
      <c r="DJ30" s="2930">
        <f>SUM(DJ24/DJ12)</f>
        <v>34.421617553217601</v>
      </c>
      <c r="DK30" s="3024"/>
      <c r="DL30" s="2930">
        <f>SUM(DL24/DL12)</f>
        <v>33.581199326329831</v>
      </c>
      <c r="DM30" s="2930">
        <f>SUM(DM24/DM12)</f>
        <v>33.581199326329831</v>
      </c>
      <c r="DN30" s="3024"/>
      <c r="DO30" s="2870">
        <f>SUM(DO24/DO12)</f>
        <v>34.421056068946989</v>
      </c>
      <c r="DP30" s="2870">
        <f t="shared" ref="DP30" si="360">SUM(DP24/DP12)</f>
        <v>34.421056068946989</v>
      </c>
      <c r="DQ30" s="2870"/>
      <c r="DR30" s="2870">
        <f>SUM(DR24/DR12)</f>
        <v>34.420721937921471</v>
      </c>
      <c r="DS30" s="2870">
        <f>SUM(DS24/DS12)</f>
        <v>34.420721937921471</v>
      </c>
      <c r="DT30" s="2870"/>
      <c r="DU30" s="2870">
        <f>SUM(DU24/DU12)</f>
        <v>33.285793839603407</v>
      </c>
      <c r="DV30" s="2870">
        <f>SUM(DV24/DV12)</f>
        <v>33.285793839603407</v>
      </c>
      <c r="DW30" s="2870"/>
      <c r="DX30" s="2919">
        <f t="shared" si="210"/>
        <v>-3.3413102551804741E-4</v>
      </c>
      <c r="DY30" s="2919">
        <f t="shared" si="210"/>
        <v>-3.3413102551804741E-4</v>
      </c>
      <c r="DZ30" s="2919">
        <f t="shared" si="210"/>
        <v>0</v>
      </c>
      <c r="EA30" s="2870">
        <f>SUM(EA24/EA12)</f>
        <v>33.570027219237204</v>
      </c>
      <c r="EB30" s="2870">
        <f t="shared" ref="EB30:EC30" si="361">SUM(EB24/EB12)</f>
        <v>33.570027219237204</v>
      </c>
      <c r="EC30" s="2870" t="e">
        <f t="shared" si="361"/>
        <v>#DIV/0!</v>
      </c>
      <c r="ED30" s="2870">
        <f>SUM(ED24/ED12)</f>
        <v>33.551849238560131</v>
      </c>
      <c r="EE30" s="2870">
        <f>SUM(EE24/EE12)</f>
        <v>33.551849238560131</v>
      </c>
      <c r="EF30" s="2870" t="e">
        <f>SUM(EF24/EF12)</f>
        <v>#DIV/0!</v>
      </c>
      <c r="EG30" s="2870">
        <f>SUM(EG24/EG12)</f>
        <v>32.410133973077443</v>
      </c>
      <c r="EH30" s="2870">
        <f>SUM(EH24/EH12)</f>
        <v>32.410133973077443</v>
      </c>
      <c r="EI30" s="2870" t="e">
        <f>SUM(EI24/EI12)</f>
        <v>#DIV/0!</v>
      </c>
      <c r="EJ30" s="2919">
        <f t="shared" si="212"/>
        <v>-1.8177980677073435E-2</v>
      </c>
      <c r="EK30" s="2919">
        <f t="shared" si="212"/>
        <v>-1.8177980677073435E-2</v>
      </c>
      <c r="EL30" s="2919" t="e">
        <f t="shared" si="212"/>
        <v>#DIV/0!</v>
      </c>
      <c r="EM30" s="3024">
        <f>SUM(EN30)</f>
        <v>34.421056068946989</v>
      </c>
      <c r="EN30" s="3024">
        <f t="shared" si="326"/>
        <v>34.421056068946989</v>
      </c>
      <c r="EO30" s="3024"/>
      <c r="EP30" s="2930">
        <f>SUM(EP24/EP12)</f>
        <v>34.419733906288734</v>
      </c>
      <c r="EQ30" s="2930">
        <f>SUM(EQ24/EQ12)</f>
        <v>34.419733906288734</v>
      </c>
      <c r="ER30" s="3024"/>
      <c r="ES30" s="2930">
        <f>SUM(ES24/ES12)</f>
        <v>33.140110345397844</v>
      </c>
      <c r="ET30" s="2930">
        <f>SUM(ET24/ET12)</f>
        <v>33.140110345397844</v>
      </c>
      <c r="EU30" s="3024"/>
      <c r="EV30" s="3024">
        <f>SUM(EW30)</f>
        <v>34.421056068946989</v>
      </c>
      <c r="EW30" s="3024">
        <f t="shared" si="327"/>
        <v>34.421056068946989</v>
      </c>
      <c r="EX30" s="3024"/>
      <c r="EY30" s="2930">
        <f>SUM(EY24/EY12)</f>
        <v>34.418673654194443</v>
      </c>
      <c r="EZ30" s="2930">
        <f>SUM(EZ24/EZ12)</f>
        <v>34.418673654194443</v>
      </c>
      <c r="FA30" s="3024"/>
      <c r="FB30" s="2930">
        <f>SUM(FB24/FB12)</f>
        <v>33.139862372870532</v>
      </c>
      <c r="FC30" s="2930">
        <f>SUM(FC24/FC12)</f>
        <v>33.139862372870532</v>
      </c>
      <c r="FD30" s="3024"/>
      <c r="FE30" s="3024">
        <f>SUM(FF30)</f>
        <v>34.421056068946989</v>
      </c>
      <c r="FF30" s="3024">
        <f t="shared" si="328"/>
        <v>34.421056068946989</v>
      </c>
      <c r="FG30" s="3024"/>
      <c r="FH30" s="2930">
        <f>SUM(FH24/FH12)</f>
        <v>34.41947227581057</v>
      </c>
      <c r="FI30" s="2930">
        <f>SUM(FI24/FI12)</f>
        <v>34.41947227581057</v>
      </c>
      <c r="FJ30" s="3024"/>
      <c r="FK30" s="2930">
        <f>SUM(FK24/FK12)</f>
        <v>33.139910231185439</v>
      </c>
      <c r="FL30" s="2930">
        <f>SUM(FL24/FL12)</f>
        <v>33.139910231185439</v>
      </c>
      <c r="FM30" s="3024"/>
      <c r="FN30" s="2870">
        <f>SUM(FN24/FN12)</f>
        <v>34.421056068946989</v>
      </c>
      <c r="FO30" s="2870">
        <f t="shared" ref="FO30" si="362">SUM(FO24/FO12)</f>
        <v>34.421056068946989</v>
      </c>
      <c r="FP30" s="2870"/>
      <c r="FQ30" s="2870">
        <f>SUM(FQ24/FQ12)</f>
        <v>34.419327269742986</v>
      </c>
      <c r="FR30" s="2870">
        <f>SUM(FR24/FR12)</f>
        <v>34.419327269742986</v>
      </c>
      <c r="FS30" s="2870"/>
      <c r="FT30" s="2870">
        <f>SUM(FT24/FT12)</f>
        <v>33.13995583086966</v>
      </c>
      <c r="FU30" s="2870">
        <f>SUM(FU24/FU12)</f>
        <v>33.13995583086966</v>
      </c>
      <c r="FV30" s="2870" t="e">
        <f>SUM(FV24/FV12)</f>
        <v>#DIV/0!</v>
      </c>
      <c r="FW30" s="2919">
        <f t="shared" si="214"/>
        <v>-1.7287992040024847E-3</v>
      </c>
      <c r="FX30" s="2919">
        <f t="shared" si="214"/>
        <v>-1.7287992040024847E-3</v>
      </c>
      <c r="FY30" s="2919">
        <f t="shared" si="214"/>
        <v>0</v>
      </c>
      <c r="FZ30" s="2870">
        <f>SUM(FZ24/FZ12)</f>
        <v>33.782784431664645</v>
      </c>
      <c r="GA30" s="2870">
        <f t="shared" ref="GA30:GB30" si="363">SUM(GA24/GA12)</f>
        <v>33.782784431664645</v>
      </c>
      <c r="GB30" s="2870" t="e">
        <f t="shared" si="363"/>
        <v>#DIV/0!</v>
      </c>
      <c r="GC30" s="2870">
        <f>SUM(GC24/GC12)</f>
        <v>33.771804895409971</v>
      </c>
      <c r="GD30" s="2870">
        <f>SUM(GD24/GD12)</f>
        <v>33.771804895409971</v>
      </c>
      <c r="GE30" s="2870" t="e">
        <f>SUM(GE24/GE12)</f>
        <v>#DIV/0!</v>
      </c>
      <c r="GF30" s="2870">
        <f>SUM(GF24/GF12)</f>
        <v>32.616968617086449</v>
      </c>
      <c r="GG30" s="2870">
        <f>SUM(GG24/GG12)</f>
        <v>32.616968617086449</v>
      </c>
      <c r="GH30" s="2870" t="e">
        <f>SUM(GH24/GH12)</f>
        <v>#DIV/0!</v>
      </c>
      <c r="GI30" s="2919">
        <f t="shared" si="216"/>
        <v>-1.0979536254673405E-2</v>
      </c>
      <c r="GJ30" s="2919">
        <f t="shared" si="216"/>
        <v>-1.0979536254673405E-2</v>
      </c>
      <c r="GK30" s="2919" t="e">
        <f t="shared" si="216"/>
        <v>#DIV/0!</v>
      </c>
      <c r="GM30" s="4234"/>
    </row>
    <row r="31" spans="1:195" ht="18.75" customHeight="1" x14ac:dyDescent="0.3">
      <c r="A31" s="2907" t="s">
        <v>3808</v>
      </c>
      <c r="B31" s="3025"/>
      <c r="C31" s="3025"/>
      <c r="D31" s="3025"/>
      <c r="E31" s="3025"/>
      <c r="F31" s="3025"/>
      <c r="G31" s="3025"/>
      <c r="H31" s="3025"/>
      <c r="I31" s="3025"/>
      <c r="J31" s="3025"/>
      <c r="K31" s="3025"/>
      <c r="L31" s="3025"/>
      <c r="M31" s="3025"/>
      <c r="N31" s="3025"/>
      <c r="O31" s="3025"/>
      <c r="P31" s="3025"/>
      <c r="Q31" s="3025"/>
      <c r="R31" s="3025"/>
      <c r="S31" s="3025"/>
      <c r="T31" s="3025"/>
      <c r="U31" s="3025"/>
      <c r="V31" s="3025"/>
      <c r="W31" s="3025"/>
      <c r="X31" s="3025"/>
      <c r="Y31" s="3025"/>
      <c r="Z31" s="3025"/>
      <c r="AA31" s="3025"/>
      <c r="AB31" s="3025"/>
      <c r="AC31" s="3025"/>
      <c r="AD31" s="3025"/>
      <c r="AE31" s="3025"/>
      <c r="AF31" s="3025"/>
      <c r="AG31" s="3025"/>
      <c r="AH31" s="3025"/>
      <c r="AI31" s="3025"/>
      <c r="AJ31" s="3025"/>
      <c r="AK31" s="3025"/>
      <c r="AL31" s="3025"/>
      <c r="AM31" s="3025"/>
      <c r="AN31" s="3025"/>
      <c r="AO31" s="3026"/>
      <c r="AP31" s="3026"/>
      <c r="AQ31" s="3026"/>
      <c r="AR31" s="3026"/>
      <c r="AS31" s="3026"/>
      <c r="AT31" s="3026"/>
      <c r="AU31" s="3026"/>
      <c r="AV31" s="3026"/>
      <c r="AW31" s="3026"/>
      <c r="AX31" s="3026"/>
      <c r="AY31" s="3026"/>
      <c r="AZ31" s="3026"/>
      <c r="BA31" s="3026"/>
      <c r="BB31" s="3026"/>
      <c r="BC31" s="3026"/>
      <c r="BD31" s="3026"/>
      <c r="BE31" s="3026"/>
      <c r="BF31" s="3026"/>
      <c r="BG31" s="3026"/>
      <c r="BH31" s="3026"/>
      <c r="BI31" s="3026"/>
      <c r="BJ31" s="3026"/>
      <c r="BK31" s="3026"/>
      <c r="BL31" s="3026"/>
      <c r="BM31" s="3027"/>
      <c r="BN31" s="3026"/>
      <c r="BO31" s="3026"/>
      <c r="BP31" s="3020"/>
      <c r="BQ31" s="3020"/>
      <c r="BR31" s="3020"/>
      <c r="BS31" s="3020"/>
      <c r="BT31" s="3020"/>
      <c r="BU31" s="3020"/>
      <c r="BV31" s="3020"/>
      <c r="BW31" s="3020"/>
      <c r="BX31" s="3020"/>
      <c r="BY31" s="3020"/>
      <c r="BZ31" s="3020"/>
      <c r="CA31" s="3020"/>
      <c r="CB31" s="3020"/>
      <c r="CC31" s="3020"/>
      <c r="CD31" s="3020"/>
      <c r="CE31" s="3020"/>
      <c r="CF31" s="3020"/>
      <c r="CG31" s="3020"/>
      <c r="CH31" s="3020"/>
      <c r="CI31" s="3020"/>
      <c r="CJ31" s="3020"/>
      <c r="CK31" s="3020"/>
      <c r="CL31" s="3020"/>
      <c r="CM31" s="3020"/>
      <c r="CN31" s="3020"/>
      <c r="CO31" s="3020"/>
      <c r="CP31" s="3020"/>
      <c r="CQ31" s="3020"/>
      <c r="CR31" s="3020"/>
      <c r="CS31" s="3020"/>
      <c r="CT31" s="3020"/>
      <c r="CU31" s="3020"/>
      <c r="CV31" s="3020"/>
      <c r="CW31" s="3020"/>
      <c r="CX31" s="3020"/>
      <c r="CY31" s="3020"/>
      <c r="CZ31" s="3020"/>
      <c r="DA31" s="3020"/>
      <c r="DB31" s="3020"/>
      <c r="DC31" s="3020"/>
      <c r="DD31" s="3020"/>
      <c r="DE31" s="3020"/>
      <c r="DF31" s="3020"/>
      <c r="DG31" s="3020"/>
      <c r="DH31" s="3020"/>
      <c r="DI31" s="3020"/>
      <c r="DJ31" s="3020"/>
      <c r="DK31" s="3020"/>
      <c r="DL31" s="3020"/>
      <c r="DM31" s="3020"/>
      <c r="DN31" s="3020"/>
      <c r="DO31" s="3020"/>
      <c r="DP31" s="3020"/>
      <c r="DQ31" s="3020"/>
      <c r="DR31" s="3020"/>
      <c r="DS31" s="3020"/>
      <c r="DT31" s="3020"/>
      <c r="DU31" s="3020"/>
      <c r="DV31" s="3020"/>
      <c r="DW31" s="3020"/>
      <c r="DX31" s="3020"/>
      <c r="DY31" s="3020"/>
      <c r="DZ31" s="3020"/>
      <c r="EA31" s="3020"/>
      <c r="EB31" s="3020"/>
      <c r="EC31" s="3020"/>
      <c r="ED31" s="3020"/>
      <c r="EE31" s="3020"/>
      <c r="EF31" s="3020"/>
      <c r="EG31" s="3020"/>
      <c r="EH31" s="3020"/>
      <c r="EI31" s="3020"/>
      <c r="EJ31" s="3020"/>
      <c r="EK31" s="3020"/>
      <c r="EL31" s="3020"/>
      <c r="EM31" s="3020"/>
      <c r="EN31" s="3020"/>
      <c r="EO31" s="3020"/>
      <c r="EP31" s="3020"/>
      <c r="EQ31" s="3020"/>
      <c r="ER31" s="3020"/>
      <c r="ES31" s="3020"/>
      <c r="ET31" s="3020"/>
      <c r="EU31" s="3020"/>
      <c r="EV31" s="3020"/>
      <c r="EW31" s="3020"/>
      <c r="EX31" s="3020"/>
      <c r="EY31" s="3020"/>
      <c r="EZ31" s="3020"/>
      <c r="FA31" s="3020"/>
      <c r="FB31" s="3020"/>
      <c r="FC31" s="3020"/>
      <c r="FD31" s="3020"/>
      <c r="FE31" s="3020"/>
      <c r="FF31" s="3020"/>
      <c r="FG31" s="3020"/>
      <c r="FH31" s="3020"/>
      <c r="FI31" s="3020"/>
      <c r="FJ31" s="3020"/>
      <c r="FK31" s="3020"/>
      <c r="FL31" s="3020"/>
      <c r="FM31" s="3020"/>
      <c r="FN31" s="3021"/>
      <c r="FO31" s="3021"/>
      <c r="FP31" s="3021"/>
      <c r="FQ31" s="3021"/>
      <c r="FR31" s="3021"/>
      <c r="FS31" s="3021"/>
      <c r="FT31" s="3021"/>
      <c r="FU31" s="3021"/>
      <c r="FV31" s="3021"/>
      <c r="FW31" s="3021"/>
      <c r="FX31" s="3021"/>
      <c r="FY31" s="3021"/>
      <c r="FZ31" s="3021"/>
      <c r="GA31" s="3021"/>
      <c r="GB31" s="3021"/>
      <c r="GC31" s="3021"/>
      <c r="GD31" s="3021"/>
      <c r="GE31" s="3021"/>
      <c r="GF31" s="3021"/>
      <c r="GG31" s="3021"/>
      <c r="GH31" s="3021"/>
      <c r="GI31" s="3021"/>
      <c r="GJ31" s="3021"/>
      <c r="GK31" s="3022"/>
      <c r="GM31" s="4234"/>
    </row>
    <row r="32" spans="1:195" ht="19.5" customHeight="1" x14ac:dyDescent="0.2">
      <c r="A32" s="4564" t="s">
        <v>527</v>
      </c>
      <c r="B32" s="4565" t="s">
        <v>3764</v>
      </c>
      <c r="C32" s="4566"/>
      <c r="D32" s="4566"/>
      <c r="E32" s="4567"/>
      <c r="F32" s="4567"/>
      <c r="G32" s="4567"/>
      <c r="H32" s="4567"/>
      <c r="I32" s="4568"/>
      <c r="J32" s="4569"/>
      <c r="K32" s="4565" t="s">
        <v>3765</v>
      </c>
      <c r="L32" s="4566"/>
      <c r="M32" s="4566"/>
      <c r="N32" s="4567"/>
      <c r="O32" s="4567"/>
      <c r="P32" s="4567"/>
      <c r="Q32" s="4567"/>
      <c r="R32" s="4568"/>
      <c r="S32" s="4569"/>
      <c r="T32" s="4565" t="s">
        <v>3766</v>
      </c>
      <c r="U32" s="4566"/>
      <c r="V32" s="4566"/>
      <c r="W32" s="4567"/>
      <c r="X32" s="4567"/>
      <c r="Y32" s="4567"/>
      <c r="Z32" s="4567"/>
      <c r="AA32" s="4570"/>
      <c r="AB32" s="4571"/>
      <c r="AC32" s="4572" t="s">
        <v>3716</v>
      </c>
      <c r="AD32" s="4573"/>
      <c r="AE32" s="4573"/>
      <c r="AF32" s="4574"/>
      <c r="AG32" s="4574"/>
      <c r="AH32" s="4574"/>
      <c r="AI32" s="4574"/>
      <c r="AJ32" s="4574"/>
      <c r="AK32" s="4574"/>
      <c r="AL32" s="4574"/>
      <c r="AM32" s="4574"/>
      <c r="AN32" s="4574"/>
      <c r="AO32" s="4565" t="s">
        <v>3767</v>
      </c>
      <c r="AP32" s="4566"/>
      <c r="AQ32" s="4566"/>
      <c r="AR32" s="4567"/>
      <c r="AS32" s="4567"/>
      <c r="AT32" s="4567"/>
      <c r="AU32" s="4567"/>
      <c r="AV32" s="4570"/>
      <c r="AW32" s="4571"/>
      <c r="AX32" s="4565" t="s">
        <v>3768</v>
      </c>
      <c r="AY32" s="4566"/>
      <c r="AZ32" s="4566"/>
      <c r="BA32" s="4567"/>
      <c r="BB32" s="4567"/>
      <c r="BC32" s="4567"/>
      <c r="BD32" s="4567"/>
      <c r="BE32" s="4568"/>
      <c r="BF32" s="4569"/>
      <c r="BG32" s="4565" t="s">
        <v>3769</v>
      </c>
      <c r="BH32" s="4566"/>
      <c r="BI32" s="4566"/>
      <c r="BJ32" s="4567"/>
      <c r="BK32" s="4567"/>
      <c r="BL32" s="4567"/>
      <c r="BM32" s="4567"/>
      <c r="BN32" s="4568"/>
      <c r="BO32" s="4569"/>
      <c r="BP32" s="4572" t="s">
        <v>3717</v>
      </c>
      <c r="BQ32" s="4573"/>
      <c r="BR32" s="4573"/>
      <c r="BS32" s="4574"/>
      <c r="BT32" s="4574"/>
      <c r="BU32" s="4574"/>
      <c r="BV32" s="4574"/>
      <c r="BW32" s="4574"/>
      <c r="BX32" s="4574"/>
      <c r="BY32" s="4568"/>
      <c r="BZ32" s="4568"/>
      <c r="CA32" s="4568"/>
      <c r="CB32" s="4572" t="s">
        <v>3718</v>
      </c>
      <c r="CC32" s="4573"/>
      <c r="CD32" s="4573"/>
      <c r="CE32" s="4574"/>
      <c r="CF32" s="4574"/>
      <c r="CG32" s="4574"/>
      <c r="CH32" s="4574"/>
      <c r="CI32" s="4574"/>
      <c r="CJ32" s="4574"/>
      <c r="CK32" s="4568"/>
      <c r="CL32" s="4568"/>
      <c r="CM32" s="4568"/>
      <c r="CN32" s="4565" t="s">
        <v>1360</v>
      </c>
      <c r="CO32" s="4566"/>
      <c r="CP32" s="4566"/>
      <c r="CQ32" s="4567"/>
      <c r="CR32" s="4567"/>
      <c r="CS32" s="4567"/>
      <c r="CT32" s="4567"/>
      <c r="CU32" s="4568"/>
      <c r="CV32" s="4569"/>
      <c r="CW32" s="4565" t="s">
        <v>3770</v>
      </c>
      <c r="CX32" s="4566"/>
      <c r="CY32" s="4566"/>
      <c r="CZ32" s="4567"/>
      <c r="DA32" s="4567"/>
      <c r="DB32" s="4567"/>
      <c r="DC32" s="4567"/>
      <c r="DD32" s="4568"/>
      <c r="DE32" s="4569"/>
      <c r="DF32" s="4565" t="s">
        <v>3771</v>
      </c>
      <c r="DG32" s="4566"/>
      <c r="DH32" s="4566"/>
      <c r="DI32" s="4567"/>
      <c r="DJ32" s="4567"/>
      <c r="DK32" s="4567"/>
      <c r="DL32" s="4567"/>
      <c r="DM32" s="4568"/>
      <c r="DN32" s="4569"/>
      <c r="DO32" s="4572" t="s">
        <v>3719</v>
      </c>
      <c r="DP32" s="4573"/>
      <c r="DQ32" s="4573"/>
      <c r="DR32" s="4574"/>
      <c r="DS32" s="4574"/>
      <c r="DT32" s="4574"/>
      <c r="DU32" s="4574"/>
      <c r="DV32" s="4574"/>
      <c r="DW32" s="4574"/>
      <c r="DX32" s="4568"/>
      <c r="DY32" s="4568"/>
      <c r="DZ32" s="4568"/>
      <c r="EA32" s="4572" t="s">
        <v>3720</v>
      </c>
      <c r="EB32" s="4573"/>
      <c r="EC32" s="4573"/>
      <c r="ED32" s="4574"/>
      <c r="EE32" s="4574"/>
      <c r="EF32" s="4574"/>
      <c r="EG32" s="4574"/>
      <c r="EH32" s="4574"/>
      <c r="EI32" s="4574"/>
      <c r="EJ32" s="4568"/>
      <c r="EK32" s="4568"/>
      <c r="EL32" s="4568"/>
      <c r="EM32" s="4565" t="s">
        <v>3772</v>
      </c>
      <c r="EN32" s="4566"/>
      <c r="EO32" s="4566"/>
      <c r="EP32" s="4567"/>
      <c r="EQ32" s="4567"/>
      <c r="ER32" s="4567"/>
      <c r="ES32" s="4567"/>
      <c r="ET32" s="4568"/>
      <c r="EU32" s="4569"/>
      <c r="EV32" s="4565" t="s">
        <v>3773</v>
      </c>
      <c r="EW32" s="4566"/>
      <c r="EX32" s="4566"/>
      <c r="EY32" s="4567"/>
      <c r="EZ32" s="4567"/>
      <c r="FA32" s="4567"/>
      <c r="FB32" s="4567"/>
      <c r="FC32" s="4568"/>
      <c r="FD32" s="4569"/>
      <c r="FE32" s="4565" t="s">
        <v>3774</v>
      </c>
      <c r="FF32" s="4566"/>
      <c r="FG32" s="4566"/>
      <c r="FH32" s="4567"/>
      <c r="FI32" s="4567"/>
      <c r="FJ32" s="4567"/>
      <c r="FK32" s="4567"/>
      <c r="FL32" s="4568"/>
      <c r="FM32" s="4569"/>
      <c r="FN32" s="4572" t="s">
        <v>3721</v>
      </c>
      <c r="FO32" s="4573"/>
      <c r="FP32" s="4573"/>
      <c r="FQ32" s="4574"/>
      <c r="FR32" s="4574"/>
      <c r="FS32" s="4574"/>
      <c r="FT32" s="4574"/>
      <c r="FU32" s="4574"/>
      <c r="FV32" s="4574"/>
      <c r="FW32" s="4568"/>
      <c r="FX32" s="4568"/>
      <c r="FY32" s="4568"/>
      <c r="FZ32" s="4572" t="s">
        <v>1992</v>
      </c>
      <c r="GA32" s="4573"/>
      <c r="GB32" s="4573"/>
      <c r="GC32" s="4574"/>
      <c r="GD32" s="4574"/>
      <c r="GE32" s="4574"/>
      <c r="GF32" s="4574"/>
      <c r="GG32" s="4574"/>
      <c r="GH32" s="4574"/>
      <c r="GI32" s="4568"/>
      <c r="GJ32" s="4568"/>
      <c r="GK32" s="4569"/>
      <c r="GM32" s="4234"/>
    </row>
    <row r="33" spans="1:195" ht="19.5" customHeight="1" x14ac:dyDescent="0.2">
      <c r="A33" s="4564"/>
      <c r="B33" s="4575" t="s">
        <v>3573</v>
      </c>
      <c r="C33" s="4576"/>
      <c r="D33" s="4577"/>
      <c r="E33" s="4575" t="s">
        <v>1677</v>
      </c>
      <c r="F33" s="4576"/>
      <c r="G33" s="4577"/>
      <c r="H33" s="4575" t="s">
        <v>3775</v>
      </c>
      <c r="I33" s="4576"/>
      <c r="J33" s="4577"/>
      <c r="K33" s="4575" t="s">
        <v>3573</v>
      </c>
      <c r="L33" s="4576"/>
      <c r="M33" s="4577"/>
      <c r="N33" s="4575" t="s">
        <v>1677</v>
      </c>
      <c r="O33" s="4576"/>
      <c r="P33" s="4577"/>
      <c r="Q33" s="4575" t="s">
        <v>3775</v>
      </c>
      <c r="R33" s="4576"/>
      <c r="S33" s="4577"/>
      <c r="T33" s="4575" t="s">
        <v>3573</v>
      </c>
      <c r="U33" s="4576"/>
      <c r="V33" s="4577"/>
      <c r="W33" s="4575" t="s">
        <v>1677</v>
      </c>
      <c r="X33" s="4576"/>
      <c r="Y33" s="4577"/>
      <c r="Z33" s="4575" t="s">
        <v>3775</v>
      </c>
      <c r="AA33" s="4576"/>
      <c r="AB33" s="4577"/>
      <c r="AC33" s="4578" t="s">
        <v>3573</v>
      </c>
      <c r="AD33" s="4579"/>
      <c r="AE33" s="4580"/>
      <c r="AF33" s="4581" t="s">
        <v>1677</v>
      </c>
      <c r="AG33" s="4582"/>
      <c r="AH33" s="4583"/>
      <c r="AI33" s="4581" t="s">
        <v>3775</v>
      </c>
      <c r="AJ33" s="4582"/>
      <c r="AK33" s="4583"/>
      <c r="AL33" s="4578" t="s">
        <v>3776</v>
      </c>
      <c r="AM33" s="4579"/>
      <c r="AN33" s="4580"/>
      <c r="AO33" s="4575" t="s">
        <v>3573</v>
      </c>
      <c r="AP33" s="4576"/>
      <c r="AQ33" s="4577"/>
      <c r="AR33" s="4575" t="s">
        <v>1677</v>
      </c>
      <c r="AS33" s="4576"/>
      <c r="AT33" s="4577"/>
      <c r="AU33" s="4575" t="s">
        <v>3775</v>
      </c>
      <c r="AV33" s="4576"/>
      <c r="AW33" s="4577"/>
      <c r="AX33" s="4575" t="s">
        <v>3573</v>
      </c>
      <c r="AY33" s="4576"/>
      <c r="AZ33" s="4577"/>
      <c r="BA33" s="4575" t="s">
        <v>1677</v>
      </c>
      <c r="BB33" s="4576"/>
      <c r="BC33" s="4577"/>
      <c r="BD33" s="4575" t="s">
        <v>3775</v>
      </c>
      <c r="BE33" s="4576"/>
      <c r="BF33" s="4577"/>
      <c r="BG33" s="4575" t="s">
        <v>3573</v>
      </c>
      <c r="BH33" s="4576"/>
      <c r="BI33" s="4577"/>
      <c r="BJ33" s="4575" t="s">
        <v>1677</v>
      </c>
      <c r="BK33" s="4576"/>
      <c r="BL33" s="4577"/>
      <c r="BM33" s="4575" t="s">
        <v>3775</v>
      </c>
      <c r="BN33" s="4576"/>
      <c r="BO33" s="4577"/>
      <c r="BP33" s="4578" t="s">
        <v>3573</v>
      </c>
      <c r="BQ33" s="4579"/>
      <c r="BR33" s="4580"/>
      <c r="BS33" s="4581" t="s">
        <v>1677</v>
      </c>
      <c r="BT33" s="4582"/>
      <c r="BU33" s="4583"/>
      <c r="BV33" s="4581" t="s">
        <v>3775</v>
      </c>
      <c r="BW33" s="4582"/>
      <c r="BX33" s="4583"/>
      <c r="BY33" s="4578" t="s">
        <v>3776</v>
      </c>
      <c r="BZ33" s="4579"/>
      <c r="CA33" s="4580"/>
      <c r="CB33" s="4578" t="s">
        <v>3573</v>
      </c>
      <c r="CC33" s="4579"/>
      <c r="CD33" s="4580"/>
      <c r="CE33" s="4581" t="s">
        <v>1677</v>
      </c>
      <c r="CF33" s="4582"/>
      <c r="CG33" s="4583"/>
      <c r="CH33" s="4581" t="s">
        <v>3775</v>
      </c>
      <c r="CI33" s="4582"/>
      <c r="CJ33" s="4583"/>
      <c r="CK33" s="4578" t="s">
        <v>3776</v>
      </c>
      <c r="CL33" s="4579"/>
      <c r="CM33" s="4580"/>
      <c r="CN33" s="4575" t="s">
        <v>3573</v>
      </c>
      <c r="CO33" s="4576"/>
      <c r="CP33" s="4577"/>
      <c r="CQ33" s="4575" t="s">
        <v>1677</v>
      </c>
      <c r="CR33" s="4576"/>
      <c r="CS33" s="4577"/>
      <c r="CT33" s="4575" t="s">
        <v>3775</v>
      </c>
      <c r="CU33" s="4576"/>
      <c r="CV33" s="4577"/>
      <c r="CW33" s="4575" t="s">
        <v>3573</v>
      </c>
      <c r="CX33" s="4576"/>
      <c r="CY33" s="4577"/>
      <c r="CZ33" s="4575" t="s">
        <v>1677</v>
      </c>
      <c r="DA33" s="4576"/>
      <c r="DB33" s="4577"/>
      <c r="DC33" s="4575" t="s">
        <v>3775</v>
      </c>
      <c r="DD33" s="4576"/>
      <c r="DE33" s="4577"/>
      <c r="DF33" s="4575" t="s">
        <v>3573</v>
      </c>
      <c r="DG33" s="4576"/>
      <c r="DH33" s="4577"/>
      <c r="DI33" s="4575" t="s">
        <v>1677</v>
      </c>
      <c r="DJ33" s="4576"/>
      <c r="DK33" s="4577"/>
      <c r="DL33" s="4575" t="s">
        <v>3775</v>
      </c>
      <c r="DM33" s="4576"/>
      <c r="DN33" s="4577"/>
      <c r="DO33" s="4578" t="s">
        <v>3573</v>
      </c>
      <c r="DP33" s="4579"/>
      <c r="DQ33" s="4580"/>
      <c r="DR33" s="4581" t="s">
        <v>1677</v>
      </c>
      <c r="DS33" s="4582"/>
      <c r="DT33" s="4583"/>
      <c r="DU33" s="4581" t="s">
        <v>3775</v>
      </c>
      <c r="DV33" s="4582"/>
      <c r="DW33" s="4583"/>
      <c r="DX33" s="4578" t="s">
        <v>3776</v>
      </c>
      <c r="DY33" s="4579"/>
      <c r="DZ33" s="4580"/>
      <c r="EA33" s="4578" t="s">
        <v>3573</v>
      </c>
      <c r="EB33" s="4579"/>
      <c r="EC33" s="4580"/>
      <c r="ED33" s="4581" t="s">
        <v>1677</v>
      </c>
      <c r="EE33" s="4582"/>
      <c r="EF33" s="4583"/>
      <c r="EG33" s="4581" t="s">
        <v>3775</v>
      </c>
      <c r="EH33" s="4582"/>
      <c r="EI33" s="4583"/>
      <c r="EJ33" s="4578" t="s">
        <v>3776</v>
      </c>
      <c r="EK33" s="4579"/>
      <c r="EL33" s="4580"/>
      <c r="EM33" s="4575" t="s">
        <v>3573</v>
      </c>
      <c r="EN33" s="4576"/>
      <c r="EO33" s="4577"/>
      <c r="EP33" s="4575" t="s">
        <v>1677</v>
      </c>
      <c r="EQ33" s="4576"/>
      <c r="ER33" s="4577"/>
      <c r="ES33" s="4575" t="s">
        <v>3775</v>
      </c>
      <c r="ET33" s="4576"/>
      <c r="EU33" s="4577"/>
      <c r="EV33" s="4575" t="s">
        <v>3573</v>
      </c>
      <c r="EW33" s="4576"/>
      <c r="EX33" s="4577"/>
      <c r="EY33" s="4575" t="s">
        <v>1677</v>
      </c>
      <c r="EZ33" s="4576"/>
      <c r="FA33" s="4577"/>
      <c r="FB33" s="4575" t="s">
        <v>3775</v>
      </c>
      <c r="FC33" s="4576"/>
      <c r="FD33" s="4577"/>
      <c r="FE33" s="4575" t="s">
        <v>3573</v>
      </c>
      <c r="FF33" s="4576"/>
      <c r="FG33" s="4577"/>
      <c r="FH33" s="4575" t="s">
        <v>1677</v>
      </c>
      <c r="FI33" s="4576"/>
      <c r="FJ33" s="4577"/>
      <c r="FK33" s="4575" t="s">
        <v>3775</v>
      </c>
      <c r="FL33" s="4576"/>
      <c r="FM33" s="4577"/>
      <c r="FN33" s="4578" t="s">
        <v>3573</v>
      </c>
      <c r="FO33" s="4579"/>
      <c r="FP33" s="4580"/>
      <c r="FQ33" s="4581" t="s">
        <v>1677</v>
      </c>
      <c r="FR33" s="4582"/>
      <c r="FS33" s="4583"/>
      <c r="FT33" s="4581" t="s">
        <v>3775</v>
      </c>
      <c r="FU33" s="4582"/>
      <c r="FV33" s="4583"/>
      <c r="FW33" s="4578" t="s">
        <v>3776</v>
      </c>
      <c r="FX33" s="4579"/>
      <c r="FY33" s="4580"/>
      <c r="FZ33" s="4578" t="s">
        <v>3573</v>
      </c>
      <c r="GA33" s="4579"/>
      <c r="GB33" s="4580"/>
      <c r="GC33" s="4581" t="s">
        <v>1677</v>
      </c>
      <c r="GD33" s="4582"/>
      <c r="GE33" s="4583"/>
      <c r="GF33" s="4581" t="s">
        <v>3775</v>
      </c>
      <c r="GG33" s="4582"/>
      <c r="GH33" s="4583"/>
      <c r="GI33" s="4578" t="s">
        <v>3776</v>
      </c>
      <c r="GJ33" s="4579"/>
      <c r="GK33" s="4580"/>
      <c r="GM33" s="4234"/>
    </row>
    <row r="34" spans="1:195" ht="24.75" customHeight="1" x14ac:dyDescent="0.2">
      <c r="A34" s="4564"/>
      <c r="B34" s="2832" t="s">
        <v>616</v>
      </c>
      <c r="C34" s="2832" t="s">
        <v>3791</v>
      </c>
      <c r="D34" s="2832" t="s">
        <v>3792</v>
      </c>
      <c r="E34" s="2832" t="s">
        <v>616</v>
      </c>
      <c r="F34" s="2832" t="s">
        <v>3791</v>
      </c>
      <c r="G34" s="2832" t="s">
        <v>3792</v>
      </c>
      <c r="H34" s="2832" t="s">
        <v>616</v>
      </c>
      <c r="I34" s="2832" t="s">
        <v>3791</v>
      </c>
      <c r="J34" s="2832" t="s">
        <v>3792</v>
      </c>
      <c r="K34" s="2832" t="s">
        <v>616</v>
      </c>
      <c r="L34" s="2832" t="s">
        <v>3791</v>
      </c>
      <c r="M34" s="2832" t="s">
        <v>3792</v>
      </c>
      <c r="N34" s="2832" t="s">
        <v>616</v>
      </c>
      <c r="O34" s="2832" t="s">
        <v>3791</v>
      </c>
      <c r="P34" s="2832" t="s">
        <v>3792</v>
      </c>
      <c r="Q34" s="2832" t="s">
        <v>616</v>
      </c>
      <c r="R34" s="2832" t="s">
        <v>3791</v>
      </c>
      <c r="S34" s="2832" t="s">
        <v>3792</v>
      </c>
      <c r="T34" s="2832" t="s">
        <v>616</v>
      </c>
      <c r="U34" s="2832" t="s">
        <v>3791</v>
      </c>
      <c r="V34" s="2832" t="s">
        <v>3792</v>
      </c>
      <c r="W34" s="2832" t="s">
        <v>616</v>
      </c>
      <c r="X34" s="2832" t="s">
        <v>3791</v>
      </c>
      <c r="Y34" s="2832" t="s">
        <v>3792</v>
      </c>
      <c r="Z34" s="2832" t="s">
        <v>616</v>
      </c>
      <c r="AA34" s="2832" t="s">
        <v>3791</v>
      </c>
      <c r="AB34" s="2832" t="s">
        <v>3792</v>
      </c>
      <c r="AC34" s="2833" t="s">
        <v>616</v>
      </c>
      <c r="AD34" s="2833" t="s">
        <v>3791</v>
      </c>
      <c r="AE34" s="2833" t="s">
        <v>3792</v>
      </c>
      <c r="AF34" s="2833" t="s">
        <v>616</v>
      </c>
      <c r="AG34" s="2833" t="s">
        <v>3791</v>
      </c>
      <c r="AH34" s="2833" t="s">
        <v>3792</v>
      </c>
      <c r="AI34" s="2833" t="s">
        <v>616</v>
      </c>
      <c r="AJ34" s="2833" t="s">
        <v>3791</v>
      </c>
      <c r="AK34" s="2833" t="s">
        <v>3792</v>
      </c>
      <c r="AL34" s="2833" t="s">
        <v>616</v>
      </c>
      <c r="AM34" s="2833" t="s">
        <v>3791</v>
      </c>
      <c r="AN34" s="2833" t="s">
        <v>3792</v>
      </c>
      <c r="AO34" s="2832" t="s">
        <v>616</v>
      </c>
      <c r="AP34" s="2832" t="s">
        <v>3791</v>
      </c>
      <c r="AQ34" s="2832" t="s">
        <v>3792</v>
      </c>
      <c r="AR34" s="2832" t="s">
        <v>616</v>
      </c>
      <c r="AS34" s="2832" t="s">
        <v>3791</v>
      </c>
      <c r="AT34" s="2832" t="s">
        <v>3792</v>
      </c>
      <c r="AU34" s="2832" t="s">
        <v>616</v>
      </c>
      <c r="AV34" s="2832" t="s">
        <v>3791</v>
      </c>
      <c r="AW34" s="2832" t="s">
        <v>3792</v>
      </c>
      <c r="AX34" s="2832" t="s">
        <v>616</v>
      </c>
      <c r="AY34" s="2832" t="s">
        <v>3791</v>
      </c>
      <c r="AZ34" s="2832" t="s">
        <v>3792</v>
      </c>
      <c r="BA34" s="2832" t="s">
        <v>616</v>
      </c>
      <c r="BB34" s="2832" t="s">
        <v>3791</v>
      </c>
      <c r="BC34" s="2832" t="s">
        <v>3792</v>
      </c>
      <c r="BD34" s="2832" t="s">
        <v>616</v>
      </c>
      <c r="BE34" s="2832" t="s">
        <v>3791</v>
      </c>
      <c r="BF34" s="2832" t="s">
        <v>3792</v>
      </c>
      <c r="BG34" s="2832" t="s">
        <v>616</v>
      </c>
      <c r="BH34" s="2832" t="s">
        <v>3791</v>
      </c>
      <c r="BI34" s="2832" t="s">
        <v>3792</v>
      </c>
      <c r="BJ34" s="2832" t="s">
        <v>616</v>
      </c>
      <c r="BK34" s="2832" t="s">
        <v>3791</v>
      </c>
      <c r="BL34" s="2832" t="s">
        <v>3792</v>
      </c>
      <c r="BM34" s="2832" t="s">
        <v>616</v>
      </c>
      <c r="BN34" s="2832" t="s">
        <v>3791</v>
      </c>
      <c r="BO34" s="2832" t="s">
        <v>3792</v>
      </c>
      <c r="BP34" s="2833" t="s">
        <v>616</v>
      </c>
      <c r="BQ34" s="2833" t="s">
        <v>3791</v>
      </c>
      <c r="BR34" s="2833" t="s">
        <v>3792</v>
      </c>
      <c r="BS34" s="2833" t="s">
        <v>616</v>
      </c>
      <c r="BT34" s="2833" t="s">
        <v>3791</v>
      </c>
      <c r="BU34" s="2833" t="s">
        <v>3792</v>
      </c>
      <c r="BV34" s="2833" t="s">
        <v>616</v>
      </c>
      <c r="BW34" s="2833" t="s">
        <v>3791</v>
      </c>
      <c r="BX34" s="2833" t="s">
        <v>3792</v>
      </c>
      <c r="BY34" s="2833" t="s">
        <v>616</v>
      </c>
      <c r="BZ34" s="2833" t="s">
        <v>3791</v>
      </c>
      <c r="CA34" s="2833" t="s">
        <v>3792</v>
      </c>
      <c r="CB34" s="2833" t="s">
        <v>616</v>
      </c>
      <c r="CC34" s="2833" t="s">
        <v>3791</v>
      </c>
      <c r="CD34" s="2833" t="s">
        <v>3792</v>
      </c>
      <c r="CE34" s="2833" t="s">
        <v>616</v>
      </c>
      <c r="CF34" s="2833" t="s">
        <v>3791</v>
      </c>
      <c r="CG34" s="2833" t="s">
        <v>3792</v>
      </c>
      <c r="CH34" s="2833" t="s">
        <v>616</v>
      </c>
      <c r="CI34" s="2833" t="s">
        <v>3791</v>
      </c>
      <c r="CJ34" s="2833" t="s">
        <v>3792</v>
      </c>
      <c r="CK34" s="2833" t="s">
        <v>616</v>
      </c>
      <c r="CL34" s="2833" t="s">
        <v>3791</v>
      </c>
      <c r="CM34" s="2833" t="s">
        <v>3792</v>
      </c>
      <c r="CN34" s="2832" t="s">
        <v>616</v>
      </c>
      <c r="CO34" s="2832" t="s">
        <v>3791</v>
      </c>
      <c r="CP34" s="2832" t="s">
        <v>3792</v>
      </c>
      <c r="CQ34" s="2832" t="s">
        <v>616</v>
      </c>
      <c r="CR34" s="2832" t="s">
        <v>3791</v>
      </c>
      <c r="CS34" s="2832" t="s">
        <v>3792</v>
      </c>
      <c r="CT34" s="2832" t="s">
        <v>616</v>
      </c>
      <c r="CU34" s="2832" t="s">
        <v>3791</v>
      </c>
      <c r="CV34" s="2832" t="s">
        <v>3792</v>
      </c>
      <c r="CW34" s="2832" t="s">
        <v>616</v>
      </c>
      <c r="CX34" s="2832" t="s">
        <v>3791</v>
      </c>
      <c r="CY34" s="2832" t="s">
        <v>3792</v>
      </c>
      <c r="CZ34" s="2832" t="s">
        <v>616</v>
      </c>
      <c r="DA34" s="2832" t="s">
        <v>3791</v>
      </c>
      <c r="DB34" s="2832" t="s">
        <v>3792</v>
      </c>
      <c r="DC34" s="2832" t="s">
        <v>616</v>
      </c>
      <c r="DD34" s="2832" t="s">
        <v>3791</v>
      </c>
      <c r="DE34" s="2832" t="s">
        <v>3792</v>
      </c>
      <c r="DF34" s="2832" t="s">
        <v>616</v>
      </c>
      <c r="DG34" s="2832" t="s">
        <v>3791</v>
      </c>
      <c r="DH34" s="2832" t="s">
        <v>3792</v>
      </c>
      <c r="DI34" s="2832" t="s">
        <v>616</v>
      </c>
      <c r="DJ34" s="2832" t="s">
        <v>3791</v>
      </c>
      <c r="DK34" s="2832" t="s">
        <v>3792</v>
      </c>
      <c r="DL34" s="2832" t="s">
        <v>616</v>
      </c>
      <c r="DM34" s="2832" t="s">
        <v>3791</v>
      </c>
      <c r="DN34" s="2832" t="s">
        <v>3792</v>
      </c>
      <c r="DO34" s="2833" t="s">
        <v>616</v>
      </c>
      <c r="DP34" s="2833" t="s">
        <v>3791</v>
      </c>
      <c r="DQ34" s="2833" t="s">
        <v>3792</v>
      </c>
      <c r="DR34" s="2833" t="s">
        <v>616</v>
      </c>
      <c r="DS34" s="2833" t="s">
        <v>3791</v>
      </c>
      <c r="DT34" s="2833" t="s">
        <v>3792</v>
      </c>
      <c r="DU34" s="2833" t="s">
        <v>616</v>
      </c>
      <c r="DV34" s="2833" t="s">
        <v>3791</v>
      </c>
      <c r="DW34" s="2833" t="s">
        <v>3792</v>
      </c>
      <c r="DX34" s="2833" t="s">
        <v>616</v>
      </c>
      <c r="DY34" s="2833" t="s">
        <v>3791</v>
      </c>
      <c r="DZ34" s="2833" t="s">
        <v>3792</v>
      </c>
      <c r="EA34" s="2833" t="s">
        <v>616</v>
      </c>
      <c r="EB34" s="2833" t="s">
        <v>3791</v>
      </c>
      <c r="EC34" s="2833" t="s">
        <v>3792</v>
      </c>
      <c r="ED34" s="2833" t="s">
        <v>616</v>
      </c>
      <c r="EE34" s="2833" t="s">
        <v>3791</v>
      </c>
      <c r="EF34" s="2833" t="s">
        <v>3792</v>
      </c>
      <c r="EG34" s="2833" t="s">
        <v>616</v>
      </c>
      <c r="EH34" s="2833" t="s">
        <v>3791</v>
      </c>
      <c r="EI34" s="2833" t="s">
        <v>3792</v>
      </c>
      <c r="EJ34" s="2833" t="s">
        <v>616</v>
      </c>
      <c r="EK34" s="2833" t="s">
        <v>3791</v>
      </c>
      <c r="EL34" s="2833" t="s">
        <v>3792</v>
      </c>
      <c r="EM34" s="2832" t="s">
        <v>616</v>
      </c>
      <c r="EN34" s="2832" t="s">
        <v>3791</v>
      </c>
      <c r="EO34" s="2832" t="s">
        <v>3792</v>
      </c>
      <c r="EP34" s="2832" t="s">
        <v>616</v>
      </c>
      <c r="EQ34" s="2832" t="s">
        <v>3791</v>
      </c>
      <c r="ER34" s="2832" t="s">
        <v>3792</v>
      </c>
      <c r="ES34" s="2832" t="s">
        <v>616</v>
      </c>
      <c r="ET34" s="2832" t="s">
        <v>3791</v>
      </c>
      <c r="EU34" s="2832" t="s">
        <v>3792</v>
      </c>
      <c r="EV34" s="2832" t="s">
        <v>616</v>
      </c>
      <c r="EW34" s="2832" t="s">
        <v>3791</v>
      </c>
      <c r="EX34" s="2832" t="s">
        <v>3792</v>
      </c>
      <c r="EY34" s="2832" t="s">
        <v>616</v>
      </c>
      <c r="EZ34" s="2832" t="s">
        <v>3791</v>
      </c>
      <c r="FA34" s="2832" t="s">
        <v>3792</v>
      </c>
      <c r="FB34" s="2832" t="s">
        <v>616</v>
      </c>
      <c r="FC34" s="2832" t="s">
        <v>3791</v>
      </c>
      <c r="FD34" s="2832" t="s">
        <v>3792</v>
      </c>
      <c r="FE34" s="2832" t="s">
        <v>616</v>
      </c>
      <c r="FF34" s="2832" t="s">
        <v>3791</v>
      </c>
      <c r="FG34" s="2832" t="s">
        <v>3792</v>
      </c>
      <c r="FH34" s="2832" t="s">
        <v>616</v>
      </c>
      <c r="FI34" s="2832" t="s">
        <v>3791</v>
      </c>
      <c r="FJ34" s="2832" t="s">
        <v>3792</v>
      </c>
      <c r="FK34" s="2832" t="s">
        <v>616</v>
      </c>
      <c r="FL34" s="2832" t="s">
        <v>3791</v>
      </c>
      <c r="FM34" s="2832" t="s">
        <v>3792</v>
      </c>
      <c r="FN34" s="2833" t="s">
        <v>616</v>
      </c>
      <c r="FO34" s="2833" t="s">
        <v>3791</v>
      </c>
      <c r="FP34" s="2833" t="s">
        <v>3792</v>
      </c>
      <c r="FQ34" s="2833" t="s">
        <v>616</v>
      </c>
      <c r="FR34" s="2833" t="s">
        <v>3791</v>
      </c>
      <c r="FS34" s="2833" t="s">
        <v>3792</v>
      </c>
      <c r="FT34" s="2833" t="s">
        <v>616</v>
      </c>
      <c r="FU34" s="2833" t="s">
        <v>3791</v>
      </c>
      <c r="FV34" s="2833" t="s">
        <v>3792</v>
      </c>
      <c r="FW34" s="2833" t="s">
        <v>616</v>
      </c>
      <c r="FX34" s="2833" t="s">
        <v>3791</v>
      </c>
      <c r="FY34" s="2833" t="s">
        <v>3792</v>
      </c>
      <c r="FZ34" s="2833" t="s">
        <v>616</v>
      </c>
      <c r="GA34" s="2833" t="s">
        <v>3791</v>
      </c>
      <c r="GB34" s="2833" t="s">
        <v>3792</v>
      </c>
      <c r="GC34" s="2833" t="s">
        <v>616</v>
      </c>
      <c r="GD34" s="2833" t="s">
        <v>3791</v>
      </c>
      <c r="GE34" s="2833" t="s">
        <v>3792</v>
      </c>
      <c r="GF34" s="2833" t="s">
        <v>616</v>
      </c>
      <c r="GG34" s="2833" t="s">
        <v>3791</v>
      </c>
      <c r="GH34" s="2833" t="s">
        <v>3792</v>
      </c>
      <c r="GI34" s="2833" t="s">
        <v>616</v>
      </c>
      <c r="GJ34" s="2833" t="s">
        <v>3791</v>
      </c>
      <c r="GK34" s="2833" t="s">
        <v>3792</v>
      </c>
      <c r="GM34" s="4234"/>
    </row>
    <row r="35" spans="1:195" ht="18.75" customHeight="1" x14ac:dyDescent="0.3">
      <c r="A35" s="2868" t="s">
        <v>1</v>
      </c>
      <c r="B35" s="2865">
        <f>SUM(C35:D35)</f>
        <v>685.75357082655569</v>
      </c>
      <c r="C35" s="2865">
        <f>SUM('ПОЛНАЯ СЕБЕСТОИМОСТЬ СТОКИ 2021'!C151)/3</f>
        <v>681.53332094358848</v>
      </c>
      <c r="D35" s="2865">
        <f>SUM('ПОЛНАЯ СЕБЕСТОИМОСТЬ СТОКИ 2021'!D151)/3</f>
        <v>4.2202498829672415</v>
      </c>
      <c r="E35" s="2865">
        <f>SUM(F35:G35)</f>
        <v>889.68700000000001</v>
      </c>
      <c r="F35" s="2865">
        <f>SUM('ПОЛНАЯ СЕБЕСТОИМОСТЬ СТОКИ 2021'!F151)</f>
        <v>889.27</v>
      </c>
      <c r="G35" s="2865">
        <f>SUM('ПОЛНАЯ СЕБЕСТОИМОСТЬ СТОКИ 2021'!G151)</f>
        <v>0.41699999999999998</v>
      </c>
      <c r="H35" s="2947">
        <f>SUM(I35:J35)</f>
        <v>940.62400000000002</v>
      </c>
      <c r="I35" s="2947">
        <v>939.96</v>
      </c>
      <c r="J35" s="2947">
        <v>0.66400000000000003</v>
      </c>
      <c r="K35" s="2865">
        <f>SUM(L35:M35)</f>
        <v>685.75357082655569</v>
      </c>
      <c r="L35" s="2865">
        <f>SUM(C35)</f>
        <v>681.53332094358848</v>
      </c>
      <c r="M35" s="2865">
        <f>SUM(D35)</f>
        <v>4.2202498829672415</v>
      </c>
      <c r="N35" s="2865">
        <f>SUM(O35:P35)</f>
        <v>858.92700000000002</v>
      </c>
      <c r="O35" s="2865">
        <f>SUM('ПОЛНАЯ СЕБЕСТОИМОСТЬ СТОКИ 2021'!I151)</f>
        <v>858.45500000000004</v>
      </c>
      <c r="P35" s="2865">
        <f>SUM('ПОЛНАЯ СЕБЕСТОИМОСТЬ СТОКИ 2021'!J151)</f>
        <v>0.47199999999999998</v>
      </c>
      <c r="Q35" s="2947">
        <f>SUM(R35:S35)</f>
        <v>714.35400000000004</v>
      </c>
      <c r="R35" s="2947">
        <v>713.98400000000004</v>
      </c>
      <c r="S35" s="2947">
        <v>0.37</v>
      </c>
      <c r="T35" s="2865">
        <f>SUM(U35:V35)</f>
        <v>685.75357082655569</v>
      </c>
      <c r="U35" s="2865">
        <f>SUM(L35)</f>
        <v>681.53332094358848</v>
      </c>
      <c r="V35" s="2865">
        <f>SUM(M35)</f>
        <v>4.2202498829672415</v>
      </c>
      <c r="W35" s="2865">
        <f>SUM(X35:Y35)</f>
        <v>938.69800000000009</v>
      </c>
      <c r="X35" s="2865">
        <f>SUM('ПОЛНАЯ СЕБЕСТОИМОСТЬ СТОКИ 2021'!L151)</f>
        <v>932.94</v>
      </c>
      <c r="Y35" s="2865">
        <f>SUM('ПОЛНАЯ СЕБЕСТОИМОСТЬ СТОКИ 2021'!M151)</f>
        <v>5.758</v>
      </c>
      <c r="Z35" s="2947">
        <f>SUM(AA35:AB35)</f>
        <v>939.98</v>
      </c>
      <c r="AA35" s="2947">
        <v>934.76</v>
      </c>
      <c r="AB35" s="2947">
        <v>5.22</v>
      </c>
      <c r="AC35" s="3001">
        <f t="shared" ref="AC35:AK41" si="364">SUM(B35+K35+T35)</f>
        <v>2057.2607124796668</v>
      </c>
      <c r="AD35" s="3001">
        <f t="shared" si="364"/>
        <v>2044.5999628307654</v>
      </c>
      <c r="AE35" s="3001">
        <f t="shared" si="364"/>
        <v>12.660749648901724</v>
      </c>
      <c r="AF35" s="3001">
        <f t="shared" si="364"/>
        <v>2687.3119999999999</v>
      </c>
      <c r="AG35" s="3001">
        <f t="shared" si="364"/>
        <v>2680.665</v>
      </c>
      <c r="AH35" s="3001">
        <f t="shared" si="364"/>
        <v>6.6470000000000002</v>
      </c>
      <c r="AI35" s="3001">
        <f t="shared" si="364"/>
        <v>2594.9580000000001</v>
      </c>
      <c r="AJ35" s="3001">
        <f t="shared" si="364"/>
        <v>2588.7039999999997</v>
      </c>
      <c r="AK35" s="3001">
        <f t="shared" si="364"/>
        <v>6.2539999999999996</v>
      </c>
      <c r="AL35" s="2954">
        <f t="shared" ref="AL35:AN69" si="365">SUM(AF35-AC35)</f>
        <v>630.05128752033306</v>
      </c>
      <c r="AM35" s="2954">
        <f t="shared" si="365"/>
        <v>636.06503716923453</v>
      </c>
      <c r="AN35" s="2954">
        <f t="shared" si="365"/>
        <v>-6.0137496489017241</v>
      </c>
      <c r="AO35" s="2865">
        <f>SUM(AP35:AQ35)</f>
        <v>685.75357082655569</v>
      </c>
      <c r="AP35" s="2865">
        <f>SUM('ПОЛНАЯ СЕБЕСТОИМОСТЬ СТОКИ 2021'!R151)/3</f>
        <v>681.53332094358848</v>
      </c>
      <c r="AQ35" s="2865">
        <f>SUM('ПОЛНАЯ СЕБЕСТОИМОСТЬ СТОКИ 2021'!S151)/3</f>
        <v>4.2202498829672415</v>
      </c>
      <c r="AR35" s="2865">
        <f>SUM(AS35:AT35)</f>
        <v>928.84299999999996</v>
      </c>
      <c r="AS35" s="2865">
        <f>SUM('ПОЛНАЯ СЕБЕСТОИМОСТЬ СТОКИ 2021'!U151)</f>
        <v>927.36</v>
      </c>
      <c r="AT35" s="2865">
        <f>SUM('ПОЛНАЯ СЕБЕСТОИМОСТЬ СТОКИ 2021'!V151)</f>
        <v>1.4830000000000001</v>
      </c>
      <c r="AU35" s="2947">
        <f>SUM(AV35:AW35)</f>
        <v>929.20999999999992</v>
      </c>
      <c r="AV35" s="2947">
        <v>928.68</v>
      </c>
      <c r="AW35" s="2947">
        <v>0.53</v>
      </c>
      <c r="AX35" s="2865">
        <f>SUM(AY35:AZ35)</f>
        <v>685.75357082655569</v>
      </c>
      <c r="AY35" s="2865">
        <f>SUM(AP35)</f>
        <v>681.53332094358848</v>
      </c>
      <c r="AZ35" s="2865">
        <f>SUM(AQ35)</f>
        <v>4.2202498829672415</v>
      </c>
      <c r="BA35" s="2946">
        <f>SUM(BB35:BC35)</f>
        <v>890.96999999999991</v>
      </c>
      <c r="BB35" s="2946">
        <f>SUM('ПОЛНАЯ СЕБЕСТОИМОСТЬ СТОКИ 2021'!X151)</f>
        <v>890.43999999999994</v>
      </c>
      <c r="BC35" s="2946">
        <f>SUM('ПОЛНАЯ СЕБЕСТОИМОСТЬ СТОКИ 2021'!Y151)</f>
        <v>0.53</v>
      </c>
      <c r="BD35" s="2947">
        <f>SUM(BE35:BF35)</f>
        <v>823.53500000000008</v>
      </c>
      <c r="BE35" s="2947">
        <v>822.08</v>
      </c>
      <c r="BF35" s="2947">
        <v>1.4550000000000001</v>
      </c>
      <c r="BG35" s="2865">
        <f>SUM(BH35:BI35)</f>
        <v>685.75357082655569</v>
      </c>
      <c r="BH35" s="2865">
        <f>SUM(AY35)</f>
        <v>681.53332094358848</v>
      </c>
      <c r="BI35" s="2865">
        <f>SUM(AZ35)</f>
        <v>4.2202498829672415</v>
      </c>
      <c r="BJ35" s="2865">
        <f>SUM(BK35:BL35)</f>
        <v>779.25300000000004</v>
      </c>
      <c r="BK35" s="2865">
        <f>SUM('ПОЛНАЯ СЕБЕСТОИМОСТЬ СТОКИ 2021'!AA151)</f>
        <v>772.98</v>
      </c>
      <c r="BL35" s="2865">
        <f>SUM('ПОЛНАЯ СЕБЕСТОИМОСТЬ СТОКИ 2021'!AB151)</f>
        <v>6.2729999999999997</v>
      </c>
      <c r="BM35" s="2947">
        <f>SUM(BN35:BO35)</f>
        <v>648.79</v>
      </c>
      <c r="BN35" s="2947">
        <v>642.74</v>
      </c>
      <c r="BO35" s="2947">
        <v>6.05</v>
      </c>
      <c r="BP35" s="3001">
        <f t="shared" ref="BP35:BX41" si="366">SUM(AO35+AX35+BG35)</f>
        <v>2057.2607124796668</v>
      </c>
      <c r="BQ35" s="3001">
        <f t="shared" si="366"/>
        <v>2044.5999628307654</v>
      </c>
      <c r="BR35" s="3001">
        <f t="shared" si="366"/>
        <v>12.660749648901724</v>
      </c>
      <c r="BS35" s="3001">
        <f t="shared" si="366"/>
        <v>2599.0659999999998</v>
      </c>
      <c r="BT35" s="3001">
        <f t="shared" si="366"/>
        <v>2590.7799999999997</v>
      </c>
      <c r="BU35" s="3001">
        <f t="shared" si="366"/>
        <v>8.2859999999999996</v>
      </c>
      <c r="BV35" s="3001">
        <f t="shared" si="366"/>
        <v>2401.5349999999999</v>
      </c>
      <c r="BW35" s="3001">
        <f t="shared" si="366"/>
        <v>2393.5</v>
      </c>
      <c r="BX35" s="3001">
        <f t="shared" si="366"/>
        <v>8.0350000000000001</v>
      </c>
      <c r="BY35" s="2954">
        <f t="shared" ref="BY35:CA69" si="367">SUM(BS35-BP35)</f>
        <v>541.80528752033297</v>
      </c>
      <c r="BZ35" s="2954">
        <f t="shared" si="367"/>
        <v>546.18003716923431</v>
      </c>
      <c r="CA35" s="2954">
        <f t="shared" si="367"/>
        <v>-4.3747496489017248</v>
      </c>
      <c r="CB35" s="3001">
        <f t="shared" ref="CB35:CJ41" si="368">SUM(AC35+BP35)</f>
        <v>4114.5214249593337</v>
      </c>
      <c r="CC35" s="3001">
        <f t="shared" si="368"/>
        <v>4089.1999256615309</v>
      </c>
      <c r="CD35" s="3001">
        <f t="shared" si="368"/>
        <v>25.321499297803449</v>
      </c>
      <c r="CE35" s="3001">
        <f t="shared" si="368"/>
        <v>5286.3779999999997</v>
      </c>
      <c r="CF35" s="3001">
        <f t="shared" si="368"/>
        <v>5271.4449999999997</v>
      </c>
      <c r="CG35" s="3001">
        <f t="shared" si="368"/>
        <v>14.933</v>
      </c>
      <c r="CH35" s="3028">
        <f t="shared" si="368"/>
        <v>4996.4930000000004</v>
      </c>
      <c r="CI35" s="3028">
        <f t="shared" si="368"/>
        <v>4982.2039999999997</v>
      </c>
      <c r="CJ35" s="3028">
        <f t="shared" si="368"/>
        <v>14.289</v>
      </c>
      <c r="CK35" s="2954">
        <f t="shared" ref="CK35:CM69" si="369">SUM(CE35-CB35)</f>
        <v>1171.856575040666</v>
      </c>
      <c r="CL35" s="2954">
        <f t="shared" si="369"/>
        <v>1182.2450743384688</v>
      </c>
      <c r="CM35" s="2954">
        <f t="shared" si="369"/>
        <v>-10.388499297803449</v>
      </c>
      <c r="CN35" s="2865">
        <f>SUM(CO35:CP35)</f>
        <v>713.26389840739421</v>
      </c>
      <c r="CO35" s="2865">
        <f>SUM('ПОЛНАЯ СЕБЕСТОИМОСТЬ СТОКИ 2021'!AP151)/3</f>
        <v>708.79465378133193</v>
      </c>
      <c r="CP35" s="2865">
        <f>SUM('ПОЛНАЯ СЕБЕСТОИМОСТЬ СТОКИ 2021'!AQ151)/3</f>
        <v>4.4692446260623093</v>
      </c>
      <c r="CQ35" s="2865">
        <f>SUM(CR35:CS35)</f>
        <v>846.07499999999993</v>
      </c>
      <c r="CR35" s="2865">
        <f>SUM('ПОЛНАЯ СЕБЕСТОИМОСТЬ СТОКИ 2021'!AS151)</f>
        <v>845.08399999999995</v>
      </c>
      <c r="CS35" s="2865">
        <f>SUM('ПОЛНАЯ СЕБЕСТОИМОСТЬ СТОКИ 2021'!AT151)</f>
        <v>0.99099999999999999</v>
      </c>
      <c r="CT35" s="2947">
        <f>SUM(CU35:CV35)</f>
        <v>848.91399999999999</v>
      </c>
      <c r="CU35" s="2947">
        <v>847.35</v>
      </c>
      <c r="CV35" s="2947">
        <v>1.5640000000000001</v>
      </c>
      <c r="CW35" s="2865">
        <f>SUM(CX35:CY35)</f>
        <v>713.26389840739421</v>
      </c>
      <c r="CX35" s="2865">
        <f>SUM(CO35)</f>
        <v>708.79465378133193</v>
      </c>
      <c r="CY35" s="2865">
        <f>SUM(CP35)</f>
        <v>4.4692446260623093</v>
      </c>
      <c r="CZ35" s="2865">
        <f>SUM(DA35:DB35)</f>
        <v>882.62699999999995</v>
      </c>
      <c r="DA35" s="2865">
        <f>SUM('ПОЛНАЯ СЕБЕСТОИМОСТЬ СТОКИ 2021'!AV151)</f>
        <v>880.98699999999997</v>
      </c>
      <c r="DB35" s="2865">
        <f>SUM('ПОЛНАЯ СЕБЕСТОИМОСТЬ СТОКИ 2021'!AW151)</f>
        <v>1.64</v>
      </c>
      <c r="DC35" s="2947">
        <f>SUM(DD35:DE35)</f>
        <v>850.93</v>
      </c>
      <c r="DD35" s="2947">
        <v>850.39</v>
      </c>
      <c r="DE35" s="2947">
        <v>0.54</v>
      </c>
      <c r="DF35" s="2865">
        <f>SUM(DG35:DH35)</f>
        <v>713.26389840739421</v>
      </c>
      <c r="DG35" s="2865">
        <f>SUM(CX35)</f>
        <v>708.79465378133193</v>
      </c>
      <c r="DH35" s="2865">
        <f>SUM(CY35)</f>
        <v>4.4692446260623093</v>
      </c>
      <c r="DI35" s="2865">
        <f>SUM(DJ35:DK35)</f>
        <v>922.00100000000009</v>
      </c>
      <c r="DJ35" s="2865">
        <f>SUM('ПОЛНАЯ СЕБЕСТОИМОСТЬ СТОКИ 2021'!AY151)</f>
        <v>921.45500000000004</v>
      </c>
      <c r="DK35" s="2865">
        <f>SUM('ПОЛНАЯ СЕБЕСТОИМОСТЬ СТОКИ 2021'!AZ151)</f>
        <v>0.54600000000000004</v>
      </c>
      <c r="DL35" s="2947">
        <f>SUM(DM35:DN35)</f>
        <v>856.71</v>
      </c>
      <c r="DM35" s="2947">
        <v>850.72</v>
      </c>
      <c r="DN35" s="2947">
        <v>5.99</v>
      </c>
      <c r="DO35" s="3001">
        <f t="shared" ref="DO35:DW41" si="370">SUM(CN35+CW35+DF35)</f>
        <v>2139.7916952221826</v>
      </c>
      <c r="DP35" s="3001">
        <f t="shared" si="370"/>
        <v>2126.3839613439959</v>
      </c>
      <c r="DQ35" s="3001">
        <f t="shared" si="370"/>
        <v>13.407733878186928</v>
      </c>
      <c r="DR35" s="3001">
        <f t="shared" si="370"/>
        <v>2650.703</v>
      </c>
      <c r="DS35" s="3001">
        <f t="shared" si="370"/>
        <v>2647.5259999999998</v>
      </c>
      <c r="DT35" s="3001">
        <f t="shared" si="370"/>
        <v>3.1769999999999996</v>
      </c>
      <c r="DU35" s="3001">
        <f t="shared" si="370"/>
        <v>2556.5540000000001</v>
      </c>
      <c r="DV35" s="3001">
        <f t="shared" si="370"/>
        <v>2548.46</v>
      </c>
      <c r="DW35" s="3001">
        <f t="shared" si="370"/>
        <v>8.0940000000000012</v>
      </c>
      <c r="DX35" s="2954">
        <f t="shared" ref="DX35:DZ69" si="371">SUM(DR35-DO35)</f>
        <v>510.91130477781735</v>
      </c>
      <c r="DY35" s="2954">
        <f t="shared" si="371"/>
        <v>521.14203865600393</v>
      </c>
      <c r="DZ35" s="2954">
        <f t="shared" si="371"/>
        <v>-10.230733878186928</v>
      </c>
      <c r="EA35" s="3001">
        <f t="shared" ref="EA35:EI41" si="372">SUM(CB35+DO35)</f>
        <v>6254.3131201815158</v>
      </c>
      <c r="EB35" s="3001">
        <f t="shared" si="372"/>
        <v>6215.5838870055268</v>
      </c>
      <c r="EC35" s="3001">
        <f t="shared" si="372"/>
        <v>38.729233175990373</v>
      </c>
      <c r="ED35" s="3001">
        <f t="shared" si="372"/>
        <v>7937.0810000000001</v>
      </c>
      <c r="EE35" s="3001">
        <f t="shared" si="372"/>
        <v>7918.9709999999995</v>
      </c>
      <c r="EF35" s="3001">
        <f t="shared" si="372"/>
        <v>18.11</v>
      </c>
      <c r="EG35" s="3001">
        <f t="shared" si="372"/>
        <v>7553.0470000000005</v>
      </c>
      <c r="EH35" s="3001">
        <f t="shared" si="372"/>
        <v>7530.6639999999998</v>
      </c>
      <c r="EI35" s="3001">
        <f t="shared" si="372"/>
        <v>22.383000000000003</v>
      </c>
      <c r="EJ35" s="2954">
        <f t="shared" ref="EJ35:EL69" si="373">SUM(ED35-EA35)</f>
        <v>1682.7678798184843</v>
      </c>
      <c r="EK35" s="2954">
        <f t="shared" si="373"/>
        <v>1703.3871129944728</v>
      </c>
      <c r="EL35" s="2954">
        <f t="shared" si="373"/>
        <v>-20.619233175990374</v>
      </c>
      <c r="EM35" s="2865">
        <f>SUM(EN35:EO35)</f>
        <v>713.26389840739421</v>
      </c>
      <c r="EN35" s="2865">
        <f>SUM('ПОЛНАЯ СЕБЕСТОИМОСТЬ СТОКИ 2021'!BN151)/3</f>
        <v>708.79465378133193</v>
      </c>
      <c r="EO35" s="2865">
        <f>SUM('ПОЛНАЯ СЕБЕСТОИМОСТЬ СТОКИ 2021'!BO151)/3</f>
        <v>4.4692446260623093</v>
      </c>
      <c r="EP35" s="2865">
        <f>SUM(EQ35:ER35)</f>
        <v>931.12300000000005</v>
      </c>
      <c r="EQ35" s="2865">
        <f>SUM('ПОЛНАЯ СЕБЕСТОИМОСТЬ СТОКИ 2021'!BQ151)</f>
        <v>929.21100000000001</v>
      </c>
      <c r="ER35" s="2865">
        <f>SUM('ПОЛНАЯ СЕБЕСТОИМОСТЬ СТОКИ 2021'!BR151)</f>
        <v>1.9119999999999999</v>
      </c>
      <c r="ES35" s="2947">
        <f>SUM(ET35:EU35)</f>
        <v>979.77100000000007</v>
      </c>
      <c r="ET35" s="2947">
        <v>979.59</v>
      </c>
      <c r="EU35" s="2947">
        <v>0.18099999999999999</v>
      </c>
      <c r="EV35" s="2865">
        <f>SUM(EW35:EX35)</f>
        <v>713.26389840739421</v>
      </c>
      <c r="EW35" s="2865">
        <f>SUM(EN35)</f>
        <v>708.79465378133193</v>
      </c>
      <c r="EX35" s="2865">
        <f>SUM(EO35)</f>
        <v>4.4692446260623093</v>
      </c>
      <c r="EY35" s="2865">
        <f>SUM(EZ35:FA35)</f>
        <v>938.45600000000002</v>
      </c>
      <c r="EZ35" s="2865">
        <f>SUM('ПОЛНАЯ СЕБЕСТОИМОСТЬ СТОКИ 2021'!BT151)</f>
        <v>937.85199999999998</v>
      </c>
      <c r="FA35" s="2865">
        <f>SUM('ПОЛНАЯ СЕБЕСТОИМОСТЬ СТОКИ 2021'!BU151)</f>
        <v>0.60399999999999998</v>
      </c>
      <c r="FB35" s="2947">
        <f>SUM(FC35:FD35)</f>
        <v>961.55</v>
      </c>
      <c r="FC35" s="2947">
        <v>960.63499999999999</v>
      </c>
      <c r="FD35" s="2947">
        <v>0.91500000000000004</v>
      </c>
      <c r="FE35" s="2865">
        <f>SUM(FF35:FG35)</f>
        <v>713.26389840739421</v>
      </c>
      <c r="FF35" s="2865">
        <f>SUM(EW35)</f>
        <v>708.79465378133193</v>
      </c>
      <c r="FG35" s="2865">
        <f>SUM(EX35)</f>
        <v>4.4692446260623093</v>
      </c>
      <c r="FH35" s="2865">
        <f>SUM(FI35:FJ35)</f>
        <v>996.23800000000006</v>
      </c>
      <c r="FI35" s="2865">
        <f>SUM('ПОЛНАЯ СЕБЕСТОИМОСТЬ СТОКИ 2021'!BW151)</f>
        <v>984.125</v>
      </c>
      <c r="FJ35" s="2865">
        <f>SUM('ПОЛНАЯ СЕБЕСТОИМОСТЬ СТОКИ 2021'!BX151)</f>
        <v>12.113</v>
      </c>
      <c r="FK35" s="2947">
        <f>SUM(FL35:FM35)</f>
        <v>963.69999999999993</v>
      </c>
      <c r="FL35" s="2947">
        <v>957.15499999999997</v>
      </c>
      <c r="FM35" s="2947">
        <v>6.5449999999999999</v>
      </c>
      <c r="FN35" s="3001">
        <f t="shared" ref="FN35:FV41" si="374">SUM(EM35+EV35+FE35)</f>
        <v>2139.7916952221826</v>
      </c>
      <c r="FO35" s="3001">
        <f t="shared" si="374"/>
        <v>2126.3839613439959</v>
      </c>
      <c r="FP35" s="3001">
        <f t="shared" si="374"/>
        <v>13.407733878186928</v>
      </c>
      <c r="FQ35" s="3001">
        <f t="shared" si="374"/>
        <v>2865.817</v>
      </c>
      <c r="FR35" s="3001">
        <f t="shared" si="374"/>
        <v>2851.1880000000001</v>
      </c>
      <c r="FS35" s="3001">
        <f t="shared" si="374"/>
        <v>14.629</v>
      </c>
      <c r="FT35" s="3001">
        <f t="shared" si="374"/>
        <v>2905.0209999999997</v>
      </c>
      <c r="FU35" s="3001">
        <f t="shared" si="374"/>
        <v>2897.38</v>
      </c>
      <c r="FV35" s="3001">
        <f t="shared" si="374"/>
        <v>7.641</v>
      </c>
      <c r="FW35" s="2954">
        <f t="shared" ref="FW35:FY69" si="375">SUM(FQ35-FN35)</f>
        <v>726.02530477781738</v>
      </c>
      <c r="FX35" s="2954">
        <f t="shared" si="375"/>
        <v>724.8040386560042</v>
      </c>
      <c r="FY35" s="2954">
        <f t="shared" si="375"/>
        <v>1.2212661218130716</v>
      </c>
      <c r="FZ35" s="3001">
        <f t="shared" ref="FZ35:GH41" si="376">SUM(EA35+FN35)</f>
        <v>8394.104815403698</v>
      </c>
      <c r="GA35" s="3001">
        <f t="shared" si="376"/>
        <v>8341.9678483495227</v>
      </c>
      <c r="GB35" s="3001">
        <f t="shared" si="376"/>
        <v>52.136967054177305</v>
      </c>
      <c r="GC35" s="3001">
        <f t="shared" si="376"/>
        <v>10802.898000000001</v>
      </c>
      <c r="GD35" s="3001">
        <f t="shared" si="376"/>
        <v>10770.159</v>
      </c>
      <c r="GE35" s="3001">
        <f t="shared" si="376"/>
        <v>32.738999999999997</v>
      </c>
      <c r="GF35" s="3001">
        <f t="shared" si="376"/>
        <v>10458.067999999999</v>
      </c>
      <c r="GG35" s="3001">
        <f t="shared" si="376"/>
        <v>10428.044</v>
      </c>
      <c r="GH35" s="3001">
        <f t="shared" si="376"/>
        <v>30.024000000000001</v>
      </c>
      <c r="GI35" s="2954">
        <f t="shared" ref="GI35:GK69" si="377">SUM(GC35-FZ35)</f>
        <v>2408.793184596303</v>
      </c>
      <c r="GJ35" s="2954">
        <f t="shared" si="377"/>
        <v>2428.191151650477</v>
      </c>
      <c r="GK35" s="2954">
        <f t="shared" si="377"/>
        <v>-19.397967054177307</v>
      </c>
      <c r="GM35" s="4234"/>
    </row>
    <row r="36" spans="1:195" ht="18.75" customHeight="1" x14ac:dyDescent="0.3">
      <c r="A36" s="2868" t="s">
        <v>2</v>
      </c>
      <c r="B36" s="2865">
        <f t="shared" ref="B36:B41" si="378">SUM(C36:D36)</f>
        <v>427.71833333333342</v>
      </c>
      <c r="C36" s="2865">
        <f>SUM('ПОЛНАЯ СЕБЕСТОИМОСТЬ СТОКИ 2021'!C152)/3</f>
        <v>427.71833333333342</v>
      </c>
      <c r="D36" s="2865">
        <f>SUM('ПОЛНАЯ СЕБЕСТОИМОСТЬ СТОКИ 2021'!D152)/3</f>
        <v>0</v>
      </c>
      <c r="E36" s="2865">
        <f t="shared" ref="E36:E41" si="379">SUM(F36:G36)</f>
        <v>441.29</v>
      </c>
      <c r="F36" s="2865">
        <f>SUM('ПОЛНАЯ СЕБЕСТОИМОСТЬ СТОКИ 2021'!F152)</f>
        <v>441.29</v>
      </c>
      <c r="G36" s="2865">
        <f>SUM('ПОЛНАЯ СЕБЕСТОИМОСТЬ СТОКИ 2021'!G152)</f>
        <v>0</v>
      </c>
      <c r="H36" s="2947">
        <f t="shared" ref="H36:H41" si="380">SUM(I36:J36)</f>
        <v>432.22</v>
      </c>
      <c r="I36" s="2947">
        <v>432.22</v>
      </c>
      <c r="J36" s="2947">
        <v>0</v>
      </c>
      <c r="K36" s="2865">
        <f t="shared" ref="K36:K41" si="381">SUM(L36:M36)</f>
        <v>427.71833333333342</v>
      </c>
      <c r="L36" s="2865">
        <f t="shared" ref="L36:L41" si="382">SUM(C36)</f>
        <v>427.71833333333342</v>
      </c>
      <c r="M36" s="2865">
        <f t="shared" ref="M36:M41" si="383">SUM(D36)</f>
        <v>0</v>
      </c>
      <c r="N36" s="2865">
        <f t="shared" ref="N36:N41" si="384">SUM(O36:P36)</f>
        <v>443.42899999999997</v>
      </c>
      <c r="O36" s="2865">
        <f>SUM('ПОЛНАЯ СЕБЕСТОИМОСТЬ СТОКИ 2021'!I152)</f>
        <v>443.42899999999997</v>
      </c>
      <c r="P36" s="2865">
        <f>SUM('ПОЛНАЯ СЕБЕСТОИМОСТЬ СТОКИ 2021'!J152)</f>
        <v>0</v>
      </c>
      <c r="Q36" s="2947">
        <f t="shared" ref="Q36:Q41" si="385">SUM(R36:S36)</f>
        <v>437.06</v>
      </c>
      <c r="R36" s="2947">
        <v>437.06</v>
      </c>
      <c r="S36" s="2947">
        <v>0</v>
      </c>
      <c r="T36" s="2865">
        <f t="shared" ref="T36:T41" si="386">SUM(U36:V36)</f>
        <v>427.71833333333342</v>
      </c>
      <c r="U36" s="2865">
        <f t="shared" ref="U36:U41" si="387">SUM(L36)</f>
        <v>427.71833333333342</v>
      </c>
      <c r="V36" s="2865">
        <f t="shared" ref="V36:V41" si="388">SUM(M36)</f>
        <v>0</v>
      </c>
      <c r="W36" s="2865">
        <f t="shared" ref="W36:W41" si="389">SUM(X36:Y36)</f>
        <v>435.44000000000005</v>
      </c>
      <c r="X36" s="2865">
        <f>SUM('ПОЛНАЯ СЕБЕСТОИМОСТЬ СТОКИ 2021'!L152)</f>
        <v>435.44000000000005</v>
      </c>
      <c r="Y36" s="2865">
        <f>SUM('ПОЛНАЯ СЕБЕСТОИМОСТЬ СТОКИ 2021'!M152)</f>
        <v>0</v>
      </c>
      <c r="Z36" s="2947">
        <f t="shared" ref="Z36:Z41" si="390">SUM(AA36:AB36)</f>
        <v>439.29</v>
      </c>
      <c r="AA36" s="2947">
        <v>439.29</v>
      </c>
      <c r="AB36" s="2947">
        <v>0</v>
      </c>
      <c r="AC36" s="3001">
        <f t="shared" si="364"/>
        <v>1283.1550000000002</v>
      </c>
      <c r="AD36" s="3001">
        <f t="shared" si="364"/>
        <v>1283.1550000000002</v>
      </c>
      <c r="AE36" s="3001">
        <f t="shared" si="364"/>
        <v>0</v>
      </c>
      <c r="AF36" s="3001">
        <f t="shared" si="364"/>
        <v>1320.1590000000001</v>
      </c>
      <c r="AG36" s="3001">
        <f t="shared" si="364"/>
        <v>1320.1590000000001</v>
      </c>
      <c r="AH36" s="3001">
        <f t="shared" si="364"/>
        <v>0</v>
      </c>
      <c r="AI36" s="3001">
        <f t="shared" si="364"/>
        <v>1308.57</v>
      </c>
      <c r="AJ36" s="3001">
        <f t="shared" si="364"/>
        <v>1308.57</v>
      </c>
      <c r="AK36" s="3001">
        <f t="shared" si="364"/>
        <v>0</v>
      </c>
      <c r="AL36" s="2954">
        <f t="shared" si="365"/>
        <v>37.003999999999905</v>
      </c>
      <c r="AM36" s="2954">
        <f t="shared" si="365"/>
        <v>37.003999999999905</v>
      </c>
      <c r="AN36" s="2954">
        <f t="shared" si="365"/>
        <v>0</v>
      </c>
      <c r="AO36" s="2865">
        <f t="shared" ref="AO36:AO41" si="391">SUM(AP36:AQ36)</f>
        <v>427.71833333333342</v>
      </c>
      <c r="AP36" s="2865">
        <f>SUM('ПОЛНАЯ СЕБЕСТОИМОСТЬ СТОКИ 2021'!R152)/3</f>
        <v>427.71833333333342</v>
      </c>
      <c r="AQ36" s="2865">
        <f>SUM('ПОЛНАЯ СЕБЕСТОИМОСТЬ СТОКИ 2021'!S152)/3</f>
        <v>0</v>
      </c>
      <c r="AR36" s="2865">
        <f t="shared" ref="AR36:AR41" si="392">SUM(AS36:AT36)</f>
        <v>437.66999999999996</v>
      </c>
      <c r="AS36" s="2865">
        <f>SUM('ПОЛНАЯ СЕБЕСТОИМОСТЬ СТОКИ 2021'!U152)</f>
        <v>437.66999999999996</v>
      </c>
      <c r="AT36" s="2865">
        <f>SUM('ПОЛНАЯ СЕБЕСТОИМОСТЬ СТОКИ 2021'!V152)</f>
        <v>0</v>
      </c>
      <c r="AU36" s="2947">
        <f t="shared" ref="AU36:AU41" si="393">SUM(AV36:AW36)</f>
        <v>440.58</v>
      </c>
      <c r="AV36" s="2947">
        <v>440.58</v>
      </c>
      <c r="AW36" s="2947">
        <v>0</v>
      </c>
      <c r="AX36" s="2865">
        <f t="shared" ref="AX36:AX41" si="394">SUM(AY36:AZ36)</f>
        <v>427.71833333333342</v>
      </c>
      <c r="AY36" s="2865">
        <f t="shared" ref="AY36:AY41" si="395">SUM(AP36)</f>
        <v>427.71833333333342</v>
      </c>
      <c r="AZ36" s="2865">
        <f t="shared" ref="AZ36:AZ41" si="396">SUM(AQ36)</f>
        <v>0</v>
      </c>
      <c r="BA36" s="2946">
        <f t="shared" ref="BA36:BA41" si="397">SUM(BB36:BC36)</f>
        <v>458.37</v>
      </c>
      <c r="BB36" s="2946">
        <f>SUM('ПОЛНАЯ СЕБЕСТОИМОСТЬ СТОКИ 2021'!X152)</f>
        <v>458.37</v>
      </c>
      <c r="BC36" s="2946">
        <f>SUM('ПОЛНАЯ СЕБЕСТОИМОСТЬ СТОКИ 2021'!Y152)</f>
        <v>0</v>
      </c>
      <c r="BD36" s="2947">
        <f t="shared" ref="BD36:BD41" si="398">SUM(BE36:BF36)</f>
        <v>441.34</v>
      </c>
      <c r="BE36" s="2947">
        <v>441.34</v>
      </c>
      <c r="BF36" s="2947">
        <v>0</v>
      </c>
      <c r="BG36" s="2865">
        <f t="shared" ref="BG36:BG41" si="399">SUM(BH36:BI36)</f>
        <v>427.71833333333342</v>
      </c>
      <c r="BH36" s="2865">
        <f t="shared" ref="BH36:BH41" si="400">SUM(AY36)</f>
        <v>427.71833333333342</v>
      </c>
      <c r="BI36" s="2865">
        <f t="shared" ref="BI36:BI41" si="401">SUM(AZ36)</f>
        <v>0</v>
      </c>
      <c r="BJ36" s="2865">
        <f t="shared" ref="BJ36:BJ41" si="402">SUM(BK36:BL36)</f>
        <v>453.42899999999997</v>
      </c>
      <c r="BK36" s="2865">
        <f>SUM('ПОЛНАЯ СЕБЕСТОИМОСТЬ СТОКИ 2021'!AA152)</f>
        <v>453.42899999999997</v>
      </c>
      <c r="BL36" s="2865">
        <f>SUM('ПОЛНАЯ СЕБЕСТОИМОСТЬ СТОКИ 2021'!AB152)</f>
        <v>0</v>
      </c>
      <c r="BM36" s="2947">
        <f t="shared" ref="BM36:BM41" si="403">SUM(BN36:BO36)</f>
        <v>440.92</v>
      </c>
      <c r="BN36" s="2947">
        <v>440.92</v>
      </c>
      <c r="BO36" s="2947">
        <v>0</v>
      </c>
      <c r="BP36" s="3001">
        <f t="shared" si="366"/>
        <v>1283.1550000000002</v>
      </c>
      <c r="BQ36" s="3001">
        <f t="shared" si="366"/>
        <v>1283.1550000000002</v>
      </c>
      <c r="BR36" s="3001">
        <f t="shared" si="366"/>
        <v>0</v>
      </c>
      <c r="BS36" s="3001">
        <f t="shared" si="366"/>
        <v>1349.4690000000001</v>
      </c>
      <c r="BT36" s="3001">
        <f t="shared" si="366"/>
        <v>1349.4690000000001</v>
      </c>
      <c r="BU36" s="3001">
        <f t="shared" si="366"/>
        <v>0</v>
      </c>
      <c r="BV36" s="3001">
        <f t="shared" si="366"/>
        <v>1322.84</v>
      </c>
      <c r="BW36" s="3001">
        <f t="shared" si="366"/>
        <v>1322.84</v>
      </c>
      <c r="BX36" s="3001">
        <f t="shared" si="366"/>
        <v>0</v>
      </c>
      <c r="BY36" s="2954">
        <f t="shared" si="367"/>
        <v>66.313999999999851</v>
      </c>
      <c r="BZ36" s="2954">
        <f t="shared" si="367"/>
        <v>66.313999999999851</v>
      </c>
      <c r="CA36" s="2954">
        <f t="shared" si="367"/>
        <v>0</v>
      </c>
      <c r="CB36" s="3001">
        <f t="shared" si="368"/>
        <v>2566.3100000000004</v>
      </c>
      <c r="CC36" s="3001">
        <f t="shared" si="368"/>
        <v>2566.3100000000004</v>
      </c>
      <c r="CD36" s="3001">
        <f t="shared" si="368"/>
        <v>0</v>
      </c>
      <c r="CE36" s="3001">
        <f t="shared" si="368"/>
        <v>2669.6280000000002</v>
      </c>
      <c r="CF36" s="3001">
        <f t="shared" si="368"/>
        <v>2669.6280000000002</v>
      </c>
      <c r="CG36" s="3001">
        <f t="shared" si="368"/>
        <v>0</v>
      </c>
      <c r="CH36" s="3028">
        <f t="shared" si="368"/>
        <v>2631.41</v>
      </c>
      <c r="CI36" s="3028">
        <f t="shared" si="368"/>
        <v>2631.41</v>
      </c>
      <c r="CJ36" s="3028">
        <f t="shared" si="368"/>
        <v>0</v>
      </c>
      <c r="CK36" s="2954">
        <f t="shared" si="369"/>
        <v>103.31799999999976</v>
      </c>
      <c r="CL36" s="2954">
        <f t="shared" si="369"/>
        <v>103.31799999999976</v>
      </c>
      <c r="CM36" s="2954">
        <f t="shared" si="369"/>
        <v>0</v>
      </c>
      <c r="CN36" s="2865">
        <f t="shared" ref="CN36:CN41" si="404">SUM(CO36:CP36)</f>
        <v>427.71833333333342</v>
      </c>
      <c r="CO36" s="2865">
        <f>SUM('ПОЛНАЯ СЕБЕСТОИМОСТЬ СТОКИ 2021'!AP152)/3</f>
        <v>427.71833333333342</v>
      </c>
      <c r="CP36" s="2865">
        <f>SUM('ПОЛНАЯ СЕБЕСТОИМОСТЬ СТОКИ 2021'!AQ152)/3</f>
        <v>0</v>
      </c>
      <c r="CQ36" s="2865">
        <f t="shared" ref="CQ36:CQ41" si="405">SUM(CR36:CS36)</f>
        <v>457.85</v>
      </c>
      <c r="CR36" s="2865">
        <f>SUM('ПОЛНАЯ СЕБЕСТОИМОСТЬ СТОКИ 2021'!AS152)</f>
        <v>457.85</v>
      </c>
      <c r="CS36" s="2865">
        <f>SUM('ПОЛНАЯ СЕБЕСТОИМОСТЬ СТОКИ 2021'!AT152)</f>
        <v>0</v>
      </c>
      <c r="CT36" s="2947">
        <f t="shared" ref="CT36:CT41" si="406">SUM(CU36:CV36)</f>
        <v>432.38</v>
      </c>
      <c r="CU36" s="2947">
        <v>432.38</v>
      </c>
      <c r="CV36" s="2947">
        <v>0</v>
      </c>
      <c r="CW36" s="2865">
        <f t="shared" ref="CW36:CW41" si="407">SUM(CX36:CY36)</f>
        <v>427.71833333333342</v>
      </c>
      <c r="CX36" s="2865">
        <f t="shared" ref="CX36:CX41" si="408">SUM(CO36)</f>
        <v>427.71833333333342</v>
      </c>
      <c r="CY36" s="2865">
        <f t="shared" ref="CY36:CY41" si="409">SUM(CP36)</f>
        <v>0</v>
      </c>
      <c r="CZ36" s="2865">
        <f t="shared" ref="CZ36:CZ41" si="410">SUM(DA36:DB36)</f>
        <v>457.077</v>
      </c>
      <c r="DA36" s="2865">
        <f>SUM('ПОЛНАЯ СЕБЕСТОИМОСТЬ СТОКИ 2021'!AV152)</f>
        <v>457.077</v>
      </c>
      <c r="DB36" s="2865">
        <f>SUM('ПОЛНАЯ СЕБЕСТОИМОСТЬ СТОКИ 2021'!AW152)</f>
        <v>0</v>
      </c>
      <c r="DC36" s="2947">
        <f t="shared" ref="DC36:DC41" si="411">SUM(DD36:DE36)</f>
        <v>443.48</v>
      </c>
      <c r="DD36" s="2947">
        <v>443.48</v>
      </c>
      <c r="DE36" s="2947">
        <v>0</v>
      </c>
      <c r="DF36" s="2865">
        <f t="shared" ref="DF36:DF41" si="412">SUM(DG36:DH36)</f>
        <v>427.71833333333342</v>
      </c>
      <c r="DG36" s="2865">
        <f t="shared" ref="DG36:DG41" si="413">SUM(CX36)</f>
        <v>427.71833333333342</v>
      </c>
      <c r="DH36" s="2865">
        <f t="shared" ref="DH36:DH41" si="414">SUM(CY36)</f>
        <v>0</v>
      </c>
      <c r="DI36" s="2865">
        <f t="shared" ref="DI36:DI41" si="415">SUM(DJ36:DK36)</f>
        <v>471.94399999999996</v>
      </c>
      <c r="DJ36" s="2865">
        <f>SUM('ПОЛНАЯ СЕБЕСТОИМОСТЬ СТОКИ 2021'!AY152)</f>
        <v>471.94399999999996</v>
      </c>
      <c r="DK36" s="2865">
        <f>SUM('ПОЛНАЯ СЕБЕСТОИМОСТЬ СТОКИ 2021'!AZ152)</f>
        <v>0</v>
      </c>
      <c r="DL36" s="2947">
        <f t="shared" ref="DL36:DL41" si="416">SUM(DM36:DN36)</f>
        <v>438.6</v>
      </c>
      <c r="DM36" s="2947">
        <v>438.6</v>
      </c>
      <c r="DN36" s="2947">
        <v>0</v>
      </c>
      <c r="DO36" s="3001">
        <f t="shared" si="370"/>
        <v>1283.1550000000002</v>
      </c>
      <c r="DP36" s="3001">
        <f t="shared" si="370"/>
        <v>1283.1550000000002</v>
      </c>
      <c r="DQ36" s="3001">
        <f t="shared" si="370"/>
        <v>0</v>
      </c>
      <c r="DR36" s="3001">
        <f t="shared" si="370"/>
        <v>1386.8710000000001</v>
      </c>
      <c r="DS36" s="3001">
        <f t="shared" si="370"/>
        <v>1386.8710000000001</v>
      </c>
      <c r="DT36" s="3001">
        <f t="shared" si="370"/>
        <v>0</v>
      </c>
      <c r="DU36" s="3001">
        <f t="shared" si="370"/>
        <v>1314.46</v>
      </c>
      <c r="DV36" s="3001">
        <f t="shared" si="370"/>
        <v>1314.46</v>
      </c>
      <c r="DW36" s="3001">
        <f t="shared" si="370"/>
        <v>0</v>
      </c>
      <c r="DX36" s="2954">
        <f t="shared" si="371"/>
        <v>103.71599999999989</v>
      </c>
      <c r="DY36" s="2954">
        <f t="shared" si="371"/>
        <v>103.71599999999989</v>
      </c>
      <c r="DZ36" s="2954">
        <f t="shared" si="371"/>
        <v>0</v>
      </c>
      <c r="EA36" s="3001">
        <f t="shared" si="372"/>
        <v>3849.4650000000006</v>
      </c>
      <c r="EB36" s="3001">
        <f t="shared" si="372"/>
        <v>3849.4650000000006</v>
      </c>
      <c r="EC36" s="3001">
        <f t="shared" si="372"/>
        <v>0</v>
      </c>
      <c r="ED36" s="3001">
        <f t="shared" si="372"/>
        <v>4056.4990000000003</v>
      </c>
      <c r="EE36" s="3001">
        <f t="shared" si="372"/>
        <v>4056.4990000000003</v>
      </c>
      <c r="EF36" s="3001">
        <f t="shared" si="372"/>
        <v>0</v>
      </c>
      <c r="EG36" s="3001">
        <f t="shared" si="372"/>
        <v>3945.87</v>
      </c>
      <c r="EH36" s="3001">
        <f t="shared" si="372"/>
        <v>3945.87</v>
      </c>
      <c r="EI36" s="3001">
        <f t="shared" si="372"/>
        <v>0</v>
      </c>
      <c r="EJ36" s="2954">
        <f t="shared" si="373"/>
        <v>207.03399999999965</v>
      </c>
      <c r="EK36" s="2954">
        <f t="shared" si="373"/>
        <v>207.03399999999965</v>
      </c>
      <c r="EL36" s="2954">
        <f t="shared" si="373"/>
        <v>0</v>
      </c>
      <c r="EM36" s="2865">
        <f t="shared" ref="EM36:EM41" si="417">SUM(EN36:EO36)</f>
        <v>427.71833333333342</v>
      </c>
      <c r="EN36" s="2865">
        <f>SUM('ПОЛНАЯ СЕБЕСТОИМОСТЬ СТОКИ 2021'!BN152)/3</f>
        <v>427.71833333333342</v>
      </c>
      <c r="EO36" s="2865">
        <f>SUM('ПОЛНАЯ СЕБЕСТОИМОСТЬ СТОКИ 2021'!BO152)/3</f>
        <v>0</v>
      </c>
      <c r="EP36" s="2865">
        <f t="shared" ref="EP36:EP41" si="418">SUM(EQ36:ER36)</f>
        <v>473.88</v>
      </c>
      <c r="EQ36" s="2865">
        <f>SUM('ПОЛНАЯ СЕБЕСТОИМОСТЬ СТОКИ 2021'!BQ152)</f>
        <v>473.88</v>
      </c>
      <c r="ER36" s="2865">
        <f>SUM('ПОЛНАЯ СЕБЕСТОИМОСТЬ СТОКИ 2021'!BR152)</f>
        <v>0</v>
      </c>
      <c r="ES36" s="2947">
        <f t="shared" ref="ES36:ES41" si="419">SUM(ET36:EU36)</f>
        <v>440.33</v>
      </c>
      <c r="ET36" s="2947">
        <v>440.33</v>
      </c>
      <c r="EU36" s="2947">
        <v>0</v>
      </c>
      <c r="EV36" s="2865">
        <f t="shared" ref="EV36:EV41" si="420">SUM(EW36:EX36)</f>
        <v>427.71833333333342</v>
      </c>
      <c r="EW36" s="2865">
        <f t="shared" ref="EW36:EW41" si="421">SUM(EN36)</f>
        <v>427.71833333333342</v>
      </c>
      <c r="EX36" s="2865">
        <f t="shared" ref="EX36:EX41" si="422">SUM(EO36)</f>
        <v>0</v>
      </c>
      <c r="EY36" s="2865">
        <f t="shared" ref="EY36:EY41" si="423">SUM(EZ36:FA36)</f>
        <v>480.29</v>
      </c>
      <c r="EZ36" s="2865">
        <f>SUM('ПОЛНАЯ СЕБЕСТОИМОСТЬ СТОКИ 2021'!BT152)</f>
        <v>480.29</v>
      </c>
      <c r="FA36" s="2865">
        <f>SUM('ПОЛНАЯ СЕБЕСТОИМОСТЬ СТОКИ 2021'!BU152)</f>
        <v>0</v>
      </c>
      <c r="FB36" s="2947">
        <f t="shared" ref="FB36:FB41" si="424">SUM(FC36:FD36)</f>
        <v>441.19</v>
      </c>
      <c r="FC36" s="2947">
        <v>441.19</v>
      </c>
      <c r="FD36" s="2947">
        <v>0</v>
      </c>
      <c r="FE36" s="2865">
        <f t="shared" ref="FE36:FE41" si="425">SUM(FF36:FG36)</f>
        <v>427.71833333333342</v>
      </c>
      <c r="FF36" s="2865">
        <f t="shared" ref="FF36:FF41" si="426">SUM(EW36)</f>
        <v>427.71833333333342</v>
      </c>
      <c r="FG36" s="2865">
        <f t="shared" ref="FG36:FG41" si="427">SUM(EX36)</f>
        <v>0</v>
      </c>
      <c r="FH36" s="2865">
        <f t="shared" ref="FH36:FH41" si="428">SUM(FI36:FJ36)</f>
        <v>480.08100000000002</v>
      </c>
      <c r="FI36" s="2865">
        <f>SUM('ПОЛНАЯ СЕБЕСТОИМОСТЬ СТОКИ 2021'!BW152)</f>
        <v>480.08100000000002</v>
      </c>
      <c r="FJ36" s="2865">
        <f>SUM('ПОЛНАЯ СЕБЕСТОИМОСТЬ СТОКИ 2021'!BX152)</f>
        <v>0</v>
      </c>
      <c r="FK36" s="2947">
        <f t="shared" ref="FK36:FK41" si="429">SUM(FL36:FM36)</f>
        <v>441.30399999999997</v>
      </c>
      <c r="FL36" s="2947">
        <v>441.30399999999997</v>
      </c>
      <c r="FM36" s="2947">
        <v>0</v>
      </c>
      <c r="FN36" s="3001">
        <f t="shared" si="374"/>
        <v>1283.1550000000002</v>
      </c>
      <c r="FO36" s="3001">
        <f t="shared" si="374"/>
        <v>1283.1550000000002</v>
      </c>
      <c r="FP36" s="3001">
        <f t="shared" si="374"/>
        <v>0</v>
      </c>
      <c r="FQ36" s="3001">
        <f t="shared" si="374"/>
        <v>1434.2510000000002</v>
      </c>
      <c r="FR36" s="3001">
        <f t="shared" si="374"/>
        <v>1434.2510000000002</v>
      </c>
      <c r="FS36" s="3001">
        <f t="shared" si="374"/>
        <v>0</v>
      </c>
      <c r="FT36" s="3001">
        <f t="shared" si="374"/>
        <v>1322.8240000000001</v>
      </c>
      <c r="FU36" s="3001">
        <f t="shared" si="374"/>
        <v>1322.8240000000001</v>
      </c>
      <c r="FV36" s="3001">
        <f t="shared" si="374"/>
        <v>0</v>
      </c>
      <c r="FW36" s="2954">
        <f t="shared" si="375"/>
        <v>151.096</v>
      </c>
      <c r="FX36" s="2954">
        <f t="shared" si="375"/>
        <v>151.096</v>
      </c>
      <c r="FY36" s="2954">
        <f t="shared" si="375"/>
        <v>0</v>
      </c>
      <c r="FZ36" s="3001">
        <f t="shared" si="376"/>
        <v>5132.6200000000008</v>
      </c>
      <c r="GA36" s="3001">
        <f t="shared" si="376"/>
        <v>5132.6200000000008</v>
      </c>
      <c r="GB36" s="3001">
        <f t="shared" si="376"/>
        <v>0</v>
      </c>
      <c r="GC36" s="3001">
        <f t="shared" si="376"/>
        <v>5490.75</v>
      </c>
      <c r="GD36" s="3001">
        <f t="shared" si="376"/>
        <v>5490.75</v>
      </c>
      <c r="GE36" s="3001">
        <f t="shared" si="376"/>
        <v>0</v>
      </c>
      <c r="GF36" s="3001">
        <f t="shared" si="376"/>
        <v>5268.6939999999995</v>
      </c>
      <c r="GG36" s="3001">
        <f t="shared" si="376"/>
        <v>5268.6939999999995</v>
      </c>
      <c r="GH36" s="3001">
        <f t="shared" si="376"/>
        <v>0</v>
      </c>
      <c r="GI36" s="2954">
        <f t="shared" si="377"/>
        <v>358.1299999999992</v>
      </c>
      <c r="GJ36" s="2954">
        <f t="shared" si="377"/>
        <v>358.1299999999992</v>
      </c>
      <c r="GK36" s="2954">
        <f t="shared" si="377"/>
        <v>0</v>
      </c>
      <c r="GM36" s="4234"/>
    </row>
    <row r="37" spans="1:195" ht="18.75" customHeight="1" x14ac:dyDescent="0.3">
      <c r="A37" s="2868" t="s">
        <v>3730</v>
      </c>
      <c r="B37" s="2865">
        <f t="shared" si="378"/>
        <v>0</v>
      </c>
      <c r="C37" s="2865">
        <f>SUM('ПОЛНАЯ СЕБЕСТОИМОСТЬ СТОКИ 2021'!C153)/3</f>
        <v>0</v>
      </c>
      <c r="D37" s="2865">
        <f>SUM('ПОЛНАЯ СЕБЕСТОИМОСТЬ СТОКИ 2021'!D153)/3</f>
        <v>0</v>
      </c>
      <c r="E37" s="2865">
        <f t="shared" si="379"/>
        <v>0</v>
      </c>
      <c r="F37" s="2865">
        <f>SUM('ПОЛНАЯ СЕБЕСТОИМОСТЬ СТОКИ 2021'!F153)</f>
        <v>0</v>
      </c>
      <c r="G37" s="2865">
        <f>SUM('ПОЛНАЯ СЕБЕСТОИМОСТЬ СТОКИ 2021'!G153)</f>
        <v>0</v>
      </c>
      <c r="H37" s="2947">
        <f t="shared" si="380"/>
        <v>0</v>
      </c>
      <c r="I37" s="2947">
        <v>0</v>
      </c>
      <c r="J37" s="2947">
        <v>0</v>
      </c>
      <c r="K37" s="2865">
        <f t="shared" si="381"/>
        <v>0</v>
      </c>
      <c r="L37" s="2865">
        <f t="shared" si="382"/>
        <v>0</v>
      </c>
      <c r="M37" s="2865">
        <f t="shared" si="383"/>
        <v>0</v>
      </c>
      <c r="N37" s="2865">
        <f t="shared" si="384"/>
        <v>0</v>
      </c>
      <c r="O37" s="2865">
        <f>SUM('ПОЛНАЯ СЕБЕСТОИМОСТЬ СТОКИ 2021'!I153)</f>
        <v>0</v>
      </c>
      <c r="P37" s="2865">
        <f>SUM('ПОЛНАЯ СЕБЕСТОИМОСТЬ СТОКИ 2021'!J153)</f>
        <v>0</v>
      </c>
      <c r="Q37" s="2947">
        <f t="shared" si="385"/>
        <v>0</v>
      </c>
      <c r="R37" s="2947">
        <v>0</v>
      </c>
      <c r="S37" s="2947">
        <v>0</v>
      </c>
      <c r="T37" s="2865">
        <f t="shared" si="386"/>
        <v>0</v>
      </c>
      <c r="U37" s="2865">
        <f t="shared" si="387"/>
        <v>0</v>
      </c>
      <c r="V37" s="2865">
        <f t="shared" si="388"/>
        <v>0</v>
      </c>
      <c r="W37" s="2865">
        <f t="shared" si="389"/>
        <v>0</v>
      </c>
      <c r="X37" s="2865">
        <f>SUM('ПОЛНАЯ СЕБЕСТОИМОСТЬ СТОКИ 2021'!L153)</f>
        <v>0</v>
      </c>
      <c r="Y37" s="2865">
        <f>SUM('ПОЛНАЯ СЕБЕСТОИМОСТЬ СТОКИ 2021'!M153)</f>
        <v>0</v>
      </c>
      <c r="Z37" s="2947">
        <f t="shared" si="390"/>
        <v>0</v>
      </c>
      <c r="AA37" s="2947">
        <v>0</v>
      </c>
      <c r="AB37" s="2947">
        <v>0</v>
      </c>
      <c r="AC37" s="3001">
        <f t="shared" si="364"/>
        <v>0</v>
      </c>
      <c r="AD37" s="3001">
        <f t="shared" si="364"/>
        <v>0</v>
      </c>
      <c r="AE37" s="3001">
        <f t="shared" si="364"/>
        <v>0</v>
      </c>
      <c r="AF37" s="3001">
        <f t="shared" si="364"/>
        <v>0</v>
      </c>
      <c r="AG37" s="3001">
        <f t="shared" si="364"/>
        <v>0</v>
      </c>
      <c r="AH37" s="3001">
        <f t="shared" si="364"/>
        <v>0</v>
      </c>
      <c r="AI37" s="3001">
        <f t="shared" si="364"/>
        <v>0</v>
      </c>
      <c r="AJ37" s="3001">
        <f t="shared" si="364"/>
        <v>0</v>
      </c>
      <c r="AK37" s="3001">
        <f t="shared" si="364"/>
        <v>0</v>
      </c>
      <c r="AL37" s="2954">
        <f t="shared" si="365"/>
        <v>0</v>
      </c>
      <c r="AM37" s="2954">
        <f t="shared" si="365"/>
        <v>0</v>
      </c>
      <c r="AN37" s="2954">
        <f t="shared" si="365"/>
        <v>0</v>
      </c>
      <c r="AO37" s="2865">
        <f t="shared" si="391"/>
        <v>0</v>
      </c>
      <c r="AP37" s="2865">
        <f>SUM('ПОЛНАЯ СЕБЕСТОИМОСТЬ СТОКИ 2021'!R153)/3</f>
        <v>0</v>
      </c>
      <c r="AQ37" s="2865">
        <f>SUM('ПОЛНАЯ СЕБЕСТОИМОСТЬ СТОКИ 2021'!S153)/3</f>
        <v>0</v>
      </c>
      <c r="AR37" s="2865">
        <f t="shared" si="392"/>
        <v>0</v>
      </c>
      <c r="AS37" s="2865">
        <f>SUM('ПОЛНАЯ СЕБЕСТОИМОСТЬ СТОКИ 2021'!U153)</f>
        <v>0</v>
      </c>
      <c r="AT37" s="2865">
        <f>SUM('ПОЛНАЯ СЕБЕСТОИМОСТЬ СТОКИ 2021'!V153)</f>
        <v>0</v>
      </c>
      <c r="AU37" s="2947">
        <f t="shared" si="393"/>
        <v>0</v>
      </c>
      <c r="AV37" s="2947">
        <v>0</v>
      </c>
      <c r="AW37" s="2947">
        <v>0</v>
      </c>
      <c r="AX37" s="2865">
        <f t="shared" si="394"/>
        <v>0</v>
      </c>
      <c r="AY37" s="2865">
        <f t="shared" si="395"/>
        <v>0</v>
      </c>
      <c r="AZ37" s="2865">
        <f t="shared" si="396"/>
        <v>0</v>
      </c>
      <c r="BA37" s="2946">
        <f t="shared" si="397"/>
        <v>6.26</v>
      </c>
      <c r="BB37" s="2946">
        <f>SUM('ПОЛНАЯ СЕБЕСТОИМОСТЬ СТОКИ 2021'!X153)</f>
        <v>6.26</v>
      </c>
      <c r="BC37" s="2946">
        <f>SUM('ПОЛНАЯ СЕБЕСТОИМОСТЬ СТОКИ 2021'!Y153)</f>
        <v>0</v>
      </c>
      <c r="BD37" s="2947">
        <f t="shared" si="398"/>
        <v>0</v>
      </c>
      <c r="BE37" s="2947">
        <v>0</v>
      </c>
      <c r="BF37" s="2947">
        <v>0</v>
      </c>
      <c r="BG37" s="2865">
        <f t="shared" si="399"/>
        <v>0</v>
      </c>
      <c r="BH37" s="2865">
        <f t="shared" si="400"/>
        <v>0</v>
      </c>
      <c r="BI37" s="2865">
        <f t="shared" si="401"/>
        <v>0</v>
      </c>
      <c r="BJ37" s="2865">
        <f t="shared" si="402"/>
        <v>6.2640000000000002</v>
      </c>
      <c r="BK37" s="2865">
        <f>SUM('ПОЛНАЯ СЕБЕСТОИМОСТЬ СТОКИ 2021'!AA153)</f>
        <v>6.2640000000000002</v>
      </c>
      <c r="BL37" s="2865">
        <f>SUM('ПОЛНАЯ СЕБЕСТОИМОСТЬ СТОКИ 2021'!AB153)</f>
        <v>0</v>
      </c>
      <c r="BM37" s="2947">
        <f t="shared" si="403"/>
        <v>0</v>
      </c>
      <c r="BN37" s="2947">
        <v>0</v>
      </c>
      <c r="BO37" s="2947">
        <v>0</v>
      </c>
      <c r="BP37" s="3001">
        <f t="shared" si="366"/>
        <v>0</v>
      </c>
      <c r="BQ37" s="3001">
        <f t="shared" si="366"/>
        <v>0</v>
      </c>
      <c r="BR37" s="3001">
        <f t="shared" si="366"/>
        <v>0</v>
      </c>
      <c r="BS37" s="3001">
        <f t="shared" si="366"/>
        <v>12.524000000000001</v>
      </c>
      <c r="BT37" s="3001">
        <f t="shared" si="366"/>
        <v>12.524000000000001</v>
      </c>
      <c r="BU37" s="3001">
        <f t="shared" si="366"/>
        <v>0</v>
      </c>
      <c r="BV37" s="3001">
        <f t="shared" si="366"/>
        <v>0</v>
      </c>
      <c r="BW37" s="3001">
        <f t="shared" si="366"/>
        <v>0</v>
      </c>
      <c r="BX37" s="3001">
        <f t="shared" si="366"/>
        <v>0</v>
      </c>
      <c r="BY37" s="2954">
        <f t="shared" si="367"/>
        <v>12.524000000000001</v>
      </c>
      <c r="BZ37" s="2954">
        <f t="shared" si="367"/>
        <v>12.524000000000001</v>
      </c>
      <c r="CA37" s="2954">
        <f t="shared" si="367"/>
        <v>0</v>
      </c>
      <c r="CB37" s="3001">
        <f t="shared" si="368"/>
        <v>0</v>
      </c>
      <c r="CC37" s="3001">
        <f t="shared" si="368"/>
        <v>0</v>
      </c>
      <c r="CD37" s="3001">
        <f t="shared" si="368"/>
        <v>0</v>
      </c>
      <c r="CE37" s="3001">
        <f t="shared" si="368"/>
        <v>12.524000000000001</v>
      </c>
      <c r="CF37" s="3001">
        <f t="shared" si="368"/>
        <v>12.524000000000001</v>
      </c>
      <c r="CG37" s="3001">
        <f t="shared" si="368"/>
        <v>0</v>
      </c>
      <c r="CH37" s="3028">
        <f t="shared" si="368"/>
        <v>0</v>
      </c>
      <c r="CI37" s="3028">
        <f t="shared" si="368"/>
        <v>0</v>
      </c>
      <c r="CJ37" s="3028">
        <f t="shared" si="368"/>
        <v>0</v>
      </c>
      <c r="CK37" s="2954">
        <f t="shared" si="369"/>
        <v>12.524000000000001</v>
      </c>
      <c r="CL37" s="2954">
        <f t="shared" si="369"/>
        <v>12.524000000000001</v>
      </c>
      <c r="CM37" s="2954">
        <f t="shared" si="369"/>
        <v>0</v>
      </c>
      <c r="CN37" s="2865">
        <f t="shared" si="404"/>
        <v>0</v>
      </c>
      <c r="CO37" s="2865">
        <f>SUM('ПОЛНАЯ СЕБЕСТОИМОСТЬ СТОКИ 2021'!AP153)/3</f>
        <v>0</v>
      </c>
      <c r="CP37" s="2865">
        <f>SUM('ПОЛНАЯ СЕБЕСТОИМОСТЬ СТОКИ 2021'!AQ153)/3</f>
        <v>0</v>
      </c>
      <c r="CQ37" s="2865">
        <f t="shared" si="405"/>
        <v>6.26</v>
      </c>
      <c r="CR37" s="2865">
        <f>SUM('ПОЛНАЯ СЕБЕСТОИМОСТЬ СТОКИ 2021'!AS153)</f>
        <v>6.26</v>
      </c>
      <c r="CS37" s="2865">
        <f>SUM('ПОЛНАЯ СЕБЕСТОИМОСТЬ СТОКИ 2021'!AT153)</f>
        <v>0</v>
      </c>
      <c r="CT37" s="2947">
        <f t="shared" si="406"/>
        <v>0</v>
      </c>
      <c r="CU37" s="2947">
        <v>0</v>
      </c>
      <c r="CV37" s="2947">
        <v>0</v>
      </c>
      <c r="CW37" s="2865">
        <f t="shared" si="407"/>
        <v>0</v>
      </c>
      <c r="CX37" s="2865">
        <f t="shared" si="408"/>
        <v>0</v>
      </c>
      <c r="CY37" s="2865">
        <f t="shared" si="409"/>
        <v>0</v>
      </c>
      <c r="CZ37" s="2865">
        <f t="shared" si="410"/>
        <v>6.2640000000000002</v>
      </c>
      <c r="DA37" s="2865">
        <f>SUM('ПОЛНАЯ СЕБЕСТОИМОСТЬ СТОКИ 2021'!AV153)</f>
        <v>6.2640000000000002</v>
      </c>
      <c r="DB37" s="2865">
        <f>SUM('ПОЛНАЯ СЕБЕСТОИМОСТЬ СТОКИ 2021'!AW153)</f>
        <v>0</v>
      </c>
      <c r="DC37" s="2947">
        <f t="shared" si="411"/>
        <v>0</v>
      </c>
      <c r="DD37" s="2947">
        <v>0</v>
      </c>
      <c r="DE37" s="2947">
        <v>0</v>
      </c>
      <c r="DF37" s="2865">
        <f t="shared" si="412"/>
        <v>0</v>
      </c>
      <c r="DG37" s="2865">
        <f t="shared" si="413"/>
        <v>0</v>
      </c>
      <c r="DH37" s="2865">
        <f t="shared" si="414"/>
        <v>0</v>
      </c>
      <c r="DI37" s="2865">
        <f t="shared" si="415"/>
        <v>6.2640000000000002</v>
      </c>
      <c r="DJ37" s="2865">
        <f>SUM('ПОЛНАЯ СЕБЕСТОИМОСТЬ СТОКИ 2021'!AY153)</f>
        <v>6.2640000000000002</v>
      </c>
      <c r="DK37" s="2865">
        <f>SUM('ПОЛНАЯ СЕБЕСТОИМОСТЬ СТОКИ 2021'!AZ153)</f>
        <v>0</v>
      </c>
      <c r="DL37" s="2947">
        <f t="shared" si="416"/>
        <v>0</v>
      </c>
      <c r="DM37" s="2947">
        <v>0</v>
      </c>
      <c r="DN37" s="2947">
        <v>0</v>
      </c>
      <c r="DO37" s="3001">
        <f t="shared" si="370"/>
        <v>0</v>
      </c>
      <c r="DP37" s="3001">
        <f t="shared" si="370"/>
        <v>0</v>
      </c>
      <c r="DQ37" s="3001">
        <f t="shared" si="370"/>
        <v>0</v>
      </c>
      <c r="DR37" s="3001">
        <f t="shared" si="370"/>
        <v>18.788</v>
      </c>
      <c r="DS37" s="3001">
        <f t="shared" si="370"/>
        <v>18.788</v>
      </c>
      <c r="DT37" s="3001">
        <f t="shared" si="370"/>
        <v>0</v>
      </c>
      <c r="DU37" s="3001">
        <f t="shared" si="370"/>
        <v>0</v>
      </c>
      <c r="DV37" s="3001">
        <f t="shared" si="370"/>
        <v>0</v>
      </c>
      <c r="DW37" s="3001">
        <f t="shared" si="370"/>
        <v>0</v>
      </c>
      <c r="DX37" s="2954">
        <f t="shared" si="371"/>
        <v>18.788</v>
      </c>
      <c r="DY37" s="2954">
        <f t="shared" si="371"/>
        <v>18.788</v>
      </c>
      <c r="DZ37" s="2954">
        <f t="shared" si="371"/>
        <v>0</v>
      </c>
      <c r="EA37" s="3001">
        <f t="shared" si="372"/>
        <v>0</v>
      </c>
      <c r="EB37" s="3001">
        <f t="shared" si="372"/>
        <v>0</v>
      </c>
      <c r="EC37" s="3001">
        <f t="shared" si="372"/>
        <v>0</v>
      </c>
      <c r="ED37" s="3001">
        <f t="shared" si="372"/>
        <v>31.312000000000001</v>
      </c>
      <c r="EE37" s="3001">
        <f t="shared" si="372"/>
        <v>31.312000000000001</v>
      </c>
      <c r="EF37" s="3001">
        <f t="shared" si="372"/>
        <v>0</v>
      </c>
      <c r="EG37" s="3001">
        <f t="shared" si="372"/>
        <v>0</v>
      </c>
      <c r="EH37" s="3001">
        <f t="shared" si="372"/>
        <v>0</v>
      </c>
      <c r="EI37" s="3001">
        <f t="shared" si="372"/>
        <v>0</v>
      </c>
      <c r="EJ37" s="2954">
        <f t="shared" si="373"/>
        <v>31.312000000000001</v>
      </c>
      <c r="EK37" s="2954">
        <f t="shared" si="373"/>
        <v>31.312000000000001</v>
      </c>
      <c r="EL37" s="2954">
        <f t="shared" si="373"/>
        <v>0</v>
      </c>
      <c r="EM37" s="2865">
        <f t="shared" si="417"/>
        <v>0</v>
      </c>
      <c r="EN37" s="2865">
        <f>SUM('ПОЛНАЯ СЕБЕСТОИМОСТЬ СТОКИ 2021'!BN153)/3</f>
        <v>0</v>
      </c>
      <c r="EO37" s="2865">
        <f>SUM('ПОЛНАЯ СЕБЕСТОИМОСТЬ СТОКИ 2021'!BO153)/3</f>
        <v>0</v>
      </c>
      <c r="EP37" s="2865">
        <f t="shared" si="418"/>
        <v>7.6539999999999999</v>
      </c>
      <c r="EQ37" s="2865">
        <f>SUM('ПОЛНАЯ СЕБЕСТОИМОСТЬ СТОКИ 2021'!BQ153)</f>
        <v>7.6539999999999999</v>
      </c>
      <c r="ER37" s="2865">
        <f>SUM('ПОЛНАЯ СЕБЕСТОИМОСТЬ СТОКИ 2021'!BR153)</f>
        <v>0</v>
      </c>
      <c r="ES37" s="2947">
        <f t="shared" si="419"/>
        <v>0</v>
      </c>
      <c r="ET37" s="2947">
        <v>0</v>
      </c>
      <c r="EU37" s="2947">
        <v>0</v>
      </c>
      <c r="EV37" s="2865">
        <f t="shared" si="420"/>
        <v>0</v>
      </c>
      <c r="EW37" s="2865">
        <f t="shared" si="421"/>
        <v>0</v>
      </c>
      <c r="EX37" s="2865">
        <f t="shared" si="422"/>
        <v>0</v>
      </c>
      <c r="EY37" s="2865">
        <f t="shared" si="423"/>
        <v>7.6539999999999999</v>
      </c>
      <c r="EZ37" s="2865">
        <f>SUM('ПОЛНАЯ СЕБЕСТОИМОСТЬ СТОКИ 2021'!BT153)</f>
        <v>7.6539999999999999</v>
      </c>
      <c r="FA37" s="2865">
        <f>SUM('ПОЛНАЯ СЕБЕСТОИМОСТЬ СТОКИ 2021'!BU153)</f>
        <v>0</v>
      </c>
      <c r="FB37" s="2947">
        <f t="shared" si="424"/>
        <v>0</v>
      </c>
      <c r="FC37" s="2947">
        <v>0</v>
      </c>
      <c r="FD37" s="2947">
        <v>0</v>
      </c>
      <c r="FE37" s="2865">
        <f t="shared" si="425"/>
        <v>0</v>
      </c>
      <c r="FF37" s="2865">
        <f t="shared" si="426"/>
        <v>0</v>
      </c>
      <c r="FG37" s="2865">
        <f t="shared" si="427"/>
        <v>0</v>
      </c>
      <c r="FH37" s="2865">
        <f t="shared" si="428"/>
        <v>7.6630000000000003</v>
      </c>
      <c r="FI37" s="2865">
        <f>SUM('ПОЛНАЯ СЕБЕСТОИМОСТЬ СТОКИ 2021'!BW153)</f>
        <v>7.6630000000000003</v>
      </c>
      <c r="FJ37" s="2865">
        <f>SUM('ПОЛНАЯ СЕБЕСТОИМОСТЬ СТОКИ 2021'!BX153)</f>
        <v>0</v>
      </c>
      <c r="FK37" s="2947">
        <f t="shared" si="429"/>
        <v>0</v>
      </c>
      <c r="FL37" s="2947">
        <v>0</v>
      </c>
      <c r="FM37" s="2947">
        <v>0</v>
      </c>
      <c r="FN37" s="3001">
        <f t="shared" si="374"/>
        <v>0</v>
      </c>
      <c r="FO37" s="3001">
        <f t="shared" si="374"/>
        <v>0</v>
      </c>
      <c r="FP37" s="3001">
        <f t="shared" si="374"/>
        <v>0</v>
      </c>
      <c r="FQ37" s="3001">
        <f t="shared" si="374"/>
        <v>22.971</v>
      </c>
      <c r="FR37" s="3001">
        <f t="shared" si="374"/>
        <v>22.971</v>
      </c>
      <c r="FS37" s="3001">
        <f t="shared" si="374"/>
        <v>0</v>
      </c>
      <c r="FT37" s="3001">
        <f t="shared" si="374"/>
        <v>0</v>
      </c>
      <c r="FU37" s="3001">
        <f t="shared" si="374"/>
        <v>0</v>
      </c>
      <c r="FV37" s="3001">
        <f t="shared" si="374"/>
        <v>0</v>
      </c>
      <c r="FW37" s="2954">
        <f t="shared" si="375"/>
        <v>22.971</v>
      </c>
      <c r="FX37" s="2954">
        <f t="shared" si="375"/>
        <v>22.971</v>
      </c>
      <c r="FY37" s="2954">
        <f t="shared" si="375"/>
        <v>0</v>
      </c>
      <c r="FZ37" s="3001">
        <f t="shared" si="376"/>
        <v>0</v>
      </c>
      <c r="GA37" s="3001">
        <f t="shared" si="376"/>
        <v>0</v>
      </c>
      <c r="GB37" s="3001">
        <f t="shared" si="376"/>
        <v>0</v>
      </c>
      <c r="GC37" s="3001">
        <f t="shared" si="376"/>
        <v>54.283000000000001</v>
      </c>
      <c r="GD37" s="3001">
        <f t="shared" si="376"/>
        <v>54.283000000000001</v>
      </c>
      <c r="GE37" s="3001">
        <f t="shared" si="376"/>
        <v>0</v>
      </c>
      <c r="GF37" s="3001">
        <f t="shared" si="376"/>
        <v>0</v>
      </c>
      <c r="GG37" s="3001">
        <f t="shared" si="376"/>
        <v>0</v>
      </c>
      <c r="GH37" s="3001">
        <f t="shared" si="376"/>
        <v>0</v>
      </c>
      <c r="GI37" s="2954">
        <f t="shared" si="377"/>
        <v>54.283000000000001</v>
      </c>
      <c r="GJ37" s="2954">
        <f t="shared" si="377"/>
        <v>54.283000000000001</v>
      </c>
      <c r="GK37" s="2954">
        <f t="shared" si="377"/>
        <v>0</v>
      </c>
      <c r="GM37" s="4234"/>
    </row>
    <row r="38" spans="1:195" ht="18.75" customHeight="1" x14ac:dyDescent="0.3">
      <c r="A38" s="2914" t="s">
        <v>8</v>
      </c>
      <c r="B38" s="2865">
        <f t="shared" si="378"/>
        <v>96.97726837846794</v>
      </c>
      <c r="C38" s="2865">
        <f>SUM('ПОЛНАЯ СЕБЕСТОИМОСТЬ СТОКИ 2021'!C154)/3</f>
        <v>96.97726837846794</v>
      </c>
      <c r="D38" s="2865">
        <f>SUM('ПОЛНАЯ СЕБЕСТОИМОСТЬ СТОКИ 2021'!D154)/3</f>
        <v>0</v>
      </c>
      <c r="E38" s="2865">
        <f t="shared" si="379"/>
        <v>86.11</v>
      </c>
      <c r="F38" s="2865">
        <f>SUM('ПОЛНАЯ СЕБЕСТОИМОСТЬ СТОКИ 2021'!F154)</f>
        <v>86.11</v>
      </c>
      <c r="G38" s="2865">
        <f>SUM('ПОЛНАЯ СЕБЕСТОИМОСТЬ СТОКИ 2021'!G154)</f>
        <v>0</v>
      </c>
      <c r="H38" s="2947">
        <f t="shared" si="380"/>
        <v>260.08</v>
      </c>
      <c r="I38" s="2947">
        <v>260.08</v>
      </c>
      <c r="J38" s="2947">
        <v>0</v>
      </c>
      <c r="K38" s="2865">
        <f t="shared" si="381"/>
        <v>96.97726837846794</v>
      </c>
      <c r="L38" s="2865">
        <f t="shared" si="382"/>
        <v>96.97726837846794</v>
      </c>
      <c r="M38" s="2865">
        <f t="shared" si="383"/>
        <v>0</v>
      </c>
      <c r="N38" s="2865">
        <f t="shared" si="384"/>
        <v>87.031999999999996</v>
      </c>
      <c r="O38" s="2865">
        <f>SUM('ПОЛНАЯ СЕБЕСТОИМОСТЬ СТОКИ 2021'!I154)</f>
        <v>87.031999999999996</v>
      </c>
      <c r="P38" s="2865">
        <f>SUM('ПОЛНАЯ СЕБЕСТОИМОСТЬ СТОКИ 2021'!J154)</f>
        <v>0</v>
      </c>
      <c r="Q38" s="2947">
        <f t="shared" si="385"/>
        <v>159.25</v>
      </c>
      <c r="R38" s="2947">
        <v>159.25</v>
      </c>
      <c r="S38" s="2947">
        <v>0</v>
      </c>
      <c r="T38" s="2865">
        <f t="shared" si="386"/>
        <v>96.97726837846794</v>
      </c>
      <c r="U38" s="2865">
        <f t="shared" si="387"/>
        <v>96.97726837846794</v>
      </c>
      <c r="V38" s="2865">
        <f t="shared" si="388"/>
        <v>0</v>
      </c>
      <c r="W38" s="2865">
        <f t="shared" si="389"/>
        <v>73.05</v>
      </c>
      <c r="X38" s="2865">
        <f>SUM('ПОЛНАЯ СЕБЕСТОИМОСТЬ СТОКИ 2021'!L154)</f>
        <v>73.05</v>
      </c>
      <c r="Y38" s="2865">
        <f>SUM('ПОЛНАЯ СЕБЕСТОИМОСТЬ СТОКИ 2021'!M154)</f>
        <v>0</v>
      </c>
      <c r="Z38" s="2947">
        <f t="shared" si="390"/>
        <v>103.33</v>
      </c>
      <c r="AA38" s="2947">
        <v>103.33</v>
      </c>
      <c r="AB38" s="2947">
        <v>0</v>
      </c>
      <c r="AC38" s="3001">
        <f t="shared" si="364"/>
        <v>290.93180513540381</v>
      </c>
      <c r="AD38" s="3001">
        <f t="shared" si="364"/>
        <v>290.93180513540381</v>
      </c>
      <c r="AE38" s="3001">
        <f t="shared" si="364"/>
        <v>0</v>
      </c>
      <c r="AF38" s="3001">
        <f t="shared" si="364"/>
        <v>246.19200000000001</v>
      </c>
      <c r="AG38" s="3001">
        <f t="shared" si="364"/>
        <v>246.19200000000001</v>
      </c>
      <c r="AH38" s="3001">
        <f t="shared" si="364"/>
        <v>0</v>
      </c>
      <c r="AI38" s="3001">
        <f t="shared" si="364"/>
        <v>522.66</v>
      </c>
      <c r="AJ38" s="3001">
        <f t="shared" si="364"/>
        <v>522.66</v>
      </c>
      <c r="AK38" s="3001">
        <f t="shared" si="364"/>
        <v>0</v>
      </c>
      <c r="AL38" s="2954">
        <f t="shared" si="365"/>
        <v>-44.739805135403799</v>
      </c>
      <c r="AM38" s="2954">
        <f t="shared" si="365"/>
        <v>-44.739805135403799</v>
      </c>
      <c r="AN38" s="2954">
        <f t="shared" si="365"/>
        <v>0</v>
      </c>
      <c r="AO38" s="2865">
        <f t="shared" si="391"/>
        <v>96.97726837846794</v>
      </c>
      <c r="AP38" s="2865">
        <f>SUM('ПОЛНАЯ СЕБЕСТОИМОСТЬ СТОКИ 2021'!R154)/3</f>
        <v>96.97726837846794</v>
      </c>
      <c r="AQ38" s="2865">
        <f>SUM('ПОЛНАЯ СЕБЕСТОИМОСТЬ СТОКИ 2021'!S154)/3</f>
        <v>0</v>
      </c>
      <c r="AR38" s="2865">
        <f t="shared" si="392"/>
        <v>77.150000000000006</v>
      </c>
      <c r="AS38" s="2865">
        <f>SUM('ПОЛНАЯ СЕБЕСТОИМОСТЬ СТОКИ 2021'!U154)</f>
        <v>77.150000000000006</v>
      </c>
      <c r="AT38" s="2865">
        <f>SUM('ПОЛНАЯ СЕБЕСТОИМОСТЬ СТОКИ 2021'!V154)</f>
        <v>0</v>
      </c>
      <c r="AU38" s="2947">
        <f t="shared" si="393"/>
        <v>107.35</v>
      </c>
      <c r="AV38" s="2947">
        <v>107.35</v>
      </c>
      <c r="AW38" s="2947">
        <v>0</v>
      </c>
      <c r="AX38" s="2865">
        <f t="shared" si="394"/>
        <v>96.97726837846794</v>
      </c>
      <c r="AY38" s="2865">
        <f t="shared" si="395"/>
        <v>96.97726837846794</v>
      </c>
      <c r="AZ38" s="2865">
        <f t="shared" si="396"/>
        <v>0</v>
      </c>
      <c r="BA38" s="2946">
        <f t="shared" si="397"/>
        <v>48.41</v>
      </c>
      <c r="BB38" s="2946">
        <f>SUM('ПОЛНАЯ СЕБЕСТОИМОСТЬ СТОКИ 2021'!X154)</f>
        <v>48.41</v>
      </c>
      <c r="BC38" s="2946">
        <f>SUM('ПОЛНАЯ СЕБЕСТОИМОСТЬ СТОКИ 2021'!Y154)</f>
        <v>0</v>
      </c>
      <c r="BD38" s="2947">
        <f t="shared" si="398"/>
        <v>168.87</v>
      </c>
      <c r="BE38" s="2947">
        <v>168.87</v>
      </c>
      <c r="BF38" s="2947">
        <v>0</v>
      </c>
      <c r="BG38" s="2865">
        <f t="shared" si="399"/>
        <v>96.97726837846794</v>
      </c>
      <c r="BH38" s="2865">
        <f t="shared" si="400"/>
        <v>96.97726837846794</v>
      </c>
      <c r="BI38" s="2865">
        <f t="shared" si="401"/>
        <v>0</v>
      </c>
      <c r="BJ38" s="2865">
        <f t="shared" si="402"/>
        <v>33.921999999999997</v>
      </c>
      <c r="BK38" s="2865">
        <f>SUM('ПОЛНАЯ СЕБЕСТОИМОСТЬ СТОКИ 2021'!AA154)</f>
        <v>33.921999999999997</v>
      </c>
      <c r="BL38" s="2865">
        <f>SUM('ПОЛНАЯ СЕБЕСТОИМОСТЬ СТОКИ 2021'!AB154)</f>
        <v>0</v>
      </c>
      <c r="BM38" s="2947">
        <f t="shared" si="403"/>
        <v>23.03</v>
      </c>
      <c r="BN38" s="2947">
        <v>23.03</v>
      </c>
      <c r="BO38" s="2947">
        <v>0</v>
      </c>
      <c r="BP38" s="3001">
        <f t="shared" si="366"/>
        <v>290.93180513540381</v>
      </c>
      <c r="BQ38" s="3001">
        <f t="shared" si="366"/>
        <v>290.93180513540381</v>
      </c>
      <c r="BR38" s="3001">
        <f t="shared" si="366"/>
        <v>0</v>
      </c>
      <c r="BS38" s="3001">
        <f t="shared" si="366"/>
        <v>159.482</v>
      </c>
      <c r="BT38" s="3001">
        <f t="shared" si="366"/>
        <v>159.482</v>
      </c>
      <c r="BU38" s="3001">
        <f t="shared" si="366"/>
        <v>0</v>
      </c>
      <c r="BV38" s="3001">
        <f t="shared" si="366"/>
        <v>299.25</v>
      </c>
      <c r="BW38" s="3001">
        <f t="shared" si="366"/>
        <v>299.25</v>
      </c>
      <c r="BX38" s="3001">
        <f t="shared" si="366"/>
        <v>0</v>
      </c>
      <c r="BY38" s="2954">
        <f t="shared" si="367"/>
        <v>-131.44980513540381</v>
      </c>
      <c r="BZ38" s="2954">
        <f t="shared" si="367"/>
        <v>-131.44980513540381</v>
      </c>
      <c r="CA38" s="2954">
        <f t="shared" si="367"/>
        <v>0</v>
      </c>
      <c r="CB38" s="3001">
        <f t="shared" si="368"/>
        <v>581.86361027080761</v>
      </c>
      <c r="CC38" s="3001">
        <f t="shared" si="368"/>
        <v>581.86361027080761</v>
      </c>
      <c r="CD38" s="3001">
        <f t="shared" si="368"/>
        <v>0</v>
      </c>
      <c r="CE38" s="3001">
        <f t="shared" si="368"/>
        <v>405.67399999999998</v>
      </c>
      <c r="CF38" s="3001">
        <f t="shared" si="368"/>
        <v>405.67399999999998</v>
      </c>
      <c r="CG38" s="3001">
        <f t="shared" si="368"/>
        <v>0</v>
      </c>
      <c r="CH38" s="3028">
        <f t="shared" si="368"/>
        <v>821.91</v>
      </c>
      <c r="CI38" s="3028">
        <f t="shared" si="368"/>
        <v>821.91</v>
      </c>
      <c r="CJ38" s="3028">
        <f t="shared" si="368"/>
        <v>0</v>
      </c>
      <c r="CK38" s="2954">
        <f t="shared" si="369"/>
        <v>-176.18961027080763</v>
      </c>
      <c r="CL38" s="2954">
        <f t="shared" si="369"/>
        <v>-176.18961027080763</v>
      </c>
      <c r="CM38" s="2954">
        <f t="shared" si="369"/>
        <v>0</v>
      </c>
      <c r="CN38" s="2865">
        <f t="shared" si="404"/>
        <v>96.97726837846794</v>
      </c>
      <c r="CO38" s="2865">
        <f>SUM('ПОЛНАЯ СЕБЕСТОИМОСТЬ СТОКИ 2021'!AP154)/3</f>
        <v>96.97726837846794</v>
      </c>
      <c r="CP38" s="2865">
        <f>SUM('ПОЛНАЯ СЕБЕСТОИМОСТЬ СТОКИ 2021'!AQ154)/3</f>
        <v>0</v>
      </c>
      <c r="CQ38" s="2865">
        <f t="shared" si="405"/>
        <v>68.400000000000006</v>
      </c>
      <c r="CR38" s="2865">
        <f>SUM('ПОЛНАЯ СЕБЕСТОИМОСТЬ СТОКИ 2021'!AS154)</f>
        <v>68.400000000000006</v>
      </c>
      <c r="CS38" s="2865">
        <f>SUM('ПОЛНАЯ СЕБЕСТОИМОСТЬ СТОКИ 2021'!AT154)</f>
        <v>0</v>
      </c>
      <c r="CT38" s="2947">
        <f t="shared" si="406"/>
        <v>0</v>
      </c>
      <c r="CU38" s="2947">
        <v>0</v>
      </c>
      <c r="CV38" s="2947">
        <v>0</v>
      </c>
      <c r="CW38" s="2865">
        <f t="shared" si="407"/>
        <v>96.97726837846794</v>
      </c>
      <c r="CX38" s="2865">
        <f t="shared" si="408"/>
        <v>96.97726837846794</v>
      </c>
      <c r="CY38" s="2865">
        <f t="shared" si="409"/>
        <v>0</v>
      </c>
      <c r="CZ38" s="2865">
        <f t="shared" si="410"/>
        <v>51.436</v>
      </c>
      <c r="DA38" s="2865">
        <f>SUM('ПОЛНАЯ СЕБЕСТОИМОСТЬ СТОКИ 2021'!AV154)</f>
        <v>51.436</v>
      </c>
      <c r="DB38" s="2865">
        <f>SUM('ПОЛНАЯ СЕБЕСТОИМОСТЬ СТОКИ 2021'!AW154)</f>
        <v>0</v>
      </c>
      <c r="DC38" s="2947">
        <f t="shared" si="411"/>
        <v>751.54</v>
      </c>
      <c r="DD38" s="2947">
        <v>751.54</v>
      </c>
      <c r="DE38" s="2947">
        <v>0</v>
      </c>
      <c r="DF38" s="2865">
        <f t="shared" si="412"/>
        <v>96.97726837846794</v>
      </c>
      <c r="DG38" s="2865">
        <f t="shared" si="413"/>
        <v>96.97726837846794</v>
      </c>
      <c r="DH38" s="2865">
        <f t="shared" si="414"/>
        <v>0</v>
      </c>
      <c r="DI38" s="2865">
        <f t="shared" si="415"/>
        <v>5.47</v>
      </c>
      <c r="DJ38" s="2865">
        <f>SUM('ПОЛНАЯ СЕБЕСТОИМОСТЬ СТОКИ 2021'!AY154)</f>
        <v>5.47</v>
      </c>
      <c r="DK38" s="2865">
        <f>SUM('ПОЛНАЯ СЕБЕСТОИМОСТЬ СТОКИ 2021'!AZ154)</f>
        <v>0</v>
      </c>
      <c r="DL38" s="2947">
        <f t="shared" si="416"/>
        <v>159.31</v>
      </c>
      <c r="DM38" s="2947">
        <v>159.31</v>
      </c>
      <c r="DN38" s="2947">
        <v>0</v>
      </c>
      <c r="DO38" s="3001">
        <f t="shared" si="370"/>
        <v>290.93180513540381</v>
      </c>
      <c r="DP38" s="3001">
        <f t="shared" si="370"/>
        <v>290.93180513540381</v>
      </c>
      <c r="DQ38" s="3001">
        <f t="shared" si="370"/>
        <v>0</v>
      </c>
      <c r="DR38" s="3001">
        <f t="shared" si="370"/>
        <v>125.30600000000001</v>
      </c>
      <c r="DS38" s="3001">
        <f t="shared" si="370"/>
        <v>125.30600000000001</v>
      </c>
      <c r="DT38" s="3001">
        <f t="shared" si="370"/>
        <v>0</v>
      </c>
      <c r="DU38" s="3001">
        <f t="shared" si="370"/>
        <v>910.84999999999991</v>
      </c>
      <c r="DV38" s="3001">
        <f t="shared" si="370"/>
        <v>910.84999999999991</v>
      </c>
      <c r="DW38" s="3001">
        <f t="shared" si="370"/>
        <v>0</v>
      </c>
      <c r="DX38" s="2954">
        <f t="shared" si="371"/>
        <v>-165.62580513540379</v>
      </c>
      <c r="DY38" s="2954">
        <f t="shared" si="371"/>
        <v>-165.62580513540379</v>
      </c>
      <c r="DZ38" s="2954">
        <f t="shared" si="371"/>
        <v>0</v>
      </c>
      <c r="EA38" s="3001">
        <f t="shared" si="372"/>
        <v>872.79541540621142</v>
      </c>
      <c r="EB38" s="3001">
        <f t="shared" si="372"/>
        <v>872.79541540621142</v>
      </c>
      <c r="EC38" s="3001">
        <f t="shared" si="372"/>
        <v>0</v>
      </c>
      <c r="ED38" s="3001">
        <f t="shared" si="372"/>
        <v>530.98</v>
      </c>
      <c r="EE38" s="3001">
        <f t="shared" si="372"/>
        <v>530.98</v>
      </c>
      <c r="EF38" s="3001">
        <f t="shared" si="372"/>
        <v>0</v>
      </c>
      <c r="EG38" s="3001">
        <f t="shared" si="372"/>
        <v>1732.7599999999998</v>
      </c>
      <c r="EH38" s="3001">
        <f t="shared" si="372"/>
        <v>1732.7599999999998</v>
      </c>
      <c r="EI38" s="3001">
        <f t="shared" si="372"/>
        <v>0</v>
      </c>
      <c r="EJ38" s="2954">
        <f t="shared" si="373"/>
        <v>-341.8154154062114</v>
      </c>
      <c r="EK38" s="2954">
        <f t="shared" si="373"/>
        <v>-341.8154154062114</v>
      </c>
      <c r="EL38" s="2954">
        <f t="shared" si="373"/>
        <v>0</v>
      </c>
      <c r="EM38" s="2865">
        <f t="shared" si="417"/>
        <v>96.97726837846794</v>
      </c>
      <c r="EN38" s="2865">
        <f>SUM('ПОЛНАЯ СЕБЕСТОИМОСТЬ СТОКИ 2021'!BN154)/3</f>
        <v>96.97726837846794</v>
      </c>
      <c r="EO38" s="2865">
        <f>SUM('ПОЛНАЯ СЕБЕСТОИМОСТЬ СТОКИ 2021'!BO154)/3</f>
        <v>0</v>
      </c>
      <c r="EP38" s="2865">
        <f t="shared" si="418"/>
        <v>5.47</v>
      </c>
      <c r="EQ38" s="2865">
        <f>SUM('ПОЛНАЯ СЕБЕСТОИМОСТЬ СТОКИ 2021'!BQ154)</f>
        <v>5.47</v>
      </c>
      <c r="ER38" s="2865">
        <f>SUM('ПОЛНАЯ СЕБЕСТОИМОСТЬ СТОКИ 2021'!BR154)</f>
        <v>0</v>
      </c>
      <c r="ES38" s="2947">
        <f t="shared" si="419"/>
        <v>113.07</v>
      </c>
      <c r="ET38" s="2947">
        <v>113.07</v>
      </c>
      <c r="EU38" s="2947">
        <v>0</v>
      </c>
      <c r="EV38" s="2865">
        <f t="shared" si="420"/>
        <v>96.97726837846794</v>
      </c>
      <c r="EW38" s="2865">
        <f t="shared" si="421"/>
        <v>96.97726837846794</v>
      </c>
      <c r="EX38" s="2865">
        <f t="shared" si="422"/>
        <v>0</v>
      </c>
      <c r="EY38" s="2865">
        <f t="shared" si="423"/>
        <v>9.1969999999999992</v>
      </c>
      <c r="EZ38" s="2865">
        <f>SUM('ПОЛНАЯ СЕБЕСТОИМОСТЬ СТОКИ 2021'!BT154)</f>
        <v>9.1969999999999992</v>
      </c>
      <c r="FA38" s="2865">
        <f>SUM('ПОЛНАЯ СЕБЕСТОИМОСТЬ СТОКИ 2021'!BU154)</f>
        <v>0</v>
      </c>
      <c r="FB38" s="2947">
        <f t="shared" si="424"/>
        <v>29.151</v>
      </c>
      <c r="FC38" s="2947">
        <v>29.151</v>
      </c>
      <c r="FD38" s="2947">
        <v>0</v>
      </c>
      <c r="FE38" s="2865">
        <f t="shared" si="425"/>
        <v>96.97726837846794</v>
      </c>
      <c r="FF38" s="2865">
        <f t="shared" si="426"/>
        <v>96.97726837846794</v>
      </c>
      <c r="FG38" s="2865">
        <f t="shared" si="427"/>
        <v>0</v>
      </c>
      <c r="FH38" s="2865">
        <f t="shared" si="428"/>
        <v>64.061999999999998</v>
      </c>
      <c r="FI38" s="2865">
        <f>SUM('ПОЛНАЯ СЕБЕСТОИМОСТЬ СТОКИ 2021'!BW154)</f>
        <v>64.061999999999998</v>
      </c>
      <c r="FJ38" s="2865">
        <f>SUM('ПОЛНАЯ СЕБЕСТОИМОСТЬ СТОКИ 2021'!BX154)</f>
        <v>0</v>
      </c>
      <c r="FK38" s="2947">
        <f t="shared" si="429"/>
        <v>33.454000000000001</v>
      </c>
      <c r="FL38" s="2947">
        <v>33.454000000000001</v>
      </c>
      <c r="FM38" s="2947">
        <v>0</v>
      </c>
      <c r="FN38" s="3001">
        <f t="shared" si="374"/>
        <v>290.93180513540381</v>
      </c>
      <c r="FO38" s="3001">
        <f t="shared" si="374"/>
        <v>290.93180513540381</v>
      </c>
      <c r="FP38" s="3001">
        <f t="shared" si="374"/>
        <v>0</v>
      </c>
      <c r="FQ38" s="3001">
        <f t="shared" si="374"/>
        <v>78.728999999999999</v>
      </c>
      <c r="FR38" s="3001">
        <f t="shared" si="374"/>
        <v>78.728999999999999</v>
      </c>
      <c r="FS38" s="3001">
        <f t="shared" si="374"/>
        <v>0</v>
      </c>
      <c r="FT38" s="3001">
        <f t="shared" si="374"/>
        <v>175.67500000000001</v>
      </c>
      <c r="FU38" s="3001">
        <f t="shared" si="374"/>
        <v>175.67500000000001</v>
      </c>
      <c r="FV38" s="3001">
        <f t="shared" si="374"/>
        <v>0</v>
      </c>
      <c r="FW38" s="2954">
        <f t="shared" si="375"/>
        <v>-212.20280513540382</v>
      </c>
      <c r="FX38" s="2954">
        <f t="shared" si="375"/>
        <v>-212.20280513540382</v>
      </c>
      <c r="FY38" s="2954">
        <f t="shared" si="375"/>
        <v>0</v>
      </c>
      <c r="FZ38" s="3001">
        <f t="shared" si="376"/>
        <v>1163.7272205416152</v>
      </c>
      <c r="GA38" s="3001">
        <f t="shared" si="376"/>
        <v>1163.7272205416152</v>
      </c>
      <c r="GB38" s="3001">
        <f t="shared" si="376"/>
        <v>0</v>
      </c>
      <c r="GC38" s="3001">
        <f t="shared" si="376"/>
        <v>609.70900000000006</v>
      </c>
      <c r="GD38" s="3001">
        <f t="shared" si="376"/>
        <v>609.70900000000006</v>
      </c>
      <c r="GE38" s="3001">
        <f t="shared" si="376"/>
        <v>0</v>
      </c>
      <c r="GF38" s="3001">
        <f t="shared" si="376"/>
        <v>1908.4349999999997</v>
      </c>
      <c r="GG38" s="3001">
        <f t="shared" si="376"/>
        <v>1908.4349999999997</v>
      </c>
      <c r="GH38" s="3001">
        <f t="shared" si="376"/>
        <v>0</v>
      </c>
      <c r="GI38" s="2954">
        <f t="shared" si="377"/>
        <v>-554.01822054161516</v>
      </c>
      <c r="GJ38" s="2954">
        <f t="shared" si="377"/>
        <v>-554.01822054161516</v>
      </c>
      <c r="GK38" s="2954">
        <f t="shared" si="377"/>
        <v>0</v>
      </c>
      <c r="GM38" s="4234"/>
    </row>
    <row r="39" spans="1:195" ht="18.75" customHeight="1" x14ac:dyDescent="0.3">
      <c r="A39" s="2914" t="s">
        <v>3</v>
      </c>
      <c r="B39" s="2865">
        <f t="shared" si="378"/>
        <v>155.42566437787249</v>
      </c>
      <c r="C39" s="2865">
        <f>SUM('ПОЛНАЯ СЕБЕСТОИМОСТЬ СТОКИ 2021'!C155)/3</f>
        <v>155.42566437787249</v>
      </c>
      <c r="D39" s="2865">
        <f>SUM('ПОЛНАЯ СЕБЕСТОИМОСТЬ СТОКИ 2021'!D155)/3</f>
        <v>0</v>
      </c>
      <c r="E39" s="2865">
        <f t="shared" si="379"/>
        <v>113.96</v>
      </c>
      <c r="F39" s="2865">
        <f>SUM('ПОЛНАЯ СЕБЕСТОИМОСТЬ СТОКИ 2021'!F155)</f>
        <v>113.96</v>
      </c>
      <c r="G39" s="2865">
        <f>SUM('ПОЛНАЯ СЕБЕСТОИМОСТЬ СТОКИ 2021'!G155)</f>
        <v>0</v>
      </c>
      <c r="H39" s="2947">
        <f t="shared" si="380"/>
        <v>346.81</v>
      </c>
      <c r="I39" s="2947">
        <v>346.81</v>
      </c>
      <c r="J39" s="2947">
        <v>0</v>
      </c>
      <c r="K39" s="2865">
        <f t="shared" si="381"/>
        <v>155.42566437787249</v>
      </c>
      <c r="L39" s="2865">
        <f t="shared" si="382"/>
        <v>155.42566437787249</v>
      </c>
      <c r="M39" s="2865">
        <f t="shared" si="383"/>
        <v>0</v>
      </c>
      <c r="N39" s="2865">
        <f t="shared" si="384"/>
        <v>114.41400000000002</v>
      </c>
      <c r="O39" s="2865">
        <f>SUM('ПОЛНАЯ СЕБЕСТОИМОСТЬ СТОКИ 2021'!I155)</f>
        <v>114.41400000000002</v>
      </c>
      <c r="P39" s="2865">
        <f>SUM('ПОЛНАЯ СЕБЕСТОИМОСТЬ СТОКИ 2021'!J155)</f>
        <v>0</v>
      </c>
      <c r="Q39" s="2947">
        <f t="shared" si="385"/>
        <v>70.97</v>
      </c>
      <c r="R39" s="2947">
        <v>70.97</v>
      </c>
      <c r="S39" s="2947">
        <v>0</v>
      </c>
      <c r="T39" s="2865">
        <f t="shared" si="386"/>
        <v>155.42566437787249</v>
      </c>
      <c r="U39" s="2865">
        <f t="shared" si="387"/>
        <v>155.42566437787249</v>
      </c>
      <c r="V39" s="2865">
        <f t="shared" si="388"/>
        <v>0</v>
      </c>
      <c r="W39" s="2865">
        <f t="shared" si="389"/>
        <v>121.881</v>
      </c>
      <c r="X39" s="2865">
        <f>SUM('ПОЛНАЯ СЕБЕСТОИМОСТЬ СТОКИ 2021'!L155)</f>
        <v>121.881</v>
      </c>
      <c r="Y39" s="2865">
        <f>SUM('ПОЛНАЯ СЕБЕСТОИМОСТЬ СТОКИ 2021'!M155)</f>
        <v>0</v>
      </c>
      <c r="Z39" s="2947">
        <f t="shared" si="390"/>
        <v>187.65</v>
      </c>
      <c r="AA39" s="2947">
        <v>187.65</v>
      </c>
      <c r="AB39" s="2947">
        <v>0</v>
      </c>
      <c r="AC39" s="3001">
        <f t="shared" si="364"/>
        <v>466.27699313361745</v>
      </c>
      <c r="AD39" s="3001">
        <f t="shared" si="364"/>
        <v>466.27699313361745</v>
      </c>
      <c r="AE39" s="3001">
        <f t="shared" si="364"/>
        <v>0</v>
      </c>
      <c r="AF39" s="3001">
        <f t="shared" si="364"/>
        <v>350.255</v>
      </c>
      <c r="AG39" s="3001">
        <f t="shared" si="364"/>
        <v>350.255</v>
      </c>
      <c r="AH39" s="3001">
        <f t="shared" si="364"/>
        <v>0</v>
      </c>
      <c r="AI39" s="3001">
        <f t="shared" si="364"/>
        <v>605.42999999999995</v>
      </c>
      <c r="AJ39" s="3001">
        <f t="shared" si="364"/>
        <v>605.42999999999995</v>
      </c>
      <c r="AK39" s="3001">
        <f t="shared" si="364"/>
        <v>0</v>
      </c>
      <c r="AL39" s="2954">
        <f t="shared" si="365"/>
        <v>-116.02199313361746</v>
      </c>
      <c r="AM39" s="2954">
        <f t="shared" si="365"/>
        <v>-116.02199313361746</v>
      </c>
      <c r="AN39" s="2954">
        <f t="shared" si="365"/>
        <v>0</v>
      </c>
      <c r="AO39" s="2865">
        <f t="shared" si="391"/>
        <v>155.42566437787249</v>
      </c>
      <c r="AP39" s="2865">
        <f>SUM('ПОЛНАЯ СЕБЕСТОИМОСТЬ СТОКИ 2021'!R155)/3</f>
        <v>155.42566437787249</v>
      </c>
      <c r="AQ39" s="2865">
        <f>SUM('ПОЛНАЯ СЕБЕСТОИМОСТЬ СТОКИ 2021'!S155)/3</f>
        <v>0</v>
      </c>
      <c r="AR39" s="2865">
        <f t="shared" si="392"/>
        <v>58.330000000000005</v>
      </c>
      <c r="AS39" s="2865">
        <f>SUM('ПОЛНАЯ СЕБЕСТОИМОСТЬ СТОКИ 2021'!U155)</f>
        <v>58.330000000000005</v>
      </c>
      <c r="AT39" s="2865">
        <f>SUM('ПОЛНАЯ СЕБЕСТОИМОСТЬ СТОКИ 2021'!V155)</f>
        <v>0</v>
      </c>
      <c r="AU39" s="2947">
        <f t="shared" si="393"/>
        <v>74.39</v>
      </c>
      <c r="AV39" s="2947">
        <v>74.39</v>
      </c>
      <c r="AW39" s="2947">
        <v>0</v>
      </c>
      <c r="AX39" s="2865">
        <f t="shared" si="394"/>
        <v>155.42566437787249</v>
      </c>
      <c r="AY39" s="2865">
        <f t="shared" si="395"/>
        <v>155.42566437787249</v>
      </c>
      <c r="AZ39" s="2865">
        <f t="shared" si="396"/>
        <v>0</v>
      </c>
      <c r="BA39" s="2946">
        <f t="shared" si="397"/>
        <v>233.82999999999998</v>
      </c>
      <c r="BB39" s="2946">
        <f>SUM('ПОЛНАЯ СЕБЕСТОИМОСТЬ СТОКИ 2021'!X155)</f>
        <v>233.82999999999998</v>
      </c>
      <c r="BC39" s="2946">
        <f>SUM('ПОЛНАЯ СЕБЕСТОИМОСТЬ СТОКИ 2021'!Y155)</f>
        <v>0</v>
      </c>
      <c r="BD39" s="2947">
        <f t="shared" si="398"/>
        <v>67.959999999999994</v>
      </c>
      <c r="BE39" s="2947">
        <v>67.959999999999994</v>
      </c>
      <c r="BF39" s="2947">
        <v>0</v>
      </c>
      <c r="BG39" s="2865">
        <f t="shared" si="399"/>
        <v>155.42566437787249</v>
      </c>
      <c r="BH39" s="2865">
        <f t="shared" si="400"/>
        <v>155.42566437787249</v>
      </c>
      <c r="BI39" s="2865">
        <f t="shared" si="401"/>
        <v>0</v>
      </c>
      <c r="BJ39" s="2865">
        <f t="shared" si="402"/>
        <v>410.971</v>
      </c>
      <c r="BK39" s="2865">
        <f>SUM('ПОЛНАЯ СЕБЕСТОИМОСТЬ СТОКИ 2021'!AA155)</f>
        <v>410.971</v>
      </c>
      <c r="BL39" s="2865">
        <f>SUM('ПОЛНАЯ СЕБЕСТОИМОСТЬ СТОКИ 2021'!AB155)</f>
        <v>0</v>
      </c>
      <c r="BM39" s="2947">
        <f t="shared" si="403"/>
        <v>114.23</v>
      </c>
      <c r="BN39" s="2947">
        <v>114.23</v>
      </c>
      <c r="BO39" s="2947">
        <v>0</v>
      </c>
      <c r="BP39" s="3001">
        <f t="shared" si="366"/>
        <v>466.27699313361745</v>
      </c>
      <c r="BQ39" s="3001">
        <f t="shared" si="366"/>
        <v>466.27699313361745</v>
      </c>
      <c r="BR39" s="3001">
        <f t="shared" si="366"/>
        <v>0</v>
      </c>
      <c r="BS39" s="3001">
        <f t="shared" si="366"/>
        <v>703.13099999999997</v>
      </c>
      <c r="BT39" s="3001">
        <f t="shared" si="366"/>
        <v>703.13099999999997</v>
      </c>
      <c r="BU39" s="3001">
        <f t="shared" si="366"/>
        <v>0</v>
      </c>
      <c r="BV39" s="3001">
        <f t="shared" si="366"/>
        <v>256.58</v>
      </c>
      <c r="BW39" s="3001">
        <f t="shared" si="366"/>
        <v>256.58</v>
      </c>
      <c r="BX39" s="3001">
        <f t="shared" si="366"/>
        <v>0</v>
      </c>
      <c r="BY39" s="2954">
        <f t="shared" si="367"/>
        <v>236.85400686638252</v>
      </c>
      <c r="BZ39" s="2954">
        <f t="shared" si="367"/>
        <v>236.85400686638252</v>
      </c>
      <c r="CA39" s="2954">
        <f t="shared" si="367"/>
        <v>0</v>
      </c>
      <c r="CB39" s="3001">
        <f t="shared" si="368"/>
        <v>932.5539862672349</v>
      </c>
      <c r="CC39" s="3001">
        <f t="shared" si="368"/>
        <v>932.5539862672349</v>
      </c>
      <c r="CD39" s="3001">
        <f t="shared" si="368"/>
        <v>0</v>
      </c>
      <c r="CE39" s="3001">
        <f t="shared" si="368"/>
        <v>1053.386</v>
      </c>
      <c r="CF39" s="3001">
        <f t="shared" si="368"/>
        <v>1053.386</v>
      </c>
      <c r="CG39" s="3001">
        <f t="shared" si="368"/>
        <v>0</v>
      </c>
      <c r="CH39" s="3028">
        <f t="shared" si="368"/>
        <v>862.01</v>
      </c>
      <c r="CI39" s="3028">
        <f t="shared" si="368"/>
        <v>862.01</v>
      </c>
      <c r="CJ39" s="3028">
        <f t="shared" si="368"/>
        <v>0</v>
      </c>
      <c r="CK39" s="2954">
        <f t="shared" si="369"/>
        <v>120.83201373276506</v>
      </c>
      <c r="CL39" s="2954">
        <f t="shared" si="369"/>
        <v>120.83201373276506</v>
      </c>
      <c r="CM39" s="2954">
        <f t="shared" si="369"/>
        <v>0</v>
      </c>
      <c r="CN39" s="2865">
        <f t="shared" si="404"/>
        <v>155.42566437787249</v>
      </c>
      <c r="CO39" s="2865">
        <f>SUM('ПОЛНАЯ СЕБЕСТОИМОСТЬ СТОКИ 2021'!AP155)/3</f>
        <v>155.42566437787249</v>
      </c>
      <c r="CP39" s="2865">
        <f>SUM('ПОЛНАЯ СЕБЕСТОИМОСТЬ СТОКИ 2021'!AQ155)/3</f>
        <v>0</v>
      </c>
      <c r="CQ39" s="2865">
        <f t="shared" si="405"/>
        <v>315.12</v>
      </c>
      <c r="CR39" s="2865">
        <f>SUM('ПОЛНАЯ СЕБЕСТОИМОСТЬ СТОКИ 2021'!AS155)</f>
        <v>315.12</v>
      </c>
      <c r="CS39" s="2865">
        <f>SUM('ПОЛНАЯ СЕБЕСТОИМОСТЬ СТОКИ 2021'!AT155)</f>
        <v>0</v>
      </c>
      <c r="CT39" s="2947">
        <f t="shared" si="406"/>
        <v>54.13</v>
      </c>
      <c r="CU39" s="2947">
        <v>54.13</v>
      </c>
      <c r="CV39" s="2947">
        <v>0</v>
      </c>
      <c r="CW39" s="2865">
        <f t="shared" si="407"/>
        <v>155.42566437787249</v>
      </c>
      <c r="CX39" s="2865">
        <f t="shared" si="408"/>
        <v>155.42566437787249</v>
      </c>
      <c r="CY39" s="2865">
        <f t="shared" si="409"/>
        <v>0</v>
      </c>
      <c r="CZ39" s="2865">
        <f t="shared" si="410"/>
        <v>1248.8119999999999</v>
      </c>
      <c r="DA39" s="2865">
        <f>SUM('ПОЛНАЯ СЕБЕСТОИМОСТЬ СТОКИ 2021'!AV155)</f>
        <v>1248.8119999999999</v>
      </c>
      <c r="DB39" s="2865">
        <f>SUM('ПОЛНАЯ СЕБЕСТОИМОСТЬ СТОКИ 2021'!AW155)</f>
        <v>0</v>
      </c>
      <c r="DC39" s="2947">
        <f t="shared" si="411"/>
        <v>137.94999999999999</v>
      </c>
      <c r="DD39" s="2947">
        <v>137.94999999999999</v>
      </c>
      <c r="DE39" s="2947">
        <v>0</v>
      </c>
      <c r="DF39" s="2865">
        <f t="shared" si="412"/>
        <v>155.42566437787249</v>
      </c>
      <c r="DG39" s="2865">
        <f t="shared" si="413"/>
        <v>155.42566437787249</v>
      </c>
      <c r="DH39" s="2865">
        <f t="shared" si="414"/>
        <v>0</v>
      </c>
      <c r="DI39" s="2865">
        <f t="shared" si="415"/>
        <v>181.363</v>
      </c>
      <c r="DJ39" s="2865">
        <f>SUM('ПОЛНАЯ СЕБЕСТОИМОСТЬ СТОКИ 2021'!AY155)</f>
        <v>181.363</v>
      </c>
      <c r="DK39" s="2865">
        <f>SUM('ПОЛНАЯ СЕБЕСТОИМОСТЬ СТОКИ 2021'!AZ155)</f>
        <v>0</v>
      </c>
      <c r="DL39" s="2947">
        <f t="shared" si="416"/>
        <v>300.61</v>
      </c>
      <c r="DM39" s="2947">
        <v>300.61</v>
      </c>
      <c r="DN39" s="2947">
        <v>0</v>
      </c>
      <c r="DO39" s="3001">
        <f t="shared" si="370"/>
        <v>466.27699313361745</v>
      </c>
      <c r="DP39" s="3001">
        <f t="shared" si="370"/>
        <v>466.27699313361745</v>
      </c>
      <c r="DQ39" s="3001">
        <f t="shared" si="370"/>
        <v>0</v>
      </c>
      <c r="DR39" s="3001">
        <f t="shared" si="370"/>
        <v>1745.2949999999998</v>
      </c>
      <c r="DS39" s="3001">
        <f t="shared" si="370"/>
        <v>1745.2949999999998</v>
      </c>
      <c r="DT39" s="3001">
        <f t="shared" si="370"/>
        <v>0</v>
      </c>
      <c r="DU39" s="3001">
        <f t="shared" si="370"/>
        <v>492.69</v>
      </c>
      <c r="DV39" s="3001">
        <f t="shared" si="370"/>
        <v>492.69</v>
      </c>
      <c r="DW39" s="3001">
        <f t="shared" si="370"/>
        <v>0</v>
      </c>
      <c r="DX39" s="2954">
        <f t="shared" si="371"/>
        <v>1279.0180068663824</v>
      </c>
      <c r="DY39" s="2954">
        <f t="shared" si="371"/>
        <v>1279.0180068663824</v>
      </c>
      <c r="DZ39" s="2954">
        <f t="shared" si="371"/>
        <v>0</v>
      </c>
      <c r="EA39" s="3001">
        <f t="shared" si="372"/>
        <v>1398.8309794008524</v>
      </c>
      <c r="EB39" s="3001">
        <f t="shared" si="372"/>
        <v>1398.8309794008524</v>
      </c>
      <c r="EC39" s="3001">
        <f t="shared" si="372"/>
        <v>0</v>
      </c>
      <c r="ED39" s="3001">
        <f t="shared" si="372"/>
        <v>2798.6809999999996</v>
      </c>
      <c r="EE39" s="3001">
        <f t="shared" si="372"/>
        <v>2798.6809999999996</v>
      </c>
      <c r="EF39" s="3001">
        <f t="shared" si="372"/>
        <v>0</v>
      </c>
      <c r="EG39" s="3001">
        <f t="shared" si="372"/>
        <v>1354.7</v>
      </c>
      <c r="EH39" s="3001">
        <f t="shared" si="372"/>
        <v>1354.7</v>
      </c>
      <c r="EI39" s="3001">
        <f t="shared" si="372"/>
        <v>0</v>
      </c>
      <c r="EJ39" s="2954">
        <f t="shared" si="373"/>
        <v>1399.8500205991472</v>
      </c>
      <c r="EK39" s="2954">
        <f t="shared" si="373"/>
        <v>1399.8500205991472</v>
      </c>
      <c r="EL39" s="2954">
        <f t="shared" si="373"/>
        <v>0</v>
      </c>
      <c r="EM39" s="2865">
        <f t="shared" si="417"/>
        <v>155.42566437787249</v>
      </c>
      <c r="EN39" s="2865">
        <f>SUM('ПОЛНАЯ СЕБЕСТОИМОСТЬ СТОКИ 2021'!BN155)/3</f>
        <v>155.42566437787249</v>
      </c>
      <c r="EO39" s="2865">
        <f>SUM('ПОЛНАЯ СЕБЕСТОИМОСТЬ СТОКИ 2021'!BO155)/3</f>
        <v>0</v>
      </c>
      <c r="EP39" s="2865">
        <f t="shared" si="418"/>
        <v>514.02199999999993</v>
      </c>
      <c r="EQ39" s="2865">
        <f>SUM('ПОЛНАЯ СЕБЕСТОИМОСТЬ СТОКИ 2021'!BQ155)</f>
        <v>514.02199999999993</v>
      </c>
      <c r="ER39" s="2865">
        <f>SUM('ПОЛНАЯ СЕБЕСТОИМОСТЬ СТОКИ 2021'!BR155)</f>
        <v>0</v>
      </c>
      <c r="ES39" s="2947">
        <f t="shared" si="419"/>
        <v>514.63</v>
      </c>
      <c r="ET39" s="2947">
        <v>514.63</v>
      </c>
      <c r="EU39" s="2947">
        <v>0</v>
      </c>
      <c r="EV39" s="2865">
        <f t="shared" si="420"/>
        <v>155.42566437787249</v>
      </c>
      <c r="EW39" s="2865">
        <f t="shared" si="421"/>
        <v>155.42566437787249</v>
      </c>
      <c r="EX39" s="2865">
        <f t="shared" si="422"/>
        <v>0</v>
      </c>
      <c r="EY39" s="2865">
        <f t="shared" si="423"/>
        <v>113.298</v>
      </c>
      <c r="EZ39" s="2865">
        <f>SUM('ПОЛНАЯ СЕБЕСТОИМОСТЬ СТОКИ 2021'!BT155)</f>
        <v>113.298</v>
      </c>
      <c r="FA39" s="2865">
        <f>SUM('ПОЛНАЯ СЕБЕСТОИМОСТЬ СТОКИ 2021'!BU155)</f>
        <v>0</v>
      </c>
      <c r="FB39" s="2947">
        <f t="shared" si="424"/>
        <v>260.74099999999999</v>
      </c>
      <c r="FC39" s="2947">
        <v>260.74099999999999</v>
      </c>
      <c r="FD39" s="2947">
        <v>0</v>
      </c>
      <c r="FE39" s="2865">
        <f t="shared" si="425"/>
        <v>155.42566437787249</v>
      </c>
      <c r="FF39" s="2865">
        <f t="shared" si="426"/>
        <v>155.42566437787249</v>
      </c>
      <c r="FG39" s="2865">
        <f t="shared" si="427"/>
        <v>0</v>
      </c>
      <c r="FH39" s="2865">
        <f t="shared" si="428"/>
        <v>189.49599999999998</v>
      </c>
      <c r="FI39" s="2865">
        <f>SUM('ПОЛНАЯ СЕБЕСТОИМОСТЬ СТОКИ 2021'!BW155)</f>
        <v>189.49599999999998</v>
      </c>
      <c r="FJ39" s="2865">
        <f>SUM('ПОЛНАЯ СЕБЕСТОИМОСТЬ СТОКИ 2021'!BX155)</f>
        <v>0</v>
      </c>
      <c r="FK39" s="2947">
        <f t="shared" si="429"/>
        <v>51.734000000000002</v>
      </c>
      <c r="FL39" s="2947">
        <v>51.734000000000002</v>
      </c>
      <c r="FM39" s="2947">
        <v>0</v>
      </c>
      <c r="FN39" s="3001">
        <f t="shared" si="374"/>
        <v>466.27699313361745</v>
      </c>
      <c r="FO39" s="3001">
        <f t="shared" si="374"/>
        <v>466.27699313361745</v>
      </c>
      <c r="FP39" s="3001">
        <f t="shared" si="374"/>
        <v>0</v>
      </c>
      <c r="FQ39" s="3001">
        <f t="shared" si="374"/>
        <v>816.81599999999992</v>
      </c>
      <c r="FR39" s="3001">
        <f t="shared" si="374"/>
        <v>816.81599999999992</v>
      </c>
      <c r="FS39" s="3001">
        <f t="shared" si="374"/>
        <v>0</v>
      </c>
      <c r="FT39" s="3001">
        <f t="shared" si="374"/>
        <v>827.10500000000002</v>
      </c>
      <c r="FU39" s="3001">
        <f t="shared" si="374"/>
        <v>827.10500000000002</v>
      </c>
      <c r="FV39" s="3001">
        <f t="shared" si="374"/>
        <v>0</v>
      </c>
      <c r="FW39" s="2954">
        <f t="shared" si="375"/>
        <v>350.53900686638246</v>
      </c>
      <c r="FX39" s="2954">
        <f t="shared" si="375"/>
        <v>350.53900686638246</v>
      </c>
      <c r="FY39" s="2954">
        <f t="shared" si="375"/>
        <v>0</v>
      </c>
      <c r="FZ39" s="3001">
        <f t="shared" si="376"/>
        <v>1865.1079725344698</v>
      </c>
      <c r="GA39" s="3001">
        <f t="shared" si="376"/>
        <v>1865.1079725344698</v>
      </c>
      <c r="GB39" s="3001">
        <f t="shared" si="376"/>
        <v>0</v>
      </c>
      <c r="GC39" s="3001">
        <f t="shared" si="376"/>
        <v>3615.4969999999994</v>
      </c>
      <c r="GD39" s="3001">
        <f t="shared" si="376"/>
        <v>3615.4969999999994</v>
      </c>
      <c r="GE39" s="3001">
        <f t="shared" si="376"/>
        <v>0</v>
      </c>
      <c r="GF39" s="3001">
        <f t="shared" si="376"/>
        <v>2181.8050000000003</v>
      </c>
      <c r="GG39" s="3001">
        <f t="shared" si="376"/>
        <v>2181.8050000000003</v>
      </c>
      <c r="GH39" s="3001">
        <f t="shared" si="376"/>
        <v>0</v>
      </c>
      <c r="GI39" s="2954">
        <f t="shared" si="377"/>
        <v>1750.3890274655296</v>
      </c>
      <c r="GJ39" s="2954">
        <f t="shared" si="377"/>
        <v>1750.3890274655296</v>
      </c>
      <c r="GK39" s="2954">
        <f t="shared" si="377"/>
        <v>0</v>
      </c>
      <c r="GM39" s="4234"/>
    </row>
    <row r="40" spans="1:195" ht="18.75" customHeight="1" x14ac:dyDescent="0.3">
      <c r="A40" s="2914" t="s">
        <v>4</v>
      </c>
      <c r="B40" s="2865">
        <f t="shared" si="378"/>
        <v>3293.1507310926218</v>
      </c>
      <c r="C40" s="2865">
        <f>SUM('ПОЛНАЯ СЕБЕСТОИМОСТЬ СТОКИ 2021'!C156)/3</f>
        <v>3282.7339716632378</v>
      </c>
      <c r="D40" s="2865">
        <f>SUM('ПОЛНАЯ СЕБЕСТОИМОСТЬ СТОКИ 2021'!D156)/3</f>
        <v>10.416759429383999</v>
      </c>
      <c r="E40" s="2865">
        <f t="shared" si="379"/>
        <v>2327.413</v>
      </c>
      <c r="F40" s="2865">
        <f>SUM('ПОЛНАЯ СЕБЕСТОИМОСТЬ СТОКИ 2021'!F156)</f>
        <v>2321.44</v>
      </c>
      <c r="G40" s="2865">
        <f>SUM('ПОЛНАЯ СЕБЕСТОИМОСТЬ СТОКИ 2021'!G156)</f>
        <v>5.9729999999999999</v>
      </c>
      <c r="H40" s="2947">
        <f t="shared" si="380"/>
        <v>2173.42</v>
      </c>
      <c r="I40" s="2947">
        <v>2166.88</v>
      </c>
      <c r="J40" s="2947">
        <v>6.54</v>
      </c>
      <c r="K40" s="2865">
        <f t="shared" si="381"/>
        <v>3293.1507310926218</v>
      </c>
      <c r="L40" s="2865">
        <f t="shared" si="382"/>
        <v>3282.7339716632378</v>
      </c>
      <c r="M40" s="2865">
        <f t="shared" si="383"/>
        <v>10.416759429383999</v>
      </c>
      <c r="N40" s="2865">
        <f t="shared" si="384"/>
        <v>2511.4499999999998</v>
      </c>
      <c r="O40" s="2865">
        <f>SUM('ПОЛНАЯ СЕБЕСТОИМОСТЬ СТОКИ 2021'!I156)</f>
        <v>2503.933</v>
      </c>
      <c r="P40" s="2865">
        <f>SUM('ПОЛНАЯ СЕБЕСТОИМОСТЬ СТОКИ 2021'!J156)</f>
        <v>7.5170000000000003</v>
      </c>
      <c r="Q40" s="2947">
        <f t="shared" si="385"/>
        <v>2240.2399999999998</v>
      </c>
      <c r="R40" s="2947">
        <v>2232.83</v>
      </c>
      <c r="S40" s="2947">
        <v>7.41</v>
      </c>
      <c r="T40" s="2865">
        <f t="shared" si="386"/>
        <v>3293.1507310926218</v>
      </c>
      <c r="U40" s="2865">
        <f t="shared" si="387"/>
        <v>3282.7339716632378</v>
      </c>
      <c r="V40" s="2865">
        <f t="shared" si="388"/>
        <v>10.416759429383999</v>
      </c>
      <c r="W40" s="2865">
        <f t="shared" si="389"/>
        <v>2806.82834</v>
      </c>
      <c r="X40" s="2865">
        <f>SUM('ПОЛНАЯ СЕБЕСТОИМОСТЬ СТОКИ 2021'!L156)</f>
        <v>2796.9180000000001</v>
      </c>
      <c r="Y40" s="2865">
        <f>SUM('ПОЛНАЯ СЕБЕСТОИМОСТЬ СТОКИ 2021'!M156)</f>
        <v>9.9103399999999997</v>
      </c>
      <c r="Z40" s="2947">
        <f t="shared" si="390"/>
        <v>2705.71</v>
      </c>
      <c r="AA40" s="2947">
        <v>2697.52</v>
      </c>
      <c r="AB40" s="2947">
        <v>8.19</v>
      </c>
      <c r="AC40" s="3001">
        <f t="shared" si="364"/>
        <v>9879.4521932778662</v>
      </c>
      <c r="AD40" s="3001">
        <f t="shared" si="364"/>
        <v>9848.2019149897133</v>
      </c>
      <c r="AE40" s="3001">
        <f t="shared" si="364"/>
        <v>31.250278288151996</v>
      </c>
      <c r="AF40" s="3001">
        <f t="shared" si="364"/>
        <v>7645.6913399999994</v>
      </c>
      <c r="AG40" s="3001">
        <f t="shared" si="364"/>
        <v>7622.2909999999993</v>
      </c>
      <c r="AH40" s="3001">
        <f t="shared" si="364"/>
        <v>23.40034</v>
      </c>
      <c r="AI40" s="3001">
        <f t="shared" si="364"/>
        <v>7119.37</v>
      </c>
      <c r="AJ40" s="3001">
        <f t="shared" si="364"/>
        <v>7097.23</v>
      </c>
      <c r="AK40" s="3001">
        <f t="shared" si="364"/>
        <v>22.14</v>
      </c>
      <c r="AL40" s="2954">
        <f t="shared" si="365"/>
        <v>-2233.7608532778668</v>
      </c>
      <c r="AM40" s="2954">
        <f t="shared" si="365"/>
        <v>-2225.910914989714</v>
      </c>
      <c r="AN40" s="2954">
        <f t="shared" si="365"/>
        <v>-7.8499382881519963</v>
      </c>
      <c r="AO40" s="2865">
        <f t="shared" si="391"/>
        <v>3293.1507310926218</v>
      </c>
      <c r="AP40" s="2865">
        <f>SUM('ПОЛНАЯ СЕБЕСТОИМОСТЬ СТОКИ 2021'!R156)/3</f>
        <v>3282.7339716632378</v>
      </c>
      <c r="AQ40" s="2865">
        <f>SUM('ПОЛНАЯ СЕБЕСТОИМОСТЬ СТОКИ 2021'!S156)/3</f>
        <v>10.416759429383999</v>
      </c>
      <c r="AR40" s="2865">
        <f t="shared" si="392"/>
        <v>2988.33</v>
      </c>
      <c r="AS40" s="2865">
        <f>SUM('ПОЛНАЯ СЕБЕСТОИМОСТЬ СТОКИ 2021'!U156)</f>
        <v>2978.72</v>
      </c>
      <c r="AT40" s="2865">
        <f>SUM('ПОЛНАЯ СЕБЕСТОИМОСТЬ СТОКИ 2021'!V156)</f>
        <v>9.61</v>
      </c>
      <c r="AU40" s="2947">
        <f t="shared" si="393"/>
        <v>2659.28</v>
      </c>
      <c r="AV40" s="2947">
        <v>2650.61</v>
      </c>
      <c r="AW40" s="2947">
        <v>8.67</v>
      </c>
      <c r="AX40" s="2865">
        <f t="shared" si="394"/>
        <v>3293.1507310926218</v>
      </c>
      <c r="AY40" s="2865">
        <f t="shared" si="395"/>
        <v>3282.7339716632378</v>
      </c>
      <c r="AZ40" s="2865">
        <f t="shared" si="396"/>
        <v>10.416759429383999</v>
      </c>
      <c r="BA40" s="2946">
        <f t="shared" si="397"/>
        <v>2633.8399999999997</v>
      </c>
      <c r="BB40" s="2946">
        <f>SUM('ПОЛНАЯ СЕБЕСТОИМОСТЬ СТОКИ 2021'!X156)</f>
        <v>2625.1</v>
      </c>
      <c r="BC40" s="2946">
        <f>SUM('ПОЛНАЯ СЕБЕСТОИМОСТЬ СТОКИ 2021'!Y156)</f>
        <v>8.74</v>
      </c>
      <c r="BD40" s="2947">
        <f t="shared" si="398"/>
        <v>2303.1219999999998</v>
      </c>
      <c r="BE40" s="2947">
        <v>2295.9299999999998</v>
      </c>
      <c r="BF40" s="2947">
        <v>7.1920000000000002</v>
      </c>
      <c r="BG40" s="2865">
        <f t="shared" si="399"/>
        <v>3293.1507310926218</v>
      </c>
      <c r="BH40" s="2865">
        <f t="shared" si="400"/>
        <v>3282.7339716632378</v>
      </c>
      <c r="BI40" s="2865">
        <f t="shared" si="401"/>
        <v>10.416759429383999</v>
      </c>
      <c r="BJ40" s="2865">
        <f t="shared" si="402"/>
        <v>2601.8890000000001</v>
      </c>
      <c r="BK40" s="2865">
        <f>SUM('ПОЛНАЯ СЕБЕСТОИМОСТЬ СТОКИ 2021'!AA156)</f>
        <v>2598.326</v>
      </c>
      <c r="BL40" s="2865">
        <f>SUM('ПОЛНАЯ СЕБЕСТОИМОСТЬ СТОКИ 2021'!AB156)</f>
        <v>3.5630000000000002</v>
      </c>
      <c r="BM40" s="2947">
        <f t="shared" si="403"/>
        <v>2699.21</v>
      </c>
      <c r="BN40" s="2947">
        <v>2686.64</v>
      </c>
      <c r="BO40" s="2947">
        <v>12.57</v>
      </c>
      <c r="BP40" s="3001">
        <f t="shared" si="366"/>
        <v>9879.4521932778662</v>
      </c>
      <c r="BQ40" s="3001">
        <f t="shared" si="366"/>
        <v>9848.2019149897133</v>
      </c>
      <c r="BR40" s="3001">
        <f t="shared" si="366"/>
        <v>31.250278288151996</v>
      </c>
      <c r="BS40" s="3001">
        <f t="shared" si="366"/>
        <v>8224.0590000000011</v>
      </c>
      <c r="BT40" s="3001">
        <f t="shared" si="366"/>
        <v>8202.1460000000006</v>
      </c>
      <c r="BU40" s="3001">
        <f t="shared" si="366"/>
        <v>21.913</v>
      </c>
      <c r="BV40" s="3001">
        <f t="shared" si="366"/>
        <v>7661.6120000000001</v>
      </c>
      <c r="BW40" s="3001">
        <f t="shared" si="366"/>
        <v>7633.18</v>
      </c>
      <c r="BX40" s="3001">
        <f t="shared" si="366"/>
        <v>28.432000000000002</v>
      </c>
      <c r="BY40" s="2954">
        <f t="shared" si="367"/>
        <v>-1655.3931932778651</v>
      </c>
      <c r="BZ40" s="2954">
        <f t="shared" si="367"/>
        <v>-1646.0559149897126</v>
      </c>
      <c r="CA40" s="2954">
        <f t="shared" si="367"/>
        <v>-9.337278288151996</v>
      </c>
      <c r="CB40" s="3001">
        <f t="shared" si="368"/>
        <v>19758.904386555732</v>
      </c>
      <c r="CC40" s="3001">
        <f t="shared" si="368"/>
        <v>19696.403829979427</v>
      </c>
      <c r="CD40" s="3001">
        <f t="shared" si="368"/>
        <v>62.500556576303993</v>
      </c>
      <c r="CE40" s="3001">
        <f t="shared" si="368"/>
        <v>15869.750340000001</v>
      </c>
      <c r="CF40" s="3001">
        <f t="shared" si="368"/>
        <v>15824.437</v>
      </c>
      <c r="CG40" s="3001">
        <f t="shared" si="368"/>
        <v>45.313339999999997</v>
      </c>
      <c r="CH40" s="3028">
        <f t="shared" si="368"/>
        <v>14780.982</v>
      </c>
      <c r="CI40" s="3028">
        <f t="shared" si="368"/>
        <v>14730.41</v>
      </c>
      <c r="CJ40" s="3028">
        <f t="shared" si="368"/>
        <v>50.572000000000003</v>
      </c>
      <c r="CK40" s="2954">
        <f t="shared" si="369"/>
        <v>-3889.1540465557318</v>
      </c>
      <c r="CL40" s="2954">
        <f t="shared" si="369"/>
        <v>-3871.9668299794266</v>
      </c>
      <c r="CM40" s="2954">
        <f t="shared" si="369"/>
        <v>-17.187216576303996</v>
      </c>
      <c r="CN40" s="2865">
        <f t="shared" si="404"/>
        <v>3293.1507310926218</v>
      </c>
      <c r="CO40" s="2865">
        <f>SUM('ПОЛНАЯ СЕБЕСТОИМОСТЬ СТОКИ 2021'!AP156)/3</f>
        <v>3282.7339716632378</v>
      </c>
      <c r="CP40" s="2865">
        <f>SUM('ПОЛНАЯ СЕБЕСТОИМОСТЬ СТОКИ 2021'!AQ156)/3</f>
        <v>10.416759429383999</v>
      </c>
      <c r="CQ40" s="2865">
        <f t="shared" si="405"/>
        <v>2895.6579999999999</v>
      </c>
      <c r="CR40" s="2865">
        <f>SUM('ПОЛНАЯ СЕБЕСТОИМОСТЬ СТОКИ 2021'!AS156)</f>
        <v>2887.64</v>
      </c>
      <c r="CS40" s="2865">
        <f>SUM('ПОЛНАЯ СЕБЕСТОИМОСТЬ СТОКИ 2021'!AT156)</f>
        <v>8.0180000000000007</v>
      </c>
      <c r="CT40" s="2947">
        <f t="shared" si="406"/>
        <v>2441.3900000000003</v>
      </c>
      <c r="CU40" s="2947">
        <v>2426.7800000000002</v>
      </c>
      <c r="CV40" s="2947">
        <v>14.61</v>
      </c>
      <c r="CW40" s="2865">
        <f t="shared" si="407"/>
        <v>3293.1507310926218</v>
      </c>
      <c r="CX40" s="2865">
        <f t="shared" si="408"/>
        <v>3282.7339716632378</v>
      </c>
      <c r="CY40" s="2865">
        <f t="shared" si="409"/>
        <v>10.416759429383999</v>
      </c>
      <c r="CZ40" s="2865">
        <f t="shared" si="410"/>
        <v>2794.3330000000001</v>
      </c>
      <c r="DA40" s="2865">
        <f>SUM('ПОЛНАЯ СЕБЕСТОИМОСТЬ СТОКИ 2021'!AV156)</f>
        <v>2785.3740000000003</v>
      </c>
      <c r="DB40" s="2865">
        <f>SUM('ПОЛНАЯ СЕБЕСТОИМОСТЬ СТОКИ 2021'!AW156)</f>
        <v>8.9589999999999996</v>
      </c>
      <c r="DC40" s="2947">
        <f t="shared" si="411"/>
        <v>2409.3200000000002</v>
      </c>
      <c r="DD40" s="2947">
        <v>2409.3200000000002</v>
      </c>
      <c r="DE40" s="2947">
        <v>0</v>
      </c>
      <c r="DF40" s="2865">
        <f t="shared" si="412"/>
        <v>3293.1507310926218</v>
      </c>
      <c r="DG40" s="2865">
        <f t="shared" si="413"/>
        <v>3282.7339716632378</v>
      </c>
      <c r="DH40" s="2865">
        <f t="shared" si="414"/>
        <v>10.416759429383999</v>
      </c>
      <c r="DI40" s="2865">
        <f t="shared" si="415"/>
        <v>2890.4539999999997</v>
      </c>
      <c r="DJ40" s="2865">
        <f>SUM('ПОЛНАЯ СЕБЕСТОИМОСТЬ СТОКИ 2021'!AY156)</f>
        <v>2881.4949999999999</v>
      </c>
      <c r="DK40" s="2865">
        <f>SUM('ПОЛНАЯ СЕБЕСТОИМОСТЬ СТОКИ 2021'!AZ156)</f>
        <v>8.9589999999999996</v>
      </c>
      <c r="DL40" s="2947">
        <f t="shared" si="416"/>
        <v>2532.62</v>
      </c>
      <c r="DM40" s="2947">
        <v>2523.4</v>
      </c>
      <c r="DN40" s="2947">
        <v>9.2200000000000006</v>
      </c>
      <c r="DO40" s="3001">
        <f t="shared" si="370"/>
        <v>9879.4521932778662</v>
      </c>
      <c r="DP40" s="3001">
        <f t="shared" si="370"/>
        <v>9848.2019149897133</v>
      </c>
      <c r="DQ40" s="3001">
        <f t="shared" si="370"/>
        <v>31.250278288151996</v>
      </c>
      <c r="DR40" s="3001">
        <f t="shared" si="370"/>
        <v>8580.4449999999997</v>
      </c>
      <c r="DS40" s="3001">
        <f t="shared" si="370"/>
        <v>8554.509</v>
      </c>
      <c r="DT40" s="3001">
        <f t="shared" si="370"/>
        <v>25.936</v>
      </c>
      <c r="DU40" s="3001">
        <f t="shared" si="370"/>
        <v>7383.3300000000008</v>
      </c>
      <c r="DV40" s="3001">
        <f t="shared" si="370"/>
        <v>7359.5</v>
      </c>
      <c r="DW40" s="3001">
        <f t="shared" si="370"/>
        <v>23.83</v>
      </c>
      <c r="DX40" s="2954">
        <f t="shared" si="371"/>
        <v>-1299.0071932778665</v>
      </c>
      <c r="DY40" s="2954">
        <f t="shared" si="371"/>
        <v>-1293.6929149897132</v>
      </c>
      <c r="DZ40" s="2954">
        <f t="shared" si="371"/>
        <v>-5.3142782881519963</v>
      </c>
      <c r="EA40" s="3001">
        <f t="shared" si="372"/>
        <v>29638.356579833599</v>
      </c>
      <c r="EB40" s="3001">
        <f t="shared" si="372"/>
        <v>29544.60574496914</v>
      </c>
      <c r="EC40" s="3001">
        <f t="shared" si="372"/>
        <v>93.750834864455982</v>
      </c>
      <c r="ED40" s="3001">
        <f t="shared" si="372"/>
        <v>24450.195339999998</v>
      </c>
      <c r="EE40" s="3001">
        <f t="shared" si="372"/>
        <v>24378.946</v>
      </c>
      <c r="EF40" s="3001">
        <f t="shared" si="372"/>
        <v>71.249339999999989</v>
      </c>
      <c r="EG40" s="3001">
        <f t="shared" si="372"/>
        <v>22164.312000000002</v>
      </c>
      <c r="EH40" s="3001">
        <f t="shared" si="372"/>
        <v>22089.91</v>
      </c>
      <c r="EI40" s="3001">
        <f t="shared" si="372"/>
        <v>74.402000000000001</v>
      </c>
      <c r="EJ40" s="2954">
        <f t="shared" si="373"/>
        <v>-5188.1612398336001</v>
      </c>
      <c r="EK40" s="2954">
        <f t="shared" si="373"/>
        <v>-5165.6597449691399</v>
      </c>
      <c r="EL40" s="2954">
        <f t="shared" si="373"/>
        <v>-22.501494864455992</v>
      </c>
      <c r="EM40" s="2865">
        <f t="shared" si="417"/>
        <v>3293.1507310926218</v>
      </c>
      <c r="EN40" s="2865">
        <f>SUM('ПОЛНАЯ СЕБЕСТОИМОСТЬ СТОКИ 2021'!BN156)/3</f>
        <v>3282.7339716632378</v>
      </c>
      <c r="EO40" s="2865">
        <f>SUM('ПОЛНАЯ СЕБЕСТОИМОСТЬ СТОКИ 2021'!BO156)/3</f>
        <v>10.416759429383999</v>
      </c>
      <c r="EP40" s="2865">
        <f t="shared" si="418"/>
        <v>2548.7129999999997</v>
      </c>
      <c r="EQ40" s="2865">
        <f>SUM('ПОЛНАЯ СЕБЕСТОИМОСТЬ СТОКИ 2021'!BQ156)</f>
        <v>2539.8179999999998</v>
      </c>
      <c r="ER40" s="2865">
        <f>SUM('ПОЛНАЯ СЕБЕСТОИМОСТЬ СТОКИ 2021'!BR156)</f>
        <v>8.8949999999999996</v>
      </c>
      <c r="ES40" s="2947">
        <f t="shared" si="419"/>
        <v>2489.64</v>
      </c>
      <c r="ET40" s="2947">
        <v>2481.06</v>
      </c>
      <c r="EU40" s="2947">
        <v>8.58</v>
      </c>
      <c r="EV40" s="2865">
        <f t="shared" si="420"/>
        <v>3293.1507310926218</v>
      </c>
      <c r="EW40" s="2865">
        <f t="shared" si="421"/>
        <v>3282.7339716632378</v>
      </c>
      <c r="EX40" s="2865">
        <f t="shared" si="422"/>
        <v>10.416759429383999</v>
      </c>
      <c r="EY40" s="2865">
        <f t="shared" si="423"/>
        <v>2627.5030000000002</v>
      </c>
      <c r="EZ40" s="2865">
        <f>SUM('ПОЛНАЯ СЕБЕСТОИМОСТЬ СТОКИ 2021'!BT156)</f>
        <v>2619.203</v>
      </c>
      <c r="FA40" s="2865">
        <f>SUM('ПОЛНАЯ СЕБЕСТОИМОСТЬ СТОКИ 2021'!BU156)</f>
        <v>8.3000000000000007</v>
      </c>
      <c r="FB40" s="2947">
        <f t="shared" si="424"/>
        <v>2186.9900000000002</v>
      </c>
      <c r="FC40" s="2947">
        <v>2179.0700000000002</v>
      </c>
      <c r="FD40" s="2947">
        <v>7.92</v>
      </c>
      <c r="FE40" s="2865">
        <f t="shared" si="425"/>
        <v>3293.1507310926218</v>
      </c>
      <c r="FF40" s="2865">
        <f t="shared" si="426"/>
        <v>3282.7339716632378</v>
      </c>
      <c r="FG40" s="2865">
        <f t="shared" si="427"/>
        <v>10.416759429383999</v>
      </c>
      <c r="FH40" s="2865">
        <f t="shared" si="428"/>
        <v>3589.7040000000002</v>
      </c>
      <c r="FI40" s="2865">
        <f>SUM('ПОЛНАЯ СЕБЕСТОИМОСТЬ СТОКИ 2021'!BW156)</f>
        <v>3580.5160000000001</v>
      </c>
      <c r="FJ40" s="2865">
        <f>SUM('ПОЛНАЯ СЕБЕСТОИМОСТЬ СТОКИ 2021'!BX156)</f>
        <v>9.1880000000000006</v>
      </c>
      <c r="FK40" s="2947">
        <f t="shared" si="429"/>
        <v>2738.64</v>
      </c>
      <c r="FL40" s="2947">
        <v>2728.16</v>
      </c>
      <c r="FM40" s="2947">
        <v>10.48</v>
      </c>
      <c r="FN40" s="3001">
        <f t="shared" si="374"/>
        <v>9879.4521932778662</v>
      </c>
      <c r="FO40" s="3001">
        <f t="shared" si="374"/>
        <v>9848.2019149897133</v>
      </c>
      <c r="FP40" s="3001">
        <f t="shared" si="374"/>
        <v>31.250278288151996</v>
      </c>
      <c r="FQ40" s="3001">
        <f t="shared" si="374"/>
        <v>8765.92</v>
      </c>
      <c r="FR40" s="3001">
        <f t="shared" si="374"/>
        <v>8739.5370000000003</v>
      </c>
      <c r="FS40" s="3001">
        <f t="shared" si="374"/>
        <v>26.383000000000003</v>
      </c>
      <c r="FT40" s="3001">
        <f t="shared" si="374"/>
        <v>7415.27</v>
      </c>
      <c r="FU40" s="3001">
        <f t="shared" si="374"/>
        <v>7388.29</v>
      </c>
      <c r="FV40" s="3001">
        <f t="shared" si="374"/>
        <v>26.98</v>
      </c>
      <c r="FW40" s="2954">
        <f t="shared" si="375"/>
        <v>-1113.5321932778661</v>
      </c>
      <c r="FX40" s="2954">
        <f t="shared" si="375"/>
        <v>-1108.664914989713</v>
      </c>
      <c r="FY40" s="2954">
        <f t="shared" si="375"/>
        <v>-4.8672782881519936</v>
      </c>
      <c r="FZ40" s="3001">
        <f t="shared" si="376"/>
        <v>39517.808773111465</v>
      </c>
      <c r="GA40" s="3001">
        <f t="shared" si="376"/>
        <v>39392.807659958853</v>
      </c>
      <c r="GB40" s="3001">
        <f t="shared" si="376"/>
        <v>125.00111315260799</v>
      </c>
      <c r="GC40" s="3001">
        <f t="shared" si="376"/>
        <v>33216.115339999997</v>
      </c>
      <c r="GD40" s="3001">
        <f t="shared" si="376"/>
        <v>33118.483</v>
      </c>
      <c r="GE40" s="3001">
        <f t="shared" si="376"/>
        <v>97.632339999999999</v>
      </c>
      <c r="GF40" s="3001">
        <f t="shared" si="376"/>
        <v>29579.582000000002</v>
      </c>
      <c r="GG40" s="3001">
        <f t="shared" si="376"/>
        <v>29478.2</v>
      </c>
      <c r="GH40" s="3001">
        <f t="shared" si="376"/>
        <v>101.38200000000001</v>
      </c>
      <c r="GI40" s="2954">
        <f t="shared" si="377"/>
        <v>-6301.693433111468</v>
      </c>
      <c r="GJ40" s="2954">
        <f t="shared" si="377"/>
        <v>-6274.3246599588529</v>
      </c>
      <c r="GK40" s="2954">
        <f t="shared" si="377"/>
        <v>-27.368773152607986</v>
      </c>
      <c r="GM40" s="4234"/>
    </row>
    <row r="41" spans="1:195" ht="18.75" customHeight="1" x14ac:dyDescent="0.3">
      <c r="A41" s="2914" t="s">
        <v>114</v>
      </c>
      <c r="B41" s="2865">
        <f t="shared" si="378"/>
        <v>992.23978988037243</v>
      </c>
      <c r="C41" s="2865">
        <f>SUM('ПОЛНАЯ СЕБЕСТОИМОСТЬ СТОКИ 2021'!C157)/3</f>
        <v>989.10127366951895</v>
      </c>
      <c r="D41" s="2865">
        <f>SUM('ПОЛНАЯ СЕБЕСТОИМОСТЬ СТОКИ 2021'!D157)/3</f>
        <v>3.1385162108534597</v>
      </c>
      <c r="E41" s="2865">
        <f t="shared" si="379"/>
        <v>701.27399999999989</v>
      </c>
      <c r="F41" s="2865">
        <f>SUM('ПОЛНАЯ СЕБЕСТОИМОСТЬ СТОКИ 2021'!F157)</f>
        <v>699.46999999999991</v>
      </c>
      <c r="G41" s="2865">
        <f>SUM('ПОЛНАЯ СЕБЕСТОИМОСТЬ СТОКИ 2021'!G157)</f>
        <v>1.804</v>
      </c>
      <c r="H41" s="2947">
        <f t="shared" si="380"/>
        <v>656.31919400000004</v>
      </c>
      <c r="I41" s="2947">
        <v>654.35</v>
      </c>
      <c r="J41" s="2947">
        <v>1.9691940000000001</v>
      </c>
      <c r="K41" s="2865">
        <f t="shared" si="381"/>
        <v>992.23978988037243</v>
      </c>
      <c r="L41" s="2865">
        <f t="shared" si="382"/>
        <v>989.10127366951895</v>
      </c>
      <c r="M41" s="2865">
        <f t="shared" si="383"/>
        <v>3.1385162108534597</v>
      </c>
      <c r="N41" s="2865">
        <f t="shared" si="384"/>
        <v>757.44699999999989</v>
      </c>
      <c r="O41" s="2865">
        <f>SUM('ПОЛНАЯ СЕБЕСТОИМОСТЬ СТОКИ 2021'!I157)</f>
        <v>755.17699999999991</v>
      </c>
      <c r="P41" s="2865">
        <f>SUM('ПОЛНАЯ СЕБЕСТОИМОСТЬ СТОКИ 2021'!J157)</f>
        <v>2.27</v>
      </c>
      <c r="Q41" s="2947">
        <f t="shared" si="385"/>
        <v>674.42782000000011</v>
      </c>
      <c r="R41" s="2947">
        <v>672.19</v>
      </c>
      <c r="S41" s="2947">
        <v>2.2378200000000001</v>
      </c>
      <c r="T41" s="2865">
        <f t="shared" si="386"/>
        <v>992.23978988037243</v>
      </c>
      <c r="U41" s="2865">
        <f t="shared" si="387"/>
        <v>989.10127366951895</v>
      </c>
      <c r="V41" s="2865">
        <f t="shared" si="388"/>
        <v>3.1385162108534597</v>
      </c>
      <c r="W41" s="2865">
        <f t="shared" si="389"/>
        <v>843.59</v>
      </c>
      <c r="X41" s="2865">
        <f>SUM('ПОЛНАЯ СЕБЕСТОИМОСТЬ СТОКИ 2021'!L157)</f>
        <v>840.59699999999998</v>
      </c>
      <c r="Y41" s="2865">
        <f>SUM('ПОЛНАЯ СЕБЕСТОИМОСТЬ СТОКИ 2021'!M157)</f>
        <v>2.9929999999999999</v>
      </c>
      <c r="Z41" s="2947">
        <f t="shared" si="390"/>
        <v>812.32</v>
      </c>
      <c r="AA41" s="2947">
        <v>809.85</v>
      </c>
      <c r="AB41" s="2947">
        <v>2.4700000000000002</v>
      </c>
      <c r="AC41" s="3001">
        <f t="shared" si="364"/>
        <v>2976.7193696411173</v>
      </c>
      <c r="AD41" s="3001">
        <f t="shared" si="364"/>
        <v>2967.303821008557</v>
      </c>
      <c r="AE41" s="3001">
        <f t="shared" si="364"/>
        <v>9.4155486325603786</v>
      </c>
      <c r="AF41" s="3001">
        <f t="shared" si="364"/>
        <v>2302.3109999999997</v>
      </c>
      <c r="AG41" s="3001">
        <f t="shared" si="364"/>
        <v>2295.2439999999997</v>
      </c>
      <c r="AH41" s="3001">
        <f t="shared" si="364"/>
        <v>7.0670000000000002</v>
      </c>
      <c r="AI41" s="3001">
        <f t="shared" si="364"/>
        <v>2143.0670140000002</v>
      </c>
      <c r="AJ41" s="3001">
        <f t="shared" si="364"/>
        <v>2136.39</v>
      </c>
      <c r="AK41" s="3001">
        <f t="shared" si="364"/>
        <v>6.6770139999999998</v>
      </c>
      <c r="AL41" s="2954">
        <f t="shared" si="365"/>
        <v>-674.40836964111759</v>
      </c>
      <c r="AM41" s="2954">
        <f t="shared" si="365"/>
        <v>-672.05982100855726</v>
      </c>
      <c r="AN41" s="2954">
        <f t="shared" si="365"/>
        <v>-2.3485486325603784</v>
      </c>
      <c r="AO41" s="2865">
        <f t="shared" si="391"/>
        <v>992.23978988037243</v>
      </c>
      <c r="AP41" s="2865">
        <f>SUM('ПОЛНАЯ СЕБЕСТОИМОСТЬ СТОКИ 2021'!R157)/3</f>
        <v>989.10127366951895</v>
      </c>
      <c r="AQ41" s="2865">
        <f>SUM('ПОЛНАЯ СЕБЕСТОИМОСТЬ СТОКИ 2021'!S157)/3</f>
        <v>3.1385162108534597</v>
      </c>
      <c r="AR41" s="2865">
        <f t="shared" si="392"/>
        <v>895.18999999999994</v>
      </c>
      <c r="AS41" s="2865">
        <f>SUM('ПОЛНАЯ СЕБЕСТОИМОСТЬ СТОКИ 2021'!U157)</f>
        <v>892.28</v>
      </c>
      <c r="AT41" s="2865">
        <f>SUM('ПОЛНАЯ СЕБЕСТОИМОСТЬ СТОКИ 2021'!V157)</f>
        <v>2.91</v>
      </c>
      <c r="AU41" s="2947">
        <f t="shared" si="393"/>
        <v>802.38</v>
      </c>
      <c r="AV41" s="2947">
        <v>799.76</v>
      </c>
      <c r="AW41" s="2947">
        <v>2.62</v>
      </c>
      <c r="AX41" s="2865">
        <f t="shared" si="394"/>
        <v>992.23978988037243</v>
      </c>
      <c r="AY41" s="2865">
        <f t="shared" si="395"/>
        <v>989.10127366951895</v>
      </c>
      <c r="AZ41" s="2865">
        <f t="shared" si="396"/>
        <v>3.1385162108534597</v>
      </c>
      <c r="BA41" s="2946">
        <f t="shared" si="397"/>
        <v>793.48800000000006</v>
      </c>
      <c r="BB41" s="2946">
        <f>SUM('ПОЛНАЯ СЕБЕСТОИМОСТЬ СТОКИ 2021'!X157)</f>
        <v>790.85</v>
      </c>
      <c r="BC41" s="2946">
        <f>SUM('ПОЛНАЯ СЕБЕСТОИМОСТЬ СТОКИ 2021'!Y157)</f>
        <v>2.6379999999999999</v>
      </c>
      <c r="BD41" s="2947">
        <f t="shared" si="398"/>
        <v>693.97199999999998</v>
      </c>
      <c r="BE41" s="2947">
        <v>691.8</v>
      </c>
      <c r="BF41" s="2947">
        <v>2.1720000000000002</v>
      </c>
      <c r="BG41" s="2865">
        <f t="shared" si="399"/>
        <v>992.23978988037243</v>
      </c>
      <c r="BH41" s="2865">
        <f t="shared" si="400"/>
        <v>989.10127366951895</v>
      </c>
      <c r="BI41" s="2865">
        <f t="shared" si="401"/>
        <v>3.1385162108534597</v>
      </c>
      <c r="BJ41" s="2865">
        <f t="shared" si="402"/>
        <v>786.41200000000003</v>
      </c>
      <c r="BK41" s="2865">
        <f>SUM('ПОЛНАЯ СЕБЕСТОИМОСТЬ СТОКИ 2021'!AA157)</f>
        <v>785.33600000000001</v>
      </c>
      <c r="BL41" s="2865">
        <f>SUM('ПОЛНАЯ СЕБЕСТОИМОСТЬ СТОКИ 2021'!AB157)</f>
        <v>1.0760000000000001</v>
      </c>
      <c r="BM41" s="2947">
        <f t="shared" si="403"/>
        <v>817.88</v>
      </c>
      <c r="BN41" s="2947">
        <v>814.08</v>
      </c>
      <c r="BO41" s="2947">
        <v>3.8</v>
      </c>
      <c r="BP41" s="3001">
        <f t="shared" si="366"/>
        <v>2976.7193696411173</v>
      </c>
      <c r="BQ41" s="3001">
        <f t="shared" si="366"/>
        <v>2967.303821008557</v>
      </c>
      <c r="BR41" s="3001">
        <f t="shared" si="366"/>
        <v>9.4155486325603786</v>
      </c>
      <c r="BS41" s="3001">
        <f t="shared" si="366"/>
        <v>2475.09</v>
      </c>
      <c r="BT41" s="3001">
        <f t="shared" si="366"/>
        <v>2468.4660000000003</v>
      </c>
      <c r="BU41" s="3001">
        <f t="shared" si="366"/>
        <v>6.6240000000000006</v>
      </c>
      <c r="BV41" s="3001">
        <f t="shared" si="366"/>
        <v>2314.232</v>
      </c>
      <c r="BW41" s="3001">
        <f t="shared" si="366"/>
        <v>2305.64</v>
      </c>
      <c r="BX41" s="3001">
        <f t="shared" si="366"/>
        <v>8.5919999999999987</v>
      </c>
      <c r="BY41" s="2954">
        <f t="shared" si="367"/>
        <v>-501.62936964111714</v>
      </c>
      <c r="BZ41" s="2954">
        <f t="shared" si="367"/>
        <v>-498.8378210085566</v>
      </c>
      <c r="CA41" s="2954">
        <f t="shared" si="367"/>
        <v>-2.791548632560378</v>
      </c>
      <c r="CB41" s="3001">
        <f t="shared" si="368"/>
        <v>5953.4387392822346</v>
      </c>
      <c r="CC41" s="3001">
        <f t="shared" si="368"/>
        <v>5934.6076420171139</v>
      </c>
      <c r="CD41" s="3001">
        <f t="shared" si="368"/>
        <v>18.831097265120757</v>
      </c>
      <c r="CE41" s="3001">
        <f t="shared" si="368"/>
        <v>4777.4009999999998</v>
      </c>
      <c r="CF41" s="3001">
        <f t="shared" si="368"/>
        <v>4763.71</v>
      </c>
      <c r="CG41" s="3001">
        <f t="shared" si="368"/>
        <v>13.691000000000001</v>
      </c>
      <c r="CH41" s="3028">
        <f t="shared" si="368"/>
        <v>4457.2990140000002</v>
      </c>
      <c r="CI41" s="3028">
        <f t="shared" si="368"/>
        <v>4442.03</v>
      </c>
      <c r="CJ41" s="3028">
        <f t="shared" si="368"/>
        <v>15.269013999999999</v>
      </c>
      <c r="CK41" s="2954">
        <f t="shared" si="369"/>
        <v>-1176.0377392822347</v>
      </c>
      <c r="CL41" s="2954">
        <f t="shared" si="369"/>
        <v>-1170.8976420171139</v>
      </c>
      <c r="CM41" s="2954">
        <f t="shared" si="369"/>
        <v>-5.1400972651207564</v>
      </c>
      <c r="CN41" s="2865">
        <f t="shared" si="404"/>
        <v>992.23978988037243</v>
      </c>
      <c r="CO41" s="2865">
        <f>SUM('ПОЛНАЯ СЕБЕСТОИМОСТЬ СТОКИ 2021'!AP157)/3</f>
        <v>989.10127366951895</v>
      </c>
      <c r="CP41" s="2865">
        <f>SUM('ПОЛНАЯ СЕБЕСТОИМОСТЬ СТОКИ 2021'!AQ157)/3</f>
        <v>3.1385162108534597</v>
      </c>
      <c r="CQ41" s="2865">
        <f t="shared" si="405"/>
        <v>870.63099999999997</v>
      </c>
      <c r="CR41" s="2865">
        <f>SUM('ПОЛНАЯ СЕБЕСТОИМОСТЬ СТОКИ 2021'!AS157)</f>
        <v>868.20999999999992</v>
      </c>
      <c r="CS41" s="2865">
        <f>SUM('ПОЛНАЯ СЕБЕСТОИМОСТЬ СТОКИ 2021'!AT157)</f>
        <v>2.4209999999999998</v>
      </c>
      <c r="CT41" s="2947">
        <f t="shared" si="406"/>
        <v>733.32999999999993</v>
      </c>
      <c r="CU41" s="2947">
        <v>728.92</v>
      </c>
      <c r="CV41" s="2947">
        <v>4.41</v>
      </c>
      <c r="CW41" s="2865">
        <f t="shared" si="407"/>
        <v>992.23978988037243</v>
      </c>
      <c r="CX41" s="2865">
        <f t="shared" si="408"/>
        <v>989.10127366951895</v>
      </c>
      <c r="CY41" s="2865">
        <f t="shared" si="409"/>
        <v>3.1385162108534597</v>
      </c>
      <c r="CZ41" s="2865">
        <f t="shared" si="410"/>
        <v>845.14800000000002</v>
      </c>
      <c r="DA41" s="2865">
        <f>SUM('ПОЛНАЯ СЕБЕСТОИМОСТЬ СТОКИ 2021'!AV157)</f>
        <v>842.44200000000001</v>
      </c>
      <c r="DB41" s="2865">
        <f>SUM('ПОЛНАЯ СЕБЕСТОИМОСТЬ СТОКИ 2021'!AW157)</f>
        <v>2.706</v>
      </c>
      <c r="DC41" s="2947">
        <f t="shared" si="411"/>
        <v>725.89</v>
      </c>
      <c r="DD41" s="2947">
        <v>725.89</v>
      </c>
      <c r="DE41" s="2947">
        <v>0</v>
      </c>
      <c r="DF41" s="2865">
        <f t="shared" si="412"/>
        <v>992.23978988037243</v>
      </c>
      <c r="DG41" s="2865">
        <f t="shared" si="413"/>
        <v>989.10127366951895</v>
      </c>
      <c r="DH41" s="2865">
        <f t="shared" si="414"/>
        <v>3.1385162108534597</v>
      </c>
      <c r="DI41" s="2865">
        <f t="shared" si="415"/>
        <v>866.22500000000002</v>
      </c>
      <c r="DJ41" s="2865">
        <f>SUM('ПОЛНАЯ СЕБЕСТОИМОСТЬ СТОКИ 2021'!AY157)</f>
        <v>863.51900000000001</v>
      </c>
      <c r="DK41" s="2865">
        <f>SUM('ПОЛНАЯ СЕБЕСТОИМОСТЬ СТОКИ 2021'!AZ157)</f>
        <v>2.706</v>
      </c>
      <c r="DL41" s="2947">
        <f t="shared" si="416"/>
        <v>541.29999999999995</v>
      </c>
      <c r="DM41" s="2947">
        <v>538.51</v>
      </c>
      <c r="DN41" s="2947">
        <v>2.79</v>
      </c>
      <c r="DO41" s="3001">
        <f t="shared" si="370"/>
        <v>2976.7193696411173</v>
      </c>
      <c r="DP41" s="3001">
        <f t="shared" si="370"/>
        <v>2967.303821008557</v>
      </c>
      <c r="DQ41" s="3001">
        <f t="shared" si="370"/>
        <v>9.4155486325603786</v>
      </c>
      <c r="DR41" s="3001">
        <f t="shared" si="370"/>
        <v>2582.0039999999999</v>
      </c>
      <c r="DS41" s="3001">
        <f t="shared" si="370"/>
        <v>2574.1710000000003</v>
      </c>
      <c r="DT41" s="3001">
        <f t="shared" si="370"/>
        <v>7.8330000000000002</v>
      </c>
      <c r="DU41" s="3001">
        <f t="shared" si="370"/>
        <v>2000.5199999999998</v>
      </c>
      <c r="DV41" s="3001">
        <f t="shared" si="370"/>
        <v>1993.32</v>
      </c>
      <c r="DW41" s="3001">
        <f t="shared" si="370"/>
        <v>7.2</v>
      </c>
      <c r="DX41" s="2954">
        <f t="shared" si="371"/>
        <v>-394.71536964111738</v>
      </c>
      <c r="DY41" s="2954">
        <f t="shared" si="371"/>
        <v>-393.13282100855668</v>
      </c>
      <c r="DZ41" s="2954">
        <f t="shared" si="371"/>
        <v>-1.5825486325603784</v>
      </c>
      <c r="EA41" s="3001">
        <f t="shared" si="372"/>
        <v>8930.1581089233514</v>
      </c>
      <c r="EB41" s="3001">
        <f t="shared" si="372"/>
        <v>8901.9114630256699</v>
      </c>
      <c r="EC41" s="3001">
        <f t="shared" si="372"/>
        <v>28.246645897681134</v>
      </c>
      <c r="ED41" s="3001">
        <f t="shared" si="372"/>
        <v>7359.4049999999997</v>
      </c>
      <c r="EE41" s="3001">
        <f t="shared" si="372"/>
        <v>7337.8810000000003</v>
      </c>
      <c r="EF41" s="3001">
        <f t="shared" si="372"/>
        <v>21.524000000000001</v>
      </c>
      <c r="EG41" s="3001">
        <f t="shared" si="372"/>
        <v>6457.8190139999997</v>
      </c>
      <c r="EH41" s="3001">
        <f t="shared" si="372"/>
        <v>6435.3499999999995</v>
      </c>
      <c r="EI41" s="3001">
        <f t="shared" si="372"/>
        <v>22.469013999999998</v>
      </c>
      <c r="EJ41" s="2954">
        <f t="shared" si="373"/>
        <v>-1570.7531089233516</v>
      </c>
      <c r="EK41" s="2954">
        <f t="shared" si="373"/>
        <v>-1564.0304630256696</v>
      </c>
      <c r="EL41" s="2954">
        <f t="shared" si="373"/>
        <v>-6.722645897681133</v>
      </c>
      <c r="EM41" s="2865">
        <f t="shared" si="417"/>
        <v>992.23978988037243</v>
      </c>
      <c r="EN41" s="2865">
        <f>SUM('ПОЛНАЯ СЕБЕСТОИМОСТЬ СТОКИ 2021'!BN157)/3</f>
        <v>989.10127366951895</v>
      </c>
      <c r="EO41" s="2865">
        <f>SUM('ПОЛНАЯ СЕБЕСТОИМОСТЬ СТОКИ 2021'!BO157)/3</f>
        <v>3.1385162108534597</v>
      </c>
      <c r="EP41" s="2865">
        <f t="shared" si="418"/>
        <v>764.91499999999996</v>
      </c>
      <c r="EQ41" s="2865">
        <f>SUM('ПОЛНАЯ СЕБЕСТОИМОСТЬ СТОКИ 2021'!BQ157)</f>
        <v>762.22899999999993</v>
      </c>
      <c r="ER41" s="2865">
        <f>SUM('ПОЛНАЯ СЕБЕСТОИМОСТЬ СТОКИ 2021'!BR157)</f>
        <v>2.6859999999999999</v>
      </c>
      <c r="ES41" s="2947">
        <f t="shared" si="419"/>
        <v>748.96</v>
      </c>
      <c r="ET41" s="2947">
        <v>746.37</v>
      </c>
      <c r="EU41" s="2947">
        <v>2.59</v>
      </c>
      <c r="EV41" s="2865">
        <f t="shared" si="420"/>
        <v>992.23978988037243</v>
      </c>
      <c r="EW41" s="2865">
        <f t="shared" si="421"/>
        <v>989.10127366951895</v>
      </c>
      <c r="EX41" s="2865">
        <f t="shared" si="422"/>
        <v>3.1385162108534597</v>
      </c>
      <c r="EY41" s="2865">
        <f t="shared" si="423"/>
        <v>805.72799999999995</v>
      </c>
      <c r="EZ41" s="2865">
        <f>SUM('ПОЛНАЯ СЕБЕСТОИМОСТЬ СТОКИ 2021'!BT157)</f>
        <v>803.221</v>
      </c>
      <c r="FA41" s="2865">
        <f>SUM('ПОЛНАЯ СЕБЕСТОИМОСТЬ СТОКИ 2021'!BU157)</f>
        <v>2.5070000000000001</v>
      </c>
      <c r="FB41" s="2947">
        <f t="shared" si="424"/>
        <v>644.80183999999997</v>
      </c>
      <c r="FC41" s="2947">
        <v>642.41</v>
      </c>
      <c r="FD41" s="2947">
        <v>2.3918400000000002</v>
      </c>
      <c r="FE41" s="2865">
        <f t="shared" si="425"/>
        <v>992.23978988037243</v>
      </c>
      <c r="FF41" s="2865">
        <f t="shared" si="426"/>
        <v>989.10127366951895</v>
      </c>
      <c r="FG41" s="2865">
        <f t="shared" si="427"/>
        <v>3.1385162108534597</v>
      </c>
      <c r="FH41" s="2865">
        <f t="shared" si="428"/>
        <v>1065.2560000000001</v>
      </c>
      <c r="FI41" s="2865">
        <f>SUM('ПОЛНАЯ СЕБЕСТОИМОСТЬ СТОКИ 2021'!BW157)</f>
        <v>1062.4880000000001</v>
      </c>
      <c r="FJ41" s="2865">
        <f>SUM('ПОЛНАЯ СЕБЕСТОИМОСТЬ СТОКИ 2021'!BX157)</f>
        <v>2.7679999999999998</v>
      </c>
      <c r="FK41" s="2947">
        <f t="shared" si="429"/>
        <v>1037.6400000000001</v>
      </c>
      <c r="FL41" s="2947">
        <v>1034.48</v>
      </c>
      <c r="FM41" s="2947">
        <v>3.16</v>
      </c>
      <c r="FN41" s="3001">
        <f t="shared" si="374"/>
        <v>2976.7193696411173</v>
      </c>
      <c r="FO41" s="3001">
        <f t="shared" si="374"/>
        <v>2967.303821008557</v>
      </c>
      <c r="FP41" s="3001">
        <f t="shared" si="374"/>
        <v>9.4155486325603786</v>
      </c>
      <c r="FQ41" s="3001">
        <f t="shared" si="374"/>
        <v>2635.8990000000003</v>
      </c>
      <c r="FR41" s="3001">
        <f t="shared" si="374"/>
        <v>2627.9380000000001</v>
      </c>
      <c r="FS41" s="3001">
        <f t="shared" si="374"/>
        <v>7.9609999999999994</v>
      </c>
      <c r="FT41" s="3001">
        <f t="shared" si="374"/>
        <v>2431.4018400000004</v>
      </c>
      <c r="FU41" s="3001">
        <f t="shared" si="374"/>
        <v>2423.2600000000002</v>
      </c>
      <c r="FV41" s="3001">
        <f t="shared" si="374"/>
        <v>8.1418400000000002</v>
      </c>
      <c r="FW41" s="2954">
        <f t="shared" si="375"/>
        <v>-340.82036964111694</v>
      </c>
      <c r="FX41" s="2954">
        <f t="shared" si="375"/>
        <v>-339.36582100855685</v>
      </c>
      <c r="FY41" s="2954">
        <f t="shared" si="375"/>
        <v>-1.4545486325603791</v>
      </c>
      <c r="FZ41" s="3001">
        <f t="shared" si="376"/>
        <v>11906.877478564469</v>
      </c>
      <c r="GA41" s="3001">
        <f t="shared" si="376"/>
        <v>11869.215284034228</v>
      </c>
      <c r="GB41" s="3001">
        <f t="shared" si="376"/>
        <v>37.662194530241514</v>
      </c>
      <c r="GC41" s="3001">
        <f t="shared" si="376"/>
        <v>9995.3040000000001</v>
      </c>
      <c r="GD41" s="3001">
        <f t="shared" si="376"/>
        <v>9965.8189999999995</v>
      </c>
      <c r="GE41" s="3001">
        <f t="shared" si="376"/>
        <v>29.484999999999999</v>
      </c>
      <c r="GF41" s="3001">
        <f t="shared" si="376"/>
        <v>8889.2208539999992</v>
      </c>
      <c r="GG41" s="3001">
        <f t="shared" si="376"/>
        <v>8858.61</v>
      </c>
      <c r="GH41" s="3001">
        <f t="shared" si="376"/>
        <v>30.610853999999996</v>
      </c>
      <c r="GI41" s="2954">
        <f t="shared" si="377"/>
        <v>-1911.573478564469</v>
      </c>
      <c r="GJ41" s="2954">
        <f t="shared" si="377"/>
        <v>-1903.3962840342283</v>
      </c>
      <c r="GK41" s="2954">
        <f t="shared" si="377"/>
        <v>-8.1771945302415148</v>
      </c>
      <c r="GM41" s="4234"/>
    </row>
    <row r="42" spans="1:195" ht="18.75" customHeight="1" x14ac:dyDescent="0.3">
      <c r="A42" s="3029" t="s">
        <v>310</v>
      </c>
      <c r="B42" s="2877">
        <f>SUM(B41/B40)</f>
        <v>0.30130409170525912</v>
      </c>
      <c r="C42" s="2877">
        <f t="shared" ref="C42:AK42" si="430">SUM(C41/C40)</f>
        <v>0.30130412095756226</v>
      </c>
      <c r="D42" s="2877">
        <f t="shared" si="430"/>
        <v>0.30129487314454162</v>
      </c>
      <c r="E42" s="2877">
        <f t="shared" si="430"/>
        <v>0.30131051085475585</v>
      </c>
      <c r="F42" s="2877">
        <f t="shared" si="430"/>
        <v>0.30130867048039145</v>
      </c>
      <c r="G42" s="2877">
        <f t="shared" si="430"/>
        <v>0.30202578268876612</v>
      </c>
      <c r="H42" s="2877">
        <f t="shared" si="430"/>
        <v>0.30197531724195048</v>
      </c>
      <c r="I42" s="2877">
        <f t="shared" si="430"/>
        <v>0.30197795909325853</v>
      </c>
      <c r="J42" s="2877">
        <f t="shared" si="430"/>
        <v>0.30110000000000003</v>
      </c>
      <c r="K42" s="2877">
        <f t="shared" si="430"/>
        <v>0.30130409170525912</v>
      </c>
      <c r="L42" s="2877">
        <f t="shared" si="430"/>
        <v>0.30130412095756226</v>
      </c>
      <c r="M42" s="2877">
        <f t="shared" si="430"/>
        <v>0.30129487314454162</v>
      </c>
      <c r="N42" s="2877">
        <f t="shared" si="430"/>
        <v>0.3015974835254534</v>
      </c>
      <c r="O42" s="2877">
        <f t="shared" si="430"/>
        <v>0.30159632865575875</v>
      </c>
      <c r="P42" s="2877">
        <f t="shared" si="430"/>
        <v>0.30198217373952374</v>
      </c>
      <c r="Q42" s="2877">
        <f t="shared" ref="Q42:S42" si="431">SUM(Q41/Q40)</f>
        <v>0.30105159268649795</v>
      </c>
      <c r="R42" s="2877">
        <f t="shared" si="431"/>
        <v>0.30104844524661534</v>
      </c>
      <c r="S42" s="2877">
        <f t="shared" si="431"/>
        <v>0.30199999999999999</v>
      </c>
      <c r="T42" s="2877">
        <f t="shared" si="430"/>
        <v>0.30130409170525912</v>
      </c>
      <c r="U42" s="2877">
        <f t="shared" si="430"/>
        <v>0.30130412095756226</v>
      </c>
      <c r="V42" s="2877">
        <f t="shared" si="430"/>
        <v>0.30129487314454162</v>
      </c>
      <c r="W42" s="2877">
        <f t="shared" si="430"/>
        <v>0.30054919568041699</v>
      </c>
      <c r="X42" s="2877">
        <f t="shared" si="430"/>
        <v>0.30054402739014868</v>
      </c>
      <c r="Y42" s="2877">
        <f t="shared" si="430"/>
        <v>0.30200780195230437</v>
      </c>
      <c r="Z42" s="2877">
        <f t="shared" si="430"/>
        <v>0.30022434037646312</v>
      </c>
      <c r="AA42" s="2877">
        <f t="shared" si="430"/>
        <v>0.30022020225985352</v>
      </c>
      <c r="AB42" s="2877">
        <f t="shared" si="430"/>
        <v>0.30158730158730163</v>
      </c>
      <c r="AC42" s="2950">
        <f t="shared" si="430"/>
        <v>0.30130409170525907</v>
      </c>
      <c r="AD42" s="2950">
        <f t="shared" si="430"/>
        <v>0.30130412095756226</v>
      </c>
      <c r="AE42" s="2950">
        <f t="shared" si="430"/>
        <v>0.30129487314454162</v>
      </c>
      <c r="AF42" s="2950">
        <f t="shared" si="430"/>
        <v>0.30112528712151748</v>
      </c>
      <c r="AG42" s="2950">
        <f t="shared" si="430"/>
        <v>0.30112258899588062</v>
      </c>
      <c r="AH42" s="2950">
        <f t="shared" si="430"/>
        <v>0.30200415891393034</v>
      </c>
      <c r="AI42" s="2950">
        <f t="shared" si="430"/>
        <v>0.30101919327131477</v>
      </c>
      <c r="AJ42" s="2950">
        <f t="shared" si="430"/>
        <v>0.30101743919810969</v>
      </c>
      <c r="AK42" s="2950">
        <f t="shared" si="430"/>
        <v>0.30158148148148145</v>
      </c>
      <c r="AL42" s="2919">
        <f t="shared" si="365"/>
        <v>-1.7880458374158748E-4</v>
      </c>
      <c r="AM42" s="2919">
        <f t="shared" si="365"/>
        <v>-1.8153196168163577E-4</v>
      </c>
      <c r="AN42" s="2919">
        <f t="shared" si="365"/>
        <v>7.0928576938872334E-4</v>
      </c>
      <c r="AO42" s="2877">
        <f t="shared" ref="AO42:BX42" si="432">SUM(AO41/AO40)</f>
        <v>0.30130409170525912</v>
      </c>
      <c r="AP42" s="2877">
        <f t="shared" si="432"/>
        <v>0.30130412095756226</v>
      </c>
      <c r="AQ42" s="2877">
        <f t="shared" si="432"/>
        <v>0.30129487314454162</v>
      </c>
      <c r="AR42" s="2877">
        <f t="shared" si="432"/>
        <v>0.29956196270157576</v>
      </c>
      <c r="AS42" s="2877">
        <f t="shared" si="432"/>
        <v>0.29955148520169739</v>
      </c>
      <c r="AT42" s="2877">
        <f t="shared" si="432"/>
        <v>0.30280957336108222</v>
      </c>
      <c r="AU42" s="2877">
        <f t="shared" si="432"/>
        <v>0.30172828735597601</v>
      </c>
      <c r="AV42" s="2877">
        <f t="shared" si="432"/>
        <v>0.3017267723278792</v>
      </c>
      <c r="AW42" s="2877">
        <f t="shared" si="432"/>
        <v>0.30219146482122261</v>
      </c>
      <c r="AX42" s="2877">
        <f t="shared" si="432"/>
        <v>0.30130409170525912</v>
      </c>
      <c r="AY42" s="2877">
        <f t="shared" si="432"/>
        <v>0.30130412095756226</v>
      </c>
      <c r="AZ42" s="2877">
        <f t="shared" si="432"/>
        <v>0.30129487314454162</v>
      </c>
      <c r="BA42" s="2877">
        <f t="shared" si="432"/>
        <v>0.30126659174437331</v>
      </c>
      <c r="BB42" s="2877">
        <f t="shared" si="432"/>
        <v>0.30126471372519142</v>
      </c>
      <c r="BC42" s="2877">
        <f t="shared" si="432"/>
        <v>0.3018306636155606</v>
      </c>
      <c r="BD42" s="2877">
        <f t="shared" ref="BD42:BF42" si="433">SUM(BD41/BD40)</f>
        <v>0.30131795015635299</v>
      </c>
      <c r="BE42" s="2877">
        <f t="shared" si="433"/>
        <v>0.30131580666657953</v>
      </c>
      <c r="BF42" s="2877">
        <f t="shared" si="433"/>
        <v>0.30200222469410459</v>
      </c>
      <c r="BG42" s="2877">
        <f t="shared" si="432"/>
        <v>0.30130409170525912</v>
      </c>
      <c r="BH42" s="2877">
        <f t="shared" si="432"/>
        <v>0.30130412095756226</v>
      </c>
      <c r="BI42" s="2877">
        <f t="shared" si="432"/>
        <v>0.30129487314454162</v>
      </c>
      <c r="BJ42" s="2877">
        <f t="shared" si="432"/>
        <v>0.30224656009537687</v>
      </c>
      <c r="BK42" s="2877">
        <f t="shared" si="432"/>
        <v>0.30224690820166522</v>
      </c>
      <c r="BL42" s="2877">
        <f t="shared" si="432"/>
        <v>0.30199270277855739</v>
      </c>
      <c r="BM42" s="2877">
        <f t="shared" si="432"/>
        <v>0.30300717617376938</v>
      </c>
      <c r="BN42" s="2877">
        <f t="shared" si="432"/>
        <v>0.30301045171664237</v>
      </c>
      <c r="BO42" s="2877">
        <f t="shared" si="432"/>
        <v>0.30230708035003978</v>
      </c>
      <c r="BP42" s="2950">
        <f t="shared" si="432"/>
        <v>0.30130409170525907</v>
      </c>
      <c r="BQ42" s="2950">
        <f t="shared" si="432"/>
        <v>0.30130412095756226</v>
      </c>
      <c r="BR42" s="2950">
        <f t="shared" si="432"/>
        <v>0.30129487314454162</v>
      </c>
      <c r="BS42" s="2950">
        <f t="shared" si="432"/>
        <v>0.30095722805490571</v>
      </c>
      <c r="BT42" s="2950">
        <f t="shared" si="432"/>
        <v>0.3009536772449552</v>
      </c>
      <c r="BU42" s="2950">
        <f t="shared" si="432"/>
        <v>0.30228631406014694</v>
      </c>
      <c r="BV42" s="2950">
        <f t="shared" si="432"/>
        <v>0.30205549432678136</v>
      </c>
      <c r="BW42" s="2950">
        <f t="shared" si="432"/>
        <v>0.30205497577680596</v>
      </c>
      <c r="BX42" s="2950">
        <f t="shared" si="432"/>
        <v>0.30219471018570621</v>
      </c>
      <c r="BY42" s="2919">
        <f t="shared" si="367"/>
        <v>-3.4686365035335731E-4</v>
      </c>
      <c r="BZ42" s="2919">
        <f t="shared" si="367"/>
        <v>-3.5044371260706253E-4</v>
      </c>
      <c r="CA42" s="2919">
        <f t="shared" si="367"/>
        <v>9.9144091560532388E-4</v>
      </c>
      <c r="CB42" s="2950">
        <f t="shared" ref="CB42:CJ42" si="434">SUM(CB41/CB40)</f>
        <v>0.30130409170525907</v>
      </c>
      <c r="CC42" s="2950">
        <f t="shared" si="434"/>
        <v>0.30130412095756226</v>
      </c>
      <c r="CD42" s="2950">
        <f t="shared" si="434"/>
        <v>0.30129487314454162</v>
      </c>
      <c r="CE42" s="2950">
        <f t="shared" si="434"/>
        <v>0.30103819516041608</v>
      </c>
      <c r="CF42" s="2950">
        <f t="shared" si="434"/>
        <v>0.30103503840294604</v>
      </c>
      <c r="CG42" s="2950">
        <f t="shared" si="434"/>
        <v>0.30214060583483809</v>
      </c>
      <c r="CH42" s="2950">
        <f t="shared" si="434"/>
        <v>0.30155635220988702</v>
      </c>
      <c r="CI42" s="2950">
        <f t="shared" si="434"/>
        <v>0.30155508230931793</v>
      </c>
      <c r="CJ42" s="2950">
        <f t="shared" si="434"/>
        <v>0.30192624377125676</v>
      </c>
      <c r="CK42" s="2919">
        <f t="shared" si="369"/>
        <v>-2.6589654484299174E-4</v>
      </c>
      <c r="CL42" s="2919">
        <f t="shared" si="369"/>
        <v>-2.6908255461621788E-4</v>
      </c>
      <c r="CM42" s="2919">
        <f t="shared" si="369"/>
        <v>8.4573269029647458E-4</v>
      </c>
      <c r="CN42" s="2877">
        <f t="shared" ref="CN42:DW42" si="435">SUM(CN41/CN40)</f>
        <v>0.30130409170525912</v>
      </c>
      <c r="CO42" s="2877">
        <f t="shared" si="435"/>
        <v>0.30130412095756226</v>
      </c>
      <c r="CP42" s="2877">
        <f t="shared" si="435"/>
        <v>0.30129487314454162</v>
      </c>
      <c r="CQ42" s="2877">
        <f t="shared" si="435"/>
        <v>0.30066775841622179</v>
      </c>
      <c r="CR42" s="2877">
        <f t="shared" si="435"/>
        <v>0.30066421022011053</v>
      </c>
      <c r="CS42" s="2877">
        <f t="shared" si="435"/>
        <v>0.30194562234971312</v>
      </c>
      <c r="CT42" s="2877">
        <f t="shared" si="435"/>
        <v>0.30037396728912619</v>
      </c>
      <c r="CU42" s="2877">
        <f t="shared" si="435"/>
        <v>0.30036509283907065</v>
      </c>
      <c r="CV42" s="2877">
        <f t="shared" si="435"/>
        <v>0.3018480492813142</v>
      </c>
      <c r="CW42" s="2877">
        <f t="shared" si="435"/>
        <v>0.30130409170525912</v>
      </c>
      <c r="CX42" s="2877">
        <f t="shared" si="435"/>
        <v>0.30130412095756226</v>
      </c>
      <c r="CY42" s="2877">
        <f t="shared" si="435"/>
        <v>0.30129487314454162</v>
      </c>
      <c r="CZ42" s="2877">
        <f t="shared" si="435"/>
        <v>0.30245071006211499</v>
      </c>
      <c r="DA42" s="2877">
        <f t="shared" si="435"/>
        <v>0.30245202260091458</v>
      </c>
      <c r="DB42" s="2877">
        <f t="shared" si="435"/>
        <v>0.30204263868735348</v>
      </c>
      <c r="DC42" s="2877">
        <f t="shared" ref="DC42:DE42" si="436">SUM(DC41/DC40)</f>
        <v>0.30128417976856536</v>
      </c>
      <c r="DD42" s="2877">
        <f t="shared" si="436"/>
        <v>0.30128417976856536</v>
      </c>
      <c r="DE42" s="2877" t="e">
        <f t="shared" si="436"/>
        <v>#DIV/0!</v>
      </c>
      <c r="DF42" s="2877">
        <f t="shared" si="435"/>
        <v>0.30130409170525912</v>
      </c>
      <c r="DG42" s="2877">
        <f t="shared" si="435"/>
        <v>0.30130412095756226</v>
      </c>
      <c r="DH42" s="2877">
        <f t="shared" si="435"/>
        <v>0.30129487314454162</v>
      </c>
      <c r="DI42" s="2877">
        <f t="shared" si="435"/>
        <v>0.29968475540520628</v>
      </c>
      <c r="DJ42" s="2877">
        <f t="shared" si="435"/>
        <v>0.29967742439254624</v>
      </c>
      <c r="DK42" s="2877">
        <f t="shared" si="435"/>
        <v>0.30204263868735348</v>
      </c>
      <c r="DL42" s="2877">
        <f t="shared" si="435"/>
        <v>0.21373123484770712</v>
      </c>
      <c r="DM42" s="2877">
        <f t="shared" si="435"/>
        <v>0.21340651501941824</v>
      </c>
      <c r="DN42" s="2877">
        <f t="shared" si="435"/>
        <v>0.30260303687635576</v>
      </c>
      <c r="DO42" s="2950">
        <f t="shared" si="435"/>
        <v>0.30130409170525907</v>
      </c>
      <c r="DP42" s="2950">
        <f t="shared" si="435"/>
        <v>0.30130412095756226</v>
      </c>
      <c r="DQ42" s="2950">
        <f t="shared" si="435"/>
        <v>0.30129487314454162</v>
      </c>
      <c r="DR42" s="2950">
        <f t="shared" si="435"/>
        <v>0.30091726011879338</v>
      </c>
      <c r="DS42" s="2950">
        <f t="shared" si="435"/>
        <v>0.30091393907002734</v>
      </c>
      <c r="DT42" s="2950">
        <f t="shared" si="435"/>
        <v>0.30201264651449722</v>
      </c>
      <c r="DU42" s="2950">
        <f t="shared" si="435"/>
        <v>0.27095091239318836</v>
      </c>
      <c r="DV42" s="2950">
        <f t="shared" si="435"/>
        <v>0.2708499218696922</v>
      </c>
      <c r="DW42" s="2950">
        <f t="shared" si="435"/>
        <v>0.30214015946286199</v>
      </c>
      <c r="DX42" s="2919">
        <f t="shared" si="371"/>
        <v>-3.8683158646568572E-4</v>
      </c>
      <c r="DY42" s="2919">
        <f t="shared" si="371"/>
        <v>-3.9018188753492389E-4</v>
      </c>
      <c r="DZ42" s="2919">
        <f t="shared" si="371"/>
        <v>7.1777336995559882E-4</v>
      </c>
      <c r="EA42" s="2950">
        <f t="shared" ref="EA42:EI42" si="437">SUM(EA41/EA40)</f>
        <v>0.30130409170525907</v>
      </c>
      <c r="EB42" s="2950">
        <f t="shared" si="437"/>
        <v>0.30130412095756226</v>
      </c>
      <c r="EC42" s="2950">
        <f t="shared" si="437"/>
        <v>0.30129487314454162</v>
      </c>
      <c r="ED42" s="2950">
        <f t="shared" si="437"/>
        <v>0.30099575474393736</v>
      </c>
      <c r="EE42" s="2950">
        <f t="shared" si="437"/>
        <v>0.30099254496072148</v>
      </c>
      <c r="EF42" s="2950">
        <f t="shared" si="437"/>
        <v>0.30209402641484123</v>
      </c>
      <c r="EG42" s="2950">
        <f t="shared" si="437"/>
        <v>0.29136113108315742</v>
      </c>
      <c r="EH42" s="2950">
        <f t="shared" si="437"/>
        <v>0.29132531549472135</v>
      </c>
      <c r="EI42" s="2950">
        <f t="shared" si="437"/>
        <v>0.30199475820542454</v>
      </c>
      <c r="EJ42" s="2919">
        <f t="shared" si="373"/>
        <v>-3.0833696132170907E-4</v>
      </c>
      <c r="EK42" s="2919">
        <f t="shared" si="373"/>
        <v>-3.1157599684078496E-4</v>
      </c>
      <c r="EL42" s="2919">
        <f t="shared" si="373"/>
        <v>7.9915327029961292E-4</v>
      </c>
      <c r="EM42" s="2877">
        <f t="shared" ref="EM42:FV42" si="438">SUM(EM41/EM40)</f>
        <v>0.30130409170525912</v>
      </c>
      <c r="EN42" s="2877">
        <f t="shared" si="438"/>
        <v>0.30130412095756226</v>
      </c>
      <c r="EO42" s="2877">
        <f t="shared" si="438"/>
        <v>0.30129487314454162</v>
      </c>
      <c r="EP42" s="2877">
        <f t="shared" si="438"/>
        <v>0.30011813805634452</v>
      </c>
      <c r="EQ42" s="2877">
        <f t="shared" si="438"/>
        <v>0.30011166154425239</v>
      </c>
      <c r="ER42" s="2877">
        <f t="shared" si="438"/>
        <v>0.30196739741427769</v>
      </c>
      <c r="ES42" s="2877">
        <f t="shared" si="438"/>
        <v>0.30083064218119893</v>
      </c>
      <c r="ET42" s="2877">
        <f t="shared" si="438"/>
        <v>0.30082706585088631</v>
      </c>
      <c r="EU42" s="2877">
        <f t="shared" si="438"/>
        <v>0.30186480186480186</v>
      </c>
      <c r="EV42" s="2877">
        <f t="shared" si="438"/>
        <v>0.30130409170525912</v>
      </c>
      <c r="EW42" s="2877">
        <f t="shared" si="438"/>
        <v>0.30130412095756226</v>
      </c>
      <c r="EX42" s="2877">
        <f t="shared" si="438"/>
        <v>0.30129487314454162</v>
      </c>
      <c r="EY42" s="2877">
        <f t="shared" si="438"/>
        <v>0.3066516003977921</v>
      </c>
      <c r="EZ42" s="2877">
        <f t="shared" si="438"/>
        <v>0.30666618814960123</v>
      </c>
      <c r="FA42" s="2877">
        <f t="shared" si="438"/>
        <v>0.3020481927710843</v>
      </c>
      <c r="FB42" s="2877">
        <f t="shared" si="438"/>
        <v>0.29483529417144105</v>
      </c>
      <c r="FC42" s="2877">
        <f t="shared" si="438"/>
        <v>0.29480925348887366</v>
      </c>
      <c r="FD42" s="2877">
        <f t="shared" si="438"/>
        <v>0.30200000000000005</v>
      </c>
      <c r="FE42" s="2877">
        <f t="shared" si="438"/>
        <v>0.30130409170525912</v>
      </c>
      <c r="FF42" s="2877">
        <f t="shared" si="438"/>
        <v>0.30130412095756226</v>
      </c>
      <c r="FG42" s="2877">
        <f t="shared" si="438"/>
        <v>0.30129487314454162</v>
      </c>
      <c r="FH42" s="2877">
        <f t="shared" si="438"/>
        <v>0.29675315847769063</v>
      </c>
      <c r="FI42" s="2877">
        <f t="shared" si="438"/>
        <v>0.29674158696679476</v>
      </c>
      <c r="FJ42" s="2877">
        <f t="shared" si="438"/>
        <v>0.3012625163256421</v>
      </c>
      <c r="FK42" s="2877">
        <f t="shared" si="438"/>
        <v>0.37888879151695737</v>
      </c>
      <c r="FL42" s="2877">
        <f t="shared" si="438"/>
        <v>0.3791859714972729</v>
      </c>
      <c r="FM42" s="2877">
        <f t="shared" si="438"/>
        <v>0.30152671755725191</v>
      </c>
      <c r="FN42" s="2950">
        <f t="shared" si="438"/>
        <v>0.30130409170525907</v>
      </c>
      <c r="FO42" s="2950">
        <f t="shared" si="438"/>
        <v>0.30130412095756226</v>
      </c>
      <c r="FP42" s="2950">
        <f t="shared" si="438"/>
        <v>0.30129487314454162</v>
      </c>
      <c r="FQ42" s="2950">
        <f t="shared" si="438"/>
        <v>0.30069850055670144</v>
      </c>
      <c r="FR42" s="2950">
        <f t="shared" si="438"/>
        <v>0.30069533431805368</v>
      </c>
      <c r="FS42" s="2950">
        <f t="shared" si="438"/>
        <v>0.30174733730053438</v>
      </c>
      <c r="FT42" s="2950">
        <f t="shared" si="438"/>
        <v>0.32789120827697443</v>
      </c>
      <c r="FU42" s="2950">
        <f t="shared" si="438"/>
        <v>0.32798658417577009</v>
      </c>
      <c r="FV42" s="2950">
        <f t="shared" si="438"/>
        <v>0.30177316530763526</v>
      </c>
      <c r="FW42" s="3030">
        <f t="shared" si="375"/>
        <v>-6.0559114855762708E-4</v>
      </c>
      <c r="FX42" s="3030"/>
      <c r="FY42" s="3030"/>
      <c r="FZ42" s="2950">
        <f t="shared" ref="FZ42:GH42" si="439">SUM(FZ41/FZ40)</f>
        <v>0.30130409170525907</v>
      </c>
      <c r="GA42" s="2950">
        <f t="shared" si="439"/>
        <v>0.30130412095756226</v>
      </c>
      <c r="GB42" s="2950">
        <f t="shared" si="439"/>
        <v>0.30129487314454162</v>
      </c>
      <c r="GC42" s="2950">
        <f t="shared" si="439"/>
        <v>0.30091730768899722</v>
      </c>
      <c r="GD42" s="2950">
        <f t="shared" si="439"/>
        <v>0.30091411493696735</v>
      </c>
      <c r="GE42" s="2950">
        <f t="shared" si="439"/>
        <v>0.30200034128035852</v>
      </c>
      <c r="GF42" s="2950">
        <f t="shared" si="439"/>
        <v>0.30051881240241995</v>
      </c>
      <c r="GG42" s="2950">
        <f t="shared" si="439"/>
        <v>0.30051393911432855</v>
      </c>
      <c r="GH42" s="2950">
        <f t="shared" si="439"/>
        <v>0.30193578741788479</v>
      </c>
      <c r="GI42" s="2919">
        <f t="shared" si="377"/>
        <v>-3.867840162618541E-4</v>
      </c>
      <c r="GJ42" s="2919">
        <f t="shared" si="377"/>
        <v>-3.9000602059491296E-4</v>
      </c>
      <c r="GK42" s="2919">
        <f t="shared" si="377"/>
        <v>7.0546813581690015E-4</v>
      </c>
      <c r="GM42" s="4234"/>
    </row>
    <row r="43" spans="1:195" ht="18.75" customHeight="1" x14ac:dyDescent="0.3">
      <c r="A43" s="2989" t="s">
        <v>3756</v>
      </c>
      <c r="B43" s="2865">
        <f t="shared" ref="B43:B60" si="440">SUM(C43:D43)</f>
        <v>1657.3064913275537</v>
      </c>
      <c r="C43" s="2865">
        <f>SUM('ПОЛНАЯ СЕБЕСТОИМОСТЬ СТОКИ 2021'!C159)/3</f>
        <v>1657.3064913275537</v>
      </c>
      <c r="D43" s="2865">
        <f>SUM('ПОЛНАЯ СЕБЕСТОИМОСТЬ СТОКИ 2021'!D159)/3</f>
        <v>0</v>
      </c>
      <c r="E43" s="2865">
        <f t="shared" ref="E43:E60" si="441">SUM(F43:G43)</f>
        <v>1393.9304900000002</v>
      </c>
      <c r="F43" s="2865">
        <f>SUM('ПОЛНАЯ СЕБЕСТОИМОСТЬ СТОКИ 2021'!F159)</f>
        <v>1393.9304900000002</v>
      </c>
      <c r="G43" s="2865">
        <f>SUM('ПОЛНАЯ СЕБЕСТОИМОСТЬ СТОКИ 2021'!G159)</f>
        <v>0</v>
      </c>
      <c r="H43" s="3031">
        <f>SUM(H44:H47)</f>
        <v>1081.8600000000001</v>
      </c>
      <c r="I43" s="3031">
        <f t="shared" ref="I43:J43" si="442">SUM(I44:I47)</f>
        <v>1081.8600000000001</v>
      </c>
      <c r="J43" s="3031">
        <f t="shared" si="442"/>
        <v>0</v>
      </c>
      <c r="K43" s="2865">
        <f t="shared" ref="K43:K54" si="443">SUM(L43:M43)</f>
        <v>1657.3064913275537</v>
      </c>
      <c r="L43" s="2865">
        <f t="shared" ref="L43:L60" si="444">SUM(C43)</f>
        <v>1657.3064913275537</v>
      </c>
      <c r="M43" s="2865">
        <f t="shared" ref="M43:M60" si="445">SUM(D43)</f>
        <v>0</v>
      </c>
      <c r="N43" s="2865">
        <f t="shared" ref="N43:N55" si="446">SUM(O43:P43)</f>
        <v>1276.3007000000002</v>
      </c>
      <c r="O43" s="2865">
        <f>SUM('ПОЛНАЯ СЕБЕСТОИМОСТЬ СТОКИ 2021'!I159)</f>
        <v>1276.3007000000002</v>
      </c>
      <c r="P43" s="2865">
        <f>SUM('ПОЛНАЯ СЕБЕСТОИМОСТЬ СТОКИ 2021'!J159)</f>
        <v>0</v>
      </c>
      <c r="Q43" s="3031">
        <f>SUM(Q44:Q47)</f>
        <v>1085.7440000000001</v>
      </c>
      <c r="R43" s="3031">
        <f t="shared" ref="R43:S43" si="447">SUM(R44:R47)</f>
        <v>1085.7440000000001</v>
      </c>
      <c r="S43" s="3031">
        <f t="shared" si="447"/>
        <v>0</v>
      </c>
      <c r="T43" s="2865">
        <f t="shared" ref="T43:T56" si="448">SUM(U43:V43)</f>
        <v>1657.3064913275537</v>
      </c>
      <c r="U43" s="2865">
        <f t="shared" ref="U43:U60" si="449">SUM(L43)</f>
        <v>1657.3064913275537</v>
      </c>
      <c r="V43" s="2865">
        <f t="shared" ref="V43:V60" si="450">SUM(M43)</f>
        <v>0</v>
      </c>
      <c r="W43" s="2865">
        <f t="shared" ref="W43:W55" si="451">SUM(X43:Y43)</f>
        <v>1535.7264</v>
      </c>
      <c r="X43" s="2865">
        <f>SUM('ПОЛНАЯ СЕБЕСТОИМОСТЬ СТОКИ 2021'!L159)</f>
        <v>1535.7264</v>
      </c>
      <c r="Y43" s="2865">
        <f>SUM('ПОЛНАЯ СЕБЕСТОИМОСТЬ СТОКИ 2021'!M159)</f>
        <v>0</v>
      </c>
      <c r="Z43" s="3031">
        <f>SUM(Z44:Z47)</f>
        <v>1288.92</v>
      </c>
      <c r="AA43" s="3031">
        <f t="shared" ref="AA43:AB43" si="452">SUM(AA44:AA47)</f>
        <v>1288.92</v>
      </c>
      <c r="AB43" s="3031">
        <f t="shared" si="452"/>
        <v>0</v>
      </c>
      <c r="AC43" s="3001">
        <f t="shared" ref="AC43:AK58" si="453">SUM(B43+K43+T43)</f>
        <v>4971.9194739826607</v>
      </c>
      <c r="AD43" s="3001">
        <f t="shared" si="453"/>
        <v>4971.9194739826607</v>
      </c>
      <c r="AE43" s="3001">
        <f t="shared" si="453"/>
        <v>0</v>
      </c>
      <c r="AF43" s="3001">
        <f t="shared" si="453"/>
        <v>4205.95759</v>
      </c>
      <c r="AG43" s="3001">
        <f t="shared" si="453"/>
        <v>4205.95759</v>
      </c>
      <c r="AH43" s="3001">
        <f t="shared" si="453"/>
        <v>0</v>
      </c>
      <c r="AI43" s="3001">
        <f t="shared" si="453"/>
        <v>3456.5240000000003</v>
      </c>
      <c r="AJ43" s="3001">
        <f t="shared" si="453"/>
        <v>3456.5240000000003</v>
      </c>
      <c r="AK43" s="3001">
        <f t="shared" si="453"/>
        <v>0</v>
      </c>
      <c r="AL43" s="2954">
        <f t="shared" si="365"/>
        <v>-765.96188398266077</v>
      </c>
      <c r="AM43" s="2954">
        <f t="shared" si="365"/>
        <v>-765.96188398266077</v>
      </c>
      <c r="AN43" s="2954">
        <f t="shared" si="365"/>
        <v>0</v>
      </c>
      <c r="AO43" s="2865">
        <f t="shared" ref="AO43:AO55" si="454">SUM(AP43:AQ43)</f>
        <v>1657.3064913275537</v>
      </c>
      <c r="AP43" s="2865">
        <f>SUM('ПОЛНАЯ СЕБЕСТОИМОСТЬ СТОКИ 2021'!R159)/3</f>
        <v>1657.3064913275537</v>
      </c>
      <c r="AQ43" s="2865">
        <f>SUM('ПОЛНАЯ СЕБЕСТОИМОСТЬ СТОКИ 2021'!S159)/3</f>
        <v>0</v>
      </c>
      <c r="AR43" s="2865">
        <f t="shared" ref="AR43:AR60" si="455">SUM(AS43:AT43)</f>
        <v>1255.0440000000001</v>
      </c>
      <c r="AS43" s="2865">
        <f>SUM('ПОЛНАЯ СЕБЕСТОИМОСТЬ СТОКИ 2021'!U159)</f>
        <v>1255.0440000000001</v>
      </c>
      <c r="AT43" s="2865">
        <f>SUM('ПОЛНАЯ СЕБЕСТОИМОСТЬ СТОКИ 2021'!V159)</f>
        <v>0</v>
      </c>
      <c r="AU43" s="3031">
        <f>SUM(AU44:AU47)</f>
        <v>1065.67</v>
      </c>
      <c r="AV43" s="3031">
        <f t="shared" ref="AV43:AW43" si="456">SUM(AV44:AV47)</f>
        <v>1065.67</v>
      </c>
      <c r="AW43" s="3031">
        <f t="shared" si="456"/>
        <v>0</v>
      </c>
      <c r="AX43" s="2865">
        <f t="shared" ref="AX43:AX55" si="457">SUM(AY43:AZ43)</f>
        <v>1657.3064913275537</v>
      </c>
      <c r="AY43" s="2865">
        <f t="shared" ref="AY43:AY60" si="458">SUM(AP43)</f>
        <v>1657.3064913275537</v>
      </c>
      <c r="AZ43" s="2865">
        <f t="shared" ref="AZ43:AZ60" si="459">SUM(AQ43)</f>
        <v>0</v>
      </c>
      <c r="BA43" s="2946">
        <f t="shared" ref="BA43:BA56" si="460">SUM(BB43:BC43)</f>
        <v>1682.2629999999999</v>
      </c>
      <c r="BB43" s="2946">
        <f>SUM('ПОЛНАЯ СЕБЕСТОИМОСТЬ СТОКИ 2021'!X159)</f>
        <v>1682.2629999999999</v>
      </c>
      <c r="BC43" s="2946">
        <f>SUM('ПОЛНАЯ СЕБЕСТОИМОСТЬ СТОКИ 2021'!Y159)</f>
        <v>0</v>
      </c>
      <c r="BD43" s="3031">
        <f>SUM(BD44:BD47)</f>
        <v>1240.17</v>
      </c>
      <c r="BE43" s="3031">
        <f t="shared" ref="BE43:BF43" si="461">SUM(BE44:BE47)</f>
        <v>1240.17</v>
      </c>
      <c r="BF43" s="3031">
        <f t="shared" si="461"/>
        <v>0</v>
      </c>
      <c r="BG43" s="2865">
        <f t="shared" ref="BG43:BG56" si="462">SUM(BH43:BI43)</f>
        <v>1657.3064913275537</v>
      </c>
      <c r="BH43" s="2865">
        <f t="shared" ref="BH43:BH60" si="463">SUM(AY43)</f>
        <v>1657.3064913275537</v>
      </c>
      <c r="BI43" s="2865">
        <f t="shared" ref="BI43:BI60" si="464">SUM(AZ43)</f>
        <v>0</v>
      </c>
      <c r="BJ43" s="2865">
        <f t="shared" ref="BJ43:BJ54" si="465">SUM(BK43:BL43)</f>
        <v>899.80399999999986</v>
      </c>
      <c r="BK43" s="2865">
        <f>SUM('ПОЛНАЯ СЕБЕСТОИМОСТЬ СТОКИ 2021'!AA159)</f>
        <v>899.80399999999986</v>
      </c>
      <c r="BL43" s="2865">
        <f>SUM('ПОЛНАЯ СЕБЕСТОИМОСТЬ СТОКИ 2021'!AB159)</f>
        <v>0</v>
      </c>
      <c r="BM43" s="3031">
        <f>SUM(BM44:BM47)</f>
        <v>1086.365</v>
      </c>
      <c r="BN43" s="3031">
        <f t="shared" ref="BN43:BO43" si="466">SUM(BN44:BN47)</f>
        <v>1086.365</v>
      </c>
      <c r="BO43" s="3031">
        <f t="shared" si="466"/>
        <v>0</v>
      </c>
      <c r="BP43" s="3001">
        <f t="shared" ref="BP43:BX58" si="467">SUM(AO43+AX43+BG43)</f>
        <v>4971.9194739826607</v>
      </c>
      <c r="BQ43" s="3001">
        <f t="shared" si="467"/>
        <v>4971.9194739826607</v>
      </c>
      <c r="BR43" s="3001">
        <f t="shared" si="467"/>
        <v>0</v>
      </c>
      <c r="BS43" s="3001">
        <f t="shared" si="467"/>
        <v>3837.1109999999999</v>
      </c>
      <c r="BT43" s="3001">
        <f t="shared" si="467"/>
        <v>3837.1109999999999</v>
      </c>
      <c r="BU43" s="3001">
        <f t="shared" si="467"/>
        <v>0</v>
      </c>
      <c r="BV43" s="3001">
        <f t="shared" si="467"/>
        <v>3392.2049999999999</v>
      </c>
      <c r="BW43" s="3001">
        <f t="shared" si="467"/>
        <v>3392.2049999999999</v>
      </c>
      <c r="BX43" s="3001">
        <f t="shared" si="467"/>
        <v>0</v>
      </c>
      <c r="BY43" s="2954">
        <f t="shared" si="367"/>
        <v>-1134.8084739826609</v>
      </c>
      <c r="BZ43" s="2954">
        <f t="shared" si="367"/>
        <v>-1134.8084739826609</v>
      </c>
      <c r="CA43" s="2954">
        <f t="shared" si="367"/>
        <v>0</v>
      </c>
      <c r="CB43" s="3001">
        <f t="shared" ref="CB43:CJ58" si="468">SUM(AC43+BP43)</f>
        <v>9943.8389479653215</v>
      </c>
      <c r="CC43" s="3001">
        <f t="shared" si="468"/>
        <v>9943.8389479653215</v>
      </c>
      <c r="CD43" s="3001">
        <f t="shared" si="468"/>
        <v>0</v>
      </c>
      <c r="CE43" s="3001">
        <f t="shared" si="468"/>
        <v>8043.0685899999999</v>
      </c>
      <c r="CF43" s="3001">
        <f t="shared" si="468"/>
        <v>8043.0685899999999</v>
      </c>
      <c r="CG43" s="3001">
        <f t="shared" si="468"/>
        <v>0</v>
      </c>
      <c r="CH43" s="3028">
        <f t="shared" si="468"/>
        <v>6848.7290000000003</v>
      </c>
      <c r="CI43" s="3028">
        <f t="shared" si="468"/>
        <v>6848.7290000000003</v>
      </c>
      <c r="CJ43" s="3028">
        <f t="shared" si="468"/>
        <v>0</v>
      </c>
      <c r="CK43" s="2954">
        <f t="shared" si="369"/>
        <v>-1900.7703579653216</v>
      </c>
      <c r="CL43" s="2954">
        <f t="shared" si="369"/>
        <v>-1900.7703579653216</v>
      </c>
      <c r="CM43" s="2954">
        <f t="shared" si="369"/>
        <v>0</v>
      </c>
      <c r="CN43" s="2865">
        <f t="shared" ref="CN43:CN60" si="469">SUM(CO43:CP43)</f>
        <v>1657.3064913275537</v>
      </c>
      <c r="CO43" s="2865">
        <f>SUM('ПОЛНАЯ СЕБЕСТОИМОСТЬ СТОКИ 2021'!AP159)/3</f>
        <v>1657.3064913275537</v>
      </c>
      <c r="CP43" s="2865">
        <f>SUM('ПОЛНАЯ СЕБЕСТОИМОСТЬ СТОКИ 2021'!AQ159)/3</f>
        <v>0</v>
      </c>
      <c r="CQ43" s="2865">
        <f t="shared" ref="CQ43:CQ60" si="470">SUM(CR43:CS43)</f>
        <v>1307.3700000000001</v>
      </c>
      <c r="CR43" s="2865">
        <f>SUM('ПОЛНАЯ СЕБЕСТОИМОСТЬ СТОКИ 2021'!AS159)</f>
        <v>1307.3700000000001</v>
      </c>
      <c r="CS43" s="2865">
        <f>SUM('ПОЛНАЯ СЕБЕСТОИМОСТЬ СТОКИ 2021'!AT159)</f>
        <v>0</v>
      </c>
      <c r="CT43" s="3031">
        <f>SUM(CT44:CT47)</f>
        <v>1000.9200000000001</v>
      </c>
      <c r="CU43" s="3031">
        <f t="shared" ref="CU43:CV43" si="471">SUM(CU44:CU47)</f>
        <v>1000.9200000000001</v>
      </c>
      <c r="CV43" s="3031">
        <f t="shared" si="471"/>
        <v>0</v>
      </c>
      <c r="CW43" s="2865">
        <f t="shared" ref="CW43:CW56" si="472">SUM(CX43:CY43)</f>
        <v>1657.3064913275537</v>
      </c>
      <c r="CX43" s="2865">
        <f t="shared" ref="CX43:CX60" si="473">SUM(CO43)</f>
        <v>1657.3064913275537</v>
      </c>
      <c r="CY43" s="2865">
        <f t="shared" ref="CY43:CY60" si="474">SUM(CP43)</f>
        <v>0</v>
      </c>
      <c r="CZ43" s="2865">
        <f t="shared" ref="CZ43:CZ60" si="475">SUM(DA43:DB43)</f>
        <v>1058.9480000000001</v>
      </c>
      <c r="DA43" s="2946">
        <f>SUM('ПОЛНАЯ СЕБЕСТОИМОСТЬ СТОКИ 2021'!AV159)</f>
        <v>1058.9480000000001</v>
      </c>
      <c r="DB43" s="2865">
        <f>SUM('ПОЛНАЯ СЕБЕСТОИМОСТЬ СТОКИ 2021'!AW159)</f>
        <v>0</v>
      </c>
      <c r="DC43" s="3031">
        <f>SUM(DC44:DC47)</f>
        <v>1085.0940000000001</v>
      </c>
      <c r="DD43" s="3031">
        <f t="shared" ref="DD43:DE43" si="476">SUM(DD44:DD47)</f>
        <v>1085.0940000000001</v>
      </c>
      <c r="DE43" s="3031">
        <f t="shared" si="476"/>
        <v>0</v>
      </c>
      <c r="DF43" s="2865">
        <f t="shared" ref="DF43:DF56" si="477">SUM(DG43:DH43)</f>
        <v>1657.3064913275537</v>
      </c>
      <c r="DG43" s="2865">
        <f t="shared" ref="DG43:DG60" si="478">SUM(CX43)</f>
        <v>1657.3064913275537</v>
      </c>
      <c r="DH43" s="2865">
        <f t="shared" ref="DH43:DH60" si="479">SUM(CY43)</f>
        <v>0</v>
      </c>
      <c r="DI43" s="2865">
        <f t="shared" ref="DI43:DI55" si="480">SUM(DJ43:DK43)</f>
        <v>1547.665</v>
      </c>
      <c r="DJ43" s="2865">
        <f>SUM('ПОЛНАЯ СЕБЕСТОИМОСТЬ СТОКИ 2021'!AY159)</f>
        <v>1547.665</v>
      </c>
      <c r="DK43" s="2865">
        <f>SUM('ПОЛНАЯ СЕБЕСТОИМОСТЬ СТОКИ 2021'!AZ159)</f>
        <v>0</v>
      </c>
      <c r="DL43" s="3031">
        <f>SUM(DL44:DL47)</f>
        <v>1323.482</v>
      </c>
      <c r="DM43" s="3031">
        <f t="shared" ref="DM43:DN43" si="481">SUM(DM44:DM47)</f>
        <v>1323.482</v>
      </c>
      <c r="DN43" s="3031">
        <f t="shared" si="481"/>
        <v>0</v>
      </c>
      <c r="DO43" s="3001">
        <f t="shared" ref="DO43:DW58" si="482">SUM(CN43+CW43+DF43)</f>
        <v>4971.9194739826607</v>
      </c>
      <c r="DP43" s="3001">
        <f t="shared" si="482"/>
        <v>4971.9194739826607</v>
      </c>
      <c r="DQ43" s="3001">
        <f t="shared" si="482"/>
        <v>0</v>
      </c>
      <c r="DR43" s="3001">
        <f t="shared" si="482"/>
        <v>3913.9830000000002</v>
      </c>
      <c r="DS43" s="3001">
        <f t="shared" si="482"/>
        <v>3913.9830000000002</v>
      </c>
      <c r="DT43" s="3001">
        <f t="shared" si="482"/>
        <v>0</v>
      </c>
      <c r="DU43" s="3001">
        <f t="shared" si="482"/>
        <v>3409.4960000000001</v>
      </c>
      <c r="DV43" s="3001">
        <f t="shared" si="482"/>
        <v>3409.4960000000001</v>
      </c>
      <c r="DW43" s="3001">
        <f t="shared" si="482"/>
        <v>0</v>
      </c>
      <c r="DX43" s="2954">
        <f t="shared" si="371"/>
        <v>-1057.9364739826606</v>
      </c>
      <c r="DY43" s="2954">
        <f t="shared" si="371"/>
        <v>-1057.9364739826606</v>
      </c>
      <c r="DZ43" s="2954">
        <f t="shared" si="371"/>
        <v>0</v>
      </c>
      <c r="EA43" s="3001">
        <f t="shared" ref="EA43:EI58" si="483">SUM(CB43+DO43)</f>
        <v>14915.758421947983</v>
      </c>
      <c r="EB43" s="3001">
        <f t="shared" si="483"/>
        <v>14915.758421947983</v>
      </c>
      <c r="EC43" s="3001">
        <f t="shared" si="483"/>
        <v>0</v>
      </c>
      <c r="ED43" s="3001">
        <f t="shared" si="483"/>
        <v>11957.051589999999</v>
      </c>
      <c r="EE43" s="3001">
        <f t="shared" si="483"/>
        <v>11957.051589999999</v>
      </c>
      <c r="EF43" s="3001">
        <f t="shared" si="483"/>
        <v>0</v>
      </c>
      <c r="EG43" s="3001">
        <f t="shared" si="483"/>
        <v>10258.225</v>
      </c>
      <c r="EH43" s="3001">
        <f t="shared" si="483"/>
        <v>10258.225</v>
      </c>
      <c r="EI43" s="3001">
        <f t="shared" si="483"/>
        <v>0</v>
      </c>
      <c r="EJ43" s="2954">
        <f t="shared" si="373"/>
        <v>-2958.706831947984</v>
      </c>
      <c r="EK43" s="2954">
        <f t="shared" si="373"/>
        <v>-2958.706831947984</v>
      </c>
      <c r="EL43" s="2954">
        <f t="shared" si="373"/>
        <v>0</v>
      </c>
      <c r="EM43" s="2865">
        <f t="shared" ref="EM43:EM54" si="484">SUM(EN43:EO43)</f>
        <v>1657.3064913275537</v>
      </c>
      <c r="EN43" s="2865">
        <f>SUM('ПОЛНАЯ СЕБЕСТОИМОСТЬ СТОКИ 2021'!BN159)/3</f>
        <v>1657.3064913275537</v>
      </c>
      <c r="EO43" s="2865">
        <f>SUM('ПОЛНАЯ СЕБЕСТОИМОСТЬ СТОКИ 2021'!BO159)/3</f>
        <v>0</v>
      </c>
      <c r="EP43" s="2865">
        <f t="shared" ref="EP43:EP60" si="485">SUM(EQ43:ER43)</f>
        <v>1067.8366699999999</v>
      </c>
      <c r="EQ43" s="2865">
        <f>SUM('ПОЛНАЯ СЕБЕСТОИМОСТЬ СТОКИ 2021'!BQ159)</f>
        <v>1067.8366699999999</v>
      </c>
      <c r="ER43" s="2865">
        <f>SUM('ПОЛНАЯ СЕБЕСТОИМОСТЬ СТОКИ 2021'!BR159)</f>
        <v>0</v>
      </c>
      <c r="ES43" s="3031">
        <f>SUM(ES44:ES47)</f>
        <v>1000.4380000000001</v>
      </c>
      <c r="ET43" s="3031">
        <f t="shared" ref="ET43:EU43" si="486">SUM(ET44:ET47)</f>
        <v>1000.4380000000001</v>
      </c>
      <c r="EU43" s="3031">
        <f t="shared" si="486"/>
        <v>0</v>
      </c>
      <c r="EV43" s="2865">
        <f t="shared" ref="EV43:EV56" si="487">SUM(EW43:EX43)</f>
        <v>1657.3064913275537</v>
      </c>
      <c r="EW43" s="2865">
        <f t="shared" ref="EW43:EW60" si="488">SUM(EN43)</f>
        <v>1657.3064913275537</v>
      </c>
      <c r="EX43" s="2865">
        <f t="shared" ref="EX43:EX60" si="489">SUM(EO43)</f>
        <v>0</v>
      </c>
      <c r="EY43" s="2865">
        <f t="shared" ref="EY43:EY60" si="490">SUM(EZ43:FA43)</f>
        <v>1404.7339999999999</v>
      </c>
      <c r="EZ43" s="2865">
        <f>SUM('ПОЛНАЯ СЕБЕСТОИМОСТЬ СТОКИ 2021'!BT159)</f>
        <v>1404.7339999999999</v>
      </c>
      <c r="FA43" s="2865">
        <f>SUM('ПОЛНАЯ СЕБЕСТОИМОСТЬ СТОКИ 2021'!BU159)</f>
        <v>0</v>
      </c>
      <c r="FB43" s="3031">
        <f>SUM(FB44:FB47)</f>
        <v>1069.335</v>
      </c>
      <c r="FC43" s="3031">
        <f t="shared" ref="FC43:FD43" si="491">SUM(FC44:FC47)</f>
        <v>1069.335</v>
      </c>
      <c r="FD43" s="3031">
        <f t="shared" si="491"/>
        <v>0</v>
      </c>
      <c r="FE43" s="2865">
        <f t="shared" ref="FE43:FE55" si="492">SUM(FF43:FG43)</f>
        <v>1657.3064913275537</v>
      </c>
      <c r="FF43" s="2865">
        <f t="shared" ref="FF43:FF60" si="493">SUM(EW43)</f>
        <v>1657.3064913275537</v>
      </c>
      <c r="FG43" s="2865">
        <f t="shared" ref="FG43:FG60" si="494">SUM(EX43)</f>
        <v>0</v>
      </c>
      <c r="FH43" s="2865">
        <f t="shared" ref="FH43:FH60" si="495">SUM(FI43:FJ43)</f>
        <v>1367.0489</v>
      </c>
      <c r="FI43" s="2865">
        <f>SUM('ПОЛНАЯ СЕБЕСТОИМОСТЬ СТОКИ 2021'!BW159)</f>
        <v>1367.0489</v>
      </c>
      <c r="FJ43" s="2865">
        <f>SUM('ПОЛНАЯ СЕБЕСТОИМОСТЬ СТОКИ 2021'!BX159)</f>
        <v>0</v>
      </c>
      <c r="FK43" s="3031">
        <f>SUM(FK44:FK47)</f>
        <v>1699.37</v>
      </c>
      <c r="FL43" s="3031">
        <f t="shared" ref="FL43:FM43" si="496">SUM(FL44:FL47)</f>
        <v>1699.37</v>
      </c>
      <c r="FM43" s="3031">
        <f t="shared" si="496"/>
        <v>0</v>
      </c>
      <c r="FN43" s="3001">
        <f t="shared" ref="FN43:FV58" si="497">SUM(EM43+EV43+FE43)</f>
        <v>4971.9194739826607</v>
      </c>
      <c r="FO43" s="3001">
        <f t="shared" si="497"/>
        <v>4971.9194739826607</v>
      </c>
      <c r="FP43" s="3001">
        <f t="shared" si="497"/>
        <v>0</v>
      </c>
      <c r="FQ43" s="3001">
        <f t="shared" si="497"/>
        <v>3839.6195699999998</v>
      </c>
      <c r="FR43" s="3001">
        <f t="shared" si="497"/>
        <v>3839.6195699999998</v>
      </c>
      <c r="FS43" s="3001">
        <f t="shared" si="497"/>
        <v>0</v>
      </c>
      <c r="FT43" s="3001">
        <f t="shared" si="497"/>
        <v>3769.143</v>
      </c>
      <c r="FU43" s="3001">
        <f t="shared" si="497"/>
        <v>3769.143</v>
      </c>
      <c r="FV43" s="3001">
        <f t="shared" si="497"/>
        <v>0</v>
      </c>
      <c r="FW43" s="2954">
        <f t="shared" si="375"/>
        <v>-1132.2999039826609</v>
      </c>
      <c r="FX43" s="2954">
        <f t="shared" si="375"/>
        <v>-1132.2999039826609</v>
      </c>
      <c r="FY43" s="2954">
        <f t="shared" si="375"/>
        <v>0</v>
      </c>
      <c r="FZ43" s="3001">
        <f t="shared" ref="FZ43:GH58" si="498">SUM(EA43+FN43)</f>
        <v>19887.677895930643</v>
      </c>
      <c r="GA43" s="3001">
        <f t="shared" si="498"/>
        <v>19887.677895930643</v>
      </c>
      <c r="GB43" s="3001">
        <f t="shared" si="498"/>
        <v>0</v>
      </c>
      <c r="GC43" s="3001">
        <f t="shared" si="498"/>
        <v>15796.671159999998</v>
      </c>
      <c r="GD43" s="3001">
        <f t="shared" si="498"/>
        <v>15796.671159999998</v>
      </c>
      <c r="GE43" s="3001">
        <f t="shared" si="498"/>
        <v>0</v>
      </c>
      <c r="GF43" s="3001">
        <f t="shared" si="498"/>
        <v>14027.368</v>
      </c>
      <c r="GG43" s="3001">
        <f t="shared" si="498"/>
        <v>14027.368</v>
      </c>
      <c r="GH43" s="3001">
        <f t="shared" si="498"/>
        <v>0</v>
      </c>
      <c r="GI43" s="2954">
        <f t="shared" si="377"/>
        <v>-4091.0067359306449</v>
      </c>
      <c r="GJ43" s="2954">
        <f t="shared" si="377"/>
        <v>-4091.0067359306449</v>
      </c>
      <c r="GK43" s="2954">
        <f t="shared" si="377"/>
        <v>0</v>
      </c>
      <c r="GM43" s="4234"/>
    </row>
    <row r="44" spans="1:195" ht="18.75" customHeight="1" x14ac:dyDescent="0.3">
      <c r="A44" s="2879" t="s">
        <v>3757</v>
      </c>
      <c r="B44" s="2875">
        <f t="shared" si="440"/>
        <v>584.41661767510561</v>
      </c>
      <c r="C44" s="2875">
        <f>SUM('ПОЛНАЯ СЕБЕСТОИМОСТЬ СТОКИ 2021'!C160)/3</f>
        <v>584.41661767510561</v>
      </c>
      <c r="D44" s="2875">
        <f>SUM('ПОЛНАЯ СЕБЕСТОИМОСТЬ СТОКИ 2021'!D160)/3</f>
        <v>0</v>
      </c>
      <c r="E44" s="2875">
        <f t="shared" si="441"/>
        <v>703.07999999999993</v>
      </c>
      <c r="F44" s="2875">
        <f>SUM('ПОЛНАЯ СЕБЕСТОИМОСТЬ СТОКИ 2021'!F160)</f>
        <v>703.07999999999993</v>
      </c>
      <c r="G44" s="2875">
        <f>SUM('ПОЛНАЯ СЕБЕСТОИМОСТЬ СТОКИ 2021'!G160)</f>
        <v>0</v>
      </c>
      <c r="H44" s="2955">
        <f t="shared" ref="H44:H60" si="499">SUM(I44:J44)</f>
        <v>625.65</v>
      </c>
      <c r="I44" s="2955">
        <v>625.65</v>
      </c>
      <c r="J44" s="2955">
        <v>0</v>
      </c>
      <c r="K44" s="2875">
        <f t="shared" si="443"/>
        <v>584.41661767510561</v>
      </c>
      <c r="L44" s="2875">
        <f t="shared" si="444"/>
        <v>584.41661767510561</v>
      </c>
      <c r="M44" s="2875">
        <f t="shared" si="445"/>
        <v>0</v>
      </c>
      <c r="N44" s="2875">
        <f t="shared" si="446"/>
        <v>619.83300000000008</v>
      </c>
      <c r="O44" s="2875">
        <f>SUM('ПОЛНАЯ СЕБЕСТОИМОСТЬ СТОКИ 2021'!I160)</f>
        <v>619.83300000000008</v>
      </c>
      <c r="P44" s="2875">
        <f>SUM('ПОЛНАЯ СЕБЕСТОИМОСТЬ СТОКИ 2021'!J160)</f>
        <v>0</v>
      </c>
      <c r="Q44" s="2955">
        <f t="shared" ref="Q44:Q47" si="500">SUM(R44:S44)</f>
        <v>537.12400000000002</v>
      </c>
      <c r="R44" s="2955">
        <v>537.12400000000002</v>
      </c>
      <c r="S44" s="2955">
        <v>0</v>
      </c>
      <c r="T44" s="2875">
        <f t="shared" si="448"/>
        <v>584.41661767510561</v>
      </c>
      <c r="U44" s="2875">
        <f t="shared" si="449"/>
        <v>584.41661767510561</v>
      </c>
      <c r="V44" s="2875">
        <f t="shared" si="450"/>
        <v>0</v>
      </c>
      <c r="W44" s="2875">
        <f t="shared" si="451"/>
        <v>669.96699999999998</v>
      </c>
      <c r="X44" s="2875">
        <f>SUM('ПОЛНАЯ СЕБЕСТОИМОСТЬ СТОКИ 2021'!L160)</f>
        <v>669.96699999999998</v>
      </c>
      <c r="Y44" s="2875">
        <f>SUM('ПОЛНАЯ СЕБЕСТОИМОСТЬ СТОКИ 2021'!M160)</f>
        <v>0</v>
      </c>
      <c r="Z44" s="2955">
        <f t="shared" ref="Z44:Z47" si="501">SUM(AA44:AB44)</f>
        <v>639.76</v>
      </c>
      <c r="AA44" s="2955">
        <v>639.76</v>
      </c>
      <c r="AB44" s="2955">
        <v>0</v>
      </c>
      <c r="AC44" s="3003">
        <f t="shared" si="453"/>
        <v>1753.249853025317</v>
      </c>
      <c r="AD44" s="3003">
        <f t="shared" si="453"/>
        <v>1753.249853025317</v>
      </c>
      <c r="AE44" s="3003">
        <f t="shared" si="453"/>
        <v>0</v>
      </c>
      <c r="AF44" s="3003">
        <f t="shared" si="453"/>
        <v>1992.88</v>
      </c>
      <c r="AG44" s="3003">
        <f t="shared" si="453"/>
        <v>1992.88</v>
      </c>
      <c r="AH44" s="3003">
        <f t="shared" si="453"/>
        <v>0</v>
      </c>
      <c r="AI44" s="3003">
        <f t="shared" si="453"/>
        <v>1802.5339999999999</v>
      </c>
      <c r="AJ44" s="3003">
        <f t="shared" si="453"/>
        <v>1802.5339999999999</v>
      </c>
      <c r="AK44" s="3003">
        <f t="shared" si="453"/>
        <v>0</v>
      </c>
      <c r="AL44" s="2919">
        <f t="shared" si="365"/>
        <v>239.63014697468316</v>
      </c>
      <c r="AM44" s="2919">
        <f t="shared" si="365"/>
        <v>239.63014697468316</v>
      </c>
      <c r="AN44" s="2919">
        <f t="shared" si="365"/>
        <v>0</v>
      </c>
      <c r="AO44" s="2875">
        <f t="shared" si="454"/>
        <v>584.41661767510561</v>
      </c>
      <c r="AP44" s="2875">
        <f>SUM('ПОЛНАЯ СЕБЕСТОИМОСТЬ СТОКИ 2021'!R160)/3</f>
        <v>584.41661767510561</v>
      </c>
      <c r="AQ44" s="2875">
        <f>SUM('ПОЛНАЯ СЕБЕСТОИМОСТЬ СТОКИ 2021'!S160)/3</f>
        <v>0</v>
      </c>
      <c r="AR44" s="2875">
        <f t="shared" si="455"/>
        <v>610.46</v>
      </c>
      <c r="AS44" s="2875">
        <f>SUM('ПОЛНАЯ СЕБЕСТОИМОСТЬ СТОКИ 2021'!U160)</f>
        <v>610.46</v>
      </c>
      <c r="AT44" s="2875">
        <f>SUM('ПОЛНАЯ СЕБЕСТОИМОСТЬ СТОКИ 2021'!V160)</f>
        <v>0</v>
      </c>
      <c r="AU44" s="2955">
        <f t="shared" ref="AU44:AU47" si="502">SUM(AV44:AW44)</f>
        <v>545.07000000000005</v>
      </c>
      <c r="AV44" s="2955">
        <v>545.07000000000005</v>
      </c>
      <c r="AW44" s="2955">
        <v>0</v>
      </c>
      <c r="AX44" s="2875">
        <f t="shared" si="457"/>
        <v>584.41661767510561</v>
      </c>
      <c r="AY44" s="2875">
        <f t="shared" si="458"/>
        <v>584.41661767510561</v>
      </c>
      <c r="AZ44" s="2875">
        <f t="shared" si="459"/>
        <v>0</v>
      </c>
      <c r="BA44" s="2951">
        <f t="shared" si="460"/>
        <v>1016.04</v>
      </c>
      <c r="BB44" s="2951">
        <f>SUM('ПОЛНАЯ СЕБЕСТОИМОСТЬ СТОКИ 2021'!X160)</f>
        <v>1016.04</v>
      </c>
      <c r="BC44" s="2951">
        <f>SUM('ПОЛНАЯ СЕБЕСТОИМОСТЬ СТОКИ 2021'!Y160)</f>
        <v>0</v>
      </c>
      <c r="BD44" s="2955">
        <f t="shared" ref="BD44:BD47" si="503">SUM(BE44:BF44)</f>
        <v>695.47</v>
      </c>
      <c r="BE44" s="2955">
        <v>695.47</v>
      </c>
      <c r="BF44" s="2955">
        <v>0</v>
      </c>
      <c r="BG44" s="2875">
        <f t="shared" si="462"/>
        <v>584.41661767510561</v>
      </c>
      <c r="BH44" s="2875">
        <f t="shared" si="463"/>
        <v>584.41661767510561</v>
      </c>
      <c r="BI44" s="2875">
        <f t="shared" si="464"/>
        <v>0</v>
      </c>
      <c r="BJ44" s="2875">
        <f t="shared" si="465"/>
        <v>342.27100000000002</v>
      </c>
      <c r="BK44" s="2951">
        <f>SUM('ПОЛНАЯ СЕБЕСТОИМОСТЬ СТОКИ 2021'!AA160)</f>
        <v>342.27100000000002</v>
      </c>
      <c r="BL44" s="2875">
        <f>SUM('ПОЛНАЯ СЕБЕСТОИМОСТЬ СТОКИ 2021'!AB160)</f>
        <v>0</v>
      </c>
      <c r="BM44" s="2955">
        <f t="shared" ref="BM44:BM47" si="504">SUM(BN44:BO44)</f>
        <v>669.35</v>
      </c>
      <c r="BN44" s="2955">
        <v>669.35</v>
      </c>
      <c r="BO44" s="2955">
        <v>0</v>
      </c>
      <c r="BP44" s="3003">
        <f t="shared" si="467"/>
        <v>1753.249853025317</v>
      </c>
      <c r="BQ44" s="3003">
        <f t="shared" si="467"/>
        <v>1753.249853025317</v>
      </c>
      <c r="BR44" s="3003">
        <f t="shared" si="467"/>
        <v>0</v>
      </c>
      <c r="BS44" s="3003">
        <f t="shared" si="467"/>
        <v>1968.771</v>
      </c>
      <c r="BT44" s="3003">
        <f t="shared" si="467"/>
        <v>1968.771</v>
      </c>
      <c r="BU44" s="3003">
        <f t="shared" si="467"/>
        <v>0</v>
      </c>
      <c r="BV44" s="3003">
        <f t="shared" si="467"/>
        <v>1909.8899999999999</v>
      </c>
      <c r="BW44" s="3003">
        <f t="shared" si="467"/>
        <v>1909.8899999999999</v>
      </c>
      <c r="BX44" s="3003">
        <f t="shared" si="467"/>
        <v>0</v>
      </c>
      <c r="BY44" s="2919">
        <f t="shared" si="367"/>
        <v>215.52114697468301</v>
      </c>
      <c r="BZ44" s="2919">
        <f t="shared" si="367"/>
        <v>215.52114697468301</v>
      </c>
      <c r="CA44" s="2919">
        <f t="shared" si="367"/>
        <v>0</v>
      </c>
      <c r="CB44" s="3003">
        <f t="shared" si="468"/>
        <v>3506.4997060506339</v>
      </c>
      <c r="CC44" s="3003">
        <f t="shared" si="468"/>
        <v>3506.4997060506339</v>
      </c>
      <c r="CD44" s="3003">
        <f t="shared" si="468"/>
        <v>0</v>
      </c>
      <c r="CE44" s="3003">
        <f t="shared" si="468"/>
        <v>3961.6509999999998</v>
      </c>
      <c r="CF44" s="3003">
        <f t="shared" si="468"/>
        <v>3961.6509999999998</v>
      </c>
      <c r="CG44" s="3003">
        <f t="shared" si="468"/>
        <v>0</v>
      </c>
      <c r="CH44" s="3032">
        <f t="shared" si="468"/>
        <v>3712.424</v>
      </c>
      <c r="CI44" s="3032">
        <f t="shared" si="468"/>
        <v>3712.424</v>
      </c>
      <c r="CJ44" s="3032">
        <f t="shared" si="468"/>
        <v>0</v>
      </c>
      <c r="CK44" s="2919">
        <f t="shared" si="369"/>
        <v>455.15129394936594</v>
      </c>
      <c r="CL44" s="2919">
        <f t="shared" si="369"/>
        <v>455.15129394936594</v>
      </c>
      <c r="CM44" s="2919">
        <f t="shared" si="369"/>
        <v>0</v>
      </c>
      <c r="CN44" s="2875">
        <f t="shared" si="469"/>
        <v>584.41661767510561</v>
      </c>
      <c r="CO44" s="2875">
        <f>SUM('ПОЛНАЯ СЕБЕСТОИМОСТЬ СТОКИ 2021'!AP160)/3</f>
        <v>584.41661767510561</v>
      </c>
      <c r="CP44" s="2875">
        <f>SUM('ПОЛНАЯ СЕБЕСТОИМОСТЬ СТОКИ 2021'!AQ160)/3</f>
        <v>0</v>
      </c>
      <c r="CQ44" s="2875">
        <f t="shared" si="470"/>
        <v>550.55999999999995</v>
      </c>
      <c r="CR44" s="2875">
        <f>SUM('ПОЛНАЯ СЕБЕСТОИМОСТЬ СТОКИ 2021'!AS160)</f>
        <v>550.55999999999995</v>
      </c>
      <c r="CS44" s="2875">
        <f>SUM('ПОЛНАЯ СЕБЕСТОИМОСТЬ СТОКИ 2021'!AT160)</f>
        <v>0</v>
      </c>
      <c r="CT44" s="2955">
        <f t="shared" ref="CT44:CT47" si="505">SUM(CU44:CV44)</f>
        <v>599.08000000000004</v>
      </c>
      <c r="CU44" s="2955">
        <v>599.08000000000004</v>
      </c>
      <c r="CV44" s="2955">
        <v>0</v>
      </c>
      <c r="CW44" s="2875">
        <f t="shared" si="472"/>
        <v>584.41661767510561</v>
      </c>
      <c r="CX44" s="2875">
        <f t="shared" si="473"/>
        <v>584.41661767510561</v>
      </c>
      <c r="CY44" s="2875">
        <f t="shared" si="474"/>
        <v>0</v>
      </c>
      <c r="CZ44" s="2875">
        <f t="shared" si="475"/>
        <v>527.31299999999999</v>
      </c>
      <c r="DA44" s="2875">
        <f>SUM('ПОЛНАЯ СЕБЕСТОИМОСТЬ СТОКИ 2021'!AV160)</f>
        <v>527.31299999999999</v>
      </c>
      <c r="DB44" s="2875">
        <f>SUM('ПОЛНАЯ СЕБЕСТОИМОСТЬ СТОКИ 2021'!AW160)</f>
        <v>0</v>
      </c>
      <c r="DC44" s="2955">
        <f t="shared" ref="DC44:DC47" si="506">SUM(DD44:DE44)</f>
        <v>566.45000000000005</v>
      </c>
      <c r="DD44" s="2955">
        <v>566.45000000000005</v>
      </c>
      <c r="DE44" s="2955">
        <v>0</v>
      </c>
      <c r="DF44" s="2875">
        <f t="shared" si="477"/>
        <v>584.41661767510561</v>
      </c>
      <c r="DG44" s="2875">
        <f t="shared" si="478"/>
        <v>584.41661767510561</v>
      </c>
      <c r="DH44" s="2875">
        <f t="shared" si="479"/>
        <v>0</v>
      </c>
      <c r="DI44" s="2875">
        <f t="shared" si="480"/>
        <v>665.53399999999999</v>
      </c>
      <c r="DJ44" s="2875">
        <f>SUM('ПОЛНАЯ СЕБЕСТОИМОСТЬ СТОКИ 2021'!AY160)</f>
        <v>665.53399999999999</v>
      </c>
      <c r="DK44" s="2875">
        <f>SUM('ПОЛНАЯ СЕБЕСТОИМОСТЬ СТОКИ 2021'!AZ160)</f>
        <v>0</v>
      </c>
      <c r="DL44" s="2955">
        <f t="shared" ref="DL44:DL47" si="507">SUM(DM44:DN44)</f>
        <v>513.78</v>
      </c>
      <c r="DM44" s="2955">
        <v>513.78</v>
      </c>
      <c r="DN44" s="2955">
        <v>0</v>
      </c>
      <c r="DO44" s="3003">
        <f t="shared" si="482"/>
        <v>1753.249853025317</v>
      </c>
      <c r="DP44" s="3003">
        <f t="shared" si="482"/>
        <v>1753.249853025317</v>
      </c>
      <c r="DQ44" s="3003">
        <f t="shared" si="482"/>
        <v>0</v>
      </c>
      <c r="DR44" s="3003">
        <f t="shared" si="482"/>
        <v>1743.4070000000002</v>
      </c>
      <c r="DS44" s="3003">
        <f t="shared" si="482"/>
        <v>1743.4070000000002</v>
      </c>
      <c r="DT44" s="3003">
        <f t="shared" si="482"/>
        <v>0</v>
      </c>
      <c r="DU44" s="3003">
        <f t="shared" si="482"/>
        <v>1679.3100000000002</v>
      </c>
      <c r="DV44" s="3003">
        <f t="shared" si="482"/>
        <v>1679.3100000000002</v>
      </c>
      <c r="DW44" s="3003">
        <f t="shared" si="482"/>
        <v>0</v>
      </c>
      <c r="DX44" s="2919">
        <f t="shared" si="371"/>
        <v>-9.8428530253167992</v>
      </c>
      <c r="DY44" s="2919">
        <f t="shared" si="371"/>
        <v>-9.8428530253167992</v>
      </c>
      <c r="DZ44" s="2919">
        <f t="shared" si="371"/>
        <v>0</v>
      </c>
      <c r="EA44" s="3003">
        <f t="shared" si="483"/>
        <v>5259.7495590759509</v>
      </c>
      <c r="EB44" s="3003">
        <f t="shared" si="483"/>
        <v>5259.7495590759509</v>
      </c>
      <c r="EC44" s="3003">
        <f t="shared" si="483"/>
        <v>0</v>
      </c>
      <c r="ED44" s="3003">
        <f t="shared" si="483"/>
        <v>5705.058</v>
      </c>
      <c r="EE44" s="3003">
        <f t="shared" si="483"/>
        <v>5705.058</v>
      </c>
      <c r="EF44" s="3003">
        <f t="shared" si="483"/>
        <v>0</v>
      </c>
      <c r="EG44" s="3003">
        <f t="shared" si="483"/>
        <v>5391.7340000000004</v>
      </c>
      <c r="EH44" s="3003">
        <f t="shared" si="483"/>
        <v>5391.7340000000004</v>
      </c>
      <c r="EI44" s="3003">
        <f t="shared" si="483"/>
        <v>0</v>
      </c>
      <c r="EJ44" s="2919">
        <f t="shared" si="373"/>
        <v>445.30844092404914</v>
      </c>
      <c r="EK44" s="2919">
        <f t="shared" si="373"/>
        <v>445.30844092404914</v>
      </c>
      <c r="EL44" s="2919">
        <f t="shared" si="373"/>
        <v>0</v>
      </c>
      <c r="EM44" s="2875">
        <f t="shared" si="484"/>
        <v>584.41661767510561</v>
      </c>
      <c r="EN44" s="2875">
        <f>SUM('ПОЛНАЯ СЕБЕСТОИМОСТЬ СТОКИ 2021'!BN160)/3</f>
        <v>584.41661767510561</v>
      </c>
      <c r="EO44" s="2875">
        <f>SUM('ПОЛНАЯ СЕБЕСТОИМОСТЬ СТОКИ 2021'!BO160)/3</f>
        <v>0</v>
      </c>
      <c r="EP44" s="2875">
        <f t="shared" si="485"/>
        <v>486.08799999999997</v>
      </c>
      <c r="EQ44" s="2875">
        <f>SUM('ПОЛНАЯ СЕБЕСТОИМОСТЬ СТОКИ 2021'!BQ160)</f>
        <v>486.08799999999997</v>
      </c>
      <c r="ER44" s="2875">
        <f>SUM('ПОЛНАЯ СЕБЕСТОИМОСТЬ СТОКИ 2021'!BR160)</f>
        <v>0</v>
      </c>
      <c r="ES44" s="2955">
        <f t="shared" ref="ES44:ES47" si="508">SUM(ET44:EU44)</f>
        <v>489.47</v>
      </c>
      <c r="ET44" s="2955">
        <v>489.47</v>
      </c>
      <c r="EU44" s="2955">
        <v>0</v>
      </c>
      <c r="EV44" s="2875">
        <f t="shared" si="487"/>
        <v>584.41661767510561</v>
      </c>
      <c r="EW44" s="2875">
        <f t="shared" si="488"/>
        <v>584.41661767510561</v>
      </c>
      <c r="EX44" s="2875">
        <f t="shared" si="489"/>
        <v>0</v>
      </c>
      <c r="EY44" s="2875">
        <f t="shared" si="490"/>
        <v>732.93299999999999</v>
      </c>
      <c r="EZ44" s="2875">
        <f>SUM('ПОЛНАЯ СЕБЕСТОИМОСТЬ СТОКИ 2021'!BT160)</f>
        <v>732.93299999999999</v>
      </c>
      <c r="FA44" s="2875">
        <f>SUM('ПОЛНАЯ СЕБЕСТОИМОСТЬ СТОКИ 2021'!BU160)</f>
        <v>0</v>
      </c>
      <c r="FB44" s="2955">
        <f t="shared" ref="FB44:FB47" si="509">SUM(FC44:FD44)</f>
        <v>527.53399999999999</v>
      </c>
      <c r="FC44" s="2955">
        <v>527.53399999999999</v>
      </c>
      <c r="FD44" s="2955">
        <v>0</v>
      </c>
      <c r="FE44" s="2875">
        <f t="shared" si="492"/>
        <v>584.41661767510561</v>
      </c>
      <c r="FF44" s="2875">
        <f t="shared" si="493"/>
        <v>584.41661767510561</v>
      </c>
      <c r="FG44" s="2875">
        <f t="shared" si="494"/>
        <v>0</v>
      </c>
      <c r="FH44" s="2875">
        <f t="shared" si="495"/>
        <v>635.11099999999999</v>
      </c>
      <c r="FI44" s="2875">
        <f>SUM('ПОЛНАЯ СЕБЕСТОИМОСТЬ СТОКИ 2021'!BW160)</f>
        <v>635.11099999999999</v>
      </c>
      <c r="FJ44" s="2875">
        <f>SUM('ПОЛНАЯ СЕБЕСТОИМОСТЬ СТОКИ 2021'!BX160)</f>
        <v>0</v>
      </c>
      <c r="FK44" s="2955">
        <f t="shared" ref="FK44:FK47" si="510">SUM(FL44:FM44)</f>
        <v>590.31500000000005</v>
      </c>
      <c r="FL44" s="2955">
        <v>590.31500000000005</v>
      </c>
      <c r="FM44" s="2955">
        <v>0</v>
      </c>
      <c r="FN44" s="3003">
        <f t="shared" si="497"/>
        <v>1753.249853025317</v>
      </c>
      <c r="FO44" s="3003">
        <f t="shared" si="497"/>
        <v>1753.249853025317</v>
      </c>
      <c r="FP44" s="3003">
        <f t="shared" si="497"/>
        <v>0</v>
      </c>
      <c r="FQ44" s="3003">
        <f t="shared" si="497"/>
        <v>1854.1320000000001</v>
      </c>
      <c r="FR44" s="3003">
        <f t="shared" si="497"/>
        <v>1854.1320000000001</v>
      </c>
      <c r="FS44" s="3003">
        <f t="shared" si="497"/>
        <v>0</v>
      </c>
      <c r="FT44" s="3003">
        <f t="shared" si="497"/>
        <v>1607.319</v>
      </c>
      <c r="FU44" s="3003">
        <f t="shared" si="497"/>
        <v>1607.319</v>
      </c>
      <c r="FV44" s="3003">
        <f t="shared" si="497"/>
        <v>0</v>
      </c>
      <c r="FW44" s="2919">
        <f t="shared" si="375"/>
        <v>100.88214697468311</v>
      </c>
      <c r="FX44" s="2919">
        <f t="shared" si="375"/>
        <v>100.88214697468311</v>
      </c>
      <c r="FY44" s="2919">
        <f t="shared" si="375"/>
        <v>0</v>
      </c>
      <c r="FZ44" s="3003">
        <f t="shared" si="498"/>
        <v>7012.9994121012678</v>
      </c>
      <c r="GA44" s="3003">
        <f t="shared" si="498"/>
        <v>7012.9994121012678</v>
      </c>
      <c r="GB44" s="3003">
        <f t="shared" si="498"/>
        <v>0</v>
      </c>
      <c r="GC44" s="3003">
        <f t="shared" si="498"/>
        <v>7559.1900000000005</v>
      </c>
      <c r="GD44" s="3003">
        <f t="shared" si="498"/>
        <v>7559.1900000000005</v>
      </c>
      <c r="GE44" s="3003">
        <f t="shared" si="498"/>
        <v>0</v>
      </c>
      <c r="GF44" s="3003">
        <f t="shared" si="498"/>
        <v>6999.0529999999999</v>
      </c>
      <c r="GG44" s="3003">
        <f t="shared" si="498"/>
        <v>6999.0529999999999</v>
      </c>
      <c r="GH44" s="3003">
        <f t="shared" si="498"/>
        <v>0</v>
      </c>
      <c r="GI44" s="2919">
        <f t="shared" si="377"/>
        <v>546.1905878987327</v>
      </c>
      <c r="GJ44" s="2919">
        <f t="shared" si="377"/>
        <v>546.1905878987327</v>
      </c>
      <c r="GK44" s="2919">
        <f t="shared" si="377"/>
        <v>0</v>
      </c>
      <c r="GM44" s="4234"/>
    </row>
    <row r="45" spans="1:195" ht="18.75" customHeight="1" x14ac:dyDescent="0.3">
      <c r="A45" s="2879" t="s">
        <v>3758</v>
      </c>
      <c r="B45" s="2875">
        <f t="shared" si="440"/>
        <v>175.3248281211504</v>
      </c>
      <c r="C45" s="2875">
        <f>SUM('ПОЛНАЯ СЕБЕСТОИМОСТЬ СТОКИ 2021'!C161)/3</f>
        <v>175.3248281211504</v>
      </c>
      <c r="D45" s="2875">
        <f>SUM('ПОЛНАЯ СЕБЕСТОИМОСТЬ СТОКИ 2021'!D161)/3</f>
        <v>0</v>
      </c>
      <c r="E45" s="2875">
        <f t="shared" si="441"/>
        <v>211.89</v>
      </c>
      <c r="F45" s="2875">
        <f>SUM('ПОЛНАЯ СЕБЕСТОИМОСТЬ СТОКИ 2021'!F161)</f>
        <v>211.89</v>
      </c>
      <c r="G45" s="2875">
        <f>SUM('ПОЛНАЯ СЕБЕСТОИМОСТЬ СТОКИ 2021'!G161)</f>
        <v>0</v>
      </c>
      <c r="H45" s="2955">
        <f t="shared" si="499"/>
        <v>188.84</v>
      </c>
      <c r="I45" s="2955">
        <v>188.84</v>
      </c>
      <c r="J45" s="2955">
        <v>0</v>
      </c>
      <c r="K45" s="2875">
        <f t="shared" si="443"/>
        <v>175.3248281211504</v>
      </c>
      <c r="L45" s="2875">
        <f t="shared" si="444"/>
        <v>175.3248281211504</v>
      </c>
      <c r="M45" s="2875">
        <f t="shared" si="445"/>
        <v>0</v>
      </c>
      <c r="N45" s="2875">
        <f t="shared" si="446"/>
        <v>185.74600000000001</v>
      </c>
      <c r="O45" s="2875">
        <f>SUM('ПОЛНАЯ СЕБЕСТОИМОСТЬ СТОКИ 2021'!I161)</f>
        <v>185.74600000000001</v>
      </c>
      <c r="P45" s="2875">
        <f>SUM('ПОЛНАЯ СЕБЕСТОИМОСТЬ СТОКИ 2021'!J161)</f>
        <v>0</v>
      </c>
      <c r="Q45" s="2955">
        <f t="shared" si="500"/>
        <v>162.12</v>
      </c>
      <c r="R45" s="2955">
        <v>162.12</v>
      </c>
      <c r="S45" s="2955">
        <v>0</v>
      </c>
      <c r="T45" s="2875">
        <f t="shared" si="448"/>
        <v>175.3248281211504</v>
      </c>
      <c r="U45" s="2875">
        <f t="shared" si="449"/>
        <v>175.3248281211504</v>
      </c>
      <c r="V45" s="2875">
        <f t="shared" si="450"/>
        <v>0</v>
      </c>
      <c r="W45" s="2875">
        <f t="shared" si="451"/>
        <v>202.29000000000002</v>
      </c>
      <c r="X45" s="2875">
        <f>SUM('ПОЛНАЯ СЕБЕСТОИМОСТЬ СТОКИ 2021'!L161)</f>
        <v>202.29000000000002</v>
      </c>
      <c r="Y45" s="2875">
        <f>SUM('ПОЛНАЯ СЕБЕСТОИМОСТЬ СТОКИ 2021'!M161)</f>
        <v>0</v>
      </c>
      <c r="Z45" s="2955">
        <f t="shared" si="501"/>
        <v>191.81</v>
      </c>
      <c r="AA45" s="2955">
        <v>191.81</v>
      </c>
      <c r="AB45" s="2955">
        <v>0</v>
      </c>
      <c r="AC45" s="3003">
        <f t="shared" si="453"/>
        <v>525.97448436345121</v>
      </c>
      <c r="AD45" s="3003">
        <f t="shared" si="453"/>
        <v>525.97448436345121</v>
      </c>
      <c r="AE45" s="3003">
        <f t="shared" si="453"/>
        <v>0</v>
      </c>
      <c r="AF45" s="3003">
        <f t="shared" si="453"/>
        <v>599.92599999999993</v>
      </c>
      <c r="AG45" s="3003">
        <f t="shared" si="453"/>
        <v>599.92599999999993</v>
      </c>
      <c r="AH45" s="3003">
        <f t="shared" si="453"/>
        <v>0</v>
      </c>
      <c r="AI45" s="3003">
        <f t="shared" si="453"/>
        <v>542.77</v>
      </c>
      <c r="AJ45" s="3003">
        <f t="shared" si="453"/>
        <v>542.77</v>
      </c>
      <c r="AK45" s="3003">
        <f t="shared" si="453"/>
        <v>0</v>
      </c>
      <c r="AL45" s="2919">
        <f t="shared" si="365"/>
        <v>73.95151563654872</v>
      </c>
      <c r="AM45" s="2919">
        <f t="shared" si="365"/>
        <v>73.95151563654872</v>
      </c>
      <c r="AN45" s="2919">
        <f t="shared" si="365"/>
        <v>0</v>
      </c>
      <c r="AO45" s="2875">
        <f t="shared" si="454"/>
        <v>175.3248281211504</v>
      </c>
      <c r="AP45" s="2875">
        <f>SUM('ПОЛНАЯ СЕБЕСТОИМОСТЬ СТОКИ 2021'!R161)/3</f>
        <v>175.3248281211504</v>
      </c>
      <c r="AQ45" s="2875">
        <f>SUM('ПОЛНАЯ СЕБЕСТОИМОСТЬ СТОКИ 2021'!S161)/3</f>
        <v>0</v>
      </c>
      <c r="AR45" s="2875">
        <f t="shared" si="455"/>
        <v>183.81</v>
      </c>
      <c r="AS45" s="2875">
        <f>SUM('ПОЛНАЯ СЕБЕСТОИМОСТЬ СТОКИ 2021'!U161)</f>
        <v>183.81</v>
      </c>
      <c r="AT45" s="2875">
        <f>SUM('ПОЛНАЯ СЕБЕСТОИМОСТЬ СТОКИ 2021'!V161)</f>
        <v>0</v>
      </c>
      <c r="AU45" s="2955">
        <f t="shared" si="502"/>
        <v>163.19999999999999</v>
      </c>
      <c r="AV45" s="2955">
        <v>163.19999999999999</v>
      </c>
      <c r="AW45" s="2955">
        <v>0</v>
      </c>
      <c r="AX45" s="2875">
        <f t="shared" si="457"/>
        <v>175.3248281211504</v>
      </c>
      <c r="AY45" s="2875">
        <f t="shared" si="458"/>
        <v>175.3248281211504</v>
      </c>
      <c r="AZ45" s="2875">
        <f t="shared" si="459"/>
        <v>0</v>
      </c>
      <c r="BA45" s="2951">
        <f t="shared" si="460"/>
        <v>306.60000000000002</v>
      </c>
      <c r="BB45" s="2951">
        <f>SUM('ПОЛНАЯ СЕБЕСТОИМОСТЬ СТОКИ 2021'!X161)</f>
        <v>306.60000000000002</v>
      </c>
      <c r="BC45" s="2951">
        <f>SUM('ПОЛНАЯ СЕБЕСТОИМОСТЬ СТОКИ 2021'!Y161)</f>
        <v>0</v>
      </c>
      <c r="BD45" s="2955">
        <f t="shared" si="503"/>
        <v>209.9</v>
      </c>
      <c r="BE45" s="2955">
        <v>209.9</v>
      </c>
      <c r="BF45" s="2955">
        <v>0</v>
      </c>
      <c r="BG45" s="2875">
        <f t="shared" si="462"/>
        <v>175.3248281211504</v>
      </c>
      <c r="BH45" s="2875">
        <f t="shared" si="463"/>
        <v>175.3248281211504</v>
      </c>
      <c r="BI45" s="2875">
        <f t="shared" si="464"/>
        <v>0</v>
      </c>
      <c r="BJ45" s="2875">
        <f t="shared" si="465"/>
        <v>101.90600000000001</v>
      </c>
      <c r="BK45" s="2875">
        <f>SUM('ПОЛНАЯ СЕБЕСТОИМОСТЬ СТОКИ 2021'!AA161)</f>
        <v>101.90600000000001</v>
      </c>
      <c r="BL45" s="2875">
        <f>SUM('ПОЛНАЯ СЕБЕСТОИМОСТЬ СТОКИ 2021'!AB161)</f>
        <v>0</v>
      </c>
      <c r="BM45" s="2955">
        <f t="shared" si="504"/>
        <v>202.04</v>
      </c>
      <c r="BN45" s="2955">
        <v>202.04</v>
      </c>
      <c r="BO45" s="2955">
        <v>0</v>
      </c>
      <c r="BP45" s="3003">
        <f t="shared" si="467"/>
        <v>525.97448436345121</v>
      </c>
      <c r="BQ45" s="3003">
        <f t="shared" si="467"/>
        <v>525.97448436345121</v>
      </c>
      <c r="BR45" s="3003">
        <f t="shared" si="467"/>
        <v>0</v>
      </c>
      <c r="BS45" s="3003">
        <f t="shared" si="467"/>
        <v>592.31600000000003</v>
      </c>
      <c r="BT45" s="3003">
        <f t="shared" si="467"/>
        <v>592.31600000000003</v>
      </c>
      <c r="BU45" s="3003">
        <f t="shared" si="467"/>
        <v>0</v>
      </c>
      <c r="BV45" s="3003">
        <f t="shared" si="467"/>
        <v>575.14</v>
      </c>
      <c r="BW45" s="3003">
        <f t="shared" si="467"/>
        <v>575.14</v>
      </c>
      <c r="BX45" s="3003">
        <f t="shared" si="467"/>
        <v>0</v>
      </c>
      <c r="BY45" s="2919">
        <f t="shared" si="367"/>
        <v>66.34151563654882</v>
      </c>
      <c r="BZ45" s="2919">
        <f t="shared" si="367"/>
        <v>66.34151563654882</v>
      </c>
      <c r="CA45" s="2919">
        <f t="shared" si="367"/>
        <v>0</v>
      </c>
      <c r="CB45" s="3003">
        <f t="shared" si="468"/>
        <v>1051.9489687269024</v>
      </c>
      <c r="CC45" s="3003">
        <f t="shared" si="468"/>
        <v>1051.9489687269024</v>
      </c>
      <c r="CD45" s="3003">
        <f t="shared" si="468"/>
        <v>0</v>
      </c>
      <c r="CE45" s="3003">
        <f t="shared" si="468"/>
        <v>1192.242</v>
      </c>
      <c r="CF45" s="3003">
        <f t="shared" si="468"/>
        <v>1192.242</v>
      </c>
      <c r="CG45" s="3003">
        <f t="shared" si="468"/>
        <v>0</v>
      </c>
      <c r="CH45" s="3032">
        <f t="shared" si="468"/>
        <v>1117.9099999999999</v>
      </c>
      <c r="CI45" s="3032">
        <f t="shared" si="468"/>
        <v>1117.9099999999999</v>
      </c>
      <c r="CJ45" s="3032">
        <f t="shared" si="468"/>
        <v>0</v>
      </c>
      <c r="CK45" s="2919">
        <f t="shared" si="369"/>
        <v>140.29303127309754</v>
      </c>
      <c r="CL45" s="2919">
        <f t="shared" si="369"/>
        <v>140.29303127309754</v>
      </c>
      <c r="CM45" s="2919">
        <f t="shared" si="369"/>
        <v>0</v>
      </c>
      <c r="CN45" s="2875">
        <f t="shared" si="469"/>
        <v>175.3248281211504</v>
      </c>
      <c r="CO45" s="2875">
        <f>SUM('ПОЛНАЯ СЕБЕСТОИМОСТЬ СТОКИ 2021'!AP161)/3</f>
        <v>175.3248281211504</v>
      </c>
      <c r="CP45" s="2875">
        <f>SUM('ПОЛНАЯ СЕБЕСТОИМОСТЬ СТОКИ 2021'!AQ161)/3</f>
        <v>0</v>
      </c>
      <c r="CQ45" s="2875">
        <f t="shared" si="470"/>
        <v>164.37</v>
      </c>
      <c r="CR45" s="2875">
        <f>SUM('ПОЛНАЯ СЕБЕСТОИМОСТЬ СТОКИ 2021'!AS161)</f>
        <v>164.37</v>
      </c>
      <c r="CS45" s="2875">
        <f>SUM('ПОЛНАЯ СЕБЕСТОИМОСТЬ СТОКИ 2021'!AT161)</f>
        <v>0</v>
      </c>
      <c r="CT45" s="2955">
        <f t="shared" si="505"/>
        <v>180.84</v>
      </c>
      <c r="CU45" s="2955">
        <v>180.84</v>
      </c>
      <c r="CV45" s="2955">
        <v>0</v>
      </c>
      <c r="CW45" s="2875">
        <f t="shared" si="472"/>
        <v>175.3248281211504</v>
      </c>
      <c r="CX45" s="2875">
        <f t="shared" si="473"/>
        <v>175.3248281211504</v>
      </c>
      <c r="CY45" s="2875">
        <f t="shared" si="474"/>
        <v>0</v>
      </c>
      <c r="CZ45" s="2875">
        <f t="shared" si="475"/>
        <v>159.16300000000001</v>
      </c>
      <c r="DA45" s="2875">
        <f>SUM('ПОЛНАЯ СЕБЕСТОИМОСТЬ СТОКИ 2021'!AV161)</f>
        <v>159.16300000000001</v>
      </c>
      <c r="DB45" s="2875">
        <f>SUM('ПОЛНАЯ СЕБЕСТОИМОСТЬ СТОКИ 2021'!AW161)</f>
        <v>0</v>
      </c>
      <c r="DC45" s="2955">
        <f t="shared" si="506"/>
        <v>170.99</v>
      </c>
      <c r="DD45" s="2955">
        <v>170.99</v>
      </c>
      <c r="DE45" s="2955">
        <v>0</v>
      </c>
      <c r="DF45" s="2875">
        <f t="shared" si="477"/>
        <v>175.3248281211504</v>
      </c>
      <c r="DG45" s="2875">
        <f t="shared" si="478"/>
        <v>175.3248281211504</v>
      </c>
      <c r="DH45" s="2875">
        <f t="shared" si="479"/>
        <v>0</v>
      </c>
      <c r="DI45" s="2875">
        <f t="shared" si="480"/>
        <v>200.38900000000001</v>
      </c>
      <c r="DJ45" s="2875">
        <f>SUM('ПОЛНАЯ СЕБЕСТОИМОСТЬ СТОКИ 2021'!AY161)</f>
        <v>200.38900000000001</v>
      </c>
      <c r="DK45" s="2875">
        <f>SUM('ПОЛНАЯ СЕБЕСТОИМОСТЬ СТОКИ 2021'!AZ161)</f>
        <v>0</v>
      </c>
      <c r="DL45" s="2955">
        <f t="shared" si="507"/>
        <v>364.64</v>
      </c>
      <c r="DM45" s="2955">
        <v>364.64</v>
      </c>
      <c r="DN45" s="2955">
        <v>0</v>
      </c>
      <c r="DO45" s="3003">
        <f t="shared" si="482"/>
        <v>525.97448436345121</v>
      </c>
      <c r="DP45" s="3003">
        <f t="shared" si="482"/>
        <v>525.97448436345121</v>
      </c>
      <c r="DQ45" s="3003">
        <f t="shared" si="482"/>
        <v>0</v>
      </c>
      <c r="DR45" s="3003">
        <f t="shared" si="482"/>
        <v>523.92200000000003</v>
      </c>
      <c r="DS45" s="3003">
        <f t="shared" si="482"/>
        <v>523.92200000000003</v>
      </c>
      <c r="DT45" s="3003">
        <f t="shared" si="482"/>
        <v>0</v>
      </c>
      <c r="DU45" s="3003">
        <f t="shared" si="482"/>
        <v>716.47</v>
      </c>
      <c r="DV45" s="3003">
        <f t="shared" si="482"/>
        <v>716.47</v>
      </c>
      <c r="DW45" s="3003">
        <f t="shared" si="482"/>
        <v>0</v>
      </c>
      <c r="DX45" s="2919">
        <f t="shared" si="371"/>
        <v>-2.0524843634511853</v>
      </c>
      <c r="DY45" s="2919">
        <f t="shared" si="371"/>
        <v>-2.0524843634511853</v>
      </c>
      <c r="DZ45" s="2919">
        <f t="shared" si="371"/>
        <v>0</v>
      </c>
      <c r="EA45" s="3003">
        <f t="shared" si="483"/>
        <v>1577.9234530903536</v>
      </c>
      <c r="EB45" s="3003">
        <f t="shared" si="483"/>
        <v>1577.9234530903536</v>
      </c>
      <c r="EC45" s="3003">
        <f t="shared" si="483"/>
        <v>0</v>
      </c>
      <c r="ED45" s="3003">
        <f t="shared" si="483"/>
        <v>1716.164</v>
      </c>
      <c r="EE45" s="3003">
        <f t="shared" si="483"/>
        <v>1716.164</v>
      </c>
      <c r="EF45" s="3003">
        <f t="shared" si="483"/>
        <v>0</v>
      </c>
      <c r="EG45" s="3003">
        <f t="shared" si="483"/>
        <v>1834.3799999999999</v>
      </c>
      <c r="EH45" s="3003">
        <f t="shared" si="483"/>
        <v>1834.3799999999999</v>
      </c>
      <c r="EI45" s="3003">
        <f t="shared" si="483"/>
        <v>0</v>
      </c>
      <c r="EJ45" s="2919">
        <f t="shared" si="373"/>
        <v>138.24054690964635</v>
      </c>
      <c r="EK45" s="2919">
        <f t="shared" si="373"/>
        <v>138.24054690964635</v>
      </c>
      <c r="EL45" s="2919">
        <f t="shared" si="373"/>
        <v>0</v>
      </c>
      <c r="EM45" s="2875">
        <f t="shared" si="484"/>
        <v>175.3248281211504</v>
      </c>
      <c r="EN45" s="2875">
        <f>SUM('ПОЛНАЯ СЕБЕСТОИМОСТЬ СТОКИ 2021'!BN161)/3</f>
        <v>175.3248281211504</v>
      </c>
      <c r="EO45" s="2875">
        <f>SUM('ПОЛНАЯ СЕБЕСТОИМОСТЬ СТОКИ 2021'!BO161)/3</f>
        <v>0</v>
      </c>
      <c r="EP45" s="2875">
        <f t="shared" si="485"/>
        <v>146.74200000000002</v>
      </c>
      <c r="EQ45" s="2875">
        <f>SUM('ПОЛНАЯ СЕБЕСТОИМОСТЬ СТОКИ 2021'!BQ161)</f>
        <v>146.74200000000002</v>
      </c>
      <c r="ER45" s="2875">
        <f>SUM('ПОЛНАЯ СЕБЕСТОИМОСТЬ СТОКИ 2021'!BR161)</f>
        <v>0</v>
      </c>
      <c r="ES45" s="2955">
        <f t="shared" si="508"/>
        <v>144.75</v>
      </c>
      <c r="ET45" s="2955">
        <v>144.75</v>
      </c>
      <c r="EU45" s="2955">
        <v>0</v>
      </c>
      <c r="EV45" s="2875">
        <f t="shared" si="487"/>
        <v>175.3248281211504</v>
      </c>
      <c r="EW45" s="2875">
        <f t="shared" si="488"/>
        <v>175.3248281211504</v>
      </c>
      <c r="EX45" s="2875">
        <f t="shared" si="489"/>
        <v>0</v>
      </c>
      <c r="EY45" s="2875">
        <f t="shared" si="490"/>
        <v>221.19499999999999</v>
      </c>
      <c r="EZ45" s="2875">
        <f>SUM('ПОЛНАЯ СЕБЕСТОИМОСТЬ СТОКИ 2021'!BT161)</f>
        <v>221.19499999999999</v>
      </c>
      <c r="FA45" s="2875">
        <f>SUM('ПОЛНАЯ СЕБЕСТОИМОСТЬ СТОКИ 2021'!BU161)</f>
        <v>0</v>
      </c>
      <c r="FB45" s="2955">
        <f t="shared" si="509"/>
        <v>156.57</v>
      </c>
      <c r="FC45" s="2955">
        <v>156.57</v>
      </c>
      <c r="FD45" s="2955">
        <v>0</v>
      </c>
      <c r="FE45" s="2875">
        <f t="shared" si="492"/>
        <v>175.3248281211504</v>
      </c>
      <c r="FF45" s="2875">
        <f t="shared" si="493"/>
        <v>175.3248281211504</v>
      </c>
      <c r="FG45" s="2875">
        <f t="shared" si="494"/>
        <v>0</v>
      </c>
      <c r="FH45" s="2875">
        <f t="shared" si="495"/>
        <v>187.58199999999999</v>
      </c>
      <c r="FI45" s="2875">
        <f>SUM('ПОЛНАЯ СЕБЕСТОИМОСТЬ СТОКИ 2021'!BW161)</f>
        <v>187.58199999999999</v>
      </c>
      <c r="FJ45" s="2875">
        <f>SUM('ПОЛНАЯ СЕБЕСТОИМОСТЬ СТОКИ 2021'!BX161)</f>
        <v>0</v>
      </c>
      <c r="FK45" s="2955">
        <f t="shared" si="510"/>
        <v>-33.234999999999999</v>
      </c>
      <c r="FL45" s="2955">
        <v>-33.234999999999999</v>
      </c>
      <c r="FM45" s="2955">
        <v>0</v>
      </c>
      <c r="FN45" s="3003">
        <f t="shared" si="497"/>
        <v>525.97448436345121</v>
      </c>
      <c r="FO45" s="3003">
        <f t="shared" si="497"/>
        <v>525.97448436345121</v>
      </c>
      <c r="FP45" s="3003">
        <f t="shared" si="497"/>
        <v>0</v>
      </c>
      <c r="FQ45" s="3003">
        <f t="shared" si="497"/>
        <v>555.51900000000001</v>
      </c>
      <c r="FR45" s="3003">
        <f t="shared" si="497"/>
        <v>555.51900000000001</v>
      </c>
      <c r="FS45" s="3003">
        <f t="shared" si="497"/>
        <v>0</v>
      </c>
      <c r="FT45" s="3003">
        <f t="shared" si="497"/>
        <v>268.08499999999998</v>
      </c>
      <c r="FU45" s="3003">
        <f t="shared" si="497"/>
        <v>268.08499999999998</v>
      </c>
      <c r="FV45" s="3003">
        <f t="shared" si="497"/>
        <v>0</v>
      </c>
      <c r="FW45" s="2919">
        <f t="shared" si="375"/>
        <v>29.544515636548795</v>
      </c>
      <c r="FX45" s="2919">
        <f t="shared" si="375"/>
        <v>29.544515636548795</v>
      </c>
      <c r="FY45" s="2919">
        <f t="shared" si="375"/>
        <v>0</v>
      </c>
      <c r="FZ45" s="3003">
        <f t="shared" si="498"/>
        <v>2103.8979374538048</v>
      </c>
      <c r="GA45" s="3003">
        <f t="shared" si="498"/>
        <v>2103.8979374538048</v>
      </c>
      <c r="GB45" s="3003">
        <f t="shared" si="498"/>
        <v>0</v>
      </c>
      <c r="GC45" s="3003">
        <f t="shared" si="498"/>
        <v>2271.683</v>
      </c>
      <c r="GD45" s="3003">
        <f t="shared" si="498"/>
        <v>2271.683</v>
      </c>
      <c r="GE45" s="3003">
        <f t="shared" si="498"/>
        <v>0</v>
      </c>
      <c r="GF45" s="3003">
        <f t="shared" si="498"/>
        <v>2102.4649999999997</v>
      </c>
      <c r="GG45" s="3003">
        <f t="shared" si="498"/>
        <v>2102.4649999999997</v>
      </c>
      <c r="GH45" s="3003">
        <f t="shared" si="498"/>
        <v>0</v>
      </c>
      <c r="GI45" s="2919">
        <f t="shared" si="377"/>
        <v>167.78506254619515</v>
      </c>
      <c r="GJ45" s="2919">
        <f t="shared" si="377"/>
        <v>167.78506254619515</v>
      </c>
      <c r="GK45" s="2919">
        <f t="shared" si="377"/>
        <v>0</v>
      </c>
      <c r="GM45" s="4234"/>
    </row>
    <row r="46" spans="1:195" ht="18.75" customHeight="1" x14ac:dyDescent="0.3">
      <c r="A46" s="2879" t="s">
        <v>31</v>
      </c>
      <c r="B46" s="2875">
        <f t="shared" si="440"/>
        <v>181.40753946330972</v>
      </c>
      <c r="C46" s="2875">
        <f>SUM('ПОЛНАЯ СЕБЕСТОИМОСТЬ СТОКИ 2021'!C162)/3</f>
        <v>181.40753946330972</v>
      </c>
      <c r="D46" s="2875">
        <f>SUM('ПОЛНАЯ СЕБЕСТОИМОСТЬ СТОКИ 2021'!D162)/3</f>
        <v>0</v>
      </c>
      <c r="E46" s="2875">
        <f t="shared" si="441"/>
        <v>117.55</v>
      </c>
      <c r="F46" s="2875">
        <f>SUM('ПОЛНАЯ СЕБЕСТОИМОСТЬ СТОКИ 2021'!F162)</f>
        <v>117.55</v>
      </c>
      <c r="G46" s="2875">
        <f>SUM('ПОЛНАЯ СЕБЕСТОИМОСТЬ СТОКИ 2021'!G162)</f>
        <v>0</v>
      </c>
      <c r="H46" s="2955">
        <f t="shared" si="499"/>
        <v>13.46</v>
      </c>
      <c r="I46" s="2955">
        <v>13.46</v>
      </c>
      <c r="J46" s="2955">
        <v>0</v>
      </c>
      <c r="K46" s="2875">
        <f t="shared" si="443"/>
        <v>181.40753946330972</v>
      </c>
      <c r="L46" s="2875">
        <f t="shared" si="444"/>
        <v>181.40753946330972</v>
      </c>
      <c r="M46" s="2875">
        <f t="shared" si="445"/>
        <v>0</v>
      </c>
      <c r="N46" s="2875">
        <f t="shared" si="446"/>
        <v>168.65599999999998</v>
      </c>
      <c r="O46" s="2875">
        <f>SUM('ПОЛНАЯ СЕБЕСТОИМОСТЬ СТОКИ 2021'!I162)</f>
        <v>168.65599999999998</v>
      </c>
      <c r="P46" s="2875">
        <f>SUM('ПОЛНАЯ СЕБЕСТОИМОСТЬ СТОКИ 2021'!J162)</f>
        <v>0</v>
      </c>
      <c r="Q46" s="2955">
        <f t="shared" si="500"/>
        <v>108.48</v>
      </c>
      <c r="R46" s="2955">
        <v>108.48</v>
      </c>
      <c r="S46" s="2955">
        <v>0</v>
      </c>
      <c r="T46" s="2875">
        <f t="shared" si="448"/>
        <v>181.40753946330972</v>
      </c>
      <c r="U46" s="2875">
        <f t="shared" si="449"/>
        <v>181.40753946330972</v>
      </c>
      <c r="V46" s="2875">
        <f t="shared" si="450"/>
        <v>0</v>
      </c>
      <c r="W46" s="2875">
        <f t="shared" si="451"/>
        <v>205.029</v>
      </c>
      <c r="X46" s="2875">
        <f>SUM('ПОЛНАЯ СЕБЕСТОИМОСТЬ СТОКИ 2021'!L162)</f>
        <v>205.029</v>
      </c>
      <c r="Y46" s="2875">
        <f>SUM('ПОЛНАЯ СЕБЕСТОИМОСТЬ СТОКИ 2021'!M162)</f>
        <v>0</v>
      </c>
      <c r="Z46" s="2955">
        <f t="shared" si="501"/>
        <v>110.88</v>
      </c>
      <c r="AA46" s="2955">
        <v>110.88</v>
      </c>
      <c r="AB46" s="2955">
        <v>0</v>
      </c>
      <c r="AC46" s="3003">
        <f t="shared" si="453"/>
        <v>544.22261838992915</v>
      </c>
      <c r="AD46" s="3003">
        <f t="shared" si="453"/>
        <v>544.22261838992915</v>
      </c>
      <c r="AE46" s="3003">
        <f t="shared" si="453"/>
        <v>0</v>
      </c>
      <c r="AF46" s="3003">
        <f t="shared" si="453"/>
        <v>491.23499999999996</v>
      </c>
      <c r="AG46" s="3003">
        <f t="shared" si="453"/>
        <v>491.23499999999996</v>
      </c>
      <c r="AH46" s="3003">
        <f t="shared" si="453"/>
        <v>0</v>
      </c>
      <c r="AI46" s="3003">
        <f t="shared" si="453"/>
        <v>232.82</v>
      </c>
      <c r="AJ46" s="3003">
        <f t="shared" si="453"/>
        <v>232.82</v>
      </c>
      <c r="AK46" s="3003">
        <f t="shared" si="453"/>
        <v>0</v>
      </c>
      <c r="AL46" s="2919">
        <f t="shared" si="365"/>
        <v>-52.987618389929196</v>
      </c>
      <c r="AM46" s="2919">
        <f t="shared" si="365"/>
        <v>-52.987618389929196</v>
      </c>
      <c r="AN46" s="2919">
        <f t="shared" si="365"/>
        <v>0</v>
      </c>
      <c r="AO46" s="2875">
        <f t="shared" si="454"/>
        <v>181.40753946330972</v>
      </c>
      <c r="AP46" s="2875">
        <f>SUM('ПОЛНАЯ СЕБЕСТОИМОСТЬ СТОКИ 2021'!R162)/3</f>
        <v>181.40753946330972</v>
      </c>
      <c r="AQ46" s="2875">
        <f>SUM('ПОЛНАЯ СЕБЕСТОИМОСТЬ СТОКИ 2021'!S162)/3</f>
        <v>0</v>
      </c>
      <c r="AR46" s="2875">
        <f t="shared" si="455"/>
        <v>195.07000000000002</v>
      </c>
      <c r="AS46" s="2875">
        <f>SUM('ПОЛНАЯ СЕБЕСТОИМОСТЬ СТОКИ 2021'!U162)</f>
        <v>195.07000000000002</v>
      </c>
      <c r="AT46" s="2875">
        <f>SUM('ПОЛНАЯ СЕБЕСТОИМОСТЬ СТОКИ 2021'!V162)</f>
        <v>0</v>
      </c>
      <c r="AU46" s="2955">
        <f t="shared" si="502"/>
        <v>121.71</v>
      </c>
      <c r="AV46" s="2955">
        <v>121.71</v>
      </c>
      <c r="AW46" s="2955">
        <v>0</v>
      </c>
      <c r="AX46" s="2875">
        <f t="shared" si="457"/>
        <v>181.40753946330972</v>
      </c>
      <c r="AY46" s="2875">
        <f t="shared" si="458"/>
        <v>181.40753946330972</v>
      </c>
      <c r="AZ46" s="2875">
        <f t="shared" si="459"/>
        <v>0</v>
      </c>
      <c r="BA46" s="2951">
        <f t="shared" si="460"/>
        <v>121.09</v>
      </c>
      <c r="BB46" s="2951">
        <f>SUM('ПОЛНАЯ СЕБЕСТОИМОСТЬ СТОКИ 2021'!X162)</f>
        <v>121.09</v>
      </c>
      <c r="BC46" s="2951">
        <f>SUM('ПОЛНАЯ СЕБЕСТОИМОСТЬ СТОКИ 2021'!Y162)</f>
        <v>0</v>
      </c>
      <c r="BD46" s="2955">
        <f t="shared" si="503"/>
        <v>128.85</v>
      </c>
      <c r="BE46" s="2955">
        <v>128.85</v>
      </c>
      <c r="BF46" s="2955">
        <v>0</v>
      </c>
      <c r="BG46" s="2875">
        <f t="shared" si="462"/>
        <v>181.40753946330972</v>
      </c>
      <c r="BH46" s="2875">
        <f t="shared" si="463"/>
        <v>181.40753946330972</v>
      </c>
      <c r="BI46" s="2875">
        <f t="shared" si="464"/>
        <v>0</v>
      </c>
      <c r="BJ46" s="2875">
        <f t="shared" si="465"/>
        <v>141.221</v>
      </c>
      <c r="BK46" s="2875">
        <f>SUM('ПОЛНАЯ СЕБЕСТОИМОСТЬ СТОКИ 2021'!AA162)</f>
        <v>141.221</v>
      </c>
      <c r="BL46" s="2875">
        <f>SUM('ПОЛНАЯ СЕБЕСТОИМОСТЬ СТОКИ 2021'!AB162)</f>
        <v>0</v>
      </c>
      <c r="BM46" s="2955">
        <f t="shared" si="504"/>
        <v>91.33</v>
      </c>
      <c r="BN46" s="2955">
        <v>91.33</v>
      </c>
      <c r="BO46" s="2955">
        <v>0</v>
      </c>
      <c r="BP46" s="3003">
        <f t="shared" si="467"/>
        <v>544.22261838992915</v>
      </c>
      <c r="BQ46" s="3003">
        <f t="shared" si="467"/>
        <v>544.22261838992915</v>
      </c>
      <c r="BR46" s="3003">
        <f t="shared" si="467"/>
        <v>0</v>
      </c>
      <c r="BS46" s="3003">
        <f t="shared" si="467"/>
        <v>457.38100000000003</v>
      </c>
      <c r="BT46" s="3003">
        <f t="shared" si="467"/>
        <v>457.38100000000003</v>
      </c>
      <c r="BU46" s="3003">
        <f t="shared" si="467"/>
        <v>0</v>
      </c>
      <c r="BV46" s="3003">
        <f t="shared" si="467"/>
        <v>341.89</v>
      </c>
      <c r="BW46" s="3003">
        <f t="shared" si="467"/>
        <v>341.89</v>
      </c>
      <c r="BX46" s="3003">
        <f t="shared" si="467"/>
        <v>0</v>
      </c>
      <c r="BY46" s="2919">
        <f t="shared" si="367"/>
        <v>-86.841618389929124</v>
      </c>
      <c r="BZ46" s="2919">
        <f t="shared" si="367"/>
        <v>-86.841618389929124</v>
      </c>
      <c r="CA46" s="2919">
        <f t="shared" si="367"/>
        <v>0</v>
      </c>
      <c r="CB46" s="3003">
        <f t="shared" si="468"/>
        <v>1088.4452367798583</v>
      </c>
      <c r="CC46" s="3003">
        <f t="shared" si="468"/>
        <v>1088.4452367798583</v>
      </c>
      <c r="CD46" s="3003">
        <f t="shared" si="468"/>
        <v>0</v>
      </c>
      <c r="CE46" s="3003">
        <f t="shared" si="468"/>
        <v>948.61599999999999</v>
      </c>
      <c r="CF46" s="3003">
        <f t="shared" si="468"/>
        <v>948.61599999999999</v>
      </c>
      <c r="CG46" s="3003">
        <f t="shared" si="468"/>
        <v>0</v>
      </c>
      <c r="CH46" s="3032">
        <f t="shared" si="468"/>
        <v>574.71</v>
      </c>
      <c r="CI46" s="3032">
        <f t="shared" si="468"/>
        <v>574.71</v>
      </c>
      <c r="CJ46" s="3032">
        <f t="shared" si="468"/>
        <v>0</v>
      </c>
      <c r="CK46" s="2919">
        <f t="shared" si="369"/>
        <v>-139.82923677985832</v>
      </c>
      <c r="CL46" s="2919">
        <f t="shared" si="369"/>
        <v>-139.82923677985832</v>
      </c>
      <c r="CM46" s="2919">
        <f t="shared" si="369"/>
        <v>0</v>
      </c>
      <c r="CN46" s="2875">
        <f t="shared" si="469"/>
        <v>181.40753946330972</v>
      </c>
      <c r="CO46" s="2875">
        <f>SUM('ПОЛНАЯ СЕБЕСТОИМОСТЬ СТОКИ 2021'!AP162)/3</f>
        <v>181.40753946330972</v>
      </c>
      <c r="CP46" s="2875">
        <f>SUM('ПОЛНАЯ СЕБЕСТОИМОСТЬ СТОКИ 2021'!AQ162)/3</f>
        <v>0</v>
      </c>
      <c r="CQ46" s="2875">
        <f t="shared" si="470"/>
        <v>187.26999999999998</v>
      </c>
      <c r="CR46" s="2875">
        <f>SUM('ПОЛНАЯ СЕБЕСТОИМОСТЬ СТОКИ 2021'!AS162)</f>
        <v>187.26999999999998</v>
      </c>
      <c r="CS46" s="2875">
        <f>SUM('ПОЛНАЯ СЕБЕСТОИМОСТЬ СТОКИ 2021'!AT162)</f>
        <v>0</v>
      </c>
      <c r="CT46" s="2955">
        <f t="shared" si="505"/>
        <v>13.58</v>
      </c>
      <c r="CU46" s="2955">
        <v>13.58</v>
      </c>
      <c r="CV46" s="2955">
        <v>0</v>
      </c>
      <c r="CW46" s="2875">
        <f t="shared" si="472"/>
        <v>181.40753946330972</v>
      </c>
      <c r="CX46" s="2875">
        <f t="shared" si="473"/>
        <v>181.40753946330972</v>
      </c>
      <c r="CY46" s="2875">
        <f t="shared" si="474"/>
        <v>0</v>
      </c>
      <c r="CZ46" s="2875">
        <f t="shared" si="475"/>
        <v>145.874</v>
      </c>
      <c r="DA46" s="2875">
        <f>SUM('ПОЛНАЯ СЕБЕСТОИМОСТЬ СТОКИ 2021'!AV162)</f>
        <v>145.874</v>
      </c>
      <c r="DB46" s="2875">
        <f>SUM('ПОЛНАЯ СЕБЕСТОИМОСТЬ СТОКИ 2021'!AW162)</f>
        <v>0</v>
      </c>
      <c r="DC46" s="2955">
        <f t="shared" si="506"/>
        <v>128.72999999999999</v>
      </c>
      <c r="DD46" s="2955">
        <v>128.72999999999999</v>
      </c>
      <c r="DE46" s="2955">
        <v>0</v>
      </c>
      <c r="DF46" s="2875">
        <f t="shared" si="477"/>
        <v>181.40753946330972</v>
      </c>
      <c r="DG46" s="2875">
        <f t="shared" si="478"/>
        <v>181.40753946330972</v>
      </c>
      <c r="DH46" s="2875">
        <f t="shared" si="479"/>
        <v>0</v>
      </c>
      <c r="DI46" s="2875">
        <f t="shared" si="480"/>
        <v>141.40099999999998</v>
      </c>
      <c r="DJ46" s="2875">
        <f>SUM('ПОЛНАЯ СЕБЕСТОИМОСТЬ СТОКИ 2021'!AY162)</f>
        <v>141.40099999999998</v>
      </c>
      <c r="DK46" s="2875">
        <f>SUM('ПОЛНАЯ СЕБЕСТОИМОСТЬ СТОКИ 2021'!AZ162)</f>
        <v>0</v>
      </c>
      <c r="DL46" s="2955">
        <f t="shared" si="507"/>
        <v>94.74</v>
      </c>
      <c r="DM46" s="2955">
        <v>94.74</v>
      </c>
      <c r="DN46" s="2955">
        <v>0</v>
      </c>
      <c r="DO46" s="3003">
        <f t="shared" si="482"/>
        <v>544.22261838992915</v>
      </c>
      <c r="DP46" s="3003">
        <f t="shared" si="482"/>
        <v>544.22261838992915</v>
      </c>
      <c r="DQ46" s="3003">
        <f t="shared" si="482"/>
        <v>0</v>
      </c>
      <c r="DR46" s="3003">
        <f t="shared" si="482"/>
        <v>474.54499999999996</v>
      </c>
      <c r="DS46" s="3003">
        <f t="shared" si="482"/>
        <v>474.54499999999996</v>
      </c>
      <c r="DT46" s="3003">
        <f t="shared" si="482"/>
        <v>0</v>
      </c>
      <c r="DU46" s="3003">
        <f t="shared" si="482"/>
        <v>237.05</v>
      </c>
      <c r="DV46" s="3003">
        <f t="shared" si="482"/>
        <v>237.05</v>
      </c>
      <c r="DW46" s="3003">
        <f t="shared" si="482"/>
        <v>0</v>
      </c>
      <c r="DX46" s="2919">
        <f t="shared" si="371"/>
        <v>-69.677618389929194</v>
      </c>
      <c r="DY46" s="2919">
        <f t="shared" si="371"/>
        <v>-69.677618389929194</v>
      </c>
      <c r="DZ46" s="2919">
        <f t="shared" si="371"/>
        <v>0</v>
      </c>
      <c r="EA46" s="3003">
        <f t="shared" si="483"/>
        <v>1632.6678551697873</v>
      </c>
      <c r="EB46" s="3003">
        <f t="shared" si="483"/>
        <v>1632.6678551697873</v>
      </c>
      <c r="EC46" s="3003">
        <f t="shared" si="483"/>
        <v>0</v>
      </c>
      <c r="ED46" s="3003">
        <f t="shared" si="483"/>
        <v>1423.1610000000001</v>
      </c>
      <c r="EE46" s="3003">
        <f t="shared" si="483"/>
        <v>1423.1610000000001</v>
      </c>
      <c r="EF46" s="3003">
        <f t="shared" si="483"/>
        <v>0</v>
      </c>
      <c r="EG46" s="3003">
        <f t="shared" si="483"/>
        <v>811.76</v>
      </c>
      <c r="EH46" s="3003">
        <f t="shared" si="483"/>
        <v>811.76</v>
      </c>
      <c r="EI46" s="3003">
        <f t="shared" si="483"/>
        <v>0</v>
      </c>
      <c r="EJ46" s="2919">
        <f t="shared" si="373"/>
        <v>-209.50685516978729</v>
      </c>
      <c r="EK46" s="2919">
        <f t="shared" si="373"/>
        <v>-209.50685516978729</v>
      </c>
      <c r="EL46" s="2919">
        <f t="shared" si="373"/>
        <v>0</v>
      </c>
      <c r="EM46" s="2875">
        <f t="shared" si="484"/>
        <v>181.40753946330972</v>
      </c>
      <c r="EN46" s="2875">
        <f>SUM('ПОЛНАЯ СЕБЕСТОИМОСТЬ СТОКИ 2021'!BN162)/3</f>
        <v>181.40753946330972</v>
      </c>
      <c r="EO46" s="2875">
        <f>SUM('ПОЛНАЯ СЕБЕСТОИМОСТЬ СТОКИ 2021'!BO162)/3</f>
        <v>0</v>
      </c>
      <c r="EP46" s="2875">
        <f t="shared" si="485"/>
        <v>142.614</v>
      </c>
      <c r="EQ46" s="2875">
        <f>SUM('ПОЛНАЯ СЕБЕСТОИМОСТЬ СТОКИ 2021'!BQ162)</f>
        <v>142.614</v>
      </c>
      <c r="ER46" s="2875">
        <f>SUM('ПОЛНАЯ СЕБЕСТОИМОСТЬ СТОКИ 2021'!BR162)</f>
        <v>0</v>
      </c>
      <c r="ES46" s="2955">
        <f t="shared" si="508"/>
        <v>121.59</v>
      </c>
      <c r="ET46" s="2955">
        <v>121.59</v>
      </c>
      <c r="EU46" s="2955">
        <v>0</v>
      </c>
      <c r="EV46" s="2875">
        <f t="shared" si="487"/>
        <v>181.40753946330972</v>
      </c>
      <c r="EW46" s="2875">
        <f t="shared" si="488"/>
        <v>181.40753946330972</v>
      </c>
      <c r="EX46" s="2875">
        <f t="shared" si="489"/>
        <v>0</v>
      </c>
      <c r="EY46" s="2875">
        <f t="shared" si="490"/>
        <v>170.15600000000001</v>
      </c>
      <c r="EZ46" s="2875">
        <f>SUM('ПОЛНАЯ СЕБЕСТОИМОСТЬ СТОКИ 2021'!BT162)</f>
        <v>170.15600000000001</v>
      </c>
      <c r="FA46" s="2875">
        <f>SUM('ПОЛНАЯ СЕБЕСТОИМОСТЬ СТОКИ 2021'!BU162)</f>
        <v>0</v>
      </c>
      <c r="FB46" s="2955">
        <f t="shared" si="509"/>
        <v>159.79</v>
      </c>
      <c r="FC46" s="2955">
        <v>159.79</v>
      </c>
      <c r="FD46" s="2955">
        <v>0</v>
      </c>
      <c r="FE46" s="2875">
        <f t="shared" si="492"/>
        <v>181.40753946330972</v>
      </c>
      <c r="FF46" s="2875">
        <f t="shared" si="493"/>
        <v>181.40753946330972</v>
      </c>
      <c r="FG46" s="2875">
        <f t="shared" si="494"/>
        <v>0</v>
      </c>
      <c r="FH46" s="2875">
        <f t="shared" si="495"/>
        <v>155.608</v>
      </c>
      <c r="FI46" s="2875">
        <f>SUM('ПОЛНАЯ СЕБЕСТОИМОСТЬ СТОКИ 2021'!BW162)</f>
        <v>155.608</v>
      </c>
      <c r="FJ46" s="2875">
        <f>SUM('ПОЛНАЯ СЕБЕСТОИМОСТЬ СТОКИ 2021'!BX162)</f>
        <v>0</v>
      </c>
      <c r="FK46" s="2955">
        <f t="shared" si="510"/>
        <v>807.4</v>
      </c>
      <c r="FL46" s="2955">
        <v>807.4</v>
      </c>
      <c r="FM46" s="2955">
        <v>0</v>
      </c>
      <c r="FN46" s="3003">
        <f t="shared" si="497"/>
        <v>544.22261838992915</v>
      </c>
      <c r="FO46" s="3003">
        <f t="shared" si="497"/>
        <v>544.22261838992915</v>
      </c>
      <c r="FP46" s="3003">
        <f t="shared" si="497"/>
        <v>0</v>
      </c>
      <c r="FQ46" s="3003">
        <f t="shared" si="497"/>
        <v>468.37799999999999</v>
      </c>
      <c r="FR46" s="3003">
        <f t="shared" si="497"/>
        <v>468.37799999999999</v>
      </c>
      <c r="FS46" s="3003">
        <f t="shared" si="497"/>
        <v>0</v>
      </c>
      <c r="FT46" s="3003">
        <f t="shared" si="497"/>
        <v>1088.78</v>
      </c>
      <c r="FU46" s="3003">
        <f t="shared" si="497"/>
        <v>1088.78</v>
      </c>
      <c r="FV46" s="3003">
        <f t="shared" si="497"/>
        <v>0</v>
      </c>
      <c r="FW46" s="2919">
        <f t="shared" si="375"/>
        <v>-75.844618389929167</v>
      </c>
      <c r="FX46" s="2919">
        <f t="shared" si="375"/>
        <v>-75.844618389929167</v>
      </c>
      <c r="FY46" s="2919">
        <f t="shared" si="375"/>
        <v>0</v>
      </c>
      <c r="FZ46" s="3003">
        <f t="shared" si="498"/>
        <v>2176.8904735597166</v>
      </c>
      <c r="GA46" s="3003">
        <f t="shared" si="498"/>
        <v>2176.8904735597166</v>
      </c>
      <c r="GB46" s="3003">
        <f t="shared" si="498"/>
        <v>0</v>
      </c>
      <c r="GC46" s="3003">
        <f t="shared" si="498"/>
        <v>1891.539</v>
      </c>
      <c r="GD46" s="3003">
        <f t="shared" si="498"/>
        <v>1891.539</v>
      </c>
      <c r="GE46" s="3003">
        <f t="shared" si="498"/>
        <v>0</v>
      </c>
      <c r="GF46" s="3003">
        <f t="shared" si="498"/>
        <v>1900.54</v>
      </c>
      <c r="GG46" s="3003">
        <f t="shared" si="498"/>
        <v>1900.54</v>
      </c>
      <c r="GH46" s="3003">
        <f t="shared" si="498"/>
        <v>0</v>
      </c>
      <c r="GI46" s="2919">
        <f t="shared" si="377"/>
        <v>-285.35147355971662</v>
      </c>
      <c r="GJ46" s="2919">
        <f t="shared" si="377"/>
        <v>-285.35147355971662</v>
      </c>
      <c r="GK46" s="2919">
        <f t="shared" si="377"/>
        <v>0</v>
      </c>
      <c r="GM46" s="4234"/>
    </row>
    <row r="47" spans="1:195" ht="18.75" customHeight="1" x14ac:dyDescent="0.3">
      <c r="A47" s="2879" t="s">
        <v>289</v>
      </c>
      <c r="B47" s="2875">
        <f t="shared" si="440"/>
        <v>716.15750606798781</v>
      </c>
      <c r="C47" s="2875">
        <f>SUM('ПОЛНАЯ СЕБЕСТОИМОСТЬ СТОКИ 2021'!C163)/3</f>
        <v>716.15750606798781</v>
      </c>
      <c r="D47" s="2875">
        <f>SUM('ПОЛНАЯ СЕБЕСТОИМОСТЬ СТОКИ 2021'!D163)/3</f>
        <v>0</v>
      </c>
      <c r="E47" s="2875">
        <f t="shared" si="441"/>
        <v>361.41049000000027</v>
      </c>
      <c r="F47" s="2875">
        <f>SUM('ПОЛНАЯ СЕБЕСТОИМОСТЬ СТОКИ 2021'!F163)</f>
        <v>361.41049000000027</v>
      </c>
      <c r="G47" s="2875">
        <f>SUM('ПОЛНАЯ СЕБЕСТОИМОСТЬ СТОКИ 2021'!G163)</f>
        <v>0</v>
      </c>
      <c r="H47" s="2955">
        <f t="shared" si="499"/>
        <v>253.91</v>
      </c>
      <c r="I47" s="2955">
        <v>253.91</v>
      </c>
      <c r="J47" s="2955">
        <v>0</v>
      </c>
      <c r="K47" s="2875">
        <f t="shared" si="443"/>
        <v>716.15750606798781</v>
      </c>
      <c r="L47" s="2875">
        <f t="shared" si="444"/>
        <v>716.15750606798781</v>
      </c>
      <c r="M47" s="2875">
        <f t="shared" si="445"/>
        <v>0</v>
      </c>
      <c r="N47" s="2875">
        <f t="shared" si="446"/>
        <v>302.06570000000022</v>
      </c>
      <c r="O47" s="2875">
        <f>SUM('ПОЛНАЯ СЕБЕСТОИМОСТЬ СТОКИ 2021'!I163)</f>
        <v>302.06570000000022</v>
      </c>
      <c r="P47" s="2875">
        <f>SUM('ПОЛНАЯ СЕБЕСТОИМОСТЬ СТОКИ 2021'!J163)</f>
        <v>0</v>
      </c>
      <c r="Q47" s="2955">
        <f t="shared" si="500"/>
        <v>278.02</v>
      </c>
      <c r="R47" s="2955">
        <v>278.02</v>
      </c>
      <c r="S47" s="2955">
        <v>0</v>
      </c>
      <c r="T47" s="2875">
        <f t="shared" si="448"/>
        <v>716.15750606798781</v>
      </c>
      <c r="U47" s="2875">
        <f t="shared" si="449"/>
        <v>716.15750606798781</v>
      </c>
      <c r="V47" s="2875">
        <f t="shared" si="450"/>
        <v>0</v>
      </c>
      <c r="W47" s="2875">
        <f t="shared" si="451"/>
        <v>458.44039999999995</v>
      </c>
      <c r="X47" s="2875">
        <f>SUM('ПОЛНАЯ СЕБЕСТОИМОСТЬ СТОКИ 2021'!L163)</f>
        <v>458.44039999999995</v>
      </c>
      <c r="Y47" s="2875">
        <f>SUM('ПОЛНАЯ СЕБЕСТОИМОСТЬ СТОКИ 2021'!M163)</f>
        <v>0</v>
      </c>
      <c r="Z47" s="2955">
        <f t="shared" si="501"/>
        <v>346.47</v>
      </c>
      <c r="AA47" s="2955">
        <v>346.47</v>
      </c>
      <c r="AB47" s="2955">
        <v>0</v>
      </c>
      <c r="AC47" s="3003">
        <f t="shared" si="453"/>
        <v>2148.4725182039633</v>
      </c>
      <c r="AD47" s="3003">
        <f t="shared" si="453"/>
        <v>2148.4725182039633</v>
      </c>
      <c r="AE47" s="3003">
        <f t="shared" si="453"/>
        <v>0</v>
      </c>
      <c r="AF47" s="3003">
        <f t="shared" si="453"/>
        <v>1121.9165900000005</v>
      </c>
      <c r="AG47" s="3003">
        <f t="shared" si="453"/>
        <v>1121.9165900000005</v>
      </c>
      <c r="AH47" s="3003">
        <f t="shared" si="453"/>
        <v>0</v>
      </c>
      <c r="AI47" s="3003">
        <f t="shared" si="453"/>
        <v>878.4</v>
      </c>
      <c r="AJ47" s="3003">
        <f t="shared" si="453"/>
        <v>878.4</v>
      </c>
      <c r="AK47" s="3003">
        <f t="shared" si="453"/>
        <v>0</v>
      </c>
      <c r="AL47" s="2919">
        <f t="shared" si="365"/>
        <v>-1026.5559282039628</v>
      </c>
      <c r="AM47" s="2919">
        <f t="shared" si="365"/>
        <v>-1026.5559282039628</v>
      </c>
      <c r="AN47" s="2919">
        <f t="shared" si="365"/>
        <v>0</v>
      </c>
      <c r="AO47" s="2875">
        <f t="shared" si="454"/>
        <v>716.15750606798781</v>
      </c>
      <c r="AP47" s="2875">
        <f>SUM('ПОЛНАЯ СЕБЕСТОИМОСТЬ СТОКИ 2021'!R163)/3</f>
        <v>716.15750606798781</v>
      </c>
      <c r="AQ47" s="2875">
        <f>SUM('ПОЛНАЯ СЕБЕСТОИМОСТЬ СТОКИ 2021'!S163)/3</f>
        <v>0</v>
      </c>
      <c r="AR47" s="2875">
        <f t="shared" si="455"/>
        <v>265.70400000000006</v>
      </c>
      <c r="AS47" s="2875">
        <f>SUM('ПОЛНАЯ СЕБЕСТОИМОСТЬ СТОКИ 2021'!U163)</f>
        <v>265.70400000000006</v>
      </c>
      <c r="AT47" s="2875">
        <f>SUM('ПОЛНАЯ СЕБЕСТОИМОСТЬ СТОКИ 2021'!V163)</f>
        <v>0</v>
      </c>
      <c r="AU47" s="2955">
        <f t="shared" si="502"/>
        <v>235.69</v>
      </c>
      <c r="AV47" s="2955">
        <v>235.69</v>
      </c>
      <c r="AW47" s="2955">
        <v>0</v>
      </c>
      <c r="AX47" s="2875">
        <f t="shared" si="457"/>
        <v>716.15750606798781</v>
      </c>
      <c r="AY47" s="2875">
        <f t="shared" si="458"/>
        <v>716.15750606798781</v>
      </c>
      <c r="AZ47" s="2875">
        <f t="shared" si="459"/>
        <v>0</v>
      </c>
      <c r="BA47" s="2951">
        <f t="shared" si="460"/>
        <v>238.53299999999993</v>
      </c>
      <c r="BB47" s="2951">
        <f>SUM('ПОЛНАЯ СЕБЕСТОИМОСТЬ СТОКИ 2021'!X163)</f>
        <v>238.53299999999993</v>
      </c>
      <c r="BC47" s="2951">
        <f>SUM('ПОЛНАЯ СЕБЕСТОИМОСТЬ СТОКИ 2021'!Y163)</f>
        <v>0</v>
      </c>
      <c r="BD47" s="2955">
        <f t="shared" si="503"/>
        <v>205.95</v>
      </c>
      <c r="BE47" s="2955">
        <v>205.95</v>
      </c>
      <c r="BF47" s="2955">
        <v>0</v>
      </c>
      <c r="BG47" s="2875">
        <f t="shared" si="462"/>
        <v>716.15750606798781</v>
      </c>
      <c r="BH47" s="2875">
        <f t="shared" si="463"/>
        <v>716.15750606798781</v>
      </c>
      <c r="BI47" s="2875">
        <f t="shared" si="464"/>
        <v>0</v>
      </c>
      <c r="BJ47" s="2875">
        <f t="shared" si="465"/>
        <v>314.40599999999989</v>
      </c>
      <c r="BK47" s="2875">
        <f>SUM('ПОЛНАЯ СЕБЕСТОИМОСТЬ СТОКИ 2021'!AA163)</f>
        <v>314.40599999999989</v>
      </c>
      <c r="BL47" s="2875">
        <f>SUM('ПОЛНАЯ СЕБЕСТОИМОСТЬ СТОКИ 2021'!AB163)</f>
        <v>0</v>
      </c>
      <c r="BM47" s="2955">
        <f t="shared" si="504"/>
        <v>123.645</v>
      </c>
      <c r="BN47" s="2955">
        <v>123.645</v>
      </c>
      <c r="BO47" s="2955">
        <v>0</v>
      </c>
      <c r="BP47" s="3003">
        <f t="shared" si="467"/>
        <v>2148.4725182039633</v>
      </c>
      <c r="BQ47" s="3003">
        <f t="shared" si="467"/>
        <v>2148.4725182039633</v>
      </c>
      <c r="BR47" s="3003">
        <f t="shared" si="467"/>
        <v>0</v>
      </c>
      <c r="BS47" s="3003">
        <f t="shared" si="467"/>
        <v>818.6429999999998</v>
      </c>
      <c r="BT47" s="3003">
        <f t="shared" si="467"/>
        <v>818.6429999999998</v>
      </c>
      <c r="BU47" s="3003">
        <f t="shared" si="467"/>
        <v>0</v>
      </c>
      <c r="BV47" s="3003">
        <f t="shared" si="467"/>
        <v>565.28499999999997</v>
      </c>
      <c r="BW47" s="3003">
        <f t="shared" si="467"/>
        <v>565.28499999999997</v>
      </c>
      <c r="BX47" s="3003">
        <f t="shared" si="467"/>
        <v>0</v>
      </c>
      <c r="BY47" s="2919">
        <f t="shared" si="367"/>
        <v>-1329.8295182039635</v>
      </c>
      <c r="BZ47" s="2919">
        <f t="shared" si="367"/>
        <v>-1329.8295182039635</v>
      </c>
      <c r="CA47" s="2919">
        <f t="shared" si="367"/>
        <v>0</v>
      </c>
      <c r="CB47" s="3003">
        <f t="shared" si="468"/>
        <v>4296.9450364079266</v>
      </c>
      <c r="CC47" s="3003">
        <f t="shared" si="468"/>
        <v>4296.9450364079266</v>
      </c>
      <c r="CD47" s="3003">
        <f t="shared" si="468"/>
        <v>0</v>
      </c>
      <c r="CE47" s="3003">
        <f t="shared" si="468"/>
        <v>1940.5595900000003</v>
      </c>
      <c r="CF47" s="3003">
        <f t="shared" si="468"/>
        <v>1940.5595900000003</v>
      </c>
      <c r="CG47" s="3003">
        <f t="shared" si="468"/>
        <v>0</v>
      </c>
      <c r="CH47" s="3032">
        <f t="shared" si="468"/>
        <v>1443.6849999999999</v>
      </c>
      <c r="CI47" s="3032">
        <f t="shared" si="468"/>
        <v>1443.6849999999999</v>
      </c>
      <c r="CJ47" s="3032">
        <f t="shared" si="468"/>
        <v>0</v>
      </c>
      <c r="CK47" s="2919">
        <f t="shared" si="369"/>
        <v>-2356.3854464079263</v>
      </c>
      <c r="CL47" s="2919">
        <f t="shared" si="369"/>
        <v>-2356.3854464079263</v>
      </c>
      <c r="CM47" s="2919">
        <f t="shared" si="369"/>
        <v>0</v>
      </c>
      <c r="CN47" s="2875">
        <f t="shared" si="469"/>
        <v>716.15750606798781</v>
      </c>
      <c r="CO47" s="2875">
        <f>SUM('ПОЛНАЯ СЕБЕСТОИМОСТЬ СТОКИ 2021'!AP163)/3</f>
        <v>716.15750606798781</v>
      </c>
      <c r="CP47" s="2875">
        <f>SUM('ПОЛНАЯ СЕБЕСТОИМОСТЬ СТОКИ 2021'!AQ163)/3</f>
        <v>0</v>
      </c>
      <c r="CQ47" s="2875">
        <f t="shared" si="470"/>
        <v>405.17000000000019</v>
      </c>
      <c r="CR47" s="2875">
        <f>SUM('ПОЛНАЯ СЕБЕСТОИМОСТЬ СТОКИ 2021'!AS163)</f>
        <v>405.17000000000019</v>
      </c>
      <c r="CS47" s="2875">
        <f>SUM('ПОЛНАЯ СЕБЕСТОИМОСТЬ СТОКИ 2021'!AT163)</f>
        <v>0</v>
      </c>
      <c r="CT47" s="2955">
        <f t="shared" si="505"/>
        <v>207.42</v>
      </c>
      <c r="CU47" s="2955">
        <v>207.42</v>
      </c>
      <c r="CV47" s="2955">
        <v>0</v>
      </c>
      <c r="CW47" s="2875">
        <f t="shared" si="472"/>
        <v>716.15750606798781</v>
      </c>
      <c r="CX47" s="2875">
        <f t="shared" si="473"/>
        <v>716.15750606798781</v>
      </c>
      <c r="CY47" s="2875">
        <f t="shared" si="474"/>
        <v>0</v>
      </c>
      <c r="CZ47" s="2875">
        <f t="shared" si="475"/>
        <v>226.5980000000001</v>
      </c>
      <c r="DA47" s="2875">
        <f>SUM('ПОЛНАЯ СЕБЕСТОИМОСТЬ СТОКИ 2021'!AV163)</f>
        <v>226.5980000000001</v>
      </c>
      <c r="DB47" s="2875">
        <f>SUM('ПОЛНАЯ СЕБЕСТОИМОСТЬ СТОКИ 2021'!AW163)</f>
        <v>0</v>
      </c>
      <c r="DC47" s="2955">
        <f t="shared" si="506"/>
        <v>218.92400000000001</v>
      </c>
      <c r="DD47" s="2955">
        <v>218.92400000000001</v>
      </c>
      <c r="DE47" s="2955">
        <v>0</v>
      </c>
      <c r="DF47" s="2875">
        <f t="shared" si="477"/>
        <v>716.15750606798781</v>
      </c>
      <c r="DG47" s="2875">
        <f t="shared" si="478"/>
        <v>716.15750606798781</v>
      </c>
      <c r="DH47" s="2875">
        <f t="shared" si="479"/>
        <v>0</v>
      </c>
      <c r="DI47" s="2875">
        <f t="shared" si="480"/>
        <v>540.34100000000001</v>
      </c>
      <c r="DJ47" s="2875">
        <f>SUM('ПОЛНАЯ СЕБЕСТОИМОСТЬ СТОКИ 2021'!AY163)</f>
        <v>540.34100000000001</v>
      </c>
      <c r="DK47" s="2875">
        <f>SUM('ПОЛНАЯ СЕБЕСТОИМОСТЬ СТОКИ 2021'!AZ163)</f>
        <v>0</v>
      </c>
      <c r="DL47" s="2955">
        <f t="shared" si="507"/>
        <v>350.322</v>
      </c>
      <c r="DM47" s="2955">
        <v>350.322</v>
      </c>
      <c r="DN47" s="2955">
        <v>0</v>
      </c>
      <c r="DO47" s="3003">
        <f t="shared" si="482"/>
        <v>2148.4725182039633</v>
      </c>
      <c r="DP47" s="3003">
        <f t="shared" si="482"/>
        <v>2148.4725182039633</v>
      </c>
      <c r="DQ47" s="3003">
        <f t="shared" si="482"/>
        <v>0</v>
      </c>
      <c r="DR47" s="3003">
        <f t="shared" si="482"/>
        <v>1172.1090000000004</v>
      </c>
      <c r="DS47" s="3003">
        <f t="shared" si="482"/>
        <v>1172.1090000000004</v>
      </c>
      <c r="DT47" s="3003">
        <f t="shared" si="482"/>
        <v>0</v>
      </c>
      <c r="DU47" s="3003">
        <f t="shared" si="482"/>
        <v>776.66599999999994</v>
      </c>
      <c r="DV47" s="3003">
        <f t="shared" si="482"/>
        <v>776.66599999999994</v>
      </c>
      <c r="DW47" s="3003">
        <f t="shared" si="482"/>
        <v>0</v>
      </c>
      <c r="DX47" s="2919">
        <f t="shared" si="371"/>
        <v>-976.36351820396294</v>
      </c>
      <c r="DY47" s="2919">
        <f t="shared" si="371"/>
        <v>-976.36351820396294</v>
      </c>
      <c r="DZ47" s="2919">
        <f t="shared" si="371"/>
        <v>0</v>
      </c>
      <c r="EA47" s="3003">
        <f t="shared" si="483"/>
        <v>6445.4175546118895</v>
      </c>
      <c r="EB47" s="3003">
        <f t="shared" si="483"/>
        <v>6445.4175546118895</v>
      </c>
      <c r="EC47" s="3003">
        <f t="shared" si="483"/>
        <v>0</v>
      </c>
      <c r="ED47" s="3003">
        <f t="shared" si="483"/>
        <v>3112.6685900000007</v>
      </c>
      <c r="EE47" s="3003">
        <f t="shared" si="483"/>
        <v>3112.6685900000007</v>
      </c>
      <c r="EF47" s="3003">
        <f t="shared" si="483"/>
        <v>0</v>
      </c>
      <c r="EG47" s="3003">
        <f t="shared" si="483"/>
        <v>2220.3509999999997</v>
      </c>
      <c r="EH47" s="3003">
        <f t="shared" si="483"/>
        <v>2220.3509999999997</v>
      </c>
      <c r="EI47" s="3003">
        <f t="shared" si="483"/>
        <v>0</v>
      </c>
      <c r="EJ47" s="2919">
        <f t="shared" si="373"/>
        <v>-3332.7489646118888</v>
      </c>
      <c r="EK47" s="2919">
        <f t="shared" si="373"/>
        <v>-3332.7489646118888</v>
      </c>
      <c r="EL47" s="2919">
        <f t="shared" si="373"/>
        <v>0</v>
      </c>
      <c r="EM47" s="2875">
        <f t="shared" si="484"/>
        <v>716.15750606798781</v>
      </c>
      <c r="EN47" s="2875">
        <f>SUM('ПОЛНАЯ СЕБЕСТОИМОСТЬ СТОКИ 2021'!BN163)/3</f>
        <v>716.15750606798781</v>
      </c>
      <c r="EO47" s="2875">
        <f>SUM('ПОЛНАЯ СЕБЕСТОИМОСТЬ СТОКИ 2021'!BO163)/3</f>
        <v>0</v>
      </c>
      <c r="EP47" s="2875">
        <f t="shared" si="485"/>
        <v>292.39266999999995</v>
      </c>
      <c r="EQ47" s="2875">
        <f>SUM('ПОЛНАЯ СЕБЕСТОИМОСТЬ СТОКИ 2021'!BQ163)</f>
        <v>292.39266999999995</v>
      </c>
      <c r="ER47" s="2875">
        <f>SUM('ПОЛНАЯ СЕБЕСТОИМОСТЬ СТОКИ 2021'!BR163)</f>
        <v>0</v>
      </c>
      <c r="ES47" s="2955">
        <f t="shared" si="508"/>
        <v>244.62799999999999</v>
      </c>
      <c r="ET47" s="2955">
        <v>244.62799999999999</v>
      </c>
      <c r="EU47" s="2955">
        <v>0</v>
      </c>
      <c r="EV47" s="2875">
        <f t="shared" si="487"/>
        <v>716.15750606798781</v>
      </c>
      <c r="EW47" s="2875">
        <f t="shared" si="488"/>
        <v>716.15750606798781</v>
      </c>
      <c r="EX47" s="2875">
        <f t="shared" si="489"/>
        <v>0</v>
      </c>
      <c r="EY47" s="2875">
        <f t="shared" si="490"/>
        <v>280.44999999999993</v>
      </c>
      <c r="EZ47" s="2875">
        <f>SUM('ПОЛНАЯ СЕБЕСТОИМОСТЬ СТОКИ 2021'!BT163)</f>
        <v>280.44999999999993</v>
      </c>
      <c r="FA47" s="2875">
        <f>SUM('ПОЛНАЯ СЕБЕСТОИМОСТЬ СТОКИ 2021'!BU163)</f>
        <v>0</v>
      </c>
      <c r="FB47" s="2955">
        <f t="shared" si="509"/>
        <v>225.441</v>
      </c>
      <c r="FC47" s="2955">
        <v>225.441</v>
      </c>
      <c r="FD47" s="2955">
        <v>0</v>
      </c>
      <c r="FE47" s="2875">
        <f t="shared" si="492"/>
        <v>716.15750606798781</v>
      </c>
      <c r="FF47" s="2875">
        <f t="shared" si="493"/>
        <v>716.15750606798781</v>
      </c>
      <c r="FG47" s="2875">
        <f t="shared" si="494"/>
        <v>0</v>
      </c>
      <c r="FH47" s="2875">
        <f t="shared" si="495"/>
        <v>388.74790000000002</v>
      </c>
      <c r="FI47" s="2875">
        <f>SUM('ПОЛНАЯ СЕБЕСТОИМОСТЬ СТОКИ 2021'!BW163)</f>
        <v>388.74790000000002</v>
      </c>
      <c r="FJ47" s="2875">
        <f>SUM('ПОЛНАЯ СЕБЕСТОИМОСТЬ СТОКИ 2021'!BX163)</f>
        <v>0</v>
      </c>
      <c r="FK47" s="2955">
        <f t="shared" si="510"/>
        <v>334.89</v>
      </c>
      <c r="FL47" s="2955">
        <v>334.89</v>
      </c>
      <c r="FM47" s="2955">
        <v>0</v>
      </c>
      <c r="FN47" s="3003">
        <f t="shared" si="497"/>
        <v>2148.4725182039633</v>
      </c>
      <c r="FO47" s="3003">
        <f t="shared" si="497"/>
        <v>2148.4725182039633</v>
      </c>
      <c r="FP47" s="3003">
        <f t="shared" si="497"/>
        <v>0</v>
      </c>
      <c r="FQ47" s="3003">
        <f t="shared" si="497"/>
        <v>961.59056999999984</v>
      </c>
      <c r="FR47" s="3003">
        <f t="shared" si="497"/>
        <v>961.59056999999984</v>
      </c>
      <c r="FS47" s="3003">
        <f t="shared" si="497"/>
        <v>0</v>
      </c>
      <c r="FT47" s="3003">
        <f t="shared" si="497"/>
        <v>804.95899999999995</v>
      </c>
      <c r="FU47" s="3003">
        <f t="shared" si="497"/>
        <v>804.95899999999995</v>
      </c>
      <c r="FV47" s="3003">
        <f t="shared" si="497"/>
        <v>0</v>
      </c>
      <c r="FW47" s="2919">
        <f t="shared" si="375"/>
        <v>-1186.8819482039635</v>
      </c>
      <c r="FX47" s="2919">
        <f t="shared" si="375"/>
        <v>-1186.8819482039635</v>
      </c>
      <c r="FY47" s="2919">
        <f t="shared" si="375"/>
        <v>0</v>
      </c>
      <c r="FZ47" s="3003">
        <f t="shared" si="498"/>
        <v>8593.8900728158533</v>
      </c>
      <c r="GA47" s="3003">
        <f t="shared" si="498"/>
        <v>8593.8900728158533</v>
      </c>
      <c r="GB47" s="3003">
        <f t="shared" si="498"/>
        <v>0</v>
      </c>
      <c r="GC47" s="3003">
        <f t="shared" si="498"/>
        <v>4074.2591600000005</v>
      </c>
      <c r="GD47" s="3003">
        <f t="shared" si="498"/>
        <v>4074.2591600000005</v>
      </c>
      <c r="GE47" s="3003">
        <f t="shared" si="498"/>
        <v>0</v>
      </c>
      <c r="GF47" s="3003">
        <f t="shared" si="498"/>
        <v>3025.3099999999995</v>
      </c>
      <c r="GG47" s="3003">
        <f t="shared" si="498"/>
        <v>3025.3099999999995</v>
      </c>
      <c r="GH47" s="3003">
        <f t="shared" si="498"/>
        <v>0</v>
      </c>
      <c r="GI47" s="2919">
        <f t="shared" si="377"/>
        <v>-4519.6309128158528</v>
      </c>
      <c r="GJ47" s="2919">
        <f t="shared" si="377"/>
        <v>-4519.6309128158528</v>
      </c>
      <c r="GK47" s="2919">
        <f t="shared" si="377"/>
        <v>0</v>
      </c>
      <c r="GM47" s="4234"/>
    </row>
    <row r="48" spans="1:195" ht="18.75" customHeight="1" x14ac:dyDescent="0.3">
      <c r="A48" s="2989" t="s">
        <v>3741</v>
      </c>
      <c r="B48" s="2865">
        <f t="shared" si="440"/>
        <v>195.45335166666666</v>
      </c>
      <c r="C48" s="2865">
        <f>SUM('ПОЛНАЯ СЕБЕСТОИМОСТЬ СТОКИ 2021'!C164)/3</f>
        <v>195.45335166666666</v>
      </c>
      <c r="D48" s="2865">
        <f>SUM('ПОЛНАЯ СЕБЕСТОИМОСТЬ СТОКИ 2021'!D164)/3</f>
        <v>0</v>
      </c>
      <c r="E48" s="2865">
        <f t="shared" si="441"/>
        <v>0</v>
      </c>
      <c r="F48" s="2865">
        <f>SUM('ПОЛНАЯ СЕБЕСТОИМОСТЬ СТОКИ 2021'!F164)</f>
        <v>0</v>
      </c>
      <c r="G48" s="2865">
        <f>SUM('ПОЛНАЯ СЕБЕСТОИМОСТЬ СТОКИ 2021'!G164)</f>
        <v>0</v>
      </c>
      <c r="H48" s="3031">
        <f>SUM(H49:H51)</f>
        <v>0</v>
      </c>
      <c r="I48" s="3031">
        <f t="shared" ref="I48:J48" si="511">SUM(I49:I51)</f>
        <v>0</v>
      </c>
      <c r="J48" s="3031">
        <f t="shared" si="511"/>
        <v>0</v>
      </c>
      <c r="K48" s="2865">
        <f t="shared" si="443"/>
        <v>195.45335166666666</v>
      </c>
      <c r="L48" s="2865">
        <f t="shared" si="444"/>
        <v>195.45335166666666</v>
      </c>
      <c r="M48" s="2865">
        <f t="shared" si="445"/>
        <v>0</v>
      </c>
      <c r="N48" s="2865">
        <f t="shared" si="446"/>
        <v>0</v>
      </c>
      <c r="O48" s="2865">
        <f>SUM('ПОЛНАЯ СЕБЕСТОИМОСТЬ СТОКИ 2021'!I164)</f>
        <v>0</v>
      </c>
      <c r="P48" s="2865">
        <f>SUM('ПОЛНАЯ СЕБЕСТОИМОСТЬ СТОКИ 2021'!J164)</f>
        <v>0</v>
      </c>
      <c r="Q48" s="3031">
        <f>SUM(Q49:Q51)</f>
        <v>0</v>
      </c>
      <c r="R48" s="3031">
        <f t="shared" ref="R48:S48" si="512">SUM(R49:R51)</f>
        <v>0</v>
      </c>
      <c r="S48" s="3031">
        <f t="shared" si="512"/>
        <v>0</v>
      </c>
      <c r="T48" s="2865">
        <f t="shared" si="448"/>
        <v>195.45335166666666</v>
      </c>
      <c r="U48" s="2865">
        <f t="shared" si="449"/>
        <v>195.45335166666666</v>
      </c>
      <c r="V48" s="2865">
        <f t="shared" si="450"/>
        <v>0</v>
      </c>
      <c r="W48" s="2865">
        <f t="shared" si="451"/>
        <v>131.339</v>
      </c>
      <c r="X48" s="2865">
        <f>SUM('ПОЛНАЯ СЕБЕСТОИМОСТЬ СТОКИ 2021'!L164)</f>
        <v>131.339</v>
      </c>
      <c r="Y48" s="2865">
        <f>SUM('ПОЛНАЯ СЕБЕСТОИМОСТЬ СТОКИ 2021'!M164)</f>
        <v>0</v>
      </c>
      <c r="Z48" s="3031">
        <f>SUM(Z49:Z51)</f>
        <v>151.81</v>
      </c>
      <c r="AA48" s="3031">
        <f t="shared" ref="AA48:AB48" si="513">SUM(AA49:AA51)</f>
        <v>151.81</v>
      </c>
      <c r="AB48" s="3031">
        <f t="shared" si="513"/>
        <v>0</v>
      </c>
      <c r="AC48" s="3001">
        <f t="shared" si="453"/>
        <v>586.36005499999999</v>
      </c>
      <c r="AD48" s="3001">
        <f t="shared" si="453"/>
        <v>586.36005499999999</v>
      </c>
      <c r="AE48" s="3001">
        <f t="shared" si="453"/>
        <v>0</v>
      </c>
      <c r="AF48" s="3001">
        <f t="shared" si="453"/>
        <v>131.339</v>
      </c>
      <c r="AG48" s="3001">
        <f t="shared" si="453"/>
        <v>131.339</v>
      </c>
      <c r="AH48" s="3001">
        <f t="shared" si="453"/>
        <v>0</v>
      </c>
      <c r="AI48" s="3001">
        <f t="shared" si="453"/>
        <v>151.81</v>
      </c>
      <c r="AJ48" s="3001">
        <f t="shared" si="453"/>
        <v>151.81</v>
      </c>
      <c r="AK48" s="3001">
        <f t="shared" si="453"/>
        <v>0</v>
      </c>
      <c r="AL48" s="2954">
        <f t="shared" si="365"/>
        <v>-455.02105499999999</v>
      </c>
      <c r="AM48" s="2954">
        <f t="shared" si="365"/>
        <v>-455.02105499999999</v>
      </c>
      <c r="AN48" s="2954">
        <f t="shared" si="365"/>
        <v>0</v>
      </c>
      <c r="AO48" s="2865">
        <f t="shared" si="454"/>
        <v>195.45335166666666</v>
      </c>
      <c r="AP48" s="2865">
        <f>SUM('ПОЛНАЯ СЕБЕСТОИМОСТЬ СТОКИ 2021'!R164)/3</f>
        <v>195.45335166666666</v>
      </c>
      <c r="AQ48" s="2865">
        <f>SUM('ПОЛНАЯ СЕБЕСТОИМОСТЬ СТОКИ 2021'!S164)/3</f>
        <v>0</v>
      </c>
      <c r="AR48" s="2865">
        <f t="shared" si="455"/>
        <v>0</v>
      </c>
      <c r="AS48" s="2865">
        <f>SUM('ПОЛНАЯ СЕБЕСТОИМОСТЬ СТОКИ 2021'!U164)</f>
        <v>0</v>
      </c>
      <c r="AT48" s="2865">
        <f>SUM('ПОЛНАЯ СЕБЕСТОИМОСТЬ СТОКИ 2021'!V164)</f>
        <v>0</v>
      </c>
      <c r="AU48" s="3031">
        <f>SUM(AU49:AU51)</f>
        <v>0</v>
      </c>
      <c r="AV48" s="3031">
        <f t="shared" ref="AV48:AW48" si="514">SUM(AV49:AV51)</f>
        <v>0</v>
      </c>
      <c r="AW48" s="3031">
        <f t="shared" si="514"/>
        <v>0</v>
      </c>
      <c r="AX48" s="2865">
        <f t="shared" si="457"/>
        <v>195.45335166666666</v>
      </c>
      <c r="AY48" s="2865">
        <f t="shared" si="458"/>
        <v>195.45335166666666</v>
      </c>
      <c r="AZ48" s="2865">
        <f t="shared" si="459"/>
        <v>0</v>
      </c>
      <c r="BA48" s="2946">
        <f t="shared" si="460"/>
        <v>0</v>
      </c>
      <c r="BB48" s="2946">
        <f>SUM('ПОЛНАЯ СЕБЕСТОИМОСТЬ СТОКИ 2021'!X164)</f>
        <v>0</v>
      </c>
      <c r="BC48" s="2946">
        <f>SUM('ПОЛНАЯ СЕБЕСТОИМОСТЬ СТОКИ 2021'!Y164)</f>
        <v>0</v>
      </c>
      <c r="BD48" s="3031">
        <f>SUM(BD49:BD51)</f>
        <v>0</v>
      </c>
      <c r="BE48" s="3031">
        <f t="shared" ref="BE48:BF48" si="515">SUM(BE49:BE51)</f>
        <v>0</v>
      </c>
      <c r="BF48" s="3031">
        <f t="shared" si="515"/>
        <v>0</v>
      </c>
      <c r="BG48" s="2865">
        <f t="shared" si="462"/>
        <v>195.45335166666666</v>
      </c>
      <c r="BH48" s="2865">
        <f t="shared" si="463"/>
        <v>195.45335166666666</v>
      </c>
      <c r="BI48" s="2865">
        <f t="shared" si="464"/>
        <v>0</v>
      </c>
      <c r="BJ48" s="2865">
        <f t="shared" si="465"/>
        <v>131.34299999999999</v>
      </c>
      <c r="BK48" s="2865">
        <f>SUM('ПОЛНАЯ СЕБЕСТОИМОСТЬ СТОКИ 2021'!AA164)</f>
        <v>131.34299999999999</v>
      </c>
      <c r="BL48" s="2865">
        <f>SUM('ПОЛНАЯ СЕБЕСТОИМОСТЬ СТОКИ 2021'!AB164)</f>
        <v>0</v>
      </c>
      <c r="BM48" s="3031">
        <f>SUM(BM49:BM51)</f>
        <v>151.81</v>
      </c>
      <c r="BN48" s="3031">
        <f t="shared" ref="BN48:BO48" si="516">SUM(BN49:BN51)</f>
        <v>151.81</v>
      </c>
      <c r="BO48" s="3031">
        <f t="shared" si="516"/>
        <v>0</v>
      </c>
      <c r="BP48" s="3001">
        <f t="shared" si="467"/>
        <v>586.36005499999999</v>
      </c>
      <c r="BQ48" s="3001">
        <f t="shared" si="467"/>
        <v>586.36005499999999</v>
      </c>
      <c r="BR48" s="3001">
        <f t="shared" si="467"/>
        <v>0</v>
      </c>
      <c r="BS48" s="3001">
        <f t="shared" si="467"/>
        <v>131.34299999999999</v>
      </c>
      <c r="BT48" s="3001">
        <f t="shared" si="467"/>
        <v>131.34299999999999</v>
      </c>
      <c r="BU48" s="3001">
        <f t="shared" si="467"/>
        <v>0</v>
      </c>
      <c r="BV48" s="3001">
        <f t="shared" si="467"/>
        <v>151.81</v>
      </c>
      <c r="BW48" s="3001">
        <f t="shared" si="467"/>
        <v>151.81</v>
      </c>
      <c r="BX48" s="3001">
        <f t="shared" si="467"/>
        <v>0</v>
      </c>
      <c r="BY48" s="2954">
        <f t="shared" si="367"/>
        <v>-455.01705500000003</v>
      </c>
      <c r="BZ48" s="2954">
        <f t="shared" si="367"/>
        <v>-455.01705500000003</v>
      </c>
      <c r="CA48" s="2954">
        <f t="shared" si="367"/>
        <v>0</v>
      </c>
      <c r="CB48" s="3001">
        <f t="shared" si="468"/>
        <v>1172.72011</v>
      </c>
      <c r="CC48" s="3001">
        <f t="shared" si="468"/>
        <v>1172.72011</v>
      </c>
      <c r="CD48" s="3001">
        <f t="shared" si="468"/>
        <v>0</v>
      </c>
      <c r="CE48" s="3001">
        <f t="shared" si="468"/>
        <v>262.68200000000002</v>
      </c>
      <c r="CF48" s="3001">
        <f t="shared" si="468"/>
        <v>262.68200000000002</v>
      </c>
      <c r="CG48" s="3001">
        <f t="shared" si="468"/>
        <v>0</v>
      </c>
      <c r="CH48" s="3028">
        <f t="shared" si="468"/>
        <v>303.62</v>
      </c>
      <c r="CI48" s="3028">
        <f t="shared" si="468"/>
        <v>303.62</v>
      </c>
      <c r="CJ48" s="3028">
        <f t="shared" si="468"/>
        <v>0</v>
      </c>
      <c r="CK48" s="2954">
        <f t="shared" si="369"/>
        <v>-910.03810999999996</v>
      </c>
      <c r="CL48" s="2954">
        <f t="shared" si="369"/>
        <v>-910.03810999999996</v>
      </c>
      <c r="CM48" s="2954">
        <f t="shared" si="369"/>
        <v>0</v>
      </c>
      <c r="CN48" s="2865">
        <f t="shared" si="469"/>
        <v>195.45335166666666</v>
      </c>
      <c r="CO48" s="2865">
        <f>SUM('ПОЛНАЯ СЕБЕСТОИМОСТЬ СТОКИ 2021'!AP164)/3</f>
        <v>195.45335166666666</v>
      </c>
      <c r="CP48" s="2865">
        <f>SUM('ПОЛНАЯ СЕБЕСТОИМОСТЬ СТОКИ 2021'!AQ164)/3</f>
        <v>0</v>
      </c>
      <c r="CQ48" s="2865">
        <f t="shared" si="470"/>
        <v>0</v>
      </c>
      <c r="CR48" s="2865">
        <f>SUM('ПОЛНАЯ СЕБЕСТОИМОСТЬ СТОКИ 2021'!AS164)</f>
        <v>0</v>
      </c>
      <c r="CS48" s="2865">
        <f>SUM('ПОЛНАЯ СЕБЕСТОИМОСТЬ СТОКИ 2021'!AT164)</f>
        <v>0</v>
      </c>
      <c r="CT48" s="3031">
        <f>SUM(CT49:CT51)</f>
        <v>0</v>
      </c>
      <c r="CU48" s="3031">
        <f t="shared" ref="CU48:CV48" si="517">SUM(CU49:CU51)</f>
        <v>0</v>
      </c>
      <c r="CV48" s="3031">
        <f t="shared" si="517"/>
        <v>0</v>
      </c>
      <c r="CW48" s="2865">
        <f t="shared" si="472"/>
        <v>195.45335166666666</v>
      </c>
      <c r="CX48" s="2865">
        <f t="shared" si="473"/>
        <v>195.45335166666666</v>
      </c>
      <c r="CY48" s="2865">
        <f t="shared" si="474"/>
        <v>0</v>
      </c>
      <c r="CZ48" s="2865">
        <f t="shared" si="475"/>
        <v>0</v>
      </c>
      <c r="DA48" s="2865">
        <f>SUM('ПОЛНАЯ СЕБЕСТОИМОСТЬ СТОКИ 2021'!AV164)</f>
        <v>0</v>
      </c>
      <c r="DB48" s="2865">
        <f>SUM('ПОЛНАЯ СЕБЕСТОИМОСТЬ СТОКИ 2021'!AW164)</f>
        <v>0</v>
      </c>
      <c r="DC48" s="3031">
        <f>SUM(DC49:DC51)</f>
        <v>0</v>
      </c>
      <c r="DD48" s="3031">
        <f t="shared" ref="DD48:DE48" si="518">SUM(DD49:DD51)</f>
        <v>0</v>
      </c>
      <c r="DE48" s="3031">
        <f t="shared" si="518"/>
        <v>0</v>
      </c>
      <c r="DF48" s="2865">
        <f t="shared" si="477"/>
        <v>195.45335166666666</v>
      </c>
      <c r="DG48" s="2865">
        <f t="shared" si="478"/>
        <v>195.45335166666666</v>
      </c>
      <c r="DH48" s="2865">
        <f t="shared" si="479"/>
        <v>0</v>
      </c>
      <c r="DI48" s="2865">
        <f t="shared" si="480"/>
        <v>131.34299999999999</v>
      </c>
      <c r="DJ48" s="2865">
        <f>SUM('ПОЛНАЯ СЕБЕСТОИМОСТЬ СТОКИ 2021'!AY164)</f>
        <v>131.34299999999999</v>
      </c>
      <c r="DK48" s="2865">
        <f>SUM('ПОЛНАЯ СЕБЕСТОИМОСТЬ СТОКИ 2021'!AZ164)</f>
        <v>0</v>
      </c>
      <c r="DL48" s="3031">
        <f>SUM(DL49:DL51)</f>
        <v>151.81</v>
      </c>
      <c r="DM48" s="3031">
        <f t="shared" ref="DM48:DN48" si="519">SUM(DM49:DM51)</f>
        <v>151.81</v>
      </c>
      <c r="DN48" s="3031">
        <f t="shared" si="519"/>
        <v>0</v>
      </c>
      <c r="DO48" s="3001">
        <f t="shared" si="482"/>
        <v>586.36005499999999</v>
      </c>
      <c r="DP48" s="3001">
        <f t="shared" si="482"/>
        <v>586.36005499999999</v>
      </c>
      <c r="DQ48" s="3001">
        <f t="shared" si="482"/>
        <v>0</v>
      </c>
      <c r="DR48" s="3001">
        <f t="shared" si="482"/>
        <v>131.34299999999999</v>
      </c>
      <c r="DS48" s="3001">
        <f t="shared" si="482"/>
        <v>131.34299999999999</v>
      </c>
      <c r="DT48" s="3001">
        <f t="shared" si="482"/>
        <v>0</v>
      </c>
      <c r="DU48" s="3001">
        <f t="shared" si="482"/>
        <v>151.81</v>
      </c>
      <c r="DV48" s="3001">
        <f t="shared" si="482"/>
        <v>151.81</v>
      </c>
      <c r="DW48" s="3001">
        <f t="shared" si="482"/>
        <v>0</v>
      </c>
      <c r="DX48" s="2954">
        <f t="shared" si="371"/>
        <v>-455.01705500000003</v>
      </c>
      <c r="DY48" s="2954">
        <f t="shared" si="371"/>
        <v>-455.01705500000003</v>
      </c>
      <c r="DZ48" s="2954">
        <f t="shared" si="371"/>
        <v>0</v>
      </c>
      <c r="EA48" s="3001">
        <f t="shared" si="483"/>
        <v>1759.0801649999999</v>
      </c>
      <c r="EB48" s="3001">
        <f t="shared" si="483"/>
        <v>1759.0801649999999</v>
      </c>
      <c r="EC48" s="3001">
        <f t="shared" si="483"/>
        <v>0</v>
      </c>
      <c r="ED48" s="3001">
        <f t="shared" si="483"/>
        <v>394.02499999999998</v>
      </c>
      <c r="EE48" s="3001">
        <f t="shared" si="483"/>
        <v>394.02499999999998</v>
      </c>
      <c r="EF48" s="3001">
        <f t="shared" si="483"/>
        <v>0</v>
      </c>
      <c r="EG48" s="3001">
        <f t="shared" si="483"/>
        <v>455.43</v>
      </c>
      <c r="EH48" s="3001">
        <f t="shared" si="483"/>
        <v>455.43</v>
      </c>
      <c r="EI48" s="3001">
        <f t="shared" si="483"/>
        <v>0</v>
      </c>
      <c r="EJ48" s="2954">
        <f t="shared" si="373"/>
        <v>-1365.0551649999998</v>
      </c>
      <c r="EK48" s="2954">
        <f t="shared" si="373"/>
        <v>-1365.0551649999998</v>
      </c>
      <c r="EL48" s="2954">
        <f t="shared" si="373"/>
        <v>0</v>
      </c>
      <c r="EM48" s="2865">
        <f t="shared" si="484"/>
        <v>195.45335166666666</v>
      </c>
      <c r="EN48" s="2865">
        <f>SUM('ПОЛНАЯ СЕБЕСТОИМОСТЬ СТОКИ 2021'!BN164)/3</f>
        <v>195.45335166666666</v>
      </c>
      <c r="EO48" s="2865">
        <f>SUM('ПОЛНАЯ СЕБЕСТОИМОСТЬ СТОКИ 2021'!BO164)/3</f>
        <v>0</v>
      </c>
      <c r="EP48" s="2865">
        <f t="shared" si="485"/>
        <v>0</v>
      </c>
      <c r="EQ48" s="2865">
        <f>SUM('ПОЛНАЯ СЕБЕСТОИМОСТЬ СТОКИ 2021'!BQ164)</f>
        <v>0</v>
      </c>
      <c r="ER48" s="2865">
        <f>SUM('ПОЛНАЯ СЕБЕСТОИМОСТЬ СТОКИ 2021'!BR164)</f>
        <v>0</v>
      </c>
      <c r="ES48" s="3031">
        <f>SUM(ES49:ES51)</f>
        <v>0</v>
      </c>
      <c r="ET48" s="3031">
        <f t="shared" ref="ET48:EU48" si="520">SUM(ET49:ET51)</f>
        <v>0</v>
      </c>
      <c r="EU48" s="3031">
        <f t="shared" si="520"/>
        <v>0</v>
      </c>
      <c r="EV48" s="2865">
        <f t="shared" si="487"/>
        <v>195.45335166666666</v>
      </c>
      <c r="EW48" s="2865">
        <f t="shared" si="488"/>
        <v>195.45335166666666</v>
      </c>
      <c r="EX48" s="2865">
        <f t="shared" si="489"/>
        <v>0</v>
      </c>
      <c r="EY48" s="2865">
        <f t="shared" si="490"/>
        <v>0</v>
      </c>
      <c r="EZ48" s="2865">
        <f>SUM('ПОЛНАЯ СЕБЕСТОИМОСТЬ СТОКИ 2021'!BT164)</f>
        <v>0</v>
      </c>
      <c r="FA48" s="2865">
        <f>SUM('ПОЛНАЯ СЕБЕСТОИМОСТЬ СТОКИ 2021'!BU164)</f>
        <v>0</v>
      </c>
      <c r="FB48" s="3031">
        <f>SUM(FB49:FB51)</f>
        <v>0</v>
      </c>
      <c r="FC48" s="3031">
        <f t="shared" ref="FC48:FD48" si="521">SUM(FC49:FC51)</f>
        <v>0</v>
      </c>
      <c r="FD48" s="3031">
        <f t="shared" si="521"/>
        <v>0</v>
      </c>
      <c r="FE48" s="2865">
        <f t="shared" si="492"/>
        <v>195.45335166666666</v>
      </c>
      <c r="FF48" s="2865">
        <f t="shared" si="493"/>
        <v>195.45335166666666</v>
      </c>
      <c r="FG48" s="2865">
        <f t="shared" si="494"/>
        <v>0</v>
      </c>
      <c r="FH48" s="2865">
        <f t="shared" si="495"/>
        <v>776.05909999999994</v>
      </c>
      <c r="FI48" s="2865">
        <f>SUM('ПОЛНАЯ СЕБЕСТОИМОСТЬ СТОКИ 2021'!BW164)</f>
        <v>776.05909999999994</v>
      </c>
      <c r="FJ48" s="2865">
        <f>SUM('ПОЛНАЯ СЕБЕСТОИМОСТЬ СТОКИ 2021'!BX164)</f>
        <v>0</v>
      </c>
      <c r="FK48" s="3031">
        <f>SUM(FK49:FK51)</f>
        <v>93.41</v>
      </c>
      <c r="FL48" s="3031">
        <f t="shared" ref="FL48:FM48" si="522">SUM(FL49:FL51)</f>
        <v>93.41</v>
      </c>
      <c r="FM48" s="3031">
        <f t="shared" si="522"/>
        <v>0</v>
      </c>
      <c r="FN48" s="3001">
        <f t="shared" si="497"/>
        <v>586.36005499999999</v>
      </c>
      <c r="FO48" s="3001">
        <f t="shared" si="497"/>
        <v>586.36005499999999</v>
      </c>
      <c r="FP48" s="3001">
        <f t="shared" si="497"/>
        <v>0</v>
      </c>
      <c r="FQ48" s="3001">
        <f t="shared" si="497"/>
        <v>776.05909999999994</v>
      </c>
      <c r="FR48" s="3001">
        <f t="shared" si="497"/>
        <v>776.05909999999994</v>
      </c>
      <c r="FS48" s="3001">
        <f t="shared" si="497"/>
        <v>0</v>
      </c>
      <c r="FT48" s="3001">
        <f t="shared" si="497"/>
        <v>93.41</v>
      </c>
      <c r="FU48" s="3001">
        <f t="shared" si="497"/>
        <v>93.41</v>
      </c>
      <c r="FV48" s="3001">
        <f t="shared" si="497"/>
        <v>0</v>
      </c>
      <c r="FW48" s="2954">
        <f t="shared" si="375"/>
        <v>189.69904499999996</v>
      </c>
      <c r="FX48" s="2954">
        <f t="shared" si="375"/>
        <v>189.69904499999996</v>
      </c>
      <c r="FY48" s="2954">
        <f t="shared" si="375"/>
        <v>0</v>
      </c>
      <c r="FZ48" s="3001">
        <f t="shared" si="498"/>
        <v>2345.44022</v>
      </c>
      <c r="GA48" s="3001">
        <f t="shared" si="498"/>
        <v>2345.44022</v>
      </c>
      <c r="GB48" s="3001">
        <f t="shared" si="498"/>
        <v>0</v>
      </c>
      <c r="GC48" s="3001">
        <f t="shared" si="498"/>
        <v>1170.0841</v>
      </c>
      <c r="GD48" s="3001">
        <f t="shared" si="498"/>
        <v>1170.0841</v>
      </c>
      <c r="GE48" s="3001">
        <f t="shared" si="498"/>
        <v>0</v>
      </c>
      <c r="GF48" s="3001">
        <f t="shared" si="498"/>
        <v>548.84</v>
      </c>
      <c r="GG48" s="3001">
        <f t="shared" si="498"/>
        <v>548.84</v>
      </c>
      <c r="GH48" s="3001">
        <f t="shared" si="498"/>
        <v>0</v>
      </c>
      <c r="GI48" s="2954">
        <f t="shared" si="377"/>
        <v>-1175.3561199999999</v>
      </c>
      <c r="GJ48" s="2954">
        <f t="shared" si="377"/>
        <v>-1175.3561199999999</v>
      </c>
      <c r="GK48" s="2954">
        <f t="shared" si="377"/>
        <v>0</v>
      </c>
      <c r="GM48" s="4234"/>
    </row>
    <row r="49" spans="1:195" ht="37.5" customHeight="1" x14ac:dyDescent="0.2">
      <c r="A49" s="2882" t="s">
        <v>3799</v>
      </c>
      <c r="B49" s="2930">
        <f t="shared" si="440"/>
        <v>43.818333333333335</v>
      </c>
      <c r="C49" s="2930">
        <f>SUM('ПОЛНАЯ СЕБЕСТОИМОСТЬ СТОКИ 2021'!C165)/3</f>
        <v>43.818333333333335</v>
      </c>
      <c r="D49" s="2930">
        <f>SUM('ПОЛНАЯ СЕБЕСТОИМОСТЬ СТОКИ 2021'!D165)/3</f>
        <v>0</v>
      </c>
      <c r="E49" s="2930">
        <f t="shared" si="441"/>
        <v>0</v>
      </c>
      <c r="F49" s="2930">
        <f>SUM('ПОЛНАЯ СЕБЕСТОИМОСТЬ СТОКИ 2021'!F165)</f>
        <v>0</v>
      </c>
      <c r="G49" s="2930">
        <f>SUM('ПОЛНАЯ СЕБЕСТОИМОСТЬ СТОКИ 2021'!G165)</f>
        <v>0</v>
      </c>
      <c r="H49" s="2876">
        <f t="shared" si="499"/>
        <v>0</v>
      </c>
      <c r="I49" s="2876">
        <v>0</v>
      </c>
      <c r="J49" s="2876">
        <v>0</v>
      </c>
      <c r="K49" s="2930">
        <f t="shared" si="443"/>
        <v>43.818333333333335</v>
      </c>
      <c r="L49" s="2930">
        <f t="shared" si="444"/>
        <v>43.818333333333335</v>
      </c>
      <c r="M49" s="2930">
        <f t="shared" si="445"/>
        <v>0</v>
      </c>
      <c r="N49" s="2930">
        <f t="shared" si="446"/>
        <v>0</v>
      </c>
      <c r="O49" s="2930">
        <f>SUM('ПОЛНАЯ СЕБЕСТОИМОСТЬ СТОКИ 2021'!I165)</f>
        <v>0</v>
      </c>
      <c r="P49" s="2930">
        <f>SUM('ПОЛНАЯ СЕБЕСТОИМОСТЬ СТОКИ 2021'!J165)</f>
        <v>0</v>
      </c>
      <c r="Q49" s="2876">
        <f t="shared" ref="Q49:Q51" si="523">SUM(R49:S49)</f>
        <v>0</v>
      </c>
      <c r="R49" s="2876">
        <v>0</v>
      </c>
      <c r="S49" s="2876">
        <v>0</v>
      </c>
      <c r="T49" s="2930">
        <f t="shared" si="448"/>
        <v>43.818333333333335</v>
      </c>
      <c r="U49" s="2930">
        <f t="shared" si="449"/>
        <v>43.818333333333335</v>
      </c>
      <c r="V49" s="2930">
        <f t="shared" si="450"/>
        <v>0</v>
      </c>
      <c r="W49" s="2930">
        <f t="shared" si="451"/>
        <v>116.85</v>
      </c>
      <c r="X49" s="2930">
        <f>SUM('ПОЛНАЯ СЕБЕСТОИМОСТЬ СТОКИ 2021'!L165)</f>
        <v>116.85</v>
      </c>
      <c r="Y49" s="2930">
        <f>SUM('ПОЛНАЯ СЕБЕСТОИМОСТЬ СТОКИ 2021'!M165)</f>
        <v>0</v>
      </c>
      <c r="Z49" s="2876">
        <f t="shared" ref="Z49:Z51" si="524">SUM(AA49:AB49)</f>
        <v>131.44999999999999</v>
      </c>
      <c r="AA49" s="2876">
        <v>131.44999999999999</v>
      </c>
      <c r="AB49" s="2876">
        <v>0</v>
      </c>
      <c r="AC49" s="2932">
        <f t="shared" si="453"/>
        <v>131.45500000000001</v>
      </c>
      <c r="AD49" s="2932">
        <f t="shared" si="453"/>
        <v>131.45500000000001</v>
      </c>
      <c r="AE49" s="2932">
        <f t="shared" si="453"/>
        <v>0</v>
      </c>
      <c r="AF49" s="2932">
        <f t="shared" si="453"/>
        <v>116.85</v>
      </c>
      <c r="AG49" s="2932">
        <f t="shared" si="453"/>
        <v>116.85</v>
      </c>
      <c r="AH49" s="2932">
        <f t="shared" si="453"/>
        <v>0</v>
      </c>
      <c r="AI49" s="2932">
        <f t="shared" si="453"/>
        <v>131.44999999999999</v>
      </c>
      <c r="AJ49" s="2932">
        <f t="shared" si="453"/>
        <v>131.44999999999999</v>
      </c>
      <c r="AK49" s="2932">
        <f t="shared" si="453"/>
        <v>0</v>
      </c>
      <c r="AL49" s="3033">
        <f t="shared" si="365"/>
        <v>-14.605000000000018</v>
      </c>
      <c r="AM49" s="3033">
        <f t="shared" si="365"/>
        <v>-14.605000000000018</v>
      </c>
      <c r="AN49" s="3033">
        <f t="shared" si="365"/>
        <v>0</v>
      </c>
      <c r="AO49" s="2930">
        <f t="shared" si="454"/>
        <v>43.818333333333335</v>
      </c>
      <c r="AP49" s="2930">
        <f>SUM('ПОЛНАЯ СЕБЕСТОИМОСТЬ СТОКИ 2021'!R165)/3</f>
        <v>43.818333333333335</v>
      </c>
      <c r="AQ49" s="2930">
        <f>SUM('ПОЛНАЯ СЕБЕСТОИМОСТЬ СТОКИ 2021'!S165)/3</f>
        <v>0</v>
      </c>
      <c r="AR49" s="2930">
        <f t="shared" si="455"/>
        <v>0</v>
      </c>
      <c r="AS49" s="2930">
        <f>SUM('ПОЛНАЯ СЕБЕСТОИМОСТЬ СТОКИ 2021'!U165)</f>
        <v>0</v>
      </c>
      <c r="AT49" s="2930">
        <f>SUM('ПОЛНАЯ СЕБЕСТОИМОСТЬ СТОКИ 2021'!V165)</f>
        <v>0</v>
      </c>
      <c r="AU49" s="2876">
        <f t="shared" ref="AU49:AU51" si="525">SUM(AV49:AW49)</f>
        <v>0</v>
      </c>
      <c r="AV49" s="2876">
        <v>0</v>
      </c>
      <c r="AW49" s="2876">
        <v>0</v>
      </c>
      <c r="AX49" s="2930">
        <f t="shared" si="457"/>
        <v>43.818333333333335</v>
      </c>
      <c r="AY49" s="2930">
        <f t="shared" si="458"/>
        <v>43.818333333333335</v>
      </c>
      <c r="AZ49" s="2930">
        <f t="shared" si="459"/>
        <v>0</v>
      </c>
      <c r="BA49" s="2920">
        <f t="shared" si="460"/>
        <v>0</v>
      </c>
      <c r="BB49" s="2920">
        <f>SUM('ПОЛНАЯ СЕБЕСТОИМОСТЬ СТОКИ 2021'!X165)</f>
        <v>0</v>
      </c>
      <c r="BC49" s="2920">
        <f>SUM('ПОЛНАЯ СЕБЕСТОИМОСТЬ СТОКИ 2021'!Y165)</f>
        <v>0</v>
      </c>
      <c r="BD49" s="2876">
        <f t="shared" ref="BD49:BD51" si="526">SUM(BE49:BF49)</f>
        <v>0</v>
      </c>
      <c r="BE49" s="2876">
        <v>0</v>
      </c>
      <c r="BF49" s="2876">
        <v>0</v>
      </c>
      <c r="BG49" s="2930">
        <f t="shared" si="462"/>
        <v>43.818333333333335</v>
      </c>
      <c r="BH49" s="2930">
        <f t="shared" si="463"/>
        <v>43.818333333333335</v>
      </c>
      <c r="BI49" s="2930">
        <f t="shared" si="464"/>
        <v>0</v>
      </c>
      <c r="BJ49" s="2930">
        <f t="shared" si="465"/>
        <v>116.854</v>
      </c>
      <c r="BK49" s="2930">
        <f>SUM('ПОЛНАЯ СЕБЕСТОИМОСТЬ СТОКИ 2021'!AA165)</f>
        <v>116.854</v>
      </c>
      <c r="BL49" s="2930">
        <f>SUM('ПОЛНАЯ СЕБЕСТОИМОСТЬ СТОКИ 2021'!AB165)</f>
        <v>0</v>
      </c>
      <c r="BM49" s="2876">
        <f t="shared" ref="BM49:BM51" si="527">SUM(BN49:BO49)</f>
        <v>131.44999999999999</v>
      </c>
      <c r="BN49" s="2876">
        <v>131.44999999999999</v>
      </c>
      <c r="BO49" s="2876">
        <v>0</v>
      </c>
      <c r="BP49" s="2932">
        <f t="shared" si="467"/>
        <v>131.45500000000001</v>
      </c>
      <c r="BQ49" s="2932">
        <f t="shared" si="467"/>
        <v>131.45500000000001</v>
      </c>
      <c r="BR49" s="2932">
        <f t="shared" si="467"/>
        <v>0</v>
      </c>
      <c r="BS49" s="2932">
        <f t="shared" si="467"/>
        <v>116.854</v>
      </c>
      <c r="BT49" s="2932">
        <f t="shared" si="467"/>
        <v>116.854</v>
      </c>
      <c r="BU49" s="2932">
        <f t="shared" si="467"/>
        <v>0</v>
      </c>
      <c r="BV49" s="2932">
        <f t="shared" si="467"/>
        <v>131.44999999999999</v>
      </c>
      <c r="BW49" s="2932">
        <f t="shared" si="467"/>
        <v>131.44999999999999</v>
      </c>
      <c r="BX49" s="2932">
        <f t="shared" si="467"/>
        <v>0</v>
      </c>
      <c r="BY49" s="3033">
        <f t="shared" si="367"/>
        <v>-14.601000000000013</v>
      </c>
      <c r="BZ49" s="3033">
        <f t="shared" si="367"/>
        <v>-14.601000000000013</v>
      </c>
      <c r="CA49" s="3033">
        <f t="shared" si="367"/>
        <v>0</v>
      </c>
      <c r="CB49" s="2932">
        <f t="shared" si="468"/>
        <v>262.91000000000003</v>
      </c>
      <c r="CC49" s="2932">
        <f t="shared" si="468"/>
        <v>262.91000000000003</v>
      </c>
      <c r="CD49" s="2932">
        <f t="shared" si="468"/>
        <v>0</v>
      </c>
      <c r="CE49" s="2932">
        <f t="shared" si="468"/>
        <v>233.70400000000001</v>
      </c>
      <c r="CF49" s="2932">
        <f t="shared" si="468"/>
        <v>233.70400000000001</v>
      </c>
      <c r="CG49" s="2932">
        <f t="shared" si="468"/>
        <v>0</v>
      </c>
      <c r="CH49" s="3034">
        <f t="shared" si="468"/>
        <v>262.89999999999998</v>
      </c>
      <c r="CI49" s="3034">
        <f t="shared" si="468"/>
        <v>262.89999999999998</v>
      </c>
      <c r="CJ49" s="3034">
        <f t="shared" si="468"/>
        <v>0</v>
      </c>
      <c r="CK49" s="3033">
        <f t="shared" si="369"/>
        <v>-29.206000000000017</v>
      </c>
      <c r="CL49" s="3033">
        <f t="shared" si="369"/>
        <v>-29.206000000000017</v>
      </c>
      <c r="CM49" s="3033">
        <f t="shared" si="369"/>
        <v>0</v>
      </c>
      <c r="CN49" s="2930">
        <f t="shared" si="469"/>
        <v>43.818333333333335</v>
      </c>
      <c r="CO49" s="2930">
        <f>SUM('ПОЛНАЯ СЕБЕСТОИМОСТЬ СТОКИ 2021'!AP165)/3</f>
        <v>43.818333333333335</v>
      </c>
      <c r="CP49" s="2930">
        <f>SUM('ПОЛНАЯ СЕБЕСТОИМОСТЬ СТОКИ 2021'!AQ165)/3</f>
        <v>0</v>
      </c>
      <c r="CQ49" s="2930">
        <f t="shared" si="470"/>
        <v>0</v>
      </c>
      <c r="CR49" s="2930">
        <f>SUM('ПОЛНАЯ СЕБЕСТОИМОСТЬ СТОКИ 2021'!AS165)</f>
        <v>0</v>
      </c>
      <c r="CS49" s="2930">
        <f>SUM('ПОЛНАЯ СЕБЕСТОИМОСТЬ СТОКИ 2021'!AT165)</f>
        <v>0</v>
      </c>
      <c r="CT49" s="2876">
        <f t="shared" ref="CT49:CT51" si="528">SUM(CU49:CV49)</f>
        <v>0</v>
      </c>
      <c r="CU49" s="2876">
        <v>0</v>
      </c>
      <c r="CV49" s="2876">
        <v>0</v>
      </c>
      <c r="CW49" s="2930">
        <f t="shared" si="472"/>
        <v>43.818333333333335</v>
      </c>
      <c r="CX49" s="2930">
        <f t="shared" si="473"/>
        <v>43.818333333333335</v>
      </c>
      <c r="CY49" s="2930">
        <f t="shared" si="474"/>
        <v>0</v>
      </c>
      <c r="CZ49" s="2930">
        <f t="shared" si="475"/>
        <v>0</v>
      </c>
      <c r="DA49" s="2930">
        <f>SUM('ПОЛНАЯ СЕБЕСТОИМОСТЬ СТОКИ 2021'!AV165)</f>
        <v>0</v>
      </c>
      <c r="DB49" s="2930">
        <f>SUM('ПОЛНАЯ СЕБЕСТОИМОСТЬ СТОКИ 2021'!AW165)</f>
        <v>0</v>
      </c>
      <c r="DC49" s="2876">
        <f t="shared" ref="DC49:DC51" si="529">SUM(DD49:DE49)</f>
        <v>0</v>
      </c>
      <c r="DD49" s="2876">
        <v>0</v>
      </c>
      <c r="DE49" s="2876">
        <v>0</v>
      </c>
      <c r="DF49" s="2930">
        <f t="shared" si="477"/>
        <v>43.818333333333335</v>
      </c>
      <c r="DG49" s="2930">
        <f t="shared" si="478"/>
        <v>43.818333333333335</v>
      </c>
      <c r="DH49" s="2930">
        <f t="shared" si="479"/>
        <v>0</v>
      </c>
      <c r="DI49" s="2930">
        <f t="shared" si="480"/>
        <v>116.854</v>
      </c>
      <c r="DJ49" s="2930">
        <f>SUM('ПОЛНАЯ СЕБЕСТОИМОСТЬ СТОКИ 2021'!AY165)</f>
        <v>116.854</v>
      </c>
      <c r="DK49" s="2930">
        <f>SUM('ПОЛНАЯ СЕБЕСТОИМОСТЬ СТОКИ 2021'!AZ165)</f>
        <v>0</v>
      </c>
      <c r="DL49" s="2876">
        <f t="shared" ref="DL49:DL51" si="530">SUM(DM49:DN49)</f>
        <v>131.44999999999999</v>
      </c>
      <c r="DM49" s="2876">
        <v>131.44999999999999</v>
      </c>
      <c r="DN49" s="2876">
        <v>0</v>
      </c>
      <c r="DO49" s="2932">
        <f t="shared" si="482"/>
        <v>131.45500000000001</v>
      </c>
      <c r="DP49" s="2932">
        <f t="shared" si="482"/>
        <v>131.45500000000001</v>
      </c>
      <c r="DQ49" s="2932">
        <f t="shared" si="482"/>
        <v>0</v>
      </c>
      <c r="DR49" s="2932">
        <f t="shared" si="482"/>
        <v>116.854</v>
      </c>
      <c r="DS49" s="2932">
        <f t="shared" si="482"/>
        <v>116.854</v>
      </c>
      <c r="DT49" s="2932">
        <f t="shared" si="482"/>
        <v>0</v>
      </c>
      <c r="DU49" s="2932">
        <f t="shared" si="482"/>
        <v>131.44999999999999</v>
      </c>
      <c r="DV49" s="2932">
        <f t="shared" si="482"/>
        <v>131.44999999999999</v>
      </c>
      <c r="DW49" s="2932">
        <f t="shared" si="482"/>
        <v>0</v>
      </c>
      <c r="DX49" s="3033">
        <f t="shared" si="371"/>
        <v>-14.601000000000013</v>
      </c>
      <c r="DY49" s="3033">
        <f t="shared" si="371"/>
        <v>-14.601000000000013</v>
      </c>
      <c r="DZ49" s="3033">
        <f t="shared" si="371"/>
        <v>0</v>
      </c>
      <c r="EA49" s="2932">
        <f t="shared" si="483"/>
        <v>394.36500000000001</v>
      </c>
      <c r="EB49" s="2932">
        <f t="shared" si="483"/>
        <v>394.36500000000001</v>
      </c>
      <c r="EC49" s="2932">
        <f t="shared" si="483"/>
        <v>0</v>
      </c>
      <c r="ED49" s="2932">
        <f t="shared" si="483"/>
        <v>350.55799999999999</v>
      </c>
      <c r="EE49" s="2932">
        <f t="shared" si="483"/>
        <v>350.55799999999999</v>
      </c>
      <c r="EF49" s="2932">
        <f t="shared" si="483"/>
        <v>0</v>
      </c>
      <c r="EG49" s="2932">
        <f t="shared" si="483"/>
        <v>394.34999999999997</v>
      </c>
      <c r="EH49" s="2932">
        <f t="shared" si="483"/>
        <v>394.34999999999997</v>
      </c>
      <c r="EI49" s="2932">
        <f t="shared" si="483"/>
        <v>0</v>
      </c>
      <c r="EJ49" s="3033">
        <f t="shared" si="373"/>
        <v>-43.807000000000016</v>
      </c>
      <c r="EK49" s="3033">
        <f t="shared" si="373"/>
        <v>-43.807000000000016</v>
      </c>
      <c r="EL49" s="3033">
        <f t="shared" si="373"/>
        <v>0</v>
      </c>
      <c r="EM49" s="2930">
        <f t="shared" si="484"/>
        <v>43.818333333333335</v>
      </c>
      <c r="EN49" s="2930">
        <f>SUM('ПОЛНАЯ СЕБЕСТОИМОСТЬ СТОКИ 2021'!BN165)/3</f>
        <v>43.818333333333335</v>
      </c>
      <c r="EO49" s="2930">
        <f>SUM('ПОЛНАЯ СЕБЕСТОИМОСТЬ СТОКИ 2021'!BO165)/3</f>
        <v>0</v>
      </c>
      <c r="EP49" s="2930">
        <f t="shared" si="485"/>
        <v>0</v>
      </c>
      <c r="EQ49" s="2930">
        <f>SUM('ПОЛНАЯ СЕБЕСТОИМОСТЬ СТОКИ 2021'!BQ165)</f>
        <v>0</v>
      </c>
      <c r="ER49" s="2930">
        <f>SUM('ПОЛНАЯ СЕБЕСТОИМОСТЬ СТОКИ 2021'!BR165)</f>
        <v>0</v>
      </c>
      <c r="ES49" s="2876">
        <f t="shared" ref="ES49:ES51" si="531">SUM(ET49:EU49)</f>
        <v>0</v>
      </c>
      <c r="ET49" s="2876">
        <v>0</v>
      </c>
      <c r="EU49" s="2876">
        <v>0</v>
      </c>
      <c r="EV49" s="2930">
        <f t="shared" si="487"/>
        <v>43.818333333333335</v>
      </c>
      <c r="EW49" s="2930">
        <f t="shared" si="488"/>
        <v>43.818333333333335</v>
      </c>
      <c r="EX49" s="2930">
        <f t="shared" si="489"/>
        <v>0</v>
      </c>
      <c r="EY49" s="2930">
        <f t="shared" si="490"/>
        <v>0</v>
      </c>
      <c r="EZ49" s="2930">
        <f>SUM('ПОЛНАЯ СЕБЕСТОИМОСТЬ СТОКИ 2021'!BT165)</f>
        <v>0</v>
      </c>
      <c r="FA49" s="2930">
        <f>SUM('ПОЛНАЯ СЕБЕСТОИМОСТЬ СТОКИ 2021'!BU165)</f>
        <v>0</v>
      </c>
      <c r="FB49" s="2876">
        <f t="shared" ref="FB49:FB51" si="532">SUM(FC49:FD49)</f>
        <v>0</v>
      </c>
      <c r="FC49" s="2876">
        <v>0</v>
      </c>
      <c r="FD49" s="2876">
        <v>0</v>
      </c>
      <c r="FE49" s="2930">
        <f t="shared" si="492"/>
        <v>43.818333333333335</v>
      </c>
      <c r="FF49" s="2930">
        <f t="shared" si="493"/>
        <v>43.818333333333335</v>
      </c>
      <c r="FG49" s="2930">
        <f t="shared" si="494"/>
        <v>0</v>
      </c>
      <c r="FH49" s="2930">
        <f t="shared" si="495"/>
        <v>761.5761</v>
      </c>
      <c r="FI49" s="2930">
        <f>SUM('ПОЛНАЯ СЕБЕСТОИМОСТЬ СТОКИ 2021'!BW165)</f>
        <v>761.5761</v>
      </c>
      <c r="FJ49" s="2930">
        <f>SUM('ПОЛНАЯ СЕБЕСТОИМОСТЬ СТОКИ 2021'!BX165)</f>
        <v>0</v>
      </c>
      <c r="FK49" s="2876">
        <f t="shared" ref="FK49:FK51" si="533">SUM(FL49:FM49)</f>
        <v>73.06</v>
      </c>
      <c r="FL49" s="2876">
        <v>73.06</v>
      </c>
      <c r="FM49" s="2876">
        <v>0</v>
      </c>
      <c r="FN49" s="2932">
        <f t="shared" si="497"/>
        <v>131.45500000000001</v>
      </c>
      <c r="FO49" s="2932">
        <f t="shared" si="497"/>
        <v>131.45500000000001</v>
      </c>
      <c r="FP49" s="2932">
        <f t="shared" si="497"/>
        <v>0</v>
      </c>
      <c r="FQ49" s="2932">
        <f t="shared" si="497"/>
        <v>761.5761</v>
      </c>
      <c r="FR49" s="2932">
        <f t="shared" si="497"/>
        <v>761.5761</v>
      </c>
      <c r="FS49" s="2932">
        <f t="shared" si="497"/>
        <v>0</v>
      </c>
      <c r="FT49" s="2932">
        <f t="shared" si="497"/>
        <v>73.06</v>
      </c>
      <c r="FU49" s="2932">
        <f t="shared" si="497"/>
        <v>73.06</v>
      </c>
      <c r="FV49" s="2932">
        <f t="shared" si="497"/>
        <v>0</v>
      </c>
      <c r="FW49" s="3033">
        <f t="shared" si="375"/>
        <v>630.12109999999996</v>
      </c>
      <c r="FX49" s="3033">
        <f t="shared" si="375"/>
        <v>630.12109999999996</v>
      </c>
      <c r="FY49" s="3033">
        <f t="shared" si="375"/>
        <v>0</v>
      </c>
      <c r="FZ49" s="2932">
        <f t="shared" si="498"/>
        <v>525.82000000000005</v>
      </c>
      <c r="GA49" s="2932">
        <f t="shared" si="498"/>
        <v>525.82000000000005</v>
      </c>
      <c r="GB49" s="2932">
        <f t="shared" si="498"/>
        <v>0</v>
      </c>
      <c r="GC49" s="2932">
        <f t="shared" si="498"/>
        <v>1112.1341</v>
      </c>
      <c r="GD49" s="2932">
        <f t="shared" si="498"/>
        <v>1112.1341</v>
      </c>
      <c r="GE49" s="2932">
        <f t="shared" si="498"/>
        <v>0</v>
      </c>
      <c r="GF49" s="2932">
        <f t="shared" si="498"/>
        <v>467.40999999999997</v>
      </c>
      <c r="GG49" s="2932">
        <f t="shared" si="498"/>
        <v>467.40999999999997</v>
      </c>
      <c r="GH49" s="2932">
        <f t="shared" si="498"/>
        <v>0</v>
      </c>
      <c r="GI49" s="3033">
        <f t="shared" si="377"/>
        <v>586.31409999999994</v>
      </c>
      <c r="GJ49" s="3033">
        <f t="shared" si="377"/>
        <v>586.31409999999994</v>
      </c>
      <c r="GK49" s="3033">
        <f t="shared" si="377"/>
        <v>0</v>
      </c>
      <c r="GM49" s="4234"/>
    </row>
    <row r="50" spans="1:195" ht="18.75" customHeight="1" x14ac:dyDescent="0.3">
      <c r="A50" s="2882" t="s">
        <v>524</v>
      </c>
      <c r="B50" s="2875">
        <f t="shared" si="440"/>
        <v>6.1908333333333339</v>
      </c>
      <c r="C50" s="2875">
        <f>SUM('ПОЛНАЯ СЕБЕСТОИМОСТЬ СТОКИ 2021'!C166)/3</f>
        <v>6.1908333333333339</v>
      </c>
      <c r="D50" s="2875">
        <f>SUM('ПОЛНАЯ СЕБЕСТОИМОСТЬ СТОКИ 2021'!D166)/3</f>
        <v>0</v>
      </c>
      <c r="E50" s="2875">
        <f t="shared" si="441"/>
        <v>0</v>
      </c>
      <c r="F50" s="2875">
        <f>SUM('ПОЛНАЯ СЕБЕСТОИМОСТЬ СТОКИ 2021'!F166)</f>
        <v>0</v>
      </c>
      <c r="G50" s="2875">
        <f>SUM('ПОЛНАЯ СЕБЕСТОИМОСТЬ СТОКИ 2021'!G166)</f>
        <v>0</v>
      </c>
      <c r="H50" s="2955">
        <f t="shared" si="499"/>
        <v>0</v>
      </c>
      <c r="I50" s="2955">
        <v>0</v>
      </c>
      <c r="J50" s="2955">
        <v>0</v>
      </c>
      <c r="K50" s="2875">
        <f t="shared" si="443"/>
        <v>6.1908333333333339</v>
      </c>
      <c r="L50" s="2875">
        <f t="shared" si="444"/>
        <v>6.1908333333333339</v>
      </c>
      <c r="M50" s="2875">
        <f t="shared" si="445"/>
        <v>0</v>
      </c>
      <c r="N50" s="2875">
        <f t="shared" si="446"/>
        <v>0</v>
      </c>
      <c r="O50" s="2875">
        <f>SUM('ПОЛНАЯ СЕБЕСТОИМОСТЬ СТОКИ 2021'!I166)</f>
        <v>0</v>
      </c>
      <c r="P50" s="2875">
        <f>SUM('ПОЛНАЯ СЕБЕСТОИМОСТЬ СТОКИ 2021'!J166)</f>
        <v>0</v>
      </c>
      <c r="Q50" s="2955">
        <f t="shared" si="523"/>
        <v>0</v>
      </c>
      <c r="R50" s="2955">
        <v>0</v>
      </c>
      <c r="S50" s="2955">
        <v>0</v>
      </c>
      <c r="T50" s="2875">
        <f t="shared" si="448"/>
        <v>6.1908333333333339</v>
      </c>
      <c r="U50" s="2875">
        <f t="shared" si="449"/>
        <v>6.1908333333333339</v>
      </c>
      <c r="V50" s="2875">
        <f t="shared" si="450"/>
        <v>0</v>
      </c>
      <c r="W50" s="2875">
        <f t="shared" si="451"/>
        <v>14.489000000000001</v>
      </c>
      <c r="X50" s="2875">
        <f>SUM('ПОЛНАЯ СЕБЕСТОИМОСТЬ СТОКИ 2021'!L166)</f>
        <v>14.489000000000001</v>
      </c>
      <c r="Y50" s="2875">
        <f>SUM('ПОЛНАЯ СЕБЕСТОИМОСТЬ СТОКИ 2021'!M166)</f>
        <v>0</v>
      </c>
      <c r="Z50" s="2955">
        <f t="shared" si="524"/>
        <v>20.36</v>
      </c>
      <c r="AA50" s="2955">
        <v>20.36</v>
      </c>
      <c r="AB50" s="2955">
        <v>0</v>
      </c>
      <c r="AC50" s="3003">
        <f t="shared" si="453"/>
        <v>18.572500000000002</v>
      </c>
      <c r="AD50" s="3003">
        <f t="shared" si="453"/>
        <v>18.572500000000002</v>
      </c>
      <c r="AE50" s="3003">
        <f t="shared" si="453"/>
        <v>0</v>
      </c>
      <c r="AF50" s="3003">
        <f t="shared" si="453"/>
        <v>14.489000000000001</v>
      </c>
      <c r="AG50" s="3003">
        <f t="shared" si="453"/>
        <v>14.489000000000001</v>
      </c>
      <c r="AH50" s="3003">
        <f t="shared" si="453"/>
        <v>0</v>
      </c>
      <c r="AI50" s="3003">
        <f t="shared" si="453"/>
        <v>20.36</v>
      </c>
      <c r="AJ50" s="3003">
        <f t="shared" si="453"/>
        <v>20.36</v>
      </c>
      <c r="AK50" s="3003">
        <f t="shared" si="453"/>
        <v>0</v>
      </c>
      <c r="AL50" s="2919">
        <f t="shared" si="365"/>
        <v>-4.0835000000000008</v>
      </c>
      <c r="AM50" s="2919">
        <f t="shared" si="365"/>
        <v>-4.0835000000000008</v>
      </c>
      <c r="AN50" s="2919">
        <f t="shared" si="365"/>
        <v>0</v>
      </c>
      <c r="AO50" s="2875">
        <f t="shared" si="454"/>
        <v>6.1908333333333339</v>
      </c>
      <c r="AP50" s="2875">
        <f>SUM('ПОЛНАЯ СЕБЕСТОИМОСТЬ СТОКИ 2021'!R166)/3</f>
        <v>6.1908333333333339</v>
      </c>
      <c r="AQ50" s="2875">
        <f>SUM('ПОЛНАЯ СЕБЕСТОИМОСТЬ СТОКИ 2021'!S166)/3</f>
        <v>0</v>
      </c>
      <c r="AR50" s="2875">
        <f t="shared" si="455"/>
        <v>0</v>
      </c>
      <c r="AS50" s="2875">
        <f>SUM('ПОЛНАЯ СЕБЕСТОИМОСТЬ СТОКИ 2021'!U166)</f>
        <v>0</v>
      </c>
      <c r="AT50" s="2875">
        <f>SUM('ПОЛНАЯ СЕБЕСТОИМОСТЬ СТОКИ 2021'!V166)</f>
        <v>0</v>
      </c>
      <c r="AU50" s="2955">
        <f t="shared" si="525"/>
        <v>0</v>
      </c>
      <c r="AV50" s="2955">
        <v>0</v>
      </c>
      <c r="AW50" s="2955">
        <v>0</v>
      </c>
      <c r="AX50" s="2875">
        <f t="shared" si="457"/>
        <v>6.1908333333333339</v>
      </c>
      <c r="AY50" s="2875">
        <f t="shared" si="458"/>
        <v>6.1908333333333339</v>
      </c>
      <c r="AZ50" s="2875">
        <f t="shared" si="459"/>
        <v>0</v>
      </c>
      <c r="BA50" s="2951">
        <f t="shared" si="460"/>
        <v>0</v>
      </c>
      <c r="BB50" s="2951">
        <f>SUM('ПОЛНАЯ СЕБЕСТОИМОСТЬ СТОКИ 2021'!X166)</f>
        <v>0</v>
      </c>
      <c r="BC50" s="2951">
        <f>SUM('ПОЛНАЯ СЕБЕСТОИМОСТЬ СТОКИ 2021'!Y166)</f>
        <v>0</v>
      </c>
      <c r="BD50" s="2955">
        <f t="shared" si="526"/>
        <v>0</v>
      </c>
      <c r="BE50" s="2955">
        <v>0</v>
      </c>
      <c r="BF50" s="2955">
        <v>0</v>
      </c>
      <c r="BG50" s="2875">
        <f t="shared" si="462"/>
        <v>6.1908333333333339</v>
      </c>
      <c r="BH50" s="2875">
        <f t="shared" si="463"/>
        <v>6.1908333333333339</v>
      </c>
      <c r="BI50" s="2875">
        <f t="shared" si="464"/>
        <v>0</v>
      </c>
      <c r="BJ50" s="2875">
        <f t="shared" si="465"/>
        <v>14.489000000000001</v>
      </c>
      <c r="BK50" s="2875">
        <f>SUM('ПОЛНАЯ СЕБЕСТОИМОСТЬ СТОКИ 2021'!AA166)</f>
        <v>14.489000000000001</v>
      </c>
      <c r="BL50" s="2875">
        <f>SUM('ПОЛНАЯ СЕБЕСТОИМОСТЬ СТОКИ 2021'!AB166)</f>
        <v>0</v>
      </c>
      <c r="BM50" s="2955">
        <f t="shared" si="527"/>
        <v>20.36</v>
      </c>
      <c r="BN50" s="2955">
        <v>20.36</v>
      </c>
      <c r="BO50" s="2955">
        <v>0</v>
      </c>
      <c r="BP50" s="3003">
        <f t="shared" si="467"/>
        <v>18.572500000000002</v>
      </c>
      <c r="BQ50" s="3003">
        <f t="shared" si="467"/>
        <v>18.572500000000002</v>
      </c>
      <c r="BR50" s="3003">
        <f t="shared" si="467"/>
        <v>0</v>
      </c>
      <c r="BS50" s="3003">
        <f t="shared" si="467"/>
        <v>14.489000000000001</v>
      </c>
      <c r="BT50" s="3003">
        <f t="shared" si="467"/>
        <v>14.489000000000001</v>
      </c>
      <c r="BU50" s="3003">
        <f t="shared" si="467"/>
        <v>0</v>
      </c>
      <c r="BV50" s="3003">
        <f t="shared" si="467"/>
        <v>20.36</v>
      </c>
      <c r="BW50" s="3003">
        <f t="shared" si="467"/>
        <v>20.36</v>
      </c>
      <c r="BX50" s="3003">
        <f t="shared" si="467"/>
        <v>0</v>
      </c>
      <c r="BY50" s="2919">
        <f t="shared" si="367"/>
        <v>-4.0835000000000008</v>
      </c>
      <c r="BZ50" s="2919">
        <f t="shared" si="367"/>
        <v>-4.0835000000000008</v>
      </c>
      <c r="CA50" s="2919">
        <f t="shared" si="367"/>
        <v>0</v>
      </c>
      <c r="CB50" s="3003">
        <f t="shared" si="468"/>
        <v>37.145000000000003</v>
      </c>
      <c r="CC50" s="3003">
        <f t="shared" si="468"/>
        <v>37.145000000000003</v>
      </c>
      <c r="CD50" s="3003">
        <f t="shared" si="468"/>
        <v>0</v>
      </c>
      <c r="CE50" s="3003">
        <f t="shared" si="468"/>
        <v>28.978000000000002</v>
      </c>
      <c r="CF50" s="3003">
        <f t="shared" si="468"/>
        <v>28.978000000000002</v>
      </c>
      <c r="CG50" s="3003">
        <f t="shared" si="468"/>
        <v>0</v>
      </c>
      <c r="CH50" s="3032">
        <f t="shared" si="468"/>
        <v>40.72</v>
      </c>
      <c r="CI50" s="3032">
        <f t="shared" si="468"/>
        <v>40.72</v>
      </c>
      <c r="CJ50" s="3032">
        <f t="shared" si="468"/>
        <v>0</v>
      </c>
      <c r="CK50" s="2919">
        <f t="shared" si="369"/>
        <v>-8.1670000000000016</v>
      </c>
      <c r="CL50" s="2919">
        <f t="shared" si="369"/>
        <v>-8.1670000000000016</v>
      </c>
      <c r="CM50" s="2919">
        <f t="shared" si="369"/>
        <v>0</v>
      </c>
      <c r="CN50" s="2875">
        <f t="shared" si="469"/>
        <v>6.1908333333333339</v>
      </c>
      <c r="CO50" s="2875">
        <f>SUM('ПОЛНАЯ СЕБЕСТОИМОСТЬ СТОКИ 2021'!AP166)/3</f>
        <v>6.1908333333333339</v>
      </c>
      <c r="CP50" s="2875">
        <f>SUM('ПОЛНАЯ СЕБЕСТОИМОСТЬ СТОКИ 2021'!AQ166)/3</f>
        <v>0</v>
      </c>
      <c r="CQ50" s="2875">
        <f t="shared" si="470"/>
        <v>0</v>
      </c>
      <c r="CR50" s="2875">
        <f>SUM('ПОЛНАЯ СЕБЕСТОИМОСТЬ СТОКИ 2021'!AS166)</f>
        <v>0</v>
      </c>
      <c r="CS50" s="2875">
        <f>SUM('ПОЛНАЯ СЕБЕСТОИМОСТЬ СТОКИ 2021'!AT166)</f>
        <v>0</v>
      </c>
      <c r="CT50" s="2955">
        <f t="shared" si="528"/>
        <v>0</v>
      </c>
      <c r="CU50" s="2955">
        <v>0</v>
      </c>
      <c r="CV50" s="2955">
        <v>0</v>
      </c>
      <c r="CW50" s="2875">
        <f t="shared" si="472"/>
        <v>6.1908333333333339</v>
      </c>
      <c r="CX50" s="2875">
        <f t="shared" si="473"/>
        <v>6.1908333333333339</v>
      </c>
      <c r="CY50" s="2875">
        <f t="shared" si="474"/>
        <v>0</v>
      </c>
      <c r="CZ50" s="2875">
        <f t="shared" si="475"/>
        <v>0</v>
      </c>
      <c r="DA50" s="2875">
        <f>SUM('ПОЛНАЯ СЕБЕСТОИМОСТЬ СТОКИ 2021'!AV166)</f>
        <v>0</v>
      </c>
      <c r="DB50" s="2875">
        <f>SUM('ПОЛНАЯ СЕБЕСТОИМОСТЬ СТОКИ 2021'!AW166)</f>
        <v>0</v>
      </c>
      <c r="DC50" s="2955">
        <f t="shared" si="529"/>
        <v>0</v>
      </c>
      <c r="DD50" s="2955">
        <v>0</v>
      </c>
      <c r="DE50" s="2955">
        <v>0</v>
      </c>
      <c r="DF50" s="2875">
        <f t="shared" si="477"/>
        <v>6.1908333333333339</v>
      </c>
      <c r="DG50" s="2875">
        <f t="shared" si="478"/>
        <v>6.1908333333333339</v>
      </c>
      <c r="DH50" s="2875">
        <f t="shared" si="479"/>
        <v>0</v>
      </c>
      <c r="DI50" s="2875">
        <f t="shared" si="480"/>
        <v>14.489000000000001</v>
      </c>
      <c r="DJ50" s="2875">
        <f>SUM('ПОЛНАЯ СЕБЕСТОИМОСТЬ СТОКИ 2021'!AY166)</f>
        <v>14.489000000000001</v>
      </c>
      <c r="DK50" s="2875">
        <f>SUM('ПОЛНАЯ СЕБЕСТОИМОСТЬ СТОКИ 2021'!AZ166)</f>
        <v>0</v>
      </c>
      <c r="DL50" s="2955">
        <f t="shared" si="530"/>
        <v>20.36</v>
      </c>
      <c r="DM50" s="2955">
        <v>20.36</v>
      </c>
      <c r="DN50" s="2955">
        <v>0</v>
      </c>
      <c r="DO50" s="3003">
        <f t="shared" si="482"/>
        <v>18.572500000000002</v>
      </c>
      <c r="DP50" s="3003">
        <f t="shared" si="482"/>
        <v>18.572500000000002</v>
      </c>
      <c r="DQ50" s="3003">
        <f t="shared" si="482"/>
        <v>0</v>
      </c>
      <c r="DR50" s="3003">
        <f t="shared" si="482"/>
        <v>14.489000000000001</v>
      </c>
      <c r="DS50" s="3003">
        <f t="shared" si="482"/>
        <v>14.489000000000001</v>
      </c>
      <c r="DT50" s="3003">
        <f t="shared" si="482"/>
        <v>0</v>
      </c>
      <c r="DU50" s="3003">
        <f t="shared" si="482"/>
        <v>20.36</v>
      </c>
      <c r="DV50" s="3003">
        <f t="shared" si="482"/>
        <v>20.36</v>
      </c>
      <c r="DW50" s="3003">
        <f t="shared" si="482"/>
        <v>0</v>
      </c>
      <c r="DX50" s="2919">
        <f t="shared" si="371"/>
        <v>-4.0835000000000008</v>
      </c>
      <c r="DY50" s="2919">
        <f t="shared" si="371"/>
        <v>-4.0835000000000008</v>
      </c>
      <c r="DZ50" s="2919">
        <f t="shared" si="371"/>
        <v>0</v>
      </c>
      <c r="EA50" s="3003">
        <f t="shared" si="483"/>
        <v>55.717500000000001</v>
      </c>
      <c r="EB50" s="3003">
        <f t="shared" si="483"/>
        <v>55.717500000000001</v>
      </c>
      <c r="EC50" s="3003">
        <f t="shared" si="483"/>
        <v>0</v>
      </c>
      <c r="ED50" s="3003">
        <f t="shared" si="483"/>
        <v>43.466999999999999</v>
      </c>
      <c r="EE50" s="3003">
        <f t="shared" si="483"/>
        <v>43.466999999999999</v>
      </c>
      <c r="EF50" s="3003">
        <f t="shared" si="483"/>
        <v>0</v>
      </c>
      <c r="EG50" s="3003">
        <f t="shared" si="483"/>
        <v>61.08</v>
      </c>
      <c r="EH50" s="3003">
        <f t="shared" si="483"/>
        <v>61.08</v>
      </c>
      <c r="EI50" s="3003">
        <f t="shared" si="483"/>
        <v>0</v>
      </c>
      <c r="EJ50" s="2919">
        <f t="shared" si="373"/>
        <v>-12.250500000000002</v>
      </c>
      <c r="EK50" s="2919">
        <f t="shared" si="373"/>
        <v>-12.250500000000002</v>
      </c>
      <c r="EL50" s="2919">
        <f t="shared" si="373"/>
        <v>0</v>
      </c>
      <c r="EM50" s="2875">
        <f t="shared" si="484"/>
        <v>6.1908333333333339</v>
      </c>
      <c r="EN50" s="2875">
        <f>SUM('ПОЛНАЯ СЕБЕСТОИМОСТЬ СТОКИ 2021'!BN166)/3</f>
        <v>6.1908333333333339</v>
      </c>
      <c r="EO50" s="2875">
        <f>SUM('ПОЛНАЯ СЕБЕСТОИМОСТЬ СТОКИ 2021'!BO166)/3</f>
        <v>0</v>
      </c>
      <c r="EP50" s="2875">
        <f t="shared" si="485"/>
        <v>0</v>
      </c>
      <c r="EQ50" s="2875">
        <f>SUM('ПОЛНАЯ СЕБЕСТОИМОСТЬ СТОКИ 2021'!BQ166)</f>
        <v>0</v>
      </c>
      <c r="ER50" s="2875">
        <f>SUM('ПОЛНАЯ СЕБЕСТОИМОСТЬ СТОКИ 2021'!BR166)</f>
        <v>0</v>
      </c>
      <c r="ES50" s="2955">
        <f t="shared" si="531"/>
        <v>0</v>
      </c>
      <c r="ET50" s="2955">
        <v>0</v>
      </c>
      <c r="EU50" s="2955">
        <v>0</v>
      </c>
      <c r="EV50" s="2875">
        <f t="shared" si="487"/>
        <v>6.1908333333333339</v>
      </c>
      <c r="EW50" s="2875">
        <f t="shared" si="488"/>
        <v>6.1908333333333339</v>
      </c>
      <c r="EX50" s="2875">
        <f t="shared" si="489"/>
        <v>0</v>
      </c>
      <c r="EY50" s="2875">
        <f t="shared" si="490"/>
        <v>0</v>
      </c>
      <c r="EZ50" s="2875">
        <f>SUM('ПОЛНАЯ СЕБЕСТОИМОСТЬ СТОКИ 2021'!BT166)</f>
        <v>0</v>
      </c>
      <c r="FA50" s="2875">
        <f>SUM('ПОЛНАЯ СЕБЕСТОИМОСТЬ СТОКИ 2021'!BU166)</f>
        <v>0</v>
      </c>
      <c r="FB50" s="2955">
        <f t="shared" si="532"/>
        <v>0</v>
      </c>
      <c r="FC50" s="2955">
        <v>0</v>
      </c>
      <c r="FD50" s="2955">
        <v>0</v>
      </c>
      <c r="FE50" s="2875">
        <f t="shared" si="492"/>
        <v>6.1908333333333339</v>
      </c>
      <c r="FF50" s="2875">
        <f t="shared" si="493"/>
        <v>6.1908333333333339</v>
      </c>
      <c r="FG50" s="2875">
        <f t="shared" si="494"/>
        <v>0</v>
      </c>
      <c r="FH50" s="2875">
        <f t="shared" si="495"/>
        <v>14.483000000000001</v>
      </c>
      <c r="FI50" s="2875">
        <f>SUM('ПОЛНАЯ СЕБЕСТОИМОСТЬ СТОКИ 2021'!BW166)</f>
        <v>14.483000000000001</v>
      </c>
      <c r="FJ50" s="2875">
        <f>SUM('ПОЛНАЯ СЕБЕСТОИМОСТЬ СТОКИ 2021'!BX166)</f>
        <v>0</v>
      </c>
      <c r="FK50" s="2955">
        <f t="shared" si="533"/>
        <v>20.350000000000001</v>
      </c>
      <c r="FL50" s="2955">
        <v>20.350000000000001</v>
      </c>
      <c r="FM50" s="2955">
        <v>0</v>
      </c>
      <c r="FN50" s="3003">
        <f t="shared" si="497"/>
        <v>18.572500000000002</v>
      </c>
      <c r="FO50" s="3003">
        <f t="shared" si="497"/>
        <v>18.572500000000002</v>
      </c>
      <c r="FP50" s="3003">
        <f t="shared" si="497"/>
        <v>0</v>
      </c>
      <c r="FQ50" s="3003">
        <f t="shared" si="497"/>
        <v>14.483000000000001</v>
      </c>
      <c r="FR50" s="3003">
        <f t="shared" si="497"/>
        <v>14.483000000000001</v>
      </c>
      <c r="FS50" s="3003">
        <f t="shared" si="497"/>
        <v>0</v>
      </c>
      <c r="FT50" s="3003">
        <f t="shared" si="497"/>
        <v>20.350000000000001</v>
      </c>
      <c r="FU50" s="3003">
        <f t="shared" si="497"/>
        <v>20.350000000000001</v>
      </c>
      <c r="FV50" s="3003">
        <f t="shared" si="497"/>
        <v>0</v>
      </c>
      <c r="FW50" s="2919">
        <f t="shared" si="375"/>
        <v>-4.089500000000001</v>
      </c>
      <c r="FX50" s="2919">
        <f t="shared" si="375"/>
        <v>-4.089500000000001</v>
      </c>
      <c r="FY50" s="2919">
        <f t="shared" si="375"/>
        <v>0</v>
      </c>
      <c r="FZ50" s="3003">
        <f t="shared" si="498"/>
        <v>74.290000000000006</v>
      </c>
      <c r="GA50" s="3003">
        <f t="shared" si="498"/>
        <v>74.290000000000006</v>
      </c>
      <c r="GB50" s="3003">
        <f t="shared" si="498"/>
        <v>0</v>
      </c>
      <c r="GC50" s="3003">
        <f t="shared" si="498"/>
        <v>57.95</v>
      </c>
      <c r="GD50" s="3003">
        <f t="shared" si="498"/>
        <v>57.95</v>
      </c>
      <c r="GE50" s="3003">
        <f t="shared" si="498"/>
        <v>0</v>
      </c>
      <c r="GF50" s="3003">
        <f t="shared" si="498"/>
        <v>81.430000000000007</v>
      </c>
      <c r="GG50" s="3003">
        <f t="shared" si="498"/>
        <v>81.430000000000007</v>
      </c>
      <c r="GH50" s="3003">
        <f t="shared" si="498"/>
        <v>0</v>
      </c>
      <c r="GI50" s="2919">
        <f t="shared" si="377"/>
        <v>-16.340000000000003</v>
      </c>
      <c r="GJ50" s="2919">
        <f t="shared" si="377"/>
        <v>-16.340000000000003</v>
      </c>
      <c r="GK50" s="2919">
        <f t="shared" si="377"/>
        <v>0</v>
      </c>
      <c r="GM50" s="4234"/>
    </row>
    <row r="51" spans="1:195" ht="18.75" customHeight="1" x14ac:dyDescent="0.3">
      <c r="A51" s="2882" t="s">
        <v>526</v>
      </c>
      <c r="B51" s="2875">
        <f t="shared" si="440"/>
        <v>145.444185</v>
      </c>
      <c r="C51" s="2875">
        <f>SUM('ПОЛНАЯ СЕБЕСТОИМОСТЬ СТОКИ 2021'!C167)/3</f>
        <v>145.444185</v>
      </c>
      <c r="D51" s="2875">
        <f>SUM('ПОЛНАЯ СЕБЕСТОИМОСТЬ СТОКИ 2021'!D167)/3</f>
        <v>0</v>
      </c>
      <c r="E51" s="2875">
        <f t="shared" si="441"/>
        <v>0</v>
      </c>
      <c r="F51" s="2875">
        <f>SUM('ПОЛНАЯ СЕБЕСТОИМОСТЬ СТОКИ 2021'!F167)</f>
        <v>0</v>
      </c>
      <c r="G51" s="2875">
        <f>SUM('ПОЛНАЯ СЕБЕСТОИМОСТЬ СТОКИ 2021'!G167)</f>
        <v>0</v>
      </c>
      <c r="H51" s="2955">
        <f t="shared" si="499"/>
        <v>0</v>
      </c>
      <c r="I51" s="2955">
        <v>0</v>
      </c>
      <c r="J51" s="2955">
        <v>0</v>
      </c>
      <c r="K51" s="2875">
        <f t="shared" si="443"/>
        <v>145.444185</v>
      </c>
      <c r="L51" s="2875">
        <f t="shared" si="444"/>
        <v>145.444185</v>
      </c>
      <c r="M51" s="2875">
        <f t="shared" si="445"/>
        <v>0</v>
      </c>
      <c r="N51" s="2875">
        <f t="shared" si="446"/>
        <v>0</v>
      </c>
      <c r="O51" s="2875">
        <f>SUM('ПОЛНАЯ СЕБЕСТОИМОСТЬ СТОКИ 2021'!I167)</f>
        <v>0</v>
      </c>
      <c r="P51" s="2875">
        <f>SUM('ПОЛНАЯ СЕБЕСТОИМОСТЬ СТОКИ 2021'!J167)</f>
        <v>0</v>
      </c>
      <c r="Q51" s="2955">
        <f t="shared" si="523"/>
        <v>0</v>
      </c>
      <c r="R51" s="2955">
        <v>0</v>
      </c>
      <c r="S51" s="2955">
        <v>0</v>
      </c>
      <c r="T51" s="2875">
        <f t="shared" si="448"/>
        <v>145.444185</v>
      </c>
      <c r="U51" s="2875">
        <f t="shared" si="449"/>
        <v>145.444185</v>
      </c>
      <c r="V51" s="2875">
        <f t="shared" si="450"/>
        <v>0</v>
      </c>
      <c r="W51" s="2875">
        <f t="shared" si="451"/>
        <v>0</v>
      </c>
      <c r="X51" s="2875">
        <f>SUM('ПОЛНАЯ СЕБЕСТОИМОСТЬ СТОКИ 2021'!L167)</f>
        <v>0</v>
      </c>
      <c r="Y51" s="2875">
        <f>SUM('ПОЛНАЯ СЕБЕСТОИМОСТЬ СТОКИ 2021'!M167)</f>
        <v>0</v>
      </c>
      <c r="Z51" s="2955">
        <f t="shared" si="524"/>
        <v>0</v>
      </c>
      <c r="AA51" s="2955">
        <v>0</v>
      </c>
      <c r="AB51" s="2955">
        <v>0</v>
      </c>
      <c r="AC51" s="3003">
        <f t="shared" si="453"/>
        <v>436.33255500000001</v>
      </c>
      <c r="AD51" s="3003">
        <f t="shared" si="453"/>
        <v>436.33255500000001</v>
      </c>
      <c r="AE51" s="3003">
        <f t="shared" si="453"/>
        <v>0</v>
      </c>
      <c r="AF51" s="3003">
        <f t="shared" si="453"/>
        <v>0</v>
      </c>
      <c r="AG51" s="3003">
        <f t="shared" si="453"/>
        <v>0</v>
      </c>
      <c r="AH51" s="3003">
        <f t="shared" si="453"/>
        <v>0</v>
      </c>
      <c r="AI51" s="3003">
        <f t="shared" si="453"/>
        <v>0</v>
      </c>
      <c r="AJ51" s="3003">
        <f t="shared" si="453"/>
        <v>0</v>
      </c>
      <c r="AK51" s="3003">
        <f t="shared" si="453"/>
        <v>0</v>
      </c>
      <c r="AL51" s="2919">
        <f t="shared" si="365"/>
        <v>-436.33255500000001</v>
      </c>
      <c r="AM51" s="2919">
        <f t="shared" si="365"/>
        <v>-436.33255500000001</v>
      </c>
      <c r="AN51" s="2919">
        <f t="shared" si="365"/>
        <v>0</v>
      </c>
      <c r="AO51" s="2875">
        <f t="shared" si="454"/>
        <v>145.444185</v>
      </c>
      <c r="AP51" s="2875">
        <f>SUM('ПОЛНАЯ СЕБЕСТОИМОСТЬ СТОКИ 2021'!R167)/3</f>
        <v>145.444185</v>
      </c>
      <c r="AQ51" s="2875">
        <f>SUM('ПОЛНАЯ СЕБЕСТОИМОСТЬ СТОКИ 2021'!S167)/3</f>
        <v>0</v>
      </c>
      <c r="AR51" s="2875">
        <f t="shared" si="455"/>
        <v>0</v>
      </c>
      <c r="AS51" s="2875">
        <f>SUM('ПОЛНАЯ СЕБЕСТОИМОСТЬ СТОКИ 2021'!U167)</f>
        <v>0</v>
      </c>
      <c r="AT51" s="2875">
        <f>SUM('ПОЛНАЯ СЕБЕСТОИМОСТЬ СТОКИ 2021'!V167)</f>
        <v>0</v>
      </c>
      <c r="AU51" s="2955">
        <f t="shared" si="525"/>
        <v>0</v>
      </c>
      <c r="AV51" s="2955">
        <v>0</v>
      </c>
      <c r="AW51" s="2955">
        <v>0</v>
      </c>
      <c r="AX51" s="2875">
        <f t="shared" si="457"/>
        <v>145.444185</v>
      </c>
      <c r="AY51" s="2875">
        <f t="shared" si="458"/>
        <v>145.444185</v>
      </c>
      <c r="AZ51" s="2875">
        <f t="shared" si="459"/>
        <v>0</v>
      </c>
      <c r="BA51" s="2951">
        <f t="shared" si="460"/>
        <v>0</v>
      </c>
      <c r="BB51" s="2951">
        <f>SUM('ПОЛНАЯ СЕБЕСТОИМОСТЬ СТОКИ 2021'!X167)</f>
        <v>0</v>
      </c>
      <c r="BC51" s="2951">
        <f>SUM('ПОЛНАЯ СЕБЕСТОИМОСТЬ СТОКИ 2021'!Y167)</f>
        <v>0</v>
      </c>
      <c r="BD51" s="2955">
        <f t="shared" si="526"/>
        <v>0</v>
      </c>
      <c r="BE51" s="2955">
        <v>0</v>
      </c>
      <c r="BF51" s="2955">
        <v>0</v>
      </c>
      <c r="BG51" s="2875">
        <f t="shared" si="462"/>
        <v>145.444185</v>
      </c>
      <c r="BH51" s="2875">
        <f t="shared" si="463"/>
        <v>145.444185</v>
      </c>
      <c r="BI51" s="2875">
        <f t="shared" si="464"/>
        <v>0</v>
      </c>
      <c r="BJ51" s="2875">
        <f t="shared" si="465"/>
        <v>0</v>
      </c>
      <c r="BK51" s="2875">
        <f>SUM('ПОЛНАЯ СЕБЕСТОИМОСТЬ СТОКИ 2021'!AA167)</f>
        <v>0</v>
      </c>
      <c r="BL51" s="2875">
        <f>SUM('ПОЛНАЯ СЕБЕСТОИМОСТЬ СТОКИ 2021'!AB167)</f>
        <v>0</v>
      </c>
      <c r="BM51" s="2955">
        <f t="shared" si="527"/>
        <v>0</v>
      </c>
      <c r="BN51" s="2955">
        <v>0</v>
      </c>
      <c r="BO51" s="2955">
        <v>0</v>
      </c>
      <c r="BP51" s="3003">
        <f t="shared" si="467"/>
        <v>436.33255500000001</v>
      </c>
      <c r="BQ51" s="3003">
        <f t="shared" si="467"/>
        <v>436.33255500000001</v>
      </c>
      <c r="BR51" s="3003">
        <f t="shared" si="467"/>
        <v>0</v>
      </c>
      <c r="BS51" s="3003">
        <f t="shared" si="467"/>
        <v>0</v>
      </c>
      <c r="BT51" s="3003">
        <f t="shared" si="467"/>
        <v>0</v>
      </c>
      <c r="BU51" s="3003">
        <f t="shared" si="467"/>
        <v>0</v>
      </c>
      <c r="BV51" s="3003">
        <f t="shared" si="467"/>
        <v>0</v>
      </c>
      <c r="BW51" s="3003">
        <f t="shared" si="467"/>
        <v>0</v>
      </c>
      <c r="BX51" s="3003">
        <f t="shared" si="467"/>
        <v>0</v>
      </c>
      <c r="BY51" s="2919">
        <f t="shared" si="367"/>
        <v>-436.33255500000001</v>
      </c>
      <c r="BZ51" s="2919">
        <f t="shared" si="367"/>
        <v>-436.33255500000001</v>
      </c>
      <c r="CA51" s="2919">
        <f t="shared" si="367"/>
        <v>0</v>
      </c>
      <c r="CB51" s="3003">
        <f t="shared" si="468"/>
        <v>872.66511000000003</v>
      </c>
      <c r="CC51" s="3003">
        <f t="shared" si="468"/>
        <v>872.66511000000003</v>
      </c>
      <c r="CD51" s="3003">
        <f t="shared" si="468"/>
        <v>0</v>
      </c>
      <c r="CE51" s="3003">
        <f t="shared" si="468"/>
        <v>0</v>
      </c>
      <c r="CF51" s="3003">
        <f t="shared" si="468"/>
        <v>0</v>
      </c>
      <c r="CG51" s="3003">
        <f t="shared" si="468"/>
        <v>0</v>
      </c>
      <c r="CH51" s="3032">
        <f t="shared" si="468"/>
        <v>0</v>
      </c>
      <c r="CI51" s="3032">
        <f t="shared" si="468"/>
        <v>0</v>
      </c>
      <c r="CJ51" s="3032">
        <f t="shared" si="468"/>
        <v>0</v>
      </c>
      <c r="CK51" s="2919">
        <f t="shared" si="369"/>
        <v>-872.66511000000003</v>
      </c>
      <c r="CL51" s="2919">
        <f t="shared" si="369"/>
        <v>-872.66511000000003</v>
      </c>
      <c r="CM51" s="2919">
        <f t="shared" si="369"/>
        <v>0</v>
      </c>
      <c r="CN51" s="2875">
        <f t="shared" si="469"/>
        <v>145.444185</v>
      </c>
      <c r="CO51" s="2875">
        <f>SUM('ПОЛНАЯ СЕБЕСТОИМОСТЬ СТОКИ 2021'!AP167)/3</f>
        <v>145.444185</v>
      </c>
      <c r="CP51" s="2875">
        <f>SUM('ПОЛНАЯ СЕБЕСТОИМОСТЬ СТОКИ 2021'!AQ167)/3</f>
        <v>0</v>
      </c>
      <c r="CQ51" s="2875">
        <f t="shared" si="470"/>
        <v>0</v>
      </c>
      <c r="CR51" s="2875">
        <f>SUM('ПОЛНАЯ СЕБЕСТОИМОСТЬ СТОКИ 2021'!AS167)</f>
        <v>0</v>
      </c>
      <c r="CS51" s="2875">
        <f>SUM('ПОЛНАЯ СЕБЕСТОИМОСТЬ СТОКИ 2021'!AT167)</f>
        <v>0</v>
      </c>
      <c r="CT51" s="2955">
        <f t="shared" si="528"/>
        <v>0</v>
      </c>
      <c r="CU51" s="2955">
        <v>0</v>
      </c>
      <c r="CV51" s="2955">
        <v>0</v>
      </c>
      <c r="CW51" s="2875">
        <f t="shared" si="472"/>
        <v>145.444185</v>
      </c>
      <c r="CX51" s="2875">
        <f t="shared" si="473"/>
        <v>145.444185</v>
      </c>
      <c r="CY51" s="2875">
        <f t="shared" si="474"/>
        <v>0</v>
      </c>
      <c r="CZ51" s="2875">
        <f t="shared" si="475"/>
        <v>0</v>
      </c>
      <c r="DA51" s="2875">
        <f>SUM('ПОЛНАЯ СЕБЕСТОИМОСТЬ СТОКИ 2021'!AV167)</f>
        <v>0</v>
      </c>
      <c r="DB51" s="2875">
        <f>SUM('ПОЛНАЯ СЕБЕСТОИМОСТЬ СТОКИ 2021'!AW167)</f>
        <v>0</v>
      </c>
      <c r="DC51" s="2955">
        <f t="shared" si="529"/>
        <v>0</v>
      </c>
      <c r="DD51" s="2955">
        <v>0</v>
      </c>
      <c r="DE51" s="2955">
        <v>0</v>
      </c>
      <c r="DF51" s="2875">
        <f t="shared" si="477"/>
        <v>145.444185</v>
      </c>
      <c r="DG51" s="2875">
        <f t="shared" si="478"/>
        <v>145.444185</v>
      </c>
      <c r="DH51" s="2875">
        <f t="shared" si="479"/>
        <v>0</v>
      </c>
      <c r="DI51" s="2875">
        <f t="shared" si="480"/>
        <v>0</v>
      </c>
      <c r="DJ51" s="2875">
        <f>SUM('ПОЛНАЯ СЕБЕСТОИМОСТЬ СТОКИ 2021'!AY167)</f>
        <v>0</v>
      </c>
      <c r="DK51" s="2875">
        <f>SUM('ПОЛНАЯ СЕБЕСТОИМОСТЬ СТОКИ 2021'!AZ167)</f>
        <v>0</v>
      </c>
      <c r="DL51" s="2955">
        <f t="shared" si="530"/>
        <v>0</v>
      </c>
      <c r="DM51" s="2955">
        <v>0</v>
      </c>
      <c r="DN51" s="2955">
        <v>0</v>
      </c>
      <c r="DO51" s="3003">
        <f t="shared" si="482"/>
        <v>436.33255500000001</v>
      </c>
      <c r="DP51" s="3003">
        <f t="shared" si="482"/>
        <v>436.33255500000001</v>
      </c>
      <c r="DQ51" s="3003">
        <f t="shared" si="482"/>
        <v>0</v>
      </c>
      <c r="DR51" s="3003">
        <f t="shared" si="482"/>
        <v>0</v>
      </c>
      <c r="DS51" s="3003">
        <f t="shared" si="482"/>
        <v>0</v>
      </c>
      <c r="DT51" s="3003">
        <f t="shared" si="482"/>
        <v>0</v>
      </c>
      <c r="DU51" s="3003">
        <f t="shared" si="482"/>
        <v>0</v>
      </c>
      <c r="DV51" s="3003">
        <f t="shared" si="482"/>
        <v>0</v>
      </c>
      <c r="DW51" s="3003">
        <f t="shared" si="482"/>
        <v>0</v>
      </c>
      <c r="DX51" s="2919">
        <f t="shared" si="371"/>
        <v>-436.33255500000001</v>
      </c>
      <c r="DY51" s="2919">
        <f t="shared" si="371"/>
        <v>-436.33255500000001</v>
      </c>
      <c r="DZ51" s="2919">
        <f t="shared" si="371"/>
        <v>0</v>
      </c>
      <c r="EA51" s="3003">
        <f t="shared" si="483"/>
        <v>1308.9976650000001</v>
      </c>
      <c r="EB51" s="3003">
        <f t="shared" si="483"/>
        <v>1308.9976650000001</v>
      </c>
      <c r="EC51" s="3003">
        <f t="shared" si="483"/>
        <v>0</v>
      </c>
      <c r="ED51" s="3003">
        <f t="shared" si="483"/>
        <v>0</v>
      </c>
      <c r="EE51" s="3003">
        <f t="shared" si="483"/>
        <v>0</v>
      </c>
      <c r="EF51" s="3003">
        <f t="shared" si="483"/>
        <v>0</v>
      </c>
      <c r="EG51" s="3003">
        <f t="shared" si="483"/>
        <v>0</v>
      </c>
      <c r="EH51" s="3003">
        <f t="shared" si="483"/>
        <v>0</v>
      </c>
      <c r="EI51" s="3003">
        <f t="shared" si="483"/>
        <v>0</v>
      </c>
      <c r="EJ51" s="2919">
        <f t="shared" si="373"/>
        <v>-1308.9976650000001</v>
      </c>
      <c r="EK51" s="2919">
        <f t="shared" si="373"/>
        <v>-1308.9976650000001</v>
      </c>
      <c r="EL51" s="2919">
        <f t="shared" si="373"/>
        <v>0</v>
      </c>
      <c r="EM51" s="2875">
        <f t="shared" si="484"/>
        <v>145.444185</v>
      </c>
      <c r="EN51" s="2875">
        <f>SUM('ПОЛНАЯ СЕБЕСТОИМОСТЬ СТОКИ 2021'!BN167)/3</f>
        <v>145.444185</v>
      </c>
      <c r="EO51" s="2875">
        <f>SUM('ПОЛНАЯ СЕБЕСТОИМОСТЬ СТОКИ 2021'!BO167)/3</f>
        <v>0</v>
      </c>
      <c r="EP51" s="2875">
        <f t="shared" si="485"/>
        <v>0</v>
      </c>
      <c r="EQ51" s="2875">
        <f>SUM('ПОЛНАЯ СЕБЕСТОИМОСТЬ СТОКИ 2021'!BQ167)</f>
        <v>0</v>
      </c>
      <c r="ER51" s="2875">
        <f>SUM('ПОЛНАЯ СЕБЕСТОИМОСТЬ СТОКИ 2021'!BR167)</f>
        <v>0</v>
      </c>
      <c r="ES51" s="2955">
        <f t="shared" si="531"/>
        <v>0</v>
      </c>
      <c r="ET51" s="2955">
        <v>0</v>
      </c>
      <c r="EU51" s="2955">
        <v>0</v>
      </c>
      <c r="EV51" s="2875">
        <f t="shared" si="487"/>
        <v>145.444185</v>
      </c>
      <c r="EW51" s="2875">
        <f t="shared" si="488"/>
        <v>145.444185</v>
      </c>
      <c r="EX51" s="2875">
        <f t="shared" si="489"/>
        <v>0</v>
      </c>
      <c r="EY51" s="2875">
        <f t="shared" si="490"/>
        <v>0</v>
      </c>
      <c r="EZ51" s="2875">
        <f>SUM('ПОЛНАЯ СЕБЕСТОИМОСТЬ СТОКИ 2021'!BT167)</f>
        <v>0</v>
      </c>
      <c r="FA51" s="2875">
        <f>SUM('ПОЛНАЯ СЕБЕСТОИМОСТЬ СТОКИ 2021'!BU167)</f>
        <v>0</v>
      </c>
      <c r="FB51" s="2955">
        <f t="shared" si="532"/>
        <v>0</v>
      </c>
      <c r="FC51" s="2955">
        <v>0</v>
      </c>
      <c r="FD51" s="2955">
        <v>0</v>
      </c>
      <c r="FE51" s="2875">
        <f t="shared" si="492"/>
        <v>145.444185</v>
      </c>
      <c r="FF51" s="2875">
        <f t="shared" si="493"/>
        <v>145.444185</v>
      </c>
      <c r="FG51" s="2875">
        <f t="shared" si="494"/>
        <v>0</v>
      </c>
      <c r="FH51" s="2875">
        <f t="shared" si="495"/>
        <v>0</v>
      </c>
      <c r="FI51" s="2875">
        <f>SUM('ПОЛНАЯ СЕБЕСТОИМОСТЬ СТОКИ 2021'!BW167)</f>
        <v>0</v>
      </c>
      <c r="FJ51" s="2875">
        <f>SUM('ПОЛНАЯ СЕБЕСТОИМОСТЬ СТОКИ 2021'!BX167)</f>
        <v>0</v>
      </c>
      <c r="FK51" s="2955">
        <f t="shared" si="533"/>
        <v>0</v>
      </c>
      <c r="FL51" s="2955">
        <v>0</v>
      </c>
      <c r="FM51" s="2955">
        <v>0</v>
      </c>
      <c r="FN51" s="3003">
        <f t="shared" si="497"/>
        <v>436.33255500000001</v>
      </c>
      <c r="FO51" s="3003">
        <f t="shared" si="497"/>
        <v>436.33255500000001</v>
      </c>
      <c r="FP51" s="3003">
        <f t="shared" si="497"/>
        <v>0</v>
      </c>
      <c r="FQ51" s="3003">
        <f t="shared" si="497"/>
        <v>0</v>
      </c>
      <c r="FR51" s="3003">
        <f t="shared" si="497"/>
        <v>0</v>
      </c>
      <c r="FS51" s="3003">
        <f t="shared" si="497"/>
        <v>0</v>
      </c>
      <c r="FT51" s="3003">
        <f t="shared" si="497"/>
        <v>0</v>
      </c>
      <c r="FU51" s="3003">
        <f t="shared" si="497"/>
        <v>0</v>
      </c>
      <c r="FV51" s="3003">
        <f t="shared" si="497"/>
        <v>0</v>
      </c>
      <c r="FW51" s="2919">
        <f t="shared" si="375"/>
        <v>-436.33255500000001</v>
      </c>
      <c r="FX51" s="2919">
        <f t="shared" si="375"/>
        <v>-436.33255500000001</v>
      </c>
      <c r="FY51" s="2919">
        <f t="shared" si="375"/>
        <v>0</v>
      </c>
      <c r="FZ51" s="3003">
        <f t="shared" si="498"/>
        <v>1745.3302200000001</v>
      </c>
      <c r="GA51" s="3003">
        <f t="shared" si="498"/>
        <v>1745.3302200000001</v>
      </c>
      <c r="GB51" s="3003">
        <f t="shared" si="498"/>
        <v>0</v>
      </c>
      <c r="GC51" s="3003">
        <f t="shared" si="498"/>
        <v>0</v>
      </c>
      <c r="GD51" s="3003">
        <f t="shared" si="498"/>
        <v>0</v>
      </c>
      <c r="GE51" s="3003">
        <f t="shared" si="498"/>
        <v>0</v>
      </c>
      <c r="GF51" s="3003">
        <f t="shared" si="498"/>
        <v>0</v>
      </c>
      <c r="GG51" s="3003">
        <f t="shared" si="498"/>
        <v>0</v>
      </c>
      <c r="GH51" s="3003">
        <f t="shared" si="498"/>
        <v>0</v>
      </c>
      <c r="GI51" s="2919">
        <f t="shared" si="377"/>
        <v>-1745.3302200000001</v>
      </c>
      <c r="GJ51" s="2919">
        <f t="shared" si="377"/>
        <v>-1745.3302200000001</v>
      </c>
      <c r="GK51" s="2919">
        <f t="shared" si="377"/>
        <v>0</v>
      </c>
      <c r="GM51" s="4234"/>
    </row>
    <row r="52" spans="1:195" ht="18.75" customHeight="1" x14ac:dyDescent="0.3">
      <c r="A52" s="2989" t="s">
        <v>3759</v>
      </c>
      <c r="B52" s="2865">
        <f t="shared" si="440"/>
        <v>888.1116888960164</v>
      </c>
      <c r="C52" s="2865">
        <f>SUM('ПОЛНАЯ СЕБЕСТОИМОСТЬ СТОКИ 2021'!C168)/3</f>
        <v>883.05802222934972</v>
      </c>
      <c r="D52" s="2865">
        <f>SUM('ПОЛНАЯ СЕБЕСТОИМОСТЬ СТОКИ 2021'!D168)/3</f>
        <v>5.0536666666666665</v>
      </c>
      <c r="E52" s="2865">
        <f t="shared" si="441"/>
        <v>883.36530000000016</v>
      </c>
      <c r="F52" s="2865">
        <f>SUM('ПОЛНАЯ СЕБЕСТОИМОСТЬ СТОКИ 2021'!F168)</f>
        <v>881.62400000000014</v>
      </c>
      <c r="G52" s="2865">
        <f>SUM('ПОЛНАЯ СЕБЕСТОИМОСТЬ СТОКИ 2021'!G168)</f>
        <v>1.7413000000000001</v>
      </c>
      <c r="H52" s="3031">
        <f>SUM(H53:H58)</f>
        <v>763.56889999999999</v>
      </c>
      <c r="I52" s="3031">
        <f>SUM(I53:I58)</f>
        <v>761.78399999999999</v>
      </c>
      <c r="J52" s="3031">
        <f t="shared" ref="J52" si="534">SUM(J53:J60)</f>
        <v>1.7849000000000002</v>
      </c>
      <c r="K52" s="2865">
        <f t="shared" si="443"/>
        <v>888.1116888960164</v>
      </c>
      <c r="L52" s="2865">
        <f t="shared" si="444"/>
        <v>883.05802222934972</v>
      </c>
      <c r="M52" s="2865">
        <f t="shared" si="445"/>
        <v>5.0536666666666665</v>
      </c>
      <c r="N52" s="2865">
        <f t="shared" si="446"/>
        <v>911.89985999999999</v>
      </c>
      <c r="O52" s="2865">
        <f>SUM('ПОЛНАЯ СЕБЕСТОИМОСТЬ СТОКИ 2021'!I168)</f>
        <v>909.7106</v>
      </c>
      <c r="P52" s="2865">
        <f>SUM('ПОЛНАЯ СЕБЕСТОИМОСТЬ СТОКИ 2021'!J168)</f>
        <v>2.18926</v>
      </c>
      <c r="Q52" s="3031">
        <f>SUM(Q53:Q58)</f>
        <v>801.81400000000008</v>
      </c>
      <c r="R52" s="3031">
        <f>SUM(R53:R58)</f>
        <v>799.67</v>
      </c>
      <c r="S52" s="3031">
        <f t="shared" ref="S52" si="535">SUM(S53:S60)</f>
        <v>2.1440000000000001</v>
      </c>
      <c r="T52" s="2865">
        <f t="shared" si="448"/>
        <v>888.1116888960164</v>
      </c>
      <c r="U52" s="2865">
        <f t="shared" si="449"/>
        <v>883.05802222934972</v>
      </c>
      <c r="V52" s="2865">
        <f t="shared" si="450"/>
        <v>5.0536666666666665</v>
      </c>
      <c r="W52" s="2865">
        <f t="shared" si="451"/>
        <v>1001.39043</v>
      </c>
      <c r="X52" s="2865">
        <f>SUM('ПОЛНАЯ СЕБЕСТОИМОСТЬ СТОКИ 2021'!L168)</f>
        <v>998.53600000000006</v>
      </c>
      <c r="Y52" s="2865">
        <f>SUM('ПОЛНАЯ СЕБЕСТОИМОСТЬ СТОКИ 2021'!M168)</f>
        <v>2.8544299999999998</v>
      </c>
      <c r="Z52" s="3031">
        <f>SUM(Z53:Z58)</f>
        <v>812.26299999999992</v>
      </c>
      <c r="AA52" s="3031">
        <f>SUM(AA53:AA58)</f>
        <v>810.26899999999989</v>
      </c>
      <c r="AB52" s="3031">
        <f t="shared" ref="AB52" si="536">SUM(AB53:AB60)</f>
        <v>1.9940000000000002</v>
      </c>
      <c r="AC52" s="3001">
        <f t="shared" si="453"/>
        <v>2664.3350666880492</v>
      </c>
      <c r="AD52" s="3001">
        <f t="shared" si="453"/>
        <v>2649.1740666880492</v>
      </c>
      <c r="AE52" s="3001">
        <f t="shared" si="453"/>
        <v>15.161</v>
      </c>
      <c r="AF52" s="3001">
        <f t="shared" si="453"/>
        <v>2796.6555900000003</v>
      </c>
      <c r="AG52" s="3001">
        <f t="shared" si="453"/>
        <v>2789.8706000000002</v>
      </c>
      <c r="AH52" s="3001">
        <f t="shared" si="453"/>
        <v>6.7849899999999996</v>
      </c>
      <c r="AI52" s="3001">
        <f t="shared" si="453"/>
        <v>2377.6459</v>
      </c>
      <c r="AJ52" s="3001">
        <f t="shared" si="453"/>
        <v>2371.723</v>
      </c>
      <c r="AK52" s="3001">
        <f t="shared" si="453"/>
        <v>5.9229000000000003</v>
      </c>
      <c r="AL52" s="2954">
        <f t="shared" si="365"/>
        <v>132.32052331195109</v>
      </c>
      <c r="AM52" s="2954">
        <f t="shared" si="365"/>
        <v>140.69653331195104</v>
      </c>
      <c r="AN52" s="2954">
        <f t="shared" si="365"/>
        <v>-8.3760100000000008</v>
      </c>
      <c r="AO52" s="2865">
        <f t="shared" si="454"/>
        <v>888.1116888960164</v>
      </c>
      <c r="AP52" s="2865">
        <f>SUM('ПОЛНАЯ СЕБЕСТОИМОСТЬ СТОКИ 2021'!R168)/3</f>
        <v>883.05802222934972</v>
      </c>
      <c r="AQ52" s="2865">
        <f>SUM('ПОЛНАЯ СЕБЕСТОИМОСТЬ СТОКИ 2021'!S168)/3</f>
        <v>5.0536666666666665</v>
      </c>
      <c r="AR52" s="2865">
        <f t="shared" si="455"/>
        <v>1094.22018</v>
      </c>
      <c r="AS52" s="2865">
        <f>SUM('ПОЛНАЯ СЕБЕСТОИМОСТЬ СТОКИ 2021'!U168)</f>
        <v>1091.3040000000001</v>
      </c>
      <c r="AT52" s="2865">
        <f>SUM('ПОЛНАЯ СЕБЕСТОИМОСТЬ СТОКИ 2021'!V168)</f>
        <v>2.9161799999999998</v>
      </c>
      <c r="AU52" s="3031">
        <f>SUM(AU53:AU58)</f>
        <v>847.63199999999995</v>
      </c>
      <c r="AV52" s="3031">
        <f>SUM(AV53:AV58)</f>
        <v>845.33999999999992</v>
      </c>
      <c r="AW52" s="3031">
        <f t="shared" ref="AW52" si="537">SUM(AW53:AW60)</f>
        <v>2.2919999999999998</v>
      </c>
      <c r="AX52" s="2865">
        <f t="shared" si="457"/>
        <v>888.1116888960164</v>
      </c>
      <c r="AY52" s="2865">
        <f t="shared" si="458"/>
        <v>883.05802222934972</v>
      </c>
      <c r="AZ52" s="2865">
        <f t="shared" si="459"/>
        <v>5.0536666666666665</v>
      </c>
      <c r="BA52" s="2946">
        <f t="shared" si="460"/>
        <v>1453.9959700000002</v>
      </c>
      <c r="BB52" s="2946">
        <f>SUM('ПОЛНАЯ СЕБЕСТОИМОСТЬ СТОКИ 2021'!X168)</f>
        <v>1450.6590000000001</v>
      </c>
      <c r="BC52" s="2946">
        <f>SUM('ПОЛНАЯ СЕБЕСТОИМОСТЬ СТОКИ 2021'!Y168)</f>
        <v>3.3369700000000004</v>
      </c>
      <c r="BD52" s="3031">
        <f>SUM(BD53:BD58)</f>
        <v>755.79299999999989</v>
      </c>
      <c r="BE52" s="3031">
        <f>SUM(BE53:BE58)</f>
        <v>753.98</v>
      </c>
      <c r="BF52" s="3031">
        <f t="shared" ref="BF52" si="538">SUM(BF53:BF60)</f>
        <v>1.8129999999999999</v>
      </c>
      <c r="BG52" s="2865">
        <f t="shared" si="462"/>
        <v>888.1116888960164</v>
      </c>
      <c r="BH52" s="2865">
        <f t="shared" si="463"/>
        <v>883.05802222934972</v>
      </c>
      <c r="BI52" s="2865">
        <f t="shared" si="464"/>
        <v>5.0536666666666665</v>
      </c>
      <c r="BJ52" s="2865">
        <f t="shared" si="465"/>
        <v>915.84430000000009</v>
      </c>
      <c r="BK52" s="2865">
        <f>SUM('ПОЛНАЯ СЕБЕСТОИМОСТЬ СТОКИ 2021'!AA168)</f>
        <v>914.79600000000005</v>
      </c>
      <c r="BL52" s="2865">
        <f>SUM('ПОЛНАЯ СЕБЕСТОИМОСТЬ СТОКИ 2021'!AB168)</f>
        <v>1.0483000000000002</v>
      </c>
      <c r="BM52" s="3031">
        <f>SUM(BM53:BM58)</f>
        <v>826.35500000000002</v>
      </c>
      <c r="BN52" s="3031">
        <f>SUM(BN53:BN58)</f>
        <v>823.26499999999987</v>
      </c>
      <c r="BO52" s="3031">
        <f t="shared" ref="BO52" si="539">SUM(BO53:BO60)</f>
        <v>3.0900000000000003</v>
      </c>
      <c r="BP52" s="3001">
        <f t="shared" si="467"/>
        <v>2664.3350666880492</v>
      </c>
      <c r="BQ52" s="3001">
        <f t="shared" si="467"/>
        <v>2649.1740666880492</v>
      </c>
      <c r="BR52" s="3001">
        <f t="shared" si="467"/>
        <v>15.161</v>
      </c>
      <c r="BS52" s="3001">
        <f t="shared" si="467"/>
        <v>3464.0604500000004</v>
      </c>
      <c r="BT52" s="3001">
        <f t="shared" si="467"/>
        <v>3456.759</v>
      </c>
      <c r="BU52" s="3001">
        <f t="shared" si="467"/>
        <v>7.30145</v>
      </c>
      <c r="BV52" s="3001">
        <f t="shared" si="467"/>
        <v>2429.7799999999997</v>
      </c>
      <c r="BW52" s="3001">
        <f t="shared" si="467"/>
        <v>2422.585</v>
      </c>
      <c r="BX52" s="3001">
        <f t="shared" si="467"/>
        <v>7.1950000000000003</v>
      </c>
      <c r="BY52" s="2954">
        <f t="shared" si="367"/>
        <v>799.72538331195119</v>
      </c>
      <c r="BZ52" s="2954">
        <f t="shared" si="367"/>
        <v>807.58493331195086</v>
      </c>
      <c r="CA52" s="2954">
        <f t="shared" si="367"/>
        <v>-7.8595499999999996</v>
      </c>
      <c r="CB52" s="3001">
        <f t="shared" si="468"/>
        <v>5328.6701333760984</v>
      </c>
      <c r="CC52" s="3001">
        <f t="shared" si="468"/>
        <v>5298.3481333760983</v>
      </c>
      <c r="CD52" s="3001">
        <f t="shared" si="468"/>
        <v>30.321999999999999</v>
      </c>
      <c r="CE52" s="3001">
        <f t="shared" si="468"/>
        <v>6260.7160400000012</v>
      </c>
      <c r="CF52" s="3001">
        <f t="shared" si="468"/>
        <v>6246.6296000000002</v>
      </c>
      <c r="CG52" s="3001">
        <f t="shared" si="468"/>
        <v>14.08644</v>
      </c>
      <c r="CH52" s="3028">
        <f t="shared" si="468"/>
        <v>4807.4259000000002</v>
      </c>
      <c r="CI52" s="3028">
        <f t="shared" si="468"/>
        <v>4794.308</v>
      </c>
      <c r="CJ52" s="3028">
        <f t="shared" si="468"/>
        <v>13.117900000000001</v>
      </c>
      <c r="CK52" s="2954">
        <f t="shared" si="369"/>
        <v>932.04590662390274</v>
      </c>
      <c r="CL52" s="2954">
        <f t="shared" si="369"/>
        <v>948.28146662390191</v>
      </c>
      <c r="CM52" s="2954">
        <f t="shared" si="369"/>
        <v>-16.23556</v>
      </c>
      <c r="CN52" s="2865">
        <f t="shared" si="469"/>
        <v>888.1116888960164</v>
      </c>
      <c r="CO52" s="2865">
        <f>SUM('ПОЛНАЯ СЕБЕСТОИМОСТЬ СТОКИ 2021'!AP168)/3</f>
        <v>883.05802222934972</v>
      </c>
      <c r="CP52" s="2865">
        <f>SUM('ПОЛНАЯ СЕБЕСТОИМОСТЬ СТОКИ 2021'!AQ168)/3</f>
        <v>5.0536666666666665</v>
      </c>
      <c r="CQ52" s="2865">
        <f t="shared" si="470"/>
        <v>887.49837000000002</v>
      </c>
      <c r="CR52" s="2865">
        <f>SUM('ПОЛНАЯ СЕБЕСТОИМОСТЬ СТОКИ 2021'!AS168)</f>
        <v>885.43299999999999</v>
      </c>
      <c r="CS52" s="2865">
        <f>SUM('ПОЛНАЯ СЕБЕСТОИМОСТЬ СТОКИ 2021'!AT168)</f>
        <v>2.0653700000000002</v>
      </c>
      <c r="CT52" s="3031">
        <f>SUM(CT53:CT58)</f>
        <v>832.88400000000001</v>
      </c>
      <c r="CU52" s="3031">
        <f>SUM(CU53:CU58)</f>
        <v>828.88000000000011</v>
      </c>
      <c r="CV52" s="3031">
        <f t="shared" ref="CV52" si="540">SUM(CV53:CV60)</f>
        <v>4.0039999999999996</v>
      </c>
      <c r="CW52" s="2865">
        <f t="shared" si="472"/>
        <v>888.1116888960164</v>
      </c>
      <c r="CX52" s="2865">
        <f t="shared" si="473"/>
        <v>883.05802222934972</v>
      </c>
      <c r="CY52" s="2865">
        <f t="shared" si="474"/>
        <v>5.0536666666666665</v>
      </c>
      <c r="CZ52" s="2865">
        <f t="shared" si="475"/>
        <v>751.08989999999994</v>
      </c>
      <c r="DA52" s="2865">
        <f>SUM('ПОЛНАЯ СЕБЕСТОИМОСТЬ СТОКИ 2021'!AV168)</f>
        <v>749.06399999999996</v>
      </c>
      <c r="DB52" s="2865">
        <f>SUM('ПОЛНАЯ СЕБЕСТОИМОСТЬ СТОКИ 2021'!AW168)</f>
        <v>2.0259</v>
      </c>
      <c r="DC52" s="3031">
        <f>SUM(DC53:DC58)</f>
        <v>759.30899999999997</v>
      </c>
      <c r="DD52" s="3031">
        <f>SUM(DD53:DD58)</f>
        <v>759.30899999999997</v>
      </c>
      <c r="DE52" s="3031">
        <f t="shared" ref="DE52" si="541">SUM(DE53:DE60)</f>
        <v>0</v>
      </c>
      <c r="DF52" s="2865">
        <f t="shared" si="477"/>
        <v>888.1116888960164</v>
      </c>
      <c r="DG52" s="2865">
        <f t="shared" si="478"/>
        <v>883.05802222934972</v>
      </c>
      <c r="DH52" s="2865">
        <f t="shared" si="479"/>
        <v>5.0536666666666665</v>
      </c>
      <c r="DI52" s="2865">
        <f t="shared" si="480"/>
        <v>1161.6197999999999</v>
      </c>
      <c r="DJ52" s="2865">
        <f>SUM('ПОЛНАЯ СЕБЕСТОИМОСТЬ СТОКИ 2021'!AY168)</f>
        <v>1158.693</v>
      </c>
      <c r="DK52" s="2865">
        <f>SUM('ПОЛНАЯ СЕБЕСТОИМОСТЬ СТОКИ 2021'!AZ168)</f>
        <v>2.9268000000000001</v>
      </c>
      <c r="DL52" s="3031">
        <f>SUM(DL53:DL58)</f>
        <v>867.24799999999982</v>
      </c>
      <c r="DM52" s="3031">
        <f>SUM(DM53:DM58)</f>
        <v>864.62299999999993</v>
      </c>
      <c r="DN52" s="3031">
        <f t="shared" ref="DN52" si="542">SUM(DN53:DN60)</f>
        <v>2.625</v>
      </c>
      <c r="DO52" s="3001">
        <f t="shared" si="482"/>
        <v>2664.3350666880492</v>
      </c>
      <c r="DP52" s="3001">
        <f t="shared" si="482"/>
        <v>2649.1740666880492</v>
      </c>
      <c r="DQ52" s="3001">
        <f t="shared" si="482"/>
        <v>15.161</v>
      </c>
      <c r="DR52" s="3001">
        <f t="shared" si="482"/>
        <v>2800.2080699999997</v>
      </c>
      <c r="DS52" s="3001">
        <f t="shared" si="482"/>
        <v>2793.1899999999996</v>
      </c>
      <c r="DT52" s="3001">
        <f t="shared" si="482"/>
        <v>7.0180699999999998</v>
      </c>
      <c r="DU52" s="3001">
        <f t="shared" si="482"/>
        <v>2459.4409999999998</v>
      </c>
      <c r="DV52" s="3001">
        <f t="shared" si="482"/>
        <v>2452.8119999999999</v>
      </c>
      <c r="DW52" s="3001">
        <f t="shared" si="482"/>
        <v>6.6289999999999996</v>
      </c>
      <c r="DX52" s="2954">
        <f t="shared" si="371"/>
        <v>135.87300331195047</v>
      </c>
      <c r="DY52" s="2954">
        <f t="shared" si="371"/>
        <v>144.01593331195045</v>
      </c>
      <c r="DZ52" s="2954">
        <f t="shared" si="371"/>
        <v>-8.1429299999999998</v>
      </c>
      <c r="EA52" s="3001">
        <f t="shared" si="483"/>
        <v>7993.0052000641481</v>
      </c>
      <c r="EB52" s="3001">
        <f t="shared" si="483"/>
        <v>7947.5222000641479</v>
      </c>
      <c r="EC52" s="3001">
        <f t="shared" si="483"/>
        <v>45.482999999999997</v>
      </c>
      <c r="ED52" s="3001">
        <f t="shared" si="483"/>
        <v>9060.9241099999999</v>
      </c>
      <c r="EE52" s="3001">
        <f t="shared" si="483"/>
        <v>9039.8195999999989</v>
      </c>
      <c r="EF52" s="3001">
        <f t="shared" si="483"/>
        <v>21.104509999999998</v>
      </c>
      <c r="EG52" s="3001">
        <f t="shared" si="483"/>
        <v>7266.8669</v>
      </c>
      <c r="EH52" s="3001">
        <f t="shared" si="483"/>
        <v>7247.12</v>
      </c>
      <c r="EI52" s="3001">
        <f t="shared" si="483"/>
        <v>19.7469</v>
      </c>
      <c r="EJ52" s="2954">
        <f t="shared" si="373"/>
        <v>1067.9189099358518</v>
      </c>
      <c r="EK52" s="2954">
        <f t="shared" si="373"/>
        <v>1092.297399935851</v>
      </c>
      <c r="EL52" s="2954">
        <f t="shared" si="373"/>
        <v>-24.378489999999999</v>
      </c>
      <c r="EM52" s="2865">
        <f t="shared" si="484"/>
        <v>888.1116888960164</v>
      </c>
      <c r="EN52" s="2865">
        <f>SUM('ПОЛНАЯ СЕБЕСТОИМОСТЬ СТОКИ 2021'!BN168)/3</f>
        <v>883.05802222934972</v>
      </c>
      <c r="EO52" s="2865">
        <f>SUM('ПОЛНАЯ СЕБЕСТОИМОСТЬ СТОКИ 2021'!BO168)/3</f>
        <v>5.0536666666666665</v>
      </c>
      <c r="EP52" s="2865">
        <f t="shared" si="485"/>
        <v>799.18491000000006</v>
      </c>
      <c r="EQ52" s="2865">
        <f>SUM('ПОЛНАЯ СЕБЕСТОИМОСТЬ СТОКИ 2021'!BQ168)</f>
        <v>796.84300000000007</v>
      </c>
      <c r="ER52" s="2865">
        <f>SUM('ПОЛНАЯ СЕБЕСТОИМОСТЬ СТОКИ 2021'!BR168)</f>
        <v>2.3419099999999999</v>
      </c>
      <c r="ES52" s="3031">
        <f>SUM(ES53:ES58)</f>
        <v>893.31900000000007</v>
      </c>
      <c r="ET52" s="3031">
        <f>SUM(ET53:ET58)</f>
        <v>890.75</v>
      </c>
      <c r="EU52" s="3031">
        <f t="shared" ref="EU52" si="543">SUM(EU53:EU60)</f>
        <v>2.569</v>
      </c>
      <c r="EV52" s="2865">
        <f t="shared" si="487"/>
        <v>888.1116888960164</v>
      </c>
      <c r="EW52" s="2865">
        <f t="shared" si="488"/>
        <v>883.05802222934972</v>
      </c>
      <c r="EX52" s="2865">
        <f t="shared" si="489"/>
        <v>5.0536666666666665</v>
      </c>
      <c r="EY52" s="2865">
        <f t="shared" si="490"/>
        <v>907.32702000000018</v>
      </c>
      <c r="EZ52" s="2865">
        <f>SUM('ПОЛНАЯ СЕБЕСТОИМОСТЬ СТОКИ 2021'!BT168)</f>
        <v>905.08600000000013</v>
      </c>
      <c r="FA52" s="2865">
        <f>SUM('ПОЛНАЯ СЕБЕСТОИМОСТЬ СТОКИ 2021'!BU168)</f>
        <v>2.2410200000000002</v>
      </c>
      <c r="FB52" s="3031">
        <f>SUM(FB53:FB58)</f>
        <v>782.87900000000013</v>
      </c>
      <c r="FC52" s="3031">
        <f>SUM(FC53:FC58)</f>
        <v>780.60299999999995</v>
      </c>
      <c r="FD52" s="3031">
        <f t="shared" ref="FD52" si="544">SUM(FD53:FD60)</f>
        <v>2.2759999999999998</v>
      </c>
      <c r="FE52" s="2865">
        <f t="shared" si="492"/>
        <v>888.1116888960164</v>
      </c>
      <c r="FF52" s="2865">
        <f t="shared" si="493"/>
        <v>883.05802222934972</v>
      </c>
      <c r="FG52" s="2865">
        <f t="shared" si="494"/>
        <v>5.0536666666666665</v>
      </c>
      <c r="FH52" s="2865">
        <f t="shared" si="495"/>
        <v>892.58963999999992</v>
      </c>
      <c r="FI52" s="2865">
        <f>SUM('ПОЛНАЯ СЕБЕСТОИМОСТЬ СТОКИ 2021'!BW168)</f>
        <v>890.48199999999997</v>
      </c>
      <c r="FJ52" s="2865">
        <f>SUM('ПОЛНАЯ СЕБЕСТОИМОСТЬ СТОКИ 2021'!BX168)</f>
        <v>2.10764</v>
      </c>
      <c r="FK52" s="3031">
        <f>SUM(FK53:FK58)</f>
        <v>1011.199</v>
      </c>
      <c r="FL52" s="3031">
        <f>SUM(FL53:FL58)</f>
        <v>1008.024</v>
      </c>
      <c r="FM52" s="3031">
        <f t="shared" ref="FM52" si="545">SUM(FM53:FM60)</f>
        <v>3.1750000000000003</v>
      </c>
      <c r="FN52" s="3001">
        <f t="shared" si="497"/>
        <v>2664.3350666880492</v>
      </c>
      <c r="FO52" s="3001">
        <f t="shared" si="497"/>
        <v>2649.1740666880492</v>
      </c>
      <c r="FP52" s="3001">
        <f t="shared" si="497"/>
        <v>15.161</v>
      </c>
      <c r="FQ52" s="3001">
        <f t="shared" si="497"/>
        <v>2599.1015699999998</v>
      </c>
      <c r="FR52" s="3001">
        <f t="shared" si="497"/>
        <v>2592.4110000000001</v>
      </c>
      <c r="FS52" s="3001">
        <f t="shared" si="497"/>
        <v>6.6905700000000001</v>
      </c>
      <c r="FT52" s="3001">
        <f t="shared" si="497"/>
        <v>2687.3970000000004</v>
      </c>
      <c r="FU52" s="3001">
        <f t="shared" si="497"/>
        <v>2679.377</v>
      </c>
      <c r="FV52" s="3001">
        <f t="shared" si="497"/>
        <v>8.02</v>
      </c>
      <c r="FW52" s="2954">
        <f t="shared" si="375"/>
        <v>-65.233496688049399</v>
      </c>
      <c r="FX52" s="2954">
        <f t="shared" si="375"/>
        <v>-56.763066688049094</v>
      </c>
      <c r="FY52" s="2954">
        <f t="shared" si="375"/>
        <v>-8.4704300000000003</v>
      </c>
      <c r="FZ52" s="3001">
        <f t="shared" si="498"/>
        <v>10657.340266752197</v>
      </c>
      <c r="GA52" s="3001">
        <f t="shared" si="498"/>
        <v>10596.696266752197</v>
      </c>
      <c r="GB52" s="3001">
        <f t="shared" si="498"/>
        <v>60.643999999999998</v>
      </c>
      <c r="GC52" s="3001">
        <f t="shared" si="498"/>
        <v>11660.025679999999</v>
      </c>
      <c r="GD52" s="3001">
        <f t="shared" si="498"/>
        <v>11632.230599999999</v>
      </c>
      <c r="GE52" s="3001">
        <f t="shared" si="498"/>
        <v>27.795079999999999</v>
      </c>
      <c r="GF52" s="3001">
        <f t="shared" si="498"/>
        <v>9954.2638999999999</v>
      </c>
      <c r="GG52" s="3001">
        <f t="shared" si="498"/>
        <v>9926.4969999999994</v>
      </c>
      <c r="GH52" s="3001">
        <f t="shared" si="498"/>
        <v>27.7669</v>
      </c>
      <c r="GI52" s="2954">
        <f t="shared" si="377"/>
        <v>1002.685413247802</v>
      </c>
      <c r="GJ52" s="2954">
        <f t="shared" si="377"/>
        <v>1035.5343332478024</v>
      </c>
      <c r="GK52" s="2954">
        <f t="shared" si="377"/>
        <v>-32.84892</v>
      </c>
      <c r="GM52" s="4234"/>
    </row>
    <row r="53" spans="1:195" ht="18.75" customHeight="1" x14ac:dyDescent="0.3">
      <c r="A53" s="2879" t="s">
        <v>3745</v>
      </c>
      <c r="B53" s="2875">
        <f t="shared" si="440"/>
        <v>547.61977114122101</v>
      </c>
      <c r="C53" s="2875">
        <f>SUM('ПОЛНАЯ СЕБЕСТОИМОСТЬ СТОКИ 2021'!C169)/3</f>
        <v>544.47100649511231</v>
      </c>
      <c r="D53" s="2875">
        <f>SUM('ПОЛНАЯ СЕБЕСТОИМОСТЬ СТОКИ 2021'!D169)/3</f>
        <v>3.1487646461086833</v>
      </c>
      <c r="E53" s="2875">
        <f t="shared" si="441"/>
        <v>564.61300000000006</v>
      </c>
      <c r="F53" s="2875">
        <f>SUM('ПОЛНАЯ СЕБЕСТОИМОСТЬ СТОКИ 2021'!F169)</f>
        <v>563.5</v>
      </c>
      <c r="G53" s="2875">
        <f>SUM('ПОЛНАЯ СЕБЕСТОИМОСТЬ СТОКИ 2021'!G169)</f>
        <v>1.113</v>
      </c>
      <c r="H53" s="2955">
        <f t="shared" si="499"/>
        <v>468.43399999999997</v>
      </c>
      <c r="I53" s="2955">
        <v>467.34</v>
      </c>
      <c r="J53" s="2955">
        <v>1.0940000000000001</v>
      </c>
      <c r="K53" s="2875">
        <f t="shared" si="443"/>
        <v>547.61977114122101</v>
      </c>
      <c r="L53" s="2875">
        <f t="shared" si="444"/>
        <v>544.47100649511231</v>
      </c>
      <c r="M53" s="2875">
        <f t="shared" si="445"/>
        <v>3.1487646461086833</v>
      </c>
      <c r="N53" s="2875">
        <f t="shared" si="446"/>
        <v>576.95100000000002</v>
      </c>
      <c r="O53" s="2875">
        <f>SUM('ПОЛНАЯ СЕБЕСТОИМОСТЬ СТОКИ 2021'!I169)</f>
        <v>575.56600000000003</v>
      </c>
      <c r="P53" s="2875">
        <f>SUM('ПОЛНАЯ СЕБЕСТОИМОСТЬ СТОКИ 2021'!J169)</f>
        <v>1.385</v>
      </c>
      <c r="Q53" s="2955">
        <f t="shared" ref="Q53:Q60" si="546">SUM(R53:S53)</f>
        <v>493.30500000000001</v>
      </c>
      <c r="R53" s="2955">
        <v>491.99</v>
      </c>
      <c r="S53" s="2955">
        <v>1.3149999999999999</v>
      </c>
      <c r="T53" s="2875">
        <f t="shared" si="448"/>
        <v>547.61977114122101</v>
      </c>
      <c r="U53" s="2875">
        <f t="shared" si="449"/>
        <v>544.47100649511231</v>
      </c>
      <c r="V53" s="2875">
        <f t="shared" si="450"/>
        <v>3.1487646461086833</v>
      </c>
      <c r="W53" s="2875">
        <f t="shared" si="451"/>
        <v>547.72</v>
      </c>
      <c r="X53" s="2875">
        <f>SUM('ПОЛНАЯ СЕБЕСТОИМОСТЬ СТОКИ 2021'!L169)</f>
        <v>546.15899999999999</v>
      </c>
      <c r="Y53" s="2875">
        <f>SUM('ПОЛНАЯ СЕБЕСТОИМОСТЬ СТОКИ 2021'!M169)</f>
        <v>1.5609999999999999</v>
      </c>
      <c r="Z53" s="2955">
        <f t="shared" ref="Z53:Z60" si="547">SUM(AA53:AB53)</f>
        <v>541.39799999999991</v>
      </c>
      <c r="AA53" s="2955">
        <v>540.06899999999996</v>
      </c>
      <c r="AB53" s="2955">
        <v>1.329</v>
      </c>
      <c r="AC53" s="3003">
        <f t="shared" si="453"/>
        <v>1642.859313423663</v>
      </c>
      <c r="AD53" s="3003">
        <f t="shared" si="453"/>
        <v>1633.4130194853369</v>
      </c>
      <c r="AE53" s="3003">
        <f t="shared" si="453"/>
        <v>9.4462939383260505</v>
      </c>
      <c r="AF53" s="3003">
        <f t="shared" si="453"/>
        <v>1689.2840000000001</v>
      </c>
      <c r="AG53" s="3003">
        <f t="shared" si="453"/>
        <v>1685.2249999999999</v>
      </c>
      <c r="AH53" s="3003">
        <f t="shared" si="453"/>
        <v>4.0590000000000002</v>
      </c>
      <c r="AI53" s="3003">
        <f t="shared" si="453"/>
        <v>1503.1369999999999</v>
      </c>
      <c r="AJ53" s="3003">
        <f t="shared" si="453"/>
        <v>1499.3989999999999</v>
      </c>
      <c r="AK53" s="3003">
        <f t="shared" si="453"/>
        <v>3.7379999999999995</v>
      </c>
      <c r="AL53" s="2919">
        <f t="shared" si="365"/>
        <v>46.424686576337081</v>
      </c>
      <c r="AM53" s="2919">
        <f t="shared" si="365"/>
        <v>51.811980514662991</v>
      </c>
      <c r="AN53" s="2919">
        <f t="shared" si="365"/>
        <v>-5.3872939383260503</v>
      </c>
      <c r="AO53" s="2875">
        <f t="shared" si="454"/>
        <v>547.61977114122101</v>
      </c>
      <c r="AP53" s="2875">
        <f>SUM('ПОЛНАЯ СЕБЕСТОИМОСТЬ СТОКИ 2021'!R169)/3</f>
        <v>544.47100649511231</v>
      </c>
      <c r="AQ53" s="2875">
        <f>SUM('ПОЛНАЯ СЕБЕСТОИМОСТЬ СТОКИ 2021'!S169)/3</f>
        <v>3.1487646461086833</v>
      </c>
      <c r="AR53" s="2875">
        <f t="shared" si="455"/>
        <v>701.82400000000007</v>
      </c>
      <c r="AS53" s="2875">
        <f>SUM('ПОЛНАЯ СЕБЕСТОИМОСТЬ СТОКИ 2021'!U169)</f>
        <v>699.95</v>
      </c>
      <c r="AT53" s="2875">
        <f>SUM('ПОЛНАЯ СЕБЕСТОИМОСТЬ СТОКИ 2021'!V169)</f>
        <v>1.8740000000000001</v>
      </c>
      <c r="AU53" s="2955">
        <f t="shared" ref="AU53:AU60" si="548">SUM(AV53:AW53)</f>
        <v>586.63499999999999</v>
      </c>
      <c r="AV53" s="2955">
        <v>585.04999999999995</v>
      </c>
      <c r="AW53" s="2955">
        <v>1.585</v>
      </c>
      <c r="AX53" s="2875">
        <f t="shared" si="457"/>
        <v>547.61977114122101</v>
      </c>
      <c r="AY53" s="2875">
        <f t="shared" si="458"/>
        <v>544.47100649511231</v>
      </c>
      <c r="AZ53" s="2875">
        <f t="shared" si="459"/>
        <v>3.1487646461086833</v>
      </c>
      <c r="BA53" s="2951">
        <f t="shared" si="460"/>
        <v>1007.2810000000001</v>
      </c>
      <c r="BB53" s="2951">
        <f>SUM('ПОЛНАЯ СЕБЕСТОИМОСТЬ СТОКИ 2021'!X169)</f>
        <v>1004.97</v>
      </c>
      <c r="BC53" s="2951">
        <f>SUM('ПОЛНАЯ СЕБЕСТОИМОСТЬ СТОКИ 2021'!Y169)</f>
        <v>2.3109999999999999</v>
      </c>
      <c r="BD53" s="2955">
        <f t="shared" ref="BD53:BD60" si="549">SUM(BE53:BF53)</f>
        <v>513.63199999999995</v>
      </c>
      <c r="BE53" s="2955">
        <v>512.4</v>
      </c>
      <c r="BF53" s="2955">
        <v>1.232</v>
      </c>
      <c r="BG53" s="2875">
        <f t="shared" si="462"/>
        <v>547.61977114122101</v>
      </c>
      <c r="BH53" s="2875">
        <f t="shared" si="463"/>
        <v>544.47100649511231</v>
      </c>
      <c r="BI53" s="2875">
        <f t="shared" si="464"/>
        <v>3.1487646461086833</v>
      </c>
      <c r="BJ53" s="2875">
        <f t="shared" si="465"/>
        <v>596.91399999999999</v>
      </c>
      <c r="BK53" s="2875">
        <f>SUM('ПОЛНАЯ СЕБЕСТОИМОСТЬ СТОКИ 2021'!AA169)</f>
        <v>596.23099999999999</v>
      </c>
      <c r="BL53" s="2875">
        <f>SUM('ПОЛНАЯ СЕБЕСТОИМОСТЬ СТОКИ 2021'!AB169)</f>
        <v>0.68300000000000005</v>
      </c>
      <c r="BM53" s="2955">
        <f t="shared" ref="BM53:BM60" si="550">SUM(BN53:BO53)</f>
        <v>550.54</v>
      </c>
      <c r="BN53" s="2955">
        <v>548.48</v>
      </c>
      <c r="BO53" s="2955">
        <v>2.06</v>
      </c>
      <c r="BP53" s="3003">
        <f t="shared" si="467"/>
        <v>1642.859313423663</v>
      </c>
      <c r="BQ53" s="3003">
        <f t="shared" si="467"/>
        <v>1633.4130194853369</v>
      </c>
      <c r="BR53" s="3003">
        <f t="shared" si="467"/>
        <v>9.4462939383260505</v>
      </c>
      <c r="BS53" s="3003">
        <f t="shared" si="467"/>
        <v>2306.0190000000002</v>
      </c>
      <c r="BT53" s="3003">
        <f t="shared" si="467"/>
        <v>2301.1509999999998</v>
      </c>
      <c r="BU53" s="3003">
        <f t="shared" si="467"/>
        <v>4.8680000000000003</v>
      </c>
      <c r="BV53" s="3003">
        <f t="shared" si="467"/>
        <v>1650.8069999999998</v>
      </c>
      <c r="BW53" s="3003">
        <f t="shared" si="467"/>
        <v>1645.9299999999998</v>
      </c>
      <c r="BX53" s="3003">
        <f t="shared" si="467"/>
        <v>4.8770000000000007</v>
      </c>
      <c r="BY53" s="2919">
        <f t="shared" si="367"/>
        <v>663.15968657633721</v>
      </c>
      <c r="BZ53" s="2919">
        <f t="shared" si="367"/>
        <v>667.73798051466292</v>
      </c>
      <c r="CA53" s="2919">
        <f t="shared" si="367"/>
        <v>-4.5782939383260501</v>
      </c>
      <c r="CB53" s="3003">
        <f t="shared" si="468"/>
        <v>3285.718626847326</v>
      </c>
      <c r="CC53" s="3003">
        <f t="shared" si="468"/>
        <v>3266.8260389706738</v>
      </c>
      <c r="CD53" s="3003">
        <f t="shared" si="468"/>
        <v>18.892587876652101</v>
      </c>
      <c r="CE53" s="3003">
        <f t="shared" si="468"/>
        <v>3995.3030000000003</v>
      </c>
      <c r="CF53" s="3003">
        <f t="shared" si="468"/>
        <v>3986.3759999999997</v>
      </c>
      <c r="CG53" s="3003">
        <f t="shared" si="468"/>
        <v>8.9269999999999996</v>
      </c>
      <c r="CH53" s="3032">
        <f t="shared" si="468"/>
        <v>3153.9439999999995</v>
      </c>
      <c r="CI53" s="3032">
        <f t="shared" si="468"/>
        <v>3145.3289999999997</v>
      </c>
      <c r="CJ53" s="3032">
        <f t="shared" si="468"/>
        <v>8.6150000000000002</v>
      </c>
      <c r="CK53" s="2919">
        <f t="shared" si="369"/>
        <v>709.58437315267429</v>
      </c>
      <c r="CL53" s="2919">
        <f t="shared" si="369"/>
        <v>719.54996102932591</v>
      </c>
      <c r="CM53" s="2919">
        <f t="shared" si="369"/>
        <v>-9.9655878766521013</v>
      </c>
      <c r="CN53" s="2875">
        <f t="shared" si="469"/>
        <v>547.61977114122101</v>
      </c>
      <c r="CO53" s="2875">
        <f>SUM('ПОЛНАЯ СЕБЕСТОИМОСТЬ СТОКИ 2021'!AP169)/3</f>
        <v>544.47100649511231</v>
      </c>
      <c r="CP53" s="2875">
        <f>SUM('ПОЛНАЯ СЕБЕСТОИМОСТЬ СТОКИ 2021'!AQ169)/3</f>
        <v>3.1487646461086833</v>
      </c>
      <c r="CQ53" s="2875">
        <f t="shared" si="470"/>
        <v>584.47</v>
      </c>
      <c r="CR53" s="2875">
        <f>SUM('ПОЛНАЯ СЕБЕСТОИМОСТЬ СТОКИ 2021'!AS169)</f>
        <v>583.11</v>
      </c>
      <c r="CS53" s="2875">
        <f>SUM('ПОЛНАЯ СЕБЕСТОИМОСТЬ СТОКИ 2021'!AT169)</f>
        <v>1.36</v>
      </c>
      <c r="CT53" s="2955">
        <f t="shared" ref="CT53:CT60" si="551">SUM(CU53:CV53)</f>
        <v>535.78899999999999</v>
      </c>
      <c r="CU53" s="2955">
        <v>533.21</v>
      </c>
      <c r="CV53" s="2955">
        <v>2.5790000000000002</v>
      </c>
      <c r="CW53" s="2875">
        <f t="shared" si="472"/>
        <v>547.61977114122101</v>
      </c>
      <c r="CX53" s="2875">
        <f t="shared" si="473"/>
        <v>544.47100649511231</v>
      </c>
      <c r="CY53" s="2875">
        <f t="shared" si="474"/>
        <v>3.1487646461086833</v>
      </c>
      <c r="CZ53" s="2875">
        <f t="shared" si="475"/>
        <v>522.56049999999993</v>
      </c>
      <c r="DA53" s="2875">
        <f>SUM('ПОЛНАЯ СЕБЕСТОИМОСТЬ СТОКИ 2021'!AV169)</f>
        <v>521.15099999999995</v>
      </c>
      <c r="DB53" s="2875">
        <f>SUM('ПОЛНАЯ СЕБЕСТОИМОСТЬ СТОКИ 2021'!AW169)</f>
        <v>1.4095</v>
      </c>
      <c r="DC53" s="2955">
        <f t="shared" ref="DC53:DC60" si="552">SUM(DD53:DE53)</f>
        <v>488.99099999999999</v>
      </c>
      <c r="DD53" s="2955">
        <v>488.99099999999999</v>
      </c>
      <c r="DE53" s="2955">
        <v>0</v>
      </c>
      <c r="DF53" s="2875">
        <f t="shared" si="477"/>
        <v>547.61977114122101</v>
      </c>
      <c r="DG53" s="2875">
        <f t="shared" si="478"/>
        <v>544.47100649511231</v>
      </c>
      <c r="DH53" s="2875">
        <f t="shared" si="479"/>
        <v>3.1487646461086833</v>
      </c>
      <c r="DI53" s="2875">
        <f t="shared" si="480"/>
        <v>681.995</v>
      </c>
      <c r="DJ53" s="2875">
        <f>SUM('ПОЛНАЯ СЕБЕСТОИМОСТЬ СТОКИ 2021'!AY169)</f>
        <v>680.27700000000004</v>
      </c>
      <c r="DK53" s="2875">
        <f>SUM('ПОЛНАЯ СЕБЕСТОИМОСТЬ СТОКИ 2021'!AZ169)</f>
        <v>1.718</v>
      </c>
      <c r="DL53" s="2955">
        <f t="shared" ref="DL53:DL60" si="553">SUM(DM53:DN53)</f>
        <v>551.02</v>
      </c>
      <c r="DM53" s="2955">
        <v>549.35</v>
      </c>
      <c r="DN53" s="2955">
        <v>1.67</v>
      </c>
      <c r="DO53" s="3003">
        <f t="shared" si="482"/>
        <v>1642.859313423663</v>
      </c>
      <c r="DP53" s="3003">
        <f t="shared" si="482"/>
        <v>1633.4130194853369</v>
      </c>
      <c r="DQ53" s="3003">
        <f t="shared" si="482"/>
        <v>9.4462939383260505</v>
      </c>
      <c r="DR53" s="3003">
        <f t="shared" si="482"/>
        <v>1789.0254999999997</v>
      </c>
      <c r="DS53" s="3003">
        <f t="shared" si="482"/>
        <v>1784.538</v>
      </c>
      <c r="DT53" s="3003">
        <f t="shared" si="482"/>
        <v>4.4874999999999998</v>
      </c>
      <c r="DU53" s="3003">
        <f t="shared" si="482"/>
        <v>1575.8</v>
      </c>
      <c r="DV53" s="3003">
        <f t="shared" si="482"/>
        <v>1571.5509999999999</v>
      </c>
      <c r="DW53" s="3003">
        <f t="shared" si="482"/>
        <v>4.2490000000000006</v>
      </c>
      <c r="DX53" s="2919">
        <f t="shared" si="371"/>
        <v>146.16618657633671</v>
      </c>
      <c r="DY53" s="2919">
        <f t="shared" si="371"/>
        <v>151.12498051466309</v>
      </c>
      <c r="DZ53" s="2919">
        <f t="shared" si="371"/>
        <v>-4.9587939383260506</v>
      </c>
      <c r="EA53" s="3003">
        <f t="shared" si="483"/>
        <v>4928.5779402709886</v>
      </c>
      <c r="EB53" s="3003">
        <f t="shared" si="483"/>
        <v>4900.2390584560108</v>
      </c>
      <c r="EC53" s="3003">
        <f t="shared" si="483"/>
        <v>28.338881814978151</v>
      </c>
      <c r="ED53" s="3003">
        <f t="shared" si="483"/>
        <v>5784.3284999999996</v>
      </c>
      <c r="EE53" s="3003">
        <f t="shared" si="483"/>
        <v>5770.9139999999998</v>
      </c>
      <c r="EF53" s="3003">
        <f t="shared" si="483"/>
        <v>13.4145</v>
      </c>
      <c r="EG53" s="3003">
        <f t="shared" si="483"/>
        <v>4729.7439999999997</v>
      </c>
      <c r="EH53" s="3003">
        <f t="shared" si="483"/>
        <v>4716.8799999999992</v>
      </c>
      <c r="EI53" s="3003">
        <f t="shared" si="483"/>
        <v>12.864000000000001</v>
      </c>
      <c r="EJ53" s="2919">
        <f t="shared" si="373"/>
        <v>855.750559729011</v>
      </c>
      <c r="EK53" s="2919">
        <f t="shared" si="373"/>
        <v>870.67494154398901</v>
      </c>
      <c r="EL53" s="2919">
        <f t="shared" si="373"/>
        <v>-14.924381814978151</v>
      </c>
      <c r="EM53" s="2875">
        <f t="shared" si="484"/>
        <v>547.61977114122101</v>
      </c>
      <c r="EN53" s="2875">
        <f>SUM('ПОЛНАЯ СЕБЕСТОИМОСТЬ СТОКИ 2021'!BN169)/3</f>
        <v>544.47100649511231</v>
      </c>
      <c r="EO53" s="2875">
        <f>SUM('ПОЛНАЯ СЕБЕСТОИМОСТЬ СТОКИ 2021'!BO169)/3</f>
        <v>3.1487646461086833</v>
      </c>
      <c r="EP53" s="2875">
        <f t="shared" si="485"/>
        <v>511.16800000000001</v>
      </c>
      <c r="EQ53" s="2875">
        <f>SUM('ПОЛНАЯ СЕБЕСТОИМОСТЬ СТОКИ 2021'!BQ169)</f>
        <v>509.67</v>
      </c>
      <c r="ER53" s="2875">
        <f>SUM('ПОЛНАЯ СЕБЕСТОИМОСТЬ СТОКИ 2021'!BR169)</f>
        <v>1.498</v>
      </c>
      <c r="ES53" s="2955">
        <f t="shared" ref="ES53:ES60" si="554">SUM(ET53:EU53)</f>
        <v>565.77</v>
      </c>
      <c r="ET53" s="2955">
        <v>564.14</v>
      </c>
      <c r="EU53" s="2955">
        <v>1.63</v>
      </c>
      <c r="EV53" s="2875">
        <f t="shared" si="487"/>
        <v>547.61977114122101</v>
      </c>
      <c r="EW53" s="2875">
        <f t="shared" si="488"/>
        <v>544.47100649511231</v>
      </c>
      <c r="EX53" s="2875">
        <f t="shared" si="489"/>
        <v>3.1487646461086833</v>
      </c>
      <c r="EY53" s="2875">
        <f t="shared" si="490"/>
        <v>558.00200000000007</v>
      </c>
      <c r="EZ53" s="2875">
        <f>SUM('ПОЛНАЯ СЕБЕСТОИМОСТЬ СТОКИ 2021'!BT169)</f>
        <v>556.62400000000002</v>
      </c>
      <c r="FA53" s="2875">
        <f>SUM('ПОЛНАЯ СЕБЕСТОИМОСТЬ СТОКИ 2021'!BU169)</f>
        <v>1.3779999999999999</v>
      </c>
      <c r="FB53" s="2955">
        <f t="shared" ref="FB53:FB60" si="555">SUM(FC53:FD53)</f>
        <v>474.065</v>
      </c>
      <c r="FC53" s="2955">
        <v>472.68400000000003</v>
      </c>
      <c r="FD53" s="2955">
        <v>1.381</v>
      </c>
      <c r="FE53" s="2875">
        <f t="shared" si="492"/>
        <v>547.61977114122101</v>
      </c>
      <c r="FF53" s="2875">
        <f t="shared" si="493"/>
        <v>544.47100649511231</v>
      </c>
      <c r="FG53" s="2875">
        <f t="shared" si="494"/>
        <v>3.1487646461086833</v>
      </c>
      <c r="FH53" s="2875">
        <f t="shared" si="495"/>
        <v>583.53</v>
      </c>
      <c r="FI53" s="2875">
        <f>SUM('ПОЛНАЯ СЕБЕСТОИМОСТЬ СТОКИ 2021'!BW169)</f>
        <v>582.15300000000002</v>
      </c>
      <c r="FJ53" s="2875">
        <f>SUM('ПОЛНАЯ СЕБЕСТОИМОСТЬ СТОКИ 2021'!BX169)</f>
        <v>1.377</v>
      </c>
      <c r="FK53" s="2955">
        <f t="shared" ref="FK53:FK60" si="556">SUM(FL53:FM53)</f>
        <v>607.45999999999992</v>
      </c>
      <c r="FL53" s="2955">
        <v>605.54999999999995</v>
      </c>
      <c r="FM53" s="2955">
        <v>1.91</v>
      </c>
      <c r="FN53" s="3003">
        <f t="shared" si="497"/>
        <v>1642.859313423663</v>
      </c>
      <c r="FO53" s="3003">
        <f t="shared" si="497"/>
        <v>1633.4130194853369</v>
      </c>
      <c r="FP53" s="3003">
        <f t="shared" si="497"/>
        <v>9.4462939383260505</v>
      </c>
      <c r="FQ53" s="3003">
        <f t="shared" si="497"/>
        <v>1652.7</v>
      </c>
      <c r="FR53" s="3003">
        <f t="shared" si="497"/>
        <v>1648.4470000000001</v>
      </c>
      <c r="FS53" s="3003">
        <f t="shared" si="497"/>
        <v>4.2530000000000001</v>
      </c>
      <c r="FT53" s="3003">
        <f t="shared" si="497"/>
        <v>1647.2950000000001</v>
      </c>
      <c r="FU53" s="3003">
        <f t="shared" si="497"/>
        <v>1642.374</v>
      </c>
      <c r="FV53" s="3003">
        <f t="shared" si="497"/>
        <v>4.9210000000000003</v>
      </c>
      <c r="FW53" s="2919">
        <f t="shared" si="375"/>
        <v>9.8406865763370206</v>
      </c>
      <c r="FX53" s="2919">
        <f t="shared" si="375"/>
        <v>15.033980514663199</v>
      </c>
      <c r="FY53" s="2919">
        <f t="shared" si="375"/>
        <v>-5.1932939383260504</v>
      </c>
      <c r="FZ53" s="3003">
        <f t="shared" si="498"/>
        <v>6571.4372536946521</v>
      </c>
      <c r="GA53" s="3003">
        <f t="shared" si="498"/>
        <v>6533.6520779413477</v>
      </c>
      <c r="GB53" s="3003">
        <f t="shared" si="498"/>
        <v>37.785175753304202</v>
      </c>
      <c r="GC53" s="3003">
        <f t="shared" si="498"/>
        <v>7437.0284999999994</v>
      </c>
      <c r="GD53" s="3003">
        <f t="shared" si="498"/>
        <v>7419.3609999999999</v>
      </c>
      <c r="GE53" s="3003">
        <f t="shared" si="498"/>
        <v>17.6675</v>
      </c>
      <c r="GF53" s="3003">
        <f t="shared" si="498"/>
        <v>6377.0389999999998</v>
      </c>
      <c r="GG53" s="3003">
        <f t="shared" si="498"/>
        <v>6359.253999999999</v>
      </c>
      <c r="GH53" s="3003">
        <f t="shared" si="498"/>
        <v>17.785</v>
      </c>
      <c r="GI53" s="2919">
        <f t="shared" si="377"/>
        <v>865.59124630534734</v>
      </c>
      <c r="GJ53" s="2919">
        <f t="shared" si="377"/>
        <v>885.70892205865221</v>
      </c>
      <c r="GK53" s="2919">
        <f t="shared" si="377"/>
        <v>-20.117675753304201</v>
      </c>
      <c r="GM53" s="4234"/>
    </row>
    <row r="54" spans="1:195" ht="18.75" customHeight="1" x14ac:dyDescent="0.3">
      <c r="A54" s="2879" t="s">
        <v>3746</v>
      </c>
      <c r="B54" s="2875">
        <f t="shared" si="440"/>
        <v>164.28596861520037</v>
      </c>
      <c r="C54" s="2875">
        <f>SUM('ПОЛНАЯ СЕБЕСТОИМОСТЬ СТОКИ 2021'!C170)/3</f>
        <v>163.3413019485337</v>
      </c>
      <c r="D54" s="2875">
        <f>SUM('ПОЛНАЯ СЕБЕСТОИМОСТЬ СТОКИ 2021'!D170)/3</f>
        <v>0.94466666666666665</v>
      </c>
      <c r="E54" s="2875">
        <f t="shared" si="441"/>
        <v>168.93799999999999</v>
      </c>
      <c r="F54" s="2875">
        <f>SUM('ПОЛНАЯ СЕБЕСТОИМОСТЬ СТОКИ 2021'!F170)</f>
        <v>168.60499999999999</v>
      </c>
      <c r="G54" s="2875">
        <f>SUM('ПОЛНАЯ СЕБЕСТОИМОСТЬ СТОКИ 2021'!G170)</f>
        <v>0.33300000000000002</v>
      </c>
      <c r="H54" s="2955">
        <f t="shared" si="499"/>
        <v>141.45400000000001</v>
      </c>
      <c r="I54" s="2955">
        <v>141.12</v>
      </c>
      <c r="J54" s="2955">
        <v>0.33400000000000002</v>
      </c>
      <c r="K54" s="2875">
        <f t="shared" si="443"/>
        <v>164.28596861520037</v>
      </c>
      <c r="L54" s="2875">
        <f t="shared" si="444"/>
        <v>163.3413019485337</v>
      </c>
      <c r="M54" s="2875">
        <f t="shared" si="445"/>
        <v>0.94466666666666665</v>
      </c>
      <c r="N54" s="2875">
        <f t="shared" si="446"/>
        <v>173.3126</v>
      </c>
      <c r="O54" s="2875">
        <f>SUM('ПОЛНАЯ СЕБЕСТОИМОСТЬ СТОКИ 2021'!I170)</f>
        <v>172.89660000000001</v>
      </c>
      <c r="P54" s="2875">
        <f>SUM('ПОЛНАЯ СЕБЕСТОИМОСТЬ СТОКИ 2021'!J170)</f>
        <v>0.41599999999999998</v>
      </c>
      <c r="Q54" s="2955">
        <f t="shared" si="546"/>
        <v>147.93600000000001</v>
      </c>
      <c r="R54" s="2955">
        <v>147.541</v>
      </c>
      <c r="S54" s="2955">
        <v>0.39500000000000002</v>
      </c>
      <c r="T54" s="2875">
        <f t="shared" si="448"/>
        <v>164.28596861520037</v>
      </c>
      <c r="U54" s="2875">
        <f t="shared" si="449"/>
        <v>163.3413019485337</v>
      </c>
      <c r="V54" s="2875">
        <f t="shared" si="450"/>
        <v>0.94466666666666665</v>
      </c>
      <c r="W54" s="2875">
        <f t="shared" si="451"/>
        <v>163.26599999999999</v>
      </c>
      <c r="X54" s="2875">
        <f>SUM('ПОЛНАЯ СЕБЕСТОИМОСТЬ СТОКИ 2021'!L170)</f>
        <v>162.80099999999999</v>
      </c>
      <c r="Y54" s="2875">
        <f>SUM('ПОЛНАЯ СЕБЕСТОИМОСТЬ СТОКИ 2021'!M170)</f>
        <v>0.46500000000000002</v>
      </c>
      <c r="Z54" s="2955">
        <f t="shared" si="547"/>
        <v>162.29</v>
      </c>
      <c r="AA54" s="2955">
        <v>161.88999999999999</v>
      </c>
      <c r="AB54" s="2955">
        <v>0.4</v>
      </c>
      <c r="AC54" s="3003">
        <f t="shared" si="453"/>
        <v>492.85790584560112</v>
      </c>
      <c r="AD54" s="3003">
        <f t="shared" si="453"/>
        <v>490.02390584560112</v>
      </c>
      <c r="AE54" s="3003">
        <f t="shared" si="453"/>
        <v>2.8340000000000001</v>
      </c>
      <c r="AF54" s="3003">
        <f t="shared" si="453"/>
        <v>505.51659999999993</v>
      </c>
      <c r="AG54" s="3003">
        <f t="shared" si="453"/>
        <v>504.30259999999998</v>
      </c>
      <c r="AH54" s="3003">
        <f t="shared" si="453"/>
        <v>1.214</v>
      </c>
      <c r="AI54" s="3003">
        <f t="shared" si="453"/>
        <v>451.67999999999995</v>
      </c>
      <c r="AJ54" s="3003">
        <f t="shared" si="453"/>
        <v>450.55099999999999</v>
      </c>
      <c r="AK54" s="3003">
        <f t="shared" si="453"/>
        <v>1.129</v>
      </c>
      <c r="AL54" s="2919">
        <f t="shared" si="365"/>
        <v>12.658694154398802</v>
      </c>
      <c r="AM54" s="2919">
        <f t="shared" si="365"/>
        <v>14.278694154398863</v>
      </c>
      <c r="AN54" s="2919">
        <f t="shared" si="365"/>
        <v>-1.62</v>
      </c>
      <c r="AO54" s="2875">
        <f t="shared" si="454"/>
        <v>164.28596861520037</v>
      </c>
      <c r="AP54" s="2875">
        <f>SUM('ПОЛНАЯ СЕБЕСТОИМОСТЬ СТОКИ 2021'!R170)/3</f>
        <v>163.3413019485337</v>
      </c>
      <c r="AQ54" s="2875">
        <f>SUM('ПОЛНАЯ СЕБЕСТОИМОСТЬ СТОКИ 2021'!S170)/3</f>
        <v>0.94466666666666665</v>
      </c>
      <c r="AR54" s="2875">
        <f t="shared" si="455"/>
        <v>211.03399999999999</v>
      </c>
      <c r="AS54" s="2875">
        <f>SUM('ПОЛНАЯ СЕБЕСТОИМОСТЬ СТОКИ 2021'!U170)</f>
        <v>210.47</v>
      </c>
      <c r="AT54" s="2875">
        <f>SUM('ПОЛНАЯ СЕБЕСТОИМОСТЬ СТОКИ 2021'!V170)</f>
        <v>0.56399999999999995</v>
      </c>
      <c r="AU54" s="2955">
        <f t="shared" si="548"/>
        <v>175.435</v>
      </c>
      <c r="AV54" s="2955">
        <v>174.96</v>
      </c>
      <c r="AW54" s="2955">
        <v>0.47499999999999998</v>
      </c>
      <c r="AX54" s="2875">
        <f t="shared" si="457"/>
        <v>164.28596861520037</v>
      </c>
      <c r="AY54" s="2875">
        <f t="shared" si="458"/>
        <v>163.3413019485337</v>
      </c>
      <c r="AZ54" s="2875">
        <f t="shared" si="459"/>
        <v>0.94466666666666665</v>
      </c>
      <c r="BA54" s="2951">
        <f t="shared" si="460"/>
        <v>289.43299999999999</v>
      </c>
      <c r="BB54" s="2951">
        <f>SUM('ПОЛНАЯ СЕБЕСТОИМОСТЬ СТОКИ 2021'!X170)</f>
        <v>288.76900000000001</v>
      </c>
      <c r="BC54" s="2951">
        <f>SUM('ПОЛНАЯ СЕБЕСТОИМОСТЬ СТОКИ 2021'!Y170)</f>
        <v>0.66400000000000003</v>
      </c>
      <c r="BD54" s="2955">
        <f t="shared" si="549"/>
        <v>155.09200000000001</v>
      </c>
      <c r="BE54" s="2955">
        <v>154.72</v>
      </c>
      <c r="BF54" s="2955">
        <v>0.372</v>
      </c>
      <c r="BG54" s="2875">
        <f t="shared" si="462"/>
        <v>164.28596861520037</v>
      </c>
      <c r="BH54" s="2875">
        <f t="shared" si="463"/>
        <v>163.3413019485337</v>
      </c>
      <c r="BI54" s="2875">
        <f t="shared" si="464"/>
        <v>0.94466666666666665</v>
      </c>
      <c r="BJ54" s="2875">
        <f t="shared" si="465"/>
        <v>179.09100000000001</v>
      </c>
      <c r="BK54" s="2875">
        <f>SUM('ПОЛНАЯ СЕБЕСТОИМОСТЬ СТОКИ 2021'!AA170)</f>
        <v>179.09</v>
      </c>
      <c r="BL54" s="2875">
        <f>SUM('ПОЛНАЯ СЕБЕСТОИМОСТЬ СТОКИ 2021'!AB170)</f>
        <v>1E-3</v>
      </c>
      <c r="BM54" s="2955">
        <f t="shared" si="550"/>
        <v>165.92000000000002</v>
      </c>
      <c r="BN54" s="2955">
        <v>165.3</v>
      </c>
      <c r="BO54" s="2955">
        <v>0.62</v>
      </c>
      <c r="BP54" s="3003">
        <f t="shared" si="467"/>
        <v>492.85790584560112</v>
      </c>
      <c r="BQ54" s="3003">
        <f t="shared" si="467"/>
        <v>490.02390584560112</v>
      </c>
      <c r="BR54" s="3003">
        <f t="shared" si="467"/>
        <v>2.8340000000000001</v>
      </c>
      <c r="BS54" s="3003">
        <f t="shared" si="467"/>
        <v>679.55799999999999</v>
      </c>
      <c r="BT54" s="3003">
        <f t="shared" si="467"/>
        <v>678.32900000000006</v>
      </c>
      <c r="BU54" s="3003">
        <f t="shared" si="467"/>
        <v>1.2289999999999999</v>
      </c>
      <c r="BV54" s="3003">
        <f t="shared" si="467"/>
        <v>496.44700000000006</v>
      </c>
      <c r="BW54" s="3003">
        <f t="shared" si="467"/>
        <v>494.98</v>
      </c>
      <c r="BX54" s="3003">
        <f t="shared" si="467"/>
        <v>1.4670000000000001</v>
      </c>
      <c r="BY54" s="2919">
        <f t="shared" si="367"/>
        <v>186.70009415439887</v>
      </c>
      <c r="BZ54" s="2919">
        <f t="shared" si="367"/>
        <v>188.30509415439894</v>
      </c>
      <c r="CA54" s="2919">
        <f t="shared" si="367"/>
        <v>-1.6050000000000002</v>
      </c>
      <c r="CB54" s="3003">
        <f t="shared" si="468"/>
        <v>985.71581169120225</v>
      </c>
      <c r="CC54" s="3003">
        <f t="shared" si="468"/>
        <v>980.04781169120224</v>
      </c>
      <c r="CD54" s="3003">
        <f t="shared" si="468"/>
        <v>5.6680000000000001</v>
      </c>
      <c r="CE54" s="3003">
        <f t="shared" si="468"/>
        <v>1185.0745999999999</v>
      </c>
      <c r="CF54" s="3003">
        <f t="shared" si="468"/>
        <v>1182.6316000000002</v>
      </c>
      <c r="CG54" s="3003">
        <f t="shared" si="468"/>
        <v>2.4429999999999996</v>
      </c>
      <c r="CH54" s="3032">
        <f t="shared" si="468"/>
        <v>948.12699999999995</v>
      </c>
      <c r="CI54" s="3032">
        <f t="shared" si="468"/>
        <v>945.53099999999995</v>
      </c>
      <c r="CJ54" s="3032">
        <f t="shared" si="468"/>
        <v>2.5960000000000001</v>
      </c>
      <c r="CK54" s="2919">
        <f t="shared" si="369"/>
        <v>199.35878830879767</v>
      </c>
      <c r="CL54" s="2919">
        <f t="shared" si="369"/>
        <v>202.58378830879792</v>
      </c>
      <c r="CM54" s="2919">
        <f t="shared" si="369"/>
        <v>-3.2250000000000005</v>
      </c>
      <c r="CN54" s="2875">
        <f t="shared" si="469"/>
        <v>164.28596861520037</v>
      </c>
      <c r="CO54" s="2875">
        <f>SUM('ПОЛНАЯ СЕБЕСТОИМОСТЬ СТОКИ 2021'!AP170)/3</f>
        <v>163.3413019485337</v>
      </c>
      <c r="CP54" s="2875">
        <f>SUM('ПОЛНАЯ СЕБЕСТОИМОСТЬ СТОКИ 2021'!AQ170)/3</f>
        <v>0.94466666666666665</v>
      </c>
      <c r="CQ54" s="2875">
        <f t="shared" si="470"/>
        <v>175.02700000000002</v>
      </c>
      <c r="CR54" s="2875">
        <f>SUM('ПОЛНАЯ СЕБЕСТОИМОСТЬ СТОКИ 2021'!AS170)</f>
        <v>174.62</v>
      </c>
      <c r="CS54" s="2875">
        <f>SUM('ПОЛНАЯ СЕБЕСТОИМОСТЬ СТОКИ 2021'!AT170)</f>
        <v>0.40699999999999997</v>
      </c>
      <c r="CT54" s="2955">
        <f t="shared" si="551"/>
        <v>160.51000000000002</v>
      </c>
      <c r="CU54" s="2955">
        <v>159.74</v>
      </c>
      <c r="CV54" s="2955">
        <v>0.77</v>
      </c>
      <c r="CW54" s="2875">
        <f t="shared" si="472"/>
        <v>164.28596861520037</v>
      </c>
      <c r="CX54" s="2875">
        <f t="shared" si="473"/>
        <v>163.3413019485337</v>
      </c>
      <c r="CY54" s="2875">
        <f t="shared" si="474"/>
        <v>0.94466666666666665</v>
      </c>
      <c r="CZ54" s="2875">
        <f t="shared" si="475"/>
        <v>157.28700000000001</v>
      </c>
      <c r="DA54" s="2875">
        <f>SUM('ПОЛНАЯ СЕБЕСТОИМОСТЬ СТОКИ 2021'!AV170)</f>
        <v>156.863</v>
      </c>
      <c r="DB54" s="2875">
        <f>SUM('ПОЛНАЯ СЕБЕСТОИМОСТЬ СТОКИ 2021'!AW170)</f>
        <v>0.42399999999999999</v>
      </c>
      <c r="DC54" s="2955">
        <f t="shared" si="552"/>
        <v>145.09</v>
      </c>
      <c r="DD54" s="2955">
        <v>145.09</v>
      </c>
      <c r="DE54" s="2955">
        <v>0</v>
      </c>
      <c r="DF54" s="2875">
        <f t="shared" si="477"/>
        <v>164.28596861520037</v>
      </c>
      <c r="DG54" s="2875">
        <f t="shared" si="478"/>
        <v>163.3413019485337</v>
      </c>
      <c r="DH54" s="2875">
        <f t="shared" si="479"/>
        <v>0.94466666666666665</v>
      </c>
      <c r="DI54" s="2875">
        <f t="shared" si="480"/>
        <v>205.48373000000001</v>
      </c>
      <c r="DJ54" s="2875">
        <f>SUM('ПОЛНАЯ СЕБЕСТОИМОСТЬ СТОКИ 2021'!AY170)</f>
        <v>204.96600000000001</v>
      </c>
      <c r="DK54" s="2875">
        <f>SUM('ПОЛНАЯ СЕБЕСТОИМОСТЬ СТОКИ 2021'!AZ170)</f>
        <v>0.51773000000000002</v>
      </c>
      <c r="DL54" s="2955">
        <f t="shared" si="553"/>
        <v>163.9</v>
      </c>
      <c r="DM54" s="2955">
        <v>163.4</v>
      </c>
      <c r="DN54" s="2955">
        <v>0.5</v>
      </c>
      <c r="DO54" s="3003">
        <f t="shared" si="482"/>
        <v>492.85790584560112</v>
      </c>
      <c r="DP54" s="3003">
        <f t="shared" si="482"/>
        <v>490.02390584560112</v>
      </c>
      <c r="DQ54" s="3003">
        <f t="shared" si="482"/>
        <v>2.8340000000000001</v>
      </c>
      <c r="DR54" s="3003">
        <f t="shared" si="482"/>
        <v>537.79773</v>
      </c>
      <c r="DS54" s="3003">
        <f t="shared" si="482"/>
        <v>536.44900000000007</v>
      </c>
      <c r="DT54" s="3003">
        <f t="shared" si="482"/>
        <v>1.34873</v>
      </c>
      <c r="DU54" s="3003">
        <f t="shared" si="482"/>
        <v>469.5</v>
      </c>
      <c r="DV54" s="3003">
        <f t="shared" si="482"/>
        <v>468.23</v>
      </c>
      <c r="DW54" s="3003">
        <f t="shared" si="482"/>
        <v>1.27</v>
      </c>
      <c r="DX54" s="2919">
        <f t="shared" si="371"/>
        <v>44.939824154398877</v>
      </c>
      <c r="DY54" s="2919">
        <f t="shared" si="371"/>
        <v>46.425094154398948</v>
      </c>
      <c r="DZ54" s="2919">
        <f t="shared" si="371"/>
        <v>-1.4852700000000001</v>
      </c>
      <c r="EA54" s="3003">
        <f t="shared" si="483"/>
        <v>1478.5737175368033</v>
      </c>
      <c r="EB54" s="3003">
        <f t="shared" si="483"/>
        <v>1470.0717175368034</v>
      </c>
      <c r="EC54" s="3003">
        <f t="shared" si="483"/>
        <v>8.5020000000000007</v>
      </c>
      <c r="ED54" s="3003">
        <f t="shared" si="483"/>
        <v>1722.8723299999999</v>
      </c>
      <c r="EE54" s="3003">
        <f t="shared" si="483"/>
        <v>1719.0806000000002</v>
      </c>
      <c r="EF54" s="3003">
        <f t="shared" si="483"/>
        <v>3.7917299999999994</v>
      </c>
      <c r="EG54" s="3003">
        <f t="shared" si="483"/>
        <v>1417.627</v>
      </c>
      <c r="EH54" s="3003">
        <f t="shared" si="483"/>
        <v>1413.761</v>
      </c>
      <c r="EI54" s="3003">
        <f t="shared" si="483"/>
        <v>3.8660000000000001</v>
      </c>
      <c r="EJ54" s="2919">
        <f t="shared" si="373"/>
        <v>244.2986124631966</v>
      </c>
      <c r="EK54" s="2919">
        <f t="shared" si="373"/>
        <v>249.00888246319687</v>
      </c>
      <c r="EL54" s="2919">
        <f t="shared" si="373"/>
        <v>-4.7102700000000013</v>
      </c>
      <c r="EM54" s="2875">
        <f t="shared" si="484"/>
        <v>164.28596861520037</v>
      </c>
      <c r="EN54" s="2875">
        <f>SUM('ПОЛНАЯ СЕБЕСТОИМОСТЬ СТОКИ 2021'!BN170)/3</f>
        <v>163.3413019485337</v>
      </c>
      <c r="EO54" s="2875">
        <f>SUM('ПОЛНАЯ СЕБЕСТОИМОСТЬ СТОКИ 2021'!BO170)/3</f>
        <v>0.94466666666666665</v>
      </c>
      <c r="EP54" s="2875">
        <f t="shared" si="485"/>
        <v>153.12400000000002</v>
      </c>
      <c r="EQ54" s="2875">
        <f>SUM('ПОЛНАЯ СЕБЕСТОИМОСТЬ СТОКИ 2021'!BQ170)</f>
        <v>152.67500000000001</v>
      </c>
      <c r="ER54" s="2875">
        <f>SUM('ПОЛНАЯ СЕБЕСТОИМОСТЬ СТОКИ 2021'!BR170)</f>
        <v>0.44900000000000001</v>
      </c>
      <c r="ES54" s="2955">
        <f t="shared" si="554"/>
        <v>150.19</v>
      </c>
      <c r="ET54" s="2955">
        <v>149.76</v>
      </c>
      <c r="EU54" s="2955">
        <v>0.43</v>
      </c>
      <c r="EV54" s="2875">
        <f t="shared" si="487"/>
        <v>164.28596861520037</v>
      </c>
      <c r="EW54" s="2875">
        <f t="shared" si="488"/>
        <v>163.3413019485337</v>
      </c>
      <c r="EX54" s="2875">
        <f t="shared" si="489"/>
        <v>0.94466666666666665</v>
      </c>
      <c r="EY54" s="2875">
        <f t="shared" si="490"/>
        <v>180.14699999999999</v>
      </c>
      <c r="EZ54" s="2875">
        <f>SUM('ПОЛНАЯ СЕБЕСТОИМОСТЬ СТОКИ 2021'!BT170)</f>
        <v>179.702</v>
      </c>
      <c r="FA54" s="2875">
        <f>SUM('ПОЛНАЯ СЕБЕСТОИМОСТЬ СТОКИ 2021'!BU170)</f>
        <v>0.44500000000000001</v>
      </c>
      <c r="FB54" s="2955">
        <f t="shared" si="555"/>
        <v>137.65</v>
      </c>
      <c r="FC54" s="2955">
        <v>137.25</v>
      </c>
      <c r="FD54" s="2955">
        <v>0.4</v>
      </c>
      <c r="FE54" s="2875">
        <f t="shared" si="492"/>
        <v>164.28596861520037</v>
      </c>
      <c r="FF54" s="2875">
        <f t="shared" si="493"/>
        <v>163.3413019485337</v>
      </c>
      <c r="FG54" s="2875">
        <f t="shared" si="494"/>
        <v>0.94466666666666665</v>
      </c>
      <c r="FH54" s="2875">
        <f t="shared" si="495"/>
        <v>153.66524999999999</v>
      </c>
      <c r="FI54" s="2875">
        <f>SUM('ПОЛНАЯ СЕБЕСТОИМОСТЬ СТОКИ 2021'!BW170)</f>
        <v>153.101</v>
      </c>
      <c r="FJ54" s="2875">
        <f>SUM('ПОЛНАЯ СЕБЕСТОИМОСТЬ СТОКИ 2021'!BX170)</f>
        <v>0.56425000000000003</v>
      </c>
      <c r="FK54" s="2955">
        <f t="shared" si="556"/>
        <v>180.07</v>
      </c>
      <c r="FL54" s="2955">
        <v>179.5</v>
      </c>
      <c r="FM54" s="2955">
        <v>0.56999999999999995</v>
      </c>
      <c r="FN54" s="3003">
        <f t="shared" si="497"/>
        <v>492.85790584560112</v>
      </c>
      <c r="FO54" s="3003">
        <f t="shared" si="497"/>
        <v>490.02390584560112</v>
      </c>
      <c r="FP54" s="3003">
        <f t="shared" si="497"/>
        <v>2.8340000000000001</v>
      </c>
      <c r="FQ54" s="3003">
        <f t="shared" si="497"/>
        <v>486.93624999999997</v>
      </c>
      <c r="FR54" s="3003">
        <f t="shared" si="497"/>
        <v>485.47800000000001</v>
      </c>
      <c r="FS54" s="3003">
        <f t="shared" si="497"/>
        <v>1.45825</v>
      </c>
      <c r="FT54" s="3003">
        <f t="shared" si="497"/>
        <v>467.91</v>
      </c>
      <c r="FU54" s="3003">
        <f t="shared" si="497"/>
        <v>466.51</v>
      </c>
      <c r="FV54" s="3003">
        <f t="shared" si="497"/>
        <v>1.4</v>
      </c>
      <c r="FW54" s="2919">
        <f t="shared" si="375"/>
        <v>-5.9216558456011512</v>
      </c>
      <c r="FX54" s="2919">
        <f t="shared" si="375"/>
        <v>-4.5459058456011121</v>
      </c>
      <c r="FY54" s="2919">
        <f t="shared" si="375"/>
        <v>-1.37575</v>
      </c>
      <c r="FZ54" s="3003">
        <f t="shared" si="498"/>
        <v>1971.4316233824045</v>
      </c>
      <c r="GA54" s="3003">
        <f t="shared" si="498"/>
        <v>1960.0956233824045</v>
      </c>
      <c r="GB54" s="3003">
        <f t="shared" si="498"/>
        <v>11.336</v>
      </c>
      <c r="GC54" s="3003">
        <f t="shared" si="498"/>
        <v>2209.8085799999999</v>
      </c>
      <c r="GD54" s="3003">
        <f t="shared" si="498"/>
        <v>2204.5586000000003</v>
      </c>
      <c r="GE54" s="3003">
        <f t="shared" si="498"/>
        <v>5.249979999999999</v>
      </c>
      <c r="GF54" s="3003">
        <f t="shared" si="498"/>
        <v>1885.537</v>
      </c>
      <c r="GG54" s="3003">
        <f t="shared" si="498"/>
        <v>1880.271</v>
      </c>
      <c r="GH54" s="3003">
        <f t="shared" si="498"/>
        <v>5.266</v>
      </c>
      <c r="GI54" s="2919">
        <f t="shared" si="377"/>
        <v>238.3769566175954</v>
      </c>
      <c r="GJ54" s="2919">
        <f t="shared" si="377"/>
        <v>244.46297661759581</v>
      </c>
      <c r="GK54" s="2919">
        <f t="shared" si="377"/>
        <v>-6.0860200000000013</v>
      </c>
      <c r="GM54" s="4234"/>
    </row>
    <row r="55" spans="1:195" ht="18.75" customHeight="1" x14ac:dyDescent="0.3">
      <c r="A55" s="2879" t="s">
        <v>274</v>
      </c>
      <c r="B55" s="2875">
        <f t="shared" si="440"/>
        <v>0.8986446184681337</v>
      </c>
      <c r="C55" s="2875">
        <f>SUM('ПОЛНАЯ СЕБЕСТОИМОСТЬ СТОКИ 2021'!C171)/3</f>
        <v>0.87988166553899205</v>
      </c>
      <c r="D55" s="2875">
        <f>SUM('ПОЛНАЯ СЕБЕСТОИМОСТЬ СТОКИ 2021'!D171)/3</f>
        <v>1.8762952929141666E-2</v>
      </c>
      <c r="E55" s="2875">
        <f t="shared" si="441"/>
        <v>0.17734999999999998</v>
      </c>
      <c r="F55" s="2875">
        <f>SUM('ПОЛНАЯ СЕБЕСТОИМОСТЬ СТОКИ 2021'!F171)</f>
        <v>0.17699999999999999</v>
      </c>
      <c r="G55" s="2875">
        <f>SUM('ПОЛНАЯ СЕБЕСТОИМОСТЬ СТОКИ 2021'!G171)</f>
        <v>3.5E-4</v>
      </c>
      <c r="H55" s="2955">
        <f t="shared" si="499"/>
        <v>0.3</v>
      </c>
      <c r="I55" s="2955">
        <v>0.3</v>
      </c>
      <c r="J55" s="2955">
        <v>0</v>
      </c>
      <c r="K55" s="2875">
        <f t="shared" ref="K55:K60" si="557">SUM(L55:M55)</f>
        <v>0.8986446184681337</v>
      </c>
      <c r="L55" s="2875">
        <f t="shared" si="444"/>
        <v>0.87988166553899205</v>
      </c>
      <c r="M55" s="2875">
        <f t="shared" si="445"/>
        <v>1.8762952929141666E-2</v>
      </c>
      <c r="N55" s="2875">
        <f t="shared" si="446"/>
        <v>0.10725999999999999</v>
      </c>
      <c r="O55" s="2875">
        <f>SUM('ПОЛНАЯ СЕБЕСТОИМОСТЬ СТОКИ 2021'!I171)</f>
        <v>0.107</v>
      </c>
      <c r="P55" s="2875">
        <f>SUM('ПОЛНАЯ СЕБЕСТОИМОСТЬ СТОКИ 2021'!J171)</f>
        <v>2.5999999999999998E-4</v>
      </c>
      <c r="Q55" s="2955">
        <f t="shared" si="546"/>
        <v>0.24</v>
      </c>
      <c r="R55" s="2955">
        <v>0.24</v>
      </c>
      <c r="S55" s="2955">
        <v>0</v>
      </c>
      <c r="T55" s="2875">
        <f t="shared" si="448"/>
        <v>0.8986446184681337</v>
      </c>
      <c r="U55" s="2875">
        <f t="shared" si="449"/>
        <v>0.87988166553899205</v>
      </c>
      <c r="V55" s="2875">
        <f t="shared" si="450"/>
        <v>1.8762952929141666E-2</v>
      </c>
      <c r="W55" s="2875">
        <f t="shared" si="451"/>
        <v>4.7334899999999998</v>
      </c>
      <c r="X55" s="2875">
        <f>SUM('ПОЛНАЯ СЕБЕСТОИМОСТЬ СТОКИ 2021'!L171)</f>
        <v>4.72</v>
      </c>
      <c r="Y55" s="2875">
        <f>SUM('ПОЛНАЯ СЕБЕСТОИМОСТЬ СТОКИ 2021'!M171)</f>
        <v>1.349E-2</v>
      </c>
      <c r="Z55" s="2955">
        <f t="shared" si="547"/>
        <v>0.04</v>
      </c>
      <c r="AA55" s="2955">
        <v>0.04</v>
      </c>
      <c r="AB55" s="2955">
        <v>0</v>
      </c>
      <c r="AC55" s="3003">
        <f t="shared" si="453"/>
        <v>2.6959338554044012</v>
      </c>
      <c r="AD55" s="3003">
        <f t="shared" si="453"/>
        <v>2.6396449966169762</v>
      </c>
      <c r="AE55" s="3003">
        <f t="shared" si="453"/>
        <v>5.6288858787424997E-2</v>
      </c>
      <c r="AF55" s="3003">
        <f t="shared" si="453"/>
        <v>5.0180999999999996</v>
      </c>
      <c r="AG55" s="3003">
        <f t="shared" si="453"/>
        <v>5.0039999999999996</v>
      </c>
      <c r="AH55" s="3003">
        <f t="shared" si="453"/>
        <v>1.41E-2</v>
      </c>
      <c r="AI55" s="3003">
        <f t="shared" si="453"/>
        <v>0.58000000000000007</v>
      </c>
      <c r="AJ55" s="3003">
        <f t="shared" si="453"/>
        <v>0.58000000000000007</v>
      </c>
      <c r="AK55" s="3003">
        <f t="shared" si="453"/>
        <v>0</v>
      </c>
      <c r="AL55" s="2919">
        <f t="shared" si="365"/>
        <v>2.3221661445955983</v>
      </c>
      <c r="AM55" s="2919">
        <f t="shared" si="365"/>
        <v>2.3643550033830234</v>
      </c>
      <c r="AN55" s="2919">
        <f t="shared" si="365"/>
        <v>-4.2188858787424996E-2</v>
      </c>
      <c r="AO55" s="2875">
        <f t="shared" si="454"/>
        <v>0.8986446184681337</v>
      </c>
      <c r="AP55" s="2875">
        <f>SUM('ПОЛНАЯ СЕБЕСТОИМОСТЬ СТОКИ 2021'!R171)/3</f>
        <v>0.87988166553899205</v>
      </c>
      <c r="AQ55" s="2875">
        <f>SUM('ПОЛНАЯ СЕБЕСТОИМОСТЬ СТОКИ 2021'!S171)/3</f>
        <v>1.8762952929141666E-2</v>
      </c>
      <c r="AR55" s="2875">
        <f t="shared" si="455"/>
        <v>5.1638000000000002</v>
      </c>
      <c r="AS55" s="2875">
        <f>SUM('ПОЛНАЯ СЕБЕСТОИМОСТЬ СТОКИ 2021'!U171)</f>
        <v>5.15</v>
      </c>
      <c r="AT55" s="2875">
        <f>SUM('ПОЛНАЯ СЕБЕСТОИМОСТЬ СТОКИ 2021'!V171)</f>
        <v>1.38E-2</v>
      </c>
      <c r="AU55" s="2955">
        <f t="shared" si="548"/>
        <v>0.12</v>
      </c>
      <c r="AV55" s="2955">
        <v>0.12</v>
      </c>
      <c r="AW55" s="2955">
        <v>0</v>
      </c>
      <c r="AX55" s="2875">
        <f t="shared" si="457"/>
        <v>0.8986446184681337</v>
      </c>
      <c r="AY55" s="2875">
        <f t="shared" si="458"/>
        <v>0.87988166553899205</v>
      </c>
      <c r="AZ55" s="2875">
        <f t="shared" si="459"/>
        <v>1.8762952929141666E-2</v>
      </c>
      <c r="BA55" s="2951">
        <f t="shared" si="460"/>
        <v>4.2397400000000003</v>
      </c>
      <c r="BB55" s="2951">
        <f>SUM('ПОЛНАЯ СЕБЕСТОИМОСТЬ СТОКИ 2021'!X171)</f>
        <v>4.2300000000000004</v>
      </c>
      <c r="BC55" s="2951">
        <f>SUM('ПОЛНАЯ СЕБЕСТОИМОСТЬ СТОКИ 2021'!Y171)</f>
        <v>9.7400000000000004E-3</v>
      </c>
      <c r="BD55" s="2955">
        <f t="shared" si="549"/>
        <v>0.02</v>
      </c>
      <c r="BE55" s="2955">
        <v>0.02</v>
      </c>
      <c r="BF55" s="2955">
        <v>0</v>
      </c>
      <c r="BG55" s="2875">
        <f t="shared" si="462"/>
        <v>0.8986446184681337</v>
      </c>
      <c r="BH55" s="2875">
        <f t="shared" si="463"/>
        <v>0.87988166553899205</v>
      </c>
      <c r="BI55" s="2875">
        <f t="shared" si="464"/>
        <v>1.8762952929141666E-2</v>
      </c>
      <c r="BJ55" s="2875">
        <f t="shared" ref="BJ55:BJ60" si="558">SUM(BK55:BL55)</f>
        <v>4.1387</v>
      </c>
      <c r="BK55" s="2875">
        <f>SUM('ПОЛНАЯ СЕБЕСТОИМОСТЬ СТОКИ 2021'!AA171)</f>
        <v>4.1340000000000003</v>
      </c>
      <c r="BL55" s="2875">
        <f>SUM('ПОЛНАЯ СЕБЕСТОИМОСТЬ СТОКИ 2021'!AB171)</f>
        <v>4.7000000000000002E-3</v>
      </c>
      <c r="BM55" s="2955">
        <f t="shared" si="550"/>
        <v>0.02</v>
      </c>
      <c r="BN55" s="2955">
        <v>0.02</v>
      </c>
      <c r="BO55" s="2955">
        <v>0</v>
      </c>
      <c r="BP55" s="3003">
        <f t="shared" si="467"/>
        <v>2.6959338554044012</v>
      </c>
      <c r="BQ55" s="3003">
        <f t="shared" si="467"/>
        <v>2.6396449966169762</v>
      </c>
      <c r="BR55" s="3003">
        <f t="shared" si="467"/>
        <v>5.6288858787424997E-2</v>
      </c>
      <c r="BS55" s="3003">
        <f t="shared" si="467"/>
        <v>13.54224</v>
      </c>
      <c r="BT55" s="3003">
        <f t="shared" si="467"/>
        <v>13.514000000000001</v>
      </c>
      <c r="BU55" s="3003">
        <f t="shared" si="467"/>
        <v>2.8239999999999998E-2</v>
      </c>
      <c r="BV55" s="3003">
        <f t="shared" si="467"/>
        <v>0.15999999999999998</v>
      </c>
      <c r="BW55" s="3003">
        <f t="shared" si="467"/>
        <v>0.15999999999999998</v>
      </c>
      <c r="BX55" s="3003">
        <f t="shared" si="467"/>
        <v>0</v>
      </c>
      <c r="BY55" s="2919">
        <f t="shared" si="367"/>
        <v>10.846306144595598</v>
      </c>
      <c r="BZ55" s="2919">
        <f t="shared" si="367"/>
        <v>10.874355003383025</v>
      </c>
      <c r="CA55" s="2919">
        <f t="shared" si="367"/>
        <v>-2.8048858787425E-2</v>
      </c>
      <c r="CB55" s="3003">
        <f t="shared" si="468"/>
        <v>5.3918677108088024</v>
      </c>
      <c r="CC55" s="3003">
        <f t="shared" si="468"/>
        <v>5.2792899932339523</v>
      </c>
      <c r="CD55" s="3003">
        <f t="shared" si="468"/>
        <v>0.11257771757484999</v>
      </c>
      <c r="CE55" s="3003">
        <f t="shared" si="468"/>
        <v>18.56034</v>
      </c>
      <c r="CF55" s="3003">
        <f t="shared" si="468"/>
        <v>18.518000000000001</v>
      </c>
      <c r="CG55" s="3003">
        <f t="shared" si="468"/>
        <v>4.2339999999999996E-2</v>
      </c>
      <c r="CH55" s="3032">
        <f t="shared" si="468"/>
        <v>0.74</v>
      </c>
      <c r="CI55" s="3032">
        <f t="shared" si="468"/>
        <v>0.74</v>
      </c>
      <c r="CJ55" s="3032">
        <f t="shared" si="468"/>
        <v>0</v>
      </c>
      <c r="CK55" s="2919">
        <f t="shared" si="369"/>
        <v>13.168472289191197</v>
      </c>
      <c r="CL55" s="2919">
        <f t="shared" si="369"/>
        <v>13.238710006766048</v>
      </c>
      <c r="CM55" s="2919">
        <f t="shared" si="369"/>
        <v>-7.0237717574850006E-2</v>
      </c>
      <c r="CN55" s="2875">
        <f t="shared" si="469"/>
        <v>0.8986446184681337</v>
      </c>
      <c r="CO55" s="2875">
        <f>SUM('ПОЛНАЯ СЕБЕСТОИМОСТЬ СТОКИ 2021'!AP171)/3</f>
        <v>0.87988166553899205</v>
      </c>
      <c r="CP55" s="2875">
        <f>SUM('ПОЛНАЯ СЕБЕСТОИМОСТЬ СТОКИ 2021'!AQ171)/3</f>
        <v>1.8762952929141666E-2</v>
      </c>
      <c r="CQ55" s="2875">
        <f t="shared" si="470"/>
        <v>4.0293699999999992</v>
      </c>
      <c r="CR55" s="2875">
        <f>SUM('ПОЛНАЯ СЕБЕСТОИМОСТЬ СТОКИ 2021'!AS171)</f>
        <v>4.0199999999999996</v>
      </c>
      <c r="CS55" s="2875">
        <f>SUM('ПОЛНАЯ СЕБЕСТОИМОСТЬ СТОКИ 2021'!AT171)</f>
        <v>9.3699999999999999E-3</v>
      </c>
      <c r="CT55" s="2955">
        <f t="shared" si="551"/>
        <v>7.0000000000000007E-2</v>
      </c>
      <c r="CU55" s="2955">
        <v>7.0000000000000007E-2</v>
      </c>
      <c r="CV55" s="2955">
        <v>0</v>
      </c>
      <c r="CW55" s="2875">
        <f t="shared" si="472"/>
        <v>0.8986446184681337</v>
      </c>
      <c r="CX55" s="2875">
        <f t="shared" si="473"/>
        <v>0.87988166553899205</v>
      </c>
      <c r="CY55" s="2875">
        <f t="shared" si="474"/>
        <v>1.8762952929141666E-2</v>
      </c>
      <c r="CZ55" s="2875">
        <f t="shared" si="475"/>
        <v>4.3949999999999996</v>
      </c>
      <c r="DA55" s="2875">
        <f>SUM('ПОЛНАЯ СЕБЕСТОИМОСТЬ СТОКИ 2021'!AV171)</f>
        <v>4.383</v>
      </c>
      <c r="DB55" s="2875">
        <f>SUM('ПОЛНАЯ СЕБЕСТОИМОСТЬ СТОКИ 2021'!AW171)</f>
        <v>1.2E-2</v>
      </c>
      <c r="DC55" s="2955">
        <f t="shared" si="552"/>
        <v>0.03</v>
      </c>
      <c r="DD55" s="2955">
        <v>0.03</v>
      </c>
      <c r="DE55" s="2955">
        <v>0</v>
      </c>
      <c r="DF55" s="2875">
        <f t="shared" si="477"/>
        <v>0.8986446184681337</v>
      </c>
      <c r="DG55" s="2875">
        <f t="shared" si="478"/>
        <v>0.87988166553899205</v>
      </c>
      <c r="DH55" s="2875">
        <f t="shared" si="479"/>
        <v>1.8762952929141666E-2</v>
      </c>
      <c r="DI55" s="2875">
        <f t="shared" si="480"/>
        <v>5.1349400000000003</v>
      </c>
      <c r="DJ55" s="2875">
        <f>SUM('ПОЛНАЯ СЕБЕСТОИМОСТЬ СТОКИ 2021'!AY171)</f>
        <v>5.1219999999999999</v>
      </c>
      <c r="DK55" s="2875">
        <f>SUM('ПОЛНАЯ СЕБЕСТОИМОСТЬ СТОКИ 2021'!AZ171)</f>
        <v>1.294E-2</v>
      </c>
      <c r="DL55" s="2955">
        <f t="shared" si="553"/>
        <v>0.14000000000000001</v>
      </c>
      <c r="DM55" s="2955">
        <v>0.14000000000000001</v>
      </c>
      <c r="DN55" s="2955">
        <v>0</v>
      </c>
      <c r="DO55" s="3003">
        <v>0.01</v>
      </c>
      <c r="DP55" s="3003">
        <f t="shared" si="482"/>
        <v>2.6396449966169762</v>
      </c>
      <c r="DQ55" s="3003">
        <f t="shared" si="482"/>
        <v>5.6288858787424997E-2</v>
      </c>
      <c r="DR55" s="3003">
        <f t="shared" si="482"/>
        <v>13.55931</v>
      </c>
      <c r="DS55" s="3003">
        <f t="shared" si="482"/>
        <v>13.524999999999999</v>
      </c>
      <c r="DT55" s="3003">
        <f t="shared" si="482"/>
        <v>3.431E-2</v>
      </c>
      <c r="DU55" s="3003">
        <f t="shared" si="482"/>
        <v>0.24000000000000002</v>
      </c>
      <c r="DV55" s="3003">
        <f t="shared" si="482"/>
        <v>0.24000000000000002</v>
      </c>
      <c r="DW55" s="3003">
        <f t="shared" si="482"/>
        <v>0</v>
      </c>
      <c r="DX55" s="2919">
        <f t="shared" si="371"/>
        <v>13.54931</v>
      </c>
      <c r="DY55" s="2919">
        <f t="shared" si="371"/>
        <v>10.885355003383022</v>
      </c>
      <c r="DZ55" s="2919">
        <f t="shared" si="371"/>
        <v>-2.1978858787424997E-2</v>
      </c>
      <c r="EA55" s="3003">
        <f t="shared" si="483"/>
        <v>5.4018677108088022</v>
      </c>
      <c r="EB55" s="3003">
        <f t="shared" si="483"/>
        <v>7.9189349898509285</v>
      </c>
      <c r="EC55" s="3003">
        <f t="shared" si="483"/>
        <v>0.16886657636227498</v>
      </c>
      <c r="ED55" s="3003">
        <f t="shared" si="483"/>
        <v>32.11965</v>
      </c>
      <c r="EE55" s="3003">
        <f t="shared" si="483"/>
        <v>32.042999999999999</v>
      </c>
      <c r="EF55" s="3003">
        <f t="shared" si="483"/>
        <v>7.6649999999999996E-2</v>
      </c>
      <c r="EG55" s="3003">
        <f t="shared" si="483"/>
        <v>0.98</v>
      </c>
      <c r="EH55" s="3003">
        <f t="shared" si="483"/>
        <v>0.98</v>
      </c>
      <c r="EI55" s="3003">
        <f t="shared" si="483"/>
        <v>0</v>
      </c>
      <c r="EJ55" s="2919">
        <f t="shared" si="373"/>
        <v>26.717782289191199</v>
      </c>
      <c r="EK55" s="2919">
        <f t="shared" si="373"/>
        <v>24.124065010149071</v>
      </c>
      <c r="EL55" s="2919">
        <f t="shared" si="373"/>
        <v>-9.2216576362274982E-2</v>
      </c>
      <c r="EM55" s="2875">
        <f t="shared" ref="EM55:EM60" si="559">SUM(EN55:EO55)</f>
        <v>0.8986446184681337</v>
      </c>
      <c r="EN55" s="2875">
        <f>SUM('ПОЛНАЯ СЕБЕСТОИМОСТЬ СТОКИ 2021'!BN171)/3</f>
        <v>0.87988166553899205</v>
      </c>
      <c r="EO55" s="2875">
        <f>SUM('ПОЛНАЯ СЕБЕСТОИМОСТЬ СТОКИ 2021'!BO171)/3</f>
        <v>1.8762952929141666E-2</v>
      </c>
      <c r="EP55" s="2875">
        <f t="shared" si="485"/>
        <v>4.9033700000000007</v>
      </c>
      <c r="EQ55" s="2875">
        <f>SUM('ПОЛНАЯ СЕБЕСТОИМОСТЬ СТОКИ 2021'!BQ171)</f>
        <v>4.8890000000000002</v>
      </c>
      <c r="ER55" s="2875">
        <f>SUM('ПОЛНАЯ СЕБЕСТОИМОСТЬ СТОКИ 2021'!BR171)</f>
        <v>1.4370000000000001E-2</v>
      </c>
      <c r="ES55" s="2955">
        <f t="shared" si="554"/>
        <v>0.16</v>
      </c>
      <c r="ET55" s="2955">
        <v>0.16</v>
      </c>
      <c r="EU55" s="2955">
        <v>0</v>
      </c>
      <c r="EV55" s="2875">
        <f t="shared" si="487"/>
        <v>0.8986446184681337</v>
      </c>
      <c r="EW55" s="2875">
        <f t="shared" si="488"/>
        <v>0.87988166553899205</v>
      </c>
      <c r="EX55" s="2875">
        <f t="shared" si="489"/>
        <v>1.8762952929141666E-2</v>
      </c>
      <c r="EY55" s="2875">
        <f t="shared" si="490"/>
        <v>5.70052</v>
      </c>
      <c r="EZ55" s="2875">
        <f>SUM('ПОЛНАЯ СЕБЕСТОИМОСТЬ СТОКИ 2021'!BT171)</f>
        <v>5.6719999999999997</v>
      </c>
      <c r="FA55" s="2875">
        <f>SUM('ПОЛНАЯ СЕБЕСТОИМОСТЬ СТОКИ 2021'!BU171)</f>
        <v>2.852E-2</v>
      </c>
      <c r="FB55" s="2955">
        <f t="shared" si="555"/>
        <v>6.4000000000000001E-2</v>
      </c>
      <c r="FC55" s="2955">
        <v>6.4000000000000001E-2</v>
      </c>
      <c r="FD55" s="2955">
        <v>0</v>
      </c>
      <c r="FE55" s="2875">
        <f t="shared" si="492"/>
        <v>0.8986446184681337</v>
      </c>
      <c r="FF55" s="2875">
        <f t="shared" si="493"/>
        <v>0.87988166553899205</v>
      </c>
      <c r="FG55" s="2875">
        <f t="shared" si="494"/>
        <v>1.8762952929141666E-2</v>
      </c>
      <c r="FH55" s="2875">
        <f t="shared" si="495"/>
        <v>6.4009999999999998</v>
      </c>
      <c r="FI55" s="2875">
        <f>SUM('ПОЛНАЯ СЕБЕСТОИМОСТЬ СТОКИ 2021'!BW171)</f>
        <v>6.4009999999999998</v>
      </c>
      <c r="FJ55" s="2875">
        <f>SUM('ПОЛНАЯ СЕБЕСТОИМОСТЬ СТОКИ 2021'!BX171)</f>
        <v>0</v>
      </c>
      <c r="FK55" s="2955">
        <f t="shared" si="556"/>
        <v>0.13400000000000001</v>
      </c>
      <c r="FL55" s="2955">
        <v>0.13400000000000001</v>
      </c>
      <c r="FM55" s="2955">
        <v>0</v>
      </c>
      <c r="FN55" s="3003">
        <f t="shared" si="497"/>
        <v>2.6959338554044012</v>
      </c>
      <c r="FO55" s="3003">
        <f t="shared" si="497"/>
        <v>2.6396449966169762</v>
      </c>
      <c r="FP55" s="3003">
        <f t="shared" si="497"/>
        <v>5.6288858787424997E-2</v>
      </c>
      <c r="FQ55" s="3003">
        <f t="shared" si="497"/>
        <v>17.00489</v>
      </c>
      <c r="FR55" s="3003">
        <f t="shared" si="497"/>
        <v>16.962</v>
      </c>
      <c r="FS55" s="3003">
        <f t="shared" si="497"/>
        <v>4.2889999999999998E-2</v>
      </c>
      <c r="FT55" s="3003">
        <f t="shared" si="497"/>
        <v>0.35799999999999998</v>
      </c>
      <c r="FU55" s="3003">
        <f t="shared" si="497"/>
        <v>0.35799999999999998</v>
      </c>
      <c r="FV55" s="3003">
        <f t="shared" si="497"/>
        <v>0</v>
      </c>
      <c r="FW55" s="2919">
        <f t="shared" si="375"/>
        <v>14.308956144595598</v>
      </c>
      <c r="FX55" s="2919">
        <f t="shared" si="375"/>
        <v>14.322355003383024</v>
      </c>
      <c r="FY55" s="2919">
        <f t="shared" si="375"/>
        <v>-1.3398858787425E-2</v>
      </c>
      <c r="FZ55" s="3003">
        <f t="shared" si="498"/>
        <v>8.097801566213203</v>
      </c>
      <c r="GA55" s="3003">
        <f t="shared" si="498"/>
        <v>10.558579986467905</v>
      </c>
      <c r="GB55" s="3003">
        <f t="shared" si="498"/>
        <v>0.22515543514969999</v>
      </c>
      <c r="GC55" s="3003">
        <f t="shared" si="498"/>
        <v>49.124539999999996</v>
      </c>
      <c r="GD55" s="3003">
        <f t="shared" si="498"/>
        <v>49.004999999999995</v>
      </c>
      <c r="GE55" s="3003">
        <f t="shared" si="498"/>
        <v>0.11953999999999999</v>
      </c>
      <c r="GF55" s="3003">
        <f t="shared" si="498"/>
        <v>1.3380000000000001</v>
      </c>
      <c r="GG55" s="3003">
        <f t="shared" si="498"/>
        <v>1.3380000000000001</v>
      </c>
      <c r="GH55" s="3003">
        <f t="shared" si="498"/>
        <v>0</v>
      </c>
      <c r="GI55" s="2919">
        <f t="shared" si="377"/>
        <v>41.02673843378679</v>
      </c>
      <c r="GJ55" s="2919">
        <f t="shared" si="377"/>
        <v>38.446420013532091</v>
      </c>
      <c r="GK55" s="2919">
        <f t="shared" si="377"/>
        <v>-0.1056154351497</v>
      </c>
      <c r="GM55" s="4234"/>
    </row>
    <row r="56" spans="1:195" ht="18.75" customHeight="1" x14ac:dyDescent="0.3">
      <c r="A56" s="2879" t="s">
        <v>1546</v>
      </c>
      <c r="B56" s="2875">
        <f t="shared" si="440"/>
        <v>3.6734459502789587</v>
      </c>
      <c r="C56" s="2875">
        <f>SUM('ПОЛНАЯ СЕБЕСТОИМОСТЬ СТОКИ 2021'!C172)/3</f>
        <v>3.6529772743562585</v>
      </c>
      <c r="D56" s="2875">
        <f>SUM('ПОЛНАЯ СЕБЕСТОИМОСТЬ СТОКИ 2021'!D172)/3</f>
        <v>2.0468675922699998E-2</v>
      </c>
      <c r="E56" s="2875">
        <f t="shared" si="441"/>
        <v>9.0449999999999999</v>
      </c>
      <c r="F56" s="2875">
        <f>SUM('ПОЛНАЯ СЕБЕСТОИМОСТЬ СТОКИ 2021'!F172)</f>
        <v>9.0269999999999992</v>
      </c>
      <c r="G56" s="2875">
        <f>SUM('ПОЛНАЯ СЕБЕСТОИМОСТЬ СТОКИ 2021'!G172)</f>
        <v>1.7999999999999999E-2</v>
      </c>
      <c r="H56" s="2955">
        <f t="shared" si="499"/>
        <v>6.0609999999999999</v>
      </c>
      <c r="I56" s="2955">
        <v>6.05</v>
      </c>
      <c r="J56" s="2955">
        <v>1.0999999999999999E-2</v>
      </c>
      <c r="K56" s="2875">
        <f t="shared" si="557"/>
        <v>3.6734459502789587</v>
      </c>
      <c r="L56" s="2875">
        <f t="shared" si="444"/>
        <v>3.6529772743562585</v>
      </c>
      <c r="M56" s="2875">
        <f t="shared" si="445"/>
        <v>2.0468675922699998E-2</v>
      </c>
      <c r="N56" s="2875">
        <f t="shared" ref="N56:N60" si="560">SUM(O56:P56)</f>
        <v>10.077999999999999</v>
      </c>
      <c r="O56" s="2875">
        <f>SUM('ПОЛНАЯ СЕБЕСТОИМОСТЬ СТОКИ 2021'!I172)</f>
        <v>10.054</v>
      </c>
      <c r="P56" s="2875">
        <f>SUM('ПОЛНАЯ СЕБЕСТОИМОСТЬ СТОКИ 2021'!J172)</f>
        <v>2.4E-2</v>
      </c>
      <c r="Q56" s="2955">
        <f t="shared" si="546"/>
        <v>6.75</v>
      </c>
      <c r="R56" s="2955">
        <v>6.73</v>
      </c>
      <c r="S56" s="2955">
        <v>0.02</v>
      </c>
      <c r="T56" s="2875">
        <f t="shared" si="448"/>
        <v>3.6734459502789587</v>
      </c>
      <c r="U56" s="2875">
        <f t="shared" si="449"/>
        <v>3.6529772743562585</v>
      </c>
      <c r="V56" s="2875">
        <f t="shared" si="450"/>
        <v>2.0468675922699998E-2</v>
      </c>
      <c r="W56" s="2875">
        <f t="shared" ref="W56:W60" si="561">SUM(X56:Y56)</f>
        <v>7.0661399999999999</v>
      </c>
      <c r="X56" s="2875">
        <f>SUM('ПОЛНАЯ СЕБЕСТОИМОСТЬ СТОКИ 2021'!L172)</f>
        <v>7.0460000000000003</v>
      </c>
      <c r="Y56" s="2875">
        <f>SUM('ПОЛНАЯ СЕБЕСТОИМОСТЬ СТОКИ 2021'!M172)</f>
        <v>2.0140000000000002E-2</v>
      </c>
      <c r="Z56" s="2955">
        <f t="shared" si="547"/>
        <v>5.6899999999999995</v>
      </c>
      <c r="AA56" s="2955">
        <v>5.68</v>
      </c>
      <c r="AB56" s="2955">
        <v>0.01</v>
      </c>
      <c r="AC56" s="3003">
        <f t="shared" si="453"/>
        <v>11.020337850836876</v>
      </c>
      <c r="AD56" s="3003">
        <f t="shared" si="453"/>
        <v>10.958931823068776</v>
      </c>
      <c r="AE56" s="3003">
        <f t="shared" si="453"/>
        <v>6.1406027768099995E-2</v>
      </c>
      <c r="AF56" s="3003">
        <f t="shared" si="453"/>
        <v>26.189139999999998</v>
      </c>
      <c r="AG56" s="3003">
        <f t="shared" si="453"/>
        <v>26.126999999999999</v>
      </c>
      <c r="AH56" s="3003">
        <f t="shared" si="453"/>
        <v>6.2140000000000001E-2</v>
      </c>
      <c r="AI56" s="3003">
        <f t="shared" si="453"/>
        <v>18.500999999999998</v>
      </c>
      <c r="AJ56" s="3003">
        <f t="shared" si="453"/>
        <v>18.46</v>
      </c>
      <c r="AK56" s="3003">
        <f t="shared" si="453"/>
        <v>4.1000000000000002E-2</v>
      </c>
      <c r="AL56" s="2919">
        <f t="shared" si="365"/>
        <v>15.168802149163122</v>
      </c>
      <c r="AM56" s="2919">
        <f t="shared" si="365"/>
        <v>15.168068176931223</v>
      </c>
      <c r="AN56" s="2919">
        <f t="shared" si="365"/>
        <v>7.3397223190000555E-4</v>
      </c>
      <c r="AO56" s="2875">
        <f t="shared" ref="AO56:AO60" si="562">SUM(AP56:AQ56)</f>
        <v>3.6734459502789587</v>
      </c>
      <c r="AP56" s="2875">
        <f>SUM('ПОЛНАЯ СЕБЕСТОИМОСТЬ СТОКИ 2021'!R172)/3</f>
        <v>3.6529772743562585</v>
      </c>
      <c r="AQ56" s="2875">
        <f>SUM('ПОЛНАЯ СЕБЕСТОИМОСТЬ СТОКИ 2021'!S172)/3</f>
        <v>2.0468675922699998E-2</v>
      </c>
      <c r="AR56" s="2875">
        <f t="shared" si="455"/>
        <v>4.5320999999999998</v>
      </c>
      <c r="AS56" s="2875">
        <f>SUM('ПОЛНАЯ СЕБЕСТОИМОСТЬ СТОКИ 2021'!U172)</f>
        <v>4.5199999999999996</v>
      </c>
      <c r="AT56" s="2875">
        <f>SUM('ПОЛНАЯ СЕБЕСТОИМОСТЬ СТОКИ 2021'!V172)</f>
        <v>1.21E-2</v>
      </c>
      <c r="AU56" s="2955">
        <f t="shared" si="548"/>
        <v>5.577</v>
      </c>
      <c r="AV56" s="2955">
        <v>5.56</v>
      </c>
      <c r="AW56" s="2955">
        <v>1.7000000000000001E-2</v>
      </c>
      <c r="AX56" s="2875">
        <f t="shared" ref="AX56:AX60" si="563">SUM(AY56:AZ56)</f>
        <v>3.6734459502789587</v>
      </c>
      <c r="AY56" s="2875">
        <f t="shared" si="458"/>
        <v>3.6529772743562585</v>
      </c>
      <c r="AZ56" s="2875">
        <f t="shared" si="459"/>
        <v>2.0468675922699998E-2</v>
      </c>
      <c r="BA56" s="2951">
        <f t="shared" si="460"/>
        <v>1.9744999999999999</v>
      </c>
      <c r="BB56" s="2951">
        <f>SUM('ПОЛНАЯ СЕБЕСТОИМОСТЬ СТОКИ 2021'!X172)</f>
        <v>1.97</v>
      </c>
      <c r="BC56" s="2951">
        <f>SUM('ПОЛНАЯ СЕБЕСТОИМОСТЬ СТОКИ 2021'!Y172)</f>
        <v>4.4999999999999997E-3</v>
      </c>
      <c r="BD56" s="2955">
        <f t="shared" si="549"/>
        <v>1.1829999999999998</v>
      </c>
      <c r="BE56" s="2955">
        <v>1.18</v>
      </c>
      <c r="BF56" s="2955">
        <v>3.0000000000000001E-3</v>
      </c>
      <c r="BG56" s="2875">
        <f t="shared" si="462"/>
        <v>3.6734459502789587</v>
      </c>
      <c r="BH56" s="2875">
        <f t="shared" si="463"/>
        <v>3.6529772743562585</v>
      </c>
      <c r="BI56" s="2875">
        <f t="shared" si="464"/>
        <v>2.0468675922699998E-2</v>
      </c>
      <c r="BJ56" s="2875">
        <f t="shared" si="558"/>
        <v>0</v>
      </c>
      <c r="BK56" s="2875">
        <f>SUM('ПОЛНАЯ СЕБЕСТОИМОСТЬ СТОКИ 2021'!AA172)</f>
        <v>0</v>
      </c>
      <c r="BL56" s="2875">
        <f>SUM('ПОЛНАЯ СЕБЕСТОИМОСТЬ СТОКИ 2021'!AB172)</f>
        <v>0</v>
      </c>
      <c r="BM56" s="2955">
        <f t="shared" si="550"/>
        <v>0</v>
      </c>
      <c r="BN56" s="2955">
        <v>0</v>
      </c>
      <c r="BO56" s="2955">
        <v>0</v>
      </c>
      <c r="BP56" s="3003">
        <f t="shared" si="467"/>
        <v>11.020337850836876</v>
      </c>
      <c r="BQ56" s="3003">
        <f t="shared" si="467"/>
        <v>10.958931823068776</v>
      </c>
      <c r="BR56" s="3003">
        <f t="shared" si="467"/>
        <v>6.1406027768099995E-2</v>
      </c>
      <c r="BS56" s="3003">
        <f t="shared" si="467"/>
        <v>6.5065999999999997</v>
      </c>
      <c r="BT56" s="3003">
        <f t="shared" si="467"/>
        <v>6.4899999999999993</v>
      </c>
      <c r="BU56" s="3003">
        <f t="shared" si="467"/>
        <v>1.66E-2</v>
      </c>
      <c r="BV56" s="3003">
        <f t="shared" si="467"/>
        <v>6.76</v>
      </c>
      <c r="BW56" s="3003">
        <f t="shared" si="467"/>
        <v>6.7399999999999993</v>
      </c>
      <c r="BX56" s="3003">
        <f t="shared" si="467"/>
        <v>0.02</v>
      </c>
      <c r="BY56" s="2919">
        <f t="shared" si="367"/>
        <v>-4.5137378508368764</v>
      </c>
      <c r="BZ56" s="2919">
        <f t="shared" si="367"/>
        <v>-4.4689318230687762</v>
      </c>
      <c r="CA56" s="2919">
        <f t="shared" si="367"/>
        <v>-4.4806027768099999E-2</v>
      </c>
      <c r="CB56" s="3003">
        <f t="shared" si="468"/>
        <v>22.040675701673752</v>
      </c>
      <c r="CC56" s="3003">
        <f t="shared" si="468"/>
        <v>21.917863646137551</v>
      </c>
      <c r="CD56" s="3003">
        <f t="shared" si="468"/>
        <v>0.12281205553619999</v>
      </c>
      <c r="CE56" s="3003">
        <f t="shared" si="468"/>
        <v>32.695740000000001</v>
      </c>
      <c r="CF56" s="3003">
        <f t="shared" si="468"/>
        <v>32.616999999999997</v>
      </c>
      <c r="CG56" s="3003">
        <f t="shared" si="468"/>
        <v>7.8740000000000004E-2</v>
      </c>
      <c r="CH56" s="3032">
        <f t="shared" si="468"/>
        <v>25.260999999999996</v>
      </c>
      <c r="CI56" s="3032">
        <f t="shared" si="468"/>
        <v>25.2</v>
      </c>
      <c r="CJ56" s="3032">
        <f t="shared" si="468"/>
        <v>6.0999999999999999E-2</v>
      </c>
      <c r="CK56" s="2919">
        <f t="shared" si="369"/>
        <v>10.655064298326248</v>
      </c>
      <c r="CL56" s="2919">
        <f t="shared" si="369"/>
        <v>10.699136353862446</v>
      </c>
      <c r="CM56" s="2919">
        <f t="shared" si="369"/>
        <v>-4.4072055536199986E-2</v>
      </c>
      <c r="CN56" s="2875">
        <f t="shared" si="469"/>
        <v>3.6734459502789587</v>
      </c>
      <c r="CO56" s="2875">
        <f>SUM('ПОЛНАЯ СЕБЕСТОИМОСТЬ СТОКИ 2021'!AP172)/3</f>
        <v>3.6529772743562585</v>
      </c>
      <c r="CP56" s="2875">
        <f>SUM('ПОЛНАЯ СЕБЕСТОИМОСТЬ СТОКИ 2021'!AQ172)/3</f>
        <v>2.0468675922699998E-2</v>
      </c>
      <c r="CQ56" s="2875">
        <f t="shared" si="470"/>
        <v>0</v>
      </c>
      <c r="CR56" s="2875">
        <f>SUM('ПОЛНАЯ СЕБЕСТОИМОСТЬ СТОКИ 2021'!AS172)</f>
        <v>0</v>
      </c>
      <c r="CS56" s="2875">
        <f>SUM('ПОЛНАЯ СЕБЕСТОИМОСТЬ СТОКИ 2021'!AT172)</f>
        <v>0</v>
      </c>
      <c r="CT56" s="2955">
        <f t="shared" si="551"/>
        <v>0</v>
      </c>
      <c r="CU56" s="2955">
        <v>0</v>
      </c>
      <c r="CV56" s="2955">
        <v>0</v>
      </c>
      <c r="CW56" s="2875">
        <f t="shared" si="472"/>
        <v>3.6734459502789587</v>
      </c>
      <c r="CX56" s="2875">
        <f t="shared" si="473"/>
        <v>3.6529772743562585</v>
      </c>
      <c r="CY56" s="2875">
        <f t="shared" si="474"/>
        <v>2.0468675922699998E-2</v>
      </c>
      <c r="CZ56" s="2875">
        <f t="shared" si="475"/>
        <v>0</v>
      </c>
      <c r="DA56" s="2875">
        <f>SUM('ПОЛНАЯ СЕБЕСТОИМОСТЬ СТОКИ 2021'!AV172)</f>
        <v>0</v>
      </c>
      <c r="DB56" s="2875">
        <f>SUM('ПОЛНАЯ СЕБЕСТОИМОСТЬ СТОКИ 2021'!AW172)</f>
        <v>0</v>
      </c>
      <c r="DC56" s="2955">
        <f t="shared" si="552"/>
        <v>0</v>
      </c>
      <c r="DD56" s="2955">
        <v>0</v>
      </c>
      <c r="DE56" s="2955">
        <v>0</v>
      </c>
      <c r="DF56" s="2875">
        <f t="shared" si="477"/>
        <v>3.6734459502789587</v>
      </c>
      <c r="DG56" s="2875">
        <f t="shared" si="478"/>
        <v>3.6529772743562585</v>
      </c>
      <c r="DH56" s="2875">
        <f t="shared" si="479"/>
        <v>2.0468675922699998E-2</v>
      </c>
      <c r="DI56" s="2875">
        <f t="shared" ref="DI56:DI60" si="564">SUM(DJ56:DK56)</f>
        <v>2.8190999999999997</v>
      </c>
      <c r="DJ56" s="2875">
        <f>SUM('ПОЛНАЯ СЕБЕСТОИМОСТЬ СТОКИ 2021'!AY172)</f>
        <v>2.8119999999999998</v>
      </c>
      <c r="DK56" s="2875">
        <f>SUM('ПОЛНАЯ СЕБЕСТОИМОСТЬ СТОКИ 2021'!AZ172)</f>
        <v>7.1000000000000004E-3</v>
      </c>
      <c r="DL56" s="2955">
        <f t="shared" si="553"/>
        <v>1.41</v>
      </c>
      <c r="DM56" s="2955">
        <v>1.41</v>
      </c>
      <c r="DN56" s="2955">
        <v>0</v>
      </c>
      <c r="DO56" s="3003">
        <f t="shared" si="482"/>
        <v>11.020337850836876</v>
      </c>
      <c r="DP56" s="3003">
        <f t="shared" si="482"/>
        <v>10.958931823068776</v>
      </c>
      <c r="DQ56" s="3003">
        <f t="shared" si="482"/>
        <v>6.1406027768099995E-2</v>
      </c>
      <c r="DR56" s="3003">
        <f t="shared" si="482"/>
        <v>2.8190999999999997</v>
      </c>
      <c r="DS56" s="3003">
        <f t="shared" si="482"/>
        <v>2.8119999999999998</v>
      </c>
      <c r="DT56" s="3003">
        <f t="shared" si="482"/>
        <v>7.1000000000000004E-3</v>
      </c>
      <c r="DU56" s="3003">
        <f t="shared" si="482"/>
        <v>1.41</v>
      </c>
      <c r="DV56" s="3003">
        <f t="shared" si="482"/>
        <v>1.41</v>
      </c>
      <c r="DW56" s="3003">
        <f t="shared" si="482"/>
        <v>0</v>
      </c>
      <c r="DX56" s="2919">
        <f t="shared" si="371"/>
        <v>-8.2012378508368755</v>
      </c>
      <c r="DY56" s="2919">
        <f t="shared" si="371"/>
        <v>-8.1469318230687762</v>
      </c>
      <c r="DZ56" s="2919">
        <f t="shared" si="371"/>
        <v>-5.4306027768099993E-2</v>
      </c>
      <c r="EA56" s="3003">
        <f t="shared" si="483"/>
        <v>33.06101355251063</v>
      </c>
      <c r="EB56" s="3003">
        <f t="shared" si="483"/>
        <v>32.876795469206328</v>
      </c>
      <c r="EC56" s="3003">
        <f t="shared" si="483"/>
        <v>0.18421808330429998</v>
      </c>
      <c r="ED56" s="3003">
        <f t="shared" si="483"/>
        <v>35.51484</v>
      </c>
      <c r="EE56" s="3003">
        <f t="shared" si="483"/>
        <v>35.428999999999995</v>
      </c>
      <c r="EF56" s="3003">
        <f t="shared" si="483"/>
        <v>8.584E-2</v>
      </c>
      <c r="EG56" s="3003">
        <f t="shared" si="483"/>
        <v>26.670999999999996</v>
      </c>
      <c r="EH56" s="3003">
        <f t="shared" si="483"/>
        <v>26.61</v>
      </c>
      <c r="EI56" s="3003">
        <f t="shared" si="483"/>
        <v>6.0999999999999999E-2</v>
      </c>
      <c r="EJ56" s="2919">
        <f t="shared" si="373"/>
        <v>2.4538264474893694</v>
      </c>
      <c r="EK56" s="2919">
        <f t="shared" si="373"/>
        <v>2.5522045307936665</v>
      </c>
      <c r="EL56" s="2919">
        <f t="shared" si="373"/>
        <v>-9.8378083304299979E-2</v>
      </c>
      <c r="EM56" s="2875">
        <f t="shared" si="559"/>
        <v>3.6734459502789587</v>
      </c>
      <c r="EN56" s="2875">
        <f>SUM('ПОЛНАЯ СЕБЕСТОИМОСТЬ СТОКИ 2021'!BN172)/3</f>
        <v>3.6529772743562585</v>
      </c>
      <c r="EO56" s="2875">
        <f>SUM('ПОЛНАЯ СЕБЕСТОИМОСТЬ СТОКИ 2021'!BO172)/3</f>
        <v>2.0468675922699998E-2</v>
      </c>
      <c r="EP56" s="2875">
        <f t="shared" si="485"/>
        <v>4.0217900000000002</v>
      </c>
      <c r="EQ56" s="2875">
        <f>SUM('ПОЛНАЯ СЕБЕСТОИМОСТЬ СТОКИ 2021'!BQ172)</f>
        <v>4.01</v>
      </c>
      <c r="ER56" s="2875">
        <f>SUM('ПОЛНАЯ СЕБЕСТОИМОСТЬ СТОКИ 2021'!BR172)</f>
        <v>1.179E-2</v>
      </c>
      <c r="ES56" s="2955">
        <f t="shared" si="554"/>
        <v>4.33</v>
      </c>
      <c r="ET56" s="2955">
        <v>4.32</v>
      </c>
      <c r="EU56" s="2955">
        <v>0.01</v>
      </c>
      <c r="EV56" s="2875">
        <f t="shared" si="487"/>
        <v>3.6734459502789587</v>
      </c>
      <c r="EW56" s="2875">
        <f t="shared" si="488"/>
        <v>3.6529772743562585</v>
      </c>
      <c r="EX56" s="2875">
        <f t="shared" si="489"/>
        <v>2.0468675922699998E-2</v>
      </c>
      <c r="EY56" s="2875">
        <f t="shared" si="490"/>
        <v>5.7091000000000003</v>
      </c>
      <c r="EZ56" s="2875">
        <f>SUM('ПОЛНАЯ СЕБЕСТОИМОСТЬ СТОКИ 2021'!BT172)</f>
        <v>5.6950000000000003</v>
      </c>
      <c r="FA56" s="2875">
        <f>SUM('ПОЛНАЯ СЕБЕСТОИМОСТЬ СТОКИ 2021'!BU172)</f>
        <v>1.41E-2</v>
      </c>
      <c r="FB56" s="2955">
        <f t="shared" si="555"/>
        <v>5.6949999999999994</v>
      </c>
      <c r="FC56" s="2955">
        <v>5.68</v>
      </c>
      <c r="FD56" s="2955">
        <v>1.4999999999999999E-2</v>
      </c>
      <c r="FE56" s="2875">
        <f t="shared" ref="FE56:FE60" si="565">SUM(FF56:FG56)</f>
        <v>3.6734459502789587</v>
      </c>
      <c r="FF56" s="2875">
        <f t="shared" si="493"/>
        <v>3.6529772743562585</v>
      </c>
      <c r="FG56" s="2875">
        <f t="shared" si="494"/>
        <v>2.0468675922699998E-2</v>
      </c>
      <c r="FH56" s="2875">
        <f t="shared" si="495"/>
        <v>7.07646</v>
      </c>
      <c r="FI56" s="2875">
        <f>SUM('ПОЛНАЯ СЕБЕСТОИМОСТЬ СТОКИ 2021'!BW172)</f>
        <v>7.06</v>
      </c>
      <c r="FJ56" s="2875">
        <f>SUM('ПОЛНАЯ СЕБЕСТОИМОСТЬ СТОКИ 2021'!BX172)</f>
        <v>1.6459999999999999E-2</v>
      </c>
      <c r="FK56" s="2955">
        <f t="shared" si="556"/>
        <v>7.43</v>
      </c>
      <c r="FL56" s="2955">
        <v>7.41</v>
      </c>
      <c r="FM56" s="2955">
        <v>0.02</v>
      </c>
      <c r="FN56" s="3003">
        <f t="shared" si="497"/>
        <v>11.020337850836876</v>
      </c>
      <c r="FO56" s="3003">
        <f t="shared" si="497"/>
        <v>10.958931823068776</v>
      </c>
      <c r="FP56" s="3003">
        <f t="shared" si="497"/>
        <v>6.1406027768099995E-2</v>
      </c>
      <c r="FQ56" s="3003">
        <f t="shared" si="497"/>
        <v>16.80735</v>
      </c>
      <c r="FR56" s="3003">
        <f t="shared" si="497"/>
        <v>16.765000000000001</v>
      </c>
      <c r="FS56" s="3003">
        <f t="shared" si="497"/>
        <v>4.2349999999999999E-2</v>
      </c>
      <c r="FT56" s="3003">
        <f t="shared" si="497"/>
        <v>17.454999999999998</v>
      </c>
      <c r="FU56" s="3003">
        <f t="shared" si="497"/>
        <v>17.41</v>
      </c>
      <c r="FV56" s="3003">
        <f t="shared" si="497"/>
        <v>4.4999999999999998E-2</v>
      </c>
      <c r="FW56" s="2919">
        <f t="shared" si="375"/>
        <v>5.7870121491631235</v>
      </c>
      <c r="FX56" s="2919">
        <f t="shared" si="375"/>
        <v>5.806068176931225</v>
      </c>
      <c r="FY56" s="2919">
        <f t="shared" si="375"/>
        <v>-1.9056027768099996E-2</v>
      </c>
      <c r="FZ56" s="3003">
        <f t="shared" si="498"/>
        <v>44.081351403347504</v>
      </c>
      <c r="GA56" s="3003">
        <f t="shared" si="498"/>
        <v>43.835727292275102</v>
      </c>
      <c r="GB56" s="3003">
        <f t="shared" si="498"/>
        <v>0.24562411107239998</v>
      </c>
      <c r="GC56" s="3003">
        <f t="shared" si="498"/>
        <v>52.322189999999999</v>
      </c>
      <c r="GD56" s="3003">
        <f t="shared" si="498"/>
        <v>52.193999999999996</v>
      </c>
      <c r="GE56" s="3003">
        <f t="shared" si="498"/>
        <v>0.12819</v>
      </c>
      <c r="GF56" s="3003">
        <f t="shared" si="498"/>
        <v>44.125999999999991</v>
      </c>
      <c r="GG56" s="3003">
        <f t="shared" si="498"/>
        <v>44.019999999999996</v>
      </c>
      <c r="GH56" s="3003">
        <f t="shared" si="498"/>
        <v>0.106</v>
      </c>
      <c r="GI56" s="2919">
        <f t="shared" si="377"/>
        <v>8.2408385966524946</v>
      </c>
      <c r="GJ56" s="2919">
        <f t="shared" si="377"/>
        <v>8.3582727077248933</v>
      </c>
      <c r="GK56" s="2919">
        <f t="shared" si="377"/>
        <v>-0.11743411107239998</v>
      </c>
      <c r="GM56" s="4234"/>
    </row>
    <row r="57" spans="1:195" ht="18.75" customHeight="1" x14ac:dyDescent="0.3">
      <c r="A57" s="2879" t="s">
        <v>275</v>
      </c>
      <c r="B57" s="2875">
        <f t="shared" si="440"/>
        <v>4.350950168206821</v>
      </c>
      <c r="C57" s="2875">
        <f>SUM('ПОЛНАЯ СЕБЕСТОИМОСТЬ СТОКИ 2021'!C173)/3</f>
        <v>4.3151299853420957</v>
      </c>
      <c r="D57" s="2875">
        <f>SUM('ПОЛНАЯ СЕБЕСТОИМОСТЬ СТОКИ 2021'!D173)/3</f>
        <v>3.5820182864724999E-2</v>
      </c>
      <c r="E57" s="2875">
        <f t="shared" si="441"/>
        <v>6.2749999999999995</v>
      </c>
      <c r="F57" s="2875">
        <f>SUM('ПОЛНАЯ СЕБЕСТОИМОСТЬ СТОКИ 2021'!F173)</f>
        <v>6.2629999999999999</v>
      </c>
      <c r="G57" s="2875">
        <f>SUM('ПОЛНАЯ СЕБЕСТОИМОСТЬ СТОКИ 2021'!G173)</f>
        <v>1.2E-2</v>
      </c>
      <c r="H57" s="2955">
        <f t="shared" si="499"/>
        <v>5.8708999999999998</v>
      </c>
      <c r="I57" s="2955">
        <v>5.859</v>
      </c>
      <c r="J57" s="2955">
        <v>1.1900000000000001E-2</v>
      </c>
      <c r="K57" s="2875">
        <f t="shared" si="557"/>
        <v>4.350950168206821</v>
      </c>
      <c r="L57" s="2875">
        <f t="shared" si="444"/>
        <v>4.3151299853420957</v>
      </c>
      <c r="M57" s="2875">
        <f t="shared" si="445"/>
        <v>3.5820182864724999E-2</v>
      </c>
      <c r="N57" s="2875">
        <f t="shared" si="560"/>
        <v>6.3679999999999994</v>
      </c>
      <c r="O57" s="2875">
        <f>SUM('ПОЛНАЯ СЕБЕСТОИМОСТЬ СТОКИ 2021'!I173)</f>
        <v>6.3529999999999998</v>
      </c>
      <c r="P57" s="2875">
        <f>SUM('ПОЛНАЯ СЕБЕСТОИМОСТЬ СТОКИ 2021'!J173)</f>
        <v>1.4999999999999999E-2</v>
      </c>
      <c r="Q57" s="2955">
        <f t="shared" si="546"/>
        <v>5.9939999999999998</v>
      </c>
      <c r="R57" s="2955">
        <v>5.9749999999999996</v>
      </c>
      <c r="S57" s="2955">
        <v>1.9E-2</v>
      </c>
      <c r="T57" s="2875">
        <f t="shared" ref="T57:T60" si="566">SUM(U57:V57)</f>
        <v>4.350950168206821</v>
      </c>
      <c r="U57" s="2875">
        <f t="shared" si="449"/>
        <v>4.3151299853420957</v>
      </c>
      <c r="V57" s="2875">
        <f t="shared" si="450"/>
        <v>3.5820182864724999E-2</v>
      </c>
      <c r="W57" s="2875">
        <f t="shared" si="561"/>
        <v>6.3464</v>
      </c>
      <c r="X57" s="2875">
        <f>SUM('ПОЛНАЯ СЕБЕСТОИМОСТЬ СТОКИ 2021'!L173)</f>
        <v>6.17</v>
      </c>
      <c r="Y57" s="2875">
        <f>SUM('ПОЛНАЯ СЕБЕСТОИМОСТЬ СТОКИ 2021'!M173)</f>
        <v>0.1764</v>
      </c>
      <c r="Z57" s="2955">
        <f t="shared" si="547"/>
        <v>6.4049999999999994</v>
      </c>
      <c r="AA57" s="2955">
        <v>6.3849999999999998</v>
      </c>
      <c r="AB57" s="2955">
        <v>0.02</v>
      </c>
      <c r="AC57" s="3003">
        <f t="shared" si="453"/>
        <v>13.052850504620462</v>
      </c>
      <c r="AD57" s="3003">
        <f t="shared" si="453"/>
        <v>12.945389956026286</v>
      </c>
      <c r="AE57" s="3003">
        <f t="shared" si="453"/>
        <v>0.107460548594175</v>
      </c>
      <c r="AF57" s="3003">
        <f t="shared" si="453"/>
        <v>18.9894</v>
      </c>
      <c r="AG57" s="3003">
        <f t="shared" si="453"/>
        <v>18.786000000000001</v>
      </c>
      <c r="AH57" s="3003">
        <f t="shared" si="453"/>
        <v>0.2034</v>
      </c>
      <c r="AI57" s="3003">
        <f t="shared" si="453"/>
        <v>18.2699</v>
      </c>
      <c r="AJ57" s="3003">
        <f t="shared" si="453"/>
        <v>18.219000000000001</v>
      </c>
      <c r="AK57" s="3003">
        <f t="shared" si="453"/>
        <v>5.0900000000000001E-2</v>
      </c>
      <c r="AL57" s="2919">
        <f t="shared" si="365"/>
        <v>5.9365494953795377</v>
      </c>
      <c r="AM57" s="2919">
        <f t="shared" si="365"/>
        <v>5.8406100439737152</v>
      </c>
      <c r="AN57" s="2919">
        <f t="shared" si="365"/>
        <v>9.5939451405824994E-2</v>
      </c>
      <c r="AO57" s="2875">
        <f t="shared" si="562"/>
        <v>4.350950168206821</v>
      </c>
      <c r="AP57" s="2875">
        <f>SUM('ПОЛНАЯ СЕБЕСТОИМОСТЬ СТОКИ 2021'!R173)/3</f>
        <v>4.3151299853420957</v>
      </c>
      <c r="AQ57" s="2875">
        <f>SUM('ПОЛНАЯ СЕБЕСТОИМОСТЬ СТОКИ 2021'!S173)/3</f>
        <v>3.5820182864724999E-2</v>
      </c>
      <c r="AR57" s="2875">
        <f t="shared" si="455"/>
        <v>6.7356999999999996</v>
      </c>
      <c r="AS57" s="2875">
        <f>SUM('ПОЛНАЯ СЕБЕСТОИМОСТЬ СТОКИ 2021'!U173)</f>
        <v>6.56</v>
      </c>
      <c r="AT57" s="2875">
        <f>SUM('ПОЛНАЯ СЕБЕСТОИМОСТЬ СТОКИ 2021'!V173)</f>
        <v>0.1757</v>
      </c>
      <c r="AU57" s="2955">
        <f t="shared" si="548"/>
        <v>6.4899999999999993</v>
      </c>
      <c r="AV57" s="2955">
        <v>6.47</v>
      </c>
      <c r="AW57" s="2955">
        <v>0.02</v>
      </c>
      <c r="AX57" s="2875">
        <f t="shared" si="563"/>
        <v>4.350950168206821</v>
      </c>
      <c r="AY57" s="2875">
        <f t="shared" si="458"/>
        <v>4.3151299853420957</v>
      </c>
      <c r="AZ57" s="2875">
        <f t="shared" si="459"/>
        <v>3.5820182864724999E-2</v>
      </c>
      <c r="BA57" s="2951">
        <f t="shared" ref="BA57:BA60" si="567">SUM(BB57:BC57)</f>
        <v>6.4147300000000005</v>
      </c>
      <c r="BB57" s="2951">
        <f>SUM('ПОЛНАЯ СЕБЕСТОИМОСТЬ СТОКИ 2021'!X173)</f>
        <v>6.4</v>
      </c>
      <c r="BC57" s="2951">
        <f>SUM('ПОЛНАЯ СЕБЕСТОИМОСТЬ СТОКИ 2021'!Y173)</f>
        <v>1.473E-2</v>
      </c>
      <c r="BD57" s="2955">
        <f t="shared" si="549"/>
        <v>6.0949999999999998</v>
      </c>
      <c r="BE57" s="2955">
        <v>6.08</v>
      </c>
      <c r="BF57" s="2955">
        <v>1.4999999999999999E-2</v>
      </c>
      <c r="BG57" s="2875">
        <f t="shared" ref="BG57:BG60" si="568">SUM(BH57:BI57)</f>
        <v>4.350950168206821</v>
      </c>
      <c r="BH57" s="2875">
        <f t="shared" si="463"/>
        <v>4.3151299853420957</v>
      </c>
      <c r="BI57" s="2875">
        <f t="shared" si="464"/>
        <v>3.5820182864724999E-2</v>
      </c>
      <c r="BJ57" s="2875">
        <f t="shared" si="558"/>
        <v>5.7505999999999995</v>
      </c>
      <c r="BK57" s="2875">
        <f>SUM('ПОЛНАЯ СЕБЕСТОИМОСТЬ СТОКИ 2021'!AA173)</f>
        <v>5.7439999999999998</v>
      </c>
      <c r="BL57" s="2875">
        <f>SUM('ПОЛНАЯ СЕБЕСТОИМОСТЬ СТОКИ 2021'!AB173)</f>
        <v>6.6E-3</v>
      </c>
      <c r="BM57" s="2955">
        <f t="shared" si="550"/>
        <v>6.18</v>
      </c>
      <c r="BN57" s="2955">
        <v>6.16</v>
      </c>
      <c r="BO57" s="2955">
        <v>0.02</v>
      </c>
      <c r="BP57" s="3003">
        <f t="shared" si="467"/>
        <v>13.052850504620462</v>
      </c>
      <c r="BQ57" s="3003">
        <f t="shared" si="467"/>
        <v>12.945389956026286</v>
      </c>
      <c r="BR57" s="3003">
        <f t="shared" si="467"/>
        <v>0.107460548594175</v>
      </c>
      <c r="BS57" s="3003">
        <f t="shared" si="467"/>
        <v>18.901029999999999</v>
      </c>
      <c r="BT57" s="3003">
        <f t="shared" si="467"/>
        <v>18.704000000000001</v>
      </c>
      <c r="BU57" s="3003">
        <f t="shared" si="467"/>
        <v>0.19702999999999998</v>
      </c>
      <c r="BV57" s="3003">
        <f t="shared" si="467"/>
        <v>18.765000000000001</v>
      </c>
      <c r="BW57" s="3003">
        <f t="shared" si="467"/>
        <v>18.71</v>
      </c>
      <c r="BX57" s="3003">
        <f t="shared" si="467"/>
        <v>5.5000000000000007E-2</v>
      </c>
      <c r="BY57" s="2919">
        <f t="shared" si="367"/>
        <v>5.8481794953795365</v>
      </c>
      <c r="BZ57" s="2919">
        <f t="shared" si="367"/>
        <v>5.7586100439737145</v>
      </c>
      <c r="CA57" s="2919">
        <f t="shared" si="367"/>
        <v>8.9569451405824979E-2</v>
      </c>
      <c r="CB57" s="3003">
        <f t="shared" si="468"/>
        <v>26.105701009240924</v>
      </c>
      <c r="CC57" s="3003">
        <f t="shared" si="468"/>
        <v>25.890779912052572</v>
      </c>
      <c r="CD57" s="3003">
        <f t="shared" si="468"/>
        <v>0.21492109718835001</v>
      </c>
      <c r="CE57" s="3003">
        <f t="shared" si="468"/>
        <v>37.890429999999995</v>
      </c>
      <c r="CF57" s="3003">
        <f t="shared" si="468"/>
        <v>37.49</v>
      </c>
      <c r="CG57" s="3003">
        <f t="shared" si="468"/>
        <v>0.40042999999999995</v>
      </c>
      <c r="CH57" s="3032">
        <f t="shared" si="468"/>
        <v>37.0349</v>
      </c>
      <c r="CI57" s="3032">
        <f t="shared" si="468"/>
        <v>36.929000000000002</v>
      </c>
      <c r="CJ57" s="3032">
        <f t="shared" si="468"/>
        <v>0.10590000000000001</v>
      </c>
      <c r="CK57" s="2919">
        <f t="shared" si="369"/>
        <v>11.784728990759071</v>
      </c>
      <c r="CL57" s="2919">
        <f t="shared" si="369"/>
        <v>11.59922008794743</v>
      </c>
      <c r="CM57" s="2919">
        <f t="shared" si="369"/>
        <v>0.18550890281164994</v>
      </c>
      <c r="CN57" s="2875">
        <f t="shared" si="469"/>
        <v>4.350950168206821</v>
      </c>
      <c r="CO57" s="2875">
        <f>SUM('ПОЛНАЯ СЕБЕСТОИМОСТЬ СТОКИ 2021'!AP173)/3</f>
        <v>4.3151299853420957</v>
      </c>
      <c r="CP57" s="2875">
        <f>SUM('ПОЛНАЯ СЕБЕСТОИМОСТЬ СТОКИ 2021'!AQ173)/3</f>
        <v>3.5820182864724999E-2</v>
      </c>
      <c r="CQ57" s="2875">
        <f t="shared" si="470"/>
        <v>6.0540000000000003</v>
      </c>
      <c r="CR57" s="2875">
        <f>SUM('ПОЛНАЯ СЕБЕСТОИМОСТЬ СТОКИ 2021'!AS173)</f>
        <v>6.04</v>
      </c>
      <c r="CS57" s="2875">
        <f>SUM('ПОЛНАЯ СЕБЕСТОИМОСТЬ СТОКИ 2021'!AT173)</f>
        <v>1.4E-2</v>
      </c>
      <c r="CT57" s="2955">
        <f t="shared" si="551"/>
        <v>5.6400000000000006</v>
      </c>
      <c r="CU57" s="2955">
        <v>5.61</v>
      </c>
      <c r="CV57" s="2955">
        <v>0.03</v>
      </c>
      <c r="CW57" s="2875">
        <f t="shared" ref="CW57:CW60" si="569">SUM(CX57:CY57)</f>
        <v>4.350950168206821</v>
      </c>
      <c r="CX57" s="2875">
        <f t="shared" si="473"/>
        <v>4.3151299853420957</v>
      </c>
      <c r="CY57" s="2875">
        <f t="shared" si="474"/>
        <v>3.5820182864724999E-2</v>
      </c>
      <c r="CZ57" s="2875">
        <f t="shared" si="475"/>
        <v>6.1840000000000002</v>
      </c>
      <c r="DA57" s="2875">
        <f>SUM('ПОЛНАЯ СЕБЕСТОИМОСТЬ СТОКИ 2021'!AV173)</f>
        <v>6.1669999999999998</v>
      </c>
      <c r="DB57" s="2875">
        <f>SUM('ПОЛНАЯ СЕБЕСТОИМОСТЬ СТОКИ 2021'!AW173)</f>
        <v>1.7000000000000001E-2</v>
      </c>
      <c r="DC57" s="2955">
        <f t="shared" si="552"/>
        <v>6.3639999999999999</v>
      </c>
      <c r="DD57" s="2955">
        <v>6.3639999999999999</v>
      </c>
      <c r="DE57" s="2955">
        <v>0</v>
      </c>
      <c r="DF57" s="2875">
        <f t="shared" ref="DF57:DF60" si="570">SUM(DG57:DH57)</f>
        <v>4.350950168206821</v>
      </c>
      <c r="DG57" s="2875">
        <f t="shared" si="478"/>
        <v>4.3151299853420957</v>
      </c>
      <c r="DH57" s="2875">
        <f t="shared" si="479"/>
        <v>3.5820182864724999E-2</v>
      </c>
      <c r="DI57" s="2875">
        <f t="shared" si="564"/>
        <v>6.3610299999999995</v>
      </c>
      <c r="DJ57" s="2875">
        <f>SUM('ПОЛНАЯ СЕБЕСТОИМОСТЬ СТОКИ 2021'!AY173)</f>
        <v>6.3449999999999998</v>
      </c>
      <c r="DK57" s="2875">
        <f>SUM('ПОЛНАЯ СЕБЕСТОИМОСТЬ СТОКИ 2021'!AZ173)</f>
        <v>1.6029999999999999E-2</v>
      </c>
      <c r="DL57" s="2955">
        <f t="shared" si="553"/>
        <v>6.43</v>
      </c>
      <c r="DM57" s="2955">
        <v>6.41</v>
      </c>
      <c r="DN57" s="2955">
        <v>0.02</v>
      </c>
      <c r="DO57" s="3003">
        <f t="shared" si="482"/>
        <v>13.052850504620462</v>
      </c>
      <c r="DP57" s="3003">
        <f t="shared" si="482"/>
        <v>12.945389956026286</v>
      </c>
      <c r="DQ57" s="3003">
        <f t="shared" si="482"/>
        <v>0.107460548594175</v>
      </c>
      <c r="DR57" s="3003">
        <f t="shared" si="482"/>
        <v>18.599029999999999</v>
      </c>
      <c r="DS57" s="3003">
        <f t="shared" si="482"/>
        <v>18.552</v>
      </c>
      <c r="DT57" s="3003">
        <f t="shared" si="482"/>
        <v>4.7030000000000002E-2</v>
      </c>
      <c r="DU57" s="3003">
        <f t="shared" si="482"/>
        <v>18.434000000000001</v>
      </c>
      <c r="DV57" s="3003">
        <f t="shared" si="482"/>
        <v>18.384</v>
      </c>
      <c r="DW57" s="3003">
        <f t="shared" si="482"/>
        <v>0.05</v>
      </c>
      <c r="DX57" s="2919">
        <f t="shared" si="371"/>
        <v>5.5461794953795369</v>
      </c>
      <c r="DY57" s="2919">
        <f t="shared" si="371"/>
        <v>5.6066100439737134</v>
      </c>
      <c r="DZ57" s="2919">
        <f t="shared" si="371"/>
        <v>-6.0430548594175001E-2</v>
      </c>
      <c r="EA57" s="3003">
        <f t="shared" si="483"/>
        <v>39.158551513861383</v>
      </c>
      <c r="EB57" s="3003">
        <f t="shared" si="483"/>
        <v>38.836169868078855</v>
      </c>
      <c r="EC57" s="3003">
        <f t="shared" si="483"/>
        <v>0.32238164578252504</v>
      </c>
      <c r="ED57" s="3003">
        <f t="shared" si="483"/>
        <v>56.489459999999994</v>
      </c>
      <c r="EE57" s="3003">
        <f t="shared" si="483"/>
        <v>56.042000000000002</v>
      </c>
      <c r="EF57" s="3003">
        <f t="shared" si="483"/>
        <v>0.44745999999999997</v>
      </c>
      <c r="EG57" s="3003">
        <f t="shared" si="483"/>
        <v>55.468900000000005</v>
      </c>
      <c r="EH57" s="3003">
        <f t="shared" si="483"/>
        <v>55.313000000000002</v>
      </c>
      <c r="EI57" s="3003">
        <f t="shared" si="483"/>
        <v>0.15590000000000001</v>
      </c>
      <c r="EJ57" s="2919">
        <f t="shared" si="373"/>
        <v>17.330908486138611</v>
      </c>
      <c r="EK57" s="2919">
        <f t="shared" si="373"/>
        <v>17.205830131921147</v>
      </c>
      <c r="EL57" s="2919">
        <f t="shared" si="373"/>
        <v>0.12507835421747493</v>
      </c>
      <c r="EM57" s="2875">
        <f t="shared" si="559"/>
        <v>4.350950168206821</v>
      </c>
      <c r="EN57" s="2875">
        <f>SUM('ПОЛНАЯ СЕБЕСТОИМОСТЬ СТОКИ 2021'!BN173)/3</f>
        <v>4.3151299853420957</v>
      </c>
      <c r="EO57" s="2875">
        <f>SUM('ПОЛНАЯ СЕБЕСТОИМОСТЬ СТОКИ 2021'!BO173)/3</f>
        <v>3.5820182864724999E-2</v>
      </c>
      <c r="EP57" s="2875">
        <f t="shared" si="485"/>
        <v>6.0547500000000003</v>
      </c>
      <c r="EQ57" s="2875">
        <f>SUM('ПОЛНАЯ СЕБЕСТОИМОСТЬ СТОКИ 2021'!BQ173)</f>
        <v>6.0369999999999999</v>
      </c>
      <c r="ER57" s="2875">
        <f>SUM('ПОЛНАЯ СЕБЕСТОИМОСТЬ СТОКИ 2021'!BR173)</f>
        <v>1.7749999999999998E-2</v>
      </c>
      <c r="ES57" s="2955">
        <f t="shared" si="554"/>
        <v>6.3649999999999993</v>
      </c>
      <c r="ET57" s="2955">
        <v>6.35</v>
      </c>
      <c r="EU57" s="2955">
        <v>1.4999999999999999E-2</v>
      </c>
      <c r="EV57" s="2875">
        <f t="shared" ref="EV57:EV60" si="571">SUM(EW57:EX57)</f>
        <v>4.350950168206821</v>
      </c>
      <c r="EW57" s="2875">
        <f t="shared" si="488"/>
        <v>4.3151299853420957</v>
      </c>
      <c r="EX57" s="2875">
        <f t="shared" si="489"/>
        <v>3.5820182864724999E-2</v>
      </c>
      <c r="EY57" s="2875">
        <f t="shared" si="490"/>
        <v>6.2343999999999999</v>
      </c>
      <c r="EZ57" s="2875">
        <f>SUM('ПОЛНАЯ СЕБЕСТОИМОСТЬ СТОКИ 2021'!BT173)</f>
        <v>6.2190000000000003</v>
      </c>
      <c r="FA57" s="2875">
        <f>SUM('ПОЛНАЯ СЕБЕСТОИМОСТЬ СТОКИ 2021'!BU173)</f>
        <v>1.54E-2</v>
      </c>
      <c r="FB57" s="2955">
        <f t="shared" si="555"/>
        <v>6.085</v>
      </c>
      <c r="FC57" s="2955">
        <v>6.07</v>
      </c>
      <c r="FD57" s="2955">
        <v>1.4999999999999999E-2</v>
      </c>
      <c r="FE57" s="2875">
        <f t="shared" si="565"/>
        <v>4.350950168206821</v>
      </c>
      <c r="FF57" s="2875">
        <f t="shared" si="493"/>
        <v>4.3151299853420957</v>
      </c>
      <c r="FG57" s="2875">
        <f t="shared" si="494"/>
        <v>3.5820182864724999E-2</v>
      </c>
      <c r="FH57" s="2875">
        <f t="shared" si="495"/>
        <v>6.0110399999999995</v>
      </c>
      <c r="FI57" s="2875">
        <f>SUM('ПОЛНАЯ СЕБЕСТОИМОСТЬ СТОКИ 2021'!BW173)</f>
        <v>6.3129999999999997</v>
      </c>
      <c r="FJ57" s="2875">
        <f>SUM('ПОЛНАЯ СЕБЕСТОИМОСТЬ СТОКИ 2021'!BX173)</f>
        <v>-0.30196000000000001</v>
      </c>
      <c r="FK57" s="2955">
        <f t="shared" si="556"/>
        <v>4.9899999999999993</v>
      </c>
      <c r="FL57" s="2955">
        <v>4.9749999999999996</v>
      </c>
      <c r="FM57" s="2955">
        <v>1.4999999999999999E-2</v>
      </c>
      <c r="FN57" s="3003">
        <f t="shared" si="497"/>
        <v>13.052850504620462</v>
      </c>
      <c r="FO57" s="3003">
        <f t="shared" si="497"/>
        <v>12.945389956026286</v>
      </c>
      <c r="FP57" s="3003">
        <f t="shared" si="497"/>
        <v>0.107460548594175</v>
      </c>
      <c r="FQ57" s="3003">
        <f t="shared" si="497"/>
        <v>18.300190000000001</v>
      </c>
      <c r="FR57" s="3003">
        <f t="shared" si="497"/>
        <v>18.568999999999999</v>
      </c>
      <c r="FS57" s="3003">
        <f t="shared" si="497"/>
        <v>-0.26880999999999999</v>
      </c>
      <c r="FT57" s="3003">
        <f t="shared" si="497"/>
        <v>17.439999999999998</v>
      </c>
      <c r="FU57" s="3003">
        <f t="shared" si="497"/>
        <v>17.395</v>
      </c>
      <c r="FV57" s="3003">
        <f t="shared" si="497"/>
        <v>4.4999999999999998E-2</v>
      </c>
      <c r="FW57" s="2919">
        <f t="shared" si="375"/>
        <v>5.2473394953795385</v>
      </c>
      <c r="FX57" s="2919">
        <f t="shared" si="375"/>
        <v>5.6236100439737129</v>
      </c>
      <c r="FY57" s="2919">
        <f t="shared" si="375"/>
        <v>-0.37627054859417497</v>
      </c>
      <c r="FZ57" s="3003">
        <f t="shared" si="498"/>
        <v>52.211402018481849</v>
      </c>
      <c r="GA57" s="3003">
        <f t="shared" si="498"/>
        <v>51.781559824105145</v>
      </c>
      <c r="GB57" s="3003">
        <f t="shared" si="498"/>
        <v>0.42984219437670002</v>
      </c>
      <c r="GC57" s="3003">
        <f t="shared" si="498"/>
        <v>74.789649999999995</v>
      </c>
      <c r="GD57" s="3003">
        <f t="shared" si="498"/>
        <v>74.611000000000004</v>
      </c>
      <c r="GE57" s="3003">
        <f t="shared" si="498"/>
        <v>0.17864999999999998</v>
      </c>
      <c r="GF57" s="3003">
        <f t="shared" si="498"/>
        <v>72.908900000000003</v>
      </c>
      <c r="GG57" s="3003">
        <f t="shared" si="498"/>
        <v>72.707999999999998</v>
      </c>
      <c r="GH57" s="3003">
        <f t="shared" si="498"/>
        <v>0.20090000000000002</v>
      </c>
      <c r="GI57" s="2919">
        <f t="shared" si="377"/>
        <v>22.578247981518146</v>
      </c>
      <c r="GJ57" s="2919">
        <f t="shared" si="377"/>
        <v>22.82944017589486</v>
      </c>
      <c r="GK57" s="2919">
        <f t="shared" si="377"/>
        <v>-0.25119219437670004</v>
      </c>
      <c r="GM57" s="4234"/>
    </row>
    <row r="58" spans="1:195" ht="18.75" customHeight="1" x14ac:dyDescent="0.3">
      <c r="A58" s="2879" t="s">
        <v>3747</v>
      </c>
      <c r="B58" s="2875">
        <f t="shared" si="440"/>
        <v>167.28290840264128</v>
      </c>
      <c r="C58" s="2875">
        <f>SUM('ПОЛНАЯ СЕБЕСТОИМОСТЬ СТОКИ 2021'!C174)/3</f>
        <v>166.39772486046652</v>
      </c>
      <c r="D58" s="2875">
        <f>SUM('ПОЛНАЯ СЕБЕСТОИМОСТЬ СТОКИ 2021'!D174)/3</f>
        <v>0.88518354217474959</v>
      </c>
      <c r="E58" s="2875">
        <f t="shared" si="441"/>
        <v>134.31695000000002</v>
      </c>
      <c r="F58" s="2875">
        <f>SUM('ПОЛНАЯ СЕБЕСТОИМОСТЬ СТОКИ 2021'!F174)</f>
        <v>134.05200000000002</v>
      </c>
      <c r="G58" s="2875">
        <f>SUM('ПОЛНАЯ СЕБЕСТОИМОСТЬ СТОКИ 2021'!G174)</f>
        <v>0.26495000000000002</v>
      </c>
      <c r="H58" s="2955">
        <f t="shared" si="499"/>
        <v>141.44900000000001</v>
      </c>
      <c r="I58" s="2955">
        <v>141.11500000000001</v>
      </c>
      <c r="J58" s="2955">
        <v>0.33400000000000002</v>
      </c>
      <c r="K58" s="2875">
        <f t="shared" si="557"/>
        <v>167.28290840264128</v>
      </c>
      <c r="L58" s="2875">
        <f t="shared" si="444"/>
        <v>166.39772486046652</v>
      </c>
      <c r="M58" s="2875">
        <f t="shared" si="445"/>
        <v>0.88518354217474959</v>
      </c>
      <c r="N58" s="2875">
        <f t="shared" si="560"/>
        <v>145.083</v>
      </c>
      <c r="O58" s="2875">
        <f>SUM('ПОЛНАЯ СЕБЕСТОИМОСТЬ СТОКИ 2021'!I174)</f>
        <v>144.73400000000001</v>
      </c>
      <c r="P58" s="2875">
        <f>SUM('ПОЛНАЯ СЕБЕСТОИМОСТЬ СТОКИ 2021'!J174)</f>
        <v>0.34899999999999998</v>
      </c>
      <c r="Q58" s="2955">
        <f t="shared" si="546"/>
        <v>147.589</v>
      </c>
      <c r="R58" s="2955">
        <v>147.19399999999999</v>
      </c>
      <c r="S58" s="2955">
        <v>0.39500000000000002</v>
      </c>
      <c r="T58" s="2875">
        <f t="shared" si="566"/>
        <v>167.28290840264128</v>
      </c>
      <c r="U58" s="2875">
        <f t="shared" si="449"/>
        <v>166.39772486046652</v>
      </c>
      <c r="V58" s="2875">
        <f t="shared" si="450"/>
        <v>0.88518354217474959</v>
      </c>
      <c r="W58" s="2875">
        <f t="shared" si="561"/>
        <v>272.25839999999999</v>
      </c>
      <c r="X58" s="2875">
        <f>SUM('ПОЛНАЯ СЕБЕСТОИМОСТЬ СТОКИ 2021'!L174)</f>
        <v>271.64</v>
      </c>
      <c r="Y58" s="2875">
        <f>SUM('ПОЛНАЯ СЕБЕСТОИМОСТЬ СТОКИ 2021'!M174)</f>
        <v>0.61839999999999995</v>
      </c>
      <c r="Z58" s="2955">
        <f t="shared" si="547"/>
        <v>96.44</v>
      </c>
      <c r="AA58" s="2955">
        <v>96.204999999999998</v>
      </c>
      <c r="AB58" s="2955">
        <v>0.23499999999999999</v>
      </c>
      <c r="AC58" s="3003">
        <f t="shared" si="453"/>
        <v>501.84872520792385</v>
      </c>
      <c r="AD58" s="3003">
        <f t="shared" si="453"/>
        <v>499.1931745813996</v>
      </c>
      <c r="AE58" s="3003">
        <f t="shared" si="453"/>
        <v>2.6555506265242488</v>
      </c>
      <c r="AF58" s="3003">
        <f t="shared" si="453"/>
        <v>551.65834999999993</v>
      </c>
      <c r="AG58" s="3003">
        <f t="shared" si="453"/>
        <v>550.42600000000004</v>
      </c>
      <c r="AH58" s="3003">
        <f t="shared" si="453"/>
        <v>1.2323499999999998</v>
      </c>
      <c r="AI58" s="3003">
        <f t="shared" si="453"/>
        <v>385.47800000000001</v>
      </c>
      <c r="AJ58" s="3003">
        <f t="shared" si="453"/>
        <v>384.51399999999995</v>
      </c>
      <c r="AK58" s="3003">
        <f t="shared" si="453"/>
        <v>0.96400000000000008</v>
      </c>
      <c r="AL58" s="2919">
        <f t="shared" si="365"/>
        <v>49.809624792076079</v>
      </c>
      <c r="AM58" s="2919">
        <f t="shared" si="365"/>
        <v>51.232825418600441</v>
      </c>
      <c r="AN58" s="2919">
        <f t="shared" si="365"/>
        <v>-1.4232006265242489</v>
      </c>
      <c r="AO58" s="2875">
        <f t="shared" si="562"/>
        <v>167.28290840264128</v>
      </c>
      <c r="AP58" s="2875">
        <f>SUM('ПОЛНАЯ СЕБЕСТОИМОСТЬ СТОКИ 2021'!R174)/3</f>
        <v>166.39772486046652</v>
      </c>
      <c r="AQ58" s="2875">
        <f>SUM('ПОЛНАЯ СЕБЕСТОИМОСТЬ СТОКИ 2021'!S174)/3</f>
        <v>0.88518354217474959</v>
      </c>
      <c r="AR58" s="2875">
        <f t="shared" si="455"/>
        <v>164.93057999999999</v>
      </c>
      <c r="AS58" s="2875">
        <f>SUM('ПОЛНАЯ СЕБЕСТОИМОСТЬ СТОКИ 2021'!U174)</f>
        <v>164.654</v>
      </c>
      <c r="AT58" s="2875">
        <f>SUM('ПОЛНАЯ СЕБЕСТОИМОСТЬ СТОКИ 2021'!V174)</f>
        <v>0.27657999999999999</v>
      </c>
      <c r="AU58" s="2955">
        <f t="shared" si="548"/>
        <v>73.375</v>
      </c>
      <c r="AV58" s="2955">
        <v>73.180000000000007</v>
      </c>
      <c r="AW58" s="2955">
        <v>0.19500000000000001</v>
      </c>
      <c r="AX58" s="2875">
        <f t="shared" si="563"/>
        <v>167.28290840264128</v>
      </c>
      <c r="AY58" s="2875">
        <f t="shared" si="458"/>
        <v>166.39772486046652</v>
      </c>
      <c r="AZ58" s="2875">
        <f t="shared" si="459"/>
        <v>0.88518354217474959</v>
      </c>
      <c r="BA58" s="2951">
        <f t="shared" si="567"/>
        <v>144.65299999999999</v>
      </c>
      <c r="BB58" s="2951">
        <f>SUM('ПОЛНАЯ СЕБЕСТОИМОСТЬ СТОКИ 2021'!X174)</f>
        <v>144.32</v>
      </c>
      <c r="BC58" s="2951">
        <f>SUM('ПОЛНАЯ СЕБЕСТОИМОСТЬ СТОКИ 2021'!Y174)</f>
        <v>0.33300000000000002</v>
      </c>
      <c r="BD58" s="2955">
        <f t="shared" si="549"/>
        <v>79.771000000000001</v>
      </c>
      <c r="BE58" s="2955">
        <v>79.58</v>
      </c>
      <c r="BF58" s="2955">
        <v>0.191</v>
      </c>
      <c r="BG58" s="2875">
        <f t="shared" si="568"/>
        <v>167.28290840264128</v>
      </c>
      <c r="BH58" s="2875">
        <f t="shared" si="463"/>
        <v>166.39772486046652</v>
      </c>
      <c r="BI58" s="2875">
        <f t="shared" si="464"/>
        <v>0.88518354217474959</v>
      </c>
      <c r="BJ58" s="2875">
        <f t="shared" si="558"/>
        <v>129.95000000000002</v>
      </c>
      <c r="BK58" s="2875">
        <f>SUM('ПОЛНАЯ СЕБЕСТОИМОСТЬ СТОКИ 2021'!AA174)</f>
        <v>129.59700000000001</v>
      </c>
      <c r="BL58" s="2875">
        <f>SUM('ПОЛНАЯ СЕБЕСТОИМОСТЬ СТОКИ 2021'!AB174)</f>
        <v>0.35299999999999998</v>
      </c>
      <c r="BM58" s="2955">
        <f t="shared" si="550"/>
        <v>103.69500000000001</v>
      </c>
      <c r="BN58" s="2955">
        <v>103.30500000000001</v>
      </c>
      <c r="BO58" s="2955">
        <v>0.39</v>
      </c>
      <c r="BP58" s="3003">
        <f t="shared" si="467"/>
        <v>501.84872520792385</v>
      </c>
      <c r="BQ58" s="3003">
        <f t="shared" si="467"/>
        <v>499.1931745813996</v>
      </c>
      <c r="BR58" s="3003">
        <f t="shared" si="467"/>
        <v>2.6555506265242488</v>
      </c>
      <c r="BS58" s="3003">
        <f t="shared" si="467"/>
        <v>439.53358000000003</v>
      </c>
      <c r="BT58" s="3003">
        <f t="shared" si="467"/>
        <v>438.57100000000003</v>
      </c>
      <c r="BU58" s="3003">
        <f t="shared" si="467"/>
        <v>0.96257999999999999</v>
      </c>
      <c r="BV58" s="3003">
        <f t="shared" si="467"/>
        <v>256.84100000000001</v>
      </c>
      <c r="BW58" s="3003">
        <f t="shared" si="467"/>
        <v>256.065</v>
      </c>
      <c r="BX58" s="3003">
        <f t="shared" si="467"/>
        <v>0.77600000000000002</v>
      </c>
      <c r="BY58" s="2919">
        <f t="shared" si="367"/>
        <v>-62.31514520792382</v>
      </c>
      <c r="BZ58" s="2919">
        <f t="shared" si="367"/>
        <v>-60.622174581399577</v>
      </c>
      <c r="CA58" s="2919">
        <f t="shared" si="367"/>
        <v>-1.6929706265242488</v>
      </c>
      <c r="CB58" s="3003">
        <f t="shared" si="468"/>
        <v>1003.6974504158477</v>
      </c>
      <c r="CC58" s="3003">
        <f t="shared" si="468"/>
        <v>998.38634916279921</v>
      </c>
      <c r="CD58" s="3003">
        <f t="shared" si="468"/>
        <v>5.3111012530484976</v>
      </c>
      <c r="CE58" s="3003">
        <f t="shared" si="468"/>
        <v>991.19192999999996</v>
      </c>
      <c r="CF58" s="3003">
        <f t="shared" si="468"/>
        <v>988.99700000000007</v>
      </c>
      <c r="CG58" s="3003">
        <f t="shared" si="468"/>
        <v>2.1949299999999998</v>
      </c>
      <c r="CH58" s="3032">
        <f t="shared" si="468"/>
        <v>642.31899999999996</v>
      </c>
      <c r="CI58" s="3032">
        <f t="shared" si="468"/>
        <v>640.57899999999995</v>
      </c>
      <c r="CJ58" s="3032">
        <f t="shared" si="468"/>
        <v>1.7400000000000002</v>
      </c>
      <c r="CK58" s="2919">
        <f t="shared" si="369"/>
        <v>-12.505520415847741</v>
      </c>
      <c r="CL58" s="2919">
        <f t="shared" si="369"/>
        <v>-9.3893491627991352</v>
      </c>
      <c r="CM58" s="2919">
        <f t="shared" si="369"/>
        <v>-3.1161712530484977</v>
      </c>
      <c r="CN58" s="2875">
        <f t="shared" si="469"/>
        <v>167.28290840264128</v>
      </c>
      <c r="CO58" s="2875">
        <f>SUM('ПОЛНАЯ СЕБЕСТОИМОСТЬ СТОКИ 2021'!AP174)/3</f>
        <v>166.39772486046652</v>
      </c>
      <c r="CP58" s="2875">
        <f>SUM('ПОЛНАЯ СЕБЕСТОИМОСТЬ СТОКИ 2021'!AQ174)/3</f>
        <v>0.88518354217474959</v>
      </c>
      <c r="CQ58" s="2875">
        <f t="shared" si="470"/>
        <v>117.91800000000001</v>
      </c>
      <c r="CR58" s="2875">
        <f>SUM('ПОЛНАЯ СЕБЕСТОИМОСТЬ СТОКИ 2021'!AS174)</f>
        <v>117.643</v>
      </c>
      <c r="CS58" s="2875">
        <f>SUM('ПОЛНАЯ СЕБЕСТОИМОСТЬ СТОКИ 2021'!AT174)</f>
        <v>0.27500000000000002</v>
      </c>
      <c r="CT58" s="2955">
        <f t="shared" si="551"/>
        <v>130.875</v>
      </c>
      <c r="CU58" s="2955">
        <v>130.25</v>
      </c>
      <c r="CV58" s="2955">
        <v>0.625</v>
      </c>
      <c r="CW58" s="2875">
        <f t="shared" si="569"/>
        <v>167.28290840264128</v>
      </c>
      <c r="CX58" s="2875">
        <f t="shared" si="473"/>
        <v>166.39772486046652</v>
      </c>
      <c r="CY58" s="2875">
        <f t="shared" si="474"/>
        <v>0.88518354217474959</v>
      </c>
      <c r="CZ58" s="2875">
        <f t="shared" si="475"/>
        <v>60.663400000000003</v>
      </c>
      <c r="DA58" s="2875">
        <f>SUM('ПОЛНАЯ СЕБЕСТОИМОСТЬ СТОКИ 2021'!AV174)</f>
        <v>60.5</v>
      </c>
      <c r="DB58" s="2875">
        <f>SUM('ПОЛНАЯ СЕБЕСТОИМОСТЬ СТОКИ 2021'!AW174)</f>
        <v>0.16339999999999999</v>
      </c>
      <c r="DC58" s="2955">
        <f t="shared" si="552"/>
        <v>118.834</v>
      </c>
      <c r="DD58" s="2955">
        <v>118.834</v>
      </c>
      <c r="DE58" s="2955">
        <v>0</v>
      </c>
      <c r="DF58" s="2875">
        <f t="shared" si="570"/>
        <v>167.28290840264128</v>
      </c>
      <c r="DG58" s="2875">
        <f t="shared" si="478"/>
        <v>166.39772486046652</v>
      </c>
      <c r="DH58" s="2875">
        <f t="shared" si="479"/>
        <v>0.88518354217474959</v>
      </c>
      <c r="DI58" s="2875">
        <f t="shared" si="564"/>
        <v>259.82599999999996</v>
      </c>
      <c r="DJ58" s="2875">
        <f>SUM('ПОЛНАЯ СЕБЕСТОИМОСТЬ СТОКИ 2021'!AY174)</f>
        <v>259.17099999999999</v>
      </c>
      <c r="DK58" s="2875">
        <f>SUM('ПОЛНАЯ СЕБЕСТОИМОСТЬ СТОКИ 2021'!AZ174)</f>
        <v>0.65500000000000003</v>
      </c>
      <c r="DL58" s="2955">
        <f t="shared" si="553"/>
        <v>144.34800000000001</v>
      </c>
      <c r="DM58" s="2955">
        <v>143.91300000000001</v>
      </c>
      <c r="DN58" s="2955">
        <v>0.435</v>
      </c>
      <c r="DO58" s="3003">
        <f t="shared" si="482"/>
        <v>501.84872520792385</v>
      </c>
      <c r="DP58" s="3003">
        <f t="shared" si="482"/>
        <v>499.1931745813996</v>
      </c>
      <c r="DQ58" s="3003">
        <f t="shared" si="482"/>
        <v>2.6555506265242488</v>
      </c>
      <c r="DR58" s="3003">
        <f t="shared" si="482"/>
        <v>438.40739999999994</v>
      </c>
      <c r="DS58" s="3003">
        <f t="shared" si="482"/>
        <v>437.31399999999996</v>
      </c>
      <c r="DT58" s="3003">
        <f t="shared" si="482"/>
        <v>1.0933999999999999</v>
      </c>
      <c r="DU58" s="3003">
        <f t="shared" si="482"/>
        <v>394.05700000000002</v>
      </c>
      <c r="DV58" s="3003">
        <f t="shared" si="482"/>
        <v>392.99700000000001</v>
      </c>
      <c r="DW58" s="3003">
        <f t="shared" si="482"/>
        <v>1.06</v>
      </c>
      <c r="DX58" s="2919">
        <f t="shared" si="371"/>
        <v>-63.44132520792391</v>
      </c>
      <c r="DY58" s="2919">
        <f t="shared" si="371"/>
        <v>-61.879174581399639</v>
      </c>
      <c r="DZ58" s="2919">
        <f t="shared" si="371"/>
        <v>-1.5621506265242489</v>
      </c>
      <c r="EA58" s="3003">
        <f t="shared" si="483"/>
        <v>1505.5461756237714</v>
      </c>
      <c r="EB58" s="3003">
        <f t="shared" si="483"/>
        <v>1497.5795237441989</v>
      </c>
      <c r="EC58" s="3003">
        <f t="shared" si="483"/>
        <v>7.9666518795727459</v>
      </c>
      <c r="ED58" s="3003">
        <f t="shared" si="483"/>
        <v>1429.59933</v>
      </c>
      <c r="EE58" s="3003">
        <f t="shared" si="483"/>
        <v>1426.3110000000001</v>
      </c>
      <c r="EF58" s="3003">
        <f t="shared" si="483"/>
        <v>3.2883299999999998</v>
      </c>
      <c r="EG58" s="3003">
        <f t="shared" si="483"/>
        <v>1036.376</v>
      </c>
      <c r="EH58" s="3003">
        <f t="shared" si="483"/>
        <v>1033.576</v>
      </c>
      <c r="EI58" s="3003">
        <f t="shared" si="483"/>
        <v>2.8000000000000003</v>
      </c>
      <c r="EJ58" s="2919">
        <f t="shared" si="373"/>
        <v>-75.946845623771424</v>
      </c>
      <c r="EK58" s="2919">
        <f t="shared" si="373"/>
        <v>-71.268523744198774</v>
      </c>
      <c r="EL58" s="2919">
        <f t="shared" si="373"/>
        <v>-4.6783218795727457</v>
      </c>
      <c r="EM58" s="2875">
        <f t="shared" si="559"/>
        <v>167.28290840264128</v>
      </c>
      <c r="EN58" s="2875">
        <f>SUM('ПОЛНАЯ СЕБЕСТОИМОСТЬ СТОКИ 2021'!BN174)/3</f>
        <v>166.39772486046652</v>
      </c>
      <c r="EO58" s="2875">
        <f>SUM('ПОЛНАЯ СЕБЕСТОИМОСТЬ СТОКИ 2021'!BO174)/3</f>
        <v>0.88518354217474959</v>
      </c>
      <c r="EP58" s="2875">
        <f t="shared" si="485"/>
        <v>119.913</v>
      </c>
      <c r="EQ58" s="2875">
        <f>SUM('ПОЛНАЯ СЕБЕСТОИМОСТЬ СТОКИ 2021'!BQ174)</f>
        <v>119.562</v>
      </c>
      <c r="ER58" s="2875">
        <f>SUM('ПОЛНАЯ СЕБЕСТОИМОСТЬ СТОКИ 2021'!BR174)</f>
        <v>0.35099999999999998</v>
      </c>
      <c r="ES58" s="2955">
        <f t="shared" si="554"/>
        <v>166.50400000000002</v>
      </c>
      <c r="ET58" s="2955">
        <v>166.02</v>
      </c>
      <c r="EU58" s="2955">
        <v>0.48399999999999999</v>
      </c>
      <c r="EV58" s="2875">
        <f t="shared" si="571"/>
        <v>167.28290840264128</v>
      </c>
      <c r="EW58" s="2875">
        <f t="shared" si="488"/>
        <v>166.39772486046652</v>
      </c>
      <c r="EX58" s="2875">
        <f t="shared" si="489"/>
        <v>0.88518354217474959</v>
      </c>
      <c r="EY58" s="2875">
        <f t="shared" si="490"/>
        <v>151.53400000000002</v>
      </c>
      <c r="EZ58" s="2875">
        <f>SUM('ПОЛНАЯ СЕБЕСТОИМОСТЬ СТОКИ 2021'!BT174)</f>
        <v>151.17400000000001</v>
      </c>
      <c r="FA58" s="2875">
        <f>SUM('ПОЛНАЯ СЕБЕСТОИМОСТЬ СТОКИ 2021'!BU174)</f>
        <v>0.36</v>
      </c>
      <c r="FB58" s="2955">
        <f t="shared" si="555"/>
        <v>159.32</v>
      </c>
      <c r="FC58" s="2955">
        <v>158.85499999999999</v>
      </c>
      <c r="FD58" s="2955">
        <v>0.46500000000000002</v>
      </c>
      <c r="FE58" s="2875">
        <f t="shared" si="565"/>
        <v>167.28290840264128</v>
      </c>
      <c r="FF58" s="2875">
        <f t="shared" si="493"/>
        <v>166.39772486046652</v>
      </c>
      <c r="FG58" s="2875">
        <f t="shared" si="494"/>
        <v>0.88518354217474959</v>
      </c>
      <c r="FH58" s="2875">
        <f t="shared" si="495"/>
        <v>135.90589</v>
      </c>
      <c r="FI58" s="2875">
        <f>SUM('ПОЛНАЯ СЕБЕСТОИМОСТЬ СТОКИ 2021'!BW174)</f>
        <v>135.45400000000001</v>
      </c>
      <c r="FJ58" s="2875">
        <f>SUM('ПОЛНАЯ СЕБЕСТОИМОСТЬ СТОКИ 2021'!BX174)</f>
        <v>0.45189000000000001</v>
      </c>
      <c r="FK58" s="2955">
        <f t="shared" si="556"/>
        <v>211.11500000000001</v>
      </c>
      <c r="FL58" s="2955">
        <v>210.45500000000001</v>
      </c>
      <c r="FM58" s="2955">
        <v>0.66</v>
      </c>
      <c r="FN58" s="3003">
        <f t="shared" si="497"/>
        <v>501.84872520792385</v>
      </c>
      <c r="FO58" s="3003">
        <f t="shared" si="497"/>
        <v>499.1931745813996</v>
      </c>
      <c r="FP58" s="3003">
        <f t="shared" si="497"/>
        <v>2.6555506265242488</v>
      </c>
      <c r="FQ58" s="3003">
        <f t="shared" si="497"/>
        <v>407.35289</v>
      </c>
      <c r="FR58" s="3003">
        <f t="shared" si="497"/>
        <v>406.19</v>
      </c>
      <c r="FS58" s="3003">
        <f t="shared" si="497"/>
        <v>1.16289</v>
      </c>
      <c r="FT58" s="3003">
        <f t="shared" si="497"/>
        <v>536.93900000000008</v>
      </c>
      <c r="FU58" s="3003">
        <f t="shared" si="497"/>
        <v>535.33000000000004</v>
      </c>
      <c r="FV58" s="3003">
        <f t="shared" si="497"/>
        <v>1.609</v>
      </c>
      <c r="FW58" s="2919">
        <f t="shared" si="375"/>
        <v>-94.495835207923847</v>
      </c>
      <c r="FX58" s="2919">
        <f t="shared" si="375"/>
        <v>-93.003174581399605</v>
      </c>
      <c r="FY58" s="2919">
        <f t="shared" si="375"/>
        <v>-1.4926606265242488</v>
      </c>
      <c r="FZ58" s="3003">
        <f t="shared" si="498"/>
        <v>2007.3949008316954</v>
      </c>
      <c r="GA58" s="3003">
        <f t="shared" si="498"/>
        <v>1996.7726983255984</v>
      </c>
      <c r="GB58" s="3003">
        <f t="shared" si="498"/>
        <v>10.622202506096995</v>
      </c>
      <c r="GC58" s="3003">
        <f t="shared" si="498"/>
        <v>1836.9522200000001</v>
      </c>
      <c r="GD58" s="3003">
        <f t="shared" si="498"/>
        <v>1832.5010000000002</v>
      </c>
      <c r="GE58" s="3003">
        <f t="shared" si="498"/>
        <v>4.4512199999999993</v>
      </c>
      <c r="GF58" s="3003">
        <f t="shared" si="498"/>
        <v>1573.3150000000001</v>
      </c>
      <c r="GG58" s="3003">
        <f t="shared" si="498"/>
        <v>1568.9059999999999</v>
      </c>
      <c r="GH58" s="3003">
        <f t="shared" si="498"/>
        <v>4.4090000000000007</v>
      </c>
      <c r="GI58" s="2919">
        <f t="shared" si="377"/>
        <v>-170.44268083169527</v>
      </c>
      <c r="GJ58" s="2919">
        <f t="shared" si="377"/>
        <v>-164.27169832559821</v>
      </c>
      <c r="GK58" s="2919">
        <f t="shared" si="377"/>
        <v>-6.1709825060969958</v>
      </c>
      <c r="GM58" s="4234"/>
    </row>
    <row r="59" spans="1:195" ht="18.75" customHeight="1" x14ac:dyDescent="0.3">
      <c r="A59" s="2914" t="s">
        <v>3809</v>
      </c>
      <c r="B59" s="2865">
        <f t="shared" si="440"/>
        <v>0</v>
      </c>
      <c r="C59" s="2865">
        <f>SUM('ПОЛНАЯ СЕБЕСТОИМОСТЬ СТОКИ 2021'!C175)/3</f>
        <v>0</v>
      </c>
      <c r="D59" s="2865">
        <f>SUM('ПОЛНАЯ СЕБЕСТОИМОСТЬ СТОКИ 2021'!D175)/3</f>
        <v>0</v>
      </c>
      <c r="E59" s="2865">
        <f t="shared" si="441"/>
        <v>0</v>
      </c>
      <c r="F59" s="2865">
        <f>SUM('ПОЛНАЯ СЕБЕСТОИМОСТЬ СТОКИ 2021'!F175)</f>
        <v>0</v>
      </c>
      <c r="G59" s="2865">
        <f>SUM('ПОЛНАЯ СЕБЕСТОИМОСТЬ СТОКИ 2021'!G175)</f>
        <v>0</v>
      </c>
      <c r="H59" s="2947">
        <f t="shared" si="499"/>
        <v>0</v>
      </c>
      <c r="I59" s="2947">
        <v>0</v>
      </c>
      <c r="J59" s="2947">
        <v>0</v>
      </c>
      <c r="K59" s="2865">
        <f t="shared" si="557"/>
        <v>0</v>
      </c>
      <c r="L59" s="2865">
        <f t="shared" si="444"/>
        <v>0</v>
      </c>
      <c r="M59" s="2865">
        <f t="shared" si="445"/>
        <v>0</v>
      </c>
      <c r="N59" s="2865">
        <f t="shared" si="560"/>
        <v>0</v>
      </c>
      <c r="O59" s="2865">
        <f>SUM('ПОЛНАЯ СЕБЕСТОИМОСТЬ СТОКИ 2021'!I175)</f>
        <v>0</v>
      </c>
      <c r="P59" s="2865">
        <f>SUM('ПОЛНАЯ СЕБЕСТОИМОСТЬ СТОКИ 2021'!J175)</f>
        <v>0</v>
      </c>
      <c r="Q59" s="2947">
        <f t="shared" si="546"/>
        <v>0</v>
      </c>
      <c r="R59" s="2947">
        <v>0</v>
      </c>
      <c r="S59" s="2947">
        <v>0</v>
      </c>
      <c r="T59" s="2865">
        <f t="shared" si="566"/>
        <v>0</v>
      </c>
      <c r="U59" s="2865">
        <f t="shared" si="449"/>
        <v>0</v>
      </c>
      <c r="V59" s="2865">
        <f t="shared" si="450"/>
        <v>0</v>
      </c>
      <c r="W59" s="2865">
        <f t="shared" si="561"/>
        <v>0</v>
      </c>
      <c r="X59" s="2865">
        <f>SUM('ПОЛНАЯ СЕБЕСТОИМОСТЬ СТОКИ 2021'!L175)</f>
        <v>0</v>
      </c>
      <c r="Y59" s="2865">
        <f>SUM('ПОЛНАЯ СЕБЕСТОИМОСТЬ СТОКИ 2021'!M175)</f>
        <v>0</v>
      </c>
      <c r="Z59" s="2947">
        <f t="shared" si="547"/>
        <v>0</v>
      </c>
      <c r="AA59" s="2947">
        <v>0</v>
      </c>
      <c r="AB59" s="2947">
        <v>0</v>
      </c>
      <c r="AC59" s="3001">
        <f t="shared" ref="AC59:AK60" si="572">SUM(B59+K59+T59)</f>
        <v>0</v>
      </c>
      <c r="AD59" s="3001">
        <f t="shared" si="572"/>
        <v>0</v>
      </c>
      <c r="AE59" s="3001">
        <f t="shared" si="572"/>
        <v>0</v>
      </c>
      <c r="AF59" s="3001">
        <f t="shared" si="572"/>
        <v>0</v>
      </c>
      <c r="AG59" s="3001">
        <f t="shared" si="572"/>
        <v>0</v>
      </c>
      <c r="AH59" s="3001">
        <f t="shared" si="572"/>
        <v>0</v>
      </c>
      <c r="AI59" s="3001">
        <f t="shared" si="572"/>
        <v>0</v>
      </c>
      <c r="AJ59" s="3001">
        <f t="shared" si="572"/>
        <v>0</v>
      </c>
      <c r="AK59" s="3001">
        <f t="shared" si="572"/>
        <v>0</v>
      </c>
      <c r="AL59" s="2954">
        <f t="shared" si="365"/>
        <v>0</v>
      </c>
      <c r="AM59" s="2954">
        <f t="shared" si="365"/>
        <v>0</v>
      </c>
      <c r="AN59" s="2954">
        <f t="shared" si="365"/>
        <v>0</v>
      </c>
      <c r="AO59" s="2865">
        <f t="shared" si="562"/>
        <v>0</v>
      </c>
      <c r="AP59" s="2865">
        <f>SUM('ПОЛНАЯ СЕБЕСТОИМОСТЬ СТОКИ 2021'!R175)/3</f>
        <v>0</v>
      </c>
      <c r="AQ59" s="2865">
        <f>SUM('ПОЛНАЯ СЕБЕСТОИМОСТЬ СТОКИ 2021'!S175)/3</f>
        <v>0</v>
      </c>
      <c r="AR59" s="2865">
        <f t="shared" si="455"/>
        <v>0</v>
      </c>
      <c r="AS59" s="2865">
        <f>SUM('ПОЛНАЯ СЕБЕСТОИМОСТЬ СТОКИ 2021'!U175)</f>
        <v>0</v>
      </c>
      <c r="AT59" s="2865">
        <f>SUM('ПОЛНАЯ СЕБЕСТОИМОСТЬ СТОКИ 2021'!V175)</f>
        <v>0</v>
      </c>
      <c r="AU59" s="2947">
        <f t="shared" si="548"/>
        <v>0</v>
      </c>
      <c r="AV59" s="2947">
        <v>0</v>
      </c>
      <c r="AW59" s="2947">
        <v>0</v>
      </c>
      <c r="AX59" s="2865">
        <f t="shared" si="563"/>
        <v>0</v>
      </c>
      <c r="AY59" s="2865">
        <f t="shared" si="458"/>
        <v>0</v>
      </c>
      <c r="AZ59" s="2865">
        <f t="shared" si="459"/>
        <v>0</v>
      </c>
      <c r="BA59" s="2946">
        <f t="shared" si="567"/>
        <v>0</v>
      </c>
      <c r="BB59" s="2946">
        <f>SUM('ПОЛНАЯ СЕБЕСТОИМОСТЬ СТОКИ 2021'!X175)</f>
        <v>0</v>
      </c>
      <c r="BC59" s="2946">
        <f>SUM('ПОЛНАЯ СЕБЕСТОИМОСТЬ СТОКИ 2021'!Y175)</f>
        <v>0</v>
      </c>
      <c r="BD59" s="2947">
        <f t="shared" si="549"/>
        <v>0</v>
      </c>
      <c r="BE59" s="2947">
        <v>0</v>
      </c>
      <c r="BF59" s="2947">
        <v>0</v>
      </c>
      <c r="BG59" s="2865">
        <f t="shared" si="568"/>
        <v>0</v>
      </c>
      <c r="BH59" s="2865">
        <f t="shared" si="463"/>
        <v>0</v>
      </c>
      <c r="BI59" s="2865">
        <f t="shared" si="464"/>
        <v>0</v>
      </c>
      <c r="BJ59" s="2865">
        <f t="shared" si="558"/>
        <v>0</v>
      </c>
      <c r="BK59" s="2865">
        <f>SUM('ПОЛНАЯ СЕБЕСТОИМОСТЬ СТОКИ 2021'!AA175)</f>
        <v>0</v>
      </c>
      <c r="BL59" s="2865">
        <f>SUM('ПОЛНАЯ СЕБЕСТОИМОСТЬ СТОКИ 2021'!AB175)</f>
        <v>0</v>
      </c>
      <c r="BM59" s="2947">
        <f t="shared" si="550"/>
        <v>0</v>
      </c>
      <c r="BN59" s="2947">
        <v>0</v>
      </c>
      <c r="BO59" s="2947">
        <v>0</v>
      </c>
      <c r="BP59" s="3001">
        <f t="shared" ref="BP59:BX60" si="573">SUM(AO59+AX59+BG59)</f>
        <v>0</v>
      </c>
      <c r="BQ59" s="3001">
        <f t="shared" si="573"/>
        <v>0</v>
      </c>
      <c r="BR59" s="3001">
        <f t="shared" si="573"/>
        <v>0</v>
      </c>
      <c r="BS59" s="3001">
        <f t="shared" si="573"/>
        <v>0</v>
      </c>
      <c r="BT59" s="3001">
        <f t="shared" si="573"/>
        <v>0</v>
      </c>
      <c r="BU59" s="3001">
        <f t="shared" si="573"/>
        <v>0</v>
      </c>
      <c r="BV59" s="3001">
        <f t="shared" si="573"/>
        <v>0</v>
      </c>
      <c r="BW59" s="3001">
        <f t="shared" si="573"/>
        <v>0</v>
      </c>
      <c r="BX59" s="3001">
        <f t="shared" si="573"/>
        <v>0</v>
      </c>
      <c r="BY59" s="2954">
        <f t="shared" si="367"/>
        <v>0</v>
      </c>
      <c r="BZ59" s="2954">
        <f t="shared" si="367"/>
        <v>0</v>
      </c>
      <c r="CA59" s="2954">
        <f t="shared" si="367"/>
        <v>0</v>
      </c>
      <c r="CB59" s="3001">
        <f t="shared" ref="CB59:CJ62" si="574">SUM(AC59+BP59)</f>
        <v>0</v>
      </c>
      <c r="CC59" s="3001">
        <f t="shared" si="574"/>
        <v>0</v>
      </c>
      <c r="CD59" s="3001">
        <f t="shared" si="574"/>
        <v>0</v>
      </c>
      <c r="CE59" s="3001">
        <f t="shared" si="574"/>
        <v>0</v>
      </c>
      <c r="CF59" s="3001">
        <f t="shared" si="574"/>
        <v>0</v>
      </c>
      <c r="CG59" s="3001">
        <f t="shared" si="574"/>
        <v>0</v>
      </c>
      <c r="CH59" s="3028">
        <f t="shared" si="574"/>
        <v>0</v>
      </c>
      <c r="CI59" s="3028">
        <f t="shared" si="574"/>
        <v>0</v>
      </c>
      <c r="CJ59" s="3028">
        <f t="shared" si="574"/>
        <v>0</v>
      </c>
      <c r="CK59" s="2954">
        <f t="shared" si="369"/>
        <v>0</v>
      </c>
      <c r="CL59" s="2954">
        <f t="shared" si="369"/>
        <v>0</v>
      </c>
      <c r="CM59" s="2954">
        <f t="shared" si="369"/>
        <v>0</v>
      </c>
      <c r="CN59" s="2865">
        <f t="shared" si="469"/>
        <v>0</v>
      </c>
      <c r="CO59" s="2865">
        <f>SUM('ПОЛНАЯ СЕБЕСТОИМОСТЬ СТОКИ 2021'!AP175)/3</f>
        <v>0</v>
      </c>
      <c r="CP59" s="2865">
        <f>SUM('ПОЛНАЯ СЕБЕСТОИМОСТЬ СТОКИ 2021'!AQ175)/3</f>
        <v>0</v>
      </c>
      <c r="CQ59" s="2865">
        <f t="shared" si="470"/>
        <v>0</v>
      </c>
      <c r="CR59" s="2865">
        <f>SUM('ПОЛНАЯ СЕБЕСТОИМОСТЬ СТОКИ 2021'!AS175)</f>
        <v>0</v>
      </c>
      <c r="CS59" s="2865">
        <f>SUM('ПОЛНАЯ СЕБЕСТОИМОСТЬ СТОКИ 2021'!AT175)</f>
        <v>0</v>
      </c>
      <c r="CT59" s="2947">
        <f t="shared" si="551"/>
        <v>0</v>
      </c>
      <c r="CU59" s="2947">
        <v>0</v>
      </c>
      <c r="CV59" s="2947">
        <v>0</v>
      </c>
      <c r="CW59" s="2865">
        <f t="shared" si="569"/>
        <v>0</v>
      </c>
      <c r="CX59" s="2865">
        <f t="shared" si="473"/>
        <v>0</v>
      </c>
      <c r="CY59" s="2865">
        <f t="shared" si="474"/>
        <v>0</v>
      </c>
      <c r="CZ59" s="2865">
        <f t="shared" si="475"/>
        <v>0</v>
      </c>
      <c r="DA59" s="2865">
        <f>SUM('ПОЛНАЯ СЕБЕСТОИМОСТЬ СТОКИ 2021'!AV175)</f>
        <v>0</v>
      </c>
      <c r="DB59" s="2865">
        <f>SUM('ПОЛНАЯ СЕБЕСТОИМОСТЬ СТОКИ 2021'!AW175)</f>
        <v>0</v>
      </c>
      <c r="DC59" s="2947">
        <f t="shared" si="552"/>
        <v>0</v>
      </c>
      <c r="DD59" s="2947">
        <v>0</v>
      </c>
      <c r="DE59" s="2947">
        <v>0</v>
      </c>
      <c r="DF59" s="2865">
        <f t="shared" si="570"/>
        <v>0</v>
      </c>
      <c r="DG59" s="2865">
        <f t="shared" si="478"/>
        <v>0</v>
      </c>
      <c r="DH59" s="2865">
        <f t="shared" si="479"/>
        <v>0</v>
      </c>
      <c r="DI59" s="2865">
        <f t="shared" si="564"/>
        <v>0</v>
      </c>
      <c r="DJ59" s="2865">
        <f>SUM('ПОЛНАЯ СЕБЕСТОИМОСТЬ СТОКИ 2021'!AY175)</f>
        <v>0</v>
      </c>
      <c r="DK59" s="2865">
        <f>SUM('ПОЛНАЯ СЕБЕСТОИМОСТЬ СТОКИ 2021'!AZ175)</f>
        <v>0</v>
      </c>
      <c r="DL59" s="2947">
        <f t="shared" si="553"/>
        <v>0</v>
      </c>
      <c r="DM59" s="2947">
        <v>0</v>
      </c>
      <c r="DN59" s="2947">
        <v>0</v>
      </c>
      <c r="DO59" s="3001">
        <f t="shared" ref="DO59:DW60" si="575">SUM(CN59+CW59+DF59)</f>
        <v>0</v>
      </c>
      <c r="DP59" s="3001">
        <f t="shared" si="575"/>
        <v>0</v>
      </c>
      <c r="DQ59" s="3001">
        <f t="shared" si="575"/>
        <v>0</v>
      </c>
      <c r="DR59" s="3001">
        <f t="shared" si="575"/>
        <v>0</v>
      </c>
      <c r="DS59" s="3001">
        <f t="shared" si="575"/>
        <v>0</v>
      </c>
      <c r="DT59" s="3001">
        <f t="shared" si="575"/>
        <v>0</v>
      </c>
      <c r="DU59" s="3001">
        <f t="shared" si="575"/>
        <v>0</v>
      </c>
      <c r="DV59" s="3001">
        <f t="shared" si="575"/>
        <v>0</v>
      </c>
      <c r="DW59" s="3001">
        <f t="shared" si="575"/>
        <v>0</v>
      </c>
      <c r="DX59" s="2954">
        <f t="shared" si="371"/>
        <v>0</v>
      </c>
      <c r="DY59" s="2954">
        <f t="shared" si="371"/>
        <v>0</v>
      </c>
      <c r="DZ59" s="2954">
        <f t="shared" si="371"/>
        <v>0</v>
      </c>
      <c r="EA59" s="3001">
        <f t="shared" ref="EA59:EI62" si="576">SUM(CB59+DO59)</f>
        <v>0</v>
      </c>
      <c r="EB59" s="3001">
        <f t="shared" si="576"/>
        <v>0</v>
      </c>
      <c r="EC59" s="3001">
        <f t="shared" si="576"/>
        <v>0</v>
      </c>
      <c r="ED59" s="3001">
        <f t="shared" si="576"/>
        <v>0</v>
      </c>
      <c r="EE59" s="3001">
        <f t="shared" si="576"/>
        <v>0</v>
      </c>
      <c r="EF59" s="3001">
        <f t="shared" si="576"/>
        <v>0</v>
      </c>
      <c r="EG59" s="3001">
        <f t="shared" si="576"/>
        <v>0</v>
      </c>
      <c r="EH59" s="3001">
        <f t="shared" si="576"/>
        <v>0</v>
      </c>
      <c r="EI59" s="3001">
        <f t="shared" si="576"/>
        <v>0</v>
      </c>
      <c r="EJ59" s="2954">
        <f t="shared" si="373"/>
        <v>0</v>
      </c>
      <c r="EK59" s="2954">
        <f t="shared" si="373"/>
        <v>0</v>
      </c>
      <c r="EL59" s="2954">
        <f t="shared" si="373"/>
        <v>0</v>
      </c>
      <c r="EM59" s="2865">
        <f t="shared" si="559"/>
        <v>0</v>
      </c>
      <c r="EN59" s="2865">
        <f>SUM('ПОЛНАЯ СЕБЕСТОИМОСТЬ СТОКИ 2021'!BN175)/3</f>
        <v>0</v>
      </c>
      <c r="EO59" s="2865">
        <f>SUM('ПОЛНАЯ СЕБЕСТОИМОСТЬ СТОКИ 2021'!BO175)/3</f>
        <v>0</v>
      </c>
      <c r="EP59" s="2865">
        <f t="shared" si="485"/>
        <v>0</v>
      </c>
      <c r="EQ59" s="2865">
        <f>SUM('ПОЛНАЯ СЕБЕСТОИМОСТЬ СТОКИ 2021'!BQ175)</f>
        <v>0</v>
      </c>
      <c r="ER59" s="2865">
        <f>SUM('ПОЛНАЯ СЕБЕСТОИМОСТЬ СТОКИ 2021'!BR175)</f>
        <v>0</v>
      </c>
      <c r="ES59" s="2947">
        <f t="shared" si="554"/>
        <v>0</v>
      </c>
      <c r="ET59" s="2947">
        <v>0</v>
      </c>
      <c r="EU59" s="2947">
        <v>0</v>
      </c>
      <c r="EV59" s="2865">
        <f t="shared" si="571"/>
        <v>0</v>
      </c>
      <c r="EW59" s="2865">
        <f t="shared" si="488"/>
        <v>0</v>
      </c>
      <c r="EX59" s="2865">
        <f t="shared" si="489"/>
        <v>0</v>
      </c>
      <c r="EY59" s="2865">
        <f t="shared" si="490"/>
        <v>0</v>
      </c>
      <c r="EZ59" s="2865">
        <f>SUM('ПОЛНАЯ СЕБЕСТОИМОСТЬ СТОКИ 2021'!BT175)</f>
        <v>0</v>
      </c>
      <c r="FA59" s="2865">
        <f>SUM('ПОЛНАЯ СЕБЕСТОИМОСТЬ СТОКИ 2021'!BU175)</f>
        <v>0</v>
      </c>
      <c r="FB59" s="2947">
        <f t="shared" si="555"/>
        <v>0</v>
      </c>
      <c r="FC59" s="2947">
        <v>0</v>
      </c>
      <c r="FD59" s="2947">
        <v>0</v>
      </c>
      <c r="FE59" s="2865">
        <f t="shared" si="565"/>
        <v>0</v>
      </c>
      <c r="FF59" s="2865">
        <f t="shared" si="493"/>
        <v>0</v>
      </c>
      <c r="FG59" s="2865">
        <f t="shared" si="494"/>
        <v>0</v>
      </c>
      <c r="FH59" s="2865">
        <f t="shared" si="495"/>
        <v>0</v>
      </c>
      <c r="FI59" s="2865">
        <f>SUM('ПОЛНАЯ СЕБЕСТОИМОСТЬ СТОКИ 2021'!BW175)</f>
        <v>0</v>
      </c>
      <c r="FJ59" s="2865">
        <f>SUM('ПОЛНАЯ СЕБЕСТОИМОСТЬ СТОКИ 2021'!BX175)</f>
        <v>0</v>
      </c>
      <c r="FK59" s="2947">
        <f t="shared" si="556"/>
        <v>0</v>
      </c>
      <c r="FL59" s="2947">
        <v>0</v>
      </c>
      <c r="FM59" s="2947">
        <v>0</v>
      </c>
      <c r="FN59" s="3001">
        <f t="shared" ref="FN59:FV60" si="577">SUM(EM59+EV59+FE59)</f>
        <v>0</v>
      </c>
      <c r="FO59" s="3001">
        <f t="shared" si="577"/>
        <v>0</v>
      </c>
      <c r="FP59" s="3001">
        <f t="shared" si="577"/>
        <v>0</v>
      </c>
      <c r="FQ59" s="3001">
        <f t="shared" si="577"/>
        <v>0</v>
      </c>
      <c r="FR59" s="3001">
        <f t="shared" si="577"/>
        <v>0</v>
      </c>
      <c r="FS59" s="3001">
        <f t="shared" si="577"/>
        <v>0</v>
      </c>
      <c r="FT59" s="3001">
        <f t="shared" si="577"/>
        <v>0</v>
      </c>
      <c r="FU59" s="3001">
        <f t="shared" si="577"/>
        <v>0</v>
      </c>
      <c r="FV59" s="3001">
        <f t="shared" si="577"/>
        <v>0</v>
      </c>
      <c r="FW59" s="2954">
        <f t="shared" si="375"/>
        <v>0</v>
      </c>
      <c r="FX59" s="2954">
        <f t="shared" si="375"/>
        <v>0</v>
      </c>
      <c r="FY59" s="2954">
        <f t="shared" si="375"/>
        <v>0</v>
      </c>
      <c r="FZ59" s="3001">
        <f t="shared" ref="FZ59:GH62" si="578">SUM(EA59+FN59)</f>
        <v>0</v>
      </c>
      <c r="GA59" s="3001">
        <f t="shared" si="578"/>
        <v>0</v>
      </c>
      <c r="GB59" s="3001">
        <f t="shared" si="578"/>
        <v>0</v>
      </c>
      <c r="GC59" s="3001">
        <f t="shared" si="578"/>
        <v>0</v>
      </c>
      <c r="GD59" s="3001">
        <f t="shared" si="578"/>
        <v>0</v>
      </c>
      <c r="GE59" s="3001">
        <f t="shared" si="578"/>
        <v>0</v>
      </c>
      <c r="GF59" s="3001">
        <f t="shared" si="578"/>
        <v>0</v>
      </c>
      <c r="GG59" s="3001">
        <f t="shared" si="578"/>
        <v>0</v>
      </c>
      <c r="GH59" s="3001">
        <f t="shared" si="578"/>
        <v>0</v>
      </c>
      <c r="GI59" s="2954">
        <f t="shared" si="377"/>
        <v>0</v>
      </c>
      <c r="GJ59" s="2954">
        <f t="shared" si="377"/>
        <v>0</v>
      </c>
      <c r="GK59" s="2954">
        <f t="shared" si="377"/>
        <v>0</v>
      </c>
      <c r="GM59" s="4234"/>
    </row>
    <row r="60" spans="1:195" ht="18.75" customHeight="1" x14ac:dyDescent="0.3">
      <c r="A60" s="2914" t="s">
        <v>3749</v>
      </c>
      <c r="B60" s="2865">
        <f t="shared" si="440"/>
        <v>0</v>
      </c>
      <c r="C60" s="2865">
        <f>SUM('ПОЛНАЯ СЕБЕСТОИМОСТЬ СТОКИ 2021'!C176)/3</f>
        <v>0</v>
      </c>
      <c r="D60" s="2865">
        <f>SUM('ПОЛНАЯ СЕБЕСТОИМОСТЬ СТОКИ 2021'!D176)/3</f>
        <v>0</v>
      </c>
      <c r="E60" s="2865">
        <f t="shared" si="441"/>
        <v>0</v>
      </c>
      <c r="F60" s="2865">
        <f>SUM('ПОЛНАЯ СЕБЕСТОИМОСТЬ СТОКИ 2021'!F176)</f>
        <v>0</v>
      </c>
      <c r="G60" s="2865">
        <f>SUM('ПОЛНАЯ СЕБЕСТОИМОСТЬ СТОКИ 2021'!G176)</f>
        <v>0</v>
      </c>
      <c r="H60" s="2947">
        <f t="shared" si="499"/>
        <v>0</v>
      </c>
      <c r="I60" s="2947">
        <v>0</v>
      </c>
      <c r="J60" s="2947">
        <v>0</v>
      </c>
      <c r="K60" s="2865">
        <f t="shared" si="557"/>
        <v>0</v>
      </c>
      <c r="L60" s="2865">
        <f t="shared" si="444"/>
        <v>0</v>
      </c>
      <c r="M60" s="2865">
        <f t="shared" si="445"/>
        <v>0</v>
      </c>
      <c r="N60" s="2865">
        <f t="shared" si="560"/>
        <v>0</v>
      </c>
      <c r="O60" s="2865">
        <f>SUM('ПОЛНАЯ СЕБЕСТОИМОСТЬ СТОКИ 2021'!I176)</f>
        <v>0</v>
      </c>
      <c r="P60" s="2865">
        <f>SUM('ПОЛНАЯ СЕБЕСТОИМОСТЬ СТОКИ 2021'!J176)</f>
        <v>0</v>
      </c>
      <c r="Q60" s="2947">
        <f t="shared" si="546"/>
        <v>0</v>
      </c>
      <c r="R60" s="2947">
        <v>0</v>
      </c>
      <c r="S60" s="2947">
        <v>0</v>
      </c>
      <c r="T60" s="2865">
        <f t="shared" si="566"/>
        <v>0</v>
      </c>
      <c r="U60" s="2865">
        <f t="shared" si="449"/>
        <v>0</v>
      </c>
      <c r="V60" s="2865">
        <f t="shared" si="450"/>
        <v>0</v>
      </c>
      <c r="W60" s="2865">
        <f t="shared" si="561"/>
        <v>0</v>
      </c>
      <c r="X60" s="2865">
        <f>SUM('ПОЛНАЯ СЕБЕСТОИМОСТЬ СТОКИ 2021'!L176)</f>
        <v>0</v>
      </c>
      <c r="Y60" s="2865">
        <f>SUM('ПОЛНАЯ СЕБЕСТОИМОСТЬ СТОКИ 2021'!M176)</f>
        <v>0</v>
      </c>
      <c r="Z60" s="2947">
        <f t="shared" si="547"/>
        <v>0</v>
      </c>
      <c r="AA60" s="2947">
        <v>0</v>
      </c>
      <c r="AB60" s="2947">
        <v>0</v>
      </c>
      <c r="AC60" s="3001">
        <f t="shared" si="572"/>
        <v>0</v>
      </c>
      <c r="AD60" s="3001">
        <f t="shared" si="572"/>
        <v>0</v>
      </c>
      <c r="AE60" s="3001">
        <f t="shared" si="572"/>
        <v>0</v>
      </c>
      <c r="AF60" s="3001">
        <f t="shared" si="572"/>
        <v>0</v>
      </c>
      <c r="AG60" s="3001">
        <f t="shared" si="572"/>
        <v>0</v>
      </c>
      <c r="AH60" s="3001">
        <f t="shared" si="572"/>
        <v>0</v>
      </c>
      <c r="AI60" s="3001">
        <f t="shared" si="572"/>
        <v>0</v>
      </c>
      <c r="AJ60" s="3001">
        <f t="shared" si="572"/>
        <v>0</v>
      </c>
      <c r="AK60" s="3001">
        <f t="shared" si="572"/>
        <v>0</v>
      </c>
      <c r="AL60" s="2954">
        <f t="shared" si="365"/>
        <v>0</v>
      </c>
      <c r="AM60" s="2954">
        <f t="shared" si="365"/>
        <v>0</v>
      </c>
      <c r="AN60" s="2954">
        <f t="shared" si="365"/>
        <v>0</v>
      </c>
      <c r="AO60" s="2865">
        <f t="shared" si="562"/>
        <v>0</v>
      </c>
      <c r="AP60" s="2865">
        <f>SUM('ПОЛНАЯ СЕБЕСТОИМОСТЬ СТОКИ 2021'!R176)/3</f>
        <v>0</v>
      </c>
      <c r="AQ60" s="2865">
        <f>SUM('ПОЛНАЯ СЕБЕСТОИМОСТЬ СТОКИ 2021'!S176)/3</f>
        <v>0</v>
      </c>
      <c r="AR60" s="2865">
        <f t="shared" si="455"/>
        <v>0</v>
      </c>
      <c r="AS60" s="2865">
        <f>SUM('ПОЛНАЯ СЕБЕСТОИМОСТЬ СТОКИ 2021'!U176)</f>
        <v>0</v>
      </c>
      <c r="AT60" s="2865">
        <f>SUM('ПОЛНАЯ СЕБЕСТОИМОСТЬ СТОКИ 2021'!V176)</f>
        <v>0</v>
      </c>
      <c r="AU60" s="2947">
        <f t="shared" si="548"/>
        <v>0</v>
      </c>
      <c r="AV60" s="2947">
        <v>0</v>
      </c>
      <c r="AW60" s="2947">
        <v>0</v>
      </c>
      <c r="AX60" s="2865">
        <f t="shared" si="563"/>
        <v>0</v>
      </c>
      <c r="AY60" s="2865">
        <f t="shared" si="458"/>
        <v>0</v>
      </c>
      <c r="AZ60" s="2865">
        <f t="shared" si="459"/>
        <v>0</v>
      </c>
      <c r="BA60" s="2946">
        <f t="shared" si="567"/>
        <v>0</v>
      </c>
      <c r="BB60" s="2946">
        <f>SUM('ПОЛНАЯ СЕБЕСТОИМОСТЬ СТОКИ 2021'!X176)</f>
        <v>0</v>
      </c>
      <c r="BC60" s="2946">
        <f>SUM('ПОЛНАЯ СЕБЕСТОИМОСТЬ СТОКИ 2021'!Y176)</f>
        <v>0</v>
      </c>
      <c r="BD60" s="2947">
        <f t="shared" si="549"/>
        <v>0</v>
      </c>
      <c r="BE60" s="2947">
        <v>0</v>
      </c>
      <c r="BF60" s="2947">
        <v>0</v>
      </c>
      <c r="BG60" s="2865">
        <f t="shared" si="568"/>
        <v>0</v>
      </c>
      <c r="BH60" s="2865">
        <f t="shared" si="463"/>
        <v>0</v>
      </c>
      <c r="BI60" s="2865">
        <f t="shared" si="464"/>
        <v>0</v>
      </c>
      <c r="BJ60" s="2865">
        <f t="shared" si="558"/>
        <v>0</v>
      </c>
      <c r="BK60" s="2865">
        <f>SUM('ПОЛНАЯ СЕБЕСТОИМОСТЬ СТОКИ 2021'!AA176)</f>
        <v>0</v>
      </c>
      <c r="BL60" s="2865">
        <f>SUM('ПОЛНАЯ СЕБЕСТОИМОСТЬ СТОКИ 2021'!AB176)</f>
        <v>0</v>
      </c>
      <c r="BM60" s="2947">
        <f t="shared" si="550"/>
        <v>0</v>
      </c>
      <c r="BN60" s="2947">
        <v>0</v>
      </c>
      <c r="BO60" s="2947">
        <v>0</v>
      </c>
      <c r="BP60" s="3001">
        <f t="shared" si="573"/>
        <v>0</v>
      </c>
      <c r="BQ60" s="3001">
        <f t="shared" si="573"/>
        <v>0</v>
      </c>
      <c r="BR60" s="3001">
        <f t="shared" si="573"/>
        <v>0</v>
      </c>
      <c r="BS60" s="3001">
        <f t="shared" si="573"/>
        <v>0</v>
      </c>
      <c r="BT60" s="3001">
        <f t="shared" si="573"/>
        <v>0</v>
      </c>
      <c r="BU60" s="3001">
        <f t="shared" si="573"/>
        <v>0</v>
      </c>
      <c r="BV60" s="3001">
        <f t="shared" si="573"/>
        <v>0</v>
      </c>
      <c r="BW60" s="3001">
        <f t="shared" si="573"/>
        <v>0</v>
      </c>
      <c r="BX60" s="3001">
        <f t="shared" si="573"/>
        <v>0</v>
      </c>
      <c r="BY60" s="2954">
        <f t="shared" si="367"/>
        <v>0</v>
      </c>
      <c r="BZ60" s="2954">
        <f t="shared" si="367"/>
        <v>0</v>
      </c>
      <c r="CA60" s="2954">
        <f t="shared" si="367"/>
        <v>0</v>
      </c>
      <c r="CB60" s="3001">
        <f t="shared" si="574"/>
        <v>0</v>
      </c>
      <c r="CC60" s="3001">
        <f t="shared" si="574"/>
        <v>0</v>
      </c>
      <c r="CD60" s="3001">
        <f t="shared" si="574"/>
        <v>0</v>
      </c>
      <c r="CE60" s="3001">
        <f t="shared" si="574"/>
        <v>0</v>
      </c>
      <c r="CF60" s="3001">
        <f t="shared" si="574"/>
        <v>0</v>
      </c>
      <c r="CG60" s="3001">
        <f t="shared" si="574"/>
        <v>0</v>
      </c>
      <c r="CH60" s="3028">
        <f t="shared" si="574"/>
        <v>0</v>
      </c>
      <c r="CI60" s="3028">
        <f t="shared" si="574"/>
        <v>0</v>
      </c>
      <c r="CJ60" s="3028">
        <f t="shared" si="574"/>
        <v>0</v>
      </c>
      <c r="CK60" s="2954">
        <f t="shared" si="369"/>
        <v>0</v>
      </c>
      <c r="CL60" s="2954">
        <f t="shared" si="369"/>
        <v>0</v>
      </c>
      <c r="CM60" s="2954">
        <f t="shared" si="369"/>
        <v>0</v>
      </c>
      <c r="CN60" s="2865">
        <f t="shared" si="469"/>
        <v>0</v>
      </c>
      <c r="CO60" s="2865">
        <f>SUM('ПОЛНАЯ СЕБЕСТОИМОСТЬ СТОКИ 2021'!AP176)/3</f>
        <v>0</v>
      </c>
      <c r="CP60" s="2865">
        <f>SUM('ПОЛНАЯ СЕБЕСТОИМОСТЬ СТОКИ 2021'!AQ176)/3</f>
        <v>0</v>
      </c>
      <c r="CQ60" s="2865">
        <f t="shared" si="470"/>
        <v>0</v>
      </c>
      <c r="CR60" s="2865">
        <f>SUM('ПОЛНАЯ СЕБЕСТОИМОСТЬ СТОКИ 2021'!AS176)</f>
        <v>0</v>
      </c>
      <c r="CS60" s="2865">
        <f>SUM('ПОЛНАЯ СЕБЕСТОИМОСТЬ СТОКИ 2021'!AT176)</f>
        <v>0</v>
      </c>
      <c r="CT60" s="2947">
        <f t="shared" si="551"/>
        <v>0</v>
      </c>
      <c r="CU60" s="2947">
        <v>0</v>
      </c>
      <c r="CV60" s="2947">
        <v>0</v>
      </c>
      <c r="CW60" s="2865">
        <f t="shared" si="569"/>
        <v>0</v>
      </c>
      <c r="CX60" s="2865">
        <f t="shared" si="473"/>
        <v>0</v>
      </c>
      <c r="CY60" s="2865">
        <f t="shared" si="474"/>
        <v>0</v>
      </c>
      <c r="CZ60" s="2865">
        <f t="shared" si="475"/>
        <v>0</v>
      </c>
      <c r="DA60" s="2865">
        <f>SUM('ПОЛНАЯ СЕБЕСТОИМОСТЬ СТОКИ 2021'!AV176)</f>
        <v>0</v>
      </c>
      <c r="DB60" s="2865">
        <f>SUM('ПОЛНАЯ СЕБЕСТОИМОСТЬ СТОКИ 2021'!AW176)</f>
        <v>0</v>
      </c>
      <c r="DC60" s="2947">
        <f t="shared" si="552"/>
        <v>0</v>
      </c>
      <c r="DD60" s="2947">
        <v>0</v>
      </c>
      <c r="DE60" s="2947">
        <v>0</v>
      </c>
      <c r="DF60" s="2865">
        <f t="shared" si="570"/>
        <v>0</v>
      </c>
      <c r="DG60" s="2865">
        <f t="shared" si="478"/>
        <v>0</v>
      </c>
      <c r="DH60" s="2865">
        <f t="shared" si="479"/>
        <v>0</v>
      </c>
      <c r="DI60" s="2865">
        <f t="shared" si="564"/>
        <v>0</v>
      </c>
      <c r="DJ60" s="2865">
        <f>SUM('ПОЛНАЯ СЕБЕСТОИМОСТЬ СТОКИ 2021'!AY176)</f>
        <v>0</v>
      </c>
      <c r="DK60" s="2865">
        <f>SUM('ПОЛНАЯ СЕБЕСТОИМОСТЬ СТОКИ 2021'!AZ176)</f>
        <v>0</v>
      </c>
      <c r="DL60" s="2947">
        <f t="shared" si="553"/>
        <v>0</v>
      </c>
      <c r="DM60" s="2947">
        <v>0</v>
      </c>
      <c r="DN60" s="2947">
        <v>0</v>
      </c>
      <c r="DO60" s="3001">
        <f t="shared" si="575"/>
        <v>0</v>
      </c>
      <c r="DP60" s="3001">
        <f t="shared" si="575"/>
        <v>0</v>
      </c>
      <c r="DQ60" s="3001">
        <f t="shared" si="575"/>
        <v>0</v>
      </c>
      <c r="DR60" s="3001">
        <f t="shared" si="575"/>
        <v>0</v>
      </c>
      <c r="DS60" s="3001">
        <f t="shared" si="575"/>
        <v>0</v>
      </c>
      <c r="DT60" s="3001">
        <f t="shared" si="575"/>
        <v>0</v>
      </c>
      <c r="DU60" s="3001">
        <f t="shared" si="575"/>
        <v>0</v>
      </c>
      <c r="DV60" s="3001">
        <f t="shared" si="575"/>
        <v>0</v>
      </c>
      <c r="DW60" s="3001">
        <f t="shared" si="575"/>
        <v>0</v>
      </c>
      <c r="DX60" s="2954">
        <f t="shared" si="371"/>
        <v>0</v>
      </c>
      <c r="DY60" s="2954">
        <f t="shared" si="371"/>
        <v>0</v>
      </c>
      <c r="DZ60" s="2954">
        <f t="shared" si="371"/>
        <v>0</v>
      </c>
      <c r="EA60" s="3001">
        <f t="shared" si="576"/>
        <v>0</v>
      </c>
      <c r="EB60" s="3001">
        <f t="shared" si="576"/>
        <v>0</v>
      </c>
      <c r="EC60" s="3001">
        <f t="shared" si="576"/>
        <v>0</v>
      </c>
      <c r="ED60" s="3001">
        <f t="shared" si="576"/>
        <v>0</v>
      </c>
      <c r="EE60" s="3001">
        <f t="shared" si="576"/>
        <v>0</v>
      </c>
      <c r="EF60" s="3001">
        <f t="shared" si="576"/>
        <v>0</v>
      </c>
      <c r="EG60" s="3001">
        <f t="shared" si="576"/>
        <v>0</v>
      </c>
      <c r="EH60" s="3001">
        <f t="shared" si="576"/>
        <v>0</v>
      </c>
      <c r="EI60" s="3001">
        <f t="shared" si="576"/>
        <v>0</v>
      </c>
      <c r="EJ60" s="2954">
        <f t="shared" si="373"/>
        <v>0</v>
      </c>
      <c r="EK60" s="2954">
        <f t="shared" si="373"/>
        <v>0</v>
      </c>
      <c r="EL60" s="2954">
        <f t="shared" si="373"/>
        <v>0</v>
      </c>
      <c r="EM60" s="2865">
        <f t="shared" si="559"/>
        <v>0</v>
      </c>
      <c r="EN60" s="2865">
        <f>SUM('ПОЛНАЯ СЕБЕСТОИМОСТЬ СТОКИ 2021'!BN176)/3</f>
        <v>0</v>
      </c>
      <c r="EO60" s="2865">
        <f>SUM('ПОЛНАЯ СЕБЕСТОИМОСТЬ СТОКИ 2021'!BO176)/3</f>
        <v>0</v>
      </c>
      <c r="EP60" s="2865">
        <f t="shared" si="485"/>
        <v>0</v>
      </c>
      <c r="EQ60" s="2865">
        <f>SUM('ПОЛНАЯ СЕБЕСТОИМОСТЬ СТОКИ 2021'!BQ176)</f>
        <v>0</v>
      </c>
      <c r="ER60" s="2865">
        <f>SUM('ПОЛНАЯ СЕБЕСТОИМОСТЬ СТОКИ 2021'!BR176)</f>
        <v>0</v>
      </c>
      <c r="ES60" s="2947">
        <f t="shared" si="554"/>
        <v>0</v>
      </c>
      <c r="ET60" s="2947">
        <v>0</v>
      </c>
      <c r="EU60" s="2947">
        <v>0</v>
      </c>
      <c r="EV60" s="2865">
        <f t="shared" si="571"/>
        <v>0</v>
      </c>
      <c r="EW60" s="2865">
        <f t="shared" si="488"/>
        <v>0</v>
      </c>
      <c r="EX60" s="2865">
        <f t="shared" si="489"/>
        <v>0</v>
      </c>
      <c r="EY60" s="2865">
        <f t="shared" si="490"/>
        <v>0</v>
      </c>
      <c r="EZ60" s="2865">
        <f>SUM('ПОЛНАЯ СЕБЕСТОИМОСТЬ СТОКИ 2021'!BT176)</f>
        <v>0</v>
      </c>
      <c r="FA60" s="2865">
        <f>SUM('ПОЛНАЯ СЕБЕСТОИМОСТЬ СТОКИ 2021'!BU176)</f>
        <v>0</v>
      </c>
      <c r="FB60" s="2947">
        <f t="shared" si="555"/>
        <v>0</v>
      </c>
      <c r="FC60" s="2947">
        <v>0</v>
      </c>
      <c r="FD60" s="2947">
        <v>0</v>
      </c>
      <c r="FE60" s="2865">
        <f t="shared" si="565"/>
        <v>0</v>
      </c>
      <c r="FF60" s="2865">
        <f t="shared" si="493"/>
        <v>0</v>
      </c>
      <c r="FG60" s="2865">
        <f t="shared" si="494"/>
        <v>0</v>
      </c>
      <c r="FH60" s="2865">
        <f t="shared" si="495"/>
        <v>0</v>
      </c>
      <c r="FI60" s="2865">
        <f>SUM('ПОЛНАЯ СЕБЕСТОИМОСТЬ СТОКИ 2021'!BW176)</f>
        <v>0</v>
      </c>
      <c r="FJ60" s="2865">
        <f>SUM('ПОЛНАЯ СЕБЕСТОИМОСТЬ СТОКИ 2021'!BX176)</f>
        <v>0</v>
      </c>
      <c r="FK60" s="2947">
        <f t="shared" si="556"/>
        <v>0</v>
      </c>
      <c r="FL60" s="2947">
        <v>0</v>
      </c>
      <c r="FM60" s="2947">
        <v>0</v>
      </c>
      <c r="FN60" s="3001">
        <f t="shared" si="577"/>
        <v>0</v>
      </c>
      <c r="FO60" s="3001">
        <f t="shared" si="577"/>
        <v>0</v>
      </c>
      <c r="FP60" s="3001">
        <f t="shared" si="577"/>
        <v>0</v>
      </c>
      <c r="FQ60" s="3001">
        <f t="shared" si="577"/>
        <v>0</v>
      </c>
      <c r="FR60" s="3001">
        <f t="shared" si="577"/>
        <v>0</v>
      </c>
      <c r="FS60" s="3001">
        <f t="shared" si="577"/>
        <v>0</v>
      </c>
      <c r="FT60" s="3001">
        <f t="shared" si="577"/>
        <v>0</v>
      </c>
      <c r="FU60" s="3001">
        <f t="shared" si="577"/>
        <v>0</v>
      </c>
      <c r="FV60" s="3001">
        <f t="shared" si="577"/>
        <v>0</v>
      </c>
      <c r="FW60" s="2954">
        <f t="shared" si="375"/>
        <v>0</v>
      </c>
      <c r="FX60" s="2954">
        <f t="shared" si="375"/>
        <v>0</v>
      </c>
      <c r="FY60" s="2954">
        <f t="shared" si="375"/>
        <v>0</v>
      </c>
      <c r="FZ60" s="3001">
        <f t="shared" si="578"/>
        <v>0</v>
      </c>
      <c r="GA60" s="3001">
        <f t="shared" si="578"/>
        <v>0</v>
      </c>
      <c r="GB60" s="3001">
        <f t="shared" si="578"/>
        <v>0</v>
      </c>
      <c r="GC60" s="3001">
        <f t="shared" si="578"/>
        <v>0</v>
      </c>
      <c r="GD60" s="3001">
        <f t="shared" si="578"/>
        <v>0</v>
      </c>
      <c r="GE60" s="3001">
        <f t="shared" si="578"/>
        <v>0</v>
      </c>
      <c r="GF60" s="3001">
        <f t="shared" si="578"/>
        <v>0</v>
      </c>
      <c r="GG60" s="3001">
        <f t="shared" si="578"/>
        <v>0</v>
      </c>
      <c r="GH60" s="3001">
        <f t="shared" si="578"/>
        <v>0</v>
      </c>
      <c r="GI60" s="2954">
        <f t="shared" si="377"/>
        <v>0</v>
      </c>
      <c r="GJ60" s="2954">
        <f t="shared" si="377"/>
        <v>0</v>
      </c>
      <c r="GK60" s="2954">
        <f t="shared" si="377"/>
        <v>0</v>
      </c>
      <c r="GM60" s="4234"/>
    </row>
    <row r="61" spans="1:195" ht="18.75" customHeight="1" x14ac:dyDescent="0.3">
      <c r="A61" s="2910" t="s">
        <v>12</v>
      </c>
      <c r="B61" s="2960">
        <f t="shared" ref="B61:G61" si="579">SUM(B35+B36+B38+B39+B40+B41+B43+B48+B52+B59+B60+B37)</f>
        <v>8392.1368897794619</v>
      </c>
      <c r="C61" s="2960">
        <f t="shared" si="579"/>
        <v>8369.3076975895892</v>
      </c>
      <c r="D61" s="2960">
        <f t="shared" si="579"/>
        <v>22.829192189871364</v>
      </c>
      <c r="E61" s="2970">
        <f t="shared" si="579"/>
        <v>6837.0297900000014</v>
      </c>
      <c r="F61" s="4232">
        <f t="shared" si="579"/>
        <v>6827.0944899999995</v>
      </c>
      <c r="G61" s="2970">
        <f t="shared" si="579"/>
        <v>9.9352999999999998</v>
      </c>
      <c r="H61" s="2960">
        <f t="shared" ref="H61" si="580">SUM(H35+H36+H38+H39+H40+H41+H43+H48+H52+H59+H60+H37)</f>
        <v>6654.9020940000009</v>
      </c>
      <c r="I61" s="2960">
        <f t="shared" ref="I61" si="581">SUM(I35+I36+I38+I39+I40+I41+I43+I48+I52+I59+I60+I37)</f>
        <v>6643.9439999999995</v>
      </c>
      <c r="J61" s="2960">
        <f t="shared" ref="J61" si="582">SUM(J35+J36+J38+J39+J40+J41+J43+J48+J52+J59+J60+J37)</f>
        <v>10.958094000000001</v>
      </c>
      <c r="K61" s="2960">
        <f t="shared" ref="K61" si="583">SUM(K35+K36+K38+K39+K40+K41+K43+K48+K52+K59+K60+K37)</f>
        <v>8392.1368897794619</v>
      </c>
      <c r="L61" s="2960">
        <f t="shared" ref="L61" si="584">SUM(L35+L36+L38+L39+L40+L41+L43+L48+L52+L59+L60+L37)</f>
        <v>8369.3076975895892</v>
      </c>
      <c r="M61" s="2960">
        <f t="shared" ref="M61" si="585">SUM(M35+M36+M38+M39+M40+M41+M43+M48+M52+M59+M60+M37)</f>
        <v>22.829192189871364</v>
      </c>
      <c r="N61" s="2970">
        <f t="shared" ref="N61" si="586">SUM(N35+N36+N38+N39+N40+N41+N43+N48+N52+N59+N60+N37)</f>
        <v>6960.8995599999998</v>
      </c>
      <c r="O61" s="4233">
        <f t="shared" ref="O61" si="587">SUM(O35+O36+O38+O39+O40+O41+O43+O48+O52+O59+O60+O37)</f>
        <v>6948.4513000000006</v>
      </c>
      <c r="P61" s="4232">
        <f t="shared" ref="P61" si="588">SUM(P35+P36+P38+P39+P40+P41+P43+P48+P52+P59+P60+P37)</f>
        <v>12.448260000000001</v>
      </c>
      <c r="Q61" s="2960">
        <f t="shared" ref="Q61" si="589">SUM(Q35+Q36+Q38+Q39+Q40+Q41+Q43+Q48+Q52+Q59+Q60+Q37)</f>
        <v>6183.8598199999997</v>
      </c>
      <c r="R61" s="2960">
        <f t="shared" ref="R61" si="590">SUM(R35+R36+R38+R39+R40+R41+R43+R48+R52+R59+R60+R37)</f>
        <v>6171.6980000000003</v>
      </c>
      <c r="S61" s="2960">
        <f t="shared" ref="S61" si="591">SUM(S35+S36+S38+S39+S40+S41+S43+S48+S52+S59+S60+S37)</f>
        <v>12.161820000000001</v>
      </c>
      <c r="T61" s="2960">
        <f t="shared" ref="T61:Y61" si="592">SUM(T35+T36+T38+T39+T40+T41+T43+T48+T52+T59+T60+T37)</f>
        <v>8392.1368897794619</v>
      </c>
      <c r="U61" s="2960">
        <f t="shared" si="592"/>
        <v>8369.3076975895892</v>
      </c>
      <c r="V61" s="2960">
        <f t="shared" si="592"/>
        <v>22.829192189871364</v>
      </c>
      <c r="W61" s="2970">
        <f t="shared" si="592"/>
        <v>7887.9431700000014</v>
      </c>
      <c r="X61" s="2970">
        <f t="shared" si="592"/>
        <v>7866.4274000000005</v>
      </c>
      <c r="Y61" s="2970">
        <f t="shared" si="592"/>
        <v>21.51577</v>
      </c>
      <c r="Z61" s="2960">
        <f t="shared" ref="Z61:AB61" si="593">SUM(Z35+Z36+Z38+Z39+Z40+Z41+Z43+Z48+Z52+Z59+Z60+Z37)</f>
        <v>7441.2730000000001</v>
      </c>
      <c r="AA61" s="2960">
        <f t="shared" si="593"/>
        <v>7423.3990000000013</v>
      </c>
      <c r="AB61" s="2960">
        <f t="shared" si="593"/>
        <v>17.874000000000002</v>
      </c>
      <c r="AC61" s="2963">
        <f t="shared" ref="AC61:AC62" si="594">SUM(B61+K61+T61)</f>
        <v>25176.410669338387</v>
      </c>
      <c r="AD61" s="2963">
        <f t="shared" ref="AD61:AK62" si="595">SUM(C61+L61+U61)</f>
        <v>25107.923092768768</v>
      </c>
      <c r="AE61" s="2963">
        <f t="shared" si="595"/>
        <v>68.487576569614092</v>
      </c>
      <c r="AF61" s="2963">
        <f t="shared" si="595"/>
        <v>21685.872520000004</v>
      </c>
      <c r="AG61" s="2963">
        <f t="shared" si="595"/>
        <v>21641.973190000001</v>
      </c>
      <c r="AH61" s="2963">
        <f t="shared" si="595"/>
        <v>43.899330000000006</v>
      </c>
      <c r="AI61" s="2963">
        <f t="shared" si="595"/>
        <v>20280.034914</v>
      </c>
      <c r="AJ61" s="2963">
        <f t="shared" si="595"/>
        <v>20239.041000000001</v>
      </c>
      <c r="AK61" s="2963">
        <f t="shared" si="595"/>
        <v>40.993914000000004</v>
      </c>
      <c r="AL61" s="2964">
        <f t="shared" si="365"/>
        <v>-3490.5381493383829</v>
      </c>
      <c r="AM61" s="2964">
        <f t="shared" si="365"/>
        <v>-3465.9499027687671</v>
      </c>
      <c r="AN61" s="2964">
        <f t="shared" si="365"/>
        <v>-24.588246569614086</v>
      </c>
      <c r="AO61" s="2960">
        <f t="shared" ref="AO61:BC61" si="596">SUM(AO35+AO36+AO38+AO39+AO40+AO41+AO43+AO48+AO52+AO59+AO60+AO37)</f>
        <v>8392.1368897794619</v>
      </c>
      <c r="AP61" s="2960">
        <f t="shared" si="596"/>
        <v>8369.3076975895892</v>
      </c>
      <c r="AQ61" s="2960">
        <f t="shared" si="596"/>
        <v>22.829192189871364</v>
      </c>
      <c r="AR61" s="2970">
        <f t="shared" si="596"/>
        <v>7734.77718</v>
      </c>
      <c r="AS61" s="2970">
        <f t="shared" si="596"/>
        <v>7717.8579999999993</v>
      </c>
      <c r="AT61" s="2970">
        <f t="shared" si="596"/>
        <v>16.919180000000001</v>
      </c>
      <c r="AU61" s="2960">
        <f t="shared" si="596"/>
        <v>6926.4920000000002</v>
      </c>
      <c r="AV61" s="2960">
        <f t="shared" si="596"/>
        <v>6912.380000000001</v>
      </c>
      <c r="AW61" s="2960">
        <f t="shared" si="596"/>
        <v>14.112</v>
      </c>
      <c r="AX61" s="2960">
        <f t="shared" si="596"/>
        <v>8392.1368897794619</v>
      </c>
      <c r="AY61" s="2960">
        <f t="shared" si="596"/>
        <v>8369.3076975895892</v>
      </c>
      <c r="AZ61" s="2960">
        <f t="shared" si="596"/>
        <v>22.829192189871364</v>
      </c>
      <c r="BA61" s="2970">
        <f t="shared" si="596"/>
        <v>8201.4269700000004</v>
      </c>
      <c r="BB61" s="2970">
        <f t="shared" si="596"/>
        <v>8186.1820000000007</v>
      </c>
      <c r="BC61" s="2970">
        <f t="shared" si="596"/>
        <v>15.24497</v>
      </c>
      <c r="BD61" s="2960">
        <f t="shared" ref="BD61:BF61" si="597">SUM(BD35+BD36+BD38+BD39+BD40+BD41+BD43+BD48+BD52+BD59+BD60+BD37)</f>
        <v>6494.7619999999997</v>
      </c>
      <c r="BE61" s="2960">
        <f t="shared" si="597"/>
        <v>6482.1299999999992</v>
      </c>
      <c r="BF61" s="2960">
        <f t="shared" si="597"/>
        <v>12.632000000000001</v>
      </c>
      <c r="BG61" s="2960">
        <f t="shared" ref="BG61:BO61" si="598">SUM(BG35+BG36+BG38+BG39+BG40+BG41+BG43+BG48+BG52+BG59+BG60+BG37)</f>
        <v>8392.1368897794619</v>
      </c>
      <c r="BH61" s="2960">
        <f t="shared" si="598"/>
        <v>8369.3076975895892</v>
      </c>
      <c r="BI61" s="2960">
        <f t="shared" si="598"/>
        <v>22.829192189871364</v>
      </c>
      <c r="BJ61" s="2970">
        <f t="shared" si="598"/>
        <v>7019.1313</v>
      </c>
      <c r="BK61" s="2970">
        <f t="shared" si="598"/>
        <v>7007.1710000000012</v>
      </c>
      <c r="BL61" s="2970">
        <f t="shared" si="598"/>
        <v>11.9603</v>
      </c>
      <c r="BM61" s="2960">
        <f t="shared" si="598"/>
        <v>6808.59</v>
      </c>
      <c r="BN61" s="2960">
        <f t="shared" si="598"/>
        <v>6783.08</v>
      </c>
      <c r="BO61" s="2960">
        <f t="shared" si="598"/>
        <v>25.51</v>
      </c>
      <c r="BP61" s="2963">
        <f t="shared" ref="BP61:BP62" si="599">SUM(AO61+AX61+BG61)</f>
        <v>25176.410669338387</v>
      </c>
      <c r="BQ61" s="2963">
        <f t="shared" ref="BQ61:BX62" si="600">SUM(AP61+AY61+BH61)</f>
        <v>25107.923092768768</v>
      </c>
      <c r="BR61" s="2963">
        <f t="shared" si="600"/>
        <v>68.487576569614092</v>
      </c>
      <c r="BS61" s="2963">
        <f t="shared" si="600"/>
        <v>22955.335450000002</v>
      </c>
      <c r="BT61" s="2963">
        <f t="shared" si="600"/>
        <v>22911.211000000003</v>
      </c>
      <c r="BU61" s="2963">
        <f t="shared" si="600"/>
        <v>44.124449999999996</v>
      </c>
      <c r="BV61" s="2963">
        <f t="shared" si="600"/>
        <v>20229.844000000001</v>
      </c>
      <c r="BW61" s="2963">
        <f t="shared" si="600"/>
        <v>20177.59</v>
      </c>
      <c r="BX61" s="2963">
        <f t="shared" si="600"/>
        <v>52.254000000000005</v>
      </c>
      <c r="BY61" s="2964">
        <f t="shared" si="367"/>
        <v>-2221.0752193383851</v>
      </c>
      <c r="BZ61" s="2964">
        <f t="shared" si="367"/>
        <v>-2196.7120927687647</v>
      </c>
      <c r="CA61" s="2964">
        <f t="shared" si="367"/>
        <v>-24.363126569614096</v>
      </c>
      <c r="CB61" s="2963">
        <f t="shared" si="574"/>
        <v>50352.821338676775</v>
      </c>
      <c r="CC61" s="2963">
        <f t="shared" si="574"/>
        <v>50215.846185537535</v>
      </c>
      <c r="CD61" s="2963">
        <f t="shared" si="574"/>
        <v>136.97515313922818</v>
      </c>
      <c r="CE61" s="2963">
        <f t="shared" si="574"/>
        <v>44641.207970000003</v>
      </c>
      <c r="CF61" s="2963">
        <f t="shared" si="574"/>
        <v>44553.18419</v>
      </c>
      <c r="CG61" s="2963">
        <f t="shared" si="574"/>
        <v>88.023780000000002</v>
      </c>
      <c r="CH61" s="4227">
        <f t="shared" si="574"/>
        <v>40509.878914000001</v>
      </c>
      <c r="CI61" s="4227">
        <f t="shared" si="574"/>
        <v>40416.631000000001</v>
      </c>
      <c r="CJ61" s="4227">
        <f t="shared" si="574"/>
        <v>93.247914000000009</v>
      </c>
      <c r="CK61" s="2964">
        <f t="shared" si="369"/>
        <v>-5711.6133686767716</v>
      </c>
      <c r="CL61" s="2964">
        <f t="shared" si="369"/>
        <v>-5662.6619955375354</v>
      </c>
      <c r="CM61" s="2964">
        <f t="shared" si="369"/>
        <v>-48.951373139228181</v>
      </c>
      <c r="CN61" s="2960">
        <f t="shared" ref="CN61:DN61" si="601">SUM(CN35+CN36+CN38+CN39+CN40+CN41+CN43+CN48+CN52+CN59+CN60+CN37)</f>
        <v>8419.6472173602997</v>
      </c>
      <c r="CO61" s="2960">
        <f t="shared" si="601"/>
        <v>8396.5690304273339</v>
      </c>
      <c r="CP61" s="2960">
        <f t="shared" si="601"/>
        <v>23.078186932966432</v>
      </c>
      <c r="CQ61" s="2970">
        <f t="shared" si="601"/>
        <v>7654.8623700000007</v>
      </c>
      <c r="CR61" s="2970">
        <f t="shared" si="601"/>
        <v>7641.3670000000002</v>
      </c>
      <c r="CS61" s="2970">
        <f t="shared" si="601"/>
        <v>13.495369999999999</v>
      </c>
      <c r="CT61" s="2960">
        <f t="shared" si="601"/>
        <v>6343.9480000000003</v>
      </c>
      <c r="CU61" s="2960">
        <f t="shared" si="601"/>
        <v>6319.3600000000006</v>
      </c>
      <c r="CV61" s="2960">
        <f t="shared" si="601"/>
        <v>24.588000000000001</v>
      </c>
      <c r="CW61" s="2960">
        <f t="shared" si="601"/>
        <v>8419.6472173602997</v>
      </c>
      <c r="CX61" s="2960">
        <f t="shared" si="601"/>
        <v>8396.5690304273339</v>
      </c>
      <c r="CY61" s="2960">
        <f t="shared" si="601"/>
        <v>23.078186932966432</v>
      </c>
      <c r="CZ61" s="2970">
        <f t="shared" si="601"/>
        <v>8095.7349000000004</v>
      </c>
      <c r="DA61" s="2970">
        <f t="shared" si="601"/>
        <v>8080.4040000000005</v>
      </c>
      <c r="DB61" s="2970">
        <f t="shared" si="601"/>
        <v>15.3309</v>
      </c>
      <c r="DC61" s="2960">
        <f t="shared" si="601"/>
        <v>7163.5129999999999</v>
      </c>
      <c r="DD61" s="2960">
        <f t="shared" si="601"/>
        <v>7162.9730000000009</v>
      </c>
      <c r="DE61" s="2960">
        <f t="shared" si="601"/>
        <v>0.54</v>
      </c>
      <c r="DF61" s="2960">
        <f t="shared" si="601"/>
        <v>8419.6472173602997</v>
      </c>
      <c r="DG61" s="2960">
        <f t="shared" si="601"/>
        <v>8396.5690304273339</v>
      </c>
      <c r="DH61" s="2960">
        <f t="shared" si="601"/>
        <v>23.078186932966432</v>
      </c>
      <c r="DI61" s="2970">
        <f t="shared" si="601"/>
        <v>8184.3488000000007</v>
      </c>
      <c r="DJ61" s="2970">
        <f t="shared" si="601"/>
        <v>8169.2110000000002</v>
      </c>
      <c r="DK61" s="2970">
        <f t="shared" si="601"/>
        <v>15.137799999999999</v>
      </c>
      <c r="DL61" s="2960">
        <f t="shared" si="601"/>
        <v>7171.6900000000005</v>
      </c>
      <c r="DM61" s="2960">
        <f t="shared" si="601"/>
        <v>7151.0650000000005</v>
      </c>
      <c r="DN61" s="2960">
        <f t="shared" si="601"/>
        <v>20.625</v>
      </c>
      <c r="DO61" s="2963">
        <f t="shared" ref="DO61:DO62" si="602">SUM(CN61+CW61+DF61)</f>
        <v>25258.941652080899</v>
      </c>
      <c r="DP61" s="2963">
        <f t="shared" ref="DP61:DW62" si="603">SUM(CO61+CX61+DG61)</f>
        <v>25189.707091282002</v>
      </c>
      <c r="DQ61" s="2963">
        <f t="shared" si="603"/>
        <v>69.234560798899295</v>
      </c>
      <c r="DR61" s="2963">
        <f t="shared" si="603"/>
        <v>23934.946070000002</v>
      </c>
      <c r="DS61" s="2963">
        <f t="shared" si="603"/>
        <v>23890.982</v>
      </c>
      <c r="DT61" s="2963">
        <f t="shared" si="603"/>
        <v>43.96407</v>
      </c>
      <c r="DU61" s="2963">
        <f t="shared" si="603"/>
        <v>20679.150999999998</v>
      </c>
      <c r="DV61" s="2963">
        <f t="shared" si="603"/>
        <v>20633.398000000001</v>
      </c>
      <c r="DW61" s="2963">
        <f t="shared" si="603"/>
        <v>45.753</v>
      </c>
      <c r="DX61" s="2964">
        <f t="shared" si="371"/>
        <v>-1323.9955820808973</v>
      </c>
      <c r="DY61" s="2964">
        <f t="shared" si="371"/>
        <v>-1298.7250912820018</v>
      </c>
      <c r="DZ61" s="2964">
        <f t="shared" si="371"/>
        <v>-25.270490798899296</v>
      </c>
      <c r="EA61" s="2963">
        <f t="shared" si="576"/>
        <v>75611.762990757677</v>
      </c>
      <c r="EB61" s="2963">
        <f t="shared" si="576"/>
        <v>75405.553276819541</v>
      </c>
      <c r="EC61" s="2963">
        <f t="shared" si="576"/>
        <v>206.20971393812749</v>
      </c>
      <c r="ED61" s="2963">
        <f t="shared" si="576"/>
        <v>68576.154040000009</v>
      </c>
      <c r="EE61" s="2963">
        <f t="shared" si="576"/>
        <v>68444.166190000004</v>
      </c>
      <c r="EF61" s="2963">
        <f t="shared" si="576"/>
        <v>131.98785000000001</v>
      </c>
      <c r="EG61" s="2963">
        <f t="shared" si="576"/>
        <v>61189.029913999999</v>
      </c>
      <c r="EH61" s="2963">
        <f t="shared" si="576"/>
        <v>61050.029000000002</v>
      </c>
      <c r="EI61" s="2963">
        <f t="shared" si="576"/>
        <v>139.00091400000002</v>
      </c>
      <c r="EJ61" s="2964">
        <f t="shared" si="373"/>
        <v>-7035.6089507576689</v>
      </c>
      <c r="EK61" s="2964">
        <f t="shared" si="373"/>
        <v>-6961.3870868195372</v>
      </c>
      <c r="EL61" s="2964">
        <f t="shared" si="373"/>
        <v>-74.221863938127484</v>
      </c>
      <c r="EM61" s="2960">
        <f t="shared" ref="EM61:FM61" si="604">SUM(EM35+EM36+EM38+EM39+EM40+EM41+EM43+EM48+EM52+EM59+EM60+EM37)</f>
        <v>8419.6472173602997</v>
      </c>
      <c r="EN61" s="2960">
        <f t="shared" si="604"/>
        <v>8396.5690304273339</v>
      </c>
      <c r="EO61" s="2960">
        <f t="shared" si="604"/>
        <v>23.078186932966432</v>
      </c>
      <c r="EP61" s="2970">
        <f t="shared" si="604"/>
        <v>7112.7985799999997</v>
      </c>
      <c r="EQ61" s="2970">
        <f t="shared" si="604"/>
        <v>7096.9636700000001</v>
      </c>
      <c r="ER61" s="2970">
        <f t="shared" si="604"/>
        <v>15.834909999999999</v>
      </c>
      <c r="ES61" s="2960">
        <f t="shared" si="604"/>
        <v>7180.1580000000004</v>
      </c>
      <c r="ET61" s="2960">
        <f t="shared" si="604"/>
        <v>7166.2380000000003</v>
      </c>
      <c r="EU61" s="2960">
        <f t="shared" si="604"/>
        <v>13.919999999999998</v>
      </c>
      <c r="EV61" s="2960">
        <f t="shared" si="604"/>
        <v>8419.6472173602997</v>
      </c>
      <c r="EW61" s="2960">
        <f t="shared" si="604"/>
        <v>8396.5690304273339</v>
      </c>
      <c r="EX61" s="2960">
        <f t="shared" si="604"/>
        <v>23.078186932966432</v>
      </c>
      <c r="EY61" s="2970">
        <f t="shared" si="604"/>
        <v>7294.1870200000012</v>
      </c>
      <c r="EZ61" s="2970">
        <f t="shared" si="604"/>
        <v>7280.5350000000008</v>
      </c>
      <c r="FA61" s="2970">
        <f t="shared" si="604"/>
        <v>13.65202</v>
      </c>
      <c r="FB61" s="2960">
        <f t="shared" si="604"/>
        <v>6376.6378400000003</v>
      </c>
      <c r="FC61" s="2960">
        <f t="shared" si="604"/>
        <v>6363.1350000000002</v>
      </c>
      <c r="FD61" s="2960">
        <f t="shared" si="604"/>
        <v>13.502840000000001</v>
      </c>
      <c r="FE61" s="2960">
        <f t="shared" si="604"/>
        <v>8419.6472173602997</v>
      </c>
      <c r="FF61" s="2960">
        <f t="shared" si="604"/>
        <v>8396.5690304273339</v>
      </c>
      <c r="FG61" s="2960">
        <f t="shared" si="604"/>
        <v>23.078186932966432</v>
      </c>
      <c r="FH61" s="2970">
        <f t="shared" si="604"/>
        <v>9428.1976400000003</v>
      </c>
      <c r="FI61" s="2970">
        <f t="shared" si="604"/>
        <v>9402.0210000000006</v>
      </c>
      <c r="FJ61" s="2970">
        <f t="shared" si="604"/>
        <v>26.176640000000003</v>
      </c>
      <c r="FK61" s="2960">
        <f t="shared" si="604"/>
        <v>8070.4509999999991</v>
      </c>
      <c r="FL61" s="2960">
        <f t="shared" si="604"/>
        <v>8047.0910000000003</v>
      </c>
      <c r="FM61" s="2960">
        <f t="shared" si="604"/>
        <v>23.36</v>
      </c>
      <c r="FN61" s="2963">
        <f t="shared" ref="FN61:FN62" si="605">SUM(EM61+EV61+FE61)</f>
        <v>25258.941652080899</v>
      </c>
      <c r="FO61" s="2963">
        <f t="shared" ref="FO61:FV62" si="606">SUM(EN61+EW61+FF61)</f>
        <v>25189.707091282002</v>
      </c>
      <c r="FP61" s="2963">
        <f t="shared" si="606"/>
        <v>69.234560798899295</v>
      </c>
      <c r="FQ61" s="2963">
        <f t="shared" si="606"/>
        <v>23835.183239999998</v>
      </c>
      <c r="FR61" s="2963">
        <f t="shared" si="606"/>
        <v>23779.519670000001</v>
      </c>
      <c r="FS61" s="2963">
        <f t="shared" si="606"/>
        <v>55.663570000000007</v>
      </c>
      <c r="FT61" s="2963">
        <f t="shared" si="606"/>
        <v>21627.24684</v>
      </c>
      <c r="FU61" s="2963">
        <f t="shared" si="606"/>
        <v>21576.464</v>
      </c>
      <c r="FV61" s="2963">
        <f t="shared" si="606"/>
        <v>50.78284</v>
      </c>
      <c r="FW61" s="2964">
        <f t="shared" si="375"/>
        <v>-1423.7584120809006</v>
      </c>
      <c r="FX61" s="2964">
        <f t="shared" si="375"/>
        <v>-1410.1874212820003</v>
      </c>
      <c r="FY61" s="2964">
        <f t="shared" si="375"/>
        <v>-13.570990798899288</v>
      </c>
      <c r="FZ61" s="2963">
        <f t="shared" si="578"/>
        <v>100870.70464283858</v>
      </c>
      <c r="GA61" s="2963">
        <f t="shared" si="578"/>
        <v>100595.26036810155</v>
      </c>
      <c r="GB61" s="2963">
        <f t="shared" si="578"/>
        <v>275.44427473702677</v>
      </c>
      <c r="GC61" s="4231">
        <f t="shared" si="578"/>
        <v>92411.337280000007</v>
      </c>
      <c r="GD61" s="4231">
        <f t="shared" si="578"/>
        <v>92223.685859999998</v>
      </c>
      <c r="GE61" s="4231">
        <f t="shared" si="578"/>
        <v>187.65142000000003</v>
      </c>
      <c r="GF61" s="2963">
        <f t="shared" si="578"/>
        <v>82816.276753999991</v>
      </c>
      <c r="GG61" s="2963">
        <f t="shared" si="578"/>
        <v>82626.493000000002</v>
      </c>
      <c r="GH61" s="2963">
        <f t="shared" si="578"/>
        <v>189.78375400000002</v>
      </c>
      <c r="GI61" s="2964">
        <f t="shared" si="377"/>
        <v>-8459.3673628385732</v>
      </c>
      <c r="GJ61" s="2964">
        <f t="shared" si="377"/>
        <v>-8371.5745081015484</v>
      </c>
      <c r="GK61" s="2964">
        <f t="shared" si="377"/>
        <v>-87.792854737026744</v>
      </c>
      <c r="GM61" s="4234"/>
    </row>
    <row r="62" spans="1:195" ht="18.75" customHeight="1" x14ac:dyDescent="0.3">
      <c r="A62" s="2910" t="s">
        <v>13</v>
      </c>
      <c r="B62" s="2861">
        <f>SUM(B9)</f>
        <v>237.03375</v>
      </c>
      <c r="C62" s="2861">
        <f t="shared" ref="C62:D62" si="607">SUM(C9)</f>
        <v>235.5615</v>
      </c>
      <c r="D62" s="2861">
        <f t="shared" si="607"/>
        <v>1.4722500000000001</v>
      </c>
      <c r="E62" s="2861">
        <f>SUM(E9)</f>
        <v>261.28100000000001</v>
      </c>
      <c r="F62" s="2861">
        <f t="shared" ref="F62:G62" si="608">SUM(F9)</f>
        <v>261.07100000000003</v>
      </c>
      <c r="G62" s="2970">
        <f t="shared" si="608"/>
        <v>0.21</v>
      </c>
      <c r="H62" s="2861">
        <f>SUM(H9)</f>
        <v>270.74199999999996</v>
      </c>
      <c r="I62" s="2861">
        <f t="shared" ref="I62:J62" si="609">SUM(I9)</f>
        <v>270.39299999999997</v>
      </c>
      <c r="J62" s="2861">
        <f t="shared" si="609"/>
        <v>0.34899999999999998</v>
      </c>
      <c r="K62" s="2861">
        <f>SUM(K9)</f>
        <v>237.03375</v>
      </c>
      <c r="L62" s="2861">
        <f t="shared" ref="L62:M62" si="610">SUM(L9)</f>
        <v>235.5615</v>
      </c>
      <c r="M62" s="2861">
        <f t="shared" si="610"/>
        <v>1.4722500000000001</v>
      </c>
      <c r="N62" s="2861">
        <f>SUM(N9)</f>
        <v>264.26599999999996</v>
      </c>
      <c r="O62" s="2861">
        <f t="shared" ref="O62:P62" si="611">SUM(O9)</f>
        <v>264.02999999999997</v>
      </c>
      <c r="P62" s="2861">
        <f t="shared" si="611"/>
        <v>0.23599999999999999</v>
      </c>
      <c r="Q62" s="2861">
        <f>SUM(Q9)</f>
        <v>270.12900000000002</v>
      </c>
      <c r="R62" s="2861">
        <f t="shared" ref="R62:S62" si="612">SUM(R9)</f>
        <v>269.93</v>
      </c>
      <c r="S62" s="2861">
        <f t="shared" si="612"/>
        <v>0.19900000000000001</v>
      </c>
      <c r="T62" s="2861">
        <f>SUM(T9)</f>
        <v>237.03375</v>
      </c>
      <c r="U62" s="2861">
        <f t="shared" ref="U62:V62" si="613">SUM(U9)</f>
        <v>235.5615</v>
      </c>
      <c r="V62" s="2861">
        <f t="shared" si="613"/>
        <v>1.4722500000000001</v>
      </c>
      <c r="W62" s="2861">
        <f>SUM(W9)</f>
        <v>261.25650000000002</v>
      </c>
      <c r="X62" s="2861">
        <f t="shared" ref="X62:Y62" si="614">SUM(X9)</f>
        <v>258.37</v>
      </c>
      <c r="Y62" s="2861">
        <f t="shared" si="614"/>
        <v>2.8864999999999998</v>
      </c>
      <c r="Z62" s="2861">
        <f>SUM(Z9)</f>
        <v>261.31700000000001</v>
      </c>
      <c r="AA62" s="2861">
        <f t="shared" ref="AA62:AB62" si="615">SUM(AA9)</f>
        <v>258.53100000000001</v>
      </c>
      <c r="AB62" s="2861">
        <f t="shared" si="615"/>
        <v>2.786</v>
      </c>
      <c r="AC62" s="2962">
        <f t="shared" si="594"/>
        <v>711.10124999999994</v>
      </c>
      <c r="AD62" s="2962">
        <f t="shared" si="595"/>
        <v>706.68449999999996</v>
      </c>
      <c r="AE62" s="2962">
        <f t="shared" si="595"/>
        <v>4.4167500000000004</v>
      </c>
      <c r="AF62" s="2962">
        <f t="shared" si="595"/>
        <v>786.80349999999999</v>
      </c>
      <c r="AG62" s="2962">
        <f t="shared" si="595"/>
        <v>783.471</v>
      </c>
      <c r="AH62" s="2962">
        <f t="shared" si="595"/>
        <v>3.3324999999999996</v>
      </c>
      <c r="AI62" s="2962">
        <f t="shared" si="595"/>
        <v>802.18799999999999</v>
      </c>
      <c r="AJ62" s="2962">
        <f t="shared" si="595"/>
        <v>798.85400000000004</v>
      </c>
      <c r="AK62" s="2962">
        <f t="shared" si="595"/>
        <v>3.3340000000000001</v>
      </c>
      <c r="AL62" s="2964">
        <f t="shared" si="365"/>
        <v>75.702250000000049</v>
      </c>
      <c r="AM62" s="2964">
        <f t="shared" si="365"/>
        <v>76.786500000000046</v>
      </c>
      <c r="AN62" s="2964">
        <f t="shared" si="365"/>
        <v>-1.0842500000000008</v>
      </c>
      <c r="AO62" s="2861">
        <f>SUM(AO9)</f>
        <v>237.03375</v>
      </c>
      <c r="AP62" s="2861">
        <f t="shared" ref="AP62:AQ62" si="616">SUM(AP9)</f>
        <v>235.5615</v>
      </c>
      <c r="AQ62" s="2861">
        <f t="shared" si="616"/>
        <v>1.4722500000000001</v>
      </c>
      <c r="AR62" s="2861">
        <f>SUM(AR9)</f>
        <v>271.30174999999997</v>
      </c>
      <c r="AS62" s="2861">
        <f t="shared" ref="AS62:AT62" si="617">SUM(AS9)</f>
        <v>270.56799999999998</v>
      </c>
      <c r="AT62" s="2861">
        <f t="shared" si="617"/>
        <v>0.73375000000000001</v>
      </c>
      <c r="AU62" s="2861">
        <f>SUM(AU9)</f>
        <v>264.99900000000002</v>
      </c>
      <c r="AV62" s="2861">
        <f t="shared" ref="AV62:AW62" si="618">SUM(AV9)</f>
        <v>264.71000000000004</v>
      </c>
      <c r="AW62" s="2861">
        <f t="shared" si="618"/>
        <v>0.28899999999999998</v>
      </c>
      <c r="AX62" s="2861">
        <f>SUM(AX9)</f>
        <v>237.03375</v>
      </c>
      <c r="AY62" s="2861">
        <f t="shared" ref="AY62:AZ62" si="619">SUM(AY9)</f>
        <v>235.5615</v>
      </c>
      <c r="AZ62" s="2861">
        <f t="shared" si="619"/>
        <v>1.4722500000000001</v>
      </c>
      <c r="BA62" s="2861">
        <f>SUM(BA9)</f>
        <v>260.84950000000003</v>
      </c>
      <c r="BB62" s="2861">
        <f t="shared" ref="BB62:BC62" si="620">SUM(BB9)</f>
        <v>260.58100000000002</v>
      </c>
      <c r="BC62" s="2861">
        <f t="shared" si="620"/>
        <v>0.26850000000000002</v>
      </c>
      <c r="BD62" s="2861">
        <f>SUM(BD9)</f>
        <v>251.90200000000002</v>
      </c>
      <c r="BE62" s="2861">
        <f t="shared" ref="BE62:BF62" si="621">SUM(BE9)</f>
        <v>251.096</v>
      </c>
      <c r="BF62" s="2861">
        <f t="shared" si="621"/>
        <v>0.80600000000000005</v>
      </c>
      <c r="BG62" s="2861">
        <f>SUM(BG9)</f>
        <v>237.03375</v>
      </c>
      <c r="BH62" s="2861">
        <f t="shared" ref="BH62:BI62" si="622">SUM(BH9)</f>
        <v>235.5615</v>
      </c>
      <c r="BI62" s="2861">
        <f t="shared" si="622"/>
        <v>1.4722500000000001</v>
      </c>
      <c r="BJ62" s="2861">
        <f>SUM(BJ9)</f>
        <v>266.214</v>
      </c>
      <c r="BK62" s="2861">
        <f t="shared" ref="BK62:BL62" si="623">SUM(BK9)</f>
        <v>263.11700000000002</v>
      </c>
      <c r="BL62" s="2861">
        <f t="shared" si="623"/>
        <v>3.097</v>
      </c>
      <c r="BM62" s="2861">
        <f>SUM(BM9)</f>
        <v>248.24200000000002</v>
      </c>
      <c r="BN62" s="2861">
        <f t="shared" ref="BN62:BO62" si="624">SUM(BN9)</f>
        <v>244.91200000000001</v>
      </c>
      <c r="BO62" s="2861">
        <f t="shared" si="624"/>
        <v>3.33</v>
      </c>
      <c r="BP62" s="2962">
        <f t="shared" si="599"/>
        <v>711.10124999999994</v>
      </c>
      <c r="BQ62" s="2962">
        <f t="shared" si="600"/>
        <v>706.68449999999996</v>
      </c>
      <c r="BR62" s="2962">
        <f t="shared" si="600"/>
        <v>4.4167500000000004</v>
      </c>
      <c r="BS62" s="2962">
        <f t="shared" si="600"/>
        <v>798.36525000000006</v>
      </c>
      <c r="BT62" s="2962">
        <f t="shared" si="600"/>
        <v>794.26600000000008</v>
      </c>
      <c r="BU62" s="2962">
        <f t="shared" si="600"/>
        <v>4.0992499999999996</v>
      </c>
      <c r="BV62" s="2962">
        <f t="shared" si="600"/>
        <v>765.14300000000003</v>
      </c>
      <c r="BW62" s="2962">
        <f t="shared" si="600"/>
        <v>760.71800000000007</v>
      </c>
      <c r="BX62" s="2962">
        <f t="shared" si="600"/>
        <v>4.4249999999999998</v>
      </c>
      <c r="BY62" s="2964">
        <f t="shared" si="367"/>
        <v>87.264000000000124</v>
      </c>
      <c r="BZ62" s="2964">
        <f t="shared" si="367"/>
        <v>87.581500000000119</v>
      </c>
      <c r="CA62" s="2964">
        <f t="shared" si="367"/>
        <v>-0.31750000000000078</v>
      </c>
      <c r="CB62" s="2962">
        <f t="shared" si="574"/>
        <v>1422.2024999999999</v>
      </c>
      <c r="CC62" s="2962">
        <f t="shared" si="574"/>
        <v>1413.3689999999999</v>
      </c>
      <c r="CD62" s="2962">
        <f t="shared" si="574"/>
        <v>8.8335000000000008</v>
      </c>
      <c r="CE62" s="2962">
        <f t="shared" si="574"/>
        <v>1585.16875</v>
      </c>
      <c r="CF62" s="2962">
        <f t="shared" si="574"/>
        <v>1577.7370000000001</v>
      </c>
      <c r="CG62" s="2962">
        <f t="shared" si="574"/>
        <v>7.4317499999999992</v>
      </c>
      <c r="CH62" s="3035">
        <f t="shared" si="574"/>
        <v>1567.3310000000001</v>
      </c>
      <c r="CI62" s="3035">
        <f t="shared" si="574"/>
        <v>1559.5720000000001</v>
      </c>
      <c r="CJ62" s="3035">
        <f t="shared" si="574"/>
        <v>7.7590000000000003</v>
      </c>
      <c r="CK62" s="2964">
        <f t="shared" si="369"/>
        <v>162.96625000000017</v>
      </c>
      <c r="CL62" s="2964">
        <f t="shared" si="369"/>
        <v>164.36800000000017</v>
      </c>
      <c r="CM62" s="2964">
        <f t="shared" si="369"/>
        <v>-1.4017500000000016</v>
      </c>
      <c r="CN62" s="2861">
        <f>SUM(CN9)</f>
        <v>237.03375</v>
      </c>
      <c r="CO62" s="2861">
        <f t="shared" ref="CO62:CP62" si="625">SUM(CO9)</f>
        <v>235.5615</v>
      </c>
      <c r="CP62" s="2861">
        <f t="shared" si="625"/>
        <v>1.4722500000000001</v>
      </c>
      <c r="CQ62" s="2861">
        <f>SUM(CQ9)</f>
        <v>238.05900000000003</v>
      </c>
      <c r="CR62" s="2861">
        <f t="shared" ref="CR62:CS62" si="626">SUM(CR9)</f>
        <v>237.59300000000002</v>
      </c>
      <c r="CS62" s="2861">
        <f t="shared" si="626"/>
        <v>0.46600000000000003</v>
      </c>
      <c r="CT62" s="2861">
        <f>SUM(CT9)</f>
        <v>234.697</v>
      </c>
      <c r="CU62" s="2861">
        <f t="shared" ref="CU62:CV62" si="627">SUM(CU9)</f>
        <v>233.90899999999999</v>
      </c>
      <c r="CV62" s="2861">
        <f t="shared" si="627"/>
        <v>0.78800000000000003</v>
      </c>
      <c r="CW62" s="2861">
        <f>SUM(CW9)</f>
        <v>237.03375</v>
      </c>
      <c r="CX62" s="2861">
        <f t="shared" ref="CX62:CY62" si="628">SUM(CX9)</f>
        <v>235.5615</v>
      </c>
      <c r="CY62" s="2861">
        <f t="shared" si="628"/>
        <v>1.4722500000000001</v>
      </c>
      <c r="CZ62" s="2861">
        <f>SUM(CZ9)</f>
        <v>251.54199999999997</v>
      </c>
      <c r="DA62" s="2861">
        <f t="shared" ref="DA62:DB62" si="629">SUM(DA9)</f>
        <v>250.72699999999998</v>
      </c>
      <c r="DB62" s="2861">
        <f t="shared" si="629"/>
        <v>0.81499999999999995</v>
      </c>
      <c r="DC62" s="2861">
        <f>SUM(DC9)</f>
        <v>240.25450000000001</v>
      </c>
      <c r="DD62" s="2861">
        <f t="shared" ref="DD62:DE62" si="630">SUM(DD9)</f>
        <v>239.977</v>
      </c>
      <c r="DE62" s="2861">
        <f t="shared" si="630"/>
        <v>0.27750000000000002</v>
      </c>
      <c r="DF62" s="2861">
        <f>SUM(DF9)</f>
        <v>237.03375</v>
      </c>
      <c r="DG62" s="2861">
        <f t="shared" ref="DG62:DH62" si="631">SUM(DG9)</f>
        <v>235.5615</v>
      </c>
      <c r="DH62" s="2861">
        <f t="shared" si="631"/>
        <v>1.4722500000000001</v>
      </c>
      <c r="DI62" s="2861">
        <f>SUM(DI9)</f>
        <v>252.58899999999997</v>
      </c>
      <c r="DJ62" s="2861">
        <f t="shared" ref="DJ62:DK62" si="632">SUM(DJ9)</f>
        <v>249.69299999999998</v>
      </c>
      <c r="DK62" s="2861">
        <f t="shared" si="632"/>
        <v>2.8959999999999999</v>
      </c>
      <c r="DL62" s="2861">
        <f>SUM(DL9)</f>
        <v>244.66345699999999</v>
      </c>
      <c r="DM62" s="2861">
        <f t="shared" ref="DM62:DN62" si="633">SUM(DM9)</f>
        <v>241.636957</v>
      </c>
      <c r="DN62" s="2861">
        <f t="shared" si="633"/>
        <v>3.0265</v>
      </c>
      <c r="DO62" s="2962">
        <f t="shared" si="602"/>
        <v>711.10124999999994</v>
      </c>
      <c r="DP62" s="2962">
        <f t="shared" si="603"/>
        <v>706.68449999999996</v>
      </c>
      <c r="DQ62" s="2962">
        <f t="shared" si="603"/>
        <v>4.4167500000000004</v>
      </c>
      <c r="DR62" s="2962">
        <f t="shared" si="603"/>
        <v>742.18999999999994</v>
      </c>
      <c r="DS62" s="2962">
        <f t="shared" si="603"/>
        <v>738.01299999999992</v>
      </c>
      <c r="DT62" s="2962">
        <f t="shared" si="603"/>
        <v>4.1769999999999996</v>
      </c>
      <c r="DU62" s="2962">
        <f t="shared" si="603"/>
        <v>719.614957</v>
      </c>
      <c r="DV62" s="2962">
        <f t="shared" si="603"/>
        <v>715.52295699999991</v>
      </c>
      <c r="DW62" s="2962">
        <f t="shared" si="603"/>
        <v>4.0920000000000005</v>
      </c>
      <c r="DX62" s="2964">
        <f t="shared" si="371"/>
        <v>31.088750000000005</v>
      </c>
      <c r="DY62" s="2964">
        <f t="shared" si="371"/>
        <v>31.328499999999963</v>
      </c>
      <c r="DZ62" s="2964">
        <f t="shared" si="371"/>
        <v>-0.2397500000000008</v>
      </c>
      <c r="EA62" s="2962">
        <f t="shared" si="576"/>
        <v>2133.30375</v>
      </c>
      <c r="EB62" s="2962">
        <f t="shared" si="576"/>
        <v>2120.0535</v>
      </c>
      <c r="EC62" s="2962">
        <f t="shared" si="576"/>
        <v>13.250250000000001</v>
      </c>
      <c r="ED62" s="2962">
        <f t="shared" si="576"/>
        <v>2327.3587499999999</v>
      </c>
      <c r="EE62" s="2962">
        <f t="shared" si="576"/>
        <v>2315.75</v>
      </c>
      <c r="EF62" s="2962">
        <f t="shared" si="576"/>
        <v>11.608749999999999</v>
      </c>
      <c r="EG62" s="2962">
        <f t="shared" si="576"/>
        <v>2286.9459569999999</v>
      </c>
      <c r="EH62" s="2962">
        <f t="shared" si="576"/>
        <v>2275.0949570000002</v>
      </c>
      <c r="EI62" s="2962">
        <f t="shared" si="576"/>
        <v>11.851000000000001</v>
      </c>
      <c r="EJ62" s="2964">
        <f t="shared" si="373"/>
        <v>194.05499999999984</v>
      </c>
      <c r="EK62" s="2964">
        <f t="shared" si="373"/>
        <v>195.69650000000001</v>
      </c>
      <c r="EL62" s="2964">
        <f t="shared" si="373"/>
        <v>-1.6415000000000024</v>
      </c>
      <c r="EM62" s="2861">
        <f>SUM(EM9)</f>
        <v>237.03375</v>
      </c>
      <c r="EN62" s="2861">
        <f t="shared" ref="EN62:EO62" si="634">SUM(EN9)</f>
        <v>235.5615</v>
      </c>
      <c r="EO62" s="2861">
        <f t="shared" si="634"/>
        <v>1.4722500000000001</v>
      </c>
      <c r="EP62" s="2861">
        <f>SUM(EP9)</f>
        <v>256.726</v>
      </c>
      <c r="EQ62" s="2861">
        <f t="shared" ref="EQ62:ER62" si="635">SUM(EQ9)</f>
        <v>255.59700000000001</v>
      </c>
      <c r="ER62" s="2959">
        <f t="shared" si="635"/>
        <v>1.129</v>
      </c>
      <c r="ES62" s="2861">
        <f>SUM(ES9)</f>
        <v>253.467658</v>
      </c>
      <c r="ET62" s="2861">
        <f t="shared" ref="ET62:EU62" si="636">SUM(ET9)</f>
        <v>253.10015799999999</v>
      </c>
      <c r="EU62" s="2861">
        <f t="shared" si="636"/>
        <v>0.36749999999999999</v>
      </c>
      <c r="EV62" s="2861">
        <f>SUM(EV9)</f>
        <v>237.03375</v>
      </c>
      <c r="EW62" s="2861">
        <f t="shared" ref="EW62:EX62" si="637">SUM(EW9)</f>
        <v>235.5615</v>
      </c>
      <c r="EX62" s="2861">
        <f t="shared" si="637"/>
        <v>1.4722500000000001</v>
      </c>
      <c r="EY62" s="2861">
        <f>SUM(EY9)</f>
        <v>250.44099999999997</v>
      </c>
      <c r="EZ62" s="2861">
        <f t="shared" ref="EZ62:FA62" si="638">SUM(EZ9)</f>
        <v>250.14499999999998</v>
      </c>
      <c r="FA62" s="2861">
        <f t="shared" si="638"/>
        <v>0.29599999999999999</v>
      </c>
      <c r="FB62" s="2861">
        <f>SUM(FB9)</f>
        <v>264.02399999999994</v>
      </c>
      <c r="FC62" s="2861">
        <f t="shared" ref="FC62:FD62" si="639">SUM(FC9)</f>
        <v>263.19599999999997</v>
      </c>
      <c r="FD62" s="2861">
        <f t="shared" si="639"/>
        <v>0.82799999999999996</v>
      </c>
      <c r="FE62" s="2861">
        <f>SUM(FE9)</f>
        <v>237.03375</v>
      </c>
      <c r="FF62" s="2861">
        <f t="shared" ref="FF62:FG62" si="640">SUM(FF9)</f>
        <v>235.5615</v>
      </c>
      <c r="FG62" s="2861">
        <f t="shared" si="640"/>
        <v>1.4722500000000001</v>
      </c>
      <c r="FH62" s="2861">
        <f>SUM(FH9)</f>
        <v>269.55400000000003</v>
      </c>
      <c r="FI62" s="2861">
        <f t="shared" ref="FI62:FJ62" si="641">SUM(FI9)</f>
        <v>266.37</v>
      </c>
      <c r="FJ62" s="2861">
        <f t="shared" si="641"/>
        <v>3.1840000000000002</v>
      </c>
      <c r="FK62" s="2861">
        <f>SUM(FK9)</f>
        <v>271.10400000000004</v>
      </c>
      <c r="FL62" s="2861">
        <f t="shared" ref="FL62:FM62" si="642">SUM(FL9)</f>
        <v>267.86</v>
      </c>
      <c r="FM62" s="2861">
        <f t="shared" si="642"/>
        <v>3.2440000000000002</v>
      </c>
      <c r="FN62" s="2962">
        <f t="shared" si="605"/>
        <v>711.10124999999994</v>
      </c>
      <c r="FO62" s="2962">
        <f t="shared" si="606"/>
        <v>706.68449999999996</v>
      </c>
      <c r="FP62" s="2962">
        <f t="shared" si="606"/>
        <v>4.4167500000000004</v>
      </c>
      <c r="FQ62" s="2962">
        <f t="shared" si="606"/>
        <v>776.721</v>
      </c>
      <c r="FR62" s="2962">
        <f t="shared" si="606"/>
        <v>772.11199999999997</v>
      </c>
      <c r="FS62" s="2962">
        <f t="shared" si="606"/>
        <v>4.609</v>
      </c>
      <c r="FT62" s="2962">
        <f t="shared" si="606"/>
        <v>788.59565799999996</v>
      </c>
      <c r="FU62" s="2962">
        <f t="shared" si="606"/>
        <v>784.156158</v>
      </c>
      <c r="FV62" s="2962">
        <f t="shared" si="606"/>
        <v>4.4395000000000007</v>
      </c>
      <c r="FW62" s="2964">
        <f t="shared" si="375"/>
        <v>65.619750000000067</v>
      </c>
      <c r="FX62" s="2964">
        <f t="shared" si="375"/>
        <v>65.427500000000009</v>
      </c>
      <c r="FY62" s="2964">
        <f t="shared" si="375"/>
        <v>0.19224999999999959</v>
      </c>
      <c r="FZ62" s="2962">
        <f t="shared" si="578"/>
        <v>2844.4049999999997</v>
      </c>
      <c r="GA62" s="2962">
        <f t="shared" si="578"/>
        <v>2826.7379999999998</v>
      </c>
      <c r="GB62" s="2962">
        <f t="shared" si="578"/>
        <v>17.667000000000002</v>
      </c>
      <c r="GC62" s="2962">
        <f t="shared" si="578"/>
        <v>3104.0797499999999</v>
      </c>
      <c r="GD62" s="2962">
        <f t="shared" si="578"/>
        <v>3087.8620000000001</v>
      </c>
      <c r="GE62" s="2962">
        <f t="shared" si="578"/>
        <v>16.217749999999999</v>
      </c>
      <c r="GF62" s="2962">
        <f t="shared" si="578"/>
        <v>3075.5416150000001</v>
      </c>
      <c r="GG62" s="2962">
        <f t="shared" si="578"/>
        <v>3059.251115</v>
      </c>
      <c r="GH62" s="2962">
        <f t="shared" si="578"/>
        <v>16.290500000000002</v>
      </c>
      <c r="GI62" s="2964">
        <f t="shared" si="377"/>
        <v>259.67475000000013</v>
      </c>
      <c r="GJ62" s="2964">
        <f t="shared" si="377"/>
        <v>261.12400000000025</v>
      </c>
      <c r="GK62" s="2964">
        <f t="shared" si="377"/>
        <v>-1.4492500000000028</v>
      </c>
      <c r="GM62" s="4234"/>
    </row>
    <row r="63" spans="1:195" ht="18.75" customHeight="1" x14ac:dyDescent="0.3">
      <c r="A63" s="2910" t="s">
        <v>14</v>
      </c>
      <c r="B63" s="2861">
        <f t="shared" ref="B63:AK63" si="643">SUM(B61/B62)</f>
        <v>35.404818469013222</v>
      </c>
      <c r="C63" s="2861">
        <f t="shared" si="643"/>
        <v>35.52918323915236</v>
      </c>
      <c r="D63" s="2861">
        <f t="shared" si="643"/>
        <v>15.506328537864739</v>
      </c>
      <c r="E63" s="2861">
        <f t="shared" si="643"/>
        <v>26.16734393239463</v>
      </c>
      <c r="F63" s="2861">
        <f t="shared" si="643"/>
        <v>26.150336460196648</v>
      </c>
      <c r="G63" s="2861">
        <f t="shared" si="643"/>
        <v>47.310952380952379</v>
      </c>
      <c r="H63" s="2861">
        <f t="shared" si="643"/>
        <v>24.580235404924252</v>
      </c>
      <c r="I63" s="2861">
        <f t="shared" si="643"/>
        <v>24.57143491140673</v>
      </c>
      <c r="J63" s="2861">
        <f t="shared" si="643"/>
        <v>31.39855014326648</v>
      </c>
      <c r="K63" s="2861">
        <f t="shared" si="643"/>
        <v>35.404818469013222</v>
      </c>
      <c r="L63" s="2861">
        <f t="shared" si="643"/>
        <v>35.52918323915236</v>
      </c>
      <c r="M63" s="2861">
        <f t="shared" si="643"/>
        <v>15.506328537864739</v>
      </c>
      <c r="N63" s="2861">
        <f t="shared" si="643"/>
        <v>26.340503734873199</v>
      </c>
      <c r="O63" s="2861">
        <f t="shared" si="643"/>
        <v>26.316900730977544</v>
      </c>
      <c r="P63" s="2861">
        <f t="shared" si="643"/>
        <v>52.746864406779672</v>
      </c>
      <c r="Q63" s="2861">
        <f t="shared" si="643"/>
        <v>22.892247111565212</v>
      </c>
      <c r="R63" s="2861">
        <f t="shared" si="643"/>
        <v>22.864068462193902</v>
      </c>
      <c r="S63" s="2861">
        <f t="shared" si="643"/>
        <v>61.114673366834168</v>
      </c>
      <c r="T63" s="2861">
        <f t="shared" si="643"/>
        <v>35.404818469013222</v>
      </c>
      <c r="U63" s="2861">
        <f t="shared" si="643"/>
        <v>35.52918323915236</v>
      </c>
      <c r="V63" s="2861">
        <f t="shared" si="643"/>
        <v>15.506328537864739</v>
      </c>
      <c r="W63" s="2861">
        <f t="shared" si="643"/>
        <v>30.192332707511586</v>
      </c>
      <c r="X63" s="2861">
        <f t="shared" si="643"/>
        <v>30.446365290087861</v>
      </c>
      <c r="Y63" s="2861">
        <f t="shared" si="643"/>
        <v>7.4539303654945437</v>
      </c>
      <c r="Z63" s="2861">
        <f t="shared" si="643"/>
        <v>28.476038680988989</v>
      </c>
      <c r="AA63" s="2861">
        <f t="shared" si="643"/>
        <v>28.713767401201409</v>
      </c>
      <c r="AB63" s="2861">
        <f t="shared" si="643"/>
        <v>6.4156496769562104</v>
      </c>
      <c r="AC63" s="2962">
        <f t="shared" si="643"/>
        <v>35.404818469013222</v>
      </c>
      <c r="AD63" s="2962">
        <f t="shared" si="643"/>
        <v>35.529183239152367</v>
      </c>
      <c r="AE63" s="2962">
        <f t="shared" si="643"/>
        <v>15.506328537864739</v>
      </c>
      <c r="AF63" s="2962">
        <f t="shared" si="643"/>
        <v>27.561992949955108</v>
      </c>
      <c r="AG63" s="2962">
        <f t="shared" si="643"/>
        <v>27.62319625104184</v>
      </c>
      <c r="AH63" s="2962">
        <f t="shared" si="643"/>
        <v>13.173092273068271</v>
      </c>
      <c r="AI63" s="2962">
        <f t="shared" si="643"/>
        <v>25.280900379960809</v>
      </c>
      <c r="AJ63" s="2962">
        <f t="shared" si="643"/>
        <v>25.335093771828145</v>
      </c>
      <c r="AK63" s="2962">
        <f t="shared" si="643"/>
        <v>12.295715056988604</v>
      </c>
      <c r="AL63" s="2964">
        <f t="shared" si="365"/>
        <v>-7.8428255190581133</v>
      </c>
      <c r="AM63" s="2964">
        <f t="shared" si="365"/>
        <v>-7.9059869881105271</v>
      </c>
      <c r="AN63" s="2964">
        <f t="shared" si="365"/>
        <v>-2.3332362647964686</v>
      </c>
      <c r="AO63" s="2861">
        <f t="shared" ref="AO63:BX63" si="644">SUM(AO61/AO62)</f>
        <v>35.404818469013222</v>
      </c>
      <c r="AP63" s="2861">
        <f t="shared" si="644"/>
        <v>35.52918323915236</v>
      </c>
      <c r="AQ63" s="2861">
        <f t="shared" si="644"/>
        <v>15.506328537864739</v>
      </c>
      <c r="AR63" s="2861">
        <f t="shared" si="644"/>
        <v>28.509868366127389</v>
      </c>
      <c r="AS63" s="2861">
        <f t="shared" si="644"/>
        <v>28.524651843529167</v>
      </c>
      <c r="AT63" s="2861">
        <f t="shared" si="644"/>
        <v>23.058507666098809</v>
      </c>
      <c r="AU63" s="2861">
        <f t="shared" si="644"/>
        <v>26.137804293601107</v>
      </c>
      <c r="AV63" s="2861">
        <f t="shared" si="644"/>
        <v>26.113029352876733</v>
      </c>
      <c r="AW63" s="2861">
        <f t="shared" si="644"/>
        <v>48.830449826989621</v>
      </c>
      <c r="AX63" s="2861">
        <f t="shared" si="644"/>
        <v>35.404818469013222</v>
      </c>
      <c r="AY63" s="2861">
        <f t="shared" si="644"/>
        <v>35.52918323915236</v>
      </c>
      <c r="AZ63" s="2861">
        <f t="shared" si="644"/>
        <v>15.506328537864739</v>
      </c>
      <c r="BA63" s="2861">
        <f t="shared" si="644"/>
        <v>31.441221738972086</v>
      </c>
      <c r="BB63" s="2861">
        <f t="shared" si="644"/>
        <v>31.415114686028531</v>
      </c>
      <c r="BC63" s="2861">
        <f t="shared" si="644"/>
        <v>56.77828677839851</v>
      </c>
      <c r="BD63" s="2861">
        <f t="shared" si="644"/>
        <v>25.782891759493769</v>
      </c>
      <c r="BE63" s="2861">
        <f t="shared" si="644"/>
        <v>25.815345525217442</v>
      </c>
      <c r="BF63" s="2861">
        <f t="shared" si="644"/>
        <v>15.672456575682382</v>
      </c>
      <c r="BG63" s="2861">
        <f t="shared" si="644"/>
        <v>35.404818469013222</v>
      </c>
      <c r="BH63" s="2861">
        <f t="shared" si="644"/>
        <v>35.52918323915236</v>
      </c>
      <c r="BI63" s="2861">
        <f t="shared" si="644"/>
        <v>15.506328537864739</v>
      </c>
      <c r="BJ63" s="2861">
        <f t="shared" si="644"/>
        <v>26.366499507914686</v>
      </c>
      <c r="BK63" s="2861">
        <f t="shared" si="644"/>
        <v>26.63138831774458</v>
      </c>
      <c r="BL63" s="2861">
        <f t="shared" si="644"/>
        <v>3.8618986115595737</v>
      </c>
      <c r="BM63" s="2861">
        <f t="shared" si="644"/>
        <v>27.427228269188934</v>
      </c>
      <c r="BN63" s="2861">
        <f t="shared" si="644"/>
        <v>27.695988763310904</v>
      </c>
      <c r="BO63" s="2861">
        <f t="shared" si="644"/>
        <v>7.6606606606606613</v>
      </c>
      <c r="BP63" s="2962">
        <f t="shared" si="644"/>
        <v>35.404818469013222</v>
      </c>
      <c r="BQ63" s="2962">
        <f t="shared" si="644"/>
        <v>35.529183239152367</v>
      </c>
      <c r="BR63" s="2962">
        <f t="shared" si="644"/>
        <v>15.506328537864739</v>
      </c>
      <c r="BS63" s="2962">
        <f t="shared" si="644"/>
        <v>28.752924115873029</v>
      </c>
      <c r="BT63" s="2962">
        <f t="shared" si="644"/>
        <v>28.845765776200921</v>
      </c>
      <c r="BU63" s="2962">
        <f t="shared" si="644"/>
        <v>10.764030005488809</v>
      </c>
      <c r="BV63" s="2962">
        <f t="shared" si="644"/>
        <v>26.439298274962979</v>
      </c>
      <c r="BW63" s="2962">
        <f t="shared" si="644"/>
        <v>26.524401946582042</v>
      </c>
      <c r="BX63" s="2962">
        <f t="shared" si="644"/>
        <v>11.808813559322035</v>
      </c>
      <c r="BY63" s="2964">
        <f t="shared" si="367"/>
        <v>-6.6518943531401931</v>
      </c>
      <c r="BZ63" s="2964">
        <f t="shared" si="367"/>
        <v>-6.6834174629514465</v>
      </c>
      <c r="CA63" s="2964">
        <f t="shared" si="367"/>
        <v>-4.7422985323759299</v>
      </c>
      <c r="CB63" s="2962">
        <f>SUM(CB61/CB62)</f>
        <v>35.404818469013222</v>
      </c>
      <c r="CC63" s="2962">
        <f t="shared" ref="CC63:CD63" si="645">SUM(CC61/CC62)</f>
        <v>35.529183239152367</v>
      </c>
      <c r="CD63" s="2962">
        <f t="shared" si="645"/>
        <v>15.506328537864739</v>
      </c>
      <c r="CE63" s="2962">
        <f>SUM(CE61/CE62)</f>
        <v>28.161801681997581</v>
      </c>
      <c r="CF63" s="2962">
        <f t="shared" ref="CF63:CG63" si="646">SUM(CF61/CF62)</f>
        <v>28.238663471795363</v>
      </c>
      <c r="CG63" s="2962">
        <f t="shared" si="646"/>
        <v>11.844287011807449</v>
      </c>
      <c r="CH63" s="2962">
        <f>SUM(CH61/CH62)</f>
        <v>25.84640954208141</v>
      </c>
      <c r="CI63" s="2962">
        <f t="shared" ref="CI63:CJ63" si="647">SUM(CI61/CI62)</f>
        <v>25.915206864447423</v>
      </c>
      <c r="CJ63" s="2962">
        <f t="shared" si="647"/>
        <v>12.018032478412167</v>
      </c>
      <c r="CK63" s="2964">
        <f t="shared" si="369"/>
        <v>-7.243016787015641</v>
      </c>
      <c r="CL63" s="2964">
        <f t="shared" si="369"/>
        <v>-7.2905197673570044</v>
      </c>
      <c r="CM63" s="2964">
        <f t="shared" si="369"/>
        <v>-3.6620415260572905</v>
      </c>
      <c r="CN63" s="2861">
        <f t="shared" ref="CN63:DW63" si="648">SUM(CN61/CN62)</f>
        <v>35.520879272931808</v>
      </c>
      <c r="CO63" s="2861">
        <f t="shared" si="648"/>
        <v>35.644912391996712</v>
      </c>
      <c r="CP63" s="2861">
        <f t="shared" si="648"/>
        <v>15.675453851564905</v>
      </c>
      <c r="CQ63" s="2861">
        <f t="shared" si="648"/>
        <v>32.155315993094149</v>
      </c>
      <c r="CR63" s="2861">
        <f t="shared" si="648"/>
        <v>32.161583043271477</v>
      </c>
      <c r="CS63" s="2861">
        <f t="shared" si="648"/>
        <v>28.960021459227466</v>
      </c>
      <c r="CT63" s="2861">
        <f t="shared" si="648"/>
        <v>27.030375335006415</v>
      </c>
      <c r="CU63" s="2861">
        <f t="shared" si="648"/>
        <v>27.016318311822122</v>
      </c>
      <c r="CV63" s="2861">
        <f t="shared" si="648"/>
        <v>31.203045685279189</v>
      </c>
      <c r="CW63" s="2861">
        <f t="shared" si="648"/>
        <v>35.520879272931808</v>
      </c>
      <c r="CX63" s="2861">
        <f t="shared" si="648"/>
        <v>35.644912391996712</v>
      </c>
      <c r="CY63" s="2861">
        <f t="shared" si="648"/>
        <v>15.675453851564905</v>
      </c>
      <c r="CZ63" s="2861">
        <f t="shared" si="648"/>
        <v>32.184426060061547</v>
      </c>
      <c r="DA63" s="2861">
        <f t="shared" si="648"/>
        <v>32.227897274725102</v>
      </c>
      <c r="DB63" s="2861">
        <f t="shared" si="648"/>
        <v>18.810920245398773</v>
      </c>
      <c r="DC63" s="2861">
        <f t="shared" si="648"/>
        <v>29.816353075592755</v>
      </c>
      <c r="DD63" s="2861">
        <f t="shared" si="648"/>
        <v>29.848581322376731</v>
      </c>
      <c r="DE63" s="2861">
        <f t="shared" si="648"/>
        <v>1.9459459459459458</v>
      </c>
      <c r="DF63" s="2861">
        <f t="shared" si="648"/>
        <v>35.520879272931808</v>
      </c>
      <c r="DG63" s="2861">
        <f t="shared" si="648"/>
        <v>35.644912391996712</v>
      </c>
      <c r="DH63" s="2861">
        <f t="shared" si="648"/>
        <v>15.675453851564905</v>
      </c>
      <c r="DI63" s="2861">
        <f t="shared" si="648"/>
        <v>32.401841727074427</v>
      </c>
      <c r="DJ63" s="2861">
        <f t="shared" si="648"/>
        <v>32.717020501175448</v>
      </c>
      <c r="DK63" s="2861">
        <f t="shared" si="648"/>
        <v>5.2271408839779001</v>
      </c>
      <c r="DL63" s="2861">
        <f t="shared" si="648"/>
        <v>29.312469005128136</v>
      </c>
      <c r="DM63" s="2861">
        <f t="shared" si="648"/>
        <v>29.594252008396218</v>
      </c>
      <c r="DN63" s="2861">
        <f t="shared" si="648"/>
        <v>6.8148025772344294</v>
      </c>
      <c r="DO63" s="2962">
        <f t="shared" si="648"/>
        <v>35.520879272931808</v>
      </c>
      <c r="DP63" s="2962">
        <f t="shared" si="648"/>
        <v>35.644912391996719</v>
      </c>
      <c r="DQ63" s="2962">
        <f t="shared" si="648"/>
        <v>15.675453851564903</v>
      </c>
      <c r="DR63" s="2962">
        <f t="shared" si="648"/>
        <v>32.24908186582951</v>
      </c>
      <c r="DS63" s="2962">
        <f t="shared" si="648"/>
        <v>32.372034096960355</v>
      </c>
      <c r="DT63" s="2962">
        <f t="shared" si="648"/>
        <v>10.525274120181949</v>
      </c>
      <c r="DU63" s="2962">
        <f t="shared" si="648"/>
        <v>28.736410769183049</v>
      </c>
      <c r="DV63" s="2962">
        <f t="shared" si="648"/>
        <v>28.836807817474408</v>
      </c>
      <c r="DW63" s="2962">
        <f t="shared" si="648"/>
        <v>11.181085043988269</v>
      </c>
      <c r="DX63" s="2964">
        <f t="shared" si="371"/>
        <v>-3.2717974071022979</v>
      </c>
      <c r="DY63" s="2964">
        <f t="shared" si="371"/>
        <v>-3.2728782950363637</v>
      </c>
      <c r="DZ63" s="2964">
        <f t="shared" si="371"/>
        <v>-5.1501797313829538</v>
      </c>
      <c r="EA63" s="2962">
        <f>SUM(EA61/EA62)</f>
        <v>35.44350540365275</v>
      </c>
      <c r="EB63" s="2962">
        <f t="shared" ref="EB63:EC63" si="649">SUM(EB61/EB62)</f>
        <v>35.567759623433815</v>
      </c>
      <c r="EC63" s="2962">
        <f t="shared" si="649"/>
        <v>15.562703642431462</v>
      </c>
      <c r="ED63" s="2962">
        <f>SUM(ED61/ED62)</f>
        <v>29.465227069097111</v>
      </c>
      <c r="EE63" s="2962">
        <f t="shared" ref="EE63:EF63" si="650">SUM(EE61/EE62)</f>
        <v>29.555939194645365</v>
      </c>
      <c r="EF63" s="2962">
        <f t="shared" si="650"/>
        <v>11.369686658770327</v>
      </c>
      <c r="EG63" s="2962">
        <f>SUM(EG61/EG62)</f>
        <v>26.755783068117339</v>
      </c>
      <c r="EH63" s="2962">
        <f t="shared" ref="EH63:EI63" si="651">SUM(EH61/EH62)</f>
        <v>26.834057546548372</v>
      </c>
      <c r="EI63" s="2962">
        <f t="shared" si="651"/>
        <v>11.729045143869717</v>
      </c>
      <c r="EJ63" s="2964">
        <f t="shared" si="373"/>
        <v>-5.9782783345556396</v>
      </c>
      <c r="EK63" s="2964">
        <f t="shared" si="373"/>
        <v>-6.0118204287884502</v>
      </c>
      <c r="EL63" s="2964">
        <f t="shared" si="373"/>
        <v>-4.1930169836611348</v>
      </c>
      <c r="EM63" s="2861">
        <f t="shared" ref="EM63:FV63" si="652">SUM(EM61/EM62)</f>
        <v>35.520879272931808</v>
      </c>
      <c r="EN63" s="2861">
        <f t="shared" si="652"/>
        <v>35.644912391996712</v>
      </c>
      <c r="EO63" s="2861">
        <f t="shared" si="652"/>
        <v>15.675453851564905</v>
      </c>
      <c r="EP63" s="2861">
        <f t="shared" si="652"/>
        <v>27.705797542905664</v>
      </c>
      <c r="EQ63" s="2861">
        <f t="shared" si="652"/>
        <v>27.766224447078798</v>
      </c>
      <c r="ER63" s="2861">
        <f t="shared" si="652"/>
        <v>14.025606731620902</v>
      </c>
      <c r="ES63" s="2861">
        <f t="shared" si="652"/>
        <v>28.32770877616268</v>
      </c>
      <c r="ET63" s="2861">
        <f t="shared" si="652"/>
        <v>28.313842459158007</v>
      </c>
      <c r="EU63" s="2861">
        <f t="shared" si="652"/>
        <v>37.877551020408156</v>
      </c>
      <c r="EV63" s="2861">
        <f t="shared" si="652"/>
        <v>35.520879272931808</v>
      </c>
      <c r="EW63" s="2861">
        <f t="shared" si="652"/>
        <v>35.644912391996712</v>
      </c>
      <c r="EX63" s="2861">
        <f t="shared" si="652"/>
        <v>15.675453851564905</v>
      </c>
      <c r="EY63" s="2861">
        <f t="shared" si="652"/>
        <v>29.125370925687097</v>
      </c>
      <c r="EZ63" s="2861">
        <f t="shared" si="652"/>
        <v>29.105258949809116</v>
      </c>
      <c r="FA63" s="2861">
        <f t="shared" si="652"/>
        <v>46.12168918918919</v>
      </c>
      <c r="FB63" s="2861">
        <f t="shared" si="652"/>
        <v>24.151735599793966</v>
      </c>
      <c r="FC63" s="2861">
        <f t="shared" si="652"/>
        <v>24.176412255505408</v>
      </c>
      <c r="FD63" s="2861">
        <f t="shared" si="652"/>
        <v>16.30777777777778</v>
      </c>
      <c r="FE63" s="2861">
        <f t="shared" si="652"/>
        <v>35.520879272931808</v>
      </c>
      <c r="FF63" s="2861">
        <f t="shared" si="652"/>
        <v>35.644912391996712</v>
      </c>
      <c r="FG63" s="2861">
        <f t="shared" si="652"/>
        <v>15.675453851564905</v>
      </c>
      <c r="FH63" s="2861">
        <f t="shared" si="652"/>
        <v>34.977027385978317</v>
      </c>
      <c r="FI63" s="2861">
        <f t="shared" si="652"/>
        <v>35.296846491722043</v>
      </c>
      <c r="FJ63" s="2861">
        <f t="shared" si="652"/>
        <v>8.2213065326633163</v>
      </c>
      <c r="FK63" s="2861">
        <f t="shared" si="652"/>
        <v>29.768837789187906</v>
      </c>
      <c r="FL63" s="2861">
        <f t="shared" si="652"/>
        <v>30.042152617038752</v>
      </c>
      <c r="FM63" s="2861">
        <f t="shared" si="652"/>
        <v>7.20098643649815</v>
      </c>
      <c r="FN63" s="2962">
        <f t="shared" si="652"/>
        <v>35.520879272931808</v>
      </c>
      <c r="FO63" s="2962">
        <f t="shared" si="652"/>
        <v>35.644912391996719</v>
      </c>
      <c r="FP63" s="2962">
        <f t="shared" si="652"/>
        <v>15.675453851564903</v>
      </c>
      <c r="FQ63" s="2962">
        <f t="shared" si="652"/>
        <v>30.686930364957298</v>
      </c>
      <c r="FR63" s="2962">
        <f t="shared" si="652"/>
        <v>30.798018512858242</v>
      </c>
      <c r="FS63" s="2962">
        <f t="shared" si="652"/>
        <v>12.077146886526362</v>
      </c>
      <c r="FT63" s="2962">
        <f t="shared" si="652"/>
        <v>27.425013846576366</v>
      </c>
      <c r="FU63" s="2962">
        <f t="shared" si="652"/>
        <v>27.515519427955574</v>
      </c>
      <c r="FV63" s="2962">
        <f t="shared" si="652"/>
        <v>11.438864737019934</v>
      </c>
      <c r="FW63" s="2964">
        <f t="shared" si="375"/>
        <v>-4.8339489079745093</v>
      </c>
      <c r="FX63" s="2964">
        <f t="shared" si="375"/>
        <v>-4.8468938791384772</v>
      </c>
      <c r="FY63" s="2964">
        <f t="shared" si="375"/>
        <v>-3.5983069650385406</v>
      </c>
      <c r="FZ63" s="2962">
        <f>SUM(FZ61/FZ62)</f>
        <v>35.462848870972522</v>
      </c>
      <c r="GA63" s="2962">
        <f t="shared" ref="GA63:GB63" si="653">SUM(GA61/GA62)</f>
        <v>35.587047815574543</v>
      </c>
      <c r="GB63" s="2962">
        <f t="shared" si="653"/>
        <v>15.590891194714821</v>
      </c>
      <c r="GC63" s="2962">
        <f>SUM(GC61/GC62)</f>
        <v>29.770928817147823</v>
      </c>
      <c r="GD63" s="2962">
        <f t="shared" ref="GD63:GE63" si="654">SUM(GD61/GD62)</f>
        <v>29.866517953198684</v>
      </c>
      <c r="GE63" s="2962">
        <f t="shared" si="654"/>
        <v>11.570743167208771</v>
      </c>
      <c r="GF63" s="2962">
        <f>SUM(GF61/GF62)</f>
        <v>26.927379668702674</v>
      </c>
      <c r="GG63" s="2962">
        <f t="shared" ref="GG63:GH63" si="655">SUM(GG61/GG62)</f>
        <v>27.008731841223828</v>
      </c>
      <c r="GH63" s="2962">
        <f t="shared" si="655"/>
        <v>11.649964948896596</v>
      </c>
      <c r="GI63" s="2964">
        <f t="shared" si="377"/>
        <v>-5.691920053824699</v>
      </c>
      <c r="GJ63" s="2964">
        <f t="shared" si="377"/>
        <v>-5.7205298623758587</v>
      </c>
      <c r="GK63" s="2964">
        <f t="shared" si="377"/>
        <v>-4.0201480275060497</v>
      </c>
      <c r="GM63" s="4234"/>
    </row>
    <row r="64" spans="1:195" ht="18.75" customHeight="1" x14ac:dyDescent="0.3">
      <c r="A64" s="2965" t="s">
        <v>3786</v>
      </c>
      <c r="B64" s="2861">
        <f t="shared" ref="B64:B65" si="656">SUM(C64:D64)</f>
        <v>-422.49416666666673</v>
      </c>
      <c r="C64" s="2861">
        <f>SUM(стоки!DA102)/12</f>
        <v>-425.01500000000004</v>
      </c>
      <c r="D64" s="2861">
        <f>SUM(стоки!DB102)/12</f>
        <v>2.5208333333333335</v>
      </c>
      <c r="E64" s="2861">
        <f t="shared" ref="E64:E65" si="657">SUM(F64:G64)</f>
        <v>0</v>
      </c>
      <c r="F64" s="2861">
        <v>0</v>
      </c>
      <c r="G64" s="2861">
        <v>0</v>
      </c>
      <c r="H64" s="2861">
        <f t="shared" ref="H64:H65" si="658">SUM(I64:J64)</f>
        <v>0</v>
      </c>
      <c r="I64" s="2861">
        <v>0</v>
      </c>
      <c r="J64" s="2861">
        <v>0</v>
      </c>
      <c r="K64" s="2861">
        <f t="shared" ref="K64:K65" si="659">SUM(L64:M64)</f>
        <v>-422.49416666666673</v>
      </c>
      <c r="L64" s="2861">
        <f>SUM(C64)</f>
        <v>-425.01500000000004</v>
      </c>
      <c r="M64" s="2861">
        <f>SUM(D64)</f>
        <v>2.5208333333333335</v>
      </c>
      <c r="N64" s="2861">
        <f t="shared" ref="N64:N65" si="660">SUM(O64:P64)</f>
        <v>0</v>
      </c>
      <c r="O64" s="2861">
        <v>0</v>
      </c>
      <c r="P64" s="2861">
        <v>0</v>
      </c>
      <c r="Q64" s="2861">
        <f t="shared" ref="Q64:Q65" si="661">SUM(R64:S64)</f>
        <v>0</v>
      </c>
      <c r="R64" s="2861">
        <v>0</v>
      </c>
      <c r="S64" s="2861">
        <v>0</v>
      </c>
      <c r="T64" s="2861">
        <f t="shared" ref="T64:T65" si="662">SUM(U64:V64)</f>
        <v>-422.49416666666673</v>
      </c>
      <c r="U64" s="2861">
        <f>SUM(L64)</f>
        <v>-425.01500000000004</v>
      </c>
      <c r="V64" s="2861">
        <f>SUM(M64)</f>
        <v>2.5208333333333335</v>
      </c>
      <c r="W64" s="2861">
        <f t="shared" ref="W64:W65" si="663">SUM(X64:Y64)</f>
        <v>0</v>
      </c>
      <c r="X64" s="2861">
        <v>0</v>
      </c>
      <c r="Y64" s="2861">
        <v>0</v>
      </c>
      <c r="Z64" s="2861">
        <f t="shared" ref="Z64:Z65" si="664">SUM(AA64:AB64)</f>
        <v>0</v>
      </c>
      <c r="AA64" s="2861">
        <v>0</v>
      </c>
      <c r="AB64" s="2861">
        <v>0</v>
      </c>
      <c r="AC64" s="2937">
        <f>SUM(B64+K64+T64)</f>
        <v>-1267.4825000000001</v>
      </c>
      <c r="AD64" s="2937">
        <f t="shared" ref="AD64:AF68" si="665">SUM(C64+L64+U64)</f>
        <v>-1275.0450000000001</v>
      </c>
      <c r="AE64" s="2937">
        <f t="shared" si="665"/>
        <v>7.5625</v>
      </c>
      <c r="AF64" s="2937">
        <f>SUM(E64+N64+W64)</f>
        <v>0</v>
      </c>
      <c r="AG64" s="2937">
        <f t="shared" ref="AG64:AK68" si="666">SUM(F64+O64+X64)</f>
        <v>0</v>
      </c>
      <c r="AH64" s="2937">
        <f t="shared" si="666"/>
        <v>0</v>
      </c>
      <c r="AI64" s="2937">
        <f t="shared" si="666"/>
        <v>0</v>
      </c>
      <c r="AJ64" s="2937">
        <f t="shared" si="666"/>
        <v>0</v>
      </c>
      <c r="AK64" s="2937">
        <f t="shared" si="666"/>
        <v>0</v>
      </c>
      <c r="AL64" s="2927">
        <f t="shared" si="365"/>
        <v>1267.4825000000001</v>
      </c>
      <c r="AM64" s="2927">
        <f t="shared" si="365"/>
        <v>1275.0450000000001</v>
      </c>
      <c r="AN64" s="2927">
        <f t="shared" si="365"/>
        <v>-7.5625</v>
      </c>
      <c r="AO64" s="2861">
        <f t="shared" ref="AO64" si="667">SUM(AP64:AQ64)</f>
        <v>-422.49416666666673</v>
      </c>
      <c r="AP64" s="2861">
        <f>SUM(U64)</f>
        <v>-425.01500000000004</v>
      </c>
      <c r="AQ64" s="2861">
        <f>SUM(V64)</f>
        <v>2.5208333333333335</v>
      </c>
      <c r="AR64" s="2861">
        <f t="shared" ref="AR64:AR65" si="668">SUM(AS64:AT64)</f>
        <v>0</v>
      </c>
      <c r="AS64" s="2861">
        <v>0</v>
      </c>
      <c r="AT64" s="2861">
        <v>0</v>
      </c>
      <c r="AU64" s="2861">
        <f t="shared" ref="AU64:AU65" si="669">SUM(AV64:AW64)</f>
        <v>0</v>
      </c>
      <c r="AV64" s="2861">
        <v>0</v>
      </c>
      <c r="AW64" s="2861">
        <v>0</v>
      </c>
      <c r="AX64" s="2861">
        <f t="shared" ref="AX64:AX65" si="670">SUM(AY64:AZ64)</f>
        <v>-422.49416666666673</v>
      </c>
      <c r="AY64" s="2861">
        <f>SUM(AP64)</f>
        <v>-425.01500000000004</v>
      </c>
      <c r="AZ64" s="2861">
        <f>SUM(AQ64)</f>
        <v>2.5208333333333335</v>
      </c>
      <c r="BA64" s="2861">
        <f t="shared" ref="BA64:BA65" si="671">SUM(BB64:BC64)</f>
        <v>0</v>
      </c>
      <c r="BB64" s="2861">
        <v>0</v>
      </c>
      <c r="BC64" s="2861">
        <v>0</v>
      </c>
      <c r="BD64" s="2861">
        <f t="shared" ref="BD64:BD65" si="672">SUM(BE64:BF64)</f>
        <v>0</v>
      </c>
      <c r="BE64" s="2861">
        <v>0</v>
      </c>
      <c r="BF64" s="2861">
        <v>0</v>
      </c>
      <c r="BG64" s="2861">
        <f t="shared" ref="BG64:BG65" si="673">SUM(BH64:BI64)</f>
        <v>-422.49416666666673</v>
      </c>
      <c r="BH64" s="2861">
        <f>SUM(AY64)</f>
        <v>-425.01500000000004</v>
      </c>
      <c r="BI64" s="2861">
        <f>SUM(AZ64)</f>
        <v>2.5208333333333335</v>
      </c>
      <c r="BJ64" s="2861">
        <f t="shared" ref="BJ64:BJ65" si="674">SUM(BK64:BL64)</f>
        <v>0</v>
      </c>
      <c r="BK64" s="2861">
        <v>0</v>
      </c>
      <c r="BL64" s="2861">
        <v>0</v>
      </c>
      <c r="BM64" s="2861">
        <f t="shared" ref="BM64:BM65" si="675">SUM(BN64:BO64)</f>
        <v>0</v>
      </c>
      <c r="BN64" s="2861">
        <v>0</v>
      </c>
      <c r="BO64" s="2861">
        <v>0</v>
      </c>
      <c r="BP64" s="2926">
        <f t="shared" ref="BP64:BX68" si="676">SUM(AO64+AX64+BG64)</f>
        <v>-1267.4825000000001</v>
      </c>
      <c r="BQ64" s="2926">
        <f t="shared" si="676"/>
        <v>-1275.0450000000001</v>
      </c>
      <c r="BR64" s="2926">
        <f t="shared" si="676"/>
        <v>7.5625</v>
      </c>
      <c r="BS64" s="2926">
        <f t="shared" si="676"/>
        <v>0</v>
      </c>
      <c r="BT64" s="2926">
        <f t="shared" si="676"/>
        <v>0</v>
      </c>
      <c r="BU64" s="2926">
        <f t="shared" si="676"/>
        <v>0</v>
      </c>
      <c r="BV64" s="2926">
        <f t="shared" si="676"/>
        <v>0</v>
      </c>
      <c r="BW64" s="2926">
        <f t="shared" si="676"/>
        <v>0</v>
      </c>
      <c r="BX64" s="2926">
        <f t="shared" si="676"/>
        <v>0</v>
      </c>
      <c r="BY64" s="2938">
        <f t="shared" si="367"/>
        <v>1267.4825000000001</v>
      </c>
      <c r="BZ64" s="2938">
        <f t="shared" si="367"/>
        <v>1275.0450000000001</v>
      </c>
      <c r="CA64" s="2938">
        <f t="shared" si="367"/>
        <v>-7.5625</v>
      </c>
      <c r="CB64" s="2926">
        <f t="shared" ref="CB64:CJ68" si="677">SUM(AC64+BP64)</f>
        <v>-2534.9650000000001</v>
      </c>
      <c r="CC64" s="2926">
        <f t="shared" si="677"/>
        <v>-2550.09</v>
      </c>
      <c r="CD64" s="2926">
        <f t="shared" si="677"/>
        <v>15.125</v>
      </c>
      <c r="CE64" s="2926">
        <f t="shared" si="677"/>
        <v>0</v>
      </c>
      <c r="CF64" s="2926">
        <f t="shared" si="677"/>
        <v>0</v>
      </c>
      <c r="CG64" s="2926">
        <f t="shared" si="677"/>
        <v>0</v>
      </c>
      <c r="CH64" s="2926">
        <f t="shared" si="677"/>
        <v>0</v>
      </c>
      <c r="CI64" s="2926">
        <f t="shared" si="677"/>
        <v>0</v>
      </c>
      <c r="CJ64" s="2926">
        <f t="shared" si="677"/>
        <v>0</v>
      </c>
      <c r="CK64" s="2927">
        <f t="shared" si="369"/>
        <v>2534.9650000000001</v>
      </c>
      <c r="CL64" s="2927">
        <f t="shared" si="369"/>
        <v>2550.09</v>
      </c>
      <c r="CM64" s="2927">
        <f t="shared" si="369"/>
        <v>-15.125</v>
      </c>
      <c r="CN64" s="2861">
        <f t="shared" ref="CN64:CN65" si="678">SUM(CO64:CP64)</f>
        <v>-422.49416666666673</v>
      </c>
      <c r="CO64" s="2861">
        <f>SUM(BH64)</f>
        <v>-425.01500000000004</v>
      </c>
      <c r="CP64" s="2861">
        <f>SUM(BI64)</f>
        <v>2.5208333333333335</v>
      </c>
      <c r="CQ64" s="2861">
        <f t="shared" ref="CQ64:CQ65" si="679">SUM(CR64:CS64)</f>
        <v>0</v>
      </c>
      <c r="CR64" s="2861">
        <v>0</v>
      </c>
      <c r="CS64" s="2861">
        <v>0</v>
      </c>
      <c r="CT64" s="2861">
        <f t="shared" ref="CT64:CT65" si="680">SUM(CU64:CV64)</f>
        <v>0</v>
      </c>
      <c r="CU64" s="2861">
        <v>0</v>
      </c>
      <c r="CV64" s="2861">
        <v>0</v>
      </c>
      <c r="CW64" s="2861">
        <f t="shared" ref="CW64:CW65" si="681">SUM(CX64:CY64)</f>
        <v>-422.49416666666673</v>
      </c>
      <c r="CX64" s="2861">
        <f>SUM(CO64)</f>
        <v>-425.01500000000004</v>
      </c>
      <c r="CY64" s="2861">
        <f>SUM(CP64)</f>
        <v>2.5208333333333335</v>
      </c>
      <c r="CZ64" s="2861">
        <f t="shared" ref="CZ64:CZ65" si="682">SUM(DA64:DB64)</f>
        <v>0</v>
      </c>
      <c r="DA64" s="2861">
        <v>0</v>
      </c>
      <c r="DB64" s="2861">
        <v>0</v>
      </c>
      <c r="DC64" s="2861">
        <f t="shared" ref="DC64:DC65" si="683">SUM(DD64:DE64)</f>
        <v>0</v>
      </c>
      <c r="DD64" s="2861">
        <v>0</v>
      </c>
      <c r="DE64" s="2861">
        <v>0</v>
      </c>
      <c r="DF64" s="2861">
        <f t="shared" ref="DF64:DF65" si="684">SUM(DG64:DH64)</f>
        <v>-422.49416666666673</v>
      </c>
      <c r="DG64" s="2861">
        <f>SUM(CX64)</f>
        <v>-425.01500000000004</v>
      </c>
      <c r="DH64" s="2861">
        <f>SUM(CY64)</f>
        <v>2.5208333333333335</v>
      </c>
      <c r="DI64" s="2861">
        <f t="shared" ref="DI64:DI65" si="685">SUM(DJ64:DK64)</f>
        <v>0</v>
      </c>
      <c r="DJ64" s="2861">
        <v>0</v>
      </c>
      <c r="DK64" s="2861">
        <v>0</v>
      </c>
      <c r="DL64" s="2861">
        <f t="shared" ref="DL64:DL65" si="686">SUM(DM64:DN64)</f>
        <v>0</v>
      </c>
      <c r="DM64" s="2861">
        <v>0</v>
      </c>
      <c r="DN64" s="2861">
        <v>0</v>
      </c>
      <c r="DO64" s="2926">
        <f t="shared" ref="DO64:DW68" si="687">SUM(CN64+CW64+DF64)</f>
        <v>-1267.4825000000001</v>
      </c>
      <c r="DP64" s="2926">
        <f t="shared" si="687"/>
        <v>-1275.0450000000001</v>
      </c>
      <c r="DQ64" s="2926">
        <f t="shared" si="687"/>
        <v>7.5625</v>
      </c>
      <c r="DR64" s="2926">
        <f t="shared" si="687"/>
        <v>0</v>
      </c>
      <c r="DS64" s="2926">
        <f t="shared" si="687"/>
        <v>0</v>
      </c>
      <c r="DT64" s="2926">
        <f t="shared" si="687"/>
        <v>0</v>
      </c>
      <c r="DU64" s="2926">
        <f t="shared" si="687"/>
        <v>0</v>
      </c>
      <c r="DV64" s="2926">
        <f t="shared" si="687"/>
        <v>0</v>
      </c>
      <c r="DW64" s="2926">
        <f t="shared" si="687"/>
        <v>0</v>
      </c>
      <c r="DX64" s="2927">
        <f t="shared" si="371"/>
        <v>1267.4825000000001</v>
      </c>
      <c r="DY64" s="2927">
        <f t="shared" si="371"/>
        <v>1275.0450000000001</v>
      </c>
      <c r="DZ64" s="2927">
        <f t="shared" si="371"/>
        <v>-7.5625</v>
      </c>
      <c r="EA64" s="2932">
        <f t="shared" ref="EA64:EI68" si="688">SUM(CB64+DO64)</f>
        <v>-3802.4475000000002</v>
      </c>
      <c r="EB64" s="2932">
        <f t="shared" si="688"/>
        <v>-3825.1350000000002</v>
      </c>
      <c r="EC64" s="2932">
        <f t="shared" si="688"/>
        <v>22.6875</v>
      </c>
      <c r="ED64" s="2926">
        <f t="shared" si="688"/>
        <v>0</v>
      </c>
      <c r="EE64" s="2926">
        <f t="shared" si="688"/>
        <v>0</v>
      </c>
      <c r="EF64" s="2926">
        <f t="shared" si="688"/>
        <v>0</v>
      </c>
      <c r="EG64" s="2932">
        <f t="shared" si="688"/>
        <v>0</v>
      </c>
      <c r="EH64" s="2932">
        <f t="shared" si="688"/>
        <v>0</v>
      </c>
      <c r="EI64" s="2932">
        <f t="shared" si="688"/>
        <v>0</v>
      </c>
      <c r="EJ64" s="2927">
        <f t="shared" si="373"/>
        <v>3802.4475000000002</v>
      </c>
      <c r="EK64" s="2927">
        <f t="shared" si="373"/>
        <v>3825.1350000000002</v>
      </c>
      <c r="EL64" s="2927">
        <f t="shared" si="373"/>
        <v>-22.6875</v>
      </c>
      <c r="EM64" s="2861">
        <f t="shared" ref="EM64:EM65" si="689">SUM(EN64:EO64)</f>
        <v>-422.49416666666673</v>
      </c>
      <c r="EN64" s="2861">
        <f>SUM(DG64)</f>
        <v>-425.01500000000004</v>
      </c>
      <c r="EO64" s="2861">
        <f>SUM(DH64)</f>
        <v>2.5208333333333335</v>
      </c>
      <c r="EP64" s="2861">
        <f t="shared" ref="EP64:EP65" si="690">SUM(EQ64:ER64)</f>
        <v>0</v>
      </c>
      <c r="EQ64" s="2861">
        <v>0</v>
      </c>
      <c r="ER64" s="2861">
        <v>0</v>
      </c>
      <c r="ES64" s="2861">
        <f t="shared" ref="ES64:ES65" si="691">SUM(ET64:EU64)</f>
        <v>0</v>
      </c>
      <c r="ET64" s="2861">
        <v>0</v>
      </c>
      <c r="EU64" s="2861">
        <v>0</v>
      </c>
      <c r="EV64" s="2861">
        <f t="shared" ref="EV64:EV65" si="692">SUM(EW64:EX64)</f>
        <v>-422.49416666666673</v>
      </c>
      <c r="EW64" s="2861">
        <f>SUM(EN64)</f>
        <v>-425.01500000000004</v>
      </c>
      <c r="EX64" s="2861">
        <f>SUM(EO64)</f>
        <v>2.5208333333333335</v>
      </c>
      <c r="EY64" s="2861">
        <f t="shared" ref="EY64:EY65" si="693">SUM(EZ64:FA64)</f>
        <v>0</v>
      </c>
      <c r="EZ64" s="2861">
        <v>0</v>
      </c>
      <c r="FA64" s="2861">
        <v>0</v>
      </c>
      <c r="FB64" s="2861">
        <f t="shared" ref="FB64:FB65" si="694">SUM(FC64:FD64)</f>
        <v>0</v>
      </c>
      <c r="FC64" s="2861">
        <v>0</v>
      </c>
      <c r="FD64" s="2861">
        <v>0</v>
      </c>
      <c r="FE64" s="2861">
        <f t="shared" ref="FE64:FE65" si="695">SUM(FF64:FG64)</f>
        <v>-422.49416666666673</v>
      </c>
      <c r="FF64" s="2861">
        <f>SUM(EW64)</f>
        <v>-425.01500000000004</v>
      </c>
      <c r="FG64" s="2861">
        <f>SUM(EX64)</f>
        <v>2.5208333333333335</v>
      </c>
      <c r="FH64" s="2861">
        <f t="shared" ref="FH64:FH65" si="696">SUM(FI64:FJ64)</f>
        <v>0</v>
      </c>
      <c r="FI64" s="2861">
        <v>0</v>
      </c>
      <c r="FJ64" s="2861">
        <v>0</v>
      </c>
      <c r="FK64" s="2861">
        <f t="shared" ref="FK64:FK65" si="697">SUM(FL64:FM64)</f>
        <v>0</v>
      </c>
      <c r="FL64" s="2861">
        <v>0</v>
      </c>
      <c r="FM64" s="2861">
        <v>0</v>
      </c>
      <c r="FN64" s="2926">
        <f t="shared" ref="FN64:FV68" si="698">SUM(EM64+EV64+FE64)</f>
        <v>-1267.4825000000001</v>
      </c>
      <c r="FO64" s="2926">
        <f t="shared" si="698"/>
        <v>-1275.0450000000001</v>
      </c>
      <c r="FP64" s="2926">
        <f t="shared" si="698"/>
        <v>7.5625</v>
      </c>
      <c r="FQ64" s="2926">
        <f t="shared" si="698"/>
        <v>0</v>
      </c>
      <c r="FR64" s="2926">
        <f t="shared" si="698"/>
        <v>0</v>
      </c>
      <c r="FS64" s="2926">
        <f t="shared" si="698"/>
        <v>0</v>
      </c>
      <c r="FT64" s="2926">
        <f t="shared" si="698"/>
        <v>0</v>
      </c>
      <c r="FU64" s="2926">
        <f t="shared" si="698"/>
        <v>0</v>
      </c>
      <c r="FV64" s="2926">
        <f t="shared" si="698"/>
        <v>0</v>
      </c>
      <c r="FW64" s="2927">
        <f t="shared" si="375"/>
        <v>1267.4825000000001</v>
      </c>
      <c r="FX64" s="2927">
        <f t="shared" si="375"/>
        <v>1275.0450000000001</v>
      </c>
      <c r="FY64" s="2927">
        <f t="shared" si="375"/>
        <v>-7.5625</v>
      </c>
      <c r="FZ64" s="2926">
        <f t="shared" ref="FZ64:GH68" si="699">SUM(EA64+FN64)</f>
        <v>-5069.93</v>
      </c>
      <c r="GA64" s="2926">
        <f t="shared" si="699"/>
        <v>-5100.18</v>
      </c>
      <c r="GB64" s="2926">
        <f t="shared" si="699"/>
        <v>30.25</v>
      </c>
      <c r="GC64" s="2926">
        <f t="shared" si="699"/>
        <v>0</v>
      </c>
      <c r="GD64" s="2926">
        <f t="shared" si="699"/>
        <v>0</v>
      </c>
      <c r="GE64" s="2926">
        <f t="shared" si="699"/>
        <v>0</v>
      </c>
      <c r="GF64" s="2926">
        <f t="shared" si="699"/>
        <v>0</v>
      </c>
      <c r="GG64" s="2926">
        <f t="shared" si="699"/>
        <v>0</v>
      </c>
      <c r="GH64" s="2926">
        <f t="shared" si="699"/>
        <v>0</v>
      </c>
      <c r="GI64" s="2927">
        <f t="shared" si="377"/>
        <v>5069.93</v>
      </c>
      <c r="GJ64" s="2927">
        <f t="shared" si="377"/>
        <v>5100.18</v>
      </c>
      <c r="GK64" s="2927">
        <f t="shared" si="377"/>
        <v>-30.25</v>
      </c>
      <c r="GM64" s="4234"/>
    </row>
    <row r="65" spans="1:195" ht="18.75" customHeight="1" x14ac:dyDescent="0.3">
      <c r="A65" s="2879" t="s">
        <v>312</v>
      </c>
      <c r="B65" s="2875">
        <f t="shared" si="656"/>
        <v>0</v>
      </c>
      <c r="C65" s="2875">
        <v>0</v>
      </c>
      <c r="D65" s="2875">
        <v>0</v>
      </c>
      <c r="E65" s="2875">
        <f t="shared" si="657"/>
        <v>0</v>
      </c>
      <c r="F65" s="2875">
        <v>0</v>
      </c>
      <c r="G65" s="2875">
        <v>0</v>
      </c>
      <c r="H65" s="2875">
        <f t="shared" si="658"/>
        <v>0</v>
      </c>
      <c r="I65" s="2875">
        <v>0</v>
      </c>
      <c r="J65" s="2875">
        <v>0</v>
      </c>
      <c r="K65" s="2875">
        <f t="shared" si="659"/>
        <v>0</v>
      </c>
      <c r="L65" s="2875">
        <f>SUM(C65)</f>
        <v>0</v>
      </c>
      <c r="M65" s="2875">
        <f>SUM(D65)</f>
        <v>0</v>
      </c>
      <c r="N65" s="2875">
        <f t="shared" si="660"/>
        <v>0</v>
      </c>
      <c r="O65" s="2875">
        <v>0</v>
      </c>
      <c r="P65" s="2875">
        <v>0</v>
      </c>
      <c r="Q65" s="2875">
        <f t="shared" si="661"/>
        <v>0</v>
      </c>
      <c r="R65" s="2875">
        <v>0</v>
      </c>
      <c r="S65" s="2875">
        <v>0</v>
      </c>
      <c r="T65" s="2875">
        <f t="shared" si="662"/>
        <v>0</v>
      </c>
      <c r="U65" s="2875">
        <f>SUM(L65)</f>
        <v>0</v>
      </c>
      <c r="V65" s="2875">
        <f>SUM(M65)</f>
        <v>0</v>
      </c>
      <c r="W65" s="2875">
        <f t="shared" si="663"/>
        <v>0</v>
      </c>
      <c r="X65" s="2875">
        <v>0</v>
      </c>
      <c r="Y65" s="2875">
        <v>0</v>
      </c>
      <c r="Z65" s="2875">
        <f t="shared" si="664"/>
        <v>0</v>
      </c>
      <c r="AA65" s="2875">
        <v>0</v>
      </c>
      <c r="AB65" s="2875">
        <v>0</v>
      </c>
      <c r="AC65" s="2932">
        <f>SUM(B65+K65+T65)</f>
        <v>0</v>
      </c>
      <c r="AD65" s="2932">
        <f t="shared" si="665"/>
        <v>0</v>
      </c>
      <c r="AE65" s="2932">
        <f t="shared" si="665"/>
        <v>0</v>
      </c>
      <c r="AF65" s="2932">
        <f>SUM(E65+N65+W65)</f>
        <v>0</v>
      </c>
      <c r="AG65" s="2932">
        <f t="shared" si="666"/>
        <v>0</v>
      </c>
      <c r="AH65" s="2932">
        <f t="shared" si="666"/>
        <v>0</v>
      </c>
      <c r="AI65" s="2932">
        <f t="shared" si="666"/>
        <v>0</v>
      </c>
      <c r="AJ65" s="2932">
        <f t="shared" si="666"/>
        <v>0</v>
      </c>
      <c r="AK65" s="2932">
        <f t="shared" si="666"/>
        <v>0</v>
      </c>
      <c r="AL65" s="2933">
        <f t="shared" si="365"/>
        <v>0</v>
      </c>
      <c r="AM65" s="2933">
        <f t="shared" si="365"/>
        <v>0</v>
      </c>
      <c r="AN65" s="2933">
        <f t="shared" si="365"/>
        <v>0</v>
      </c>
      <c r="AO65" s="2875">
        <f t="shared" ref="AO65" si="700">SUM(AP65:AQ65)</f>
        <v>0</v>
      </c>
      <c r="AP65" s="2875">
        <f>SUM(U65)</f>
        <v>0</v>
      </c>
      <c r="AQ65" s="2875">
        <f>SUM(V65)</f>
        <v>0</v>
      </c>
      <c r="AR65" s="2875">
        <f t="shared" si="668"/>
        <v>0</v>
      </c>
      <c r="AS65" s="2875">
        <v>0</v>
      </c>
      <c r="AT65" s="2875">
        <v>0</v>
      </c>
      <c r="AU65" s="2875">
        <f t="shared" si="669"/>
        <v>0</v>
      </c>
      <c r="AV65" s="2875">
        <v>0</v>
      </c>
      <c r="AW65" s="2875">
        <v>0</v>
      </c>
      <c r="AX65" s="2875">
        <f t="shared" si="670"/>
        <v>0</v>
      </c>
      <c r="AY65" s="2875">
        <f>SUM(AP65)</f>
        <v>0</v>
      </c>
      <c r="AZ65" s="2875">
        <f>SUM(AQ65)</f>
        <v>0</v>
      </c>
      <c r="BA65" s="2875">
        <f t="shared" si="671"/>
        <v>0</v>
      </c>
      <c r="BB65" s="2875">
        <v>0</v>
      </c>
      <c r="BC65" s="2875">
        <v>0</v>
      </c>
      <c r="BD65" s="2875">
        <f t="shared" si="672"/>
        <v>0</v>
      </c>
      <c r="BE65" s="2875">
        <v>0</v>
      </c>
      <c r="BF65" s="2875">
        <v>0</v>
      </c>
      <c r="BG65" s="2875">
        <f t="shared" si="673"/>
        <v>0</v>
      </c>
      <c r="BH65" s="2875">
        <f>SUM(AY65)</f>
        <v>0</v>
      </c>
      <c r="BI65" s="2875">
        <f>SUM(AZ65)</f>
        <v>0</v>
      </c>
      <c r="BJ65" s="2875">
        <f t="shared" si="674"/>
        <v>0</v>
      </c>
      <c r="BK65" s="2875">
        <v>0</v>
      </c>
      <c r="BL65" s="2875">
        <v>0</v>
      </c>
      <c r="BM65" s="2875">
        <f t="shared" si="675"/>
        <v>0</v>
      </c>
      <c r="BN65" s="2875">
        <v>0</v>
      </c>
      <c r="BO65" s="2875">
        <v>0</v>
      </c>
      <c r="BP65" s="2932">
        <f t="shared" si="676"/>
        <v>0</v>
      </c>
      <c r="BQ65" s="2932">
        <f t="shared" si="676"/>
        <v>0</v>
      </c>
      <c r="BR65" s="2932">
        <f t="shared" si="676"/>
        <v>0</v>
      </c>
      <c r="BS65" s="2932">
        <f t="shared" si="676"/>
        <v>0</v>
      </c>
      <c r="BT65" s="2932">
        <f t="shared" si="676"/>
        <v>0</v>
      </c>
      <c r="BU65" s="2932">
        <f t="shared" si="676"/>
        <v>0</v>
      </c>
      <c r="BV65" s="2932">
        <f t="shared" si="676"/>
        <v>0</v>
      </c>
      <c r="BW65" s="2932">
        <f t="shared" si="676"/>
        <v>0</v>
      </c>
      <c r="BX65" s="2932">
        <f t="shared" si="676"/>
        <v>0</v>
      </c>
      <c r="BY65" s="2933">
        <f t="shared" si="367"/>
        <v>0</v>
      </c>
      <c r="BZ65" s="2933">
        <f t="shared" si="367"/>
        <v>0</v>
      </c>
      <c r="CA65" s="2933">
        <f t="shared" si="367"/>
        <v>0</v>
      </c>
      <c r="CB65" s="2932">
        <f t="shared" si="677"/>
        <v>0</v>
      </c>
      <c r="CC65" s="2932">
        <f t="shared" si="677"/>
        <v>0</v>
      </c>
      <c r="CD65" s="2932">
        <f t="shared" si="677"/>
        <v>0</v>
      </c>
      <c r="CE65" s="2932">
        <f t="shared" si="677"/>
        <v>0</v>
      </c>
      <c r="CF65" s="2932">
        <f t="shared" si="677"/>
        <v>0</v>
      </c>
      <c r="CG65" s="2932">
        <f t="shared" si="677"/>
        <v>0</v>
      </c>
      <c r="CH65" s="2932">
        <f t="shared" si="677"/>
        <v>0</v>
      </c>
      <c r="CI65" s="2932">
        <f t="shared" si="677"/>
        <v>0</v>
      </c>
      <c r="CJ65" s="2932">
        <f t="shared" si="677"/>
        <v>0</v>
      </c>
      <c r="CK65" s="2933">
        <f t="shared" si="369"/>
        <v>0</v>
      </c>
      <c r="CL65" s="2933">
        <f t="shared" si="369"/>
        <v>0</v>
      </c>
      <c r="CM65" s="2933">
        <f t="shared" si="369"/>
        <v>0</v>
      </c>
      <c r="CN65" s="2875">
        <f t="shared" si="678"/>
        <v>0</v>
      </c>
      <c r="CO65" s="2875">
        <f t="shared" ref="CO65:CP65" si="701">SUM(BH65)</f>
        <v>0</v>
      </c>
      <c r="CP65" s="2875">
        <f t="shared" si="701"/>
        <v>0</v>
      </c>
      <c r="CQ65" s="2875">
        <f t="shared" si="679"/>
        <v>0</v>
      </c>
      <c r="CR65" s="2875">
        <v>0</v>
      </c>
      <c r="CS65" s="2875">
        <v>0</v>
      </c>
      <c r="CT65" s="2875">
        <f t="shared" si="680"/>
        <v>0</v>
      </c>
      <c r="CU65" s="2875">
        <v>0</v>
      </c>
      <c r="CV65" s="2875">
        <v>0</v>
      </c>
      <c r="CW65" s="2875">
        <f t="shared" si="681"/>
        <v>0</v>
      </c>
      <c r="CX65" s="2875">
        <f>SUM(CO65)</f>
        <v>0</v>
      </c>
      <c r="CY65" s="2875">
        <f>SUM(CP65)</f>
        <v>0</v>
      </c>
      <c r="CZ65" s="2875">
        <f t="shared" si="682"/>
        <v>0</v>
      </c>
      <c r="DA65" s="2875">
        <v>0</v>
      </c>
      <c r="DB65" s="2875">
        <v>0</v>
      </c>
      <c r="DC65" s="2875">
        <f t="shared" si="683"/>
        <v>0</v>
      </c>
      <c r="DD65" s="2875">
        <v>0</v>
      </c>
      <c r="DE65" s="2875">
        <v>0</v>
      </c>
      <c r="DF65" s="2875">
        <f t="shared" si="684"/>
        <v>0</v>
      </c>
      <c r="DG65" s="2875">
        <f>SUM(CX65)</f>
        <v>0</v>
      </c>
      <c r="DH65" s="2875">
        <f>SUM(CY65)</f>
        <v>0</v>
      </c>
      <c r="DI65" s="2875">
        <f t="shared" si="685"/>
        <v>0</v>
      </c>
      <c r="DJ65" s="2875">
        <v>0</v>
      </c>
      <c r="DK65" s="2875">
        <v>0</v>
      </c>
      <c r="DL65" s="2875">
        <f t="shared" si="686"/>
        <v>0</v>
      </c>
      <c r="DM65" s="2875">
        <v>0</v>
      </c>
      <c r="DN65" s="2875">
        <v>0</v>
      </c>
      <c r="DO65" s="2932">
        <f t="shared" si="687"/>
        <v>0</v>
      </c>
      <c r="DP65" s="2932">
        <f t="shared" si="687"/>
        <v>0</v>
      </c>
      <c r="DQ65" s="2932">
        <f t="shared" si="687"/>
        <v>0</v>
      </c>
      <c r="DR65" s="2932">
        <f t="shared" si="687"/>
        <v>0</v>
      </c>
      <c r="DS65" s="2932">
        <f t="shared" si="687"/>
        <v>0</v>
      </c>
      <c r="DT65" s="2932">
        <f t="shared" si="687"/>
        <v>0</v>
      </c>
      <c r="DU65" s="2932">
        <f t="shared" si="687"/>
        <v>0</v>
      </c>
      <c r="DV65" s="2932">
        <f t="shared" si="687"/>
        <v>0</v>
      </c>
      <c r="DW65" s="2932">
        <f t="shared" si="687"/>
        <v>0</v>
      </c>
      <c r="DX65" s="2933">
        <f t="shared" si="371"/>
        <v>0</v>
      </c>
      <c r="DY65" s="2933">
        <f t="shared" si="371"/>
        <v>0</v>
      </c>
      <c r="DZ65" s="2933">
        <f t="shared" si="371"/>
        <v>0</v>
      </c>
      <c r="EA65" s="2932">
        <f t="shared" si="688"/>
        <v>0</v>
      </c>
      <c r="EB65" s="2932">
        <f t="shared" si="688"/>
        <v>0</v>
      </c>
      <c r="EC65" s="2932">
        <f t="shared" si="688"/>
        <v>0</v>
      </c>
      <c r="ED65" s="2932">
        <f t="shared" si="688"/>
        <v>0</v>
      </c>
      <c r="EE65" s="2932">
        <f t="shared" si="688"/>
        <v>0</v>
      </c>
      <c r="EF65" s="2932">
        <f t="shared" si="688"/>
        <v>0</v>
      </c>
      <c r="EG65" s="2932">
        <f t="shared" si="688"/>
        <v>0</v>
      </c>
      <c r="EH65" s="2932">
        <f t="shared" si="688"/>
        <v>0</v>
      </c>
      <c r="EI65" s="2932">
        <f t="shared" si="688"/>
        <v>0</v>
      </c>
      <c r="EJ65" s="2933">
        <f t="shared" si="373"/>
        <v>0</v>
      </c>
      <c r="EK65" s="2933">
        <f t="shared" si="373"/>
        <v>0</v>
      </c>
      <c r="EL65" s="2933">
        <f t="shared" si="373"/>
        <v>0</v>
      </c>
      <c r="EM65" s="2875">
        <f t="shared" si="689"/>
        <v>0</v>
      </c>
      <c r="EN65" s="2875">
        <f>SUM(DG65)</f>
        <v>0</v>
      </c>
      <c r="EO65" s="2875">
        <f>SUM(DH65)</f>
        <v>0</v>
      </c>
      <c r="EP65" s="2875">
        <f t="shared" si="690"/>
        <v>0</v>
      </c>
      <c r="EQ65" s="2875">
        <v>0</v>
      </c>
      <c r="ER65" s="2875">
        <v>0</v>
      </c>
      <c r="ES65" s="2875">
        <f t="shared" si="691"/>
        <v>0</v>
      </c>
      <c r="ET65" s="2875">
        <v>0</v>
      </c>
      <c r="EU65" s="2875">
        <v>0</v>
      </c>
      <c r="EV65" s="2875">
        <f t="shared" si="692"/>
        <v>0</v>
      </c>
      <c r="EW65" s="2875">
        <f>SUM(EN65)</f>
        <v>0</v>
      </c>
      <c r="EX65" s="2875">
        <f>SUM(EO65)</f>
        <v>0</v>
      </c>
      <c r="EY65" s="2875">
        <f t="shared" si="693"/>
        <v>0</v>
      </c>
      <c r="EZ65" s="2875">
        <v>0</v>
      </c>
      <c r="FA65" s="2875">
        <v>0</v>
      </c>
      <c r="FB65" s="2875">
        <f t="shared" si="694"/>
        <v>0</v>
      </c>
      <c r="FC65" s="2875">
        <v>0</v>
      </c>
      <c r="FD65" s="2875">
        <v>0</v>
      </c>
      <c r="FE65" s="2875">
        <f t="shared" si="695"/>
        <v>0</v>
      </c>
      <c r="FF65" s="2875">
        <f>SUM(EW65)</f>
        <v>0</v>
      </c>
      <c r="FG65" s="2875">
        <f>SUM(EX65)</f>
        <v>0</v>
      </c>
      <c r="FH65" s="2875">
        <f t="shared" si="696"/>
        <v>0</v>
      </c>
      <c r="FI65" s="2875">
        <v>0</v>
      </c>
      <c r="FJ65" s="2875">
        <v>0</v>
      </c>
      <c r="FK65" s="2875">
        <f t="shared" si="697"/>
        <v>0</v>
      </c>
      <c r="FL65" s="2875">
        <v>0</v>
      </c>
      <c r="FM65" s="2875">
        <v>0</v>
      </c>
      <c r="FN65" s="2932">
        <f t="shared" si="698"/>
        <v>0</v>
      </c>
      <c r="FO65" s="2932">
        <f t="shared" si="698"/>
        <v>0</v>
      </c>
      <c r="FP65" s="2932">
        <f t="shared" si="698"/>
        <v>0</v>
      </c>
      <c r="FQ65" s="2932">
        <f t="shared" si="698"/>
        <v>0</v>
      </c>
      <c r="FR65" s="2932">
        <f t="shared" si="698"/>
        <v>0</v>
      </c>
      <c r="FS65" s="2932">
        <f t="shared" si="698"/>
        <v>0</v>
      </c>
      <c r="FT65" s="2932">
        <f t="shared" si="698"/>
        <v>0</v>
      </c>
      <c r="FU65" s="2932">
        <f t="shared" si="698"/>
        <v>0</v>
      </c>
      <c r="FV65" s="2932">
        <f t="shared" si="698"/>
        <v>0</v>
      </c>
      <c r="FW65" s="2933">
        <f t="shared" si="375"/>
        <v>0</v>
      </c>
      <c r="FX65" s="2933">
        <f t="shared" si="375"/>
        <v>0</v>
      </c>
      <c r="FY65" s="2933">
        <f t="shared" si="375"/>
        <v>0</v>
      </c>
      <c r="FZ65" s="2932">
        <f t="shared" si="699"/>
        <v>0</v>
      </c>
      <c r="GA65" s="2932">
        <f t="shared" si="699"/>
        <v>0</v>
      </c>
      <c r="GB65" s="2932">
        <f t="shared" si="699"/>
        <v>0</v>
      </c>
      <c r="GC65" s="2932">
        <f t="shared" si="699"/>
        <v>0</v>
      </c>
      <c r="GD65" s="2932">
        <f t="shared" si="699"/>
        <v>0</v>
      </c>
      <c r="GE65" s="2932">
        <f t="shared" si="699"/>
        <v>0</v>
      </c>
      <c r="GF65" s="2932">
        <f t="shared" si="699"/>
        <v>0</v>
      </c>
      <c r="GG65" s="2932">
        <f t="shared" si="699"/>
        <v>0</v>
      </c>
      <c r="GH65" s="2932">
        <f t="shared" si="699"/>
        <v>0</v>
      </c>
      <c r="GI65" s="2933">
        <f t="shared" si="377"/>
        <v>0</v>
      </c>
      <c r="GJ65" s="2933">
        <f t="shared" si="377"/>
        <v>0</v>
      </c>
      <c r="GK65" s="2933">
        <f t="shared" si="377"/>
        <v>0</v>
      </c>
      <c r="GM65" s="4234"/>
    </row>
    <row r="66" spans="1:195" ht="18.75" customHeight="1" x14ac:dyDescent="0.3">
      <c r="A66" s="2965" t="s">
        <v>3713</v>
      </c>
      <c r="B66" s="2861">
        <f>SUM(C66:D66)</f>
        <v>7969.6427231127936</v>
      </c>
      <c r="C66" s="2861">
        <f t="shared" ref="C66:D66" si="702">SUM(C61+C64)</f>
        <v>7944.2926975895889</v>
      </c>
      <c r="D66" s="2861">
        <f t="shared" si="702"/>
        <v>25.350025523204696</v>
      </c>
      <c r="E66" s="2861">
        <f>SUM(F66:G66)</f>
        <v>6837.0297899999996</v>
      </c>
      <c r="F66" s="2861">
        <f t="shared" ref="F66:G66" si="703">SUM(F61+F64)</f>
        <v>6827.0944899999995</v>
      </c>
      <c r="G66" s="2861">
        <f t="shared" si="703"/>
        <v>9.9352999999999998</v>
      </c>
      <c r="H66" s="2861">
        <f>SUM(I66:J66)</f>
        <v>6654.9020939999991</v>
      </c>
      <c r="I66" s="2861">
        <f t="shared" ref="I66:J66" si="704">SUM(I61+I64)</f>
        <v>6643.9439999999995</v>
      </c>
      <c r="J66" s="2861">
        <f t="shared" si="704"/>
        <v>10.958094000000001</v>
      </c>
      <c r="K66" s="2861">
        <f>SUM(L66:M66)</f>
        <v>7969.6427231127936</v>
      </c>
      <c r="L66" s="2861">
        <f t="shared" ref="L66:M66" si="705">SUM(L61+L64)</f>
        <v>7944.2926975895889</v>
      </c>
      <c r="M66" s="2861">
        <f t="shared" si="705"/>
        <v>25.350025523204696</v>
      </c>
      <c r="N66" s="2861">
        <f>SUM(O66:P66)</f>
        <v>6960.8995600000007</v>
      </c>
      <c r="O66" s="2861">
        <f t="shared" ref="O66:P66" si="706">SUM(O61+O64)</f>
        <v>6948.4513000000006</v>
      </c>
      <c r="P66" s="2861">
        <f t="shared" si="706"/>
        <v>12.448260000000001</v>
      </c>
      <c r="Q66" s="2861">
        <f>SUM(R66:S66)</f>
        <v>6183.8598200000006</v>
      </c>
      <c r="R66" s="2861">
        <f t="shared" ref="R66:S66" si="707">SUM(R61+R64)</f>
        <v>6171.6980000000003</v>
      </c>
      <c r="S66" s="2861">
        <f t="shared" si="707"/>
        <v>12.161820000000001</v>
      </c>
      <c r="T66" s="2861">
        <f>SUM(U66:V66)</f>
        <v>7969.6427231127936</v>
      </c>
      <c r="U66" s="2861">
        <f t="shared" ref="U66:V66" si="708">SUM(U61+U64)</f>
        <v>7944.2926975895889</v>
      </c>
      <c r="V66" s="2861">
        <f t="shared" si="708"/>
        <v>25.350025523204696</v>
      </c>
      <c r="W66" s="2861">
        <f>SUM(X66:Y66)</f>
        <v>7887.9431700000005</v>
      </c>
      <c r="X66" s="2861">
        <f t="shared" ref="X66:Y66" si="709">SUM(X61+X64)</f>
        <v>7866.4274000000005</v>
      </c>
      <c r="Y66" s="2861">
        <f t="shared" si="709"/>
        <v>21.51577</v>
      </c>
      <c r="Z66" s="2861">
        <f>SUM(AA66:AB66)</f>
        <v>7441.273000000001</v>
      </c>
      <c r="AA66" s="2861">
        <f t="shared" ref="AA66:AB66" si="710">SUM(AA61+AA64)</f>
        <v>7423.3990000000013</v>
      </c>
      <c r="AB66" s="2861">
        <f t="shared" si="710"/>
        <v>17.874000000000002</v>
      </c>
      <c r="AC66" s="2937">
        <f>SUM(B66+K66+T66)</f>
        <v>23908.928169338382</v>
      </c>
      <c r="AD66" s="2937">
        <f t="shared" si="665"/>
        <v>23832.878092768766</v>
      </c>
      <c r="AE66" s="2937">
        <f t="shared" si="665"/>
        <v>76.050076569614092</v>
      </c>
      <c r="AF66" s="2937">
        <f t="shared" si="665"/>
        <v>21685.872520000001</v>
      </c>
      <c r="AG66" s="2937">
        <f t="shared" si="666"/>
        <v>21641.973190000001</v>
      </c>
      <c r="AH66" s="2937">
        <f t="shared" si="666"/>
        <v>43.899330000000006</v>
      </c>
      <c r="AI66" s="2937">
        <f t="shared" si="666"/>
        <v>20280.034914</v>
      </c>
      <c r="AJ66" s="2937">
        <f t="shared" si="666"/>
        <v>20239.041000000001</v>
      </c>
      <c r="AK66" s="2937">
        <f t="shared" si="666"/>
        <v>40.993914000000004</v>
      </c>
      <c r="AL66" s="2938">
        <f t="shared" si="365"/>
        <v>-2223.055649338381</v>
      </c>
      <c r="AM66" s="2938">
        <f t="shared" si="365"/>
        <v>-2190.9049027687652</v>
      </c>
      <c r="AN66" s="2938">
        <f t="shared" si="365"/>
        <v>-32.150746569614086</v>
      </c>
      <c r="AO66" s="2861">
        <f>SUM(AP66:AQ66)</f>
        <v>7969.6427231127936</v>
      </c>
      <c r="AP66" s="2861">
        <f t="shared" ref="AP66:AQ66" si="711">SUM(AP61+AP64)</f>
        <v>7944.2926975895889</v>
      </c>
      <c r="AQ66" s="2861">
        <f t="shared" si="711"/>
        <v>25.350025523204696</v>
      </c>
      <c r="AR66" s="2861">
        <f>SUM(AS66:AT66)</f>
        <v>7734.7771799999991</v>
      </c>
      <c r="AS66" s="2861">
        <f t="shared" ref="AS66:AT66" si="712">SUM(AS61+AS64)</f>
        <v>7717.8579999999993</v>
      </c>
      <c r="AT66" s="2861">
        <f t="shared" si="712"/>
        <v>16.919180000000001</v>
      </c>
      <c r="AU66" s="2861">
        <f>SUM(AV66:AW66)</f>
        <v>6926.4920000000011</v>
      </c>
      <c r="AV66" s="2861">
        <f t="shared" ref="AV66:AW66" si="713">SUM(AV61+AV64)</f>
        <v>6912.380000000001</v>
      </c>
      <c r="AW66" s="2861">
        <f t="shared" si="713"/>
        <v>14.112</v>
      </c>
      <c r="AX66" s="2861">
        <f>SUM(AY66:AZ66)</f>
        <v>7969.6427231127936</v>
      </c>
      <c r="AY66" s="2861">
        <f t="shared" ref="AY66:AZ66" si="714">SUM(AY61+AY64)</f>
        <v>7944.2926975895889</v>
      </c>
      <c r="AZ66" s="2861">
        <f t="shared" si="714"/>
        <v>25.350025523204696</v>
      </c>
      <c r="BA66" s="2861">
        <f>SUM(BB66:BC66)</f>
        <v>8201.4269700000004</v>
      </c>
      <c r="BB66" s="2861">
        <f t="shared" ref="BB66:BC66" si="715">SUM(BB61+BB64)</f>
        <v>8186.1820000000007</v>
      </c>
      <c r="BC66" s="2861">
        <f t="shared" si="715"/>
        <v>15.24497</v>
      </c>
      <c r="BD66" s="2861">
        <f>SUM(BE66:BF66)</f>
        <v>6494.7619999999988</v>
      </c>
      <c r="BE66" s="2861">
        <f t="shared" ref="BE66:BF66" si="716">SUM(BE61+BE64)</f>
        <v>6482.1299999999992</v>
      </c>
      <c r="BF66" s="2861">
        <f t="shared" si="716"/>
        <v>12.632000000000001</v>
      </c>
      <c r="BG66" s="2861">
        <f>SUM(BH66:BI66)</f>
        <v>7969.6427231127936</v>
      </c>
      <c r="BH66" s="2861">
        <f t="shared" ref="BH66:BI66" si="717">SUM(BH61+BH64)</f>
        <v>7944.2926975895889</v>
      </c>
      <c r="BI66" s="2861">
        <f t="shared" si="717"/>
        <v>25.350025523204696</v>
      </c>
      <c r="BJ66" s="2861">
        <f>SUM(BK66:BL66)</f>
        <v>7019.1313000000009</v>
      </c>
      <c r="BK66" s="2861">
        <f t="shared" ref="BK66:BL66" si="718">SUM(BK61+BK64)</f>
        <v>7007.1710000000012</v>
      </c>
      <c r="BL66" s="2861">
        <f t="shared" si="718"/>
        <v>11.9603</v>
      </c>
      <c r="BM66" s="2861">
        <f>SUM(BN66:BO66)</f>
        <v>6808.59</v>
      </c>
      <c r="BN66" s="2861">
        <f t="shared" ref="BN66:BO66" si="719">SUM(BN61+BN64)</f>
        <v>6783.08</v>
      </c>
      <c r="BO66" s="2861">
        <f t="shared" si="719"/>
        <v>25.51</v>
      </c>
      <c r="BP66" s="2937">
        <f t="shared" si="676"/>
        <v>23908.928169338382</v>
      </c>
      <c r="BQ66" s="2937">
        <f t="shared" si="676"/>
        <v>23832.878092768766</v>
      </c>
      <c r="BR66" s="2937">
        <f t="shared" si="676"/>
        <v>76.050076569614092</v>
      </c>
      <c r="BS66" s="2937">
        <f t="shared" si="676"/>
        <v>22955.335449999999</v>
      </c>
      <c r="BT66" s="2937">
        <f t="shared" si="676"/>
        <v>22911.211000000003</v>
      </c>
      <c r="BU66" s="2937">
        <f t="shared" si="676"/>
        <v>44.124449999999996</v>
      </c>
      <c r="BV66" s="2937">
        <f t="shared" si="676"/>
        <v>20229.844000000001</v>
      </c>
      <c r="BW66" s="2937">
        <f t="shared" si="676"/>
        <v>20177.59</v>
      </c>
      <c r="BX66" s="2937">
        <f t="shared" si="676"/>
        <v>52.254000000000005</v>
      </c>
      <c r="BY66" s="2938">
        <f t="shared" si="367"/>
        <v>-953.59271933838318</v>
      </c>
      <c r="BZ66" s="2938">
        <f t="shared" si="367"/>
        <v>-921.66709276876281</v>
      </c>
      <c r="CA66" s="2938">
        <f t="shared" si="367"/>
        <v>-31.925626569614096</v>
      </c>
      <c r="CB66" s="2937">
        <f t="shared" si="677"/>
        <v>47817.856338676764</v>
      </c>
      <c r="CC66" s="2937">
        <f t="shared" si="677"/>
        <v>47665.756185537532</v>
      </c>
      <c r="CD66" s="2937">
        <f t="shared" si="677"/>
        <v>152.10015313922818</v>
      </c>
      <c r="CE66" s="2937">
        <f t="shared" si="677"/>
        <v>44641.207970000003</v>
      </c>
      <c r="CF66" s="2937">
        <f t="shared" si="677"/>
        <v>44553.18419</v>
      </c>
      <c r="CG66" s="2937">
        <f t="shared" si="677"/>
        <v>88.023780000000002</v>
      </c>
      <c r="CH66" s="2937">
        <f t="shared" si="677"/>
        <v>40509.878914000001</v>
      </c>
      <c r="CI66" s="2937">
        <f t="shared" si="677"/>
        <v>40416.631000000001</v>
      </c>
      <c r="CJ66" s="2937">
        <f t="shared" si="677"/>
        <v>93.247914000000009</v>
      </c>
      <c r="CK66" s="2938">
        <f t="shared" si="369"/>
        <v>-3176.6483686767606</v>
      </c>
      <c r="CL66" s="2938">
        <f t="shared" si="369"/>
        <v>-3112.5719955375316</v>
      </c>
      <c r="CM66" s="2938">
        <f t="shared" si="369"/>
        <v>-64.076373139228181</v>
      </c>
      <c r="CN66" s="2861">
        <f>SUM(CO66:CP66)</f>
        <v>7997.1530506936333</v>
      </c>
      <c r="CO66" s="2861">
        <f t="shared" ref="CO66:CP66" si="720">SUM(CO61+CO64)</f>
        <v>7971.5540304273336</v>
      </c>
      <c r="CP66" s="2861">
        <f t="shared" si="720"/>
        <v>25.599020266299764</v>
      </c>
      <c r="CQ66" s="2861">
        <f>SUM(CR66:CS66)</f>
        <v>7654.8623699999998</v>
      </c>
      <c r="CR66" s="2861">
        <f t="shared" ref="CR66:CS66" si="721">SUM(CR61+CR64)</f>
        <v>7641.3670000000002</v>
      </c>
      <c r="CS66" s="2861">
        <f t="shared" si="721"/>
        <v>13.495369999999999</v>
      </c>
      <c r="CT66" s="2861">
        <f>SUM(CU66:CV66)</f>
        <v>6343.9480000000003</v>
      </c>
      <c r="CU66" s="2861">
        <f t="shared" ref="CU66:CV66" si="722">SUM(CU61+CU64)</f>
        <v>6319.3600000000006</v>
      </c>
      <c r="CV66" s="2861">
        <f t="shared" si="722"/>
        <v>24.588000000000001</v>
      </c>
      <c r="CW66" s="2861">
        <f>SUM(CX66:CY66)</f>
        <v>7997.1530506936333</v>
      </c>
      <c r="CX66" s="2861">
        <f t="shared" ref="CX66:CY66" si="723">SUM(CX61+CX64)</f>
        <v>7971.5540304273336</v>
      </c>
      <c r="CY66" s="2861">
        <f t="shared" si="723"/>
        <v>25.599020266299764</v>
      </c>
      <c r="CZ66" s="2861">
        <f>SUM(DA66:DB66)</f>
        <v>8095.7349000000004</v>
      </c>
      <c r="DA66" s="2861">
        <f t="shared" ref="DA66:DB66" si="724">SUM(DA61+DA64)</f>
        <v>8080.4040000000005</v>
      </c>
      <c r="DB66" s="2861">
        <f t="shared" si="724"/>
        <v>15.3309</v>
      </c>
      <c r="DC66" s="2861">
        <f>SUM(DD66:DE66)</f>
        <v>7163.5130000000008</v>
      </c>
      <c r="DD66" s="2861">
        <f t="shared" ref="DD66:DE66" si="725">SUM(DD61+DD64)</f>
        <v>7162.9730000000009</v>
      </c>
      <c r="DE66" s="2861">
        <f t="shared" si="725"/>
        <v>0.54</v>
      </c>
      <c r="DF66" s="2861">
        <f>SUM(DG66:DH66)</f>
        <v>7997.1530506936333</v>
      </c>
      <c r="DG66" s="2861">
        <f t="shared" ref="DG66:DH66" si="726">SUM(DG61+DG64)</f>
        <v>7971.5540304273336</v>
      </c>
      <c r="DH66" s="2861">
        <f t="shared" si="726"/>
        <v>25.599020266299764</v>
      </c>
      <c r="DI66" s="2861">
        <f>SUM(DJ66:DK66)</f>
        <v>8184.3488000000007</v>
      </c>
      <c r="DJ66" s="2861">
        <f t="shared" ref="DJ66:DK66" si="727">SUM(DJ61+DJ64)</f>
        <v>8169.2110000000002</v>
      </c>
      <c r="DK66" s="2861">
        <f t="shared" si="727"/>
        <v>15.137799999999999</v>
      </c>
      <c r="DL66" s="2861">
        <f>SUM(DM66:DN66)</f>
        <v>7171.6900000000005</v>
      </c>
      <c r="DM66" s="2861">
        <f t="shared" ref="DM66:DN66" si="728">SUM(DM61+DM64)</f>
        <v>7151.0650000000005</v>
      </c>
      <c r="DN66" s="2861">
        <f t="shared" si="728"/>
        <v>20.625</v>
      </c>
      <c r="DO66" s="2937">
        <f t="shared" si="687"/>
        <v>23991.459152080901</v>
      </c>
      <c r="DP66" s="2937">
        <f t="shared" si="687"/>
        <v>23914.662091282</v>
      </c>
      <c r="DQ66" s="2937">
        <f t="shared" si="687"/>
        <v>76.797060798899295</v>
      </c>
      <c r="DR66" s="2937">
        <f t="shared" si="687"/>
        <v>23934.946070000002</v>
      </c>
      <c r="DS66" s="2937">
        <f t="shared" si="687"/>
        <v>23890.982</v>
      </c>
      <c r="DT66" s="2937">
        <f t="shared" si="687"/>
        <v>43.96407</v>
      </c>
      <c r="DU66" s="2937">
        <f t="shared" si="687"/>
        <v>20679.151000000002</v>
      </c>
      <c r="DV66" s="2937">
        <f t="shared" si="687"/>
        <v>20633.398000000001</v>
      </c>
      <c r="DW66" s="2937">
        <f t="shared" si="687"/>
        <v>45.753</v>
      </c>
      <c r="DX66" s="2938">
        <f t="shared" si="371"/>
        <v>-56.513082080899039</v>
      </c>
      <c r="DY66" s="2938">
        <f t="shared" si="371"/>
        <v>-23.680091281999921</v>
      </c>
      <c r="DZ66" s="2938">
        <f t="shared" si="371"/>
        <v>-32.832990798899296</v>
      </c>
      <c r="EA66" s="3036">
        <f t="shared" si="688"/>
        <v>71809.315490757668</v>
      </c>
      <c r="EB66" s="3036">
        <f t="shared" si="688"/>
        <v>71580.418276819531</v>
      </c>
      <c r="EC66" s="3036">
        <f t="shared" si="688"/>
        <v>228.89721393812749</v>
      </c>
      <c r="ED66" s="2937">
        <f t="shared" si="688"/>
        <v>68576.154040000009</v>
      </c>
      <c r="EE66" s="2937">
        <f t="shared" si="688"/>
        <v>68444.166190000004</v>
      </c>
      <c r="EF66" s="2937">
        <f t="shared" si="688"/>
        <v>131.98785000000001</v>
      </c>
      <c r="EG66" s="3036">
        <f t="shared" si="688"/>
        <v>61189.029913999999</v>
      </c>
      <c r="EH66" s="3036">
        <f t="shared" si="688"/>
        <v>61050.029000000002</v>
      </c>
      <c r="EI66" s="3036">
        <f t="shared" si="688"/>
        <v>139.00091400000002</v>
      </c>
      <c r="EJ66" s="2938">
        <f t="shared" si="373"/>
        <v>-3233.1614507576596</v>
      </c>
      <c r="EK66" s="2938">
        <f t="shared" si="373"/>
        <v>-3136.2520868195279</v>
      </c>
      <c r="EL66" s="2938">
        <f t="shared" si="373"/>
        <v>-96.909363938127484</v>
      </c>
      <c r="EM66" s="2861">
        <f>SUM(EN66:EO66)</f>
        <v>7997.1530506936333</v>
      </c>
      <c r="EN66" s="2861">
        <f t="shared" ref="EN66:EO66" si="729">SUM(EN61+EN64)</f>
        <v>7971.5540304273336</v>
      </c>
      <c r="EO66" s="2861">
        <f t="shared" si="729"/>
        <v>25.599020266299764</v>
      </c>
      <c r="EP66" s="2861">
        <f>SUM(EQ66:ER66)</f>
        <v>7112.7985799999997</v>
      </c>
      <c r="EQ66" s="2861">
        <f t="shared" ref="EQ66:ER66" si="730">SUM(EQ61+EQ64)</f>
        <v>7096.9636700000001</v>
      </c>
      <c r="ER66" s="2959">
        <f t="shared" si="730"/>
        <v>15.834909999999999</v>
      </c>
      <c r="ES66" s="2861">
        <f>SUM(ET66:EU66)</f>
        <v>7180.1580000000004</v>
      </c>
      <c r="ET66" s="2861">
        <f t="shared" ref="ET66:EU66" si="731">SUM(ET61+ET64)</f>
        <v>7166.2380000000003</v>
      </c>
      <c r="EU66" s="2861">
        <f t="shared" si="731"/>
        <v>13.919999999999998</v>
      </c>
      <c r="EV66" s="2861">
        <f>SUM(EW66:EX66)</f>
        <v>7997.1530506936333</v>
      </c>
      <c r="EW66" s="2861">
        <f t="shared" ref="EW66:EX66" si="732">SUM(EW61+EW64)</f>
        <v>7971.5540304273336</v>
      </c>
      <c r="EX66" s="2861">
        <f t="shared" si="732"/>
        <v>25.599020266299764</v>
      </c>
      <c r="EY66" s="2861">
        <f>SUM(EZ66:FA66)</f>
        <v>7294.1870200000012</v>
      </c>
      <c r="EZ66" s="2861">
        <f t="shared" ref="EZ66:FA66" si="733">SUM(EZ61+EZ64)</f>
        <v>7280.5350000000008</v>
      </c>
      <c r="FA66" s="2861">
        <f t="shared" si="733"/>
        <v>13.65202</v>
      </c>
      <c r="FB66" s="2861">
        <f>SUM(FC66:FD66)</f>
        <v>6376.6378400000003</v>
      </c>
      <c r="FC66" s="2861">
        <f t="shared" ref="FC66:FD66" si="734">SUM(FC61+FC64)</f>
        <v>6363.1350000000002</v>
      </c>
      <c r="FD66" s="2861">
        <f t="shared" si="734"/>
        <v>13.502840000000001</v>
      </c>
      <c r="FE66" s="2861">
        <f>SUM(FF66:FG66)</f>
        <v>7997.1530506936333</v>
      </c>
      <c r="FF66" s="2861">
        <f t="shared" ref="FF66:FG66" si="735">SUM(FF61+FF64)</f>
        <v>7971.5540304273336</v>
      </c>
      <c r="FG66" s="2861">
        <f t="shared" si="735"/>
        <v>25.599020266299764</v>
      </c>
      <c r="FH66" s="2861">
        <f>SUM(FI66:FJ66)</f>
        <v>9428.1976400000003</v>
      </c>
      <c r="FI66" s="2861">
        <f t="shared" ref="FI66:FJ66" si="736">SUM(FI61+FI64)</f>
        <v>9402.0210000000006</v>
      </c>
      <c r="FJ66" s="2861">
        <f t="shared" si="736"/>
        <v>26.176640000000003</v>
      </c>
      <c r="FK66" s="2861">
        <f>SUM(FL66:FM66)</f>
        <v>8070.451</v>
      </c>
      <c r="FL66" s="2861">
        <f t="shared" ref="FL66:FM66" si="737">SUM(FL61+FL64)</f>
        <v>8047.0910000000003</v>
      </c>
      <c r="FM66" s="2861">
        <f t="shared" si="737"/>
        <v>23.36</v>
      </c>
      <c r="FN66" s="2937">
        <f t="shared" si="698"/>
        <v>23991.459152080901</v>
      </c>
      <c r="FO66" s="2937">
        <f t="shared" si="698"/>
        <v>23914.662091282</v>
      </c>
      <c r="FP66" s="2937">
        <f t="shared" si="698"/>
        <v>76.797060798899295</v>
      </c>
      <c r="FQ66" s="2937">
        <f t="shared" si="698"/>
        <v>23835.183239999998</v>
      </c>
      <c r="FR66" s="2937">
        <f t="shared" si="698"/>
        <v>23779.519670000001</v>
      </c>
      <c r="FS66" s="2937">
        <f t="shared" si="698"/>
        <v>55.663570000000007</v>
      </c>
      <c r="FT66" s="2937">
        <f t="shared" si="698"/>
        <v>21627.24684</v>
      </c>
      <c r="FU66" s="2937">
        <f t="shared" si="698"/>
        <v>21576.464</v>
      </c>
      <c r="FV66" s="2937">
        <f t="shared" si="698"/>
        <v>50.78284</v>
      </c>
      <c r="FW66" s="2938">
        <f t="shared" si="375"/>
        <v>-156.27591208090234</v>
      </c>
      <c r="FX66" s="2938">
        <f t="shared" si="375"/>
        <v>-135.14242128199839</v>
      </c>
      <c r="FY66" s="2938">
        <f t="shared" si="375"/>
        <v>-21.133490798899288</v>
      </c>
      <c r="FZ66" s="2937">
        <f t="shared" si="699"/>
        <v>95800.774642838573</v>
      </c>
      <c r="GA66" s="2937">
        <f t="shared" si="699"/>
        <v>95495.080368101539</v>
      </c>
      <c r="GB66" s="2937">
        <f t="shared" si="699"/>
        <v>305.69427473702677</v>
      </c>
      <c r="GC66" s="2937">
        <f t="shared" si="699"/>
        <v>92411.337280000007</v>
      </c>
      <c r="GD66" s="2937">
        <f t="shared" si="699"/>
        <v>92223.685859999998</v>
      </c>
      <c r="GE66" s="2937">
        <f t="shared" si="699"/>
        <v>187.65142000000003</v>
      </c>
      <c r="GF66" s="2937">
        <f t="shared" si="699"/>
        <v>82816.276753999991</v>
      </c>
      <c r="GG66" s="2937">
        <f t="shared" si="699"/>
        <v>82626.493000000002</v>
      </c>
      <c r="GH66" s="2937">
        <f t="shared" si="699"/>
        <v>189.78375400000002</v>
      </c>
      <c r="GI66" s="2938">
        <f t="shared" si="377"/>
        <v>-3389.4373628385656</v>
      </c>
      <c r="GJ66" s="2938">
        <f t="shared" si="377"/>
        <v>-3271.3945081015409</v>
      </c>
      <c r="GK66" s="2938">
        <f t="shared" si="377"/>
        <v>-118.04285473702674</v>
      </c>
      <c r="GM66" s="4234"/>
    </row>
    <row r="67" spans="1:195" ht="18.75" customHeight="1" x14ac:dyDescent="0.3">
      <c r="A67" s="2965" t="s">
        <v>3787</v>
      </c>
      <c r="B67" s="2861">
        <f>SUM(C67:D67)</f>
        <v>-140.48014653153859</v>
      </c>
      <c r="C67" s="2861">
        <f>SUM(C25-C66)</f>
        <v>-136.72154697569931</v>
      </c>
      <c r="D67" s="2861">
        <f>SUM(D25-D66)</f>
        <v>-3.7585995558392931</v>
      </c>
      <c r="E67" s="2861">
        <f>SUM(F67:G67)</f>
        <v>1817.5649199999998</v>
      </c>
      <c r="F67" s="2861">
        <f>SUM(F25-F66)</f>
        <v>1824.4192199999998</v>
      </c>
      <c r="G67" s="2861">
        <f>SUM(G25-G66)</f>
        <v>-6.8543000000000003</v>
      </c>
      <c r="H67" s="2861">
        <f>SUM(I67:J67)</f>
        <v>2018.9729060000009</v>
      </c>
      <c r="I67" s="2861">
        <f>SUM(I25-I66)</f>
        <v>2024.853000000001</v>
      </c>
      <c r="J67" s="2861">
        <f>SUM(J25-J66)</f>
        <v>-5.8800940000000006</v>
      </c>
      <c r="K67" s="2861">
        <f>SUM(L67:M67)</f>
        <v>-140.48014653153859</v>
      </c>
      <c r="L67" s="2861">
        <f>SUM(L25-L66)</f>
        <v>-136.72154697569931</v>
      </c>
      <c r="M67" s="2861">
        <f>SUM(M25-M66)</f>
        <v>-3.7585995558392931</v>
      </c>
      <c r="N67" s="2861">
        <f>SUM(O67:P67)</f>
        <v>1792.1974399999988</v>
      </c>
      <c r="O67" s="2861">
        <f>SUM(O25-O66)</f>
        <v>1801.1796999999988</v>
      </c>
      <c r="P67" s="2861">
        <f>SUM(P25-P66)</f>
        <v>-8.9822600000000001</v>
      </c>
      <c r="Q67" s="2861">
        <f>SUM(R67:S67)</f>
        <v>2473.34818</v>
      </c>
      <c r="R67" s="2861">
        <f>SUM(R25-R66)</f>
        <v>2482.616</v>
      </c>
      <c r="S67" s="2861">
        <f>SUM(S25-S66)</f>
        <v>-9.2678200000000004</v>
      </c>
      <c r="T67" s="2861">
        <f>SUM(U67:V67)</f>
        <v>-140.48014653153859</v>
      </c>
      <c r="U67" s="2861">
        <f>SUM(U25-U66)</f>
        <v>-136.72154697569931</v>
      </c>
      <c r="V67" s="2861">
        <f>SUM(V25-V66)</f>
        <v>-3.7585995558392931</v>
      </c>
      <c r="W67" s="2861">
        <f>SUM(X67:Y67)</f>
        <v>716.42982999999981</v>
      </c>
      <c r="X67" s="2861">
        <f>SUM(X25-X66)</f>
        <v>695.60059999999976</v>
      </c>
      <c r="Y67" s="2861">
        <f>SUM(Y25-Y66)</f>
        <v>20.829229999999999</v>
      </c>
      <c r="Z67" s="2861">
        <f>SUM(AA67:AB67)</f>
        <v>888.15099999999813</v>
      </c>
      <c r="AA67" s="2861">
        <f>SUM(AA25-AA66)</f>
        <v>865.45499999999811</v>
      </c>
      <c r="AB67" s="2861">
        <f>SUM(AB25-AB66)</f>
        <v>22.695999999999998</v>
      </c>
      <c r="AC67" s="2937">
        <f>SUM(B67+K67+T67)</f>
        <v>-421.44043959461578</v>
      </c>
      <c r="AD67" s="2937">
        <f t="shared" si="665"/>
        <v>-410.16464092709793</v>
      </c>
      <c r="AE67" s="2937">
        <f t="shared" si="665"/>
        <v>-11.275798667517879</v>
      </c>
      <c r="AF67" s="2937">
        <f t="shared" si="665"/>
        <v>4326.1921899999988</v>
      </c>
      <c r="AG67" s="2937">
        <f t="shared" si="666"/>
        <v>4321.1995199999983</v>
      </c>
      <c r="AH67" s="2937">
        <f t="shared" si="666"/>
        <v>4.9926699999999986</v>
      </c>
      <c r="AI67" s="2937">
        <f t="shared" si="666"/>
        <v>5380.4720859999989</v>
      </c>
      <c r="AJ67" s="2937">
        <f t="shared" si="666"/>
        <v>5372.9239999999991</v>
      </c>
      <c r="AK67" s="2937">
        <f t="shared" si="666"/>
        <v>7.5480859999999979</v>
      </c>
      <c r="AL67" s="2938">
        <f t="shared" si="365"/>
        <v>4747.6326295946146</v>
      </c>
      <c r="AM67" s="2938">
        <f t="shared" si="365"/>
        <v>4731.3641609270962</v>
      </c>
      <c r="AN67" s="2938">
        <f t="shared" si="365"/>
        <v>16.26846866751788</v>
      </c>
      <c r="AO67" s="2861">
        <f>SUM(AP67:AQ67)</f>
        <v>-140.48014653153859</v>
      </c>
      <c r="AP67" s="2861">
        <f>SUM(AP25-AP66)</f>
        <v>-136.72154697569931</v>
      </c>
      <c r="AQ67" s="2861">
        <f>SUM(AQ25-AQ66)</f>
        <v>-3.7585995558392931</v>
      </c>
      <c r="AR67" s="2861">
        <f>SUM(AS67:AT67)</f>
        <v>1242.2963300000017</v>
      </c>
      <c r="AS67" s="2861">
        <f>SUM(AS25-AS66)</f>
        <v>1248.4515100000017</v>
      </c>
      <c r="AT67" s="2861">
        <f>SUM(AT25-AT66)</f>
        <v>-6.1551800000000014</v>
      </c>
      <c r="AU67" s="2861">
        <f>SUM(AV67:AW67)</f>
        <v>1565.0209499999999</v>
      </c>
      <c r="AV67" s="2861">
        <f>SUM(AV25-AV66)</f>
        <v>1574.9279999999999</v>
      </c>
      <c r="AW67" s="2861">
        <f>SUM(AW25-AW66)</f>
        <v>-9.9070499999999999</v>
      </c>
      <c r="AX67" s="2861">
        <f>SUM(AY67:AZ67)</f>
        <v>-140.48014653153859</v>
      </c>
      <c r="AY67" s="2861">
        <f>SUM(AY25-AY66)</f>
        <v>-136.72154697569931</v>
      </c>
      <c r="AZ67" s="2861">
        <f>SUM(AZ25-AZ66)</f>
        <v>-3.7585995558392931</v>
      </c>
      <c r="BA67" s="2861">
        <f>SUM(BB67:BC67)</f>
        <v>437.83402999999942</v>
      </c>
      <c r="BB67" s="2861">
        <f>SUM(BB25-BB66)</f>
        <v>449.13999999999942</v>
      </c>
      <c r="BC67" s="2861">
        <f>SUM(BC25-BC66)</f>
        <v>-11.30597</v>
      </c>
      <c r="BD67" s="2861">
        <f>SUM(BE67:BF67)</f>
        <v>1567.4443600000004</v>
      </c>
      <c r="BE67" s="2861">
        <f>SUM(BE25-BE66)</f>
        <v>1568.3410000000003</v>
      </c>
      <c r="BF67" s="2861">
        <f>SUM(BF25-BF66)</f>
        <v>-0.89664000000000144</v>
      </c>
      <c r="BG67" s="2861">
        <f>SUM(BH67:BI67)</f>
        <v>-140.48014653153859</v>
      </c>
      <c r="BH67" s="2861">
        <f>SUM(BH25-BH66)</f>
        <v>-136.72154697569931</v>
      </c>
      <c r="BI67" s="2861">
        <f>SUM(BI25-BI66)</f>
        <v>-3.7585995558392931</v>
      </c>
      <c r="BJ67" s="2861">
        <f>SUM(BK67:BL67)</f>
        <v>1745.6696999999997</v>
      </c>
      <c r="BK67" s="2861">
        <f>SUM(BK25-BK66)</f>
        <v>1712.1899999999996</v>
      </c>
      <c r="BL67" s="2861">
        <f>SUM(BL25-BL66)</f>
        <v>33.479699999999994</v>
      </c>
      <c r="BM67" s="2861">
        <f>SUM(BN67:BO67)</f>
        <v>1092.1020000000003</v>
      </c>
      <c r="BN67" s="2861">
        <f>SUM(BN25-BN66)</f>
        <v>1069.1220000000003</v>
      </c>
      <c r="BO67" s="2861">
        <f>SUM(BO25-BO66)</f>
        <v>22.98</v>
      </c>
      <c r="BP67" s="2937">
        <f t="shared" si="676"/>
        <v>-421.44043959461578</v>
      </c>
      <c r="BQ67" s="2937">
        <f t="shared" si="676"/>
        <v>-410.16464092709793</v>
      </c>
      <c r="BR67" s="2937">
        <f t="shared" si="676"/>
        <v>-11.275798667517879</v>
      </c>
      <c r="BS67" s="2937">
        <f t="shared" si="676"/>
        <v>3425.8000600000005</v>
      </c>
      <c r="BT67" s="2937">
        <f t="shared" si="676"/>
        <v>3409.7815100000007</v>
      </c>
      <c r="BU67" s="2937">
        <f t="shared" si="676"/>
        <v>16.018549999999991</v>
      </c>
      <c r="BV67" s="2937">
        <f t="shared" si="676"/>
        <v>4224.5673100000004</v>
      </c>
      <c r="BW67" s="2937">
        <f t="shared" si="676"/>
        <v>4212.3910000000005</v>
      </c>
      <c r="BX67" s="2937">
        <f t="shared" si="676"/>
        <v>12.176309999999999</v>
      </c>
      <c r="BY67" s="2938">
        <f t="shared" si="367"/>
        <v>3847.2404995946163</v>
      </c>
      <c r="BZ67" s="2938">
        <f t="shared" si="367"/>
        <v>3819.9461509270986</v>
      </c>
      <c r="CA67" s="2938">
        <f t="shared" si="367"/>
        <v>27.29434866751787</v>
      </c>
      <c r="CB67" s="2937">
        <f t="shared" si="677"/>
        <v>-842.88087918923156</v>
      </c>
      <c r="CC67" s="2937">
        <f t="shared" si="677"/>
        <v>-820.32928185419587</v>
      </c>
      <c r="CD67" s="2937">
        <f t="shared" si="677"/>
        <v>-22.551597335035758</v>
      </c>
      <c r="CE67" s="2937">
        <f t="shared" si="677"/>
        <v>7751.9922499999993</v>
      </c>
      <c r="CF67" s="2937">
        <f t="shared" si="677"/>
        <v>7730.981029999999</v>
      </c>
      <c r="CG67" s="2937">
        <f t="shared" si="677"/>
        <v>21.011219999999987</v>
      </c>
      <c r="CH67" s="2937">
        <f t="shared" si="677"/>
        <v>9605.0393960000001</v>
      </c>
      <c r="CI67" s="2937">
        <f t="shared" si="677"/>
        <v>9585.3149999999987</v>
      </c>
      <c r="CJ67" s="2937">
        <f t="shared" si="677"/>
        <v>19.724395999999999</v>
      </c>
      <c r="CK67" s="2938">
        <f t="shared" si="369"/>
        <v>8594.8731291892309</v>
      </c>
      <c r="CL67" s="2938">
        <f t="shared" si="369"/>
        <v>8551.3103118541949</v>
      </c>
      <c r="CM67" s="2938">
        <f t="shared" si="369"/>
        <v>43.562817335035746</v>
      </c>
      <c r="CN67" s="2861">
        <f>SUM(CO67:CP67)</f>
        <v>140.48021787125006</v>
      </c>
      <c r="CO67" s="2861">
        <f>SUM(CO25-CO66)</f>
        <v>136.72156875792189</v>
      </c>
      <c r="CP67" s="2861">
        <f>SUM(CP25-CP66)</f>
        <v>3.7586491133281648</v>
      </c>
      <c r="CQ67" s="2861">
        <f>SUM(CR67:CS67)</f>
        <v>636.17263000000025</v>
      </c>
      <c r="CR67" s="2861">
        <f>SUM(CR25-CR66)</f>
        <v>640.3760000000002</v>
      </c>
      <c r="CS67" s="2861">
        <f>SUM(CS25-CS66)</f>
        <v>-4.2033699999999996</v>
      </c>
      <c r="CT67" s="2861">
        <f>SUM(CU67:CV67)</f>
        <v>1419.0689999999981</v>
      </c>
      <c r="CU67" s="2861">
        <f>SUM(CU25-CU66)</f>
        <v>1432.1069999999982</v>
      </c>
      <c r="CV67" s="2861">
        <f>SUM(CV25-CV66)</f>
        <v>-13.038</v>
      </c>
      <c r="CW67" s="2861">
        <f>SUM(CX67:CY67)</f>
        <v>140.48021787125006</v>
      </c>
      <c r="CX67" s="2861">
        <f>SUM(CX25-CX66)</f>
        <v>136.72156875792189</v>
      </c>
      <c r="CY67" s="2861">
        <f>SUM(CY25-CY66)</f>
        <v>3.7586491133281648</v>
      </c>
      <c r="CZ67" s="2861">
        <f>SUM(DA67:DB67)</f>
        <v>550.53009999999983</v>
      </c>
      <c r="DA67" s="2861">
        <f>SUM(DA25-DA66)</f>
        <v>549.61499999999978</v>
      </c>
      <c r="DB67" s="2861">
        <f>SUM(DB25-DB66)</f>
        <v>0.91509999999999891</v>
      </c>
      <c r="DC67" s="2861">
        <f>SUM(DD67:DE67)</f>
        <v>793.7389999999989</v>
      </c>
      <c r="DD67" s="2861">
        <f>SUM(DD25-DD66)</f>
        <v>790.20899999999892</v>
      </c>
      <c r="DE67" s="2861">
        <f>SUM(DE25-DE66)</f>
        <v>3.5300000000000002</v>
      </c>
      <c r="DF67" s="2861">
        <f>SUM(DG67:DH67)</f>
        <v>140.48021787125006</v>
      </c>
      <c r="DG67" s="2861">
        <f>SUM(DG25-DG66)</f>
        <v>136.72156875792189</v>
      </c>
      <c r="DH67" s="2861">
        <f>SUM(DH25-DH66)</f>
        <v>3.7586491133281648</v>
      </c>
      <c r="DI67" s="2861">
        <f>SUM(DJ67:DK67)</f>
        <v>467.91119999999921</v>
      </c>
      <c r="DJ67" s="2861">
        <f>SUM(DJ25-DJ66)</f>
        <v>425.31299999999919</v>
      </c>
      <c r="DK67" s="2861">
        <f>SUM(DK25-DK66)</f>
        <v>42.598199999999999</v>
      </c>
      <c r="DL67" s="2861">
        <f>SUM(DM67:DN67)</f>
        <v>898.9839999999989</v>
      </c>
      <c r="DM67" s="2861">
        <f>SUM(DM25-DM66)</f>
        <v>875.20899999999892</v>
      </c>
      <c r="DN67" s="2861">
        <f>SUM(DN25-DN66)</f>
        <v>23.774999999999999</v>
      </c>
      <c r="DO67" s="2937">
        <f t="shared" si="687"/>
        <v>421.44065361375021</v>
      </c>
      <c r="DP67" s="2937">
        <f t="shared" si="687"/>
        <v>410.16470627376566</v>
      </c>
      <c r="DQ67" s="2937">
        <f t="shared" si="687"/>
        <v>11.275947339984494</v>
      </c>
      <c r="DR67" s="2937">
        <f t="shared" si="687"/>
        <v>1654.6139299999991</v>
      </c>
      <c r="DS67" s="2937">
        <f t="shared" si="687"/>
        <v>1615.3039999999992</v>
      </c>
      <c r="DT67" s="2937">
        <f t="shared" si="687"/>
        <v>39.309929999999994</v>
      </c>
      <c r="DU67" s="2937">
        <f t="shared" si="687"/>
        <v>3111.7919999999963</v>
      </c>
      <c r="DV67" s="2937">
        <f t="shared" si="687"/>
        <v>3097.524999999996</v>
      </c>
      <c r="DW67" s="2937">
        <f t="shared" si="687"/>
        <v>14.266999999999999</v>
      </c>
      <c r="DX67" s="2938">
        <f t="shared" si="371"/>
        <v>1233.1732763862487</v>
      </c>
      <c r="DY67" s="2938">
        <f t="shared" si="371"/>
        <v>1205.1392937262335</v>
      </c>
      <c r="DZ67" s="2938">
        <f t="shared" si="371"/>
        <v>28.0339826600155</v>
      </c>
      <c r="EA67" s="3036">
        <f t="shared" si="688"/>
        <v>-421.44022557548135</v>
      </c>
      <c r="EB67" s="3036">
        <f t="shared" si="688"/>
        <v>-410.16457558043021</v>
      </c>
      <c r="EC67" s="3036">
        <f t="shared" si="688"/>
        <v>-11.275649995051264</v>
      </c>
      <c r="ED67" s="2937">
        <f t="shared" si="688"/>
        <v>9406.6061799999989</v>
      </c>
      <c r="EE67" s="2937">
        <f t="shared" si="688"/>
        <v>9346.2850299999991</v>
      </c>
      <c r="EF67" s="2937">
        <f t="shared" si="688"/>
        <v>60.321149999999982</v>
      </c>
      <c r="EG67" s="3036">
        <f t="shared" si="688"/>
        <v>12716.831395999996</v>
      </c>
      <c r="EH67" s="3036">
        <f t="shared" si="688"/>
        <v>12682.839999999995</v>
      </c>
      <c r="EI67" s="3036">
        <f t="shared" si="688"/>
        <v>33.991395999999995</v>
      </c>
      <c r="EJ67" s="2938">
        <f t="shared" si="373"/>
        <v>9828.0464055754801</v>
      </c>
      <c r="EK67" s="2938">
        <f t="shared" si="373"/>
        <v>9756.4496055804302</v>
      </c>
      <c r="EL67" s="2938">
        <f t="shared" si="373"/>
        <v>71.596799995051242</v>
      </c>
      <c r="EM67" s="2861">
        <f>SUM(EN67:EO67)</f>
        <v>140.48021787125006</v>
      </c>
      <c r="EN67" s="2861">
        <f>SUM(EN25-EN66)</f>
        <v>136.72156875792189</v>
      </c>
      <c r="EO67" s="2861">
        <f>SUM(EO25-EO66)</f>
        <v>3.7586491133281648</v>
      </c>
      <c r="EP67" s="2861">
        <f>SUM(EQ67:ER67)</f>
        <v>1603.5584200000003</v>
      </c>
      <c r="EQ67" s="2861">
        <f>SUM(EQ25-EQ66)</f>
        <v>1596.8863300000003</v>
      </c>
      <c r="ER67" s="2959">
        <f>SUM(ER25-ER66)</f>
        <v>6.6720900000000025</v>
      </c>
      <c r="ES67" s="2861">
        <f>SUM(ET67:EU67)</f>
        <v>1212.6509999999994</v>
      </c>
      <c r="ET67" s="2861">
        <f>SUM(ET25-ET66)</f>
        <v>1221.1799999999994</v>
      </c>
      <c r="EU67" s="2861">
        <f>SUM(EU25-EU66)</f>
        <v>-8.5289999999999981</v>
      </c>
      <c r="EV67" s="2861">
        <f>SUM(EW67:EX67)</f>
        <v>140.48021787125006</v>
      </c>
      <c r="EW67" s="2861">
        <f>SUM(EW25-EW66)</f>
        <v>136.72156875792189</v>
      </c>
      <c r="EX67" s="2861">
        <f>SUM(EX25-EX66)</f>
        <v>3.7586491133281648</v>
      </c>
      <c r="EY67" s="2861">
        <f>SUM(EZ67:FA67)</f>
        <v>1321.6419799999996</v>
      </c>
      <c r="EZ67" s="2861">
        <f>SUM(EZ25-EZ66)</f>
        <v>1329.3869999999997</v>
      </c>
      <c r="FA67" s="2861">
        <f>SUM(FA25-FA66)</f>
        <v>-7.7450200000000002</v>
      </c>
      <c r="FB67" s="2861">
        <f>SUM(FC67:FD67)</f>
        <v>2357.4841600000004</v>
      </c>
      <c r="FC67" s="2861">
        <f>SUM(FC25-FC66)</f>
        <v>2358.8320000000003</v>
      </c>
      <c r="FD67" s="2861">
        <f>SUM(FD25-FD66)</f>
        <v>-1.3478400000000015</v>
      </c>
      <c r="FE67" s="2861">
        <f>SUM(FF67:FG67)</f>
        <v>140.48021787125006</v>
      </c>
      <c r="FF67" s="2861">
        <f>SUM(FF25-FF66)</f>
        <v>136.72156875792189</v>
      </c>
      <c r="FG67" s="2861">
        <f>SUM(FG25-FG66)</f>
        <v>3.7586491133281648</v>
      </c>
      <c r="FH67" s="2861">
        <f>SUM(FI67:FJ67)</f>
        <v>-196.28765700000014</v>
      </c>
      <c r="FI67" s="2861">
        <f>SUM(FI25-FI66)</f>
        <v>-233.58100000000013</v>
      </c>
      <c r="FJ67" s="2861">
        <f>SUM(FJ25-FJ66)</f>
        <v>37.293342999999993</v>
      </c>
      <c r="FK67" s="2861">
        <f>SUM(FL67:FM67)</f>
        <v>853.67800000000034</v>
      </c>
      <c r="FL67" s="2861">
        <f>SUM(FL25-FL66)</f>
        <v>829.44800000000032</v>
      </c>
      <c r="FM67" s="2861">
        <f>SUM(FM25-FM66)</f>
        <v>24.230000000000004</v>
      </c>
      <c r="FN67" s="2937">
        <f t="shared" si="698"/>
        <v>421.44065361375021</v>
      </c>
      <c r="FO67" s="2937">
        <f t="shared" si="698"/>
        <v>410.16470627376566</v>
      </c>
      <c r="FP67" s="2937">
        <f t="shared" si="698"/>
        <v>11.275947339984494</v>
      </c>
      <c r="FQ67" s="2937">
        <f t="shared" si="698"/>
        <v>2728.9127429999994</v>
      </c>
      <c r="FR67" s="2937">
        <f t="shared" si="698"/>
        <v>2692.6923299999999</v>
      </c>
      <c r="FS67" s="2937">
        <f t="shared" si="698"/>
        <v>36.220412999999994</v>
      </c>
      <c r="FT67" s="2937">
        <f t="shared" si="698"/>
        <v>4423.8131599999997</v>
      </c>
      <c r="FU67" s="2937">
        <f t="shared" si="698"/>
        <v>4409.46</v>
      </c>
      <c r="FV67" s="2937">
        <f t="shared" si="698"/>
        <v>14.353160000000004</v>
      </c>
      <c r="FW67" s="2938">
        <f t="shared" si="375"/>
        <v>2307.4720893862491</v>
      </c>
      <c r="FX67" s="2938">
        <f t="shared" si="375"/>
        <v>2282.5276237262342</v>
      </c>
      <c r="FY67" s="2938">
        <f t="shared" si="375"/>
        <v>24.944465660015499</v>
      </c>
      <c r="FZ67" s="2937">
        <f t="shared" si="699"/>
        <v>4.2803826886483876E-4</v>
      </c>
      <c r="GA67" s="2937">
        <f t="shared" si="699"/>
        <v>1.3069333544990513E-4</v>
      </c>
      <c r="GB67" s="2937">
        <f t="shared" si="699"/>
        <v>2.9734493323019251E-4</v>
      </c>
      <c r="GC67" s="2937">
        <f t="shared" si="699"/>
        <v>12135.518922999998</v>
      </c>
      <c r="GD67" s="2937">
        <f t="shared" si="699"/>
        <v>12038.977359999999</v>
      </c>
      <c r="GE67" s="2937">
        <f t="shared" si="699"/>
        <v>96.541562999999968</v>
      </c>
      <c r="GF67" s="2937">
        <f t="shared" si="699"/>
        <v>17140.644555999996</v>
      </c>
      <c r="GG67" s="2937">
        <f t="shared" si="699"/>
        <v>17092.299999999996</v>
      </c>
      <c r="GH67" s="2937">
        <f t="shared" si="699"/>
        <v>48.344555999999997</v>
      </c>
      <c r="GI67" s="2938">
        <f t="shared" si="377"/>
        <v>12135.518494961729</v>
      </c>
      <c r="GJ67" s="2938">
        <f t="shared" si="377"/>
        <v>12038.977229306664</v>
      </c>
      <c r="GK67" s="2938">
        <f t="shared" si="377"/>
        <v>96.541265655066738</v>
      </c>
      <c r="GM67" s="4234"/>
    </row>
    <row r="68" spans="1:195" ht="18.75" customHeight="1" x14ac:dyDescent="0.3">
      <c r="A68" s="2910" t="s">
        <v>529</v>
      </c>
      <c r="B68" s="2861">
        <f>SUM(C68:D68)</f>
        <v>7829.1625765812551</v>
      </c>
      <c r="C68" s="2861">
        <f t="shared" ref="C68:D68" si="738">SUM(C66:C67)</f>
        <v>7807.5711506138896</v>
      </c>
      <c r="D68" s="2861">
        <f t="shared" si="738"/>
        <v>21.591425967365403</v>
      </c>
      <c r="E68" s="2861">
        <f>SUM(F68:G68)</f>
        <v>8654.5947099999994</v>
      </c>
      <c r="F68" s="2861">
        <f t="shared" ref="F68:G68" si="739">SUM(F66:F67)</f>
        <v>8651.5137099999993</v>
      </c>
      <c r="G68" s="2861">
        <f t="shared" si="739"/>
        <v>3.0809999999999995</v>
      </c>
      <c r="H68" s="2861">
        <f>SUM(I68:J68)</f>
        <v>8673.875</v>
      </c>
      <c r="I68" s="2861">
        <f t="shared" ref="I68:J68" si="740">SUM(I66:I67)</f>
        <v>8668.7970000000005</v>
      </c>
      <c r="J68" s="2861">
        <f t="shared" si="740"/>
        <v>5.0780000000000003</v>
      </c>
      <c r="K68" s="2861">
        <f>SUM(L68:M68)</f>
        <v>7829.1625765812551</v>
      </c>
      <c r="L68" s="2861">
        <f t="shared" ref="L68:M68" si="741">SUM(L66:L67)</f>
        <v>7807.5711506138896</v>
      </c>
      <c r="M68" s="2861">
        <f t="shared" si="741"/>
        <v>21.591425967365403</v>
      </c>
      <c r="N68" s="2861">
        <f>SUM(O68:P68)</f>
        <v>8753.0969999999998</v>
      </c>
      <c r="O68" s="2861">
        <f t="shared" ref="O68:P68" si="742">SUM(O66:O67)</f>
        <v>8749.6309999999994</v>
      </c>
      <c r="P68" s="2861">
        <f t="shared" si="742"/>
        <v>3.4660000000000011</v>
      </c>
      <c r="Q68" s="2861">
        <f>SUM(R68:S68)</f>
        <v>8657.2080000000005</v>
      </c>
      <c r="R68" s="2861">
        <f t="shared" ref="R68:S68" si="743">SUM(R66:R67)</f>
        <v>8654.3140000000003</v>
      </c>
      <c r="S68" s="2861">
        <f t="shared" si="743"/>
        <v>2.8940000000000001</v>
      </c>
      <c r="T68" s="2861">
        <f>SUM(U68:V68)</f>
        <v>7829.1625765812551</v>
      </c>
      <c r="U68" s="2861">
        <f t="shared" ref="U68:V68" si="744">SUM(U66:U67)</f>
        <v>7807.5711506138896</v>
      </c>
      <c r="V68" s="2861">
        <f t="shared" si="744"/>
        <v>21.591425967365403</v>
      </c>
      <c r="W68" s="2861">
        <f>SUM(X68:Y68)</f>
        <v>8604.3729999999996</v>
      </c>
      <c r="X68" s="2861">
        <f t="shared" ref="X68:Y68" si="745">SUM(X66:X67)</f>
        <v>8562.0280000000002</v>
      </c>
      <c r="Y68" s="2861">
        <f t="shared" si="745"/>
        <v>42.344999999999999</v>
      </c>
      <c r="Z68" s="2861">
        <f>SUM(AA68:AB68)</f>
        <v>8329.4239999999991</v>
      </c>
      <c r="AA68" s="2861">
        <f t="shared" ref="AA68:AB68" si="746">SUM(AA66:AA67)</f>
        <v>8288.8539999999994</v>
      </c>
      <c r="AB68" s="2861">
        <f t="shared" si="746"/>
        <v>40.57</v>
      </c>
      <c r="AC68" s="2937">
        <f>SUM(B68+K68+T68)</f>
        <v>23487.487729743763</v>
      </c>
      <c r="AD68" s="2937">
        <f t="shared" si="665"/>
        <v>23422.713451841668</v>
      </c>
      <c r="AE68" s="2937">
        <f t="shared" si="665"/>
        <v>64.774277902096202</v>
      </c>
      <c r="AF68" s="2937">
        <f t="shared" si="665"/>
        <v>26012.064709999999</v>
      </c>
      <c r="AG68" s="2937">
        <f t="shared" si="666"/>
        <v>25963.172709999999</v>
      </c>
      <c r="AH68" s="2937">
        <f t="shared" si="666"/>
        <v>48.891999999999996</v>
      </c>
      <c r="AI68" s="2937">
        <f t="shared" si="666"/>
        <v>25660.506999999998</v>
      </c>
      <c r="AJ68" s="2937">
        <f t="shared" si="666"/>
        <v>25611.965</v>
      </c>
      <c r="AK68" s="2937">
        <f t="shared" si="666"/>
        <v>48.542000000000002</v>
      </c>
      <c r="AL68" s="2938">
        <f t="shared" si="365"/>
        <v>2524.5769802562354</v>
      </c>
      <c r="AM68" s="2938">
        <f t="shared" si="365"/>
        <v>2540.4592581583311</v>
      </c>
      <c r="AN68" s="2938">
        <f t="shared" si="365"/>
        <v>-15.882277902096206</v>
      </c>
      <c r="AO68" s="2861">
        <f>SUM(AP68:AQ68)</f>
        <v>7829.1625765812551</v>
      </c>
      <c r="AP68" s="2861">
        <f t="shared" ref="AP68:AQ68" si="747">SUM(AP66:AP67)</f>
        <v>7807.5711506138896</v>
      </c>
      <c r="AQ68" s="2861">
        <f t="shared" si="747"/>
        <v>21.591425967365403</v>
      </c>
      <c r="AR68" s="2861">
        <f>SUM(AS68:AT68)</f>
        <v>8977.0735100000002</v>
      </c>
      <c r="AS68" s="2861">
        <f t="shared" ref="AS68:AT68" si="748">SUM(AS66:AS67)</f>
        <v>8966.309510000001</v>
      </c>
      <c r="AT68" s="2861">
        <f t="shared" si="748"/>
        <v>10.763999999999999</v>
      </c>
      <c r="AU68" s="2861">
        <f>SUM(AV68:AW68)</f>
        <v>8491.5129500000003</v>
      </c>
      <c r="AV68" s="2861">
        <f t="shared" ref="AV68:AW68" si="749">SUM(AV66:AV67)</f>
        <v>8487.3080000000009</v>
      </c>
      <c r="AW68" s="2861">
        <f t="shared" si="749"/>
        <v>4.2049500000000002</v>
      </c>
      <c r="AX68" s="2861">
        <f>SUM(AY68:AZ68)</f>
        <v>7829.1625765812551</v>
      </c>
      <c r="AY68" s="2861">
        <f t="shared" ref="AY68:AZ68" si="750">SUM(AY66:AY67)</f>
        <v>7807.5711506138896</v>
      </c>
      <c r="AZ68" s="2861">
        <f t="shared" si="750"/>
        <v>21.591425967365403</v>
      </c>
      <c r="BA68" s="2861">
        <f>SUM(BB68:BC68)</f>
        <v>8639.2610000000004</v>
      </c>
      <c r="BB68" s="2861">
        <f t="shared" ref="BB68:BC68" si="751">SUM(BB66:BB67)</f>
        <v>8635.3220000000001</v>
      </c>
      <c r="BC68" s="2861">
        <f t="shared" si="751"/>
        <v>3.9390000000000001</v>
      </c>
      <c r="BD68" s="2861">
        <f>SUM(BE68:BF68)</f>
        <v>8062.2063599999992</v>
      </c>
      <c r="BE68" s="2861">
        <f t="shared" ref="BE68:BF68" si="752">SUM(BE66:BE67)</f>
        <v>8050.4709999999995</v>
      </c>
      <c r="BF68" s="2861">
        <f t="shared" si="752"/>
        <v>11.73536</v>
      </c>
      <c r="BG68" s="2861">
        <f>SUM(BH68:BI68)</f>
        <v>7829.1625765812551</v>
      </c>
      <c r="BH68" s="2861">
        <f t="shared" ref="BH68:BI68" si="753">SUM(BH66:BH67)</f>
        <v>7807.5711506138896</v>
      </c>
      <c r="BI68" s="2861">
        <f t="shared" si="753"/>
        <v>21.591425967365403</v>
      </c>
      <c r="BJ68" s="2861">
        <f>SUM(BK68:BL68)</f>
        <v>8764.8010000000013</v>
      </c>
      <c r="BK68" s="2861">
        <f t="shared" ref="BK68:BL68" si="754">SUM(BK66:BK67)</f>
        <v>8719.3610000000008</v>
      </c>
      <c r="BL68" s="2861">
        <f t="shared" si="754"/>
        <v>45.44</v>
      </c>
      <c r="BM68" s="2861">
        <f>SUM(BN68:BO68)</f>
        <v>7900.692</v>
      </c>
      <c r="BN68" s="2861">
        <f t="shared" ref="BN68:BO68" si="755">SUM(BN66:BN67)</f>
        <v>7852.2020000000002</v>
      </c>
      <c r="BO68" s="2861">
        <f t="shared" si="755"/>
        <v>48.49</v>
      </c>
      <c r="BP68" s="2937">
        <f t="shared" si="676"/>
        <v>23487.487729743763</v>
      </c>
      <c r="BQ68" s="2937">
        <f t="shared" si="676"/>
        <v>23422.713451841668</v>
      </c>
      <c r="BR68" s="2937">
        <f t="shared" si="676"/>
        <v>64.774277902096202</v>
      </c>
      <c r="BS68" s="2937">
        <f t="shared" si="676"/>
        <v>26381.13551</v>
      </c>
      <c r="BT68" s="2937">
        <f t="shared" si="676"/>
        <v>26320.99251</v>
      </c>
      <c r="BU68" s="2937">
        <f t="shared" si="676"/>
        <v>60.143000000000001</v>
      </c>
      <c r="BV68" s="2937">
        <f t="shared" si="676"/>
        <v>24454.41131</v>
      </c>
      <c r="BW68" s="2937">
        <f t="shared" si="676"/>
        <v>24389.981000000003</v>
      </c>
      <c r="BX68" s="2937">
        <f t="shared" si="676"/>
        <v>64.430310000000006</v>
      </c>
      <c r="BY68" s="2938">
        <f t="shared" si="367"/>
        <v>2893.6477802562367</v>
      </c>
      <c r="BZ68" s="2938">
        <f t="shared" si="367"/>
        <v>2898.2790581583322</v>
      </c>
      <c r="CA68" s="2938">
        <f t="shared" si="367"/>
        <v>-4.6312779020962012</v>
      </c>
      <c r="CB68" s="2937">
        <f t="shared" si="677"/>
        <v>46974.975459487527</v>
      </c>
      <c r="CC68" s="2937">
        <f t="shared" si="677"/>
        <v>46845.426903683336</v>
      </c>
      <c r="CD68" s="2937">
        <f t="shared" si="677"/>
        <v>129.5485558041924</v>
      </c>
      <c r="CE68" s="2937">
        <f t="shared" si="677"/>
        <v>52393.200219999999</v>
      </c>
      <c r="CF68" s="2937">
        <f t="shared" si="677"/>
        <v>52284.165219999995</v>
      </c>
      <c r="CG68" s="2937">
        <f t="shared" si="677"/>
        <v>109.035</v>
      </c>
      <c r="CH68" s="2937">
        <f t="shared" si="677"/>
        <v>50114.918309999994</v>
      </c>
      <c r="CI68" s="2937">
        <f t="shared" si="677"/>
        <v>50001.946000000004</v>
      </c>
      <c r="CJ68" s="2937">
        <f t="shared" si="677"/>
        <v>112.97231000000001</v>
      </c>
      <c r="CK68" s="2938">
        <f t="shared" si="369"/>
        <v>5418.2247605124721</v>
      </c>
      <c r="CL68" s="2938">
        <f t="shared" si="369"/>
        <v>5438.7383163166596</v>
      </c>
      <c r="CM68" s="2938">
        <f t="shared" si="369"/>
        <v>-20.513555804192407</v>
      </c>
      <c r="CN68" s="2861">
        <f>SUM(CO68:CP68)</f>
        <v>8137.6332685648831</v>
      </c>
      <c r="CO68" s="2861">
        <f t="shared" ref="CO68:CP68" si="756">SUM(CO66:CO67)</f>
        <v>8108.2755991852555</v>
      </c>
      <c r="CP68" s="2861">
        <f t="shared" si="756"/>
        <v>29.357669379627929</v>
      </c>
      <c r="CQ68" s="2861">
        <f>SUM(CR68:CS68)</f>
        <v>8291.0349999999999</v>
      </c>
      <c r="CR68" s="2861">
        <f t="shared" ref="CR68:CS68" si="757">SUM(CR66:CR67)</f>
        <v>8281.7430000000004</v>
      </c>
      <c r="CS68" s="2861">
        <f t="shared" si="757"/>
        <v>9.2919999999999998</v>
      </c>
      <c r="CT68" s="2861">
        <f>SUM(CU68:CV68)</f>
        <v>7763.0169999999989</v>
      </c>
      <c r="CU68" s="2861">
        <f t="shared" ref="CU68:CV68" si="758">SUM(CU66:CU67)</f>
        <v>7751.4669999999987</v>
      </c>
      <c r="CV68" s="2861">
        <f t="shared" si="758"/>
        <v>11.55</v>
      </c>
      <c r="CW68" s="2861">
        <f>SUM(CX68:CY68)</f>
        <v>8137.6332685648831</v>
      </c>
      <c r="CX68" s="2861">
        <f t="shared" ref="CX68:CY68" si="759">SUM(CX66:CX67)</f>
        <v>8108.2755991852555</v>
      </c>
      <c r="CY68" s="2861">
        <f t="shared" si="759"/>
        <v>29.357669379627929</v>
      </c>
      <c r="CZ68" s="2861">
        <f>SUM(DA68:DB68)</f>
        <v>8646.2649999999994</v>
      </c>
      <c r="DA68" s="2861">
        <f t="shared" ref="DA68:DB68" si="760">SUM(DA66:DA67)</f>
        <v>8630.0190000000002</v>
      </c>
      <c r="DB68" s="2861">
        <f t="shared" si="760"/>
        <v>16.245999999999999</v>
      </c>
      <c r="DC68" s="2861">
        <f>SUM(DD68:DE68)</f>
        <v>7957.2519999999995</v>
      </c>
      <c r="DD68" s="2861">
        <f t="shared" ref="DD68:DE68" si="761">SUM(DD66:DD67)</f>
        <v>7953.1819999999998</v>
      </c>
      <c r="DE68" s="2861">
        <f t="shared" si="761"/>
        <v>4.07</v>
      </c>
      <c r="DF68" s="2861">
        <f>SUM(DG68:DH68)</f>
        <v>8137.6332685648831</v>
      </c>
      <c r="DG68" s="2861">
        <f t="shared" ref="DG68:DH68" si="762">SUM(DG66:DG67)</f>
        <v>8108.2755991852555</v>
      </c>
      <c r="DH68" s="2861">
        <f t="shared" si="762"/>
        <v>29.357669379627929</v>
      </c>
      <c r="DI68" s="2861">
        <f>SUM(DJ68:DK68)</f>
        <v>8652.26</v>
      </c>
      <c r="DJ68" s="2861">
        <f t="shared" ref="DJ68:DK68" si="763">SUM(DJ66:DJ67)</f>
        <v>8594.5239999999994</v>
      </c>
      <c r="DK68" s="2861">
        <f t="shared" si="763"/>
        <v>57.735999999999997</v>
      </c>
      <c r="DL68" s="2861">
        <f>SUM(DM68:DN68)</f>
        <v>8070.6739999999991</v>
      </c>
      <c r="DM68" s="2861">
        <f t="shared" ref="DM68:DN68" si="764">SUM(DM66:DM67)</f>
        <v>8026.2739999999994</v>
      </c>
      <c r="DN68" s="2861">
        <f t="shared" si="764"/>
        <v>44.4</v>
      </c>
      <c r="DO68" s="2937">
        <f t="shared" si="687"/>
        <v>24412.899805694651</v>
      </c>
      <c r="DP68" s="2937">
        <f t="shared" si="687"/>
        <v>24324.826797555768</v>
      </c>
      <c r="DQ68" s="2937">
        <f t="shared" si="687"/>
        <v>88.073008138883779</v>
      </c>
      <c r="DR68" s="2937">
        <f t="shared" si="687"/>
        <v>25589.559999999998</v>
      </c>
      <c r="DS68" s="2937">
        <f t="shared" si="687"/>
        <v>25506.286</v>
      </c>
      <c r="DT68" s="2937">
        <f t="shared" si="687"/>
        <v>83.274000000000001</v>
      </c>
      <c r="DU68" s="2937">
        <f t="shared" si="687"/>
        <v>23790.942999999999</v>
      </c>
      <c r="DV68" s="2937">
        <f t="shared" si="687"/>
        <v>23730.922999999995</v>
      </c>
      <c r="DW68" s="2937">
        <f t="shared" si="687"/>
        <v>60.019999999999996</v>
      </c>
      <c r="DX68" s="2938">
        <f t="shared" si="371"/>
        <v>1176.6601943053465</v>
      </c>
      <c r="DY68" s="2938">
        <f t="shared" si="371"/>
        <v>1181.4592024442318</v>
      </c>
      <c r="DZ68" s="2938">
        <f t="shared" si="371"/>
        <v>-4.799008138883778</v>
      </c>
      <c r="EA68" s="3036">
        <f t="shared" si="688"/>
        <v>71387.875265182171</v>
      </c>
      <c r="EB68" s="3036">
        <f t="shared" si="688"/>
        <v>71170.253701239097</v>
      </c>
      <c r="EC68" s="3036">
        <f t="shared" si="688"/>
        <v>217.62156394307618</v>
      </c>
      <c r="ED68" s="2937">
        <f t="shared" si="688"/>
        <v>77982.760219999996</v>
      </c>
      <c r="EE68" s="2937">
        <f t="shared" si="688"/>
        <v>77790.451219999988</v>
      </c>
      <c r="EF68" s="2937">
        <f t="shared" si="688"/>
        <v>192.309</v>
      </c>
      <c r="EG68" s="3036">
        <f t="shared" si="688"/>
        <v>73905.861309999993</v>
      </c>
      <c r="EH68" s="3036">
        <f t="shared" si="688"/>
        <v>73732.869000000006</v>
      </c>
      <c r="EI68" s="3036">
        <f t="shared" si="688"/>
        <v>172.99231</v>
      </c>
      <c r="EJ68" s="2938">
        <f t="shared" si="373"/>
        <v>6594.8849548178259</v>
      </c>
      <c r="EK68" s="2938">
        <f t="shared" si="373"/>
        <v>6620.1975187608914</v>
      </c>
      <c r="EL68" s="2938">
        <f t="shared" si="373"/>
        <v>-25.312563943076185</v>
      </c>
      <c r="EM68" s="2861">
        <f>SUM(EN68:EO68)</f>
        <v>8137.6332685648831</v>
      </c>
      <c r="EN68" s="2861">
        <f t="shared" ref="EN68:EO68" si="765">SUM(EN66:EN67)</f>
        <v>8108.2755991852555</v>
      </c>
      <c r="EO68" s="2861">
        <f t="shared" si="765"/>
        <v>29.357669379627929</v>
      </c>
      <c r="EP68" s="2861">
        <f>SUM(EQ68:ER68)</f>
        <v>8716.357</v>
      </c>
      <c r="EQ68" s="2861">
        <f t="shared" ref="EQ68:ER68" si="766">SUM(EQ66:EQ67)</f>
        <v>8693.85</v>
      </c>
      <c r="ER68" s="2861">
        <f t="shared" si="766"/>
        <v>22.507000000000001</v>
      </c>
      <c r="ES68" s="2861">
        <f>SUM(ET68:EU68)</f>
        <v>8392.8089999999993</v>
      </c>
      <c r="ET68" s="2861">
        <f t="shared" ref="ET68:EU68" si="767">SUM(ET66:ET67)</f>
        <v>8387.4179999999997</v>
      </c>
      <c r="EU68" s="2861">
        <f t="shared" si="767"/>
        <v>5.391</v>
      </c>
      <c r="EV68" s="2861">
        <f>SUM(EW68:EX68)</f>
        <v>8137.6332685648831</v>
      </c>
      <c r="EW68" s="2861">
        <f t="shared" ref="EW68:EX68" si="768">SUM(EW66:EW67)</f>
        <v>8108.2755991852555</v>
      </c>
      <c r="EX68" s="2861">
        <f t="shared" si="768"/>
        <v>29.357669379627929</v>
      </c>
      <c r="EY68" s="2861">
        <f>SUM(EZ68:FA68)</f>
        <v>8615.8289999999997</v>
      </c>
      <c r="EZ68" s="2861">
        <f t="shared" ref="EZ68:FA68" si="769">SUM(EZ66:EZ67)</f>
        <v>8609.9220000000005</v>
      </c>
      <c r="FA68" s="2861">
        <f t="shared" si="769"/>
        <v>5.907</v>
      </c>
      <c r="FB68" s="2861">
        <f>SUM(FC68:FD68)</f>
        <v>8734.1220000000012</v>
      </c>
      <c r="FC68" s="2861">
        <f t="shared" ref="FC68:FD68" si="770">SUM(FC66:FC67)</f>
        <v>8721.9670000000006</v>
      </c>
      <c r="FD68" s="2861">
        <f t="shared" si="770"/>
        <v>12.154999999999999</v>
      </c>
      <c r="FE68" s="2861">
        <f>SUM(FF68:FG68)</f>
        <v>8137.6332685648831</v>
      </c>
      <c r="FF68" s="2861">
        <f t="shared" ref="FF68:FG68" si="771">SUM(FF66:FF67)</f>
        <v>8108.2755991852555</v>
      </c>
      <c r="FG68" s="2861">
        <f t="shared" si="771"/>
        <v>29.357669379627929</v>
      </c>
      <c r="FH68" s="2861">
        <f>SUM(FI68:FJ68)</f>
        <v>9231.9099830000014</v>
      </c>
      <c r="FI68" s="2861">
        <f t="shared" ref="FI68:FJ68" si="772">SUM(FI66:FI67)</f>
        <v>9168.44</v>
      </c>
      <c r="FJ68" s="2861">
        <f t="shared" si="772"/>
        <v>63.469982999999999</v>
      </c>
      <c r="FK68" s="2861">
        <f>SUM(FL68:FM68)</f>
        <v>8924.1290000000008</v>
      </c>
      <c r="FL68" s="2861">
        <f t="shared" ref="FL68:FM68" si="773">SUM(FL66:FL67)</f>
        <v>8876.5390000000007</v>
      </c>
      <c r="FM68" s="2861">
        <f t="shared" si="773"/>
        <v>47.59</v>
      </c>
      <c r="FN68" s="2937">
        <f t="shared" si="698"/>
        <v>24412.899805694651</v>
      </c>
      <c r="FO68" s="2937">
        <f t="shared" si="698"/>
        <v>24324.826797555768</v>
      </c>
      <c r="FP68" s="2937">
        <f t="shared" si="698"/>
        <v>88.073008138883779</v>
      </c>
      <c r="FQ68" s="2937">
        <f t="shared" si="698"/>
        <v>26564.095983000003</v>
      </c>
      <c r="FR68" s="2937">
        <f t="shared" si="698"/>
        <v>26472.212</v>
      </c>
      <c r="FS68" s="2937">
        <f t="shared" si="698"/>
        <v>91.883983000000001</v>
      </c>
      <c r="FT68" s="2937">
        <f t="shared" si="698"/>
        <v>26051.06</v>
      </c>
      <c r="FU68" s="2937">
        <f t="shared" si="698"/>
        <v>25985.924000000003</v>
      </c>
      <c r="FV68" s="2937">
        <f t="shared" si="698"/>
        <v>65.135999999999996</v>
      </c>
      <c r="FW68" s="2938">
        <f t="shared" si="375"/>
        <v>2151.1961773053517</v>
      </c>
      <c r="FX68" s="2938">
        <f t="shared" si="375"/>
        <v>2147.3852024442313</v>
      </c>
      <c r="FY68" s="2938">
        <f t="shared" si="375"/>
        <v>3.8109748611162217</v>
      </c>
      <c r="FZ68" s="2937">
        <f t="shared" si="699"/>
        <v>95800.775070876814</v>
      </c>
      <c r="GA68" s="2937">
        <f t="shared" si="699"/>
        <v>95495.080498794865</v>
      </c>
      <c r="GB68" s="2937">
        <f t="shared" si="699"/>
        <v>305.69457208195996</v>
      </c>
      <c r="GC68" s="2937">
        <f t="shared" si="699"/>
        <v>104546.856203</v>
      </c>
      <c r="GD68" s="2937">
        <f t="shared" si="699"/>
        <v>104262.66321999999</v>
      </c>
      <c r="GE68" s="2937">
        <f t="shared" si="699"/>
        <v>284.19298300000003</v>
      </c>
      <c r="GF68" s="2937">
        <f t="shared" si="699"/>
        <v>99956.921309999991</v>
      </c>
      <c r="GG68" s="2937">
        <f t="shared" si="699"/>
        <v>99718.793000000005</v>
      </c>
      <c r="GH68" s="2937">
        <f t="shared" si="699"/>
        <v>238.12831</v>
      </c>
      <c r="GI68" s="2938">
        <f t="shared" si="377"/>
        <v>8746.0811321231886</v>
      </c>
      <c r="GJ68" s="2938">
        <f t="shared" si="377"/>
        <v>8767.5827212051227</v>
      </c>
      <c r="GK68" s="2938">
        <f t="shared" si="377"/>
        <v>-21.501589081959935</v>
      </c>
      <c r="GM68" s="4234"/>
    </row>
    <row r="69" spans="1:195" ht="18.75" customHeight="1" x14ac:dyDescent="0.3">
      <c r="A69" s="2965" t="s">
        <v>69</v>
      </c>
      <c r="B69" s="2861">
        <f>SUM(B68/B62)</f>
        <v>33.02973764951723</v>
      </c>
      <c r="C69" s="2861">
        <f t="shared" ref="C69:D69" si="774">SUM(C68/C62)</f>
        <v>33.144512794382315</v>
      </c>
      <c r="D69" s="2861">
        <f t="shared" si="774"/>
        <v>14.665597532596639</v>
      </c>
      <c r="E69" s="2861">
        <f>SUM(E68/E62)</f>
        <v>33.123704785269496</v>
      </c>
      <c r="F69" s="2861">
        <f t="shared" ref="F69:G69" si="775">SUM(F68/F62)</f>
        <v>33.138547406644165</v>
      </c>
      <c r="G69" s="2861">
        <f t="shared" si="775"/>
        <v>14.671428571428569</v>
      </c>
      <c r="H69" s="2861">
        <f>SUM(H68/H62)</f>
        <v>32.037419388199844</v>
      </c>
      <c r="I69" s="2861">
        <f t="shared" ref="I69:J69" si="776">SUM(I68/I62)</f>
        <v>32.059990458332877</v>
      </c>
      <c r="J69" s="2861">
        <f t="shared" si="776"/>
        <v>14.550143266475647</v>
      </c>
      <c r="K69" s="2861">
        <f>SUM(K68/K62)</f>
        <v>33.02973764951723</v>
      </c>
      <c r="L69" s="2861">
        <f t="shared" ref="L69:M69" si="777">SUM(L68/L62)</f>
        <v>33.144512794382315</v>
      </c>
      <c r="M69" s="2861">
        <f t="shared" si="777"/>
        <v>14.665597532596639</v>
      </c>
      <c r="N69" s="2861">
        <f>SUM(N68/N62)</f>
        <v>33.122297230820465</v>
      </c>
      <c r="O69" s="2861">
        <f t="shared" ref="O69:P69" si="778">SUM(O68/O62)</f>
        <v>33.138775896678411</v>
      </c>
      <c r="P69" s="2861">
        <f t="shared" si="778"/>
        <v>14.686440677966107</v>
      </c>
      <c r="Q69" s="2861">
        <f>SUM(Q68/Q62)</f>
        <v>32.048421309818643</v>
      </c>
      <c r="R69" s="2861">
        <f t="shared" ref="R69:S69" si="779">SUM(R68/R62)</f>
        <v>32.061327010706478</v>
      </c>
      <c r="S69" s="2861">
        <f t="shared" si="779"/>
        <v>14.542713567839195</v>
      </c>
      <c r="T69" s="2861">
        <f>SUM(T68/T62)</f>
        <v>33.02973764951723</v>
      </c>
      <c r="U69" s="2861">
        <f t="shared" ref="U69:V69" si="780">SUM(U68/U62)</f>
        <v>33.144512794382315</v>
      </c>
      <c r="V69" s="2861">
        <f t="shared" si="780"/>
        <v>14.665597532596639</v>
      </c>
      <c r="W69" s="2861">
        <f>SUM(W68/W62)</f>
        <v>32.934579618114761</v>
      </c>
      <c r="X69" s="2861">
        <f t="shared" ref="X69:Y69" si="781">SUM(X68/X62)</f>
        <v>33.138630645972832</v>
      </c>
      <c r="Y69" s="2861">
        <f t="shared" si="781"/>
        <v>14.670015589814655</v>
      </c>
      <c r="Z69" s="2861">
        <f>SUM(Z68/Z62)</f>
        <v>31.874788092623131</v>
      </c>
      <c r="AA69" s="2861">
        <f t="shared" ref="AA69:AB69" si="782">SUM(AA68/AA62)</f>
        <v>32.061354344353283</v>
      </c>
      <c r="AB69" s="2861">
        <f t="shared" si="782"/>
        <v>14.562096195262024</v>
      </c>
      <c r="AC69" s="2962">
        <f>SUM(AC68/AC62)</f>
        <v>33.02973764951723</v>
      </c>
      <c r="AD69" s="2962">
        <f t="shared" ref="AD69:AE69" si="783">SUM(AD68/AD62)</f>
        <v>33.144512794382315</v>
      </c>
      <c r="AE69" s="2962">
        <f t="shared" si="783"/>
        <v>14.665597532596637</v>
      </c>
      <c r="AF69" s="2962">
        <f>SUM(AF68/AF62)</f>
        <v>33.060433399190522</v>
      </c>
      <c r="AG69" s="2962">
        <f t="shared" ref="AG69:AH69" si="784">SUM(AG68/AG62)</f>
        <v>33.138651858205343</v>
      </c>
      <c r="AH69" s="2962">
        <f t="shared" si="784"/>
        <v>14.67126781695424</v>
      </c>
      <c r="AI69" s="2962">
        <f>SUM(AI68/AI62)</f>
        <v>31.988146170224432</v>
      </c>
      <c r="AJ69" s="2962">
        <f t="shared" ref="AJ69:AK69" si="785">SUM(AJ68/AJ62)</f>
        <v>32.060883465564423</v>
      </c>
      <c r="AK69" s="2962">
        <f t="shared" si="785"/>
        <v>14.559688062387522</v>
      </c>
      <c r="AL69" s="2938">
        <f t="shared" si="365"/>
        <v>3.0695749673292028E-2</v>
      </c>
      <c r="AM69" s="2938">
        <f t="shared" si="365"/>
        <v>-5.8609361769725865E-3</v>
      </c>
      <c r="AN69" s="2938">
        <f t="shared" si="365"/>
        <v>5.6702843576026396E-3</v>
      </c>
      <c r="AO69" s="2861">
        <f>SUM(AO68/AO62)</f>
        <v>33.02973764951723</v>
      </c>
      <c r="AP69" s="2861">
        <f t="shared" ref="AP69:AQ69" si="786">SUM(AP68/AP62)</f>
        <v>33.144512794382315</v>
      </c>
      <c r="AQ69" s="2861">
        <f t="shared" si="786"/>
        <v>14.665597532596639</v>
      </c>
      <c r="AR69" s="2861">
        <f>SUM(AR68/AR62)</f>
        <v>33.088889069090051</v>
      </c>
      <c r="AS69" s="2861">
        <f t="shared" ref="AS69:AT69" si="787">SUM(AS68/AS62)</f>
        <v>33.138839441471283</v>
      </c>
      <c r="AT69" s="2861">
        <f t="shared" si="787"/>
        <v>14.669846678023848</v>
      </c>
      <c r="AU69" s="2861">
        <f>SUM(AU68/AU62)</f>
        <v>32.043566013456655</v>
      </c>
      <c r="AV69" s="2861">
        <f t="shared" ref="AV69:AW69" si="788">SUM(AV68/AV62)</f>
        <v>32.062664802991954</v>
      </c>
      <c r="AW69" s="2861">
        <f t="shared" si="788"/>
        <v>14.550000000000002</v>
      </c>
      <c r="AX69" s="2861">
        <f>SUM(AX68/AX62)</f>
        <v>33.02973764951723</v>
      </c>
      <c r="AY69" s="2861">
        <f t="shared" ref="AY69:AZ69" si="789">SUM(AY68/AY62)</f>
        <v>33.144512794382315</v>
      </c>
      <c r="AZ69" s="2861">
        <f t="shared" si="789"/>
        <v>14.665597532596639</v>
      </c>
      <c r="BA69" s="2861">
        <f>SUM(BA68/BA62)</f>
        <v>33.119714624716551</v>
      </c>
      <c r="BB69" s="2861">
        <f t="shared" ref="BB69:BC69" si="790">SUM(BB68/BB62)</f>
        <v>33.138724619216291</v>
      </c>
      <c r="BC69" s="2861">
        <f t="shared" si="790"/>
        <v>14.670391061452513</v>
      </c>
      <c r="BD69" s="2861">
        <f>SUM(BD68/BD62)</f>
        <v>32.00532889774594</v>
      </c>
      <c r="BE69" s="2861">
        <f t="shared" ref="BE69:BF69" si="791">SUM(BE68/BE62)</f>
        <v>32.061327141810303</v>
      </c>
      <c r="BF69" s="2861">
        <f t="shared" si="791"/>
        <v>14.559999999999999</v>
      </c>
      <c r="BG69" s="2861">
        <f>SUM(BG68/BG62)</f>
        <v>33.02973764951723</v>
      </c>
      <c r="BH69" s="2861">
        <f t="shared" ref="BH69:BI69" si="792">SUM(BH68/BH62)</f>
        <v>33.144512794382315</v>
      </c>
      <c r="BI69" s="2861">
        <f t="shared" si="792"/>
        <v>14.665597532596639</v>
      </c>
      <c r="BJ69" s="2861">
        <f>SUM(BJ68/BJ62)</f>
        <v>32.923892056766363</v>
      </c>
      <c r="BK69" s="2861">
        <f t="shared" ref="BK69:BL69" si="793">SUM(BK68/BK62)</f>
        <v>33.138721557330008</v>
      </c>
      <c r="BL69" s="2861">
        <f t="shared" si="793"/>
        <v>14.672263480787858</v>
      </c>
      <c r="BM69" s="2861">
        <f>SUM(BM68/BM62)</f>
        <v>31.826572457521287</v>
      </c>
      <c r="BN69" s="2861">
        <f t="shared" ref="BN69:CJ69" si="794">SUM(BN68/BN62)</f>
        <v>32.061319984320896</v>
      </c>
      <c r="BO69" s="2861">
        <f t="shared" si="794"/>
        <v>14.561561561561561</v>
      </c>
      <c r="BP69" s="2962">
        <f t="shared" si="794"/>
        <v>33.02973764951723</v>
      </c>
      <c r="BQ69" s="2962">
        <f t="shared" si="794"/>
        <v>33.144512794382315</v>
      </c>
      <c r="BR69" s="2962">
        <f t="shared" si="794"/>
        <v>14.665597532596637</v>
      </c>
      <c r="BS69" s="2962">
        <f t="shared" si="794"/>
        <v>33.043942618995501</v>
      </c>
      <c r="BT69" s="2962">
        <f t="shared" si="794"/>
        <v>33.138762719290511</v>
      </c>
      <c r="BU69" s="2962">
        <f t="shared" si="794"/>
        <v>14.671708239312071</v>
      </c>
      <c r="BV69" s="2962">
        <f t="shared" si="794"/>
        <v>31.960576402058177</v>
      </c>
      <c r="BW69" s="2962">
        <f t="shared" si="794"/>
        <v>32.061790308629483</v>
      </c>
      <c r="BX69" s="2962">
        <f t="shared" si="794"/>
        <v>14.560522033898307</v>
      </c>
      <c r="BY69" s="2938">
        <f t="shared" si="367"/>
        <v>1.4204969478271323E-2</v>
      </c>
      <c r="BZ69" s="2938">
        <f t="shared" si="367"/>
        <v>-5.7500750918038079E-3</v>
      </c>
      <c r="CA69" s="2938">
        <f t="shared" si="367"/>
        <v>6.1107067154342332E-3</v>
      </c>
      <c r="CB69" s="2962">
        <f t="shared" si="794"/>
        <v>33.02973764951723</v>
      </c>
      <c r="CC69" s="2962">
        <f t="shared" si="794"/>
        <v>33.144512794382315</v>
      </c>
      <c r="CD69" s="2962">
        <f t="shared" si="794"/>
        <v>14.665597532596637</v>
      </c>
      <c r="CE69" s="2962">
        <f t="shared" si="794"/>
        <v>33.052127869666869</v>
      </c>
      <c r="CF69" s="2962">
        <f t="shared" si="794"/>
        <v>33.138707668008031</v>
      </c>
      <c r="CG69" s="2962">
        <f t="shared" si="794"/>
        <v>14.671510747805026</v>
      </c>
      <c r="CH69" s="2962">
        <f t="shared" si="794"/>
        <v>31.974687101831069</v>
      </c>
      <c r="CI69" s="2962">
        <f t="shared" si="794"/>
        <v>32.061325799642468</v>
      </c>
      <c r="CJ69" s="2962">
        <f t="shared" si="794"/>
        <v>14.560163680886712</v>
      </c>
      <c r="CK69" s="2938">
        <f t="shared" si="369"/>
        <v>2.2390220149638651E-2</v>
      </c>
      <c r="CL69" s="2938">
        <f t="shared" si="369"/>
        <v>-5.8051263742839865E-3</v>
      </c>
      <c r="CM69" s="2938">
        <f t="shared" si="369"/>
        <v>5.9132152083893885E-3</v>
      </c>
      <c r="CN69" s="2861">
        <f>SUM(CN68/CN62)</f>
        <v>34.331116427786689</v>
      </c>
      <c r="CO69" s="2861">
        <f t="shared" ref="CO69:CP69" si="795">SUM(CO68/CO62)</f>
        <v>34.421056068946989</v>
      </c>
      <c r="CP69" s="2861">
        <f t="shared" si="795"/>
        <v>19.940682207252795</v>
      </c>
      <c r="CQ69" s="2861">
        <f>SUM(CQ68/CQ62)</f>
        <v>34.827647767990285</v>
      </c>
      <c r="CR69" s="2861">
        <f t="shared" ref="CR69:CS69" si="796">SUM(CR68/CR62)</f>
        <v>34.856847634400005</v>
      </c>
      <c r="CS69" s="2861">
        <f t="shared" si="796"/>
        <v>19.939914163090126</v>
      </c>
      <c r="CT69" s="2861">
        <f>SUM(CT68/CT62)</f>
        <v>33.076762804807899</v>
      </c>
      <c r="CU69" s="2861">
        <f t="shared" ref="CU69:CV69" si="797">SUM(CU68/CU62)</f>
        <v>33.138814667242386</v>
      </c>
      <c r="CV69" s="2861">
        <f t="shared" si="797"/>
        <v>14.657360406091371</v>
      </c>
      <c r="CW69" s="2861">
        <f>SUM(CW68/CW62)</f>
        <v>34.331116427786689</v>
      </c>
      <c r="CX69" s="2861">
        <f t="shared" ref="CX69:CY69" si="798">SUM(CX68/CX62)</f>
        <v>34.421056068946989</v>
      </c>
      <c r="CY69" s="2861">
        <f t="shared" si="798"/>
        <v>19.940682207252795</v>
      </c>
      <c r="CZ69" s="2861">
        <f>SUM(CZ68/CZ62)</f>
        <v>34.373047045821373</v>
      </c>
      <c r="DA69" s="2861">
        <f t="shared" ref="DA69:DB69" si="799">SUM(DA68/DA62)</f>
        <v>34.419982690336504</v>
      </c>
      <c r="DB69" s="2861">
        <f t="shared" si="799"/>
        <v>19.933742331288343</v>
      </c>
      <c r="DC69" s="2861">
        <f>SUM(DC68/DC62)</f>
        <v>33.120095565327595</v>
      </c>
      <c r="DD69" s="2861">
        <f t="shared" ref="DD69:DE69" si="800">SUM(DD68/DD62)</f>
        <v>33.141434387462134</v>
      </c>
      <c r="DE69" s="2861">
        <f t="shared" si="800"/>
        <v>14.666666666666666</v>
      </c>
      <c r="DF69" s="2861">
        <f>SUM(DF68/DF62)</f>
        <v>34.331116427786689</v>
      </c>
      <c r="DG69" s="2861">
        <f t="shared" ref="DG69:DH69" si="801">SUM(DG68/DG62)</f>
        <v>34.421056068946989</v>
      </c>
      <c r="DH69" s="2861">
        <f t="shared" si="801"/>
        <v>19.940682207252795</v>
      </c>
      <c r="DI69" s="2861">
        <f>SUM(DI68/DI62)</f>
        <v>34.254302443891071</v>
      </c>
      <c r="DJ69" s="2861">
        <f t="shared" ref="DJ69:DK69" si="802">SUM(DJ68/DJ62)</f>
        <v>34.4203642072465</v>
      </c>
      <c r="DK69" s="2861">
        <f t="shared" si="802"/>
        <v>19.936464088397791</v>
      </c>
      <c r="DL69" s="2861">
        <f>SUM(DL68/DL62)</f>
        <v>32.986838733338097</v>
      </c>
      <c r="DM69" s="2861">
        <f t="shared" ref="DM69:DN69" si="803">SUM(DM68/DM62)</f>
        <v>33.216251767315541</v>
      </c>
      <c r="DN69" s="2861">
        <f t="shared" si="803"/>
        <v>14.670411366264663</v>
      </c>
      <c r="DO69" s="2962">
        <f>SUM(DO68/DO62)</f>
        <v>34.331116427786696</v>
      </c>
      <c r="DP69" s="2962">
        <f t="shared" ref="DP69:DW69" si="804">SUM(DP68/DP62)</f>
        <v>34.421056068946989</v>
      </c>
      <c r="DQ69" s="2962">
        <f t="shared" si="804"/>
        <v>19.940682207252792</v>
      </c>
      <c r="DR69" s="2962">
        <f>SUM(DR68/DR62)</f>
        <v>34.47844891469839</v>
      </c>
      <c r="DS69" s="2962">
        <f t="shared" si="804"/>
        <v>34.560754349855628</v>
      </c>
      <c r="DT69" s="2962">
        <f t="shared" si="804"/>
        <v>19.936317931529807</v>
      </c>
      <c r="DU69" s="2962">
        <f>SUM(DU68/DU62)</f>
        <v>33.06065663112669</v>
      </c>
      <c r="DV69" s="2962">
        <f t="shared" si="804"/>
        <v>33.165844321050905</v>
      </c>
      <c r="DW69" s="2962">
        <f t="shared" si="804"/>
        <v>14.667644183773213</v>
      </c>
      <c r="DX69" s="2938">
        <f t="shared" si="371"/>
        <v>0.14733248691169365</v>
      </c>
      <c r="DY69" s="2938">
        <f t="shared" si="371"/>
        <v>0.13969828090863956</v>
      </c>
      <c r="DZ69" s="2938">
        <f t="shared" si="371"/>
        <v>-4.3642757229847007E-3</v>
      </c>
      <c r="EA69" s="2962">
        <f>SUM(EA68/EA62)</f>
        <v>33.463530575607045</v>
      </c>
      <c r="EB69" s="2962">
        <f t="shared" ref="EB69:EI69" si="805">SUM(EB68/EB62)</f>
        <v>33.570027219237204</v>
      </c>
      <c r="EC69" s="2962">
        <f t="shared" si="805"/>
        <v>16.423959090815355</v>
      </c>
      <c r="ED69" s="2962">
        <f>SUM(ED68/ED62)</f>
        <v>33.5069787672399</v>
      </c>
      <c r="EE69" s="2962">
        <f t="shared" si="805"/>
        <v>33.591903797905644</v>
      </c>
      <c r="EF69" s="2962">
        <f t="shared" si="805"/>
        <v>16.565866264671048</v>
      </c>
      <c r="EG69" s="2962">
        <f>SUM(EG68/EG62)</f>
        <v>32.316400430795134</v>
      </c>
      <c r="EH69" s="2962">
        <f t="shared" si="805"/>
        <v>32.408699589939793</v>
      </c>
      <c r="EI69" s="2962">
        <f t="shared" si="805"/>
        <v>14.597275335414732</v>
      </c>
      <c r="EJ69" s="2938">
        <f t="shared" si="373"/>
        <v>4.3448191632855071E-2</v>
      </c>
      <c r="EK69" s="2938">
        <f t="shared" si="373"/>
        <v>2.1876578668440061E-2</v>
      </c>
      <c r="EL69" s="2938">
        <f t="shared" si="373"/>
        <v>0.14190717385569229</v>
      </c>
      <c r="EM69" s="2861">
        <f>SUM(EM68/EM62)</f>
        <v>34.331116427786689</v>
      </c>
      <c r="EN69" s="2861">
        <f t="shared" ref="EN69:EO69" si="806">SUM(EN68/EN62)</f>
        <v>34.421056068946989</v>
      </c>
      <c r="EO69" s="2861">
        <f t="shared" si="806"/>
        <v>19.940682207252795</v>
      </c>
      <c r="EP69" s="2861">
        <f>SUM(EP68/EP62)</f>
        <v>33.951983827115292</v>
      </c>
      <c r="EQ69" s="2861">
        <f t="shared" ref="EQ69:ER69" si="807">SUM(EQ68/EQ62)</f>
        <v>34.013896876723905</v>
      </c>
      <c r="ER69" s="2861">
        <f t="shared" si="807"/>
        <v>19.935341009743137</v>
      </c>
      <c r="ES69" s="2861">
        <f>SUM(ES68/ES62)</f>
        <v>33.111952294915667</v>
      </c>
      <c r="ET69" s="2861">
        <f t="shared" ref="ET69:EU69" si="808">SUM(ET68/ET62)</f>
        <v>33.138730794470703</v>
      </c>
      <c r="EU69" s="2861">
        <f t="shared" si="808"/>
        <v>14.669387755102042</v>
      </c>
      <c r="EV69" s="2861">
        <f>SUM(EV68/EV62)</f>
        <v>34.331116427786689</v>
      </c>
      <c r="EW69" s="2861">
        <f t="shared" ref="EW69:EX69" si="809">SUM(EW68/EW62)</f>
        <v>34.421056068946989</v>
      </c>
      <c r="EX69" s="2861">
        <f t="shared" si="809"/>
        <v>19.940682207252795</v>
      </c>
      <c r="EY69" s="2861">
        <f>SUM(EY68/EY62)</f>
        <v>34.402629761101423</v>
      </c>
      <c r="EZ69" s="2861">
        <f t="shared" ref="EZ69:FA69" si="810">SUM(EZ68/EZ62)</f>
        <v>34.419724559755345</v>
      </c>
      <c r="FA69" s="2861">
        <f t="shared" si="810"/>
        <v>19.956081081081081</v>
      </c>
      <c r="FB69" s="2861">
        <f>SUM(FB68/FB62)</f>
        <v>33.080788110171817</v>
      </c>
      <c r="FC69" s="2861">
        <f t="shared" ref="FC69:FD69" si="811">SUM(FC68/FC62)</f>
        <v>33.138676119697877</v>
      </c>
      <c r="FD69" s="2861">
        <f t="shared" si="811"/>
        <v>14.679951690821255</v>
      </c>
      <c r="FE69" s="2861">
        <f>SUM(FE68/FE62)</f>
        <v>34.331116427786689</v>
      </c>
      <c r="FF69" s="2861">
        <f t="shared" ref="FF69:FG69" si="812">SUM(FF68/FF62)</f>
        <v>34.421056068946989</v>
      </c>
      <c r="FG69" s="2861">
        <f t="shared" si="812"/>
        <v>19.940682207252795</v>
      </c>
      <c r="FH69" s="2861">
        <f>SUM(FH68/FH62)</f>
        <v>34.248833194832947</v>
      </c>
      <c r="FI69" s="2861">
        <f t="shared" ref="FI69:FJ69" si="813">SUM(FI68/FI62)</f>
        <v>34.41994218568157</v>
      </c>
      <c r="FJ69" s="2861">
        <f t="shared" si="813"/>
        <v>19.934039886934674</v>
      </c>
      <c r="FK69" s="2861">
        <f>SUM(FK68/FK62)</f>
        <v>32.917732678234181</v>
      </c>
      <c r="FL69" s="2861">
        <f t="shared" ref="FL69:FM69" si="814">SUM(FL68/FL62)</f>
        <v>33.138725453595164</v>
      </c>
      <c r="FM69" s="2861">
        <f t="shared" si="814"/>
        <v>14.67016029593095</v>
      </c>
      <c r="FN69" s="2962">
        <f>SUM(FN68/FN62)</f>
        <v>34.331116427786696</v>
      </c>
      <c r="FO69" s="2962">
        <f t="shared" ref="FO69:FV69" si="815">SUM(FO68/FO62)</f>
        <v>34.421056068946989</v>
      </c>
      <c r="FP69" s="2962">
        <f t="shared" si="815"/>
        <v>19.940682207252792</v>
      </c>
      <c r="FQ69" s="2962">
        <f>SUM(FQ68/FQ62)</f>
        <v>34.200306136952655</v>
      </c>
      <c r="FR69" s="2962">
        <f t="shared" si="815"/>
        <v>34.285455996021305</v>
      </c>
      <c r="FS69" s="2962">
        <f t="shared" si="815"/>
        <v>19.935774137556955</v>
      </c>
      <c r="FT69" s="2962">
        <f>SUM(FT68/FT62)</f>
        <v>33.034749476137748</v>
      </c>
      <c r="FU69" s="2962">
        <f t="shared" si="815"/>
        <v>33.138710618912214</v>
      </c>
      <c r="FV69" s="2962">
        <f t="shared" si="815"/>
        <v>14.671922513796595</v>
      </c>
      <c r="FW69" s="2938">
        <f t="shared" si="375"/>
        <v>-0.13081029083404161</v>
      </c>
      <c r="FX69" s="2938">
        <f t="shared" si="375"/>
        <v>-0.13560007292568343</v>
      </c>
      <c r="FY69" s="2938">
        <f t="shared" si="375"/>
        <v>-4.908069695837014E-3</v>
      </c>
      <c r="FZ69" s="2962">
        <f>SUM(FZ68/FZ62)</f>
        <v>33.680427038651956</v>
      </c>
      <c r="GA69" s="2962">
        <f t="shared" ref="GA69:GH69" si="816">SUM(GA68/GA62)</f>
        <v>33.782784431664652</v>
      </c>
      <c r="GB69" s="2962">
        <f t="shared" si="816"/>
        <v>17.303139869924713</v>
      </c>
      <c r="GC69" s="2962">
        <f>SUM(GC68/GC62)</f>
        <v>33.680467199014458</v>
      </c>
      <c r="GD69" s="2962">
        <f t="shared" si="816"/>
        <v>33.765324752207185</v>
      </c>
      <c r="GE69" s="2962">
        <f t="shared" si="816"/>
        <v>17.523576513388111</v>
      </c>
      <c r="GF69" s="2962">
        <f>SUM(GF68/GF62)</f>
        <v>32.500591382828674</v>
      </c>
      <c r="GG69" s="2962">
        <f t="shared" si="816"/>
        <v>32.595818143552428</v>
      </c>
      <c r="GH69" s="2962">
        <f t="shared" si="816"/>
        <v>14.617618243761701</v>
      </c>
      <c r="GI69" s="2938">
        <f t="shared" si="377"/>
        <v>4.0160362502206226E-5</v>
      </c>
      <c r="GJ69" s="2938">
        <f t="shared" si="377"/>
        <v>-1.7459679457466848E-2</v>
      </c>
      <c r="GK69" s="2938">
        <f t="shared" si="377"/>
        <v>0.22043664346339753</v>
      </c>
      <c r="GM69" s="4234"/>
    </row>
    <row r="70" spans="1:195" ht="18.75" customHeight="1" x14ac:dyDescent="0.3">
      <c r="A70" s="2880" t="s">
        <v>3750</v>
      </c>
      <c r="B70" s="4587">
        <f>SUM(B71:B73)</f>
        <v>278.00833333333333</v>
      </c>
      <c r="C70" s="4588"/>
      <c r="D70" s="4589"/>
      <c r="E70" s="4587">
        <f>SUM(E71:E73)</f>
        <v>342.41999999999996</v>
      </c>
      <c r="F70" s="4588"/>
      <c r="G70" s="4589"/>
      <c r="H70" s="4587">
        <f>SUM(H71:H73)</f>
        <v>957.73</v>
      </c>
      <c r="I70" s="4588"/>
      <c r="J70" s="4589"/>
      <c r="K70" s="4587">
        <f>SUM(K71:K73)</f>
        <v>278.00833333333333</v>
      </c>
      <c r="L70" s="4588"/>
      <c r="M70" s="4589"/>
      <c r="N70" s="4587">
        <f>SUM(N71:N73)</f>
        <v>240.14400000000001</v>
      </c>
      <c r="O70" s="4588"/>
      <c r="P70" s="4589"/>
      <c r="Q70" s="4587">
        <f>SUM(Q71:Q73)</f>
        <v>675.59999999999991</v>
      </c>
      <c r="R70" s="4588"/>
      <c r="S70" s="4589"/>
      <c r="T70" s="4587">
        <f>SUM(T71:T73)</f>
        <v>278.00833333333333</v>
      </c>
      <c r="U70" s="4588"/>
      <c r="V70" s="4589"/>
      <c r="W70" s="4587">
        <f>SUM(W71:W73)</f>
        <v>463.24900000000002</v>
      </c>
      <c r="X70" s="4588"/>
      <c r="Y70" s="4589"/>
      <c r="Z70" s="4587">
        <f>SUM(Z71:Z73)</f>
        <v>548.49</v>
      </c>
      <c r="AA70" s="4588"/>
      <c r="AB70" s="4589"/>
      <c r="AC70" s="4584">
        <f>SUM(AC71:AC73)</f>
        <v>834.02499999999998</v>
      </c>
      <c r="AD70" s="4585"/>
      <c r="AE70" s="4586"/>
      <c r="AF70" s="4584">
        <f>SUM(AF71:AF73)</f>
        <v>1045.8129999999999</v>
      </c>
      <c r="AG70" s="4585"/>
      <c r="AH70" s="4586"/>
      <c r="AI70" s="4584">
        <f>SUM(AI71:AI73)</f>
        <v>2181.8199999999997</v>
      </c>
      <c r="AJ70" s="4585"/>
      <c r="AK70" s="4586"/>
      <c r="AL70" s="4584">
        <f>SUM(AF70-AC70)</f>
        <v>211.7879999999999</v>
      </c>
      <c r="AM70" s="4585"/>
      <c r="AN70" s="4586"/>
      <c r="AO70" s="4587">
        <f>SUM(AO71:AO73)</f>
        <v>278.00833333333333</v>
      </c>
      <c r="AP70" s="4588"/>
      <c r="AQ70" s="4589"/>
      <c r="AR70" s="4587">
        <f>SUM(AR71:AR73)</f>
        <v>301.96100000000001</v>
      </c>
      <c r="AS70" s="4588"/>
      <c r="AT70" s="4589"/>
      <c r="AU70" s="4587">
        <f>SUM(AU71:AU73)</f>
        <v>510.71999999999997</v>
      </c>
      <c r="AV70" s="4588"/>
      <c r="AW70" s="4589"/>
      <c r="AX70" s="4587">
        <f>SUM(AX71:AX73)</f>
        <v>278.00833333333333</v>
      </c>
      <c r="AY70" s="4588"/>
      <c r="AZ70" s="4589"/>
      <c r="BA70" s="4587">
        <f>SUM(BA71:BA73)</f>
        <v>592.53575999999998</v>
      </c>
      <c r="BB70" s="4588"/>
      <c r="BC70" s="4589"/>
      <c r="BD70" s="4587">
        <f>SUM(BD71:BD73)</f>
        <v>628.63</v>
      </c>
      <c r="BE70" s="4588"/>
      <c r="BF70" s="4589"/>
      <c r="BG70" s="4587">
        <f>SUM(BG71:BG73)</f>
        <v>278.00833333333333</v>
      </c>
      <c r="BH70" s="4588"/>
      <c r="BI70" s="4589"/>
      <c r="BJ70" s="4587">
        <f>SUM(BJ71:BJ73)</f>
        <v>931.73800000000006</v>
      </c>
      <c r="BK70" s="4588"/>
      <c r="BL70" s="4589"/>
      <c r="BM70" s="4587">
        <f>SUM(BM71:BM73)</f>
        <v>593.70499999999993</v>
      </c>
      <c r="BN70" s="4588"/>
      <c r="BO70" s="4589"/>
      <c r="BP70" s="4584">
        <f>SUM(BP71:BP73)</f>
        <v>834.02499999999998</v>
      </c>
      <c r="BQ70" s="4585"/>
      <c r="BR70" s="4586"/>
      <c r="BS70" s="4584">
        <f>SUM(BS71:BS73)</f>
        <v>1826.2347599999998</v>
      </c>
      <c r="BT70" s="4585"/>
      <c r="BU70" s="4586"/>
      <c r="BV70" s="4584">
        <f>SUM(BV71:BV73)</f>
        <v>1733.0549999999998</v>
      </c>
      <c r="BW70" s="4585"/>
      <c r="BX70" s="4586"/>
      <c r="BY70" s="4584">
        <f>SUM(BS70-BP70)</f>
        <v>992.20975999999985</v>
      </c>
      <c r="BZ70" s="4585"/>
      <c r="CA70" s="4586"/>
      <c r="CB70" s="4584">
        <f>SUM(CB71:CB73)</f>
        <v>1668.05</v>
      </c>
      <c r="CC70" s="4585"/>
      <c r="CD70" s="4586"/>
      <c r="CE70" s="4584">
        <f>SUM(CE71:CE73)</f>
        <v>2872.0477599999999</v>
      </c>
      <c r="CF70" s="4585"/>
      <c r="CG70" s="4586"/>
      <c r="CH70" s="4584">
        <f>SUM(CH71:CH73)</f>
        <v>3914.875</v>
      </c>
      <c r="CI70" s="4585"/>
      <c r="CJ70" s="4586"/>
      <c r="CK70" s="4584">
        <f>SUM(CE70-CB70)</f>
        <v>1203.99776</v>
      </c>
      <c r="CL70" s="4585"/>
      <c r="CM70" s="4586"/>
      <c r="CN70" s="4587">
        <f>SUM(CN71:CN73)</f>
        <v>278.00833333333333</v>
      </c>
      <c r="CO70" s="4588"/>
      <c r="CP70" s="4589"/>
      <c r="CQ70" s="4587">
        <f>SUM(CQ71:CQ73)</f>
        <v>533.69200000000001</v>
      </c>
      <c r="CR70" s="4588"/>
      <c r="CS70" s="4589"/>
      <c r="CT70" s="4587">
        <f>SUM(CT71:CT73)</f>
        <v>1114.2</v>
      </c>
      <c r="CU70" s="4588"/>
      <c r="CV70" s="4589"/>
      <c r="CW70" s="4587">
        <f>SUM(CW71:CW73)</f>
        <v>278.00833333333333</v>
      </c>
      <c r="CX70" s="4588"/>
      <c r="CY70" s="4589"/>
      <c r="CZ70" s="4587">
        <f>SUM(CZ71:CZ73)</f>
        <v>653.50599999999997</v>
      </c>
      <c r="DA70" s="4588"/>
      <c r="DB70" s="4589"/>
      <c r="DC70" s="4587">
        <f>SUM(DC71:DC73)</f>
        <v>350.87489999999997</v>
      </c>
      <c r="DD70" s="4588"/>
      <c r="DE70" s="4589"/>
      <c r="DF70" s="4587">
        <f>SUM(DF71:DF73)</f>
        <v>278.00833333333333</v>
      </c>
      <c r="DG70" s="4588"/>
      <c r="DH70" s="4589"/>
      <c r="DI70" s="4587">
        <f>SUM(DI71:DI73)</f>
        <v>654.38446999999996</v>
      </c>
      <c r="DJ70" s="4588"/>
      <c r="DK70" s="4589"/>
      <c r="DL70" s="4587">
        <f>SUM(DL71:DL73)</f>
        <v>424.78499999999997</v>
      </c>
      <c r="DM70" s="4588"/>
      <c r="DN70" s="4589"/>
      <c r="DO70" s="4584">
        <f>SUM(DO71:DO73)</f>
        <v>834.02499999999998</v>
      </c>
      <c r="DP70" s="4585"/>
      <c r="DQ70" s="4586"/>
      <c r="DR70" s="4584">
        <f>SUM(DR71:DR73)</f>
        <v>1841.5824699999998</v>
      </c>
      <c r="DS70" s="4585"/>
      <c r="DT70" s="4586"/>
      <c r="DU70" s="4584">
        <f>SUM(DU71:DU73)</f>
        <v>1889.8598999999999</v>
      </c>
      <c r="DV70" s="4585"/>
      <c r="DW70" s="4586"/>
      <c r="DX70" s="4584">
        <f>SUM(DR70-DO70)</f>
        <v>1007.5574699999999</v>
      </c>
      <c r="DY70" s="4585"/>
      <c r="DZ70" s="4586"/>
      <c r="EA70" s="4584">
        <f>SUM(EA71:EA73)</f>
        <v>2502.0749999999998</v>
      </c>
      <c r="EB70" s="4585"/>
      <c r="EC70" s="4586"/>
      <c r="ED70" s="4584">
        <f>SUM(ED71:ED73)</f>
        <v>4713.6302299999998</v>
      </c>
      <c r="EE70" s="4585"/>
      <c r="EF70" s="4586"/>
      <c r="EG70" s="4584">
        <f>SUM(EG71:EG73)</f>
        <v>5804.7348999999995</v>
      </c>
      <c r="EH70" s="4585"/>
      <c r="EI70" s="4586"/>
      <c r="EJ70" s="4584">
        <f>SUM(ED70-EA70)</f>
        <v>2211.5552299999999</v>
      </c>
      <c r="EK70" s="4585"/>
      <c r="EL70" s="4586"/>
      <c r="EM70" s="4587">
        <f>SUM(EM71:EM73)</f>
        <v>278.00833333333333</v>
      </c>
      <c r="EN70" s="4588"/>
      <c r="EO70" s="4589"/>
      <c r="EP70" s="4587">
        <f>SUM(EP71:EP73)</f>
        <v>674.69600000000003</v>
      </c>
      <c r="EQ70" s="4588"/>
      <c r="ER70" s="4589"/>
      <c r="ES70" s="4587">
        <f>SUM(ES71:ES73)</f>
        <v>308.95999999999998</v>
      </c>
      <c r="ET70" s="4590"/>
      <c r="EU70" s="4591"/>
      <c r="EV70" s="4587">
        <f>SUM(EV71:EV73)</f>
        <v>278.00833333333333</v>
      </c>
      <c r="EW70" s="4588"/>
      <c r="EX70" s="4589"/>
      <c r="EY70" s="4587">
        <f>SUM(EY71:EY73)</f>
        <v>573.87199999999996</v>
      </c>
      <c r="EZ70" s="4588"/>
      <c r="FA70" s="4589"/>
      <c r="FB70" s="4587">
        <f>SUM(FB71:FB73)</f>
        <v>413.315</v>
      </c>
      <c r="FC70" s="4590"/>
      <c r="FD70" s="4591"/>
      <c r="FE70" s="4587">
        <f>SUM(FE71:FE73)</f>
        <v>278.00833333333333</v>
      </c>
      <c r="FF70" s="4588"/>
      <c r="FG70" s="4589"/>
      <c r="FH70" s="4587">
        <f>SUM(FH71:FH73)</f>
        <v>586.95300000000009</v>
      </c>
      <c r="FI70" s="4588"/>
      <c r="FJ70" s="4589"/>
      <c r="FK70" s="4587">
        <f>SUM(FK71:FK73)</f>
        <v>326.91500000000002</v>
      </c>
      <c r="FL70" s="4590"/>
      <c r="FM70" s="4591"/>
      <c r="FN70" s="4584">
        <f>SUM(FN71:FN73)</f>
        <v>834.02499999999998</v>
      </c>
      <c r="FO70" s="4585"/>
      <c r="FP70" s="4586"/>
      <c r="FQ70" s="4584">
        <f>SUM(FQ71:FQ73)</f>
        <v>1835.5210000000002</v>
      </c>
      <c r="FR70" s="4585"/>
      <c r="FS70" s="4586"/>
      <c r="FT70" s="4584">
        <f>SUM(FT71:FT73)</f>
        <v>1049.19</v>
      </c>
      <c r="FU70" s="4585"/>
      <c r="FV70" s="4586"/>
      <c r="FW70" s="4584">
        <f>SUM(FQ70-FN70)</f>
        <v>1001.4960000000002</v>
      </c>
      <c r="FX70" s="4585"/>
      <c r="FY70" s="4586"/>
      <c r="FZ70" s="4584">
        <f>SUM(FZ71:FZ73)</f>
        <v>3336.1</v>
      </c>
      <c r="GA70" s="4585"/>
      <c r="GB70" s="4586"/>
      <c r="GC70" s="4584">
        <f>SUM(GC71:GC73)</f>
        <v>6549.1512300000004</v>
      </c>
      <c r="GD70" s="4585"/>
      <c r="GE70" s="4586"/>
      <c r="GF70" s="4584">
        <f>SUM(GF71:GF73)</f>
        <v>6853.9249</v>
      </c>
      <c r="GG70" s="4585"/>
      <c r="GH70" s="4586"/>
      <c r="GI70" s="4584">
        <f>SUM(GC70-FZ70)</f>
        <v>3213.0512300000005</v>
      </c>
      <c r="GJ70" s="4585"/>
      <c r="GK70" s="4586"/>
      <c r="GM70" s="4234"/>
    </row>
    <row r="71" spans="1:195" ht="36" customHeight="1" x14ac:dyDescent="0.2">
      <c r="A71" s="2903" t="s">
        <v>3802</v>
      </c>
      <c r="B71" s="4592">
        <f>SUM('ПОЛНАЯ СЕБЕСТОИМОСТЬ СТОКИ 2021'!B181:D181)/3</f>
        <v>278.00833333333333</v>
      </c>
      <c r="C71" s="4593"/>
      <c r="D71" s="4594"/>
      <c r="E71" s="4592">
        <f>SUM('ПОЛНАЯ СЕБЕСТОИМОСТЬ СТОКИ 2021'!E181:G181)</f>
        <v>287.74799999999999</v>
      </c>
      <c r="F71" s="4593"/>
      <c r="G71" s="4594"/>
      <c r="H71" s="4595">
        <v>325.86</v>
      </c>
      <c r="I71" s="4596"/>
      <c r="J71" s="4597"/>
      <c r="K71" s="4592">
        <f>SUM(B71)</f>
        <v>278.00833333333333</v>
      </c>
      <c r="L71" s="4593"/>
      <c r="M71" s="4594"/>
      <c r="N71" s="4592">
        <f>SUM('ПОЛНАЯ СЕБЕСТОИМОСТЬ СТОКИ 2021'!H181:J181)</f>
        <v>219.928</v>
      </c>
      <c r="O71" s="4593"/>
      <c r="P71" s="4594"/>
      <c r="Q71" s="4595">
        <v>305.95</v>
      </c>
      <c r="R71" s="4596"/>
      <c r="S71" s="4597"/>
      <c r="T71" s="4592">
        <f>SUM(K71)</f>
        <v>278.00833333333333</v>
      </c>
      <c r="U71" s="4593"/>
      <c r="V71" s="4594"/>
      <c r="W71" s="4592">
        <f>SUM('ПОЛНАЯ СЕБЕСТОИМОСТЬ СТОКИ 2021'!K181:M181)</f>
        <v>322.19299999999998</v>
      </c>
      <c r="X71" s="4593"/>
      <c r="Y71" s="4594"/>
      <c r="Z71" s="4595">
        <v>214.31</v>
      </c>
      <c r="AA71" s="4596"/>
      <c r="AB71" s="4597"/>
      <c r="AC71" s="4598">
        <f>SUM(B71+K71+T71)</f>
        <v>834.02499999999998</v>
      </c>
      <c r="AD71" s="4599"/>
      <c r="AE71" s="4600"/>
      <c r="AF71" s="4598">
        <f>SUM(E71+N71+W71)</f>
        <v>829.86899999999991</v>
      </c>
      <c r="AG71" s="4599"/>
      <c r="AH71" s="4600"/>
      <c r="AI71" s="4598">
        <f>SUM(H71+Q71+Z71)</f>
        <v>846.11999999999989</v>
      </c>
      <c r="AJ71" s="4599"/>
      <c r="AK71" s="4600"/>
      <c r="AL71" s="4598">
        <f>SUM(AF71-AC71)</f>
        <v>-4.1560000000000628</v>
      </c>
      <c r="AM71" s="4599"/>
      <c r="AN71" s="4600"/>
      <c r="AO71" s="4592">
        <f>SUM(T71)</f>
        <v>278.00833333333333</v>
      </c>
      <c r="AP71" s="4593"/>
      <c r="AQ71" s="4594"/>
      <c r="AR71" s="4592">
        <f>SUM('ПОЛНАЯ СЕБЕСТОИМОСТЬ СТОКИ 2021'!T181:V181)</f>
        <v>205.56299999999999</v>
      </c>
      <c r="AS71" s="4593"/>
      <c r="AT71" s="4594"/>
      <c r="AU71" s="4595">
        <v>249.26</v>
      </c>
      <c r="AV71" s="4596"/>
      <c r="AW71" s="4597"/>
      <c r="AX71" s="4592">
        <f>SUM(AO71)</f>
        <v>278.00833333333333</v>
      </c>
      <c r="AY71" s="4593"/>
      <c r="AZ71" s="4594"/>
      <c r="BA71" s="4592">
        <f>SUM('ПОЛНАЯ СЕБЕСТОИМОСТЬ СТОКИ 2021'!W181:Y181)</f>
        <v>577.35970999999995</v>
      </c>
      <c r="BB71" s="4593"/>
      <c r="BC71" s="4594"/>
      <c r="BD71" s="4595">
        <v>272.99</v>
      </c>
      <c r="BE71" s="4596"/>
      <c r="BF71" s="4597"/>
      <c r="BG71" s="4592">
        <f>SUM(AX71)</f>
        <v>278.00833333333333</v>
      </c>
      <c r="BH71" s="4593"/>
      <c r="BI71" s="4594"/>
      <c r="BJ71" s="4592">
        <f>SUM('ПОЛНАЯ СЕБЕСТОИМОСТЬ СТОКИ 2021'!Z181:AB181)</f>
        <v>643.68100000000004</v>
      </c>
      <c r="BK71" s="4593"/>
      <c r="BL71" s="4594"/>
      <c r="BM71" s="4595">
        <v>224.01</v>
      </c>
      <c r="BN71" s="4596"/>
      <c r="BO71" s="4597"/>
      <c r="BP71" s="4598">
        <f>SUM(AO71+AX71+BG71)</f>
        <v>834.02499999999998</v>
      </c>
      <c r="BQ71" s="4599"/>
      <c r="BR71" s="4600"/>
      <c r="BS71" s="4598">
        <f>SUM(AR71+BA71+BJ71)</f>
        <v>1426.6037099999999</v>
      </c>
      <c r="BT71" s="4599"/>
      <c r="BU71" s="4600"/>
      <c r="BV71" s="4598">
        <f>SUM(AU71+BD71+BM71)</f>
        <v>746.26</v>
      </c>
      <c r="BW71" s="4599"/>
      <c r="BX71" s="4600"/>
      <c r="BY71" s="4598">
        <f>SUM(BS71-BP71)</f>
        <v>592.57870999999989</v>
      </c>
      <c r="BZ71" s="4599"/>
      <c r="CA71" s="4600"/>
      <c r="CB71" s="4598">
        <f>SUM(AC71+BP71)</f>
        <v>1668.05</v>
      </c>
      <c r="CC71" s="4599"/>
      <c r="CD71" s="4600"/>
      <c r="CE71" s="4598">
        <f>SUM(AF71+BS71)</f>
        <v>2256.47271</v>
      </c>
      <c r="CF71" s="4599"/>
      <c r="CG71" s="4600"/>
      <c r="CH71" s="4598">
        <f>SUM(AI71+BV71)</f>
        <v>1592.3799999999999</v>
      </c>
      <c r="CI71" s="4599"/>
      <c r="CJ71" s="4600"/>
      <c r="CK71" s="4598">
        <f>SUM(CE71-CB71)</f>
        <v>588.42271000000005</v>
      </c>
      <c r="CL71" s="4599"/>
      <c r="CM71" s="4600"/>
      <c r="CN71" s="4592">
        <f>SUM('ПОЛНАЯ СЕБЕСТОИМОСТЬ СТОКИ 2021'!AO181:AQ181)/3</f>
        <v>278.00833333333333</v>
      </c>
      <c r="CO71" s="4593"/>
      <c r="CP71" s="4594"/>
      <c r="CQ71" s="4592">
        <f>SUM('ПОЛНАЯ СЕБЕСТОИМОСТЬ СТОКИ 2021'!AR181:AT181)</f>
        <v>492.99299999999999</v>
      </c>
      <c r="CR71" s="4593"/>
      <c r="CS71" s="4594"/>
      <c r="CT71" s="4595">
        <v>378.46</v>
      </c>
      <c r="CU71" s="4596"/>
      <c r="CV71" s="4597"/>
      <c r="CW71" s="4592">
        <f>SUM(CN71)</f>
        <v>278.00833333333333</v>
      </c>
      <c r="CX71" s="4593"/>
      <c r="CY71" s="4594"/>
      <c r="CZ71" s="4592">
        <f>SUM('ПОЛНАЯ СЕБЕСТОИМОСТЬ СТОКИ 2021'!AU181:AW181)</f>
        <v>601.50099999999998</v>
      </c>
      <c r="DA71" s="4593"/>
      <c r="DB71" s="4594"/>
      <c r="DC71" s="4595">
        <v>225.00989999999999</v>
      </c>
      <c r="DD71" s="4596"/>
      <c r="DE71" s="4597"/>
      <c r="DF71" s="4592">
        <f>SUM(CW71)</f>
        <v>278.00833333333333</v>
      </c>
      <c r="DG71" s="4593"/>
      <c r="DH71" s="4594"/>
      <c r="DI71" s="4592">
        <f>SUM('ПОЛНАЯ СЕБЕСТОИМОСТЬ СТОКИ 2021'!AX181:AZ181)</f>
        <v>558.94947000000002</v>
      </c>
      <c r="DJ71" s="4593"/>
      <c r="DK71" s="4594"/>
      <c r="DL71" s="4595">
        <v>272.51</v>
      </c>
      <c r="DM71" s="4596"/>
      <c r="DN71" s="4597"/>
      <c r="DO71" s="4598">
        <f>SUM(CN71+CW71+DF71)</f>
        <v>834.02499999999998</v>
      </c>
      <c r="DP71" s="4599"/>
      <c r="DQ71" s="4600"/>
      <c r="DR71" s="4598">
        <f>SUM(CQ71+CZ71+DI71)</f>
        <v>1653.4434699999999</v>
      </c>
      <c r="DS71" s="4599"/>
      <c r="DT71" s="4600"/>
      <c r="DU71" s="4598">
        <f>SUM(CT71+DC71+DL71)</f>
        <v>875.97989999999993</v>
      </c>
      <c r="DV71" s="4599"/>
      <c r="DW71" s="4600"/>
      <c r="DX71" s="4598">
        <f>SUM(DR71-DO71)</f>
        <v>819.41846999999996</v>
      </c>
      <c r="DY71" s="4599"/>
      <c r="DZ71" s="4600"/>
      <c r="EA71" s="4598">
        <f>SUM(CB71+DO71)</f>
        <v>2502.0749999999998</v>
      </c>
      <c r="EB71" s="4599"/>
      <c r="EC71" s="4600"/>
      <c r="ED71" s="4598">
        <f>SUM(CE71+DR71)</f>
        <v>3909.9161800000002</v>
      </c>
      <c r="EE71" s="4599"/>
      <c r="EF71" s="4600"/>
      <c r="EG71" s="4598">
        <f>SUM(CH71+DU71)</f>
        <v>2468.3598999999999</v>
      </c>
      <c r="EH71" s="4599"/>
      <c r="EI71" s="4600"/>
      <c r="EJ71" s="4598">
        <f>SUM(ED71-EA71)</f>
        <v>1407.8411800000003</v>
      </c>
      <c r="EK71" s="4599"/>
      <c r="EL71" s="4600"/>
      <c r="EM71" s="4592">
        <f>SUM('ПОЛНАЯ СЕБЕСТОИМОСТЬ СТОКИ 2021'!BM181:BO181)/3</f>
        <v>278.00833333333333</v>
      </c>
      <c r="EN71" s="4593"/>
      <c r="EO71" s="4594"/>
      <c r="EP71" s="4592">
        <f>SUM('ПОЛНАЯ СЕБЕСТОИМОСТЬ СТОКИ 2021'!BP181:BR181)</f>
        <v>633.41300000000001</v>
      </c>
      <c r="EQ71" s="4593"/>
      <c r="ER71" s="4594"/>
      <c r="ES71" s="4595">
        <v>251.45</v>
      </c>
      <c r="ET71" s="4601"/>
      <c r="EU71" s="4602"/>
      <c r="EV71" s="4592">
        <f>SUM(EM71)</f>
        <v>278.00833333333333</v>
      </c>
      <c r="EW71" s="4593"/>
      <c r="EX71" s="4594"/>
      <c r="EY71" s="4592">
        <f>SUM('ПОЛНАЯ СЕБЕСТОИМОСТЬ СТОКИ 2021'!BS181:BU181)</f>
        <v>528.09799999999996</v>
      </c>
      <c r="EZ71" s="4593"/>
      <c r="FA71" s="4594"/>
      <c r="FB71" s="4595">
        <v>271.44</v>
      </c>
      <c r="FC71" s="4601"/>
      <c r="FD71" s="4602"/>
      <c r="FE71" s="4592">
        <f>SUM(EV71)</f>
        <v>278.00833333333333</v>
      </c>
      <c r="FF71" s="4593"/>
      <c r="FG71" s="4594"/>
      <c r="FH71" s="4592">
        <f>SUM('ПОЛНАЯ СЕБЕСТОИМОСТЬ СТОКИ 2021'!BV181:BX181)</f>
        <v>533.32000000000005</v>
      </c>
      <c r="FI71" s="4593"/>
      <c r="FJ71" s="4594"/>
      <c r="FK71" s="4595">
        <v>269.12</v>
      </c>
      <c r="FL71" s="4601"/>
      <c r="FM71" s="4602"/>
      <c r="FN71" s="4598">
        <f>SUM(EM71+EV71+FE71)</f>
        <v>834.02499999999998</v>
      </c>
      <c r="FO71" s="4599"/>
      <c r="FP71" s="4600"/>
      <c r="FQ71" s="4598">
        <f>SUM(EP71+EY71+FH71)</f>
        <v>1694.8310000000001</v>
      </c>
      <c r="FR71" s="4599"/>
      <c r="FS71" s="4600"/>
      <c r="FT71" s="4598">
        <f>SUM(ES71+FB71+FK71)</f>
        <v>792.01</v>
      </c>
      <c r="FU71" s="4599"/>
      <c r="FV71" s="4600"/>
      <c r="FW71" s="4598">
        <f>SUM(FQ71-FN71)</f>
        <v>860.80600000000015</v>
      </c>
      <c r="FX71" s="4599"/>
      <c r="FY71" s="4600"/>
      <c r="FZ71" s="4598">
        <f>SUM(EA71+FN71)</f>
        <v>3336.1</v>
      </c>
      <c r="GA71" s="4599"/>
      <c r="GB71" s="4600"/>
      <c r="GC71" s="4598">
        <f>SUM(ED71+FQ71)</f>
        <v>5604.7471800000003</v>
      </c>
      <c r="GD71" s="4599"/>
      <c r="GE71" s="4600"/>
      <c r="GF71" s="4598">
        <f>SUM(EG71+FT71)</f>
        <v>3260.3698999999997</v>
      </c>
      <c r="GG71" s="4599"/>
      <c r="GH71" s="4600"/>
      <c r="GI71" s="4598">
        <f>SUM(GC71-FZ71)</f>
        <v>2268.6471800000004</v>
      </c>
      <c r="GJ71" s="4599"/>
      <c r="GK71" s="4600"/>
      <c r="GM71" s="4234"/>
    </row>
    <row r="72" spans="1:195" ht="35.25" customHeight="1" x14ac:dyDescent="0.2">
      <c r="A72" s="2882" t="s">
        <v>3803</v>
      </c>
      <c r="B72" s="4592">
        <f>SUM('ПОЛНАЯ СЕБЕСТОИМОСТЬ СТОКИ 2021'!B182:D182)/3</f>
        <v>0</v>
      </c>
      <c r="C72" s="4593"/>
      <c r="D72" s="4594"/>
      <c r="E72" s="4592">
        <f>SUM('ПОЛНАЯ СЕБЕСТОИМОСТЬ СТОКИ 2021'!E182:G182)</f>
        <v>0</v>
      </c>
      <c r="F72" s="4593"/>
      <c r="G72" s="4594"/>
      <c r="H72" s="4595">
        <v>0</v>
      </c>
      <c r="I72" s="4596"/>
      <c r="J72" s="4597"/>
      <c r="K72" s="4592">
        <f>SUM(B72)</f>
        <v>0</v>
      </c>
      <c r="L72" s="4593"/>
      <c r="M72" s="4594"/>
      <c r="N72" s="4592">
        <f>SUM('ПОЛНАЯ СЕБЕСТОИМОСТЬ СТОКИ 2021'!H182:J182)</f>
        <v>0</v>
      </c>
      <c r="O72" s="4593"/>
      <c r="P72" s="4594"/>
      <c r="Q72" s="4595">
        <v>0</v>
      </c>
      <c r="R72" s="4596"/>
      <c r="S72" s="4597"/>
      <c r="T72" s="4592">
        <f>SUM(K72)</f>
        <v>0</v>
      </c>
      <c r="U72" s="4593"/>
      <c r="V72" s="4594"/>
      <c r="W72" s="4592">
        <f>SUM('ПОЛНАЯ СЕБЕСТОИМОСТЬ СТОКИ 2021'!K182:M182)</f>
        <v>0</v>
      </c>
      <c r="X72" s="4593"/>
      <c r="Y72" s="4594"/>
      <c r="Z72" s="4595">
        <v>0</v>
      </c>
      <c r="AA72" s="4596"/>
      <c r="AB72" s="4597"/>
      <c r="AC72" s="4598">
        <f>SUM(B72+K72+T72)</f>
        <v>0</v>
      </c>
      <c r="AD72" s="4599"/>
      <c r="AE72" s="4600"/>
      <c r="AF72" s="4598">
        <f>SUM(E72+N72+W72)</f>
        <v>0</v>
      </c>
      <c r="AG72" s="4599"/>
      <c r="AH72" s="4600"/>
      <c r="AI72" s="4598">
        <f>SUM(H72+Q72+Z72)</f>
        <v>0</v>
      </c>
      <c r="AJ72" s="4599"/>
      <c r="AK72" s="4600"/>
      <c r="AL72" s="4598">
        <f>SUM(AF72-AC72)</f>
        <v>0</v>
      </c>
      <c r="AM72" s="4599"/>
      <c r="AN72" s="4600"/>
      <c r="AO72" s="4592">
        <f>SUM(T72)</f>
        <v>0</v>
      </c>
      <c r="AP72" s="4593"/>
      <c r="AQ72" s="4594"/>
      <c r="AR72" s="4592">
        <f>SUM('ПОЛНАЯ СЕБЕСТОИМОСТЬ СТОКИ 2021'!T182:V182)</f>
        <v>18</v>
      </c>
      <c r="AS72" s="4593"/>
      <c r="AT72" s="4594"/>
      <c r="AU72" s="4595">
        <v>0</v>
      </c>
      <c r="AV72" s="4596"/>
      <c r="AW72" s="4597"/>
      <c r="AX72" s="4592">
        <f>SUM(AO72)</f>
        <v>0</v>
      </c>
      <c r="AY72" s="4593"/>
      <c r="AZ72" s="4594"/>
      <c r="BA72" s="4592">
        <f>SUM('ПОЛНАЯ СЕБЕСТОИМОСТЬ СТОКИ 2021'!W182:Y182)</f>
        <v>0</v>
      </c>
      <c r="BB72" s="4593"/>
      <c r="BC72" s="4594"/>
      <c r="BD72" s="4595">
        <v>0</v>
      </c>
      <c r="BE72" s="4596"/>
      <c r="BF72" s="4597"/>
      <c r="BG72" s="4592">
        <f>SUM(AX72)</f>
        <v>0</v>
      </c>
      <c r="BH72" s="4593"/>
      <c r="BI72" s="4594"/>
      <c r="BJ72" s="4592">
        <f>SUM('ПОЛНАЯ СЕБЕСТОИМОСТЬ СТОКИ 2021'!Z182:AB182)</f>
        <v>0</v>
      </c>
      <c r="BK72" s="4593"/>
      <c r="BL72" s="4594"/>
      <c r="BM72" s="4595">
        <v>0</v>
      </c>
      <c r="BN72" s="4596"/>
      <c r="BO72" s="4597"/>
      <c r="BP72" s="4598">
        <f>SUM(AO72+AX72+BG72)</f>
        <v>0</v>
      </c>
      <c r="BQ72" s="4599"/>
      <c r="BR72" s="4600"/>
      <c r="BS72" s="4598">
        <f>SUM(AR72+BA72+BJ72)</f>
        <v>18</v>
      </c>
      <c r="BT72" s="4599"/>
      <c r="BU72" s="4600"/>
      <c r="BV72" s="4598">
        <f>SUM(AU72+BD72+BM72)</f>
        <v>0</v>
      </c>
      <c r="BW72" s="4599"/>
      <c r="BX72" s="4600"/>
      <c r="BY72" s="4598">
        <f>SUM(BS72-BP72)</f>
        <v>18</v>
      </c>
      <c r="BZ72" s="4599"/>
      <c r="CA72" s="4600"/>
      <c r="CB72" s="4598">
        <f>SUM(AC72+BP72)</f>
        <v>0</v>
      </c>
      <c r="CC72" s="4599"/>
      <c r="CD72" s="4600"/>
      <c r="CE72" s="4598">
        <f>SUM(AF72+BS72)</f>
        <v>18</v>
      </c>
      <c r="CF72" s="4599"/>
      <c r="CG72" s="4600"/>
      <c r="CH72" s="4598">
        <f>SUM(AI72+BV72)</f>
        <v>0</v>
      </c>
      <c r="CI72" s="4599"/>
      <c r="CJ72" s="4600"/>
      <c r="CK72" s="4598">
        <f>SUM(CE72-CB72)</f>
        <v>18</v>
      </c>
      <c r="CL72" s="4599"/>
      <c r="CM72" s="4600"/>
      <c r="CN72" s="4592">
        <f>SUM('ПОЛНАЯ СЕБЕСТОИМОСТЬ СТОКИ 2021'!AO182:AQ182)/3</f>
        <v>0</v>
      </c>
      <c r="CO72" s="4593"/>
      <c r="CP72" s="4594"/>
      <c r="CQ72" s="4592">
        <f>SUM('ПОЛНАЯ СЕБЕСТОИМОСТЬ СТОКИ 2021'!AR182:AT182)</f>
        <v>0</v>
      </c>
      <c r="CR72" s="4593"/>
      <c r="CS72" s="4594"/>
      <c r="CT72" s="4595">
        <v>0</v>
      </c>
      <c r="CU72" s="4596"/>
      <c r="CV72" s="4597"/>
      <c r="CW72" s="4592">
        <f>SUM(CN72)</f>
        <v>0</v>
      </c>
      <c r="CX72" s="4593"/>
      <c r="CY72" s="4594"/>
      <c r="CZ72" s="4592">
        <f>SUM('ПОЛНАЯ СЕБЕСТОИМОСТЬ СТОКИ 2021'!AU182:AW182)</f>
        <v>17.600000000000001</v>
      </c>
      <c r="DA72" s="4593"/>
      <c r="DB72" s="4594"/>
      <c r="DC72" s="4595">
        <v>0</v>
      </c>
      <c r="DD72" s="4596"/>
      <c r="DE72" s="4597"/>
      <c r="DF72" s="4592">
        <f>SUM(CW72)</f>
        <v>0</v>
      </c>
      <c r="DG72" s="4593"/>
      <c r="DH72" s="4594"/>
      <c r="DI72" s="4592">
        <f>SUM('ПОЛНАЯ СЕБЕСТОИМОСТЬ СТОКИ 2021'!AX182:AZ182)</f>
        <v>0</v>
      </c>
      <c r="DJ72" s="4593"/>
      <c r="DK72" s="4594"/>
      <c r="DL72" s="4595">
        <v>0</v>
      </c>
      <c r="DM72" s="4596"/>
      <c r="DN72" s="4597"/>
      <c r="DO72" s="4598">
        <f>SUM(CN72+CW72+DF72)</f>
        <v>0</v>
      </c>
      <c r="DP72" s="4599"/>
      <c r="DQ72" s="4600"/>
      <c r="DR72" s="4598">
        <f>SUM(CQ72+CZ72+DI72)</f>
        <v>17.600000000000001</v>
      </c>
      <c r="DS72" s="4599"/>
      <c r="DT72" s="4600"/>
      <c r="DU72" s="4598">
        <f>SUM(CT72+DC72+DL72)</f>
        <v>0</v>
      </c>
      <c r="DV72" s="4599"/>
      <c r="DW72" s="4600"/>
      <c r="DX72" s="4598">
        <f>SUM(DR72-DO72)</f>
        <v>17.600000000000001</v>
      </c>
      <c r="DY72" s="4599"/>
      <c r="DZ72" s="4600"/>
      <c r="EA72" s="4598">
        <f>SUM(CB72+DO72)</f>
        <v>0</v>
      </c>
      <c r="EB72" s="4599"/>
      <c r="EC72" s="4600"/>
      <c r="ED72" s="4598">
        <f>SUM(CE72+DR72)</f>
        <v>35.6</v>
      </c>
      <c r="EE72" s="4599"/>
      <c r="EF72" s="4600"/>
      <c r="EG72" s="4598">
        <f>SUM(CH72+DU72)</f>
        <v>0</v>
      </c>
      <c r="EH72" s="4599"/>
      <c r="EI72" s="4600"/>
      <c r="EJ72" s="4598">
        <f>SUM(ED72-EA72)</f>
        <v>35.6</v>
      </c>
      <c r="EK72" s="4599"/>
      <c r="EL72" s="4600"/>
      <c r="EM72" s="4592">
        <f>SUM('ПОЛНАЯ СЕБЕСТОИМОСТЬ СТОКИ 2021'!BM182:BO182)/3</f>
        <v>0</v>
      </c>
      <c r="EN72" s="4593"/>
      <c r="EO72" s="4594"/>
      <c r="EP72" s="4592">
        <f>SUM('ПОЛНАЯ СЕБЕСТОИМОСТЬ СТОКИ 2021'!BP182:BR182)</f>
        <v>0</v>
      </c>
      <c r="EQ72" s="4593"/>
      <c r="ER72" s="4594"/>
      <c r="ES72" s="4595">
        <v>0</v>
      </c>
      <c r="ET72" s="4601"/>
      <c r="EU72" s="4602"/>
      <c r="EV72" s="4592">
        <f>SUM(EM72)</f>
        <v>0</v>
      </c>
      <c r="EW72" s="4593"/>
      <c r="EX72" s="4594"/>
      <c r="EY72" s="4592">
        <f>SUM('ПОЛНАЯ СЕБЕСТОИМОСТЬ СТОКИ 2021'!BS182:BU182)</f>
        <v>0</v>
      </c>
      <c r="EZ72" s="4593"/>
      <c r="FA72" s="4594"/>
      <c r="FB72" s="4595">
        <v>81.510000000000005</v>
      </c>
      <c r="FC72" s="4601"/>
      <c r="FD72" s="4602"/>
      <c r="FE72" s="4592">
        <f>SUM(EV72)</f>
        <v>0</v>
      </c>
      <c r="FF72" s="4593"/>
      <c r="FG72" s="4594"/>
      <c r="FH72" s="4592">
        <f>SUM('ПОЛНАЯ СЕБЕСТОИМОСТЬ СТОКИ 2021'!BV182:BX182)</f>
        <v>0</v>
      </c>
      <c r="FI72" s="4593"/>
      <c r="FJ72" s="4594"/>
      <c r="FK72" s="4595">
        <v>0</v>
      </c>
      <c r="FL72" s="4601"/>
      <c r="FM72" s="4602"/>
      <c r="FN72" s="4598">
        <f>SUM(EM72+EV72+FE72)</f>
        <v>0</v>
      </c>
      <c r="FO72" s="4599"/>
      <c r="FP72" s="4600"/>
      <c r="FQ72" s="4598">
        <f>SUM(EP72+EY72+FH72)</f>
        <v>0</v>
      </c>
      <c r="FR72" s="4599"/>
      <c r="FS72" s="4600"/>
      <c r="FT72" s="4598">
        <f>SUM(ES72+FB72+FK72)</f>
        <v>81.510000000000005</v>
      </c>
      <c r="FU72" s="4599"/>
      <c r="FV72" s="4600"/>
      <c r="FW72" s="4598">
        <f>SUM(FQ72-FN72)</f>
        <v>0</v>
      </c>
      <c r="FX72" s="4599"/>
      <c r="FY72" s="4600"/>
      <c r="FZ72" s="4598">
        <f>SUM(EA72+FN72)</f>
        <v>0</v>
      </c>
      <c r="GA72" s="4599"/>
      <c r="GB72" s="4600"/>
      <c r="GC72" s="4598">
        <f>SUM(ED72+FQ72)</f>
        <v>35.6</v>
      </c>
      <c r="GD72" s="4599"/>
      <c r="GE72" s="4600"/>
      <c r="GF72" s="4598">
        <f>SUM(EG72+FT72)</f>
        <v>81.510000000000005</v>
      </c>
      <c r="GG72" s="4599"/>
      <c r="GH72" s="4600"/>
      <c r="GI72" s="4598">
        <f>SUM(GC72-FZ72)</f>
        <v>35.6</v>
      </c>
      <c r="GJ72" s="4599"/>
      <c r="GK72" s="4600"/>
      <c r="GM72" s="4234"/>
    </row>
    <row r="73" spans="1:195" ht="36" customHeight="1" x14ac:dyDescent="0.2">
      <c r="A73" s="2882" t="s">
        <v>3753</v>
      </c>
      <c r="B73" s="4592">
        <f>SUM('ПОЛНАЯ СЕБЕСТОИМОСТЬ СТОКИ 2021'!B183:D183)/3</f>
        <v>0</v>
      </c>
      <c r="C73" s="4593"/>
      <c r="D73" s="4594"/>
      <c r="E73" s="4592">
        <f>SUM('ПОЛНАЯ СЕБЕСТОИМОСТЬ СТОКИ 2021'!E183:G183)</f>
        <v>54.671999999999997</v>
      </c>
      <c r="F73" s="4593"/>
      <c r="G73" s="4594"/>
      <c r="H73" s="4595">
        <v>631.87</v>
      </c>
      <c r="I73" s="4596"/>
      <c r="J73" s="4597"/>
      <c r="K73" s="4592">
        <f>SUM(B73)</f>
        <v>0</v>
      </c>
      <c r="L73" s="4593"/>
      <c r="M73" s="4594"/>
      <c r="N73" s="4592">
        <f>SUM('ПОЛНАЯ СЕБЕСТОИМОСТЬ СТОКИ 2021'!H183:J183)</f>
        <v>20.216000000000001</v>
      </c>
      <c r="O73" s="4593"/>
      <c r="P73" s="4594"/>
      <c r="Q73" s="4595">
        <v>369.65</v>
      </c>
      <c r="R73" s="4596"/>
      <c r="S73" s="4597"/>
      <c r="T73" s="4592">
        <f>SUM(K73)</f>
        <v>0</v>
      </c>
      <c r="U73" s="4593"/>
      <c r="V73" s="4594"/>
      <c r="W73" s="4592">
        <f>SUM('ПОЛНАЯ СЕБЕСТОИМОСТЬ СТОКИ 2021'!K183:M183)</f>
        <v>141.05600000000001</v>
      </c>
      <c r="X73" s="4593"/>
      <c r="Y73" s="4594"/>
      <c r="Z73" s="4595">
        <v>334.18</v>
      </c>
      <c r="AA73" s="4596"/>
      <c r="AB73" s="4597"/>
      <c r="AC73" s="4598">
        <f>SUM(B73+K73+T73)</f>
        <v>0</v>
      </c>
      <c r="AD73" s="4599"/>
      <c r="AE73" s="4600"/>
      <c r="AF73" s="4598">
        <f>SUM(E73+N73+W73)</f>
        <v>215.94400000000002</v>
      </c>
      <c r="AG73" s="4599"/>
      <c r="AH73" s="4600"/>
      <c r="AI73" s="4598">
        <f>SUM(H73+Q73+Z73)</f>
        <v>1335.7</v>
      </c>
      <c r="AJ73" s="4599"/>
      <c r="AK73" s="4600"/>
      <c r="AL73" s="4598">
        <f>SUM(AF73-AC73)</f>
        <v>215.94400000000002</v>
      </c>
      <c r="AM73" s="4599"/>
      <c r="AN73" s="4600"/>
      <c r="AO73" s="4592">
        <f>SUM(T73)</f>
        <v>0</v>
      </c>
      <c r="AP73" s="4593"/>
      <c r="AQ73" s="4594"/>
      <c r="AR73" s="4592">
        <f>SUM('ПОЛНАЯ СЕБЕСТОИМОСТЬ СТОКИ 2021'!T183:V183)</f>
        <v>78.397999999999996</v>
      </c>
      <c r="AS73" s="4593"/>
      <c r="AT73" s="4594"/>
      <c r="AU73" s="4595">
        <v>261.45999999999998</v>
      </c>
      <c r="AV73" s="4596"/>
      <c r="AW73" s="4597"/>
      <c r="AX73" s="4592">
        <f>SUM(AO73)</f>
        <v>0</v>
      </c>
      <c r="AY73" s="4593"/>
      <c r="AZ73" s="4594"/>
      <c r="BA73" s="4592">
        <f>SUM('ПОЛНАЯ СЕБЕСТОИМОСТЬ СТОКИ 2021'!W183:Y183)</f>
        <v>15.17605</v>
      </c>
      <c r="BB73" s="4593"/>
      <c r="BC73" s="4594"/>
      <c r="BD73" s="4595">
        <v>355.64</v>
      </c>
      <c r="BE73" s="4596"/>
      <c r="BF73" s="4597"/>
      <c r="BG73" s="4592">
        <f>SUM(AX73)</f>
        <v>0</v>
      </c>
      <c r="BH73" s="4593"/>
      <c r="BI73" s="4594"/>
      <c r="BJ73" s="4592">
        <f>SUM('ПОЛНАЯ СЕБЕСТОИМОСТЬ СТОКИ 2021'!Z183:AB183)</f>
        <v>288.05700000000002</v>
      </c>
      <c r="BK73" s="4593"/>
      <c r="BL73" s="4594"/>
      <c r="BM73" s="4595">
        <v>369.69499999999999</v>
      </c>
      <c r="BN73" s="4596"/>
      <c r="BO73" s="4597"/>
      <c r="BP73" s="4598">
        <f>SUM(AO73+AX73+BG73)</f>
        <v>0</v>
      </c>
      <c r="BQ73" s="4599"/>
      <c r="BR73" s="4600"/>
      <c r="BS73" s="4598">
        <f>SUM(AR73+BA73+BJ73)</f>
        <v>381.63105000000002</v>
      </c>
      <c r="BT73" s="4599"/>
      <c r="BU73" s="4600"/>
      <c r="BV73" s="4598">
        <f>SUM(AU73+BD73+BM73)</f>
        <v>986.79499999999985</v>
      </c>
      <c r="BW73" s="4599"/>
      <c r="BX73" s="4600"/>
      <c r="BY73" s="4598">
        <f>SUM(BS73-BP73)</f>
        <v>381.63105000000002</v>
      </c>
      <c r="BZ73" s="4599"/>
      <c r="CA73" s="4600"/>
      <c r="CB73" s="4598">
        <f>SUM(AC73+BP73)</f>
        <v>0</v>
      </c>
      <c r="CC73" s="4599"/>
      <c r="CD73" s="4600"/>
      <c r="CE73" s="4598">
        <f>SUM(AF73+BS73)</f>
        <v>597.57505000000003</v>
      </c>
      <c r="CF73" s="4599"/>
      <c r="CG73" s="4600"/>
      <c r="CH73" s="4598">
        <f>SUM(AI73+BV73)</f>
        <v>2322.4949999999999</v>
      </c>
      <c r="CI73" s="4599"/>
      <c r="CJ73" s="4600"/>
      <c r="CK73" s="4598">
        <f>SUM(CE73-CB73)</f>
        <v>597.57505000000003</v>
      </c>
      <c r="CL73" s="4599"/>
      <c r="CM73" s="4600"/>
      <c r="CN73" s="4592">
        <f>SUM('ПОЛНАЯ СЕБЕСТОИМОСТЬ СТОКИ 2021'!AO183:AQ183)/3</f>
        <v>0</v>
      </c>
      <c r="CO73" s="4593"/>
      <c r="CP73" s="4594"/>
      <c r="CQ73" s="4592">
        <f>SUM('ПОЛНАЯ СЕБЕСТОИМОСТЬ СТОКИ 2021'!AR183:AT183)</f>
        <v>40.698999999999998</v>
      </c>
      <c r="CR73" s="4593"/>
      <c r="CS73" s="4594"/>
      <c r="CT73" s="4595">
        <v>735.74</v>
      </c>
      <c r="CU73" s="4596"/>
      <c r="CV73" s="4597"/>
      <c r="CW73" s="4592">
        <f>SUM(CN73)</f>
        <v>0</v>
      </c>
      <c r="CX73" s="4593"/>
      <c r="CY73" s="4594"/>
      <c r="CZ73" s="4592">
        <f>SUM('ПОЛНАЯ СЕБЕСТОИМОСТЬ СТОКИ 2021'!AU183:AW183)</f>
        <v>34.405000000000001</v>
      </c>
      <c r="DA73" s="4593"/>
      <c r="DB73" s="4594"/>
      <c r="DC73" s="4595">
        <v>125.86499999999999</v>
      </c>
      <c r="DD73" s="4596"/>
      <c r="DE73" s="4597"/>
      <c r="DF73" s="4592">
        <f>SUM(CW73)</f>
        <v>0</v>
      </c>
      <c r="DG73" s="4593"/>
      <c r="DH73" s="4594"/>
      <c r="DI73" s="4592">
        <f>SUM('ПОЛНАЯ СЕБЕСТОИМОСТЬ СТОКИ 2021'!AX183:AZ183)</f>
        <v>95.435000000000002</v>
      </c>
      <c r="DJ73" s="4593"/>
      <c r="DK73" s="4594"/>
      <c r="DL73" s="4595">
        <v>152.27500000000001</v>
      </c>
      <c r="DM73" s="4596"/>
      <c r="DN73" s="4597"/>
      <c r="DO73" s="4598">
        <f>SUM(CN73+CW73+DF73)</f>
        <v>0</v>
      </c>
      <c r="DP73" s="4599"/>
      <c r="DQ73" s="4600"/>
      <c r="DR73" s="4598">
        <f>SUM(CQ73+CZ73+DI73)</f>
        <v>170.53899999999999</v>
      </c>
      <c r="DS73" s="4599"/>
      <c r="DT73" s="4600"/>
      <c r="DU73" s="4598">
        <f>SUM(CT73+DC73+DL73)</f>
        <v>1013.88</v>
      </c>
      <c r="DV73" s="4599"/>
      <c r="DW73" s="4600"/>
      <c r="DX73" s="4598">
        <f>SUM(DR73-DO73)</f>
        <v>170.53899999999999</v>
      </c>
      <c r="DY73" s="4599"/>
      <c r="DZ73" s="4600"/>
      <c r="EA73" s="4598">
        <f>SUM(CB73+DO73)</f>
        <v>0</v>
      </c>
      <c r="EB73" s="4599"/>
      <c r="EC73" s="4600"/>
      <c r="ED73" s="4598">
        <f>SUM(CE73+DR73)</f>
        <v>768.11405000000002</v>
      </c>
      <c r="EE73" s="4599"/>
      <c r="EF73" s="4600"/>
      <c r="EG73" s="4598">
        <f>SUM(CH73+DU73)</f>
        <v>3336.375</v>
      </c>
      <c r="EH73" s="4599"/>
      <c r="EI73" s="4600"/>
      <c r="EJ73" s="4598">
        <f>SUM(ED73-EA73)</f>
        <v>768.11405000000002</v>
      </c>
      <c r="EK73" s="4599"/>
      <c r="EL73" s="4600"/>
      <c r="EM73" s="4592">
        <f>SUM('ПОЛНАЯ СЕБЕСТОИМОСТЬ СТОКИ 2021'!BM183:BO183)/3</f>
        <v>0</v>
      </c>
      <c r="EN73" s="4593"/>
      <c r="EO73" s="4594"/>
      <c r="EP73" s="4592">
        <f>SUM('ПОЛНАЯ СЕБЕСТОИМОСТЬ СТОКИ 2021'!BP183:BR183)</f>
        <v>41.283000000000001</v>
      </c>
      <c r="EQ73" s="4593"/>
      <c r="ER73" s="4594"/>
      <c r="ES73" s="4595">
        <v>57.51</v>
      </c>
      <c r="ET73" s="4601"/>
      <c r="EU73" s="4602"/>
      <c r="EV73" s="4592">
        <f>SUM(EM73)</f>
        <v>0</v>
      </c>
      <c r="EW73" s="4593"/>
      <c r="EX73" s="4594"/>
      <c r="EY73" s="4592">
        <f>SUM('ПОЛНАЯ СЕБЕСТОИМОСТЬ СТОКИ 2021'!BS183:BU183)</f>
        <v>45.774000000000001</v>
      </c>
      <c r="EZ73" s="4593"/>
      <c r="FA73" s="4594"/>
      <c r="FB73" s="4595">
        <v>60.365000000000002</v>
      </c>
      <c r="FC73" s="4601"/>
      <c r="FD73" s="4602"/>
      <c r="FE73" s="4592">
        <f>SUM(EV73)</f>
        <v>0</v>
      </c>
      <c r="FF73" s="4593"/>
      <c r="FG73" s="4594"/>
      <c r="FH73" s="4603">
        <f>SUM('ПОЛНАЯ СЕБЕСТОИМОСТЬ СТОКИ 2021'!BV183:BX183)</f>
        <v>53.633000000000003</v>
      </c>
      <c r="FI73" s="4604"/>
      <c r="FJ73" s="4605"/>
      <c r="FK73" s="4595">
        <v>57.795000000000002</v>
      </c>
      <c r="FL73" s="4601"/>
      <c r="FM73" s="4602"/>
      <c r="FN73" s="4598">
        <f>SUM(EM73+EV73+FE73)</f>
        <v>0</v>
      </c>
      <c r="FO73" s="4599"/>
      <c r="FP73" s="4600"/>
      <c r="FQ73" s="4598">
        <f>SUM(EP73+EY73+FH73)</f>
        <v>140.69</v>
      </c>
      <c r="FR73" s="4599"/>
      <c r="FS73" s="4600"/>
      <c r="FT73" s="4598">
        <f>SUM(ES73+FB73+FK73)</f>
        <v>175.67000000000002</v>
      </c>
      <c r="FU73" s="4599"/>
      <c r="FV73" s="4600"/>
      <c r="FW73" s="4598">
        <f>SUM(FQ73-FN73)</f>
        <v>140.69</v>
      </c>
      <c r="FX73" s="4599"/>
      <c r="FY73" s="4600"/>
      <c r="FZ73" s="4598">
        <f>SUM(EA73+FN73)</f>
        <v>0</v>
      </c>
      <c r="GA73" s="4599"/>
      <c r="GB73" s="4600"/>
      <c r="GC73" s="4598">
        <f>SUM(ED73+FQ73)</f>
        <v>908.80404999999996</v>
      </c>
      <c r="GD73" s="4599"/>
      <c r="GE73" s="4600"/>
      <c r="GF73" s="4598">
        <f>SUM(EG73+FT73)</f>
        <v>3512.0450000000001</v>
      </c>
      <c r="GG73" s="4599"/>
      <c r="GH73" s="4600"/>
      <c r="GI73" s="4598">
        <f>SUM(GC73-FZ73)</f>
        <v>908.80404999999996</v>
      </c>
      <c r="GJ73" s="4599"/>
      <c r="GK73" s="4600"/>
    </row>
    <row r="74" spans="1:195" ht="18.75" customHeight="1" x14ac:dyDescent="0.3">
      <c r="A74" s="2910" t="s">
        <v>3788</v>
      </c>
      <c r="B74" s="4587">
        <f>SUM(B61+B70)</f>
        <v>8670.1452231127951</v>
      </c>
      <c r="C74" s="4588"/>
      <c r="D74" s="4589"/>
      <c r="E74" s="4587">
        <f>SUM(E61+E70)</f>
        <v>7179.4497900000015</v>
      </c>
      <c r="F74" s="4588"/>
      <c r="G74" s="4589"/>
      <c r="H74" s="4587">
        <f t="shared" ref="H74" si="817">SUM(H61+H70)</f>
        <v>7612.6320940000005</v>
      </c>
      <c r="I74" s="4588"/>
      <c r="J74" s="4589"/>
      <c r="K74" s="4587">
        <f t="shared" ref="K74" si="818">SUM(K61+K70)</f>
        <v>8670.1452231127951</v>
      </c>
      <c r="L74" s="4588"/>
      <c r="M74" s="4589"/>
      <c r="N74" s="4587">
        <f t="shared" ref="N74" si="819">SUM(N61+N70)</f>
        <v>7201.0435600000001</v>
      </c>
      <c r="O74" s="4588"/>
      <c r="P74" s="4589"/>
      <c r="Q74" s="4587">
        <f t="shared" ref="Q74:Z74" si="820">SUM(Q61+Q70)</f>
        <v>6859.45982</v>
      </c>
      <c r="R74" s="4588"/>
      <c r="S74" s="4589"/>
      <c r="T74" s="4587">
        <f t="shared" si="820"/>
        <v>8670.1452231127951</v>
      </c>
      <c r="U74" s="4588"/>
      <c r="V74" s="4589"/>
      <c r="W74" s="4587">
        <f t="shared" si="820"/>
        <v>8351.1921700000021</v>
      </c>
      <c r="X74" s="4588"/>
      <c r="Y74" s="4589"/>
      <c r="Z74" s="4587">
        <f t="shared" si="820"/>
        <v>7989.7629999999999</v>
      </c>
      <c r="AA74" s="4588"/>
      <c r="AB74" s="4589"/>
      <c r="AC74" s="4584">
        <f t="shared" ref="AC74:AI74" si="821">SUM(AC61+AC70)</f>
        <v>26010.435669338389</v>
      </c>
      <c r="AD74" s="4585"/>
      <c r="AE74" s="4586"/>
      <c r="AF74" s="4584">
        <f t="shared" si="821"/>
        <v>22731.685520000003</v>
      </c>
      <c r="AG74" s="4585"/>
      <c r="AH74" s="4586"/>
      <c r="AI74" s="4584">
        <f t="shared" si="821"/>
        <v>22461.854914</v>
      </c>
      <c r="AJ74" s="4585"/>
      <c r="AK74" s="4586"/>
      <c r="AL74" s="4606">
        <f>SUM(AF74-AC74)</f>
        <v>-3278.7501493383861</v>
      </c>
      <c r="AM74" s="4607"/>
      <c r="AN74" s="4608"/>
      <c r="AO74" s="4587">
        <f t="shared" ref="AO74:BM74" si="822">SUM(AO61+AO70)</f>
        <v>8670.1452231127951</v>
      </c>
      <c r="AP74" s="4588"/>
      <c r="AQ74" s="4589"/>
      <c r="AR74" s="4587">
        <f t="shared" si="822"/>
        <v>8036.7381800000003</v>
      </c>
      <c r="AS74" s="4588"/>
      <c r="AT74" s="4589"/>
      <c r="AU74" s="4587">
        <f t="shared" si="822"/>
        <v>7437.2120000000004</v>
      </c>
      <c r="AV74" s="4588"/>
      <c r="AW74" s="4589"/>
      <c r="AX74" s="4587">
        <f t="shared" si="822"/>
        <v>8670.1452231127951</v>
      </c>
      <c r="AY74" s="4588"/>
      <c r="AZ74" s="4589"/>
      <c r="BA74" s="4587">
        <f t="shared" si="822"/>
        <v>8793.9627300000011</v>
      </c>
      <c r="BB74" s="4588"/>
      <c r="BC74" s="4589"/>
      <c r="BD74" s="4587">
        <f t="shared" si="822"/>
        <v>7123.3919999999998</v>
      </c>
      <c r="BE74" s="4588"/>
      <c r="BF74" s="4589"/>
      <c r="BG74" s="4587">
        <f t="shared" si="822"/>
        <v>8670.1452231127951</v>
      </c>
      <c r="BH74" s="4588"/>
      <c r="BI74" s="4589"/>
      <c r="BJ74" s="4587">
        <f t="shared" si="822"/>
        <v>7950.8693000000003</v>
      </c>
      <c r="BK74" s="4588"/>
      <c r="BL74" s="4589"/>
      <c r="BM74" s="4587">
        <f t="shared" si="822"/>
        <v>7402.2950000000001</v>
      </c>
      <c r="BN74" s="4588"/>
      <c r="BO74" s="4589"/>
      <c r="BP74" s="4584">
        <f t="shared" ref="BP74:BS74" si="823">SUM(BP61+BP70)</f>
        <v>26010.435669338389</v>
      </c>
      <c r="BQ74" s="4585"/>
      <c r="BR74" s="4586"/>
      <c r="BS74" s="4584">
        <f t="shared" si="823"/>
        <v>24781.570210000002</v>
      </c>
      <c r="BT74" s="4585"/>
      <c r="BU74" s="4586"/>
      <c r="BV74" s="4584">
        <f>SUM(BV61+BV70)</f>
        <v>21962.899000000001</v>
      </c>
      <c r="BW74" s="4585"/>
      <c r="BX74" s="4586"/>
      <c r="BY74" s="4606">
        <f>SUM(BS74-BP74)</f>
        <v>-1228.8654593383872</v>
      </c>
      <c r="BZ74" s="4607"/>
      <c r="CA74" s="4608"/>
      <c r="CB74" s="4584">
        <f t="shared" ref="CB74:CH74" si="824">SUM(CB61+CB70)</f>
        <v>52020.871338676778</v>
      </c>
      <c r="CC74" s="4585"/>
      <c r="CD74" s="4586"/>
      <c r="CE74" s="4584">
        <f t="shared" si="824"/>
        <v>47513.255730000004</v>
      </c>
      <c r="CF74" s="4585"/>
      <c r="CG74" s="4586"/>
      <c r="CH74" s="4584">
        <f t="shared" si="824"/>
        <v>44424.753914000001</v>
      </c>
      <c r="CI74" s="4585"/>
      <c r="CJ74" s="4586"/>
      <c r="CK74" s="4606">
        <f>SUM(CE74-CB74)</f>
        <v>-4507.6156086767733</v>
      </c>
      <c r="CL74" s="4607"/>
      <c r="CM74" s="4608"/>
      <c r="CN74" s="4587">
        <f t="shared" ref="CN74:DU74" si="825">SUM(CN61+CN70)</f>
        <v>8697.6555506936329</v>
      </c>
      <c r="CO74" s="4588"/>
      <c r="CP74" s="4589"/>
      <c r="CQ74" s="4587">
        <f t="shared" si="825"/>
        <v>8188.5543700000007</v>
      </c>
      <c r="CR74" s="4588"/>
      <c r="CS74" s="4589"/>
      <c r="CT74" s="4587">
        <f t="shared" si="825"/>
        <v>7458.1480000000001</v>
      </c>
      <c r="CU74" s="4588"/>
      <c r="CV74" s="4589"/>
      <c r="CW74" s="4587">
        <f t="shared" si="825"/>
        <v>8697.6555506936329</v>
      </c>
      <c r="CX74" s="4588"/>
      <c r="CY74" s="4589"/>
      <c r="CZ74" s="4587">
        <f t="shared" si="825"/>
        <v>8749.2409000000007</v>
      </c>
      <c r="DA74" s="4588"/>
      <c r="DB74" s="4589"/>
      <c r="DC74" s="4587">
        <f t="shared" si="825"/>
        <v>7514.3878999999997</v>
      </c>
      <c r="DD74" s="4588"/>
      <c r="DE74" s="4589"/>
      <c r="DF74" s="4587">
        <f t="shared" si="825"/>
        <v>8697.6555506936329</v>
      </c>
      <c r="DG74" s="4588"/>
      <c r="DH74" s="4589"/>
      <c r="DI74" s="4587">
        <f t="shared" si="825"/>
        <v>8838.7332700000006</v>
      </c>
      <c r="DJ74" s="4588"/>
      <c r="DK74" s="4589"/>
      <c r="DL74" s="4587">
        <f t="shared" si="825"/>
        <v>7596.4750000000004</v>
      </c>
      <c r="DM74" s="4588"/>
      <c r="DN74" s="4589"/>
      <c r="DO74" s="4584">
        <f t="shared" si="825"/>
        <v>26092.966652080901</v>
      </c>
      <c r="DP74" s="4585"/>
      <c r="DQ74" s="4586"/>
      <c r="DR74" s="4584">
        <f t="shared" si="825"/>
        <v>25776.528540000003</v>
      </c>
      <c r="DS74" s="4585"/>
      <c r="DT74" s="4586"/>
      <c r="DU74" s="4584">
        <f t="shared" si="825"/>
        <v>22569.010899999997</v>
      </c>
      <c r="DV74" s="4585"/>
      <c r="DW74" s="4586"/>
      <c r="DX74" s="4606">
        <f>SUM(DR74-DO74)</f>
        <v>-316.43811208089755</v>
      </c>
      <c r="DY74" s="4607"/>
      <c r="DZ74" s="4608"/>
      <c r="EA74" s="4584">
        <f t="shared" ref="EA74:EG74" si="826">SUM(EA61+EA70)</f>
        <v>78113.837990757675</v>
      </c>
      <c r="EB74" s="4585"/>
      <c r="EC74" s="4586"/>
      <c r="ED74" s="4584">
        <f t="shared" si="826"/>
        <v>73289.784270000004</v>
      </c>
      <c r="EE74" s="4585"/>
      <c r="EF74" s="4586"/>
      <c r="EG74" s="4584">
        <f t="shared" si="826"/>
        <v>66993.764813999995</v>
      </c>
      <c r="EH74" s="4585"/>
      <c r="EI74" s="4586"/>
      <c r="EJ74" s="4606">
        <f>SUM(ED74-EA74)</f>
        <v>-4824.0537207576708</v>
      </c>
      <c r="EK74" s="4607"/>
      <c r="EL74" s="4608"/>
      <c r="EM74" s="4587">
        <f t="shared" ref="EM74:FT74" si="827">SUM(EM61+EM70)</f>
        <v>8697.6555506936329</v>
      </c>
      <c r="EN74" s="4588"/>
      <c r="EO74" s="4589"/>
      <c r="EP74" s="4587">
        <f t="shared" si="827"/>
        <v>7787.4945799999996</v>
      </c>
      <c r="EQ74" s="4588"/>
      <c r="ER74" s="4589"/>
      <c r="ES74" s="4587">
        <f t="shared" ref="ES74" si="828">SUM(ES61+ES70)</f>
        <v>7489.1180000000004</v>
      </c>
      <c r="ET74" s="4590"/>
      <c r="EU74" s="4591"/>
      <c r="EV74" s="4587">
        <f t="shared" si="827"/>
        <v>8697.6555506936329</v>
      </c>
      <c r="EW74" s="4588"/>
      <c r="EX74" s="4589"/>
      <c r="EY74" s="4587">
        <f t="shared" si="827"/>
        <v>7868.0590200000015</v>
      </c>
      <c r="EZ74" s="4588"/>
      <c r="FA74" s="4589"/>
      <c r="FB74" s="4587">
        <f t="shared" ref="FB74" si="829">SUM(FB61+FB70)</f>
        <v>6789.9528399999999</v>
      </c>
      <c r="FC74" s="4590"/>
      <c r="FD74" s="4591"/>
      <c r="FE74" s="4587">
        <f t="shared" si="827"/>
        <v>8697.6555506936329</v>
      </c>
      <c r="FF74" s="4588"/>
      <c r="FG74" s="4589"/>
      <c r="FH74" s="4587">
        <f t="shared" si="827"/>
        <v>10015.15064</v>
      </c>
      <c r="FI74" s="4588"/>
      <c r="FJ74" s="4589"/>
      <c r="FK74" s="4587">
        <f t="shared" ref="FK74" si="830">SUM(FK61+FK70)</f>
        <v>8397.366</v>
      </c>
      <c r="FL74" s="4590"/>
      <c r="FM74" s="4591"/>
      <c r="FN74" s="4584">
        <f t="shared" si="827"/>
        <v>26092.966652080901</v>
      </c>
      <c r="FO74" s="4585"/>
      <c r="FP74" s="4586"/>
      <c r="FQ74" s="4584">
        <f t="shared" si="827"/>
        <v>25670.704239999999</v>
      </c>
      <c r="FR74" s="4585"/>
      <c r="FS74" s="4586"/>
      <c r="FT74" s="4584">
        <f t="shared" si="827"/>
        <v>22676.436839999998</v>
      </c>
      <c r="FU74" s="4585"/>
      <c r="FV74" s="4586"/>
      <c r="FW74" s="4606">
        <f>SUM(FQ74-FN74)</f>
        <v>-422.26241208090141</v>
      </c>
      <c r="FX74" s="4607"/>
      <c r="FY74" s="4608"/>
      <c r="FZ74" s="4584">
        <f t="shared" ref="FZ74:GF74" si="831">SUM(FZ61+FZ70)</f>
        <v>104206.80464283859</v>
      </c>
      <c r="GA74" s="4585"/>
      <c r="GB74" s="4586"/>
      <c r="GC74" s="4584">
        <f t="shared" si="831"/>
        <v>98960.48851000001</v>
      </c>
      <c r="GD74" s="4585"/>
      <c r="GE74" s="4586"/>
      <c r="GF74" s="4584">
        <f t="shared" si="831"/>
        <v>89670.20165399999</v>
      </c>
      <c r="GG74" s="4585"/>
      <c r="GH74" s="4586"/>
      <c r="GI74" s="4606">
        <f>SUM(GC74-FZ74)</f>
        <v>-5246.3161328385759</v>
      </c>
      <c r="GJ74" s="4607"/>
      <c r="GK74" s="4608"/>
    </row>
    <row r="75" spans="1:195" ht="18.75" customHeight="1" x14ac:dyDescent="0.3">
      <c r="A75" s="523"/>
      <c r="B75" s="3037"/>
      <c r="C75" s="3037"/>
      <c r="D75" s="3037"/>
      <c r="E75" s="3038"/>
      <c r="F75" s="3038"/>
      <c r="G75" s="3038"/>
      <c r="H75" s="3038"/>
      <c r="I75" s="3038"/>
      <c r="J75" s="3038"/>
      <c r="K75" s="3038"/>
      <c r="L75" s="3038"/>
      <c r="M75" s="3038"/>
      <c r="N75" s="3038"/>
      <c r="O75" s="3038"/>
      <c r="P75" s="3038"/>
      <c r="Q75" s="3038"/>
      <c r="R75" s="3038"/>
      <c r="S75" s="3038"/>
      <c r="T75" s="3038"/>
      <c r="U75" s="3038"/>
      <c r="V75" s="3038"/>
      <c r="W75" s="3038"/>
      <c r="X75" s="3038"/>
      <c r="Y75" s="3038"/>
      <c r="Z75" s="3038"/>
      <c r="AA75" s="3038"/>
      <c r="AB75" s="3038"/>
      <c r="AC75" s="3038"/>
      <c r="AD75" s="3038"/>
      <c r="AE75" s="3038"/>
      <c r="AF75" s="3038"/>
      <c r="AG75" s="3038"/>
      <c r="AH75" s="3038"/>
      <c r="AI75" s="3038"/>
      <c r="AJ75" s="3038"/>
      <c r="AK75" s="3038"/>
      <c r="AL75" s="3038"/>
      <c r="AM75" s="3038"/>
      <c r="AN75" s="3038"/>
      <c r="AO75" s="2673"/>
      <c r="AP75" s="2673"/>
      <c r="AQ75" s="2673"/>
      <c r="AR75" s="2673"/>
      <c r="AS75" s="2673"/>
      <c r="AT75" s="2673"/>
      <c r="AU75" s="2673"/>
      <c r="AV75" s="2673"/>
      <c r="AW75" s="2673"/>
      <c r="AX75" s="2673"/>
      <c r="AY75" s="2673"/>
      <c r="AZ75" s="2673"/>
      <c r="BA75" s="2673"/>
      <c r="BB75" s="2673"/>
      <c r="BC75" s="2673"/>
      <c r="BD75" s="2673"/>
      <c r="BE75" s="2673"/>
      <c r="BF75" s="2673"/>
      <c r="BG75" s="2673"/>
      <c r="BH75" s="2673"/>
      <c r="BI75" s="2673"/>
      <c r="BJ75" s="2673"/>
      <c r="BK75" s="2673"/>
      <c r="BL75" s="2673"/>
      <c r="BM75" s="2673"/>
      <c r="BN75" s="2673"/>
      <c r="BO75" s="2673"/>
      <c r="BP75" s="2673"/>
      <c r="BQ75" s="2673"/>
      <c r="BR75" s="2673"/>
      <c r="BS75" s="2673"/>
      <c r="BT75" s="2673"/>
      <c r="BU75" s="2673"/>
      <c r="BV75" s="2673"/>
      <c r="BW75" s="2673"/>
      <c r="BX75" s="2673"/>
      <c r="BY75" s="2673"/>
      <c r="BZ75" s="2673"/>
      <c r="CA75" s="2673"/>
      <c r="CB75" s="2673"/>
      <c r="CC75" s="2673"/>
      <c r="CD75" s="2673"/>
      <c r="CE75" s="2673"/>
      <c r="CF75" s="2673"/>
      <c r="CG75" s="2673"/>
      <c r="CH75" s="2673"/>
      <c r="CI75" s="2673"/>
      <c r="CJ75" s="2673"/>
      <c r="CK75" s="2673"/>
      <c r="CL75" s="2673"/>
      <c r="CM75" s="2673"/>
      <c r="CN75" s="2673"/>
      <c r="CO75" s="2673"/>
      <c r="CP75" s="2673"/>
      <c r="CQ75" s="2673"/>
      <c r="CR75" s="2673"/>
      <c r="CS75" s="2673"/>
      <c r="CT75" s="2673"/>
      <c r="CU75" s="2673"/>
      <c r="CV75" s="2673"/>
      <c r="CW75" s="2673"/>
      <c r="CX75" s="2673"/>
      <c r="CY75" s="2673"/>
      <c r="CZ75" s="2673"/>
      <c r="DA75" s="2673"/>
      <c r="DB75" s="2673"/>
      <c r="DC75" s="2673"/>
      <c r="DD75" s="2673"/>
      <c r="DE75" s="2673"/>
      <c r="DF75" s="2673"/>
      <c r="DG75" s="2673"/>
      <c r="DH75" s="2673"/>
      <c r="DI75" s="2673"/>
      <c r="DJ75" s="2673"/>
      <c r="DK75" s="2673"/>
      <c r="DL75" s="2673"/>
      <c r="DM75" s="2673"/>
      <c r="DN75" s="2673"/>
      <c r="DO75" s="2673"/>
      <c r="DP75" s="2673"/>
      <c r="DQ75" s="2673"/>
      <c r="DR75" s="2673"/>
      <c r="DS75" s="2673"/>
      <c r="DT75" s="2673"/>
      <c r="DU75" s="2673"/>
      <c r="DV75" s="2673"/>
      <c r="DW75" s="2673"/>
      <c r="DX75" s="2673"/>
      <c r="DY75" s="2673"/>
      <c r="DZ75" s="2673"/>
      <c r="EA75" s="2673"/>
      <c r="EB75" s="2673"/>
      <c r="EC75" s="2673"/>
      <c r="ED75" s="2673"/>
      <c r="EE75" s="2673"/>
      <c r="EF75" s="2673"/>
      <c r="EG75" s="2673"/>
      <c r="EH75" s="2673"/>
      <c r="EI75" s="2673"/>
      <c r="EJ75" s="2673"/>
      <c r="EK75" s="2673"/>
      <c r="EL75" s="2673"/>
      <c r="EM75" s="2673"/>
      <c r="EN75" s="2673"/>
      <c r="EO75" s="2673"/>
      <c r="EP75" s="2673"/>
      <c r="EQ75" s="2673"/>
      <c r="ER75" s="2673"/>
      <c r="ES75" s="2673"/>
      <c r="ET75" s="2673"/>
      <c r="EU75" s="2673"/>
      <c r="EV75" s="2673"/>
      <c r="EW75" s="2673"/>
      <c r="EX75" s="2673"/>
      <c r="EY75" s="2673"/>
      <c r="EZ75" s="2673"/>
      <c r="FA75" s="2673"/>
      <c r="FB75" s="2673"/>
      <c r="FC75" s="2673"/>
      <c r="FD75" s="2673"/>
      <c r="FE75" s="2673"/>
      <c r="FF75" s="2673"/>
      <c r="FG75" s="2673"/>
      <c r="FH75" s="2673"/>
      <c r="FI75" s="2673"/>
      <c r="FJ75" s="2673"/>
      <c r="FK75" s="2673"/>
      <c r="FL75" s="2673"/>
      <c r="FM75" s="2673"/>
      <c r="FN75" s="3038"/>
      <c r="FO75" s="3038"/>
      <c r="FP75" s="3038"/>
      <c r="FQ75" s="3038"/>
      <c r="FR75" s="3038"/>
      <c r="FS75" s="3038"/>
      <c r="FT75" s="3038"/>
      <c r="FU75" s="3038"/>
      <c r="FV75" s="3038"/>
      <c r="FW75" s="3038"/>
      <c r="FX75" s="3038"/>
      <c r="FY75" s="3038"/>
      <c r="FZ75" s="155"/>
      <c r="GA75" s="155"/>
      <c r="GB75" s="155"/>
      <c r="GC75" s="155"/>
      <c r="GD75" s="155"/>
      <c r="GE75" s="155"/>
      <c r="GF75" s="155"/>
      <c r="GG75" s="155"/>
      <c r="GH75" s="155"/>
      <c r="GI75" s="155"/>
      <c r="GJ75" s="155"/>
      <c r="GK75" s="155"/>
    </row>
    <row r="76" spans="1:195" ht="18.75" customHeight="1" x14ac:dyDescent="0.3">
      <c r="B76" s="3037"/>
      <c r="C76" s="3037"/>
      <c r="D76" s="3037"/>
      <c r="E76" s="3038"/>
      <c r="F76" s="3038"/>
      <c r="G76" s="3038"/>
      <c r="H76" s="3038"/>
      <c r="I76" s="3038"/>
      <c r="J76" s="3038"/>
      <c r="K76" s="3038"/>
      <c r="L76" s="3038"/>
      <c r="M76" s="3038"/>
      <c r="N76" s="3038"/>
      <c r="O76" s="3038"/>
      <c r="P76" s="3038"/>
      <c r="Q76" s="3038"/>
      <c r="R76" s="3038"/>
      <c r="S76" s="3038"/>
      <c r="T76" s="3038"/>
      <c r="U76" s="3038"/>
      <c r="V76" s="3038"/>
      <c r="W76" s="3038"/>
      <c r="X76" s="3038"/>
      <c r="Y76" s="3038"/>
      <c r="Z76" s="3038"/>
      <c r="AA76" s="3038"/>
      <c r="AB76" s="3038"/>
      <c r="AC76" s="3038"/>
      <c r="AD76" s="3038"/>
      <c r="AE76" s="3038"/>
      <c r="AF76" s="3038"/>
      <c r="AG76" s="3038"/>
      <c r="AH76" s="3038"/>
      <c r="AI76" s="3038"/>
      <c r="AJ76" s="3038"/>
      <c r="AK76" s="3038"/>
      <c r="AL76" s="3038"/>
      <c r="AM76" s="3038"/>
      <c r="AN76" s="3038"/>
      <c r="AO76" s="2673"/>
      <c r="AP76" s="2673"/>
      <c r="AQ76" s="2673"/>
      <c r="AR76" s="2673"/>
      <c r="AS76" s="2673"/>
      <c r="AT76" s="2673"/>
      <c r="AU76" s="2673"/>
      <c r="AV76" s="2673"/>
      <c r="AW76" s="2673"/>
      <c r="AX76" s="2673"/>
      <c r="AY76" s="2673"/>
      <c r="AZ76" s="2673"/>
      <c r="BA76" s="2673"/>
      <c r="BB76" s="2673"/>
      <c r="BC76" s="2673"/>
      <c r="BD76" s="2673"/>
      <c r="BE76" s="2673"/>
      <c r="BF76" s="2673"/>
      <c r="BG76" s="2673"/>
      <c r="BH76" s="2673"/>
      <c r="BI76" s="2673"/>
      <c r="BJ76" s="2673"/>
      <c r="BK76" s="2673"/>
      <c r="BL76" s="2673"/>
      <c r="BM76" s="2673"/>
      <c r="BN76" s="2673"/>
      <c r="BO76" s="2673"/>
      <c r="BP76" s="2673"/>
      <c r="BQ76" s="2673"/>
      <c r="BR76" s="2673"/>
      <c r="BS76" s="2673"/>
      <c r="BT76" s="2673"/>
      <c r="BU76" s="2673"/>
      <c r="BV76" s="2673"/>
      <c r="BW76" s="2673"/>
      <c r="BX76" s="2673"/>
      <c r="BY76" s="2673"/>
      <c r="BZ76" s="2673"/>
      <c r="CA76" s="2673"/>
      <c r="CB76" s="2673"/>
      <c r="CC76" s="2673"/>
      <c r="CD76" s="2673"/>
      <c r="CE76" s="2673"/>
      <c r="CF76" s="2673"/>
      <c r="CG76" s="2673"/>
      <c r="CH76" s="2673"/>
      <c r="CI76" s="2673"/>
      <c r="CJ76" s="2673"/>
      <c r="CK76" s="2673"/>
      <c r="CL76" s="2673"/>
      <c r="CM76" s="2673"/>
      <c r="CN76" s="2673"/>
      <c r="CO76" s="2673"/>
      <c r="CP76" s="2673"/>
      <c r="CQ76" s="2673"/>
      <c r="CR76" s="2673"/>
      <c r="CS76" s="2673"/>
      <c r="CT76" s="2673"/>
      <c r="CU76" s="2673"/>
      <c r="CV76" s="2673"/>
      <c r="CW76" s="2673"/>
      <c r="CX76" s="2673"/>
      <c r="CY76" s="2673"/>
      <c r="CZ76" s="2673"/>
      <c r="DA76" s="2673"/>
      <c r="DB76" s="2673"/>
      <c r="DC76" s="2673"/>
      <c r="DD76" s="2673"/>
      <c r="DE76" s="2673"/>
      <c r="DF76" s="2673"/>
      <c r="DG76" s="2673"/>
      <c r="DH76" s="2673"/>
      <c r="DI76" s="2673"/>
      <c r="DJ76" s="2673"/>
      <c r="DK76" s="2673"/>
      <c r="DL76" s="2673"/>
      <c r="DM76" s="2673"/>
      <c r="DN76" s="2673"/>
      <c r="DO76" s="2673"/>
      <c r="DP76" s="2673"/>
      <c r="DQ76" s="2673"/>
      <c r="DR76" s="2673"/>
      <c r="DS76" s="2673"/>
      <c r="DT76" s="2673"/>
      <c r="DU76" s="2673"/>
      <c r="DV76" s="2673"/>
      <c r="DW76" s="2673"/>
      <c r="DX76" s="2673"/>
      <c r="DY76" s="2673"/>
      <c r="DZ76" s="2673"/>
      <c r="EA76" s="2673"/>
      <c r="EB76" s="2673"/>
      <c r="EC76" s="2673"/>
      <c r="ED76" s="2673"/>
      <c r="EE76" s="2673"/>
      <c r="EF76" s="2673"/>
      <c r="EG76" s="2673"/>
      <c r="EH76" s="2673"/>
      <c r="EI76" s="2673"/>
      <c r="EJ76" s="2673"/>
      <c r="EK76" s="2673"/>
      <c r="EL76" s="2673"/>
      <c r="EM76" s="2673"/>
      <c r="EN76" s="2673"/>
      <c r="EO76" s="2673"/>
      <c r="EP76" s="2673"/>
      <c r="EQ76" s="2673"/>
      <c r="ER76" s="2673"/>
      <c r="ES76" s="2673"/>
      <c r="ET76" s="2673"/>
      <c r="EU76" s="2673"/>
      <c r="EV76" s="2673"/>
      <c r="EW76" s="2673"/>
      <c r="EX76" s="2673"/>
      <c r="EY76" s="2673"/>
      <c r="EZ76" s="2673"/>
      <c r="FA76" s="2673"/>
      <c r="FB76" s="2673"/>
      <c r="FC76" s="2673"/>
      <c r="FD76" s="2673"/>
      <c r="FE76" s="2673"/>
      <c r="FF76" s="2673"/>
      <c r="FG76" s="2673"/>
      <c r="FH76" s="2673"/>
      <c r="FI76" s="2673"/>
      <c r="FJ76" s="2673"/>
      <c r="FK76" s="2673"/>
      <c r="FL76" s="2673"/>
      <c r="FM76" s="2673"/>
      <c r="FN76" s="3038"/>
      <c r="FO76" s="3038"/>
      <c r="FP76" s="3038"/>
      <c r="FQ76" s="3038"/>
      <c r="FR76" s="3038"/>
      <c r="FS76" s="3038"/>
      <c r="FT76" s="3038"/>
      <c r="FU76" s="3038"/>
      <c r="FV76" s="3038"/>
      <c r="FW76" s="3038"/>
      <c r="FX76" s="3038"/>
      <c r="FY76" s="3038"/>
      <c r="FZ76" s="155"/>
      <c r="GA76" s="155"/>
      <c r="GB76" s="155"/>
      <c r="GC76" s="155"/>
      <c r="GD76" s="155"/>
      <c r="GE76" s="155"/>
      <c r="GF76" s="155"/>
      <c r="GG76" s="155"/>
      <c r="GH76" s="155"/>
      <c r="GI76" s="155"/>
      <c r="GJ76" s="155"/>
      <c r="GK76" s="155"/>
    </row>
    <row r="77" spans="1:195" ht="18.75" customHeight="1" x14ac:dyDescent="0.3">
      <c r="B77" s="3037"/>
      <c r="C77" s="3037"/>
      <c r="D77" s="3037"/>
      <c r="E77" s="3038"/>
      <c r="F77" s="3038"/>
      <c r="G77" s="3038"/>
      <c r="H77" s="3038"/>
      <c r="I77" s="3038"/>
      <c r="J77" s="3038"/>
      <c r="K77" s="3038"/>
      <c r="L77" s="3038"/>
      <c r="M77" s="3038"/>
      <c r="N77" s="3038"/>
      <c r="O77" s="3038"/>
      <c r="P77" s="3038"/>
      <c r="Q77" s="3038"/>
      <c r="R77" s="3038"/>
      <c r="S77" s="3038"/>
      <c r="T77" s="3038"/>
      <c r="U77" s="3038"/>
      <c r="V77" s="3038"/>
      <c r="W77" s="3038"/>
      <c r="X77" s="3038"/>
      <c r="Y77" s="3038"/>
      <c r="Z77" s="3038"/>
      <c r="AA77" s="3038"/>
      <c r="AB77" s="3038"/>
      <c r="AC77" s="3038"/>
      <c r="AD77" s="3038"/>
      <c r="AE77" s="3038"/>
      <c r="AF77" s="3038"/>
      <c r="AG77" s="3038"/>
      <c r="AH77" s="3038"/>
      <c r="AI77" s="3038"/>
      <c r="AJ77" s="3038"/>
      <c r="AK77" s="3038"/>
      <c r="AL77" s="3038"/>
      <c r="AM77" s="3038"/>
      <c r="AN77" s="3038"/>
      <c r="AO77" s="2673"/>
      <c r="AP77" s="2673"/>
      <c r="AQ77" s="2673"/>
      <c r="AR77" s="2673"/>
      <c r="AS77" s="2673"/>
      <c r="AT77" s="2673"/>
      <c r="AU77" s="2673"/>
      <c r="AV77" s="2673"/>
      <c r="AW77" s="2673"/>
      <c r="AX77" s="2673"/>
      <c r="AY77" s="2673"/>
      <c r="AZ77" s="2673"/>
      <c r="BA77" s="2673"/>
      <c r="BB77" s="2673"/>
      <c r="BC77" s="2673"/>
      <c r="BD77" s="2673"/>
      <c r="BE77" s="2673"/>
      <c r="BF77" s="2673"/>
      <c r="BG77" s="2673"/>
      <c r="BH77" s="2673"/>
      <c r="BI77" s="2673"/>
      <c r="BJ77" s="2673"/>
      <c r="BK77" s="2673"/>
      <c r="BL77" s="2673"/>
      <c r="BM77" s="2673"/>
      <c r="BN77" s="2673"/>
      <c r="BO77" s="2673"/>
      <c r="BP77" s="2673"/>
      <c r="BQ77" s="2673"/>
      <c r="BR77" s="2673"/>
      <c r="BS77" s="2673"/>
      <c r="BT77" s="2673"/>
      <c r="BU77" s="2673"/>
      <c r="BV77" s="2673"/>
      <c r="BW77" s="2673"/>
      <c r="BX77" s="2673"/>
      <c r="BY77" s="2673"/>
      <c r="BZ77" s="2673"/>
      <c r="CA77" s="2673"/>
      <c r="CB77" s="2673"/>
      <c r="CC77" s="2673"/>
      <c r="CD77" s="2673"/>
      <c r="CE77" s="2673"/>
      <c r="CF77" s="2673"/>
      <c r="CG77" s="2673"/>
      <c r="CH77" s="2673"/>
      <c r="CI77" s="2673"/>
      <c r="CJ77" s="2673"/>
      <c r="CK77" s="2673"/>
      <c r="CL77" s="2673"/>
      <c r="CM77" s="2673"/>
      <c r="CN77" s="2673"/>
      <c r="CO77" s="2673"/>
      <c r="CP77" s="2673"/>
      <c r="CQ77" s="2673"/>
      <c r="CR77" s="2673"/>
      <c r="CS77" s="2673"/>
      <c r="CT77" s="2673"/>
      <c r="CU77" s="2673"/>
      <c r="CV77" s="2673"/>
      <c r="CW77" s="2673"/>
      <c r="CX77" s="2673"/>
      <c r="CY77" s="2673"/>
      <c r="CZ77" s="2673"/>
      <c r="DA77" s="2673"/>
      <c r="DB77" s="2673"/>
      <c r="DC77" s="2673"/>
      <c r="DD77" s="2673"/>
      <c r="DE77" s="2673"/>
      <c r="DF77" s="2673"/>
      <c r="DG77" s="2673"/>
      <c r="DH77" s="2673"/>
      <c r="DI77" s="2673"/>
      <c r="DJ77" s="2673"/>
      <c r="DK77" s="2673"/>
      <c r="DL77" s="2673"/>
      <c r="DM77" s="2673"/>
      <c r="DN77" s="2673"/>
      <c r="DO77" s="2673"/>
      <c r="DP77" s="2673"/>
      <c r="DQ77" s="2673"/>
      <c r="DR77" s="2673"/>
      <c r="DS77" s="2673"/>
      <c r="DT77" s="2673"/>
      <c r="DU77" s="2673"/>
      <c r="DV77" s="2673"/>
      <c r="DW77" s="2673"/>
      <c r="DX77" s="2673"/>
      <c r="DY77" s="2673"/>
      <c r="DZ77" s="2673"/>
      <c r="EA77" s="2673"/>
      <c r="EB77" s="2673"/>
      <c r="EC77" s="2673"/>
      <c r="ED77" s="2673"/>
      <c r="EE77" s="2673"/>
      <c r="EF77" s="2673"/>
      <c r="EG77" s="2673"/>
      <c r="EH77" s="2673"/>
      <c r="EI77" s="2673"/>
      <c r="EJ77" s="2673"/>
      <c r="EK77" s="2673"/>
      <c r="EL77" s="2673"/>
      <c r="EM77" s="2673"/>
      <c r="EN77" s="2673"/>
      <c r="EO77" s="2673"/>
      <c r="EP77" s="2673"/>
      <c r="EQ77" s="2673"/>
      <c r="ER77" s="2673"/>
      <c r="ES77" s="2673"/>
      <c r="ET77" s="2673"/>
      <c r="EU77" s="2673"/>
      <c r="EV77" s="2673"/>
      <c r="EW77" s="2673"/>
      <c r="EX77" s="2673"/>
      <c r="EY77" s="2673"/>
      <c r="EZ77" s="2673"/>
      <c r="FA77" s="2673"/>
      <c r="FB77" s="2673"/>
      <c r="FC77" s="2673"/>
      <c r="FD77" s="2673"/>
      <c r="FE77" s="2673"/>
      <c r="FF77" s="2673"/>
      <c r="FG77" s="2673"/>
      <c r="FH77" s="2673"/>
      <c r="FI77" s="2673"/>
      <c r="FJ77" s="2673"/>
      <c r="FK77" s="2673"/>
      <c r="FL77" s="2673"/>
      <c r="FM77" s="2673"/>
      <c r="FN77" s="3038"/>
      <c r="FO77" s="3038"/>
      <c r="FP77" s="3038"/>
      <c r="FQ77" s="3038"/>
      <c r="FR77" s="3038"/>
      <c r="FS77" s="3038"/>
      <c r="FT77" s="3038"/>
      <c r="FU77" s="3038"/>
      <c r="FV77" s="3038"/>
      <c r="FW77" s="3038"/>
      <c r="FX77" s="3038"/>
      <c r="FY77" s="3038"/>
      <c r="FZ77" s="155"/>
      <c r="GA77" s="155"/>
      <c r="GB77" s="155"/>
      <c r="GC77" s="155"/>
      <c r="GD77" s="155"/>
      <c r="GE77" s="155"/>
      <c r="GF77" s="155"/>
      <c r="GG77" s="155"/>
      <c r="GH77" s="155"/>
      <c r="GI77" s="155"/>
      <c r="GJ77" s="155"/>
      <c r="GK77" s="155"/>
    </row>
    <row r="78" spans="1:195" ht="18.75" customHeight="1" x14ac:dyDescent="0.3">
      <c r="B78" s="3037"/>
      <c r="C78" s="3037"/>
      <c r="D78" s="3037"/>
      <c r="E78" s="3038"/>
      <c r="F78" s="3038"/>
      <c r="G78" s="3038"/>
      <c r="H78" s="3038"/>
      <c r="I78" s="3038"/>
      <c r="J78" s="3038"/>
      <c r="K78" s="3038"/>
      <c r="L78" s="3038"/>
      <c r="M78" s="3038"/>
      <c r="N78" s="3038"/>
      <c r="O78" s="3038"/>
      <c r="P78" s="3038"/>
      <c r="Q78" s="3038"/>
      <c r="R78" s="3038"/>
      <c r="S78" s="3038"/>
      <c r="T78" s="3038"/>
      <c r="U78" s="3038"/>
      <c r="V78" s="3038"/>
      <c r="W78" s="3038"/>
      <c r="X78" s="3038"/>
      <c r="Y78" s="3038"/>
      <c r="Z78" s="3038"/>
      <c r="AA78" s="3038"/>
      <c r="AB78" s="3038"/>
      <c r="AC78" s="3038"/>
      <c r="AD78" s="3038"/>
      <c r="AE78" s="3038"/>
      <c r="AF78" s="3038"/>
      <c r="AG78" s="3038"/>
      <c r="AH78" s="3038"/>
      <c r="AI78" s="3038"/>
      <c r="AJ78" s="3038"/>
      <c r="AK78" s="3038"/>
      <c r="AL78" s="3038"/>
      <c r="AM78" s="3038"/>
      <c r="AN78" s="3038"/>
      <c r="AO78" s="2673"/>
      <c r="AP78" s="2673"/>
      <c r="AQ78" s="2673"/>
      <c r="AR78" s="2673"/>
      <c r="AS78" s="2673"/>
      <c r="AT78" s="2673"/>
      <c r="AU78" s="2673"/>
      <c r="AV78" s="2673"/>
      <c r="AW78" s="2673"/>
      <c r="AX78" s="2673"/>
      <c r="AY78" s="2673"/>
      <c r="AZ78" s="2673"/>
      <c r="BA78" s="2673"/>
      <c r="BB78" s="2673"/>
      <c r="BC78" s="2673"/>
      <c r="BD78" s="2673"/>
      <c r="BE78" s="2673"/>
      <c r="BF78" s="2673"/>
      <c r="BG78" s="2673"/>
      <c r="BH78" s="2673"/>
      <c r="BI78" s="2673"/>
      <c r="BJ78" s="2673"/>
      <c r="BK78" s="2673"/>
      <c r="BL78" s="2673"/>
      <c r="BM78" s="2673"/>
      <c r="BN78" s="2673"/>
      <c r="BO78" s="2673"/>
      <c r="BP78" s="2673"/>
      <c r="BQ78" s="2673"/>
      <c r="BR78" s="2673"/>
      <c r="BS78" s="2673"/>
      <c r="BT78" s="2673"/>
      <c r="BU78" s="2673"/>
      <c r="BV78" s="2673"/>
      <c r="BW78" s="2673"/>
      <c r="BX78" s="2673"/>
      <c r="BY78" s="2673"/>
      <c r="BZ78" s="2673"/>
      <c r="CA78" s="2673"/>
      <c r="CB78" s="2673"/>
      <c r="CC78" s="2673"/>
      <c r="CD78" s="2673"/>
      <c r="CE78" s="2673"/>
      <c r="CF78" s="2673"/>
      <c r="CG78" s="2673"/>
      <c r="CH78" s="2673"/>
      <c r="CI78" s="2673"/>
      <c r="CJ78" s="2673"/>
      <c r="CK78" s="2673"/>
      <c r="CL78" s="2673"/>
      <c r="CM78" s="2673"/>
      <c r="CN78" s="2673"/>
      <c r="CO78" s="2673"/>
      <c r="CP78" s="2673"/>
      <c r="CQ78" s="2673"/>
      <c r="CR78" s="2673"/>
      <c r="CS78" s="2673"/>
      <c r="CT78" s="2673"/>
      <c r="CU78" s="2673"/>
      <c r="CV78" s="2673"/>
      <c r="CW78" s="2673"/>
      <c r="CX78" s="2673"/>
      <c r="CY78" s="2673"/>
      <c r="CZ78" s="2673"/>
      <c r="DA78" s="2673"/>
      <c r="DB78" s="2673"/>
      <c r="DC78" s="2673"/>
      <c r="DD78" s="2673"/>
      <c r="DE78" s="2673"/>
      <c r="DF78" s="2673"/>
      <c r="DG78" s="2673"/>
      <c r="DH78" s="2673"/>
      <c r="DI78" s="2673"/>
      <c r="DJ78" s="2673"/>
      <c r="DK78" s="2673"/>
      <c r="DL78" s="2673"/>
      <c r="DM78" s="2673"/>
      <c r="DN78" s="2673"/>
      <c r="DO78" s="2673"/>
      <c r="DP78" s="2673"/>
      <c r="DQ78" s="2673"/>
      <c r="DR78" s="2673"/>
      <c r="DS78" s="2673"/>
      <c r="DT78" s="2673"/>
      <c r="DU78" s="2673"/>
      <c r="DV78" s="2673"/>
      <c r="DW78" s="2673"/>
      <c r="DX78" s="2673"/>
      <c r="DY78" s="2673"/>
      <c r="DZ78" s="2673"/>
      <c r="EA78" s="2673"/>
      <c r="EB78" s="2673"/>
      <c r="EC78" s="2673"/>
      <c r="ED78" s="2673"/>
      <c r="EE78" s="2673"/>
      <c r="EF78" s="2673"/>
      <c r="EG78" s="2673"/>
      <c r="EH78" s="2673"/>
      <c r="EI78" s="2673"/>
      <c r="EJ78" s="2673"/>
      <c r="EK78" s="2673"/>
      <c r="EL78" s="2673"/>
      <c r="EM78" s="2673"/>
      <c r="EN78" s="2673"/>
      <c r="EO78" s="2673"/>
      <c r="EP78" s="2673"/>
      <c r="EQ78" s="2673"/>
      <c r="ER78" s="2673"/>
      <c r="ES78" s="2673"/>
      <c r="ET78" s="2673"/>
      <c r="EU78" s="2673"/>
      <c r="EV78" s="2673"/>
      <c r="EW78" s="2673"/>
      <c r="EX78" s="2673"/>
      <c r="EY78" s="2673"/>
      <c r="EZ78" s="2673"/>
      <c r="FA78" s="2673"/>
      <c r="FB78" s="2673"/>
      <c r="FC78" s="2673"/>
      <c r="FD78" s="2673"/>
      <c r="FE78" s="2673"/>
      <c r="FF78" s="2673"/>
      <c r="FG78" s="2673"/>
      <c r="FH78" s="2673"/>
      <c r="FI78" s="2673"/>
      <c r="FJ78" s="2673"/>
      <c r="FK78" s="2673"/>
      <c r="FL78" s="2673"/>
      <c r="FM78" s="2673"/>
      <c r="FN78" s="3038"/>
      <c r="FO78" s="3038"/>
      <c r="FP78" s="3038"/>
      <c r="FQ78" s="3038"/>
      <c r="FR78" s="3038"/>
      <c r="FS78" s="3038"/>
      <c r="FT78" s="3038"/>
      <c r="FU78" s="3038"/>
      <c r="FV78" s="3038"/>
      <c r="FW78" s="3038"/>
      <c r="FX78" s="3038"/>
      <c r="FY78" s="3038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</row>
    <row r="79" spans="1:195" ht="18.75" customHeight="1" x14ac:dyDescent="0.3">
      <c r="B79" s="3037"/>
      <c r="C79" s="3037"/>
      <c r="D79" s="3037"/>
      <c r="E79" s="3038"/>
      <c r="F79" s="3038"/>
      <c r="G79" s="3038"/>
      <c r="H79" s="3038"/>
      <c r="I79" s="3038"/>
      <c r="J79" s="3038"/>
      <c r="K79" s="3038"/>
      <c r="L79" s="3038"/>
      <c r="M79" s="3038"/>
      <c r="N79" s="3038"/>
      <c r="O79" s="3038"/>
      <c r="P79" s="3038"/>
      <c r="Q79" s="3038"/>
      <c r="R79" s="3038"/>
      <c r="S79" s="3038"/>
      <c r="T79" s="3038"/>
      <c r="U79" s="3038"/>
      <c r="V79" s="3038"/>
      <c r="W79" s="3038"/>
      <c r="X79" s="3038"/>
      <c r="Y79" s="3038"/>
      <c r="Z79" s="3038"/>
      <c r="AA79" s="3038"/>
      <c r="AB79" s="3038"/>
      <c r="AC79" s="3038"/>
      <c r="AD79" s="3038"/>
      <c r="AE79" s="3038"/>
      <c r="AF79" s="3038"/>
      <c r="AG79" s="3038"/>
      <c r="AH79" s="3038"/>
      <c r="AI79" s="3038"/>
      <c r="AJ79" s="3038"/>
      <c r="AK79" s="3038"/>
      <c r="AL79" s="3038"/>
      <c r="AM79" s="3038"/>
      <c r="AN79" s="3038"/>
      <c r="AO79" s="2673"/>
      <c r="AP79" s="2673"/>
      <c r="AQ79" s="2673"/>
      <c r="AR79" s="2673"/>
      <c r="AS79" s="2673"/>
      <c r="AT79" s="2673"/>
      <c r="AU79" s="2673"/>
      <c r="AV79" s="2673"/>
      <c r="AW79" s="2673"/>
      <c r="AX79" s="2673"/>
      <c r="AY79" s="2673"/>
      <c r="AZ79" s="2673"/>
      <c r="BA79" s="2673"/>
      <c r="BB79" s="2673"/>
      <c r="BC79" s="2673"/>
      <c r="BD79" s="2673"/>
      <c r="BE79" s="2673"/>
      <c r="BF79" s="2673"/>
      <c r="BG79" s="2673"/>
      <c r="BH79" s="2673"/>
      <c r="BI79" s="2673"/>
      <c r="BJ79" s="2673"/>
      <c r="BK79" s="2673"/>
      <c r="BL79" s="2673"/>
      <c r="BM79" s="2673"/>
      <c r="BN79" s="2673"/>
      <c r="BO79" s="2673"/>
      <c r="BP79" s="2673"/>
      <c r="BQ79" s="2673"/>
      <c r="BR79" s="2673"/>
      <c r="BS79" s="2673"/>
      <c r="BT79" s="2673"/>
      <c r="BU79" s="2673"/>
      <c r="BV79" s="2673"/>
      <c r="BW79" s="2673"/>
      <c r="BX79" s="2673"/>
      <c r="BY79" s="2673"/>
      <c r="BZ79" s="2673"/>
      <c r="CA79" s="2673"/>
      <c r="CB79" s="2673"/>
      <c r="CC79" s="2673"/>
      <c r="CD79" s="2673"/>
      <c r="CE79" s="2673"/>
      <c r="CF79" s="2673"/>
      <c r="CG79" s="2673"/>
      <c r="CH79" s="2673"/>
      <c r="CI79" s="2673"/>
      <c r="CJ79" s="2673"/>
      <c r="CK79" s="2673"/>
      <c r="CL79" s="2673"/>
      <c r="CM79" s="2673"/>
      <c r="CN79" s="2673"/>
      <c r="CO79" s="2673"/>
      <c r="CP79" s="2673"/>
      <c r="CQ79" s="2673"/>
      <c r="CR79" s="2673"/>
      <c r="CS79" s="2673"/>
      <c r="CT79" s="2673"/>
      <c r="CU79" s="2673"/>
      <c r="CV79" s="2673"/>
      <c r="CW79" s="2673"/>
      <c r="CX79" s="2673"/>
      <c r="CY79" s="2673"/>
      <c r="CZ79" s="2673"/>
      <c r="DA79" s="2673"/>
      <c r="DB79" s="2673"/>
      <c r="DC79" s="2673"/>
      <c r="DD79" s="2673"/>
      <c r="DE79" s="2673"/>
      <c r="DF79" s="2673"/>
      <c r="DG79" s="2673"/>
      <c r="DH79" s="2673"/>
      <c r="DI79" s="2673"/>
      <c r="DJ79" s="2673"/>
      <c r="DK79" s="2673"/>
      <c r="DL79" s="2673"/>
      <c r="DM79" s="2673"/>
      <c r="DN79" s="2673"/>
      <c r="DO79" s="2673"/>
      <c r="DP79" s="2673"/>
      <c r="DQ79" s="2673"/>
      <c r="DR79" s="2673"/>
      <c r="DS79" s="2673"/>
      <c r="DT79" s="2673"/>
      <c r="DU79" s="2673"/>
      <c r="DV79" s="2673"/>
      <c r="DW79" s="2673"/>
      <c r="DX79" s="2673"/>
      <c r="DY79" s="2673"/>
      <c r="DZ79" s="2673"/>
      <c r="EA79" s="2673"/>
      <c r="EB79" s="2673"/>
      <c r="EC79" s="2673"/>
      <c r="ED79" s="2673"/>
      <c r="EE79" s="2673"/>
      <c r="EF79" s="2673"/>
      <c r="EG79" s="2673"/>
      <c r="EH79" s="2673"/>
      <c r="EI79" s="2673"/>
      <c r="EJ79" s="2673"/>
      <c r="EK79" s="2673"/>
      <c r="EL79" s="2673"/>
      <c r="EM79" s="2673"/>
      <c r="EN79" s="2673"/>
      <c r="EO79" s="2673"/>
      <c r="EP79" s="2673"/>
      <c r="EQ79" s="2673"/>
      <c r="ER79" s="2673"/>
      <c r="ES79" s="2673"/>
      <c r="ET79" s="2673"/>
      <c r="EU79" s="2673"/>
      <c r="EV79" s="2673"/>
      <c r="EW79" s="2673"/>
      <c r="EX79" s="2673"/>
      <c r="EY79" s="2673"/>
      <c r="EZ79" s="2673"/>
      <c r="FA79" s="2673"/>
      <c r="FB79" s="2673"/>
      <c r="FC79" s="2673"/>
      <c r="FD79" s="2673"/>
      <c r="FE79" s="2673"/>
      <c r="FF79" s="2673"/>
      <c r="FG79" s="2673"/>
      <c r="FH79" s="2673"/>
      <c r="FI79" s="2673"/>
      <c r="FJ79" s="2673"/>
      <c r="FK79" s="2673"/>
      <c r="FL79" s="2673"/>
      <c r="FM79" s="2673"/>
      <c r="FN79" s="3038"/>
      <c r="FO79" s="3038"/>
      <c r="FP79" s="3038"/>
      <c r="FQ79" s="3038"/>
      <c r="FR79" s="3038"/>
      <c r="FS79" s="3038"/>
      <c r="FT79" s="3038"/>
      <c r="FU79" s="3038"/>
      <c r="FV79" s="3038"/>
      <c r="FW79" s="3038"/>
      <c r="FX79" s="3038"/>
      <c r="FY79" s="3038"/>
      <c r="FZ79" s="155"/>
      <c r="GA79" s="155"/>
      <c r="GB79" s="155"/>
      <c r="GC79" s="155"/>
      <c r="GD79" s="155"/>
      <c r="GE79" s="155"/>
      <c r="GF79" s="155"/>
      <c r="GG79" s="155"/>
      <c r="GH79" s="155"/>
      <c r="GI79" s="155"/>
      <c r="GJ79" s="155"/>
      <c r="GK79" s="155"/>
    </row>
    <row r="80" spans="1:195" ht="18.75" customHeight="1" x14ac:dyDescent="0.3">
      <c r="B80" s="3037"/>
      <c r="C80" s="3037"/>
      <c r="D80" s="3037"/>
      <c r="E80" s="3038"/>
      <c r="F80" s="3038"/>
      <c r="G80" s="3038"/>
      <c r="H80" s="3038"/>
      <c r="I80" s="3038"/>
      <c r="J80" s="3038"/>
      <c r="K80" s="3038"/>
      <c r="L80" s="3038"/>
      <c r="M80" s="3038"/>
      <c r="N80" s="3038"/>
      <c r="O80" s="3038"/>
      <c r="P80" s="3038"/>
      <c r="Q80" s="3038"/>
      <c r="R80" s="3038"/>
      <c r="S80" s="3038"/>
      <c r="T80" s="3038"/>
      <c r="U80" s="3038"/>
      <c r="V80" s="3038"/>
      <c r="W80" s="3038"/>
      <c r="X80" s="3038"/>
      <c r="Y80" s="3038"/>
      <c r="Z80" s="3038"/>
      <c r="AA80" s="3038"/>
      <c r="AB80" s="3038"/>
      <c r="AC80" s="3038"/>
      <c r="AD80" s="3038"/>
      <c r="AE80" s="3038"/>
      <c r="AF80" s="3038"/>
      <c r="AG80" s="3038"/>
      <c r="AH80" s="3038"/>
      <c r="AI80" s="3038"/>
      <c r="AJ80" s="3038"/>
      <c r="AK80" s="3038"/>
      <c r="AL80" s="3038"/>
      <c r="AM80" s="3038"/>
      <c r="AN80" s="3038"/>
      <c r="AO80" s="2673"/>
      <c r="AP80" s="2673"/>
      <c r="AQ80" s="2673"/>
      <c r="AR80" s="2673"/>
      <c r="AS80" s="2673"/>
      <c r="AT80" s="2673"/>
      <c r="AU80" s="2673"/>
      <c r="AV80" s="2673"/>
      <c r="AW80" s="2673"/>
      <c r="AX80" s="2673"/>
      <c r="AY80" s="2673"/>
      <c r="AZ80" s="2673"/>
      <c r="BA80" s="2673"/>
      <c r="BB80" s="2673"/>
      <c r="BC80" s="2673"/>
      <c r="BD80" s="2673"/>
      <c r="BE80" s="2673"/>
      <c r="BF80" s="2673"/>
      <c r="BG80" s="2673"/>
      <c r="BH80" s="2673"/>
      <c r="BI80" s="2673"/>
      <c r="BJ80" s="2673"/>
      <c r="BK80" s="2673"/>
      <c r="BL80" s="2673"/>
      <c r="BM80" s="2673"/>
      <c r="BN80" s="2673"/>
      <c r="BO80" s="2673"/>
      <c r="BP80" s="2673"/>
      <c r="BQ80" s="2673"/>
      <c r="BR80" s="2673"/>
      <c r="BS80" s="2673"/>
      <c r="BT80" s="2673"/>
      <c r="BU80" s="2673"/>
      <c r="BV80" s="2673"/>
      <c r="BW80" s="2673"/>
      <c r="BX80" s="2673"/>
      <c r="BY80" s="2673"/>
      <c r="BZ80" s="2673"/>
      <c r="CA80" s="2673"/>
      <c r="CB80" s="2673"/>
      <c r="CC80" s="2673"/>
      <c r="CD80" s="2673"/>
      <c r="CE80" s="2673"/>
      <c r="CF80" s="2673"/>
      <c r="CG80" s="2673"/>
      <c r="CH80" s="2673"/>
      <c r="CI80" s="2673"/>
      <c r="CJ80" s="2673"/>
      <c r="CK80" s="2673"/>
      <c r="CL80" s="2673"/>
      <c r="CM80" s="2673"/>
      <c r="CN80" s="2673"/>
      <c r="CO80" s="2673"/>
      <c r="CP80" s="2673"/>
      <c r="CQ80" s="2673"/>
      <c r="CR80" s="2673"/>
      <c r="CS80" s="2673"/>
      <c r="CT80" s="2673"/>
      <c r="CU80" s="2673"/>
      <c r="CV80" s="2673"/>
      <c r="CW80" s="2673"/>
      <c r="CX80" s="2673"/>
      <c r="CY80" s="2673"/>
      <c r="CZ80" s="2673"/>
      <c r="DA80" s="2673"/>
      <c r="DB80" s="2673"/>
      <c r="DC80" s="2673"/>
      <c r="DD80" s="2673"/>
      <c r="DE80" s="2673"/>
      <c r="DF80" s="2673"/>
      <c r="DG80" s="2673"/>
      <c r="DH80" s="2673"/>
      <c r="DI80" s="2673"/>
      <c r="DJ80" s="2673"/>
      <c r="DK80" s="2673"/>
      <c r="DL80" s="2673"/>
      <c r="DM80" s="2673"/>
      <c r="DN80" s="2673"/>
      <c r="DO80" s="2673"/>
      <c r="DP80" s="2673"/>
      <c r="DQ80" s="2673"/>
      <c r="DR80" s="2673"/>
      <c r="DS80" s="2673"/>
      <c r="DT80" s="2673"/>
      <c r="DU80" s="2673"/>
      <c r="DV80" s="2673"/>
      <c r="DW80" s="2673"/>
      <c r="DX80" s="2673"/>
      <c r="DY80" s="2673"/>
      <c r="DZ80" s="2673"/>
      <c r="EA80" s="2673"/>
      <c r="EB80" s="2673"/>
      <c r="EC80" s="2673"/>
      <c r="ED80" s="2673"/>
      <c r="EE80" s="2673"/>
      <c r="EF80" s="2673"/>
      <c r="EG80" s="2673"/>
      <c r="EH80" s="2673"/>
      <c r="EI80" s="2673"/>
      <c r="EJ80" s="2673"/>
      <c r="EK80" s="2673"/>
      <c r="EL80" s="2673"/>
      <c r="EM80" s="2673"/>
      <c r="EN80" s="2673"/>
      <c r="EO80" s="2673"/>
      <c r="EP80" s="2673"/>
      <c r="EQ80" s="2673"/>
      <c r="ER80" s="2673"/>
      <c r="ES80" s="2673"/>
      <c r="ET80" s="2673"/>
      <c r="EU80" s="2673"/>
      <c r="EV80" s="2673"/>
      <c r="EW80" s="2673"/>
      <c r="EX80" s="2673"/>
      <c r="EY80" s="2673"/>
      <c r="EZ80" s="2673"/>
      <c r="FA80" s="2673"/>
      <c r="FB80" s="2673"/>
      <c r="FC80" s="2673"/>
      <c r="FD80" s="2673"/>
      <c r="FE80" s="2673"/>
      <c r="FF80" s="2673"/>
      <c r="FG80" s="2673"/>
      <c r="FH80" s="2673"/>
      <c r="FI80" s="2673"/>
      <c r="FJ80" s="2673"/>
      <c r="FK80" s="2673"/>
      <c r="FL80" s="2673"/>
      <c r="FM80" s="2673"/>
      <c r="FN80" s="3038"/>
      <c r="FO80" s="3038"/>
      <c r="FP80" s="3038"/>
      <c r="FQ80" s="3038"/>
      <c r="FR80" s="3038"/>
      <c r="FS80" s="3038"/>
      <c r="FT80" s="3038"/>
      <c r="FU80" s="3038"/>
      <c r="FV80" s="3038"/>
      <c r="FW80" s="3038"/>
      <c r="FX80" s="3038"/>
      <c r="FY80" s="3038"/>
      <c r="FZ80" s="155"/>
      <c r="GA80" s="155"/>
      <c r="GB80" s="155"/>
      <c r="GC80" s="155"/>
      <c r="GD80" s="155"/>
      <c r="GE80" s="155"/>
      <c r="GF80" s="155"/>
      <c r="GG80" s="155"/>
      <c r="GH80" s="155"/>
      <c r="GI80" s="155"/>
      <c r="GJ80" s="155"/>
      <c r="GK80" s="155"/>
    </row>
    <row r="81" spans="2:193" ht="18.75" customHeight="1" x14ac:dyDescent="0.3">
      <c r="B81" s="3037"/>
      <c r="C81" s="3037"/>
      <c r="D81" s="3037"/>
      <c r="E81" s="3038"/>
      <c r="F81" s="3038"/>
      <c r="G81" s="3038"/>
      <c r="H81" s="3038"/>
      <c r="I81" s="3038"/>
      <c r="J81" s="3038"/>
      <c r="K81" s="3038"/>
      <c r="L81" s="3038"/>
      <c r="M81" s="3038"/>
      <c r="N81" s="3038"/>
      <c r="O81" s="3038"/>
      <c r="P81" s="3038"/>
      <c r="Q81" s="3038"/>
      <c r="R81" s="3038"/>
      <c r="S81" s="3038"/>
      <c r="T81" s="3038"/>
      <c r="U81" s="3038"/>
      <c r="V81" s="3038"/>
      <c r="W81" s="3038"/>
      <c r="X81" s="3038"/>
      <c r="Y81" s="3038"/>
      <c r="Z81" s="3038"/>
      <c r="AA81" s="3038"/>
      <c r="AB81" s="3038"/>
      <c r="AC81" s="3038"/>
      <c r="AD81" s="3038"/>
      <c r="AE81" s="3038"/>
      <c r="AF81" s="3038"/>
      <c r="AG81" s="3038"/>
      <c r="AH81" s="3038"/>
      <c r="AI81" s="3038"/>
      <c r="AJ81" s="3038"/>
      <c r="AK81" s="3038"/>
      <c r="AL81" s="3038"/>
      <c r="AM81" s="3038"/>
      <c r="AN81" s="3038"/>
      <c r="AO81" s="2673"/>
      <c r="AP81" s="2673"/>
      <c r="AQ81" s="2673"/>
      <c r="AR81" s="2673"/>
      <c r="AS81" s="2673"/>
      <c r="AT81" s="2673"/>
      <c r="AU81" s="2673"/>
      <c r="AV81" s="2673"/>
      <c r="AW81" s="2673"/>
      <c r="AX81" s="2673"/>
      <c r="AY81" s="2673"/>
      <c r="AZ81" s="2673"/>
      <c r="BA81" s="2673"/>
      <c r="BB81" s="2673"/>
      <c r="BC81" s="2673"/>
      <c r="BD81" s="2673"/>
      <c r="BE81" s="2673"/>
      <c r="BF81" s="2673"/>
      <c r="BG81" s="2673"/>
      <c r="BH81" s="2673"/>
      <c r="BI81" s="2673"/>
      <c r="BJ81" s="2673"/>
      <c r="BK81" s="2673"/>
      <c r="BL81" s="2673"/>
      <c r="BM81" s="2673"/>
      <c r="BN81" s="2673"/>
      <c r="BO81" s="2673"/>
      <c r="BP81" s="2673"/>
      <c r="BQ81" s="2673"/>
      <c r="BR81" s="2673"/>
      <c r="BS81" s="2673"/>
      <c r="BT81" s="2673"/>
      <c r="BU81" s="2673"/>
      <c r="BV81" s="2673"/>
      <c r="BW81" s="2673"/>
      <c r="BX81" s="2673"/>
      <c r="BY81" s="2673"/>
      <c r="BZ81" s="2673"/>
      <c r="CA81" s="2673"/>
      <c r="CB81" s="2673"/>
      <c r="CC81" s="2673"/>
      <c r="CD81" s="2673"/>
      <c r="CE81" s="2673"/>
      <c r="CF81" s="2673"/>
      <c r="CG81" s="2673"/>
      <c r="CH81" s="2673"/>
      <c r="CI81" s="2673"/>
      <c r="CJ81" s="2673"/>
      <c r="CK81" s="2673"/>
      <c r="CL81" s="2673"/>
      <c r="CM81" s="2673"/>
      <c r="CN81" s="2673"/>
      <c r="CO81" s="2673"/>
      <c r="CP81" s="2673"/>
      <c r="CQ81" s="2673"/>
      <c r="CR81" s="2673"/>
      <c r="CS81" s="2673"/>
      <c r="CT81" s="2673"/>
      <c r="CU81" s="2673"/>
      <c r="CV81" s="2673"/>
      <c r="CW81" s="2673"/>
      <c r="CX81" s="2673"/>
      <c r="CY81" s="2673"/>
      <c r="CZ81" s="2673"/>
      <c r="DA81" s="2673"/>
      <c r="DB81" s="2673"/>
      <c r="DC81" s="2673"/>
      <c r="DD81" s="2673"/>
      <c r="DE81" s="2673"/>
      <c r="DF81" s="2673"/>
      <c r="DG81" s="2673"/>
      <c r="DH81" s="2673"/>
      <c r="DI81" s="2673"/>
      <c r="DJ81" s="2673"/>
      <c r="DK81" s="2673"/>
      <c r="DL81" s="2673"/>
      <c r="DM81" s="2673"/>
      <c r="DN81" s="2673"/>
      <c r="DO81" s="2673"/>
      <c r="DP81" s="2673"/>
      <c r="DQ81" s="2673"/>
      <c r="DR81" s="2673"/>
      <c r="DS81" s="2673"/>
      <c r="DT81" s="2673"/>
      <c r="DU81" s="2673"/>
      <c r="DV81" s="2673"/>
      <c r="DW81" s="2673"/>
      <c r="DX81" s="2673"/>
      <c r="DY81" s="2673"/>
      <c r="DZ81" s="2673"/>
      <c r="EA81" s="2673"/>
      <c r="EB81" s="2673"/>
      <c r="EC81" s="2673"/>
      <c r="ED81" s="2673"/>
      <c r="EE81" s="2673"/>
      <c r="EF81" s="2673"/>
      <c r="EG81" s="2673"/>
      <c r="EH81" s="2673"/>
      <c r="EI81" s="2673"/>
      <c r="EJ81" s="2673"/>
      <c r="EK81" s="2673"/>
      <c r="EL81" s="2673"/>
      <c r="EM81" s="2673"/>
      <c r="EN81" s="2673"/>
      <c r="EO81" s="2673"/>
      <c r="EP81" s="2673"/>
      <c r="EQ81" s="2673"/>
      <c r="ER81" s="2673"/>
      <c r="ES81" s="2673"/>
      <c r="ET81" s="2673"/>
      <c r="EU81" s="2673"/>
      <c r="EV81" s="2673"/>
      <c r="EW81" s="2673"/>
      <c r="EX81" s="2673"/>
      <c r="EY81" s="2673"/>
      <c r="EZ81" s="2673"/>
      <c r="FA81" s="2673"/>
      <c r="FB81" s="2673"/>
      <c r="FC81" s="2673"/>
      <c r="FD81" s="2673"/>
      <c r="FE81" s="2673"/>
      <c r="FF81" s="2673"/>
      <c r="FG81" s="2673"/>
      <c r="FH81" s="2673"/>
      <c r="FI81" s="2673"/>
      <c r="FJ81" s="2673"/>
      <c r="FK81" s="2673"/>
      <c r="FL81" s="2673"/>
      <c r="FM81" s="2673"/>
      <c r="FN81" s="3038"/>
      <c r="FO81" s="3038"/>
      <c r="FP81" s="3038"/>
      <c r="FQ81" s="3038"/>
      <c r="FR81" s="3038"/>
      <c r="FS81" s="3038"/>
      <c r="FT81" s="3038"/>
      <c r="FU81" s="3038"/>
      <c r="FV81" s="3038"/>
      <c r="FW81" s="3038"/>
      <c r="FX81" s="3038"/>
      <c r="FY81" s="3038"/>
      <c r="FZ81" s="155"/>
      <c r="GA81" s="155"/>
      <c r="GB81" s="155"/>
      <c r="GC81" s="155"/>
      <c r="GD81" s="155"/>
      <c r="GE81" s="155"/>
      <c r="GF81" s="155"/>
      <c r="GG81" s="155"/>
      <c r="GH81" s="155"/>
      <c r="GI81" s="155"/>
      <c r="GJ81" s="155"/>
      <c r="GK81" s="155"/>
    </row>
    <row r="82" spans="2:193" ht="18.75" customHeight="1" x14ac:dyDescent="0.3">
      <c r="B82" s="3037"/>
      <c r="C82" s="3037"/>
      <c r="D82" s="3037"/>
      <c r="E82" s="3038"/>
      <c r="F82" s="3038"/>
      <c r="G82" s="3038"/>
      <c r="H82" s="3038"/>
      <c r="I82" s="3038"/>
      <c r="J82" s="3038"/>
      <c r="K82" s="3038"/>
      <c r="L82" s="3038"/>
      <c r="M82" s="3038"/>
      <c r="N82" s="3038"/>
      <c r="O82" s="3038"/>
      <c r="P82" s="3038"/>
      <c r="Q82" s="3038"/>
      <c r="R82" s="3038"/>
      <c r="S82" s="3038"/>
      <c r="T82" s="3038"/>
      <c r="U82" s="3038"/>
      <c r="V82" s="3038"/>
      <c r="W82" s="3038"/>
      <c r="X82" s="3038"/>
      <c r="Y82" s="3038"/>
      <c r="Z82" s="3038"/>
      <c r="AA82" s="3038"/>
      <c r="AB82" s="3038"/>
      <c r="AC82" s="3038"/>
      <c r="AD82" s="3038"/>
      <c r="AE82" s="3038"/>
      <c r="AF82" s="3038"/>
      <c r="AG82" s="3038"/>
      <c r="AH82" s="3038"/>
      <c r="AI82" s="3038"/>
      <c r="AJ82" s="3038"/>
      <c r="AK82" s="3038"/>
      <c r="AL82" s="3038"/>
      <c r="AM82" s="3038"/>
      <c r="AN82" s="3038"/>
      <c r="AO82" s="2673"/>
      <c r="AP82" s="2673"/>
      <c r="AQ82" s="2673"/>
      <c r="AR82" s="2673"/>
      <c r="AS82" s="2673"/>
      <c r="AT82" s="2673"/>
      <c r="AU82" s="2673"/>
      <c r="AV82" s="2673"/>
      <c r="AW82" s="2673"/>
      <c r="AX82" s="2673"/>
      <c r="AY82" s="2673"/>
      <c r="AZ82" s="2673"/>
      <c r="BA82" s="2673"/>
      <c r="BB82" s="2673"/>
      <c r="BC82" s="2673"/>
      <c r="BD82" s="2673"/>
      <c r="BE82" s="2673"/>
      <c r="BF82" s="2673"/>
      <c r="BG82" s="2673"/>
      <c r="BH82" s="2673"/>
      <c r="BI82" s="2673"/>
      <c r="BJ82" s="2673"/>
      <c r="BK82" s="2673"/>
      <c r="BL82" s="2673"/>
      <c r="BM82" s="2673"/>
      <c r="BN82" s="2673"/>
      <c r="BO82" s="2673"/>
      <c r="BP82" s="2673"/>
      <c r="BQ82" s="2673"/>
      <c r="BR82" s="2673"/>
      <c r="BS82" s="2673"/>
      <c r="BT82" s="2673"/>
      <c r="BU82" s="2673"/>
      <c r="BV82" s="2673"/>
      <c r="BW82" s="2673"/>
      <c r="BX82" s="2673"/>
      <c r="BY82" s="2673"/>
      <c r="BZ82" s="2673"/>
      <c r="CA82" s="2673"/>
      <c r="CB82" s="2673"/>
      <c r="CC82" s="2673"/>
      <c r="CD82" s="2673"/>
      <c r="CE82" s="2673"/>
      <c r="CF82" s="2673"/>
      <c r="CG82" s="2673"/>
      <c r="CH82" s="2673"/>
      <c r="CI82" s="2673"/>
      <c r="CJ82" s="2673"/>
      <c r="CK82" s="2673"/>
      <c r="CL82" s="2673"/>
      <c r="CM82" s="2673"/>
      <c r="CN82" s="2673"/>
      <c r="CO82" s="2673"/>
      <c r="CP82" s="2673"/>
      <c r="CQ82" s="2673"/>
      <c r="CR82" s="2673"/>
      <c r="CS82" s="2673"/>
      <c r="CT82" s="2673"/>
      <c r="CU82" s="2673"/>
      <c r="CV82" s="2673"/>
      <c r="CW82" s="2673"/>
      <c r="CX82" s="2673"/>
      <c r="CY82" s="2673"/>
      <c r="CZ82" s="2673"/>
      <c r="DA82" s="2673"/>
      <c r="DB82" s="2673"/>
      <c r="DC82" s="2673"/>
      <c r="DD82" s="2673"/>
      <c r="DE82" s="2673"/>
      <c r="DF82" s="2673"/>
      <c r="DG82" s="2673"/>
      <c r="DH82" s="2673"/>
      <c r="DI82" s="2673"/>
      <c r="DJ82" s="2673"/>
      <c r="DK82" s="2673"/>
      <c r="DL82" s="2673"/>
      <c r="DM82" s="2673"/>
      <c r="DN82" s="2673"/>
      <c r="DO82" s="2673"/>
      <c r="DP82" s="2673"/>
      <c r="DQ82" s="2673"/>
      <c r="DR82" s="2673"/>
      <c r="DS82" s="2673"/>
      <c r="DT82" s="2673"/>
      <c r="DU82" s="2673"/>
      <c r="DV82" s="2673"/>
      <c r="DW82" s="2673"/>
      <c r="DX82" s="2673"/>
      <c r="DY82" s="2673"/>
      <c r="DZ82" s="2673"/>
      <c r="EA82" s="2673"/>
      <c r="EB82" s="2673"/>
      <c r="EC82" s="2673"/>
      <c r="ED82" s="2673"/>
      <c r="EE82" s="2673"/>
      <c r="EF82" s="2673"/>
      <c r="EG82" s="2673"/>
      <c r="EH82" s="2673"/>
      <c r="EI82" s="2673"/>
      <c r="EJ82" s="2673"/>
      <c r="EK82" s="2673"/>
      <c r="EL82" s="2673"/>
      <c r="EM82" s="2673"/>
      <c r="EN82" s="2673"/>
      <c r="EO82" s="2673"/>
      <c r="EP82" s="2673"/>
      <c r="EQ82" s="2673"/>
      <c r="ER82" s="2673"/>
      <c r="ES82" s="2673"/>
      <c r="ET82" s="2673"/>
      <c r="EU82" s="2673"/>
      <c r="EV82" s="2673"/>
      <c r="EW82" s="2673"/>
      <c r="EX82" s="2673"/>
      <c r="EY82" s="2673"/>
      <c r="EZ82" s="2673"/>
      <c r="FA82" s="2673"/>
      <c r="FB82" s="2673"/>
      <c r="FC82" s="2673"/>
      <c r="FD82" s="2673"/>
      <c r="FE82" s="2673"/>
      <c r="FF82" s="2673"/>
      <c r="FG82" s="2673"/>
      <c r="FH82" s="2673"/>
      <c r="FI82" s="2673"/>
      <c r="FJ82" s="2673"/>
      <c r="FK82" s="2673"/>
      <c r="FL82" s="2673"/>
      <c r="FM82" s="2673"/>
      <c r="FN82" s="3038"/>
      <c r="FO82" s="3038"/>
      <c r="FP82" s="3038"/>
      <c r="FQ82" s="3038"/>
      <c r="FR82" s="3038"/>
      <c r="FS82" s="3038"/>
      <c r="FT82" s="3038"/>
      <c r="FU82" s="3038"/>
      <c r="FV82" s="3038"/>
      <c r="FW82" s="3038"/>
      <c r="FX82" s="3038"/>
      <c r="FY82" s="3038"/>
      <c r="FZ82" s="155"/>
      <c r="GA82" s="155"/>
      <c r="GB82" s="155"/>
      <c r="GC82" s="155"/>
      <c r="GD82" s="155"/>
      <c r="GE82" s="155"/>
      <c r="GF82" s="155"/>
      <c r="GG82" s="155"/>
      <c r="GH82" s="155"/>
      <c r="GI82" s="155"/>
      <c r="GJ82" s="155"/>
      <c r="GK82" s="155"/>
    </row>
    <row r="83" spans="2:193" ht="18.75" customHeight="1" x14ac:dyDescent="0.3">
      <c r="B83" s="3037"/>
      <c r="C83" s="3037"/>
      <c r="D83" s="3037"/>
      <c r="E83" s="3038"/>
      <c r="F83" s="3038"/>
      <c r="G83" s="3038"/>
      <c r="H83" s="3038"/>
      <c r="I83" s="3038"/>
      <c r="J83" s="3038"/>
      <c r="K83" s="3038"/>
      <c r="L83" s="3038"/>
      <c r="M83" s="3038"/>
      <c r="N83" s="3038"/>
      <c r="O83" s="3038"/>
      <c r="P83" s="3038"/>
      <c r="Q83" s="3038"/>
      <c r="R83" s="3038"/>
      <c r="S83" s="3038"/>
      <c r="T83" s="3038"/>
      <c r="U83" s="3038"/>
      <c r="V83" s="3038"/>
      <c r="W83" s="3038"/>
      <c r="X83" s="3038"/>
      <c r="Y83" s="3038"/>
      <c r="Z83" s="3038"/>
      <c r="AA83" s="3038"/>
      <c r="AB83" s="3038"/>
      <c r="AC83" s="3038"/>
      <c r="AD83" s="3038"/>
      <c r="AE83" s="3038"/>
      <c r="AF83" s="3038"/>
      <c r="AG83" s="3038"/>
      <c r="AH83" s="3038"/>
      <c r="AI83" s="3038"/>
      <c r="AJ83" s="3038"/>
      <c r="AK83" s="3038"/>
      <c r="AL83" s="3038"/>
      <c r="AM83" s="3038"/>
      <c r="AN83" s="3038"/>
      <c r="AO83" s="2673"/>
      <c r="AP83" s="2673"/>
      <c r="AQ83" s="2673"/>
      <c r="AR83" s="2673"/>
      <c r="AS83" s="2673"/>
      <c r="AT83" s="2673"/>
      <c r="AU83" s="2673"/>
      <c r="AV83" s="2673"/>
      <c r="AW83" s="2673"/>
      <c r="AX83" s="2673"/>
      <c r="AY83" s="2673"/>
      <c r="AZ83" s="2673"/>
      <c r="BA83" s="2673"/>
      <c r="BB83" s="2673"/>
      <c r="BC83" s="2673"/>
      <c r="BD83" s="2673"/>
      <c r="BE83" s="2673"/>
      <c r="BF83" s="2673"/>
      <c r="BG83" s="2673"/>
      <c r="BH83" s="2673"/>
      <c r="BI83" s="2673"/>
      <c r="BJ83" s="2673"/>
      <c r="BK83" s="2673"/>
      <c r="BL83" s="2673"/>
      <c r="BM83" s="2673"/>
      <c r="BN83" s="2673"/>
      <c r="BO83" s="2673"/>
      <c r="BP83" s="2673"/>
      <c r="BQ83" s="2673"/>
      <c r="BR83" s="2673"/>
      <c r="BS83" s="2673"/>
      <c r="BT83" s="2673"/>
      <c r="BU83" s="2673"/>
      <c r="BV83" s="2673"/>
      <c r="BW83" s="2673"/>
      <c r="BX83" s="2673"/>
      <c r="BY83" s="2673"/>
      <c r="BZ83" s="2673"/>
      <c r="CA83" s="2673"/>
      <c r="CB83" s="2673"/>
      <c r="CC83" s="2673"/>
      <c r="CD83" s="2673"/>
      <c r="CE83" s="2673"/>
      <c r="CF83" s="2673"/>
      <c r="CG83" s="2673"/>
      <c r="CH83" s="2673"/>
      <c r="CI83" s="2673"/>
      <c r="CJ83" s="2673"/>
      <c r="CK83" s="2673"/>
      <c r="CL83" s="2673"/>
      <c r="CM83" s="2673"/>
      <c r="CN83" s="2673"/>
      <c r="CO83" s="2673"/>
      <c r="CP83" s="2673"/>
      <c r="CQ83" s="2673"/>
      <c r="CR83" s="2673"/>
      <c r="CS83" s="2673"/>
      <c r="CT83" s="2673"/>
      <c r="CU83" s="2673"/>
      <c r="CV83" s="2673"/>
      <c r="CW83" s="2673"/>
      <c r="CX83" s="2673"/>
      <c r="CY83" s="2673"/>
      <c r="CZ83" s="2673"/>
      <c r="DA83" s="2673"/>
      <c r="DB83" s="2673"/>
      <c r="DC83" s="2673"/>
      <c r="DD83" s="2673"/>
      <c r="DE83" s="2673"/>
      <c r="DF83" s="2673"/>
      <c r="DG83" s="2673"/>
      <c r="DH83" s="2673"/>
      <c r="DI83" s="2673"/>
      <c r="DJ83" s="2673"/>
      <c r="DK83" s="2673"/>
      <c r="DL83" s="2673"/>
      <c r="DM83" s="2673"/>
      <c r="DN83" s="2673"/>
      <c r="DO83" s="2673"/>
      <c r="DP83" s="2673"/>
      <c r="DQ83" s="2673"/>
      <c r="DR83" s="2673"/>
      <c r="DS83" s="2673"/>
      <c r="DT83" s="2673"/>
      <c r="DU83" s="2673"/>
      <c r="DV83" s="2673"/>
      <c r="DW83" s="2673"/>
      <c r="DX83" s="2673"/>
      <c r="DY83" s="2673"/>
      <c r="DZ83" s="2673"/>
      <c r="EA83" s="2673"/>
      <c r="EB83" s="2673"/>
      <c r="EC83" s="2673"/>
      <c r="ED83" s="2673"/>
      <c r="EE83" s="2673"/>
      <c r="EF83" s="2673"/>
      <c r="EG83" s="2673"/>
      <c r="EH83" s="2673"/>
      <c r="EI83" s="2673"/>
      <c r="EJ83" s="2673"/>
      <c r="EK83" s="2673"/>
      <c r="EL83" s="2673"/>
      <c r="EM83" s="2673"/>
      <c r="EN83" s="2673"/>
      <c r="EO83" s="2673"/>
      <c r="EP83" s="2673"/>
      <c r="EQ83" s="2673"/>
      <c r="ER83" s="2673"/>
      <c r="ES83" s="2673"/>
      <c r="ET83" s="2673"/>
      <c r="EU83" s="2673"/>
      <c r="EV83" s="2673"/>
      <c r="EW83" s="2673"/>
      <c r="EX83" s="2673"/>
      <c r="EY83" s="2673"/>
      <c r="EZ83" s="2673"/>
      <c r="FA83" s="2673"/>
      <c r="FB83" s="2673"/>
      <c r="FC83" s="2673"/>
      <c r="FD83" s="2673"/>
      <c r="FE83" s="2673"/>
      <c r="FF83" s="2673"/>
      <c r="FG83" s="2673"/>
      <c r="FH83" s="2673"/>
      <c r="FI83" s="2673"/>
      <c r="FJ83" s="2673"/>
      <c r="FK83" s="2673"/>
      <c r="FL83" s="2673"/>
      <c r="FM83" s="2673"/>
      <c r="FN83" s="3038"/>
      <c r="FO83" s="3038"/>
      <c r="FP83" s="3038"/>
      <c r="FQ83" s="3038"/>
      <c r="FR83" s="3038"/>
      <c r="FS83" s="3038"/>
      <c r="FT83" s="3038"/>
      <c r="FU83" s="3038"/>
      <c r="FV83" s="3038"/>
      <c r="FW83" s="3038"/>
      <c r="FX83" s="3038"/>
      <c r="FY83" s="3038"/>
      <c r="FZ83" s="155"/>
      <c r="GA83" s="155"/>
      <c r="GB83" s="155"/>
      <c r="GC83" s="155"/>
      <c r="GD83" s="155"/>
      <c r="GE83" s="155"/>
      <c r="GF83" s="155"/>
      <c r="GG83" s="155"/>
      <c r="GH83" s="155"/>
      <c r="GI83" s="155"/>
      <c r="GJ83" s="155"/>
      <c r="GK83" s="155"/>
    </row>
    <row r="84" spans="2:193" ht="18.75" customHeight="1" x14ac:dyDescent="0.3">
      <c r="B84" s="3037"/>
      <c r="C84" s="3037"/>
      <c r="D84" s="3037"/>
      <c r="E84" s="3038"/>
      <c r="F84" s="3038"/>
      <c r="G84" s="3038"/>
      <c r="H84" s="3038"/>
      <c r="I84" s="3038"/>
      <c r="J84" s="3038"/>
      <c r="K84" s="3038"/>
      <c r="L84" s="3038"/>
      <c r="M84" s="3038"/>
      <c r="N84" s="3038"/>
      <c r="O84" s="3038"/>
      <c r="P84" s="3038"/>
      <c r="Q84" s="3038"/>
      <c r="R84" s="3038"/>
      <c r="S84" s="3038"/>
      <c r="T84" s="3038"/>
      <c r="U84" s="3038"/>
      <c r="V84" s="3038"/>
      <c r="W84" s="3038"/>
      <c r="X84" s="3038"/>
      <c r="Y84" s="3038"/>
      <c r="Z84" s="3038"/>
      <c r="AA84" s="3038"/>
      <c r="AB84" s="3038"/>
      <c r="AC84" s="3038"/>
      <c r="AD84" s="3038"/>
      <c r="AE84" s="3038"/>
      <c r="AF84" s="3038"/>
      <c r="AG84" s="3038"/>
      <c r="AH84" s="3038"/>
      <c r="AI84" s="3038"/>
      <c r="AJ84" s="3038"/>
      <c r="AK84" s="3038"/>
      <c r="AL84" s="3038"/>
      <c r="AM84" s="3038"/>
      <c r="AN84" s="3038"/>
      <c r="AO84" s="2673"/>
      <c r="AP84" s="2673"/>
      <c r="AQ84" s="2673"/>
      <c r="AR84" s="2673"/>
      <c r="AS84" s="2673"/>
      <c r="AT84" s="2673"/>
      <c r="AU84" s="2673"/>
      <c r="AV84" s="2673"/>
      <c r="AW84" s="2673"/>
      <c r="AX84" s="2673"/>
      <c r="AY84" s="2673"/>
      <c r="AZ84" s="2673"/>
      <c r="BA84" s="2673"/>
      <c r="BB84" s="2673"/>
      <c r="BC84" s="2673"/>
      <c r="BD84" s="2673"/>
      <c r="BE84" s="2673"/>
      <c r="BF84" s="2673"/>
      <c r="BG84" s="2673"/>
      <c r="BH84" s="2673"/>
      <c r="BI84" s="2673"/>
      <c r="BJ84" s="2673"/>
      <c r="BK84" s="2673"/>
      <c r="BL84" s="2673"/>
      <c r="BM84" s="2673"/>
      <c r="BN84" s="2673"/>
      <c r="BO84" s="2673"/>
      <c r="BP84" s="2673"/>
      <c r="BQ84" s="2673"/>
      <c r="BR84" s="2673"/>
      <c r="BS84" s="2673"/>
      <c r="BT84" s="2673"/>
      <c r="BU84" s="2673"/>
      <c r="BV84" s="2673"/>
      <c r="BW84" s="2673"/>
      <c r="BX84" s="2673"/>
      <c r="BY84" s="2673"/>
      <c r="BZ84" s="2673"/>
      <c r="CA84" s="2673"/>
      <c r="CB84" s="2673"/>
      <c r="CC84" s="2673"/>
      <c r="CD84" s="2673"/>
      <c r="CE84" s="2673"/>
      <c r="CF84" s="2673"/>
      <c r="CG84" s="2673"/>
      <c r="CH84" s="2673"/>
      <c r="CI84" s="2673"/>
      <c r="CJ84" s="2673"/>
      <c r="CK84" s="2673"/>
      <c r="CL84" s="2673"/>
      <c r="CM84" s="2673"/>
      <c r="CN84" s="2673"/>
      <c r="CO84" s="2673"/>
      <c r="CP84" s="2673"/>
      <c r="CQ84" s="2673"/>
      <c r="CR84" s="2673"/>
      <c r="CS84" s="2673"/>
      <c r="CT84" s="2673"/>
      <c r="CU84" s="2673"/>
      <c r="CV84" s="2673"/>
      <c r="CW84" s="2673"/>
      <c r="CX84" s="2673"/>
      <c r="CY84" s="2673"/>
      <c r="CZ84" s="2673"/>
      <c r="DA84" s="2673"/>
      <c r="DB84" s="2673"/>
      <c r="DC84" s="2673"/>
      <c r="DD84" s="2673"/>
      <c r="DE84" s="2673"/>
      <c r="DF84" s="2673"/>
      <c r="DG84" s="2673"/>
      <c r="DH84" s="2673"/>
      <c r="DI84" s="2673"/>
      <c r="DJ84" s="2673"/>
      <c r="DK84" s="2673"/>
      <c r="DL84" s="2673"/>
      <c r="DM84" s="2673"/>
      <c r="DN84" s="2673"/>
      <c r="DO84" s="2673"/>
      <c r="DP84" s="2673"/>
      <c r="DQ84" s="2673"/>
      <c r="DR84" s="2673"/>
      <c r="DS84" s="2673"/>
      <c r="DT84" s="2673"/>
      <c r="DU84" s="2673"/>
      <c r="DV84" s="2673"/>
      <c r="DW84" s="2673"/>
      <c r="DX84" s="2673"/>
      <c r="DY84" s="2673"/>
      <c r="DZ84" s="2673"/>
      <c r="EA84" s="2673"/>
      <c r="EB84" s="2673"/>
      <c r="EC84" s="2673"/>
      <c r="ED84" s="2673"/>
      <c r="EE84" s="2673"/>
      <c r="EF84" s="2673"/>
      <c r="EG84" s="2673"/>
      <c r="EH84" s="2673"/>
      <c r="EI84" s="2673"/>
      <c r="EJ84" s="2673"/>
      <c r="EK84" s="2673"/>
      <c r="EL84" s="2673"/>
      <c r="EM84" s="2673"/>
      <c r="EN84" s="2673"/>
      <c r="EO84" s="2673"/>
      <c r="EP84" s="2673"/>
      <c r="EQ84" s="2673"/>
      <c r="ER84" s="2673"/>
      <c r="ES84" s="2673"/>
      <c r="ET84" s="2673"/>
      <c r="EU84" s="2673"/>
      <c r="EV84" s="2673"/>
      <c r="EW84" s="2673"/>
      <c r="EX84" s="2673"/>
      <c r="EY84" s="2673"/>
      <c r="EZ84" s="2673"/>
      <c r="FA84" s="2673"/>
      <c r="FB84" s="2673"/>
      <c r="FC84" s="2673"/>
      <c r="FD84" s="2673"/>
      <c r="FE84" s="2673"/>
      <c r="FF84" s="2673"/>
      <c r="FG84" s="2673"/>
      <c r="FH84" s="2673"/>
      <c r="FI84" s="2673"/>
      <c r="FJ84" s="2673"/>
      <c r="FK84" s="2673"/>
      <c r="FL84" s="2673"/>
      <c r="FM84" s="2673"/>
      <c r="FN84" s="3038"/>
      <c r="FO84" s="3038"/>
      <c r="FP84" s="3038"/>
      <c r="FQ84" s="3038"/>
      <c r="FR84" s="3038"/>
      <c r="FS84" s="3038"/>
      <c r="FT84" s="3038"/>
      <c r="FU84" s="3038"/>
      <c r="FV84" s="3038"/>
      <c r="FW84" s="3038"/>
      <c r="FX84" s="3038"/>
      <c r="FY84" s="3038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</row>
    <row r="85" spans="2:193" ht="18.75" customHeight="1" x14ac:dyDescent="0.3">
      <c r="B85" s="3037"/>
      <c r="C85" s="3037"/>
      <c r="D85" s="3037"/>
      <c r="E85" s="3038"/>
      <c r="F85" s="3038"/>
      <c r="G85" s="3038"/>
      <c r="H85" s="3038"/>
      <c r="I85" s="3038"/>
      <c r="J85" s="3038"/>
      <c r="K85" s="3038"/>
      <c r="L85" s="3038"/>
      <c r="M85" s="3038"/>
      <c r="N85" s="3038"/>
      <c r="O85" s="3038"/>
      <c r="P85" s="3038"/>
      <c r="Q85" s="3038"/>
      <c r="R85" s="3038"/>
      <c r="S85" s="3038"/>
      <c r="T85" s="3038"/>
      <c r="U85" s="3038"/>
      <c r="V85" s="3038"/>
      <c r="W85" s="3038"/>
      <c r="X85" s="3038"/>
      <c r="Y85" s="3038"/>
      <c r="Z85" s="3038"/>
      <c r="AA85" s="3038"/>
      <c r="AB85" s="3038"/>
      <c r="AC85" s="3038"/>
      <c r="AD85" s="3038"/>
      <c r="AE85" s="3038"/>
      <c r="AF85" s="3038"/>
      <c r="AG85" s="3038"/>
      <c r="AH85" s="3038"/>
      <c r="AI85" s="3038"/>
      <c r="AJ85" s="3038"/>
      <c r="AK85" s="3038"/>
      <c r="AL85" s="3038"/>
      <c r="AM85" s="3038"/>
      <c r="AN85" s="3038"/>
      <c r="AO85" s="2673"/>
      <c r="AP85" s="2673"/>
      <c r="AQ85" s="2673"/>
      <c r="AR85" s="2673"/>
      <c r="AS85" s="2673"/>
      <c r="AT85" s="2673"/>
      <c r="AU85" s="2673"/>
      <c r="AV85" s="2673"/>
      <c r="AW85" s="2673"/>
      <c r="AX85" s="2673"/>
      <c r="AY85" s="2673"/>
      <c r="AZ85" s="2673"/>
      <c r="BA85" s="2673"/>
      <c r="BB85" s="2673"/>
      <c r="BC85" s="2673"/>
      <c r="BD85" s="2673"/>
      <c r="BE85" s="2673"/>
      <c r="BF85" s="2673"/>
      <c r="BG85" s="2673"/>
      <c r="BH85" s="2673"/>
      <c r="BI85" s="2673"/>
      <c r="BJ85" s="2673"/>
      <c r="BK85" s="2673"/>
      <c r="BL85" s="2673"/>
      <c r="BM85" s="2673"/>
      <c r="BN85" s="2673"/>
      <c r="BO85" s="2673"/>
      <c r="BP85" s="2673"/>
      <c r="BQ85" s="2673"/>
      <c r="BR85" s="2673"/>
      <c r="BS85" s="2673"/>
      <c r="BT85" s="2673"/>
      <c r="BU85" s="2673"/>
      <c r="BV85" s="2673"/>
      <c r="BW85" s="2673"/>
      <c r="BX85" s="2673"/>
      <c r="BY85" s="2673"/>
      <c r="BZ85" s="2673"/>
      <c r="CA85" s="2673"/>
      <c r="CB85" s="2673"/>
      <c r="CC85" s="2673"/>
      <c r="CD85" s="2673"/>
      <c r="CE85" s="2673"/>
      <c r="CF85" s="2673"/>
      <c r="CG85" s="2673"/>
      <c r="CH85" s="2673"/>
      <c r="CI85" s="2673"/>
      <c r="CJ85" s="2673"/>
      <c r="CK85" s="2673"/>
      <c r="CL85" s="2673"/>
      <c r="CM85" s="2673"/>
      <c r="CN85" s="2673"/>
      <c r="CO85" s="2673"/>
      <c r="CP85" s="2673"/>
      <c r="CQ85" s="2673"/>
      <c r="CR85" s="2673"/>
      <c r="CS85" s="2673"/>
      <c r="CT85" s="2673"/>
      <c r="CU85" s="2673"/>
      <c r="CV85" s="2673"/>
      <c r="CW85" s="2673"/>
      <c r="CX85" s="2673"/>
      <c r="CY85" s="2673"/>
      <c r="CZ85" s="2673"/>
      <c r="DA85" s="2673"/>
      <c r="DB85" s="2673"/>
      <c r="DC85" s="2673"/>
      <c r="DD85" s="2673"/>
      <c r="DE85" s="2673"/>
      <c r="DF85" s="2673"/>
      <c r="DG85" s="2673"/>
      <c r="DH85" s="2673"/>
      <c r="DI85" s="2673"/>
      <c r="DJ85" s="2673"/>
      <c r="DK85" s="2673"/>
      <c r="DL85" s="2673"/>
      <c r="DM85" s="2673"/>
      <c r="DN85" s="2673"/>
      <c r="DO85" s="2673"/>
      <c r="DP85" s="2673"/>
      <c r="DQ85" s="2673"/>
      <c r="DR85" s="2673"/>
      <c r="DS85" s="2673"/>
      <c r="DT85" s="2673"/>
      <c r="DU85" s="2673"/>
      <c r="DV85" s="2673"/>
      <c r="DW85" s="2673"/>
      <c r="DX85" s="2673"/>
      <c r="DY85" s="2673"/>
      <c r="DZ85" s="2673"/>
      <c r="EA85" s="2673"/>
      <c r="EB85" s="2673"/>
      <c r="EC85" s="2673"/>
      <c r="ED85" s="2673"/>
      <c r="EE85" s="2673"/>
      <c r="EF85" s="2673"/>
      <c r="EG85" s="2673"/>
      <c r="EH85" s="2673"/>
      <c r="EI85" s="2673"/>
      <c r="EJ85" s="2673"/>
      <c r="EK85" s="2673"/>
      <c r="EL85" s="2673"/>
      <c r="EM85" s="2673"/>
      <c r="EN85" s="2673"/>
      <c r="EO85" s="2673"/>
      <c r="EP85" s="2673"/>
      <c r="EQ85" s="2673"/>
      <c r="ER85" s="2673"/>
      <c r="ES85" s="2673"/>
      <c r="ET85" s="2673"/>
      <c r="EU85" s="2673"/>
      <c r="EV85" s="2673"/>
      <c r="EW85" s="2673"/>
      <c r="EX85" s="2673"/>
      <c r="EY85" s="2673"/>
      <c r="EZ85" s="2673"/>
      <c r="FA85" s="2673"/>
      <c r="FB85" s="2673"/>
      <c r="FC85" s="2673"/>
      <c r="FD85" s="2673"/>
      <c r="FE85" s="2673"/>
      <c r="FF85" s="2673"/>
      <c r="FG85" s="2673"/>
      <c r="FH85" s="2673"/>
      <c r="FI85" s="2673"/>
      <c r="FJ85" s="2673"/>
      <c r="FK85" s="2673"/>
      <c r="FL85" s="2673"/>
      <c r="FM85" s="2673"/>
      <c r="FN85" s="3038"/>
      <c r="FO85" s="3038"/>
      <c r="FP85" s="3038"/>
      <c r="FQ85" s="3038"/>
      <c r="FR85" s="3038"/>
      <c r="FS85" s="3038"/>
      <c r="FT85" s="3038"/>
      <c r="FU85" s="3038"/>
      <c r="FV85" s="3038"/>
      <c r="FW85" s="3038"/>
      <c r="FX85" s="3038"/>
      <c r="FY85" s="3038"/>
      <c r="FZ85" s="155"/>
      <c r="GA85" s="155"/>
      <c r="GB85" s="155"/>
      <c r="GC85" s="155"/>
      <c r="GD85" s="155"/>
      <c r="GE85" s="155"/>
      <c r="GF85" s="155"/>
      <c r="GG85" s="155"/>
      <c r="GH85" s="155"/>
      <c r="GI85" s="155"/>
      <c r="GJ85" s="155"/>
      <c r="GK85" s="155"/>
    </row>
    <row r="86" spans="2:193" ht="18.75" customHeight="1" x14ac:dyDescent="0.3">
      <c r="B86" s="3038"/>
      <c r="C86" s="3038"/>
      <c r="D86" s="3038"/>
      <c r="E86" s="3038"/>
      <c r="F86" s="3038"/>
      <c r="G86" s="3038"/>
      <c r="H86" s="3038"/>
      <c r="I86" s="3038"/>
      <c r="J86" s="3038"/>
      <c r="K86" s="3038"/>
      <c r="L86" s="3038"/>
      <c r="M86" s="3038"/>
      <c r="N86" s="3038"/>
      <c r="O86" s="3038"/>
      <c r="P86" s="3038"/>
      <c r="Q86" s="3038"/>
      <c r="R86" s="3038"/>
      <c r="S86" s="3038"/>
      <c r="T86" s="3038"/>
      <c r="U86" s="3038"/>
      <c r="V86" s="3038"/>
      <c r="W86" s="3038"/>
      <c r="X86" s="3038"/>
      <c r="Y86" s="3038"/>
      <c r="Z86" s="3038"/>
      <c r="AA86" s="3038"/>
      <c r="AB86" s="3038"/>
      <c r="AC86" s="3038"/>
      <c r="AD86" s="3038"/>
      <c r="AE86" s="3038"/>
      <c r="AF86" s="3038"/>
      <c r="AG86" s="3038"/>
      <c r="AH86" s="3038"/>
      <c r="AI86" s="3038"/>
      <c r="AJ86" s="3038"/>
      <c r="AK86" s="3038"/>
      <c r="AL86" s="3038"/>
      <c r="AM86" s="3038"/>
      <c r="AN86" s="3038"/>
      <c r="AO86" s="2673"/>
      <c r="AP86" s="2673"/>
      <c r="AQ86" s="2673"/>
      <c r="AR86" s="2673"/>
      <c r="AS86" s="2673"/>
      <c r="AT86" s="2673"/>
      <c r="AU86" s="2673"/>
      <c r="AV86" s="2673"/>
      <c r="AW86" s="2673"/>
      <c r="AX86" s="2673"/>
      <c r="AY86" s="2673"/>
      <c r="AZ86" s="2673"/>
      <c r="BA86" s="2673"/>
      <c r="BB86" s="2673"/>
      <c r="BC86" s="2673"/>
      <c r="BD86" s="2673"/>
      <c r="BE86" s="2673"/>
      <c r="BF86" s="2673"/>
      <c r="BG86" s="2673"/>
      <c r="BH86" s="2673"/>
      <c r="BI86" s="2673"/>
      <c r="BJ86" s="2673"/>
      <c r="BK86" s="2673"/>
      <c r="BL86" s="2673"/>
      <c r="BM86" s="2673"/>
      <c r="BN86" s="2673"/>
      <c r="BO86" s="2673"/>
      <c r="BP86" s="2673"/>
      <c r="BQ86" s="2673"/>
      <c r="BR86" s="2673"/>
      <c r="BS86" s="2673"/>
      <c r="BT86" s="2673"/>
      <c r="BU86" s="2673"/>
      <c r="BV86" s="2673"/>
      <c r="BW86" s="2673"/>
      <c r="BX86" s="2673"/>
      <c r="BY86" s="2673"/>
      <c r="BZ86" s="2673"/>
      <c r="CA86" s="2673"/>
      <c r="CB86" s="2673"/>
      <c r="CC86" s="2673"/>
      <c r="CD86" s="2673"/>
      <c r="CE86" s="2673"/>
      <c r="CF86" s="2673"/>
      <c r="CG86" s="2673"/>
      <c r="CH86" s="2673"/>
      <c r="CI86" s="2673"/>
      <c r="CJ86" s="2673"/>
      <c r="CK86" s="2673"/>
      <c r="CL86" s="2673"/>
      <c r="CM86" s="2673"/>
      <c r="CN86" s="2673"/>
      <c r="CO86" s="2673"/>
      <c r="CP86" s="2673"/>
      <c r="CQ86" s="2673"/>
      <c r="CR86" s="2673"/>
      <c r="CS86" s="2673"/>
      <c r="CT86" s="2673"/>
      <c r="CU86" s="2673"/>
      <c r="CV86" s="2673"/>
      <c r="CW86" s="2673"/>
      <c r="CX86" s="2673"/>
      <c r="CY86" s="2673"/>
      <c r="CZ86" s="2673"/>
      <c r="DA86" s="2673"/>
      <c r="DB86" s="2673"/>
      <c r="DC86" s="2673"/>
      <c r="DD86" s="2673"/>
      <c r="DE86" s="2673"/>
      <c r="DF86" s="2673"/>
      <c r="DG86" s="2673"/>
      <c r="DH86" s="2673"/>
      <c r="DI86" s="2673"/>
      <c r="DJ86" s="2673"/>
      <c r="DK86" s="2673"/>
      <c r="DL86" s="2673"/>
      <c r="DM86" s="2673"/>
      <c r="DN86" s="2673"/>
      <c r="DO86" s="2673"/>
      <c r="DP86" s="2673"/>
      <c r="DQ86" s="2673"/>
      <c r="DR86" s="2673"/>
      <c r="DS86" s="2673"/>
      <c r="DT86" s="2673"/>
      <c r="DU86" s="2673"/>
      <c r="DV86" s="2673"/>
      <c r="DW86" s="2673"/>
      <c r="DX86" s="2673"/>
      <c r="DY86" s="2673"/>
      <c r="DZ86" s="2673"/>
      <c r="EA86" s="2673"/>
      <c r="EB86" s="2673"/>
      <c r="EC86" s="2673"/>
      <c r="ED86" s="2673"/>
      <c r="EE86" s="2673"/>
      <c r="EF86" s="2673"/>
      <c r="EG86" s="2673"/>
      <c r="EH86" s="2673"/>
      <c r="EI86" s="2673"/>
      <c r="EJ86" s="2673"/>
      <c r="EK86" s="2673"/>
      <c r="EL86" s="2673"/>
      <c r="EM86" s="2673"/>
      <c r="EN86" s="2673"/>
      <c r="EO86" s="2673"/>
      <c r="EP86" s="2673"/>
      <c r="EQ86" s="2673"/>
      <c r="ER86" s="2673"/>
      <c r="ES86" s="2673"/>
      <c r="ET86" s="2673"/>
      <c r="EU86" s="2673"/>
      <c r="EV86" s="2673"/>
      <c r="EW86" s="2673"/>
      <c r="EX86" s="2673"/>
      <c r="EY86" s="2673"/>
      <c r="EZ86" s="2673"/>
      <c r="FA86" s="2673"/>
      <c r="FB86" s="2673"/>
      <c r="FC86" s="2673"/>
      <c r="FD86" s="2673"/>
      <c r="FE86" s="2673"/>
      <c r="FF86" s="2673"/>
      <c r="FG86" s="2673"/>
      <c r="FH86" s="2673"/>
      <c r="FI86" s="2673"/>
      <c r="FJ86" s="2673"/>
      <c r="FK86" s="2673"/>
      <c r="FL86" s="2673"/>
      <c r="FM86" s="2673"/>
      <c r="FN86" s="3038"/>
      <c r="FO86" s="3038"/>
      <c r="FP86" s="3038"/>
      <c r="FQ86" s="3038"/>
      <c r="FR86" s="3038"/>
      <c r="FS86" s="3038"/>
      <c r="FT86" s="3038"/>
      <c r="FU86" s="3038"/>
      <c r="FV86" s="3038"/>
      <c r="FW86" s="3038"/>
      <c r="FX86" s="3038"/>
      <c r="FY86" s="3038"/>
      <c r="FZ86" s="155"/>
      <c r="GA86" s="155"/>
      <c r="GB86" s="155"/>
      <c r="GC86" s="155"/>
      <c r="GD86" s="155"/>
      <c r="GE86" s="155"/>
      <c r="GF86" s="155"/>
      <c r="GG86" s="155"/>
      <c r="GH86" s="155"/>
      <c r="GI86" s="155"/>
      <c r="GJ86" s="155"/>
      <c r="GK86" s="155"/>
    </row>
    <row r="87" spans="2:193" ht="18.75" customHeight="1" x14ac:dyDescent="0.3">
      <c r="B87" s="3038"/>
      <c r="C87" s="3038"/>
      <c r="D87" s="3038"/>
      <c r="E87" s="3038"/>
      <c r="F87" s="3038"/>
      <c r="G87" s="3038"/>
      <c r="H87" s="3038"/>
      <c r="I87" s="3038"/>
      <c r="J87" s="3038"/>
      <c r="K87" s="3038"/>
      <c r="L87" s="3038"/>
      <c r="M87" s="3038"/>
      <c r="N87" s="3038"/>
      <c r="O87" s="3038"/>
      <c r="P87" s="3038"/>
      <c r="Q87" s="3038"/>
      <c r="R87" s="3038"/>
      <c r="S87" s="3038"/>
      <c r="T87" s="3038"/>
      <c r="U87" s="3038"/>
      <c r="V87" s="3038"/>
      <c r="W87" s="3038"/>
      <c r="X87" s="3038"/>
      <c r="Y87" s="3038"/>
      <c r="Z87" s="3038"/>
      <c r="AA87" s="3038"/>
      <c r="AB87" s="3038"/>
      <c r="AC87" s="3038"/>
      <c r="AD87" s="3038"/>
      <c r="AE87" s="3038"/>
      <c r="AF87" s="3038"/>
      <c r="AG87" s="3038"/>
      <c r="AH87" s="3038"/>
      <c r="AI87" s="3038"/>
      <c r="AJ87" s="3038"/>
      <c r="AK87" s="3038"/>
      <c r="AL87" s="3038"/>
      <c r="AM87" s="3038"/>
      <c r="AN87" s="3038"/>
      <c r="AO87" s="2673"/>
      <c r="AP87" s="2673"/>
      <c r="AQ87" s="2673"/>
      <c r="AR87" s="2673"/>
      <c r="AS87" s="2673"/>
      <c r="AT87" s="2673"/>
      <c r="AU87" s="2673"/>
      <c r="AV87" s="2673"/>
      <c r="AW87" s="2673"/>
      <c r="AX87" s="2673"/>
      <c r="AY87" s="2673"/>
      <c r="AZ87" s="2673"/>
      <c r="BA87" s="2673"/>
      <c r="BB87" s="2673"/>
      <c r="BC87" s="2673"/>
      <c r="BD87" s="2673"/>
      <c r="BE87" s="2673"/>
      <c r="BF87" s="2673"/>
      <c r="BG87" s="2673"/>
      <c r="BH87" s="2673"/>
      <c r="BI87" s="2673"/>
      <c r="BJ87" s="2673"/>
      <c r="BK87" s="2673"/>
      <c r="BL87" s="2673"/>
      <c r="BM87" s="2673"/>
      <c r="BN87" s="2673"/>
      <c r="BO87" s="2673"/>
      <c r="BP87" s="2673"/>
      <c r="BQ87" s="2673"/>
      <c r="BR87" s="2673"/>
      <c r="BS87" s="2673"/>
      <c r="BT87" s="2673"/>
      <c r="BU87" s="2673"/>
      <c r="BV87" s="2673"/>
      <c r="BW87" s="2673"/>
      <c r="BX87" s="2673"/>
      <c r="BY87" s="2673"/>
      <c r="BZ87" s="2673"/>
      <c r="CA87" s="2673"/>
      <c r="CB87" s="2673"/>
      <c r="CC87" s="2673"/>
      <c r="CD87" s="2673"/>
      <c r="CE87" s="2673"/>
      <c r="CF87" s="2673"/>
      <c r="CG87" s="2673"/>
      <c r="CH87" s="2673"/>
      <c r="CI87" s="2673"/>
      <c r="CJ87" s="2673"/>
      <c r="CK87" s="2673"/>
      <c r="CL87" s="2673"/>
      <c r="CM87" s="2673"/>
      <c r="CN87" s="2673"/>
      <c r="CO87" s="2673"/>
      <c r="CP87" s="2673"/>
      <c r="CQ87" s="2673"/>
      <c r="CR87" s="2673"/>
      <c r="CS87" s="2673"/>
      <c r="CT87" s="2673"/>
      <c r="CU87" s="2673"/>
      <c r="CV87" s="2673"/>
      <c r="CW87" s="2673"/>
      <c r="CX87" s="2673"/>
      <c r="CY87" s="2673"/>
      <c r="CZ87" s="2673"/>
      <c r="DA87" s="2673"/>
      <c r="DB87" s="2673"/>
      <c r="DC87" s="2673"/>
      <c r="DD87" s="2673"/>
      <c r="DE87" s="2673"/>
      <c r="DF87" s="2673"/>
      <c r="DG87" s="2673"/>
      <c r="DH87" s="2673"/>
      <c r="DI87" s="2673"/>
      <c r="DJ87" s="2673"/>
      <c r="DK87" s="2673"/>
      <c r="DL87" s="2673"/>
      <c r="DM87" s="2673"/>
      <c r="DN87" s="2673"/>
      <c r="DO87" s="2673"/>
      <c r="DP87" s="2673"/>
      <c r="DQ87" s="2673"/>
      <c r="DR87" s="2673"/>
      <c r="DS87" s="2673"/>
      <c r="DT87" s="2673"/>
      <c r="DU87" s="2673"/>
      <c r="DV87" s="2673"/>
      <c r="DW87" s="2673"/>
      <c r="DX87" s="2673"/>
      <c r="DY87" s="2673"/>
      <c r="DZ87" s="2673"/>
      <c r="EA87" s="2673"/>
      <c r="EB87" s="2673"/>
      <c r="EC87" s="2673"/>
      <c r="ED87" s="2673"/>
      <c r="EE87" s="2673"/>
      <c r="EF87" s="2673"/>
      <c r="EG87" s="2673"/>
      <c r="EH87" s="2673"/>
      <c r="EI87" s="2673"/>
      <c r="EJ87" s="2673"/>
      <c r="EK87" s="2673"/>
      <c r="EL87" s="2673"/>
      <c r="EM87" s="2673"/>
      <c r="EN87" s="2673"/>
      <c r="EO87" s="2673"/>
      <c r="EP87" s="2673"/>
      <c r="EQ87" s="2673"/>
      <c r="ER87" s="2673"/>
      <c r="ES87" s="2673"/>
      <c r="ET87" s="2673"/>
      <c r="EU87" s="2673"/>
      <c r="EV87" s="2673"/>
      <c r="EW87" s="2673"/>
      <c r="EX87" s="2673"/>
      <c r="EY87" s="2673"/>
      <c r="EZ87" s="2673"/>
      <c r="FA87" s="2673"/>
      <c r="FB87" s="2673"/>
      <c r="FC87" s="2673"/>
      <c r="FD87" s="2673"/>
      <c r="FE87" s="2673"/>
      <c r="FF87" s="2673"/>
      <c r="FG87" s="2673"/>
      <c r="FH87" s="2673"/>
      <c r="FI87" s="2673"/>
      <c r="FJ87" s="2673"/>
      <c r="FK87" s="2673"/>
      <c r="FL87" s="2673"/>
      <c r="FM87" s="2673"/>
      <c r="FN87" s="3038"/>
      <c r="FO87" s="3038"/>
      <c r="FP87" s="3038"/>
      <c r="FQ87" s="3038"/>
      <c r="FR87" s="3038"/>
      <c r="FS87" s="3038"/>
      <c r="FT87" s="3038"/>
      <c r="FU87" s="3038"/>
      <c r="FV87" s="3038"/>
      <c r="FW87" s="3038"/>
      <c r="FX87" s="3038"/>
      <c r="FY87" s="3038"/>
      <c r="FZ87" s="155"/>
      <c r="GA87" s="155"/>
      <c r="GB87" s="155"/>
      <c r="GC87" s="155"/>
      <c r="GD87" s="155"/>
      <c r="GE87" s="155"/>
      <c r="GF87" s="155"/>
      <c r="GG87" s="155"/>
      <c r="GH87" s="155"/>
      <c r="GI87" s="155"/>
      <c r="GJ87" s="155"/>
      <c r="GK87" s="155"/>
    </row>
    <row r="88" spans="2:193" ht="18.75" customHeight="1" x14ac:dyDescent="0.3">
      <c r="B88" s="3038"/>
      <c r="C88" s="3038"/>
      <c r="D88" s="3038"/>
      <c r="E88" s="3038"/>
      <c r="F88" s="3038"/>
      <c r="G88" s="3038"/>
      <c r="H88" s="3038"/>
      <c r="I88" s="3038"/>
      <c r="J88" s="3038"/>
      <c r="K88" s="3038"/>
      <c r="L88" s="3038"/>
      <c r="M88" s="3038"/>
      <c r="N88" s="3038"/>
      <c r="O88" s="3038"/>
      <c r="P88" s="3038"/>
      <c r="Q88" s="3038"/>
      <c r="R88" s="3038"/>
      <c r="S88" s="3038"/>
      <c r="T88" s="3038"/>
      <c r="U88" s="3038"/>
      <c r="V88" s="3038"/>
      <c r="W88" s="3038"/>
      <c r="X88" s="3038"/>
      <c r="Y88" s="3038"/>
      <c r="Z88" s="3038"/>
      <c r="AA88" s="3038"/>
      <c r="AB88" s="3038"/>
      <c r="AC88" s="3038"/>
      <c r="AD88" s="3038"/>
      <c r="AE88" s="3038"/>
      <c r="AF88" s="3038"/>
      <c r="AG88" s="3038"/>
      <c r="AH88" s="3038"/>
      <c r="AI88" s="3038"/>
      <c r="AJ88" s="3038"/>
      <c r="AK88" s="3038"/>
      <c r="AL88" s="3038"/>
      <c r="AM88" s="3038"/>
      <c r="AN88" s="3038"/>
      <c r="AO88" s="2673"/>
      <c r="AP88" s="2673"/>
      <c r="AQ88" s="2673"/>
      <c r="AR88" s="2673"/>
      <c r="AS88" s="2673"/>
      <c r="AT88" s="2673"/>
      <c r="AU88" s="2673"/>
      <c r="AV88" s="2673"/>
      <c r="AW88" s="2673"/>
      <c r="AX88" s="2673"/>
      <c r="AY88" s="2673"/>
      <c r="AZ88" s="2673"/>
      <c r="BA88" s="2673"/>
      <c r="BB88" s="2673"/>
      <c r="BC88" s="2673"/>
      <c r="BD88" s="2673"/>
      <c r="BE88" s="2673"/>
      <c r="BF88" s="2673"/>
      <c r="BG88" s="2673"/>
      <c r="BH88" s="2673"/>
      <c r="BI88" s="2673"/>
      <c r="BJ88" s="2673"/>
      <c r="BK88" s="2673"/>
      <c r="BL88" s="2673"/>
      <c r="BM88" s="2673"/>
      <c r="BN88" s="2673"/>
      <c r="BO88" s="2673"/>
      <c r="BP88" s="2673"/>
      <c r="BQ88" s="2673"/>
      <c r="BR88" s="2673"/>
      <c r="BS88" s="2673"/>
      <c r="BT88" s="2673"/>
      <c r="BU88" s="2673"/>
      <c r="BV88" s="2673"/>
      <c r="BW88" s="2673"/>
      <c r="BX88" s="2673"/>
      <c r="BY88" s="2673"/>
      <c r="BZ88" s="2673"/>
      <c r="CA88" s="2673"/>
      <c r="CB88" s="2673"/>
      <c r="CC88" s="2673"/>
      <c r="CD88" s="2673"/>
      <c r="CE88" s="2673"/>
      <c r="CF88" s="2673"/>
      <c r="CG88" s="2673"/>
      <c r="CH88" s="2673"/>
      <c r="CI88" s="2673"/>
      <c r="CJ88" s="2673"/>
      <c r="CK88" s="2673"/>
      <c r="CL88" s="2673"/>
      <c r="CM88" s="2673"/>
      <c r="CN88" s="2673"/>
      <c r="CO88" s="2673"/>
      <c r="CP88" s="2673"/>
      <c r="CQ88" s="2673"/>
      <c r="CR88" s="2673"/>
      <c r="CS88" s="2673"/>
      <c r="CT88" s="2673"/>
      <c r="CU88" s="2673"/>
      <c r="CV88" s="2673"/>
      <c r="CW88" s="2673"/>
      <c r="CX88" s="2673"/>
      <c r="CY88" s="2673"/>
      <c r="CZ88" s="2673"/>
      <c r="DA88" s="2673"/>
      <c r="DB88" s="2673"/>
      <c r="DC88" s="2673"/>
      <c r="DD88" s="2673"/>
      <c r="DE88" s="2673"/>
      <c r="DF88" s="2673"/>
      <c r="DG88" s="2673"/>
      <c r="DH88" s="2673"/>
      <c r="DI88" s="2673"/>
      <c r="DJ88" s="2673"/>
      <c r="DK88" s="2673"/>
      <c r="DL88" s="2673"/>
      <c r="DM88" s="2673"/>
      <c r="DN88" s="2673"/>
      <c r="DO88" s="2673"/>
      <c r="DP88" s="2673"/>
      <c r="DQ88" s="2673"/>
      <c r="DR88" s="2673"/>
      <c r="DS88" s="2673"/>
      <c r="DT88" s="2673"/>
      <c r="DU88" s="2673"/>
      <c r="DV88" s="2673"/>
      <c r="DW88" s="2673"/>
      <c r="DX88" s="2673"/>
      <c r="DY88" s="2673"/>
      <c r="DZ88" s="2673"/>
      <c r="EA88" s="2673"/>
      <c r="EB88" s="2673"/>
      <c r="EC88" s="2673"/>
      <c r="ED88" s="2673"/>
      <c r="EE88" s="2673"/>
      <c r="EF88" s="2673"/>
      <c r="EG88" s="2673"/>
      <c r="EH88" s="2673"/>
      <c r="EI88" s="2673"/>
      <c r="EJ88" s="2673"/>
      <c r="EK88" s="2673"/>
      <c r="EL88" s="2673"/>
      <c r="EM88" s="2673"/>
      <c r="EN88" s="2673"/>
      <c r="EO88" s="2673"/>
      <c r="EP88" s="2673"/>
      <c r="EQ88" s="2673"/>
      <c r="ER88" s="2673"/>
      <c r="ES88" s="2673"/>
      <c r="ET88" s="2673"/>
      <c r="EU88" s="2673"/>
      <c r="EV88" s="2673"/>
      <c r="EW88" s="2673"/>
      <c r="EX88" s="2673"/>
      <c r="EY88" s="2673"/>
      <c r="EZ88" s="2673"/>
      <c r="FA88" s="2673"/>
      <c r="FB88" s="2673"/>
      <c r="FC88" s="2673"/>
      <c r="FD88" s="2673"/>
      <c r="FE88" s="2673"/>
      <c r="FF88" s="2673"/>
      <c r="FG88" s="2673"/>
      <c r="FH88" s="2673"/>
      <c r="FI88" s="2673"/>
      <c r="FJ88" s="2673"/>
      <c r="FK88" s="2673"/>
      <c r="FL88" s="2673"/>
      <c r="FM88" s="2673"/>
      <c r="FN88" s="3038"/>
      <c r="FO88" s="3038"/>
      <c r="FP88" s="3038"/>
      <c r="FQ88" s="3038"/>
      <c r="FR88" s="3038"/>
      <c r="FS88" s="3038"/>
      <c r="FT88" s="3038"/>
      <c r="FU88" s="3038"/>
      <c r="FV88" s="3038"/>
      <c r="FW88" s="3038"/>
      <c r="FX88" s="3038"/>
      <c r="FY88" s="3038"/>
      <c r="FZ88" s="155"/>
      <c r="GA88" s="155"/>
      <c r="GB88" s="155"/>
      <c r="GC88" s="155"/>
      <c r="GD88" s="155"/>
      <c r="GE88" s="155"/>
      <c r="GF88" s="155"/>
      <c r="GG88" s="155"/>
      <c r="GH88" s="155"/>
      <c r="GI88" s="155"/>
      <c r="GJ88" s="155"/>
      <c r="GK88" s="155"/>
    </row>
    <row r="89" spans="2:193" ht="18.75" customHeight="1" x14ac:dyDescent="0.3">
      <c r="B89" s="3038"/>
      <c r="C89" s="3038"/>
      <c r="D89" s="3038"/>
      <c r="E89" s="3038"/>
      <c r="F89" s="3038"/>
      <c r="G89" s="3038"/>
      <c r="H89" s="3038"/>
      <c r="I89" s="3038"/>
      <c r="J89" s="3038"/>
      <c r="K89" s="3038"/>
      <c r="L89" s="3038"/>
      <c r="M89" s="3038"/>
      <c r="N89" s="3038"/>
      <c r="O89" s="3038"/>
      <c r="P89" s="3038"/>
      <c r="Q89" s="3038"/>
      <c r="R89" s="3038"/>
      <c r="S89" s="3038"/>
      <c r="T89" s="3038"/>
      <c r="U89" s="3038"/>
      <c r="V89" s="3038"/>
      <c r="W89" s="3038"/>
      <c r="X89" s="3038"/>
      <c r="Y89" s="3038"/>
      <c r="Z89" s="3038"/>
      <c r="AA89" s="3038"/>
      <c r="AB89" s="3038"/>
      <c r="AC89" s="3038"/>
      <c r="AD89" s="3038"/>
      <c r="AE89" s="3038"/>
      <c r="AF89" s="3038"/>
      <c r="AG89" s="3038"/>
      <c r="AH89" s="3038"/>
      <c r="AI89" s="3038"/>
      <c r="AJ89" s="3038"/>
      <c r="AK89" s="3038"/>
      <c r="AL89" s="3038"/>
      <c r="AM89" s="3038"/>
      <c r="AN89" s="3038"/>
      <c r="AO89" s="2673"/>
      <c r="AP89" s="2673"/>
      <c r="AQ89" s="2673"/>
      <c r="AR89" s="2673"/>
      <c r="AS89" s="2673"/>
      <c r="AT89" s="2673"/>
      <c r="AU89" s="2673"/>
      <c r="AV89" s="2673"/>
      <c r="AW89" s="2673"/>
      <c r="AX89" s="2673"/>
      <c r="AY89" s="2673"/>
      <c r="AZ89" s="2673"/>
      <c r="BA89" s="2673"/>
      <c r="BB89" s="2673"/>
      <c r="BC89" s="2673"/>
      <c r="BD89" s="2673"/>
      <c r="BE89" s="2673"/>
      <c r="BF89" s="2673"/>
      <c r="BG89" s="2673"/>
      <c r="BH89" s="2673"/>
      <c r="BI89" s="2673"/>
      <c r="BJ89" s="2673"/>
      <c r="BK89" s="2673"/>
      <c r="BL89" s="2673"/>
      <c r="BM89" s="2673"/>
      <c r="BN89" s="2673"/>
      <c r="BO89" s="2673"/>
      <c r="BP89" s="2673"/>
      <c r="BQ89" s="2673"/>
      <c r="BR89" s="2673"/>
      <c r="BS89" s="2673"/>
      <c r="BT89" s="2673"/>
      <c r="BU89" s="2673"/>
      <c r="BV89" s="2673"/>
      <c r="BW89" s="2673"/>
      <c r="BX89" s="2673"/>
      <c r="BY89" s="2673"/>
      <c r="BZ89" s="2673"/>
      <c r="CA89" s="2673"/>
      <c r="CB89" s="2673"/>
      <c r="CC89" s="2673"/>
      <c r="CD89" s="2673"/>
      <c r="CE89" s="2673"/>
      <c r="CF89" s="2673"/>
      <c r="CG89" s="2673"/>
      <c r="CH89" s="2673"/>
      <c r="CI89" s="2673"/>
      <c r="CJ89" s="2673"/>
      <c r="CK89" s="2673"/>
      <c r="CL89" s="2673"/>
      <c r="CM89" s="2673"/>
      <c r="CN89" s="2673"/>
      <c r="CO89" s="2673"/>
      <c r="CP89" s="2673"/>
      <c r="CQ89" s="2673"/>
      <c r="CR89" s="2673"/>
      <c r="CS89" s="2673"/>
      <c r="CT89" s="2673"/>
      <c r="CU89" s="2673"/>
      <c r="CV89" s="2673"/>
      <c r="CW89" s="2673"/>
      <c r="CX89" s="2673"/>
      <c r="CY89" s="2673"/>
      <c r="CZ89" s="2673"/>
      <c r="DA89" s="2673"/>
      <c r="DB89" s="2673"/>
      <c r="DC89" s="2673"/>
      <c r="DD89" s="2673"/>
      <c r="DE89" s="2673"/>
      <c r="DF89" s="2673"/>
      <c r="DG89" s="2673"/>
      <c r="DH89" s="2673"/>
      <c r="DI89" s="2673"/>
      <c r="DJ89" s="2673"/>
      <c r="DK89" s="2673"/>
      <c r="DL89" s="2673"/>
      <c r="DM89" s="2673"/>
      <c r="DN89" s="2673"/>
      <c r="DO89" s="2673"/>
      <c r="DP89" s="2673"/>
      <c r="DQ89" s="2673"/>
      <c r="DR89" s="2673"/>
      <c r="DS89" s="2673"/>
      <c r="DT89" s="2673"/>
      <c r="DU89" s="2673"/>
      <c r="DV89" s="2673"/>
      <c r="DW89" s="2673"/>
      <c r="DX89" s="2673"/>
      <c r="DY89" s="2673"/>
      <c r="DZ89" s="2673"/>
      <c r="EA89" s="2673"/>
      <c r="EB89" s="2673"/>
      <c r="EC89" s="2673"/>
      <c r="ED89" s="2673"/>
      <c r="EE89" s="2673"/>
      <c r="EF89" s="2673"/>
      <c r="EG89" s="2673"/>
      <c r="EH89" s="2673"/>
      <c r="EI89" s="2673"/>
      <c r="EJ89" s="2673"/>
      <c r="EK89" s="2673"/>
      <c r="EL89" s="2673"/>
      <c r="EM89" s="2673"/>
      <c r="EN89" s="2673"/>
      <c r="EO89" s="2673"/>
      <c r="EP89" s="2673"/>
      <c r="EQ89" s="2673"/>
      <c r="ER89" s="2673"/>
      <c r="ES89" s="2673"/>
      <c r="ET89" s="2673"/>
      <c r="EU89" s="2673"/>
      <c r="EV89" s="2673"/>
      <c r="EW89" s="2673"/>
      <c r="EX89" s="2673"/>
      <c r="EY89" s="2673"/>
      <c r="EZ89" s="2673"/>
      <c r="FA89" s="2673"/>
      <c r="FB89" s="2673"/>
      <c r="FC89" s="2673"/>
      <c r="FD89" s="2673"/>
      <c r="FE89" s="2673"/>
      <c r="FF89" s="2673"/>
      <c r="FG89" s="2673"/>
      <c r="FH89" s="2673"/>
      <c r="FI89" s="2673"/>
      <c r="FJ89" s="2673"/>
      <c r="FK89" s="2673"/>
      <c r="FL89" s="2673"/>
      <c r="FM89" s="2673"/>
      <c r="FN89" s="3038"/>
      <c r="FO89" s="3038"/>
      <c r="FP89" s="3038"/>
      <c r="FQ89" s="3038"/>
      <c r="FR89" s="3038"/>
      <c r="FS89" s="3038"/>
      <c r="FT89" s="3038"/>
      <c r="FU89" s="3038"/>
      <c r="FV89" s="3038"/>
      <c r="FW89" s="3038"/>
      <c r="FX89" s="3038"/>
      <c r="FY89" s="3038"/>
      <c r="FZ89" s="155"/>
      <c r="GA89" s="155"/>
      <c r="GB89" s="155"/>
      <c r="GC89" s="155"/>
      <c r="GD89" s="155"/>
      <c r="GE89" s="155"/>
      <c r="GF89" s="155"/>
      <c r="GG89" s="155"/>
      <c r="GH89" s="155"/>
      <c r="GI89" s="155"/>
      <c r="GJ89" s="155"/>
      <c r="GK89" s="155"/>
    </row>
    <row r="90" spans="2:193" ht="18.75" customHeight="1" x14ac:dyDescent="0.3">
      <c r="B90" s="3038"/>
      <c r="C90" s="3038"/>
      <c r="D90" s="3038"/>
      <c r="E90" s="3038"/>
      <c r="F90" s="3038"/>
      <c r="G90" s="3038"/>
      <c r="H90" s="3038"/>
      <c r="I90" s="3038"/>
      <c r="J90" s="3038"/>
      <c r="K90" s="3038"/>
      <c r="L90" s="3038"/>
      <c r="M90" s="3038"/>
      <c r="N90" s="3038"/>
      <c r="O90" s="3038"/>
      <c r="P90" s="3038"/>
      <c r="Q90" s="3038"/>
      <c r="R90" s="3038"/>
      <c r="S90" s="3038"/>
      <c r="T90" s="3038"/>
      <c r="U90" s="3038"/>
      <c r="V90" s="3038"/>
      <c r="W90" s="3038"/>
      <c r="X90" s="3038"/>
      <c r="Y90" s="3038"/>
      <c r="Z90" s="3038"/>
      <c r="AA90" s="3038"/>
      <c r="AB90" s="3038"/>
      <c r="AC90" s="3038"/>
      <c r="AD90" s="3038"/>
      <c r="AE90" s="3038"/>
      <c r="AF90" s="3038"/>
      <c r="AG90" s="3038"/>
      <c r="AH90" s="3038"/>
      <c r="AI90" s="3038"/>
      <c r="AJ90" s="3038"/>
      <c r="AK90" s="3038"/>
      <c r="AL90" s="3038"/>
      <c r="AM90" s="3038"/>
      <c r="AN90" s="3038"/>
      <c r="AO90" s="2673"/>
      <c r="AP90" s="2673"/>
      <c r="AQ90" s="2673"/>
      <c r="AR90" s="2673"/>
      <c r="AS90" s="2673"/>
      <c r="AT90" s="2673"/>
      <c r="AU90" s="2673"/>
      <c r="AV90" s="2673"/>
      <c r="AW90" s="2673"/>
      <c r="AX90" s="2673"/>
      <c r="AY90" s="2673"/>
      <c r="AZ90" s="2673"/>
      <c r="BA90" s="2673"/>
      <c r="BB90" s="2673"/>
      <c r="BC90" s="2673"/>
      <c r="BD90" s="2673"/>
      <c r="BE90" s="2673"/>
      <c r="BF90" s="2673"/>
      <c r="BG90" s="2673"/>
      <c r="BH90" s="2673"/>
      <c r="BI90" s="2673"/>
      <c r="BJ90" s="2673"/>
      <c r="BK90" s="2673"/>
      <c r="BL90" s="2673"/>
      <c r="BM90" s="2673"/>
      <c r="BN90" s="2673"/>
      <c r="BO90" s="2673"/>
      <c r="BP90" s="2673"/>
      <c r="BQ90" s="2673"/>
      <c r="BR90" s="2673"/>
      <c r="BS90" s="2673"/>
      <c r="BT90" s="2673"/>
      <c r="BU90" s="2673"/>
      <c r="BV90" s="2673"/>
      <c r="BW90" s="2673"/>
      <c r="BX90" s="2673"/>
      <c r="BY90" s="2673"/>
      <c r="BZ90" s="2673"/>
      <c r="CA90" s="2673"/>
      <c r="CB90" s="2673"/>
      <c r="CC90" s="2673"/>
      <c r="CD90" s="2673"/>
      <c r="CE90" s="2673"/>
      <c r="CF90" s="2673"/>
      <c r="CG90" s="2673"/>
      <c r="CH90" s="2673"/>
      <c r="CI90" s="2673"/>
      <c r="CJ90" s="2673"/>
      <c r="CK90" s="2673"/>
      <c r="CL90" s="2673"/>
      <c r="CM90" s="2673"/>
      <c r="CN90" s="2673"/>
      <c r="CO90" s="2673"/>
      <c r="CP90" s="2673"/>
      <c r="CQ90" s="2673"/>
      <c r="CR90" s="2673"/>
      <c r="CS90" s="2673"/>
      <c r="CT90" s="2673"/>
      <c r="CU90" s="2673"/>
      <c r="CV90" s="2673"/>
      <c r="CW90" s="2673"/>
      <c r="CX90" s="2673"/>
      <c r="CY90" s="2673"/>
      <c r="CZ90" s="2673"/>
      <c r="DA90" s="2673"/>
      <c r="DB90" s="2673"/>
      <c r="DC90" s="2673"/>
      <c r="DD90" s="2673"/>
      <c r="DE90" s="2673"/>
      <c r="DF90" s="2673"/>
      <c r="DG90" s="2673"/>
      <c r="DH90" s="2673"/>
      <c r="DI90" s="2673"/>
      <c r="DJ90" s="2673"/>
      <c r="DK90" s="2673"/>
      <c r="DL90" s="2673"/>
      <c r="DM90" s="2673"/>
      <c r="DN90" s="2673"/>
      <c r="DO90" s="2673"/>
      <c r="DP90" s="2673"/>
      <c r="DQ90" s="2673"/>
      <c r="DR90" s="2673"/>
      <c r="DS90" s="2673"/>
      <c r="DT90" s="2673"/>
      <c r="DU90" s="2673"/>
      <c r="DV90" s="2673"/>
      <c r="DW90" s="2673"/>
      <c r="DX90" s="2673"/>
      <c r="DY90" s="2673"/>
      <c r="DZ90" s="2673"/>
      <c r="EA90" s="2673"/>
      <c r="EB90" s="2673"/>
      <c r="EC90" s="2673"/>
      <c r="ED90" s="2673"/>
      <c r="EE90" s="2673"/>
      <c r="EF90" s="2673"/>
      <c r="EG90" s="2673"/>
      <c r="EH90" s="2673"/>
      <c r="EI90" s="2673"/>
      <c r="EJ90" s="2673"/>
      <c r="EK90" s="2673"/>
      <c r="EL90" s="2673"/>
      <c r="EM90" s="2673"/>
      <c r="EN90" s="2673"/>
      <c r="EO90" s="2673"/>
      <c r="EP90" s="2673"/>
      <c r="EQ90" s="2673"/>
      <c r="ER90" s="2673"/>
      <c r="ES90" s="2673"/>
      <c r="ET90" s="2673"/>
      <c r="EU90" s="2673"/>
      <c r="EV90" s="2673"/>
      <c r="EW90" s="2673"/>
      <c r="EX90" s="2673"/>
      <c r="EY90" s="2673"/>
      <c r="EZ90" s="2673"/>
      <c r="FA90" s="2673"/>
      <c r="FB90" s="2673"/>
      <c r="FC90" s="2673"/>
      <c r="FD90" s="2673"/>
      <c r="FE90" s="2673"/>
      <c r="FF90" s="2673"/>
      <c r="FG90" s="2673"/>
      <c r="FH90" s="2673"/>
      <c r="FI90" s="2673"/>
      <c r="FJ90" s="2673"/>
      <c r="FK90" s="2673"/>
      <c r="FL90" s="2673"/>
      <c r="FM90" s="2673"/>
      <c r="FN90" s="3038"/>
      <c r="FO90" s="3038"/>
      <c r="FP90" s="3038"/>
      <c r="FQ90" s="3038"/>
      <c r="FR90" s="3038"/>
      <c r="FS90" s="3038"/>
      <c r="FT90" s="3038"/>
      <c r="FU90" s="3038"/>
      <c r="FV90" s="3038"/>
      <c r="FW90" s="3038"/>
      <c r="FX90" s="3038"/>
      <c r="FY90" s="3038"/>
      <c r="FZ90" s="155"/>
      <c r="GA90" s="155"/>
      <c r="GB90" s="155"/>
      <c r="GC90" s="155"/>
      <c r="GD90" s="155"/>
      <c r="GE90" s="155"/>
      <c r="GF90" s="155"/>
      <c r="GG90" s="155"/>
      <c r="GH90" s="155"/>
      <c r="GI90" s="155"/>
      <c r="GJ90" s="155"/>
      <c r="GK90" s="155"/>
    </row>
    <row r="91" spans="2:193" ht="18.75" customHeight="1" x14ac:dyDescent="0.3">
      <c r="B91" s="3038"/>
      <c r="C91" s="3038"/>
      <c r="D91" s="3038"/>
      <c r="E91" s="3038"/>
      <c r="F91" s="3038"/>
      <c r="G91" s="3038"/>
      <c r="H91" s="3038"/>
      <c r="I91" s="3038"/>
      <c r="J91" s="3038"/>
      <c r="K91" s="3038"/>
      <c r="L91" s="3038"/>
      <c r="M91" s="3038"/>
      <c r="N91" s="3038"/>
      <c r="O91" s="3038"/>
      <c r="P91" s="3038"/>
      <c r="Q91" s="3038"/>
      <c r="R91" s="3038"/>
      <c r="S91" s="3038"/>
      <c r="T91" s="3038"/>
      <c r="U91" s="3038"/>
      <c r="V91" s="3038"/>
      <c r="W91" s="3038"/>
      <c r="X91" s="3038"/>
      <c r="Y91" s="3038"/>
      <c r="Z91" s="3038"/>
      <c r="AA91" s="3038"/>
      <c r="AB91" s="3038"/>
      <c r="AC91" s="3038"/>
      <c r="AD91" s="3038"/>
      <c r="AE91" s="3038"/>
      <c r="AF91" s="3038"/>
      <c r="AG91" s="3038"/>
      <c r="AH91" s="3038"/>
      <c r="AI91" s="3038"/>
      <c r="AJ91" s="3038"/>
      <c r="AK91" s="3038"/>
      <c r="AL91" s="3038"/>
      <c r="AM91" s="3038"/>
      <c r="AN91" s="3038"/>
      <c r="AO91" s="2673"/>
      <c r="AP91" s="2673"/>
      <c r="AQ91" s="2673"/>
      <c r="AR91" s="2673"/>
      <c r="AS91" s="2673"/>
      <c r="AT91" s="2673"/>
      <c r="AU91" s="2673"/>
      <c r="AV91" s="2673"/>
      <c r="AW91" s="2673"/>
      <c r="AX91" s="2673"/>
      <c r="AY91" s="2673"/>
      <c r="AZ91" s="2673"/>
      <c r="BA91" s="2673"/>
      <c r="BB91" s="2673"/>
      <c r="BC91" s="2673"/>
      <c r="BD91" s="2673"/>
      <c r="BE91" s="2673"/>
      <c r="BF91" s="2673"/>
      <c r="BG91" s="2673"/>
      <c r="BH91" s="2673"/>
      <c r="BI91" s="2673"/>
      <c r="BJ91" s="2673"/>
      <c r="BK91" s="2673"/>
      <c r="BL91" s="2673"/>
      <c r="BM91" s="2673"/>
      <c r="BN91" s="2673"/>
      <c r="BO91" s="2673"/>
      <c r="BP91" s="2673"/>
      <c r="BQ91" s="2673"/>
      <c r="BR91" s="2673"/>
      <c r="BS91" s="2673"/>
      <c r="BT91" s="2673"/>
      <c r="BU91" s="2673"/>
      <c r="BV91" s="2673"/>
      <c r="BW91" s="2673"/>
      <c r="BX91" s="2673"/>
      <c r="BY91" s="2673"/>
      <c r="BZ91" s="2673"/>
      <c r="CA91" s="2673"/>
      <c r="CB91" s="2673"/>
      <c r="CC91" s="2673"/>
      <c r="CD91" s="2673"/>
      <c r="CE91" s="2673"/>
      <c r="CF91" s="2673"/>
      <c r="CG91" s="2673"/>
      <c r="CH91" s="2673"/>
      <c r="CI91" s="2673"/>
      <c r="CJ91" s="2673"/>
      <c r="CK91" s="2673"/>
      <c r="CL91" s="2673"/>
      <c r="CM91" s="2673"/>
      <c r="CN91" s="2673"/>
      <c r="CO91" s="2673"/>
      <c r="CP91" s="2673"/>
      <c r="CQ91" s="2673"/>
      <c r="CR91" s="2673"/>
      <c r="CS91" s="2673"/>
      <c r="CT91" s="2673"/>
      <c r="CU91" s="2673"/>
      <c r="CV91" s="2673"/>
      <c r="CW91" s="2673"/>
      <c r="CX91" s="2673"/>
      <c r="CY91" s="2673"/>
      <c r="CZ91" s="2673"/>
      <c r="DA91" s="2673"/>
      <c r="DB91" s="2673"/>
      <c r="DC91" s="2673"/>
      <c r="DD91" s="2673"/>
      <c r="DE91" s="2673"/>
      <c r="DF91" s="2673"/>
      <c r="DG91" s="2673"/>
      <c r="DH91" s="2673"/>
      <c r="DI91" s="2673"/>
      <c r="DJ91" s="2673"/>
      <c r="DK91" s="2673"/>
      <c r="DL91" s="2673"/>
      <c r="DM91" s="2673"/>
      <c r="DN91" s="2673"/>
      <c r="DO91" s="2673"/>
      <c r="DP91" s="2673"/>
      <c r="DQ91" s="2673"/>
      <c r="DR91" s="2673"/>
      <c r="DS91" s="2673"/>
      <c r="DT91" s="2673"/>
      <c r="DU91" s="2673"/>
      <c r="DV91" s="2673"/>
      <c r="DW91" s="2673"/>
      <c r="DX91" s="2673"/>
      <c r="DY91" s="2673"/>
      <c r="DZ91" s="2673"/>
      <c r="EA91" s="2673"/>
      <c r="EB91" s="2673"/>
      <c r="EC91" s="2673"/>
      <c r="ED91" s="2673"/>
      <c r="EE91" s="2673"/>
      <c r="EF91" s="2673"/>
      <c r="EG91" s="2673"/>
      <c r="EH91" s="2673"/>
      <c r="EI91" s="2673"/>
      <c r="EJ91" s="2673"/>
      <c r="EK91" s="2673"/>
      <c r="EL91" s="2673"/>
      <c r="EM91" s="2673"/>
      <c r="EN91" s="2673"/>
      <c r="EO91" s="2673"/>
      <c r="EP91" s="2673"/>
      <c r="EQ91" s="2673"/>
      <c r="ER91" s="2673"/>
      <c r="ES91" s="2673"/>
      <c r="ET91" s="2673"/>
      <c r="EU91" s="2673"/>
      <c r="EV91" s="2673"/>
      <c r="EW91" s="2673"/>
      <c r="EX91" s="2673"/>
      <c r="EY91" s="2673"/>
      <c r="EZ91" s="2673"/>
      <c r="FA91" s="2673"/>
      <c r="FB91" s="2673"/>
      <c r="FC91" s="2673"/>
      <c r="FD91" s="2673"/>
      <c r="FE91" s="2673"/>
      <c r="FF91" s="2673"/>
      <c r="FG91" s="2673"/>
      <c r="FH91" s="2673"/>
      <c r="FI91" s="2673"/>
      <c r="FJ91" s="2673"/>
      <c r="FK91" s="2673"/>
      <c r="FL91" s="2673"/>
      <c r="FM91" s="2673"/>
      <c r="FN91" s="3038"/>
      <c r="FO91" s="3038"/>
      <c r="FP91" s="3038"/>
      <c r="FQ91" s="3038"/>
      <c r="FR91" s="3038"/>
      <c r="FS91" s="3038"/>
      <c r="FT91" s="3038"/>
      <c r="FU91" s="3038"/>
      <c r="FV91" s="3038"/>
      <c r="FW91" s="3038"/>
      <c r="FX91" s="3038"/>
      <c r="FY91" s="3038"/>
      <c r="FZ91" s="155"/>
      <c r="GA91" s="155"/>
      <c r="GB91" s="155"/>
      <c r="GC91" s="155"/>
      <c r="GD91" s="155"/>
      <c r="GE91" s="155"/>
      <c r="GF91" s="155"/>
      <c r="GG91" s="155"/>
      <c r="GH91" s="155"/>
      <c r="GI91" s="155"/>
      <c r="GJ91" s="155"/>
      <c r="GK91" s="155"/>
    </row>
    <row r="92" spans="2:193" ht="18.75" customHeight="1" x14ac:dyDescent="0.3">
      <c r="B92" s="3038"/>
      <c r="C92" s="3038"/>
      <c r="D92" s="3038"/>
      <c r="E92" s="3038"/>
      <c r="F92" s="3038"/>
      <c r="G92" s="3038"/>
      <c r="H92" s="3038"/>
      <c r="I92" s="3038"/>
      <c r="J92" s="3038"/>
      <c r="K92" s="3038"/>
      <c r="L92" s="3038"/>
      <c r="M92" s="3038"/>
      <c r="N92" s="3038"/>
      <c r="O92" s="3038"/>
      <c r="P92" s="3038"/>
      <c r="Q92" s="3038"/>
      <c r="R92" s="3038"/>
      <c r="S92" s="3038"/>
      <c r="T92" s="3038"/>
      <c r="U92" s="3038"/>
      <c r="V92" s="3038"/>
      <c r="W92" s="3038"/>
      <c r="X92" s="3038"/>
      <c r="Y92" s="3038"/>
      <c r="Z92" s="3038"/>
      <c r="AA92" s="3038"/>
      <c r="AB92" s="3038"/>
      <c r="AC92" s="3038"/>
      <c r="AD92" s="3038"/>
      <c r="AE92" s="3038"/>
      <c r="AF92" s="3038"/>
      <c r="AG92" s="3038"/>
      <c r="AH92" s="3038"/>
      <c r="AI92" s="3038"/>
      <c r="AJ92" s="3038"/>
      <c r="AK92" s="3038"/>
      <c r="AL92" s="3038"/>
      <c r="AM92" s="3038"/>
      <c r="AN92" s="3038"/>
      <c r="AO92" s="2673"/>
      <c r="AP92" s="2673"/>
      <c r="AQ92" s="2673"/>
      <c r="AR92" s="2673"/>
      <c r="AS92" s="2673"/>
      <c r="AT92" s="2673"/>
      <c r="AU92" s="2673"/>
      <c r="AV92" s="2673"/>
      <c r="AW92" s="2673"/>
      <c r="AX92" s="2673"/>
      <c r="AY92" s="2673"/>
      <c r="AZ92" s="2673"/>
      <c r="BA92" s="2673"/>
      <c r="BB92" s="2673"/>
      <c r="BC92" s="2673"/>
      <c r="BD92" s="2673"/>
      <c r="BE92" s="2673"/>
      <c r="BF92" s="2673"/>
      <c r="BG92" s="2673"/>
      <c r="BH92" s="2673"/>
      <c r="BI92" s="2673"/>
      <c r="BJ92" s="2673"/>
      <c r="BK92" s="2673"/>
      <c r="BL92" s="2673"/>
      <c r="BM92" s="2673"/>
      <c r="BN92" s="2673"/>
      <c r="BO92" s="2673"/>
      <c r="BP92" s="2673"/>
      <c r="BQ92" s="2673"/>
      <c r="BR92" s="2673"/>
      <c r="BS92" s="2673"/>
      <c r="BT92" s="2673"/>
      <c r="BU92" s="2673"/>
      <c r="BV92" s="2673"/>
      <c r="BW92" s="2673"/>
      <c r="BX92" s="2673"/>
      <c r="BY92" s="2673"/>
      <c r="BZ92" s="2673"/>
      <c r="CA92" s="2673"/>
      <c r="CB92" s="2673"/>
      <c r="CC92" s="2673"/>
      <c r="CD92" s="2673"/>
      <c r="CE92" s="2673"/>
      <c r="CF92" s="2673"/>
      <c r="CG92" s="2673"/>
      <c r="CH92" s="2673"/>
      <c r="CI92" s="2673"/>
      <c r="CJ92" s="2673"/>
      <c r="CK92" s="2673"/>
      <c r="CL92" s="2673"/>
      <c r="CM92" s="2673"/>
      <c r="CN92" s="2673"/>
      <c r="CO92" s="2673"/>
      <c r="CP92" s="2673"/>
      <c r="CQ92" s="2673"/>
      <c r="CR92" s="2673"/>
      <c r="CS92" s="2673"/>
      <c r="CT92" s="2673"/>
      <c r="CU92" s="2673"/>
      <c r="CV92" s="2673"/>
      <c r="CW92" s="2673"/>
      <c r="CX92" s="2673"/>
      <c r="CY92" s="2673"/>
      <c r="CZ92" s="2673"/>
      <c r="DA92" s="2673"/>
      <c r="DB92" s="2673"/>
      <c r="DC92" s="2673"/>
      <c r="DD92" s="2673"/>
      <c r="DE92" s="2673"/>
      <c r="DF92" s="2673"/>
      <c r="DG92" s="2673"/>
      <c r="DH92" s="2673"/>
      <c r="DI92" s="2673"/>
      <c r="DJ92" s="2673"/>
      <c r="DK92" s="2673"/>
      <c r="DL92" s="2673"/>
      <c r="DM92" s="2673"/>
      <c r="DN92" s="2673"/>
      <c r="DO92" s="2673"/>
      <c r="DP92" s="2673"/>
      <c r="DQ92" s="2673"/>
      <c r="DR92" s="2673"/>
      <c r="DS92" s="2673"/>
      <c r="DT92" s="2673"/>
      <c r="DU92" s="2673"/>
      <c r="DV92" s="2673"/>
      <c r="DW92" s="2673"/>
      <c r="DX92" s="2673"/>
      <c r="DY92" s="2673"/>
      <c r="DZ92" s="2673"/>
      <c r="EA92" s="2673"/>
      <c r="EB92" s="2673"/>
      <c r="EC92" s="2673"/>
      <c r="ED92" s="2673"/>
      <c r="EE92" s="2673"/>
      <c r="EF92" s="2673"/>
      <c r="EG92" s="2673"/>
      <c r="EH92" s="2673"/>
      <c r="EI92" s="2673"/>
      <c r="EJ92" s="2673"/>
      <c r="EK92" s="2673"/>
      <c r="EL92" s="2673"/>
      <c r="EM92" s="2673"/>
      <c r="EN92" s="2673"/>
      <c r="EO92" s="2673"/>
      <c r="EP92" s="2673"/>
      <c r="EQ92" s="2673"/>
      <c r="ER92" s="2673"/>
      <c r="ES92" s="2673"/>
      <c r="ET92" s="2673"/>
      <c r="EU92" s="2673"/>
      <c r="EV92" s="2673"/>
      <c r="EW92" s="2673"/>
      <c r="EX92" s="2673"/>
      <c r="EY92" s="2673"/>
      <c r="EZ92" s="2673"/>
      <c r="FA92" s="2673"/>
      <c r="FB92" s="2673"/>
      <c r="FC92" s="2673"/>
      <c r="FD92" s="2673"/>
      <c r="FE92" s="2673"/>
      <c r="FF92" s="2673"/>
      <c r="FG92" s="2673"/>
      <c r="FH92" s="2673"/>
      <c r="FI92" s="2673"/>
      <c r="FJ92" s="2673"/>
      <c r="FK92" s="2673"/>
      <c r="FL92" s="2673"/>
      <c r="FM92" s="2673"/>
      <c r="FN92" s="3038"/>
      <c r="FO92" s="3038"/>
      <c r="FP92" s="3038"/>
      <c r="FQ92" s="3038"/>
      <c r="FR92" s="3038"/>
      <c r="FS92" s="3038"/>
      <c r="FT92" s="3038"/>
      <c r="FU92" s="3038"/>
      <c r="FV92" s="3038"/>
      <c r="FW92" s="3038"/>
      <c r="FX92" s="3038"/>
      <c r="FY92" s="3038"/>
      <c r="FZ92" s="155"/>
      <c r="GA92" s="155"/>
      <c r="GB92" s="155"/>
      <c r="GC92" s="155"/>
      <c r="GD92" s="155"/>
      <c r="GE92" s="155"/>
      <c r="GF92" s="155"/>
      <c r="GG92" s="155"/>
      <c r="GH92" s="155"/>
      <c r="GI92" s="155"/>
      <c r="GJ92" s="155"/>
      <c r="GK92" s="155"/>
    </row>
    <row r="93" spans="2:193" ht="18.75" customHeight="1" x14ac:dyDescent="0.3">
      <c r="B93" s="3038"/>
      <c r="C93" s="3038"/>
      <c r="D93" s="3038"/>
      <c r="E93" s="3038"/>
      <c r="F93" s="3038"/>
      <c r="G93" s="3038"/>
      <c r="H93" s="3038"/>
      <c r="I93" s="3038"/>
      <c r="J93" s="3038"/>
      <c r="K93" s="3038"/>
      <c r="L93" s="3038"/>
      <c r="M93" s="3038"/>
      <c r="N93" s="3038"/>
      <c r="O93" s="3038"/>
      <c r="P93" s="3038"/>
      <c r="Q93" s="3038"/>
      <c r="R93" s="3038"/>
      <c r="S93" s="3038"/>
      <c r="T93" s="3038"/>
      <c r="U93" s="3038"/>
      <c r="V93" s="3038"/>
      <c r="W93" s="3038"/>
      <c r="X93" s="3038"/>
      <c r="Y93" s="3038"/>
      <c r="Z93" s="3038"/>
      <c r="AA93" s="3038"/>
      <c r="AB93" s="3038"/>
      <c r="AC93" s="3038"/>
      <c r="AD93" s="3038"/>
      <c r="AE93" s="3038"/>
      <c r="AF93" s="3038"/>
      <c r="AG93" s="3038"/>
      <c r="AH93" s="3038"/>
      <c r="AI93" s="3038"/>
      <c r="AJ93" s="3038"/>
      <c r="AK93" s="3038"/>
      <c r="AL93" s="3038"/>
      <c r="AM93" s="3038"/>
      <c r="AN93" s="3038"/>
      <c r="AO93" s="2673"/>
      <c r="AP93" s="2673"/>
      <c r="AQ93" s="2673"/>
      <c r="AR93" s="2673"/>
      <c r="AS93" s="2673"/>
      <c r="AT93" s="2673"/>
      <c r="AU93" s="2673"/>
      <c r="AV93" s="2673"/>
      <c r="AW93" s="2673"/>
      <c r="AX93" s="2673"/>
      <c r="AY93" s="2673"/>
      <c r="AZ93" s="2673"/>
      <c r="BA93" s="2673"/>
      <c r="BB93" s="2673"/>
      <c r="BC93" s="2673"/>
      <c r="BD93" s="2673"/>
      <c r="BE93" s="2673"/>
      <c r="BF93" s="2673"/>
      <c r="BG93" s="2673"/>
      <c r="BH93" s="2673"/>
      <c r="BI93" s="2673"/>
      <c r="BJ93" s="2673"/>
      <c r="BK93" s="2673"/>
      <c r="BL93" s="2673"/>
      <c r="BM93" s="2673"/>
      <c r="BN93" s="2673"/>
      <c r="BO93" s="2673"/>
      <c r="BP93" s="2673"/>
      <c r="BQ93" s="2673"/>
      <c r="BR93" s="2673"/>
      <c r="BS93" s="2673"/>
      <c r="BT93" s="2673"/>
      <c r="BU93" s="2673"/>
      <c r="BV93" s="2673"/>
      <c r="BW93" s="2673"/>
      <c r="BX93" s="2673"/>
      <c r="BY93" s="2673"/>
      <c r="BZ93" s="2673"/>
      <c r="CA93" s="2673"/>
      <c r="CB93" s="2673"/>
      <c r="CC93" s="2673"/>
      <c r="CD93" s="2673"/>
      <c r="CE93" s="2673"/>
      <c r="CF93" s="2673"/>
      <c r="CG93" s="2673"/>
      <c r="CH93" s="2673"/>
      <c r="CI93" s="2673"/>
      <c r="CJ93" s="2673"/>
      <c r="CK93" s="2673"/>
      <c r="CL93" s="2673"/>
      <c r="CM93" s="2673"/>
      <c r="CN93" s="2673"/>
      <c r="CO93" s="2673"/>
      <c r="CP93" s="2673"/>
      <c r="CQ93" s="2673"/>
      <c r="CR93" s="2673"/>
      <c r="CS93" s="2673"/>
      <c r="CT93" s="2673"/>
      <c r="CU93" s="2673"/>
      <c r="CV93" s="2673"/>
      <c r="CW93" s="2673"/>
      <c r="CX93" s="2673"/>
      <c r="CY93" s="2673"/>
      <c r="CZ93" s="2673"/>
      <c r="DA93" s="2673"/>
      <c r="DB93" s="2673"/>
      <c r="DC93" s="2673"/>
      <c r="DD93" s="2673"/>
      <c r="DE93" s="2673"/>
      <c r="DF93" s="2673"/>
      <c r="DG93" s="2673"/>
      <c r="DH93" s="2673"/>
      <c r="DI93" s="2673"/>
      <c r="DJ93" s="2673"/>
      <c r="DK93" s="2673"/>
      <c r="DL93" s="2673"/>
      <c r="DM93" s="2673"/>
      <c r="DN93" s="2673"/>
      <c r="DO93" s="2673"/>
      <c r="DP93" s="2673"/>
      <c r="DQ93" s="2673"/>
      <c r="DR93" s="2673"/>
      <c r="DS93" s="2673"/>
      <c r="DT93" s="2673"/>
      <c r="DU93" s="2673"/>
      <c r="DV93" s="2673"/>
      <c r="DW93" s="2673"/>
      <c r="DX93" s="2673"/>
      <c r="DY93" s="2673"/>
      <c r="DZ93" s="2673"/>
      <c r="EA93" s="2673"/>
      <c r="EB93" s="2673"/>
      <c r="EC93" s="2673"/>
      <c r="ED93" s="2673"/>
      <c r="EE93" s="2673"/>
      <c r="EF93" s="2673"/>
      <c r="EG93" s="2673"/>
      <c r="EH93" s="2673"/>
      <c r="EI93" s="2673"/>
      <c r="EJ93" s="2673"/>
      <c r="EK93" s="2673"/>
      <c r="EL93" s="2673"/>
      <c r="EM93" s="2673"/>
      <c r="EN93" s="2673"/>
      <c r="EO93" s="2673"/>
      <c r="EP93" s="2673"/>
      <c r="EQ93" s="2673"/>
      <c r="ER93" s="2673"/>
      <c r="ES93" s="2673"/>
      <c r="ET93" s="2673"/>
      <c r="EU93" s="2673"/>
      <c r="EV93" s="2673"/>
      <c r="EW93" s="2673"/>
      <c r="EX93" s="2673"/>
      <c r="EY93" s="2673"/>
      <c r="EZ93" s="2673"/>
      <c r="FA93" s="2673"/>
      <c r="FB93" s="2673"/>
      <c r="FC93" s="2673"/>
      <c r="FD93" s="2673"/>
      <c r="FE93" s="2673"/>
      <c r="FF93" s="2673"/>
      <c r="FG93" s="2673"/>
      <c r="FH93" s="2673"/>
      <c r="FI93" s="2673"/>
      <c r="FJ93" s="2673"/>
      <c r="FK93" s="2673"/>
      <c r="FL93" s="2673"/>
      <c r="FM93" s="2673"/>
      <c r="FN93" s="3038"/>
      <c r="FO93" s="3038"/>
      <c r="FP93" s="3038"/>
      <c r="FQ93" s="3038"/>
      <c r="FR93" s="3038"/>
      <c r="FS93" s="3038"/>
      <c r="FT93" s="3038"/>
      <c r="FU93" s="3038"/>
      <c r="FV93" s="3038"/>
      <c r="FW93" s="3038"/>
      <c r="FX93" s="3038"/>
      <c r="FY93" s="3038"/>
      <c r="FZ93" s="155"/>
      <c r="GA93" s="155"/>
      <c r="GB93" s="155"/>
      <c r="GC93" s="155"/>
      <c r="GD93" s="155"/>
      <c r="GE93" s="155"/>
      <c r="GF93" s="155"/>
      <c r="GG93" s="155"/>
      <c r="GH93" s="155"/>
      <c r="GI93" s="155"/>
      <c r="GJ93" s="155"/>
      <c r="GK93" s="155"/>
    </row>
    <row r="94" spans="2:193" ht="18.75" customHeight="1" x14ac:dyDescent="0.3">
      <c r="B94" s="3038"/>
      <c r="C94" s="3038"/>
      <c r="D94" s="3038"/>
      <c r="E94" s="3038"/>
      <c r="F94" s="3038"/>
      <c r="G94" s="3038"/>
      <c r="H94" s="3038"/>
      <c r="I94" s="3038"/>
      <c r="J94" s="3038"/>
      <c r="K94" s="3038"/>
      <c r="L94" s="3038"/>
      <c r="M94" s="3038"/>
      <c r="N94" s="3038"/>
      <c r="O94" s="3038"/>
      <c r="P94" s="3038"/>
      <c r="Q94" s="3038"/>
      <c r="R94" s="3038"/>
      <c r="S94" s="3038"/>
      <c r="T94" s="3038"/>
      <c r="U94" s="3038"/>
      <c r="V94" s="3038"/>
      <c r="W94" s="3038"/>
      <c r="X94" s="3038"/>
      <c r="Y94" s="3038"/>
      <c r="Z94" s="3038"/>
      <c r="AA94" s="3038"/>
      <c r="AB94" s="3038"/>
      <c r="AC94" s="3038"/>
      <c r="AD94" s="3038"/>
      <c r="AE94" s="3038"/>
      <c r="AF94" s="3038"/>
      <c r="AG94" s="3038"/>
      <c r="AH94" s="3038"/>
      <c r="AI94" s="3038"/>
      <c r="AJ94" s="3038"/>
      <c r="AK94" s="3038"/>
      <c r="AL94" s="3038"/>
      <c r="AM94" s="3038"/>
      <c r="AN94" s="3038"/>
      <c r="AO94" s="2673"/>
      <c r="AP94" s="2673"/>
      <c r="AQ94" s="2673"/>
      <c r="AR94" s="2673"/>
      <c r="AS94" s="2673"/>
      <c r="AT94" s="2673"/>
      <c r="AU94" s="2673"/>
      <c r="AV94" s="2673"/>
      <c r="AW94" s="2673"/>
      <c r="AX94" s="2673"/>
      <c r="AY94" s="2673"/>
      <c r="AZ94" s="2673"/>
      <c r="BA94" s="2673"/>
      <c r="BB94" s="2673"/>
      <c r="BC94" s="2673"/>
      <c r="BD94" s="2673"/>
      <c r="BE94" s="2673"/>
      <c r="BF94" s="2673"/>
      <c r="BG94" s="2673"/>
      <c r="BH94" s="2673"/>
      <c r="BI94" s="2673"/>
      <c r="BJ94" s="2673"/>
      <c r="BK94" s="2673"/>
      <c r="BL94" s="2673"/>
      <c r="BM94" s="2673"/>
      <c r="BN94" s="2673"/>
      <c r="BO94" s="2673"/>
      <c r="BP94" s="2673"/>
      <c r="BQ94" s="2673"/>
      <c r="BR94" s="2673"/>
      <c r="BS94" s="2673"/>
      <c r="BT94" s="2673"/>
      <c r="BU94" s="2673"/>
      <c r="BV94" s="2673"/>
      <c r="BW94" s="2673"/>
      <c r="BX94" s="2673"/>
      <c r="BY94" s="2673"/>
      <c r="BZ94" s="2673"/>
      <c r="CA94" s="2673"/>
      <c r="CB94" s="2673"/>
      <c r="CC94" s="2673"/>
      <c r="CD94" s="2673"/>
      <c r="CE94" s="2673"/>
      <c r="CF94" s="2673"/>
      <c r="CG94" s="2673"/>
      <c r="CH94" s="2673"/>
      <c r="CI94" s="2673"/>
      <c r="CJ94" s="2673"/>
      <c r="CK94" s="2673"/>
      <c r="CL94" s="2673"/>
      <c r="CM94" s="2673"/>
      <c r="CN94" s="2673"/>
      <c r="CO94" s="2673"/>
      <c r="CP94" s="2673"/>
      <c r="CQ94" s="2673"/>
      <c r="CR94" s="2673"/>
      <c r="CS94" s="2673"/>
      <c r="CT94" s="2673"/>
      <c r="CU94" s="2673"/>
      <c r="CV94" s="2673"/>
      <c r="CW94" s="2673"/>
      <c r="CX94" s="2673"/>
      <c r="CY94" s="2673"/>
      <c r="CZ94" s="2673"/>
      <c r="DA94" s="2673"/>
      <c r="DB94" s="2673"/>
      <c r="DC94" s="2673"/>
      <c r="DD94" s="2673"/>
      <c r="DE94" s="2673"/>
      <c r="DF94" s="2673"/>
      <c r="DG94" s="2673"/>
      <c r="DH94" s="2673"/>
      <c r="DI94" s="2673"/>
      <c r="DJ94" s="2673"/>
      <c r="DK94" s="2673"/>
      <c r="DL94" s="2673"/>
      <c r="DM94" s="2673"/>
      <c r="DN94" s="2673"/>
      <c r="DO94" s="2673"/>
      <c r="DP94" s="2673"/>
      <c r="DQ94" s="2673"/>
      <c r="DR94" s="2673"/>
      <c r="DS94" s="2673"/>
      <c r="DT94" s="2673"/>
      <c r="DU94" s="2673"/>
      <c r="DV94" s="2673"/>
      <c r="DW94" s="2673"/>
      <c r="DX94" s="2673"/>
      <c r="DY94" s="2673"/>
      <c r="DZ94" s="2673"/>
      <c r="EA94" s="2673"/>
      <c r="EB94" s="2673"/>
      <c r="EC94" s="2673"/>
      <c r="ED94" s="2673"/>
      <c r="EE94" s="2673"/>
      <c r="EF94" s="2673"/>
      <c r="EG94" s="2673"/>
      <c r="EH94" s="2673"/>
      <c r="EI94" s="2673"/>
      <c r="EJ94" s="2673"/>
      <c r="EK94" s="2673"/>
      <c r="EL94" s="2673"/>
      <c r="EM94" s="2673"/>
      <c r="EN94" s="2673"/>
      <c r="EO94" s="2673"/>
      <c r="EP94" s="2673"/>
      <c r="EQ94" s="2673"/>
      <c r="ER94" s="2673"/>
      <c r="ES94" s="2673"/>
      <c r="ET94" s="2673"/>
      <c r="EU94" s="2673"/>
      <c r="EV94" s="2673"/>
      <c r="EW94" s="2673"/>
      <c r="EX94" s="2673"/>
      <c r="EY94" s="2673"/>
      <c r="EZ94" s="2673"/>
      <c r="FA94" s="2673"/>
      <c r="FB94" s="2673"/>
      <c r="FC94" s="2673"/>
      <c r="FD94" s="2673"/>
      <c r="FE94" s="2673"/>
      <c r="FF94" s="2673"/>
      <c r="FG94" s="2673"/>
      <c r="FH94" s="2673"/>
      <c r="FI94" s="2673"/>
      <c r="FJ94" s="2673"/>
      <c r="FK94" s="2673"/>
      <c r="FL94" s="2673"/>
      <c r="FM94" s="2673"/>
      <c r="FN94" s="3038"/>
      <c r="FO94" s="3038"/>
      <c r="FP94" s="3038"/>
      <c r="FQ94" s="3038"/>
      <c r="FR94" s="3038"/>
      <c r="FS94" s="3038"/>
      <c r="FT94" s="3038"/>
      <c r="FU94" s="3038"/>
      <c r="FV94" s="3038"/>
      <c r="FW94" s="3038"/>
      <c r="FX94" s="3038"/>
      <c r="FY94" s="3038"/>
      <c r="FZ94" s="155"/>
      <c r="GA94" s="155"/>
      <c r="GB94" s="155"/>
      <c r="GC94" s="155"/>
      <c r="GD94" s="155"/>
      <c r="GE94" s="155"/>
      <c r="GF94" s="155"/>
      <c r="GG94" s="155"/>
      <c r="GH94" s="155"/>
      <c r="GI94" s="155"/>
      <c r="GJ94" s="155"/>
      <c r="GK94" s="155"/>
    </row>
    <row r="95" spans="2:193" ht="18.75" customHeight="1" x14ac:dyDescent="0.3">
      <c r="B95" s="3038"/>
      <c r="C95" s="3038"/>
      <c r="D95" s="3038"/>
      <c r="E95" s="3038"/>
      <c r="F95" s="3038"/>
      <c r="G95" s="3038"/>
      <c r="H95" s="3038"/>
      <c r="I95" s="3038"/>
      <c r="J95" s="3038"/>
      <c r="K95" s="3038"/>
      <c r="L95" s="3038"/>
      <c r="M95" s="3038"/>
      <c r="N95" s="3038"/>
      <c r="O95" s="3038"/>
      <c r="P95" s="3038"/>
      <c r="Q95" s="3038"/>
      <c r="R95" s="3038"/>
      <c r="S95" s="3038"/>
      <c r="T95" s="3038"/>
      <c r="U95" s="3038"/>
      <c r="V95" s="3038"/>
      <c r="W95" s="3038"/>
      <c r="X95" s="3038"/>
      <c r="Y95" s="3038"/>
      <c r="Z95" s="3038"/>
      <c r="AA95" s="3038"/>
      <c r="AB95" s="3038"/>
      <c r="AC95" s="3038"/>
      <c r="AD95" s="3038"/>
      <c r="AE95" s="3038"/>
      <c r="AF95" s="3038"/>
      <c r="AG95" s="3038"/>
      <c r="AH95" s="3038"/>
      <c r="AI95" s="3038"/>
      <c r="AJ95" s="3038"/>
      <c r="AK95" s="3038"/>
      <c r="AL95" s="3038"/>
      <c r="AM95" s="3038"/>
      <c r="AN95" s="3038"/>
      <c r="AO95" s="2673"/>
      <c r="AP95" s="2673"/>
      <c r="AQ95" s="2673"/>
      <c r="AR95" s="2673"/>
      <c r="AS95" s="2673"/>
      <c r="AT95" s="2673"/>
      <c r="AU95" s="2673"/>
      <c r="AV95" s="2673"/>
      <c r="AW95" s="2673"/>
      <c r="AX95" s="2673"/>
      <c r="AY95" s="2673"/>
      <c r="AZ95" s="2673"/>
      <c r="BA95" s="2673"/>
      <c r="BB95" s="2673"/>
      <c r="BC95" s="2673"/>
      <c r="BD95" s="2673"/>
      <c r="BE95" s="2673"/>
      <c r="BF95" s="2673"/>
      <c r="BG95" s="2673"/>
      <c r="BH95" s="2673"/>
      <c r="BI95" s="2673"/>
      <c r="BJ95" s="2673"/>
      <c r="BK95" s="2673"/>
      <c r="BL95" s="2673"/>
      <c r="BM95" s="2673"/>
      <c r="BN95" s="2673"/>
      <c r="BO95" s="2673"/>
      <c r="BP95" s="2673"/>
      <c r="BQ95" s="2673"/>
      <c r="BR95" s="2673"/>
      <c r="BS95" s="2673"/>
      <c r="BT95" s="2673"/>
      <c r="BU95" s="2673"/>
      <c r="BV95" s="2673"/>
      <c r="BW95" s="2673"/>
      <c r="BX95" s="2673"/>
      <c r="BY95" s="2673"/>
      <c r="BZ95" s="2673"/>
      <c r="CA95" s="2673"/>
      <c r="CB95" s="2673"/>
      <c r="CC95" s="2673"/>
      <c r="CD95" s="2673"/>
      <c r="CE95" s="2673"/>
      <c r="CF95" s="2673"/>
      <c r="CG95" s="2673"/>
      <c r="CH95" s="2673"/>
      <c r="CI95" s="2673"/>
      <c r="CJ95" s="2673"/>
      <c r="CK95" s="2673"/>
      <c r="CL95" s="2673"/>
      <c r="CM95" s="2673"/>
      <c r="CN95" s="2673"/>
      <c r="CO95" s="2673"/>
      <c r="CP95" s="2673"/>
      <c r="CQ95" s="2673"/>
      <c r="CR95" s="2673"/>
      <c r="CS95" s="2673"/>
      <c r="CT95" s="2673"/>
      <c r="CU95" s="2673"/>
      <c r="CV95" s="2673"/>
      <c r="CW95" s="2673"/>
      <c r="CX95" s="2673"/>
      <c r="CY95" s="2673"/>
      <c r="CZ95" s="2673"/>
      <c r="DA95" s="2673"/>
      <c r="DB95" s="2673"/>
      <c r="DC95" s="2673"/>
      <c r="DD95" s="2673"/>
      <c r="DE95" s="2673"/>
      <c r="DF95" s="2673"/>
      <c r="DG95" s="2673"/>
      <c r="DH95" s="2673"/>
      <c r="DI95" s="2673"/>
      <c r="DJ95" s="2673"/>
      <c r="DK95" s="2673"/>
      <c r="DL95" s="2673"/>
      <c r="DM95" s="2673"/>
      <c r="DN95" s="2673"/>
      <c r="DO95" s="2673"/>
      <c r="DP95" s="2673"/>
      <c r="DQ95" s="2673"/>
      <c r="DR95" s="2673"/>
      <c r="DS95" s="2673"/>
      <c r="DT95" s="2673"/>
      <c r="DU95" s="2673"/>
      <c r="DV95" s="2673"/>
      <c r="DW95" s="2673"/>
      <c r="DX95" s="2673"/>
      <c r="DY95" s="2673"/>
      <c r="DZ95" s="2673"/>
      <c r="EA95" s="2673"/>
      <c r="EB95" s="2673"/>
      <c r="EC95" s="2673"/>
      <c r="ED95" s="2673"/>
      <c r="EE95" s="2673"/>
      <c r="EF95" s="2673"/>
      <c r="EG95" s="2673"/>
      <c r="EH95" s="2673"/>
      <c r="EI95" s="2673"/>
      <c r="EJ95" s="2673"/>
      <c r="EK95" s="2673"/>
      <c r="EL95" s="2673"/>
      <c r="EM95" s="2673"/>
      <c r="EN95" s="2673"/>
      <c r="EO95" s="2673"/>
      <c r="EP95" s="2673"/>
      <c r="EQ95" s="2673"/>
      <c r="ER95" s="2673"/>
      <c r="ES95" s="2673"/>
      <c r="ET95" s="2673"/>
      <c r="EU95" s="2673"/>
      <c r="EV95" s="2673"/>
      <c r="EW95" s="2673"/>
      <c r="EX95" s="2673"/>
      <c r="EY95" s="2673"/>
      <c r="EZ95" s="2673"/>
      <c r="FA95" s="2673"/>
      <c r="FB95" s="2673"/>
      <c r="FC95" s="2673"/>
      <c r="FD95" s="2673"/>
      <c r="FE95" s="2673"/>
      <c r="FF95" s="2673"/>
      <c r="FG95" s="2673"/>
      <c r="FH95" s="2673"/>
      <c r="FI95" s="2673"/>
      <c r="FJ95" s="2673"/>
      <c r="FK95" s="2673"/>
      <c r="FL95" s="2673"/>
      <c r="FM95" s="2673"/>
      <c r="FN95" s="3038"/>
      <c r="FO95" s="3038"/>
      <c r="FP95" s="3038"/>
      <c r="FQ95" s="3038"/>
      <c r="FR95" s="3038"/>
      <c r="FS95" s="3038"/>
      <c r="FT95" s="3038"/>
      <c r="FU95" s="3038"/>
      <c r="FV95" s="3038"/>
      <c r="FW95" s="3038"/>
      <c r="FX95" s="3038"/>
      <c r="FY95" s="3038"/>
      <c r="FZ95" s="155"/>
      <c r="GA95" s="155"/>
      <c r="GB95" s="155"/>
      <c r="GC95" s="155"/>
      <c r="GD95" s="155"/>
      <c r="GE95" s="155"/>
      <c r="GF95" s="155"/>
      <c r="GG95" s="155"/>
      <c r="GH95" s="155"/>
      <c r="GI95" s="155"/>
      <c r="GJ95" s="155"/>
      <c r="GK95" s="155"/>
    </row>
    <row r="96" spans="2:193" ht="18.75" customHeight="1" x14ac:dyDescent="0.3">
      <c r="B96" s="3038"/>
      <c r="C96" s="3038"/>
      <c r="D96" s="3038"/>
      <c r="E96" s="3038"/>
      <c r="F96" s="3038"/>
      <c r="G96" s="3038"/>
      <c r="H96" s="3038"/>
      <c r="I96" s="3038"/>
      <c r="J96" s="3038"/>
      <c r="K96" s="3038"/>
      <c r="L96" s="3038"/>
      <c r="M96" s="3038"/>
      <c r="N96" s="3038"/>
      <c r="O96" s="3038"/>
      <c r="P96" s="3038"/>
      <c r="Q96" s="3038"/>
      <c r="R96" s="3038"/>
      <c r="S96" s="3038"/>
      <c r="T96" s="3038"/>
      <c r="U96" s="3038"/>
      <c r="V96" s="3038"/>
      <c r="W96" s="3038"/>
      <c r="X96" s="3038"/>
      <c r="Y96" s="3038"/>
      <c r="Z96" s="3038"/>
      <c r="AA96" s="3038"/>
      <c r="AB96" s="3038"/>
      <c r="AC96" s="3038"/>
      <c r="AD96" s="3038"/>
      <c r="AE96" s="3038"/>
      <c r="AF96" s="3038"/>
      <c r="AG96" s="3038"/>
      <c r="AH96" s="3038"/>
      <c r="AI96" s="3038"/>
      <c r="AJ96" s="3038"/>
      <c r="AK96" s="3038"/>
      <c r="AL96" s="3038"/>
      <c r="AM96" s="3038"/>
      <c r="AN96" s="3038"/>
      <c r="AO96" s="2673"/>
      <c r="AP96" s="2673"/>
      <c r="AQ96" s="2673"/>
      <c r="AR96" s="2673"/>
      <c r="AS96" s="2673"/>
      <c r="AT96" s="2673"/>
      <c r="AU96" s="2673"/>
      <c r="AV96" s="2673"/>
      <c r="AW96" s="2673"/>
      <c r="AX96" s="2673"/>
      <c r="AY96" s="2673"/>
      <c r="AZ96" s="2673"/>
      <c r="BA96" s="2673"/>
      <c r="BB96" s="2673"/>
      <c r="BC96" s="2673"/>
      <c r="BD96" s="2673"/>
      <c r="BE96" s="2673"/>
      <c r="BF96" s="2673"/>
      <c r="BG96" s="2673"/>
      <c r="BH96" s="2673"/>
      <c r="BI96" s="2673"/>
      <c r="BJ96" s="2673"/>
      <c r="BK96" s="2673"/>
      <c r="BL96" s="2673"/>
      <c r="BM96" s="2673"/>
      <c r="BN96" s="2673"/>
      <c r="BO96" s="2673"/>
      <c r="BP96" s="2673"/>
      <c r="BQ96" s="2673"/>
      <c r="BR96" s="2673"/>
      <c r="BS96" s="2673"/>
      <c r="BT96" s="2673"/>
      <c r="BU96" s="2673"/>
      <c r="BV96" s="2673"/>
      <c r="BW96" s="2673"/>
      <c r="BX96" s="2673"/>
      <c r="BY96" s="2673"/>
      <c r="BZ96" s="2673"/>
      <c r="CA96" s="2673"/>
      <c r="CB96" s="2673"/>
      <c r="CC96" s="2673"/>
      <c r="CD96" s="2673"/>
      <c r="CE96" s="2673"/>
      <c r="CF96" s="2673"/>
      <c r="CG96" s="2673"/>
      <c r="CH96" s="2673"/>
      <c r="CI96" s="2673"/>
      <c r="CJ96" s="2673"/>
      <c r="CK96" s="2673"/>
      <c r="CL96" s="2673"/>
      <c r="CM96" s="2673"/>
      <c r="CN96" s="2673"/>
      <c r="CO96" s="2673"/>
      <c r="CP96" s="2673"/>
      <c r="CQ96" s="2673"/>
      <c r="CR96" s="2673"/>
      <c r="CS96" s="2673"/>
      <c r="CT96" s="2673"/>
      <c r="CU96" s="2673"/>
      <c r="CV96" s="2673"/>
      <c r="CW96" s="2673"/>
      <c r="CX96" s="2673"/>
      <c r="CY96" s="2673"/>
      <c r="CZ96" s="2673"/>
      <c r="DA96" s="2673"/>
      <c r="DB96" s="2673"/>
      <c r="DC96" s="2673"/>
      <c r="DD96" s="2673"/>
      <c r="DE96" s="2673"/>
      <c r="DF96" s="2673"/>
      <c r="DG96" s="2673"/>
      <c r="DH96" s="2673"/>
      <c r="DI96" s="2673"/>
      <c r="DJ96" s="2673"/>
      <c r="DK96" s="2673"/>
      <c r="DL96" s="2673"/>
      <c r="DM96" s="2673"/>
      <c r="DN96" s="2673"/>
      <c r="DO96" s="2673"/>
      <c r="DP96" s="2673"/>
      <c r="DQ96" s="2673"/>
      <c r="DR96" s="2673"/>
      <c r="DS96" s="2673"/>
      <c r="DT96" s="2673"/>
      <c r="DU96" s="2673"/>
      <c r="DV96" s="2673"/>
      <c r="DW96" s="2673"/>
      <c r="DX96" s="2673"/>
      <c r="DY96" s="2673"/>
      <c r="DZ96" s="2673"/>
      <c r="EA96" s="2673"/>
      <c r="EB96" s="2673"/>
      <c r="EC96" s="2673"/>
      <c r="ED96" s="2673"/>
      <c r="EE96" s="2673"/>
      <c r="EF96" s="2673"/>
      <c r="EG96" s="2673"/>
      <c r="EH96" s="2673"/>
      <c r="EI96" s="2673"/>
      <c r="EJ96" s="2673"/>
      <c r="EK96" s="2673"/>
      <c r="EL96" s="2673"/>
      <c r="EM96" s="2673"/>
      <c r="EN96" s="2673"/>
      <c r="EO96" s="2673"/>
      <c r="EP96" s="2673"/>
      <c r="EQ96" s="2673"/>
      <c r="ER96" s="2673"/>
      <c r="ES96" s="2673"/>
      <c r="ET96" s="2673"/>
      <c r="EU96" s="2673"/>
      <c r="EV96" s="2673"/>
      <c r="EW96" s="2673"/>
      <c r="EX96" s="2673"/>
      <c r="EY96" s="2673"/>
      <c r="EZ96" s="2673"/>
      <c r="FA96" s="2673"/>
      <c r="FB96" s="2673"/>
      <c r="FC96" s="2673"/>
      <c r="FD96" s="2673"/>
      <c r="FE96" s="2673"/>
      <c r="FF96" s="2673"/>
      <c r="FG96" s="2673"/>
      <c r="FH96" s="2673"/>
      <c r="FI96" s="2673"/>
      <c r="FJ96" s="2673"/>
      <c r="FK96" s="2673"/>
      <c r="FL96" s="2673"/>
      <c r="FM96" s="2673"/>
      <c r="FN96" s="3038"/>
      <c r="FO96" s="3038"/>
      <c r="FP96" s="3038"/>
      <c r="FQ96" s="3038"/>
      <c r="FR96" s="3038"/>
      <c r="FS96" s="3038"/>
      <c r="FT96" s="3038"/>
      <c r="FU96" s="3038"/>
      <c r="FV96" s="3038"/>
      <c r="FW96" s="3038"/>
      <c r="FX96" s="3038"/>
      <c r="FY96" s="3038"/>
      <c r="FZ96" s="155"/>
      <c r="GA96" s="155"/>
      <c r="GB96" s="155"/>
      <c r="GC96" s="155"/>
      <c r="GD96" s="155"/>
      <c r="GE96" s="155"/>
      <c r="GF96" s="155"/>
      <c r="GG96" s="155"/>
      <c r="GH96" s="155"/>
      <c r="GI96" s="155"/>
      <c r="GJ96" s="155"/>
      <c r="GK96" s="155"/>
    </row>
    <row r="97" spans="2:193" ht="18.75" customHeight="1" x14ac:dyDescent="0.3">
      <c r="B97" s="3038"/>
      <c r="C97" s="3038"/>
      <c r="D97" s="3038"/>
      <c r="E97" s="3038"/>
      <c r="F97" s="3038"/>
      <c r="G97" s="3038"/>
      <c r="H97" s="3038"/>
      <c r="I97" s="3038"/>
      <c r="J97" s="3038"/>
      <c r="K97" s="3038"/>
      <c r="L97" s="3038"/>
      <c r="M97" s="3038"/>
      <c r="N97" s="3038"/>
      <c r="O97" s="3038"/>
      <c r="P97" s="3038"/>
      <c r="Q97" s="3038"/>
      <c r="R97" s="3038"/>
      <c r="S97" s="3038"/>
      <c r="T97" s="3038"/>
      <c r="U97" s="3038"/>
      <c r="V97" s="3038"/>
      <c r="W97" s="3038"/>
      <c r="X97" s="3038"/>
      <c r="Y97" s="3038"/>
      <c r="Z97" s="3038"/>
      <c r="AA97" s="3038"/>
      <c r="AB97" s="3038"/>
      <c r="AC97" s="3038"/>
      <c r="AD97" s="3038"/>
      <c r="AE97" s="3038"/>
      <c r="AF97" s="3038"/>
      <c r="AG97" s="3038"/>
      <c r="AH97" s="3038"/>
      <c r="AI97" s="3038"/>
      <c r="AJ97" s="3038"/>
      <c r="AK97" s="3038"/>
      <c r="AL97" s="3038"/>
      <c r="AM97" s="3038"/>
      <c r="AN97" s="3038"/>
      <c r="AO97" s="2673"/>
      <c r="AP97" s="2673"/>
      <c r="AQ97" s="2673"/>
      <c r="AR97" s="2673"/>
      <c r="AS97" s="2673"/>
      <c r="AT97" s="2673"/>
      <c r="AU97" s="2673"/>
      <c r="AV97" s="2673"/>
      <c r="AW97" s="2673"/>
      <c r="AX97" s="2673"/>
      <c r="AY97" s="2673"/>
      <c r="AZ97" s="2673"/>
      <c r="BA97" s="2673"/>
      <c r="BB97" s="2673"/>
      <c r="BC97" s="2673"/>
      <c r="BD97" s="2673"/>
      <c r="BE97" s="2673"/>
      <c r="BF97" s="2673"/>
      <c r="BG97" s="2673"/>
      <c r="BH97" s="2673"/>
      <c r="BI97" s="2673"/>
      <c r="BJ97" s="2673"/>
      <c r="BK97" s="2673"/>
      <c r="BL97" s="2673"/>
      <c r="BM97" s="2673"/>
      <c r="BN97" s="2673"/>
      <c r="BO97" s="2673"/>
      <c r="BP97" s="2673"/>
      <c r="BQ97" s="2673"/>
      <c r="BR97" s="2673"/>
      <c r="BS97" s="2673"/>
      <c r="BT97" s="2673"/>
      <c r="BU97" s="2673"/>
      <c r="BV97" s="2673"/>
      <c r="BW97" s="2673"/>
      <c r="BX97" s="2673"/>
      <c r="BY97" s="2673"/>
      <c r="BZ97" s="2673"/>
      <c r="CA97" s="2673"/>
      <c r="CB97" s="2673"/>
      <c r="CC97" s="2673"/>
      <c r="CD97" s="2673"/>
      <c r="CE97" s="2673"/>
      <c r="CF97" s="2673"/>
      <c r="CG97" s="2673"/>
      <c r="CH97" s="2673"/>
      <c r="CI97" s="2673"/>
      <c r="CJ97" s="2673"/>
      <c r="CK97" s="2673"/>
      <c r="CL97" s="2673"/>
      <c r="CM97" s="2673"/>
      <c r="CN97" s="2673"/>
      <c r="CO97" s="2673"/>
      <c r="CP97" s="2673"/>
      <c r="CQ97" s="2673"/>
      <c r="CR97" s="2673"/>
      <c r="CS97" s="2673"/>
      <c r="CT97" s="2673"/>
      <c r="CU97" s="2673"/>
      <c r="CV97" s="2673"/>
      <c r="CW97" s="2673"/>
      <c r="CX97" s="2673"/>
      <c r="CY97" s="2673"/>
      <c r="CZ97" s="2673"/>
      <c r="DA97" s="2673"/>
      <c r="DB97" s="2673"/>
      <c r="DC97" s="2673"/>
      <c r="DD97" s="2673"/>
      <c r="DE97" s="2673"/>
      <c r="DF97" s="2673"/>
      <c r="DG97" s="2673"/>
      <c r="DH97" s="2673"/>
      <c r="DI97" s="2673"/>
      <c r="DJ97" s="2673"/>
      <c r="DK97" s="2673"/>
      <c r="DL97" s="2673"/>
      <c r="DM97" s="2673"/>
      <c r="DN97" s="2673"/>
      <c r="DO97" s="2673"/>
      <c r="DP97" s="2673"/>
      <c r="DQ97" s="2673"/>
      <c r="DR97" s="2673"/>
      <c r="DS97" s="2673"/>
      <c r="DT97" s="2673"/>
      <c r="DU97" s="2673"/>
      <c r="DV97" s="2673"/>
      <c r="DW97" s="2673"/>
      <c r="DX97" s="2673"/>
      <c r="DY97" s="2673"/>
      <c r="DZ97" s="2673"/>
      <c r="EA97" s="2673"/>
      <c r="EB97" s="2673"/>
      <c r="EC97" s="2673"/>
      <c r="ED97" s="2673"/>
      <c r="EE97" s="2673"/>
      <c r="EF97" s="2673"/>
      <c r="EG97" s="2673"/>
      <c r="EH97" s="2673"/>
      <c r="EI97" s="2673"/>
      <c r="EJ97" s="2673"/>
      <c r="EK97" s="2673"/>
      <c r="EL97" s="2673"/>
      <c r="EM97" s="2673"/>
      <c r="EN97" s="2673"/>
      <c r="EO97" s="2673"/>
      <c r="EP97" s="2673"/>
      <c r="EQ97" s="2673"/>
      <c r="ER97" s="2673"/>
      <c r="ES97" s="2673"/>
      <c r="ET97" s="2673"/>
      <c r="EU97" s="2673"/>
      <c r="EV97" s="2673"/>
      <c r="EW97" s="2673"/>
      <c r="EX97" s="2673"/>
      <c r="EY97" s="2673"/>
      <c r="EZ97" s="2673"/>
      <c r="FA97" s="2673"/>
      <c r="FB97" s="2673"/>
      <c r="FC97" s="2673"/>
      <c r="FD97" s="2673"/>
      <c r="FE97" s="2673"/>
      <c r="FF97" s="2673"/>
      <c r="FG97" s="2673"/>
      <c r="FH97" s="2673"/>
      <c r="FI97" s="2673"/>
      <c r="FJ97" s="2673"/>
      <c r="FK97" s="2673"/>
      <c r="FL97" s="2673"/>
      <c r="FM97" s="2673"/>
      <c r="FN97" s="3038"/>
      <c r="FO97" s="3038"/>
      <c r="FP97" s="3038"/>
      <c r="FQ97" s="3038"/>
      <c r="FR97" s="3038"/>
      <c r="FS97" s="3038"/>
      <c r="FT97" s="3038"/>
      <c r="FU97" s="3038"/>
      <c r="FV97" s="3038"/>
      <c r="FW97" s="3038"/>
      <c r="FX97" s="3038"/>
      <c r="FY97" s="3038"/>
      <c r="FZ97" s="155"/>
      <c r="GA97" s="155"/>
      <c r="GB97" s="155"/>
      <c r="GC97" s="155"/>
      <c r="GD97" s="155"/>
      <c r="GE97" s="155"/>
      <c r="GF97" s="155"/>
      <c r="GG97" s="155"/>
      <c r="GH97" s="155"/>
      <c r="GI97" s="155"/>
      <c r="GJ97" s="155"/>
      <c r="GK97" s="155"/>
    </row>
    <row r="98" spans="2:193" ht="18.75" customHeight="1" x14ac:dyDescent="0.3">
      <c r="B98" s="3038"/>
      <c r="C98" s="3038"/>
      <c r="D98" s="3038"/>
      <c r="E98" s="3038"/>
      <c r="F98" s="3038"/>
      <c r="G98" s="3038"/>
      <c r="H98" s="3038"/>
      <c r="I98" s="3038"/>
      <c r="J98" s="3038"/>
      <c r="K98" s="3038"/>
      <c r="L98" s="3038"/>
      <c r="M98" s="3038"/>
      <c r="N98" s="3038"/>
      <c r="O98" s="3038"/>
      <c r="P98" s="3038"/>
      <c r="Q98" s="3038"/>
      <c r="R98" s="3038"/>
      <c r="S98" s="3038"/>
      <c r="T98" s="3038"/>
      <c r="U98" s="3038"/>
      <c r="V98" s="3038"/>
      <c r="W98" s="3038"/>
      <c r="X98" s="3038"/>
      <c r="Y98" s="3038"/>
      <c r="Z98" s="3038"/>
      <c r="AA98" s="3038"/>
      <c r="AB98" s="3038"/>
      <c r="AC98" s="3038"/>
      <c r="AD98" s="3038"/>
      <c r="AE98" s="3038"/>
      <c r="AF98" s="3038"/>
      <c r="AG98" s="3038"/>
      <c r="AH98" s="3038"/>
      <c r="AI98" s="3038"/>
      <c r="AJ98" s="3038"/>
      <c r="AK98" s="3038"/>
      <c r="AL98" s="3038"/>
      <c r="AM98" s="3038"/>
      <c r="AN98" s="3038"/>
      <c r="AO98" s="2673"/>
      <c r="AP98" s="2673"/>
      <c r="AQ98" s="2673"/>
      <c r="AR98" s="2673"/>
      <c r="AS98" s="2673"/>
      <c r="AT98" s="2673"/>
      <c r="AU98" s="2673"/>
      <c r="AV98" s="2673"/>
      <c r="AW98" s="2673"/>
      <c r="AX98" s="2673"/>
      <c r="AY98" s="2673"/>
      <c r="AZ98" s="2673"/>
      <c r="BA98" s="2673"/>
      <c r="BB98" s="2673"/>
      <c r="BC98" s="2673"/>
      <c r="BD98" s="2673"/>
      <c r="BE98" s="2673"/>
      <c r="BF98" s="2673"/>
      <c r="BG98" s="2673"/>
      <c r="BH98" s="2673"/>
      <c r="BI98" s="2673"/>
      <c r="BJ98" s="2673"/>
      <c r="BK98" s="2673"/>
      <c r="BL98" s="2673"/>
      <c r="BM98" s="2673"/>
      <c r="BN98" s="2673"/>
      <c r="BO98" s="2673"/>
      <c r="BP98" s="2673"/>
      <c r="BQ98" s="2673"/>
      <c r="BR98" s="2673"/>
      <c r="BS98" s="2673"/>
      <c r="BT98" s="2673"/>
      <c r="BU98" s="2673"/>
      <c r="BV98" s="2673"/>
      <c r="BW98" s="2673"/>
      <c r="BX98" s="2673"/>
      <c r="BY98" s="2673"/>
      <c r="BZ98" s="2673"/>
      <c r="CA98" s="2673"/>
      <c r="CB98" s="2673"/>
      <c r="CC98" s="2673"/>
      <c r="CD98" s="2673"/>
      <c r="CE98" s="2673"/>
      <c r="CF98" s="2673"/>
      <c r="CG98" s="2673"/>
      <c r="CH98" s="2673"/>
      <c r="CI98" s="2673"/>
      <c r="CJ98" s="2673"/>
      <c r="CK98" s="2673"/>
      <c r="CL98" s="2673"/>
      <c r="CM98" s="2673"/>
      <c r="CN98" s="2673"/>
      <c r="CO98" s="2673"/>
      <c r="CP98" s="2673"/>
      <c r="CQ98" s="2673"/>
      <c r="CR98" s="2673"/>
      <c r="CS98" s="2673"/>
      <c r="CT98" s="2673"/>
      <c r="CU98" s="2673"/>
      <c r="CV98" s="2673"/>
      <c r="CW98" s="2673"/>
      <c r="CX98" s="2673"/>
      <c r="CY98" s="2673"/>
      <c r="CZ98" s="2673"/>
      <c r="DA98" s="2673"/>
      <c r="DB98" s="2673"/>
      <c r="DC98" s="2673"/>
      <c r="DD98" s="2673"/>
      <c r="DE98" s="2673"/>
      <c r="DF98" s="2673"/>
      <c r="DG98" s="2673"/>
      <c r="DH98" s="2673"/>
      <c r="DI98" s="2673"/>
      <c r="DJ98" s="2673"/>
      <c r="DK98" s="2673"/>
      <c r="DL98" s="2673"/>
      <c r="DM98" s="2673"/>
      <c r="DN98" s="2673"/>
      <c r="DO98" s="2673"/>
      <c r="DP98" s="2673"/>
      <c r="DQ98" s="2673"/>
      <c r="DR98" s="2673"/>
      <c r="DS98" s="2673"/>
      <c r="DT98" s="2673"/>
      <c r="DU98" s="2673"/>
      <c r="DV98" s="2673"/>
      <c r="DW98" s="2673"/>
      <c r="DX98" s="2673"/>
      <c r="DY98" s="2673"/>
      <c r="DZ98" s="2673"/>
      <c r="EA98" s="2673"/>
      <c r="EB98" s="2673"/>
      <c r="EC98" s="2673"/>
      <c r="ED98" s="2673"/>
      <c r="EE98" s="2673"/>
      <c r="EF98" s="2673"/>
      <c r="EG98" s="2673"/>
      <c r="EH98" s="2673"/>
      <c r="EI98" s="2673"/>
      <c r="EJ98" s="2673"/>
      <c r="EK98" s="2673"/>
      <c r="EL98" s="2673"/>
      <c r="EM98" s="2673"/>
      <c r="EN98" s="2673"/>
      <c r="EO98" s="2673"/>
      <c r="EP98" s="2673"/>
      <c r="EQ98" s="2673"/>
      <c r="ER98" s="2673"/>
      <c r="ES98" s="2673"/>
      <c r="ET98" s="2673"/>
      <c r="EU98" s="2673"/>
      <c r="EV98" s="2673"/>
      <c r="EW98" s="2673"/>
      <c r="EX98" s="2673"/>
      <c r="EY98" s="2673"/>
      <c r="EZ98" s="2673"/>
      <c r="FA98" s="2673"/>
      <c r="FB98" s="2673"/>
      <c r="FC98" s="2673"/>
      <c r="FD98" s="2673"/>
      <c r="FE98" s="2673"/>
      <c r="FF98" s="2673"/>
      <c r="FG98" s="2673"/>
      <c r="FH98" s="2673"/>
      <c r="FI98" s="2673"/>
      <c r="FJ98" s="2673"/>
      <c r="FK98" s="2673"/>
      <c r="FL98" s="2673"/>
      <c r="FM98" s="2673"/>
      <c r="FN98" s="3038"/>
      <c r="FO98" s="3038"/>
      <c r="FP98" s="3038"/>
      <c r="FQ98" s="3038"/>
      <c r="FR98" s="3038"/>
      <c r="FS98" s="3038"/>
      <c r="FT98" s="3038"/>
      <c r="FU98" s="3038"/>
      <c r="FV98" s="3038"/>
      <c r="FW98" s="3038"/>
      <c r="FX98" s="3038"/>
      <c r="FY98" s="3038"/>
      <c r="FZ98" s="155"/>
      <c r="GA98" s="155"/>
      <c r="GB98" s="155"/>
      <c r="GC98" s="155"/>
      <c r="GD98" s="155"/>
      <c r="GE98" s="155"/>
      <c r="GF98" s="155"/>
      <c r="GG98" s="155"/>
      <c r="GH98" s="155"/>
      <c r="GI98" s="155"/>
      <c r="GJ98" s="155"/>
      <c r="GK98" s="155"/>
    </row>
    <row r="99" spans="2:193" ht="18.75" customHeight="1" x14ac:dyDescent="0.3">
      <c r="B99" s="3038"/>
      <c r="C99" s="3038"/>
      <c r="D99" s="3038"/>
      <c r="E99" s="3038"/>
      <c r="F99" s="3038"/>
      <c r="G99" s="3038"/>
      <c r="H99" s="3038"/>
      <c r="I99" s="3038"/>
      <c r="J99" s="3038"/>
      <c r="K99" s="3038"/>
      <c r="L99" s="3038"/>
      <c r="M99" s="3038"/>
      <c r="N99" s="3038"/>
      <c r="O99" s="3038"/>
      <c r="P99" s="3038"/>
      <c r="Q99" s="3038"/>
      <c r="R99" s="3038"/>
      <c r="S99" s="3038"/>
      <c r="T99" s="3038"/>
      <c r="U99" s="3038"/>
      <c r="V99" s="3038"/>
      <c r="W99" s="3038"/>
      <c r="X99" s="3038"/>
      <c r="Y99" s="3038"/>
      <c r="Z99" s="3038"/>
      <c r="AA99" s="3038"/>
      <c r="AB99" s="3038"/>
      <c r="AC99" s="3038"/>
      <c r="AD99" s="3038"/>
      <c r="AE99" s="3038"/>
      <c r="AF99" s="3038"/>
      <c r="AG99" s="3038"/>
      <c r="AH99" s="3038"/>
      <c r="AI99" s="3038"/>
      <c r="AJ99" s="3038"/>
      <c r="AK99" s="3038"/>
      <c r="AL99" s="3038"/>
      <c r="AM99" s="3038"/>
      <c r="AN99" s="3038"/>
      <c r="AO99" s="2673"/>
      <c r="AP99" s="2673"/>
      <c r="AQ99" s="2673"/>
      <c r="AR99" s="2673"/>
      <c r="AS99" s="2673"/>
      <c r="AT99" s="2673"/>
      <c r="AU99" s="2673"/>
      <c r="AV99" s="2673"/>
      <c r="AW99" s="2673"/>
      <c r="AX99" s="2673"/>
      <c r="AY99" s="2673"/>
      <c r="AZ99" s="2673"/>
      <c r="BA99" s="2673"/>
      <c r="BB99" s="2673"/>
      <c r="BC99" s="2673"/>
      <c r="BD99" s="2673"/>
      <c r="BE99" s="2673"/>
      <c r="BF99" s="2673"/>
      <c r="BG99" s="2673"/>
      <c r="BH99" s="2673"/>
      <c r="BI99" s="2673"/>
      <c r="BJ99" s="2673"/>
      <c r="BK99" s="2673"/>
      <c r="BL99" s="2673"/>
      <c r="BM99" s="2673"/>
      <c r="BN99" s="2673"/>
      <c r="BO99" s="2673"/>
      <c r="BP99" s="2673"/>
      <c r="BQ99" s="2673"/>
      <c r="BR99" s="2673"/>
      <c r="BS99" s="2673"/>
      <c r="BT99" s="2673"/>
      <c r="BU99" s="2673"/>
      <c r="BV99" s="2673"/>
      <c r="BW99" s="2673"/>
      <c r="BX99" s="2673"/>
      <c r="BY99" s="2673"/>
      <c r="BZ99" s="2673"/>
      <c r="CA99" s="2673"/>
      <c r="CB99" s="2673"/>
      <c r="CC99" s="2673"/>
      <c r="CD99" s="2673"/>
      <c r="CE99" s="2673"/>
      <c r="CF99" s="2673"/>
      <c r="CG99" s="2673"/>
      <c r="CH99" s="2673"/>
      <c r="CI99" s="2673"/>
      <c r="CJ99" s="2673"/>
      <c r="CK99" s="2673"/>
      <c r="CL99" s="2673"/>
      <c r="CM99" s="2673"/>
      <c r="CN99" s="2673"/>
      <c r="CO99" s="2673"/>
      <c r="CP99" s="2673"/>
      <c r="CQ99" s="2673"/>
      <c r="CR99" s="2673"/>
      <c r="CS99" s="2673"/>
      <c r="CT99" s="2673"/>
      <c r="CU99" s="2673"/>
      <c r="CV99" s="2673"/>
      <c r="CW99" s="2673"/>
      <c r="CX99" s="2673"/>
      <c r="CY99" s="2673"/>
      <c r="CZ99" s="2673"/>
      <c r="DA99" s="2673"/>
      <c r="DB99" s="2673"/>
      <c r="DC99" s="2673"/>
      <c r="DD99" s="2673"/>
      <c r="DE99" s="2673"/>
      <c r="DF99" s="2673"/>
      <c r="DG99" s="2673"/>
      <c r="DH99" s="2673"/>
      <c r="DI99" s="2673"/>
      <c r="DJ99" s="2673"/>
      <c r="DK99" s="2673"/>
      <c r="DL99" s="2673"/>
      <c r="DM99" s="2673"/>
      <c r="DN99" s="2673"/>
      <c r="DO99" s="2673"/>
      <c r="DP99" s="2673"/>
      <c r="DQ99" s="2673"/>
      <c r="DR99" s="2673"/>
      <c r="DS99" s="2673"/>
      <c r="DT99" s="2673"/>
      <c r="DU99" s="2673"/>
      <c r="DV99" s="2673"/>
      <c r="DW99" s="2673"/>
      <c r="DX99" s="2673"/>
      <c r="DY99" s="2673"/>
      <c r="DZ99" s="2673"/>
      <c r="EA99" s="2673"/>
      <c r="EB99" s="2673"/>
      <c r="EC99" s="2673"/>
      <c r="ED99" s="2673"/>
      <c r="EE99" s="2673"/>
      <c r="EF99" s="2673"/>
      <c r="EG99" s="2673"/>
      <c r="EH99" s="2673"/>
      <c r="EI99" s="2673"/>
      <c r="EJ99" s="2673"/>
      <c r="EK99" s="2673"/>
      <c r="EL99" s="2673"/>
      <c r="EM99" s="2673"/>
      <c r="EN99" s="2673"/>
      <c r="EO99" s="2673"/>
      <c r="EP99" s="2673"/>
      <c r="EQ99" s="2673"/>
      <c r="ER99" s="2673"/>
      <c r="ES99" s="2673"/>
      <c r="ET99" s="2673"/>
      <c r="EU99" s="2673"/>
      <c r="EV99" s="2673"/>
      <c r="EW99" s="2673"/>
      <c r="EX99" s="2673"/>
      <c r="EY99" s="2673"/>
      <c r="EZ99" s="2673"/>
      <c r="FA99" s="2673"/>
      <c r="FB99" s="2673"/>
      <c r="FC99" s="2673"/>
      <c r="FD99" s="2673"/>
      <c r="FE99" s="2673"/>
      <c r="FF99" s="2673"/>
      <c r="FG99" s="2673"/>
      <c r="FH99" s="2673"/>
      <c r="FI99" s="2673"/>
      <c r="FJ99" s="2673"/>
      <c r="FK99" s="2673"/>
      <c r="FL99" s="2673"/>
      <c r="FM99" s="2673"/>
      <c r="FN99" s="3038"/>
      <c r="FO99" s="3038"/>
      <c r="FP99" s="3038"/>
      <c r="FQ99" s="3038"/>
      <c r="FR99" s="3038"/>
      <c r="FS99" s="3038"/>
      <c r="FT99" s="3038"/>
      <c r="FU99" s="3038"/>
      <c r="FV99" s="3038"/>
      <c r="FW99" s="3038"/>
      <c r="FX99" s="3038"/>
      <c r="FY99" s="3038"/>
      <c r="FZ99" s="155"/>
      <c r="GA99" s="155"/>
      <c r="GB99" s="155"/>
      <c r="GC99" s="155"/>
      <c r="GD99" s="155"/>
      <c r="GE99" s="155"/>
      <c r="GF99" s="155"/>
      <c r="GG99" s="155"/>
      <c r="GH99" s="155"/>
      <c r="GI99" s="155"/>
      <c r="GJ99" s="155"/>
      <c r="GK99" s="155"/>
    </row>
    <row r="100" spans="2:193" ht="18.75" customHeight="1" x14ac:dyDescent="0.3">
      <c r="B100" s="3038"/>
      <c r="C100" s="3038"/>
      <c r="D100" s="3038"/>
      <c r="E100" s="3038"/>
      <c r="F100" s="3038"/>
      <c r="G100" s="3038"/>
      <c r="H100" s="3038"/>
      <c r="I100" s="3038"/>
      <c r="J100" s="3038"/>
      <c r="K100" s="3038"/>
      <c r="L100" s="3038"/>
      <c r="M100" s="3038"/>
      <c r="N100" s="3038"/>
      <c r="O100" s="3038"/>
      <c r="P100" s="3038"/>
      <c r="Q100" s="3038"/>
      <c r="R100" s="3038"/>
      <c r="S100" s="3038"/>
      <c r="T100" s="3038"/>
      <c r="U100" s="3038"/>
      <c r="V100" s="3038"/>
      <c r="W100" s="3038"/>
      <c r="X100" s="3038"/>
      <c r="Y100" s="3038"/>
      <c r="Z100" s="3038"/>
      <c r="AA100" s="3038"/>
      <c r="AB100" s="3038"/>
      <c r="AC100" s="3038"/>
      <c r="AD100" s="3038"/>
      <c r="AE100" s="3038"/>
      <c r="AF100" s="3038"/>
      <c r="AG100" s="3038"/>
      <c r="AH100" s="3038"/>
      <c r="AI100" s="3038"/>
      <c r="AJ100" s="3038"/>
      <c r="AK100" s="3038"/>
      <c r="AL100" s="3038"/>
      <c r="AM100" s="3038"/>
      <c r="AN100" s="3038"/>
      <c r="AO100" s="2673"/>
      <c r="AP100" s="2673"/>
      <c r="AQ100" s="2673"/>
      <c r="AR100" s="2673"/>
      <c r="AS100" s="2673"/>
      <c r="AT100" s="2673"/>
      <c r="AU100" s="2673"/>
      <c r="AV100" s="2673"/>
      <c r="AW100" s="2673"/>
      <c r="AX100" s="2673"/>
      <c r="AY100" s="2673"/>
      <c r="AZ100" s="2673"/>
      <c r="BA100" s="2673"/>
      <c r="BB100" s="2673"/>
      <c r="BC100" s="2673"/>
      <c r="BD100" s="2673"/>
      <c r="BE100" s="2673"/>
      <c r="BF100" s="2673"/>
      <c r="BG100" s="2673"/>
      <c r="BH100" s="2673"/>
      <c r="BI100" s="2673"/>
      <c r="BJ100" s="2673"/>
      <c r="BK100" s="2673"/>
      <c r="BL100" s="2673"/>
      <c r="BM100" s="2673"/>
      <c r="BN100" s="2673"/>
      <c r="BO100" s="2673"/>
      <c r="BP100" s="2673"/>
      <c r="BQ100" s="2673"/>
      <c r="BR100" s="2673"/>
      <c r="BS100" s="2673"/>
      <c r="BT100" s="2673"/>
      <c r="BU100" s="2673"/>
      <c r="BV100" s="2673"/>
      <c r="BW100" s="2673"/>
      <c r="BX100" s="2673"/>
      <c r="BY100" s="2673"/>
      <c r="BZ100" s="2673"/>
      <c r="CA100" s="2673"/>
      <c r="CB100" s="2673"/>
      <c r="CC100" s="2673"/>
      <c r="CD100" s="2673"/>
      <c r="CE100" s="2673"/>
      <c r="CF100" s="2673"/>
      <c r="CG100" s="2673"/>
      <c r="CH100" s="2673"/>
      <c r="CI100" s="2673"/>
      <c r="CJ100" s="2673"/>
      <c r="CK100" s="2673"/>
      <c r="CL100" s="2673"/>
      <c r="CM100" s="2673"/>
      <c r="CN100" s="2673"/>
      <c r="CO100" s="2673"/>
      <c r="CP100" s="2673"/>
      <c r="CQ100" s="2673"/>
      <c r="CR100" s="2673"/>
      <c r="CS100" s="2673"/>
      <c r="CT100" s="2673"/>
      <c r="CU100" s="2673"/>
      <c r="CV100" s="2673"/>
      <c r="CW100" s="2673"/>
      <c r="CX100" s="2673"/>
      <c r="CY100" s="2673"/>
      <c r="CZ100" s="2673"/>
      <c r="DA100" s="2673"/>
      <c r="DB100" s="2673"/>
      <c r="DC100" s="2673"/>
      <c r="DD100" s="2673"/>
      <c r="DE100" s="2673"/>
      <c r="DF100" s="2673"/>
      <c r="DG100" s="2673"/>
      <c r="DH100" s="2673"/>
      <c r="DI100" s="2673"/>
      <c r="DJ100" s="2673"/>
      <c r="DK100" s="2673"/>
      <c r="DL100" s="2673"/>
      <c r="DM100" s="2673"/>
      <c r="DN100" s="2673"/>
      <c r="DO100" s="2673"/>
      <c r="DP100" s="2673"/>
      <c r="DQ100" s="2673"/>
      <c r="DR100" s="2673"/>
      <c r="DS100" s="2673"/>
      <c r="DT100" s="2673"/>
      <c r="DU100" s="2673"/>
      <c r="DV100" s="2673"/>
      <c r="DW100" s="2673"/>
      <c r="DX100" s="2673"/>
      <c r="DY100" s="2673"/>
      <c r="DZ100" s="2673"/>
      <c r="EA100" s="2673"/>
      <c r="EB100" s="2673"/>
      <c r="EC100" s="2673"/>
      <c r="ED100" s="2673"/>
      <c r="EE100" s="2673"/>
      <c r="EF100" s="2673"/>
      <c r="EG100" s="2673"/>
      <c r="EH100" s="2673"/>
      <c r="EI100" s="2673"/>
      <c r="EJ100" s="2673"/>
      <c r="EK100" s="2673"/>
      <c r="EL100" s="2673"/>
      <c r="EM100" s="2673"/>
      <c r="EN100" s="2673"/>
      <c r="EO100" s="2673"/>
      <c r="EP100" s="2673"/>
      <c r="EQ100" s="2673"/>
      <c r="ER100" s="2673"/>
      <c r="ES100" s="2673"/>
      <c r="ET100" s="2673"/>
      <c r="EU100" s="2673"/>
      <c r="EV100" s="2673"/>
      <c r="EW100" s="2673"/>
      <c r="EX100" s="2673"/>
      <c r="EY100" s="2673"/>
      <c r="EZ100" s="2673"/>
      <c r="FA100" s="2673"/>
      <c r="FB100" s="2673"/>
      <c r="FC100" s="2673"/>
      <c r="FD100" s="2673"/>
      <c r="FE100" s="2673"/>
      <c r="FF100" s="2673"/>
      <c r="FG100" s="2673"/>
      <c r="FH100" s="2673"/>
      <c r="FI100" s="2673"/>
      <c r="FJ100" s="2673"/>
      <c r="FK100" s="2673"/>
      <c r="FL100" s="2673"/>
      <c r="FM100" s="2673"/>
      <c r="FN100" s="3038"/>
      <c r="FO100" s="3038"/>
      <c r="FP100" s="3038"/>
      <c r="FQ100" s="3038"/>
      <c r="FR100" s="3038"/>
      <c r="FS100" s="3038"/>
      <c r="FT100" s="3038"/>
      <c r="FU100" s="3038"/>
      <c r="FV100" s="3038"/>
      <c r="FW100" s="3038"/>
      <c r="FX100" s="3038"/>
      <c r="FY100" s="3038"/>
      <c r="FZ100" s="155"/>
      <c r="GA100" s="155"/>
      <c r="GB100" s="155"/>
      <c r="GC100" s="155"/>
      <c r="GD100" s="155"/>
      <c r="GE100" s="155"/>
      <c r="GF100" s="155"/>
      <c r="GG100" s="155"/>
      <c r="GH100" s="155"/>
      <c r="GI100" s="155"/>
      <c r="GJ100" s="155"/>
      <c r="GK100" s="155"/>
    </row>
    <row r="101" spans="2:193" ht="18.75" customHeight="1" x14ac:dyDescent="0.3"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3039"/>
      <c r="AP101" s="3039"/>
      <c r="AQ101" s="3039"/>
      <c r="AR101" s="3039"/>
      <c r="AS101" s="3039"/>
      <c r="AT101" s="3039"/>
      <c r="AU101" s="3039"/>
      <c r="AV101" s="3039"/>
      <c r="AW101" s="3039"/>
      <c r="AX101" s="3039"/>
      <c r="AY101" s="3039"/>
      <c r="AZ101" s="3039"/>
      <c r="BA101" s="3039"/>
      <c r="BB101" s="3039"/>
      <c r="BC101" s="3039"/>
      <c r="BD101" s="3039"/>
      <c r="BE101" s="3039"/>
      <c r="BF101" s="3039"/>
      <c r="BG101" s="3039"/>
      <c r="BH101" s="3039"/>
      <c r="BI101" s="3039"/>
      <c r="BJ101" s="3039"/>
      <c r="BK101" s="3039"/>
      <c r="BL101" s="3039"/>
      <c r="BM101" s="3039"/>
      <c r="BN101" s="3039"/>
      <c r="BO101" s="3039"/>
      <c r="BP101" s="3039"/>
      <c r="BQ101" s="3039"/>
      <c r="BR101" s="3039"/>
      <c r="BS101" s="3039"/>
      <c r="BT101" s="3039"/>
      <c r="BU101" s="3039"/>
      <c r="BV101" s="3039"/>
      <c r="BW101" s="3039"/>
      <c r="BX101" s="3039"/>
      <c r="BY101" s="3039"/>
      <c r="BZ101" s="3039"/>
      <c r="CA101" s="3039"/>
      <c r="CB101" s="3039"/>
      <c r="CC101" s="3039"/>
      <c r="CD101" s="3039"/>
      <c r="CE101" s="3039"/>
      <c r="CF101" s="3039"/>
      <c r="CG101" s="3039"/>
      <c r="CH101" s="3039"/>
      <c r="CI101" s="3039"/>
      <c r="CJ101" s="3039"/>
      <c r="CK101" s="3039"/>
      <c r="CL101" s="3039"/>
      <c r="CM101" s="3039"/>
      <c r="CN101" s="3039"/>
      <c r="CO101" s="3039"/>
      <c r="CP101" s="3039"/>
      <c r="CQ101" s="3039"/>
      <c r="CR101" s="3039"/>
      <c r="CS101" s="3039"/>
      <c r="CT101" s="3039"/>
      <c r="CU101" s="3039"/>
      <c r="CV101" s="3039"/>
      <c r="CW101" s="3039"/>
      <c r="CX101" s="3039"/>
      <c r="CY101" s="3039"/>
      <c r="CZ101" s="3039"/>
      <c r="DA101" s="3039"/>
      <c r="DB101" s="3039"/>
      <c r="DC101" s="3039"/>
      <c r="DD101" s="3039"/>
      <c r="DE101" s="3039"/>
      <c r="DF101" s="3039"/>
      <c r="DG101" s="3039"/>
      <c r="DH101" s="3039"/>
      <c r="DI101" s="3039"/>
      <c r="DJ101" s="3039"/>
      <c r="DK101" s="3039"/>
      <c r="DL101" s="3039"/>
      <c r="DM101" s="3039"/>
      <c r="DN101" s="3039"/>
      <c r="DO101" s="3039"/>
      <c r="DP101" s="3039"/>
      <c r="DQ101" s="3039"/>
      <c r="DR101" s="3039"/>
      <c r="DS101" s="3039"/>
      <c r="DT101" s="3039"/>
      <c r="DU101" s="3039"/>
      <c r="DV101" s="3039"/>
      <c r="DW101" s="3039"/>
      <c r="DX101" s="3039"/>
      <c r="DY101" s="3039"/>
      <c r="DZ101" s="3039"/>
      <c r="EA101" s="3039"/>
      <c r="EB101" s="3039"/>
      <c r="EC101" s="3039"/>
      <c r="ED101" s="3039"/>
      <c r="EE101" s="3039"/>
      <c r="EF101" s="3039"/>
      <c r="EG101" s="3039"/>
      <c r="EH101" s="3039"/>
      <c r="EI101" s="3039"/>
      <c r="EJ101" s="3039"/>
      <c r="EK101" s="3039"/>
      <c r="EL101" s="3039"/>
      <c r="EM101" s="3039"/>
      <c r="EN101" s="3039"/>
      <c r="EO101" s="3039"/>
      <c r="EP101" s="3039"/>
      <c r="EQ101" s="3039"/>
      <c r="ER101" s="3039"/>
      <c r="ES101" s="3039"/>
      <c r="ET101" s="3039"/>
      <c r="EU101" s="3039"/>
      <c r="EV101" s="3039"/>
      <c r="EW101" s="3039"/>
      <c r="EX101" s="3039"/>
      <c r="EY101" s="3039"/>
      <c r="EZ101" s="3039"/>
      <c r="FA101" s="3039"/>
      <c r="FB101" s="3039"/>
      <c r="FC101" s="3039"/>
      <c r="FD101" s="3039"/>
      <c r="FE101" s="3039"/>
      <c r="FF101" s="3039"/>
      <c r="FG101" s="3039"/>
      <c r="FH101" s="3039"/>
      <c r="FI101" s="3039"/>
      <c r="FJ101" s="3039"/>
      <c r="FK101" s="3039"/>
      <c r="FL101" s="3039"/>
      <c r="FM101" s="3039"/>
      <c r="FN101" s="155"/>
      <c r="FO101" s="155"/>
      <c r="FP101" s="155"/>
      <c r="FQ101" s="155"/>
      <c r="FR101" s="155"/>
      <c r="FS101" s="155"/>
      <c r="FT101" s="155"/>
      <c r="FU101" s="155"/>
      <c r="FV101" s="155"/>
      <c r="FW101" s="155"/>
      <c r="FX101" s="155"/>
      <c r="FY101" s="155"/>
      <c r="FZ101" s="155"/>
      <c r="GA101" s="155"/>
      <c r="GB101" s="155"/>
      <c r="GC101" s="155"/>
      <c r="GD101" s="155"/>
      <c r="GE101" s="155"/>
      <c r="GF101" s="155"/>
      <c r="GG101" s="155"/>
      <c r="GH101" s="155"/>
      <c r="GI101" s="155"/>
      <c r="GJ101" s="155"/>
      <c r="GK101" s="155"/>
    </row>
    <row r="102" spans="2:193" ht="18.75" customHeight="1" x14ac:dyDescent="0.3"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3039"/>
      <c r="AP102" s="3039"/>
      <c r="AQ102" s="3039"/>
      <c r="AR102" s="3039"/>
      <c r="AS102" s="3039"/>
      <c r="AT102" s="3039"/>
      <c r="AU102" s="3039"/>
      <c r="AV102" s="3039"/>
      <c r="AW102" s="3039"/>
      <c r="AX102" s="3039"/>
      <c r="AY102" s="3039"/>
      <c r="AZ102" s="3039"/>
      <c r="BA102" s="3039"/>
      <c r="BB102" s="3039"/>
      <c r="BC102" s="3039"/>
      <c r="BD102" s="3039"/>
      <c r="BE102" s="3039"/>
      <c r="BF102" s="3039"/>
      <c r="BG102" s="3039"/>
      <c r="BH102" s="3039"/>
      <c r="BI102" s="3039"/>
      <c r="BJ102" s="3039"/>
      <c r="BK102" s="3039"/>
      <c r="BL102" s="3039"/>
      <c r="BM102" s="3039"/>
      <c r="BN102" s="3039"/>
      <c r="BO102" s="3039"/>
      <c r="BP102" s="3039"/>
      <c r="BQ102" s="3039"/>
      <c r="BR102" s="3039"/>
      <c r="BS102" s="3039"/>
      <c r="BT102" s="3039"/>
      <c r="BU102" s="3039"/>
      <c r="BV102" s="3039"/>
      <c r="BW102" s="3039"/>
      <c r="BX102" s="3039"/>
      <c r="BY102" s="3039"/>
      <c r="BZ102" s="3039"/>
      <c r="CA102" s="3039"/>
      <c r="CB102" s="3039"/>
      <c r="CC102" s="3039"/>
      <c r="CD102" s="3039"/>
      <c r="CE102" s="3039"/>
      <c r="CF102" s="3039"/>
      <c r="CG102" s="3039"/>
      <c r="CH102" s="3039"/>
      <c r="CI102" s="3039"/>
      <c r="CJ102" s="3039"/>
      <c r="CK102" s="3039"/>
      <c r="CL102" s="3039"/>
      <c r="CM102" s="3039"/>
      <c r="CN102" s="3039"/>
      <c r="CO102" s="3039"/>
      <c r="CP102" s="3039"/>
      <c r="CQ102" s="3039"/>
      <c r="CR102" s="3039"/>
      <c r="CS102" s="3039"/>
      <c r="CT102" s="3039"/>
      <c r="CU102" s="3039"/>
      <c r="CV102" s="3039"/>
      <c r="CW102" s="3039"/>
      <c r="CX102" s="3039"/>
      <c r="CY102" s="3039"/>
      <c r="CZ102" s="3039"/>
      <c r="DA102" s="3039"/>
      <c r="DB102" s="3039"/>
      <c r="DC102" s="3039"/>
      <c r="DD102" s="3039"/>
      <c r="DE102" s="3039"/>
      <c r="DF102" s="3039"/>
      <c r="DG102" s="3039"/>
      <c r="DH102" s="3039"/>
      <c r="DI102" s="3039"/>
      <c r="DJ102" s="3039"/>
      <c r="DK102" s="3039"/>
      <c r="DL102" s="3039"/>
      <c r="DM102" s="3039"/>
      <c r="DN102" s="3039"/>
      <c r="DO102" s="3039"/>
      <c r="DP102" s="3039"/>
      <c r="DQ102" s="3039"/>
      <c r="DR102" s="3039"/>
      <c r="DS102" s="3039"/>
      <c r="DT102" s="3039"/>
      <c r="DU102" s="3039"/>
      <c r="DV102" s="3039"/>
      <c r="DW102" s="3039"/>
      <c r="DX102" s="3039"/>
      <c r="DY102" s="3039"/>
      <c r="DZ102" s="3039"/>
      <c r="EA102" s="3039"/>
      <c r="EB102" s="3039"/>
      <c r="EC102" s="3039"/>
      <c r="ED102" s="3039"/>
      <c r="EE102" s="3039"/>
      <c r="EF102" s="3039"/>
      <c r="EG102" s="3039"/>
      <c r="EH102" s="3039"/>
      <c r="EI102" s="3039"/>
      <c r="EJ102" s="3039"/>
      <c r="EK102" s="3039"/>
      <c r="EL102" s="3039"/>
      <c r="EM102" s="3039"/>
      <c r="EN102" s="3039"/>
      <c r="EO102" s="3039"/>
      <c r="EP102" s="3039"/>
      <c r="EQ102" s="3039"/>
      <c r="ER102" s="3039"/>
      <c r="ES102" s="3039"/>
      <c r="ET102" s="3039"/>
      <c r="EU102" s="3039"/>
      <c r="EV102" s="3039"/>
      <c r="EW102" s="3039"/>
      <c r="EX102" s="3039"/>
      <c r="EY102" s="3039"/>
      <c r="EZ102" s="3039"/>
      <c r="FA102" s="3039"/>
      <c r="FB102" s="3039"/>
      <c r="FC102" s="3039"/>
      <c r="FD102" s="3039"/>
      <c r="FE102" s="3039"/>
      <c r="FF102" s="3039"/>
      <c r="FG102" s="3039"/>
      <c r="FH102" s="3039"/>
      <c r="FI102" s="3039"/>
      <c r="FJ102" s="3039"/>
      <c r="FK102" s="3039"/>
      <c r="FL102" s="3039"/>
      <c r="FM102" s="3039"/>
      <c r="FN102" s="155"/>
      <c r="FO102" s="155"/>
      <c r="FP102" s="155"/>
      <c r="FQ102" s="155"/>
      <c r="FR102" s="155"/>
      <c r="FS102" s="155"/>
      <c r="FT102" s="155"/>
      <c r="FU102" s="155"/>
      <c r="FV102" s="155"/>
      <c r="FW102" s="155"/>
      <c r="FX102" s="155"/>
      <c r="FY102" s="155"/>
      <c r="FZ102" s="155"/>
      <c r="GA102" s="155"/>
      <c r="GB102" s="155"/>
      <c r="GC102" s="155"/>
      <c r="GD102" s="155"/>
      <c r="GE102" s="155"/>
      <c r="GF102" s="155"/>
      <c r="GG102" s="155"/>
      <c r="GH102" s="155"/>
      <c r="GI102" s="155"/>
      <c r="GJ102" s="155"/>
      <c r="GK102" s="155"/>
    </row>
    <row r="103" spans="2:193" ht="18.75" customHeight="1" x14ac:dyDescent="0.3"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3039"/>
      <c r="AP103" s="3039"/>
      <c r="AQ103" s="3039"/>
      <c r="AR103" s="3039"/>
      <c r="AS103" s="3039"/>
      <c r="AT103" s="3039"/>
      <c r="AU103" s="3039"/>
      <c r="AV103" s="3039"/>
      <c r="AW103" s="3039"/>
      <c r="AX103" s="3039"/>
      <c r="AY103" s="3039"/>
      <c r="AZ103" s="3039"/>
      <c r="BA103" s="3039"/>
      <c r="BB103" s="3039"/>
      <c r="BC103" s="3039"/>
      <c r="BD103" s="3039"/>
      <c r="BE103" s="3039"/>
      <c r="BF103" s="3039"/>
      <c r="BG103" s="3039"/>
      <c r="BH103" s="3039"/>
      <c r="BI103" s="3039"/>
      <c r="BJ103" s="3039"/>
      <c r="BK103" s="3039"/>
      <c r="BL103" s="3039"/>
      <c r="BM103" s="3039"/>
      <c r="BN103" s="3039"/>
      <c r="BO103" s="3039"/>
      <c r="BP103" s="3039"/>
      <c r="BQ103" s="3039"/>
      <c r="BR103" s="3039"/>
      <c r="BS103" s="3039"/>
      <c r="BT103" s="3039"/>
      <c r="BU103" s="3039"/>
      <c r="BV103" s="3039"/>
      <c r="BW103" s="3039"/>
      <c r="BX103" s="3039"/>
      <c r="BY103" s="3039"/>
      <c r="BZ103" s="3039"/>
      <c r="CA103" s="3039"/>
      <c r="CB103" s="3039"/>
      <c r="CC103" s="3039"/>
      <c r="CD103" s="3039"/>
      <c r="CE103" s="3039"/>
      <c r="CF103" s="3039"/>
      <c r="CG103" s="3039"/>
      <c r="CH103" s="3039"/>
      <c r="CI103" s="3039"/>
      <c r="CJ103" s="3039"/>
      <c r="CK103" s="3039"/>
      <c r="CL103" s="3039"/>
      <c r="CM103" s="3039"/>
      <c r="CN103" s="3039"/>
      <c r="CO103" s="3039"/>
      <c r="CP103" s="3039"/>
      <c r="CQ103" s="3039"/>
      <c r="CR103" s="3039"/>
      <c r="CS103" s="3039"/>
      <c r="CT103" s="3039"/>
      <c r="CU103" s="3039"/>
      <c r="CV103" s="3039"/>
      <c r="CW103" s="3039"/>
      <c r="CX103" s="3039"/>
      <c r="CY103" s="3039"/>
      <c r="CZ103" s="3039"/>
      <c r="DA103" s="3039"/>
      <c r="DB103" s="3039"/>
      <c r="DC103" s="3039"/>
      <c r="DD103" s="3039"/>
      <c r="DE103" s="3039"/>
      <c r="DF103" s="3039"/>
      <c r="DG103" s="3039"/>
      <c r="DH103" s="3039"/>
      <c r="DI103" s="3039"/>
      <c r="DJ103" s="3039"/>
      <c r="DK103" s="3039"/>
      <c r="DL103" s="3039"/>
      <c r="DM103" s="3039"/>
      <c r="DN103" s="3039"/>
      <c r="DO103" s="3039"/>
      <c r="DP103" s="3039"/>
      <c r="DQ103" s="3039"/>
      <c r="DR103" s="3039"/>
      <c r="DS103" s="3039"/>
      <c r="DT103" s="3039"/>
      <c r="DU103" s="3039"/>
      <c r="DV103" s="3039"/>
      <c r="DW103" s="3039"/>
      <c r="DX103" s="3039"/>
      <c r="DY103" s="3039"/>
      <c r="DZ103" s="3039"/>
      <c r="EA103" s="3039"/>
      <c r="EB103" s="3039"/>
      <c r="EC103" s="3039"/>
      <c r="ED103" s="3039"/>
      <c r="EE103" s="3039"/>
      <c r="EF103" s="3039"/>
      <c r="EG103" s="3039"/>
      <c r="EH103" s="3039"/>
      <c r="EI103" s="3039"/>
      <c r="EJ103" s="3039"/>
      <c r="EK103" s="3039"/>
      <c r="EL103" s="3039"/>
      <c r="EM103" s="3039"/>
      <c r="EN103" s="3039"/>
      <c r="EO103" s="3039"/>
      <c r="EP103" s="3039"/>
      <c r="EQ103" s="3039"/>
      <c r="ER103" s="3039"/>
      <c r="ES103" s="3039"/>
      <c r="ET103" s="3039"/>
      <c r="EU103" s="3039"/>
      <c r="EV103" s="3039"/>
      <c r="EW103" s="3039"/>
      <c r="EX103" s="3039"/>
      <c r="EY103" s="3039"/>
      <c r="EZ103" s="3039"/>
      <c r="FA103" s="3039"/>
      <c r="FB103" s="3039"/>
      <c r="FC103" s="3039"/>
      <c r="FD103" s="3039"/>
      <c r="FE103" s="3039"/>
      <c r="FF103" s="3039"/>
      <c r="FG103" s="3039"/>
      <c r="FH103" s="3039"/>
      <c r="FI103" s="3039"/>
      <c r="FJ103" s="3039"/>
      <c r="FK103" s="3039"/>
      <c r="FL103" s="3039"/>
      <c r="FM103" s="3039"/>
      <c r="FN103" s="155"/>
      <c r="FO103" s="155"/>
      <c r="FP103" s="155"/>
      <c r="FQ103" s="155"/>
      <c r="FR103" s="155"/>
      <c r="FS103" s="155"/>
      <c r="FT103" s="155"/>
      <c r="FU103" s="155"/>
      <c r="FV103" s="155"/>
      <c r="FW103" s="155"/>
      <c r="FX103" s="155"/>
      <c r="FY103" s="155"/>
      <c r="FZ103" s="155"/>
      <c r="GA103" s="155"/>
      <c r="GB103" s="155"/>
      <c r="GC103" s="155"/>
      <c r="GD103" s="155"/>
      <c r="GE103" s="155"/>
      <c r="GF103" s="155"/>
      <c r="GG103" s="155"/>
      <c r="GH103" s="155"/>
      <c r="GI103" s="155"/>
      <c r="GJ103" s="155"/>
      <c r="GK103" s="155"/>
    </row>
    <row r="104" spans="2:193" ht="18.75" customHeight="1" x14ac:dyDescent="0.3"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3039"/>
      <c r="AP104" s="3039"/>
      <c r="AQ104" s="3039"/>
      <c r="AR104" s="3039"/>
      <c r="AS104" s="3039"/>
      <c r="AT104" s="3039"/>
      <c r="AU104" s="3039"/>
      <c r="AV104" s="3039"/>
      <c r="AW104" s="3039"/>
      <c r="AX104" s="3039"/>
      <c r="AY104" s="3039"/>
      <c r="AZ104" s="3039"/>
      <c r="BA104" s="3039"/>
      <c r="BB104" s="3039"/>
      <c r="BC104" s="3039"/>
      <c r="BD104" s="3039"/>
      <c r="BE104" s="3039"/>
      <c r="BF104" s="3039"/>
      <c r="BG104" s="3039"/>
      <c r="BH104" s="3039"/>
      <c r="BI104" s="3039"/>
      <c r="BJ104" s="3039"/>
      <c r="BK104" s="3039"/>
      <c r="BL104" s="3039"/>
      <c r="BM104" s="3039"/>
      <c r="BN104" s="3039"/>
      <c r="BO104" s="3039"/>
      <c r="BP104" s="3039"/>
      <c r="BQ104" s="3039"/>
      <c r="BR104" s="3039"/>
      <c r="BS104" s="3039"/>
      <c r="BT104" s="3039"/>
      <c r="BU104" s="3039"/>
      <c r="BV104" s="3039"/>
      <c r="BW104" s="3039"/>
      <c r="BX104" s="3039"/>
      <c r="BY104" s="3039"/>
      <c r="BZ104" s="3039"/>
      <c r="CA104" s="3039"/>
      <c r="CB104" s="3039"/>
      <c r="CC104" s="3039"/>
      <c r="CD104" s="3039"/>
      <c r="CE104" s="3039"/>
      <c r="CF104" s="3039"/>
      <c r="CG104" s="3039"/>
      <c r="CH104" s="3039"/>
      <c r="CI104" s="3039"/>
      <c r="CJ104" s="3039"/>
      <c r="CK104" s="3039"/>
      <c r="CL104" s="3039"/>
      <c r="CM104" s="3039"/>
      <c r="CN104" s="3039"/>
      <c r="CO104" s="3039"/>
      <c r="CP104" s="3039"/>
      <c r="CQ104" s="3039"/>
      <c r="CR104" s="3039"/>
      <c r="CS104" s="3039"/>
      <c r="CT104" s="3039"/>
      <c r="CU104" s="3039"/>
      <c r="CV104" s="3039"/>
      <c r="CW104" s="3039"/>
      <c r="CX104" s="3039"/>
      <c r="CY104" s="3039"/>
      <c r="CZ104" s="3039"/>
      <c r="DA104" s="3039"/>
      <c r="DB104" s="3039"/>
      <c r="DC104" s="3039"/>
      <c r="DD104" s="3039"/>
      <c r="DE104" s="3039"/>
      <c r="DF104" s="3039"/>
      <c r="DG104" s="3039"/>
      <c r="DH104" s="3039"/>
      <c r="DI104" s="3039"/>
      <c r="DJ104" s="3039"/>
      <c r="DK104" s="3039"/>
      <c r="DL104" s="3039"/>
      <c r="DM104" s="3039"/>
      <c r="DN104" s="3039"/>
      <c r="DO104" s="3039"/>
      <c r="DP104" s="3039"/>
      <c r="DQ104" s="3039"/>
      <c r="DR104" s="3039"/>
      <c r="DS104" s="3039"/>
      <c r="DT104" s="3039"/>
      <c r="DU104" s="3039"/>
      <c r="DV104" s="3039"/>
      <c r="DW104" s="3039"/>
      <c r="DX104" s="3039"/>
      <c r="DY104" s="3039"/>
      <c r="DZ104" s="3039"/>
      <c r="EA104" s="3039"/>
      <c r="EB104" s="3039"/>
      <c r="EC104" s="3039"/>
      <c r="ED104" s="3039"/>
      <c r="EE104" s="3039"/>
      <c r="EF104" s="3039"/>
      <c r="EG104" s="3039"/>
      <c r="EH104" s="3039"/>
      <c r="EI104" s="3039"/>
      <c r="EJ104" s="3039"/>
      <c r="EK104" s="3039"/>
      <c r="EL104" s="3039"/>
      <c r="EM104" s="3039"/>
      <c r="EN104" s="3039"/>
      <c r="EO104" s="3039"/>
      <c r="EP104" s="3039"/>
      <c r="EQ104" s="3039"/>
      <c r="ER104" s="3039"/>
      <c r="ES104" s="3039"/>
      <c r="ET104" s="3039"/>
      <c r="EU104" s="3039"/>
      <c r="EV104" s="3039"/>
      <c r="EW104" s="3039"/>
      <c r="EX104" s="3039"/>
      <c r="EY104" s="3039"/>
      <c r="EZ104" s="3039"/>
      <c r="FA104" s="3039"/>
      <c r="FB104" s="3039"/>
      <c r="FC104" s="3039"/>
      <c r="FD104" s="3039"/>
      <c r="FE104" s="3039"/>
      <c r="FF104" s="3039"/>
      <c r="FG104" s="3039"/>
      <c r="FH104" s="3039"/>
      <c r="FI104" s="3039"/>
      <c r="FJ104" s="3039"/>
      <c r="FK104" s="3039"/>
      <c r="FL104" s="3039"/>
      <c r="FM104" s="3039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/>
      <c r="FY104" s="155"/>
      <c r="FZ104" s="155"/>
      <c r="GA104" s="155"/>
      <c r="GB104" s="155"/>
      <c r="GC104" s="155"/>
      <c r="GD104" s="155"/>
      <c r="GE104" s="155"/>
      <c r="GF104" s="155"/>
      <c r="GG104" s="155"/>
      <c r="GH104" s="155"/>
      <c r="GI104" s="155"/>
      <c r="GJ104" s="155"/>
      <c r="GK104" s="155"/>
    </row>
    <row r="105" spans="2:193" ht="18.75" customHeight="1" x14ac:dyDescent="0.3"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3039"/>
      <c r="AP105" s="3039"/>
      <c r="AQ105" s="3039"/>
      <c r="AR105" s="3039"/>
      <c r="AS105" s="3039"/>
      <c r="AT105" s="3039"/>
      <c r="AU105" s="3039"/>
      <c r="AV105" s="3039"/>
      <c r="AW105" s="3039"/>
      <c r="AX105" s="3039"/>
      <c r="AY105" s="3039"/>
      <c r="AZ105" s="3039"/>
      <c r="BA105" s="3039"/>
      <c r="BB105" s="3039"/>
      <c r="BC105" s="3039"/>
      <c r="BD105" s="3039"/>
      <c r="BE105" s="3039"/>
      <c r="BF105" s="3039"/>
      <c r="BG105" s="3039"/>
      <c r="BH105" s="3039"/>
      <c r="BI105" s="3039"/>
      <c r="BJ105" s="3039"/>
      <c r="BK105" s="3039"/>
      <c r="BL105" s="3039"/>
      <c r="BM105" s="3039"/>
      <c r="BN105" s="3039"/>
      <c r="BO105" s="3039"/>
      <c r="BP105" s="3039"/>
      <c r="BQ105" s="3039"/>
      <c r="BR105" s="3039"/>
      <c r="BS105" s="3039"/>
      <c r="BT105" s="3039"/>
      <c r="BU105" s="3039"/>
      <c r="BV105" s="3039"/>
      <c r="BW105" s="3039"/>
      <c r="BX105" s="3039"/>
      <c r="BY105" s="3039"/>
      <c r="BZ105" s="3039"/>
      <c r="CA105" s="3039"/>
      <c r="CB105" s="3039"/>
      <c r="CC105" s="3039"/>
      <c r="CD105" s="3039"/>
      <c r="CE105" s="3039"/>
      <c r="CF105" s="3039"/>
      <c r="CG105" s="3039"/>
      <c r="CH105" s="3039"/>
      <c r="CI105" s="3039"/>
      <c r="CJ105" s="3039"/>
      <c r="CK105" s="3039"/>
      <c r="CL105" s="3039"/>
      <c r="CM105" s="3039"/>
      <c r="CN105" s="3039"/>
      <c r="CO105" s="3039"/>
      <c r="CP105" s="3039"/>
      <c r="CQ105" s="3039"/>
      <c r="CR105" s="3039"/>
      <c r="CS105" s="3039"/>
      <c r="CT105" s="3039"/>
      <c r="CU105" s="3039"/>
      <c r="CV105" s="3039"/>
      <c r="CW105" s="3039"/>
      <c r="CX105" s="3039"/>
      <c r="CY105" s="3039"/>
      <c r="CZ105" s="3039"/>
      <c r="DA105" s="3039"/>
      <c r="DB105" s="3039"/>
      <c r="DC105" s="3039"/>
      <c r="DD105" s="3039"/>
      <c r="DE105" s="3039"/>
      <c r="DF105" s="3039"/>
      <c r="DG105" s="3039"/>
      <c r="DH105" s="3039"/>
      <c r="DI105" s="3039"/>
      <c r="DJ105" s="3039"/>
      <c r="DK105" s="3039"/>
      <c r="DL105" s="3039"/>
      <c r="DM105" s="3039"/>
      <c r="DN105" s="3039"/>
      <c r="DO105" s="3039"/>
      <c r="DP105" s="3039"/>
      <c r="DQ105" s="3039"/>
      <c r="DR105" s="3039"/>
      <c r="DS105" s="3039"/>
      <c r="DT105" s="3039"/>
      <c r="DU105" s="3039"/>
      <c r="DV105" s="3039"/>
      <c r="DW105" s="3039"/>
      <c r="DX105" s="3039"/>
      <c r="DY105" s="3039"/>
      <c r="DZ105" s="3039"/>
      <c r="EA105" s="3039"/>
      <c r="EB105" s="3039"/>
      <c r="EC105" s="3039"/>
      <c r="ED105" s="3039"/>
      <c r="EE105" s="3039"/>
      <c r="EF105" s="3039"/>
      <c r="EG105" s="3039"/>
      <c r="EH105" s="3039"/>
      <c r="EI105" s="3039"/>
      <c r="EJ105" s="3039"/>
      <c r="EK105" s="3039"/>
      <c r="EL105" s="3039"/>
      <c r="EM105" s="3039"/>
      <c r="EN105" s="3039"/>
      <c r="EO105" s="3039"/>
      <c r="EP105" s="3039"/>
      <c r="EQ105" s="3039"/>
      <c r="ER105" s="3039"/>
      <c r="ES105" s="3039"/>
      <c r="ET105" s="3039"/>
      <c r="EU105" s="3039"/>
      <c r="EV105" s="3039"/>
      <c r="EW105" s="3039"/>
      <c r="EX105" s="3039"/>
      <c r="EY105" s="3039"/>
      <c r="EZ105" s="3039"/>
      <c r="FA105" s="3039"/>
      <c r="FB105" s="3039"/>
      <c r="FC105" s="3039"/>
      <c r="FD105" s="3039"/>
      <c r="FE105" s="3039"/>
      <c r="FF105" s="3039"/>
      <c r="FG105" s="3039"/>
      <c r="FH105" s="3039"/>
      <c r="FI105" s="3039"/>
      <c r="FJ105" s="3039"/>
      <c r="FK105" s="3039"/>
      <c r="FL105" s="3039"/>
      <c r="FM105" s="3039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/>
      <c r="FY105" s="155"/>
      <c r="FZ105" s="155"/>
      <c r="GA105" s="155"/>
      <c r="GB105" s="155"/>
      <c r="GC105" s="155"/>
      <c r="GD105" s="155"/>
      <c r="GE105" s="155"/>
      <c r="GF105" s="155"/>
      <c r="GG105" s="155"/>
      <c r="GH105" s="155"/>
      <c r="GI105" s="155"/>
      <c r="GJ105" s="155"/>
      <c r="GK105" s="155"/>
    </row>
    <row r="106" spans="2:193" ht="18.75" customHeight="1" x14ac:dyDescent="0.3"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3039"/>
      <c r="AP106" s="3039"/>
      <c r="AQ106" s="3039"/>
      <c r="AR106" s="3039"/>
      <c r="AS106" s="3039"/>
      <c r="AT106" s="3039"/>
      <c r="AU106" s="3039"/>
      <c r="AV106" s="3039"/>
      <c r="AW106" s="3039"/>
      <c r="AX106" s="3039"/>
      <c r="AY106" s="3039"/>
      <c r="AZ106" s="3039"/>
      <c r="BA106" s="3039"/>
      <c r="BB106" s="3039"/>
      <c r="BC106" s="3039"/>
      <c r="BD106" s="3039"/>
      <c r="BE106" s="3039"/>
      <c r="BF106" s="3039"/>
      <c r="BG106" s="3039"/>
      <c r="BH106" s="3039"/>
      <c r="BI106" s="3039"/>
      <c r="BJ106" s="3039"/>
      <c r="BK106" s="3039"/>
      <c r="BL106" s="3039"/>
      <c r="BM106" s="3039"/>
      <c r="BN106" s="3039"/>
      <c r="BO106" s="3039"/>
      <c r="BP106" s="3039"/>
      <c r="BQ106" s="3039"/>
      <c r="BR106" s="3039"/>
      <c r="BS106" s="3039"/>
      <c r="BT106" s="3039"/>
      <c r="BU106" s="3039"/>
      <c r="BV106" s="3039"/>
      <c r="BW106" s="3039"/>
      <c r="BX106" s="3039"/>
      <c r="BY106" s="3039"/>
      <c r="BZ106" s="3039"/>
      <c r="CA106" s="3039"/>
      <c r="CB106" s="3039"/>
      <c r="CC106" s="3039"/>
      <c r="CD106" s="3039"/>
      <c r="CE106" s="3039"/>
      <c r="CF106" s="3039"/>
      <c r="CG106" s="3039"/>
      <c r="CH106" s="3039"/>
      <c r="CI106" s="3039"/>
      <c r="CJ106" s="3039"/>
      <c r="CK106" s="3039"/>
      <c r="CL106" s="3039"/>
      <c r="CM106" s="3039"/>
      <c r="CN106" s="3039"/>
      <c r="CO106" s="3039"/>
      <c r="CP106" s="3039"/>
      <c r="CQ106" s="3039"/>
      <c r="CR106" s="3039"/>
      <c r="CS106" s="3039"/>
      <c r="CT106" s="3039"/>
      <c r="CU106" s="3039"/>
      <c r="CV106" s="3039"/>
      <c r="CW106" s="3039"/>
      <c r="CX106" s="3039"/>
      <c r="CY106" s="3039"/>
      <c r="CZ106" s="3039"/>
      <c r="DA106" s="3039"/>
      <c r="DB106" s="3039"/>
      <c r="DC106" s="3039"/>
      <c r="DD106" s="3039"/>
      <c r="DE106" s="3039"/>
      <c r="DF106" s="3039"/>
      <c r="DG106" s="3039"/>
      <c r="DH106" s="3039"/>
      <c r="DI106" s="3039"/>
      <c r="DJ106" s="3039"/>
      <c r="DK106" s="3039"/>
      <c r="DL106" s="3039"/>
      <c r="DM106" s="3039"/>
      <c r="DN106" s="3039"/>
      <c r="DO106" s="3039"/>
      <c r="DP106" s="3039"/>
      <c r="DQ106" s="3039"/>
      <c r="DR106" s="3039"/>
      <c r="DS106" s="3039"/>
      <c r="DT106" s="3039"/>
      <c r="DU106" s="3039"/>
      <c r="DV106" s="3039"/>
      <c r="DW106" s="3039"/>
      <c r="DX106" s="3039"/>
      <c r="DY106" s="3039"/>
      <c r="DZ106" s="3039"/>
      <c r="EA106" s="3039"/>
      <c r="EB106" s="3039"/>
      <c r="EC106" s="3039"/>
      <c r="ED106" s="3039"/>
      <c r="EE106" s="3039"/>
      <c r="EF106" s="3039"/>
      <c r="EG106" s="3039"/>
      <c r="EH106" s="3039"/>
      <c r="EI106" s="3039"/>
      <c r="EJ106" s="3039"/>
      <c r="EK106" s="3039"/>
      <c r="EL106" s="3039"/>
      <c r="EM106" s="3039"/>
      <c r="EN106" s="3039"/>
      <c r="EO106" s="3039"/>
      <c r="EP106" s="3039"/>
      <c r="EQ106" s="3039"/>
      <c r="ER106" s="3039"/>
      <c r="ES106" s="3039"/>
      <c r="ET106" s="3039"/>
      <c r="EU106" s="3039"/>
      <c r="EV106" s="3039"/>
      <c r="EW106" s="3039"/>
      <c r="EX106" s="3039"/>
      <c r="EY106" s="3039"/>
      <c r="EZ106" s="3039"/>
      <c r="FA106" s="3039"/>
      <c r="FB106" s="3039"/>
      <c r="FC106" s="3039"/>
      <c r="FD106" s="3039"/>
      <c r="FE106" s="3039"/>
      <c r="FF106" s="3039"/>
      <c r="FG106" s="3039"/>
      <c r="FH106" s="3039"/>
      <c r="FI106" s="3039"/>
      <c r="FJ106" s="3039"/>
      <c r="FK106" s="3039"/>
      <c r="FL106" s="3039"/>
      <c r="FM106" s="3039"/>
      <c r="FN106" s="155"/>
      <c r="FO106" s="155"/>
      <c r="FP106" s="155"/>
      <c r="FQ106" s="155"/>
      <c r="FR106" s="155"/>
      <c r="FS106" s="155"/>
      <c r="FT106" s="155"/>
      <c r="FU106" s="155"/>
      <c r="FV106" s="155"/>
      <c r="FW106" s="155"/>
      <c r="FX106" s="155"/>
      <c r="FY106" s="155"/>
      <c r="FZ106" s="155"/>
      <c r="GA106" s="155"/>
      <c r="GB106" s="155"/>
      <c r="GC106" s="155"/>
      <c r="GD106" s="155"/>
      <c r="GE106" s="155"/>
      <c r="GF106" s="155"/>
      <c r="GG106" s="155"/>
      <c r="GH106" s="155"/>
      <c r="GI106" s="155"/>
      <c r="GJ106" s="155"/>
      <c r="GK106" s="155"/>
    </row>
    <row r="107" spans="2:193" ht="18.75" customHeight="1" x14ac:dyDescent="0.3"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3039"/>
      <c r="AP107" s="3039"/>
      <c r="AQ107" s="3039"/>
      <c r="AR107" s="3039"/>
      <c r="AS107" s="3039"/>
      <c r="AT107" s="3039"/>
      <c r="AU107" s="3039"/>
      <c r="AV107" s="3039"/>
      <c r="AW107" s="3039"/>
      <c r="AX107" s="3039"/>
      <c r="AY107" s="3039"/>
      <c r="AZ107" s="3039"/>
      <c r="BA107" s="3039"/>
      <c r="BB107" s="3039"/>
      <c r="BC107" s="3039"/>
      <c r="BD107" s="3039"/>
      <c r="BE107" s="3039"/>
      <c r="BF107" s="3039"/>
      <c r="BG107" s="3039"/>
      <c r="BH107" s="3039"/>
      <c r="BI107" s="3039"/>
      <c r="BJ107" s="3039"/>
      <c r="BK107" s="3039"/>
      <c r="BL107" s="3039"/>
      <c r="BM107" s="3039"/>
      <c r="BN107" s="3039"/>
      <c r="BO107" s="3039"/>
      <c r="BP107" s="3039"/>
      <c r="BQ107" s="3039"/>
      <c r="BR107" s="3039"/>
      <c r="BS107" s="3039"/>
      <c r="BT107" s="3039"/>
      <c r="BU107" s="3039"/>
      <c r="BV107" s="3039"/>
      <c r="BW107" s="3039"/>
      <c r="BX107" s="3039"/>
      <c r="BY107" s="3039"/>
      <c r="BZ107" s="3039"/>
      <c r="CA107" s="3039"/>
      <c r="CB107" s="3039"/>
      <c r="CC107" s="3039"/>
      <c r="CD107" s="3039"/>
      <c r="CE107" s="3039"/>
      <c r="CF107" s="3039"/>
      <c r="CG107" s="3039"/>
      <c r="CH107" s="3039"/>
      <c r="CI107" s="3039"/>
      <c r="CJ107" s="3039"/>
      <c r="CK107" s="3039"/>
      <c r="CL107" s="3039"/>
      <c r="CM107" s="3039"/>
      <c r="CN107" s="3039"/>
      <c r="CO107" s="3039"/>
      <c r="CP107" s="3039"/>
      <c r="CQ107" s="3039"/>
      <c r="CR107" s="3039"/>
      <c r="CS107" s="3039"/>
      <c r="CT107" s="3039"/>
      <c r="CU107" s="3039"/>
      <c r="CV107" s="3039"/>
      <c r="CW107" s="3039"/>
      <c r="CX107" s="3039"/>
      <c r="CY107" s="3039"/>
      <c r="CZ107" s="3039"/>
      <c r="DA107" s="3039"/>
      <c r="DB107" s="3039"/>
      <c r="DC107" s="3039"/>
      <c r="DD107" s="3039"/>
      <c r="DE107" s="3039"/>
      <c r="DF107" s="3039"/>
      <c r="DG107" s="3039"/>
      <c r="DH107" s="3039"/>
      <c r="DI107" s="3039"/>
      <c r="DJ107" s="3039"/>
      <c r="DK107" s="3039"/>
      <c r="DL107" s="3039"/>
      <c r="DM107" s="3039"/>
      <c r="DN107" s="3039"/>
      <c r="DO107" s="3039"/>
      <c r="DP107" s="3039"/>
      <c r="DQ107" s="3039"/>
      <c r="DR107" s="3039"/>
      <c r="DS107" s="3039"/>
      <c r="DT107" s="3039"/>
      <c r="DU107" s="3039"/>
      <c r="DV107" s="3039"/>
      <c r="DW107" s="3039"/>
      <c r="DX107" s="3039"/>
      <c r="DY107" s="3039"/>
      <c r="DZ107" s="3039"/>
      <c r="EA107" s="3039"/>
      <c r="EB107" s="3039"/>
      <c r="EC107" s="3039"/>
      <c r="ED107" s="3039"/>
      <c r="EE107" s="3039"/>
      <c r="EF107" s="3039"/>
      <c r="EG107" s="3039"/>
      <c r="EH107" s="3039"/>
      <c r="EI107" s="3039"/>
      <c r="EJ107" s="3039"/>
      <c r="EK107" s="3039"/>
      <c r="EL107" s="3039"/>
      <c r="EM107" s="3039"/>
      <c r="EN107" s="3039"/>
      <c r="EO107" s="3039"/>
      <c r="EP107" s="3039"/>
      <c r="EQ107" s="3039"/>
      <c r="ER107" s="3039"/>
      <c r="ES107" s="3039"/>
      <c r="ET107" s="3039"/>
      <c r="EU107" s="3039"/>
      <c r="EV107" s="3039"/>
      <c r="EW107" s="3039"/>
      <c r="EX107" s="3039"/>
      <c r="EY107" s="3039"/>
      <c r="EZ107" s="3039"/>
      <c r="FA107" s="3039"/>
      <c r="FB107" s="3039"/>
      <c r="FC107" s="3039"/>
      <c r="FD107" s="3039"/>
      <c r="FE107" s="3039"/>
      <c r="FF107" s="3039"/>
      <c r="FG107" s="3039"/>
      <c r="FH107" s="3039"/>
      <c r="FI107" s="3039"/>
      <c r="FJ107" s="3039"/>
      <c r="FK107" s="3039"/>
      <c r="FL107" s="3039"/>
      <c r="FM107" s="3039"/>
      <c r="FN107" s="155"/>
      <c r="FO107" s="155"/>
      <c r="FP107" s="155"/>
      <c r="FQ107" s="155"/>
      <c r="FR107" s="155"/>
      <c r="FS107" s="155"/>
      <c r="FT107" s="155"/>
      <c r="FU107" s="155"/>
      <c r="FV107" s="155"/>
      <c r="FW107" s="155"/>
      <c r="FX107" s="155"/>
      <c r="FY107" s="155"/>
      <c r="FZ107" s="155"/>
      <c r="GA107" s="155"/>
      <c r="GB107" s="155"/>
      <c r="GC107" s="155"/>
      <c r="GD107" s="155"/>
      <c r="GE107" s="155"/>
      <c r="GF107" s="155"/>
      <c r="GG107" s="155"/>
      <c r="GH107" s="155"/>
      <c r="GI107" s="155"/>
      <c r="GJ107" s="155"/>
      <c r="GK107" s="155"/>
    </row>
    <row r="108" spans="2:193" ht="18.75" customHeight="1" x14ac:dyDescent="0.3"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  <c r="AI108" s="155"/>
      <c r="AJ108" s="155"/>
      <c r="AK108" s="155"/>
      <c r="AL108" s="155"/>
      <c r="AM108" s="155"/>
      <c r="AN108" s="155"/>
      <c r="AO108" s="3039"/>
      <c r="AP108" s="3039"/>
      <c r="AQ108" s="3039"/>
      <c r="AR108" s="3039"/>
      <c r="AS108" s="3039"/>
      <c r="AT108" s="3039"/>
      <c r="AU108" s="3039"/>
      <c r="AV108" s="3039"/>
      <c r="AW108" s="3039"/>
      <c r="AX108" s="3039"/>
      <c r="AY108" s="3039"/>
      <c r="AZ108" s="3039"/>
      <c r="BA108" s="3039"/>
      <c r="BB108" s="3039"/>
      <c r="BC108" s="3039"/>
      <c r="BD108" s="3039"/>
      <c r="BE108" s="3039"/>
      <c r="BF108" s="3039"/>
      <c r="BG108" s="3039"/>
      <c r="BH108" s="3039"/>
      <c r="BI108" s="3039"/>
      <c r="BJ108" s="3039"/>
      <c r="BK108" s="3039"/>
      <c r="BL108" s="3039"/>
      <c r="BM108" s="3039"/>
      <c r="BN108" s="3039"/>
      <c r="BO108" s="3039"/>
      <c r="BP108" s="3039"/>
      <c r="BQ108" s="3039"/>
      <c r="BR108" s="3039"/>
      <c r="BS108" s="3039"/>
      <c r="BT108" s="3039"/>
      <c r="BU108" s="3039"/>
      <c r="BV108" s="3039"/>
      <c r="BW108" s="3039"/>
      <c r="BX108" s="3039"/>
      <c r="BY108" s="3039"/>
      <c r="BZ108" s="3039"/>
      <c r="CA108" s="3039"/>
      <c r="CB108" s="3039"/>
      <c r="CC108" s="3039"/>
      <c r="CD108" s="3039"/>
      <c r="CE108" s="3039"/>
      <c r="CF108" s="3039"/>
      <c r="CG108" s="3039"/>
      <c r="CH108" s="3039"/>
      <c r="CI108" s="3039"/>
      <c r="CJ108" s="3039"/>
      <c r="CK108" s="3039"/>
      <c r="CL108" s="3039"/>
      <c r="CM108" s="3039"/>
      <c r="CN108" s="3039"/>
      <c r="CO108" s="3039"/>
      <c r="CP108" s="3039"/>
      <c r="CQ108" s="3039"/>
      <c r="CR108" s="3039"/>
      <c r="CS108" s="3039"/>
      <c r="CT108" s="3039"/>
      <c r="CU108" s="3039"/>
      <c r="CV108" s="3039"/>
      <c r="CW108" s="3039"/>
      <c r="CX108" s="3039"/>
      <c r="CY108" s="3039"/>
      <c r="CZ108" s="3039"/>
      <c r="DA108" s="3039"/>
      <c r="DB108" s="3039"/>
      <c r="DC108" s="3039"/>
      <c r="DD108" s="3039"/>
      <c r="DE108" s="3039"/>
      <c r="DF108" s="3039"/>
      <c r="DG108" s="3039"/>
      <c r="DH108" s="3039"/>
      <c r="DI108" s="3039"/>
      <c r="DJ108" s="3039"/>
      <c r="DK108" s="3039"/>
      <c r="DL108" s="3039"/>
      <c r="DM108" s="3039"/>
      <c r="DN108" s="3039"/>
      <c r="DO108" s="3039"/>
      <c r="DP108" s="3039"/>
      <c r="DQ108" s="3039"/>
      <c r="DR108" s="3039"/>
      <c r="DS108" s="3039"/>
      <c r="DT108" s="3039"/>
      <c r="DU108" s="3039"/>
      <c r="DV108" s="3039"/>
      <c r="DW108" s="3039"/>
      <c r="DX108" s="3039"/>
      <c r="DY108" s="3039"/>
      <c r="DZ108" s="3039"/>
      <c r="EA108" s="3039"/>
      <c r="EB108" s="3039"/>
      <c r="EC108" s="3039"/>
      <c r="ED108" s="3039"/>
      <c r="EE108" s="3039"/>
      <c r="EF108" s="3039"/>
      <c r="EG108" s="3039"/>
      <c r="EH108" s="3039"/>
      <c r="EI108" s="3039"/>
      <c r="EJ108" s="3039"/>
      <c r="EK108" s="3039"/>
      <c r="EL108" s="3039"/>
      <c r="EM108" s="3039"/>
      <c r="EN108" s="3039"/>
      <c r="EO108" s="3039"/>
      <c r="EP108" s="3039"/>
      <c r="EQ108" s="3039"/>
      <c r="ER108" s="3039"/>
      <c r="ES108" s="3039"/>
      <c r="ET108" s="3039"/>
      <c r="EU108" s="3039"/>
      <c r="EV108" s="3039"/>
      <c r="EW108" s="3039"/>
      <c r="EX108" s="3039"/>
      <c r="EY108" s="3039"/>
      <c r="EZ108" s="3039"/>
      <c r="FA108" s="3039"/>
      <c r="FB108" s="3039"/>
      <c r="FC108" s="3039"/>
      <c r="FD108" s="3039"/>
      <c r="FE108" s="3039"/>
      <c r="FF108" s="3039"/>
      <c r="FG108" s="3039"/>
      <c r="FH108" s="3039"/>
      <c r="FI108" s="3039"/>
      <c r="FJ108" s="3039"/>
      <c r="FK108" s="3039"/>
      <c r="FL108" s="3039"/>
      <c r="FM108" s="3039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/>
      <c r="GH108" s="155"/>
      <c r="GI108" s="155"/>
      <c r="GJ108" s="155"/>
      <c r="GK108" s="155"/>
    </row>
    <row r="109" spans="2:193" ht="18.75" customHeight="1" x14ac:dyDescent="0.3"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3039"/>
      <c r="AP109" s="3039"/>
      <c r="AQ109" s="3039"/>
      <c r="AR109" s="3039"/>
      <c r="AS109" s="3039"/>
      <c r="AT109" s="3039"/>
      <c r="AU109" s="3039"/>
      <c r="AV109" s="3039"/>
      <c r="AW109" s="3039"/>
      <c r="AX109" s="3039"/>
      <c r="AY109" s="3039"/>
      <c r="AZ109" s="3039"/>
      <c r="BA109" s="3039"/>
      <c r="BB109" s="3039"/>
      <c r="BC109" s="3039"/>
      <c r="BD109" s="3039"/>
      <c r="BE109" s="3039"/>
      <c r="BF109" s="3039"/>
      <c r="BG109" s="3039"/>
      <c r="BH109" s="3039"/>
      <c r="BI109" s="3039"/>
      <c r="BJ109" s="3039"/>
      <c r="BK109" s="3039"/>
      <c r="BL109" s="3039"/>
      <c r="BM109" s="3039"/>
      <c r="BN109" s="3039"/>
      <c r="BO109" s="3039"/>
      <c r="BP109" s="3039"/>
      <c r="BQ109" s="3039"/>
      <c r="BR109" s="3039"/>
      <c r="BS109" s="3039"/>
      <c r="BT109" s="3039"/>
      <c r="BU109" s="3039"/>
      <c r="BV109" s="3039"/>
      <c r="BW109" s="3039"/>
      <c r="BX109" s="3039"/>
      <c r="BY109" s="3039"/>
      <c r="BZ109" s="3039"/>
      <c r="CA109" s="3039"/>
      <c r="CB109" s="3039"/>
      <c r="CC109" s="3039"/>
      <c r="CD109" s="3039"/>
      <c r="CE109" s="3039"/>
      <c r="CF109" s="3039"/>
      <c r="CG109" s="3039"/>
      <c r="CH109" s="3039"/>
      <c r="CI109" s="3039"/>
      <c r="CJ109" s="3039"/>
      <c r="CK109" s="3039"/>
      <c r="CL109" s="3039"/>
      <c r="CM109" s="3039"/>
      <c r="CN109" s="3039"/>
      <c r="CO109" s="3039"/>
      <c r="CP109" s="3039"/>
      <c r="CQ109" s="3039"/>
      <c r="CR109" s="3039"/>
      <c r="CS109" s="3039"/>
      <c r="CT109" s="3039"/>
      <c r="CU109" s="3039"/>
      <c r="CV109" s="3039"/>
      <c r="CW109" s="3039"/>
      <c r="CX109" s="3039"/>
      <c r="CY109" s="3039"/>
      <c r="CZ109" s="3039"/>
      <c r="DA109" s="3039"/>
      <c r="DB109" s="3039"/>
      <c r="DC109" s="3039"/>
      <c r="DD109" s="3039"/>
      <c r="DE109" s="3039"/>
      <c r="DF109" s="3039"/>
      <c r="DG109" s="3039"/>
      <c r="DH109" s="3039"/>
      <c r="DI109" s="3039"/>
      <c r="DJ109" s="3039"/>
      <c r="DK109" s="3039"/>
      <c r="DL109" s="3039"/>
      <c r="DM109" s="3039"/>
      <c r="DN109" s="3039"/>
      <c r="DO109" s="3039"/>
      <c r="DP109" s="3039"/>
      <c r="DQ109" s="3039"/>
      <c r="DR109" s="3039"/>
      <c r="DS109" s="3039"/>
      <c r="DT109" s="3039"/>
      <c r="DU109" s="3039"/>
      <c r="DV109" s="3039"/>
      <c r="DW109" s="3039"/>
      <c r="DX109" s="3039"/>
      <c r="DY109" s="3039"/>
      <c r="DZ109" s="3039"/>
      <c r="EA109" s="3039"/>
      <c r="EB109" s="3039"/>
      <c r="EC109" s="3039"/>
      <c r="ED109" s="3039"/>
      <c r="EE109" s="3039"/>
      <c r="EF109" s="3039"/>
      <c r="EG109" s="3039"/>
      <c r="EH109" s="3039"/>
      <c r="EI109" s="3039"/>
      <c r="EJ109" s="3039"/>
      <c r="EK109" s="3039"/>
      <c r="EL109" s="3039"/>
      <c r="EM109" s="3039"/>
      <c r="EN109" s="3039"/>
      <c r="EO109" s="3039"/>
      <c r="EP109" s="3039"/>
      <c r="EQ109" s="3039"/>
      <c r="ER109" s="3039"/>
      <c r="ES109" s="3039"/>
      <c r="ET109" s="3039"/>
      <c r="EU109" s="3039"/>
      <c r="EV109" s="3039"/>
      <c r="EW109" s="3039"/>
      <c r="EX109" s="3039"/>
      <c r="EY109" s="3039"/>
      <c r="EZ109" s="3039"/>
      <c r="FA109" s="3039"/>
      <c r="FB109" s="3039"/>
      <c r="FC109" s="3039"/>
      <c r="FD109" s="3039"/>
      <c r="FE109" s="3039"/>
      <c r="FF109" s="3039"/>
      <c r="FG109" s="3039"/>
      <c r="FH109" s="3039"/>
      <c r="FI109" s="3039"/>
      <c r="FJ109" s="3039"/>
      <c r="FK109" s="3039"/>
      <c r="FL109" s="3039"/>
      <c r="FM109" s="3039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</row>
    <row r="110" spans="2:193" ht="18.75" customHeight="1" x14ac:dyDescent="0.3"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55"/>
      <c r="AI110" s="155"/>
      <c r="AJ110" s="155"/>
      <c r="AK110" s="155"/>
      <c r="AL110" s="155"/>
      <c r="AM110" s="155"/>
      <c r="AN110" s="155"/>
      <c r="AO110" s="3039"/>
      <c r="AP110" s="3039"/>
      <c r="AQ110" s="3039"/>
      <c r="AR110" s="3039"/>
      <c r="AS110" s="3039"/>
      <c r="AT110" s="3039"/>
      <c r="AU110" s="3039"/>
      <c r="AV110" s="3039"/>
      <c r="AW110" s="3039"/>
      <c r="AX110" s="3039"/>
      <c r="AY110" s="3039"/>
      <c r="AZ110" s="3039"/>
      <c r="BA110" s="3039"/>
      <c r="BB110" s="3039"/>
      <c r="BC110" s="3039"/>
      <c r="BD110" s="3039"/>
      <c r="BE110" s="3039"/>
      <c r="BF110" s="3039"/>
      <c r="BG110" s="3039"/>
      <c r="BH110" s="3039"/>
      <c r="BI110" s="3039"/>
      <c r="BJ110" s="3039"/>
      <c r="BK110" s="3039"/>
      <c r="BL110" s="3039"/>
      <c r="BM110" s="3039"/>
      <c r="BN110" s="3039"/>
      <c r="BO110" s="3039"/>
      <c r="BP110" s="3039"/>
      <c r="BQ110" s="3039"/>
      <c r="BR110" s="3039"/>
      <c r="BS110" s="3039"/>
      <c r="BT110" s="3039"/>
      <c r="BU110" s="3039"/>
      <c r="BV110" s="3039"/>
      <c r="BW110" s="3039"/>
      <c r="BX110" s="3039"/>
      <c r="BY110" s="3039"/>
      <c r="BZ110" s="3039"/>
      <c r="CA110" s="3039"/>
      <c r="CB110" s="3039"/>
      <c r="CC110" s="3039"/>
      <c r="CD110" s="3039"/>
      <c r="CE110" s="3039"/>
      <c r="CF110" s="3039"/>
      <c r="CG110" s="3039"/>
      <c r="CH110" s="3039"/>
      <c r="CI110" s="3039"/>
      <c r="CJ110" s="3039"/>
      <c r="CK110" s="3039"/>
      <c r="CL110" s="3039"/>
      <c r="CM110" s="3039"/>
      <c r="CN110" s="3039"/>
      <c r="CO110" s="3039"/>
      <c r="CP110" s="3039"/>
      <c r="CQ110" s="3039"/>
      <c r="CR110" s="3039"/>
      <c r="CS110" s="3039"/>
      <c r="CT110" s="3039"/>
      <c r="CU110" s="3039"/>
      <c r="CV110" s="3039"/>
      <c r="CW110" s="3039"/>
      <c r="CX110" s="3039"/>
      <c r="CY110" s="3039"/>
      <c r="CZ110" s="3039"/>
      <c r="DA110" s="3039"/>
      <c r="DB110" s="3039"/>
      <c r="DC110" s="3039"/>
      <c r="DD110" s="3039"/>
      <c r="DE110" s="3039"/>
      <c r="DF110" s="3039"/>
      <c r="DG110" s="3039"/>
      <c r="DH110" s="3039"/>
      <c r="DI110" s="3039"/>
      <c r="DJ110" s="3039"/>
      <c r="DK110" s="3039"/>
      <c r="DL110" s="3039"/>
      <c r="DM110" s="3039"/>
      <c r="DN110" s="3039"/>
      <c r="DO110" s="3039"/>
      <c r="DP110" s="3039"/>
      <c r="DQ110" s="3039"/>
      <c r="DR110" s="3039"/>
      <c r="DS110" s="3039"/>
      <c r="DT110" s="3039"/>
      <c r="DU110" s="3039"/>
      <c r="DV110" s="3039"/>
      <c r="DW110" s="3039"/>
      <c r="DX110" s="3039"/>
      <c r="DY110" s="3039"/>
      <c r="DZ110" s="3039"/>
      <c r="EA110" s="3039"/>
      <c r="EB110" s="3039"/>
      <c r="EC110" s="3039"/>
      <c r="ED110" s="3039"/>
      <c r="EE110" s="3039"/>
      <c r="EF110" s="3039"/>
      <c r="EG110" s="3039"/>
      <c r="EH110" s="3039"/>
      <c r="EI110" s="3039"/>
      <c r="EJ110" s="3039"/>
      <c r="EK110" s="3039"/>
      <c r="EL110" s="3039"/>
      <c r="EM110" s="3039"/>
      <c r="EN110" s="3039"/>
      <c r="EO110" s="3039"/>
      <c r="EP110" s="3039"/>
      <c r="EQ110" s="3039"/>
      <c r="ER110" s="3039"/>
      <c r="ES110" s="3039"/>
      <c r="ET110" s="3039"/>
      <c r="EU110" s="3039"/>
      <c r="EV110" s="3039"/>
      <c r="EW110" s="3039"/>
      <c r="EX110" s="3039"/>
      <c r="EY110" s="3039"/>
      <c r="EZ110" s="3039"/>
      <c r="FA110" s="3039"/>
      <c r="FB110" s="3039"/>
      <c r="FC110" s="3039"/>
      <c r="FD110" s="3039"/>
      <c r="FE110" s="3039"/>
      <c r="FF110" s="3039"/>
      <c r="FG110" s="3039"/>
      <c r="FH110" s="3039"/>
      <c r="FI110" s="3039"/>
      <c r="FJ110" s="3039"/>
      <c r="FK110" s="3039"/>
      <c r="FL110" s="3039"/>
      <c r="FM110" s="3039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</row>
    <row r="111" spans="2:193" ht="18.75" customHeight="1" x14ac:dyDescent="0.3"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3039"/>
      <c r="AP111" s="3039"/>
      <c r="AQ111" s="3039"/>
      <c r="AR111" s="3039"/>
      <c r="AS111" s="3039"/>
      <c r="AT111" s="3039"/>
      <c r="AU111" s="3039"/>
      <c r="AV111" s="3039"/>
      <c r="AW111" s="3039"/>
      <c r="AX111" s="3039"/>
      <c r="AY111" s="3039"/>
      <c r="AZ111" s="3039"/>
      <c r="BA111" s="3039"/>
      <c r="BB111" s="3039"/>
      <c r="BC111" s="3039"/>
      <c r="BD111" s="3039"/>
      <c r="BE111" s="3039"/>
      <c r="BF111" s="3039"/>
      <c r="BG111" s="3039"/>
      <c r="BH111" s="3039"/>
      <c r="BI111" s="3039"/>
      <c r="BJ111" s="3039"/>
      <c r="BK111" s="3039"/>
      <c r="BL111" s="3039"/>
      <c r="BM111" s="3039"/>
      <c r="BN111" s="3039"/>
      <c r="BO111" s="3039"/>
      <c r="BP111" s="3039"/>
      <c r="BQ111" s="3039"/>
      <c r="BR111" s="3039"/>
      <c r="BS111" s="3039"/>
      <c r="BT111" s="3039"/>
      <c r="BU111" s="3039"/>
      <c r="BV111" s="3039"/>
      <c r="BW111" s="3039"/>
      <c r="BX111" s="3039"/>
      <c r="BY111" s="3039"/>
      <c r="BZ111" s="3039"/>
      <c r="CA111" s="3039"/>
      <c r="CB111" s="3039"/>
      <c r="CC111" s="3039"/>
      <c r="CD111" s="3039"/>
      <c r="CE111" s="3039"/>
      <c r="CF111" s="3039"/>
      <c r="CG111" s="3039"/>
      <c r="CH111" s="3039"/>
      <c r="CI111" s="3039"/>
      <c r="CJ111" s="3039"/>
      <c r="CK111" s="3039"/>
      <c r="CL111" s="3039"/>
      <c r="CM111" s="3039"/>
      <c r="CN111" s="3039"/>
      <c r="CO111" s="3039"/>
      <c r="CP111" s="3039"/>
      <c r="CQ111" s="3039"/>
      <c r="CR111" s="3039"/>
      <c r="CS111" s="3039"/>
      <c r="CT111" s="3039"/>
      <c r="CU111" s="3039"/>
      <c r="CV111" s="3039"/>
      <c r="CW111" s="3039"/>
      <c r="CX111" s="3039"/>
      <c r="CY111" s="3039"/>
      <c r="CZ111" s="3039"/>
      <c r="DA111" s="3039"/>
      <c r="DB111" s="3039"/>
      <c r="DC111" s="3039"/>
      <c r="DD111" s="3039"/>
      <c r="DE111" s="3039"/>
      <c r="DF111" s="3039"/>
      <c r="DG111" s="3039"/>
      <c r="DH111" s="3039"/>
      <c r="DI111" s="3039"/>
      <c r="DJ111" s="3039"/>
      <c r="DK111" s="3039"/>
      <c r="DL111" s="3039"/>
      <c r="DM111" s="3039"/>
      <c r="DN111" s="3039"/>
      <c r="DO111" s="3039"/>
      <c r="DP111" s="3039"/>
      <c r="DQ111" s="3039"/>
      <c r="DR111" s="3039"/>
      <c r="DS111" s="3039"/>
      <c r="DT111" s="3039"/>
      <c r="DU111" s="3039"/>
      <c r="DV111" s="3039"/>
      <c r="DW111" s="3039"/>
      <c r="DX111" s="3039"/>
      <c r="DY111" s="3039"/>
      <c r="DZ111" s="3039"/>
      <c r="EA111" s="3039"/>
      <c r="EB111" s="3039"/>
      <c r="EC111" s="3039"/>
      <c r="ED111" s="3039"/>
      <c r="EE111" s="3039"/>
      <c r="EF111" s="3039"/>
      <c r="EG111" s="3039"/>
      <c r="EH111" s="3039"/>
      <c r="EI111" s="3039"/>
      <c r="EJ111" s="3039"/>
      <c r="EK111" s="3039"/>
      <c r="EL111" s="3039"/>
      <c r="EM111" s="3039"/>
      <c r="EN111" s="3039"/>
      <c r="EO111" s="3039"/>
      <c r="EP111" s="3039"/>
      <c r="EQ111" s="3039"/>
      <c r="ER111" s="3039"/>
      <c r="ES111" s="3039"/>
      <c r="ET111" s="3039"/>
      <c r="EU111" s="3039"/>
      <c r="EV111" s="3039"/>
      <c r="EW111" s="3039"/>
      <c r="EX111" s="3039"/>
      <c r="EY111" s="3039"/>
      <c r="EZ111" s="3039"/>
      <c r="FA111" s="3039"/>
      <c r="FB111" s="3039"/>
      <c r="FC111" s="3039"/>
      <c r="FD111" s="3039"/>
      <c r="FE111" s="3039"/>
      <c r="FF111" s="3039"/>
      <c r="FG111" s="3039"/>
      <c r="FH111" s="3039"/>
      <c r="FI111" s="3039"/>
      <c r="FJ111" s="3039"/>
      <c r="FK111" s="3039"/>
      <c r="FL111" s="3039"/>
      <c r="FM111" s="3039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</row>
    <row r="112" spans="2:193" ht="18.75" customHeight="1" x14ac:dyDescent="0.3"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55"/>
      <c r="AI112" s="155"/>
      <c r="AJ112" s="155"/>
      <c r="AK112" s="155"/>
      <c r="AL112" s="155"/>
      <c r="AM112" s="155"/>
      <c r="AN112" s="155"/>
      <c r="AO112" s="3039"/>
      <c r="AP112" s="3039"/>
      <c r="AQ112" s="3039"/>
      <c r="AR112" s="3039"/>
      <c r="AS112" s="3039"/>
      <c r="AT112" s="3039"/>
      <c r="AU112" s="3039"/>
      <c r="AV112" s="3039"/>
      <c r="AW112" s="3039"/>
      <c r="AX112" s="3039"/>
      <c r="AY112" s="3039"/>
      <c r="AZ112" s="3039"/>
      <c r="BA112" s="3039"/>
      <c r="BB112" s="3039"/>
      <c r="BC112" s="3039"/>
      <c r="BD112" s="3039"/>
      <c r="BE112" s="3039"/>
      <c r="BF112" s="3039"/>
      <c r="BG112" s="3039"/>
      <c r="BH112" s="3039"/>
      <c r="BI112" s="3039"/>
      <c r="BJ112" s="3039"/>
      <c r="BK112" s="3039"/>
      <c r="BL112" s="3039"/>
      <c r="BM112" s="3039"/>
      <c r="BN112" s="3039"/>
      <c r="BO112" s="3039"/>
      <c r="BP112" s="3039"/>
      <c r="BQ112" s="3039"/>
      <c r="BR112" s="3039"/>
      <c r="BS112" s="3039"/>
      <c r="BT112" s="3039"/>
      <c r="BU112" s="3039"/>
      <c r="BV112" s="3039"/>
      <c r="BW112" s="3039"/>
      <c r="BX112" s="3039"/>
      <c r="BY112" s="3039"/>
      <c r="BZ112" s="3039"/>
      <c r="CA112" s="3039"/>
      <c r="CB112" s="3039"/>
      <c r="CC112" s="3039"/>
      <c r="CD112" s="3039"/>
      <c r="CE112" s="3039"/>
      <c r="CF112" s="3039"/>
      <c r="CG112" s="3039"/>
      <c r="CH112" s="3039"/>
      <c r="CI112" s="3039"/>
      <c r="CJ112" s="3039"/>
      <c r="CK112" s="3039"/>
      <c r="CL112" s="3039"/>
      <c r="CM112" s="3039"/>
      <c r="CN112" s="3039"/>
      <c r="CO112" s="3039"/>
      <c r="CP112" s="3039"/>
      <c r="CQ112" s="3039"/>
      <c r="CR112" s="3039"/>
      <c r="CS112" s="3039"/>
      <c r="CT112" s="3039"/>
      <c r="CU112" s="3039"/>
      <c r="CV112" s="3039"/>
      <c r="CW112" s="3039"/>
      <c r="CX112" s="3039"/>
      <c r="CY112" s="3039"/>
      <c r="CZ112" s="3039"/>
      <c r="DA112" s="3039"/>
      <c r="DB112" s="3039"/>
      <c r="DC112" s="3039"/>
      <c r="DD112" s="3039"/>
      <c r="DE112" s="3039"/>
      <c r="DF112" s="3039"/>
      <c r="DG112" s="3039"/>
      <c r="DH112" s="3039"/>
      <c r="DI112" s="3039"/>
      <c r="DJ112" s="3039"/>
      <c r="DK112" s="3039"/>
      <c r="DL112" s="3039"/>
      <c r="DM112" s="3039"/>
      <c r="DN112" s="3039"/>
      <c r="DO112" s="3039"/>
      <c r="DP112" s="3039"/>
      <c r="DQ112" s="3039"/>
      <c r="DR112" s="3039"/>
      <c r="DS112" s="3039"/>
      <c r="DT112" s="3039"/>
      <c r="DU112" s="3039"/>
      <c r="DV112" s="3039"/>
      <c r="DW112" s="3039"/>
      <c r="DX112" s="3039"/>
      <c r="DY112" s="3039"/>
      <c r="DZ112" s="3039"/>
      <c r="EA112" s="3039"/>
      <c r="EB112" s="3039"/>
      <c r="EC112" s="3039"/>
      <c r="ED112" s="3039"/>
      <c r="EE112" s="3039"/>
      <c r="EF112" s="3039"/>
      <c r="EG112" s="3039"/>
      <c r="EH112" s="3039"/>
      <c r="EI112" s="3039"/>
      <c r="EJ112" s="3039"/>
      <c r="EK112" s="3039"/>
      <c r="EL112" s="3039"/>
      <c r="EM112" s="3039"/>
      <c r="EN112" s="3039"/>
      <c r="EO112" s="3039"/>
      <c r="EP112" s="3039"/>
      <c r="EQ112" s="3039"/>
      <c r="ER112" s="3039"/>
      <c r="ES112" s="3039"/>
      <c r="ET112" s="3039"/>
      <c r="EU112" s="3039"/>
      <c r="EV112" s="3039"/>
      <c r="EW112" s="3039"/>
      <c r="EX112" s="3039"/>
      <c r="EY112" s="3039"/>
      <c r="EZ112" s="3039"/>
      <c r="FA112" s="3039"/>
      <c r="FB112" s="3039"/>
      <c r="FC112" s="3039"/>
      <c r="FD112" s="3039"/>
      <c r="FE112" s="3039"/>
      <c r="FF112" s="3039"/>
      <c r="FG112" s="3039"/>
      <c r="FH112" s="3039"/>
      <c r="FI112" s="3039"/>
      <c r="FJ112" s="3039"/>
      <c r="FK112" s="3039"/>
      <c r="FL112" s="3039"/>
      <c r="FM112" s="3039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/>
      <c r="GI112" s="155"/>
      <c r="GJ112" s="155"/>
      <c r="GK112" s="155"/>
    </row>
    <row r="113" spans="2:193" ht="18.75" customHeight="1" x14ac:dyDescent="0.3"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3039"/>
      <c r="AP113" s="3039"/>
      <c r="AQ113" s="3039"/>
      <c r="AR113" s="3039"/>
      <c r="AS113" s="3039"/>
      <c r="AT113" s="3039"/>
      <c r="AU113" s="3039"/>
      <c r="AV113" s="3039"/>
      <c r="AW113" s="3039"/>
      <c r="AX113" s="3039"/>
      <c r="AY113" s="3039"/>
      <c r="AZ113" s="3039"/>
      <c r="BA113" s="3039"/>
      <c r="BB113" s="3039"/>
      <c r="BC113" s="3039"/>
      <c r="BD113" s="3039"/>
      <c r="BE113" s="3039"/>
      <c r="BF113" s="3039"/>
      <c r="BG113" s="3039"/>
      <c r="BH113" s="3039"/>
      <c r="BI113" s="3039"/>
      <c r="BJ113" s="3039"/>
      <c r="BK113" s="3039"/>
      <c r="BL113" s="3039"/>
      <c r="BM113" s="3039"/>
      <c r="BN113" s="3039"/>
      <c r="BO113" s="3039"/>
      <c r="BP113" s="3039"/>
      <c r="BQ113" s="3039"/>
      <c r="BR113" s="3039"/>
      <c r="BS113" s="3039"/>
      <c r="BT113" s="3039"/>
      <c r="BU113" s="3039"/>
      <c r="BV113" s="3039"/>
      <c r="BW113" s="3039"/>
      <c r="BX113" s="3039"/>
      <c r="BY113" s="3039"/>
      <c r="BZ113" s="3039"/>
      <c r="CA113" s="3039"/>
      <c r="CB113" s="3039"/>
      <c r="CC113" s="3039"/>
      <c r="CD113" s="3039"/>
      <c r="CE113" s="3039"/>
      <c r="CF113" s="3039"/>
      <c r="CG113" s="3039"/>
      <c r="CH113" s="3039"/>
      <c r="CI113" s="3039"/>
      <c r="CJ113" s="3039"/>
      <c r="CK113" s="3039"/>
      <c r="CL113" s="3039"/>
      <c r="CM113" s="3039"/>
      <c r="CN113" s="3039"/>
      <c r="CO113" s="3039"/>
      <c r="CP113" s="3039"/>
      <c r="CQ113" s="3039"/>
      <c r="CR113" s="3039"/>
      <c r="CS113" s="3039"/>
      <c r="CT113" s="3039"/>
      <c r="CU113" s="3039"/>
      <c r="CV113" s="3039"/>
      <c r="CW113" s="3039"/>
      <c r="CX113" s="3039"/>
      <c r="CY113" s="3039"/>
      <c r="CZ113" s="3039"/>
      <c r="DA113" s="3039"/>
      <c r="DB113" s="3039"/>
      <c r="DC113" s="3039"/>
      <c r="DD113" s="3039"/>
      <c r="DE113" s="3039"/>
      <c r="DF113" s="3039"/>
      <c r="DG113" s="3039"/>
      <c r="DH113" s="3039"/>
      <c r="DI113" s="3039"/>
      <c r="DJ113" s="3039"/>
      <c r="DK113" s="3039"/>
      <c r="DL113" s="3039"/>
      <c r="DM113" s="3039"/>
      <c r="DN113" s="3039"/>
      <c r="DO113" s="3039"/>
      <c r="DP113" s="3039"/>
      <c r="DQ113" s="3039"/>
      <c r="DR113" s="3039"/>
      <c r="DS113" s="3039"/>
      <c r="DT113" s="3039"/>
      <c r="DU113" s="3039"/>
      <c r="DV113" s="3039"/>
      <c r="DW113" s="3039"/>
      <c r="DX113" s="3039"/>
      <c r="DY113" s="3039"/>
      <c r="DZ113" s="3039"/>
      <c r="EA113" s="3039"/>
      <c r="EB113" s="3039"/>
      <c r="EC113" s="3039"/>
      <c r="ED113" s="3039"/>
      <c r="EE113" s="3039"/>
      <c r="EF113" s="3039"/>
      <c r="EG113" s="3039"/>
      <c r="EH113" s="3039"/>
      <c r="EI113" s="3039"/>
      <c r="EJ113" s="3039"/>
      <c r="EK113" s="3039"/>
      <c r="EL113" s="3039"/>
      <c r="EM113" s="3039"/>
      <c r="EN113" s="3039"/>
      <c r="EO113" s="3039"/>
      <c r="EP113" s="3039"/>
      <c r="EQ113" s="3039"/>
      <c r="ER113" s="3039"/>
      <c r="ES113" s="3039"/>
      <c r="ET113" s="3039"/>
      <c r="EU113" s="3039"/>
      <c r="EV113" s="3039"/>
      <c r="EW113" s="3039"/>
      <c r="EX113" s="3039"/>
      <c r="EY113" s="3039"/>
      <c r="EZ113" s="3039"/>
      <c r="FA113" s="3039"/>
      <c r="FB113" s="3039"/>
      <c r="FC113" s="3039"/>
      <c r="FD113" s="3039"/>
      <c r="FE113" s="3039"/>
      <c r="FF113" s="3039"/>
      <c r="FG113" s="3039"/>
      <c r="FH113" s="3039"/>
      <c r="FI113" s="3039"/>
      <c r="FJ113" s="3039"/>
      <c r="FK113" s="3039"/>
      <c r="FL113" s="3039"/>
      <c r="FM113" s="3039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/>
      <c r="GH113" s="155"/>
      <c r="GI113" s="155"/>
      <c r="GJ113" s="155"/>
      <c r="GK113" s="155"/>
    </row>
    <row r="114" spans="2:193" ht="18.75" customHeight="1" x14ac:dyDescent="0.3"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  <c r="AI114" s="155"/>
      <c r="AJ114" s="155"/>
      <c r="AK114" s="155"/>
      <c r="AL114" s="155"/>
      <c r="AM114" s="155"/>
      <c r="AN114" s="155"/>
      <c r="AO114" s="3039"/>
      <c r="AP114" s="3039"/>
      <c r="AQ114" s="3039"/>
      <c r="AR114" s="3039"/>
      <c r="AS114" s="3039"/>
      <c r="AT114" s="3039"/>
      <c r="AU114" s="3039"/>
      <c r="AV114" s="3039"/>
      <c r="AW114" s="3039"/>
      <c r="AX114" s="3039"/>
      <c r="AY114" s="3039"/>
      <c r="AZ114" s="3039"/>
      <c r="BA114" s="3039"/>
      <c r="BB114" s="3039"/>
      <c r="BC114" s="3039"/>
      <c r="BD114" s="3039"/>
      <c r="BE114" s="3039"/>
      <c r="BF114" s="3039"/>
      <c r="BG114" s="3039"/>
      <c r="BH114" s="3039"/>
      <c r="BI114" s="3039"/>
      <c r="BJ114" s="3039"/>
      <c r="BK114" s="3039"/>
      <c r="BL114" s="3039"/>
      <c r="BM114" s="3039"/>
      <c r="BN114" s="3039"/>
      <c r="BO114" s="3039"/>
      <c r="BP114" s="3039"/>
      <c r="BQ114" s="3039"/>
      <c r="BR114" s="3039"/>
      <c r="BS114" s="3039"/>
      <c r="BT114" s="3039"/>
      <c r="BU114" s="3039"/>
      <c r="BV114" s="3039"/>
      <c r="BW114" s="3039"/>
      <c r="BX114" s="3039"/>
      <c r="BY114" s="3039"/>
      <c r="BZ114" s="3039"/>
      <c r="CA114" s="3039"/>
      <c r="CB114" s="3039"/>
      <c r="CC114" s="3039"/>
      <c r="CD114" s="3039"/>
      <c r="CE114" s="3039"/>
      <c r="CF114" s="3039"/>
      <c r="CG114" s="3039"/>
      <c r="CH114" s="3039"/>
      <c r="CI114" s="3039"/>
      <c r="CJ114" s="3039"/>
      <c r="CK114" s="3039"/>
      <c r="CL114" s="3039"/>
      <c r="CM114" s="3039"/>
      <c r="CN114" s="3039"/>
      <c r="CO114" s="3039"/>
      <c r="CP114" s="3039"/>
      <c r="CQ114" s="3039"/>
      <c r="CR114" s="3039"/>
      <c r="CS114" s="3039"/>
      <c r="CT114" s="3039"/>
      <c r="CU114" s="3039"/>
      <c r="CV114" s="3039"/>
      <c r="CW114" s="3039"/>
      <c r="CX114" s="3039"/>
      <c r="CY114" s="3039"/>
      <c r="CZ114" s="3039"/>
      <c r="DA114" s="3039"/>
      <c r="DB114" s="3039"/>
      <c r="DC114" s="3039"/>
      <c r="DD114" s="3039"/>
      <c r="DE114" s="3039"/>
      <c r="DF114" s="3039"/>
      <c r="DG114" s="3039"/>
      <c r="DH114" s="3039"/>
      <c r="DI114" s="3039"/>
      <c r="DJ114" s="3039"/>
      <c r="DK114" s="3039"/>
      <c r="DL114" s="3039"/>
      <c r="DM114" s="3039"/>
      <c r="DN114" s="3039"/>
      <c r="DO114" s="3039"/>
      <c r="DP114" s="3039"/>
      <c r="DQ114" s="3039"/>
      <c r="DR114" s="3039"/>
      <c r="DS114" s="3039"/>
      <c r="DT114" s="3039"/>
      <c r="DU114" s="3039"/>
      <c r="DV114" s="3039"/>
      <c r="DW114" s="3039"/>
      <c r="DX114" s="3039"/>
      <c r="DY114" s="3039"/>
      <c r="DZ114" s="3039"/>
      <c r="EA114" s="3039"/>
      <c r="EB114" s="3039"/>
      <c r="EC114" s="3039"/>
      <c r="ED114" s="3039"/>
      <c r="EE114" s="3039"/>
      <c r="EF114" s="3039"/>
      <c r="EG114" s="3039"/>
      <c r="EH114" s="3039"/>
      <c r="EI114" s="3039"/>
      <c r="EJ114" s="3039"/>
      <c r="EK114" s="3039"/>
      <c r="EL114" s="3039"/>
      <c r="EM114" s="3039"/>
      <c r="EN114" s="3039"/>
      <c r="EO114" s="3039"/>
      <c r="EP114" s="3039"/>
      <c r="EQ114" s="3039"/>
      <c r="ER114" s="3039"/>
      <c r="ES114" s="3039"/>
      <c r="ET114" s="3039"/>
      <c r="EU114" s="3039"/>
      <c r="EV114" s="3039"/>
      <c r="EW114" s="3039"/>
      <c r="EX114" s="3039"/>
      <c r="EY114" s="3039"/>
      <c r="EZ114" s="3039"/>
      <c r="FA114" s="3039"/>
      <c r="FB114" s="3039"/>
      <c r="FC114" s="3039"/>
      <c r="FD114" s="3039"/>
      <c r="FE114" s="3039"/>
      <c r="FF114" s="3039"/>
      <c r="FG114" s="3039"/>
      <c r="FH114" s="3039"/>
      <c r="FI114" s="3039"/>
      <c r="FJ114" s="3039"/>
      <c r="FK114" s="3039"/>
      <c r="FL114" s="3039"/>
      <c r="FM114" s="3039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/>
      <c r="GH114" s="155"/>
      <c r="GI114" s="155"/>
      <c r="GJ114" s="155"/>
      <c r="GK114" s="155"/>
    </row>
    <row r="115" spans="2:193" ht="18.75" customHeight="1" x14ac:dyDescent="0.3"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3039"/>
      <c r="AP115" s="3039"/>
      <c r="AQ115" s="3039"/>
      <c r="AR115" s="3039"/>
      <c r="AS115" s="3039"/>
      <c r="AT115" s="3039"/>
      <c r="AU115" s="3039"/>
      <c r="AV115" s="3039"/>
      <c r="AW115" s="3039"/>
      <c r="AX115" s="3039"/>
      <c r="AY115" s="3039"/>
      <c r="AZ115" s="3039"/>
      <c r="BA115" s="3039"/>
      <c r="BB115" s="3039"/>
      <c r="BC115" s="3039"/>
      <c r="BD115" s="3039"/>
      <c r="BE115" s="3039"/>
      <c r="BF115" s="3039"/>
      <c r="BG115" s="3039"/>
      <c r="BH115" s="3039"/>
      <c r="BI115" s="3039"/>
      <c r="BJ115" s="3039"/>
      <c r="BK115" s="3039"/>
      <c r="BL115" s="3039"/>
      <c r="BM115" s="3039"/>
      <c r="BN115" s="3039"/>
      <c r="BO115" s="3039"/>
      <c r="BP115" s="3039"/>
      <c r="BQ115" s="3039"/>
      <c r="BR115" s="3039"/>
      <c r="BS115" s="3039"/>
      <c r="BT115" s="3039"/>
      <c r="BU115" s="3039"/>
      <c r="BV115" s="3039"/>
      <c r="BW115" s="3039"/>
      <c r="BX115" s="3039"/>
      <c r="BY115" s="3039"/>
      <c r="BZ115" s="3039"/>
      <c r="CA115" s="3039"/>
      <c r="CB115" s="3039"/>
      <c r="CC115" s="3039"/>
      <c r="CD115" s="3039"/>
      <c r="CE115" s="3039"/>
      <c r="CF115" s="3039"/>
      <c r="CG115" s="3039"/>
      <c r="CH115" s="3039"/>
      <c r="CI115" s="3039"/>
      <c r="CJ115" s="3039"/>
      <c r="CK115" s="3039"/>
      <c r="CL115" s="3039"/>
      <c r="CM115" s="3039"/>
      <c r="CN115" s="3039"/>
      <c r="CO115" s="3039"/>
      <c r="CP115" s="3039"/>
      <c r="CQ115" s="3039"/>
      <c r="CR115" s="3039"/>
      <c r="CS115" s="3039"/>
      <c r="CT115" s="3039"/>
      <c r="CU115" s="3039"/>
      <c r="CV115" s="3039"/>
      <c r="CW115" s="3039"/>
      <c r="CX115" s="3039"/>
      <c r="CY115" s="3039"/>
      <c r="CZ115" s="3039"/>
      <c r="DA115" s="3039"/>
      <c r="DB115" s="3039"/>
      <c r="DC115" s="3039"/>
      <c r="DD115" s="3039"/>
      <c r="DE115" s="3039"/>
      <c r="DF115" s="3039"/>
      <c r="DG115" s="3039"/>
      <c r="DH115" s="3039"/>
      <c r="DI115" s="3039"/>
      <c r="DJ115" s="3039"/>
      <c r="DK115" s="3039"/>
      <c r="DL115" s="3039"/>
      <c r="DM115" s="3039"/>
      <c r="DN115" s="3039"/>
      <c r="DO115" s="3039"/>
      <c r="DP115" s="3039"/>
      <c r="DQ115" s="3039"/>
      <c r="DR115" s="3039"/>
      <c r="DS115" s="3039"/>
      <c r="DT115" s="3039"/>
      <c r="DU115" s="3039"/>
      <c r="DV115" s="3039"/>
      <c r="DW115" s="3039"/>
      <c r="DX115" s="3039"/>
      <c r="DY115" s="3039"/>
      <c r="DZ115" s="3039"/>
      <c r="EA115" s="3039"/>
      <c r="EB115" s="3039"/>
      <c r="EC115" s="3039"/>
      <c r="ED115" s="3039"/>
      <c r="EE115" s="3039"/>
      <c r="EF115" s="3039"/>
      <c r="EG115" s="3039"/>
      <c r="EH115" s="3039"/>
      <c r="EI115" s="3039"/>
      <c r="EJ115" s="3039"/>
      <c r="EK115" s="3039"/>
      <c r="EL115" s="3039"/>
      <c r="EM115" s="3039"/>
      <c r="EN115" s="3039"/>
      <c r="EO115" s="3039"/>
      <c r="EP115" s="3039"/>
      <c r="EQ115" s="3039"/>
      <c r="ER115" s="3039"/>
      <c r="ES115" s="3039"/>
      <c r="ET115" s="3039"/>
      <c r="EU115" s="3039"/>
      <c r="EV115" s="3039"/>
      <c r="EW115" s="3039"/>
      <c r="EX115" s="3039"/>
      <c r="EY115" s="3039"/>
      <c r="EZ115" s="3039"/>
      <c r="FA115" s="3039"/>
      <c r="FB115" s="3039"/>
      <c r="FC115" s="3039"/>
      <c r="FD115" s="3039"/>
      <c r="FE115" s="3039"/>
      <c r="FF115" s="3039"/>
      <c r="FG115" s="3039"/>
      <c r="FH115" s="3039"/>
      <c r="FI115" s="3039"/>
      <c r="FJ115" s="3039"/>
      <c r="FK115" s="3039"/>
      <c r="FL115" s="3039"/>
      <c r="FM115" s="3039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/>
      <c r="GH115" s="155"/>
      <c r="GI115" s="155"/>
      <c r="GJ115" s="155"/>
      <c r="GK115" s="155"/>
    </row>
    <row r="116" spans="2:193" ht="18.75" customHeight="1" x14ac:dyDescent="0.3"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3039"/>
      <c r="AP116" s="3039"/>
      <c r="AQ116" s="3039"/>
      <c r="AR116" s="3039"/>
      <c r="AS116" s="3039"/>
      <c r="AT116" s="3039"/>
      <c r="AU116" s="3039"/>
      <c r="AV116" s="3039"/>
      <c r="AW116" s="3039"/>
      <c r="AX116" s="3039"/>
      <c r="AY116" s="3039"/>
      <c r="AZ116" s="3039"/>
      <c r="BA116" s="3039"/>
      <c r="BB116" s="3039"/>
      <c r="BC116" s="3039"/>
      <c r="BD116" s="3039"/>
      <c r="BE116" s="3039"/>
      <c r="BF116" s="3039"/>
      <c r="BG116" s="3039"/>
      <c r="BH116" s="3039"/>
      <c r="BI116" s="3039"/>
      <c r="BJ116" s="3039"/>
      <c r="BK116" s="3039"/>
      <c r="BL116" s="3039"/>
      <c r="BM116" s="3039"/>
      <c r="BN116" s="3039"/>
      <c r="BO116" s="3039"/>
      <c r="BP116" s="3039"/>
      <c r="BQ116" s="3039"/>
      <c r="BR116" s="3039"/>
      <c r="BS116" s="3039"/>
      <c r="BT116" s="3039"/>
      <c r="BU116" s="3039"/>
      <c r="BV116" s="3039"/>
      <c r="BW116" s="3039"/>
      <c r="BX116" s="3039"/>
      <c r="BY116" s="3039"/>
      <c r="BZ116" s="3039"/>
      <c r="CA116" s="3039"/>
      <c r="CB116" s="3039"/>
      <c r="CC116" s="3039"/>
      <c r="CD116" s="3039"/>
      <c r="CE116" s="3039"/>
      <c r="CF116" s="3039"/>
      <c r="CG116" s="3039"/>
      <c r="CH116" s="3039"/>
      <c r="CI116" s="3039"/>
      <c r="CJ116" s="3039"/>
      <c r="CK116" s="3039"/>
      <c r="CL116" s="3039"/>
      <c r="CM116" s="3039"/>
      <c r="CN116" s="3039"/>
      <c r="CO116" s="3039"/>
      <c r="CP116" s="3039"/>
      <c r="CQ116" s="3039"/>
      <c r="CR116" s="3039"/>
      <c r="CS116" s="3039"/>
      <c r="CT116" s="3039"/>
      <c r="CU116" s="3039"/>
      <c r="CV116" s="3039"/>
      <c r="CW116" s="3039"/>
      <c r="CX116" s="3039"/>
      <c r="CY116" s="3039"/>
      <c r="CZ116" s="3039"/>
      <c r="DA116" s="3039"/>
      <c r="DB116" s="3039"/>
      <c r="DC116" s="3039"/>
      <c r="DD116" s="3039"/>
      <c r="DE116" s="3039"/>
      <c r="DF116" s="3039"/>
      <c r="DG116" s="3039"/>
      <c r="DH116" s="3039"/>
      <c r="DI116" s="3039"/>
      <c r="DJ116" s="3039"/>
      <c r="DK116" s="3039"/>
      <c r="DL116" s="3039"/>
      <c r="DM116" s="3039"/>
      <c r="DN116" s="3039"/>
      <c r="DO116" s="3039"/>
      <c r="DP116" s="3039"/>
      <c r="DQ116" s="3039"/>
      <c r="DR116" s="3039"/>
      <c r="DS116" s="3039"/>
      <c r="DT116" s="3039"/>
      <c r="DU116" s="3039"/>
      <c r="DV116" s="3039"/>
      <c r="DW116" s="3039"/>
      <c r="DX116" s="3039"/>
      <c r="DY116" s="3039"/>
      <c r="DZ116" s="3039"/>
      <c r="EA116" s="3039"/>
      <c r="EB116" s="3039"/>
      <c r="EC116" s="3039"/>
      <c r="ED116" s="3039"/>
      <c r="EE116" s="3039"/>
      <c r="EF116" s="3039"/>
      <c r="EG116" s="3039"/>
      <c r="EH116" s="3039"/>
      <c r="EI116" s="3039"/>
      <c r="EJ116" s="3039"/>
      <c r="EK116" s="3039"/>
      <c r="EL116" s="3039"/>
      <c r="EM116" s="3039"/>
      <c r="EN116" s="3039"/>
      <c r="EO116" s="3039"/>
      <c r="EP116" s="3039"/>
      <c r="EQ116" s="3039"/>
      <c r="ER116" s="3039"/>
      <c r="ES116" s="3039"/>
      <c r="ET116" s="3039"/>
      <c r="EU116" s="3039"/>
      <c r="EV116" s="3039"/>
      <c r="EW116" s="3039"/>
      <c r="EX116" s="3039"/>
      <c r="EY116" s="3039"/>
      <c r="EZ116" s="3039"/>
      <c r="FA116" s="3039"/>
      <c r="FB116" s="3039"/>
      <c r="FC116" s="3039"/>
      <c r="FD116" s="3039"/>
      <c r="FE116" s="3039"/>
      <c r="FF116" s="3039"/>
      <c r="FG116" s="3039"/>
      <c r="FH116" s="3039"/>
      <c r="FI116" s="3039"/>
      <c r="FJ116" s="3039"/>
      <c r="FK116" s="3039"/>
      <c r="FL116" s="3039"/>
      <c r="FM116" s="3039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/>
      <c r="GH116" s="155"/>
      <c r="GI116" s="155"/>
      <c r="GJ116" s="155"/>
      <c r="GK116" s="155"/>
    </row>
    <row r="117" spans="2:193" ht="18.75" customHeight="1" x14ac:dyDescent="0.3"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3039"/>
      <c r="AP117" s="3039"/>
      <c r="AQ117" s="3039"/>
      <c r="AR117" s="3039"/>
      <c r="AS117" s="3039"/>
      <c r="AT117" s="3039"/>
      <c r="AU117" s="3039"/>
      <c r="AV117" s="3039"/>
      <c r="AW117" s="3039"/>
      <c r="AX117" s="3039"/>
      <c r="AY117" s="3039"/>
      <c r="AZ117" s="3039"/>
      <c r="BA117" s="3039"/>
      <c r="BB117" s="3039"/>
      <c r="BC117" s="3039"/>
      <c r="BD117" s="3039"/>
      <c r="BE117" s="3039"/>
      <c r="BF117" s="3039"/>
      <c r="BG117" s="3039"/>
      <c r="BH117" s="3039"/>
      <c r="BI117" s="3039"/>
      <c r="BJ117" s="3039"/>
      <c r="BK117" s="3039"/>
      <c r="BL117" s="3039"/>
      <c r="BM117" s="3039"/>
      <c r="BN117" s="3039"/>
      <c r="BO117" s="3039"/>
      <c r="BP117" s="3039"/>
      <c r="BQ117" s="3039"/>
      <c r="BR117" s="3039"/>
      <c r="BS117" s="3039"/>
      <c r="BT117" s="3039"/>
      <c r="BU117" s="3039"/>
      <c r="BV117" s="3039"/>
      <c r="BW117" s="3039"/>
      <c r="BX117" s="3039"/>
      <c r="BY117" s="3039"/>
      <c r="BZ117" s="3039"/>
      <c r="CA117" s="3039"/>
      <c r="CB117" s="3039"/>
      <c r="CC117" s="3039"/>
      <c r="CD117" s="3039"/>
      <c r="CE117" s="3039"/>
      <c r="CF117" s="3039"/>
      <c r="CG117" s="3039"/>
      <c r="CH117" s="3039"/>
      <c r="CI117" s="3039"/>
      <c r="CJ117" s="3039"/>
      <c r="CK117" s="3039"/>
      <c r="CL117" s="3039"/>
      <c r="CM117" s="3039"/>
      <c r="CN117" s="3039"/>
      <c r="CO117" s="3039"/>
      <c r="CP117" s="3039"/>
      <c r="CQ117" s="3039"/>
      <c r="CR117" s="3039"/>
      <c r="CS117" s="3039"/>
      <c r="CT117" s="3039"/>
      <c r="CU117" s="3039"/>
      <c r="CV117" s="3039"/>
      <c r="CW117" s="3039"/>
      <c r="CX117" s="3039"/>
      <c r="CY117" s="3039"/>
      <c r="CZ117" s="3039"/>
      <c r="DA117" s="3039"/>
      <c r="DB117" s="3039"/>
      <c r="DC117" s="3039"/>
      <c r="DD117" s="3039"/>
      <c r="DE117" s="3039"/>
      <c r="DF117" s="3039"/>
      <c r="DG117" s="3039"/>
      <c r="DH117" s="3039"/>
      <c r="DI117" s="3039"/>
      <c r="DJ117" s="3039"/>
      <c r="DK117" s="3039"/>
      <c r="DL117" s="3039"/>
      <c r="DM117" s="3039"/>
      <c r="DN117" s="3039"/>
      <c r="DO117" s="3039"/>
      <c r="DP117" s="3039"/>
      <c r="DQ117" s="3039"/>
      <c r="DR117" s="3039"/>
      <c r="DS117" s="3039"/>
      <c r="DT117" s="3039"/>
      <c r="DU117" s="3039"/>
      <c r="DV117" s="3039"/>
      <c r="DW117" s="3039"/>
      <c r="DX117" s="3039"/>
      <c r="DY117" s="3039"/>
      <c r="DZ117" s="3039"/>
      <c r="EA117" s="3039"/>
      <c r="EB117" s="3039"/>
      <c r="EC117" s="3039"/>
      <c r="ED117" s="3039"/>
      <c r="EE117" s="3039"/>
      <c r="EF117" s="3039"/>
      <c r="EG117" s="3039"/>
      <c r="EH117" s="3039"/>
      <c r="EI117" s="3039"/>
      <c r="EJ117" s="3039"/>
      <c r="EK117" s="3039"/>
      <c r="EL117" s="3039"/>
      <c r="EM117" s="3039"/>
      <c r="EN117" s="3039"/>
      <c r="EO117" s="3039"/>
      <c r="EP117" s="3039"/>
      <c r="EQ117" s="3039"/>
      <c r="ER117" s="3039"/>
      <c r="ES117" s="3039"/>
      <c r="ET117" s="3039"/>
      <c r="EU117" s="3039"/>
      <c r="EV117" s="3039"/>
      <c r="EW117" s="3039"/>
      <c r="EX117" s="3039"/>
      <c r="EY117" s="3039"/>
      <c r="EZ117" s="3039"/>
      <c r="FA117" s="3039"/>
      <c r="FB117" s="3039"/>
      <c r="FC117" s="3039"/>
      <c r="FD117" s="3039"/>
      <c r="FE117" s="3039"/>
      <c r="FF117" s="3039"/>
      <c r="FG117" s="3039"/>
      <c r="FH117" s="3039"/>
      <c r="FI117" s="3039"/>
      <c r="FJ117" s="3039"/>
      <c r="FK117" s="3039"/>
      <c r="FL117" s="3039"/>
      <c r="FM117" s="3039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/>
      <c r="GH117" s="155"/>
      <c r="GI117" s="155"/>
      <c r="GJ117" s="155"/>
      <c r="GK117" s="155"/>
    </row>
    <row r="118" spans="2:193" ht="18.75" customHeight="1" x14ac:dyDescent="0.3"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3039"/>
      <c r="AP118" s="3039"/>
      <c r="AQ118" s="3039"/>
      <c r="AR118" s="3039"/>
      <c r="AS118" s="3039"/>
      <c r="AT118" s="3039"/>
      <c r="AU118" s="3039"/>
      <c r="AV118" s="3039"/>
      <c r="AW118" s="3039"/>
      <c r="AX118" s="3039"/>
      <c r="AY118" s="3039"/>
      <c r="AZ118" s="3039"/>
      <c r="BA118" s="3039"/>
      <c r="BB118" s="3039"/>
      <c r="BC118" s="3039"/>
      <c r="BD118" s="3039"/>
      <c r="BE118" s="3039"/>
      <c r="BF118" s="3039"/>
      <c r="BG118" s="3039"/>
      <c r="BH118" s="3039"/>
      <c r="BI118" s="3039"/>
      <c r="BJ118" s="3039"/>
      <c r="BK118" s="3039"/>
      <c r="BL118" s="3039"/>
      <c r="BM118" s="3039"/>
      <c r="BN118" s="3039"/>
      <c r="BO118" s="3039"/>
      <c r="BP118" s="3039"/>
      <c r="BQ118" s="3039"/>
      <c r="BR118" s="3039"/>
      <c r="BS118" s="3039"/>
      <c r="BT118" s="3039"/>
      <c r="BU118" s="3039"/>
      <c r="BV118" s="3039"/>
      <c r="BW118" s="3039"/>
      <c r="BX118" s="3039"/>
      <c r="BY118" s="3039"/>
      <c r="BZ118" s="3039"/>
      <c r="CA118" s="3039"/>
      <c r="CB118" s="3039"/>
      <c r="CC118" s="3039"/>
      <c r="CD118" s="3039"/>
      <c r="CE118" s="3039"/>
      <c r="CF118" s="3039"/>
      <c r="CG118" s="3039"/>
      <c r="CH118" s="3039"/>
      <c r="CI118" s="3039"/>
      <c r="CJ118" s="3039"/>
      <c r="CK118" s="3039"/>
      <c r="CL118" s="3039"/>
      <c r="CM118" s="3039"/>
      <c r="CN118" s="3039"/>
      <c r="CO118" s="3039"/>
      <c r="CP118" s="3039"/>
      <c r="CQ118" s="3039"/>
      <c r="CR118" s="3039"/>
      <c r="CS118" s="3039"/>
      <c r="CT118" s="3039"/>
      <c r="CU118" s="3039"/>
      <c r="CV118" s="3039"/>
      <c r="CW118" s="3039"/>
      <c r="CX118" s="3039"/>
      <c r="CY118" s="3039"/>
      <c r="CZ118" s="3039"/>
      <c r="DA118" s="3039"/>
      <c r="DB118" s="3039"/>
      <c r="DC118" s="3039"/>
      <c r="DD118" s="3039"/>
      <c r="DE118" s="3039"/>
      <c r="DF118" s="3039"/>
      <c r="DG118" s="3039"/>
      <c r="DH118" s="3039"/>
      <c r="DI118" s="3039"/>
      <c r="DJ118" s="3039"/>
      <c r="DK118" s="3039"/>
      <c r="DL118" s="3039"/>
      <c r="DM118" s="3039"/>
      <c r="DN118" s="3039"/>
      <c r="DO118" s="3039"/>
      <c r="DP118" s="3039"/>
      <c r="DQ118" s="3039"/>
      <c r="DR118" s="3039"/>
      <c r="DS118" s="3039"/>
      <c r="DT118" s="3039"/>
      <c r="DU118" s="3039"/>
      <c r="DV118" s="3039"/>
      <c r="DW118" s="3039"/>
      <c r="DX118" s="3039"/>
      <c r="DY118" s="3039"/>
      <c r="DZ118" s="3039"/>
      <c r="EA118" s="3039"/>
      <c r="EB118" s="3039"/>
      <c r="EC118" s="3039"/>
      <c r="ED118" s="3039"/>
      <c r="EE118" s="3039"/>
      <c r="EF118" s="3039"/>
      <c r="EG118" s="3039"/>
      <c r="EH118" s="3039"/>
      <c r="EI118" s="3039"/>
      <c r="EJ118" s="3039"/>
      <c r="EK118" s="3039"/>
      <c r="EL118" s="3039"/>
      <c r="EM118" s="3039"/>
      <c r="EN118" s="3039"/>
      <c r="EO118" s="3039"/>
      <c r="EP118" s="3039"/>
      <c r="EQ118" s="3039"/>
      <c r="ER118" s="3039"/>
      <c r="ES118" s="3039"/>
      <c r="ET118" s="3039"/>
      <c r="EU118" s="3039"/>
      <c r="EV118" s="3039"/>
      <c r="EW118" s="3039"/>
      <c r="EX118" s="3039"/>
      <c r="EY118" s="3039"/>
      <c r="EZ118" s="3039"/>
      <c r="FA118" s="3039"/>
      <c r="FB118" s="3039"/>
      <c r="FC118" s="3039"/>
      <c r="FD118" s="3039"/>
      <c r="FE118" s="3039"/>
      <c r="FF118" s="3039"/>
      <c r="FG118" s="3039"/>
      <c r="FH118" s="3039"/>
      <c r="FI118" s="3039"/>
      <c r="FJ118" s="3039"/>
      <c r="FK118" s="3039"/>
      <c r="FL118" s="3039"/>
      <c r="FM118" s="3039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/>
      <c r="GH118" s="155"/>
      <c r="GI118" s="155"/>
      <c r="GJ118" s="155"/>
      <c r="GK118" s="155"/>
    </row>
    <row r="119" spans="2:193" ht="18.75" customHeight="1" x14ac:dyDescent="0.3"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3039"/>
      <c r="AP119" s="3039"/>
      <c r="AQ119" s="3039"/>
      <c r="AR119" s="3039"/>
      <c r="AS119" s="3039"/>
      <c r="AT119" s="3039"/>
      <c r="AU119" s="3039"/>
      <c r="AV119" s="3039"/>
      <c r="AW119" s="3039"/>
      <c r="AX119" s="3039"/>
      <c r="AY119" s="3039"/>
      <c r="AZ119" s="3039"/>
      <c r="BA119" s="3039"/>
      <c r="BB119" s="3039"/>
      <c r="BC119" s="3039"/>
      <c r="BD119" s="3039"/>
      <c r="BE119" s="3039"/>
      <c r="BF119" s="3039"/>
      <c r="BG119" s="3039"/>
      <c r="BH119" s="3039"/>
      <c r="BI119" s="3039"/>
      <c r="BJ119" s="3039"/>
      <c r="BK119" s="3039"/>
      <c r="BL119" s="3039"/>
      <c r="BM119" s="3039"/>
      <c r="BN119" s="3039"/>
      <c r="BO119" s="3039"/>
      <c r="BP119" s="3039"/>
      <c r="BQ119" s="3039"/>
      <c r="BR119" s="3039"/>
      <c r="BS119" s="3039"/>
      <c r="BT119" s="3039"/>
      <c r="BU119" s="3039"/>
      <c r="BV119" s="3039"/>
      <c r="BW119" s="3039"/>
      <c r="BX119" s="3039"/>
      <c r="BY119" s="3039"/>
      <c r="BZ119" s="3039"/>
      <c r="CA119" s="3039"/>
      <c r="CB119" s="3039"/>
      <c r="CC119" s="3039"/>
      <c r="CD119" s="3039"/>
      <c r="CE119" s="3039"/>
      <c r="CF119" s="3039"/>
      <c r="CG119" s="3039"/>
      <c r="CH119" s="3039"/>
      <c r="CI119" s="3039"/>
      <c r="CJ119" s="3039"/>
      <c r="CK119" s="3039"/>
      <c r="CL119" s="3039"/>
      <c r="CM119" s="3039"/>
      <c r="CN119" s="3039"/>
      <c r="CO119" s="3039"/>
      <c r="CP119" s="3039"/>
      <c r="CQ119" s="3039"/>
      <c r="CR119" s="3039"/>
      <c r="CS119" s="3039"/>
      <c r="CT119" s="3039"/>
      <c r="CU119" s="3039"/>
      <c r="CV119" s="3039"/>
      <c r="CW119" s="3039"/>
      <c r="CX119" s="3039"/>
      <c r="CY119" s="3039"/>
      <c r="CZ119" s="3039"/>
      <c r="DA119" s="3039"/>
      <c r="DB119" s="3039"/>
      <c r="DC119" s="3039"/>
      <c r="DD119" s="3039"/>
      <c r="DE119" s="3039"/>
      <c r="DF119" s="3039"/>
      <c r="DG119" s="3039"/>
      <c r="DH119" s="3039"/>
      <c r="DI119" s="3039"/>
      <c r="DJ119" s="3039"/>
      <c r="DK119" s="3039"/>
      <c r="DL119" s="3039"/>
      <c r="DM119" s="3039"/>
      <c r="DN119" s="3039"/>
      <c r="DO119" s="3039"/>
      <c r="DP119" s="3039"/>
      <c r="DQ119" s="3039"/>
      <c r="DR119" s="3039"/>
      <c r="DS119" s="3039"/>
      <c r="DT119" s="3039"/>
      <c r="DU119" s="3039"/>
      <c r="DV119" s="3039"/>
      <c r="DW119" s="3039"/>
      <c r="DX119" s="3039"/>
      <c r="DY119" s="3039"/>
      <c r="DZ119" s="3039"/>
      <c r="EA119" s="3039"/>
      <c r="EB119" s="3039"/>
      <c r="EC119" s="3039"/>
      <c r="ED119" s="3039"/>
      <c r="EE119" s="3039"/>
      <c r="EF119" s="3039"/>
      <c r="EG119" s="3039"/>
      <c r="EH119" s="3039"/>
      <c r="EI119" s="3039"/>
      <c r="EJ119" s="3039"/>
      <c r="EK119" s="3039"/>
      <c r="EL119" s="3039"/>
      <c r="EM119" s="3039"/>
      <c r="EN119" s="3039"/>
      <c r="EO119" s="3039"/>
      <c r="EP119" s="3039"/>
      <c r="EQ119" s="3039"/>
      <c r="ER119" s="3039"/>
      <c r="ES119" s="3039"/>
      <c r="ET119" s="3039"/>
      <c r="EU119" s="3039"/>
      <c r="EV119" s="3039"/>
      <c r="EW119" s="3039"/>
      <c r="EX119" s="3039"/>
      <c r="EY119" s="3039"/>
      <c r="EZ119" s="3039"/>
      <c r="FA119" s="3039"/>
      <c r="FB119" s="3039"/>
      <c r="FC119" s="3039"/>
      <c r="FD119" s="3039"/>
      <c r="FE119" s="3039"/>
      <c r="FF119" s="3039"/>
      <c r="FG119" s="3039"/>
      <c r="FH119" s="3039"/>
      <c r="FI119" s="3039"/>
      <c r="FJ119" s="3039"/>
      <c r="FK119" s="3039"/>
      <c r="FL119" s="3039"/>
      <c r="FM119" s="3039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/>
      <c r="GI119" s="155"/>
      <c r="GJ119" s="155"/>
      <c r="GK119" s="155"/>
    </row>
    <row r="120" spans="2:193" ht="18.75" customHeight="1" x14ac:dyDescent="0.3"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3039"/>
      <c r="AP120" s="3039"/>
      <c r="AQ120" s="3039"/>
      <c r="AR120" s="3039"/>
      <c r="AS120" s="3039"/>
      <c r="AT120" s="3039"/>
      <c r="AU120" s="3039"/>
      <c r="AV120" s="3039"/>
      <c r="AW120" s="3039"/>
      <c r="AX120" s="3039"/>
      <c r="AY120" s="3039"/>
      <c r="AZ120" s="3039"/>
      <c r="BA120" s="3039"/>
      <c r="BB120" s="3039"/>
      <c r="BC120" s="3039"/>
      <c r="BD120" s="3039"/>
      <c r="BE120" s="3039"/>
      <c r="BF120" s="3039"/>
      <c r="BG120" s="3039"/>
      <c r="BH120" s="3039"/>
      <c r="BI120" s="3039"/>
      <c r="BJ120" s="3039"/>
      <c r="BK120" s="3039"/>
      <c r="BL120" s="3039"/>
      <c r="BM120" s="3039"/>
      <c r="BN120" s="3039"/>
      <c r="BO120" s="3039"/>
      <c r="BP120" s="3039"/>
      <c r="BQ120" s="3039"/>
      <c r="BR120" s="3039"/>
      <c r="BS120" s="3039"/>
      <c r="BT120" s="3039"/>
      <c r="BU120" s="3039"/>
      <c r="BV120" s="3039"/>
      <c r="BW120" s="3039"/>
      <c r="BX120" s="3039"/>
      <c r="BY120" s="3039"/>
      <c r="BZ120" s="3039"/>
      <c r="CA120" s="3039"/>
      <c r="CB120" s="3039"/>
      <c r="CC120" s="3039"/>
      <c r="CD120" s="3039"/>
      <c r="CE120" s="3039"/>
      <c r="CF120" s="3039"/>
      <c r="CG120" s="3039"/>
      <c r="CH120" s="3039"/>
      <c r="CI120" s="3039"/>
      <c r="CJ120" s="3039"/>
      <c r="CK120" s="3039"/>
      <c r="CL120" s="3039"/>
      <c r="CM120" s="3039"/>
      <c r="CN120" s="3039"/>
      <c r="CO120" s="3039"/>
      <c r="CP120" s="3039"/>
      <c r="CQ120" s="3039"/>
      <c r="CR120" s="3039"/>
      <c r="CS120" s="3039"/>
      <c r="CT120" s="3039"/>
      <c r="CU120" s="3039"/>
      <c r="CV120" s="3039"/>
      <c r="CW120" s="3039"/>
      <c r="CX120" s="3039"/>
      <c r="CY120" s="3039"/>
      <c r="CZ120" s="3039"/>
      <c r="DA120" s="3039"/>
      <c r="DB120" s="3039"/>
      <c r="DC120" s="3039"/>
      <c r="DD120" s="3039"/>
      <c r="DE120" s="3039"/>
      <c r="DF120" s="3039"/>
      <c r="DG120" s="3039"/>
      <c r="DH120" s="3039"/>
      <c r="DI120" s="3039"/>
      <c r="DJ120" s="3039"/>
      <c r="DK120" s="3039"/>
      <c r="DL120" s="3039"/>
      <c r="DM120" s="3039"/>
      <c r="DN120" s="3039"/>
      <c r="DO120" s="3039"/>
      <c r="DP120" s="3039"/>
      <c r="DQ120" s="3039"/>
      <c r="DR120" s="3039"/>
      <c r="DS120" s="3039"/>
      <c r="DT120" s="3039"/>
      <c r="DU120" s="3039"/>
      <c r="DV120" s="3039"/>
      <c r="DW120" s="3039"/>
      <c r="DX120" s="3039"/>
      <c r="DY120" s="3039"/>
      <c r="DZ120" s="3039"/>
      <c r="EA120" s="3039"/>
      <c r="EB120" s="3039"/>
      <c r="EC120" s="3039"/>
      <c r="ED120" s="3039"/>
      <c r="EE120" s="3039"/>
      <c r="EF120" s="3039"/>
      <c r="EG120" s="3039"/>
      <c r="EH120" s="3039"/>
      <c r="EI120" s="3039"/>
      <c r="EJ120" s="3039"/>
      <c r="EK120" s="3039"/>
      <c r="EL120" s="3039"/>
      <c r="EM120" s="3039"/>
      <c r="EN120" s="3039"/>
      <c r="EO120" s="3039"/>
      <c r="EP120" s="3039"/>
      <c r="EQ120" s="3039"/>
      <c r="ER120" s="3039"/>
      <c r="ES120" s="3039"/>
      <c r="ET120" s="3039"/>
      <c r="EU120" s="3039"/>
      <c r="EV120" s="3039"/>
      <c r="EW120" s="3039"/>
      <c r="EX120" s="3039"/>
      <c r="EY120" s="3039"/>
      <c r="EZ120" s="3039"/>
      <c r="FA120" s="3039"/>
      <c r="FB120" s="3039"/>
      <c r="FC120" s="3039"/>
      <c r="FD120" s="3039"/>
      <c r="FE120" s="3039"/>
      <c r="FF120" s="3039"/>
      <c r="FG120" s="3039"/>
      <c r="FH120" s="3039"/>
      <c r="FI120" s="3039"/>
      <c r="FJ120" s="3039"/>
      <c r="FK120" s="3039"/>
      <c r="FL120" s="3039"/>
      <c r="FM120" s="3039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/>
      <c r="GI120" s="155"/>
      <c r="GJ120" s="155"/>
      <c r="GK120" s="155"/>
    </row>
    <row r="121" spans="2:193" ht="18.75" customHeight="1" x14ac:dyDescent="0.3"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3039"/>
      <c r="AP121" s="3039"/>
      <c r="AQ121" s="3039"/>
      <c r="AR121" s="3039"/>
      <c r="AS121" s="3039"/>
      <c r="AT121" s="3039"/>
      <c r="AU121" s="3039"/>
      <c r="AV121" s="3039"/>
      <c r="AW121" s="3039"/>
      <c r="AX121" s="3039"/>
      <c r="AY121" s="3039"/>
      <c r="AZ121" s="3039"/>
      <c r="BA121" s="3039"/>
      <c r="BB121" s="3039"/>
      <c r="BC121" s="3039"/>
      <c r="BD121" s="3039"/>
      <c r="BE121" s="3039"/>
      <c r="BF121" s="3039"/>
      <c r="BG121" s="3039"/>
      <c r="BH121" s="3039"/>
      <c r="BI121" s="3039"/>
      <c r="BJ121" s="3039"/>
      <c r="BK121" s="3039"/>
      <c r="BL121" s="3039"/>
      <c r="BM121" s="3039"/>
      <c r="BN121" s="3039"/>
      <c r="BO121" s="3039"/>
      <c r="BP121" s="3039"/>
      <c r="BQ121" s="3039"/>
      <c r="BR121" s="3039"/>
      <c r="BS121" s="3039"/>
      <c r="BT121" s="3039"/>
      <c r="BU121" s="3039"/>
      <c r="BV121" s="3039"/>
      <c r="BW121" s="3039"/>
      <c r="BX121" s="3039"/>
      <c r="BY121" s="3039"/>
      <c r="BZ121" s="3039"/>
      <c r="CA121" s="3039"/>
      <c r="CB121" s="3039"/>
      <c r="CC121" s="3039"/>
      <c r="CD121" s="3039"/>
      <c r="CE121" s="3039"/>
      <c r="CF121" s="3039"/>
      <c r="CG121" s="3039"/>
      <c r="CH121" s="3039"/>
      <c r="CI121" s="3039"/>
      <c r="CJ121" s="3039"/>
      <c r="CK121" s="3039"/>
      <c r="CL121" s="3039"/>
      <c r="CM121" s="3039"/>
      <c r="CN121" s="3039"/>
      <c r="CO121" s="3039"/>
      <c r="CP121" s="3039"/>
      <c r="CQ121" s="3039"/>
      <c r="CR121" s="3039"/>
      <c r="CS121" s="3039"/>
      <c r="CT121" s="3039"/>
      <c r="CU121" s="3039"/>
      <c r="CV121" s="3039"/>
      <c r="CW121" s="3039"/>
      <c r="CX121" s="3039"/>
      <c r="CY121" s="3039"/>
      <c r="CZ121" s="3039"/>
      <c r="DA121" s="3039"/>
      <c r="DB121" s="3039"/>
      <c r="DC121" s="3039"/>
      <c r="DD121" s="3039"/>
      <c r="DE121" s="3039"/>
      <c r="DF121" s="3039"/>
      <c r="DG121" s="3039"/>
      <c r="DH121" s="3039"/>
      <c r="DI121" s="3039"/>
      <c r="DJ121" s="3039"/>
      <c r="DK121" s="3039"/>
      <c r="DL121" s="3039"/>
      <c r="DM121" s="3039"/>
      <c r="DN121" s="3039"/>
      <c r="DO121" s="3039"/>
      <c r="DP121" s="3039"/>
      <c r="DQ121" s="3039"/>
      <c r="DR121" s="3039"/>
      <c r="DS121" s="3039"/>
      <c r="DT121" s="3039"/>
      <c r="DU121" s="3039"/>
      <c r="DV121" s="3039"/>
      <c r="DW121" s="3039"/>
      <c r="DX121" s="3039"/>
      <c r="DY121" s="3039"/>
      <c r="DZ121" s="3039"/>
      <c r="EA121" s="3039"/>
      <c r="EB121" s="3039"/>
      <c r="EC121" s="3039"/>
      <c r="ED121" s="3039"/>
      <c r="EE121" s="3039"/>
      <c r="EF121" s="3039"/>
      <c r="EG121" s="3039"/>
      <c r="EH121" s="3039"/>
      <c r="EI121" s="3039"/>
      <c r="EJ121" s="3039"/>
      <c r="EK121" s="3039"/>
      <c r="EL121" s="3039"/>
      <c r="EM121" s="3039"/>
      <c r="EN121" s="3039"/>
      <c r="EO121" s="3039"/>
      <c r="EP121" s="3039"/>
      <c r="EQ121" s="3039"/>
      <c r="ER121" s="3039"/>
      <c r="ES121" s="3039"/>
      <c r="ET121" s="3039"/>
      <c r="EU121" s="3039"/>
      <c r="EV121" s="3039"/>
      <c r="EW121" s="3039"/>
      <c r="EX121" s="3039"/>
      <c r="EY121" s="3039"/>
      <c r="EZ121" s="3039"/>
      <c r="FA121" s="3039"/>
      <c r="FB121" s="3039"/>
      <c r="FC121" s="3039"/>
      <c r="FD121" s="3039"/>
      <c r="FE121" s="3039"/>
      <c r="FF121" s="3039"/>
      <c r="FG121" s="3039"/>
      <c r="FH121" s="3039"/>
      <c r="FI121" s="3039"/>
      <c r="FJ121" s="3039"/>
      <c r="FK121" s="3039"/>
      <c r="FL121" s="3039"/>
      <c r="FM121" s="3039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</row>
    <row r="122" spans="2:193" ht="18.75" customHeight="1" x14ac:dyDescent="0.3"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3039"/>
      <c r="AP122" s="3039"/>
      <c r="AQ122" s="3039"/>
      <c r="AR122" s="3039"/>
      <c r="AS122" s="3039"/>
      <c r="AT122" s="3039"/>
      <c r="AU122" s="3039"/>
      <c r="AV122" s="3039"/>
      <c r="AW122" s="3039"/>
      <c r="AX122" s="3039"/>
      <c r="AY122" s="3039"/>
      <c r="AZ122" s="3039"/>
      <c r="BA122" s="3039"/>
      <c r="BB122" s="3039"/>
      <c r="BC122" s="3039"/>
      <c r="BD122" s="3039"/>
      <c r="BE122" s="3039"/>
      <c r="BF122" s="3039"/>
      <c r="BG122" s="3039"/>
      <c r="BH122" s="3039"/>
      <c r="BI122" s="3039"/>
      <c r="BJ122" s="3039"/>
      <c r="BK122" s="3039"/>
      <c r="BL122" s="3039"/>
      <c r="BM122" s="3039"/>
      <c r="BN122" s="3039"/>
      <c r="BO122" s="3039"/>
      <c r="BP122" s="3039"/>
      <c r="BQ122" s="3039"/>
      <c r="BR122" s="3039"/>
      <c r="BS122" s="3039"/>
      <c r="BT122" s="3039"/>
      <c r="BU122" s="3039"/>
      <c r="BV122" s="3039"/>
      <c r="BW122" s="3039"/>
      <c r="BX122" s="3039"/>
      <c r="BY122" s="3039"/>
      <c r="BZ122" s="3039"/>
      <c r="CA122" s="3039"/>
      <c r="CB122" s="3039"/>
      <c r="CC122" s="3039"/>
      <c r="CD122" s="3039"/>
      <c r="CE122" s="3039"/>
      <c r="CF122" s="3039"/>
      <c r="CG122" s="3039"/>
      <c r="CH122" s="3039"/>
      <c r="CI122" s="3039"/>
      <c r="CJ122" s="3039"/>
      <c r="CK122" s="3039"/>
      <c r="CL122" s="3039"/>
      <c r="CM122" s="3039"/>
      <c r="CN122" s="3039"/>
      <c r="CO122" s="3039"/>
      <c r="CP122" s="3039"/>
      <c r="CQ122" s="3039"/>
      <c r="CR122" s="3039"/>
      <c r="CS122" s="3039"/>
      <c r="CT122" s="3039"/>
      <c r="CU122" s="3039"/>
      <c r="CV122" s="3039"/>
      <c r="CW122" s="3039"/>
      <c r="CX122" s="3039"/>
      <c r="CY122" s="3039"/>
      <c r="CZ122" s="3039"/>
      <c r="DA122" s="3039"/>
      <c r="DB122" s="3039"/>
      <c r="DC122" s="3039"/>
      <c r="DD122" s="3039"/>
      <c r="DE122" s="3039"/>
      <c r="DF122" s="3039"/>
      <c r="DG122" s="3039"/>
      <c r="DH122" s="3039"/>
      <c r="DI122" s="3039"/>
      <c r="DJ122" s="3039"/>
      <c r="DK122" s="3039"/>
      <c r="DL122" s="3039"/>
      <c r="DM122" s="3039"/>
      <c r="DN122" s="3039"/>
      <c r="DO122" s="3039"/>
      <c r="DP122" s="3039"/>
      <c r="DQ122" s="3039"/>
      <c r="DR122" s="3039"/>
      <c r="DS122" s="3039"/>
      <c r="DT122" s="3039"/>
      <c r="DU122" s="3039"/>
      <c r="DV122" s="3039"/>
      <c r="DW122" s="3039"/>
      <c r="DX122" s="3039"/>
      <c r="DY122" s="3039"/>
      <c r="DZ122" s="3039"/>
      <c r="EA122" s="3039"/>
      <c r="EB122" s="3039"/>
      <c r="EC122" s="3039"/>
      <c r="ED122" s="3039"/>
      <c r="EE122" s="3039"/>
      <c r="EF122" s="3039"/>
      <c r="EG122" s="3039"/>
      <c r="EH122" s="3039"/>
      <c r="EI122" s="3039"/>
      <c r="EJ122" s="3039"/>
      <c r="EK122" s="3039"/>
      <c r="EL122" s="3039"/>
      <c r="EM122" s="3039"/>
      <c r="EN122" s="3039"/>
      <c r="EO122" s="3039"/>
      <c r="EP122" s="3039"/>
      <c r="EQ122" s="3039"/>
      <c r="ER122" s="3039"/>
      <c r="ES122" s="3039"/>
      <c r="ET122" s="3039"/>
      <c r="EU122" s="3039"/>
      <c r="EV122" s="3039"/>
      <c r="EW122" s="3039"/>
      <c r="EX122" s="3039"/>
      <c r="EY122" s="3039"/>
      <c r="EZ122" s="3039"/>
      <c r="FA122" s="3039"/>
      <c r="FB122" s="3039"/>
      <c r="FC122" s="3039"/>
      <c r="FD122" s="3039"/>
      <c r="FE122" s="3039"/>
      <c r="FF122" s="3039"/>
      <c r="FG122" s="3039"/>
      <c r="FH122" s="3039"/>
      <c r="FI122" s="3039"/>
      <c r="FJ122" s="3039"/>
      <c r="FK122" s="3039"/>
      <c r="FL122" s="3039"/>
      <c r="FM122" s="3039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/>
      <c r="GI122" s="155"/>
      <c r="GJ122" s="155"/>
      <c r="GK122" s="155"/>
    </row>
    <row r="123" spans="2:193" ht="18.75" customHeight="1" x14ac:dyDescent="0.3"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3039"/>
      <c r="AP123" s="3039"/>
      <c r="AQ123" s="3039"/>
      <c r="AR123" s="3039"/>
      <c r="AS123" s="3039"/>
      <c r="AT123" s="3039"/>
      <c r="AU123" s="3039"/>
      <c r="AV123" s="3039"/>
      <c r="AW123" s="3039"/>
      <c r="AX123" s="3039"/>
      <c r="AY123" s="3039"/>
      <c r="AZ123" s="3039"/>
      <c r="BA123" s="3039"/>
      <c r="BB123" s="3039"/>
      <c r="BC123" s="3039"/>
      <c r="BD123" s="3039"/>
      <c r="BE123" s="3039"/>
      <c r="BF123" s="3039"/>
      <c r="BG123" s="3039"/>
      <c r="BH123" s="3039"/>
      <c r="BI123" s="3039"/>
      <c r="BJ123" s="3039"/>
      <c r="BK123" s="3039"/>
      <c r="BL123" s="3039"/>
      <c r="BM123" s="3039"/>
      <c r="BN123" s="3039"/>
      <c r="BO123" s="3039"/>
      <c r="BP123" s="3039"/>
      <c r="BQ123" s="3039"/>
      <c r="BR123" s="3039"/>
      <c r="BS123" s="3039"/>
      <c r="BT123" s="3039"/>
      <c r="BU123" s="3039"/>
      <c r="BV123" s="3039"/>
      <c r="BW123" s="3039"/>
      <c r="BX123" s="3039"/>
      <c r="BY123" s="3039"/>
      <c r="BZ123" s="3039"/>
      <c r="CA123" s="3039"/>
      <c r="CB123" s="3039"/>
      <c r="CC123" s="3039"/>
      <c r="CD123" s="3039"/>
      <c r="CE123" s="3039"/>
      <c r="CF123" s="3039"/>
      <c r="CG123" s="3039"/>
      <c r="CH123" s="3039"/>
      <c r="CI123" s="3039"/>
      <c r="CJ123" s="3039"/>
      <c r="CK123" s="3039"/>
      <c r="CL123" s="3039"/>
      <c r="CM123" s="3039"/>
      <c r="CN123" s="3039"/>
      <c r="CO123" s="3039"/>
      <c r="CP123" s="3039"/>
      <c r="CQ123" s="3039"/>
      <c r="CR123" s="3039"/>
      <c r="CS123" s="3039"/>
      <c r="CT123" s="3039"/>
      <c r="CU123" s="3039"/>
      <c r="CV123" s="3039"/>
      <c r="CW123" s="3039"/>
      <c r="CX123" s="3039"/>
      <c r="CY123" s="3039"/>
      <c r="CZ123" s="3039"/>
      <c r="DA123" s="3039"/>
      <c r="DB123" s="3039"/>
      <c r="DC123" s="3039"/>
      <c r="DD123" s="3039"/>
      <c r="DE123" s="3039"/>
      <c r="DF123" s="3039"/>
      <c r="DG123" s="3039"/>
      <c r="DH123" s="3039"/>
      <c r="DI123" s="3039"/>
      <c r="DJ123" s="3039"/>
      <c r="DK123" s="3039"/>
      <c r="DL123" s="3039"/>
      <c r="DM123" s="3039"/>
      <c r="DN123" s="3039"/>
      <c r="DO123" s="3039"/>
      <c r="DP123" s="3039"/>
      <c r="DQ123" s="3039"/>
      <c r="DR123" s="3039"/>
      <c r="DS123" s="3039"/>
      <c r="DT123" s="3039"/>
      <c r="DU123" s="3039"/>
      <c r="DV123" s="3039"/>
      <c r="DW123" s="3039"/>
      <c r="DX123" s="3039"/>
      <c r="DY123" s="3039"/>
      <c r="DZ123" s="3039"/>
      <c r="EA123" s="3039"/>
      <c r="EB123" s="3039"/>
      <c r="EC123" s="3039"/>
      <c r="ED123" s="3039"/>
      <c r="EE123" s="3039"/>
      <c r="EF123" s="3039"/>
      <c r="EG123" s="3039"/>
      <c r="EH123" s="3039"/>
      <c r="EI123" s="3039"/>
      <c r="EJ123" s="3039"/>
      <c r="EK123" s="3039"/>
      <c r="EL123" s="3039"/>
      <c r="EM123" s="3039"/>
      <c r="EN123" s="3039"/>
      <c r="EO123" s="3039"/>
      <c r="EP123" s="3039"/>
      <c r="EQ123" s="3039"/>
      <c r="ER123" s="3039"/>
      <c r="ES123" s="3039"/>
      <c r="ET123" s="3039"/>
      <c r="EU123" s="3039"/>
      <c r="EV123" s="3039"/>
      <c r="EW123" s="3039"/>
      <c r="EX123" s="3039"/>
      <c r="EY123" s="3039"/>
      <c r="EZ123" s="3039"/>
      <c r="FA123" s="3039"/>
      <c r="FB123" s="3039"/>
      <c r="FC123" s="3039"/>
      <c r="FD123" s="3039"/>
      <c r="FE123" s="3039"/>
      <c r="FF123" s="3039"/>
      <c r="FG123" s="3039"/>
      <c r="FH123" s="3039"/>
      <c r="FI123" s="3039"/>
      <c r="FJ123" s="3039"/>
      <c r="FK123" s="3039"/>
      <c r="FL123" s="3039"/>
      <c r="FM123" s="3039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/>
      <c r="GE123" s="155"/>
      <c r="GF123" s="155"/>
      <c r="GG123" s="155"/>
      <c r="GH123" s="155"/>
      <c r="GI123" s="155"/>
      <c r="GJ123" s="155"/>
      <c r="GK123" s="155"/>
    </row>
    <row r="124" spans="2:193" ht="18.75" customHeight="1" x14ac:dyDescent="0.3"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3039"/>
      <c r="AP124" s="3039"/>
      <c r="AQ124" s="3039"/>
      <c r="AR124" s="3039"/>
      <c r="AS124" s="3039"/>
      <c r="AT124" s="3039"/>
      <c r="AU124" s="3039"/>
      <c r="AV124" s="3039"/>
      <c r="AW124" s="3039"/>
      <c r="AX124" s="3039"/>
      <c r="AY124" s="3039"/>
      <c r="AZ124" s="3039"/>
      <c r="BA124" s="3039"/>
      <c r="BB124" s="3039"/>
      <c r="BC124" s="3039"/>
      <c r="BD124" s="3039"/>
      <c r="BE124" s="3039"/>
      <c r="BF124" s="3039"/>
      <c r="BG124" s="3039"/>
      <c r="BH124" s="3039"/>
      <c r="BI124" s="3039"/>
      <c r="BJ124" s="3039"/>
      <c r="BK124" s="3039"/>
      <c r="BL124" s="3039"/>
      <c r="BM124" s="3039"/>
      <c r="BN124" s="3039"/>
      <c r="BO124" s="3039"/>
      <c r="BP124" s="3039"/>
      <c r="BQ124" s="3039"/>
      <c r="BR124" s="3039"/>
      <c r="BS124" s="3039"/>
      <c r="BT124" s="3039"/>
      <c r="BU124" s="3039"/>
      <c r="BV124" s="3039"/>
      <c r="BW124" s="3039"/>
      <c r="BX124" s="3039"/>
      <c r="BY124" s="3039"/>
      <c r="BZ124" s="3039"/>
      <c r="CA124" s="3039"/>
      <c r="CB124" s="3039"/>
      <c r="CC124" s="3039"/>
      <c r="CD124" s="3039"/>
      <c r="CE124" s="3039"/>
      <c r="CF124" s="3039"/>
      <c r="CG124" s="3039"/>
      <c r="CH124" s="3039"/>
      <c r="CI124" s="3039"/>
      <c r="CJ124" s="3039"/>
      <c r="CK124" s="3039"/>
      <c r="CL124" s="3039"/>
      <c r="CM124" s="3039"/>
      <c r="CN124" s="3039"/>
      <c r="CO124" s="3039"/>
      <c r="CP124" s="3039"/>
      <c r="CQ124" s="3039"/>
      <c r="CR124" s="3039"/>
      <c r="CS124" s="3039"/>
      <c r="CT124" s="3039"/>
      <c r="CU124" s="3039"/>
      <c r="CV124" s="3039"/>
      <c r="CW124" s="3039"/>
      <c r="CX124" s="3039"/>
      <c r="CY124" s="3039"/>
      <c r="CZ124" s="3039"/>
      <c r="DA124" s="3039"/>
      <c r="DB124" s="3039"/>
      <c r="DC124" s="3039"/>
      <c r="DD124" s="3039"/>
      <c r="DE124" s="3039"/>
      <c r="DF124" s="3039"/>
      <c r="DG124" s="3039"/>
      <c r="DH124" s="3039"/>
      <c r="DI124" s="3039"/>
      <c r="DJ124" s="3039"/>
      <c r="DK124" s="3039"/>
      <c r="DL124" s="3039"/>
      <c r="DM124" s="3039"/>
      <c r="DN124" s="3039"/>
      <c r="DO124" s="3039"/>
      <c r="DP124" s="3039"/>
      <c r="DQ124" s="3039"/>
      <c r="DR124" s="3039"/>
      <c r="DS124" s="3039"/>
      <c r="DT124" s="3039"/>
      <c r="DU124" s="3039"/>
      <c r="DV124" s="3039"/>
      <c r="DW124" s="3039"/>
      <c r="DX124" s="3039"/>
      <c r="DY124" s="3039"/>
      <c r="DZ124" s="3039"/>
      <c r="EA124" s="3039"/>
      <c r="EB124" s="3039"/>
      <c r="EC124" s="3039"/>
      <c r="ED124" s="3039"/>
      <c r="EE124" s="3039"/>
      <c r="EF124" s="3039"/>
      <c r="EG124" s="3039"/>
      <c r="EH124" s="3039"/>
      <c r="EI124" s="3039"/>
      <c r="EJ124" s="3039"/>
      <c r="EK124" s="3039"/>
      <c r="EL124" s="3039"/>
      <c r="EM124" s="3039"/>
      <c r="EN124" s="3039"/>
      <c r="EO124" s="3039"/>
      <c r="EP124" s="3039"/>
      <c r="EQ124" s="3039"/>
      <c r="ER124" s="3039"/>
      <c r="ES124" s="3039"/>
      <c r="ET124" s="3039"/>
      <c r="EU124" s="3039"/>
      <c r="EV124" s="3039"/>
      <c r="EW124" s="3039"/>
      <c r="EX124" s="3039"/>
      <c r="EY124" s="3039"/>
      <c r="EZ124" s="3039"/>
      <c r="FA124" s="3039"/>
      <c r="FB124" s="3039"/>
      <c r="FC124" s="3039"/>
      <c r="FD124" s="3039"/>
      <c r="FE124" s="3039"/>
      <c r="FF124" s="3039"/>
      <c r="FG124" s="3039"/>
      <c r="FH124" s="3039"/>
      <c r="FI124" s="3039"/>
      <c r="FJ124" s="3039"/>
      <c r="FK124" s="3039"/>
      <c r="FL124" s="3039"/>
      <c r="FM124" s="3039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</row>
    <row r="125" spans="2:193" ht="18.75" customHeight="1" x14ac:dyDescent="0.3"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3039"/>
      <c r="AP125" s="3039"/>
      <c r="AQ125" s="3039"/>
      <c r="AR125" s="3039"/>
      <c r="AS125" s="3039"/>
      <c r="AT125" s="3039"/>
      <c r="AU125" s="3039"/>
      <c r="AV125" s="3039"/>
      <c r="AW125" s="3039"/>
      <c r="AX125" s="3039"/>
      <c r="AY125" s="3039"/>
      <c r="AZ125" s="3039"/>
      <c r="BA125" s="3039"/>
      <c r="BB125" s="3039"/>
      <c r="BC125" s="3039"/>
      <c r="BD125" s="3039"/>
      <c r="BE125" s="3039"/>
      <c r="BF125" s="3039"/>
      <c r="BG125" s="3039"/>
      <c r="BH125" s="3039"/>
      <c r="BI125" s="3039"/>
      <c r="BJ125" s="3039"/>
      <c r="BK125" s="3039"/>
      <c r="BL125" s="3039"/>
      <c r="BM125" s="3039"/>
      <c r="BN125" s="3039"/>
      <c r="BO125" s="3039"/>
      <c r="BP125" s="3039"/>
      <c r="BQ125" s="3039"/>
      <c r="BR125" s="3039"/>
      <c r="BS125" s="3039"/>
      <c r="BT125" s="3039"/>
      <c r="BU125" s="3039"/>
      <c r="BV125" s="3039"/>
      <c r="BW125" s="3039"/>
      <c r="BX125" s="3039"/>
      <c r="BY125" s="3039"/>
      <c r="BZ125" s="3039"/>
      <c r="CA125" s="3039"/>
      <c r="CB125" s="3039"/>
      <c r="CC125" s="3039"/>
      <c r="CD125" s="3039"/>
      <c r="CE125" s="3039"/>
      <c r="CF125" s="3039"/>
      <c r="CG125" s="3039"/>
      <c r="CH125" s="3039"/>
      <c r="CI125" s="3039"/>
      <c r="CJ125" s="3039"/>
      <c r="CK125" s="3039"/>
      <c r="CL125" s="3039"/>
      <c r="CM125" s="3039"/>
      <c r="CN125" s="3039"/>
      <c r="CO125" s="3039"/>
      <c r="CP125" s="3039"/>
      <c r="CQ125" s="3039"/>
      <c r="CR125" s="3039"/>
      <c r="CS125" s="3039"/>
      <c r="CT125" s="3039"/>
      <c r="CU125" s="3039"/>
      <c r="CV125" s="3039"/>
      <c r="CW125" s="3039"/>
      <c r="CX125" s="3039"/>
      <c r="CY125" s="3039"/>
      <c r="CZ125" s="3039"/>
      <c r="DA125" s="3039"/>
      <c r="DB125" s="3039"/>
      <c r="DC125" s="3039"/>
      <c r="DD125" s="3039"/>
      <c r="DE125" s="3039"/>
      <c r="DF125" s="3039"/>
      <c r="DG125" s="3039"/>
      <c r="DH125" s="3039"/>
      <c r="DI125" s="3039"/>
      <c r="DJ125" s="3039"/>
      <c r="DK125" s="3039"/>
      <c r="DL125" s="3039"/>
      <c r="DM125" s="3039"/>
      <c r="DN125" s="3039"/>
      <c r="DO125" s="3039"/>
      <c r="DP125" s="3039"/>
      <c r="DQ125" s="3039"/>
      <c r="DR125" s="3039"/>
      <c r="DS125" s="3039"/>
      <c r="DT125" s="3039"/>
      <c r="DU125" s="3039"/>
      <c r="DV125" s="3039"/>
      <c r="DW125" s="3039"/>
      <c r="DX125" s="3039"/>
      <c r="DY125" s="3039"/>
      <c r="DZ125" s="3039"/>
      <c r="EA125" s="3039"/>
      <c r="EB125" s="3039"/>
      <c r="EC125" s="3039"/>
      <c r="ED125" s="3039"/>
      <c r="EE125" s="3039"/>
      <c r="EF125" s="3039"/>
      <c r="EG125" s="3039"/>
      <c r="EH125" s="3039"/>
      <c r="EI125" s="3039"/>
      <c r="EJ125" s="3039"/>
      <c r="EK125" s="3039"/>
      <c r="EL125" s="3039"/>
      <c r="EM125" s="3039"/>
      <c r="EN125" s="3039"/>
      <c r="EO125" s="3039"/>
      <c r="EP125" s="3039"/>
      <c r="EQ125" s="3039"/>
      <c r="ER125" s="3039"/>
      <c r="ES125" s="3039"/>
      <c r="ET125" s="3039"/>
      <c r="EU125" s="3039"/>
      <c r="EV125" s="3039"/>
      <c r="EW125" s="3039"/>
      <c r="EX125" s="3039"/>
      <c r="EY125" s="3039"/>
      <c r="EZ125" s="3039"/>
      <c r="FA125" s="3039"/>
      <c r="FB125" s="3039"/>
      <c r="FC125" s="3039"/>
      <c r="FD125" s="3039"/>
      <c r="FE125" s="3039"/>
      <c r="FF125" s="3039"/>
      <c r="FG125" s="3039"/>
      <c r="FH125" s="3039"/>
      <c r="FI125" s="3039"/>
      <c r="FJ125" s="3039"/>
      <c r="FK125" s="3039"/>
      <c r="FL125" s="3039"/>
      <c r="FM125" s="3039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/>
      <c r="GE125" s="155"/>
      <c r="GF125" s="155"/>
      <c r="GG125" s="155"/>
      <c r="GH125" s="155"/>
      <c r="GI125" s="155"/>
      <c r="GJ125" s="155"/>
      <c r="GK125" s="155"/>
    </row>
    <row r="126" spans="2:193" ht="18.75" customHeight="1" x14ac:dyDescent="0.3"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3039"/>
      <c r="AP126" s="3039"/>
      <c r="AQ126" s="3039"/>
      <c r="AR126" s="3039"/>
      <c r="AS126" s="3039"/>
      <c r="AT126" s="3039"/>
      <c r="AU126" s="3039"/>
      <c r="AV126" s="3039"/>
      <c r="AW126" s="3039"/>
      <c r="AX126" s="3039"/>
      <c r="AY126" s="3039"/>
      <c r="AZ126" s="3039"/>
      <c r="BA126" s="3039"/>
      <c r="BB126" s="3039"/>
      <c r="BC126" s="3039"/>
      <c r="BD126" s="3039"/>
      <c r="BE126" s="3039"/>
      <c r="BF126" s="3039"/>
      <c r="BG126" s="3039"/>
      <c r="BH126" s="3039"/>
      <c r="BI126" s="3039"/>
      <c r="BJ126" s="3039"/>
      <c r="BK126" s="3039"/>
      <c r="BL126" s="3039"/>
      <c r="BM126" s="3039"/>
      <c r="BN126" s="3039"/>
      <c r="BO126" s="3039"/>
      <c r="BP126" s="3039"/>
      <c r="BQ126" s="3039"/>
      <c r="BR126" s="3039"/>
      <c r="BS126" s="3039"/>
      <c r="BT126" s="3039"/>
      <c r="BU126" s="3039"/>
      <c r="BV126" s="3039"/>
      <c r="BW126" s="3039"/>
      <c r="BX126" s="3039"/>
      <c r="BY126" s="3039"/>
      <c r="BZ126" s="3039"/>
      <c r="CA126" s="3039"/>
      <c r="CB126" s="3039"/>
      <c r="CC126" s="3039"/>
      <c r="CD126" s="3039"/>
      <c r="CE126" s="3039"/>
      <c r="CF126" s="3039"/>
      <c r="CG126" s="3039"/>
      <c r="CH126" s="3039"/>
      <c r="CI126" s="3039"/>
      <c r="CJ126" s="3039"/>
      <c r="CK126" s="3039"/>
      <c r="CL126" s="3039"/>
      <c r="CM126" s="3039"/>
      <c r="CN126" s="3039"/>
      <c r="CO126" s="3039"/>
      <c r="CP126" s="3039"/>
      <c r="CQ126" s="3039"/>
      <c r="CR126" s="3039"/>
      <c r="CS126" s="3039"/>
      <c r="CT126" s="3039"/>
      <c r="CU126" s="3039"/>
      <c r="CV126" s="3039"/>
      <c r="CW126" s="3039"/>
      <c r="CX126" s="3039"/>
      <c r="CY126" s="3039"/>
      <c r="CZ126" s="3039"/>
      <c r="DA126" s="3039"/>
      <c r="DB126" s="3039"/>
      <c r="DC126" s="3039"/>
      <c r="DD126" s="3039"/>
      <c r="DE126" s="3039"/>
      <c r="DF126" s="3039"/>
      <c r="DG126" s="3039"/>
      <c r="DH126" s="3039"/>
      <c r="DI126" s="3039"/>
      <c r="DJ126" s="3039"/>
      <c r="DK126" s="3039"/>
      <c r="DL126" s="3039"/>
      <c r="DM126" s="3039"/>
      <c r="DN126" s="3039"/>
      <c r="DO126" s="3039"/>
      <c r="DP126" s="3039"/>
      <c r="DQ126" s="3039"/>
      <c r="DR126" s="3039"/>
      <c r="DS126" s="3039"/>
      <c r="DT126" s="3039"/>
      <c r="DU126" s="3039"/>
      <c r="DV126" s="3039"/>
      <c r="DW126" s="3039"/>
      <c r="DX126" s="3039"/>
      <c r="DY126" s="3039"/>
      <c r="DZ126" s="3039"/>
      <c r="EA126" s="3039"/>
      <c r="EB126" s="3039"/>
      <c r="EC126" s="3039"/>
      <c r="ED126" s="3039"/>
      <c r="EE126" s="3039"/>
      <c r="EF126" s="3039"/>
      <c r="EG126" s="3039"/>
      <c r="EH126" s="3039"/>
      <c r="EI126" s="3039"/>
      <c r="EJ126" s="3039"/>
      <c r="EK126" s="3039"/>
      <c r="EL126" s="3039"/>
      <c r="EM126" s="3039"/>
      <c r="EN126" s="3039"/>
      <c r="EO126" s="3039"/>
      <c r="EP126" s="3039"/>
      <c r="EQ126" s="3039"/>
      <c r="ER126" s="3039"/>
      <c r="ES126" s="3039"/>
      <c r="ET126" s="3039"/>
      <c r="EU126" s="3039"/>
      <c r="EV126" s="3039"/>
      <c r="EW126" s="3039"/>
      <c r="EX126" s="3039"/>
      <c r="EY126" s="3039"/>
      <c r="EZ126" s="3039"/>
      <c r="FA126" s="3039"/>
      <c r="FB126" s="3039"/>
      <c r="FC126" s="3039"/>
      <c r="FD126" s="3039"/>
      <c r="FE126" s="3039"/>
      <c r="FF126" s="3039"/>
      <c r="FG126" s="3039"/>
      <c r="FH126" s="3039"/>
      <c r="FI126" s="3039"/>
      <c r="FJ126" s="3039"/>
      <c r="FK126" s="3039"/>
      <c r="FL126" s="3039"/>
      <c r="FM126" s="3039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/>
      <c r="GI126" s="155"/>
      <c r="GJ126" s="155"/>
      <c r="GK126" s="155"/>
    </row>
    <row r="127" spans="2:193" ht="18.75" customHeight="1" x14ac:dyDescent="0.3"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3039"/>
      <c r="AP127" s="3039"/>
      <c r="AQ127" s="3039"/>
      <c r="AR127" s="3039"/>
      <c r="AS127" s="3039"/>
      <c r="AT127" s="3039"/>
      <c r="AU127" s="3039"/>
      <c r="AV127" s="3039"/>
      <c r="AW127" s="3039"/>
      <c r="AX127" s="3039"/>
      <c r="AY127" s="3039"/>
      <c r="AZ127" s="3039"/>
      <c r="BA127" s="3039"/>
      <c r="BB127" s="3039"/>
      <c r="BC127" s="3039"/>
      <c r="BD127" s="3039"/>
      <c r="BE127" s="3039"/>
      <c r="BF127" s="3039"/>
      <c r="BG127" s="3039"/>
      <c r="BH127" s="3039"/>
      <c r="BI127" s="3039"/>
      <c r="BJ127" s="3039"/>
      <c r="BK127" s="3039"/>
      <c r="BL127" s="3039"/>
      <c r="BM127" s="3039"/>
      <c r="BN127" s="3039"/>
      <c r="BO127" s="3039"/>
      <c r="BP127" s="3039"/>
      <c r="BQ127" s="3039"/>
      <c r="BR127" s="3039"/>
      <c r="BS127" s="3039"/>
      <c r="BT127" s="3039"/>
      <c r="BU127" s="3039"/>
      <c r="BV127" s="3039"/>
      <c r="BW127" s="3039"/>
      <c r="BX127" s="3039"/>
      <c r="BY127" s="3039"/>
      <c r="BZ127" s="3039"/>
      <c r="CA127" s="3039"/>
      <c r="CB127" s="3039"/>
      <c r="CC127" s="3039"/>
      <c r="CD127" s="3039"/>
      <c r="CE127" s="3039"/>
      <c r="CF127" s="3039"/>
      <c r="CG127" s="3039"/>
      <c r="CH127" s="3039"/>
      <c r="CI127" s="3039"/>
      <c r="CJ127" s="3039"/>
      <c r="CK127" s="3039"/>
      <c r="CL127" s="3039"/>
      <c r="CM127" s="3039"/>
      <c r="CN127" s="3039"/>
      <c r="CO127" s="3039"/>
      <c r="CP127" s="3039"/>
      <c r="CQ127" s="3039"/>
      <c r="CR127" s="3039"/>
      <c r="CS127" s="3039"/>
      <c r="CT127" s="3039"/>
      <c r="CU127" s="3039"/>
      <c r="CV127" s="3039"/>
      <c r="CW127" s="3039"/>
      <c r="CX127" s="3039"/>
      <c r="CY127" s="3039"/>
      <c r="CZ127" s="3039"/>
      <c r="DA127" s="3039"/>
      <c r="DB127" s="3039"/>
      <c r="DC127" s="3039"/>
      <c r="DD127" s="3039"/>
      <c r="DE127" s="3039"/>
      <c r="DF127" s="3039"/>
      <c r="DG127" s="3039"/>
      <c r="DH127" s="3039"/>
      <c r="DI127" s="3039"/>
      <c r="DJ127" s="3039"/>
      <c r="DK127" s="3039"/>
      <c r="DL127" s="3039"/>
      <c r="DM127" s="3039"/>
      <c r="DN127" s="3039"/>
      <c r="DO127" s="3039"/>
      <c r="DP127" s="3039"/>
      <c r="DQ127" s="3039"/>
      <c r="DR127" s="3039"/>
      <c r="DS127" s="3039"/>
      <c r="DT127" s="3039"/>
      <c r="DU127" s="3039"/>
      <c r="DV127" s="3039"/>
      <c r="DW127" s="3039"/>
      <c r="DX127" s="3039"/>
      <c r="DY127" s="3039"/>
      <c r="DZ127" s="3039"/>
      <c r="EA127" s="3039"/>
      <c r="EB127" s="3039"/>
      <c r="EC127" s="3039"/>
      <c r="ED127" s="3039"/>
      <c r="EE127" s="3039"/>
      <c r="EF127" s="3039"/>
      <c r="EG127" s="3039"/>
      <c r="EH127" s="3039"/>
      <c r="EI127" s="3039"/>
      <c r="EJ127" s="3039"/>
      <c r="EK127" s="3039"/>
      <c r="EL127" s="3039"/>
      <c r="EM127" s="3039"/>
      <c r="EN127" s="3039"/>
      <c r="EO127" s="3039"/>
      <c r="EP127" s="3039"/>
      <c r="EQ127" s="3039"/>
      <c r="ER127" s="3039"/>
      <c r="ES127" s="3039"/>
      <c r="ET127" s="3039"/>
      <c r="EU127" s="3039"/>
      <c r="EV127" s="3039"/>
      <c r="EW127" s="3039"/>
      <c r="EX127" s="3039"/>
      <c r="EY127" s="3039"/>
      <c r="EZ127" s="3039"/>
      <c r="FA127" s="3039"/>
      <c r="FB127" s="3039"/>
      <c r="FC127" s="3039"/>
      <c r="FD127" s="3039"/>
      <c r="FE127" s="3039"/>
      <c r="FF127" s="3039"/>
      <c r="FG127" s="3039"/>
      <c r="FH127" s="3039"/>
      <c r="FI127" s="3039"/>
      <c r="FJ127" s="3039"/>
      <c r="FK127" s="3039"/>
      <c r="FL127" s="3039"/>
      <c r="FM127" s="3039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/>
      <c r="GI127" s="155"/>
      <c r="GJ127" s="155"/>
      <c r="GK127" s="155"/>
    </row>
    <row r="128" spans="2:193" ht="18.75" customHeight="1" x14ac:dyDescent="0.3"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3039"/>
      <c r="AP128" s="3039"/>
      <c r="AQ128" s="3039"/>
      <c r="AR128" s="3039"/>
      <c r="AS128" s="3039"/>
      <c r="AT128" s="3039"/>
      <c r="AU128" s="3039"/>
      <c r="AV128" s="3039"/>
      <c r="AW128" s="3039"/>
      <c r="AX128" s="3039"/>
      <c r="AY128" s="3039"/>
      <c r="AZ128" s="3039"/>
      <c r="BA128" s="3039"/>
      <c r="BB128" s="3039"/>
      <c r="BC128" s="3039"/>
      <c r="BD128" s="3039"/>
      <c r="BE128" s="3039"/>
      <c r="BF128" s="3039"/>
      <c r="BG128" s="3039"/>
      <c r="BH128" s="3039"/>
      <c r="BI128" s="3039"/>
      <c r="BJ128" s="3039"/>
      <c r="BK128" s="3039"/>
      <c r="BL128" s="3039"/>
      <c r="BM128" s="3039"/>
      <c r="BN128" s="3039"/>
      <c r="BO128" s="3039"/>
      <c r="BP128" s="3039"/>
      <c r="BQ128" s="3039"/>
      <c r="BR128" s="3039"/>
      <c r="BS128" s="3039"/>
      <c r="BT128" s="3039"/>
      <c r="BU128" s="3039"/>
      <c r="BV128" s="3039"/>
      <c r="BW128" s="3039"/>
      <c r="BX128" s="3039"/>
      <c r="BY128" s="3039"/>
      <c r="BZ128" s="3039"/>
      <c r="CA128" s="3039"/>
      <c r="CB128" s="3039"/>
      <c r="CC128" s="3039"/>
      <c r="CD128" s="3039"/>
      <c r="CE128" s="3039"/>
      <c r="CF128" s="3039"/>
      <c r="CG128" s="3039"/>
      <c r="CH128" s="3039"/>
      <c r="CI128" s="3039"/>
      <c r="CJ128" s="3039"/>
      <c r="CK128" s="3039"/>
      <c r="CL128" s="3039"/>
      <c r="CM128" s="3039"/>
      <c r="CN128" s="3039"/>
      <c r="CO128" s="3039"/>
      <c r="CP128" s="3039"/>
      <c r="CQ128" s="3039"/>
      <c r="CR128" s="3039"/>
      <c r="CS128" s="3039"/>
      <c r="CT128" s="3039"/>
      <c r="CU128" s="3039"/>
      <c r="CV128" s="3039"/>
      <c r="CW128" s="3039"/>
      <c r="CX128" s="3039"/>
      <c r="CY128" s="3039"/>
      <c r="CZ128" s="3039"/>
      <c r="DA128" s="3039"/>
      <c r="DB128" s="3039"/>
      <c r="DC128" s="3039"/>
      <c r="DD128" s="3039"/>
      <c r="DE128" s="3039"/>
      <c r="DF128" s="3039"/>
      <c r="DG128" s="3039"/>
      <c r="DH128" s="3039"/>
      <c r="DI128" s="3039"/>
      <c r="DJ128" s="3039"/>
      <c r="DK128" s="3039"/>
      <c r="DL128" s="3039"/>
      <c r="DM128" s="3039"/>
      <c r="DN128" s="3039"/>
      <c r="DO128" s="3039"/>
      <c r="DP128" s="3039"/>
      <c r="DQ128" s="3039"/>
      <c r="DR128" s="3039"/>
      <c r="DS128" s="3039"/>
      <c r="DT128" s="3039"/>
      <c r="DU128" s="3039"/>
      <c r="DV128" s="3039"/>
      <c r="DW128" s="3039"/>
      <c r="DX128" s="3039"/>
      <c r="DY128" s="3039"/>
      <c r="DZ128" s="3039"/>
      <c r="EA128" s="3039"/>
      <c r="EB128" s="3039"/>
      <c r="EC128" s="3039"/>
      <c r="ED128" s="3039"/>
      <c r="EE128" s="3039"/>
      <c r="EF128" s="3039"/>
      <c r="EG128" s="3039"/>
      <c r="EH128" s="3039"/>
      <c r="EI128" s="3039"/>
      <c r="EJ128" s="3039"/>
      <c r="EK128" s="3039"/>
      <c r="EL128" s="3039"/>
      <c r="EM128" s="3039"/>
      <c r="EN128" s="3039"/>
      <c r="EO128" s="3039"/>
      <c r="EP128" s="3039"/>
      <c r="EQ128" s="3039"/>
      <c r="ER128" s="3039"/>
      <c r="ES128" s="3039"/>
      <c r="ET128" s="3039"/>
      <c r="EU128" s="3039"/>
      <c r="EV128" s="3039"/>
      <c r="EW128" s="3039"/>
      <c r="EX128" s="3039"/>
      <c r="EY128" s="3039"/>
      <c r="EZ128" s="3039"/>
      <c r="FA128" s="3039"/>
      <c r="FB128" s="3039"/>
      <c r="FC128" s="3039"/>
      <c r="FD128" s="3039"/>
      <c r="FE128" s="3039"/>
      <c r="FF128" s="3039"/>
      <c r="FG128" s="3039"/>
      <c r="FH128" s="3039"/>
      <c r="FI128" s="3039"/>
      <c r="FJ128" s="3039"/>
      <c r="FK128" s="3039"/>
      <c r="FL128" s="3039"/>
      <c r="FM128" s="3039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</row>
    <row r="129" spans="2:193" ht="18.75" customHeight="1" x14ac:dyDescent="0.3"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3039"/>
      <c r="AP129" s="3039"/>
      <c r="AQ129" s="3039"/>
      <c r="AR129" s="3039"/>
      <c r="AS129" s="3039"/>
      <c r="AT129" s="3039"/>
      <c r="AU129" s="3039"/>
      <c r="AV129" s="3039"/>
      <c r="AW129" s="3039"/>
      <c r="AX129" s="3039"/>
      <c r="AY129" s="3039"/>
      <c r="AZ129" s="3039"/>
      <c r="BA129" s="3039"/>
      <c r="BB129" s="3039"/>
      <c r="BC129" s="3039"/>
      <c r="BD129" s="3039"/>
      <c r="BE129" s="3039"/>
      <c r="BF129" s="3039"/>
      <c r="BG129" s="3039"/>
      <c r="BH129" s="3039"/>
      <c r="BI129" s="3039"/>
      <c r="BJ129" s="3039"/>
      <c r="BK129" s="3039"/>
      <c r="BL129" s="3039"/>
      <c r="BM129" s="3039"/>
      <c r="BN129" s="3039"/>
      <c r="BO129" s="3039"/>
      <c r="BP129" s="3039"/>
      <c r="BQ129" s="3039"/>
      <c r="BR129" s="3039"/>
      <c r="BS129" s="3039"/>
      <c r="BT129" s="3039"/>
      <c r="BU129" s="3039"/>
      <c r="BV129" s="3039"/>
      <c r="BW129" s="3039"/>
      <c r="BX129" s="3039"/>
      <c r="BY129" s="3039"/>
      <c r="BZ129" s="3039"/>
      <c r="CA129" s="3039"/>
      <c r="CB129" s="3039"/>
      <c r="CC129" s="3039"/>
      <c r="CD129" s="3039"/>
      <c r="CE129" s="3039"/>
      <c r="CF129" s="3039"/>
      <c r="CG129" s="3039"/>
      <c r="CH129" s="3039"/>
      <c r="CI129" s="3039"/>
      <c r="CJ129" s="3039"/>
      <c r="CK129" s="3039"/>
      <c r="CL129" s="3039"/>
      <c r="CM129" s="3039"/>
      <c r="CN129" s="3039"/>
      <c r="CO129" s="3039"/>
      <c r="CP129" s="3039"/>
      <c r="CQ129" s="3039"/>
      <c r="CR129" s="3039"/>
      <c r="CS129" s="3039"/>
      <c r="CT129" s="3039"/>
      <c r="CU129" s="3039"/>
      <c r="CV129" s="3039"/>
      <c r="CW129" s="3039"/>
      <c r="CX129" s="3039"/>
      <c r="CY129" s="3039"/>
      <c r="CZ129" s="3039"/>
      <c r="DA129" s="3039"/>
      <c r="DB129" s="3039"/>
      <c r="DC129" s="3039"/>
      <c r="DD129" s="3039"/>
      <c r="DE129" s="3039"/>
      <c r="DF129" s="3039"/>
      <c r="DG129" s="3039"/>
      <c r="DH129" s="3039"/>
      <c r="DI129" s="3039"/>
      <c r="DJ129" s="3039"/>
      <c r="DK129" s="3039"/>
      <c r="DL129" s="3039"/>
      <c r="DM129" s="3039"/>
      <c r="DN129" s="3039"/>
      <c r="DO129" s="3039"/>
      <c r="DP129" s="3039"/>
      <c r="DQ129" s="3039"/>
      <c r="DR129" s="3039"/>
      <c r="DS129" s="3039"/>
      <c r="DT129" s="3039"/>
      <c r="DU129" s="3039"/>
      <c r="DV129" s="3039"/>
      <c r="DW129" s="3039"/>
      <c r="DX129" s="3039"/>
      <c r="DY129" s="3039"/>
      <c r="DZ129" s="3039"/>
      <c r="EA129" s="3039"/>
      <c r="EB129" s="3039"/>
      <c r="EC129" s="3039"/>
      <c r="ED129" s="3039"/>
      <c r="EE129" s="3039"/>
      <c r="EF129" s="3039"/>
      <c r="EG129" s="3039"/>
      <c r="EH129" s="3039"/>
      <c r="EI129" s="3039"/>
      <c r="EJ129" s="3039"/>
      <c r="EK129" s="3039"/>
      <c r="EL129" s="3039"/>
      <c r="EM129" s="3039"/>
      <c r="EN129" s="3039"/>
      <c r="EO129" s="3039"/>
      <c r="EP129" s="3039"/>
      <c r="EQ129" s="3039"/>
      <c r="ER129" s="3039"/>
      <c r="ES129" s="3039"/>
      <c r="ET129" s="3039"/>
      <c r="EU129" s="3039"/>
      <c r="EV129" s="3039"/>
      <c r="EW129" s="3039"/>
      <c r="EX129" s="3039"/>
      <c r="EY129" s="3039"/>
      <c r="EZ129" s="3039"/>
      <c r="FA129" s="3039"/>
      <c r="FB129" s="3039"/>
      <c r="FC129" s="3039"/>
      <c r="FD129" s="3039"/>
      <c r="FE129" s="3039"/>
      <c r="FF129" s="3039"/>
      <c r="FG129" s="3039"/>
      <c r="FH129" s="3039"/>
      <c r="FI129" s="3039"/>
      <c r="FJ129" s="3039"/>
      <c r="FK129" s="3039"/>
      <c r="FL129" s="3039"/>
      <c r="FM129" s="3039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/>
      <c r="GD129" s="155"/>
      <c r="GE129" s="155"/>
      <c r="GF129" s="155"/>
      <c r="GG129" s="155"/>
      <c r="GH129" s="155"/>
      <c r="GI129" s="155"/>
      <c r="GJ129" s="155"/>
      <c r="GK129" s="155"/>
    </row>
    <row r="130" spans="2:193" ht="18.75" customHeight="1" x14ac:dyDescent="0.3"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3039"/>
      <c r="AP130" s="3039"/>
      <c r="AQ130" s="3039"/>
      <c r="AR130" s="3039"/>
      <c r="AS130" s="3039"/>
      <c r="AT130" s="3039"/>
      <c r="AU130" s="3039"/>
      <c r="AV130" s="3039"/>
      <c r="AW130" s="3039"/>
      <c r="AX130" s="3039"/>
      <c r="AY130" s="3039"/>
      <c r="AZ130" s="3039"/>
      <c r="BA130" s="3039"/>
      <c r="BB130" s="3039"/>
      <c r="BC130" s="3039"/>
      <c r="BD130" s="3039"/>
      <c r="BE130" s="3039"/>
      <c r="BF130" s="3039"/>
      <c r="BG130" s="3039"/>
      <c r="BH130" s="3039"/>
      <c r="BI130" s="3039"/>
      <c r="BJ130" s="3039"/>
      <c r="BK130" s="3039"/>
      <c r="BL130" s="3039"/>
      <c r="BM130" s="3039"/>
      <c r="BN130" s="3039"/>
      <c r="BO130" s="3039"/>
      <c r="BP130" s="3039"/>
      <c r="BQ130" s="3039"/>
      <c r="BR130" s="3039"/>
      <c r="BS130" s="3039"/>
      <c r="BT130" s="3039"/>
      <c r="BU130" s="3039"/>
      <c r="BV130" s="3039"/>
      <c r="BW130" s="3039"/>
      <c r="BX130" s="3039"/>
      <c r="BY130" s="3039"/>
      <c r="BZ130" s="3039"/>
      <c r="CA130" s="3039"/>
      <c r="CB130" s="3039"/>
      <c r="CC130" s="3039"/>
      <c r="CD130" s="3039"/>
      <c r="CE130" s="3039"/>
      <c r="CF130" s="3039"/>
      <c r="CG130" s="3039"/>
      <c r="CH130" s="3039"/>
      <c r="CI130" s="3039"/>
      <c r="CJ130" s="3039"/>
      <c r="CK130" s="3039"/>
      <c r="CL130" s="3039"/>
      <c r="CM130" s="3039"/>
      <c r="CN130" s="3039"/>
      <c r="CO130" s="3039"/>
      <c r="CP130" s="3039"/>
      <c r="CQ130" s="3039"/>
      <c r="CR130" s="3039"/>
      <c r="CS130" s="3039"/>
      <c r="CT130" s="3039"/>
      <c r="CU130" s="3039"/>
      <c r="CV130" s="3039"/>
      <c r="CW130" s="3039"/>
      <c r="CX130" s="3039"/>
      <c r="CY130" s="3039"/>
      <c r="CZ130" s="3039"/>
      <c r="DA130" s="3039"/>
      <c r="DB130" s="3039"/>
      <c r="DC130" s="3039"/>
      <c r="DD130" s="3039"/>
      <c r="DE130" s="3039"/>
      <c r="DF130" s="3039"/>
      <c r="DG130" s="3039"/>
      <c r="DH130" s="3039"/>
      <c r="DI130" s="3039"/>
      <c r="DJ130" s="3039"/>
      <c r="DK130" s="3039"/>
      <c r="DL130" s="3039"/>
      <c r="DM130" s="3039"/>
      <c r="DN130" s="3039"/>
      <c r="DO130" s="3039"/>
      <c r="DP130" s="3039"/>
      <c r="DQ130" s="3039"/>
      <c r="DR130" s="3039"/>
      <c r="DS130" s="3039"/>
      <c r="DT130" s="3039"/>
      <c r="DU130" s="3039"/>
      <c r="DV130" s="3039"/>
      <c r="DW130" s="3039"/>
      <c r="DX130" s="3039"/>
      <c r="DY130" s="3039"/>
      <c r="DZ130" s="3039"/>
      <c r="EA130" s="3039"/>
      <c r="EB130" s="3039"/>
      <c r="EC130" s="3039"/>
      <c r="ED130" s="3039"/>
      <c r="EE130" s="3039"/>
      <c r="EF130" s="3039"/>
      <c r="EG130" s="3039"/>
      <c r="EH130" s="3039"/>
      <c r="EI130" s="3039"/>
      <c r="EJ130" s="3039"/>
      <c r="EK130" s="3039"/>
      <c r="EL130" s="3039"/>
      <c r="EM130" s="3039"/>
      <c r="EN130" s="3039"/>
      <c r="EO130" s="3039"/>
      <c r="EP130" s="3039"/>
      <c r="EQ130" s="3039"/>
      <c r="ER130" s="3039"/>
      <c r="ES130" s="3039"/>
      <c r="ET130" s="3039"/>
      <c r="EU130" s="3039"/>
      <c r="EV130" s="3039"/>
      <c r="EW130" s="3039"/>
      <c r="EX130" s="3039"/>
      <c r="EY130" s="3039"/>
      <c r="EZ130" s="3039"/>
      <c r="FA130" s="3039"/>
      <c r="FB130" s="3039"/>
      <c r="FC130" s="3039"/>
      <c r="FD130" s="3039"/>
      <c r="FE130" s="3039"/>
      <c r="FF130" s="3039"/>
      <c r="FG130" s="3039"/>
      <c r="FH130" s="3039"/>
      <c r="FI130" s="3039"/>
      <c r="FJ130" s="3039"/>
      <c r="FK130" s="3039"/>
      <c r="FL130" s="3039"/>
      <c r="FM130" s="3039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/>
      <c r="GH130" s="155"/>
      <c r="GI130" s="155"/>
      <c r="GJ130" s="155"/>
      <c r="GK130" s="155"/>
    </row>
    <row r="131" spans="2:193" ht="18.75" customHeight="1" x14ac:dyDescent="0.3"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3039"/>
      <c r="AP131" s="3039"/>
      <c r="AQ131" s="3039"/>
      <c r="AR131" s="3039"/>
      <c r="AS131" s="3039"/>
      <c r="AT131" s="3039"/>
      <c r="AU131" s="3039"/>
      <c r="AV131" s="3039"/>
      <c r="AW131" s="3039"/>
      <c r="AX131" s="3039"/>
      <c r="AY131" s="3039"/>
      <c r="AZ131" s="3039"/>
      <c r="BA131" s="3039"/>
      <c r="BB131" s="3039"/>
      <c r="BC131" s="3039"/>
      <c r="BD131" s="3039"/>
      <c r="BE131" s="3039"/>
      <c r="BF131" s="3039"/>
      <c r="BG131" s="3039"/>
      <c r="BH131" s="3039"/>
      <c r="BI131" s="3039"/>
      <c r="BJ131" s="3039"/>
      <c r="BK131" s="3039"/>
      <c r="BL131" s="3039"/>
      <c r="BM131" s="3039"/>
      <c r="BN131" s="3039"/>
      <c r="BO131" s="3039"/>
      <c r="BP131" s="3039"/>
      <c r="BQ131" s="3039"/>
      <c r="BR131" s="3039"/>
      <c r="BS131" s="3039"/>
      <c r="BT131" s="3039"/>
      <c r="BU131" s="3039"/>
      <c r="BV131" s="3039"/>
      <c r="BW131" s="3039"/>
      <c r="BX131" s="3039"/>
      <c r="BY131" s="3039"/>
      <c r="BZ131" s="3039"/>
      <c r="CA131" s="3039"/>
      <c r="CB131" s="3039"/>
      <c r="CC131" s="3039"/>
      <c r="CD131" s="3039"/>
      <c r="CE131" s="3039"/>
      <c r="CF131" s="3039"/>
      <c r="CG131" s="3039"/>
      <c r="CH131" s="3039"/>
      <c r="CI131" s="3039"/>
      <c r="CJ131" s="3039"/>
      <c r="CK131" s="3039"/>
      <c r="CL131" s="3039"/>
      <c r="CM131" s="3039"/>
      <c r="CN131" s="3039"/>
      <c r="CO131" s="3039"/>
      <c r="CP131" s="3039"/>
      <c r="CQ131" s="3039"/>
      <c r="CR131" s="3039"/>
      <c r="CS131" s="3039"/>
      <c r="CT131" s="3039"/>
      <c r="CU131" s="3039"/>
      <c r="CV131" s="3039"/>
      <c r="CW131" s="3039"/>
      <c r="CX131" s="3039"/>
      <c r="CY131" s="3039"/>
      <c r="CZ131" s="3039"/>
      <c r="DA131" s="3039"/>
      <c r="DB131" s="3039"/>
      <c r="DC131" s="3039"/>
      <c r="DD131" s="3039"/>
      <c r="DE131" s="3039"/>
      <c r="DF131" s="3039"/>
      <c r="DG131" s="3039"/>
      <c r="DH131" s="3039"/>
      <c r="DI131" s="3039"/>
      <c r="DJ131" s="3039"/>
      <c r="DK131" s="3039"/>
      <c r="DL131" s="3039"/>
      <c r="DM131" s="3039"/>
      <c r="DN131" s="3039"/>
      <c r="DO131" s="3039"/>
      <c r="DP131" s="3039"/>
      <c r="DQ131" s="3039"/>
      <c r="DR131" s="3039"/>
      <c r="DS131" s="3039"/>
      <c r="DT131" s="3039"/>
      <c r="DU131" s="3039"/>
      <c r="DV131" s="3039"/>
      <c r="DW131" s="3039"/>
      <c r="DX131" s="3039"/>
      <c r="DY131" s="3039"/>
      <c r="DZ131" s="3039"/>
      <c r="EA131" s="3039"/>
      <c r="EB131" s="3039"/>
      <c r="EC131" s="3039"/>
      <c r="ED131" s="3039"/>
      <c r="EE131" s="3039"/>
      <c r="EF131" s="3039"/>
      <c r="EG131" s="3039"/>
      <c r="EH131" s="3039"/>
      <c r="EI131" s="3039"/>
      <c r="EJ131" s="3039"/>
      <c r="EK131" s="3039"/>
      <c r="EL131" s="3039"/>
      <c r="EM131" s="3039"/>
      <c r="EN131" s="3039"/>
      <c r="EO131" s="3039"/>
      <c r="EP131" s="3039"/>
      <c r="EQ131" s="3039"/>
      <c r="ER131" s="3039"/>
      <c r="ES131" s="3039"/>
      <c r="ET131" s="3039"/>
      <c r="EU131" s="3039"/>
      <c r="EV131" s="3039"/>
      <c r="EW131" s="3039"/>
      <c r="EX131" s="3039"/>
      <c r="EY131" s="3039"/>
      <c r="EZ131" s="3039"/>
      <c r="FA131" s="3039"/>
      <c r="FB131" s="3039"/>
      <c r="FC131" s="3039"/>
      <c r="FD131" s="3039"/>
      <c r="FE131" s="3039"/>
      <c r="FF131" s="3039"/>
      <c r="FG131" s="3039"/>
      <c r="FH131" s="3039"/>
      <c r="FI131" s="3039"/>
      <c r="FJ131" s="3039"/>
      <c r="FK131" s="3039"/>
      <c r="FL131" s="3039"/>
      <c r="FM131" s="3039"/>
      <c r="FN131" s="155"/>
      <c r="FO131" s="155"/>
      <c r="FP131" s="155"/>
      <c r="FQ131" s="155"/>
      <c r="FR131" s="155"/>
      <c r="FS131" s="155"/>
      <c r="FT131" s="155"/>
      <c r="FU131" s="155"/>
      <c r="FV131" s="155"/>
      <c r="FW131" s="155"/>
      <c r="FX131" s="155"/>
      <c r="FY131" s="155"/>
      <c r="FZ131" s="155"/>
      <c r="GA131" s="155"/>
      <c r="GB131" s="155"/>
      <c r="GC131" s="155"/>
      <c r="GD131" s="155"/>
      <c r="GE131" s="155"/>
      <c r="GF131" s="155"/>
      <c r="GG131" s="155"/>
      <c r="GH131" s="155"/>
      <c r="GI131" s="155"/>
      <c r="GJ131" s="155"/>
      <c r="GK131" s="155"/>
    </row>
    <row r="132" spans="2:193" ht="18.75" customHeight="1" x14ac:dyDescent="0.3"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3039"/>
      <c r="AP132" s="3039"/>
      <c r="AQ132" s="3039"/>
      <c r="AR132" s="3039"/>
      <c r="AS132" s="3039"/>
      <c r="AT132" s="3039"/>
      <c r="AU132" s="3039"/>
      <c r="AV132" s="3039"/>
      <c r="AW132" s="3039"/>
      <c r="AX132" s="3039"/>
      <c r="AY132" s="3039"/>
      <c r="AZ132" s="3039"/>
      <c r="BA132" s="3039"/>
      <c r="BB132" s="3039"/>
      <c r="BC132" s="3039"/>
      <c r="BD132" s="3039"/>
      <c r="BE132" s="3039"/>
      <c r="BF132" s="3039"/>
      <c r="BG132" s="3039"/>
      <c r="BH132" s="3039"/>
      <c r="BI132" s="3039"/>
      <c r="BJ132" s="3039"/>
      <c r="BK132" s="3039"/>
      <c r="BL132" s="3039"/>
      <c r="BM132" s="3039"/>
      <c r="BN132" s="3039"/>
      <c r="BO132" s="3039"/>
      <c r="BP132" s="3039"/>
      <c r="BQ132" s="3039"/>
      <c r="BR132" s="3039"/>
      <c r="BS132" s="3039"/>
      <c r="BT132" s="3039"/>
      <c r="BU132" s="3039"/>
      <c r="BV132" s="3039"/>
      <c r="BW132" s="3039"/>
      <c r="BX132" s="3039"/>
      <c r="BY132" s="3039"/>
      <c r="BZ132" s="3039"/>
      <c r="CA132" s="3039"/>
      <c r="CB132" s="3039"/>
      <c r="CC132" s="3039"/>
      <c r="CD132" s="3039"/>
      <c r="CE132" s="3039"/>
      <c r="CF132" s="3039"/>
      <c r="CG132" s="3039"/>
      <c r="CH132" s="3039"/>
      <c r="CI132" s="3039"/>
      <c r="CJ132" s="3039"/>
      <c r="CK132" s="3039"/>
      <c r="CL132" s="3039"/>
      <c r="CM132" s="3039"/>
      <c r="CN132" s="3039"/>
      <c r="CO132" s="3039"/>
      <c r="CP132" s="3039"/>
      <c r="CQ132" s="3039"/>
      <c r="CR132" s="3039"/>
      <c r="CS132" s="3039"/>
      <c r="CT132" s="3039"/>
      <c r="CU132" s="3039"/>
      <c r="CV132" s="3039"/>
      <c r="CW132" s="3039"/>
      <c r="CX132" s="3039"/>
      <c r="CY132" s="3039"/>
      <c r="CZ132" s="3039"/>
      <c r="DA132" s="3039"/>
      <c r="DB132" s="3039"/>
      <c r="DC132" s="3039"/>
      <c r="DD132" s="3039"/>
      <c r="DE132" s="3039"/>
      <c r="DF132" s="3039"/>
      <c r="DG132" s="3039"/>
      <c r="DH132" s="3039"/>
      <c r="DI132" s="3039"/>
      <c r="DJ132" s="3039"/>
      <c r="DK132" s="3039"/>
      <c r="DL132" s="3039"/>
      <c r="DM132" s="3039"/>
      <c r="DN132" s="3039"/>
      <c r="DO132" s="3039"/>
      <c r="DP132" s="3039"/>
      <c r="DQ132" s="3039"/>
      <c r="DR132" s="3039"/>
      <c r="DS132" s="3039"/>
      <c r="DT132" s="3039"/>
      <c r="DU132" s="3039"/>
      <c r="DV132" s="3039"/>
      <c r="DW132" s="3039"/>
      <c r="DX132" s="3039"/>
      <c r="DY132" s="3039"/>
      <c r="DZ132" s="3039"/>
      <c r="EA132" s="3039"/>
      <c r="EB132" s="3039"/>
      <c r="EC132" s="3039"/>
      <c r="ED132" s="3039"/>
      <c r="EE132" s="3039"/>
      <c r="EF132" s="3039"/>
      <c r="EG132" s="3039"/>
      <c r="EH132" s="3039"/>
      <c r="EI132" s="3039"/>
      <c r="EJ132" s="3039"/>
      <c r="EK132" s="3039"/>
      <c r="EL132" s="3039"/>
      <c r="EM132" s="3039"/>
      <c r="EN132" s="3039"/>
      <c r="EO132" s="3039"/>
      <c r="EP132" s="3039"/>
      <c r="EQ132" s="3039"/>
      <c r="ER132" s="3039"/>
      <c r="ES132" s="3039"/>
      <c r="ET132" s="3039"/>
      <c r="EU132" s="3039"/>
      <c r="EV132" s="3039"/>
      <c r="EW132" s="3039"/>
      <c r="EX132" s="3039"/>
      <c r="EY132" s="3039"/>
      <c r="EZ132" s="3039"/>
      <c r="FA132" s="3039"/>
      <c r="FB132" s="3039"/>
      <c r="FC132" s="3039"/>
      <c r="FD132" s="3039"/>
      <c r="FE132" s="3039"/>
      <c r="FF132" s="3039"/>
      <c r="FG132" s="3039"/>
      <c r="FH132" s="3039"/>
      <c r="FI132" s="3039"/>
      <c r="FJ132" s="3039"/>
      <c r="FK132" s="3039"/>
      <c r="FL132" s="3039"/>
      <c r="FM132" s="3039"/>
      <c r="FN132" s="155"/>
      <c r="FO132" s="155"/>
      <c r="FP132" s="155"/>
      <c r="FQ132" s="155"/>
      <c r="FR132" s="155"/>
      <c r="FS132" s="155"/>
      <c r="FT132" s="155"/>
      <c r="FU132" s="155"/>
      <c r="FV132" s="155"/>
      <c r="FW132" s="155"/>
      <c r="FX132" s="155"/>
      <c r="FY132" s="155"/>
      <c r="FZ132" s="155"/>
      <c r="GA132" s="155"/>
      <c r="GB132" s="155"/>
      <c r="GC132" s="155"/>
      <c r="GD132" s="155"/>
      <c r="GE132" s="155"/>
      <c r="GF132" s="155"/>
      <c r="GG132" s="155"/>
      <c r="GH132" s="155"/>
      <c r="GI132" s="155"/>
      <c r="GJ132" s="155"/>
      <c r="GK132" s="155"/>
    </row>
    <row r="133" spans="2:193" ht="18.75" customHeight="1" x14ac:dyDescent="0.3"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3039"/>
      <c r="AP133" s="3039"/>
      <c r="AQ133" s="3039"/>
      <c r="AR133" s="3039"/>
      <c r="AS133" s="3039"/>
      <c r="AT133" s="3039"/>
      <c r="AU133" s="3039"/>
      <c r="AV133" s="3039"/>
      <c r="AW133" s="3039"/>
      <c r="AX133" s="3039"/>
      <c r="AY133" s="3039"/>
      <c r="AZ133" s="3039"/>
      <c r="BA133" s="3039"/>
      <c r="BB133" s="3039"/>
      <c r="BC133" s="3039"/>
      <c r="BD133" s="3039"/>
      <c r="BE133" s="3039"/>
      <c r="BF133" s="3039"/>
      <c r="BG133" s="3039"/>
      <c r="BH133" s="3039"/>
      <c r="BI133" s="3039"/>
      <c r="BJ133" s="3039"/>
      <c r="BK133" s="3039"/>
      <c r="BL133" s="3039"/>
      <c r="BM133" s="3039"/>
      <c r="BN133" s="3039"/>
      <c r="BO133" s="3039"/>
      <c r="BP133" s="3039"/>
      <c r="BQ133" s="3039"/>
      <c r="BR133" s="3039"/>
      <c r="BS133" s="3039"/>
      <c r="BT133" s="3039"/>
      <c r="BU133" s="3039"/>
      <c r="BV133" s="3039"/>
      <c r="BW133" s="3039"/>
      <c r="BX133" s="3039"/>
      <c r="BY133" s="3039"/>
      <c r="BZ133" s="3039"/>
      <c r="CA133" s="3039"/>
      <c r="CB133" s="3039"/>
      <c r="CC133" s="3039"/>
      <c r="CD133" s="3039"/>
      <c r="CE133" s="3039"/>
      <c r="CF133" s="3039"/>
      <c r="CG133" s="3039"/>
      <c r="CH133" s="3039"/>
      <c r="CI133" s="3039"/>
      <c r="CJ133" s="3039"/>
      <c r="CK133" s="3039"/>
      <c r="CL133" s="3039"/>
      <c r="CM133" s="3039"/>
      <c r="CN133" s="3039"/>
      <c r="CO133" s="3039"/>
      <c r="CP133" s="3039"/>
      <c r="CQ133" s="3039"/>
      <c r="CR133" s="3039"/>
      <c r="CS133" s="3039"/>
      <c r="CT133" s="3039"/>
      <c r="CU133" s="3039"/>
      <c r="CV133" s="3039"/>
      <c r="CW133" s="3039"/>
      <c r="CX133" s="3039"/>
      <c r="CY133" s="3039"/>
      <c r="CZ133" s="3039"/>
      <c r="DA133" s="3039"/>
      <c r="DB133" s="3039"/>
      <c r="DC133" s="3039"/>
      <c r="DD133" s="3039"/>
      <c r="DE133" s="3039"/>
      <c r="DF133" s="3039"/>
      <c r="DG133" s="3039"/>
      <c r="DH133" s="3039"/>
      <c r="DI133" s="3039"/>
      <c r="DJ133" s="3039"/>
      <c r="DK133" s="3039"/>
      <c r="DL133" s="3039"/>
      <c r="DM133" s="3039"/>
      <c r="DN133" s="3039"/>
      <c r="DO133" s="3039"/>
      <c r="DP133" s="3039"/>
      <c r="DQ133" s="3039"/>
      <c r="DR133" s="3039"/>
      <c r="DS133" s="3039"/>
      <c r="DT133" s="3039"/>
      <c r="DU133" s="3039"/>
      <c r="DV133" s="3039"/>
      <c r="DW133" s="3039"/>
      <c r="DX133" s="3039"/>
      <c r="DY133" s="3039"/>
      <c r="DZ133" s="3039"/>
      <c r="EA133" s="3039"/>
      <c r="EB133" s="3039"/>
      <c r="EC133" s="3039"/>
      <c r="ED133" s="3039"/>
      <c r="EE133" s="3039"/>
      <c r="EF133" s="3039"/>
      <c r="EG133" s="3039"/>
      <c r="EH133" s="3039"/>
      <c r="EI133" s="3039"/>
      <c r="EJ133" s="3039"/>
      <c r="EK133" s="3039"/>
      <c r="EL133" s="3039"/>
      <c r="EM133" s="3039"/>
      <c r="EN133" s="3039"/>
      <c r="EO133" s="3039"/>
      <c r="EP133" s="3039"/>
      <c r="EQ133" s="3039"/>
      <c r="ER133" s="3039"/>
      <c r="ES133" s="3039"/>
      <c r="ET133" s="3039"/>
      <c r="EU133" s="3039"/>
      <c r="EV133" s="3039"/>
      <c r="EW133" s="3039"/>
      <c r="EX133" s="3039"/>
      <c r="EY133" s="3039"/>
      <c r="EZ133" s="3039"/>
      <c r="FA133" s="3039"/>
      <c r="FB133" s="3039"/>
      <c r="FC133" s="3039"/>
      <c r="FD133" s="3039"/>
      <c r="FE133" s="3039"/>
      <c r="FF133" s="3039"/>
      <c r="FG133" s="3039"/>
      <c r="FH133" s="3039"/>
      <c r="FI133" s="3039"/>
      <c r="FJ133" s="3039"/>
      <c r="FK133" s="3039"/>
      <c r="FL133" s="3039"/>
      <c r="FM133" s="3039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/>
      <c r="GH133" s="155"/>
      <c r="GI133" s="155"/>
      <c r="GJ133" s="155"/>
      <c r="GK133" s="155"/>
    </row>
    <row r="134" spans="2:193" ht="18.75" customHeight="1" x14ac:dyDescent="0.3"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3039"/>
      <c r="AP134" s="3039"/>
      <c r="AQ134" s="3039"/>
      <c r="AR134" s="3039"/>
      <c r="AS134" s="3039"/>
      <c r="AT134" s="3039"/>
      <c r="AU134" s="3039"/>
      <c r="AV134" s="3039"/>
      <c r="AW134" s="3039"/>
      <c r="AX134" s="3039"/>
      <c r="AY134" s="3039"/>
      <c r="AZ134" s="3039"/>
      <c r="BA134" s="3039"/>
      <c r="BB134" s="3039"/>
      <c r="BC134" s="3039"/>
      <c r="BD134" s="3039"/>
      <c r="BE134" s="3039"/>
      <c r="BF134" s="3039"/>
      <c r="BG134" s="3039"/>
      <c r="BH134" s="3039"/>
      <c r="BI134" s="3039"/>
      <c r="BJ134" s="3039"/>
      <c r="BK134" s="3039"/>
      <c r="BL134" s="3039"/>
      <c r="BM134" s="3039"/>
      <c r="BN134" s="3039"/>
      <c r="BO134" s="3039"/>
      <c r="BP134" s="3039"/>
      <c r="BQ134" s="3039"/>
      <c r="BR134" s="3039"/>
      <c r="BS134" s="3039"/>
      <c r="BT134" s="3039"/>
      <c r="BU134" s="3039"/>
      <c r="BV134" s="3039"/>
      <c r="BW134" s="3039"/>
      <c r="BX134" s="3039"/>
      <c r="BY134" s="3039"/>
      <c r="BZ134" s="3039"/>
      <c r="CA134" s="3039"/>
      <c r="CB134" s="3039"/>
      <c r="CC134" s="3039"/>
      <c r="CD134" s="3039"/>
      <c r="CE134" s="3039"/>
      <c r="CF134" s="3039"/>
      <c r="CG134" s="3039"/>
      <c r="CH134" s="3039"/>
      <c r="CI134" s="3039"/>
      <c r="CJ134" s="3039"/>
      <c r="CK134" s="3039"/>
      <c r="CL134" s="3039"/>
      <c r="CM134" s="3039"/>
      <c r="CN134" s="3039"/>
      <c r="CO134" s="3039"/>
      <c r="CP134" s="3039"/>
      <c r="CQ134" s="3039"/>
      <c r="CR134" s="3039"/>
      <c r="CS134" s="3039"/>
      <c r="CT134" s="3039"/>
      <c r="CU134" s="3039"/>
      <c r="CV134" s="3039"/>
      <c r="CW134" s="3039"/>
      <c r="CX134" s="3039"/>
      <c r="CY134" s="3039"/>
      <c r="CZ134" s="3039"/>
      <c r="DA134" s="3039"/>
      <c r="DB134" s="3039"/>
      <c r="DC134" s="3039"/>
      <c r="DD134" s="3039"/>
      <c r="DE134" s="3039"/>
      <c r="DF134" s="3039"/>
      <c r="DG134" s="3039"/>
      <c r="DH134" s="3039"/>
      <c r="DI134" s="3039"/>
      <c r="DJ134" s="3039"/>
      <c r="DK134" s="3039"/>
      <c r="DL134" s="3039"/>
      <c r="DM134" s="3039"/>
      <c r="DN134" s="3039"/>
      <c r="DO134" s="3039"/>
      <c r="DP134" s="3039"/>
      <c r="DQ134" s="3039"/>
      <c r="DR134" s="3039"/>
      <c r="DS134" s="3039"/>
      <c r="DT134" s="3039"/>
      <c r="DU134" s="3039"/>
      <c r="DV134" s="3039"/>
      <c r="DW134" s="3039"/>
      <c r="DX134" s="3039"/>
      <c r="DY134" s="3039"/>
      <c r="DZ134" s="3039"/>
      <c r="EA134" s="3039"/>
      <c r="EB134" s="3039"/>
      <c r="EC134" s="3039"/>
      <c r="ED134" s="3039"/>
      <c r="EE134" s="3039"/>
      <c r="EF134" s="3039"/>
      <c r="EG134" s="3039"/>
      <c r="EH134" s="3039"/>
      <c r="EI134" s="3039"/>
      <c r="EJ134" s="3039"/>
      <c r="EK134" s="3039"/>
      <c r="EL134" s="3039"/>
      <c r="EM134" s="3039"/>
      <c r="EN134" s="3039"/>
      <c r="EO134" s="3039"/>
      <c r="EP134" s="3039"/>
      <c r="EQ134" s="3039"/>
      <c r="ER134" s="3039"/>
      <c r="ES134" s="3039"/>
      <c r="ET134" s="3039"/>
      <c r="EU134" s="3039"/>
      <c r="EV134" s="3039"/>
      <c r="EW134" s="3039"/>
      <c r="EX134" s="3039"/>
      <c r="EY134" s="3039"/>
      <c r="EZ134" s="3039"/>
      <c r="FA134" s="3039"/>
      <c r="FB134" s="3039"/>
      <c r="FC134" s="3039"/>
      <c r="FD134" s="3039"/>
      <c r="FE134" s="3039"/>
      <c r="FF134" s="3039"/>
      <c r="FG134" s="3039"/>
      <c r="FH134" s="3039"/>
      <c r="FI134" s="3039"/>
      <c r="FJ134" s="3039"/>
      <c r="FK134" s="3039"/>
      <c r="FL134" s="3039"/>
      <c r="FM134" s="3039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</row>
    <row r="135" spans="2:193" ht="18.75" customHeight="1" x14ac:dyDescent="0.3"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3039"/>
      <c r="AP135" s="3039"/>
      <c r="AQ135" s="3039"/>
      <c r="AR135" s="3039"/>
      <c r="AS135" s="3039"/>
      <c r="AT135" s="3039"/>
      <c r="AU135" s="3039"/>
      <c r="AV135" s="3039"/>
      <c r="AW135" s="3039"/>
      <c r="AX135" s="3039"/>
      <c r="AY135" s="3039"/>
      <c r="AZ135" s="3039"/>
      <c r="BA135" s="3039"/>
      <c r="BB135" s="3039"/>
      <c r="BC135" s="3039"/>
      <c r="BD135" s="3039"/>
      <c r="BE135" s="3039"/>
      <c r="BF135" s="3039"/>
      <c r="BG135" s="3039"/>
      <c r="BH135" s="3039"/>
      <c r="BI135" s="3039"/>
      <c r="BJ135" s="3039"/>
      <c r="BK135" s="3039"/>
      <c r="BL135" s="3039"/>
      <c r="BM135" s="3039"/>
      <c r="BN135" s="3039"/>
      <c r="BO135" s="3039"/>
      <c r="BP135" s="3039"/>
      <c r="BQ135" s="3039"/>
      <c r="BR135" s="3039"/>
      <c r="BS135" s="3039"/>
      <c r="BT135" s="3039"/>
      <c r="BU135" s="3039"/>
      <c r="BV135" s="3039"/>
      <c r="BW135" s="3039"/>
      <c r="BX135" s="3039"/>
      <c r="BY135" s="3039"/>
      <c r="BZ135" s="3039"/>
      <c r="CA135" s="3039"/>
      <c r="CB135" s="3039"/>
      <c r="CC135" s="3039"/>
      <c r="CD135" s="3039"/>
      <c r="CE135" s="3039"/>
      <c r="CF135" s="3039"/>
      <c r="CG135" s="3039"/>
      <c r="CH135" s="3039"/>
      <c r="CI135" s="3039"/>
      <c r="CJ135" s="3039"/>
      <c r="CK135" s="3039"/>
      <c r="CL135" s="3039"/>
      <c r="CM135" s="3039"/>
      <c r="CN135" s="3039"/>
      <c r="CO135" s="3039"/>
      <c r="CP135" s="3039"/>
      <c r="CQ135" s="3039"/>
      <c r="CR135" s="3039"/>
      <c r="CS135" s="3039"/>
      <c r="CT135" s="3039"/>
      <c r="CU135" s="3039"/>
      <c r="CV135" s="3039"/>
      <c r="CW135" s="3039"/>
      <c r="CX135" s="3039"/>
      <c r="CY135" s="3039"/>
      <c r="CZ135" s="3039"/>
      <c r="DA135" s="3039"/>
      <c r="DB135" s="3039"/>
      <c r="DC135" s="3039"/>
      <c r="DD135" s="3039"/>
      <c r="DE135" s="3039"/>
      <c r="DF135" s="3039"/>
      <c r="DG135" s="3039"/>
      <c r="DH135" s="3039"/>
      <c r="DI135" s="3039"/>
      <c r="DJ135" s="3039"/>
      <c r="DK135" s="3039"/>
      <c r="DL135" s="3039"/>
      <c r="DM135" s="3039"/>
      <c r="DN135" s="3039"/>
      <c r="DO135" s="3039"/>
      <c r="DP135" s="3039"/>
      <c r="DQ135" s="3039"/>
      <c r="DR135" s="3039"/>
      <c r="DS135" s="3039"/>
      <c r="DT135" s="3039"/>
      <c r="DU135" s="3039"/>
      <c r="DV135" s="3039"/>
      <c r="DW135" s="3039"/>
      <c r="DX135" s="3039"/>
      <c r="DY135" s="3039"/>
      <c r="DZ135" s="3039"/>
      <c r="EA135" s="3039"/>
      <c r="EB135" s="3039"/>
      <c r="EC135" s="3039"/>
      <c r="ED135" s="3039"/>
      <c r="EE135" s="3039"/>
      <c r="EF135" s="3039"/>
      <c r="EG135" s="3039"/>
      <c r="EH135" s="3039"/>
      <c r="EI135" s="3039"/>
      <c r="EJ135" s="3039"/>
      <c r="EK135" s="3039"/>
      <c r="EL135" s="3039"/>
      <c r="EM135" s="3039"/>
      <c r="EN135" s="3039"/>
      <c r="EO135" s="3039"/>
      <c r="EP135" s="3039"/>
      <c r="EQ135" s="3039"/>
      <c r="ER135" s="3039"/>
      <c r="ES135" s="3039"/>
      <c r="ET135" s="3039"/>
      <c r="EU135" s="3039"/>
      <c r="EV135" s="3039"/>
      <c r="EW135" s="3039"/>
      <c r="EX135" s="3039"/>
      <c r="EY135" s="3039"/>
      <c r="EZ135" s="3039"/>
      <c r="FA135" s="3039"/>
      <c r="FB135" s="3039"/>
      <c r="FC135" s="3039"/>
      <c r="FD135" s="3039"/>
      <c r="FE135" s="3039"/>
      <c r="FF135" s="3039"/>
      <c r="FG135" s="3039"/>
      <c r="FH135" s="3039"/>
      <c r="FI135" s="3039"/>
      <c r="FJ135" s="3039"/>
      <c r="FK135" s="3039"/>
      <c r="FL135" s="3039"/>
      <c r="FM135" s="3039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/>
      <c r="GH135" s="155"/>
      <c r="GI135" s="155"/>
      <c r="GJ135" s="155"/>
      <c r="GK135" s="155"/>
    </row>
    <row r="136" spans="2:193" ht="18.75" customHeight="1" x14ac:dyDescent="0.3"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3039"/>
      <c r="AP136" s="3039"/>
      <c r="AQ136" s="3039"/>
      <c r="AR136" s="3039"/>
      <c r="AS136" s="3039"/>
      <c r="AT136" s="3039"/>
      <c r="AU136" s="3039"/>
      <c r="AV136" s="3039"/>
      <c r="AW136" s="3039"/>
      <c r="AX136" s="3039"/>
      <c r="AY136" s="3039"/>
      <c r="AZ136" s="3039"/>
      <c r="BA136" s="3039"/>
      <c r="BB136" s="3039"/>
      <c r="BC136" s="3039"/>
      <c r="BD136" s="3039"/>
      <c r="BE136" s="3039"/>
      <c r="BF136" s="3039"/>
      <c r="BG136" s="3039"/>
      <c r="BH136" s="3039"/>
      <c r="BI136" s="3039"/>
      <c r="BJ136" s="3039"/>
      <c r="BK136" s="3039"/>
      <c r="BL136" s="3039"/>
      <c r="BM136" s="3039"/>
      <c r="BN136" s="3039"/>
      <c r="BO136" s="3039"/>
      <c r="BP136" s="3039"/>
      <c r="BQ136" s="3039"/>
      <c r="BR136" s="3039"/>
      <c r="BS136" s="3039"/>
      <c r="BT136" s="3039"/>
      <c r="BU136" s="3039"/>
      <c r="BV136" s="3039"/>
      <c r="BW136" s="3039"/>
      <c r="BX136" s="3039"/>
      <c r="BY136" s="3039"/>
      <c r="BZ136" s="3039"/>
      <c r="CA136" s="3039"/>
      <c r="CB136" s="3039"/>
      <c r="CC136" s="3039"/>
      <c r="CD136" s="3039"/>
      <c r="CE136" s="3039"/>
      <c r="CF136" s="3039"/>
      <c r="CG136" s="3039"/>
      <c r="CH136" s="3039"/>
      <c r="CI136" s="3039"/>
      <c r="CJ136" s="3039"/>
      <c r="CK136" s="3039"/>
      <c r="CL136" s="3039"/>
      <c r="CM136" s="3039"/>
      <c r="CN136" s="3039"/>
      <c r="CO136" s="3039"/>
      <c r="CP136" s="3039"/>
      <c r="CQ136" s="3039"/>
      <c r="CR136" s="3039"/>
      <c r="CS136" s="3039"/>
      <c r="CT136" s="3039"/>
      <c r="CU136" s="3039"/>
      <c r="CV136" s="3039"/>
      <c r="CW136" s="3039"/>
      <c r="CX136" s="3039"/>
      <c r="CY136" s="3039"/>
      <c r="CZ136" s="3039"/>
      <c r="DA136" s="3039"/>
      <c r="DB136" s="3039"/>
      <c r="DC136" s="3039"/>
      <c r="DD136" s="3039"/>
      <c r="DE136" s="3039"/>
      <c r="DF136" s="3039"/>
      <c r="DG136" s="3039"/>
      <c r="DH136" s="3039"/>
      <c r="DI136" s="3039"/>
      <c r="DJ136" s="3039"/>
      <c r="DK136" s="3039"/>
      <c r="DL136" s="3039"/>
      <c r="DM136" s="3039"/>
      <c r="DN136" s="3039"/>
      <c r="DO136" s="3039"/>
      <c r="DP136" s="3039"/>
      <c r="DQ136" s="3039"/>
      <c r="DR136" s="3039"/>
      <c r="DS136" s="3039"/>
      <c r="DT136" s="3039"/>
      <c r="DU136" s="3039"/>
      <c r="DV136" s="3039"/>
      <c r="DW136" s="3039"/>
      <c r="DX136" s="3039"/>
      <c r="DY136" s="3039"/>
      <c r="DZ136" s="3039"/>
      <c r="EA136" s="3039"/>
      <c r="EB136" s="3039"/>
      <c r="EC136" s="3039"/>
      <c r="ED136" s="3039"/>
      <c r="EE136" s="3039"/>
      <c r="EF136" s="3039"/>
      <c r="EG136" s="3039"/>
      <c r="EH136" s="3039"/>
      <c r="EI136" s="3039"/>
      <c r="EJ136" s="3039"/>
      <c r="EK136" s="3039"/>
      <c r="EL136" s="3039"/>
      <c r="EM136" s="3039"/>
      <c r="EN136" s="3039"/>
      <c r="EO136" s="3039"/>
      <c r="EP136" s="3039"/>
      <c r="EQ136" s="3039"/>
      <c r="ER136" s="3039"/>
      <c r="ES136" s="3039"/>
      <c r="ET136" s="3039"/>
      <c r="EU136" s="3039"/>
      <c r="EV136" s="3039"/>
      <c r="EW136" s="3039"/>
      <c r="EX136" s="3039"/>
      <c r="EY136" s="3039"/>
      <c r="EZ136" s="3039"/>
      <c r="FA136" s="3039"/>
      <c r="FB136" s="3039"/>
      <c r="FC136" s="3039"/>
      <c r="FD136" s="3039"/>
      <c r="FE136" s="3039"/>
      <c r="FF136" s="3039"/>
      <c r="FG136" s="3039"/>
      <c r="FH136" s="3039"/>
      <c r="FI136" s="3039"/>
      <c r="FJ136" s="3039"/>
      <c r="FK136" s="3039"/>
      <c r="FL136" s="3039"/>
      <c r="FM136" s="3039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</row>
    <row r="137" spans="2:193" ht="18.75" customHeight="1" x14ac:dyDescent="0.3"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3039"/>
      <c r="AP137" s="3039"/>
      <c r="AQ137" s="3039"/>
      <c r="AR137" s="3039"/>
      <c r="AS137" s="3039"/>
      <c r="AT137" s="3039"/>
      <c r="AU137" s="3039"/>
      <c r="AV137" s="3039"/>
      <c r="AW137" s="3039"/>
      <c r="AX137" s="3039"/>
      <c r="AY137" s="3039"/>
      <c r="AZ137" s="3039"/>
      <c r="BA137" s="3039"/>
      <c r="BB137" s="3039"/>
      <c r="BC137" s="3039"/>
      <c r="BD137" s="3039"/>
      <c r="BE137" s="3039"/>
      <c r="BF137" s="3039"/>
      <c r="BG137" s="3039"/>
      <c r="BH137" s="3039"/>
      <c r="BI137" s="3039"/>
      <c r="BJ137" s="3039"/>
      <c r="BK137" s="3039"/>
      <c r="BL137" s="3039"/>
      <c r="BM137" s="3039"/>
      <c r="BN137" s="3039"/>
      <c r="BO137" s="3039"/>
      <c r="BP137" s="3039"/>
      <c r="BQ137" s="3039"/>
      <c r="BR137" s="3039"/>
      <c r="BS137" s="3039"/>
      <c r="BT137" s="3039"/>
      <c r="BU137" s="3039"/>
      <c r="BV137" s="3039"/>
      <c r="BW137" s="3039"/>
      <c r="BX137" s="3039"/>
      <c r="BY137" s="3039"/>
      <c r="BZ137" s="3039"/>
      <c r="CA137" s="3039"/>
      <c r="CB137" s="3039"/>
      <c r="CC137" s="3039"/>
      <c r="CD137" s="3039"/>
      <c r="CE137" s="3039"/>
      <c r="CF137" s="3039"/>
      <c r="CG137" s="3039"/>
      <c r="CH137" s="3039"/>
      <c r="CI137" s="3039"/>
      <c r="CJ137" s="3039"/>
      <c r="CK137" s="3039"/>
      <c r="CL137" s="3039"/>
      <c r="CM137" s="3039"/>
      <c r="CN137" s="3039"/>
      <c r="CO137" s="3039"/>
      <c r="CP137" s="3039"/>
      <c r="CQ137" s="3039"/>
      <c r="CR137" s="3039"/>
      <c r="CS137" s="3039"/>
      <c r="CT137" s="3039"/>
      <c r="CU137" s="3039"/>
      <c r="CV137" s="3039"/>
      <c r="CW137" s="3039"/>
      <c r="CX137" s="3039"/>
      <c r="CY137" s="3039"/>
      <c r="CZ137" s="3039"/>
      <c r="DA137" s="3039"/>
      <c r="DB137" s="3039"/>
      <c r="DC137" s="3039"/>
      <c r="DD137" s="3039"/>
      <c r="DE137" s="3039"/>
      <c r="DF137" s="3039"/>
      <c r="DG137" s="3039"/>
      <c r="DH137" s="3039"/>
      <c r="DI137" s="3039"/>
      <c r="DJ137" s="3039"/>
      <c r="DK137" s="3039"/>
      <c r="DL137" s="3039"/>
      <c r="DM137" s="3039"/>
      <c r="DN137" s="3039"/>
      <c r="DO137" s="3039"/>
      <c r="DP137" s="3039"/>
      <c r="DQ137" s="3039"/>
      <c r="DR137" s="3039"/>
      <c r="DS137" s="3039"/>
      <c r="DT137" s="3039"/>
      <c r="DU137" s="3039"/>
      <c r="DV137" s="3039"/>
      <c r="DW137" s="3039"/>
      <c r="DX137" s="3039"/>
      <c r="DY137" s="3039"/>
      <c r="DZ137" s="3039"/>
      <c r="EA137" s="3039"/>
      <c r="EB137" s="3039"/>
      <c r="EC137" s="3039"/>
      <c r="ED137" s="3039"/>
      <c r="EE137" s="3039"/>
      <c r="EF137" s="3039"/>
      <c r="EG137" s="3039"/>
      <c r="EH137" s="3039"/>
      <c r="EI137" s="3039"/>
      <c r="EJ137" s="3039"/>
      <c r="EK137" s="3039"/>
      <c r="EL137" s="3039"/>
      <c r="EM137" s="3039"/>
      <c r="EN137" s="3039"/>
      <c r="EO137" s="3039"/>
      <c r="EP137" s="3039"/>
      <c r="EQ137" s="3039"/>
      <c r="ER137" s="3039"/>
      <c r="ES137" s="3039"/>
      <c r="ET137" s="3039"/>
      <c r="EU137" s="3039"/>
      <c r="EV137" s="3039"/>
      <c r="EW137" s="3039"/>
      <c r="EX137" s="3039"/>
      <c r="EY137" s="3039"/>
      <c r="EZ137" s="3039"/>
      <c r="FA137" s="3039"/>
      <c r="FB137" s="3039"/>
      <c r="FC137" s="3039"/>
      <c r="FD137" s="3039"/>
      <c r="FE137" s="3039"/>
      <c r="FF137" s="3039"/>
      <c r="FG137" s="3039"/>
      <c r="FH137" s="3039"/>
      <c r="FI137" s="3039"/>
      <c r="FJ137" s="3039"/>
      <c r="FK137" s="3039"/>
      <c r="FL137" s="3039"/>
      <c r="FM137" s="3039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</row>
    <row r="138" spans="2:193" ht="18.75" customHeight="1" x14ac:dyDescent="0.3"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3039"/>
      <c r="AP138" s="3039"/>
      <c r="AQ138" s="3039"/>
      <c r="AR138" s="3039"/>
      <c r="AS138" s="3039"/>
      <c r="AT138" s="3039"/>
      <c r="AU138" s="3039"/>
      <c r="AV138" s="3039"/>
      <c r="AW138" s="3039"/>
      <c r="AX138" s="3039"/>
      <c r="AY138" s="3039"/>
      <c r="AZ138" s="3039"/>
      <c r="BA138" s="3039"/>
      <c r="BB138" s="3039"/>
      <c r="BC138" s="3039"/>
      <c r="BD138" s="3039"/>
      <c r="BE138" s="3039"/>
      <c r="BF138" s="3039"/>
      <c r="BG138" s="3039"/>
      <c r="BH138" s="3039"/>
      <c r="BI138" s="3039"/>
      <c r="BJ138" s="3039"/>
      <c r="BK138" s="3039"/>
      <c r="BL138" s="3039"/>
      <c r="BM138" s="3039"/>
      <c r="BN138" s="3039"/>
      <c r="BO138" s="3039"/>
      <c r="BP138" s="3039"/>
      <c r="BQ138" s="3039"/>
      <c r="BR138" s="3039"/>
      <c r="BS138" s="3039"/>
      <c r="BT138" s="3039"/>
      <c r="BU138" s="3039"/>
      <c r="BV138" s="3039"/>
      <c r="BW138" s="3039"/>
      <c r="BX138" s="3039"/>
      <c r="BY138" s="3039"/>
      <c r="BZ138" s="3039"/>
      <c r="CA138" s="3039"/>
      <c r="CB138" s="3039"/>
      <c r="CC138" s="3039"/>
      <c r="CD138" s="3039"/>
      <c r="CE138" s="3039"/>
      <c r="CF138" s="3039"/>
      <c r="CG138" s="3039"/>
      <c r="CH138" s="3039"/>
      <c r="CI138" s="3039"/>
      <c r="CJ138" s="3039"/>
      <c r="CK138" s="3039"/>
      <c r="CL138" s="3039"/>
      <c r="CM138" s="3039"/>
      <c r="CN138" s="3039"/>
      <c r="CO138" s="3039"/>
      <c r="CP138" s="3039"/>
      <c r="CQ138" s="3039"/>
      <c r="CR138" s="3039"/>
      <c r="CS138" s="3039"/>
      <c r="CT138" s="3039"/>
      <c r="CU138" s="3039"/>
      <c r="CV138" s="3039"/>
      <c r="CW138" s="3039"/>
      <c r="CX138" s="3039"/>
      <c r="CY138" s="3039"/>
      <c r="CZ138" s="3039"/>
      <c r="DA138" s="3039"/>
      <c r="DB138" s="3039"/>
      <c r="DC138" s="3039"/>
      <c r="DD138" s="3039"/>
      <c r="DE138" s="3039"/>
      <c r="DF138" s="3039"/>
      <c r="DG138" s="3039"/>
      <c r="DH138" s="3039"/>
      <c r="DI138" s="3039"/>
      <c r="DJ138" s="3039"/>
      <c r="DK138" s="3039"/>
      <c r="DL138" s="3039"/>
      <c r="DM138" s="3039"/>
      <c r="DN138" s="3039"/>
      <c r="DO138" s="3039"/>
      <c r="DP138" s="3039"/>
      <c r="DQ138" s="3039"/>
      <c r="DR138" s="3039"/>
      <c r="DS138" s="3039"/>
      <c r="DT138" s="3039"/>
      <c r="DU138" s="3039"/>
      <c r="DV138" s="3039"/>
      <c r="DW138" s="3039"/>
      <c r="DX138" s="3039"/>
      <c r="DY138" s="3039"/>
      <c r="DZ138" s="3039"/>
      <c r="EA138" s="3039"/>
      <c r="EB138" s="3039"/>
      <c r="EC138" s="3039"/>
      <c r="ED138" s="3039"/>
      <c r="EE138" s="3039"/>
      <c r="EF138" s="3039"/>
      <c r="EG138" s="3039"/>
      <c r="EH138" s="3039"/>
      <c r="EI138" s="3039"/>
      <c r="EJ138" s="3039"/>
      <c r="EK138" s="3039"/>
      <c r="EL138" s="3039"/>
      <c r="EM138" s="3039"/>
      <c r="EN138" s="3039"/>
      <c r="EO138" s="3039"/>
      <c r="EP138" s="3039"/>
      <c r="EQ138" s="3039"/>
      <c r="ER138" s="3039"/>
      <c r="ES138" s="3039"/>
      <c r="ET138" s="3039"/>
      <c r="EU138" s="3039"/>
      <c r="EV138" s="3039"/>
      <c r="EW138" s="3039"/>
      <c r="EX138" s="3039"/>
      <c r="EY138" s="3039"/>
      <c r="EZ138" s="3039"/>
      <c r="FA138" s="3039"/>
      <c r="FB138" s="3039"/>
      <c r="FC138" s="3039"/>
      <c r="FD138" s="3039"/>
      <c r="FE138" s="3039"/>
      <c r="FF138" s="3039"/>
      <c r="FG138" s="3039"/>
      <c r="FH138" s="3039"/>
      <c r="FI138" s="3039"/>
      <c r="FJ138" s="3039"/>
      <c r="FK138" s="3039"/>
      <c r="FL138" s="3039"/>
      <c r="FM138" s="3039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</row>
    <row r="139" spans="2:193" ht="18.75" customHeight="1" x14ac:dyDescent="0.3"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3039"/>
      <c r="AP139" s="3039"/>
      <c r="AQ139" s="3039"/>
      <c r="AR139" s="3039"/>
      <c r="AS139" s="3039"/>
      <c r="AT139" s="3039"/>
      <c r="AU139" s="3039"/>
      <c r="AV139" s="3039"/>
      <c r="AW139" s="3039"/>
      <c r="AX139" s="3039"/>
      <c r="AY139" s="3039"/>
      <c r="AZ139" s="3039"/>
      <c r="BA139" s="3039"/>
      <c r="BB139" s="3039"/>
      <c r="BC139" s="3039"/>
      <c r="BD139" s="3039"/>
      <c r="BE139" s="3039"/>
      <c r="BF139" s="3039"/>
      <c r="BG139" s="3039"/>
      <c r="BH139" s="3039"/>
      <c r="BI139" s="3039"/>
      <c r="BJ139" s="3039"/>
      <c r="BK139" s="3039"/>
      <c r="BL139" s="3039"/>
      <c r="BM139" s="3039"/>
      <c r="BN139" s="3039"/>
      <c r="BO139" s="3039"/>
      <c r="BP139" s="3039"/>
      <c r="BQ139" s="3039"/>
      <c r="BR139" s="3039"/>
      <c r="BS139" s="3039"/>
      <c r="BT139" s="3039"/>
      <c r="BU139" s="3039"/>
      <c r="BV139" s="3039"/>
      <c r="BW139" s="3039"/>
      <c r="BX139" s="3039"/>
      <c r="BY139" s="3039"/>
      <c r="BZ139" s="3039"/>
      <c r="CA139" s="3039"/>
      <c r="CB139" s="3039"/>
      <c r="CC139" s="3039"/>
      <c r="CD139" s="3039"/>
      <c r="CE139" s="3039"/>
      <c r="CF139" s="3039"/>
      <c r="CG139" s="3039"/>
      <c r="CH139" s="3039"/>
      <c r="CI139" s="3039"/>
      <c r="CJ139" s="3039"/>
      <c r="CK139" s="3039"/>
      <c r="CL139" s="3039"/>
      <c r="CM139" s="3039"/>
      <c r="CN139" s="3039"/>
      <c r="CO139" s="3039"/>
      <c r="CP139" s="3039"/>
      <c r="CQ139" s="3039"/>
      <c r="CR139" s="3039"/>
      <c r="CS139" s="3039"/>
      <c r="CT139" s="3039"/>
      <c r="CU139" s="3039"/>
      <c r="CV139" s="3039"/>
      <c r="CW139" s="3039"/>
      <c r="CX139" s="3039"/>
      <c r="CY139" s="3039"/>
      <c r="CZ139" s="3039"/>
      <c r="DA139" s="3039"/>
      <c r="DB139" s="3039"/>
      <c r="DC139" s="3039"/>
      <c r="DD139" s="3039"/>
      <c r="DE139" s="3039"/>
      <c r="DF139" s="3039"/>
      <c r="DG139" s="3039"/>
      <c r="DH139" s="3039"/>
      <c r="DI139" s="3039"/>
      <c r="DJ139" s="3039"/>
      <c r="DK139" s="3039"/>
      <c r="DL139" s="3039"/>
      <c r="DM139" s="3039"/>
      <c r="DN139" s="3039"/>
      <c r="DO139" s="3039"/>
      <c r="DP139" s="3039"/>
      <c r="DQ139" s="3039"/>
      <c r="DR139" s="3039"/>
      <c r="DS139" s="3039"/>
      <c r="DT139" s="3039"/>
      <c r="DU139" s="3039"/>
      <c r="DV139" s="3039"/>
      <c r="DW139" s="3039"/>
      <c r="DX139" s="3039"/>
      <c r="DY139" s="3039"/>
      <c r="DZ139" s="3039"/>
      <c r="EA139" s="3039"/>
      <c r="EB139" s="3039"/>
      <c r="EC139" s="3039"/>
      <c r="ED139" s="3039"/>
      <c r="EE139" s="3039"/>
      <c r="EF139" s="3039"/>
      <c r="EG139" s="3039"/>
      <c r="EH139" s="3039"/>
      <c r="EI139" s="3039"/>
      <c r="EJ139" s="3039"/>
      <c r="EK139" s="3039"/>
      <c r="EL139" s="3039"/>
      <c r="EM139" s="3039"/>
      <c r="EN139" s="3039"/>
      <c r="EO139" s="3039"/>
      <c r="EP139" s="3039"/>
      <c r="EQ139" s="3039"/>
      <c r="ER139" s="3039"/>
      <c r="ES139" s="3039"/>
      <c r="ET139" s="3039"/>
      <c r="EU139" s="3039"/>
      <c r="EV139" s="3039"/>
      <c r="EW139" s="3039"/>
      <c r="EX139" s="3039"/>
      <c r="EY139" s="3039"/>
      <c r="EZ139" s="3039"/>
      <c r="FA139" s="3039"/>
      <c r="FB139" s="3039"/>
      <c r="FC139" s="3039"/>
      <c r="FD139" s="3039"/>
      <c r="FE139" s="3039"/>
      <c r="FF139" s="3039"/>
      <c r="FG139" s="3039"/>
      <c r="FH139" s="3039"/>
      <c r="FI139" s="3039"/>
      <c r="FJ139" s="3039"/>
      <c r="FK139" s="3039"/>
      <c r="FL139" s="3039"/>
      <c r="FM139" s="3039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</row>
    <row r="140" spans="2:193" ht="18.75" customHeight="1" x14ac:dyDescent="0.3"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3039"/>
      <c r="AP140" s="3039"/>
      <c r="AQ140" s="3039"/>
      <c r="AR140" s="3039"/>
      <c r="AS140" s="3039"/>
      <c r="AT140" s="3039"/>
      <c r="AU140" s="3039"/>
      <c r="AV140" s="3039"/>
      <c r="AW140" s="3039"/>
      <c r="AX140" s="3039"/>
      <c r="AY140" s="3039"/>
      <c r="AZ140" s="3039"/>
      <c r="BA140" s="3039"/>
      <c r="BB140" s="3039"/>
      <c r="BC140" s="3039"/>
      <c r="BD140" s="3039"/>
      <c r="BE140" s="3039"/>
      <c r="BF140" s="3039"/>
      <c r="BG140" s="3039"/>
      <c r="BH140" s="3039"/>
      <c r="BI140" s="3039"/>
      <c r="BJ140" s="3039"/>
      <c r="BK140" s="3039"/>
      <c r="BL140" s="3039"/>
      <c r="BM140" s="3039"/>
      <c r="BN140" s="3039"/>
      <c r="BO140" s="3039"/>
      <c r="BP140" s="3039"/>
      <c r="BQ140" s="3039"/>
      <c r="BR140" s="3039"/>
      <c r="BS140" s="3039"/>
      <c r="BT140" s="3039"/>
      <c r="BU140" s="3039"/>
      <c r="BV140" s="3039"/>
      <c r="BW140" s="3039"/>
      <c r="BX140" s="3039"/>
      <c r="BY140" s="3039"/>
      <c r="BZ140" s="3039"/>
      <c r="CA140" s="3039"/>
      <c r="CB140" s="3039"/>
      <c r="CC140" s="3039"/>
      <c r="CD140" s="3039"/>
      <c r="CE140" s="3039"/>
      <c r="CF140" s="3039"/>
      <c r="CG140" s="3039"/>
      <c r="CH140" s="3039"/>
      <c r="CI140" s="3039"/>
      <c r="CJ140" s="3039"/>
      <c r="CK140" s="3039"/>
      <c r="CL140" s="3039"/>
      <c r="CM140" s="3039"/>
      <c r="CN140" s="3039"/>
      <c r="CO140" s="3039"/>
      <c r="CP140" s="3039"/>
      <c r="CQ140" s="3039"/>
      <c r="CR140" s="3039"/>
      <c r="CS140" s="3039"/>
      <c r="CT140" s="3039"/>
      <c r="CU140" s="3039"/>
      <c r="CV140" s="3039"/>
      <c r="CW140" s="3039"/>
      <c r="CX140" s="3039"/>
      <c r="CY140" s="3039"/>
      <c r="CZ140" s="3039"/>
      <c r="DA140" s="3039"/>
      <c r="DB140" s="3039"/>
      <c r="DC140" s="3039"/>
      <c r="DD140" s="3039"/>
      <c r="DE140" s="3039"/>
      <c r="DF140" s="3039"/>
      <c r="DG140" s="3039"/>
      <c r="DH140" s="3039"/>
      <c r="DI140" s="3039"/>
      <c r="DJ140" s="3039"/>
      <c r="DK140" s="3039"/>
      <c r="DL140" s="3039"/>
      <c r="DM140" s="3039"/>
      <c r="DN140" s="3039"/>
      <c r="DO140" s="3039"/>
      <c r="DP140" s="3039"/>
      <c r="DQ140" s="3039"/>
      <c r="DR140" s="3039"/>
      <c r="DS140" s="3039"/>
      <c r="DT140" s="3039"/>
      <c r="DU140" s="3039"/>
      <c r="DV140" s="3039"/>
      <c r="DW140" s="3039"/>
      <c r="DX140" s="3039"/>
      <c r="DY140" s="3039"/>
      <c r="DZ140" s="3039"/>
      <c r="EA140" s="3039"/>
      <c r="EB140" s="3039"/>
      <c r="EC140" s="3039"/>
      <c r="ED140" s="3039"/>
      <c r="EE140" s="3039"/>
      <c r="EF140" s="3039"/>
      <c r="EG140" s="3039"/>
      <c r="EH140" s="3039"/>
      <c r="EI140" s="3039"/>
      <c r="EJ140" s="3039"/>
      <c r="EK140" s="3039"/>
      <c r="EL140" s="3039"/>
      <c r="EM140" s="3039"/>
      <c r="EN140" s="3039"/>
      <c r="EO140" s="3039"/>
      <c r="EP140" s="3039"/>
      <c r="EQ140" s="3039"/>
      <c r="ER140" s="3039"/>
      <c r="ES140" s="3039"/>
      <c r="ET140" s="3039"/>
      <c r="EU140" s="3039"/>
      <c r="EV140" s="3039"/>
      <c r="EW140" s="3039"/>
      <c r="EX140" s="3039"/>
      <c r="EY140" s="3039"/>
      <c r="EZ140" s="3039"/>
      <c r="FA140" s="3039"/>
      <c r="FB140" s="3039"/>
      <c r="FC140" s="3039"/>
      <c r="FD140" s="3039"/>
      <c r="FE140" s="3039"/>
      <c r="FF140" s="3039"/>
      <c r="FG140" s="3039"/>
      <c r="FH140" s="3039"/>
      <c r="FI140" s="3039"/>
      <c r="FJ140" s="3039"/>
      <c r="FK140" s="3039"/>
      <c r="FL140" s="3039"/>
      <c r="FM140" s="3039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</row>
    <row r="141" spans="2:193" ht="18.75" customHeight="1" x14ac:dyDescent="0.3"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3039"/>
      <c r="AP141" s="3039"/>
      <c r="AQ141" s="3039"/>
      <c r="AR141" s="3039"/>
      <c r="AS141" s="3039"/>
      <c r="AT141" s="3039"/>
      <c r="AU141" s="3039"/>
      <c r="AV141" s="3039"/>
      <c r="AW141" s="3039"/>
      <c r="AX141" s="3039"/>
      <c r="AY141" s="3039"/>
      <c r="AZ141" s="3039"/>
      <c r="BA141" s="3039"/>
      <c r="BB141" s="3039"/>
      <c r="BC141" s="3039"/>
      <c r="BD141" s="3039"/>
      <c r="BE141" s="3039"/>
      <c r="BF141" s="3039"/>
      <c r="BG141" s="3039"/>
      <c r="BH141" s="3039"/>
      <c r="BI141" s="3039"/>
      <c r="BJ141" s="3039"/>
      <c r="BK141" s="3039"/>
      <c r="BL141" s="3039"/>
      <c r="BM141" s="3039"/>
      <c r="BN141" s="3039"/>
      <c r="BO141" s="3039"/>
      <c r="BP141" s="3039"/>
      <c r="BQ141" s="3039"/>
      <c r="BR141" s="3039"/>
      <c r="BS141" s="3039"/>
      <c r="BT141" s="3039"/>
      <c r="BU141" s="3039"/>
      <c r="BV141" s="3039"/>
      <c r="BW141" s="3039"/>
      <c r="BX141" s="3039"/>
      <c r="BY141" s="3039"/>
      <c r="BZ141" s="3039"/>
      <c r="CA141" s="3039"/>
      <c r="CB141" s="3039"/>
      <c r="CC141" s="3039"/>
      <c r="CD141" s="3039"/>
      <c r="CE141" s="3039"/>
      <c r="CF141" s="3039"/>
      <c r="CG141" s="3039"/>
      <c r="CH141" s="3039"/>
      <c r="CI141" s="3039"/>
      <c r="CJ141" s="3039"/>
      <c r="CK141" s="3039"/>
      <c r="CL141" s="3039"/>
      <c r="CM141" s="3039"/>
      <c r="CN141" s="3039"/>
      <c r="CO141" s="3039"/>
      <c r="CP141" s="3039"/>
      <c r="CQ141" s="3039"/>
      <c r="CR141" s="3039"/>
      <c r="CS141" s="3039"/>
      <c r="CT141" s="3039"/>
      <c r="CU141" s="3039"/>
      <c r="CV141" s="3039"/>
      <c r="CW141" s="3039"/>
      <c r="CX141" s="3039"/>
      <c r="CY141" s="3039"/>
      <c r="CZ141" s="3039"/>
      <c r="DA141" s="3039"/>
      <c r="DB141" s="3039"/>
      <c r="DC141" s="3039"/>
      <c r="DD141" s="3039"/>
      <c r="DE141" s="3039"/>
      <c r="DF141" s="3039"/>
      <c r="DG141" s="3039"/>
      <c r="DH141" s="3039"/>
      <c r="DI141" s="3039"/>
      <c r="DJ141" s="3039"/>
      <c r="DK141" s="3039"/>
      <c r="DL141" s="3039"/>
      <c r="DM141" s="3039"/>
      <c r="DN141" s="3039"/>
      <c r="DO141" s="3039"/>
      <c r="DP141" s="3039"/>
      <c r="DQ141" s="3039"/>
      <c r="DR141" s="3039"/>
      <c r="DS141" s="3039"/>
      <c r="DT141" s="3039"/>
      <c r="DU141" s="3039"/>
      <c r="DV141" s="3039"/>
      <c r="DW141" s="3039"/>
      <c r="DX141" s="3039"/>
      <c r="DY141" s="3039"/>
      <c r="DZ141" s="3039"/>
      <c r="EA141" s="3039"/>
      <c r="EB141" s="3039"/>
      <c r="EC141" s="3039"/>
      <c r="ED141" s="3039"/>
      <c r="EE141" s="3039"/>
      <c r="EF141" s="3039"/>
      <c r="EG141" s="3039"/>
      <c r="EH141" s="3039"/>
      <c r="EI141" s="3039"/>
      <c r="EJ141" s="3039"/>
      <c r="EK141" s="3039"/>
      <c r="EL141" s="3039"/>
      <c r="EM141" s="3039"/>
      <c r="EN141" s="3039"/>
      <c r="EO141" s="3039"/>
      <c r="EP141" s="3039"/>
      <c r="EQ141" s="3039"/>
      <c r="ER141" s="3039"/>
      <c r="ES141" s="3039"/>
      <c r="ET141" s="3039"/>
      <c r="EU141" s="3039"/>
      <c r="EV141" s="3039"/>
      <c r="EW141" s="3039"/>
      <c r="EX141" s="3039"/>
      <c r="EY141" s="3039"/>
      <c r="EZ141" s="3039"/>
      <c r="FA141" s="3039"/>
      <c r="FB141" s="3039"/>
      <c r="FC141" s="3039"/>
      <c r="FD141" s="3039"/>
      <c r="FE141" s="3039"/>
      <c r="FF141" s="3039"/>
      <c r="FG141" s="3039"/>
      <c r="FH141" s="3039"/>
      <c r="FI141" s="3039"/>
      <c r="FJ141" s="3039"/>
      <c r="FK141" s="3039"/>
      <c r="FL141" s="3039"/>
      <c r="FM141" s="3039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</row>
    <row r="142" spans="2:193" ht="18.75" customHeight="1" x14ac:dyDescent="0.3"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3039"/>
      <c r="AP142" s="3039"/>
      <c r="AQ142" s="3039"/>
      <c r="AR142" s="3039"/>
      <c r="AS142" s="3039"/>
      <c r="AT142" s="3039"/>
      <c r="AU142" s="3039"/>
      <c r="AV142" s="3039"/>
      <c r="AW142" s="3039"/>
      <c r="AX142" s="3039"/>
      <c r="AY142" s="3039"/>
      <c r="AZ142" s="3039"/>
      <c r="BA142" s="3039"/>
      <c r="BB142" s="3039"/>
      <c r="BC142" s="3039"/>
      <c r="BD142" s="3039"/>
      <c r="BE142" s="3039"/>
      <c r="BF142" s="3039"/>
      <c r="BG142" s="3039"/>
      <c r="BH142" s="3039"/>
      <c r="BI142" s="3039"/>
      <c r="BJ142" s="3039"/>
      <c r="BK142" s="3039"/>
      <c r="BL142" s="3039"/>
      <c r="BM142" s="3039"/>
      <c r="BN142" s="3039"/>
      <c r="BO142" s="3039"/>
      <c r="BP142" s="3039"/>
      <c r="BQ142" s="3039"/>
      <c r="BR142" s="3039"/>
      <c r="BS142" s="3039"/>
      <c r="BT142" s="3039"/>
      <c r="BU142" s="3039"/>
      <c r="BV142" s="3039"/>
      <c r="BW142" s="3039"/>
      <c r="BX142" s="3039"/>
      <c r="BY142" s="3039"/>
      <c r="BZ142" s="3039"/>
      <c r="CA142" s="3039"/>
      <c r="CB142" s="3039"/>
      <c r="CC142" s="3039"/>
      <c r="CD142" s="3039"/>
      <c r="CE142" s="3039"/>
      <c r="CF142" s="3039"/>
      <c r="CG142" s="3039"/>
      <c r="CH142" s="3039"/>
      <c r="CI142" s="3039"/>
      <c r="CJ142" s="3039"/>
      <c r="CK142" s="3039"/>
      <c r="CL142" s="3039"/>
      <c r="CM142" s="3039"/>
      <c r="CN142" s="3039"/>
      <c r="CO142" s="3039"/>
      <c r="CP142" s="3039"/>
      <c r="CQ142" s="3039"/>
      <c r="CR142" s="3039"/>
      <c r="CS142" s="3039"/>
      <c r="CT142" s="3039"/>
      <c r="CU142" s="3039"/>
      <c r="CV142" s="3039"/>
      <c r="CW142" s="3039"/>
      <c r="CX142" s="3039"/>
      <c r="CY142" s="3039"/>
      <c r="CZ142" s="3039"/>
      <c r="DA142" s="3039"/>
      <c r="DB142" s="3039"/>
      <c r="DC142" s="3039"/>
      <c r="DD142" s="3039"/>
      <c r="DE142" s="3039"/>
      <c r="DF142" s="3039"/>
      <c r="DG142" s="3039"/>
      <c r="DH142" s="3039"/>
      <c r="DI142" s="3039"/>
      <c r="DJ142" s="3039"/>
      <c r="DK142" s="3039"/>
      <c r="DL142" s="3039"/>
      <c r="DM142" s="3039"/>
      <c r="DN142" s="3039"/>
      <c r="DO142" s="3039"/>
      <c r="DP142" s="3039"/>
      <c r="DQ142" s="3039"/>
      <c r="DR142" s="3039"/>
      <c r="DS142" s="3039"/>
      <c r="DT142" s="3039"/>
      <c r="DU142" s="3039"/>
      <c r="DV142" s="3039"/>
      <c r="DW142" s="3039"/>
      <c r="DX142" s="3039"/>
      <c r="DY142" s="3039"/>
      <c r="DZ142" s="3039"/>
      <c r="EA142" s="3039"/>
      <c r="EB142" s="3039"/>
      <c r="EC142" s="3039"/>
      <c r="ED142" s="3039"/>
      <c r="EE142" s="3039"/>
      <c r="EF142" s="3039"/>
      <c r="EG142" s="3039"/>
      <c r="EH142" s="3039"/>
      <c r="EI142" s="3039"/>
      <c r="EJ142" s="3039"/>
      <c r="EK142" s="3039"/>
      <c r="EL142" s="3039"/>
      <c r="EM142" s="3039"/>
      <c r="EN142" s="3039"/>
      <c r="EO142" s="3039"/>
      <c r="EP142" s="3039"/>
      <c r="EQ142" s="3039"/>
      <c r="ER142" s="3039"/>
      <c r="ES142" s="3039"/>
      <c r="ET142" s="3039"/>
      <c r="EU142" s="3039"/>
      <c r="EV142" s="3039"/>
      <c r="EW142" s="3039"/>
      <c r="EX142" s="3039"/>
      <c r="EY142" s="3039"/>
      <c r="EZ142" s="3039"/>
      <c r="FA142" s="3039"/>
      <c r="FB142" s="3039"/>
      <c r="FC142" s="3039"/>
      <c r="FD142" s="3039"/>
      <c r="FE142" s="3039"/>
      <c r="FF142" s="3039"/>
      <c r="FG142" s="3039"/>
      <c r="FH142" s="3039"/>
      <c r="FI142" s="3039"/>
      <c r="FJ142" s="3039"/>
      <c r="FK142" s="3039"/>
      <c r="FL142" s="3039"/>
      <c r="FM142" s="3039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</row>
    <row r="143" spans="2:193" ht="18.75" customHeight="1" x14ac:dyDescent="0.3"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3039"/>
      <c r="AP143" s="3039"/>
      <c r="AQ143" s="3039"/>
      <c r="AR143" s="3039"/>
      <c r="AS143" s="3039"/>
      <c r="AT143" s="3039"/>
      <c r="AU143" s="3039"/>
      <c r="AV143" s="3039"/>
      <c r="AW143" s="3039"/>
      <c r="AX143" s="3039"/>
      <c r="AY143" s="3039"/>
      <c r="AZ143" s="3039"/>
      <c r="BA143" s="3039"/>
      <c r="BB143" s="3039"/>
      <c r="BC143" s="3039"/>
      <c r="BD143" s="3039"/>
      <c r="BE143" s="3039"/>
      <c r="BF143" s="3039"/>
      <c r="BG143" s="3039"/>
      <c r="BH143" s="3039"/>
      <c r="BI143" s="3039"/>
      <c r="BJ143" s="3039"/>
      <c r="BK143" s="3039"/>
      <c r="BL143" s="3039"/>
      <c r="BM143" s="3039"/>
      <c r="BN143" s="3039"/>
      <c r="BO143" s="3039"/>
      <c r="BP143" s="3039"/>
      <c r="BQ143" s="3039"/>
      <c r="BR143" s="3039"/>
      <c r="BS143" s="3039"/>
      <c r="BT143" s="3039"/>
      <c r="BU143" s="3039"/>
      <c r="BV143" s="3039"/>
      <c r="BW143" s="3039"/>
      <c r="BX143" s="3039"/>
      <c r="BY143" s="3039"/>
      <c r="BZ143" s="3039"/>
      <c r="CA143" s="3039"/>
      <c r="CB143" s="3039"/>
      <c r="CC143" s="3039"/>
      <c r="CD143" s="3039"/>
      <c r="CE143" s="3039"/>
      <c r="CF143" s="3039"/>
      <c r="CG143" s="3039"/>
      <c r="CH143" s="3039"/>
      <c r="CI143" s="3039"/>
      <c r="CJ143" s="3039"/>
      <c r="CK143" s="3039"/>
      <c r="CL143" s="3039"/>
      <c r="CM143" s="3039"/>
      <c r="CN143" s="3039"/>
      <c r="CO143" s="3039"/>
      <c r="CP143" s="3039"/>
      <c r="CQ143" s="3039"/>
      <c r="CR143" s="3039"/>
      <c r="CS143" s="3039"/>
      <c r="CT143" s="3039"/>
      <c r="CU143" s="3039"/>
      <c r="CV143" s="3039"/>
      <c r="CW143" s="3039"/>
      <c r="CX143" s="3039"/>
      <c r="CY143" s="3039"/>
      <c r="CZ143" s="3039"/>
      <c r="DA143" s="3039"/>
      <c r="DB143" s="3039"/>
      <c r="DC143" s="3039"/>
      <c r="DD143" s="3039"/>
      <c r="DE143" s="3039"/>
      <c r="DF143" s="3039"/>
      <c r="DG143" s="3039"/>
      <c r="DH143" s="3039"/>
      <c r="DI143" s="3039"/>
      <c r="DJ143" s="3039"/>
      <c r="DK143" s="3039"/>
      <c r="DL143" s="3039"/>
      <c r="DM143" s="3039"/>
      <c r="DN143" s="3039"/>
      <c r="DO143" s="3039"/>
      <c r="DP143" s="3039"/>
      <c r="DQ143" s="3039"/>
      <c r="DR143" s="3039"/>
      <c r="DS143" s="3039"/>
      <c r="DT143" s="3039"/>
      <c r="DU143" s="3039"/>
      <c r="DV143" s="3039"/>
      <c r="DW143" s="3039"/>
      <c r="DX143" s="3039"/>
      <c r="DY143" s="3039"/>
      <c r="DZ143" s="3039"/>
      <c r="EA143" s="3039"/>
      <c r="EB143" s="3039"/>
      <c r="EC143" s="3039"/>
      <c r="ED143" s="3039"/>
      <c r="EE143" s="3039"/>
      <c r="EF143" s="3039"/>
      <c r="EG143" s="3039"/>
      <c r="EH143" s="3039"/>
      <c r="EI143" s="3039"/>
      <c r="EJ143" s="3039"/>
      <c r="EK143" s="3039"/>
      <c r="EL143" s="3039"/>
      <c r="EM143" s="3039"/>
      <c r="EN143" s="3039"/>
      <c r="EO143" s="3039"/>
      <c r="EP143" s="3039"/>
      <c r="EQ143" s="3039"/>
      <c r="ER143" s="3039"/>
      <c r="ES143" s="3039"/>
      <c r="ET143" s="3039"/>
      <c r="EU143" s="3039"/>
      <c r="EV143" s="3039"/>
      <c r="EW143" s="3039"/>
      <c r="EX143" s="3039"/>
      <c r="EY143" s="3039"/>
      <c r="EZ143" s="3039"/>
      <c r="FA143" s="3039"/>
      <c r="FB143" s="3039"/>
      <c r="FC143" s="3039"/>
      <c r="FD143" s="3039"/>
      <c r="FE143" s="3039"/>
      <c r="FF143" s="3039"/>
      <c r="FG143" s="3039"/>
      <c r="FH143" s="3039"/>
      <c r="FI143" s="3039"/>
      <c r="FJ143" s="3039"/>
      <c r="FK143" s="3039"/>
      <c r="FL143" s="3039"/>
      <c r="FM143" s="3039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</row>
    <row r="144" spans="2:193" ht="18.75" customHeight="1" x14ac:dyDescent="0.3">
      <c r="AO144" s="389"/>
      <c r="AP144" s="389"/>
      <c r="AQ144" s="389"/>
      <c r="AR144" s="389"/>
      <c r="AS144" s="389"/>
      <c r="AT144" s="389"/>
      <c r="AU144" s="389"/>
      <c r="AV144" s="389"/>
      <c r="AW144" s="389"/>
      <c r="AX144" s="389"/>
      <c r="AY144" s="389"/>
      <c r="AZ144" s="389"/>
      <c r="BA144" s="389"/>
      <c r="BB144" s="389"/>
      <c r="BC144" s="389"/>
      <c r="BD144" s="389"/>
      <c r="BE144" s="389"/>
      <c r="BF144" s="389"/>
      <c r="BG144" s="389"/>
      <c r="BH144" s="389"/>
      <c r="BI144" s="389"/>
      <c r="BJ144" s="389"/>
      <c r="BK144" s="389"/>
      <c r="BL144" s="389"/>
      <c r="BM144" s="389"/>
      <c r="BN144" s="389"/>
      <c r="BO144" s="389"/>
      <c r="BP144" s="389"/>
      <c r="BQ144" s="389"/>
      <c r="BR144" s="389"/>
      <c r="BS144" s="389"/>
      <c r="BT144" s="389"/>
      <c r="BU144" s="389"/>
      <c r="BV144" s="389"/>
      <c r="BW144" s="389"/>
      <c r="BX144" s="389"/>
      <c r="BY144" s="389"/>
      <c r="BZ144" s="389"/>
      <c r="CA144" s="389"/>
      <c r="CB144" s="389"/>
      <c r="CC144" s="389"/>
      <c r="CD144" s="389"/>
      <c r="CE144" s="389"/>
      <c r="CF144" s="389"/>
      <c r="CG144" s="389"/>
      <c r="CH144" s="389"/>
      <c r="CI144" s="389"/>
      <c r="CJ144" s="389"/>
      <c r="CK144" s="389"/>
      <c r="CL144" s="389"/>
      <c r="CM144" s="389"/>
      <c r="CN144" s="389"/>
      <c r="CO144" s="389"/>
      <c r="CP144" s="389"/>
      <c r="CQ144" s="389"/>
      <c r="CR144" s="389"/>
      <c r="CS144" s="389"/>
      <c r="CT144" s="389"/>
      <c r="CU144" s="389"/>
      <c r="CV144" s="389"/>
      <c r="CW144" s="389"/>
      <c r="CX144" s="389"/>
      <c r="CY144" s="389"/>
      <c r="CZ144" s="389"/>
      <c r="DA144" s="389"/>
      <c r="DB144" s="389"/>
      <c r="DC144" s="389"/>
      <c r="DD144" s="389"/>
      <c r="DE144" s="389"/>
      <c r="DF144" s="389"/>
      <c r="DG144" s="389"/>
      <c r="DH144" s="389"/>
      <c r="DI144" s="389"/>
      <c r="DJ144" s="389"/>
      <c r="DK144" s="389"/>
      <c r="DL144" s="389"/>
      <c r="DM144" s="389"/>
      <c r="DN144" s="389"/>
      <c r="DO144" s="389"/>
      <c r="DP144" s="389"/>
      <c r="DQ144" s="389"/>
      <c r="DR144" s="389"/>
      <c r="DS144" s="389"/>
      <c r="DT144" s="389"/>
      <c r="DU144" s="389"/>
      <c r="DV144" s="389"/>
      <c r="DW144" s="389"/>
      <c r="DX144" s="389"/>
      <c r="DY144" s="389"/>
      <c r="DZ144" s="389"/>
      <c r="EA144" s="389"/>
      <c r="EB144" s="389"/>
      <c r="EC144" s="389"/>
      <c r="ED144" s="389"/>
      <c r="EE144" s="389"/>
      <c r="EF144" s="389"/>
      <c r="EG144" s="389"/>
      <c r="EH144" s="389"/>
      <c r="EI144" s="389"/>
      <c r="EJ144" s="389"/>
      <c r="EK144" s="389"/>
      <c r="EL144" s="389"/>
      <c r="EM144" s="389"/>
      <c r="EN144" s="389"/>
      <c r="EO144" s="389"/>
      <c r="EP144" s="389"/>
      <c r="EQ144" s="389"/>
      <c r="ER144" s="389"/>
      <c r="ES144" s="389"/>
      <c r="ET144" s="389"/>
      <c r="EU144" s="389"/>
      <c r="EV144" s="389"/>
      <c r="EW144" s="389"/>
      <c r="EX144" s="389"/>
      <c r="EY144" s="389"/>
      <c r="EZ144" s="389"/>
      <c r="FA144" s="389"/>
      <c r="FB144" s="389"/>
      <c r="FC144" s="389"/>
      <c r="FD144" s="389"/>
      <c r="FE144" s="389"/>
      <c r="FF144" s="389"/>
      <c r="FG144" s="389"/>
      <c r="FH144" s="389"/>
      <c r="FI144" s="389"/>
      <c r="FJ144" s="389"/>
      <c r="FK144" s="389"/>
      <c r="FL144" s="389"/>
      <c r="FM144" s="389"/>
    </row>
    <row r="145" spans="41:169" ht="18.75" customHeight="1" x14ac:dyDescent="0.3">
      <c r="AO145" s="389"/>
      <c r="AP145" s="389"/>
      <c r="AQ145" s="389"/>
      <c r="AR145" s="389"/>
      <c r="AS145" s="389"/>
      <c r="AT145" s="389"/>
      <c r="AU145" s="389"/>
      <c r="AV145" s="389"/>
      <c r="AW145" s="389"/>
      <c r="AX145" s="389"/>
      <c r="AY145" s="389"/>
      <c r="AZ145" s="389"/>
      <c r="BA145" s="389"/>
      <c r="BB145" s="389"/>
      <c r="BC145" s="389"/>
      <c r="BD145" s="389"/>
      <c r="BE145" s="389"/>
      <c r="BF145" s="389"/>
      <c r="BG145" s="389"/>
      <c r="BH145" s="389"/>
      <c r="BI145" s="389"/>
      <c r="BJ145" s="389"/>
      <c r="BK145" s="389"/>
      <c r="BL145" s="389"/>
      <c r="BM145" s="389"/>
      <c r="BN145" s="389"/>
      <c r="BO145" s="389"/>
      <c r="BP145" s="389"/>
      <c r="BQ145" s="389"/>
      <c r="BR145" s="389"/>
      <c r="BS145" s="389"/>
      <c r="BT145" s="389"/>
      <c r="BU145" s="389"/>
      <c r="BV145" s="389"/>
      <c r="BW145" s="389"/>
      <c r="BX145" s="389"/>
      <c r="BY145" s="389"/>
      <c r="BZ145" s="389"/>
      <c r="CA145" s="389"/>
      <c r="CB145" s="389"/>
      <c r="CC145" s="389"/>
      <c r="CD145" s="389"/>
      <c r="CE145" s="389"/>
      <c r="CF145" s="389"/>
      <c r="CG145" s="389"/>
      <c r="CH145" s="389"/>
      <c r="CI145" s="389"/>
      <c r="CJ145" s="389"/>
      <c r="CK145" s="389"/>
      <c r="CL145" s="389"/>
      <c r="CM145" s="389"/>
      <c r="CN145" s="389"/>
      <c r="CO145" s="389"/>
      <c r="CP145" s="389"/>
      <c r="CQ145" s="389"/>
      <c r="CR145" s="389"/>
      <c r="CS145" s="389"/>
      <c r="CT145" s="389"/>
      <c r="CU145" s="389"/>
      <c r="CV145" s="389"/>
      <c r="CW145" s="389"/>
      <c r="CX145" s="389"/>
      <c r="CY145" s="389"/>
      <c r="CZ145" s="389"/>
      <c r="DA145" s="389"/>
      <c r="DB145" s="389"/>
      <c r="DC145" s="389"/>
      <c r="DD145" s="389"/>
      <c r="DE145" s="389"/>
      <c r="DF145" s="389"/>
      <c r="DG145" s="389"/>
      <c r="DH145" s="389"/>
      <c r="DI145" s="389"/>
      <c r="DJ145" s="389"/>
      <c r="DK145" s="389"/>
      <c r="DL145" s="389"/>
      <c r="DM145" s="389"/>
      <c r="DN145" s="389"/>
      <c r="DO145" s="389"/>
      <c r="DP145" s="389"/>
      <c r="DQ145" s="389"/>
      <c r="DR145" s="389"/>
      <c r="DS145" s="389"/>
      <c r="DT145" s="389"/>
      <c r="DU145" s="389"/>
      <c r="DV145" s="389"/>
      <c r="DW145" s="389"/>
      <c r="DX145" s="389"/>
      <c r="DY145" s="389"/>
      <c r="DZ145" s="389"/>
      <c r="EA145" s="389"/>
      <c r="EB145" s="389"/>
      <c r="EC145" s="389"/>
      <c r="ED145" s="389"/>
      <c r="EE145" s="389"/>
      <c r="EF145" s="389"/>
      <c r="EG145" s="389"/>
      <c r="EH145" s="389"/>
      <c r="EI145" s="389"/>
      <c r="EJ145" s="389"/>
      <c r="EK145" s="389"/>
      <c r="EL145" s="389"/>
      <c r="EM145" s="389"/>
      <c r="EN145" s="389"/>
      <c r="EO145" s="389"/>
      <c r="EP145" s="389"/>
      <c r="EQ145" s="389"/>
      <c r="ER145" s="389"/>
      <c r="ES145" s="389"/>
      <c r="ET145" s="389"/>
      <c r="EU145" s="389"/>
      <c r="EV145" s="389"/>
      <c r="EW145" s="389"/>
      <c r="EX145" s="389"/>
      <c r="EY145" s="389"/>
      <c r="EZ145" s="389"/>
      <c r="FA145" s="389"/>
      <c r="FB145" s="389"/>
      <c r="FC145" s="389"/>
      <c r="FD145" s="389"/>
      <c r="FE145" s="389"/>
      <c r="FF145" s="389"/>
      <c r="FG145" s="389"/>
      <c r="FH145" s="389"/>
      <c r="FI145" s="389"/>
      <c r="FJ145" s="389"/>
      <c r="FK145" s="389"/>
      <c r="FL145" s="389"/>
      <c r="FM145" s="389"/>
    </row>
    <row r="146" spans="41:169" ht="18.75" customHeight="1" x14ac:dyDescent="0.3">
      <c r="AO146" s="389"/>
      <c r="AP146" s="389"/>
      <c r="AQ146" s="389"/>
      <c r="AR146" s="389"/>
      <c r="AS146" s="389"/>
      <c r="AT146" s="389"/>
      <c r="AU146" s="389"/>
      <c r="AV146" s="389"/>
      <c r="AW146" s="389"/>
      <c r="AX146" s="389"/>
      <c r="AY146" s="389"/>
      <c r="AZ146" s="389"/>
      <c r="BA146" s="389"/>
      <c r="BB146" s="389"/>
      <c r="BC146" s="389"/>
      <c r="BD146" s="389"/>
      <c r="BE146" s="389"/>
      <c r="BF146" s="389"/>
      <c r="BG146" s="389"/>
      <c r="BH146" s="389"/>
      <c r="BI146" s="389"/>
      <c r="BJ146" s="389"/>
      <c r="BK146" s="389"/>
      <c r="BL146" s="389"/>
      <c r="BM146" s="389"/>
      <c r="BN146" s="389"/>
      <c r="BO146" s="389"/>
      <c r="BP146" s="389"/>
      <c r="BQ146" s="389"/>
      <c r="BR146" s="389"/>
      <c r="BS146" s="389"/>
      <c r="BT146" s="389"/>
      <c r="BU146" s="389"/>
      <c r="BV146" s="389"/>
      <c r="BW146" s="389"/>
      <c r="BX146" s="389"/>
      <c r="BY146" s="389"/>
      <c r="BZ146" s="389"/>
      <c r="CA146" s="389"/>
      <c r="CB146" s="389"/>
      <c r="CC146" s="389"/>
      <c r="CD146" s="389"/>
      <c r="CE146" s="389"/>
      <c r="CF146" s="389"/>
      <c r="CG146" s="389"/>
      <c r="CH146" s="389"/>
      <c r="CI146" s="389"/>
      <c r="CJ146" s="389"/>
      <c r="CK146" s="389"/>
      <c r="CL146" s="389"/>
      <c r="CM146" s="389"/>
      <c r="CN146" s="389"/>
      <c r="CO146" s="389"/>
      <c r="CP146" s="389"/>
      <c r="CQ146" s="389"/>
      <c r="CR146" s="389"/>
      <c r="CS146" s="389"/>
      <c r="CT146" s="389"/>
      <c r="CU146" s="389"/>
      <c r="CV146" s="389"/>
      <c r="CW146" s="389"/>
      <c r="CX146" s="389"/>
      <c r="CY146" s="389"/>
      <c r="CZ146" s="389"/>
      <c r="DA146" s="389"/>
      <c r="DB146" s="389"/>
      <c r="DC146" s="389"/>
      <c r="DD146" s="389"/>
      <c r="DE146" s="389"/>
      <c r="DF146" s="389"/>
      <c r="DG146" s="389"/>
      <c r="DH146" s="389"/>
      <c r="DI146" s="389"/>
      <c r="DJ146" s="389"/>
      <c r="DK146" s="389"/>
      <c r="DL146" s="389"/>
      <c r="DM146" s="389"/>
      <c r="DN146" s="389"/>
      <c r="DO146" s="389"/>
      <c r="DP146" s="389"/>
      <c r="DQ146" s="389"/>
      <c r="DR146" s="389"/>
      <c r="DS146" s="389"/>
      <c r="DT146" s="389"/>
      <c r="DU146" s="389"/>
      <c r="DV146" s="389"/>
      <c r="DW146" s="389"/>
      <c r="DX146" s="389"/>
      <c r="DY146" s="389"/>
      <c r="DZ146" s="389"/>
      <c r="EA146" s="389"/>
      <c r="EB146" s="389"/>
      <c r="EC146" s="389"/>
      <c r="ED146" s="389"/>
      <c r="EE146" s="389"/>
      <c r="EF146" s="389"/>
      <c r="EG146" s="389"/>
      <c r="EH146" s="389"/>
      <c r="EI146" s="389"/>
      <c r="EJ146" s="389"/>
      <c r="EK146" s="389"/>
      <c r="EL146" s="389"/>
      <c r="EM146" s="389"/>
      <c r="EN146" s="389"/>
      <c r="EO146" s="389"/>
      <c r="EP146" s="389"/>
      <c r="EQ146" s="389"/>
      <c r="ER146" s="389"/>
      <c r="ES146" s="389"/>
      <c r="ET146" s="389"/>
      <c r="EU146" s="389"/>
      <c r="EV146" s="389"/>
      <c r="EW146" s="389"/>
      <c r="EX146" s="389"/>
      <c r="EY146" s="389"/>
      <c r="EZ146" s="389"/>
      <c r="FA146" s="389"/>
      <c r="FB146" s="389"/>
      <c r="FC146" s="389"/>
      <c r="FD146" s="389"/>
      <c r="FE146" s="389"/>
      <c r="FF146" s="389"/>
      <c r="FG146" s="389"/>
      <c r="FH146" s="389"/>
      <c r="FI146" s="389"/>
      <c r="FJ146" s="389"/>
      <c r="FK146" s="389"/>
      <c r="FL146" s="389"/>
      <c r="FM146" s="389"/>
    </row>
    <row r="147" spans="41:169" ht="18.75" customHeight="1" x14ac:dyDescent="0.3">
      <c r="AO147" s="389"/>
      <c r="AP147" s="389"/>
      <c r="AQ147" s="389"/>
      <c r="AR147" s="389"/>
      <c r="AS147" s="389"/>
      <c r="AT147" s="389"/>
      <c r="AU147" s="389"/>
      <c r="AV147" s="389"/>
      <c r="AW147" s="389"/>
      <c r="AX147" s="389"/>
      <c r="AY147" s="389"/>
      <c r="AZ147" s="389"/>
      <c r="BA147" s="389"/>
      <c r="BB147" s="389"/>
      <c r="BC147" s="389"/>
      <c r="BD147" s="389"/>
      <c r="BE147" s="389"/>
      <c r="BF147" s="389"/>
      <c r="BG147" s="389"/>
      <c r="BH147" s="389"/>
      <c r="BI147" s="389"/>
      <c r="BJ147" s="389"/>
      <c r="BK147" s="389"/>
      <c r="BL147" s="389"/>
      <c r="BM147" s="389"/>
      <c r="BN147" s="389"/>
      <c r="BO147" s="389"/>
      <c r="BP147" s="389"/>
      <c r="BQ147" s="389"/>
      <c r="BR147" s="389"/>
      <c r="BS147" s="389"/>
      <c r="BT147" s="389"/>
      <c r="BU147" s="389"/>
      <c r="BV147" s="389"/>
      <c r="BW147" s="389"/>
      <c r="BX147" s="389"/>
      <c r="BY147" s="389"/>
      <c r="BZ147" s="389"/>
      <c r="CA147" s="389"/>
      <c r="CB147" s="389"/>
      <c r="CC147" s="389"/>
      <c r="CD147" s="389"/>
      <c r="CE147" s="389"/>
      <c r="CF147" s="389"/>
      <c r="CG147" s="389"/>
      <c r="CH147" s="389"/>
      <c r="CI147" s="389"/>
      <c r="CJ147" s="389"/>
      <c r="CK147" s="389"/>
      <c r="CL147" s="389"/>
      <c r="CM147" s="389"/>
      <c r="CN147" s="389"/>
      <c r="CO147" s="389"/>
      <c r="CP147" s="389"/>
      <c r="CQ147" s="389"/>
      <c r="CR147" s="389"/>
      <c r="CS147" s="389"/>
      <c r="CT147" s="389"/>
      <c r="CU147" s="389"/>
      <c r="CV147" s="389"/>
      <c r="CW147" s="389"/>
      <c r="CX147" s="389"/>
      <c r="CY147" s="389"/>
      <c r="CZ147" s="389"/>
      <c r="DA147" s="389"/>
      <c r="DB147" s="389"/>
      <c r="DC147" s="389"/>
      <c r="DD147" s="389"/>
      <c r="DE147" s="389"/>
      <c r="DF147" s="389"/>
      <c r="DG147" s="389"/>
      <c r="DH147" s="389"/>
      <c r="DI147" s="389"/>
      <c r="DJ147" s="389"/>
      <c r="DK147" s="389"/>
      <c r="DL147" s="389"/>
      <c r="DM147" s="389"/>
      <c r="DN147" s="389"/>
      <c r="DO147" s="389"/>
      <c r="DP147" s="389"/>
      <c r="DQ147" s="389"/>
      <c r="DR147" s="389"/>
      <c r="DS147" s="389"/>
      <c r="DT147" s="389"/>
      <c r="DU147" s="389"/>
      <c r="DV147" s="389"/>
      <c r="DW147" s="389"/>
      <c r="DX147" s="389"/>
      <c r="DY147" s="389"/>
      <c r="DZ147" s="389"/>
      <c r="EA147" s="389"/>
      <c r="EB147" s="389"/>
      <c r="EC147" s="389"/>
      <c r="ED147" s="389"/>
      <c r="EE147" s="389"/>
      <c r="EF147" s="389"/>
      <c r="EG147" s="389"/>
      <c r="EH147" s="389"/>
      <c r="EI147" s="389"/>
      <c r="EJ147" s="389"/>
      <c r="EK147" s="389"/>
      <c r="EL147" s="389"/>
      <c r="EM147" s="389"/>
      <c r="EN147" s="389"/>
      <c r="EO147" s="389"/>
      <c r="EP147" s="389"/>
      <c r="EQ147" s="389"/>
      <c r="ER147" s="389"/>
      <c r="ES147" s="389"/>
      <c r="ET147" s="389"/>
      <c r="EU147" s="389"/>
      <c r="EV147" s="389"/>
      <c r="EW147" s="389"/>
      <c r="EX147" s="389"/>
      <c r="EY147" s="389"/>
      <c r="EZ147" s="389"/>
      <c r="FA147" s="389"/>
      <c r="FB147" s="389"/>
      <c r="FC147" s="389"/>
      <c r="FD147" s="389"/>
      <c r="FE147" s="389"/>
      <c r="FF147" s="389"/>
      <c r="FG147" s="389"/>
      <c r="FH147" s="389"/>
      <c r="FI147" s="389"/>
      <c r="FJ147" s="389"/>
      <c r="FK147" s="389"/>
      <c r="FL147" s="389"/>
      <c r="FM147" s="389"/>
    </row>
    <row r="148" spans="41:169" ht="18.75" customHeight="1" x14ac:dyDescent="0.3">
      <c r="AO148" s="389"/>
      <c r="AP148" s="389"/>
      <c r="AQ148" s="389"/>
      <c r="AR148" s="389"/>
      <c r="AS148" s="389"/>
      <c r="AT148" s="389"/>
      <c r="AU148" s="389"/>
      <c r="AV148" s="389"/>
      <c r="AW148" s="389"/>
      <c r="AX148" s="389"/>
      <c r="AY148" s="389"/>
      <c r="AZ148" s="389"/>
      <c r="BA148" s="389"/>
      <c r="BB148" s="389"/>
      <c r="BC148" s="389"/>
      <c r="BD148" s="389"/>
      <c r="BE148" s="389"/>
      <c r="BF148" s="389"/>
      <c r="BG148" s="389"/>
      <c r="BH148" s="389"/>
      <c r="BI148" s="389"/>
      <c r="BJ148" s="389"/>
      <c r="BK148" s="389"/>
      <c r="BL148" s="389"/>
      <c r="BM148" s="389"/>
      <c r="BN148" s="389"/>
      <c r="BO148" s="389"/>
      <c r="BP148" s="389"/>
      <c r="BQ148" s="389"/>
      <c r="BR148" s="389"/>
      <c r="BS148" s="389"/>
      <c r="BT148" s="389"/>
      <c r="BU148" s="389"/>
      <c r="BV148" s="389"/>
      <c r="BW148" s="389"/>
      <c r="BX148" s="389"/>
      <c r="BY148" s="389"/>
      <c r="BZ148" s="389"/>
      <c r="CA148" s="389"/>
      <c r="CB148" s="389"/>
      <c r="CC148" s="389"/>
      <c r="CD148" s="389"/>
      <c r="CE148" s="389"/>
      <c r="CF148" s="389"/>
      <c r="CG148" s="389"/>
      <c r="CH148" s="389"/>
      <c r="CI148" s="389"/>
      <c r="CJ148" s="389"/>
      <c r="CK148" s="389"/>
      <c r="CL148" s="389"/>
      <c r="CM148" s="389"/>
      <c r="CN148" s="389"/>
      <c r="CO148" s="389"/>
      <c r="CP148" s="389"/>
      <c r="CQ148" s="389"/>
      <c r="CR148" s="389"/>
      <c r="CS148" s="389"/>
      <c r="CT148" s="389"/>
      <c r="CU148" s="389"/>
      <c r="CV148" s="389"/>
      <c r="CW148" s="389"/>
      <c r="CX148" s="389"/>
      <c r="CY148" s="389"/>
      <c r="CZ148" s="389"/>
      <c r="DA148" s="389"/>
      <c r="DB148" s="389"/>
      <c r="DC148" s="389"/>
      <c r="DD148" s="389"/>
      <c r="DE148" s="389"/>
      <c r="DF148" s="389"/>
      <c r="DG148" s="389"/>
      <c r="DH148" s="389"/>
      <c r="DI148" s="389"/>
      <c r="DJ148" s="389"/>
      <c r="DK148" s="389"/>
      <c r="DL148" s="389"/>
      <c r="DM148" s="389"/>
      <c r="DN148" s="389"/>
      <c r="DO148" s="389"/>
      <c r="DP148" s="389"/>
      <c r="DQ148" s="389"/>
      <c r="DR148" s="389"/>
      <c r="DS148" s="389"/>
      <c r="DT148" s="389"/>
      <c r="DU148" s="389"/>
      <c r="DV148" s="389"/>
      <c r="DW148" s="389"/>
      <c r="DX148" s="389"/>
      <c r="DY148" s="389"/>
      <c r="DZ148" s="389"/>
      <c r="EA148" s="389"/>
      <c r="EB148" s="389"/>
      <c r="EC148" s="389"/>
      <c r="ED148" s="389"/>
      <c r="EE148" s="389"/>
      <c r="EF148" s="389"/>
      <c r="EG148" s="389"/>
      <c r="EH148" s="389"/>
      <c r="EI148" s="389"/>
      <c r="EJ148" s="389"/>
      <c r="EK148" s="389"/>
      <c r="EL148" s="389"/>
      <c r="EM148" s="389"/>
      <c r="EN148" s="389"/>
      <c r="EO148" s="389"/>
      <c r="EP148" s="389"/>
      <c r="EQ148" s="389"/>
      <c r="ER148" s="389"/>
      <c r="ES148" s="389"/>
      <c r="ET148" s="389"/>
      <c r="EU148" s="389"/>
      <c r="EV148" s="389"/>
      <c r="EW148" s="389"/>
      <c r="EX148" s="389"/>
      <c r="EY148" s="389"/>
      <c r="EZ148" s="389"/>
      <c r="FA148" s="389"/>
      <c r="FB148" s="389"/>
      <c r="FC148" s="389"/>
      <c r="FD148" s="389"/>
      <c r="FE148" s="389"/>
      <c r="FF148" s="389"/>
      <c r="FG148" s="389"/>
      <c r="FH148" s="389"/>
      <c r="FI148" s="389"/>
      <c r="FJ148" s="389"/>
      <c r="FK148" s="389"/>
      <c r="FL148" s="389"/>
      <c r="FM148" s="389"/>
    </row>
    <row r="149" spans="41:169" ht="18.75" customHeight="1" x14ac:dyDescent="0.3">
      <c r="AO149" s="389"/>
      <c r="AP149" s="389"/>
      <c r="AQ149" s="389"/>
      <c r="AR149" s="389"/>
      <c r="AS149" s="389"/>
      <c r="AT149" s="389"/>
      <c r="AU149" s="389"/>
      <c r="AV149" s="389"/>
      <c r="AW149" s="389"/>
      <c r="AX149" s="389"/>
      <c r="AY149" s="389"/>
      <c r="AZ149" s="389"/>
      <c r="BA149" s="389"/>
      <c r="BB149" s="389"/>
      <c r="BC149" s="389"/>
      <c r="BD149" s="389"/>
      <c r="BE149" s="389"/>
      <c r="BF149" s="389"/>
      <c r="BG149" s="389"/>
      <c r="BH149" s="389"/>
      <c r="BI149" s="389"/>
      <c r="BJ149" s="389"/>
      <c r="BK149" s="389"/>
      <c r="BL149" s="389"/>
      <c r="BM149" s="389"/>
      <c r="BN149" s="389"/>
      <c r="BO149" s="389"/>
      <c r="BP149" s="389"/>
      <c r="BQ149" s="389"/>
      <c r="BR149" s="389"/>
      <c r="BS149" s="389"/>
      <c r="BT149" s="389"/>
      <c r="BU149" s="389"/>
      <c r="BV149" s="389"/>
      <c r="BW149" s="389"/>
      <c r="BX149" s="389"/>
      <c r="BY149" s="389"/>
      <c r="BZ149" s="389"/>
      <c r="CA149" s="389"/>
      <c r="CB149" s="389"/>
      <c r="CC149" s="389"/>
      <c r="CD149" s="389"/>
      <c r="CE149" s="389"/>
      <c r="CF149" s="389"/>
      <c r="CG149" s="389"/>
      <c r="CH149" s="389"/>
      <c r="CI149" s="389"/>
      <c r="CJ149" s="389"/>
      <c r="CK149" s="389"/>
      <c r="CL149" s="389"/>
      <c r="CM149" s="389"/>
      <c r="CN149" s="389"/>
      <c r="CO149" s="389"/>
      <c r="CP149" s="389"/>
      <c r="CQ149" s="389"/>
      <c r="CR149" s="389"/>
      <c r="CS149" s="389"/>
      <c r="CT149" s="389"/>
      <c r="CU149" s="389"/>
      <c r="CV149" s="389"/>
      <c r="CW149" s="389"/>
      <c r="CX149" s="389"/>
      <c r="CY149" s="389"/>
      <c r="CZ149" s="389"/>
      <c r="DA149" s="389"/>
      <c r="DB149" s="389"/>
      <c r="DC149" s="389"/>
      <c r="DD149" s="389"/>
      <c r="DE149" s="389"/>
      <c r="DF149" s="389"/>
      <c r="DG149" s="389"/>
      <c r="DH149" s="389"/>
      <c r="DI149" s="389"/>
      <c r="DJ149" s="389"/>
      <c r="DK149" s="389"/>
      <c r="DL149" s="389"/>
      <c r="DM149" s="389"/>
      <c r="DN149" s="389"/>
      <c r="DO149" s="389"/>
      <c r="DP149" s="389"/>
      <c r="DQ149" s="389"/>
      <c r="DR149" s="389"/>
      <c r="DS149" s="389"/>
      <c r="DT149" s="389"/>
      <c r="DU149" s="389"/>
      <c r="DV149" s="389"/>
      <c r="DW149" s="389"/>
      <c r="DX149" s="389"/>
      <c r="DY149" s="389"/>
      <c r="DZ149" s="389"/>
      <c r="EA149" s="389"/>
      <c r="EB149" s="389"/>
      <c r="EC149" s="389"/>
      <c r="ED149" s="389"/>
      <c r="EE149" s="389"/>
      <c r="EF149" s="389"/>
      <c r="EG149" s="389"/>
      <c r="EH149" s="389"/>
      <c r="EI149" s="389"/>
      <c r="EJ149" s="389"/>
      <c r="EK149" s="389"/>
      <c r="EL149" s="389"/>
      <c r="EM149" s="389"/>
      <c r="EN149" s="389"/>
      <c r="EO149" s="389"/>
      <c r="EP149" s="389"/>
      <c r="EQ149" s="389"/>
      <c r="ER149" s="389"/>
      <c r="ES149" s="389"/>
      <c r="ET149" s="389"/>
      <c r="EU149" s="389"/>
      <c r="EV149" s="389"/>
      <c r="EW149" s="389"/>
      <c r="EX149" s="389"/>
      <c r="EY149" s="389"/>
      <c r="EZ149" s="389"/>
      <c r="FA149" s="389"/>
      <c r="FB149" s="389"/>
      <c r="FC149" s="389"/>
      <c r="FD149" s="389"/>
      <c r="FE149" s="389"/>
      <c r="FF149" s="389"/>
      <c r="FG149" s="389"/>
      <c r="FH149" s="389"/>
      <c r="FI149" s="389"/>
      <c r="FJ149" s="389"/>
      <c r="FK149" s="389"/>
      <c r="FL149" s="389"/>
      <c r="FM149" s="389"/>
    </row>
    <row r="150" spans="41:169" ht="18.75" customHeight="1" x14ac:dyDescent="0.3">
      <c r="AO150" s="389"/>
      <c r="AP150" s="389"/>
      <c r="AQ150" s="389"/>
      <c r="AR150" s="389"/>
      <c r="AS150" s="389"/>
      <c r="AT150" s="389"/>
      <c r="AU150" s="389"/>
      <c r="AV150" s="389"/>
      <c r="AW150" s="389"/>
      <c r="AX150" s="389"/>
      <c r="AY150" s="389"/>
      <c r="AZ150" s="389"/>
      <c r="BA150" s="389"/>
      <c r="BB150" s="389"/>
      <c r="BC150" s="389"/>
      <c r="BD150" s="389"/>
      <c r="BE150" s="389"/>
      <c r="BF150" s="389"/>
      <c r="BG150" s="389"/>
      <c r="BH150" s="389"/>
      <c r="BI150" s="389"/>
      <c r="BJ150" s="389"/>
      <c r="BK150" s="389"/>
      <c r="BL150" s="389"/>
      <c r="BM150" s="389"/>
      <c r="BN150" s="389"/>
      <c r="BO150" s="389"/>
      <c r="BP150" s="389"/>
      <c r="BQ150" s="389"/>
      <c r="BR150" s="389"/>
      <c r="BS150" s="389"/>
      <c r="BT150" s="389"/>
      <c r="BU150" s="389"/>
      <c r="BV150" s="389"/>
      <c r="BW150" s="389"/>
      <c r="BX150" s="389"/>
      <c r="BY150" s="389"/>
      <c r="BZ150" s="389"/>
      <c r="CA150" s="389"/>
      <c r="CB150" s="389"/>
      <c r="CC150" s="389"/>
      <c r="CD150" s="389"/>
      <c r="CE150" s="389"/>
      <c r="CF150" s="389"/>
      <c r="CG150" s="389"/>
      <c r="CH150" s="389"/>
      <c r="CI150" s="389"/>
      <c r="CJ150" s="389"/>
      <c r="CK150" s="389"/>
      <c r="CL150" s="389"/>
      <c r="CM150" s="389"/>
      <c r="CN150" s="389"/>
      <c r="CO150" s="389"/>
      <c r="CP150" s="389"/>
      <c r="CQ150" s="389"/>
      <c r="CR150" s="389"/>
      <c r="CS150" s="389"/>
      <c r="CT150" s="389"/>
      <c r="CU150" s="389"/>
      <c r="CV150" s="389"/>
      <c r="CW150" s="389"/>
      <c r="CX150" s="389"/>
      <c r="CY150" s="389"/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89"/>
      <c r="DJ150" s="389"/>
      <c r="DK150" s="389"/>
      <c r="DL150" s="389"/>
      <c r="DM150" s="389"/>
      <c r="DN150" s="389"/>
      <c r="DO150" s="389"/>
      <c r="DP150" s="389"/>
      <c r="DQ150" s="389"/>
      <c r="DR150" s="389"/>
      <c r="DS150" s="389"/>
      <c r="DT150" s="389"/>
      <c r="DU150" s="389"/>
      <c r="DV150" s="389"/>
      <c r="DW150" s="389"/>
      <c r="DX150" s="389"/>
      <c r="DY150" s="389"/>
      <c r="DZ150" s="389"/>
      <c r="EA150" s="389"/>
      <c r="EB150" s="389"/>
      <c r="EC150" s="389"/>
      <c r="ED150" s="389"/>
      <c r="EE150" s="389"/>
      <c r="EF150" s="389"/>
      <c r="EG150" s="389"/>
      <c r="EH150" s="389"/>
      <c r="EI150" s="389"/>
      <c r="EJ150" s="389"/>
      <c r="EK150" s="389"/>
      <c r="EL150" s="389"/>
      <c r="EM150" s="389"/>
      <c r="EN150" s="389"/>
      <c r="EO150" s="389"/>
      <c r="EP150" s="389"/>
      <c r="EQ150" s="389"/>
      <c r="ER150" s="389"/>
      <c r="ES150" s="389"/>
      <c r="ET150" s="389"/>
      <c r="EU150" s="389"/>
      <c r="EV150" s="389"/>
      <c r="EW150" s="389"/>
      <c r="EX150" s="389"/>
      <c r="EY150" s="389"/>
      <c r="EZ150" s="389"/>
      <c r="FA150" s="389"/>
      <c r="FB150" s="389"/>
      <c r="FC150" s="389"/>
      <c r="FD150" s="389"/>
      <c r="FE150" s="389"/>
      <c r="FF150" s="389"/>
      <c r="FG150" s="389"/>
      <c r="FH150" s="389"/>
      <c r="FI150" s="389"/>
      <c r="FJ150" s="389"/>
      <c r="FK150" s="389"/>
      <c r="FL150" s="389"/>
      <c r="FM150" s="389"/>
    </row>
    <row r="151" spans="41:169" ht="18.75" customHeight="1" x14ac:dyDescent="0.3">
      <c r="AO151" s="389"/>
      <c r="AP151" s="389"/>
      <c r="AQ151" s="389"/>
      <c r="AR151" s="389"/>
      <c r="AS151" s="389"/>
      <c r="AT151" s="389"/>
      <c r="AU151" s="389"/>
      <c r="AV151" s="389"/>
      <c r="AW151" s="389"/>
      <c r="AX151" s="389"/>
      <c r="AY151" s="389"/>
      <c r="AZ151" s="389"/>
      <c r="BA151" s="389"/>
      <c r="BB151" s="389"/>
      <c r="BC151" s="389"/>
      <c r="BD151" s="389"/>
      <c r="BE151" s="389"/>
      <c r="BF151" s="389"/>
      <c r="BG151" s="389"/>
      <c r="BH151" s="389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89"/>
      <c r="BS151" s="389"/>
      <c r="BT151" s="389"/>
      <c r="BU151" s="389"/>
      <c r="BV151" s="389"/>
      <c r="BW151" s="389"/>
      <c r="BX151" s="389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389"/>
      <c r="CM151" s="389"/>
      <c r="CN151" s="389"/>
      <c r="CO151" s="389"/>
      <c r="CP151" s="389"/>
      <c r="CQ151" s="389"/>
      <c r="CR151" s="389"/>
      <c r="CS151" s="389"/>
      <c r="CT151" s="389"/>
      <c r="CU151" s="389"/>
      <c r="CV151" s="389"/>
      <c r="CW151" s="389"/>
      <c r="CX151" s="389"/>
      <c r="CY151" s="389"/>
      <c r="CZ151" s="389"/>
      <c r="DA151" s="389"/>
      <c r="DB151" s="389"/>
      <c r="DC151" s="389"/>
      <c r="DD151" s="389"/>
      <c r="DE151" s="389"/>
      <c r="DF151" s="389"/>
      <c r="DG151" s="389"/>
      <c r="DH151" s="389"/>
      <c r="DI151" s="389"/>
      <c r="DJ151" s="389"/>
      <c r="DK151" s="389"/>
      <c r="DL151" s="389"/>
      <c r="DM151" s="389"/>
      <c r="DN151" s="389"/>
      <c r="DO151" s="389"/>
      <c r="DP151" s="389"/>
      <c r="DQ151" s="389"/>
      <c r="DR151" s="389"/>
      <c r="DS151" s="389"/>
      <c r="DT151" s="389"/>
      <c r="DU151" s="389"/>
      <c r="DV151" s="389"/>
      <c r="DW151" s="389"/>
      <c r="DX151" s="389"/>
      <c r="DY151" s="389"/>
      <c r="DZ151" s="389"/>
      <c r="EA151" s="389"/>
      <c r="EB151" s="389"/>
      <c r="EC151" s="389"/>
      <c r="ED151" s="389"/>
      <c r="EE151" s="389"/>
      <c r="EF151" s="389"/>
      <c r="EG151" s="389"/>
      <c r="EH151" s="389"/>
      <c r="EI151" s="389"/>
      <c r="EJ151" s="389"/>
      <c r="EK151" s="389"/>
      <c r="EL151" s="389"/>
      <c r="EM151" s="389"/>
      <c r="EN151" s="389"/>
      <c r="EO151" s="389"/>
      <c r="EP151" s="389"/>
      <c r="EQ151" s="389"/>
      <c r="ER151" s="389"/>
      <c r="ES151" s="389"/>
      <c r="ET151" s="389"/>
      <c r="EU151" s="389"/>
      <c r="EV151" s="389"/>
      <c r="EW151" s="389"/>
      <c r="EX151" s="389"/>
      <c r="EY151" s="389"/>
      <c r="EZ151" s="389"/>
      <c r="FA151" s="389"/>
      <c r="FB151" s="389"/>
      <c r="FC151" s="389"/>
      <c r="FD151" s="389"/>
      <c r="FE151" s="389"/>
      <c r="FF151" s="389"/>
      <c r="FG151" s="389"/>
      <c r="FH151" s="389"/>
      <c r="FI151" s="389"/>
      <c r="FJ151" s="389"/>
      <c r="FK151" s="389"/>
      <c r="FL151" s="389"/>
      <c r="FM151" s="389"/>
    </row>
    <row r="152" spans="41:169" ht="18.75" customHeight="1" x14ac:dyDescent="0.3">
      <c r="AO152" s="389"/>
      <c r="AP152" s="389"/>
      <c r="AQ152" s="389"/>
      <c r="AR152" s="389"/>
      <c r="AS152" s="389"/>
      <c r="AT152" s="389"/>
      <c r="AU152" s="389"/>
      <c r="AV152" s="389"/>
      <c r="AW152" s="389"/>
      <c r="AX152" s="389"/>
      <c r="AY152" s="389"/>
      <c r="AZ152" s="389"/>
      <c r="BA152" s="389"/>
      <c r="BB152" s="389"/>
      <c r="BC152" s="389"/>
      <c r="BD152" s="389"/>
      <c r="BE152" s="389"/>
      <c r="BF152" s="389"/>
      <c r="BG152" s="389"/>
      <c r="BH152" s="389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89"/>
      <c r="BS152" s="389"/>
      <c r="BT152" s="389"/>
      <c r="BU152" s="389"/>
      <c r="BV152" s="389"/>
      <c r="BW152" s="389"/>
      <c r="BX152" s="389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389"/>
      <c r="CT152" s="389"/>
      <c r="CU152" s="389"/>
      <c r="CV152" s="389"/>
      <c r="CW152" s="389"/>
      <c r="CX152" s="389"/>
      <c r="CY152" s="389"/>
      <c r="CZ152" s="389"/>
      <c r="DA152" s="389"/>
      <c r="DB152" s="389"/>
      <c r="DC152" s="389"/>
      <c r="DD152" s="389"/>
      <c r="DE152" s="389"/>
      <c r="DF152" s="389"/>
      <c r="DG152" s="389"/>
      <c r="DH152" s="389"/>
      <c r="DI152" s="389"/>
      <c r="DJ152" s="389"/>
      <c r="DK152" s="389"/>
      <c r="DL152" s="389"/>
      <c r="DM152" s="389"/>
      <c r="DN152" s="389"/>
      <c r="DO152" s="389"/>
      <c r="DP152" s="389"/>
      <c r="DQ152" s="389"/>
      <c r="DR152" s="389"/>
      <c r="DS152" s="389"/>
      <c r="DT152" s="389"/>
      <c r="DU152" s="389"/>
      <c r="DV152" s="389"/>
      <c r="DW152" s="389"/>
      <c r="DX152" s="389"/>
      <c r="DY152" s="389"/>
      <c r="DZ152" s="389"/>
      <c r="EA152" s="389"/>
      <c r="EB152" s="389"/>
      <c r="EC152" s="389"/>
      <c r="ED152" s="389"/>
      <c r="EE152" s="389"/>
      <c r="EF152" s="389"/>
      <c r="EG152" s="389"/>
      <c r="EH152" s="389"/>
      <c r="EI152" s="389"/>
      <c r="EJ152" s="389"/>
      <c r="EK152" s="389"/>
      <c r="EL152" s="389"/>
      <c r="EM152" s="389"/>
      <c r="EN152" s="389"/>
      <c r="EO152" s="389"/>
      <c r="EP152" s="389"/>
      <c r="EQ152" s="389"/>
      <c r="ER152" s="389"/>
      <c r="ES152" s="389"/>
      <c r="ET152" s="389"/>
      <c r="EU152" s="389"/>
      <c r="EV152" s="389"/>
      <c r="EW152" s="389"/>
      <c r="EX152" s="389"/>
      <c r="EY152" s="389"/>
      <c r="EZ152" s="389"/>
      <c r="FA152" s="389"/>
      <c r="FB152" s="389"/>
      <c r="FC152" s="389"/>
      <c r="FD152" s="389"/>
      <c r="FE152" s="389"/>
      <c r="FF152" s="389"/>
      <c r="FG152" s="389"/>
      <c r="FH152" s="389"/>
      <c r="FI152" s="389"/>
      <c r="FJ152" s="389"/>
      <c r="FK152" s="389"/>
      <c r="FL152" s="389"/>
      <c r="FM152" s="389"/>
    </row>
    <row r="153" spans="41:169" ht="18.75" customHeight="1" x14ac:dyDescent="0.3">
      <c r="AO153" s="389"/>
      <c r="AP153" s="389"/>
      <c r="AQ153" s="389"/>
      <c r="AR153" s="389"/>
      <c r="AS153" s="389"/>
      <c r="AT153" s="389"/>
      <c r="AU153" s="389"/>
      <c r="AV153" s="389"/>
      <c r="AW153" s="389"/>
      <c r="AX153" s="389"/>
      <c r="AY153" s="389"/>
      <c r="AZ153" s="389"/>
      <c r="BA153" s="389"/>
      <c r="BB153" s="389"/>
      <c r="BC153" s="389"/>
      <c r="BD153" s="389"/>
      <c r="BE153" s="389"/>
      <c r="BF153" s="389"/>
      <c r="BG153" s="389"/>
      <c r="BH153" s="389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89"/>
      <c r="BS153" s="389"/>
      <c r="BT153" s="389"/>
      <c r="BU153" s="389"/>
      <c r="BV153" s="389"/>
      <c r="BW153" s="389"/>
      <c r="BX153" s="389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389"/>
      <c r="CM153" s="389"/>
      <c r="CN153" s="389"/>
      <c r="CO153" s="389"/>
      <c r="CP153" s="389"/>
      <c r="CQ153" s="389"/>
      <c r="CR153" s="389"/>
      <c r="CS153" s="389"/>
      <c r="CT153" s="389"/>
      <c r="CU153" s="389"/>
      <c r="CV153" s="389"/>
      <c r="CW153" s="389"/>
      <c r="CX153" s="389"/>
      <c r="CY153" s="389"/>
      <c r="CZ153" s="389"/>
      <c r="DA153" s="389"/>
      <c r="DB153" s="389"/>
      <c r="DC153" s="389"/>
      <c r="DD153" s="389"/>
      <c r="DE153" s="389"/>
      <c r="DF153" s="389"/>
      <c r="DG153" s="389"/>
      <c r="DH153" s="389"/>
      <c r="DI153" s="389"/>
      <c r="DJ153" s="389"/>
      <c r="DK153" s="389"/>
      <c r="DL153" s="389"/>
      <c r="DM153" s="389"/>
      <c r="DN153" s="389"/>
      <c r="DO153" s="389"/>
      <c r="DP153" s="389"/>
      <c r="DQ153" s="389"/>
      <c r="DR153" s="389"/>
      <c r="DS153" s="389"/>
      <c r="DT153" s="389"/>
      <c r="DU153" s="389"/>
      <c r="DV153" s="389"/>
      <c r="DW153" s="389"/>
      <c r="DX153" s="389"/>
      <c r="DY153" s="389"/>
      <c r="DZ153" s="389"/>
      <c r="EA153" s="389"/>
      <c r="EB153" s="389"/>
      <c r="EC153" s="389"/>
      <c r="ED153" s="389"/>
      <c r="EE153" s="389"/>
      <c r="EF153" s="389"/>
      <c r="EG153" s="389"/>
      <c r="EH153" s="389"/>
      <c r="EI153" s="389"/>
      <c r="EJ153" s="389"/>
      <c r="EK153" s="389"/>
      <c r="EL153" s="389"/>
      <c r="EM153" s="389"/>
      <c r="EN153" s="389"/>
      <c r="EO153" s="389"/>
      <c r="EP153" s="389"/>
      <c r="EQ153" s="389"/>
      <c r="ER153" s="389"/>
      <c r="ES153" s="389"/>
      <c r="ET153" s="389"/>
      <c r="EU153" s="389"/>
      <c r="EV153" s="389"/>
      <c r="EW153" s="389"/>
      <c r="EX153" s="389"/>
      <c r="EY153" s="389"/>
      <c r="EZ153" s="389"/>
      <c r="FA153" s="389"/>
      <c r="FB153" s="389"/>
      <c r="FC153" s="389"/>
      <c r="FD153" s="389"/>
      <c r="FE153" s="389"/>
      <c r="FF153" s="389"/>
      <c r="FG153" s="389"/>
      <c r="FH153" s="389"/>
      <c r="FI153" s="389"/>
      <c r="FJ153" s="389"/>
      <c r="FK153" s="389"/>
      <c r="FL153" s="389"/>
      <c r="FM153" s="389"/>
    </row>
    <row r="154" spans="41:169" ht="18.75" customHeight="1" x14ac:dyDescent="0.3">
      <c r="AO154" s="389"/>
      <c r="AP154" s="389"/>
      <c r="AQ154" s="389"/>
      <c r="AR154" s="389"/>
      <c r="AS154" s="389"/>
      <c r="AT154" s="389"/>
      <c r="AU154" s="389"/>
      <c r="AV154" s="389"/>
      <c r="AW154" s="389"/>
      <c r="AX154" s="389"/>
      <c r="AY154" s="389"/>
      <c r="AZ154" s="389"/>
      <c r="BA154" s="389"/>
      <c r="BB154" s="389"/>
      <c r="BC154" s="389"/>
      <c r="BD154" s="389"/>
      <c r="BE154" s="389"/>
      <c r="BF154" s="389"/>
      <c r="BG154" s="389"/>
      <c r="BH154" s="389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89"/>
      <c r="CX154" s="389"/>
      <c r="CY154" s="389"/>
      <c r="CZ154" s="389"/>
      <c r="DA154" s="389"/>
      <c r="DB154" s="389"/>
      <c r="DC154" s="389"/>
      <c r="DD154" s="389"/>
      <c r="DE154" s="389"/>
      <c r="DF154" s="389"/>
      <c r="DG154" s="389"/>
      <c r="DH154" s="389"/>
      <c r="DI154" s="389"/>
      <c r="DJ154" s="389"/>
      <c r="DK154" s="389"/>
      <c r="DL154" s="389"/>
      <c r="DM154" s="389"/>
      <c r="DN154" s="389"/>
      <c r="DO154" s="389"/>
      <c r="DP154" s="389"/>
      <c r="DQ154" s="389"/>
      <c r="DR154" s="389"/>
      <c r="DS154" s="389"/>
      <c r="DT154" s="389"/>
      <c r="DU154" s="389"/>
      <c r="DV154" s="389"/>
      <c r="DW154" s="389"/>
      <c r="DX154" s="389"/>
      <c r="DY154" s="389"/>
      <c r="DZ154" s="389"/>
      <c r="EA154" s="389"/>
      <c r="EB154" s="389"/>
      <c r="EC154" s="389"/>
      <c r="ED154" s="389"/>
      <c r="EE154" s="389"/>
      <c r="EF154" s="389"/>
      <c r="EG154" s="389"/>
      <c r="EH154" s="389"/>
      <c r="EI154" s="389"/>
      <c r="EJ154" s="389"/>
      <c r="EK154" s="389"/>
      <c r="EL154" s="389"/>
      <c r="EM154" s="389"/>
      <c r="EN154" s="389"/>
      <c r="EO154" s="389"/>
      <c r="EP154" s="389"/>
      <c r="EQ154" s="389"/>
      <c r="ER154" s="389"/>
      <c r="ES154" s="389"/>
      <c r="ET154" s="389"/>
      <c r="EU154" s="389"/>
      <c r="EV154" s="389"/>
      <c r="EW154" s="389"/>
      <c r="EX154" s="389"/>
      <c r="EY154" s="389"/>
      <c r="EZ154" s="389"/>
      <c r="FA154" s="389"/>
      <c r="FB154" s="389"/>
      <c r="FC154" s="389"/>
      <c r="FD154" s="389"/>
      <c r="FE154" s="389"/>
      <c r="FF154" s="389"/>
      <c r="FG154" s="389"/>
      <c r="FH154" s="389"/>
      <c r="FI154" s="389"/>
      <c r="FJ154" s="389"/>
      <c r="FK154" s="389"/>
      <c r="FL154" s="389"/>
      <c r="FM154" s="389"/>
    </row>
    <row r="155" spans="41:169" ht="18.75" customHeight="1" x14ac:dyDescent="0.3">
      <c r="AO155" s="389"/>
      <c r="AP155" s="389"/>
      <c r="AQ155" s="389"/>
      <c r="AR155" s="389"/>
      <c r="AS155" s="389"/>
      <c r="AT155" s="389"/>
      <c r="AU155" s="389"/>
      <c r="AV155" s="389"/>
      <c r="AW155" s="389"/>
      <c r="AX155" s="389"/>
      <c r="AY155" s="389"/>
      <c r="AZ155" s="389"/>
      <c r="BA155" s="389"/>
      <c r="BB155" s="389"/>
      <c r="BC155" s="389"/>
      <c r="BD155" s="389"/>
      <c r="BE155" s="389"/>
      <c r="BF155" s="389"/>
      <c r="BG155" s="389"/>
      <c r="BH155" s="389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89"/>
      <c r="CL155" s="389"/>
      <c r="CM155" s="389"/>
      <c r="CN155" s="389"/>
      <c r="CO155" s="389"/>
      <c r="CP155" s="389"/>
      <c r="CQ155" s="389"/>
      <c r="CR155" s="389"/>
      <c r="CS155" s="389"/>
      <c r="CT155" s="389"/>
      <c r="CU155" s="389"/>
      <c r="CV155" s="389"/>
      <c r="CW155" s="389"/>
      <c r="CX155" s="389"/>
      <c r="CY155" s="389"/>
      <c r="CZ155" s="389"/>
      <c r="DA155" s="389"/>
      <c r="DB155" s="389"/>
      <c r="DC155" s="389"/>
      <c r="DD155" s="389"/>
      <c r="DE155" s="389"/>
      <c r="DF155" s="389"/>
      <c r="DG155" s="389"/>
      <c r="DH155" s="389"/>
      <c r="DI155" s="389"/>
      <c r="DJ155" s="389"/>
      <c r="DK155" s="389"/>
      <c r="DL155" s="389"/>
      <c r="DM155" s="389"/>
      <c r="DN155" s="389"/>
      <c r="DO155" s="389"/>
      <c r="DP155" s="389"/>
      <c r="DQ155" s="389"/>
      <c r="DR155" s="389"/>
      <c r="DS155" s="389"/>
      <c r="DT155" s="389"/>
      <c r="DU155" s="389"/>
      <c r="DV155" s="389"/>
      <c r="DW155" s="389"/>
      <c r="DX155" s="389"/>
      <c r="DY155" s="389"/>
      <c r="DZ155" s="389"/>
      <c r="EA155" s="389"/>
      <c r="EB155" s="389"/>
      <c r="EC155" s="389"/>
      <c r="ED155" s="389"/>
      <c r="EE155" s="389"/>
      <c r="EF155" s="389"/>
      <c r="EG155" s="389"/>
      <c r="EH155" s="389"/>
      <c r="EI155" s="389"/>
      <c r="EJ155" s="389"/>
      <c r="EK155" s="389"/>
      <c r="EL155" s="389"/>
      <c r="EM155" s="389"/>
      <c r="EN155" s="389"/>
      <c r="EO155" s="389"/>
      <c r="EP155" s="389"/>
      <c r="EQ155" s="389"/>
      <c r="ER155" s="389"/>
      <c r="ES155" s="389"/>
      <c r="ET155" s="389"/>
      <c r="EU155" s="389"/>
      <c r="EV155" s="389"/>
      <c r="EW155" s="389"/>
      <c r="EX155" s="389"/>
      <c r="EY155" s="389"/>
      <c r="EZ155" s="389"/>
      <c r="FA155" s="389"/>
      <c r="FB155" s="389"/>
      <c r="FC155" s="389"/>
      <c r="FD155" s="389"/>
      <c r="FE155" s="389"/>
      <c r="FF155" s="389"/>
      <c r="FG155" s="389"/>
      <c r="FH155" s="389"/>
      <c r="FI155" s="389"/>
      <c r="FJ155" s="389"/>
      <c r="FK155" s="389"/>
      <c r="FL155" s="389"/>
      <c r="FM155" s="389"/>
    </row>
    <row r="156" spans="41:169" ht="18.75" customHeight="1" x14ac:dyDescent="0.3">
      <c r="AO156" s="389"/>
      <c r="AP156" s="389"/>
      <c r="AQ156" s="389"/>
      <c r="AR156" s="389"/>
      <c r="AS156" s="389"/>
      <c r="AT156" s="389"/>
      <c r="AU156" s="389"/>
      <c r="AV156" s="389"/>
      <c r="AW156" s="389"/>
      <c r="AX156" s="389"/>
      <c r="AY156" s="389"/>
      <c r="AZ156" s="389"/>
      <c r="BA156" s="389"/>
      <c r="BB156" s="389"/>
      <c r="BC156" s="389"/>
      <c r="BD156" s="389"/>
      <c r="BE156" s="389"/>
      <c r="BF156" s="389"/>
      <c r="BG156" s="389"/>
      <c r="BH156" s="389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389"/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89"/>
      <c r="DA156" s="389"/>
      <c r="DB156" s="389"/>
      <c r="DC156" s="389"/>
      <c r="DD156" s="389"/>
      <c r="DE156" s="389"/>
      <c r="DF156" s="389"/>
      <c r="DG156" s="389"/>
      <c r="DH156" s="389"/>
      <c r="DI156" s="389"/>
      <c r="DJ156" s="389"/>
      <c r="DK156" s="389"/>
      <c r="DL156" s="389"/>
      <c r="DM156" s="389"/>
      <c r="DN156" s="389"/>
      <c r="DO156" s="389"/>
      <c r="DP156" s="389"/>
      <c r="DQ156" s="389"/>
      <c r="DR156" s="389"/>
      <c r="DS156" s="389"/>
      <c r="DT156" s="389"/>
      <c r="DU156" s="389"/>
      <c r="DV156" s="389"/>
      <c r="DW156" s="389"/>
      <c r="DX156" s="389"/>
      <c r="DY156" s="389"/>
      <c r="DZ156" s="389"/>
      <c r="EA156" s="389"/>
      <c r="EB156" s="389"/>
      <c r="EC156" s="389"/>
      <c r="ED156" s="389"/>
      <c r="EE156" s="389"/>
      <c r="EF156" s="389"/>
      <c r="EG156" s="389"/>
      <c r="EH156" s="389"/>
      <c r="EI156" s="389"/>
      <c r="EJ156" s="389"/>
      <c r="EK156" s="389"/>
      <c r="EL156" s="389"/>
      <c r="EM156" s="389"/>
      <c r="EN156" s="389"/>
      <c r="EO156" s="389"/>
      <c r="EP156" s="389"/>
      <c r="EQ156" s="389"/>
      <c r="ER156" s="389"/>
      <c r="ES156" s="389"/>
      <c r="ET156" s="389"/>
      <c r="EU156" s="389"/>
      <c r="EV156" s="389"/>
      <c r="EW156" s="389"/>
      <c r="EX156" s="389"/>
      <c r="EY156" s="389"/>
      <c r="EZ156" s="389"/>
      <c r="FA156" s="389"/>
      <c r="FB156" s="389"/>
      <c r="FC156" s="389"/>
      <c r="FD156" s="389"/>
      <c r="FE156" s="389"/>
      <c r="FF156" s="389"/>
      <c r="FG156" s="389"/>
      <c r="FH156" s="389"/>
      <c r="FI156" s="389"/>
      <c r="FJ156" s="389"/>
      <c r="FK156" s="389"/>
      <c r="FL156" s="389"/>
      <c r="FM156" s="389"/>
    </row>
    <row r="157" spans="41:169" ht="18.75" customHeight="1" x14ac:dyDescent="0.3">
      <c r="AO157" s="389"/>
      <c r="AP157" s="389"/>
      <c r="AQ157" s="389"/>
      <c r="AR157" s="389"/>
      <c r="AS157" s="389"/>
      <c r="AT157" s="389"/>
      <c r="AU157" s="389"/>
      <c r="AV157" s="389"/>
      <c r="AW157" s="389"/>
      <c r="AX157" s="389"/>
      <c r="AY157" s="389"/>
      <c r="AZ157" s="389"/>
      <c r="BA157" s="389"/>
      <c r="BB157" s="389"/>
      <c r="BC157" s="389"/>
      <c r="BD157" s="389"/>
      <c r="BE157" s="389"/>
      <c r="BF157" s="389"/>
      <c r="BG157" s="389"/>
      <c r="BH157" s="389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89"/>
      <c r="BS157" s="389"/>
      <c r="BT157" s="389"/>
      <c r="BU157" s="389"/>
      <c r="BV157" s="389"/>
      <c r="BW157" s="389"/>
      <c r="BX157" s="389"/>
      <c r="BY157" s="389"/>
      <c r="BZ157" s="389"/>
      <c r="CA157" s="389"/>
      <c r="CB157" s="389"/>
      <c r="CC157" s="389"/>
      <c r="CD157" s="389"/>
      <c r="CE157" s="389"/>
      <c r="CF157" s="389"/>
      <c r="CG157" s="389"/>
      <c r="CH157" s="389"/>
      <c r="CI157" s="389"/>
      <c r="CJ157" s="389"/>
      <c r="CK157" s="389"/>
      <c r="CL157" s="389"/>
      <c r="CM157" s="389"/>
      <c r="CN157" s="389"/>
      <c r="CO157" s="389"/>
      <c r="CP157" s="389"/>
      <c r="CQ157" s="389"/>
      <c r="CR157" s="389"/>
      <c r="CS157" s="389"/>
      <c r="CT157" s="389"/>
      <c r="CU157" s="389"/>
      <c r="CV157" s="389"/>
      <c r="CW157" s="389"/>
      <c r="CX157" s="389"/>
      <c r="CY157" s="389"/>
      <c r="CZ157" s="389"/>
      <c r="DA157" s="389"/>
      <c r="DB157" s="389"/>
      <c r="DC157" s="389"/>
      <c r="DD157" s="389"/>
      <c r="DE157" s="389"/>
      <c r="DF157" s="389"/>
      <c r="DG157" s="389"/>
      <c r="DH157" s="389"/>
      <c r="DI157" s="389"/>
      <c r="DJ157" s="389"/>
      <c r="DK157" s="389"/>
      <c r="DL157" s="389"/>
      <c r="DM157" s="389"/>
      <c r="DN157" s="389"/>
      <c r="DO157" s="389"/>
      <c r="DP157" s="389"/>
      <c r="DQ157" s="389"/>
      <c r="DR157" s="389"/>
      <c r="DS157" s="389"/>
      <c r="DT157" s="389"/>
      <c r="DU157" s="389"/>
      <c r="DV157" s="389"/>
      <c r="DW157" s="389"/>
      <c r="DX157" s="389"/>
      <c r="DY157" s="389"/>
      <c r="DZ157" s="389"/>
      <c r="EA157" s="389"/>
      <c r="EB157" s="389"/>
      <c r="EC157" s="389"/>
      <c r="ED157" s="389"/>
      <c r="EE157" s="389"/>
      <c r="EF157" s="389"/>
      <c r="EG157" s="389"/>
      <c r="EH157" s="389"/>
      <c r="EI157" s="389"/>
      <c r="EJ157" s="389"/>
      <c r="EK157" s="389"/>
      <c r="EL157" s="389"/>
      <c r="EM157" s="389"/>
      <c r="EN157" s="389"/>
      <c r="EO157" s="389"/>
      <c r="EP157" s="389"/>
      <c r="EQ157" s="389"/>
      <c r="ER157" s="389"/>
      <c r="ES157" s="389"/>
      <c r="ET157" s="389"/>
      <c r="EU157" s="389"/>
      <c r="EV157" s="389"/>
      <c r="EW157" s="389"/>
      <c r="EX157" s="389"/>
      <c r="EY157" s="389"/>
      <c r="EZ157" s="389"/>
      <c r="FA157" s="389"/>
      <c r="FB157" s="389"/>
      <c r="FC157" s="389"/>
      <c r="FD157" s="389"/>
      <c r="FE157" s="389"/>
      <c r="FF157" s="389"/>
      <c r="FG157" s="389"/>
      <c r="FH157" s="389"/>
      <c r="FI157" s="389"/>
      <c r="FJ157" s="389"/>
      <c r="FK157" s="389"/>
      <c r="FL157" s="389"/>
      <c r="FM157" s="389"/>
    </row>
    <row r="158" spans="41:169" ht="18.75" customHeight="1" x14ac:dyDescent="0.3">
      <c r="AO158" s="389"/>
      <c r="AP158" s="389"/>
      <c r="AQ158" s="389"/>
      <c r="AR158" s="389"/>
      <c r="AS158" s="389"/>
      <c r="AT158" s="389"/>
      <c r="AU158" s="389"/>
      <c r="AV158" s="389"/>
      <c r="AW158" s="389"/>
      <c r="AX158" s="389"/>
      <c r="AY158" s="389"/>
      <c r="AZ158" s="389"/>
      <c r="BA158" s="389"/>
      <c r="BB158" s="389"/>
      <c r="BC158" s="389"/>
      <c r="BD158" s="389"/>
      <c r="BE158" s="389"/>
      <c r="BF158" s="389"/>
      <c r="BG158" s="389"/>
      <c r="BH158" s="389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89"/>
      <c r="BS158" s="389"/>
      <c r="BT158" s="389"/>
      <c r="BU158" s="389"/>
      <c r="BV158" s="389"/>
      <c r="BW158" s="389"/>
      <c r="BX158" s="389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389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89"/>
      <c r="DL158" s="389"/>
      <c r="DM158" s="389"/>
      <c r="DN158" s="389"/>
      <c r="DO158" s="389"/>
      <c r="DP158" s="389"/>
      <c r="DQ158" s="389"/>
      <c r="DR158" s="389"/>
      <c r="DS158" s="389"/>
      <c r="DT158" s="389"/>
      <c r="DU158" s="389"/>
      <c r="DV158" s="389"/>
      <c r="DW158" s="389"/>
      <c r="DX158" s="389"/>
      <c r="DY158" s="389"/>
      <c r="DZ158" s="389"/>
      <c r="EA158" s="389"/>
      <c r="EB158" s="389"/>
      <c r="EC158" s="389"/>
      <c r="ED158" s="389"/>
      <c r="EE158" s="389"/>
      <c r="EF158" s="389"/>
      <c r="EG158" s="389"/>
      <c r="EH158" s="389"/>
      <c r="EI158" s="389"/>
      <c r="EJ158" s="389"/>
      <c r="EK158" s="389"/>
      <c r="EL158" s="389"/>
      <c r="EM158" s="389"/>
      <c r="EN158" s="389"/>
      <c r="EO158" s="389"/>
      <c r="EP158" s="389"/>
      <c r="EQ158" s="389"/>
      <c r="ER158" s="389"/>
      <c r="ES158" s="389"/>
      <c r="ET158" s="389"/>
      <c r="EU158" s="389"/>
      <c r="EV158" s="389"/>
      <c r="EW158" s="389"/>
      <c r="EX158" s="389"/>
      <c r="EY158" s="389"/>
      <c r="EZ158" s="389"/>
      <c r="FA158" s="389"/>
      <c r="FB158" s="389"/>
      <c r="FC158" s="389"/>
      <c r="FD158" s="389"/>
      <c r="FE158" s="389"/>
      <c r="FF158" s="389"/>
      <c r="FG158" s="389"/>
      <c r="FH158" s="389"/>
      <c r="FI158" s="389"/>
      <c r="FJ158" s="389"/>
      <c r="FK158" s="389"/>
      <c r="FL158" s="389"/>
      <c r="FM158" s="389"/>
    </row>
    <row r="159" spans="41:169" ht="18.75" customHeight="1" x14ac:dyDescent="0.3">
      <c r="AO159" s="389"/>
      <c r="AP159" s="389"/>
      <c r="AQ159" s="389"/>
      <c r="AR159" s="389"/>
      <c r="AS159" s="389"/>
      <c r="AT159" s="389"/>
      <c r="AU159" s="389"/>
      <c r="AV159" s="389"/>
      <c r="AW159" s="389"/>
      <c r="AX159" s="389"/>
      <c r="AY159" s="389"/>
      <c r="AZ159" s="389"/>
      <c r="BA159" s="389"/>
      <c r="BB159" s="389"/>
      <c r="BC159" s="389"/>
      <c r="BD159" s="389"/>
      <c r="BE159" s="389"/>
      <c r="BF159" s="389"/>
      <c r="BG159" s="389"/>
      <c r="BH159" s="389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89"/>
      <c r="BS159" s="389"/>
      <c r="BT159" s="389"/>
      <c r="BU159" s="389"/>
      <c r="BV159" s="389"/>
      <c r="BW159" s="389"/>
      <c r="BX159" s="389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389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389"/>
      <c r="DG159" s="389"/>
      <c r="DH159" s="389"/>
      <c r="DI159" s="389"/>
      <c r="DJ159" s="389"/>
      <c r="DK159" s="389"/>
      <c r="DL159" s="389"/>
      <c r="DM159" s="389"/>
      <c r="DN159" s="389"/>
      <c r="DO159" s="389"/>
      <c r="DP159" s="389"/>
      <c r="DQ159" s="389"/>
      <c r="DR159" s="389"/>
      <c r="DS159" s="389"/>
      <c r="DT159" s="389"/>
      <c r="DU159" s="389"/>
      <c r="DV159" s="389"/>
      <c r="DW159" s="389"/>
      <c r="DX159" s="389"/>
      <c r="DY159" s="389"/>
      <c r="DZ159" s="389"/>
      <c r="EA159" s="389"/>
      <c r="EB159" s="389"/>
      <c r="EC159" s="389"/>
      <c r="ED159" s="389"/>
      <c r="EE159" s="389"/>
      <c r="EF159" s="389"/>
      <c r="EG159" s="389"/>
      <c r="EH159" s="389"/>
      <c r="EI159" s="389"/>
      <c r="EJ159" s="389"/>
      <c r="EK159" s="389"/>
      <c r="EL159" s="389"/>
      <c r="EM159" s="389"/>
      <c r="EN159" s="389"/>
      <c r="EO159" s="389"/>
      <c r="EP159" s="389"/>
      <c r="EQ159" s="389"/>
      <c r="ER159" s="389"/>
      <c r="ES159" s="389"/>
      <c r="ET159" s="389"/>
      <c r="EU159" s="389"/>
      <c r="EV159" s="389"/>
      <c r="EW159" s="389"/>
      <c r="EX159" s="389"/>
      <c r="EY159" s="389"/>
      <c r="EZ159" s="389"/>
      <c r="FA159" s="389"/>
      <c r="FB159" s="389"/>
      <c r="FC159" s="389"/>
      <c r="FD159" s="389"/>
      <c r="FE159" s="389"/>
      <c r="FF159" s="389"/>
      <c r="FG159" s="389"/>
      <c r="FH159" s="389"/>
      <c r="FI159" s="389"/>
      <c r="FJ159" s="389"/>
      <c r="FK159" s="389"/>
      <c r="FL159" s="389"/>
      <c r="FM159" s="389"/>
    </row>
    <row r="160" spans="41:169" ht="18.75" customHeight="1" x14ac:dyDescent="0.3">
      <c r="AO160" s="389"/>
      <c r="AP160" s="389"/>
      <c r="AQ160" s="389"/>
      <c r="AR160" s="389"/>
      <c r="AS160" s="389"/>
      <c r="AT160" s="389"/>
      <c r="AU160" s="389"/>
      <c r="AV160" s="389"/>
      <c r="AW160" s="389"/>
      <c r="AX160" s="389"/>
      <c r="AY160" s="389"/>
      <c r="AZ160" s="389"/>
      <c r="BA160" s="389"/>
      <c r="BB160" s="389"/>
      <c r="BC160" s="389"/>
      <c r="BD160" s="389"/>
      <c r="BE160" s="389"/>
      <c r="BF160" s="389"/>
      <c r="BG160" s="389"/>
      <c r="BH160" s="389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89"/>
      <c r="BS160" s="389"/>
      <c r="BT160" s="389"/>
      <c r="BU160" s="389"/>
      <c r="BV160" s="389"/>
      <c r="BW160" s="389"/>
      <c r="BX160" s="389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389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389"/>
      <c r="DG160" s="389"/>
      <c r="DH160" s="389"/>
      <c r="DI160" s="389"/>
      <c r="DJ160" s="389"/>
      <c r="DK160" s="389"/>
      <c r="DL160" s="389"/>
      <c r="DM160" s="389"/>
      <c r="DN160" s="389"/>
      <c r="DO160" s="389"/>
      <c r="DP160" s="389"/>
      <c r="DQ160" s="389"/>
      <c r="DR160" s="389"/>
      <c r="DS160" s="389"/>
      <c r="DT160" s="389"/>
      <c r="DU160" s="389"/>
      <c r="DV160" s="389"/>
      <c r="DW160" s="389"/>
      <c r="DX160" s="389"/>
      <c r="DY160" s="389"/>
      <c r="DZ160" s="389"/>
      <c r="EA160" s="389"/>
      <c r="EB160" s="389"/>
      <c r="EC160" s="389"/>
      <c r="ED160" s="389"/>
      <c r="EE160" s="389"/>
      <c r="EF160" s="389"/>
      <c r="EG160" s="389"/>
      <c r="EH160" s="389"/>
      <c r="EI160" s="389"/>
      <c r="EJ160" s="389"/>
      <c r="EK160" s="389"/>
      <c r="EL160" s="389"/>
      <c r="EM160" s="389"/>
      <c r="EN160" s="389"/>
      <c r="EO160" s="389"/>
      <c r="EP160" s="389"/>
      <c r="EQ160" s="389"/>
      <c r="ER160" s="389"/>
      <c r="ES160" s="389"/>
      <c r="ET160" s="389"/>
      <c r="EU160" s="389"/>
      <c r="EV160" s="389"/>
      <c r="EW160" s="389"/>
      <c r="EX160" s="389"/>
      <c r="EY160" s="389"/>
      <c r="EZ160" s="389"/>
      <c r="FA160" s="389"/>
      <c r="FB160" s="389"/>
      <c r="FC160" s="389"/>
      <c r="FD160" s="389"/>
      <c r="FE160" s="389"/>
      <c r="FF160" s="389"/>
      <c r="FG160" s="389"/>
      <c r="FH160" s="389"/>
      <c r="FI160" s="389"/>
      <c r="FJ160" s="389"/>
      <c r="FK160" s="389"/>
      <c r="FL160" s="389"/>
      <c r="FM160" s="389"/>
    </row>
    <row r="161" spans="41:169" ht="18.75" customHeight="1" x14ac:dyDescent="0.3">
      <c r="AO161" s="389"/>
      <c r="AP161" s="389"/>
      <c r="AQ161" s="389"/>
      <c r="AR161" s="389"/>
      <c r="AS161" s="389"/>
      <c r="AT161" s="389"/>
      <c r="AU161" s="389"/>
      <c r="AV161" s="389"/>
      <c r="AW161" s="389"/>
      <c r="AX161" s="389"/>
      <c r="AY161" s="389"/>
      <c r="AZ161" s="389"/>
      <c r="BA161" s="389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389"/>
      <c r="DM161" s="389"/>
      <c r="DN161" s="389"/>
      <c r="DO161" s="389"/>
      <c r="DP161" s="389"/>
      <c r="DQ161" s="389"/>
      <c r="DR161" s="389"/>
      <c r="DS161" s="389"/>
      <c r="DT161" s="389"/>
      <c r="DU161" s="389"/>
      <c r="DV161" s="389"/>
      <c r="DW161" s="389"/>
      <c r="DX161" s="389"/>
      <c r="DY161" s="389"/>
      <c r="DZ161" s="389"/>
      <c r="EA161" s="389"/>
      <c r="EB161" s="389"/>
      <c r="EC161" s="389"/>
      <c r="ED161" s="389"/>
      <c r="EE161" s="389"/>
      <c r="EF161" s="389"/>
      <c r="EG161" s="389"/>
      <c r="EH161" s="389"/>
      <c r="EI161" s="389"/>
      <c r="EJ161" s="389"/>
      <c r="EK161" s="389"/>
      <c r="EL161" s="389"/>
      <c r="EM161" s="389"/>
      <c r="EN161" s="389"/>
      <c r="EO161" s="389"/>
      <c r="EP161" s="389"/>
      <c r="EQ161" s="389"/>
      <c r="ER161" s="389"/>
      <c r="ES161" s="389"/>
      <c r="ET161" s="389"/>
      <c r="EU161" s="389"/>
      <c r="EV161" s="389"/>
      <c r="EW161" s="389"/>
      <c r="EX161" s="389"/>
      <c r="EY161" s="389"/>
      <c r="EZ161" s="389"/>
      <c r="FA161" s="389"/>
      <c r="FB161" s="389"/>
      <c r="FC161" s="389"/>
      <c r="FD161" s="389"/>
      <c r="FE161" s="389"/>
      <c r="FF161" s="389"/>
      <c r="FG161" s="389"/>
      <c r="FH161" s="389"/>
      <c r="FI161" s="389"/>
      <c r="FJ161" s="389"/>
      <c r="FK161" s="389"/>
      <c r="FL161" s="389"/>
      <c r="FM161" s="389"/>
    </row>
    <row r="162" spans="41:169" ht="18.75" customHeight="1" x14ac:dyDescent="0.3">
      <c r="AO162" s="389"/>
      <c r="AP162" s="389"/>
      <c r="AQ162" s="389"/>
      <c r="AR162" s="389"/>
      <c r="AS162" s="389"/>
      <c r="AT162" s="389"/>
      <c r="AU162" s="389"/>
      <c r="AV162" s="389"/>
      <c r="AW162" s="389"/>
      <c r="AX162" s="389"/>
      <c r="AY162" s="389"/>
      <c r="AZ162" s="389"/>
      <c r="BA162" s="389"/>
      <c r="BB162" s="389"/>
      <c r="BC162" s="389"/>
      <c r="BD162" s="389"/>
      <c r="BE162" s="389"/>
      <c r="BF162" s="389"/>
      <c r="BG162" s="389"/>
      <c r="BH162" s="389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389"/>
      <c r="DM162" s="389"/>
      <c r="DN162" s="389"/>
      <c r="DO162" s="389"/>
      <c r="DP162" s="389"/>
      <c r="DQ162" s="389"/>
      <c r="DR162" s="389"/>
      <c r="DS162" s="389"/>
      <c r="DT162" s="389"/>
      <c r="DU162" s="389"/>
      <c r="DV162" s="389"/>
      <c r="DW162" s="389"/>
      <c r="DX162" s="389"/>
      <c r="DY162" s="389"/>
      <c r="DZ162" s="389"/>
      <c r="EA162" s="389"/>
      <c r="EB162" s="389"/>
      <c r="EC162" s="389"/>
      <c r="ED162" s="389"/>
      <c r="EE162" s="389"/>
      <c r="EF162" s="389"/>
      <c r="EG162" s="389"/>
      <c r="EH162" s="389"/>
      <c r="EI162" s="389"/>
      <c r="EJ162" s="389"/>
      <c r="EK162" s="389"/>
      <c r="EL162" s="389"/>
      <c r="EM162" s="389"/>
      <c r="EN162" s="389"/>
      <c r="EO162" s="389"/>
      <c r="EP162" s="389"/>
      <c r="EQ162" s="389"/>
      <c r="ER162" s="389"/>
      <c r="ES162" s="389"/>
      <c r="ET162" s="389"/>
      <c r="EU162" s="389"/>
      <c r="EV162" s="389"/>
      <c r="EW162" s="389"/>
      <c r="EX162" s="389"/>
      <c r="EY162" s="389"/>
      <c r="EZ162" s="389"/>
      <c r="FA162" s="389"/>
      <c r="FB162" s="389"/>
      <c r="FC162" s="389"/>
      <c r="FD162" s="389"/>
      <c r="FE162" s="389"/>
      <c r="FF162" s="389"/>
      <c r="FG162" s="389"/>
      <c r="FH162" s="389"/>
      <c r="FI162" s="389"/>
      <c r="FJ162" s="389"/>
      <c r="FK162" s="389"/>
      <c r="FL162" s="389"/>
      <c r="FM162" s="389"/>
    </row>
    <row r="163" spans="41:169" ht="18.75" customHeight="1" x14ac:dyDescent="0.3">
      <c r="AO163" s="389"/>
      <c r="AP163" s="389"/>
      <c r="AQ163" s="389"/>
      <c r="AR163" s="389"/>
      <c r="AS163" s="389"/>
      <c r="AT163" s="389"/>
      <c r="AU163" s="389"/>
      <c r="AV163" s="389"/>
      <c r="AW163" s="389"/>
      <c r="AX163" s="389"/>
      <c r="AY163" s="389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89"/>
      <c r="CS163" s="389"/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389"/>
      <c r="DG163" s="389"/>
      <c r="DH163" s="389"/>
      <c r="DI163" s="389"/>
      <c r="DJ163" s="389"/>
      <c r="DK163" s="389"/>
      <c r="DL163" s="389"/>
      <c r="DM163" s="389"/>
      <c r="DN163" s="389"/>
      <c r="DO163" s="389"/>
      <c r="DP163" s="389"/>
      <c r="DQ163" s="389"/>
      <c r="DR163" s="389"/>
      <c r="DS163" s="389"/>
      <c r="DT163" s="389"/>
      <c r="DU163" s="389"/>
      <c r="DV163" s="389"/>
      <c r="DW163" s="389"/>
      <c r="DX163" s="389"/>
      <c r="DY163" s="389"/>
      <c r="DZ163" s="389"/>
      <c r="EA163" s="389"/>
      <c r="EB163" s="389"/>
      <c r="EC163" s="389"/>
      <c r="ED163" s="389"/>
      <c r="EE163" s="389"/>
      <c r="EF163" s="389"/>
      <c r="EG163" s="389"/>
      <c r="EH163" s="389"/>
      <c r="EI163" s="389"/>
      <c r="EJ163" s="389"/>
      <c r="EK163" s="389"/>
      <c r="EL163" s="389"/>
      <c r="EM163" s="389"/>
      <c r="EN163" s="389"/>
      <c r="EO163" s="389"/>
      <c r="EP163" s="389"/>
      <c r="EQ163" s="389"/>
      <c r="ER163" s="389"/>
      <c r="ES163" s="389"/>
      <c r="ET163" s="389"/>
      <c r="EU163" s="389"/>
      <c r="EV163" s="389"/>
      <c r="EW163" s="389"/>
      <c r="EX163" s="389"/>
      <c r="EY163" s="389"/>
      <c r="EZ163" s="389"/>
      <c r="FA163" s="389"/>
      <c r="FB163" s="389"/>
      <c r="FC163" s="389"/>
      <c r="FD163" s="389"/>
      <c r="FE163" s="389"/>
      <c r="FF163" s="389"/>
      <c r="FG163" s="389"/>
      <c r="FH163" s="389"/>
      <c r="FI163" s="389"/>
      <c r="FJ163" s="389"/>
      <c r="FK163" s="389"/>
      <c r="FL163" s="389"/>
      <c r="FM163" s="389"/>
    </row>
    <row r="164" spans="41:169" ht="18.75" customHeight="1" x14ac:dyDescent="0.3">
      <c r="AO164" s="389"/>
      <c r="AP164" s="389"/>
      <c r="AQ164" s="389"/>
      <c r="AR164" s="389"/>
      <c r="AS164" s="389"/>
      <c r="AT164" s="389"/>
      <c r="AU164" s="389"/>
      <c r="AV164" s="389"/>
      <c r="AW164" s="389"/>
      <c r="AX164" s="389"/>
      <c r="AY164" s="389"/>
      <c r="AZ164" s="389"/>
      <c r="BA164" s="389"/>
      <c r="BB164" s="389"/>
      <c r="BC164" s="389"/>
      <c r="BD164" s="389"/>
      <c r="BE164" s="389"/>
      <c r="BF164" s="389"/>
      <c r="BG164" s="389"/>
      <c r="BH164" s="389"/>
      <c r="BI164" s="389"/>
      <c r="BJ164" s="389"/>
      <c r="BK164" s="389"/>
      <c r="BL164" s="389"/>
      <c r="BM164" s="389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389"/>
      <c r="CM164" s="389"/>
      <c r="CN164" s="389"/>
      <c r="CO164" s="389"/>
      <c r="CP164" s="389"/>
      <c r="CQ164" s="389"/>
      <c r="CR164" s="389"/>
      <c r="CS164" s="389"/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389"/>
      <c r="DG164" s="389"/>
      <c r="DH164" s="389"/>
      <c r="DI164" s="389"/>
      <c r="DJ164" s="389"/>
      <c r="DK164" s="389"/>
      <c r="DL164" s="389"/>
      <c r="DM164" s="389"/>
      <c r="DN164" s="389"/>
      <c r="DO164" s="389"/>
      <c r="DP164" s="389"/>
      <c r="DQ164" s="389"/>
      <c r="DR164" s="389"/>
      <c r="DS164" s="389"/>
      <c r="DT164" s="389"/>
      <c r="DU164" s="389"/>
      <c r="DV164" s="389"/>
      <c r="DW164" s="389"/>
      <c r="DX164" s="389"/>
      <c r="DY164" s="389"/>
      <c r="DZ164" s="389"/>
      <c r="EA164" s="389"/>
      <c r="EB164" s="389"/>
      <c r="EC164" s="389"/>
      <c r="ED164" s="389"/>
      <c r="EE164" s="389"/>
      <c r="EF164" s="389"/>
      <c r="EG164" s="389"/>
      <c r="EH164" s="389"/>
      <c r="EI164" s="389"/>
      <c r="EJ164" s="389"/>
      <c r="EK164" s="389"/>
      <c r="EL164" s="389"/>
      <c r="EM164" s="389"/>
      <c r="EN164" s="389"/>
      <c r="EO164" s="389"/>
      <c r="EP164" s="389"/>
      <c r="EQ164" s="389"/>
      <c r="ER164" s="389"/>
      <c r="ES164" s="389"/>
      <c r="ET164" s="389"/>
      <c r="EU164" s="389"/>
      <c r="EV164" s="389"/>
      <c r="EW164" s="389"/>
      <c r="EX164" s="389"/>
      <c r="EY164" s="389"/>
      <c r="EZ164" s="389"/>
      <c r="FA164" s="389"/>
      <c r="FB164" s="389"/>
      <c r="FC164" s="389"/>
      <c r="FD164" s="389"/>
      <c r="FE164" s="389"/>
      <c r="FF164" s="389"/>
      <c r="FG164" s="389"/>
      <c r="FH164" s="389"/>
      <c r="FI164" s="389"/>
      <c r="FJ164" s="389"/>
      <c r="FK164" s="389"/>
      <c r="FL164" s="389"/>
      <c r="FM164" s="389"/>
    </row>
    <row r="165" spans="41:169" ht="18.75" customHeight="1" x14ac:dyDescent="0.2"/>
    <row r="166" spans="41:169" ht="18.75" customHeight="1" x14ac:dyDescent="0.2"/>
    <row r="167" spans="41:169" ht="18.75" customHeight="1" x14ac:dyDescent="0.2"/>
    <row r="168" spans="41:169" ht="18.75" customHeight="1" x14ac:dyDescent="0.2"/>
    <row r="169" spans="41:169" ht="18.75" customHeight="1" x14ac:dyDescent="0.2"/>
    <row r="170" spans="41:169" ht="18.75" customHeight="1" x14ac:dyDescent="0.2"/>
    <row r="171" spans="41:169" ht="18.75" customHeight="1" x14ac:dyDescent="0.2"/>
    <row r="172" spans="41:169" ht="18.75" customHeight="1" x14ac:dyDescent="0.2"/>
    <row r="173" spans="41:169" ht="18.75" customHeight="1" x14ac:dyDescent="0.2"/>
    <row r="174" spans="41:169" ht="18.75" customHeight="1" x14ac:dyDescent="0.2"/>
    <row r="175" spans="41:169" ht="18.75" customHeight="1" x14ac:dyDescent="0.2"/>
    <row r="176" spans="41:169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</sheetData>
  <mergeCells count="573">
    <mergeCell ref="GI74:GK74"/>
    <mergeCell ref="FQ74:FS74"/>
    <mergeCell ref="FT74:FV74"/>
    <mergeCell ref="FW74:FY74"/>
    <mergeCell ref="FZ74:GB74"/>
    <mergeCell ref="GC74:GE74"/>
    <mergeCell ref="GF74:GH74"/>
    <mergeCell ref="EY74:FA74"/>
    <mergeCell ref="FB74:FD74"/>
    <mergeCell ref="FE74:FG74"/>
    <mergeCell ref="FH74:FJ74"/>
    <mergeCell ref="FK74:FM74"/>
    <mergeCell ref="FN74:FP74"/>
    <mergeCell ref="EG74:EI74"/>
    <mergeCell ref="EJ74:EL74"/>
    <mergeCell ref="EM74:EO74"/>
    <mergeCell ref="EP74:ER74"/>
    <mergeCell ref="ES74:EU74"/>
    <mergeCell ref="EV74:EX74"/>
    <mergeCell ref="DO74:DQ74"/>
    <mergeCell ref="DR74:DT74"/>
    <mergeCell ref="DU74:DW74"/>
    <mergeCell ref="DX74:DZ74"/>
    <mergeCell ref="EA74:EC74"/>
    <mergeCell ref="ED74:EF74"/>
    <mergeCell ref="CW74:CY74"/>
    <mergeCell ref="CZ74:DB74"/>
    <mergeCell ref="DC74:DE74"/>
    <mergeCell ref="DF74:DH74"/>
    <mergeCell ref="DI74:DK74"/>
    <mergeCell ref="DL74:DN74"/>
    <mergeCell ref="CE74:CG74"/>
    <mergeCell ref="CH74:CJ74"/>
    <mergeCell ref="CK74:CM74"/>
    <mergeCell ref="CN74:CP74"/>
    <mergeCell ref="CQ74:CS74"/>
    <mergeCell ref="CT74:CV74"/>
    <mergeCell ref="BM74:BO74"/>
    <mergeCell ref="BP74:BR74"/>
    <mergeCell ref="BS74:BU74"/>
    <mergeCell ref="BV74:BX74"/>
    <mergeCell ref="BY74:CA74"/>
    <mergeCell ref="CB74:CD74"/>
    <mergeCell ref="AU74:AW74"/>
    <mergeCell ref="AX74:AZ74"/>
    <mergeCell ref="BA74:BC74"/>
    <mergeCell ref="BD74:BF74"/>
    <mergeCell ref="BG74:BI74"/>
    <mergeCell ref="BJ74:BL74"/>
    <mergeCell ref="AC74:AE74"/>
    <mergeCell ref="AF74:AH74"/>
    <mergeCell ref="AI74:AK74"/>
    <mergeCell ref="AL74:AN74"/>
    <mergeCell ref="AO74:AQ74"/>
    <mergeCell ref="AR74:AT74"/>
    <mergeCell ref="GI73:GK73"/>
    <mergeCell ref="B74:D74"/>
    <mergeCell ref="E74:G74"/>
    <mergeCell ref="H74:J74"/>
    <mergeCell ref="K74:M74"/>
    <mergeCell ref="N74:P74"/>
    <mergeCell ref="Q74:S74"/>
    <mergeCell ref="T74:V74"/>
    <mergeCell ref="W74:Y74"/>
    <mergeCell ref="Z74:AB74"/>
    <mergeCell ref="FQ73:FS73"/>
    <mergeCell ref="FT73:FV73"/>
    <mergeCell ref="FW73:FY73"/>
    <mergeCell ref="FZ73:GB73"/>
    <mergeCell ref="GC73:GE73"/>
    <mergeCell ref="GF73:GH73"/>
    <mergeCell ref="EY73:FA73"/>
    <mergeCell ref="FB73:FD73"/>
    <mergeCell ref="FE73:FG73"/>
    <mergeCell ref="FH73:FJ73"/>
    <mergeCell ref="FK73:FM73"/>
    <mergeCell ref="FN73:FP73"/>
    <mergeCell ref="EG73:EI73"/>
    <mergeCell ref="EJ73:EL73"/>
    <mergeCell ref="EM73:EO73"/>
    <mergeCell ref="EP73:ER73"/>
    <mergeCell ref="ES73:EU73"/>
    <mergeCell ref="EV73:EX73"/>
    <mergeCell ref="DO73:DQ73"/>
    <mergeCell ref="DR73:DT73"/>
    <mergeCell ref="DU73:DW73"/>
    <mergeCell ref="DX73:DZ73"/>
    <mergeCell ref="EA73:EC73"/>
    <mergeCell ref="ED73:EF73"/>
    <mergeCell ref="CW73:CY73"/>
    <mergeCell ref="CZ73:DB73"/>
    <mergeCell ref="DC73:DE73"/>
    <mergeCell ref="DF73:DH73"/>
    <mergeCell ref="DI73:DK73"/>
    <mergeCell ref="DL73:DN73"/>
    <mergeCell ref="CE73:CG73"/>
    <mergeCell ref="CH73:CJ73"/>
    <mergeCell ref="CK73:CM73"/>
    <mergeCell ref="CN73:CP73"/>
    <mergeCell ref="CQ73:CS73"/>
    <mergeCell ref="CT73:CV73"/>
    <mergeCell ref="BM73:BO73"/>
    <mergeCell ref="BP73:BR73"/>
    <mergeCell ref="BS73:BU73"/>
    <mergeCell ref="BV73:BX73"/>
    <mergeCell ref="BY73:CA73"/>
    <mergeCell ref="CB73:CD73"/>
    <mergeCell ref="AU73:AW73"/>
    <mergeCell ref="AX73:AZ73"/>
    <mergeCell ref="BA73:BC73"/>
    <mergeCell ref="BD73:BF73"/>
    <mergeCell ref="BG73:BI73"/>
    <mergeCell ref="BJ73:BL73"/>
    <mergeCell ref="AC73:AE73"/>
    <mergeCell ref="AF73:AH73"/>
    <mergeCell ref="AI73:AK73"/>
    <mergeCell ref="AL73:AN73"/>
    <mergeCell ref="AO73:AQ73"/>
    <mergeCell ref="AR73:AT73"/>
    <mergeCell ref="GI72:GK72"/>
    <mergeCell ref="B73:D73"/>
    <mergeCell ref="E73:G73"/>
    <mergeCell ref="H73:J73"/>
    <mergeCell ref="K73:M73"/>
    <mergeCell ref="N73:P73"/>
    <mergeCell ref="Q73:S73"/>
    <mergeCell ref="T73:V73"/>
    <mergeCell ref="W73:Y73"/>
    <mergeCell ref="Z73:AB73"/>
    <mergeCell ref="FQ72:FS72"/>
    <mergeCell ref="FT72:FV72"/>
    <mergeCell ref="FW72:FY72"/>
    <mergeCell ref="FZ72:GB72"/>
    <mergeCell ref="GC72:GE72"/>
    <mergeCell ref="GF72:GH72"/>
    <mergeCell ref="EY72:FA72"/>
    <mergeCell ref="FB72:FD72"/>
    <mergeCell ref="FE72:FG72"/>
    <mergeCell ref="FH72:FJ72"/>
    <mergeCell ref="FK72:FM72"/>
    <mergeCell ref="FN72:FP72"/>
    <mergeCell ref="EG72:EI72"/>
    <mergeCell ref="EJ72:EL72"/>
    <mergeCell ref="EM72:EO72"/>
    <mergeCell ref="EP72:ER72"/>
    <mergeCell ref="ES72:EU72"/>
    <mergeCell ref="EV72:EX72"/>
    <mergeCell ref="DO72:DQ72"/>
    <mergeCell ref="DR72:DT72"/>
    <mergeCell ref="DU72:DW72"/>
    <mergeCell ref="DX72:DZ72"/>
    <mergeCell ref="EA72:EC72"/>
    <mergeCell ref="ED72:EF72"/>
    <mergeCell ref="CW72:CY72"/>
    <mergeCell ref="CZ72:DB72"/>
    <mergeCell ref="DC72:DE72"/>
    <mergeCell ref="DF72:DH72"/>
    <mergeCell ref="DI72:DK72"/>
    <mergeCell ref="DL72:DN72"/>
    <mergeCell ref="CE72:CG72"/>
    <mergeCell ref="CH72:CJ72"/>
    <mergeCell ref="CK72:CM72"/>
    <mergeCell ref="CN72:CP72"/>
    <mergeCell ref="CQ72:CS72"/>
    <mergeCell ref="CT72:CV72"/>
    <mergeCell ref="BM72:BO72"/>
    <mergeCell ref="BP72:BR72"/>
    <mergeCell ref="BS72:BU72"/>
    <mergeCell ref="BV72:BX72"/>
    <mergeCell ref="BY72:CA72"/>
    <mergeCell ref="CB72:CD72"/>
    <mergeCell ref="AU72:AW72"/>
    <mergeCell ref="AX72:AZ72"/>
    <mergeCell ref="BA72:BC72"/>
    <mergeCell ref="BD72:BF72"/>
    <mergeCell ref="BG72:BI72"/>
    <mergeCell ref="BJ72:BL72"/>
    <mergeCell ref="AC72:AE72"/>
    <mergeCell ref="AF72:AH72"/>
    <mergeCell ref="AI72:AK72"/>
    <mergeCell ref="AL72:AN72"/>
    <mergeCell ref="AO72:AQ72"/>
    <mergeCell ref="AR72:AT72"/>
    <mergeCell ref="GI71:GK71"/>
    <mergeCell ref="B72:D72"/>
    <mergeCell ref="E72:G72"/>
    <mergeCell ref="H72:J72"/>
    <mergeCell ref="K72:M72"/>
    <mergeCell ref="N72:P72"/>
    <mergeCell ref="Q72:S72"/>
    <mergeCell ref="T72:V72"/>
    <mergeCell ref="W72:Y72"/>
    <mergeCell ref="Z72:AB72"/>
    <mergeCell ref="FQ71:FS71"/>
    <mergeCell ref="FT71:FV71"/>
    <mergeCell ref="FW71:FY71"/>
    <mergeCell ref="FZ71:GB71"/>
    <mergeCell ref="GC71:GE71"/>
    <mergeCell ref="GF71:GH71"/>
    <mergeCell ref="EY71:FA71"/>
    <mergeCell ref="FB71:FD71"/>
    <mergeCell ref="FE71:FG71"/>
    <mergeCell ref="FH71:FJ71"/>
    <mergeCell ref="FK71:FM71"/>
    <mergeCell ref="FN71:FP71"/>
    <mergeCell ref="EG71:EI71"/>
    <mergeCell ref="EJ71:EL71"/>
    <mergeCell ref="EM71:EO71"/>
    <mergeCell ref="EP71:ER71"/>
    <mergeCell ref="ES71:EU71"/>
    <mergeCell ref="EV71:EX71"/>
    <mergeCell ref="DO71:DQ71"/>
    <mergeCell ref="DR71:DT71"/>
    <mergeCell ref="DU71:DW71"/>
    <mergeCell ref="DX71:DZ71"/>
    <mergeCell ref="EA71:EC71"/>
    <mergeCell ref="ED71:EF71"/>
    <mergeCell ref="CW71:CY71"/>
    <mergeCell ref="CZ71:DB71"/>
    <mergeCell ref="DC71:DE71"/>
    <mergeCell ref="DF71:DH71"/>
    <mergeCell ref="DI71:DK71"/>
    <mergeCell ref="DL71:DN71"/>
    <mergeCell ref="CE71:CG71"/>
    <mergeCell ref="CH71:CJ71"/>
    <mergeCell ref="CK71:CM71"/>
    <mergeCell ref="CN71:CP71"/>
    <mergeCell ref="CQ71:CS71"/>
    <mergeCell ref="CT71:CV71"/>
    <mergeCell ref="BM71:BO71"/>
    <mergeCell ref="BP71:BR71"/>
    <mergeCell ref="BS71:BU71"/>
    <mergeCell ref="BV71:BX71"/>
    <mergeCell ref="BY71:CA71"/>
    <mergeCell ref="CB71:CD71"/>
    <mergeCell ref="AU71:AW71"/>
    <mergeCell ref="AX71:AZ71"/>
    <mergeCell ref="BA71:BC71"/>
    <mergeCell ref="BD71:BF71"/>
    <mergeCell ref="BG71:BI71"/>
    <mergeCell ref="BJ71:BL71"/>
    <mergeCell ref="AC71:AE71"/>
    <mergeCell ref="AF71:AH71"/>
    <mergeCell ref="AI71:AK71"/>
    <mergeCell ref="AL71:AN71"/>
    <mergeCell ref="AO71:AQ71"/>
    <mergeCell ref="AR71:AT71"/>
    <mergeCell ref="GI70:GK70"/>
    <mergeCell ref="B71:D71"/>
    <mergeCell ref="E71:G71"/>
    <mergeCell ref="H71:J71"/>
    <mergeCell ref="K71:M71"/>
    <mergeCell ref="N71:P71"/>
    <mergeCell ref="Q71:S71"/>
    <mergeCell ref="T71:V71"/>
    <mergeCell ref="W71:Y71"/>
    <mergeCell ref="Z71:AB71"/>
    <mergeCell ref="FQ70:FS70"/>
    <mergeCell ref="FT70:FV70"/>
    <mergeCell ref="FW70:FY70"/>
    <mergeCell ref="FZ70:GB70"/>
    <mergeCell ref="GC70:GE70"/>
    <mergeCell ref="GF70:GH70"/>
    <mergeCell ref="EY70:FA70"/>
    <mergeCell ref="FB70:FD70"/>
    <mergeCell ref="FE70:FG70"/>
    <mergeCell ref="FH70:FJ70"/>
    <mergeCell ref="FK70:FM70"/>
    <mergeCell ref="FN70:FP70"/>
    <mergeCell ref="EG70:EI70"/>
    <mergeCell ref="EJ70:EL70"/>
    <mergeCell ref="EM70:EO70"/>
    <mergeCell ref="EP70:ER70"/>
    <mergeCell ref="ES70:EU70"/>
    <mergeCell ref="EV70:EX70"/>
    <mergeCell ref="DO70:DQ70"/>
    <mergeCell ref="DR70:DT70"/>
    <mergeCell ref="DU70:DW70"/>
    <mergeCell ref="DX70:DZ70"/>
    <mergeCell ref="EA70:EC70"/>
    <mergeCell ref="ED70:EF70"/>
    <mergeCell ref="CW70:CY70"/>
    <mergeCell ref="CZ70:DB70"/>
    <mergeCell ref="DC70:DE70"/>
    <mergeCell ref="DF70:DH70"/>
    <mergeCell ref="DI70:DK70"/>
    <mergeCell ref="DL70:DN70"/>
    <mergeCell ref="CE70:CG70"/>
    <mergeCell ref="CH70:CJ70"/>
    <mergeCell ref="CK70:CM70"/>
    <mergeCell ref="CN70:CP70"/>
    <mergeCell ref="CQ70:CS70"/>
    <mergeCell ref="CT70:CV70"/>
    <mergeCell ref="BM70:BO70"/>
    <mergeCell ref="BP70:BR70"/>
    <mergeCell ref="BS70:BU70"/>
    <mergeCell ref="BV70:BX70"/>
    <mergeCell ref="BY70:CA70"/>
    <mergeCell ref="CB70:CD70"/>
    <mergeCell ref="AU70:AW70"/>
    <mergeCell ref="AX70:AZ70"/>
    <mergeCell ref="BA70:BC70"/>
    <mergeCell ref="BD70:BF70"/>
    <mergeCell ref="BG70:BI70"/>
    <mergeCell ref="BJ70:BL70"/>
    <mergeCell ref="AC70:AE70"/>
    <mergeCell ref="AF70:AH70"/>
    <mergeCell ref="AI70:AK70"/>
    <mergeCell ref="AL70:AN70"/>
    <mergeCell ref="AO70:AQ70"/>
    <mergeCell ref="AR70:AT70"/>
    <mergeCell ref="GI33:GK33"/>
    <mergeCell ref="B70:D70"/>
    <mergeCell ref="E70:G70"/>
    <mergeCell ref="H70:J70"/>
    <mergeCell ref="K70:M70"/>
    <mergeCell ref="N70:P70"/>
    <mergeCell ref="Q70:S70"/>
    <mergeCell ref="T70:V70"/>
    <mergeCell ref="W70:Y70"/>
    <mergeCell ref="Z70:AB70"/>
    <mergeCell ref="FQ33:FS33"/>
    <mergeCell ref="FT33:FV33"/>
    <mergeCell ref="FW33:FY33"/>
    <mergeCell ref="FZ33:GB33"/>
    <mergeCell ref="GC33:GE33"/>
    <mergeCell ref="GF33:GH33"/>
    <mergeCell ref="EY33:FA33"/>
    <mergeCell ref="FB33:FD33"/>
    <mergeCell ref="FE33:FG33"/>
    <mergeCell ref="FH33:FJ33"/>
    <mergeCell ref="FK33:FM33"/>
    <mergeCell ref="FN33:FP33"/>
    <mergeCell ref="EG33:EI33"/>
    <mergeCell ref="EJ33:EL33"/>
    <mergeCell ref="EM33:EO33"/>
    <mergeCell ref="EP33:ER33"/>
    <mergeCell ref="ES33:EU33"/>
    <mergeCell ref="EV33:EX33"/>
    <mergeCell ref="DO33:DQ33"/>
    <mergeCell ref="DR33:DT33"/>
    <mergeCell ref="DU33:DW33"/>
    <mergeCell ref="DX33:DZ33"/>
    <mergeCell ref="EA33:EC33"/>
    <mergeCell ref="ED33:EF33"/>
    <mergeCell ref="CW33:CY33"/>
    <mergeCell ref="CZ33:DB33"/>
    <mergeCell ref="DC33:DE33"/>
    <mergeCell ref="DF33:DH33"/>
    <mergeCell ref="DI33:DK33"/>
    <mergeCell ref="DL33:DN33"/>
    <mergeCell ref="CE33:CG33"/>
    <mergeCell ref="CH33:CJ33"/>
    <mergeCell ref="CK33:CM33"/>
    <mergeCell ref="CN33:CP33"/>
    <mergeCell ref="CQ33:CS33"/>
    <mergeCell ref="CT33:CV33"/>
    <mergeCell ref="BM33:BO33"/>
    <mergeCell ref="BP33:BR33"/>
    <mergeCell ref="BS33:BU33"/>
    <mergeCell ref="BV33:BX33"/>
    <mergeCell ref="BY33:CA33"/>
    <mergeCell ref="CB33:CD33"/>
    <mergeCell ref="AU33:AW33"/>
    <mergeCell ref="AX33:AZ33"/>
    <mergeCell ref="BA33:BC33"/>
    <mergeCell ref="BD33:BF33"/>
    <mergeCell ref="BG33:BI33"/>
    <mergeCell ref="BJ33:BL33"/>
    <mergeCell ref="AC33:AE33"/>
    <mergeCell ref="AF33:AH33"/>
    <mergeCell ref="AI33:AK33"/>
    <mergeCell ref="AL33:AN33"/>
    <mergeCell ref="AO33:AQ33"/>
    <mergeCell ref="AR33:AT33"/>
    <mergeCell ref="DO32:DZ32"/>
    <mergeCell ref="EA32:EL32"/>
    <mergeCell ref="EM32:EU32"/>
    <mergeCell ref="EV32:FD32"/>
    <mergeCell ref="FE32:FM32"/>
    <mergeCell ref="FN32:FY32"/>
    <mergeCell ref="BG32:BO32"/>
    <mergeCell ref="BP32:CA32"/>
    <mergeCell ref="CB32:CM32"/>
    <mergeCell ref="CN32:CV32"/>
    <mergeCell ref="CW32:DE32"/>
    <mergeCell ref="DF32:DN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GF19:GH19"/>
    <mergeCell ref="GI19:GK19"/>
    <mergeCell ref="A32:A34"/>
    <mergeCell ref="B32:J32"/>
    <mergeCell ref="K32:S32"/>
    <mergeCell ref="T32:AB32"/>
    <mergeCell ref="AC32:AN32"/>
    <mergeCell ref="AO32:AW32"/>
    <mergeCell ref="AX32:BF32"/>
    <mergeCell ref="FK19:FM19"/>
    <mergeCell ref="FN19:FP19"/>
    <mergeCell ref="FQ19:FS19"/>
    <mergeCell ref="FT19:FV19"/>
    <mergeCell ref="FW19:FY19"/>
    <mergeCell ref="FZ19:GB19"/>
    <mergeCell ref="ES19:EU19"/>
    <mergeCell ref="EV19:EX19"/>
    <mergeCell ref="EY19:FA19"/>
    <mergeCell ref="FB19:FD19"/>
    <mergeCell ref="FE19:FG19"/>
    <mergeCell ref="FH19:FJ19"/>
    <mergeCell ref="EA19:EC19"/>
    <mergeCell ref="ED19:EF19"/>
    <mergeCell ref="FZ32:GK32"/>
    <mergeCell ref="AX19:AZ19"/>
    <mergeCell ref="BA19:BC19"/>
    <mergeCell ref="BD19:BF19"/>
    <mergeCell ref="CQ19:CS19"/>
    <mergeCell ref="CT19:CV19"/>
    <mergeCell ref="CW19:CY19"/>
    <mergeCell ref="CZ19:DB19"/>
    <mergeCell ref="DC19:DE19"/>
    <mergeCell ref="DF19:DH19"/>
    <mergeCell ref="BY19:CA19"/>
    <mergeCell ref="CB19:CD19"/>
    <mergeCell ref="CE19:CG19"/>
    <mergeCell ref="CH19:CJ19"/>
    <mergeCell ref="CK19:CM19"/>
    <mergeCell ref="CN19:CP19"/>
    <mergeCell ref="FE18:FM18"/>
    <mergeCell ref="FN18:FY18"/>
    <mergeCell ref="FZ18:GK18"/>
    <mergeCell ref="DO18:DZ18"/>
    <mergeCell ref="EA18:EL18"/>
    <mergeCell ref="EM18:EU18"/>
    <mergeCell ref="EV18:FD18"/>
    <mergeCell ref="BG19:BI19"/>
    <mergeCell ref="BJ19:BL19"/>
    <mergeCell ref="BM19:BO19"/>
    <mergeCell ref="BP19:BR19"/>
    <mergeCell ref="BS19:BU19"/>
    <mergeCell ref="BV19:BX19"/>
    <mergeCell ref="EG19:EI19"/>
    <mergeCell ref="EJ19:EL19"/>
    <mergeCell ref="EM19:EO19"/>
    <mergeCell ref="EP19:ER19"/>
    <mergeCell ref="DI19:DK19"/>
    <mergeCell ref="DL19:DN19"/>
    <mergeCell ref="DO19:DQ19"/>
    <mergeCell ref="DR19:DT19"/>
    <mergeCell ref="DU19:DW19"/>
    <mergeCell ref="DX19:DZ19"/>
    <mergeCell ref="GC19:GE19"/>
    <mergeCell ref="B19:D19"/>
    <mergeCell ref="E19:G19"/>
    <mergeCell ref="H19:J19"/>
    <mergeCell ref="K19:M19"/>
    <mergeCell ref="N19:P19"/>
    <mergeCell ref="Q19:S19"/>
    <mergeCell ref="T19:V19"/>
    <mergeCell ref="CW18:DE18"/>
    <mergeCell ref="DF18:DN18"/>
    <mergeCell ref="AO18:AW18"/>
    <mergeCell ref="AX18:BF18"/>
    <mergeCell ref="BG18:BO18"/>
    <mergeCell ref="BP18:CA18"/>
    <mergeCell ref="CB18:CM18"/>
    <mergeCell ref="CN18:CV18"/>
    <mergeCell ref="W19:Y19"/>
    <mergeCell ref="Z19:AB19"/>
    <mergeCell ref="AC19:AE19"/>
    <mergeCell ref="AF19:AH19"/>
    <mergeCell ref="AI19:AK19"/>
    <mergeCell ref="AL19:AN19"/>
    <mergeCell ref="AO19:AQ19"/>
    <mergeCell ref="AR19:AT19"/>
    <mergeCell ref="AU19:AW19"/>
    <mergeCell ref="FW6:FY6"/>
    <mergeCell ref="FZ6:GB6"/>
    <mergeCell ref="GC6:GE6"/>
    <mergeCell ref="GF6:GH6"/>
    <mergeCell ref="GI6:GK6"/>
    <mergeCell ref="A18:A20"/>
    <mergeCell ref="B18:J18"/>
    <mergeCell ref="K18:S18"/>
    <mergeCell ref="T18:AB18"/>
    <mergeCell ref="AC18:AN18"/>
    <mergeCell ref="FE6:FG6"/>
    <mergeCell ref="FH6:FJ6"/>
    <mergeCell ref="FK6:FM6"/>
    <mergeCell ref="FN6:FP6"/>
    <mergeCell ref="FQ6:FS6"/>
    <mergeCell ref="FT6:FV6"/>
    <mergeCell ref="EM6:EO6"/>
    <mergeCell ref="EP6:ER6"/>
    <mergeCell ref="ES6:EU6"/>
    <mergeCell ref="EV6:EX6"/>
    <mergeCell ref="EY6:FA6"/>
    <mergeCell ref="FB6:FD6"/>
    <mergeCell ref="DU6:DW6"/>
    <mergeCell ref="DX6:DZ6"/>
    <mergeCell ref="ED6:EF6"/>
    <mergeCell ref="EG6:EI6"/>
    <mergeCell ref="EJ6:EL6"/>
    <mergeCell ref="DC6:DE6"/>
    <mergeCell ref="DF6:DH6"/>
    <mergeCell ref="DI6:DK6"/>
    <mergeCell ref="DL6:DN6"/>
    <mergeCell ref="DO6:DQ6"/>
    <mergeCell ref="DR6:DT6"/>
    <mergeCell ref="CW6:CY6"/>
    <mergeCell ref="CZ6:DB6"/>
    <mergeCell ref="BS6:BU6"/>
    <mergeCell ref="BV6:BX6"/>
    <mergeCell ref="BY6:CA6"/>
    <mergeCell ref="CB6:CD6"/>
    <mergeCell ref="CE6:CG6"/>
    <mergeCell ref="CH6:CJ6"/>
    <mergeCell ref="EA6:EC6"/>
    <mergeCell ref="T6:V6"/>
    <mergeCell ref="W6:Y6"/>
    <mergeCell ref="Z6:AB6"/>
    <mergeCell ref="AC6:AE6"/>
    <mergeCell ref="AF6:AH6"/>
    <mergeCell ref="EM5:EU5"/>
    <mergeCell ref="EV5:FD5"/>
    <mergeCell ref="FE5:FM5"/>
    <mergeCell ref="BA6:BC6"/>
    <mergeCell ref="BD6:BF6"/>
    <mergeCell ref="BG6:BI6"/>
    <mergeCell ref="BJ6:BL6"/>
    <mergeCell ref="BM6:BO6"/>
    <mergeCell ref="BP6:BR6"/>
    <mergeCell ref="AI6:AK6"/>
    <mergeCell ref="AL6:AN6"/>
    <mergeCell ref="AO6:AQ6"/>
    <mergeCell ref="AR6:AT6"/>
    <mergeCell ref="AU6:AW6"/>
    <mergeCell ref="AX6:AZ6"/>
    <mergeCell ref="CK6:CM6"/>
    <mergeCell ref="CN6:CP6"/>
    <mergeCell ref="CQ6:CS6"/>
    <mergeCell ref="CT6:CV6"/>
    <mergeCell ref="A4:GK4"/>
    <mergeCell ref="A5:A7"/>
    <mergeCell ref="B5:J5"/>
    <mergeCell ref="K5:S5"/>
    <mergeCell ref="T5:AB5"/>
    <mergeCell ref="AC5:AN5"/>
    <mergeCell ref="AO5:AW5"/>
    <mergeCell ref="AX5:BF5"/>
    <mergeCell ref="BG5:BO5"/>
    <mergeCell ref="BP5:CA5"/>
    <mergeCell ref="FN5:FY5"/>
    <mergeCell ref="FZ5:GK5"/>
    <mergeCell ref="B6:D6"/>
    <mergeCell ref="E6:G6"/>
    <mergeCell ref="H6:J6"/>
    <mergeCell ref="K6:M6"/>
    <mergeCell ref="N6:P6"/>
    <mergeCell ref="CB5:CM5"/>
    <mergeCell ref="CN5:CV5"/>
    <mergeCell ref="CW5:DE5"/>
    <mergeCell ref="DF5:DN5"/>
    <mergeCell ref="DO5:DZ5"/>
    <mergeCell ref="EA5:EL5"/>
    <mergeCell ref="Q6:S6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18">
    <tabColor rgb="FFFF33CC"/>
    <pageSetUpPr fitToPage="1"/>
  </sheetPr>
  <dimension ref="A1:CU546"/>
  <sheetViews>
    <sheetView zoomScale="80" zoomScaleNormal="80" zoomScalePageLayoutView="90" workbookViewId="0">
      <pane xSplit="1" ySplit="7" topLeftCell="B23" activePane="bottomRight" state="frozen"/>
      <selection pane="topRight" activeCell="B1" sqref="B1"/>
      <selection pane="bottomLeft" activeCell="A8" sqref="A8"/>
      <selection pane="bottomRight" activeCell="BW113" sqref="BW113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60" width="13.7109375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80" width="15.5703125" customWidth="1"/>
    <col min="81" max="81" width="15.140625" customWidth="1"/>
    <col min="82" max="82" width="14.28515625" customWidth="1"/>
    <col min="83" max="84" width="13.7109375" customWidth="1"/>
    <col min="85" max="85" width="14.28515625" customWidth="1"/>
    <col min="86" max="87" width="13.7109375" customWidth="1"/>
  </cols>
  <sheetData>
    <row r="1" spans="1:90" ht="23.25" x14ac:dyDescent="0.35">
      <c r="A1" s="2906" t="s">
        <v>3965</v>
      </c>
      <c r="BG1" s="2972"/>
      <c r="BH1" s="2972"/>
      <c r="BI1" s="2972"/>
    </row>
    <row r="2" spans="1:90" ht="23.25" x14ac:dyDescent="0.35">
      <c r="A2" s="2906" t="s">
        <v>3714</v>
      </c>
      <c r="BG2" s="2972"/>
      <c r="BH2" s="2972"/>
      <c r="BI2" s="2972"/>
    </row>
    <row r="3" spans="1:90" ht="19.5" customHeight="1" x14ac:dyDescent="0.35">
      <c r="A3" s="2973"/>
      <c r="B3" s="2973"/>
      <c r="C3" s="2973"/>
      <c r="D3" s="2973"/>
      <c r="E3" s="2973"/>
      <c r="F3" s="2973"/>
      <c r="G3" s="2973"/>
      <c r="H3" s="2973"/>
      <c r="I3" s="2973"/>
      <c r="J3" s="2973"/>
      <c r="K3" s="2974"/>
      <c r="L3" s="2974"/>
      <c r="M3" s="2974"/>
      <c r="N3" s="2974"/>
      <c r="O3" s="2974"/>
      <c r="P3" s="2974"/>
      <c r="Q3" s="2974"/>
      <c r="R3" s="2974"/>
      <c r="S3" s="2974"/>
      <c r="T3" s="2974"/>
      <c r="U3" s="2974"/>
      <c r="V3" s="2974"/>
      <c r="W3" s="2974"/>
      <c r="X3" s="2974"/>
      <c r="Y3" s="2974"/>
      <c r="Z3" s="2974"/>
      <c r="AA3" s="2974"/>
      <c r="AB3" s="2974"/>
      <c r="AC3" s="2974"/>
      <c r="AD3" s="2974"/>
      <c r="AE3" s="2974"/>
      <c r="AF3" s="2974"/>
      <c r="AG3" s="2974"/>
      <c r="AH3" s="2974"/>
      <c r="AI3" s="2974"/>
      <c r="AJ3" s="2974"/>
      <c r="AK3" s="2974"/>
      <c r="AL3" s="2974"/>
      <c r="AM3" s="2974"/>
      <c r="AN3" s="2974"/>
      <c r="AO3" s="2974"/>
      <c r="AP3" s="2974"/>
      <c r="AQ3" s="2974"/>
      <c r="AR3" s="2974"/>
      <c r="AS3" s="2974"/>
      <c r="AT3" s="2974"/>
      <c r="AU3" s="2974"/>
      <c r="AV3" s="2974"/>
      <c r="AW3" s="2974"/>
      <c r="AX3" s="2974"/>
      <c r="AY3" s="2974"/>
      <c r="AZ3" s="2974"/>
      <c r="BA3" s="2974"/>
      <c r="BB3" s="2974"/>
      <c r="BC3" s="2974"/>
      <c r="BD3" s="2974"/>
      <c r="BE3" s="2974"/>
      <c r="BF3" s="2974"/>
      <c r="BG3" s="2974"/>
      <c r="BH3" s="2974"/>
      <c r="BI3" s="2974"/>
      <c r="BJ3" s="2974"/>
      <c r="BK3" s="2974"/>
      <c r="BL3" s="2974"/>
      <c r="BM3" s="2974"/>
      <c r="BN3" s="2974"/>
      <c r="BO3" s="2974"/>
      <c r="BP3" s="2974"/>
      <c r="BQ3" s="2974"/>
      <c r="BR3" s="2974"/>
      <c r="BS3" s="2974"/>
      <c r="BT3" s="2974"/>
      <c r="BU3" s="2974"/>
    </row>
    <row r="4" spans="1:90" ht="18.75" customHeight="1" x14ac:dyDescent="0.2">
      <c r="A4" s="2975" t="s">
        <v>3790</v>
      </c>
      <c r="B4" s="2976"/>
      <c r="C4" s="2976"/>
      <c r="D4" s="2976"/>
      <c r="E4" s="2976"/>
      <c r="F4" s="2976"/>
      <c r="G4" s="2976"/>
      <c r="H4" s="2976"/>
      <c r="I4" s="2976"/>
      <c r="J4" s="2976"/>
      <c r="K4" s="2977"/>
      <c r="L4" s="2977"/>
      <c r="M4" s="2977"/>
      <c r="N4" s="2977"/>
      <c r="O4" s="2977"/>
      <c r="P4" s="2977"/>
      <c r="Q4" s="2977"/>
      <c r="R4" s="2977"/>
      <c r="S4" s="2977"/>
      <c r="T4" s="2977"/>
      <c r="U4" s="2977"/>
      <c r="V4" s="2977"/>
      <c r="W4" s="2977"/>
      <c r="X4" s="2977"/>
      <c r="Y4" s="2977"/>
      <c r="Z4" s="2977"/>
      <c r="AA4" s="2977"/>
      <c r="AB4" s="2977"/>
      <c r="AC4" s="2977"/>
      <c r="AD4" s="2977"/>
      <c r="AE4" s="2977"/>
      <c r="AF4" s="2977"/>
      <c r="AG4" s="2977"/>
      <c r="AH4" s="2977"/>
      <c r="AI4" s="2977"/>
      <c r="AJ4" s="2977"/>
      <c r="AK4" s="2977"/>
      <c r="AL4" s="2977"/>
      <c r="AM4" s="2977"/>
      <c r="AN4" s="2977"/>
      <c r="AO4" s="2977"/>
      <c r="AP4" s="2977"/>
      <c r="AQ4" s="2977"/>
      <c r="AR4" s="2977"/>
      <c r="AS4" s="2977"/>
      <c r="AT4" s="2977"/>
      <c r="AU4" s="2977"/>
      <c r="AV4" s="2977"/>
      <c r="AW4" s="2977"/>
      <c r="AX4" s="2977"/>
      <c r="AY4" s="2977"/>
      <c r="AZ4" s="2977"/>
      <c r="BA4" s="2977"/>
      <c r="BB4" s="2977"/>
      <c r="BC4" s="2977"/>
      <c r="BD4" s="2977"/>
      <c r="BE4" s="2977"/>
      <c r="BF4" s="2977"/>
      <c r="BG4" s="2977"/>
      <c r="BH4" s="2977"/>
      <c r="BI4" s="2977"/>
      <c r="BJ4" s="2977"/>
      <c r="BK4" s="2977"/>
      <c r="BL4" s="2977"/>
      <c r="BM4" s="2977"/>
      <c r="BN4" s="2977"/>
      <c r="BO4" s="2977"/>
      <c r="BP4" s="2977"/>
      <c r="BQ4" s="2977"/>
      <c r="BR4" s="2977"/>
      <c r="BS4" s="2977"/>
      <c r="BT4" s="2977"/>
      <c r="BU4" s="2977"/>
      <c r="BV4" s="2978"/>
      <c r="BW4" s="2978"/>
      <c r="BX4" s="2978"/>
      <c r="BY4" s="2978"/>
      <c r="BZ4" s="2978"/>
      <c r="CA4" s="2978"/>
      <c r="CB4" s="2978"/>
      <c r="CC4" s="2978"/>
      <c r="CD4" s="2978"/>
      <c r="CE4" s="2978"/>
      <c r="CF4" s="2978"/>
      <c r="CG4" s="2978"/>
      <c r="CH4" s="2978"/>
      <c r="CI4" s="2978"/>
      <c r="CJ4" s="2979"/>
    </row>
    <row r="5" spans="1:90" ht="18.75" customHeight="1" x14ac:dyDescent="0.2">
      <c r="A5" s="4638" t="s">
        <v>527</v>
      </c>
      <c r="B5" s="4622" t="s">
        <v>3716</v>
      </c>
      <c r="C5" s="4623"/>
      <c r="D5" s="4623"/>
      <c r="E5" s="4623"/>
      <c r="F5" s="4623"/>
      <c r="G5" s="4623"/>
      <c r="H5" s="4623"/>
      <c r="I5" s="4623"/>
      <c r="J5" s="4623"/>
      <c r="K5" s="4623"/>
      <c r="L5" s="4623"/>
      <c r="M5" s="4623"/>
      <c r="N5" s="4623"/>
      <c r="O5" s="4623"/>
      <c r="P5" s="4624"/>
      <c r="Q5" s="4613" t="s">
        <v>3717</v>
      </c>
      <c r="R5" s="4614"/>
      <c r="S5" s="4614"/>
      <c r="T5" s="4614"/>
      <c r="U5" s="4614"/>
      <c r="V5" s="4614"/>
      <c r="W5" s="4614"/>
      <c r="X5" s="4614"/>
      <c r="Y5" s="4614"/>
      <c r="Z5" s="4614"/>
      <c r="AA5" s="4614"/>
      <c r="AB5" s="4614"/>
      <c r="AC5" s="4614"/>
      <c r="AD5" s="4568"/>
      <c r="AE5" s="4569"/>
      <c r="AF5" s="4609" t="s">
        <v>3718</v>
      </c>
      <c r="AG5" s="4610"/>
      <c r="AH5" s="4610"/>
      <c r="AI5" s="4610"/>
      <c r="AJ5" s="4610"/>
      <c r="AK5" s="4610"/>
      <c r="AL5" s="4610"/>
      <c r="AM5" s="4625"/>
      <c r="AN5" s="4626"/>
      <c r="AO5" s="4622" t="s">
        <v>3719</v>
      </c>
      <c r="AP5" s="4623"/>
      <c r="AQ5" s="4623"/>
      <c r="AR5" s="4623"/>
      <c r="AS5" s="4623"/>
      <c r="AT5" s="4623"/>
      <c r="AU5" s="4623"/>
      <c r="AV5" s="4623"/>
      <c r="AW5" s="4623"/>
      <c r="AX5" s="4623"/>
      <c r="AY5" s="4623"/>
      <c r="AZ5" s="4623"/>
      <c r="BA5" s="4623"/>
      <c r="BB5" s="4625"/>
      <c r="BC5" s="4626"/>
      <c r="BD5" s="4609" t="s">
        <v>3720</v>
      </c>
      <c r="BE5" s="4610"/>
      <c r="BF5" s="4610"/>
      <c r="BG5" s="4610"/>
      <c r="BH5" s="4610"/>
      <c r="BI5" s="4610"/>
      <c r="BJ5" s="4610"/>
      <c r="BK5" s="4625"/>
      <c r="BL5" s="4626"/>
      <c r="BM5" s="4622" t="s">
        <v>3721</v>
      </c>
      <c r="BN5" s="4623"/>
      <c r="BO5" s="4623"/>
      <c r="BP5" s="4623"/>
      <c r="BQ5" s="4623"/>
      <c r="BR5" s="4623"/>
      <c r="BS5" s="4623"/>
      <c r="BT5" s="4623"/>
      <c r="BU5" s="4623"/>
      <c r="BV5" s="4623"/>
      <c r="BW5" s="4623"/>
      <c r="BX5" s="4623"/>
      <c r="BY5" s="4623"/>
      <c r="BZ5" s="4625"/>
      <c r="CA5" s="4625"/>
      <c r="CB5" s="4609" t="s">
        <v>1992</v>
      </c>
      <c r="CC5" s="4610"/>
      <c r="CD5" s="4610"/>
      <c r="CE5" s="4610"/>
      <c r="CF5" s="4610"/>
      <c r="CG5" s="4610"/>
      <c r="CH5" s="4610"/>
      <c r="CI5" s="4611"/>
      <c r="CJ5" s="4612"/>
    </row>
    <row r="6" spans="1:90" ht="25.5" customHeight="1" x14ac:dyDescent="0.2">
      <c r="A6" s="4639"/>
      <c r="B6" s="4613" t="s">
        <v>3573</v>
      </c>
      <c r="C6" s="4614"/>
      <c r="D6" s="4615"/>
      <c r="E6" s="4616" t="s">
        <v>571</v>
      </c>
      <c r="F6" s="4617"/>
      <c r="G6" s="4618"/>
      <c r="H6" s="4616" t="s">
        <v>572</v>
      </c>
      <c r="I6" s="4617"/>
      <c r="J6" s="4618"/>
      <c r="K6" s="4616" t="s">
        <v>573</v>
      </c>
      <c r="L6" s="4617"/>
      <c r="M6" s="4618"/>
      <c r="N6" s="4613" t="s">
        <v>1677</v>
      </c>
      <c r="O6" s="4614"/>
      <c r="P6" s="4615"/>
      <c r="Q6" s="4613" t="s">
        <v>3573</v>
      </c>
      <c r="R6" s="4614"/>
      <c r="S6" s="4615"/>
      <c r="T6" s="4619" t="s">
        <v>3722</v>
      </c>
      <c r="U6" s="4620"/>
      <c r="V6" s="4621"/>
      <c r="W6" s="4619" t="s">
        <v>575</v>
      </c>
      <c r="X6" s="4620"/>
      <c r="Y6" s="4621"/>
      <c r="Z6" s="4619" t="s">
        <v>576</v>
      </c>
      <c r="AA6" s="4620"/>
      <c r="AB6" s="4621"/>
      <c r="AC6" s="4613" t="s">
        <v>1677</v>
      </c>
      <c r="AD6" s="4614"/>
      <c r="AE6" s="4615"/>
      <c r="AF6" s="4627" t="s">
        <v>3573</v>
      </c>
      <c r="AG6" s="4628"/>
      <c r="AH6" s="4629"/>
      <c r="AI6" s="4627" t="s">
        <v>1677</v>
      </c>
      <c r="AJ6" s="4628"/>
      <c r="AK6" s="4629"/>
      <c r="AL6" s="4627" t="s">
        <v>3723</v>
      </c>
      <c r="AM6" s="4628"/>
      <c r="AN6" s="4629"/>
      <c r="AO6" s="4643" t="s">
        <v>3573</v>
      </c>
      <c r="AP6" s="4644"/>
      <c r="AQ6" s="4645"/>
      <c r="AR6" s="4646" t="s">
        <v>577</v>
      </c>
      <c r="AS6" s="4647"/>
      <c r="AT6" s="4648"/>
      <c r="AU6" s="4646" t="s">
        <v>578</v>
      </c>
      <c r="AV6" s="4647"/>
      <c r="AW6" s="4648"/>
      <c r="AX6" s="4646" t="s">
        <v>579</v>
      </c>
      <c r="AY6" s="4647"/>
      <c r="AZ6" s="4648"/>
      <c r="BA6" s="4643" t="s">
        <v>1677</v>
      </c>
      <c r="BB6" s="4644"/>
      <c r="BC6" s="4645"/>
      <c r="BD6" s="4640" t="s">
        <v>3573</v>
      </c>
      <c r="BE6" s="4641"/>
      <c r="BF6" s="4642"/>
      <c r="BG6" s="4640" t="s">
        <v>1677</v>
      </c>
      <c r="BH6" s="4641"/>
      <c r="BI6" s="4642"/>
      <c r="BJ6" s="4640" t="s">
        <v>3723</v>
      </c>
      <c r="BK6" s="4641"/>
      <c r="BL6" s="4642"/>
      <c r="BM6" s="4630" t="s">
        <v>3573</v>
      </c>
      <c r="BN6" s="4631"/>
      <c r="BO6" s="4632"/>
      <c r="BP6" s="4630" t="s">
        <v>580</v>
      </c>
      <c r="BQ6" s="4631"/>
      <c r="BR6" s="4632"/>
      <c r="BS6" s="4630" t="s">
        <v>581</v>
      </c>
      <c r="BT6" s="4631"/>
      <c r="BU6" s="4632"/>
      <c r="BV6" s="4630" t="s">
        <v>582</v>
      </c>
      <c r="BW6" s="4631"/>
      <c r="BX6" s="4632"/>
      <c r="BY6" s="4630" t="s">
        <v>1677</v>
      </c>
      <c r="BZ6" s="4631"/>
      <c r="CA6" s="4631"/>
      <c r="CB6" s="4633" t="s">
        <v>3573</v>
      </c>
      <c r="CC6" s="4634"/>
      <c r="CD6" s="4635"/>
      <c r="CE6" s="4633" t="s">
        <v>1677</v>
      </c>
      <c r="CF6" s="4634"/>
      <c r="CG6" s="4635"/>
      <c r="CH6" s="4633" t="s">
        <v>3723</v>
      </c>
      <c r="CI6" s="4636"/>
      <c r="CJ6" s="4637"/>
    </row>
    <row r="7" spans="1:90" ht="25.5" customHeight="1" x14ac:dyDescent="0.2">
      <c r="A7" s="4639"/>
      <c r="B7" s="2832" t="s">
        <v>616</v>
      </c>
      <c r="C7" s="2832" t="s">
        <v>3791</v>
      </c>
      <c r="D7" s="2832" t="s">
        <v>3792</v>
      </c>
      <c r="E7" s="2832" t="s">
        <v>616</v>
      </c>
      <c r="F7" s="2832" t="s">
        <v>3791</v>
      </c>
      <c r="G7" s="2832" t="s">
        <v>3792</v>
      </c>
      <c r="H7" s="2832" t="s">
        <v>616</v>
      </c>
      <c r="I7" s="2832" t="s">
        <v>3791</v>
      </c>
      <c r="J7" s="2832" t="s">
        <v>3792</v>
      </c>
      <c r="K7" s="2832" t="s">
        <v>616</v>
      </c>
      <c r="L7" s="2832" t="s">
        <v>3791</v>
      </c>
      <c r="M7" s="2832" t="s">
        <v>3792</v>
      </c>
      <c r="N7" s="2832" t="s">
        <v>616</v>
      </c>
      <c r="O7" s="2832" t="s">
        <v>3791</v>
      </c>
      <c r="P7" s="2832" t="s">
        <v>3792</v>
      </c>
      <c r="Q7" s="2832" t="s">
        <v>616</v>
      </c>
      <c r="R7" s="2832" t="s">
        <v>3791</v>
      </c>
      <c r="S7" s="2832" t="s">
        <v>3792</v>
      </c>
      <c r="T7" s="2832" t="s">
        <v>616</v>
      </c>
      <c r="U7" s="2832" t="s">
        <v>3791</v>
      </c>
      <c r="V7" s="2832" t="s">
        <v>3792</v>
      </c>
      <c r="W7" s="2832" t="s">
        <v>616</v>
      </c>
      <c r="X7" s="2832" t="s">
        <v>3791</v>
      </c>
      <c r="Y7" s="2832" t="s">
        <v>3792</v>
      </c>
      <c r="Z7" s="2832" t="s">
        <v>616</v>
      </c>
      <c r="AA7" s="2832" t="s">
        <v>3791</v>
      </c>
      <c r="AB7" s="2832" t="s">
        <v>3792</v>
      </c>
      <c r="AC7" s="2832" t="s">
        <v>616</v>
      </c>
      <c r="AD7" s="2832" t="s">
        <v>3791</v>
      </c>
      <c r="AE7" s="2832" t="s">
        <v>3792</v>
      </c>
      <c r="AF7" s="2833" t="s">
        <v>616</v>
      </c>
      <c r="AG7" s="2833" t="s">
        <v>3791</v>
      </c>
      <c r="AH7" s="2833" t="s">
        <v>3792</v>
      </c>
      <c r="AI7" s="2833" t="s">
        <v>616</v>
      </c>
      <c r="AJ7" s="2833" t="s">
        <v>3791</v>
      </c>
      <c r="AK7" s="2833" t="s">
        <v>3792</v>
      </c>
      <c r="AL7" s="2833" t="s">
        <v>616</v>
      </c>
      <c r="AM7" s="2833" t="s">
        <v>3791</v>
      </c>
      <c r="AN7" s="2833" t="s">
        <v>3792</v>
      </c>
      <c r="AO7" s="2832" t="s">
        <v>616</v>
      </c>
      <c r="AP7" s="2832" t="s">
        <v>3791</v>
      </c>
      <c r="AQ7" s="2832" t="s">
        <v>3792</v>
      </c>
      <c r="AR7" s="2832" t="s">
        <v>616</v>
      </c>
      <c r="AS7" s="2832" t="s">
        <v>3791</v>
      </c>
      <c r="AT7" s="2832" t="s">
        <v>3792</v>
      </c>
      <c r="AU7" s="2832" t="s">
        <v>616</v>
      </c>
      <c r="AV7" s="2832" t="s">
        <v>3791</v>
      </c>
      <c r="AW7" s="2832" t="s">
        <v>3792</v>
      </c>
      <c r="AX7" s="2832" t="s">
        <v>616</v>
      </c>
      <c r="AY7" s="2832" t="s">
        <v>3791</v>
      </c>
      <c r="AZ7" s="2832" t="s">
        <v>3792</v>
      </c>
      <c r="BA7" s="2832" t="s">
        <v>616</v>
      </c>
      <c r="BB7" s="2832" t="s">
        <v>3791</v>
      </c>
      <c r="BC7" s="2832" t="s">
        <v>3792</v>
      </c>
      <c r="BD7" s="2833" t="s">
        <v>616</v>
      </c>
      <c r="BE7" s="2833" t="s">
        <v>3791</v>
      </c>
      <c r="BF7" s="2833" t="s">
        <v>3792</v>
      </c>
      <c r="BG7" s="2833" t="s">
        <v>616</v>
      </c>
      <c r="BH7" s="2833" t="s">
        <v>3791</v>
      </c>
      <c r="BI7" s="2833" t="s">
        <v>3792</v>
      </c>
      <c r="BJ7" s="2833" t="s">
        <v>616</v>
      </c>
      <c r="BK7" s="2833" t="s">
        <v>3791</v>
      </c>
      <c r="BL7" s="2833" t="s">
        <v>3792</v>
      </c>
      <c r="BM7" s="2832" t="s">
        <v>616</v>
      </c>
      <c r="BN7" s="2832" t="s">
        <v>3791</v>
      </c>
      <c r="BO7" s="2832" t="s">
        <v>3792</v>
      </c>
      <c r="BP7" s="2832" t="s">
        <v>616</v>
      </c>
      <c r="BQ7" s="2832" t="s">
        <v>3791</v>
      </c>
      <c r="BR7" s="2832" t="s">
        <v>3792</v>
      </c>
      <c r="BS7" s="2832" t="s">
        <v>616</v>
      </c>
      <c r="BT7" s="2832" t="s">
        <v>3791</v>
      </c>
      <c r="BU7" s="2832" t="s">
        <v>3792</v>
      </c>
      <c r="BV7" s="2832" t="s">
        <v>616</v>
      </c>
      <c r="BW7" s="2832" t="s">
        <v>3791</v>
      </c>
      <c r="BX7" s="2832" t="s">
        <v>3792</v>
      </c>
      <c r="BY7" s="2832" t="s">
        <v>616</v>
      </c>
      <c r="BZ7" s="2832" t="s">
        <v>3791</v>
      </c>
      <c r="CA7" s="2832" t="s">
        <v>3792</v>
      </c>
      <c r="CB7" s="2833" t="s">
        <v>616</v>
      </c>
      <c r="CC7" s="2833" t="s">
        <v>3791</v>
      </c>
      <c r="CD7" s="2833" t="s">
        <v>3792</v>
      </c>
      <c r="CE7" s="2833" t="s">
        <v>616</v>
      </c>
      <c r="CF7" s="2833" t="s">
        <v>3791</v>
      </c>
      <c r="CG7" s="2833" t="s">
        <v>3792</v>
      </c>
      <c r="CH7" s="2833" t="s">
        <v>616</v>
      </c>
      <c r="CI7" s="2833" t="s">
        <v>3791</v>
      </c>
      <c r="CJ7" s="2833" t="s">
        <v>3792</v>
      </c>
    </row>
    <row r="8" spans="1:90" ht="25.5" customHeight="1" x14ac:dyDescent="0.2">
      <c r="A8" s="2980" t="s">
        <v>3793</v>
      </c>
      <c r="B8" s="2837">
        <f>SUM(C8:D8)</f>
        <v>711.10124999999994</v>
      </c>
      <c r="C8" s="2837">
        <f>SUM(CC8/4)</f>
        <v>706.68449999999996</v>
      </c>
      <c r="D8" s="2837">
        <f>SUM(CD8/4)</f>
        <v>4.4167500000000004</v>
      </c>
      <c r="E8" s="2837">
        <f>SUM(F8:G8)</f>
        <v>399.79999999999995</v>
      </c>
      <c r="F8" s="2838">
        <v>399.59</v>
      </c>
      <c r="G8" s="2838">
        <v>0.21</v>
      </c>
      <c r="H8" s="2837">
        <f>SUM(I8:J8)</f>
        <v>344.71</v>
      </c>
      <c r="I8" s="2838">
        <v>344.47399999999999</v>
      </c>
      <c r="J8" s="2838">
        <v>0.23599999999999999</v>
      </c>
      <c r="K8" s="2837">
        <f>SUM(L8:M8)</f>
        <v>413.05</v>
      </c>
      <c r="L8" s="2838">
        <v>410.1635</v>
      </c>
      <c r="M8" s="2838">
        <v>2.8864999999999998</v>
      </c>
      <c r="N8" s="2837">
        <f>SUM(O8:P8)</f>
        <v>1157.56</v>
      </c>
      <c r="O8" s="2837">
        <f>SUM(F8+I8+L8)</f>
        <v>1154.2275</v>
      </c>
      <c r="P8" s="2837">
        <f>SUM(G8+J8+M8)</f>
        <v>3.3324999999999996</v>
      </c>
      <c r="Q8" s="2837">
        <f>SUM(R8:S8)</f>
        <v>711.10124999999994</v>
      </c>
      <c r="R8" s="2837">
        <f>SUM(CC8/4)</f>
        <v>706.68449999999996</v>
      </c>
      <c r="S8" s="2837">
        <f>SUM(CD8/4)</f>
        <v>4.4167500000000004</v>
      </c>
      <c r="T8" s="2837">
        <f>SUM(U8:V8)</f>
        <v>538.33974999999998</v>
      </c>
      <c r="U8" s="2838">
        <v>537.60599999999999</v>
      </c>
      <c r="V8" s="2838">
        <v>0.73375000000000001</v>
      </c>
      <c r="W8" s="2837">
        <f>SUM(X8:Y8)</f>
        <v>521.22</v>
      </c>
      <c r="X8" s="2838">
        <v>520.95150000000001</v>
      </c>
      <c r="Y8" s="2838">
        <v>0.26850000000000002</v>
      </c>
      <c r="Z8" s="2837">
        <f>SUM(AA8:AB8)</f>
        <v>409.39</v>
      </c>
      <c r="AA8" s="2838">
        <v>406.29300000000001</v>
      </c>
      <c r="AB8" s="2838">
        <v>3.097</v>
      </c>
      <c r="AC8" s="2837">
        <f>SUM(AD8:AE8)</f>
        <v>1468.94975</v>
      </c>
      <c r="AD8" s="2837">
        <f>SUM(U8+X8+AA8)</f>
        <v>1464.8505</v>
      </c>
      <c r="AE8" s="2837">
        <f>SUM(V8+Y8+AB8)</f>
        <v>4.0992499999999996</v>
      </c>
      <c r="AF8" s="2839">
        <f>SUM(AG8:AH8)</f>
        <v>1422.2024999999999</v>
      </c>
      <c r="AG8" s="2839">
        <f>SUM(C8+R8)</f>
        <v>1413.3689999999999</v>
      </c>
      <c r="AH8" s="2839">
        <f>SUM(D8+S8)</f>
        <v>8.8335000000000008</v>
      </c>
      <c r="AI8" s="2839">
        <f>SUM(AJ8:AK8)</f>
        <v>2626.5097500000002</v>
      </c>
      <c r="AJ8" s="2839">
        <f>SUM(O8+AD8)</f>
        <v>2619.078</v>
      </c>
      <c r="AK8" s="2839">
        <f>SUM(P8+AE8)</f>
        <v>7.4317499999999992</v>
      </c>
      <c r="AL8" s="2839">
        <f>SUM(AM8:AN8)</f>
        <v>1204.3072500000001</v>
      </c>
      <c r="AM8" s="2839">
        <f t="shared" ref="AM8:AN12" si="0">SUM(AJ8-AG8)</f>
        <v>1205.7090000000001</v>
      </c>
      <c r="AN8" s="2839">
        <f t="shared" si="0"/>
        <v>-1.4017500000000016</v>
      </c>
      <c r="AO8" s="2837">
        <f>SUM(AP8:AQ8)</f>
        <v>711.10124999999994</v>
      </c>
      <c r="AP8" s="2837">
        <f>SUM(CC8/4)</f>
        <v>706.68449999999996</v>
      </c>
      <c r="AQ8" s="2837">
        <f>SUM(CD8/4)</f>
        <v>4.4167500000000004</v>
      </c>
      <c r="AR8" s="2837">
        <f>SUM(AS8:AT8)</f>
        <v>390.85</v>
      </c>
      <c r="AS8" s="2838">
        <v>390.38400000000001</v>
      </c>
      <c r="AT8" s="2838">
        <v>0.46600000000000003</v>
      </c>
      <c r="AU8" s="2837">
        <f>SUM(AV8:AW8)</f>
        <v>441.55</v>
      </c>
      <c r="AV8" s="2838">
        <v>440.73500000000001</v>
      </c>
      <c r="AW8" s="2838">
        <v>0.81499999999999995</v>
      </c>
      <c r="AX8" s="2837">
        <f>SUM(AY8:AZ8)</f>
        <v>368.56</v>
      </c>
      <c r="AY8" s="2838">
        <v>365.66399999999999</v>
      </c>
      <c r="AZ8" s="2838">
        <v>2.8959999999999999</v>
      </c>
      <c r="BA8" s="2837">
        <f>SUM(BB8:BC8)</f>
        <v>1200.9599999999998</v>
      </c>
      <c r="BB8" s="2837">
        <f>SUM(AS8+AV8+AY8)</f>
        <v>1196.7829999999999</v>
      </c>
      <c r="BC8" s="2837">
        <f>SUM(AT8+AW8+AZ8)</f>
        <v>4.1769999999999996</v>
      </c>
      <c r="BD8" s="2839">
        <f>SUM(BE8:BF8)</f>
        <v>2133.30375</v>
      </c>
      <c r="BE8" s="2839">
        <f>SUM(AG8+AP8)</f>
        <v>2120.0535</v>
      </c>
      <c r="BF8" s="2839">
        <f>SUM(AH8+AQ8)</f>
        <v>13.250250000000001</v>
      </c>
      <c r="BG8" s="2839">
        <f>SUM(BH8:BI8)</f>
        <v>3827.4697499999997</v>
      </c>
      <c r="BH8" s="2839">
        <f>SUM(AJ8+BB8)</f>
        <v>3815.8609999999999</v>
      </c>
      <c r="BI8" s="2839">
        <f>SUM(AK8+BC8)</f>
        <v>11.608749999999999</v>
      </c>
      <c r="BJ8" s="2839">
        <f>SUM(BK8:BL8)</f>
        <v>1694.1659999999999</v>
      </c>
      <c r="BK8" s="2839">
        <f t="shared" ref="BK8:BL12" si="1">SUM(BH8-BE8)</f>
        <v>1695.8074999999999</v>
      </c>
      <c r="BL8" s="2839">
        <f t="shared" si="1"/>
        <v>-1.6415000000000024</v>
      </c>
      <c r="BM8" s="2837">
        <f>SUM(BN8:BO8)</f>
        <v>711.10124999999994</v>
      </c>
      <c r="BN8" s="2837">
        <f>SUM(CC8/4)</f>
        <v>706.68449999999996</v>
      </c>
      <c r="BO8" s="2837">
        <f>SUM(CD8/4)</f>
        <v>4.4167500000000004</v>
      </c>
      <c r="BP8" s="2837">
        <f>SUM(BQ8:BR8)</f>
        <v>383.52000000000004</v>
      </c>
      <c r="BQ8" s="2838">
        <v>382.39100000000002</v>
      </c>
      <c r="BR8" s="2838">
        <v>1.129</v>
      </c>
      <c r="BS8" s="2837">
        <f>SUM(BT8:BU8)</f>
        <v>411.54</v>
      </c>
      <c r="BT8" s="2838">
        <v>411.24400000000003</v>
      </c>
      <c r="BU8" s="2838">
        <v>0.29599999999999999</v>
      </c>
      <c r="BV8" s="2837">
        <f>SUM(BW8:BX8)</f>
        <v>430.18</v>
      </c>
      <c r="BW8" s="2838">
        <v>426.99599999999998</v>
      </c>
      <c r="BX8" s="2838">
        <v>3.1840000000000002</v>
      </c>
      <c r="BY8" s="2837">
        <f>SUM(BZ8:CA8)</f>
        <v>1225.2399999999998</v>
      </c>
      <c r="BZ8" s="2837">
        <f>SUM(BQ8+BT8+BW8)</f>
        <v>1220.6309999999999</v>
      </c>
      <c r="CA8" s="2837">
        <f>SUM(BR8+BU8+BX8)</f>
        <v>4.609</v>
      </c>
      <c r="CB8" s="2912">
        <f>SUM(CC8:CD8)</f>
        <v>2844.4049999999997</v>
      </c>
      <c r="CC8" s="2912">
        <f>SUM(CC9)</f>
        <v>2826.7379999999998</v>
      </c>
      <c r="CD8" s="2912">
        <f>SUM(CD9)</f>
        <v>17.667000000000002</v>
      </c>
      <c r="CE8" s="2839">
        <f>SUM(CF8:CG8)</f>
        <v>5052.70975</v>
      </c>
      <c r="CF8" s="2839">
        <f>SUM(BH8+BZ8)</f>
        <v>5036.4920000000002</v>
      </c>
      <c r="CG8" s="2839">
        <f>SUM(BI8+CA8)</f>
        <v>16.217749999999999</v>
      </c>
      <c r="CH8" s="2839">
        <f>SUM(CI8:CJ8)</f>
        <v>2208.3047500000002</v>
      </c>
      <c r="CI8" s="2839">
        <f t="shared" ref="CI8:CJ12" si="2">SUM(CF8-CC8)</f>
        <v>2209.7540000000004</v>
      </c>
      <c r="CJ8" s="2839">
        <f t="shared" si="2"/>
        <v>-1.4492500000000028</v>
      </c>
      <c r="CK8" s="2841"/>
      <c r="CL8" s="4188">
        <f>SUM(B8+Q8+AO8+BM8)</f>
        <v>2844.4049999999997</v>
      </c>
    </row>
    <row r="9" spans="1:90" ht="18.75" customHeight="1" x14ac:dyDescent="0.2">
      <c r="A9" s="2935" t="s">
        <v>3794</v>
      </c>
      <c r="B9" s="2837">
        <f t="shared" ref="B9:B12" si="3">SUM(C9:D9)</f>
        <v>711.10124999999994</v>
      </c>
      <c r="C9" s="2837">
        <f t="shared" ref="C9:D12" si="4">SUM(CC9/4)</f>
        <v>706.68449999999996</v>
      </c>
      <c r="D9" s="2837">
        <f t="shared" si="4"/>
        <v>4.4167500000000004</v>
      </c>
      <c r="E9" s="2837">
        <f t="shared" ref="E9:E16" si="5">SUM(F9:G9)</f>
        <v>261.28100000000001</v>
      </c>
      <c r="F9" s="2837">
        <f>SUM(F10:F12)</f>
        <v>261.07100000000003</v>
      </c>
      <c r="G9" s="2837">
        <f>SUM(G10:G12)</f>
        <v>0.21</v>
      </c>
      <c r="H9" s="2837">
        <f t="shared" ref="H9:H16" si="6">SUM(I9:J9)</f>
        <v>264.26599999999996</v>
      </c>
      <c r="I9" s="2837">
        <f>SUM(I10:I12)</f>
        <v>264.02999999999997</v>
      </c>
      <c r="J9" s="2837">
        <f>SUM(J10:J12)</f>
        <v>0.23599999999999999</v>
      </c>
      <c r="K9" s="2837">
        <f t="shared" ref="K9:K16" si="7">SUM(L9:M9)</f>
        <v>261.25650000000002</v>
      </c>
      <c r="L9" s="2837">
        <f>SUM(L10:L12)</f>
        <v>258.37</v>
      </c>
      <c r="M9" s="2837">
        <f>SUM(M10:M12)</f>
        <v>2.8864999999999998</v>
      </c>
      <c r="N9" s="2837">
        <f t="shared" ref="N9:N12" si="8">SUM(O9:P9)</f>
        <v>786.80349999999999</v>
      </c>
      <c r="O9" s="2837">
        <f t="shared" ref="O9:P12" si="9">SUM(F9+I9+L9)</f>
        <v>783.471</v>
      </c>
      <c r="P9" s="2837">
        <f t="shared" si="9"/>
        <v>3.3324999999999996</v>
      </c>
      <c r="Q9" s="2837">
        <f t="shared" ref="Q9:Q12" si="10">SUM(R9:S9)</f>
        <v>711.10124999999994</v>
      </c>
      <c r="R9" s="2837">
        <f t="shared" ref="R9:R12" si="11">SUM(CC9/4)</f>
        <v>706.68449999999996</v>
      </c>
      <c r="S9" s="2837">
        <f t="shared" ref="S9:S12" si="12">SUM(CD9/4)</f>
        <v>4.4167500000000004</v>
      </c>
      <c r="T9" s="2837">
        <f t="shared" ref="T9:T16" si="13">SUM(U9:V9)</f>
        <v>271.30174999999997</v>
      </c>
      <c r="U9" s="2837">
        <f>SUM(U10:U12)</f>
        <v>270.56799999999998</v>
      </c>
      <c r="V9" s="2837">
        <f>SUM(V10:V12)</f>
        <v>0.73375000000000001</v>
      </c>
      <c r="W9" s="2837">
        <f t="shared" ref="W9:W16" si="14">SUM(X9:Y9)</f>
        <v>260.84950000000003</v>
      </c>
      <c r="X9" s="2837">
        <f>SUM(X10:X12)</f>
        <v>260.58100000000002</v>
      </c>
      <c r="Y9" s="2837">
        <f>SUM(Y10:Y12)</f>
        <v>0.26850000000000002</v>
      </c>
      <c r="Z9" s="2837">
        <f t="shared" ref="Z9:Z16" si="15">SUM(AA9:AB9)</f>
        <v>266.214</v>
      </c>
      <c r="AA9" s="2837">
        <f>SUM(AA10:AA12)</f>
        <v>263.11700000000002</v>
      </c>
      <c r="AB9" s="2837">
        <f>SUM(AB10:AB12)</f>
        <v>3.097</v>
      </c>
      <c r="AC9" s="2837">
        <f t="shared" ref="AC9:AC12" si="16">SUM(AD9:AE9)</f>
        <v>798.36525000000006</v>
      </c>
      <c r="AD9" s="2837">
        <f t="shared" ref="AD9:AE12" si="17">SUM(U9+X9+AA9)</f>
        <v>794.26600000000008</v>
      </c>
      <c r="AE9" s="2837">
        <f t="shared" si="17"/>
        <v>4.0992499999999996</v>
      </c>
      <c r="AF9" s="2839">
        <f t="shared" ref="AF9:AF12" si="18">SUM(AG9:AH9)</f>
        <v>1422.2024999999999</v>
      </c>
      <c r="AG9" s="2839">
        <f t="shared" ref="AG9:AH12" si="19">SUM(C9+R9)</f>
        <v>1413.3689999999999</v>
      </c>
      <c r="AH9" s="2839">
        <f t="shared" si="19"/>
        <v>8.8335000000000008</v>
      </c>
      <c r="AI9" s="2839">
        <f t="shared" ref="AI9:AI12" si="20">SUM(AJ9:AK9)</f>
        <v>1585.16875</v>
      </c>
      <c r="AJ9" s="2839">
        <f t="shared" ref="AJ9:AK12" si="21">SUM(O9+AD9)</f>
        <v>1577.7370000000001</v>
      </c>
      <c r="AK9" s="2839">
        <f t="shared" si="21"/>
        <v>7.4317499999999992</v>
      </c>
      <c r="AL9" s="2839">
        <f t="shared" ref="AL9:AL12" si="22">SUM(AM9:AN9)</f>
        <v>162.96625000000017</v>
      </c>
      <c r="AM9" s="2839">
        <f t="shared" si="0"/>
        <v>164.36800000000017</v>
      </c>
      <c r="AN9" s="2839">
        <f t="shared" si="0"/>
        <v>-1.4017500000000016</v>
      </c>
      <c r="AO9" s="2837">
        <f t="shared" ref="AO9:AO12" si="23">SUM(AP9:AQ9)</f>
        <v>711.10124999999994</v>
      </c>
      <c r="AP9" s="2837">
        <f t="shared" ref="AP9:AQ12" si="24">SUM(CC9/4)</f>
        <v>706.68449999999996</v>
      </c>
      <c r="AQ9" s="2837">
        <f t="shared" si="24"/>
        <v>4.4167500000000004</v>
      </c>
      <c r="AR9" s="2837">
        <f t="shared" ref="AR9:AR16" si="25">SUM(AS9:AT9)</f>
        <v>238.05900000000003</v>
      </c>
      <c r="AS9" s="2837">
        <f>SUM(AS10:AS12)</f>
        <v>237.59300000000002</v>
      </c>
      <c r="AT9" s="2837">
        <f>SUM(AT10:AT12)</f>
        <v>0.46600000000000003</v>
      </c>
      <c r="AU9" s="2837">
        <f t="shared" ref="AU9:AU16" si="26">SUM(AV9:AW9)</f>
        <v>251.54199999999997</v>
      </c>
      <c r="AV9" s="2837">
        <f>SUM(AV10:AV12)</f>
        <v>250.72699999999998</v>
      </c>
      <c r="AW9" s="2837">
        <f>SUM(AW10:AW12)</f>
        <v>0.81499999999999995</v>
      </c>
      <c r="AX9" s="2837">
        <f t="shared" ref="AX9:AX16" si="27">SUM(AY9:AZ9)</f>
        <v>252.58899999999997</v>
      </c>
      <c r="AY9" s="2837">
        <f>SUM(AY10:AY12)</f>
        <v>249.69299999999998</v>
      </c>
      <c r="AZ9" s="2837">
        <f>SUM(AZ10:AZ12)</f>
        <v>2.8959999999999999</v>
      </c>
      <c r="BA9" s="2837">
        <f t="shared" ref="BA9:BA12" si="28">SUM(BB9:BC9)</f>
        <v>742.18999999999994</v>
      </c>
      <c r="BB9" s="2837">
        <f t="shared" ref="BB9:BC12" si="29">SUM(AS9+AV9+AY9)</f>
        <v>738.01299999999992</v>
      </c>
      <c r="BC9" s="2837">
        <f t="shared" si="29"/>
        <v>4.1769999999999996</v>
      </c>
      <c r="BD9" s="2839">
        <f t="shared" ref="BD9:BD12" si="30">SUM(BE9:BF9)</f>
        <v>2133.30375</v>
      </c>
      <c r="BE9" s="2839">
        <f t="shared" ref="BE9:BF12" si="31">SUM(AG9+AP9)</f>
        <v>2120.0535</v>
      </c>
      <c r="BF9" s="2839">
        <f t="shared" si="31"/>
        <v>13.250250000000001</v>
      </c>
      <c r="BG9" s="2839">
        <f t="shared" ref="BG9:BG12" si="32">SUM(BH9:BI9)</f>
        <v>2327.3587499999999</v>
      </c>
      <c r="BH9" s="2839">
        <f t="shared" ref="BH9:BI12" si="33">SUM(AJ9+BB9)</f>
        <v>2315.75</v>
      </c>
      <c r="BI9" s="2839">
        <f t="shared" si="33"/>
        <v>11.608749999999999</v>
      </c>
      <c r="BJ9" s="2839">
        <f t="shared" ref="BJ9:BJ12" si="34">SUM(BK9:BL9)</f>
        <v>194.05500000000001</v>
      </c>
      <c r="BK9" s="2839">
        <f t="shared" si="1"/>
        <v>195.69650000000001</v>
      </c>
      <c r="BL9" s="2839">
        <f t="shared" si="1"/>
        <v>-1.6415000000000024</v>
      </c>
      <c r="BM9" s="2837">
        <f t="shared" ref="BM9:BM12" si="35">SUM(BN9:BO9)</f>
        <v>711.10124999999994</v>
      </c>
      <c r="BN9" s="2837">
        <f t="shared" ref="BN9:BO12" si="36">SUM(CC9/4)</f>
        <v>706.68449999999996</v>
      </c>
      <c r="BO9" s="2837">
        <f t="shared" si="36"/>
        <v>4.4167500000000004</v>
      </c>
      <c r="BP9" s="2837">
        <f t="shared" ref="BP9:BP16" si="37">SUM(BQ9:BR9)</f>
        <v>256.726</v>
      </c>
      <c r="BQ9" s="2837">
        <f>SUM(BQ10:BQ12)</f>
        <v>255.59700000000001</v>
      </c>
      <c r="BR9" s="2837">
        <f>SUM(BR10:BR12)</f>
        <v>1.129</v>
      </c>
      <c r="BS9" s="2837">
        <f t="shared" ref="BS9:BS16" si="38">SUM(BT9:BU9)</f>
        <v>250.44099999999997</v>
      </c>
      <c r="BT9" s="2837">
        <f>SUM(BT10:BT12)</f>
        <v>250.14499999999998</v>
      </c>
      <c r="BU9" s="2837">
        <f>SUM(BU10:BU12)</f>
        <v>0.29599999999999999</v>
      </c>
      <c r="BV9" s="2837">
        <f t="shared" ref="BV9:BV16" si="39">SUM(BW9:BX9)</f>
        <v>269.55400000000003</v>
      </c>
      <c r="BW9" s="2837">
        <f>SUM(BW10:BW12)</f>
        <v>266.37</v>
      </c>
      <c r="BX9" s="2837">
        <f>SUM(BX10:BX12)</f>
        <v>3.1840000000000002</v>
      </c>
      <c r="BY9" s="2837">
        <f t="shared" ref="BY9:BY12" si="40">SUM(BZ9:CA9)</f>
        <v>776.721</v>
      </c>
      <c r="BZ9" s="2837">
        <f t="shared" ref="BZ9:CA12" si="41">SUM(BQ9+BT9+BW9)</f>
        <v>772.11199999999997</v>
      </c>
      <c r="CA9" s="2837">
        <f t="shared" si="41"/>
        <v>4.609</v>
      </c>
      <c r="CB9" s="2912">
        <f t="shared" ref="CB9:CB16" si="42">SUM(CC9:CD9)</f>
        <v>2844.4049999999997</v>
      </c>
      <c r="CC9" s="2981">
        <f>SUM(CC10:CC12)</f>
        <v>2826.7379999999998</v>
      </c>
      <c r="CD9" s="2981">
        <f>SUM(CD10:CD12)</f>
        <v>17.667000000000002</v>
      </c>
      <c r="CE9" s="2839">
        <f t="shared" ref="CE9:CE12" si="43">SUM(CF9:CG9)</f>
        <v>3104.0797499999999</v>
      </c>
      <c r="CF9" s="2839">
        <f t="shared" ref="CF9:CG12" si="44">SUM(BH9+BZ9)</f>
        <v>3087.8620000000001</v>
      </c>
      <c r="CG9" s="2839">
        <f t="shared" si="44"/>
        <v>16.217749999999999</v>
      </c>
      <c r="CH9" s="2839">
        <f t="shared" ref="CH9:CH12" si="45">SUM(CI9:CJ9)</f>
        <v>259.67475000000024</v>
      </c>
      <c r="CI9" s="2839">
        <f t="shared" si="2"/>
        <v>261.12400000000025</v>
      </c>
      <c r="CJ9" s="2839">
        <f t="shared" si="2"/>
        <v>-1.4492500000000028</v>
      </c>
      <c r="CK9" s="2841"/>
      <c r="CL9" s="4188">
        <f t="shared" ref="CL9:CL16" si="46">SUM(B9+Q9+AO9+BM9)</f>
        <v>2844.4049999999997</v>
      </c>
    </row>
    <row r="10" spans="1:90" ht="18.75" customHeight="1" x14ac:dyDescent="0.2">
      <c r="A10" s="2868" t="s">
        <v>255</v>
      </c>
      <c r="B10" s="2845">
        <f t="shared" si="3"/>
        <v>536.66224999999997</v>
      </c>
      <c r="C10" s="2845">
        <f t="shared" si="4"/>
        <v>536.66224999999997</v>
      </c>
      <c r="D10" s="2845">
        <f t="shared" si="4"/>
        <v>0</v>
      </c>
      <c r="E10" s="2845">
        <f t="shared" si="5"/>
        <v>211.63800000000001</v>
      </c>
      <c r="F10" s="2852">
        <v>211.63800000000001</v>
      </c>
      <c r="G10" s="2852"/>
      <c r="H10" s="2845">
        <f t="shared" si="6"/>
        <v>198.41</v>
      </c>
      <c r="I10" s="2852">
        <v>198.41</v>
      </c>
      <c r="J10" s="2852"/>
      <c r="K10" s="2845">
        <f t="shared" si="7"/>
        <v>197.654</v>
      </c>
      <c r="L10" s="2852">
        <v>197.654</v>
      </c>
      <c r="M10" s="2852"/>
      <c r="N10" s="2845">
        <f t="shared" si="8"/>
        <v>607.702</v>
      </c>
      <c r="O10" s="2845">
        <f t="shared" si="9"/>
        <v>607.702</v>
      </c>
      <c r="P10" s="2845">
        <f t="shared" si="9"/>
        <v>0</v>
      </c>
      <c r="Q10" s="2845">
        <f t="shared" si="10"/>
        <v>536.66224999999997</v>
      </c>
      <c r="R10" s="2845">
        <f t="shared" si="11"/>
        <v>536.66224999999997</v>
      </c>
      <c r="S10" s="2845">
        <f t="shared" si="12"/>
        <v>0</v>
      </c>
      <c r="T10" s="2845">
        <f t="shared" si="13"/>
        <v>209.45099999999999</v>
      </c>
      <c r="U10" s="2852">
        <v>209.45099999999999</v>
      </c>
      <c r="V10" s="2852"/>
      <c r="W10" s="2845">
        <f t="shared" si="14"/>
        <v>205.357</v>
      </c>
      <c r="X10" s="2852">
        <v>205.357</v>
      </c>
      <c r="Y10" s="2852"/>
      <c r="Z10" s="2845">
        <f t="shared" si="15"/>
        <v>202.36600000000001</v>
      </c>
      <c r="AA10" s="2852">
        <v>202.36600000000001</v>
      </c>
      <c r="AB10" s="2852"/>
      <c r="AC10" s="2845">
        <f t="shared" si="16"/>
        <v>617.17399999999998</v>
      </c>
      <c r="AD10" s="2845">
        <f t="shared" si="17"/>
        <v>617.17399999999998</v>
      </c>
      <c r="AE10" s="2845">
        <f t="shared" si="17"/>
        <v>0</v>
      </c>
      <c r="AF10" s="2846">
        <f t="shared" si="18"/>
        <v>1073.3244999999999</v>
      </c>
      <c r="AG10" s="2846">
        <f t="shared" si="19"/>
        <v>1073.3244999999999</v>
      </c>
      <c r="AH10" s="2846">
        <f t="shared" si="19"/>
        <v>0</v>
      </c>
      <c r="AI10" s="2846">
        <f t="shared" si="20"/>
        <v>1224.876</v>
      </c>
      <c r="AJ10" s="2846">
        <f t="shared" si="21"/>
        <v>1224.876</v>
      </c>
      <c r="AK10" s="2846">
        <f t="shared" si="21"/>
        <v>0</v>
      </c>
      <c r="AL10" s="2846">
        <f t="shared" si="22"/>
        <v>151.55150000000003</v>
      </c>
      <c r="AM10" s="2846">
        <f t="shared" si="0"/>
        <v>151.55150000000003</v>
      </c>
      <c r="AN10" s="2846">
        <f t="shared" si="0"/>
        <v>0</v>
      </c>
      <c r="AO10" s="2845">
        <f t="shared" si="23"/>
        <v>536.66224999999997</v>
      </c>
      <c r="AP10" s="2845">
        <f t="shared" si="24"/>
        <v>536.66224999999997</v>
      </c>
      <c r="AQ10" s="2845">
        <f t="shared" si="24"/>
        <v>0</v>
      </c>
      <c r="AR10" s="2845">
        <f t="shared" si="25"/>
        <v>188.018</v>
      </c>
      <c r="AS10" s="2852">
        <v>188.018</v>
      </c>
      <c r="AT10" s="2852"/>
      <c r="AU10" s="2845">
        <f t="shared" si="26"/>
        <v>194.14699999999999</v>
      </c>
      <c r="AV10" s="2852">
        <v>194.14699999999999</v>
      </c>
      <c r="AW10" s="2852"/>
      <c r="AX10" s="2845">
        <f t="shared" si="27"/>
        <v>188.57599999999999</v>
      </c>
      <c r="AY10" s="2852">
        <v>188.57599999999999</v>
      </c>
      <c r="AZ10" s="2852"/>
      <c r="BA10" s="2845">
        <f t="shared" si="28"/>
        <v>570.74099999999999</v>
      </c>
      <c r="BB10" s="2845">
        <f t="shared" si="29"/>
        <v>570.74099999999999</v>
      </c>
      <c r="BC10" s="2845">
        <f t="shared" si="29"/>
        <v>0</v>
      </c>
      <c r="BD10" s="2846">
        <f t="shared" si="30"/>
        <v>1609.98675</v>
      </c>
      <c r="BE10" s="2846">
        <f t="shared" si="31"/>
        <v>1609.98675</v>
      </c>
      <c r="BF10" s="2846">
        <f t="shared" si="31"/>
        <v>0</v>
      </c>
      <c r="BG10" s="2846">
        <f t="shared" si="32"/>
        <v>1795.617</v>
      </c>
      <c r="BH10" s="2846">
        <f t="shared" si="33"/>
        <v>1795.617</v>
      </c>
      <c r="BI10" s="2846">
        <f t="shared" si="33"/>
        <v>0</v>
      </c>
      <c r="BJ10" s="2846">
        <f t="shared" si="34"/>
        <v>185.63024999999993</v>
      </c>
      <c r="BK10" s="2846">
        <f t="shared" si="1"/>
        <v>185.63024999999993</v>
      </c>
      <c r="BL10" s="2846">
        <f t="shared" si="1"/>
        <v>0</v>
      </c>
      <c r="BM10" s="2845">
        <f t="shared" si="35"/>
        <v>536.66224999999997</v>
      </c>
      <c r="BN10" s="2845">
        <f t="shared" si="36"/>
        <v>536.66224999999997</v>
      </c>
      <c r="BO10" s="2845">
        <f t="shared" si="36"/>
        <v>0</v>
      </c>
      <c r="BP10" s="2845">
        <f t="shared" si="37"/>
        <v>195.09200000000001</v>
      </c>
      <c r="BQ10" s="2852">
        <v>195.09200000000001</v>
      </c>
      <c r="BR10" s="2852"/>
      <c r="BS10" s="2845">
        <f t="shared" si="38"/>
        <v>198.24299999999999</v>
      </c>
      <c r="BT10" s="2852">
        <v>198.24299999999999</v>
      </c>
      <c r="BU10" s="2852"/>
      <c r="BV10" s="2845">
        <f t="shared" si="39"/>
        <v>202.09399999999999</v>
      </c>
      <c r="BW10" s="2852">
        <v>202.09399999999999</v>
      </c>
      <c r="BX10" s="2852"/>
      <c r="BY10" s="2845">
        <f t="shared" si="40"/>
        <v>595.42900000000009</v>
      </c>
      <c r="BZ10" s="2845">
        <f t="shared" si="41"/>
        <v>595.42900000000009</v>
      </c>
      <c r="CA10" s="2845">
        <f t="shared" si="41"/>
        <v>0</v>
      </c>
      <c r="CB10" s="2916">
        <f t="shared" si="42"/>
        <v>2146.6489999999999</v>
      </c>
      <c r="CC10" s="2982">
        <f>SUM(объемы!BN64)</f>
        <v>2146.6489999999999</v>
      </c>
      <c r="CD10" s="2982"/>
      <c r="CE10" s="2846">
        <f t="shared" si="43"/>
        <v>2391.0460000000003</v>
      </c>
      <c r="CF10" s="2846">
        <f t="shared" si="44"/>
        <v>2391.0460000000003</v>
      </c>
      <c r="CG10" s="2846">
        <f t="shared" si="44"/>
        <v>0</v>
      </c>
      <c r="CH10" s="2846">
        <f t="shared" si="45"/>
        <v>244.39700000000039</v>
      </c>
      <c r="CI10" s="2846">
        <f t="shared" si="2"/>
        <v>244.39700000000039</v>
      </c>
      <c r="CJ10" s="2846">
        <f t="shared" si="2"/>
        <v>0</v>
      </c>
      <c r="CK10" s="2841"/>
      <c r="CL10" s="4188">
        <f t="shared" si="46"/>
        <v>2146.6489999999999</v>
      </c>
    </row>
    <row r="11" spans="1:90" ht="18.75" customHeight="1" x14ac:dyDescent="0.2">
      <c r="A11" s="2868" t="s">
        <v>3795</v>
      </c>
      <c r="B11" s="2845">
        <f t="shared" si="3"/>
        <v>4.4167500000000004</v>
      </c>
      <c r="C11" s="2845">
        <f t="shared" si="4"/>
        <v>0</v>
      </c>
      <c r="D11" s="2845">
        <f t="shared" si="4"/>
        <v>4.4167500000000004</v>
      </c>
      <c r="E11" s="2845">
        <f t="shared" si="5"/>
        <v>0.21</v>
      </c>
      <c r="F11" s="2845">
        <v>0</v>
      </c>
      <c r="G11" s="2852">
        <v>0.21</v>
      </c>
      <c r="H11" s="2845">
        <f t="shared" si="6"/>
        <v>0.23599999999999999</v>
      </c>
      <c r="I11" s="2845">
        <v>0</v>
      </c>
      <c r="J11" s="2852">
        <v>0.23599999999999999</v>
      </c>
      <c r="K11" s="2845">
        <f t="shared" si="7"/>
        <v>2.8864999999999998</v>
      </c>
      <c r="L11" s="2845">
        <v>0</v>
      </c>
      <c r="M11" s="2852">
        <v>2.8864999999999998</v>
      </c>
      <c r="N11" s="2845">
        <f t="shared" si="8"/>
        <v>3.3324999999999996</v>
      </c>
      <c r="O11" s="2845">
        <f t="shared" si="9"/>
        <v>0</v>
      </c>
      <c r="P11" s="2845">
        <f t="shared" si="9"/>
        <v>3.3324999999999996</v>
      </c>
      <c r="Q11" s="2845">
        <f t="shared" si="10"/>
        <v>4.4167500000000004</v>
      </c>
      <c r="R11" s="2845">
        <f t="shared" si="11"/>
        <v>0</v>
      </c>
      <c r="S11" s="2845">
        <f t="shared" si="12"/>
        <v>4.4167500000000004</v>
      </c>
      <c r="T11" s="2845">
        <f t="shared" si="13"/>
        <v>0.73375000000000001</v>
      </c>
      <c r="U11" s="2845">
        <v>0</v>
      </c>
      <c r="V11" s="2852">
        <v>0.73375000000000001</v>
      </c>
      <c r="W11" s="2845">
        <f t="shared" si="14"/>
        <v>0.26850000000000002</v>
      </c>
      <c r="X11" s="2845">
        <v>0</v>
      </c>
      <c r="Y11" s="2852">
        <v>0.26850000000000002</v>
      </c>
      <c r="Z11" s="2845">
        <f t="shared" si="15"/>
        <v>3.097</v>
      </c>
      <c r="AA11" s="2845">
        <v>0</v>
      </c>
      <c r="AB11" s="2852">
        <v>3.097</v>
      </c>
      <c r="AC11" s="2845">
        <f t="shared" si="16"/>
        <v>4.0992499999999996</v>
      </c>
      <c r="AD11" s="2845">
        <f t="shared" si="17"/>
        <v>0</v>
      </c>
      <c r="AE11" s="2845">
        <f t="shared" si="17"/>
        <v>4.0992499999999996</v>
      </c>
      <c r="AF11" s="2846">
        <f t="shared" si="18"/>
        <v>8.8335000000000008</v>
      </c>
      <c r="AG11" s="2846">
        <f t="shared" si="19"/>
        <v>0</v>
      </c>
      <c r="AH11" s="2846">
        <f t="shared" si="19"/>
        <v>8.8335000000000008</v>
      </c>
      <c r="AI11" s="2846">
        <f t="shared" si="20"/>
        <v>7.4317499999999992</v>
      </c>
      <c r="AJ11" s="2846">
        <f t="shared" si="21"/>
        <v>0</v>
      </c>
      <c r="AK11" s="2846">
        <f t="shared" si="21"/>
        <v>7.4317499999999992</v>
      </c>
      <c r="AL11" s="2846">
        <f t="shared" si="22"/>
        <v>-1.4017500000000016</v>
      </c>
      <c r="AM11" s="2846">
        <f t="shared" si="0"/>
        <v>0</v>
      </c>
      <c r="AN11" s="2846">
        <f t="shared" si="0"/>
        <v>-1.4017500000000016</v>
      </c>
      <c r="AO11" s="2845">
        <f t="shared" si="23"/>
        <v>4.4167500000000004</v>
      </c>
      <c r="AP11" s="2845">
        <f t="shared" si="24"/>
        <v>0</v>
      </c>
      <c r="AQ11" s="2845">
        <f t="shared" si="24"/>
        <v>4.4167500000000004</v>
      </c>
      <c r="AR11" s="2845">
        <f t="shared" si="25"/>
        <v>0.46600000000000003</v>
      </c>
      <c r="AS11" s="2845">
        <v>0</v>
      </c>
      <c r="AT11" s="2852">
        <v>0.46600000000000003</v>
      </c>
      <c r="AU11" s="2845">
        <f t="shared" si="26"/>
        <v>0.81499999999999995</v>
      </c>
      <c r="AV11" s="2845">
        <v>0</v>
      </c>
      <c r="AW11" s="2852">
        <v>0.81499999999999995</v>
      </c>
      <c r="AX11" s="2845">
        <f t="shared" si="27"/>
        <v>2.8959999999999999</v>
      </c>
      <c r="AY11" s="2845">
        <v>0</v>
      </c>
      <c r="AZ11" s="2852">
        <v>2.8959999999999999</v>
      </c>
      <c r="BA11" s="2845">
        <f t="shared" si="28"/>
        <v>4.1769999999999996</v>
      </c>
      <c r="BB11" s="2845">
        <f t="shared" si="29"/>
        <v>0</v>
      </c>
      <c r="BC11" s="2845">
        <f t="shared" si="29"/>
        <v>4.1769999999999996</v>
      </c>
      <c r="BD11" s="2846">
        <f t="shared" si="30"/>
        <v>13.250250000000001</v>
      </c>
      <c r="BE11" s="2846">
        <f t="shared" si="31"/>
        <v>0</v>
      </c>
      <c r="BF11" s="2846">
        <f t="shared" si="31"/>
        <v>13.250250000000001</v>
      </c>
      <c r="BG11" s="2846">
        <f t="shared" si="32"/>
        <v>11.608749999999999</v>
      </c>
      <c r="BH11" s="2846">
        <f t="shared" si="33"/>
        <v>0</v>
      </c>
      <c r="BI11" s="2846">
        <f t="shared" si="33"/>
        <v>11.608749999999999</v>
      </c>
      <c r="BJ11" s="2846">
        <f t="shared" si="34"/>
        <v>-1.6415000000000024</v>
      </c>
      <c r="BK11" s="2846">
        <f t="shared" si="1"/>
        <v>0</v>
      </c>
      <c r="BL11" s="2846">
        <f t="shared" si="1"/>
        <v>-1.6415000000000024</v>
      </c>
      <c r="BM11" s="2845">
        <f t="shared" si="35"/>
        <v>4.4167500000000004</v>
      </c>
      <c r="BN11" s="2845">
        <f t="shared" si="36"/>
        <v>0</v>
      </c>
      <c r="BO11" s="2845">
        <f t="shared" si="36"/>
        <v>4.4167500000000004</v>
      </c>
      <c r="BP11" s="2845">
        <f t="shared" si="37"/>
        <v>1.129</v>
      </c>
      <c r="BQ11" s="2845">
        <v>0</v>
      </c>
      <c r="BR11" s="2852">
        <v>1.129</v>
      </c>
      <c r="BS11" s="2845">
        <f t="shared" si="38"/>
        <v>0.29599999999999999</v>
      </c>
      <c r="BT11" s="2845">
        <v>0</v>
      </c>
      <c r="BU11" s="2852">
        <v>0.29599999999999999</v>
      </c>
      <c r="BV11" s="2845">
        <f t="shared" si="39"/>
        <v>3.1840000000000002</v>
      </c>
      <c r="BW11" s="2845">
        <v>0</v>
      </c>
      <c r="BX11" s="2852">
        <v>3.1840000000000002</v>
      </c>
      <c r="BY11" s="2845">
        <f t="shared" si="40"/>
        <v>4.609</v>
      </c>
      <c r="BZ11" s="2845">
        <f t="shared" si="41"/>
        <v>0</v>
      </c>
      <c r="CA11" s="2845">
        <f t="shared" si="41"/>
        <v>4.609</v>
      </c>
      <c r="CB11" s="2916">
        <f t="shared" si="42"/>
        <v>17.667000000000002</v>
      </c>
      <c r="CC11" s="2982"/>
      <c r="CD11" s="2982">
        <f>SUM(объемы!BO70)</f>
        <v>17.667000000000002</v>
      </c>
      <c r="CE11" s="2846">
        <f t="shared" si="43"/>
        <v>16.217749999999999</v>
      </c>
      <c r="CF11" s="2846">
        <f t="shared" si="44"/>
        <v>0</v>
      </c>
      <c r="CG11" s="2846">
        <f t="shared" si="44"/>
        <v>16.217749999999999</v>
      </c>
      <c r="CH11" s="2846">
        <f t="shared" si="45"/>
        <v>-1.4492500000000028</v>
      </c>
      <c r="CI11" s="2846">
        <f t="shared" si="2"/>
        <v>0</v>
      </c>
      <c r="CJ11" s="2846">
        <f t="shared" si="2"/>
        <v>-1.4492500000000028</v>
      </c>
      <c r="CK11" s="2841"/>
      <c r="CL11" s="4188">
        <f t="shared" si="46"/>
        <v>17.667000000000002</v>
      </c>
    </row>
    <row r="12" spans="1:90" ht="18.75" customHeight="1" x14ac:dyDescent="0.2">
      <c r="A12" s="2868" t="s">
        <v>3814</v>
      </c>
      <c r="B12" s="2845">
        <f t="shared" si="3"/>
        <v>170.02225000000001</v>
      </c>
      <c r="C12" s="2845">
        <f t="shared" si="4"/>
        <v>170.02225000000001</v>
      </c>
      <c r="D12" s="2845">
        <f t="shared" si="4"/>
        <v>0</v>
      </c>
      <c r="E12" s="2845">
        <f t="shared" si="5"/>
        <v>49.433</v>
      </c>
      <c r="F12" s="2852">
        <v>49.433</v>
      </c>
      <c r="G12" s="2852"/>
      <c r="H12" s="2845">
        <f t="shared" si="6"/>
        <v>65.62</v>
      </c>
      <c r="I12" s="2852">
        <v>65.62</v>
      </c>
      <c r="J12" s="2852"/>
      <c r="K12" s="2845">
        <f t="shared" si="7"/>
        <v>60.716000000000001</v>
      </c>
      <c r="L12" s="2852">
        <v>60.716000000000001</v>
      </c>
      <c r="M12" s="2852"/>
      <c r="N12" s="2845">
        <f t="shared" si="8"/>
        <v>175.76900000000001</v>
      </c>
      <c r="O12" s="2845">
        <f t="shared" si="9"/>
        <v>175.76900000000001</v>
      </c>
      <c r="P12" s="2845">
        <f t="shared" si="9"/>
        <v>0</v>
      </c>
      <c r="Q12" s="2845">
        <f t="shared" si="10"/>
        <v>170.02225000000001</v>
      </c>
      <c r="R12" s="2845">
        <f t="shared" si="11"/>
        <v>170.02225000000001</v>
      </c>
      <c r="S12" s="2845">
        <f t="shared" si="12"/>
        <v>0</v>
      </c>
      <c r="T12" s="2845">
        <f t="shared" si="13"/>
        <v>61.116999999999997</v>
      </c>
      <c r="U12" s="2852">
        <v>61.116999999999997</v>
      </c>
      <c r="V12" s="2852"/>
      <c r="W12" s="2845">
        <f t="shared" si="14"/>
        <v>55.223999999999997</v>
      </c>
      <c r="X12" s="2852">
        <v>55.223999999999997</v>
      </c>
      <c r="Y12" s="2852"/>
      <c r="Z12" s="2845">
        <f t="shared" si="15"/>
        <v>60.750999999999998</v>
      </c>
      <c r="AA12" s="2852">
        <v>60.750999999999998</v>
      </c>
      <c r="AB12" s="2852"/>
      <c r="AC12" s="2845">
        <f t="shared" si="16"/>
        <v>177.09199999999998</v>
      </c>
      <c r="AD12" s="2845">
        <f t="shared" si="17"/>
        <v>177.09199999999998</v>
      </c>
      <c r="AE12" s="2845">
        <f t="shared" si="17"/>
        <v>0</v>
      </c>
      <c r="AF12" s="2846">
        <f t="shared" si="18"/>
        <v>340.04450000000003</v>
      </c>
      <c r="AG12" s="2846">
        <f t="shared" si="19"/>
        <v>340.04450000000003</v>
      </c>
      <c r="AH12" s="2846">
        <f t="shared" si="19"/>
        <v>0</v>
      </c>
      <c r="AI12" s="2846">
        <f t="shared" si="20"/>
        <v>352.86099999999999</v>
      </c>
      <c r="AJ12" s="2846">
        <f t="shared" si="21"/>
        <v>352.86099999999999</v>
      </c>
      <c r="AK12" s="2846">
        <f t="shared" si="21"/>
        <v>0</v>
      </c>
      <c r="AL12" s="2846">
        <f t="shared" si="22"/>
        <v>12.816499999999962</v>
      </c>
      <c r="AM12" s="2846">
        <f t="shared" si="0"/>
        <v>12.816499999999962</v>
      </c>
      <c r="AN12" s="2846">
        <f t="shared" si="0"/>
        <v>0</v>
      </c>
      <c r="AO12" s="2845">
        <f t="shared" si="23"/>
        <v>170.02225000000001</v>
      </c>
      <c r="AP12" s="2845">
        <f t="shared" si="24"/>
        <v>170.02225000000001</v>
      </c>
      <c r="AQ12" s="2845">
        <f t="shared" si="24"/>
        <v>0</v>
      </c>
      <c r="AR12" s="2845">
        <f t="shared" si="25"/>
        <v>49.575000000000003</v>
      </c>
      <c r="AS12" s="2852">
        <v>49.575000000000003</v>
      </c>
      <c r="AT12" s="2852"/>
      <c r="AU12" s="2845">
        <f t="shared" si="26"/>
        <v>56.58</v>
      </c>
      <c r="AV12" s="2852">
        <v>56.58</v>
      </c>
      <c r="AW12" s="2852"/>
      <c r="AX12" s="2845">
        <f t="shared" si="27"/>
        <v>61.116999999999997</v>
      </c>
      <c r="AY12" s="2852">
        <v>61.116999999999997</v>
      </c>
      <c r="AZ12" s="2852"/>
      <c r="BA12" s="2845">
        <f t="shared" si="28"/>
        <v>167.27199999999999</v>
      </c>
      <c r="BB12" s="2845">
        <f t="shared" si="29"/>
        <v>167.27199999999999</v>
      </c>
      <c r="BC12" s="2845">
        <f t="shared" si="29"/>
        <v>0</v>
      </c>
      <c r="BD12" s="2846">
        <f t="shared" si="30"/>
        <v>510.06675000000007</v>
      </c>
      <c r="BE12" s="2846">
        <f t="shared" si="31"/>
        <v>510.06675000000007</v>
      </c>
      <c r="BF12" s="2846">
        <f t="shared" si="31"/>
        <v>0</v>
      </c>
      <c r="BG12" s="2846">
        <f t="shared" si="32"/>
        <v>520.13300000000004</v>
      </c>
      <c r="BH12" s="2846">
        <f t="shared" si="33"/>
        <v>520.13300000000004</v>
      </c>
      <c r="BI12" s="2846">
        <f t="shared" si="33"/>
        <v>0</v>
      </c>
      <c r="BJ12" s="2846">
        <f t="shared" si="34"/>
        <v>10.066249999999968</v>
      </c>
      <c r="BK12" s="2846">
        <f t="shared" si="1"/>
        <v>10.066249999999968</v>
      </c>
      <c r="BL12" s="2846">
        <f t="shared" si="1"/>
        <v>0</v>
      </c>
      <c r="BM12" s="2845">
        <f t="shared" si="35"/>
        <v>170.02225000000001</v>
      </c>
      <c r="BN12" s="2845">
        <f t="shared" si="36"/>
        <v>170.02225000000001</v>
      </c>
      <c r="BO12" s="2845">
        <f t="shared" si="36"/>
        <v>0</v>
      </c>
      <c r="BP12" s="2845">
        <f t="shared" si="37"/>
        <v>60.505000000000003</v>
      </c>
      <c r="BQ12" s="2852">
        <v>60.505000000000003</v>
      </c>
      <c r="BR12" s="2852"/>
      <c r="BS12" s="2845">
        <f t="shared" si="38"/>
        <v>51.902000000000001</v>
      </c>
      <c r="BT12" s="2852">
        <v>51.902000000000001</v>
      </c>
      <c r="BU12" s="2852"/>
      <c r="BV12" s="2845">
        <f t="shared" si="39"/>
        <v>64.275999999999996</v>
      </c>
      <c r="BW12" s="2852">
        <v>64.275999999999996</v>
      </c>
      <c r="BX12" s="2852"/>
      <c r="BY12" s="2845">
        <f t="shared" si="40"/>
        <v>176.68299999999999</v>
      </c>
      <c r="BZ12" s="2845">
        <f t="shared" si="41"/>
        <v>176.68299999999999</v>
      </c>
      <c r="CA12" s="2845">
        <f t="shared" si="41"/>
        <v>0</v>
      </c>
      <c r="CB12" s="2916">
        <f t="shared" si="42"/>
        <v>680.08900000000006</v>
      </c>
      <c r="CC12" s="2982">
        <f>SUM(объемы!BN65)</f>
        <v>680.08900000000006</v>
      </c>
      <c r="CD12" s="2982"/>
      <c r="CE12" s="2846">
        <f t="shared" si="43"/>
        <v>696.81600000000003</v>
      </c>
      <c r="CF12" s="2846">
        <f t="shared" si="44"/>
        <v>696.81600000000003</v>
      </c>
      <c r="CG12" s="2846">
        <f t="shared" si="44"/>
        <v>0</v>
      </c>
      <c r="CH12" s="2846">
        <f t="shared" si="45"/>
        <v>16.726999999999975</v>
      </c>
      <c r="CI12" s="2846">
        <f t="shared" si="2"/>
        <v>16.726999999999975</v>
      </c>
      <c r="CJ12" s="2846">
        <f t="shared" si="2"/>
        <v>0</v>
      </c>
      <c r="CK12" s="2841"/>
      <c r="CL12" s="4188">
        <f t="shared" si="46"/>
        <v>680.08900000000006</v>
      </c>
    </row>
    <row r="13" spans="1:90" ht="18.75" customHeight="1" x14ac:dyDescent="0.2">
      <c r="A13" s="2882" t="s">
        <v>3679</v>
      </c>
      <c r="B13" s="2853">
        <f t="shared" ref="B13:B16" si="47">SUM(C13:D13)</f>
        <v>74.550000000000011</v>
      </c>
      <c r="C13" s="2853">
        <f t="shared" ref="C13:C16" si="48">SUM(CC13/4)</f>
        <v>74.550000000000011</v>
      </c>
      <c r="D13" s="2853">
        <f t="shared" ref="D13:D16" si="49">SUM(CD13/4)</f>
        <v>0</v>
      </c>
      <c r="E13" s="2853">
        <f t="shared" si="5"/>
        <v>16.442</v>
      </c>
      <c r="F13" s="2853">
        <f>SUM(F14:F16)</f>
        <v>16.442</v>
      </c>
      <c r="G13" s="3051"/>
      <c r="H13" s="2853">
        <f t="shared" si="6"/>
        <v>32.838000000000001</v>
      </c>
      <c r="I13" s="2853">
        <f>SUM(I14:I16)</f>
        <v>32.838000000000001</v>
      </c>
      <c r="J13" s="3051"/>
      <c r="K13" s="2853">
        <f t="shared" si="7"/>
        <v>24.514000000000003</v>
      </c>
      <c r="L13" s="2853">
        <f>SUM(L14:L16)</f>
        <v>24.514000000000003</v>
      </c>
      <c r="M13" s="3051"/>
      <c r="N13" s="2853">
        <f t="shared" ref="N13:N16" si="50">SUM(O13:P13)</f>
        <v>73.794000000000011</v>
      </c>
      <c r="O13" s="2853">
        <f t="shared" ref="O13:O16" si="51">SUM(F13+I13+L13)</f>
        <v>73.794000000000011</v>
      </c>
      <c r="P13" s="2853">
        <f t="shared" ref="P13:P16" si="52">SUM(G13+J13+M13)</f>
        <v>0</v>
      </c>
      <c r="Q13" s="2853">
        <f t="shared" ref="Q13:Q16" si="53">SUM(R13:S13)</f>
        <v>74.550000000000011</v>
      </c>
      <c r="R13" s="2853">
        <f t="shared" ref="R13:R16" si="54">SUM(CC13/4)</f>
        <v>74.550000000000011</v>
      </c>
      <c r="S13" s="2853">
        <f t="shared" ref="S13:S16" si="55">SUM(CD13/4)</f>
        <v>0</v>
      </c>
      <c r="T13" s="2853">
        <f t="shared" si="13"/>
        <v>25.868000000000002</v>
      </c>
      <c r="U13" s="2853">
        <f>SUM(U14:U16)</f>
        <v>25.868000000000002</v>
      </c>
      <c r="V13" s="3051"/>
      <c r="W13" s="2853">
        <f t="shared" si="14"/>
        <v>24.771999999999998</v>
      </c>
      <c r="X13" s="2853">
        <f>SUM(X14:X16)</f>
        <v>24.771999999999998</v>
      </c>
      <c r="Y13" s="3051"/>
      <c r="Z13" s="2853">
        <f t="shared" si="15"/>
        <v>25.765999999999998</v>
      </c>
      <c r="AA13" s="2853">
        <f>SUM(AA14:AA16)</f>
        <v>25.765999999999998</v>
      </c>
      <c r="AB13" s="3051"/>
      <c r="AC13" s="2853">
        <f t="shared" ref="AC13:AC16" si="56">SUM(AD13:AE13)</f>
        <v>76.406000000000006</v>
      </c>
      <c r="AD13" s="2853">
        <f t="shared" ref="AD13:AD16" si="57">SUM(U13+X13+AA13)</f>
        <v>76.406000000000006</v>
      </c>
      <c r="AE13" s="2853">
        <f t="shared" ref="AE13:AE16" si="58">SUM(V13+Y13+AB13)</f>
        <v>0</v>
      </c>
      <c r="AF13" s="2856">
        <f t="shared" ref="AF13:AF16" si="59">SUM(AG13:AH13)</f>
        <v>149.10000000000002</v>
      </c>
      <c r="AG13" s="2856">
        <f t="shared" ref="AG13:AG16" si="60">SUM(C13+R13)</f>
        <v>149.10000000000002</v>
      </c>
      <c r="AH13" s="2856">
        <f t="shared" ref="AH13:AH16" si="61">SUM(D13+S13)</f>
        <v>0</v>
      </c>
      <c r="AI13" s="2856">
        <f t="shared" ref="AI13:AI16" si="62">SUM(AJ13:AK13)</f>
        <v>150.20000000000002</v>
      </c>
      <c r="AJ13" s="2856">
        <f t="shared" ref="AJ13:AJ16" si="63">SUM(O13+AD13)</f>
        <v>150.20000000000002</v>
      </c>
      <c r="AK13" s="2856">
        <f t="shared" ref="AK13:AK16" si="64">SUM(P13+AE13)</f>
        <v>0</v>
      </c>
      <c r="AL13" s="2856">
        <f t="shared" ref="AL13:AL16" si="65">SUM(AM13:AN13)</f>
        <v>1.0999999999999943</v>
      </c>
      <c r="AM13" s="2856">
        <f t="shared" ref="AM13:AM16" si="66">SUM(AJ13-AG13)</f>
        <v>1.0999999999999943</v>
      </c>
      <c r="AN13" s="2856">
        <f t="shared" ref="AN13:AN16" si="67">SUM(AK13-AH13)</f>
        <v>0</v>
      </c>
      <c r="AO13" s="2853">
        <f t="shared" ref="AO13:AO16" si="68">SUM(AP13:AQ13)</f>
        <v>74.550000000000011</v>
      </c>
      <c r="AP13" s="2853">
        <f t="shared" ref="AP13:AP16" si="69">SUM(CC13/4)</f>
        <v>74.550000000000011</v>
      </c>
      <c r="AQ13" s="2853">
        <f t="shared" ref="AQ13:AQ16" si="70">SUM(CD13/4)</f>
        <v>0</v>
      </c>
      <c r="AR13" s="2853">
        <f t="shared" si="25"/>
        <v>18.241</v>
      </c>
      <c r="AS13" s="2853">
        <f>SUM(AS14:AS16)</f>
        <v>18.241</v>
      </c>
      <c r="AT13" s="3051"/>
      <c r="AU13" s="2853">
        <f t="shared" si="26"/>
        <v>24.286000000000001</v>
      </c>
      <c r="AV13" s="2853">
        <f>SUM(AV14:AV16)</f>
        <v>24.286000000000001</v>
      </c>
      <c r="AW13" s="3051"/>
      <c r="AX13" s="2853">
        <f t="shared" si="27"/>
        <v>23.933999999999997</v>
      </c>
      <c r="AY13" s="2853">
        <f>SUM(AY14:AY16)</f>
        <v>23.933999999999997</v>
      </c>
      <c r="AZ13" s="3051"/>
      <c r="BA13" s="2853">
        <f t="shared" ref="BA13:BA16" si="71">SUM(BB13:BC13)</f>
        <v>66.460999999999999</v>
      </c>
      <c r="BB13" s="2853">
        <f t="shared" ref="BB13:BB16" si="72">SUM(AS13+AV13+AY13)</f>
        <v>66.460999999999999</v>
      </c>
      <c r="BC13" s="2853">
        <f t="shared" ref="BC13:BC16" si="73">SUM(AT13+AW13+AZ13)</f>
        <v>0</v>
      </c>
      <c r="BD13" s="2856">
        <f t="shared" ref="BD13:BD16" si="74">SUM(BE13:BF13)</f>
        <v>223.65000000000003</v>
      </c>
      <c r="BE13" s="2856">
        <f t="shared" ref="BE13:BE16" si="75">SUM(AG13+AP13)</f>
        <v>223.65000000000003</v>
      </c>
      <c r="BF13" s="2856">
        <f t="shared" ref="BF13:BF16" si="76">SUM(AH13+AQ13)</f>
        <v>0</v>
      </c>
      <c r="BG13" s="2856">
        <f t="shared" ref="BG13:BG16" si="77">SUM(BH13:BI13)</f>
        <v>216.661</v>
      </c>
      <c r="BH13" s="2856">
        <f t="shared" ref="BH13:BH16" si="78">SUM(AJ13+BB13)</f>
        <v>216.661</v>
      </c>
      <c r="BI13" s="2856">
        <f t="shared" ref="BI13:BI16" si="79">SUM(AK13+BC13)</f>
        <v>0</v>
      </c>
      <c r="BJ13" s="2856">
        <f t="shared" ref="BJ13:BJ16" si="80">SUM(BK13:BL13)</f>
        <v>-6.9890000000000327</v>
      </c>
      <c r="BK13" s="2856">
        <f t="shared" ref="BK13:BK16" si="81">SUM(BH13-BE13)</f>
        <v>-6.9890000000000327</v>
      </c>
      <c r="BL13" s="2856">
        <f t="shared" ref="BL13:BL16" si="82">SUM(BI13-BF13)</f>
        <v>0</v>
      </c>
      <c r="BM13" s="2853">
        <f t="shared" ref="BM13:BM16" si="83">SUM(BN13:BO13)</f>
        <v>74.550000000000011</v>
      </c>
      <c r="BN13" s="2853">
        <f t="shared" ref="BN13:BN16" si="84">SUM(CC13/4)</f>
        <v>74.550000000000011</v>
      </c>
      <c r="BO13" s="2853">
        <f t="shared" ref="BO13:BO16" si="85">SUM(CD13/4)</f>
        <v>0</v>
      </c>
      <c r="BP13" s="2853">
        <f t="shared" si="37"/>
        <v>28.509</v>
      </c>
      <c r="BQ13" s="2853">
        <f>SUM(BQ14:BQ16)</f>
        <v>28.509</v>
      </c>
      <c r="BR13" s="3051"/>
      <c r="BS13" s="2853">
        <f t="shared" si="38"/>
        <v>23.097000000000001</v>
      </c>
      <c r="BT13" s="2853">
        <f>SUM(BT14:BT16)</f>
        <v>23.097000000000001</v>
      </c>
      <c r="BU13" s="3051"/>
      <c r="BV13" s="2853">
        <f t="shared" si="39"/>
        <v>31.978999999999999</v>
      </c>
      <c r="BW13" s="2853">
        <f>SUM(BW14:BW16)</f>
        <v>31.978999999999999</v>
      </c>
      <c r="BX13" s="3051"/>
      <c r="BY13" s="2853">
        <f t="shared" ref="BY13:BY16" si="86">SUM(BZ13:CA13)</f>
        <v>83.585000000000008</v>
      </c>
      <c r="BZ13" s="2853">
        <f t="shared" ref="BZ13:BZ16" si="87">SUM(BQ13+BT13+BW13)</f>
        <v>83.585000000000008</v>
      </c>
      <c r="CA13" s="2853">
        <f t="shared" ref="CA13:CA16" si="88">SUM(BR13+BU13+BX13)</f>
        <v>0</v>
      </c>
      <c r="CB13" s="2921">
        <f t="shared" si="42"/>
        <v>298.20000000000005</v>
      </c>
      <c r="CC13" s="2991">
        <f>SUM(объемы!BN66)</f>
        <v>298.20000000000005</v>
      </c>
      <c r="CD13" s="2991"/>
      <c r="CE13" s="2856">
        <f t="shared" ref="CE13" si="89">SUM(CF13:CG13)</f>
        <v>300.24599999999998</v>
      </c>
      <c r="CF13" s="2856">
        <f t="shared" ref="CF13" si="90">SUM(BH13+BZ13)</f>
        <v>300.24599999999998</v>
      </c>
      <c r="CG13" s="2856">
        <f t="shared" ref="CG13" si="91">SUM(BI13+CA13)</f>
        <v>0</v>
      </c>
      <c r="CH13" s="2856">
        <f t="shared" ref="CH13" si="92">SUM(CI13:CJ13)</f>
        <v>2.0459999999999354</v>
      </c>
      <c r="CI13" s="2856">
        <f t="shared" ref="CI13" si="93">SUM(CF13-CC13)</f>
        <v>2.0459999999999354</v>
      </c>
      <c r="CJ13" s="2856">
        <f t="shared" ref="CJ13" si="94">SUM(CG13-CD13)</f>
        <v>0</v>
      </c>
      <c r="CK13" s="2841"/>
      <c r="CL13" s="4188">
        <f t="shared" si="46"/>
        <v>298.20000000000005</v>
      </c>
    </row>
    <row r="14" spans="1:90" ht="18.75" customHeight="1" x14ac:dyDescent="0.2">
      <c r="A14" s="3057" t="s">
        <v>3681</v>
      </c>
      <c r="B14" s="2853">
        <f t="shared" si="47"/>
        <v>27.372</v>
      </c>
      <c r="C14" s="2853">
        <f t="shared" si="48"/>
        <v>27.372</v>
      </c>
      <c r="D14" s="2853">
        <f t="shared" si="49"/>
        <v>0</v>
      </c>
      <c r="E14" s="2853">
        <f t="shared" si="5"/>
        <v>1.907</v>
      </c>
      <c r="F14" s="3051">
        <v>1.907</v>
      </c>
      <c r="G14" s="3051"/>
      <c r="H14" s="2853">
        <f t="shared" si="6"/>
        <v>15.632999999999999</v>
      </c>
      <c r="I14" s="3051">
        <v>15.632999999999999</v>
      </c>
      <c r="J14" s="3051"/>
      <c r="K14" s="2853">
        <f t="shared" si="7"/>
        <v>8.7569999999999997</v>
      </c>
      <c r="L14" s="3051">
        <v>8.7569999999999997</v>
      </c>
      <c r="M14" s="3051"/>
      <c r="N14" s="2853">
        <f t="shared" si="50"/>
        <v>26.296999999999997</v>
      </c>
      <c r="O14" s="2853">
        <f t="shared" si="51"/>
        <v>26.296999999999997</v>
      </c>
      <c r="P14" s="2853">
        <f t="shared" si="52"/>
        <v>0</v>
      </c>
      <c r="Q14" s="2853">
        <f t="shared" si="53"/>
        <v>27.372</v>
      </c>
      <c r="R14" s="2853">
        <f t="shared" si="54"/>
        <v>27.372</v>
      </c>
      <c r="S14" s="2853">
        <f t="shared" si="55"/>
        <v>0</v>
      </c>
      <c r="T14" s="2853">
        <f t="shared" si="13"/>
        <v>7.8239999999999998</v>
      </c>
      <c r="U14" s="3051">
        <v>7.8239999999999998</v>
      </c>
      <c r="V14" s="3051"/>
      <c r="W14" s="2853">
        <f t="shared" si="14"/>
        <v>7.8049999999999997</v>
      </c>
      <c r="X14" s="3051">
        <v>7.8049999999999997</v>
      </c>
      <c r="Y14" s="3051"/>
      <c r="Z14" s="2853">
        <f t="shared" si="15"/>
        <v>7.8360000000000003</v>
      </c>
      <c r="AA14" s="3051">
        <v>7.8360000000000003</v>
      </c>
      <c r="AB14" s="3051"/>
      <c r="AC14" s="2853">
        <f t="shared" si="56"/>
        <v>23.465</v>
      </c>
      <c r="AD14" s="2853">
        <f t="shared" si="57"/>
        <v>23.465</v>
      </c>
      <c r="AE14" s="2853">
        <f t="shared" si="58"/>
        <v>0</v>
      </c>
      <c r="AF14" s="2856">
        <f t="shared" si="59"/>
        <v>54.744</v>
      </c>
      <c r="AG14" s="2856">
        <f t="shared" si="60"/>
        <v>54.744</v>
      </c>
      <c r="AH14" s="2856">
        <f t="shared" si="61"/>
        <v>0</v>
      </c>
      <c r="AI14" s="2856">
        <f t="shared" si="62"/>
        <v>49.762</v>
      </c>
      <c r="AJ14" s="2856">
        <f t="shared" si="63"/>
        <v>49.762</v>
      </c>
      <c r="AK14" s="2856">
        <f t="shared" si="64"/>
        <v>0</v>
      </c>
      <c r="AL14" s="2856">
        <f t="shared" si="65"/>
        <v>-4.9819999999999993</v>
      </c>
      <c r="AM14" s="2856">
        <f t="shared" si="66"/>
        <v>-4.9819999999999993</v>
      </c>
      <c r="AN14" s="2856">
        <f t="shared" si="67"/>
        <v>0</v>
      </c>
      <c r="AO14" s="2853">
        <f t="shared" si="68"/>
        <v>27.372</v>
      </c>
      <c r="AP14" s="2853">
        <f t="shared" si="69"/>
        <v>27.372</v>
      </c>
      <c r="AQ14" s="2853">
        <f t="shared" si="70"/>
        <v>0</v>
      </c>
      <c r="AR14" s="2853">
        <f t="shared" si="25"/>
        <v>7.2590000000000003</v>
      </c>
      <c r="AS14" s="3051">
        <v>7.2590000000000003</v>
      </c>
      <c r="AT14" s="3051"/>
      <c r="AU14" s="2853">
        <f t="shared" si="26"/>
        <v>6.8150000000000004</v>
      </c>
      <c r="AV14" s="3051">
        <v>6.8150000000000004</v>
      </c>
      <c r="AW14" s="3051"/>
      <c r="AX14" s="2853">
        <f t="shared" si="27"/>
        <v>8.1920000000000002</v>
      </c>
      <c r="AY14" s="3051">
        <v>8.1920000000000002</v>
      </c>
      <c r="AZ14" s="3051"/>
      <c r="BA14" s="2853">
        <f t="shared" si="71"/>
        <v>22.266000000000002</v>
      </c>
      <c r="BB14" s="2853">
        <f t="shared" si="72"/>
        <v>22.266000000000002</v>
      </c>
      <c r="BC14" s="2853">
        <f t="shared" si="73"/>
        <v>0</v>
      </c>
      <c r="BD14" s="2856">
        <f t="shared" si="74"/>
        <v>82.116</v>
      </c>
      <c r="BE14" s="2856">
        <f t="shared" si="75"/>
        <v>82.116</v>
      </c>
      <c r="BF14" s="2856">
        <f t="shared" si="76"/>
        <v>0</v>
      </c>
      <c r="BG14" s="2856">
        <f t="shared" si="77"/>
        <v>72.028000000000006</v>
      </c>
      <c r="BH14" s="2856">
        <f t="shared" si="78"/>
        <v>72.028000000000006</v>
      </c>
      <c r="BI14" s="2856">
        <f t="shared" si="79"/>
        <v>0</v>
      </c>
      <c r="BJ14" s="2856">
        <f t="shared" si="80"/>
        <v>-10.087999999999994</v>
      </c>
      <c r="BK14" s="2856">
        <f t="shared" si="81"/>
        <v>-10.087999999999994</v>
      </c>
      <c r="BL14" s="2856">
        <f t="shared" si="82"/>
        <v>0</v>
      </c>
      <c r="BM14" s="2853">
        <f t="shared" si="83"/>
        <v>27.372</v>
      </c>
      <c r="BN14" s="2853">
        <f t="shared" si="84"/>
        <v>27.372</v>
      </c>
      <c r="BO14" s="2853">
        <f t="shared" si="85"/>
        <v>0</v>
      </c>
      <c r="BP14" s="2853">
        <f t="shared" si="37"/>
        <v>9.6690000000000005</v>
      </c>
      <c r="BQ14" s="3051">
        <v>9.6690000000000005</v>
      </c>
      <c r="BR14" s="3051"/>
      <c r="BS14" s="2853">
        <f t="shared" si="38"/>
        <v>9.7769999999999992</v>
      </c>
      <c r="BT14" s="3051">
        <v>9.7769999999999992</v>
      </c>
      <c r="BU14" s="3051"/>
      <c r="BV14" s="2853">
        <f t="shared" si="39"/>
        <v>12.867000000000001</v>
      </c>
      <c r="BW14" s="3051">
        <v>12.867000000000001</v>
      </c>
      <c r="BX14" s="3051"/>
      <c r="BY14" s="2853">
        <f t="shared" si="86"/>
        <v>32.313000000000002</v>
      </c>
      <c r="BZ14" s="2853">
        <f t="shared" si="87"/>
        <v>32.313000000000002</v>
      </c>
      <c r="CA14" s="2853">
        <f t="shared" si="88"/>
        <v>0</v>
      </c>
      <c r="CB14" s="2921">
        <f t="shared" si="42"/>
        <v>109.488</v>
      </c>
      <c r="CC14" s="2991">
        <f>SUM(объемы!BN67)</f>
        <v>109.488</v>
      </c>
      <c r="CD14" s="2991"/>
      <c r="CE14" s="2856">
        <f t="shared" ref="CE14:CE16" si="95">SUM(CF14:CG14)</f>
        <v>104.34100000000001</v>
      </c>
      <c r="CF14" s="2856">
        <f t="shared" ref="CF14:CF16" si="96">SUM(BH14+BZ14)</f>
        <v>104.34100000000001</v>
      </c>
      <c r="CG14" s="2856">
        <f t="shared" ref="CG14:CG16" si="97">SUM(BI14+CA14)</f>
        <v>0</v>
      </c>
      <c r="CH14" s="2856">
        <f t="shared" ref="CH14:CH16" si="98">SUM(CI14:CJ14)</f>
        <v>-5.1469999999999914</v>
      </c>
      <c r="CI14" s="2856">
        <f t="shared" ref="CI14:CI16" si="99">SUM(CF14-CC14)</f>
        <v>-5.1469999999999914</v>
      </c>
      <c r="CJ14" s="2856">
        <f t="shared" ref="CJ14:CJ16" si="100">SUM(CG14-CD14)</f>
        <v>0</v>
      </c>
      <c r="CK14" s="2841"/>
      <c r="CL14" s="4188">
        <f t="shared" si="46"/>
        <v>109.488</v>
      </c>
    </row>
    <row r="15" spans="1:90" ht="18.75" customHeight="1" x14ac:dyDescent="0.2">
      <c r="A15" s="3057" t="s">
        <v>3680</v>
      </c>
      <c r="B15" s="2853">
        <f t="shared" si="47"/>
        <v>21.263000000000002</v>
      </c>
      <c r="C15" s="2853">
        <f t="shared" si="48"/>
        <v>21.263000000000002</v>
      </c>
      <c r="D15" s="2853">
        <f t="shared" si="49"/>
        <v>0</v>
      </c>
      <c r="E15" s="2853">
        <f t="shared" si="5"/>
        <v>7.76</v>
      </c>
      <c r="F15" s="3051">
        <v>7.76</v>
      </c>
      <c r="G15" s="3051"/>
      <c r="H15" s="2853">
        <f t="shared" si="6"/>
        <v>8.14</v>
      </c>
      <c r="I15" s="3051">
        <v>8.14</v>
      </c>
      <c r="J15" s="3051"/>
      <c r="K15" s="2853">
        <f t="shared" si="7"/>
        <v>7.5049999999999999</v>
      </c>
      <c r="L15" s="3051">
        <v>7.5049999999999999</v>
      </c>
      <c r="M15" s="3051"/>
      <c r="N15" s="2853">
        <f t="shared" si="50"/>
        <v>23.405000000000001</v>
      </c>
      <c r="O15" s="2853">
        <f t="shared" si="51"/>
        <v>23.405000000000001</v>
      </c>
      <c r="P15" s="2853">
        <f t="shared" si="52"/>
        <v>0</v>
      </c>
      <c r="Q15" s="2853">
        <f t="shared" si="53"/>
        <v>21.263000000000002</v>
      </c>
      <c r="R15" s="2853">
        <f t="shared" si="54"/>
        <v>21.263000000000002</v>
      </c>
      <c r="S15" s="2853">
        <f t="shared" si="55"/>
        <v>0</v>
      </c>
      <c r="T15" s="2853">
        <f t="shared" si="13"/>
        <v>8.6929999999999996</v>
      </c>
      <c r="U15" s="3051">
        <v>8.6929999999999996</v>
      </c>
      <c r="V15" s="3051"/>
      <c r="W15" s="2853">
        <f t="shared" si="14"/>
        <v>8.657</v>
      </c>
      <c r="X15" s="3051">
        <v>8.657</v>
      </c>
      <c r="Y15" s="3051"/>
      <c r="Z15" s="2853">
        <f t="shared" si="15"/>
        <v>10.673999999999999</v>
      </c>
      <c r="AA15" s="3051">
        <v>10.673999999999999</v>
      </c>
      <c r="AB15" s="3051"/>
      <c r="AC15" s="2853">
        <f t="shared" si="56"/>
        <v>28.024000000000001</v>
      </c>
      <c r="AD15" s="2853">
        <f t="shared" si="57"/>
        <v>28.024000000000001</v>
      </c>
      <c r="AE15" s="2853">
        <f t="shared" si="58"/>
        <v>0</v>
      </c>
      <c r="AF15" s="2856">
        <f t="shared" si="59"/>
        <v>42.526000000000003</v>
      </c>
      <c r="AG15" s="2856">
        <f t="shared" si="60"/>
        <v>42.526000000000003</v>
      </c>
      <c r="AH15" s="2856">
        <f t="shared" si="61"/>
        <v>0</v>
      </c>
      <c r="AI15" s="2856">
        <f t="shared" si="62"/>
        <v>51.429000000000002</v>
      </c>
      <c r="AJ15" s="2856">
        <f t="shared" si="63"/>
        <v>51.429000000000002</v>
      </c>
      <c r="AK15" s="2856">
        <f t="shared" si="64"/>
        <v>0</v>
      </c>
      <c r="AL15" s="2856">
        <f t="shared" si="65"/>
        <v>8.9029999999999987</v>
      </c>
      <c r="AM15" s="2856">
        <f t="shared" si="66"/>
        <v>8.9029999999999987</v>
      </c>
      <c r="AN15" s="2856">
        <f t="shared" si="67"/>
        <v>0</v>
      </c>
      <c r="AO15" s="2853">
        <f t="shared" si="68"/>
        <v>21.263000000000002</v>
      </c>
      <c r="AP15" s="2853">
        <f t="shared" si="69"/>
        <v>21.263000000000002</v>
      </c>
      <c r="AQ15" s="2853">
        <f t="shared" si="70"/>
        <v>0</v>
      </c>
      <c r="AR15" s="2853">
        <f t="shared" si="25"/>
        <v>6.5019999999999998</v>
      </c>
      <c r="AS15" s="3051">
        <v>6.5019999999999998</v>
      </c>
      <c r="AT15" s="3051"/>
      <c r="AU15" s="2853">
        <f t="shared" si="26"/>
        <v>13.29</v>
      </c>
      <c r="AV15" s="3051">
        <v>13.29</v>
      </c>
      <c r="AW15" s="3051"/>
      <c r="AX15" s="2853">
        <f t="shared" si="27"/>
        <v>10.45</v>
      </c>
      <c r="AY15" s="3051">
        <v>10.45</v>
      </c>
      <c r="AZ15" s="3051"/>
      <c r="BA15" s="2853">
        <f t="shared" si="71"/>
        <v>30.241999999999997</v>
      </c>
      <c r="BB15" s="2853">
        <f t="shared" si="72"/>
        <v>30.241999999999997</v>
      </c>
      <c r="BC15" s="2853">
        <f t="shared" si="73"/>
        <v>0</v>
      </c>
      <c r="BD15" s="2856">
        <f t="shared" si="74"/>
        <v>63.789000000000001</v>
      </c>
      <c r="BE15" s="2856">
        <f t="shared" si="75"/>
        <v>63.789000000000001</v>
      </c>
      <c r="BF15" s="2856">
        <f t="shared" si="76"/>
        <v>0</v>
      </c>
      <c r="BG15" s="2856">
        <f t="shared" si="77"/>
        <v>81.670999999999992</v>
      </c>
      <c r="BH15" s="2856">
        <f t="shared" si="78"/>
        <v>81.670999999999992</v>
      </c>
      <c r="BI15" s="2856">
        <f t="shared" si="79"/>
        <v>0</v>
      </c>
      <c r="BJ15" s="2856">
        <f t="shared" si="80"/>
        <v>17.881999999999991</v>
      </c>
      <c r="BK15" s="2856">
        <f t="shared" si="81"/>
        <v>17.881999999999991</v>
      </c>
      <c r="BL15" s="2856">
        <f t="shared" si="82"/>
        <v>0</v>
      </c>
      <c r="BM15" s="2853">
        <f t="shared" si="83"/>
        <v>21.263000000000002</v>
      </c>
      <c r="BN15" s="2853">
        <f t="shared" si="84"/>
        <v>21.263000000000002</v>
      </c>
      <c r="BO15" s="2853">
        <f t="shared" si="85"/>
        <v>0</v>
      </c>
      <c r="BP15" s="2853">
        <f t="shared" si="37"/>
        <v>10.641999999999999</v>
      </c>
      <c r="BQ15" s="3051">
        <v>10.641999999999999</v>
      </c>
      <c r="BR15" s="3051"/>
      <c r="BS15" s="2853">
        <f t="shared" si="38"/>
        <v>4.1219999999999999</v>
      </c>
      <c r="BT15" s="3051">
        <v>4.1219999999999999</v>
      </c>
      <c r="BU15" s="3051"/>
      <c r="BV15" s="2853">
        <f t="shared" si="39"/>
        <v>9.6340000000000003</v>
      </c>
      <c r="BW15" s="3051">
        <v>9.6340000000000003</v>
      </c>
      <c r="BX15" s="3051"/>
      <c r="BY15" s="2853">
        <f t="shared" si="86"/>
        <v>24.398</v>
      </c>
      <c r="BZ15" s="2853">
        <f t="shared" si="87"/>
        <v>24.398</v>
      </c>
      <c r="CA15" s="2853">
        <f t="shared" si="88"/>
        <v>0</v>
      </c>
      <c r="CB15" s="2921">
        <f t="shared" si="42"/>
        <v>85.052000000000007</v>
      </c>
      <c r="CC15" s="2991">
        <f>SUM(объемы!BN68)</f>
        <v>85.052000000000007</v>
      </c>
      <c r="CD15" s="2991"/>
      <c r="CE15" s="2856">
        <f t="shared" si="95"/>
        <v>106.06899999999999</v>
      </c>
      <c r="CF15" s="2856">
        <f t="shared" si="96"/>
        <v>106.06899999999999</v>
      </c>
      <c r="CG15" s="2856">
        <f t="shared" si="97"/>
        <v>0</v>
      </c>
      <c r="CH15" s="2856">
        <f t="shared" si="98"/>
        <v>21.016999999999982</v>
      </c>
      <c r="CI15" s="2856">
        <f t="shared" si="99"/>
        <v>21.016999999999982</v>
      </c>
      <c r="CJ15" s="2856">
        <f t="shared" si="100"/>
        <v>0</v>
      </c>
      <c r="CK15" s="2841"/>
      <c r="CL15" s="4188">
        <f t="shared" si="46"/>
        <v>85.052000000000007</v>
      </c>
    </row>
    <row r="16" spans="1:90" ht="18.75" customHeight="1" x14ac:dyDescent="0.2">
      <c r="A16" s="3057" t="s">
        <v>3682</v>
      </c>
      <c r="B16" s="2853">
        <f t="shared" si="47"/>
        <v>25.914999999999999</v>
      </c>
      <c r="C16" s="2853">
        <f t="shared" si="48"/>
        <v>25.914999999999999</v>
      </c>
      <c r="D16" s="2853">
        <f t="shared" si="49"/>
        <v>0</v>
      </c>
      <c r="E16" s="2853">
        <f t="shared" si="5"/>
        <v>6.7750000000000004</v>
      </c>
      <c r="F16" s="3051">
        <v>6.7750000000000004</v>
      </c>
      <c r="G16" s="3051"/>
      <c r="H16" s="2853">
        <f t="shared" si="6"/>
        <v>9.0649999999999995</v>
      </c>
      <c r="I16" s="3051">
        <v>9.0649999999999995</v>
      </c>
      <c r="J16" s="3051"/>
      <c r="K16" s="2853">
        <f t="shared" si="7"/>
        <v>8.2520000000000007</v>
      </c>
      <c r="L16" s="3051">
        <v>8.2520000000000007</v>
      </c>
      <c r="M16" s="3051"/>
      <c r="N16" s="2853">
        <f t="shared" si="50"/>
        <v>24.091999999999999</v>
      </c>
      <c r="O16" s="2853">
        <f t="shared" si="51"/>
        <v>24.091999999999999</v>
      </c>
      <c r="P16" s="2853">
        <f t="shared" si="52"/>
        <v>0</v>
      </c>
      <c r="Q16" s="2853">
        <f t="shared" si="53"/>
        <v>25.914999999999999</v>
      </c>
      <c r="R16" s="2853">
        <f t="shared" si="54"/>
        <v>25.914999999999999</v>
      </c>
      <c r="S16" s="2853">
        <f t="shared" si="55"/>
        <v>0</v>
      </c>
      <c r="T16" s="2853">
        <f t="shared" si="13"/>
        <v>9.3510000000000009</v>
      </c>
      <c r="U16" s="3051">
        <v>9.3510000000000009</v>
      </c>
      <c r="V16" s="3051"/>
      <c r="W16" s="2853">
        <f t="shared" si="14"/>
        <v>8.31</v>
      </c>
      <c r="X16" s="3051">
        <v>8.31</v>
      </c>
      <c r="Y16" s="3051"/>
      <c r="Z16" s="2853">
        <f t="shared" si="15"/>
        <v>7.2560000000000002</v>
      </c>
      <c r="AA16" s="3051">
        <v>7.2560000000000002</v>
      </c>
      <c r="AB16" s="3051"/>
      <c r="AC16" s="2853">
        <f t="shared" si="56"/>
        <v>24.917000000000002</v>
      </c>
      <c r="AD16" s="2853">
        <f t="shared" si="57"/>
        <v>24.917000000000002</v>
      </c>
      <c r="AE16" s="2853">
        <f t="shared" si="58"/>
        <v>0</v>
      </c>
      <c r="AF16" s="2856">
        <f t="shared" si="59"/>
        <v>51.83</v>
      </c>
      <c r="AG16" s="2856">
        <f t="shared" si="60"/>
        <v>51.83</v>
      </c>
      <c r="AH16" s="2856">
        <f t="shared" si="61"/>
        <v>0</v>
      </c>
      <c r="AI16" s="2856">
        <f t="shared" si="62"/>
        <v>49.009</v>
      </c>
      <c r="AJ16" s="2856">
        <f t="shared" si="63"/>
        <v>49.009</v>
      </c>
      <c r="AK16" s="2856">
        <f t="shared" si="64"/>
        <v>0</v>
      </c>
      <c r="AL16" s="2856">
        <f t="shared" si="65"/>
        <v>-2.820999999999998</v>
      </c>
      <c r="AM16" s="2856">
        <f t="shared" si="66"/>
        <v>-2.820999999999998</v>
      </c>
      <c r="AN16" s="2856">
        <f t="shared" si="67"/>
        <v>0</v>
      </c>
      <c r="AO16" s="2853">
        <f t="shared" si="68"/>
        <v>25.914999999999999</v>
      </c>
      <c r="AP16" s="2853">
        <f t="shared" si="69"/>
        <v>25.914999999999999</v>
      </c>
      <c r="AQ16" s="2853">
        <f t="shared" si="70"/>
        <v>0</v>
      </c>
      <c r="AR16" s="2853">
        <f t="shared" si="25"/>
        <v>4.4800000000000004</v>
      </c>
      <c r="AS16" s="3051">
        <v>4.4800000000000004</v>
      </c>
      <c r="AT16" s="3051"/>
      <c r="AU16" s="2853">
        <f t="shared" si="26"/>
        <v>4.181</v>
      </c>
      <c r="AV16" s="3051">
        <v>4.181</v>
      </c>
      <c r="AW16" s="3051"/>
      <c r="AX16" s="2853">
        <f t="shared" si="27"/>
        <v>5.2919999999999998</v>
      </c>
      <c r="AY16" s="3051">
        <v>5.2919999999999998</v>
      </c>
      <c r="AZ16" s="3051"/>
      <c r="BA16" s="2853">
        <f t="shared" si="71"/>
        <v>13.953000000000001</v>
      </c>
      <c r="BB16" s="2853">
        <f t="shared" si="72"/>
        <v>13.953000000000001</v>
      </c>
      <c r="BC16" s="2853">
        <f t="shared" si="73"/>
        <v>0</v>
      </c>
      <c r="BD16" s="2856">
        <f t="shared" si="74"/>
        <v>77.745000000000005</v>
      </c>
      <c r="BE16" s="2856">
        <f t="shared" si="75"/>
        <v>77.745000000000005</v>
      </c>
      <c r="BF16" s="2856">
        <f t="shared" si="76"/>
        <v>0</v>
      </c>
      <c r="BG16" s="2856">
        <f t="shared" si="77"/>
        <v>62.962000000000003</v>
      </c>
      <c r="BH16" s="2856">
        <f t="shared" si="78"/>
        <v>62.962000000000003</v>
      </c>
      <c r="BI16" s="2856">
        <f t="shared" si="79"/>
        <v>0</v>
      </c>
      <c r="BJ16" s="2856">
        <f t="shared" si="80"/>
        <v>-14.783000000000001</v>
      </c>
      <c r="BK16" s="2856">
        <f t="shared" si="81"/>
        <v>-14.783000000000001</v>
      </c>
      <c r="BL16" s="2856">
        <f t="shared" si="82"/>
        <v>0</v>
      </c>
      <c r="BM16" s="2853">
        <f t="shared" si="83"/>
        <v>25.914999999999999</v>
      </c>
      <c r="BN16" s="2853">
        <f t="shared" si="84"/>
        <v>25.914999999999999</v>
      </c>
      <c r="BO16" s="2853">
        <f t="shared" si="85"/>
        <v>0</v>
      </c>
      <c r="BP16" s="2853">
        <f t="shared" si="37"/>
        <v>8.1980000000000004</v>
      </c>
      <c r="BQ16" s="3051">
        <v>8.1980000000000004</v>
      </c>
      <c r="BR16" s="3051"/>
      <c r="BS16" s="2853">
        <f t="shared" si="38"/>
        <v>9.1980000000000004</v>
      </c>
      <c r="BT16" s="3051">
        <v>9.1980000000000004</v>
      </c>
      <c r="BU16" s="3051"/>
      <c r="BV16" s="2853">
        <f t="shared" si="39"/>
        <v>9.4779999999999998</v>
      </c>
      <c r="BW16" s="3051">
        <v>9.4779999999999998</v>
      </c>
      <c r="BX16" s="3051"/>
      <c r="BY16" s="2853">
        <f t="shared" si="86"/>
        <v>26.874000000000002</v>
      </c>
      <c r="BZ16" s="2853">
        <f t="shared" si="87"/>
        <v>26.874000000000002</v>
      </c>
      <c r="CA16" s="2853">
        <f t="shared" si="88"/>
        <v>0</v>
      </c>
      <c r="CB16" s="2921">
        <f t="shared" si="42"/>
        <v>103.66</v>
      </c>
      <c r="CC16" s="2991">
        <f>SUM(объемы!BN69)</f>
        <v>103.66</v>
      </c>
      <c r="CD16" s="2991"/>
      <c r="CE16" s="2856">
        <f t="shared" si="95"/>
        <v>89.836000000000013</v>
      </c>
      <c r="CF16" s="2856">
        <f t="shared" si="96"/>
        <v>89.836000000000013</v>
      </c>
      <c r="CG16" s="2856">
        <f t="shared" si="97"/>
        <v>0</v>
      </c>
      <c r="CH16" s="2856">
        <f t="shared" si="98"/>
        <v>-13.823999999999984</v>
      </c>
      <c r="CI16" s="2856">
        <f t="shared" si="99"/>
        <v>-13.823999999999984</v>
      </c>
      <c r="CJ16" s="2856">
        <f t="shared" si="100"/>
        <v>0</v>
      </c>
      <c r="CK16" s="2841"/>
      <c r="CL16" s="4188">
        <f t="shared" si="46"/>
        <v>103.66</v>
      </c>
    </row>
    <row r="17" spans="1:91" ht="18.75" customHeight="1" x14ac:dyDescent="0.3">
      <c r="A17" s="2907" t="s">
        <v>3729</v>
      </c>
      <c r="B17" s="2983"/>
      <c r="C17" s="2983"/>
      <c r="D17" s="2983"/>
      <c r="E17" s="2983"/>
      <c r="F17" s="2983"/>
      <c r="G17" s="2983"/>
      <c r="H17" s="2984"/>
      <c r="I17" s="2984"/>
      <c r="J17" s="2984"/>
      <c r="K17" s="2984"/>
      <c r="L17" s="2984"/>
      <c r="M17" s="2984"/>
      <c r="N17" s="2984"/>
      <c r="O17" s="2984"/>
      <c r="P17" s="2984"/>
      <c r="Q17" s="2984"/>
      <c r="R17" s="2984"/>
      <c r="S17" s="2984"/>
      <c r="T17" s="2984"/>
      <c r="U17" s="2984"/>
      <c r="V17" s="2984"/>
      <c r="W17" s="2984"/>
      <c r="X17" s="2984"/>
      <c r="Y17" s="2984"/>
      <c r="Z17" s="2984"/>
      <c r="AA17" s="2984"/>
      <c r="AB17" s="2984"/>
      <c r="AC17" s="2984"/>
      <c r="AD17" s="2984"/>
      <c r="AE17" s="2984"/>
      <c r="AF17" s="2984"/>
      <c r="AG17" s="2984"/>
      <c r="AH17" s="2984"/>
      <c r="AI17" s="2984"/>
      <c r="AJ17" s="2984"/>
      <c r="AK17" s="2984"/>
      <c r="AL17" s="2984"/>
      <c r="AM17" s="2984"/>
      <c r="AN17" s="2984"/>
      <c r="AO17" s="2984"/>
      <c r="AP17" s="2984"/>
      <c r="AQ17" s="2984"/>
      <c r="AR17" s="2984"/>
      <c r="AS17" s="2984"/>
      <c r="AT17" s="2984"/>
      <c r="AU17" s="2984"/>
      <c r="AV17" s="2984"/>
      <c r="AW17" s="2984"/>
      <c r="AX17" s="2984"/>
      <c r="AY17" s="2984"/>
      <c r="AZ17" s="2984"/>
      <c r="BA17" s="2984"/>
      <c r="BB17" s="2984"/>
      <c r="BC17" s="2984"/>
      <c r="BD17" s="2984"/>
      <c r="BE17" s="2984"/>
      <c r="BF17" s="2984"/>
      <c r="BG17" s="2984"/>
      <c r="BH17" s="2984"/>
      <c r="BI17" s="2984"/>
      <c r="BJ17" s="2984"/>
      <c r="BK17" s="2984"/>
      <c r="BL17" s="2984"/>
      <c r="BM17" s="2984"/>
      <c r="BN17" s="2984"/>
      <c r="BO17" s="2984"/>
      <c r="BP17" s="2984"/>
      <c r="BQ17" s="2984"/>
      <c r="BR17" s="2984"/>
      <c r="BS17" s="2984"/>
      <c r="BT17" s="2984"/>
      <c r="BU17" s="2984"/>
      <c r="BV17" s="2985"/>
      <c r="BW17" s="2985"/>
      <c r="BX17" s="2985"/>
      <c r="BY17" s="2985"/>
      <c r="BZ17" s="2985"/>
      <c r="CA17" s="2985"/>
      <c r="CB17" s="2985"/>
      <c r="CC17" s="2985"/>
      <c r="CD17" s="2985"/>
      <c r="CE17" s="2985"/>
      <c r="CF17" s="2985"/>
      <c r="CG17" s="2985"/>
      <c r="CH17" s="2985"/>
      <c r="CI17" s="2985"/>
      <c r="CJ17" s="2986"/>
    </row>
    <row r="18" spans="1:91" ht="18.75" customHeight="1" x14ac:dyDescent="0.2">
      <c r="A18" s="4638" t="s">
        <v>527</v>
      </c>
      <c r="B18" s="4622" t="s">
        <v>3716</v>
      </c>
      <c r="C18" s="4623"/>
      <c r="D18" s="4623"/>
      <c r="E18" s="4623"/>
      <c r="F18" s="4623"/>
      <c r="G18" s="4623"/>
      <c r="H18" s="4623"/>
      <c r="I18" s="4623"/>
      <c r="J18" s="4623"/>
      <c r="K18" s="4623"/>
      <c r="L18" s="4623"/>
      <c r="M18" s="4623"/>
      <c r="N18" s="4623"/>
      <c r="O18" s="4623"/>
      <c r="P18" s="4624"/>
      <c r="Q18" s="4613" t="s">
        <v>3717</v>
      </c>
      <c r="R18" s="4614"/>
      <c r="S18" s="4614"/>
      <c r="T18" s="4614"/>
      <c r="U18" s="4614"/>
      <c r="V18" s="4614"/>
      <c r="W18" s="4614"/>
      <c r="X18" s="4614"/>
      <c r="Y18" s="4614"/>
      <c r="Z18" s="4614"/>
      <c r="AA18" s="4614"/>
      <c r="AB18" s="4614"/>
      <c r="AC18" s="4614"/>
      <c r="AD18" s="4568"/>
      <c r="AE18" s="4569"/>
      <c r="AF18" s="4609" t="s">
        <v>3718</v>
      </c>
      <c r="AG18" s="4610"/>
      <c r="AH18" s="4610"/>
      <c r="AI18" s="4610"/>
      <c r="AJ18" s="4610"/>
      <c r="AK18" s="4610"/>
      <c r="AL18" s="4610"/>
      <c r="AM18" s="4625"/>
      <c r="AN18" s="4626"/>
      <c r="AO18" s="4622" t="s">
        <v>3719</v>
      </c>
      <c r="AP18" s="4623"/>
      <c r="AQ18" s="4623"/>
      <c r="AR18" s="4623"/>
      <c r="AS18" s="4623"/>
      <c r="AT18" s="4623"/>
      <c r="AU18" s="4623"/>
      <c r="AV18" s="4623"/>
      <c r="AW18" s="4623"/>
      <c r="AX18" s="4623"/>
      <c r="AY18" s="4623"/>
      <c r="AZ18" s="4623"/>
      <c r="BA18" s="4623"/>
      <c r="BB18" s="4625"/>
      <c r="BC18" s="4626"/>
      <c r="BD18" s="4609" t="s">
        <v>3720</v>
      </c>
      <c r="BE18" s="4610"/>
      <c r="BF18" s="4610"/>
      <c r="BG18" s="4610"/>
      <c r="BH18" s="4610"/>
      <c r="BI18" s="4610"/>
      <c r="BJ18" s="4610"/>
      <c r="BK18" s="4625"/>
      <c r="BL18" s="4626"/>
      <c r="BM18" s="4622" t="s">
        <v>3721</v>
      </c>
      <c r="BN18" s="4623"/>
      <c r="BO18" s="4623"/>
      <c r="BP18" s="4623"/>
      <c r="BQ18" s="4623"/>
      <c r="BR18" s="4623"/>
      <c r="BS18" s="4623"/>
      <c r="BT18" s="4623"/>
      <c r="BU18" s="4623"/>
      <c r="BV18" s="4623"/>
      <c r="BW18" s="4623"/>
      <c r="BX18" s="4623"/>
      <c r="BY18" s="4623"/>
      <c r="BZ18" s="4625"/>
      <c r="CA18" s="4625"/>
      <c r="CB18" s="4609" t="s">
        <v>1992</v>
      </c>
      <c r="CC18" s="4610"/>
      <c r="CD18" s="4610"/>
      <c r="CE18" s="4610"/>
      <c r="CF18" s="4610"/>
      <c r="CG18" s="4610"/>
      <c r="CH18" s="4610"/>
      <c r="CI18" s="4611"/>
      <c r="CJ18" s="4612"/>
    </row>
    <row r="19" spans="1:91" ht="25.5" customHeight="1" x14ac:dyDescent="0.2">
      <c r="A19" s="4639"/>
      <c r="B19" s="4613" t="s">
        <v>3573</v>
      </c>
      <c r="C19" s="4614"/>
      <c r="D19" s="4615"/>
      <c r="E19" s="4616" t="s">
        <v>571</v>
      </c>
      <c r="F19" s="4617"/>
      <c r="G19" s="4618"/>
      <c r="H19" s="4616" t="s">
        <v>572</v>
      </c>
      <c r="I19" s="4617"/>
      <c r="J19" s="4618"/>
      <c r="K19" s="4616" t="s">
        <v>573</v>
      </c>
      <c r="L19" s="4617"/>
      <c r="M19" s="4618"/>
      <c r="N19" s="4613" t="s">
        <v>1677</v>
      </c>
      <c r="O19" s="4614"/>
      <c r="P19" s="4615"/>
      <c r="Q19" s="4613" t="s">
        <v>3573</v>
      </c>
      <c r="R19" s="4614"/>
      <c r="S19" s="4615"/>
      <c r="T19" s="4619" t="s">
        <v>3722</v>
      </c>
      <c r="U19" s="4620"/>
      <c r="V19" s="4621"/>
      <c r="W19" s="4619" t="s">
        <v>575</v>
      </c>
      <c r="X19" s="4620"/>
      <c r="Y19" s="4621"/>
      <c r="Z19" s="4619" t="s">
        <v>576</v>
      </c>
      <c r="AA19" s="4620"/>
      <c r="AB19" s="4621"/>
      <c r="AC19" s="4613" t="s">
        <v>1677</v>
      </c>
      <c r="AD19" s="4614"/>
      <c r="AE19" s="4615"/>
      <c r="AF19" s="4627" t="s">
        <v>3573</v>
      </c>
      <c r="AG19" s="4628"/>
      <c r="AH19" s="4629"/>
      <c r="AI19" s="4627" t="s">
        <v>1677</v>
      </c>
      <c r="AJ19" s="4628"/>
      <c r="AK19" s="4629"/>
      <c r="AL19" s="4627" t="s">
        <v>3723</v>
      </c>
      <c r="AM19" s="4628"/>
      <c r="AN19" s="4629"/>
      <c r="AO19" s="4643" t="s">
        <v>3573</v>
      </c>
      <c r="AP19" s="4644"/>
      <c r="AQ19" s="4645"/>
      <c r="AR19" s="4646" t="s">
        <v>577</v>
      </c>
      <c r="AS19" s="4647"/>
      <c r="AT19" s="4648"/>
      <c r="AU19" s="4646" t="s">
        <v>578</v>
      </c>
      <c r="AV19" s="4647"/>
      <c r="AW19" s="4648"/>
      <c r="AX19" s="4646" t="s">
        <v>579</v>
      </c>
      <c r="AY19" s="4647"/>
      <c r="AZ19" s="4648"/>
      <c r="BA19" s="4643" t="s">
        <v>1677</v>
      </c>
      <c r="BB19" s="4644"/>
      <c r="BC19" s="4645"/>
      <c r="BD19" s="4640" t="s">
        <v>3573</v>
      </c>
      <c r="BE19" s="4641"/>
      <c r="BF19" s="4642"/>
      <c r="BG19" s="4640" t="s">
        <v>1677</v>
      </c>
      <c r="BH19" s="4641"/>
      <c r="BI19" s="4642"/>
      <c r="BJ19" s="4640" t="s">
        <v>3723</v>
      </c>
      <c r="BK19" s="4641"/>
      <c r="BL19" s="4642"/>
      <c r="BM19" s="4630" t="s">
        <v>3573</v>
      </c>
      <c r="BN19" s="4631"/>
      <c r="BO19" s="4632"/>
      <c r="BP19" s="4630" t="s">
        <v>580</v>
      </c>
      <c r="BQ19" s="4631"/>
      <c r="BR19" s="4632"/>
      <c r="BS19" s="4630" t="s">
        <v>581</v>
      </c>
      <c r="BT19" s="4631"/>
      <c r="BU19" s="4632"/>
      <c r="BV19" s="4630" t="s">
        <v>582</v>
      </c>
      <c r="BW19" s="4631"/>
      <c r="BX19" s="4632"/>
      <c r="BY19" s="4630" t="s">
        <v>1677</v>
      </c>
      <c r="BZ19" s="4631"/>
      <c r="CA19" s="4631"/>
      <c r="CB19" s="4633" t="s">
        <v>3573</v>
      </c>
      <c r="CC19" s="4634"/>
      <c r="CD19" s="4635"/>
      <c r="CE19" s="4633" t="s">
        <v>1677</v>
      </c>
      <c r="CF19" s="4634"/>
      <c r="CG19" s="4635"/>
      <c r="CH19" s="4633" t="s">
        <v>3723</v>
      </c>
      <c r="CI19" s="4636"/>
      <c r="CJ19" s="4637"/>
    </row>
    <row r="20" spans="1:91" ht="25.5" customHeight="1" x14ac:dyDescent="0.2">
      <c r="A20" s="4639"/>
      <c r="B20" s="2832" t="s">
        <v>616</v>
      </c>
      <c r="C20" s="2832" t="s">
        <v>3791</v>
      </c>
      <c r="D20" s="2832" t="s">
        <v>3792</v>
      </c>
      <c r="E20" s="2832" t="s">
        <v>616</v>
      </c>
      <c r="F20" s="2832" t="s">
        <v>3791</v>
      </c>
      <c r="G20" s="2832" t="s">
        <v>3792</v>
      </c>
      <c r="H20" s="2832" t="s">
        <v>616</v>
      </c>
      <c r="I20" s="2832" t="s">
        <v>3791</v>
      </c>
      <c r="J20" s="2832" t="s">
        <v>3792</v>
      </c>
      <c r="K20" s="2832" t="s">
        <v>616</v>
      </c>
      <c r="L20" s="2832" t="s">
        <v>3791</v>
      </c>
      <c r="M20" s="2832" t="s">
        <v>3792</v>
      </c>
      <c r="N20" s="2832" t="s">
        <v>616</v>
      </c>
      <c r="O20" s="2832" t="s">
        <v>3791</v>
      </c>
      <c r="P20" s="2832" t="s">
        <v>3792</v>
      </c>
      <c r="Q20" s="2832" t="s">
        <v>616</v>
      </c>
      <c r="R20" s="2832" t="s">
        <v>3791</v>
      </c>
      <c r="S20" s="2832" t="s">
        <v>3792</v>
      </c>
      <c r="T20" s="2832" t="s">
        <v>616</v>
      </c>
      <c r="U20" s="2832" t="s">
        <v>3791</v>
      </c>
      <c r="V20" s="2832" t="s">
        <v>3792</v>
      </c>
      <c r="W20" s="2832" t="s">
        <v>616</v>
      </c>
      <c r="X20" s="2832" t="s">
        <v>3791</v>
      </c>
      <c r="Y20" s="2832" t="s">
        <v>3792</v>
      </c>
      <c r="Z20" s="2832" t="s">
        <v>616</v>
      </c>
      <c r="AA20" s="2832" t="s">
        <v>3791</v>
      </c>
      <c r="AB20" s="2832" t="s">
        <v>3792</v>
      </c>
      <c r="AC20" s="2832" t="s">
        <v>616</v>
      </c>
      <c r="AD20" s="2832" t="s">
        <v>3791</v>
      </c>
      <c r="AE20" s="2832" t="s">
        <v>3792</v>
      </c>
      <c r="AF20" s="2833" t="s">
        <v>616</v>
      </c>
      <c r="AG20" s="2833" t="s">
        <v>3791</v>
      </c>
      <c r="AH20" s="2833" t="s">
        <v>3792</v>
      </c>
      <c r="AI20" s="2833" t="s">
        <v>616</v>
      </c>
      <c r="AJ20" s="2833" t="s">
        <v>3791</v>
      </c>
      <c r="AK20" s="2833" t="s">
        <v>3792</v>
      </c>
      <c r="AL20" s="2833" t="s">
        <v>616</v>
      </c>
      <c r="AM20" s="2833" t="s">
        <v>3791</v>
      </c>
      <c r="AN20" s="2833" t="s">
        <v>3792</v>
      </c>
      <c r="AO20" s="2832" t="s">
        <v>616</v>
      </c>
      <c r="AP20" s="2832" t="s">
        <v>3791</v>
      </c>
      <c r="AQ20" s="2832" t="s">
        <v>3792</v>
      </c>
      <c r="AR20" s="2832" t="s">
        <v>616</v>
      </c>
      <c r="AS20" s="2832" t="s">
        <v>3791</v>
      </c>
      <c r="AT20" s="2832" t="s">
        <v>3792</v>
      </c>
      <c r="AU20" s="2832" t="s">
        <v>616</v>
      </c>
      <c r="AV20" s="2832" t="s">
        <v>3791</v>
      </c>
      <c r="AW20" s="2832" t="s">
        <v>3792</v>
      </c>
      <c r="AX20" s="2832" t="s">
        <v>616</v>
      </c>
      <c r="AY20" s="2832" t="s">
        <v>3791</v>
      </c>
      <c r="AZ20" s="2832" t="s">
        <v>3792</v>
      </c>
      <c r="BA20" s="2832" t="s">
        <v>616</v>
      </c>
      <c r="BB20" s="2832" t="s">
        <v>3791</v>
      </c>
      <c r="BC20" s="2832" t="s">
        <v>3792</v>
      </c>
      <c r="BD20" s="2833" t="s">
        <v>616</v>
      </c>
      <c r="BE20" s="2833" t="s">
        <v>3791</v>
      </c>
      <c r="BF20" s="2833" t="s">
        <v>3792</v>
      </c>
      <c r="BG20" s="2833" t="s">
        <v>616</v>
      </c>
      <c r="BH20" s="2833" t="s">
        <v>3791</v>
      </c>
      <c r="BI20" s="2833" t="s">
        <v>3792</v>
      </c>
      <c r="BJ20" s="2833" t="s">
        <v>616</v>
      </c>
      <c r="BK20" s="2833" t="s">
        <v>3791</v>
      </c>
      <c r="BL20" s="2833" t="s">
        <v>3792</v>
      </c>
      <c r="BM20" s="2832" t="s">
        <v>616</v>
      </c>
      <c r="BN20" s="2832" t="s">
        <v>3791</v>
      </c>
      <c r="BO20" s="2832" t="s">
        <v>3792</v>
      </c>
      <c r="BP20" s="2832" t="s">
        <v>616</v>
      </c>
      <c r="BQ20" s="2832" t="s">
        <v>3791</v>
      </c>
      <c r="BR20" s="2832" t="s">
        <v>3792</v>
      </c>
      <c r="BS20" s="2832" t="s">
        <v>616</v>
      </c>
      <c r="BT20" s="2832" t="s">
        <v>3791</v>
      </c>
      <c r="BU20" s="2832" t="s">
        <v>3792</v>
      </c>
      <c r="BV20" s="2832" t="s">
        <v>616</v>
      </c>
      <c r="BW20" s="2832" t="s">
        <v>3791</v>
      </c>
      <c r="BX20" s="2832" t="s">
        <v>3792</v>
      </c>
      <c r="BY20" s="2832" t="s">
        <v>616</v>
      </c>
      <c r="BZ20" s="2832" t="s">
        <v>3791</v>
      </c>
      <c r="CA20" s="2832" t="s">
        <v>3792</v>
      </c>
      <c r="CB20" s="2833" t="s">
        <v>616</v>
      </c>
      <c r="CC20" s="2833" t="s">
        <v>3791</v>
      </c>
      <c r="CD20" s="2833" t="s">
        <v>3792</v>
      </c>
      <c r="CE20" s="2833" t="s">
        <v>616</v>
      </c>
      <c r="CF20" s="2833" t="s">
        <v>3791</v>
      </c>
      <c r="CG20" s="2833" t="s">
        <v>3792</v>
      </c>
      <c r="CH20" s="2833" t="s">
        <v>616</v>
      </c>
      <c r="CI20" s="2833" t="s">
        <v>3791</v>
      </c>
      <c r="CJ20" s="2833" t="s">
        <v>3792</v>
      </c>
    </row>
    <row r="21" spans="1:91" ht="18.75" customHeight="1" x14ac:dyDescent="0.3">
      <c r="A21" s="2910" t="s">
        <v>0</v>
      </c>
      <c r="B21" s="2959">
        <f>SUM(C21:D21)</f>
        <v>4110.2807398895384</v>
      </c>
      <c r="C21" s="2959">
        <f t="shared" ref="C21:D21" si="101">SUM(C22:C27)+C29</f>
        <v>4110.2807398895384</v>
      </c>
      <c r="D21" s="2959">
        <f t="shared" si="101"/>
        <v>0</v>
      </c>
      <c r="E21" s="2861">
        <f>SUM(F21:G21)</f>
        <v>1057.8989999999999</v>
      </c>
      <c r="F21" s="2861">
        <f t="shared" ref="F21:G21" si="102">SUM(F22:F27)+F29</f>
        <v>1057.8989999999999</v>
      </c>
      <c r="G21" s="2861">
        <f t="shared" si="102"/>
        <v>0</v>
      </c>
      <c r="H21" s="2861">
        <f>SUM(I21:J21)</f>
        <v>1176.0956999999999</v>
      </c>
      <c r="I21" s="2861">
        <f t="shared" ref="I21:J21" si="103">SUM(I22:I27)+I29</f>
        <v>1176.0956999999999</v>
      </c>
      <c r="J21" s="2861">
        <f t="shared" si="103"/>
        <v>0</v>
      </c>
      <c r="K21" s="2861">
        <f>SUM(L21:M21)</f>
        <v>1284.2254</v>
      </c>
      <c r="L21" s="2861">
        <f t="shared" ref="L21:M21" si="104">SUM(L22:L27)+L29</f>
        <v>1284.2254</v>
      </c>
      <c r="M21" s="2861">
        <f t="shared" si="104"/>
        <v>0</v>
      </c>
      <c r="N21" s="2861">
        <f>SUM(O21:P21)</f>
        <v>3518.2201000000005</v>
      </c>
      <c r="O21" s="2861">
        <f t="shared" ref="O21:P21" si="105">SUM(O22:O27)+O29</f>
        <v>3518.2201000000005</v>
      </c>
      <c r="P21" s="2861">
        <f t="shared" si="105"/>
        <v>0</v>
      </c>
      <c r="Q21" s="2959">
        <f>SUM(R21:S21)</f>
        <v>4110.2807398895384</v>
      </c>
      <c r="R21" s="2959">
        <f t="shared" ref="R21:S21" si="106">SUM(R22:R27)+R29</f>
        <v>4110.2807398895384</v>
      </c>
      <c r="S21" s="2959">
        <f t="shared" si="106"/>
        <v>0</v>
      </c>
      <c r="T21" s="2861">
        <f>SUM(U21:V21)</f>
        <v>1234.5840000000001</v>
      </c>
      <c r="U21" s="2861">
        <f t="shared" ref="U21:V21" si="107">SUM(U22:U27)+U29</f>
        <v>1234.5840000000001</v>
      </c>
      <c r="V21" s="2861">
        <f t="shared" si="107"/>
        <v>0</v>
      </c>
      <c r="W21" s="2861">
        <f>SUM(X21:Y21)</f>
        <v>1460.8700000000001</v>
      </c>
      <c r="X21" s="2861">
        <f t="shared" ref="X21:Y21" si="108">SUM(X22:X27)+X29</f>
        <v>1460.8700000000001</v>
      </c>
      <c r="Y21" s="2861">
        <f t="shared" si="108"/>
        <v>0</v>
      </c>
      <c r="Z21" s="2861">
        <f>SUM(AA21:AB21)</f>
        <v>1334.6629999999998</v>
      </c>
      <c r="AA21" s="2861">
        <f t="shared" ref="AA21:AB21" si="109">SUM(AA22:AA27)+AA29</f>
        <v>1334.6629999999998</v>
      </c>
      <c r="AB21" s="2861">
        <f t="shared" si="109"/>
        <v>0</v>
      </c>
      <c r="AC21" s="2861">
        <f>SUM(AD21:AE21)</f>
        <v>4030.1169999999997</v>
      </c>
      <c r="AD21" s="2861">
        <f t="shared" ref="AD21:AE21" si="110">SUM(AD22:AD27)+AD29</f>
        <v>4030.1169999999997</v>
      </c>
      <c r="AE21" s="2861">
        <f t="shared" si="110"/>
        <v>0</v>
      </c>
      <c r="AF21" s="2839">
        <f t="shared" ref="AF21" si="111">SUM(AG21:AH21)</f>
        <v>8220.5614797790768</v>
      </c>
      <c r="AG21" s="2839">
        <f t="shared" ref="AG21" si="112">SUM(C21+R21)</f>
        <v>8220.5614797790768</v>
      </c>
      <c r="AH21" s="2839">
        <f t="shared" ref="AH21:AH27" si="113">SUM(D21+S21)</f>
        <v>0</v>
      </c>
      <c r="AI21" s="2862">
        <f t="shared" ref="AI21:AK27" si="114">SUM(AC21+N21)</f>
        <v>7548.3371000000006</v>
      </c>
      <c r="AJ21" s="2862">
        <f t="shared" si="114"/>
        <v>7548.3371000000006</v>
      </c>
      <c r="AK21" s="2862">
        <f t="shared" si="114"/>
        <v>0</v>
      </c>
      <c r="AL21" s="2862">
        <f t="shared" ref="AL21:AN36" si="115">SUM(AI21-AF21)</f>
        <v>-672.22437977907612</v>
      </c>
      <c r="AM21" s="2862">
        <f t="shared" si="115"/>
        <v>-672.22437977907612</v>
      </c>
      <c r="AN21" s="2862">
        <f t="shared" si="115"/>
        <v>0</v>
      </c>
      <c r="AO21" s="2959">
        <f>SUM(AP21:AQ21)</f>
        <v>4129.839315476619</v>
      </c>
      <c r="AP21" s="2959">
        <f t="shared" ref="AP21" si="116">SUM(AP22:AP27)+AP29</f>
        <v>4129.839315476619</v>
      </c>
      <c r="AQ21" s="2959">
        <f t="shared" ref="AQ21" si="117">SUM(AQ22:AQ27)+AQ29</f>
        <v>0</v>
      </c>
      <c r="AR21" s="2861">
        <f>SUM(AS21:AT21)</f>
        <v>1360.24</v>
      </c>
      <c r="AS21" s="2861">
        <f t="shared" ref="AS21:AT21" si="118">SUM(AS22:AS27)+AS29</f>
        <v>1360.24</v>
      </c>
      <c r="AT21" s="2861">
        <f t="shared" si="118"/>
        <v>0</v>
      </c>
      <c r="AU21" s="2861">
        <f>SUM(AV21:AW21)</f>
        <v>1447.942</v>
      </c>
      <c r="AV21" s="2861">
        <f t="shared" ref="AV21:AW21" si="119">SUM(AV22:AV27)+AV29</f>
        <v>1447.942</v>
      </c>
      <c r="AW21" s="2861">
        <f t="shared" si="119"/>
        <v>0</v>
      </c>
      <c r="AX21" s="2861">
        <f>SUM(AY21:AZ21)</f>
        <v>1264.375</v>
      </c>
      <c r="AY21" s="2861">
        <f t="shared" ref="AY21:AZ21" si="120">SUM(AY22:AY27)+AY29</f>
        <v>1264.375</v>
      </c>
      <c r="AZ21" s="2861">
        <f t="shared" si="120"/>
        <v>0</v>
      </c>
      <c r="BA21" s="2861">
        <f>SUM(BB21:BC21)</f>
        <v>4072.5569999999998</v>
      </c>
      <c r="BB21" s="2861">
        <f t="shared" ref="BB21:BC21" si="121">SUM(BB22:BB27)+BB29</f>
        <v>4072.5569999999998</v>
      </c>
      <c r="BC21" s="2861">
        <f t="shared" si="121"/>
        <v>0</v>
      </c>
      <c r="BD21" s="2839">
        <f t="shared" ref="BD21" si="122">SUM(BE21:BF21)</f>
        <v>12350.400795255697</v>
      </c>
      <c r="BE21" s="2839">
        <f t="shared" ref="BE21" si="123">SUM(AG21+AP21)</f>
        <v>12350.400795255697</v>
      </c>
      <c r="BF21" s="2839">
        <f t="shared" ref="BF21" si="124">SUM(AH21+AQ21)</f>
        <v>0</v>
      </c>
      <c r="BG21" s="2862">
        <f t="shared" ref="BG21:BI27" si="125">SUM(AI21+BA21)</f>
        <v>11620.894100000001</v>
      </c>
      <c r="BH21" s="2862">
        <f t="shared" si="125"/>
        <v>11620.894100000001</v>
      </c>
      <c r="BI21" s="2862">
        <f t="shared" si="125"/>
        <v>0</v>
      </c>
      <c r="BJ21" s="2862">
        <f t="shared" ref="BJ21:BL36" si="126">SUM(BG21-BD21)</f>
        <v>-729.50669525569538</v>
      </c>
      <c r="BK21" s="2862">
        <f t="shared" si="126"/>
        <v>-729.50669525569538</v>
      </c>
      <c r="BL21" s="2862">
        <f t="shared" si="126"/>
        <v>0</v>
      </c>
      <c r="BM21" s="2959">
        <f>SUM(BN21:BO21)</f>
        <v>4129.839315476619</v>
      </c>
      <c r="BN21" s="2959">
        <f t="shared" ref="BN21" si="127">SUM(BN22:BN27)+BN29</f>
        <v>4129.839315476619</v>
      </c>
      <c r="BO21" s="2959">
        <f t="shared" ref="BO21" si="128">SUM(BO22:BO27)+BO29</f>
        <v>0</v>
      </c>
      <c r="BP21" s="2861">
        <f>SUM(BQ21:BR21)</f>
        <v>1360.4746700000001</v>
      </c>
      <c r="BQ21" s="2861">
        <f t="shared" ref="BQ21:BR21" si="129">SUM(BQ22:BQ27)+BQ29</f>
        <v>1360.4746700000001</v>
      </c>
      <c r="BR21" s="2861">
        <f t="shared" si="129"/>
        <v>0</v>
      </c>
      <c r="BS21" s="2861">
        <f>SUM(BT21:BU21)</f>
        <v>1461.9160000000002</v>
      </c>
      <c r="BT21" s="2861">
        <f t="shared" ref="BT21:BU21" si="130">SUM(BT22:BT27)+BT29</f>
        <v>1461.9160000000002</v>
      </c>
      <c r="BU21" s="2861">
        <f t="shared" si="130"/>
        <v>0</v>
      </c>
      <c r="BV21" s="2861">
        <f>SUM(BW21:BX21)</f>
        <v>1562.4681</v>
      </c>
      <c r="BW21" s="2861">
        <f t="shared" ref="BW21:BX21" si="131">SUM(BW22:BW27)+BW29</f>
        <v>1562.4681</v>
      </c>
      <c r="BX21" s="2861">
        <f t="shared" si="131"/>
        <v>0</v>
      </c>
      <c r="BY21" s="2861">
        <f>SUM(BZ21:CA21)</f>
        <v>4384.8587699999989</v>
      </c>
      <c r="BZ21" s="2861">
        <f t="shared" ref="BZ21:CA21" si="132">SUM(BZ22:BZ27)+BZ29</f>
        <v>4384.8587699999989</v>
      </c>
      <c r="CA21" s="2861">
        <f t="shared" si="132"/>
        <v>0</v>
      </c>
      <c r="CB21" s="2839">
        <f>SUM(CC21:CD21)</f>
        <v>16480.240192360056</v>
      </c>
      <c r="CC21" s="2981">
        <f>SUM(стоки!DA8+стоки!DA49)</f>
        <v>16480.240192360056</v>
      </c>
      <c r="CD21" s="2981">
        <f>SUM(стоки!DB8)</f>
        <v>0</v>
      </c>
      <c r="CE21" s="2862">
        <f t="shared" ref="CE21:CE27" si="133">SUM(BY21+BG21)</f>
        <v>16005.75287</v>
      </c>
      <c r="CF21" s="2981">
        <f t="shared" ref="CF21:CG27" si="134">SUM(BZ21+BH21)</f>
        <v>16005.75287</v>
      </c>
      <c r="CG21" s="2981">
        <f t="shared" si="134"/>
        <v>0</v>
      </c>
      <c r="CH21" s="2862">
        <f t="shared" ref="CH21:CJ39" si="135">SUM(CE21-CB21)</f>
        <v>-474.48732236005526</v>
      </c>
      <c r="CI21" s="2862">
        <f t="shared" si="135"/>
        <v>-474.48732236005526</v>
      </c>
      <c r="CJ21" s="2862">
        <f t="shared" si="135"/>
        <v>0</v>
      </c>
      <c r="CK21" s="2987"/>
      <c r="CL21" s="4188">
        <f t="shared" ref="CL21:CL84" si="136">SUM(B21+Q21+AO21+BM21)</f>
        <v>16480.240110732317</v>
      </c>
      <c r="CM21" s="2987">
        <f>SUM(CC22:CC27)+CC29</f>
        <v>16480.240192360052</v>
      </c>
    </row>
    <row r="22" spans="1:91" ht="18.75" customHeight="1" x14ac:dyDescent="0.3">
      <c r="A22" s="2914" t="s">
        <v>1</v>
      </c>
      <c r="B22" s="2845">
        <f t="shared" ref="B22:B23" si="137">SUM(C22:D22)</f>
        <v>488.96438967701181</v>
      </c>
      <c r="C22" s="2845">
        <f>SUM(CC22/2)/(1+(104%*100-100)/2/100)/6*3</f>
        <v>488.96438967701181</v>
      </c>
      <c r="D22" s="2845">
        <f>SUM(CD22/2)/(1+(105.9%*100-100)/2/100)/6*3</f>
        <v>0</v>
      </c>
      <c r="E22" s="2865">
        <f t="shared" ref="E22:E47" si="138">SUM(F22:G22)</f>
        <v>123.57</v>
      </c>
      <c r="F22" s="2947">
        <v>123.57</v>
      </c>
      <c r="G22" s="2947"/>
      <c r="H22" s="2865">
        <f t="shared" ref="H22:H27" si="139">SUM(I22:J22)</f>
        <v>112.048</v>
      </c>
      <c r="I22" s="2947">
        <v>112.048</v>
      </c>
      <c r="J22" s="2947"/>
      <c r="K22" s="2865">
        <f t="shared" ref="K22:K27" si="140">SUM(L22:M22)</f>
        <v>162.81</v>
      </c>
      <c r="L22" s="2947">
        <v>162.81</v>
      </c>
      <c r="M22" s="2947"/>
      <c r="N22" s="2865">
        <f>SUM(O22:P22)</f>
        <v>398.428</v>
      </c>
      <c r="O22" s="2865">
        <f>SUM(F22+I22+L22)</f>
        <v>398.428</v>
      </c>
      <c r="P22" s="2865">
        <f>SUM(G22+J22+M22)</f>
        <v>0</v>
      </c>
      <c r="Q22" s="2845">
        <f t="shared" ref="Q22" si="141">SUM(R22:S22)</f>
        <v>488.96438967701181</v>
      </c>
      <c r="R22" s="2845">
        <f t="shared" ref="R22:S27" si="142">SUM(C22)</f>
        <v>488.96438967701181</v>
      </c>
      <c r="S22" s="2845">
        <f t="shared" si="142"/>
        <v>0</v>
      </c>
      <c r="T22" s="2865">
        <f t="shared" ref="T22:T27" si="143">SUM(U22:V22)</f>
        <v>161.12</v>
      </c>
      <c r="U22" s="2947">
        <v>161.12</v>
      </c>
      <c r="V22" s="2947"/>
      <c r="W22" s="2865">
        <f t="shared" ref="W22:W27" si="144">SUM(X22:Y22)</f>
        <v>139.66</v>
      </c>
      <c r="X22" s="2947">
        <v>139.66</v>
      </c>
      <c r="Y22" s="2947"/>
      <c r="Z22" s="2865">
        <f t="shared" ref="Z22:Z27" si="145">SUM(AA22:AB22)</f>
        <v>95.861999999999995</v>
      </c>
      <c r="AA22" s="2947">
        <v>95.861999999999995</v>
      </c>
      <c r="AB22" s="2947"/>
      <c r="AC22" s="2865">
        <f>SUM(AD22:AE22)</f>
        <v>396.64199999999994</v>
      </c>
      <c r="AD22" s="2865">
        <f>SUM(U22+X22+AA22)</f>
        <v>396.64199999999994</v>
      </c>
      <c r="AE22" s="2865">
        <f>SUM(V22+Y22+AB22)</f>
        <v>0</v>
      </c>
      <c r="AF22" s="2846">
        <f t="shared" ref="AF22" si="146">SUM(AG22:AH22)</f>
        <v>977.92877935402362</v>
      </c>
      <c r="AG22" s="2846">
        <f t="shared" ref="AG22:AG27" si="147">SUM(C22+R22)</f>
        <v>977.92877935402362</v>
      </c>
      <c r="AH22" s="2846">
        <f t="shared" si="113"/>
        <v>0</v>
      </c>
      <c r="AI22" s="2867">
        <f t="shared" si="114"/>
        <v>795.06999999999994</v>
      </c>
      <c r="AJ22" s="2867">
        <f t="shared" si="114"/>
        <v>795.06999999999994</v>
      </c>
      <c r="AK22" s="2867">
        <f t="shared" si="114"/>
        <v>0</v>
      </c>
      <c r="AL22" s="2867">
        <f t="shared" si="115"/>
        <v>-182.85877935402368</v>
      </c>
      <c r="AM22" s="2867">
        <f t="shared" si="115"/>
        <v>-182.85877935402368</v>
      </c>
      <c r="AN22" s="2867">
        <f t="shared" si="115"/>
        <v>0</v>
      </c>
      <c r="AO22" s="2845">
        <f t="shared" ref="AO22:AO27" si="148">SUM(AP22:AQ22)</f>
        <v>508.52296526409225</v>
      </c>
      <c r="AP22" s="2845">
        <f t="shared" ref="AP22:AQ27" si="149">SUM(CC22-AG22)/2</f>
        <v>508.52296526409225</v>
      </c>
      <c r="AQ22" s="2845">
        <f t="shared" si="149"/>
        <v>0</v>
      </c>
      <c r="AR22" s="2865">
        <f t="shared" ref="AR22:AR27" si="150">SUM(AS22:AT22)</f>
        <v>112.66</v>
      </c>
      <c r="AS22" s="2947">
        <v>112.66</v>
      </c>
      <c r="AT22" s="2947"/>
      <c r="AU22" s="2865">
        <f t="shared" ref="AU22:AU27" si="151">SUM(AV22:AW22)</f>
        <v>128.285</v>
      </c>
      <c r="AV22" s="2947">
        <v>128.285</v>
      </c>
      <c r="AW22" s="2947"/>
      <c r="AX22" s="2865">
        <f t="shared" ref="AX22:AX27" si="152">SUM(AY22:AZ22)</f>
        <v>141.51</v>
      </c>
      <c r="AY22" s="2947">
        <v>141.51</v>
      </c>
      <c r="AZ22" s="2947"/>
      <c r="BA22" s="2865">
        <f>SUM(BB22:BC22)</f>
        <v>382.45499999999998</v>
      </c>
      <c r="BB22" s="2865">
        <f>SUM(AS22+AV22+AY22)</f>
        <v>382.45499999999998</v>
      </c>
      <c r="BC22" s="2865">
        <f>SUM(AT22+AW22+AZ22)</f>
        <v>0</v>
      </c>
      <c r="BD22" s="2846">
        <f t="shared" ref="BD22" si="153">SUM(BE22:BF22)</f>
        <v>1486.4517446181158</v>
      </c>
      <c r="BE22" s="2846">
        <f t="shared" ref="BE22:BF27" si="154">SUM(AG22+AP22)</f>
        <v>1486.4517446181158</v>
      </c>
      <c r="BF22" s="2846">
        <f t="shared" si="154"/>
        <v>0</v>
      </c>
      <c r="BG22" s="2867">
        <f t="shared" si="125"/>
        <v>1177.5249999999999</v>
      </c>
      <c r="BH22" s="2867">
        <f t="shared" si="125"/>
        <v>1177.5249999999999</v>
      </c>
      <c r="BI22" s="2867">
        <f t="shared" si="125"/>
        <v>0</v>
      </c>
      <c r="BJ22" s="2867">
        <f t="shared" si="126"/>
        <v>-308.92674461811589</v>
      </c>
      <c r="BK22" s="2867">
        <f t="shared" si="126"/>
        <v>-308.92674461811589</v>
      </c>
      <c r="BL22" s="2867">
        <f t="shared" si="126"/>
        <v>0</v>
      </c>
      <c r="BM22" s="2845">
        <f t="shared" ref="BM22:BM23" si="155">SUM(BN22:BO22)</f>
        <v>508.52296526409225</v>
      </c>
      <c r="BN22" s="2845">
        <f t="shared" ref="BN22:BO27" si="156">SUM(AP22)</f>
        <v>508.52296526409225</v>
      </c>
      <c r="BO22" s="2845">
        <f t="shared" si="156"/>
        <v>0</v>
      </c>
      <c r="BP22" s="2865">
        <f>SUM(BQ22:BR22)</f>
        <v>149.30099999999999</v>
      </c>
      <c r="BQ22" s="2947">
        <v>149.30099999999999</v>
      </c>
      <c r="BR22" s="2947"/>
      <c r="BS22" s="2865">
        <f>SUM(BT22:BU22)</f>
        <v>181.69300000000001</v>
      </c>
      <c r="BT22" s="2947">
        <v>181.69300000000001</v>
      </c>
      <c r="BU22" s="2947"/>
      <c r="BV22" s="2865">
        <f>SUM(BW22:BX22)</f>
        <v>143.709</v>
      </c>
      <c r="BW22" s="2947">
        <v>143.709</v>
      </c>
      <c r="BX22" s="2947"/>
      <c r="BY22" s="2865">
        <f>SUM(BZ22:CA22)</f>
        <v>474.70300000000003</v>
      </c>
      <c r="BZ22" s="2865">
        <f>SUM(BQ22+BT22+BW22)</f>
        <v>474.70300000000003</v>
      </c>
      <c r="CA22" s="2865">
        <f>SUM(BR22+BU22+BX22)</f>
        <v>0</v>
      </c>
      <c r="CB22" s="2846">
        <f t="shared" ref="CB22:CB85" si="157">SUM(CC22:CD22)</f>
        <v>1994.9747098822081</v>
      </c>
      <c r="CC22" s="2982">
        <f>SUM(стоки!DA9)</f>
        <v>1994.9747098822081</v>
      </c>
      <c r="CD22" s="2982">
        <f>SUM(стоки!CB9)</f>
        <v>0</v>
      </c>
      <c r="CE22" s="2867">
        <f t="shared" si="133"/>
        <v>1652.2279999999998</v>
      </c>
      <c r="CF22" s="2982">
        <f t="shared" si="134"/>
        <v>1652.2279999999998</v>
      </c>
      <c r="CG22" s="2982">
        <f t="shared" si="134"/>
        <v>0</v>
      </c>
      <c r="CH22" s="2867">
        <f t="shared" si="135"/>
        <v>-342.74670988220828</v>
      </c>
      <c r="CI22" s="2867">
        <f t="shared" si="135"/>
        <v>-342.74670988220828</v>
      </c>
      <c r="CJ22" s="2867">
        <f t="shared" si="135"/>
        <v>0</v>
      </c>
      <c r="CK22" s="2863"/>
      <c r="CL22" s="4188">
        <f t="shared" si="136"/>
        <v>1994.9747098822081</v>
      </c>
      <c r="CM22" s="2863"/>
    </row>
    <row r="23" spans="1:91" ht="18.75" customHeight="1" x14ac:dyDescent="0.3">
      <c r="A23" s="2914" t="s">
        <v>2</v>
      </c>
      <c r="B23" s="2845">
        <f t="shared" si="137"/>
        <v>87.40332243843558</v>
      </c>
      <c r="C23" s="2845">
        <f t="shared" ref="C23:D23" si="158">SUM(CC23/4)</f>
        <v>87.40332243843558</v>
      </c>
      <c r="D23" s="2845">
        <f t="shared" si="158"/>
        <v>0</v>
      </c>
      <c r="E23" s="2865">
        <f t="shared" si="138"/>
        <v>28.5</v>
      </c>
      <c r="F23" s="2947">
        <v>28.5</v>
      </c>
      <c r="G23" s="2947"/>
      <c r="H23" s="2865">
        <f t="shared" si="139"/>
        <v>28.503</v>
      </c>
      <c r="I23" s="2947">
        <v>28.503</v>
      </c>
      <c r="J23" s="2947"/>
      <c r="K23" s="2865">
        <f t="shared" si="140"/>
        <v>28.5</v>
      </c>
      <c r="L23" s="2947">
        <v>28.5</v>
      </c>
      <c r="M23" s="2947"/>
      <c r="N23" s="2865">
        <f t="shared" ref="N23:N27" si="159">SUM(O23:P23)</f>
        <v>85.503</v>
      </c>
      <c r="O23" s="2865">
        <f t="shared" ref="O23:P27" si="160">SUM(F23+I23+L23)</f>
        <v>85.503</v>
      </c>
      <c r="P23" s="2865">
        <f t="shared" si="160"/>
        <v>0</v>
      </c>
      <c r="Q23" s="2845">
        <f t="shared" ref="Q23:Q27" si="161">SUM(R23:S23)</f>
        <v>87.40332243843558</v>
      </c>
      <c r="R23" s="2845">
        <f t="shared" si="142"/>
        <v>87.40332243843558</v>
      </c>
      <c r="S23" s="2845">
        <f t="shared" ref="S23:S27" si="162">SUM(D23)</f>
        <v>0</v>
      </c>
      <c r="T23" s="2865">
        <f t="shared" si="143"/>
        <v>28.5</v>
      </c>
      <c r="U23" s="2947">
        <v>28.5</v>
      </c>
      <c r="V23" s="2947"/>
      <c r="W23" s="2865">
        <f t="shared" si="144"/>
        <v>28.5</v>
      </c>
      <c r="X23" s="2947">
        <v>28.5</v>
      </c>
      <c r="Y23" s="2947"/>
      <c r="Z23" s="2865">
        <f t="shared" si="145"/>
        <v>28.503</v>
      </c>
      <c r="AA23" s="2947">
        <v>28.503</v>
      </c>
      <c r="AB23" s="2947"/>
      <c r="AC23" s="2865">
        <f t="shared" ref="AC23:AC47" si="163">SUM(AD23:AE23)</f>
        <v>85.503</v>
      </c>
      <c r="AD23" s="2865">
        <f t="shared" ref="AD23:AE27" si="164">SUM(U23+X23+AA23)</f>
        <v>85.503</v>
      </c>
      <c r="AE23" s="2865">
        <f t="shared" si="164"/>
        <v>0</v>
      </c>
      <c r="AF23" s="2846">
        <f t="shared" ref="AF23:AF27" si="165">SUM(AG23:AH23)</f>
        <v>174.80664487687116</v>
      </c>
      <c r="AG23" s="2846">
        <f t="shared" si="147"/>
        <v>174.80664487687116</v>
      </c>
      <c r="AH23" s="2846">
        <f t="shared" si="113"/>
        <v>0</v>
      </c>
      <c r="AI23" s="2867">
        <f t="shared" si="114"/>
        <v>171.006</v>
      </c>
      <c r="AJ23" s="2867">
        <f t="shared" si="114"/>
        <v>171.006</v>
      </c>
      <c r="AK23" s="2867">
        <f t="shared" si="114"/>
        <v>0</v>
      </c>
      <c r="AL23" s="2867">
        <f t="shared" si="115"/>
        <v>-3.8006448768711607</v>
      </c>
      <c r="AM23" s="2867">
        <f t="shared" si="115"/>
        <v>-3.8006448768711607</v>
      </c>
      <c r="AN23" s="2867">
        <f t="shared" si="115"/>
        <v>0</v>
      </c>
      <c r="AO23" s="2845">
        <f t="shared" si="148"/>
        <v>87.40332243843558</v>
      </c>
      <c r="AP23" s="2845">
        <f t="shared" si="149"/>
        <v>87.40332243843558</v>
      </c>
      <c r="AQ23" s="2845">
        <f t="shared" si="149"/>
        <v>0</v>
      </c>
      <c r="AR23" s="2865">
        <f t="shared" si="150"/>
        <v>28.5</v>
      </c>
      <c r="AS23" s="2947">
        <v>28.5</v>
      </c>
      <c r="AT23" s="2947"/>
      <c r="AU23" s="2865">
        <f t="shared" si="151"/>
        <v>28.503</v>
      </c>
      <c r="AV23" s="2947">
        <v>28.503</v>
      </c>
      <c r="AW23" s="2947"/>
      <c r="AX23" s="2865">
        <f t="shared" si="152"/>
        <v>28.503</v>
      </c>
      <c r="AY23" s="2947">
        <v>28.503</v>
      </c>
      <c r="AZ23" s="2947"/>
      <c r="BA23" s="2865">
        <f t="shared" ref="BA23:BA27" si="166">SUM(BB23:BC23)</f>
        <v>85.506</v>
      </c>
      <c r="BB23" s="2865">
        <f t="shared" ref="BB23:BC27" si="167">SUM(AS23+AV23+AY23)</f>
        <v>85.506</v>
      </c>
      <c r="BC23" s="2865">
        <f t="shared" si="167"/>
        <v>0</v>
      </c>
      <c r="BD23" s="2846">
        <f t="shared" ref="BD23:BD27" si="168">SUM(BE23:BF23)</f>
        <v>262.20996731530676</v>
      </c>
      <c r="BE23" s="2846">
        <f t="shared" si="154"/>
        <v>262.20996731530676</v>
      </c>
      <c r="BF23" s="2846">
        <f t="shared" si="154"/>
        <v>0</v>
      </c>
      <c r="BG23" s="2867">
        <f t="shared" si="125"/>
        <v>256.512</v>
      </c>
      <c r="BH23" s="2867">
        <f t="shared" si="125"/>
        <v>256.512</v>
      </c>
      <c r="BI23" s="2867">
        <f t="shared" si="125"/>
        <v>0</v>
      </c>
      <c r="BJ23" s="2867">
        <f t="shared" si="126"/>
        <v>-5.6979673153067552</v>
      </c>
      <c r="BK23" s="2867">
        <f t="shared" si="126"/>
        <v>-5.6979673153067552</v>
      </c>
      <c r="BL23" s="2867">
        <f t="shared" si="126"/>
        <v>0</v>
      </c>
      <c r="BM23" s="2845">
        <f t="shared" si="155"/>
        <v>87.40332243843558</v>
      </c>
      <c r="BN23" s="2845">
        <f t="shared" si="156"/>
        <v>87.40332243843558</v>
      </c>
      <c r="BO23" s="2845">
        <f t="shared" si="156"/>
        <v>0</v>
      </c>
      <c r="BP23" s="2865">
        <f t="shared" ref="BP23:BP27" si="169">SUM(BQ23:BR23)</f>
        <v>28.503</v>
      </c>
      <c r="BQ23" s="2947">
        <v>28.503</v>
      </c>
      <c r="BR23" s="2947"/>
      <c r="BS23" s="2865">
        <f t="shared" ref="BS23:BS27" si="170">SUM(BT23:BU23)</f>
        <v>28.503</v>
      </c>
      <c r="BT23" s="2947">
        <v>28.503</v>
      </c>
      <c r="BU23" s="2947"/>
      <c r="BV23" s="2865">
        <f t="shared" ref="BV23:BV27" si="171">SUM(BW23:BX23)</f>
        <v>28.513000000000002</v>
      </c>
      <c r="BW23" s="2947">
        <v>28.513000000000002</v>
      </c>
      <c r="BX23" s="2947"/>
      <c r="BY23" s="2865">
        <f t="shared" ref="BY23:BY27" si="172">SUM(BZ23:CA23)</f>
        <v>85.519000000000005</v>
      </c>
      <c r="BZ23" s="2865">
        <f t="shared" ref="BZ23:CA27" si="173">SUM(BQ23+BT23+BW23)</f>
        <v>85.519000000000005</v>
      </c>
      <c r="CA23" s="2865">
        <f t="shared" si="173"/>
        <v>0</v>
      </c>
      <c r="CB23" s="2846">
        <f t="shared" si="157"/>
        <v>349.61328975374232</v>
      </c>
      <c r="CC23" s="2982">
        <f>SUM(стоки!DA10)</f>
        <v>349.61328975374232</v>
      </c>
      <c r="CD23" s="2982">
        <f>SUM(стоки!DB10)</f>
        <v>0</v>
      </c>
      <c r="CE23" s="2867">
        <f t="shared" si="133"/>
        <v>342.03100000000001</v>
      </c>
      <c r="CF23" s="2982">
        <f t="shared" si="134"/>
        <v>342.03100000000001</v>
      </c>
      <c r="CG23" s="2982">
        <f t="shared" si="134"/>
        <v>0</v>
      </c>
      <c r="CH23" s="2867">
        <f t="shared" si="135"/>
        <v>-7.582289753742316</v>
      </c>
      <c r="CI23" s="2867">
        <f t="shared" si="135"/>
        <v>-7.582289753742316</v>
      </c>
      <c r="CJ23" s="2867">
        <f t="shared" si="135"/>
        <v>0</v>
      </c>
      <c r="CK23" s="2863"/>
      <c r="CL23" s="4188">
        <f t="shared" si="136"/>
        <v>349.61328975374232</v>
      </c>
      <c r="CM23" s="2863"/>
    </row>
    <row r="24" spans="1:91" ht="18.75" customHeight="1" x14ac:dyDescent="0.3">
      <c r="A24" s="2868" t="s">
        <v>3985</v>
      </c>
      <c r="B24" s="2845">
        <f t="shared" ref="B24:B29" si="174">SUM(C24:D24)</f>
        <v>0</v>
      </c>
      <c r="C24" s="2845">
        <f t="shared" ref="C24:C27" si="175">SUM(CC24/4)</f>
        <v>0</v>
      </c>
      <c r="D24" s="2845">
        <f t="shared" ref="D24:D27" si="176">SUM(CD24/4)</f>
        <v>0</v>
      </c>
      <c r="E24" s="2865">
        <f t="shared" si="138"/>
        <v>0</v>
      </c>
      <c r="F24" s="2947"/>
      <c r="G24" s="2947"/>
      <c r="H24" s="2865">
        <f t="shared" si="139"/>
        <v>0</v>
      </c>
      <c r="I24" s="2947"/>
      <c r="J24" s="2947"/>
      <c r="K24" s="2865">
        <f t="shared" si="140"/>
        <v>0</v>
      </c>
      <c r="L24" s="2947"/>
      <c r="M24" s="2947"/>
      <c r="N24" s="2865">
        <f t="shared" si="159"/>
        <v>0</v>
      </c>
      <c r="O24" s="2865">
        <f t="shared" si="160"/>
        <v>0</v>
      </c>
      <c r="P24" s="2865">
        <f t="shared" si="160"/>
        <v>0</v>
      </c>
      <c r="Q24" s="2845">
        <f t="shared" si="161"/>
        <v>0</v>
      </c>
      <c r="R24" s="2845">
        <f t="shared" si="142"/>
        <v>0</v>
      </c>
      <c r="S24" s="2845">
        <f t="shared" si="162"/>
        <v>0</v>
      </c>
      <c r="T24" s="2865">
        <f t="shared" si="143"/>
        <v>0</v>
      </c>
      <c r="U24" s="2947"/>
      <c r="V24" s="2947"/>
      <c r="W24" s="2865">
        <f t="shared" si="144"/>
        <v>6.26</v>
      </c>
      <c r="X24" s="2947">
        <v>6.26</v>
      </c>
      <c r="Y24" s="2947"/>
      <c r="Z24" s="2865">
        <f t="shared" si="145"/>
        <v>6.2640000000000002</v>
      </c>
      <c r="AA24" s="2947">
        <v>6.2640000000000002</v>
      </c>
      <c r="AB24" s="2947"/>
      <c r="AC24" s="2865">
        <f t="shared" si="163"/>
        <v>12.524000000000001</v>
      </c>
      <c r="AD24" s="2865">
        <f t="shared" si="164"/>
        <v>12.524000000000001</v>
      </c>
      <c r="AE24" s="2865">
        <f t="shared" si="164"/>
        <v>0</v>
      </c>
      <c r="AF24" s="2846">
        <f t="shared" si="165"/>
        <v>0</v>
      </c>
      <c r="AG24" s="2846">
        <f t="shared" si="147"/>
        <v>0</v>
      </c>
      <c r="AH24" s="2846">
        <f t="shared" si="113"/>
        <v>0</v>
      </c>
      <c r="AI24" s="2867">
        <f t="shared" si="114"/>
        <v>12.524000000000001</v>
      </c>
      <c r="AJ24" s="2867">
        <f t="shared" si="114"/>
        <v>12.524000000000001</v>
      </c>
      <c r="AK24" s="2867">
        <f t="shared" si="114"/>
        <v>0</v>
      </c>
      <c r="AL24" s="2867">
        <f t="shared" si="115"/>
        <v>12.524000000000001</v>
      </c>
      <c r="AM24" s="2867">
        <f t="shared" si="115"/>
        <v>12.524000000000001</v>
      </c>
      <c r="AN24" s="2867">
        <f t="shared" si="115"/>
        <v>0</v>
      </c>
      <c r="AO24" s="2845">
        <f t="shared" si="148"/>
        <v>0</v>
      </c>
      <c r="AP24" s="2845">
        <f t="shared" si="149"/>
        <v>0</v>
      </c>
      <c r="AQ24" s="2845">
        <f t="shared" si="149"/>
        <v>0</v>
      </c>
      <c r="AR24" s="2865">
        <f t="shared" si="150"/>
        <v>6.26</v>
      </c>
      <c r="AS24" s="2947">
        <v>6.26</v>
      </c>
      <c r="AT24" s="2947"/>
      <c r="AU24" s="2865">
        <f t="shared" si="151"/>
        <v>6.2640000000000002</v>
      </c>
      <c r="AV24" s="2947">
        <v>6.2640000000000002</v>
      </c>
      <c r="AW24" s="2947"/>
      <c r="AX24" s="2865">
        <f t="shared" si="152"/>
        <v>6.2640000000000002</v>
      </c>
      <c r="AY24" s="2947">
        <v>6.2640000000000002</v>
      </c>
      <c r="AZ24" s="2947"/>
      <c r="BA24" s="2865">
        <f t="shared" si="166"/>
        <v>18.788</v>
      </c>
      <c r="BB24" s="2865">
        <f t="shared" si="167"/>
        <v>18.788</v>
      </c>
      <c r="BC24" s="2865">
        <f t="shared" si="167"/>
        <v>0</v>
      </c>
      <c r="BD24" s="2846">
        <f t="shared" si="168"/>
        <v>0</v>
      </c>
      <c r="BE24" s="2846">
        <f t="shared" si="154"/>
        <v>0</v>
      </c>
      <c r="BF24" s="2846">
        <f t="shared" si="154"/>
        <v>0</v>
      </c>
      <c r="BG24" s="2867">
        <f t="shared" si="125"/>
        <v>31.312000000000001</v>
      </c>
      <c r="BH24" s="2867">
        <f t="shared" si="125"/>
        <v>31.312000000000001</v>
      </c>
      <c r="BI24" s="2867">
        <f t="shared" si="125"/>
        <v>0</v>
      </c>
      <c r="BJ24" s="2867">
        <f t="shared" si="126"/>
        <v>31.312000000000001</v>
      </c>
      <c r="BK24" s="2867">
        <f t="shared" si="126"/>
        <v>31.312000000000001</v>
      </c>
      <c r="BL24" s="2867">
        <f t="shared" si="126"/>
        <v>0</v>
      </c>
      <c r="BM24" s="2845">
        <f t="shared" ref="BM24:BM27" si="177">SUM(BN24:BO24)</f>
        <v>0</v>
      </c>
      <c r="BN24" s="2845">
        <f t="shared" si="156"/>
        <v>0</v>
      </c>
      <c r="BO24" s="2845">
        <f t="shared" ref="BO24:BO27" si="178">SUM(AQ24)</f>
        <v>0</v>
      </c>
      <c r="BP24" s="2865">
        <f t="shared" si="169"/>
        <v>7.6539999999999999</v>
      </c>
      <c r="BQ24" s="2947">
        <v>7.6539999999999999</v>
      </c>
      <c r="BR24" s="2947"/>
      <c r="BS24" s="2865">
        <f t="shared" si="170"/>
        <v>7.6539999999999999</v>
      </c>
      <c r="BT24" s="2947">
        <v>7.6539999999999999</v>
      </c>
      <c r="BU24" s="2947"/>
      <c r="BV24" s="2865">
        <f t="shared" si="171"/>
        <v>7.6630000000000003</v>
      </c>
      <c r="BW24" s="2947">
        <v>7.6630000000000003</v>
      </c>
      <c r="BX24" s="2947"/>
      <c r="BY24" s="2865">
        <f t="shared" si="172"/>
        <v>22.971</v>
      </c>
      <c r="BZ24" s="2865">
        <f t="shared" si="173"/>
        <v>22.971</v>
      </c>
      <c r="CA24" s="2865">
        <f t="shared" si="173"/>
        <v>0</v>
      </c>
      <c r="CB24" s="2846">
        <f t="shared" si="157"/>
        <v>0</v>
      </c>
      <c r="CC24" s="2982">
        <f>SUM(стоки!DA11)</f>
        <v>0</v>
      </c>
      <c r="CD24" s="2982">
        <f>SUM(стоки!DB11)</f>
        <v>0</v>
      </c>
      <c r="CE24" s="2867">
        <f t="shared" si="133"/>
        <v>54.283000000000001</v>
      </c>
      <c r="CF24" s="2982">
        <f t="shared" si="134"/>
        <v>54.283000000000001</v>
      </c>
      <c r="CG24" s="2982">
        <f t="shared" si="134"/>
        <v>0</v>
      </c>
      <c r="CH24" s="2867">
        <f t="shared" si="135"/>
        <v>54.283000000000001</v>
      </c>
      <c r="CI24" s="2867">
        <f t="shared" si="135"/>
        <v>54.283000000000001</v>
      </c>
      <c r="CJ24" s="2867">
        <f t="shared" si="135"/>
        <v>0</v>
      </c>
      <c r="CK24" s="2863"/>
      <c r="CL24" s="4188">
        <f t="shared" si="136"/>
        <v>0</v>
      </c>
      <c r="CM24" s="2863"/>
    </row>
    <row r="25" spans="1:91" ht="18.75" customHeight="1" x14ac:dyDescent="0.3">
      <c r="A25" s="2914" t="s">
        <v>3</v>
      </c>
      <c r="B25" s="2845">
        <f t="shared" si="174"/>
        <v>0</v>
      </c>
      <c r="C25" s="2845">
        <f t="shared" si="175"/>
        <v>0</v>
      </c>
      <c r="D25" s="2845">
        <f t="shared" si="176"/>
        <v>0</v>
      </c>
      <c r="E25" s="2865">
        <f t="shared" si="138"/>
        <v>8.82</v>
      </c>
      <c r="F25" s="2947">
        <v>8.82</v>
      </c>
      <c r="G25" s="2947"/>
      <c r="H25" s="2865">
        <f t="shared" si="139"/>
        <v>35.950000000000003</v>
      </c>
      <c r="I25" s="2947">
        <v>35.950000000000003</v>
      </c>
      <c r="J25" s="2947"/>
      <c r="K25" s="2865">
        <f t="shared" si="140"/>
        <v>42.055999999999997</v>
      </c>
      <c r="L25" s="2947">
        <v>42.055999999999997</v>
      </c>
      <c r="M25" s="2947"/>
      <c r="N25" s="2865">
        <f t="shared" si="159"/>
        <v>86.825999999999993</v>
      </c>
      <c r="O25" s="2865">
        <f t="shared" si="160"/>
        <v>86.825999999999993</v>
      </c>
      <c r="P25" s="2865">
        <f t="shared" si="160"/>
        <v>0</v>
      </c>
      <c r="Q25" s="2845">
        <f t="shared" si="161"/>
        <v>0</v>
      </c>
      <c r="R25" s="2845">
        <f t="shared" si="142"/>
        <v>0</v>
      </c>
      <c r="S25" s="2845">
        <f t="shared" si="162"/>
        <v>0</v>
      </c>
      <c r="T25" s="2865">
        <f t="shared" si="143"/>
        <v>9.4</v>
      </c>
      <c r="U25" s="2947">
        <v>9.4</v>
      </c>
      <c r="V25" s="2947"/>
      <c r="W25" s="2865">
        <f t="shared" si="144"/>
        <v>88.94</v>
      </c>
      <c r="X25" s="2947">
        <f>37.8+51.14</f>
        <v>88.94</v>
      </c>
      <c r="Y25" s="2947"/>
      <c r="Z25" s="2865">
        <f t="shared" si="145"/>
        <v>42.555999999999997</v>
      </c>
      <c r="AA25" s="2947">
        <v>42.555999999999997</v>
      </c>
      <c r="AB25" s="2947"/>
      <c r="AC25" s="2865">
        <f t="shared" si="163"/>
        <v>140.89600000000002</v>
      </c>
      <c r="AD25" s="2865">
        <f t="shared" si="164"/>
        <v>140.89600000000002</v>
      </c>
      <c r="AE25" s="2865">
        <f t="shared" si="164"/>
        <v>0</v>
      </c>
      <c r="AF25" s="2846">
        <f t="shared" si="165"/>
        <v>0</v>
      </c>
      <c r="AG25" s="2846">
        <f t="shared" si="147"/>
        <v>0</v>
      </c>
      <c r="AH25" s="2846">
        <f t="shared" si="113"/>
        <v>0</v>
      </c>
      <c r="AI25" s="2867">
        <f t="shared" si="114"/>
        <v>227.72200000000001</v>
      </c>
      <c r="AJ25" s="2867">
        <f t="shared" si="114"/>
        <v>227.72200000000001</v>
      </c>
      <c r="AK25" s="2867">
        <f t="shared" si="114"/>
        <v>0</v>
      </c>
      <c r="AL25" s="2867">
        <f t="shared" si="115"/>
        <v>227.72200000000001</v>
      </c>
      <c r="AM25" s="2867">
        <f t="shared" si="115"/>
        <v>227.72200000000001</v>
      </c>
      <c r="AN25" s="2867">
        <f t="shared" si="115"/>
        <v>0</v>
      </c>
      <c r="AO25" s="2845">
        <f t="shared" si="148"/>
        <v>0</v>
      </c>
      <c r="AP25" s="2845">
        <f t="shared" si="149"/>
        <v>0</v>
      </c>
      <c r="AQ25" s="2845">
        <f t="shared" si="149"/>
        <v>0</v>
      </c>
      <c r="AR25" s="2865">
        <f t="shared" si="150"/>
        <v>57.99</v>
      </c>
      <c r="AS25" s="2947">
        <v>57.99</v>
      </c>
      <c r="AT25" s="2947"/>
      <c r="AU25" s="2865">
        <f t="shared" si="151"/>
        <v>72.715999999999994</v>
      </c>
      <c r="AV25" s="2947">
        <v>72.715999999999994</v>
      </c>
      <c r="AW25" s="2947"/>
      <c r="AX25" s="2865">
        <f t="shared" si="152"/>
        <v>30.933</v>
      </c>
      <c r="AY25" s="2947">
        <v>30.933</v>
      </c>
      <c r="AZ25" s="2947"/>
      <c r="BA25" s="2865">
        <f t="shared" si="166"/>
        <v>161.63899999999998</v>
      </c>
      <c r="BB25" s="2865">
        <f t="shared" si="167"/>
        <v>161.63899999999998</v>
      </c>
      <c r="BC25" s="2865">
        <f t="shared" si="167"/>
        <v>0</v>
      </c>
      <c r="BD25" s="2846">
        <f t="shared" si="168"/>
        <v>0</v>
      </c>
      <c r="BE25" s="2846">
        <f t="shared" si="154"/>
        <v>0</v>
      </c>
      <c r="BF25" s="2846">
        <f t="shared" si="154"/>
        <v>0</v>
      </c>
      <c r="BG25" s="2867">
        <f t="shared" si="125"/>
        <v>389.36099999999999</v>
      </c>
      <c r="BH25" s="2867">
        <f t="shared" si="125"/>
        <v>389.36099999999999</v>
      </c>
      <c r="BI25" s="2867">
        <f t="shared" si="125"/>
        <v>0</v>
      </c>
      <c r="BJ25" s="2867">
        <f t="shared" si="126"/>
        <v>389.36099999999999</v>
      </c>
      <c r="BK25" s="2867">
        <f t="shared" si="126"/>
        <v>389.36099999999999</v>
      </c>
      <c r="BL25" s="2867">
        <f t="shared" si="126"/>
        <v>0</v>
      </c>
      <c r="BM25" s="2845">
        <f t="shared" si="177"/>
        <v>0</v>
      </c>
      <c r="BN25" s="2845">
        <f t="shared" si="156"/>
        <v>0</v>
      </c>
      <c r="BO25" s="2845">
        <f t="shared" si="178"/>
        <v>0</v>
      </c>
      <c r="BP25" s="2865">
        <f t="shared" si="169"/>
        <v>104.28</v>
      </c>
      <c r="BQ25" s="2947">
        <v>104.28</v>
      </c>
      <c r="BR25" s="2947"/>
      <c r="BS25" s="2865">
        <f t="shared" si="170"/>
        <v>21.38</v>
      </c>
      <c r="BT25" s="2947">
        <f>21.38</f>
        <v>21.38</v>
      </c>
      <c r="BU25" s="2947"/>
      <c r="BV25" s="2865">
        <f t="shared" si="171"/>
        <v>25.370999999999999</v>
      </c>
      <c r="BW25" s="2947">
        <v>25.370999999999999</v>
      </c>
      <c r="BX25" s="2947"/>
      <c r="BY25" s="2865">
        <f t="shared" si="172"/>
        <v>151.03100000000001</v>
      </c>
      <c r="BZ25" s="2865">
        <f t="shared" si="173"/>
        <v>151.03100000000001</v>
      </c>
      <c r="CA25" s="2865">
        <f t="shared" si="173"/>
        <v>0</v>
      </c>
      <c r="CB25" s="2846">
        <f t="shared" si="157"/>
        <v>0</v>
      </c>
      <c r="CC25" s="2982">
        <f>SUM(стоки!DA12)</f>
        <v>0</v>
      </c>
      <c r="CD25" s="2982">
        <f>SUM(стоки!DB12)</f>
        <v>0</v>
      </c>
      <c r="CE25" s="2867">
        <f t="shared" si="133"/>
        <v>540.39200000000005</v>
      </c>
      <c r="CF25" s="2982">
        <f t="shared" si="134"/>
        <v>540.39200000000005</v>
      </c>
      <c r="CG25" s="2982">
        <f t="shared" si="134"/>
        <v>0</v>
      </c>
      <c r="CH25" s="2867">
        <f t="shared" si="135"/>
        <v>540.39200000000005</v>
      </c>
      <c r="CI25" s="2867">
        <f t="shared" si="135"/>
        <v>540.39200000000005</v>
      </c>
      <c r="CJ25" s="2867">
        <f t="shared" si="135"/>
        <v>0</v>
      </c>
      <c r="CK25" s="2863"/>
      <c r="CL25" s="4188">
        <f t="shared" si="136"/>
        <v>0</v>
      </c>
      <c r="CM25" s="2863"/>
    </row>
    <row r="26" spans="1:91" ht="18.75" customHeight="1" x14ac:dyDescent="0.3">
      <c r="A26" s="2914" t="s">
        <v>4</v>
      </c>
      <c r="B26" s="2845">
        <f t="shared" si="174"/>
        <v>2616.4964497389647</v>
      </c>
      <c r="C26" s="2845">
        <f t="shared" si="175"/>
        <v>2616.4964497389647</v>
      </c>
      <c r="D26" s="2845">
        <f t="shared" si="176"/>
        <v>0</v>
      </c>
      <c r="E26" s="2865">
        <f t="shared" si="138"/>
        <v>665.23</v>
      </c>
      <c r="F26" s="2947">
        <v>665.23</v>
      </c>
      <c r="G26" s="2947"/>
      <c r="H26" s="2865">
        <f t="shared" si="139"/>
        <v>744.47400000000005</v>
      </c>
      <c r="I26" s="2947">
        <v>744.47400000000005</v>
      </c>
      <c r="J26" s="2947"/>
      <c r="K26" s="2865">
        <f t="shared" si="140"/>
        <v>754.38</v>
      </c>
      <c r="L26" s="2947">
        <v>754.38</v>
      </c>
      <c r="M26" s="2947"/>
      <c r="N26" s="2865">
        <f t="shared" si="159"/>
        <v>2164.0840000000003</v>
      </c>
      <c r="O26" s="2865">
        <f t="shared" si="160"/>
        <v>2164.0840000000003</v>
      </c>
      <c r="P26" s="2865">
        <f t="shared" si="160"/>
        <v>0</v>
      </c>
      <c r="Q26" s="2845">
        <f t="shared" si="161"/>
        <v>2616.4964497389647</v>
      </c>
      <c r="R26" s="2845">
        <f t="shared" si="142"/>
        <v>2616.4964497389647</v>
      </c>
      <c r="S26" s="2845">
        <f t="shared" si="162"/>
        <v>0</v>
      </c>
      <c r="T26" s="2865">
        <f t="shared" si="143"/>
        <v>758.63</v>
      </c>
      <c r="U26" s="2947">
        <v>758.63</v>
      </c>
      <c r="V26" s="2947"/>
      <c r="W26" s="2865">
        <f t="shared" si="144"/>
        <v>886.89</v>
      </c>
      <c r="X26" s="2947">
        <v>886.89</v>
      </c>
      <c r="Y26" s="2947"/>
      <c r="Z26" s="2865">
        <f t="shared" si="145"/>
        <v>871.62599999999998</v>
      </c>
      <c r="AA26" s="2947">
        <v>871.62599999999998</v>
      </c>
      <c r="AB26" s="2947"/>
      <c r="AC26" s="2865">
        <f t="shared" si="163"/>
        <v>2517.1459999999997</v>
      </c>
      <c r="AD26" s="2865">
        <f t="shared" si="164"/>
        <v>2517.1459999999997</v>
      </c>
      <c r="AE26" s="2865">
        <f t="shared" si="164"/>
        <v>0</v>
      </c>
      <c r="AF26" s="2846">
        <f t="shared" si="165"/>
        <v>5232.9928994779293</v>
      </c>
      <c r="AG26" s="2846">
        <f t="shared" si="147"/>
        <v>5232.9928994779293</v>
      </c>
      <c r="AH26" s="2846">
        <f t="shared" si="113"/>
        <v>0</v>
      </c>
      <c r="AI26" s="2867">
        <f t="shared" si="114"/>
        <v>4681.2299999999996</v>
      </c>
      <c r="AJ26" s="2867">
        <f t="shared" si="114"/>
        <v>4681.2299999999996</v>
      </c>
      <c r="AK26" s="2867">
        <f t="shared" si="114"/>
        <v>0</v>
      </c>
      <c r="AL26" s="2867">
        <f t="shared" si="115"/>
        <v>-551.76289947792975</v>
      </c>
      <c r="AM26" s="2867">
        <f t="shared" si="115"/>
        <v>-551.76289947792975</v>
      </c>
      <c r="AN26" s="2867">
        <f t="shared" si="115"/>
        <v>0</v>
      </c>
      <c r="AO26" s="2845">
        <f t="shared" si="148"/>
        <v>2616.4964497389647</v>
      </c>
      <c r="AP26" s="2845">
        <f t="shared" si="149"/>
        <v>2616.4964497389647</v>
      </c>
      <c r="AQ26" s="2845">
        <f t="shared" si="149"/>
        <v>0</v>
      </c>
      <c r="AR26" s="2865">
        <f t="shared" si="150"/>
        <v>812.33</v>
      </c>
      <c r="AS26" s="2947">
        <v>812.33</v>
      </c>
      <c r="AT26" s="2947"/>
      <c r="AU26" s="2865">
        <f t="shared" si="151"/>
        <v>891.56899999999996</v>
      </c>
      <c r="AV26" s="2947">
        <v>891.56899999999996</v>
      </c>
      <c r="AW26" s="2947"/>
      <c r="AX26" s="2865">
        <f t="shared" si="152"/>
        <v>762.18399999999997</v>
      </c>
      <c r="AY26" s="2947">
        <v>762.18399999999997</v>
      </c>
      <c r="AZ26" s="2947"/>
      <c r="BA26" s="2865">
        <f t="shared" si="166"/>
        <v>2466.0829999999996</v>
      </c>
      <c r="BB26" s="2865">
        <f t="shared" si="167"/>
        <v>2466.0829999999996</v>
      </c>
      <c r="BC26" s="2865">
        <f t="shared" si="167"/>
        <v>0</v>
      </c>
      <c r="BD26" s="2846">
        <f t="shared" si="168"/>
        <v>7849.489349216894</v>
      </c>
      <c r="BE26" s="2846">
        <f t="shared" si="154"/>
        <v>7849.489349216894</v>
      </c>
      <c r="BF26" s="2846">
        <f t="shared" si="154"/>
        <v>0</v>
      </c>
      <c r="BG26" s="2867">
        <f t="shared" si="125"/>
        <v>7147.3129999999992</v>
      </c>
      <c r="BH26" s="2867">
        <f t="shared" si="125"/>
        <v>7147.3129999999992</v>
      </c>
      <c r="BI26" s="2867">
        <f t="shared" si="125"/>
        <v>0</v>
      </c>
      <c r="BJ26" s="2867">
        <f t="shared" si="126"/>
        <v>-702.17634921689478</v>
      </c>
      <c r="BK26" s="2867">
        <f t="shared" si="126"/>
        <v>-702.17634921689478</v>
      </c>
      <c r="BL26" s="2867">
        <f t="shared" si="126"/>
        <v>0</v>
      </c>
      <c r="BM26" s="2845">
        <f t="shared" si="177"/>
        <v>2616.4964497389647</v>
      </c>
      <c r="BN26" s="2845">
        <f t="shared" si="156"/>
        <v>2616.4964497389647</v>
      </c>
      <c r="BO26" s="2845">
        <f t="shared" si="178"/>
        <v>0</v>
      </c>
      <c r="BP26" s="2865">
        <f t="shared" si="169"/>
        <v>797.89599999999996</v>
      </c>
      <c r="BQ26" s="2947">
        <v>797.89599999999996</v>
      </c>
      <c r="BR26" s="2947"/>
      <c r="BS26" s="2865">
        <f t="shared" si="170"/>
        <v>908.28200000000004</v>
      </c>
      <c r="BT26" s="2947">
        <v>908.28200000000004</v>
      </c>
      <c r="BU26" s="2947"/>
      <c r="BV26" s="2865">
        <f t="shared" si="171"/>
        <v>1009.399</v>
      </c>
      <c r="BW26" s="2947">
        <v>1009.399</v>
      </c>
      <c r="BX26" s="2947"/>
      <c r="BY26" s="2865">
        <f t="shared" si="172"/>
        <v>2715.5769999999998</v>
      </c>
      <c r="BZ26" s="2865">
        <f t="shared" si="173"/>
        <v>2715.5769999999998</v>
      </c>
      <c r="CA26" s="2865">
        <f t="shared" si="173"/>
        <v>0</v>
      </c>
      <c r="CB26" s="2846">
        <f t="shared" si="157"/>
        <v>10465.985798955859</v>
      </c>
      <c r="CC26" s="2982">
        <f>SUM(стоки!DA13)</f>
        <v>10465.985798955859</v>
      </c>
      <c r="CD26" s="2982">
        <f>SUM(стоки!DB13)</f>
        <v>0</v>
      </c>
      <c r="CE26" s="2867">
        <f t="shared" si="133"/>
        <v>9862.89</v>
      </c>
      <c r="CF26" s="2982">
        <f t="shared" si="134"/>
        <v>9862.89</v>
      </c>
      <c r="CG26" s="2982">
        <f t="shared" si="134"/>
        <v>0</v>
      </c>
      <c r="CH26" s="2867">
        <f t="shared" si="135"/>
        <v>-603.09579895585921</v>
      </c>
      <c r="CI26" s="2867">
        <f t="shared" si="135"/>
        <v>-603.09579895585921</v>
      </c>
      <c r="CJ26" s="2867">
        <f t="shared" si="135"/>
        <v>0</v>
      </c>
      <c r="CK26" s="2863"/>
      <c r="CL26" s="4188">
        <f t="shared" si="136"/>
        <v>10465.985798955859</v>
      </c>
      <c r="CM26" s="2863"/>
    </row>
    <row r="27" spans="1:91" ht="18.75" customHeight="1" x14ac:dyDescent="0.3">
      <c r="A27" s="2914" t="s">
        <v>114</v>
      </c>
      <c r="B27" s="2845">
        <f t="shared" si="174"/>
        <v>783.72206539365652</v>
      </c>
      <c r="C27" s="2845">
        <f t="shared" si="175"/>
        <v>783.72206539365652</v>
      </c>
      <c r="D27" s="2845">
        <f t="shared" si="176"/>
        <v>0</v>
      </c>
      <c r="E27" s="2865">
        <f t="shared" si="138"/>
        <v>200.88</v>
      </c>
      <c r="F27" s="2947">
        <v>200.88</v>
      </c>
      <c r="G27" s="2947"/>
      <c r="H27" s="2865">
        <f t="shared" si="139"/>
        <v>223.892</v>
      </c>
      <c r="I27" s="2947">
        <f>1.466+222.426</f>
        <v>223.892</v>
      </c>
      <c r="J27" s="2947"/>
      <c r="K27" s="2865">
        <f t="shared" si="140"/>
        <v>224.53200000000001</v>
      </c>
      <c r="L27" s="2947">
        <v>224.53200000000001</v>
      </c>
      <c r="M27" s="2947"/>
      <c r="N27" s="2865">
        <f t="shared" si="159"/>
        <v>649.30399999999997</v>
      </c>
      <c r="O27" s="2865">
        <f t="shared" si="160"/>
        <v>649.30399999999997</v>
      </c>
      <c r="P27" s="2865">
        <f t="shared" si="160"/>
        <v>0</v>
      </c>
      <c r="Q27" s="2845">
        <f t="shared" si="161"/>
        <v>783.72206539365652</v>
      </c>
      <c r="R27" s="2845">
        <f t="shared" si="142"/>
        <v>783.72206539365652</v>
      </c>
      <c r="S27" s="2845">
        <f t="shared" si="162"/>
        <v>0</v>
      </c>
      <c r="T27" s="2865">
        <f t="shared" si="143"/>
        <v>229.09</v>
      </c>
      <c r="U27" s="2947">
        <v>229.09</v>
      </c>
      <c r="V27" s="2947"/>
      <c r="W27" s="2865">
        <f t="shared" si="144"/>
        <v>266.38</v>
      </c>
      <c r="X27" s="2947">
        <v>266.38</v>
      </c>
      <c r="Y27" s="2947"/>
      <c r="Z27" s="2865">
        <f t="shared" si="145"/>
        <v>262.31099999999998</v>
      </c>
      <c r="AA27" s="2947">
        <v>262.31099999999998</v>
      </c>
      <c r="AB27" s="2947"/>
      <c r="AC27" s="2865">
        <f t="shared" si="163"/>
        <v>757.78099999999995</v>
      </c>
      <c r="AD27" s="2865">
        <f t="shared" si="164"/>
        <v>757.78099999999995</v>
      </c>
      <c r="AE27" s="2865">
        <f t="shared" si="164"/>
        <v>0</v>
      </c>
      <c r="AF27" s="2846">
        <f t="shared" si="165"/>
        <v>1567.444130787313</v>
      </c>
      <c r="AG27" s="2846">
        <f t="shared" si="147"/>
        <v>1567.444130787313</v>
      </c>
      <c r="AH27" s="2846">
        <f t="shared" si="113"/>
        <v>0</v>
      </c>
      <c r="AI27" s="2867">
        <f t="shared" si="114"/>
        <v>1407.085</v>
      </c>
      <c r="AJ27" s="2867">
        <f t="shared" si="114"/>
        <v>1407.085</v>
      </c>
      <c r="AK27" s="2867">
        <f t="shared" si="114"/>
        <v>0</v>
      </c>
      <c r="AL27" s="2867">
        <f t="shared" si="115"/>
        <v>-160.35913078731301</v>
      </c>
      <c r="AM27" s="2867">
        <f t="shared" si="115"/>
        <v>-160.35913078731301</v>
      </c>
      <c r="AN27" s="2867">
        <f t="shared" si="115"/>
        <v>0</v>
      </c>
      <c r="AO27" s="2845">
        <f t="shared" si="148"/>
        <v>783.72206539365652</v>
      </c>
      <c r="AP27" s="2845">
        <f t="shared" si="149"/>
        <v>783.72206539365652</v>
      </c>
      <c r="AQ27" s="2845">
        <f t="shared" si="149"/>
        <v>0</v>
      </c>
      <c r="AR27" s="2865">
        <f t="shared" si="150"/>
        <v>244.19</v>
      </c>
      <c r="AS27" s="2947">
        <v>244.19</v>
      </c>
      <c r="AT27" s="2947"/>
      <c r="AU27" s="2865">
        <f t="shared" si="151"/>
        <v>267.56799999999998</v>
      </c>
      <c r="AV27" s="2947">
        <v>267.56799999999998</v>
      </c>
      <c r="AW27" s="2947"/>
      <c r="AX27" s="2865">
        <f t="shared" si="152"/>
        <v>229.67599999999999</v>
      </c>
      <c r="AY27" s="2947">
        <v>229.67599999999999</v>
      </c>
      <c r="AZ27" s="2947"/>
      <c r="BA27" s="2865">
        <f t="shared" si="166"/>
        <v>741.43399999999997</v>
      </c>
      <c r="BB27" s="2865">
        <f t="shared" si="167"/>
        <v>741.43399999999997</v>
      </c>
      <c r="BC27" s="2865">
        <f t="shared" si="167"/>
        <v>0</v>
      </c>
      <c r="BD27" s="2846">
        <f t="shared" si="168"/>
        <v>2351.1661961809696</v>
      </c>
      <c r="BE27" s="2846">
        <f t="shared" si="154"/>
        <v>2351.1661961809696</v>
      </c>
      <c r="BF27" s="2846">
        <f t="shared" si="154"/>
        <v>0</v>
      </c>
      <c r="BG27" s="2867">
        <f t="shared" si="125"/>
        <v>2148.5190000000002</v>
      </c>
      <c r="BH27" s="2867">
        <f t="shared" si="125"/>
        <v>2148.5190000000002</v>
      </c>
      <c r="BI27" s="2867">
        <f t="shared" si="125"/>
        <v>0</v>
      </c>
      <c r="BJ27" s="2867">
        <f t="shared" si="126"/>
        <v>-202.64719618096933</v>
      </c>
      <c r="BK27" s="2867">
        <f t="shared" si="126"/>
        <v>-202.64719618096933</v>
      </c>
      <c r="BL27" s="2867">
        <f t="shared" si="126"/>
        <v>0</v>
      </c>
      <c r="BM27" s="2845">
        <f t="shared" si="177"/>
        <v>783.72206539365652</v>
      </c>
      <c r="BN27" s="2845">
        <f t="shared" si="156"/>
        <v>783.72206539365652</v>
      </c>
      <c r="BO27" s="2845">
        <f t="shared" si="178"/>
        <v>0</v>
      </c>
      <c r="BP27" s="2865">
        <f t="shared" si="169"/>
        <v>238.19</v>
      </c>
      <c r="BQ27" s="2947">
        <v>238.19</v>
      </c>
      <c r="BR27" s="2947"/>
      <c r="BS27" s="2865">
        <f t="shared" si="170"/>
        <v>273.36500000000001</v>
      </c>
      <c r="BT27" s="2947">
        <v>273.36500000000001</v>
      </c>
      <c r="BU27" s="2947"/>
      <c r="BV27" s="2865">
        <f t="shared" si="171"/>
        <v>303.88099999999997</v>
      </c>
      <c r="BW27" s="2947">
        <v>303.88099999999997</v>
      </c>
      <c r="BX27" s="2947"/>
      <c r="BY27" s="2865">
        <f t="shared" si="172"/>
        <v>815.43599999999992</v>
      </c>
      <c r="BZ27" s="2865">
        <f t="shared" si="173"/>
        <v>815.43599999999992</v>
      </c>
      <c r="CA27" s="2865">
        <f t="shared" si="173"/>
        <v>0</v>
      </c>
      <c r="CB27" s="2846">
        <f t="shared" si="157"/>
        <v>3134.8882615746261</v>
      </c>
      <c r="CC27" s="2982">
        <f>SUM(стоки!DA14)</f>
        <v>3134.8882615746261</v>
      </c>
      <c r="CD27" s="2982">
        <f>SUM(стоки!DB14)</f>
        <v>0</v>
      </c>
      <c r="CE27" s="2867">
        <f t="shared" si="133"/>
        <v>2963.9549999999999</v>
      </c>
      <c r="CF27" s="2982">
        <f t="shared" si="134"/>
        <v>2963.9549999999999</v>
      </c>
      <c r="CG27" s="2982">
        <f t="shared" si="134"/>
        <v>0</v>
      </c>
      <c r="CH27" s="2867">
        <f t="shared" si="135"/>
        <v>-170.93326157462616</v>
      </c>
      <c r="CI27" s="2867">
        <f t="shared" si="135"/>
        <v>-170.93326157462616</v>
      </c>
      <c r="CJ27" s="2867">
        <f t="shared" si="135"/>
        <v>0</v>
      </c>
      <c r="CK27" s="2863"/>
      <c r="CL27" s="4188">
        <f t="shared" si="136"/>
        <v>3134.8882615746261</v>
      </c>
      <c r="CM27" s="2863"/>
    </row>
    <row r="28" spans="1:91" ht="18.75" customHeight="1" x14ac:dyDescent="0.3">
      <c r="A28" s="2882" t="s">
        <v>310</v>
      </c>
      <c r="B28" s="2877">
        <f t="shared" ref="B28:D28" si="179">SUM(B27/B26)</f>
        <v>0.2995311021621469</v>
      </c>
      <c r="C28" s="2877">
        <f t="shared" si="179"/>
        <v>0.2995311021621469</v>
      </c>
      <c r="D28" s="2877" t="e">
        <f t="shared" si="179"/>
        <v>#DIV/0!</v>
      </c>
      <c r="E28" s="2877">
        <f>SUM(E27/E26)</f>
        <v>0.30197074695969811</v>
      </c>
      <c r="F28" s="2877">
        <f t="shared" ref="F28:S28" si="180">SUM(F27/F26)</f>
        <v>0.30197074695969811</v>
      </c>
      <c r="G28" s="2877" t="e">
        <f t="shared" si="180"/>
        <v>#DIV/0!</v>
      </c>
      <c r="H28" s="2877">
        <f t="shared" si="180"/>
        <v>0.30073850799356322</v>
      </c>
      <c r="I28" s="2877">
        <f t="shared" si="180"/>
        <v>0.30073850799356322</v>
      </c>
      <c r="J28" s="2877" t="e">
        <f t="shared" si="180"/>
        <v>#DIV/0!</v>
      </c>
      <c r="K28" s="2877">
        <f t="shared" si="180"/>
        <v>0.29763779527559059</v>
      </c>
      <c r="L28" s="2877">
        <f t="shared" si="180"/>
        <v>0.29763779527559059</v>
      </c>
      <c r="M28" s="2877" t="e">
        <f t="shared" si="180"/>
        <v>#DIV/0!</v>
      </c>
      <c r="N28" s="2877">
        <f t="shared" si="180"/>
        <v>0.30003641263462966</v>
      </c>
      <c r="O28" s="2877">
        <f t="shared" si="180"/>
        <v>0.30003641263462966</v>
      </c>
      <c r="P28" s="2877" t="e">
        <f t="shared" si="180"/>
        <v>#DIV/0!</v>
      </c>
      <c r="Q28" s="2877">
        <f t="shared" si="180"/>
        <v>0.2995311021621469</v>
      </c>
      <c r="R28" s="2877">
        <f t="shared" si="180"/>
        <v>0.2995311021621469</v>
      </c>
      <c r="S28" s="2877" t="e">
        <f t="shared" si="180"/>
        <v>#DIV/0!</v>
      </c>
      <c r="T28" s="2877">
        <f>SUM(T27/T26)</f>
        <v>0.30197856662668232</v>
      </c>
      <c r="U28" s="2877">
        <f t="shared" ref="U28:AK28" si="181">SUM(U27/U26)</f>
        <v>0.30197856662668232</v>
      </c>
      <c r="V28" s="2877" t="e">
        <f t="shared" si="181"/>
        <v>#DIV/0!</v>
      </c>
      <c r="W28" s="2877">
        <f t="shared" si="181"/>
        <v>0.30035291862575969</v>
      </c>
      <c r="X28" s="2877">
        <f t="shared" si="181"/>
        <v>0.30035291862575969</v>
      </c>
      <c r="Y28" s="2877" t="e">
        <f t="shared" si="181"/>
        <v>#DIV/0!</v>
      </c>
      <c r="Z28" s="2877">
        <f t="shared" si="181"/>
        <v>0.30094444176745527</v>
      </c>
      <c r="AA28" s="2877">
        <f t="shared" si="181"/>
        <v>0.30094444176745527</v>
      </c>
      <c r="AB28" s="2877" t="e">
        <f t="shared" si="181"/>
        <v>#DIV/0!</v>
      </c>
      <c r="AC28" s="2877">
        <f t="shared" si="181"/>
        <v>0.30104769449209545</v>
      </c>
      <c r="AD28" s="2877">
        <f t="shared" si="181"/>
        <v>0.30104769449209545</v>
      </c>
      <c r="AE28" s="2877" t="e">
        <f t="shared" si="181"/>
        <v>#DIV/0!</v>
      </c>
      <c r="AF28" s="2950">
        <f t="shared" si="181"/>
        <v>0.2995311021621469</v>
      </c>
      <c r="AG28" s="2950">
        <f t="shared" si="181"/>
        <v>0.2995311021621469</v>
      </c>
      <c r="AH28" s="2950" t="e">
        <f t="shared" si="181"/>
        <v>#DIV/0!</v>
      </c>
      <c r="AI28" s="2950">
        <f t="shared" si="181"/>
        <v>0.30058018939466769</v>
      </c>
      <c r="AJ28" s="2950">
        <f t="shared" si="181"/>
        <v>0.30058018939466769</v>
      </c>
      <c r="AK28" s="2950" t="e">
        <f t="shared" si="181"/>
        <v>#DIV/0!</v>
      </c>
      <c r="AL28" s="2870">
        <f t="shared" si="115"/>
        <v>1.0490872325207845E-3</v>
      </c>
      <c r="AM28" s="2870">
        <f t="shared" si="115"/>
        <v>1.0490872325207845E-3</v>
      </c>
      <c r="AN28" s="2870" t="e">
        <f t="shared" si="115"/>
        <v>#DIV/0!</v>
      </c>
      <c r="AO28" s="2877">
        <f t="shared" ref="AO28:AQ28" si="182">SUM(AO27/AO26)</f>
        <v>0.2995311021621469</v>
      </c>
      <c r="AP28" s="2877">
        <f t="shared" si="182"/>
        <v>0.2995311021621469</v>
      </c>
      <c r="AQ28" s="2877" t="e">
        <f t="shared" si="182"/>
        <v>#DIV/0!</v>
      </c>
      <c r="AR28" s="2877">
        <f>SUM(AR27/AR26)</f>
        <v>0.30060443415853161</v>
      </c>
      <c r="AS28" s="2877">
        <f t="shared" ref="AS28:BC28" si="183">SUM(AS27/AS26)</f>
        <v>0.30060443415853161</v>
      </c>
      <c r="AT28" s="2877" t="e">
        <f t="shared" si="183"/>
        <v>#DIV/0!</v>
      </c>
      <c r="AU28" s="2877">
        <f t="shared" si="183"/>
        <v>0.30010913344900952</v>
      </c>
      <c r="AV28" s="2877">
        <f t="shared" si="183"/>
        <v>0.30010913344900952</v>
      </c>
      <c r="AW28" s="2877" t="e">
        <f t="shared" si="183"/>
        <v>#DIV/0!</v>
      </c>
      <c r="AX28" s="2877">
        <f t="shared" si="183"/>
        <v>0.30133930914319901</v>
      </c>
      <c r="AY28" s="2877">
        <f t="shared" si="183"/>
        <v>0.30133930914319901</v>
      </c>
      <c r="AZ28" s="2877" t="e">
        <f t="shared" si="183"/>
        <v>#DIV/0!</v>
      </c>
      <c r="BA28" s="2877">
        <f t="shared" si="183"/>
        <v>0.30065249223160778</v>
      </c>
      <c r="BB28" s="2877">
        <f t="shared" si="183"/>
        <v>0.30065249223160778</v>
      </c>
      <c r="BC28" s="2877" t="e">
        <f t="shared" si="183"/>
        <v>#DIV/0!</v>
      </c>
      <c r="BD28" s="2950">
        <f>SUM(BD27/BD26)</f>
        <v>0.2995311021621469</v>
      </c>
      <c r="BE28" s="2950">
        <f t="shared" ref="BE28:BF28" si="184">SUM(BE27/BE26)</f>
        <v>0.2995311021621469</v>
      </c>
      <c r="BF28" s="2950" t="e">
        <f t="shared" si="184"/>
        <v>#DIV/0!</v>
      </c>
      <c r="BG28" s="2950">
        <f>SUM(BG27/BG26)</f>
        <v>0.30060513650374632</v>
      </c>
      <c r="BH28" s="2950">
        <f t="shared" ref="BH28:BI28" si="185">SUM(BH27/BH26)</f>
        <v>0.30060513650374632</v>
      </c>
      <c r="BI28" s="2950" t="e">
        <f t="shared" si="185"/>
        <v>#DIV/0!</v>
      </c>
      <c r="BJ28" s="2870">
        <f t="shared" si="126"/>
        <v>1.0740343415994169E-3</v>
      </c>
      <c r="BK28" s="2870">
        <f t="shared" si="126"/>
        <v>1.0740343415994169E-3</v>
      </c>
      <c r="BL28" s="2870" t="e">
        <f t="shared" si="126"/>
        <v>#DIV/0!</v>
      </c>
      <c r="BM28" s="2877">
        <f t="shared" ref="BM28:BO28" si="186">SUM(BM27/BM26)</f>
        <v>0.2995311021621469</v>
      </c>
      <c r="BN28" s="2877">
        <f t="shared" si="186"/>
        <v>0.2995311021621469</v>
      </c>
      <c r="BO28" s="2877" t="e">
        <f t="shared" si="186"/>
        <v>#DIV/0!</v>
      </c>
      <c r="BP28" s="2877">
        <f>SUM(BP27/BP26)</f>
        <v>0.29852261447607209</v>
      </c>
      <c r="BQ28" s="2877">
        <f t="shared" ref="BQ28:CG28" si="187">SUM(BQ27/BQ26)</f>
        <v>0.29852261447607209</v>
      </c>
      <c r="BR28" s="2877" t="e">
        <f t="shared" si="187"/>
        <v>#DIV/0!</v>
      </c>
      <c r="BS28" s="2877">
        <f t="shared" si="187"/>
        <v>0.30096930248535148</v>
      </c>
      <c r="BT28" s="2877">
        <f t="shared" si="187"/>
        <v>0.30096930248535148</v>
      </c>
      <c r="BU28" s="2877" t="e">
        <f t="shared" si="187"/>
        <v>#DIV/0!</v>
      </c>
      <c r="BV28" s="2877">
        <f t="shared" si="187"/>
        <v>0.30105141772480454</v>
      </c>
      <c r="BW28" s="2877">
        <f t="shared" si="187"/>
        <v>0.30105141772480454</v>
      </c>
      <c r="BX28" s="2877" t="e">
        <f t="shared" si="187"/>
        <v>#DIV/0!</v>
      </c>
      <c r="BY28" s="2877">
        <f t="shared" si="187"/>
        <v>0.30028093477003232</v>
      </c>
      <c r="BZ28" s="2877">
        <f t="shared" si="187"/>
        <v>0.30028093477003232</v>
      </c>
      <c r="CA28" s="2877" t="e">
        <f t="shared" si="187"/>
        <v>#DIV/0!</v>
      </c>
      <c r="CB28" s="2950">
        <f t="shared" si="187"/>
        <v>0.2995311021621469</v>
      </c>
      <c r="CC28" s="2950">
        <f t="shared" si="187"/>
        <v>0.2995311021621469</v>
      </c>
      <c r="CD28" s="2950" t="e">
        <f t="shared" si="187"/>
        <v>#DIV/0!</v>
      </c>
      <c r="CE28" s="2950">
        <f t="shared" si="187"/>
        <v>0.30051587313657557</v>
      </c>
      <c r="CF28" s="3002">
        <f t="shared" si="187"/>
        <v>0.30051587313657557</v>
      </c>
      <c r="CG28" s="3002" t="e">
        <f t="shared" si="187"/>
        <v>#DIV/0!</v>
      </c>
      <c r="CH28" s="2870">
        <f t="shared" si="135"/>
        <v>9.8477097442867256E-4</v>
      </c>
      <c r="CI28" s="2870">
        <f t="shared" si="135"/>
        <v>9.8477097442867256E-4</v>
      </c>
      <c r="CJ28" s="2870" t="e">
        <f t="shared" si="135"/>
        <v>#DIV/0!</v>
      </c>
      <c r="CK28" s="2863"/>
      <c r="CL28" s="4188">
        <f t="shared" si="136"/>
        <v>1.1981244086485876</v>
      </c>
      <c r="CM28" s="2863"/>
    </row>
    <row r="29" spans="1:91" ht="18.75" customHeight="1" x14ac:dyDescent="0.3">
      <c r="A29" s="2965" t="s">
        <v>3731</v>
      </c>
      <c r="B29" s="2837">
        <f t="shared" si="174"/>
        <v>133.69451264147</v>
      </c>
      <c r="C29" s="2959">
        <f t="shared" ref="C29:D29" si="188">SUM(C30:C35)+C38</f>
        <v>133.69451264147</v>
      </c>
      <c r="D29" s="2959">
        <f t="shared" si="188"/>
        <v>0</v>
      </c>
      <c r="E29" s="2861">
        <f t="shared" si="138"/>
        <v>30.898999999999997</v>
      </c>
      <c r="F29" s="2861">
        <f t="shared" ref="F29:G29" si="189">SUM(F30:F35)+F38</f>
        <v>30.898999999999997</v>
      </c>
      <c r="G29" s="2861">
        <f t="shared" si="189"/>
        <v>0</v>
      </c>
      <c r="H29" s="2861">
        <f t="shared" ref="H29:H34" si="190">SUM(I29:J29)</f>
        <v>31.2287</v>
      </c>
      <c r="I29" s="2861">
        <f t="shared" ref="I29:J29" si="191">SUM(I30:I35)+I38</f>
        <v>31.2287</v>
      </c>
      <c r="J29" s="2861">
        <f t="shared" si="191"/>
        <v>0</v>
      </c>
      <c r="K29" s="2861">
        <f t="shared" ref="K29:K34" si="192">SUM(L29:M29)</f>
        <v>71.947400000000002</v>
      </c>
      <c r="L29" s="2861">
        <f t="shared" ref="L29:M29" si="193">SUM(L30:L35)+L38</f>
        <v>71.947400000000002</v>
      </c>
      <c r="M29" s="2861">
        <f t="shared" si="193"/>
        <v>0</v>
      </c>
      <c r="N29" s="2861">
        <f t="shared" ref="N29" si="194">SUM(O29:P29)</f>
        <v>134.07509999999996</v>
      </c>
      <c r="O29" s="2861">
        <f t="shared" ref="O29:P29" si="195">SUM(O30:O35)+O38</f>
        <v>134.07509999999996</v>
      </c>
      <c r="P29" s="2861">
        <f t="shared" si="195"/>
        <v>0</v>
      </c>
      <c r="Q29" s="2837">
        <f t="shared" ref="Q29:Q34" si="196">SUM(R29:S29)</f>
        <v>133.69451264147</v>
      </c>
      <c r="R29" s="2959">
        <f t="shared" ref="R29:S29" si="197">SUM(R30:R35)+R38</f>
        <v>133.69451264147</v>
      </c>
      <c r="S29" s="2959">
        <f t="shared" si="197"/>
        <v>0</v>
      </c>
      <c r="T29" s="2861">
        <f t="shared" ref="T29:T34" si="198">SUM(U29:V29)</f>
        <v>47.844000000000001</v>
      </c>
      <c r="U29" s="2861">
        <f t="shared" ref="U29:V29" si="199">SUM(U30:U35)+U38</f>
        <v>47.844000000000001</v>
      </c>
      <c r="V29" s="2861">
        <f t="shared" si="199"/>
        <v>0</v>
      </c>
      <c r="W29" s="2861">
        <f t="shared" ref="W29:W34" si="200">SUM(X29:Y29)</f>
        <v>44.24</v>
      </c>
      <c r="X29" s="2861">
        <f t="shared" ref="X29:Y29" si="201">SUM(X30:X35)+X38</f>
        <v>44.24</v>
      </c>
      <c r="Y29" s="2861">
        <f t="shared" si="201"/>
        <v>0</v>
      </c>
      <c r="Z29" s="2861">
        <f t="shared" ref="Z29:Z34" si="202">SUM(AA29:AB29)</f>
        <v>27.541</v>
      </c>
      <c r="AA29" s="2861">
        <f t="shared" ref="AA29:AB29" si="203">SUM(AA30:AA35)+AA38</f>
        <v>27.541</v>
      </c>
      <c r="AB29" s="2861">
        <f t="shared" si="203"/>
        <v>0</v>
      </c>
      <c r="AC29" s="2861">
        <f t="shared" ref="AC29" si="204">SUM(AD29:AE29)</f>
        <v>119.625</v>
      </c>
      <c r="AD29" s="2861">
        <f t="shared" ref="AD29:AE29" si="205">SUM(AD30:AD35)+AD38</f>
        <v>119.625</v>
      </c>
      <c r="AE29" s="2861">
        <f t="shared" si="205"/>
        <v>0</v>
      </c>
      <c r="AF29" s="2839">
        <f t="shared" ref="AF29:AF92" si="206">SUM(AG29:AH29)</f>
        <v>267.38902528294</v>
      </c>
      <c r="AG29" s="2839">
        <f t="shared" ref="AG29:AG92" si="207">SUM(C29+R29)</f>
        <v>267.38902528294</v>
      </c>
      <c r="AH29" s="2839">
        <f t="shared" ref="AH29:AH92" si="208">SUM(D29+S29)</f>
        <v>0</v>
      </c>
      <c r="AI29" s="2862">
        <f t="shared" ref="AI29:AK44" si="209">SUM(AC29+N29)</f>
        <v>253.70009999999996</v>
      </c>
      <c r="AJ29" s="2862">
        <f t="shared" si="209"/>
        <v>253.70009999999996</v>
      </c>
      <c r="AK29" s="2862">
        <f t="shared" si="209"/>
        <v>0</v>
      </c>
      <c r="AL29" s="2862">
        <f t="shared" si="115"/>
        <v>-13.688925282940033</v>
      </c>
      <c r="AM29" s="2862">
        <f t="shared" si="115"/>
        <v>-13.688925282940033</v>
      </c>
      <c r="AN29" s="2862">
        <f t="shared" si="115"/>
        <v>0</v>
      </c>
      <c r="AO29" s="2837">
        <f t="shared" ref="AO29" si="210">SUM(AP29:AQ29)</f>
        <v>133.69451264147</v>
      </c>
      <c r="AP29" s="2959">
        <f t="shared" ref="AP29" si="211">SUM(AP30:AP35)+AP38</f>
        <v>133.69451264147</v>
      </c>
      <c r="AQ29" s="2959">
        <f t="shared" ref="AQ29" si="212">SUM(AQ30:AQ35)+AQ38</f>
        <v>0</v>
      </c>
      <c r="AR29" s="2861">
        <f t="shared" ref="AR29:AR34" si="213">SUM(AS29:AT29)</f>
        <v>98.31</v>
      </c>
      <c r="AS29" s="2861">
        <f t="shared" ref="AS29:AT29" si="214">SUM(AS30:AS35)+AS38</f>
        <v>98.31</v>
      </c>
      <c r="AT29" s="2861">
        <f t="shared" si="214"/>
        <v>0</v>
      </c>
      <c r="AU29" s="2861">
        <f t="shared" ref="AU29:AU34" si="215">SUM(AV29:AW29)</f>
        <v>53.037000000000006</v>
      </c>
      <c r="AV29" s="2861">
        <f t="shared" ref="AV29:AW29" si="216">SUM(AV30:AV35)+AV38</f>
        <v>53.037000000000006</v>
      </c>
      <c r="AW29" s="2861">
        <f t="shared" si="216"/>
        <v>0</v>
      </c>
      <c r="AX29" s="2861">
        <f t="shared" ref="AX29:AX34" si="217">SUM(AY29:AZ29)</f>
        <v>65.304999999999993</v>
      </c>
      <c r="AY29" s="2861">
        <f t="shared" ref="AY29:AZ29" si="218">SUM(AY30:AY35)+AY38</f>
        <v>65.304999999999993</v>
      </c>
      <c r="AZ29" s="2861">
        <f t="shared" si="218"/>
        <v>0</v>
      </c>
      <c r="BA29" s="2861">
        <f t="shared" ref="BA29" si="219">SUM(BB29:BC29)</f>
        <v>216.65200000000002</v>
      </c>
      <c r="BB29" s="2861">
        <f t="shared" ref="BB29:BC29" si="220">SUM(BB30:BB35)+BB38</f>
        <v>216.65200000000002</v>
      </c>
      <c r="BC29" s="2861">
        <f t="shared" si="220"/>
        <v>0</v>
      </c>
      <c r="BD29" s="2839">
        <f t="shared" ref="BD29:BD92" si="221">SUM(BE29:BF29)</f>
        <v>401.08353792441</v>
      </c>
      <c r="BE29" s="2839">
        <f t="shared" ref="BE29:BE92" si="222">SUM(AG29+AP29)</f>
        <v>401.08353792441</v>
      </c>
      <c r="BF29" s="2839">
        <f t="shared" ref="BF29:BF92" si="223">SUM(AH29+AQ29)</f>
        <v>0</v>
      </c>
      <c r="BG29" s="2862">
        <f t="shared" ref="BG29:BI44" si="224">SUM(AI29+BA29)</f>
        <v>470.35209999999995</v>
      </c>
      <c r="BH29" s="2862">
        <f t="shared" si="224"/>
        <v>470.35209999999995</v>
      </c>
      <c r="BI29" s="2862">
        <f t="shared" si="224"/>
        <v>0</v>
      </c>
      <c r="BJ29" s="2862">
        <f t="shared" si="126"/>
        <v>69.268562075589955</v>
      </c>
      <c r="BK29" s="2862">
        <f t="shared" si="126"/>
        <v>69.268562075589955</v>
      </c>
      <c r="BL29" s="2862">
        <f t="shared" si="126"/>
        <v>0</v>
      </c>
      <c r="BM29" s="2837">
        <f t="shared" ref="BM29" si="225">SUM(BN29:BO29)</f>
        <v>133.69451264147</v>
      </c>
      <c r="BN29" s="2959">
        <f t="shared" ref="BN29" si="226">SUM(BN30:BN35)+BN38</f>
        <v>133.69451264147</v>
      </c>
      <c r="BO29" s="2959">
        <f t="shared" ref="BO29" si="227">SUM(BO30:BO35)+BO38</f>
        <v>0</v>
      </c>
      <c r="BP29" s="2861">
        <f t="shared" ref="BP29:BP34" si="228">SUM(BQ29:BR29)</f>
        <v>34.650669999999998</v>
      </c>
      <c r="BQ29" s="2861">
        <f t="shared" ref="BQ29:BR29" si="229">SUM(BQ30:BQ35)+BQ38</f>
        <v>34.650669999999998</v>
      </c>
      <c r="BR29" s="2861">
        <f t="shared" si="229"/>
        <v>0</v>
      </c>
      <c r="BS29" s="2861">
        <f t="shared" ref="BS29:BS34" si="230">SUM(BT29:BU29)</f>
        <v>41.039000000000001</v>
      </c>
      <c r="BT29" s="2861">
        <f t="shared" ref="BT29:BU29" si="231">SUM(BT30:BT35)+BT38</f>
        <v>41.039000000000001</v>
      </c>
      <c r="BU29" s="2861">
        <f t="shared" si="231"/>
        <v>0</v>
      </c>
      <c r="BV29" s="2861">
        <f t="shared" ref="BV29:BV34" si="232">SUM(BW29:BX29)</f>
        <v>43.932099999999991</v>
      </c>
      <c r="BW29" s="2861">
        <f t="shared" ref="BW29:BX29" si="233">SUM(BW30:BW35)+BW38</f>
        <v>43.932099999999991</v>
      </c>
      <c r="BX29" s="2861">
        <f t="shared" si="233"/>
        <v>0</v>
      </c>
      <c r="BY29" s="2861">
        <f t="shared" ref="BY29" si="234">SUM(BZ29:CA29)</f>
        <v>119.62177</v>
      </c>
      <c r="BZ29" s="2861">
        <f t="shared" ref="BZ29:CA29" si="235">SUM(BZ30:BZ35)+BZ38</f>
        <v>119.62177</v>
      </c>
      <c r="CA29" s="2861">
        <f t="shared" si="235"/>
        <v>0</v>
      </c>
      <c r="CB29" s="2839">
        <f t="shared" si="157"/>
        <v>534.77813219361724</v>
      </c>
      <c r="CC29" s="2981">
        <f>SUM(стоки!DA16+стоки!DA49)</f>
        <v>534.77813219361724</v>
      </c>
      <c r="CD29" s="2981">
        <f>SUM(стоки!CM16)</f>
        <v>0</v>
      </c>
      <c r="CE29" s="2862">
        <f t="shared" ref="CE29:CE47" si="236">SUM(BY29+BG29)</f>
        <v>589.97386999999992</v>
      </c>
      <c r="CF29" s="2981">
        <f t="shared" ref="CF29:CG44" si="237">SUM(BZ29+BH29)</f>
        <v>589.97386999999992</v>
      </c>
      <c r="CG29" s="2981">
        <f t="shared" si="237"/>
        <v>0</v>
      </c>
      <c r="CH29" s="2862">
        <f t="shared" si="135"/>
        <v>55.195737806382681</v>
      </c>
      <c r="CI29" s="2862">
        <f t="shared" si="135"/>
        <v>55.195737806382681</v>
      </c>
      <c r="CJ29" s="2862">
        <f t="shared" si="135"/>
        <v>0</v>
      </c>
      <c r="CK29" s="2988"/>
      <c r="CL29" s="4188">
        <f t="shared" si="136"/>
        <v>534.77805056587999</v>
      </c>
      <c r="CM29" s="2988"/>
    </row>
    <row r="30" spans="1:91" ht="18.75" customHeight="1" x14ac:dyDescent="0.3">
      <c r="A30" s="2989" t="s">
        <v>71</v>
      </c>
      <c r="B30" s="2845">
        <f t="shared" ref="B30:B34" si="238">SUM(C30:D30)</f>
        <v>0</v>
      </c>
      <c r="C30" s="2845">
        <f t="shared" ref="C30:D34" si="239">SUM(CC30/4)</f>
        <v>0</v>
      </c>
      <c r="D30" s="2845">
        <f t="shared" si="239"/>
        <v>0</v>
      </c>
      <c r="E30" s="2865">
        <f t="shared" si="138"/>
        <v>0</v>
      </c>
      <c r="F30" s="2947"/>
      <c r="G30" s="2947"/>
      <c r="H30" s="2865">
        <f t="shared" si="190"/>
        <v>0</v>
      </c>
      <c r="I30" s="2947"/>
      <c r="J30" s="2947"/>
      <c r="K30" s="2865">
        <f t="shared" si="192"/>
        <v>0</v>
      </c>
      <c r="L30" s="2947"/>
      <c r="M30" s="2947"/>
      <c r="N30" s="2865">
        <f t="shared" ref="N30:N47" si="240">SUM(O30:P30)</f>
        <v>0</v>
      </c>
      <c r="O30" s="2865">
        <f t="shared" ref="O30:P39" si="241">SUM(F30+I30+L30)</f>
        <v>0</v>
      </c>
      <c r="P30" s="2865">
        <f t="shared" si="241"/>
        <v>0</v>
      </c>
      <c r="Q30" s="2845">
        <f t="shared" si="196"/>
        <v>0</v>
      </c>
      <c r="R30" s="2845">
        <f t="shared" ref="R30:S34" si="242">SUM(C30)</f>
        <v>0</v>
      </c>
      <c r="S30" s="2845">
        <f t="shared" si="242"/>
        <v>0</v>
      </c>
      <c r="T30" s="2865">
        <f t="shared" si="198"/>
        <v>0</v>
      </c>
      <c r="U30" s="2947"/>
      <c r="V30" s="2947"/>
      <c r="W30" s="2865">
        <f t="shared" si="200"/>
        <v>0</v>
      </c>
      <c r="X30" s="2947"/>
      <c r="Y30" s="2947"/>
      <c r="Z30" s="2865">
        <f t="shared" si="202"/>
        <v>0</v>
      </c>
      <c r="AA30" s="2947"/>
      <c r="AB30" s="2947"/>
      <c r="AC30" s="2865">
        <f t="shared" si="163"/>
        <v>0</v>
      </c>
      <c r="AD30" s="2865">
        <f t="shared" ref="AD30:AE39" si="243">SUM(U30+X30+AA30)</f>
        <v>0</v>
      </c>
      <c r="AE30" s="2865">
        <f t="shared" si="243"/>
        <v>0</v>
      </c>
      <c r="AF30" s="2846">
        <f t="shared" si="206"/>
        <v>0</v>
      </c>
      <c r="AG30" s="2846">
        <f t="shared" si="207"/>
        <v>0</v>
      </c>
      <c r="AH30" s="2846">
        <f t="shared" si="208"/>
        <v>0</v>
      </c>
      <c r="AI30" s="2867">
        <f t="shared" si="209"/>
        <v>0</v>
      </c>
      <c r="AJ30" s="2867">
        <f t="shared" si="209"/>
        <v>0</v>
      </c>
      <c r="AK30" s="2867">
        <f t="shared" si="209"/>
        <v>0</v>
      </c>
      <c r="AL30" s="2867">
        <f t="shared" si="115"/>
        <v>0</v>
      </c>
      <c r="AM30" s="2867">
        <f t="shared" si="115"/>
        <v>0</v>
      </c>
      <c r="AN30" s="2867">
        <f t="shared" si="115"/>
        <v>0</v>
      </c>
      <c r="AO30" s="2845">
        <f t="shared" ref="AO30:AO34" si="244">SUM(AP30:AQ30)</f>
        <v>0</v>
      </c>
      <c r="AP30" s="2845">
        <f t="shared" ref="AP30:AP34" si="245">SUM(CC30-AG30)/2</f>
        <v>0</v>
      </c>
      <c r="AQ30" s="2845">
        <f t="shared" ref="AQ30:AQ34" si="246">SUM(CD30-AH30)/2</f>
        <v>0</v>
      </c>
      <c r="AR30" s="2865">
        <f t="shared" si="213"/>
        <v>0</v>
      </c>
      <c r="AS30" s="2947"/>
      <c r="AT30" s="2947"/>
      <c r="AU30" s="2865">
        <f t="shared" si="215"/>
        <v>0</v>
      </c>
      <c r="AV30" s="2947"/>
      <c r="AW30" s="2947"/>
      <c r="AX30" s="2865">
        <f t="shared" si="217"/>
        <v>0</v>
      </c>
      <c r="AY30" s="2947"/>
      <c r="AZ30" s="2947"/>
      <c r="BA30" s="2865">
        <f t="shared" ref="BA30:BA39" si="247">SUM(BB30:BC30)</f>
        <v>0</v>
      </c>
      <c r="BB30" s="2865">
        <f t="shared" ref="BB30:BC39" si="248">SUM(AS30+AV30+AY30)</f>
        <v>0</v>
      </c>
      <c r="BC30" s="2865">
        <f t="shared" si="248"/>
        <v>0</v>
      </c>
      <c r="BD30" s="2846">
        <f t="shared" si="221"/>
        <v>0</v>
      </c>
      <c r="BE30" s="2846">
        <f t="shared" si="222"/>
        <v>0</v>
      </c>
      <c r="BF30" s="2846">
        <f t="shared" si="223"/>
        <v>0</v>
      </c>
      <c r="BG30" s="2867">
        <f t="shared" si="224"/>
        <v>0</v>
      </c>
      <c r="BH30" s="2867">
        <f t="shared" si="224"/>
        <v>0</v>
      </c>
      <c r="BI30" s="2867">
        <f t="shared" si="224"/>
        <v>0</v>
      </c>
      <c r="BJ30" s="2867">
        <f t="shared" si="126"/>
        <v>0</v>
      </c>
      <c r="BK30" s="2867">
        <f t="shared" si="126"/>
        <v>0</v>
      </c>
      <c r="BL30" s="2867">
        <f t="shared" si="126"/>
        <v>0</v>
      </c>
      <c r="BM30" s="2845">
        <f t="shared" ref="BM30:BM34" si="249">SUM(BN30:BO30)</f>
        <v>0</v>
      </c>
      <c r="BN30" s="2845">
        <f t="shared" ref="BN30:BN34" si="250">SUM(AP30)</f>
        <v>0</v>
      </c>
      <c r="BO30" s="2845">
        <f t="shared" ref="BO30:BO34" si="251">SUM(AQ30)</f>
        <v>0</v>
      </c>
      <c r="BP30" s="2865">
        <f t="shared" si="228"/>
        <v>0</v>
      </c>
      <c r="BQ30" s="2947"/>
      <c r="BR30" s="2947"/>
      <c r="BS30" s="2865">
        <f t="shared" si="230"/>
        <v>0</v>
      </c>
      <c r="BT30" s="2947"/>
      <c r="BU30" s="2947"/>
      <c r="BV30" s="2865">
        <f t="shared" si="232"/>
        <v>0</v>
      </c>
      <c r="BW30" s="2947"/>
      <c r="BX30" s="2947"/>
      <c r="BY30" s="2865">
        <f t="shared" ref="BY30:BY47" si="252">SUM(BZ30:CA30)</f>
        <v>0</v>
      </c>
      <c r="BZ30" s="2865">
        <f t="shared" ref="BZ30:CA39" si="253">SUM(BQ30+BT30+BW30)</f>
        <v>0</v>
      </c>
      <c r="CA30" s="2865">
        <f t="shared" si="253"/>
        <v>0</v>
      </c>
      <c r="CB30" s="2846">
        <f t="shared" si="157"/>
        <v>0</v>
      </c>
      <c r="CC30" s="2982">
        <v>0</v>
      </c>
      <c r="CD30" s="2982">
        <v>0</v>
      </c>
      <c r="CE30" s="2867">
        <f t="shared" si="236"/>
        <v>0</v>
      </c>
      <c r="CF30" s="2982">
        <f t="shared" si="237"/>
        <v>0</v>
      </c>
      <c r="CG30" s="2982">
        <f t="shared" si="237"/>
        <v>0</v>
      </c>
      <c r="CH30" s="2867">
        <f t="shared" si="135"/>
        <v>0</v>
      </c>
      <c r="CI30" s="2867">
        <f t="shared" si="135"/>
        <v>0</v>
      </c>
      <c r="CJ30" s="2867">
        <f t="shared" si="135"/>
        <v>0</v>
      </c>
      <c r="CK30" s="2863"/>
      <c r="CL30" s="4188">
        <f t="shared" si="136"/>
        <v>0</v>
      </c>
      <c r="CM30" s="2987">
        <f>SUM(CC32:CC39)-CC35-CC38</f>
        <v>534.77805056587999</v>
      </c>
    </row>
    <row r="31" spans="1:91" ht="18.75" customHeight="1" x14ac:dyDescent="0.3">
      <c r="A31" s="2989" t="s">
        <v>114</v>
      </c>
      <c r="B31" s="2845">
        <f t="shared" si="238"/>
        <v>0</v>
      </c>
      <c r="C31" s="2845">
        <f t="shared" si="239"/>
        <v>0</v>
      </c>
      <c r="D31" s="2845">
        <f t="shared" si="239"/>
        <v>0</v>
      </c>
      <c r="E31" s="2865">
        <f t="shared" si="138"/>
        <v>0</v>
      </c>
      <c r="F31" s="2947"/>
      <c r="G31" s="2947"/>
      <c r="H31" s="2865">
        <f t="shared" si="190"/>
        <v>0</v>
      </c>
      <c r="I31" s="2947"/>
      <c r="J31" s="2947"/>
      <c r="K31" s="2865">
        <f t="shared" si="192"/>
        <v>0</v>
      </c>
      <c r="L31" s="2947"/>
      <c r="M31" s="2947"/>
      <c r="N31" s="2865">
        <f t="shared" si="240"/>
        <v>0</v>
      </c>
      <c r="O31" s="2865">
        <f t="shared" si="241"/>
        <v>0</v>
      </c>
      <c r="P31" s="2865">
        <f t="shared" si="241"/>
        <v>0</v>
      </c>
      <c r="Q31" s="2845">
        <f t="shared" si="196"/>
        <v>0</v>
      </c>
      <c r="R31" s="2845">
        <f t="shared" si="242"/>
        <v>0</v>
      </c>
      <c r="S31" s="2845">
        <f t="shared" si="242"/>
        <v>0</v>
      </c>
      <c r="T31" s="2865">
        <f t="shared" si="198"/>
        <v>0</v>
      </c>
      <c r="U31" s="2947"/>
      <c r="V31" s="2947"/>
      <c r="W31" s="2865">
        <f t="shared" si="200"/>
        <v>0</v>
      </c>
      <c r="X31" s="2947"/>
      <c r="Y31" s="2947"/>
      <c r="Z31" s="2865">
        <f t="shared" si="202"/>
        <v>0</v>
      </c>
      <c r="AA31" s="2947"/>
      <c r="AB31" s="2947"/>
      <c r="AC31" s="2865">
        <f t="shared" si="163"/>
        <v>0</v>
      </c>
      <c r="AD31" s="2865">
        <f t="shared" si="243"/>
        <v>0</v>
      </c>
      <c r="AE31" s="2865">
        <f t="shared" si="243"/>
        <v>0</v>
      </c>
      <c r="AF31" s="2846">
        <f t="shared" si="206"/>
        <v>0</v>
      </c>
      <c r="AG31" s="2846">
        <f t="shared" si="207"/>
        <v>0</v>
      </c>
      <c r="AH31" s="2846">
        <f t="shared" si="208"/>
        <v>0</v>
      </c>
      <c r="AI31" s="2867">
        <f t="shared" si="209"/>
        <v>0</v>
      </c>
      <c r="AJ31" s="2867">
        <f t="shared" si="209"/>
        <v>0</v>
      </c>
      <c r="AK31" s="2867">
        <f t="shared" si="209"/>
        <v>0</v>
      </c>
      <c r="AL31" s="2867">
        <f t="shared" si="115"/>
        <v>0</v>
      </c>
      <c r="AM31" s="2867">
        <f t="shared" si="115"/>
        <v>0</v>
      </c>
      <c r="AN31" s="2867">
        <f t="shared" si="115"/>
        <v>0</v>
      </c>
      <c r="AO31" s="2845">
        <f t="shared" si="244"/>
        <v>0</v>
      </c>
      <c r="AP31" s="2845">
        <f t="shared" si="245"/>
        <v>0</v>
      </c>
      <c r="AQ31" s="2845">
        <f t="shared" si="246"/>
        <v>0</v>
      </c>
      <c r="AR31" s="2865">
        <f t="shared" si="213"/>
        <v>0</v>
      </c>
      <c r="AS31" s="2947"/>
      <c r="AT31" s="2947"/>
      <c r="AU31" s="2865">
        <f t="shared" si="215"/>
        <v>0</v>
      </c>
      <c r="AV31" s="2947"/>
      <c r="AW31" s="2947"/>
      <c r="AX31" s="2865">
        <f t="shared" si="217"/>
        <v>0</v>
      </c>
      <c r="AY31" s="2947"/>
      <c r="AZ31" s="2947"/>
      <c r="BA31" s="2865">
        <f t="shared" si="247"/>
        <v>0</v>
      </c>
      <c r="BB31" s="2865">
        <f t="shared" si="248"/>
        <v>0</v>
      </c>
      <c r="BC31" s="2865">
        <f t="shared" si="248"/>
        <v>0</v>
      </c>
      <c r="BD31" s="2846">
        <f t="shared" si="221"/>
        <v>0</v>
      </c>
      <c r="BE31" s="2846">
        <f t="shared" si="222"/>
        <v>0</v>
      </c>
      <c r="BF31" s="2846">
        <f t="shared" si="223"/>
        <v>0</v>
      </c>
      <c r="BG31" s="2867">
        <f t="shared" si="224"/>
        <v>0</v>
      </c>
      <c r="BH31" s="2867">
        <f t="shared" si="224"/>
        <v>0</v>
      </c>
      <c r="BI31" s="2867">
        <f t="shared" si="224"/>
        <v>0</v>
      </c>
      <c r="BJ31" s="2867">
        <f t="shared" si="126"/>
        <v>0</v>
      </c>
      <c r="BK31" s="2867">
        <f t="shared" si="126"/>
        <v>0</v>
      </c>
      <c r="BL31" s="2867">
        <f t="shared" si="126"/>
        <v>0</v>
      </c>
      <c r="BM31" s="2845">
        <f t="shared" si="249"/>
        <v>0</v>
      </c>
      <c r="BN31" s="2845">
        <f t="shared" si="250"/>
        <v>0</v>
      </c>
      <c r="BO31" s="2845">
        <f t="shared" si="251"/>
        <v>0</v>
      </c>
      <c r="BP31" s="2865">
        <f t="shared" si="228"/>
        <v>0</v>
      </c>
      <c r="BQ31" s="2947"/>
      <c r="BR31" s="2947"/>
      <c r="BS31" s="2865">
        <f t="shared" si="230"/>
        <v>0</v>
      </c>
      <c r="BT31" s="2947"/>
      <c r="BU31" s="2947"/>
      <c r="BV31" s="2865">
        <f t="shared" si="232"/>
        <v>0</v>
      </c>
      <c r="BW31" s="2947"/>
      <c r="BX31" s="2947"/>
      <c r="BY31" s="2865">
        <f t="shared" si="252"/>
        <v>0</v>
      </c>
      <c r="BZ31" s="2865">
        <f t="shared" si="253"/>
        <v>0</v>
      </c>
      <c r="CA31" s="2865">
        <f t="shared" si="253"/>
        <v>0</v>
      </c>
      <c r="CB31" s="2846">
        <f t="shared" si="157"/>
        <v>0</v>
      </c>
      <c r="CC31" s="2982">
        <v>0</v>
      </c>
      <c r="CD31" s="2982">
        <v>0</v>
      </c>
      <c r="CE31" s="2867">
        <f t="shared" si="236"/>
        <v>0</v>
      </c>
      <c r="CF31" s="2982">
        <f t="shared" si="237"/>
        <v>0</v>
      </c>
      <c r="CG31" s="2982">
        <f t="shared" si="237"/>
        <v>0</v>
      </c>
      <c r="CH31" s="2867">
        <f t="shared" si="135"/>
        <v>0</v>
      </c>
      <c r="CI31" s="2867">
        <f t="shared" si="135"/>
        <v>0</v>
      </c>
      <c r="CJ31" s="2867">
        <f t="shared" si="135"/>
        <v>0</v>
      </c>
      <c r="CK31" s="2863"/>
      <c r="CL31" s="4188">
        <f t="shared" si="136"/>
        <v>0</v>
      </c>
      <c r="CM31" s="2987"/>
    </row>
    <row r="32" spans="1:91" ht="18.75" customHeight="1" x14ac:dyDescent="0.3">
      <c r="A32" s="2989" t="s">
        <v>52</v>
      </c>
      <c r="B32" s="2845">
        <f t="shared" si="238"/>
        <v>17.585208051224999</v>
      </c>
      <c r="C32" s="2845">
        <f t="shared" si="239"/>
        <v>17.585208051224999</v>
      </c>
      <c r="D32" s="2845">
        <f t="shared" si="239"/>
        <v>0</v>
      </c>
      <c r="E32" s="2865">
        <f t="shared" si="138"/>
        <v>6.39</v>
      </c>
      <c r="F32" s="2947">
        <v>6.39</v>
      </c>
      <c r="G32" s="2947"/>
      <c r="H32" s="2865">
        <f t="shared" si="190"/>
        <v>6.335</v>
      </c>
      <c r="I32" s="2947">
        <v>6.335</v>
      </c>
      <c r="J32" s="2947"/>
      <c r="K32" s="2865">
        <f t="shared" si="192"/>
        <v>6.34</v>
      </c>
      <c r="L32" s="2947">
        <v>6.34</v>
      </c>
      <c r="M32" s="2947"/>
      <c r="N32" s="2865">
        <f t="shared" si="240"/>
        <v>19.064999999999998</v>
      </c>
      <c r="O32" s="2865">
        <f t="shared" si="241"/>
        <v>19.064999999999998</v>
      </c>
      <c r="P32" s="2865">
        <f t="shared" si="241"/>
        <v>0</v>
      </c>
      <c r="Q32" s="2845">
        <f t="shared" si="196"/>
        <v>17.585208051224999</v>
      </c>
      <c r="R32" s="2845">
        <f t="shared" si="242"/>
        <v>17.585208051224999</v>
      </c>
      <c r="S32" s="2845">
        <f t="shared" si="242"/>
        <v>0</v>
      </c>
      <c r="T32" s="2865">
        <f t="shared" si="198"/>
        <v>6.34</v>
      </c>
      <c r="U32" s="2947">
        <v>6.34</v>
      </c>
      <c r="V32" s="2947"/>
      <c r="W32" s="2865">
        <f t="shared" si="200"/>
        <v>6.34</v>
      </c>
      <c r="X32" s="2947">
        <v>6.34</v>
      </c>
      <c r="Y32" s="2947"/>
      <c r="Z32" s="2865">
        <f t="shared" si="202"/>
        <v>6.34</v>
      </c>
      <c r="AA32" s="2947">
        <v>6.34</v>
      </c>
      <c r="AB32" s="2947"/>
      <c r="AC32" s="2865">
        <f t="shared" si="163"/>
        <v>19.02</v>
      </c>
      <c r="AD32" s="2865">
        <f t="shared" si="243"/>
        <v>19.02</v>
      </c>
      <c r="AE32" s="2865">
        <f t="shared" si="243"/>
        <v>0</v>
      </c>
      <c r="AF32" s="2846">
        <f t="shared" si="206"/>
        <v>35.170416102449998</v>
      </c>
      <c r="AG32" s="2846">
        <f t="shared" si="207"/>
        <v>35.170416102449998</v>
      </c>
      <c r="AH32" s="2846">
        <f t="shared" si="208"/>
        <v>0</v>
      </c>
      <c r="AI32" s="2867">
        <f t="shared" si="209"/>
        <v>38.084999999999994</v>
      </c>
      <c r="AJ32" s="2867">
        <f t="shared" si="209"/>
        <v>38.084999999999994</v>
      </c>
      <c r="AK32" s="2867">
        <f t="shared" si="209"/>
        <v>0</v>
      </c>
      <c r="AL32" s="2867">
        <f t="shared" si="115"/>
        <v>2.9145838975499956</v>
      </c>
      <c r="AM32" s="2867">
        <f t="shared" si="115"/>
        <v>2.9145838975499956</v>
      </c>
      <c r="AN32" s="2867">
        <f t="shared" si="115"/>
        <v>0</v>
      </c>
      <c r="AO32" s="2845">
        <f t="shared" si="244"/>
        <v>17.585208051224999</v>
      </c>
      <c r="AP32" s="2845">
        <f t="shared" si="245"/>
        <v>17.585208051224999</v>
      </c>
      <c r="AQ32" s="2845">
        <f t="shared" si="246"/>
        <v>0</v>
      </c>
      <c r="AR32" s="2865">
        <f t="shared" si="213"/>
        <v>6.35</v>
      </c>
      <c r="AS32" s="2947">
        <v>6.35</v>
      </c>
      <c r="AT32" s="2947"/>
      <c r="AU32" s="2865">
        <f t="shared" si="215"/>
        <v>6.3479999999999999</v>
      </c>
      <c r="AV32" s="2947">
        <v>6.3479999999999999</v>
      </c>
      <c r="AW32" s="2947"/>
      <c r="AX32" s="2865">
        <f t="shared" si="217"/>
        <v>6.3520000000000003</v>
      </c>
      <c r="AY32" s="2947">
        <v>6.3520000000000003</v>
      </c>
      <c r="AZ32" s="2947"/>
      <c r="BA32" s="2865">
        <f t="shared" si="247"/>
        <v>19.05</v>
      </c>
      <c r="BB32" s="2865">
        <f t="shared" si="248"/>
        <v>19.05</v>
      </c>
      <c r="BC32" s="2865">
        <f t="shared" si="248"/>
        <v>0</v>
      </c>
      <c r="BD32" s="2846">
        <f t="shared" si="221"/>
        <v>52.755624153675001</v>
      </c>
      <c r="BE32" s="2846">
        <f t="shared" si="222"/>
        <v>52.755624153675001</v>
      </c>
      <c r="BF32" s="2846">
        <f t="shared" si="223"/>
        <v>0</v>
      </c>
      <c r="BG32" s="2867">
        <f t="shared" si="224"/>
        <v>57.134999999999991</v>
      </c>
      <c r="BH32" s="2867">
        <f t="shared" si="224"/>
        <v>57.134999999999991</v>
      </c>
      <c r="BI32" s="2867">
        <f t="shared" si="224"/>
        <v>0</v>
      </c>
      <c r="BJ32" s="2867">
        <f t="shared" si="126"/>
        <v>4.3793758463249901</v>
      </c>
      <c r="BK32" s="2867">
        <f t="shared" si="126"/>
        <v>4.3793758463249901</v>
      </c>
      <c r="BL32" s="2867">
        <f t="shared" si="126"/>
        <v>0</v>
      </c>
      <c r="BM32" s="2845">
        <f t="shared" si="249"/>
        <v>17.585208051224999</v>
      </c>
      <c r="BN32" s="2845">
        <f t="shared" si="250"/>
        <v>17.585208051224999</v>
      </c>
      <c r="BO32" s="2845">
        <f t="shared" si="251"/>
        <v>0</v>
      </c>
      <c r="BP32" s="2865">
        <f t="shared" si="228"/>
        <v>6.3609999999999998</v>
      </c>
      <c r="BQ32" s="2947">
        <v>6.3609999999999998</v>
      </c>
      <c r="BR32" s="2947"/>
      <c r="BS32" s="2865">
        <f t="shared" si="230"/>
        <v>6.34</v>
      </c>
      <c r="BT32" s="2947">
        <v>6.34</v>
      </c>
      <c r="BU32" s="2947"/>
      <c r="BV32" s="2865">
        <f t="shared" si="232"/>
        <v>6.4749999999999996</v>
      </c>
      <c r="BW32" s="2947">
        <v>6.4749999999999996</v>
      </c>
      <c r="BX32" s="2947"/>
      <c r="BY32" s="2865">
        <f t="shared" si="252"/>
        <v>19.176000000000002</v>
      </c>
      <c r="BZ32" s="2865">
        <f t="shared" si="253"/>
        <v>19.176000000000002</v>
      </c>
      <c r="CA32" s="2865">
        <f t="shared" si="253"/>
        <v>0</v>
      </c>
      <c r="CB32" s="2846">
        <f t="shared" si="157"/>
        <v>70.340832204899996</v>
      </c>
      <c r="CC32" s="2982">
        <f>46.11*1.52550059</f>
        <v>70.340832204899996</v>
      </c>
      <c r="CD32" s="2982">
        <v>0</v>
      </c>
      <c r="CE32" s="2867">
        <f t="shared" si="236"/>
        <v>76.310999999999993</v>
      </c>
      <c r="CF32" s="2982">
        <f t="shared" si="237"/>
        <v>76.310999999999993</v>
      </c>
      <c r="CG32" s="2982">
        <f t="shared" si="237"/>
        <v>0</v>
      </c>
      <c r="CH32" s="2867">
        <f t="shared" si="135"/>
        <v>5.9701677950999965</v>
      </c>
      <c r="CI32" s="2867">
        <f t="shared" si="135"/>
        <v>5.9701677950999965</v>
      </c>
      <c r="CJ32" s="2867">
        <f t="shared" si="135"/>
        <v>0</v>
      </c>
      <c r="CK32" s="2863"/>
      <c r="CL32" s="4188">
        <f t="shared" si="136"/>
        <v>70.340832204899996</v>
      </c>
      <c r="CM32" s="2987"/>
    </row>
    <row r="33" spans="1:92" ht="18.75" customHeight="1" x14ac:dyDescent="0.3">
      <c r="A33" s="2989" t="s">
        <v>590</v>
      </c>
      <c r="B33" s="2845">
        <f t="shared" si="238"/>
        <v>22.081621040249999</v>
      </c>
      <c r="C33" s="2845">
        <f t="shared" si="239"/>
        <v>22.081621040249999</v>
      </c>
      <c r="D33" s="2845">
        <f t="shared" si="239"/>
        <v>0</v>
      </c>
      <c r="E33" s="2865">
        <f t="shared" si="138"/>
        <v>0.6</v>
      </c>
      <c r="F33" s="2947">
        <v>0.6</v>
      </c>
      <c r="G33" s="2947"/>
      <c r="H33" s="2865">
        <f t="shared" si="190"/>
        <v>0.51</v>
      </c>
      <c r="I33" s="2947">
        <v>0.51</v>
      </c>
      <c r="J33" s="2947"/>
      <c r="K33" s="2865">
        <f t="shared" si="192"/>
        <v>41.808999999999997</v>
      </c>
      <c r="L33" s="2947">
        <v>41.808999999999997</v>
      </c>
      <c r="M33" s="2947"/>
      <c r="N33" s="2865">
        <f t="shared" si="240"/>
        <v>42.918999999999997</v>
      </c>
      <c r="O33" s="2865">
        <f t="shared" si="241"/>
        <v>42.918999999999997</v>
      </c>
      <c r="P33" s="2865">
        <f t="shared" si="241"/>
        <v>0</v>
      </c>
      <c r="Q33" s="2845">
        <f t="shared" si="196"/>
        <v>22.081621040249999</v>
      </c>
      <c r="R33" s="2845">
        <f t="shared" si="242"/>
        <v>22.081621040249999</v>
      </c>
      <c r="S33" s="2845">
        <f t="shared" si="242"/>
        <v>0</v>
      </c>
      <c r="T33" s="2865">
        <f t="shared" si="198"/>
        <v>16.309999999999999</v>
      </c>
      <c r="U33" s="2947">
        <v>16.309999999999999</v>
      </c>
      <c r="V33" s="2947"/>
      <c r="W33" s="2865">
        <f t="shared" si="200"/>
        <v>11.13</v>
      </c>
      <c r="X33" s="2947">
        <v>11.13</v>
      </c>
      <c r="Y33" s="2947"/>
      <c r="Z33" s="2865">
        <f t="shared" si="202"/>
        <v>0.64900000000000002</v>
      </c>
      <c r="AA33" s="2947">
        <v>0.64900000000000002</v>
      </c>
      <c r="AB33" s="2947"/>
      <c r="AC33" s="2865">
        <f t="shared" si="163"/>
        <v>28.088999999999999</v>
      </c>
      <c r="AD33" s="2865">
        <f t="shared" si="243"/>
        <v>28.088999999999999</v>
      </c>
      <c r="AE33" s="2865">
        <f t="shared" si="243"/>
        <v>0</v>
      </c>
      <c r="AF33" s="2846">
        <f t="shared" si="206"/>
        <v>44.163242080499998</v>
      </c>
      <c r="AG33" s="2846">
        <f t="shared" si="207"/>
        <v>44.163242080499998</v>
      </c>
      <c r="AH33" s="2846">
        <f t="shared" si="208"/>
        <v>0</v>
      </c>
      <c r="AI33" s="2867">
        <f t="shared" si="209"/>
        <v>71.007999999999996</v>
      </c>
      <c r="AJ33" s="2867">
        <f t="shared" si="209"/>
        <v>71.007999999999996</v>
      </c>
      <c r="AK33" s="2867">
        <f t="shared" si="209"/>
        <v>0</v>
      </c>
      <c r="AL33" s="2867">
        <f t="shared" si="115"/>
        <v>26.844757919499997</v>
      </c>
      <c r="AM33" s="2867">
        <f t="shared" si="115"/>
        <v>26.844757919499997</v>
      </c>
      <c r="AN33" s="2867">
        <f t="shared" si="115"/>
        <v>0</v>
      </c>
      <c r="AO33" s="2845">
        <f t="shared" si="244"/>
        <v>22.081621040249999</v>
      </c>
      <c r="AP33" s="2845">
        <f t="shared" si="245"/>
        <v>22.081621040249999</v>
      </c>
      <c r="AQ33" s="2845">
        <f t="shared" si="246"/>
        <v>0</v>
      </c>
      <c r="AR33" s="2865">
        <f t="shared" si="213"/>
        <v>4.0599999999999996</v>
      </c>
      <c r="AS33" s="2947">
        <v>4.0599999999999996</v>
      </c>
      <c r="AT33" s="2947"/>
      <c r="AU33" s="2865">
        <f t="shared" si="215"/>
        <v>0.51</v>
      </c>
      <c r="AV33" s="2947">
        <v>0.51</v>
      </c>
      <c r="AW33" s="2947"/>
      <c r="AX33" s="2865">
        <f t="shared" si="217"/>
        <v>3.0459999999999998</v>
      </c>
      <c r="AY33" s="2947">
        <v>3.0459999999999998</v>
      </c>
      <c r="AZ33" s="2947"/>
      <c r="BA33" s="2865">
        <f t="shared" si="247"/>
        <v>7.6159999999999997</v>
      </c>
      <c r="BB33" s="2865">
        <f t="shared" si="248"/>
        <v>7.6159999999999997</v>
      </c>
      <c r="BC33" s="2865">
        <f t="shared" si="248"/>
        <v>0</v>
      </c>
      <c r="BD33" s="2846">
        <f t="shared" si="221"/>
        <v>66.244863120749997</v>
      </c>
      <c r="BE33" s="2846">
        <f t="shared" si="222"/>
        <v>66.244863120749997</v>
      </c>
      <c r="BF33" s="2846">
        <f t="shared" si="223"/>
        <v>0</v>
      </c>
      <c r="BG33" s="2867">
        <f t="shared" si="224"/>
        <v>78.623999999999995</v>
      </c>
      <c r="BH33" s="2867">
        <f t="shared" si="224"/>
        <v>78.623999999999995</v>
      </c>
      <c r="BI33" s="2867">
        <f t="shared" si="224"/>
        <v>0</v>
      </c>
      <c r="BJ33" s="2867">
        <f t="shared" si="126"/>
        <v>12.379136879249998</v>
      </c>
      <c r="BK33" s="2867">
        <f t="shared" si="126"/>
        <v>12.379136879249998</v>
      </c>
      <c r="BL33" s="2867">
        <f t="shared" si="126"/>
        <v>0</v>
      </c>
      <c r="BM33" s="2845">
        <f t="shared" si="249"/>
        <v>22.081621040249999</v>
      </c>
      <c r="BN33" s="2845">
        <f t="shared" si="250"/>
        <v>22.081621040249999</v>
      </c>
      <c r="BO33" s="2845">
        <f t="shared" si="251"/>
        <v>0</v>
      </c>
      <c r="BP33" s="2865">
        <f t="shared" si="228"/>
        <v>3.2360000000000002</v>
      </c>
      <c r="BQ33" s="2947">
        <v>3.2360000000000002</v>
      </c>
      <c r="BR33" s="2947"/>
      <c r="BS33" s="2865">
        <f t="shared" si="230"/>
        <v>0.66</v>
      </c>
      <c r="BT33" s="2947">
        <v>0.66</v>
      </c>
      <c r="BU33" s="2947"/>
      <c r="BV33" s="2865">
        <f t="shared" si="232"/>
        <v>9.9250000000000007</v>
      </c>
      <c r="BW33" s="2947">
        <v>9.9250000000000007</v>
      </c>
      <c r="BX33" s="2947"/>
      <c r="BY33" s="2865">
        <f t="shared" si="252"/>
        <v>13.821000000000002</v>
      </c>
      <c r="BZ33" s="2865">
        <f t="shared" si="253"/>
        <v>13.821000000000002</v>
      </c>
      <c r="CA33" s="2865">
        <f t="shared" si="253"/>
        <v>0</v>
      </c>
      <c r="CB33" s="2846">
        <f t="shared" si="157"/>
        <v>88.326484160999996</v>
      </c>
      <c r="CC33" s="2982">
        <f>57.9*1.52550059</f>
        <v>88.326484160999996</v>
      </c>
      <c r="CD33" s="2982">
        <v>0</v>
      </c>
      <c r="CE33" s="2867">
        <f t="shared" si="236"/>
        <v>92.444999999999993</v>
      </c>
      <c r="CF33" s="2982">
        <f t="shared" si="237"/>
        <v>92.444999999999993</v>
      </c>
      <c r="CG33" s="2982">
        <f t="shared" si="237"/>
        <v>0</v>
      </c>
      <c r="CH33" s="2867">
        <f t="shared" si="135"/>
        <v>4.118515838999997</v>
      </c>
      <c r="CI33" s="2867">
        <f t="shared" si="135"/>
        <v>4.118515838999997</v>
      </c>
      <c r="CJ33" s="2867">
        <f t="shared" si="135"/>
        <v>0</v>
      </c>
      <c r="CK33" s="2863"/>
      <c r="CL33" s="4188">
        <f t="shared" si="136"/>
        <v>88.326484160999996</v>
      </c>
      <c r="CM33" s="2987"/>
    </row>
    <row r="34" spans="1:92" ht="18.75" customHeight="1" x14ac:dyDescent="0.3">
      <c r="A34" s="2989" t="s">
        <v>3797</v>
      </c>
      <c r="B34" s="2845">
        <f t="shared" si="238"/>
        <v>79.03125</v>
      </c>
      <c r="C34" s="2845">
        <f t="shared" si="239"/>
        <v>79.03125</v>
      </c>
      <c r="D34" s="2845">
        <f t="shared" si="239"/>
        <v>0</v>
      </c>
      <c r="E34" s="2865">
        <f t="shared" si="138"/>
        <v>23.88</v>
      </c>
      <c r="F34" s="2947">
        <v>23.88</v>
      </c>
      <c r="G34" s="2947"/>
      <c r="H34" s="2865">
        <f t="shared" si="190"/>
        <v>24.355</v>
      </c>
      <c r="I34" s="2947">
        <v>24.355</v>
      </c>
      <c r="J34" s="2947"/>
      <c r="K34" s="2865">
        <f t="shared" si="192"/>
        <v>23.77</v>
      </c>
      <c r="L34" s="2947">
        <v>23.77</v>
      </c>
      <c r="M34" s="2947"/>
      <c r="N34" s="2865">
        <f t="shared" si="240"/>
        <v>72.004999999999995</v>
      </c>
      <c r="O34" s="2865">
        <f t="shared" si="241"/>
        <v>72.004999999999995</v>
      </c>
      <c r="P34" s="2865">
        <f t="shared" si="241"/>
        <v>0</v>
      </c>
      <c r="Q34" s="2845">
        <f t="shared" si="196"/>
        <v>79.03125</v>
      </c>
      <c r="R34" s="2845">
        <f t="shared" si="242"/>
        <v>79.03125</v>
      </c>
      <c r="S34" s="2845">
        <f t="shared" si="242"/>
        <v>0</v>
      </c>
      <c r="T34" s="2865">
        <f t="shared" si="198"/>
        <v>25.1</v>
      </c>
      <c r="U34" s="2947">
        <v>25.1</v>
      </c>
      <c r="V34" s="2947"/>
      <c r="W34" s="2865">
        <f t="shared" si="200"/>
        <v>23.73</v>
      </c>
      <c r="X34" s="2947">
        <v>23.73</v>
      </c>
      <c r="Y34" s="2947"/>
      <c r="Z34" s="2865">
        <f t="shared" si="202"/>
        <v>20.524000000000001</v>
      </c>
      <c r="AA34" s="2947">
        <v>20.524000000000001</v>
      </c>
      <c r="AB34" s="2947"/>
      <c r="AC34" s="2865">
        <f t="shared" si="163"/>
        <v>69.353999999999999</v>
      </c>
      <c r="AD34" s="2865">
        <f t="shared" si="243"/>
        <v>69.353999999999999</v>
      </c>
      <c r="AE34" s="2865">
        <f t="shared" si="243"/>
        <v>0</v>
      </c>
      <c r="AF34" s="2846">
        <f t="shared" si="206"/>
        <v>158.0625</v>
      </c>
      <c r="AG34" s="2846">
        <f t="shared" si="207"/>
        <v>158.0625</v>
      </c>
      <c r="AH34" s="2846">
        <f t="shared" si="208"/>
        <v>0</v>
      </c>
      <c r="AI34" s="2867">
        <f t="shared" si="209"/>
        <v>141.35899999999998</v>
      </c>
      <c r="AJ34" s="2867">
        <f t="shared" si="209"/>
        <v>141.35899999999998</v>
      </c>
      <c r="AK34" s="2867">
        <f t="shared" si="209"/>
        <v>0</v>
      </c>
      <c r="AL34" s="2867">
        <f t="shared" si="115"/>
        <v>-16.70350000000002</v>
      </c>
      <c r="AM34" s="2867">
        <f t="shared" si="115"/>
        <v>-16.70350000000002</v>
      </c>
      <c r="AN34" s="2867">
        <f t="shared" si="115"/>
        <v>0</v>
      </c>
      <c r="AO34" s="2845">
        <f t="shared" si="244"/>
        <v>79.03125</v>
      </c>
      <c r="AP34" s="2845">
        <f t="shared" si="245"/>
        <v>79.03125</v>
      </c>
      <c r="AQ34" s="2845">
        <f t="shared" si="246"/>
        <v>0</v>
      </c>
      <c r="AR34" s="2865">
        <f t="shared" si="213"/>
        <v>18.7</v>
      </c>
      <c r="AS34" s="2947">
        <v>18.7</v>
      </c>
      <c r="AT34" s="2947"/>
      <c r="AU34" s="2865">
        <f t="shared" si="215"/>
        <v>19.649000000000001</v>
      </c>
      <c r="AV34" s="2947">
        <v>19.649000000000001</v>
      </c>
      <c r="AW34" s="2947"/>
      <c r="AX34" s="2865">
        <f t="shared" si="217"/>
        <v>19.821999999999999</v>
      </c>
      <c r="AY34" s="2947">
        <v>19.821999999999999</v>
      </c>
      <c r="AZ34" s="2947"/>
      <c r="BA34" s="2865">
        <f t="shared" si="247"/>
        <v>58.171000000000006</v>
      </c>
      <c r="BB34" s="2865">
        <f t="shared" si="248"/>
        <v>58.171000000000006</v>
      </c>
      <c r="BC34" s="2865">
        <f t="shared" si="248"/>
        <v>0</v>
      </c>
      <c r="BD34" s="2846">
        <f t="shared" si="221"/>
        <v>237.09375</v>
      </c>
      <c r="BE34" s="2846">
        <f t="shared" si="222"/>
        <v>237.09375</v>
      </c>
      <c r="BF34" s="2846">
        <f t="shared" si="223"/>
        <v>0</v>
      </c>
      <c r="BG34" s="2867">
        <f t="shared" si="224"/>
        <v>199.52999999999997</v>
      </c>
      <c r="BH34" s="2867">
        <f t="shared" si="224"/>
        <v>199.52999999999997</v>
      </c>
      <c r="BI34" s="2867">
        <f t="shared" si="224"/>
        <v>0</v>
      </c>
      <c r="BJ34" s="2867">
        <f t="shared" si="126"/>
        <v>-37.563750000000027</v>
      </c>
      <c r="BK34" s="2867">
        <f t="shared" si="126"/>
        <v>-37.563750000000027</v>
      </c>
      <c r="BL34" s="2867">
        <f t="shared" si="126"/>
        <v>0</v>
      </c>
      <c r="BM34" s="2845">
        <f t="shared" si="249"/>
        <v>79.03125</v>
      </c>
      <c r="BN34" s="2845">
        <f t="shared" si="250"/>
        <v>79.03125</v>
      </c>
      <c r="BO34" s="2845">
        <f t="shared" si="251"/>
        <v>0</v>
      </c>
      <c r="BP34" s="2865">
        <f t="shared" si="228"/>
        <v>20.643999999999998</v>
      </c>
      <c r="BQ34" s="2947">
        <v>20.643999999999998</v>
      </c>
      <c r="BR34" s="2947"/>
      <c r="BS34" s="2865">
        <f t="shared" si="230"/>
        <v>24.283000000000001</v>
      </c>
      <c r="BT34" s="2947">
        <v>24.283000000000001</v>
      </c>
      <c r="BU34" s="2947"/>
      <c r="BV34" s="2865">
        <f t="shared" si="232"/>
        <v>24.81</v>
      </c>
      <c r="BW34" s="2947">
        <v>24.81</v>
      </c>
      <c r="BX34" s="2947"/>
      <c r="BY34" s="2865">
        <f t="shared" si="252"/>
        <v>69.736999999999995</v>
      </c>
      <c r="BZ34" s="2865">
        <f t="shared" si="253"/>
        <v>69.736999999999995</v>
      </c>
      <c r="CA34" s="2865">
        <f t="shared" si="253"/>
        <v>0</v>
      </c>
      <c r="CB34" s="2846">
        <f t="shared" si="157"/>
        <v>316.125</v>
      </c>
      <c r="CC34" s="2982">
        <f>SUM(стоки!DA49)</f>
        <v>316.125</v>
      </c>
      <c r="CD34" s="2982">
        <v>0</v>
      </c>
      <c r="CE34" s="2867">
        <f t="shared" si="236"/>
        <v>269.26699999999994</v>
      </c>
      <c r="CF34" s="2982">
        <f t="shared" si="237"/>
        <v>269.26699999999994</v>
      </c>
      <c r="CG34" s="2982">
        <f t="shared" si="237"/>
        <v>0</v>
      </c>
      <c r="CH34" s="2867">
        <f t="shared" si="135"/>
        <v>-46.858000000000061</v>
      </c>
      <c r="CI34" s="2867">
        <f t="shared" si="135"/>
        <v>-46.858000000000061</v>
      </c>
      <c r="CJ34" s="2867">
        <f t="shared" si="135"/>
        <v>0</v>
      </c>
      <c r="CK34" s="2863"/>
      <c r="CL34" s="4188">
        <f t="shared" si="136"/>
        <v>316.125</v>
      </c>
      <c r="CM34" s="2987"/>
    </row>
    <row r="35" spans="1:92" ht="18.75" customHeight="1" x14ac:dyDescent="0.3">
      <c r="A35" s="2989" t="s">
        <v>591</v>
      </c>
      <c r="B35" s="2946">
        <f>SUM(C35:D35)</f>
        <v>2.1784148425200001</v>
      </c>
      <c r="C35" s="2946">
        <f t="shared" ref="C35:D35" si="254">SUM(C36:C37)</f>
        <v>2.1784148425200001</v>
      </c>
      <c r="D35" s="2946">
        <f t="shared" si="254"/>
        <v>0</v>
      </c>
      <c r="E35" s="2865">
        <f>SUM(E36:E37)</f>
        <v>2.9000000000000001E-2</v>
      </c>
      <c r="F35" s="2865">
        <f t="shared" ref="F35:G35" si="255">SUM(F36:F37)</f>
        <v>2.9000000000000001E-2</v>
      </c>
      <c r="G35" s="2865">
        <f t="shared" si="255"/>
        <v>0</v>
      </c>
      <c r="H35" s="2865">
        <f>SUM(H36:H37)</f>
        <v>2.87E-2</v>
      </c>
      <c r="I35" s="2865">
        <f t="shared" ref="I35:J35" si="256">SUM(I36:I37)</f>
        <v>2.87E-2</v>
      </c>
      <c r="J35" s="2865">
        <f t="shared" si="256"/>
        <v>0</v>
      </c>
      <c r="K35" s="2865">
        <f>SUM(K36:K37)</f>
        <v>2.8400000000000002E-2</v>
      </c>
      <c r="L35" s="2865">
        <f t="shared" ref="L35:M35" si="257">SUM(L36:L37)</f>
        <v>2.8400000000000002E-2</v>
      </c>
      <c r="M35" s="2865">
        <f t="shared" si="257"/>
        <v>0</v>
      </c>
      <c r="N35" s="2865">
        <f t="shared" si="240"/>
        <v>8.610000000000001E-2</v>
      </c>
      <c r="O35" s="2865">
        <f t="shared" si="241"/>
        <v>8.610000000000001E-2</v>
      </c>
      <c r="P35" s="2865">
        <f t="shared" si="241"/>
        <v>0</v>
      </c>
      <c r="Q35" s="2946">
        <f>SUM(R35:S35)</f>
        <v>2.1784148425200001</v>
      </c>
      <c r="R35" s="2946">
        <f t="shared" ref="R35:S35" si="258">SUM(R36:R37)</f>
        <v>2.1784148425200001</v>
      </c>
      <c r="S35" s="2946">
        <f t="shared" si="258"/>
        <v>0</v>
      </c>
      <c r="T35" s="2865">
        <f>SUM(T36:T37)</f>
        <v>9.4E-2</v>
      </c>
      <c r="U35" s="2865">
        <f t="shared" ref="U35:V35" si="259">SUM(U36:U37)</f>
        <v>9.4E-2</v>
      </c>
      <c r="V35" s="2865">
        <f t="shared" si="259"/>
        <v>0</v>
      </c>
      <c r="W35" s="2865">
        <f>SUM(W36:W37)</f>
        <v>3.04</v>
      </c>
      <c r="X35" s="2865">
        <f t="shared" ref="X35:Y35" si="260">SUM(X36:X37)</f>
        <v>3.04</v>
      </c>
      <c r="Y35" s="2865">
        <f t="shared" si="260"/>
        <v>0</v>
      </c>
      <c r="Z35" s="2865">
        <f>SUM(Z36:Z37)</f>
        <v>2.8000000000000001E-2</v>
      </c>
      <c r="AA35" s="2865">
        <f t="shared" ref="AA35:AB35" si="261">SUM(AA36:AA37)</f>
        <v>2.8000000000000001E-2</v>
      </c>
      <c r="AB35" s="2865">
        <f t="shared" si="261"/>
        <v>0</v>
      </c>
      <c r="AC35" s="2865">
        <f t="shared" si="163"/>
        <v>3.1619999999999999</v>
      </c>
      <c r="AD35" s="2865">
        <f t="shared" si="243"/>
        <v>3.1619999999999999</v>
      </c>
      <c r="AE35" s="2865">
        <f t="shared" si="243"/>
        <v>0</v>
      </c>
      <c r="AF35" s="2846">
        <f t="shared" si="206"/>
        <v>4.3568296850400001</v>
      </c>
      <c r="AG35" s="2846">
        <f t="shared" si="207"/>
        <v>4.3568296850400001</v>
      </c>
      <c r="AH35" s="2846">
        <f t="shared" si="208"/>
        <v>0</v>
      </c>
      <c r="AI35" s="2867">
        <f t="shared" si="209"/>
        <v>3.2481</v>
      </c>
      <c r="AJ35" s="2867">
        <f t="shared" si="209"/>
        <v>3.2481</v>
      </c>
      <c r="AK35" s="2867">
        <f t="shared" si="209"/>
        <v>0</v>
      </c>
      <c r="AL35" s="2867">
        <f t="shared" si="115"/>
        <v>-1.1087296850400001</v>
      </c>
      <c r="AM35" s="2867">
        <f t="shared" si="115"/>
        <v>-1.1087296850400001</v>
      </c>
      <c r="AN35" s="2867">
        <f t="shared" si="115"/>
        <v>0</v>
      </c>
      <c r="AO35" s="2946">
        <f>SUM(AP35:AQ35)</f>
        <v>2.1784148425200001</v>
      </c>
      <c r="AP35" s="2946">
        <f t="shared" ref="AP35:AQ35" si="262">SUM(AP36:AP37)</f>
        <v>2.1784148425200001</v>
      </c>
      <c r="AQ35" s="2946">
        <f t="shared" si="262"/>
        <v>0</v>
      </c>
      <c r="AR35" s="2865">
        <f>SUM(AR36:AR37)</f>
        <v>2.31</v>
      </c>
      <c r="AS35" s="2865">
        <f t="shared" ref="AS35:AT35" si="263">SUM(AS36:AS37)</f>
        <v>2.31</v>
      </c>
      <c r="AT35" s="2865">
        <f t="shared" si="263"/>
        <v>0</v>
      </c>
      <c r="AU35" s="2865">
        <f>SUM(AU36:AU37)</f>
        <v>0</v>
      </c>
      <c r="AV35" s="2865">
        <f t="shared" ref="AV35:AW35" si="264">SUM(AV36:AV37)</f>
        <v>0</v>
      </c>
      <c r="AW35" s="2865">
        <f t="shared" si="264"/>
        <v>0</v>
      </c>
      <c r="AX35" s="2865">
        <f>SUM(AX36:AX37)</f>
        <v>1.486</v>
      </c>
      <c r="AY35" s="2865">
        <f t="shared" ref="AY35:AZ35" si="265">SUM(AY36:AY37)</f>
        <v>1.486</v>
      </c>
      <c r="AZ35" s="2865">
        <f t="shared" si="265"/>
        <v>0</v>
      </c>
      <c r="BA35" s="2865">
        <f t="shared" si="247"/>
        <v>3.7960000000000003</v>
      </c>
      <c r="BB35" s="2865">
        <f t="shared" si="248"/>
        <v>3.7960000000000003</v>
      </c>
      <c r="BC35" s="2865">
        <f t="shared" si="248"/>
        <v>0</v>
      </c>
      <c r="BD35" s="2846">
        <f t="shared" si="221"/>
        <v>6.5352445275599997</v>
      </c>
      <c r="BE35" s="2846">
        <f t="shared" si="222"/>
        <v>6.5352445275599997</v>
      </c>
      <c r="BF35" s="2846">
        <f t="shared" si="223"/>
        <v>0</v>
      </c>
      <c r="BG35" s="2867">
        <f t="shared" si="224"/>
        <v>7.0441000000000003</v>
      </c>
      <c r="BH35" s="2867">
        <f t="shared" si="224"/>
        <v>7.0441000000000003</v>
      </c>
      <c r="BI35" s="2867">
        <f t="shared" si="224"/>
        <v>0</v>
      </c>
      <c r="BJ35" s="2867">
        <f t="shared" si="126"/>
        <v>0.50885547244000051</v>
      </c>
      <c r="BK35" s="2867">
        <f t="shared" si="126"/>
        <v>0.50885547244000051</v>
      </c>
      <c r="BL35" s="2867">
        <f t="shared" si="126"/>
        <v>0</v>
      </c>
      <c r="BM35" s="2946">
        <f>SUM(BN35:BO35)</f>
        <v>2.1784148425200001</v>
      </c>
      <c r="BN35" s="2946">
        <f t="shared" ref="BN35:BO35" si="266">SUM(BN36:BN37)</f>
        <v>2.1784148425200001</v>
      </c>
      <c r="BO35" s="2946">
        <f t="shared" si="266"/>
        <v>0</v>
      </c>
      <c r="BP35" s="2865">
        <f>SUM(BP36:BP37)</f>
        <v>2.767E-2</v>
      </c>
      <c r="BQ35" s="2865">
        <f t="shared" ref="BQ35:BR35" si="267">SUM(BQ36:BQ37)</f>
        <v>2.767E-2</v>
      </c>
      <c r="BR35" s="2865">
        <f t="shared" si="267"/>
        <v>0</v>
      </c>
      <c r="BS35" s="2865">
        <f>SUM(BS36:BS37)</f>
        <v>9.7560000000000002</v>
      </c>
      <c r="BT35" s="2865">
        <f t="shared" ref="BT35:BU35" si="268">SUM(BT36:BT37)</f>
        <v>9.7560000000000002</v>
      </c>
      <c r="BU35" s="2865">
        <f t="shared" si="268"/>
        <v>0</v>
      </c>
      <c r="BV35" s="2865">
        <f>SUM(BV36:BV37)</f>
        <v>2.726</v>
      </c>
      <c r="BW35" s="2865">
        <f t="shared" ref="BW35:BX35" si="269">SUM(BW36:BW37)</f>
        <v>2.726</v>
      </c>
      <c r="BX35" s="2865">
        <f t="shared" si="269"/>
        <v>0</v>
      </c>
      <c r="BY35" s="2865">
        <f t="shared" si="252"/>
        <v>12.50967</v>
      </c>
      <c r="BZ35" s="2865">
        <f t="shared" si="253"/>
        <v>12.50967</v>
      </c>
      <c r="CA35" s="2865">
        <f t="shared" si="253"/>
        <v>0</v>
      </c>
      <c r="CB35" s="2846">
        <f t="shared" si="157"/>
        <v>8.7136593700800002</v>
      </c>
      <c r="CC35" s="2990">
        <f t="shared" ref="CC35:CD35" si="270">SUM(CC36:CC37)</f>
        <v>8.7136593700800002</v>
      </c>
      <c r="CD35" s="2990">
        <f t="shared" si="270"/>
        <v>0</v>
      </c>
      <c r="CE35" s="2867">
        <f t="shared" si="236"/>
        <v>19.55377</v>
      </c>
      <c r="CF35" s="2982">
        <f t="shared" si="237"/>
        <v>19.55377</v>
      </c>
      <c r="CG35" s="2982">
        <f t="shared" si="237"/>
        <v>0</v>
      </c>
      <c r="CH35" s="2867">
        <f t="shared" si="135"/>
        <v>10.84011062992</v>
      </c>
      <c r="CI35" s="2867">
        <f t="shared" si="135"/>
        <v>10.84011062992</v>
      </c>
      <c r="CJ35" s="2867">
        <f t="shared" si="135"/>
        <v>0</v>
      </c>
      <c r="CK35" s="2863"/>
      <c r="CL35" s="4188">
        <f t="shared" si="136"/>
        <v>8.7136593700800002</v>
      </c>
      <c r="CM35" s="2987"/>
    </row>
    <row r="36" spans="1:92" ht="18.75" customHeight="1" x14ac:dyDescent="0.3">
      <c r="A36" s="2879" t="s">
        <v>548</v>
      </c>
      <c r="B36" s="2853">
        <f t="shared" ref="B36:B37" si="271">SUM(C36:D36)</f>
        <v>2.1784148425200001</v>
      </c>
      <c r="C36" s="2853">
        <f t="shared" ref="C36:C37" si="272">SUM(CC36/4)</f>
        <v>2.1784148425200001</v>
      </c>
      <c r="D36" s="2853">
        <f t="shared" ref="D36:D37" si="273">SUM(CD36/4)</f>
        <v>0</v>
      </c>
      <c r="E36" s="2875">
        <f t="shared" si="138"/>
        <v>2.9000000000000001E-2</v>
      </c>
      <c r="F36" s="2955">
        <v>2.9000000000000001E-2</v>
      </c>
      <c r="G36" s="2955"/>
      <c r="H36" s="2875">
        <f t="shared" ref="H36:H37" si="274">SUM(I36:J36)</f>
        <v>2.87E-2</v>
      </c>
      <c r="I36" s="2955">
        <v>2.87E-2</v>
      </c>
      <c r="J36" s="2955"/>
      <c r="K36" s="2875">
        <f t="shared" ref="K36:K37" si="275">SUM(L36:M36)</f>
        <v>2.8400000000000002E-2</v>
      </c>
      <c r="L36" s="2955">
        <v>2.8400000000000002E-2</v>
      </c>
      <c r="M36" s="2955"/>
      <c r="N36" s="2875">
        <f t="shared" si="240"/>
        <v>8.610000000000001E-2</v>
      </c>
      <c r="O36" s="2875">
        <f t="shared" si="241"/>
        <v>8.610000000000001E-2</v>
      </c>
      <c r="P36" s="2875">
        <f t="shared" si="241"/>
        <v>0</v>
      </c>
      <c r="Q36" s="2853">
        <f t="shared" ref="Q36:Q37" si="276">SUM(R36:S36)</f>
        <v>2.1784148425200001</v>
      </c>
      <c r="R36" s="2853">
        <f t="shared" ref="R36:R37" si="277">SUM(C36)</f>
        <v>2.1784148425200001</v>
      </c>
      <c r="S36" s="2853">
        <f t="shared" ref="S36:S37" si="278">SUM(D36)</f>
        <v>0</v>
      </c>
      <c r="T36" s="2875">
        <f t="shared" ref="T36:T37" si="279">SUM(U36:V36)</f>
        <v>9.4E-2</v>
      </c>
      <c r="U36" s="2955">
        <v>9.4E-2</v>
      </c>
      <c r="V36" s="2955"/>
      <c r="W36" s="2875">
        <f t="shared" ref="W36:W37" si="280">SUM(X36:Y36)</f>
        <v>3.04</v>
      </c>
      <c r="X36" s="2955">
        <v>3.04</v>
      </c>
      <c r="Y36" s="2955"/>
      <c r="Z36" s="2875">
        <f t="shared" ref="Z36:Z37" si="281">SUM(AA36:AB36)</f>
        <v>2.8000000000000001E-2</v>
      </c>
      <c r="AA36" s="2955">
        <v>2.8000000000000001E-2</v>
      </c>
      <c r="AB36" s="2955"/>
      <c r="AC36" s="2875">
        <f t="shared" si="163"/>
        <v>3.1619999999999999</v>
      </c>
      <c r="AD36" s="2875">
        <f t="shared" si="243"/>
        <v>3.1619999999999999</v>
      </c>
      <c r="AE36" s="2875">
        <f t="shared" si="243"/>
        <v>0</v>
      </c>
      <c r="AF36" s="2856">
        <f t="shared" si="206"/>
        <v>4.3568296850400001</v>
      </c>
      <c r="AG36" s="2856">
        <f t="shared" si="207"/>
        <v>4.3568296850400001</v>
      </c>
      <c r="AH36" s="2856">
        <f t="shared" si="208"/>
        <v>0</v>
      </c>
      <c r="AI36" s="2870">
        <f t="shared" si="209"/>
        <v>3.2481</v>
      </c>
      <c r="AJ36" s="2870">
        <f t="shared" si="209"/>
        <v>3.2481</v>
      </c>
      <c r="AK36" s="2870">
        <f t="shared" si="209"/>
        <v>0</v>
      </c>
      <c r="AL36" s="2870">
        <f t="shared" si="115"/>
        <v>-1.1087296850400001</v>
      </c>
      <c r="AM36" s="2870">
        <f t="shared" si="115"/>
        <v>-1.1087296850400001</v>
      </c>
      <c r="AN36" s="2870">
        <f t="shared" si="115"/>
        <v>0</v>
      </c>
      <c r="AO36" s="2853">
        <f t="shared" ref="AO36:AO37" si="282">SUM(AP36:AQ36)</f>
        <v>2.1784148425200001</v>
      </c>
      <c r="AP36" s="2853">
        <f t="shared" ref="AP36:AP37" si="283">SUM(CC36-AG36)/2</f>
        <v>2.1784148425200001</v>
      </c>
      <c r="AQ36" s="2853">
        <f t="shared" ref="AQ36:AQ37" si="284">SUM(CD36-AH36)/2</f>
        <v>0</v>
      </c>
      <c r="AR36" s="2875">
        <f t="shared" ref="AR36:AR37" si="285">SUM(AS36:AT36)</f>
        <v>2.31</v>
      </c>
      <c r="AS36" s="2955">
        <v>2.31</v>
      </c>
      <c r="AT36" s="2955"/>
      <c r="AU36" s="2875">
        <f t="shared" ref="AU36:AU37" si="286">SUM(AV36:AW36)</f>
        <v>0</v>
      </c>
      <c r="AV36" s="2955"/>
      <c r="AW36" s="2955"/>
      <c r="AX36" s="2875">
        <f t="shared" ref="AX36:AX37" si="287">SUM(AY36:AZ36)</f>
        <v>2.7E-2</v>
      </c>
      <c r="AY36" s="2955">
        <v>2.7E-2</v>
      </c>
      <c r="AZ36" s="2955"/>
      <c r="BA36" s="2875">
        <f t="shared" si="247"/>
        <v>2.3370000000000002</v>
      </c>
      <c r="BB36" s="2875">
        <f t="shared" si="248"/>
        <v>2.3370000000000002</v>
      </c>
      <c r="BC36" s="2875">
        <f t="shared" si="248"/>
        <v>0</v>
      </c>
      <c r="BD36" s="2856">
        <f t="shared" si="221"/>
        <v>6.5352445275599997</v>
      </c>
      <c r="BE36" s="2856">
        <f t="shared" si="222"/>
        <v>6.5352445275599997</v>
      </c>
      <c r="BF36" s="2856">
        <f t="shared" si="223"/>
        <v>0</v>
      </c>
      <c r="BG36" s="2870">
        <f t="shared" si="224"/>
        <v>5.5851000000000006</v>
      </c>
      <c r="BH36" s="2870">
        <f t="shared" si="224"/>
        <v>5.5851000000000006</v>
      </c>
      <c r="BI36" s="2870">
        <f t="shared" si="224"/>
        <v>0</v>
      </c>
      <c r="BJ36" s="2870">
        <f t="shared" si="126"/>
        <v>-0.95014452755999912</v>
      </c>
      <c r="BK36" s="2870">
        <f t="shared" si="126"/>
        <v>-0.95014452755999912</v>
      </c>
      <c r="BL36" s="2870">
        <f t="shared" si="126"/>
        <v>0</v>
      </c>
      <c r="BM36" s="2853">
        <f t="shared" ref="BM36:BM37" si="288">SUM(BN36:BO36)</f>
        <v>2.1784148425200001</v>
      </c>
      <c r="BN36" s="2853">
        <f t="shared" ref="BN36:BN37" si="289">SUM(AP36)</f>
        <v>2.1784148425200001</v>
      </c>
      <c r="BO36" s="2853">
        <f t="shared" ref="BO36:BO37" si="290">SUM(AQ36)</f>
        <v>0</v>
      </c>
      <c r="BP36" s="2875">
        <f t="shared" ref="BP36:BP37" si="291">SUM(BQ36:BR36)</f>
        <v>2.767E-2</v>
      </c>
      <c r="BQ36" s="2955">
        <v>2.767E-2</v>
      </c>
      <c r="BR36" s="2955"/>
      <c r="BS36" s="2875">
        <f t="shared" ref="BS36:BS37" si="292">SUM(BT36:BU36)</f>
        <v>9.7560000000000002</v>
      </c>
      <c r="BT36" s="2955">
        <v>9.7560000000000002</v>
      </c>
      <c r="BU36" s="2955"/>
      <c r="BV36" s="2875">
        <f t="shared" ref="BV36:BV37" si="293">SUM(BW36:BX36)</f>
        <v>2.726</v>
      </c>
      <c r="BW36" s="2955">
        <v>2.726</v>
      </c>
      <c r="BX36" s="2955"/>
      <c r="BY36" s="2875">
        <f t="shared" si="252"/>
        <v>12.50967</v>
      </c>
      <c r="BZ36" s="2875">
        <f t="shared" si="253"/>
        <v>12.50967</v>
      </c>
      <c r="CA36" s="2875">
        <f t="shared" si="253"/>
        <v>0</v>
      </c>
      <c r="CB36" s="2856">
        <f t="shared" si="157"/>
        <v>8.7136593700800002</v>
      </c>
      <c r="CC36" s="2991">
        <f>5.712*1.52550059</f>
        <v>8.7136593700800002</v>
      </c>
      <c r="CD36" s="2991">
        <v>0</v>
      </c>
      <c r="CE36" s="2870">
        <f t="shared" si="236"/>
        <v>18.09477</v>
      </c>
      <c r="CF36" s="2991">
        <f t="shared" si="237"/>
        <v>18.09477</v>
      </c>
      <c r="CG36" s="2991">
        <f t="shared" si="237"/>
        <v>0</v>
      </c>
      <c r="CH36" s="2870">
        <f t="shared" si="135"/>
        <v>9.3811106299200002</v>
      </c>
      <c r="CI36" s="2870">
        <f t="shared" si="135"/>
        <v>9.3811106299200002</v>
      </c>
      <c r="CJ36" s="2870">
        <f t="shared" si="135"/>
        <v>0</v>
      </c>
      <c r="CK36" s="2863"/>
      <c r="CL36" s="4188">
        <f t="shared" si="136"/>
        <v>8.7136593700800002</v>
      </c>
      <c r="CM36" s="2987"/>
    </row>
    <row r="37" spans="1:92" ht="18.75" customHeight="1" x14ac:dyDescent="0.3">
      <c r="A37" s="2879" t="s">
        <v>549</v>
      </c>
      <c r="B37" s="2853">
        <f t="shared" si="271"/>
        <v>0</v>
      </c>
      <c r="C37" s="2853">
        <f t="shared" si="272"/>
        <v>0</v>
      </c>
      <c r="D37" s="2853">
        <f t="shared" si="273"/>
        <v>0</v>
      </c>
      <c r="E37" s="2875">
        <f t="shared" si="138"/>
        <v>0</v>
      </c>
      <c r="F37" s="2955"/>
      <c r="G37" s="2955"/>
      <c r="H37" s="2875">
        <f t="shared" si="274"/>
        <v>0</v>
      </c>
      <c r="I37" s="2955"/>
      <c r="J37" s="2955"/>
      <c r="K37" s="2875">
        <f t="shared" si="275"/>
        <v>0</v>
      </c>
      <c r="L37" s="2955"/>
      <c r="M37" s="2955"/>
      <c r="N37" s="2875">
        <f t="shared" si="240"/>
        <v>0</v>
      </c>
      <c r="O37" s="2875">
        <f t="shared" si="241"/>
        <v>0</v>
      </c>
      <c r="P37" s="2875">
        <f t="shared" si="241"/>
        <v>0</v>
      </c>
      <c r="Q37" s="2853">
        <f t="shared" si="276"/>
        <v>0</v>
      </c>
      <c r="R37" s="2853">
        <f t="shared" si="277"/>
        <v>0</v>
      </c>
      <c r="S37" s="2853">
        <f t="shared" si="278"/>
        <v>0</v>
      </c>
      <c r="T37" s="2875">
        <f t="shared" si="279"/>
        <v>0</v>
      </c>
      <c r="U37" s="2955"/>
      <c r="V37" s="2955"/>
      <c r="W37" s="2875">
        <f t="shared" si="280"/>
        <v>0</v>
      </c>
      <c r="X37" s="2955"/>
      <c r="Y37" s="2955"/>
      <c r="Z37" s="2875">
        <f t="shared" si="281"/>
        <v>0</v>
      </c>
      <c r="AA37" s="2955"/>
      <c r="AB37" s="2955"/>
      <c r="AC37" s="2875">
        <f t="shared" si="163"/>
        <v>0</v>
      </c>
      <c r="AD37" s="2875">
        <f t="shared" si="243"/>
        <v>0</v>
      </c>
      <c r="AE37" s="2875">
        <f t="shared" si="243"/>
        <v>0</v>
      </c>
      <c r="AF37" s="2856">
        <f t="shared" si="206"/>
        <v>0</v>
      </c>
      <c r="AG37" s="2856">
        <f t="shared" si="207"/>
        <v>0</v>
      </c>
      <c r="AH37" s="2856">
        <f t="shared" si="208"/>
        <v>0</v>
      </c>
      <c r="AI37" s="2870">
        <f t="shared" si="209"/>
        <v>0</v>
      </c>
      <c r="AJ37" s="2870">
        <f t="shared" si="209"/>
        <v>0</v>
      </c>
      <c r="AK37" s="2870">
        <f t="shared" si="209"/>
        <v>0</v>
      </c>
      <c r="AL37" s="2870">
        <f t="shared" ref="AL37:AN52" si="294">SUM(AI37-AF37)</f>
        <v>0</v>
      </c>
      <c r="AM37" s="2870">
        <f t="shared" si="294"/>
        <v>0</v>
      </c>
      <c r="AN37" s="2870">
        <f t="shared" si="294"/>
        <v>0</v>
      </c>
      <c r="AO37" s="2853">
        <f t="shared" si="282"/>
        <v>0</v>
      </c>
      <c r="AP37" s="2853">
        <f t="shared" si="283"/>
        <v>0</v>
      </c>
      <c r="AQ37" s="2853">
        <f t="shared" si="284"/>
        <v>0</v>
      </c>
      <c r="AR37" s="2875">
        <f t="shared" si="285"/>
        <v>0</v>
      </c>
      <c r="AS37" s="2955"/>
      <c r="AT37" s="2955"/>
      <c r="AU37" s="2875">
        <f t="shared" si="286"/>
        <v>0</v>
      </c>
      <c r="AV37" s="2955"/>
      <c r="AW37" s="2955"/>
      <c r="AX37" s="2875">
        <f t="shared" si="287"/>
        <v>1.4590000000000001</v>
      </c>
      <c r="AY37" s="2955">
        <v>1.4590000000000001</v>
      </c>
      <c r="AZ37" s="2955"/>
      <c r="BA37" s="2875">
        <f t="shared" si="247"/>
        <v>1.4590000000000001</v>
      </c>
      <c r="BB37" s="2875">
        <f t="shared" si="248"/>
        <v>1.4590000000000001</v>
      </c>
      <c r="BC37" s="2875">
        <f t="shared" si="248"/>
        <v>0</v>
      </c>
      <c r="BD37" s="2856">
        <f t="shared" si="221"/>
        <v>0</v>
      </c>
      <c r="BE37" s="2856">
        <f t="shared" si="222"/>
        <v>0</v>
      </c>
      <c r="BF37" s="2856">
        <f t="shared" si="223"/>
        <v>0</v>
      </c>
      <c r="BG37" s="2870">
        <f t="shared" si="224"/>
        <v>1.4590000000000001</v>
      </c>
      <c r="BH37" s="2870">
        <f t="shared" si="224"/>
        <v>1.4590000000000001</v>
      </c>
      <c r="BI37" s="2870">
        <f t="shared" si="224"/>
        <v>0</v>
      </c>
      <c r="BJ37" s="2870">
        <f t="shared" ref="BJ37:BL52" si="295">SUM(BG37-BD37)</f>
        <v>1.4590000000000001</v>
      </c>
      <c r="BK37" s="2870">
        <f t="shared" si="295"/>
        <v>1.4590000000000001</v>
      </c>
      <c r="BL37" s="2870">
        <f t="shared" si="295"/>
        <v>0</v>
      </c>
      <c r="BM37" s="2853">
        <f t="shared" si="288"/>
        <v>0</v>
      </c>
      <c r="BN37" s="2853">
        <f t="shared" si="289"/>
        <v>0</v>
      </c>
      <c r="BO37" s="2853">
        <f t="shared" si="290"/>
        <v>0</v>
      </c>
      <c r="BP37" s="2875">
        <f t="shared" si="291"/>
        <v>0</v>
      </c>
      <c r="BQ37" s="2955"/>
      <c r="BR37" s="2955"/>
      <c r="BS37" s="2875">
        <f t="shared" si="292"/>
        <v>0</v>
      </c>
      <c r="BT37" s="2955"/>
      <c r="BU37" s="2955"/>
      <c r="BV37" s="2875">
        <f t="shared" si="293"/>
        <v>0</v>
      </c>
      <c r="BW37" s="2955"/>
      <c r="BX37" s="2955"/>
      <c r="BY37" s="2875">
        <f t="shared" si="252"/>
        <v>0</v>
      </c>
      <c r="BZ37" s="2875">
        <f t="shared" si="253"/>
        <v>0</v>
      </c>
      <c r="CA37" s="2875">
        <f t="shared" si="253"/>
        <v>0</v>
      </c>
      <c r="CB37" s="2856">
        <f t="shared" si="157"/>
        <v>0</v>
      </c>
      <c r="CC37" s="2991">
        <f>0*1.52550059</f>
        <v>0</v>
      </c>
      <c r="CD37" s="2991">
        <v>0</v>
      </c>
      <c r="CE37" s="2870">
        <f t="shared" si="236"/>
        <v>1.4590000000000001</v>
      </c>
      <c r="CF37" s="2991">
        <f t="shared" si="237"/>
        <v>1.4590000000000001</v>
      </c>
      <c r="CG37" s="2991">
        <f t="shared" si="237"/>
        <v>0</v>
      </c>
      <c r="CH37" s="2870">
        <f t="shared" si="135"/>
        <v>1.4590000000000001</v>
      </c>
      <c r="CI37" s="2870">
        <f t="shared" si="135"/>
        <v>1.4590000000000001</v>
      </c>
      <c r="CJ37" s="2870">
        <f t="shared" si="135"/>
        <v>0</v>
      </c>
      <c r="CK37" s="2863"/>
      <c r="CL37" s="4188">
        <f t="shared" si="136"/>
        <v>0</v>
      </c>
      <c r="CM37" s="2987"/>
    </row>
    <row r="38" spans="1:92" ht="18.75" customHeight="1" x14ac:dyDescent="0.3">
      <c r="A38" s="2989" t="s">
        <v>594</v>
      </c>
      <c r="B38" s="2946">
        <f>SUM(C38:D38)</f>
        <v>12.818018707475</v>
      </c>
      <c r="C38" s="2946">
        <f t="shared" ref="C38:D38" si="296">SUM(C39)</f>
        <v>12.818018707475</v>
      </c>
      <c r="D38" s="2946">
        <f t="shared" si="296"/>
        <v>0</v>
      </c>
      <c r="E38" s="2865">
        <f>SUM(E39)</f>
        <v>0</v>
      </c>
      <c r="F38" s="2865">
        <f t="shared" ref="F38:G38" si="297">SUM(F39)</f>
        <v>0</v>
      </c>
      <c r="G38" s="2865">
        <f t="shared" si="297"/>
        <v>0</v>
      </c>
      <c r="H38" s="2865">
        <f>SUM(H39)</f>
        <v>0</v>
      </c>
      <c r="I38" s="2865">
        <f t="shared" ref="I38:J38" si="298">SUM(I39)</f>
        <v>0</v>
      </c>
      <c r="J38" s="2865">
        <f t="shared" si="298"/>
        <v>0</v>
      </c>
      <c r="K38" s="2865">
        <f>SUM(K39)</f>
        <v>0</v>
      </c>
      <c r="L38" s="2865">
        <f t="shared" ref="L38:M38" si="299">SUM(L39)</f>
        <v>0</v>
      </c>
      <c r="M38" s="2865">
        <f t="shared" si="299"/>
        <v>0</v>
      </c>
      <c r="N38" s="2865">
        <f t="shared" si="240"/>
        <v>0</v>
      </c>
      <c r="O38" s="2865">
        <f t="shared" si="241"/>
        <v>0</v>
      </c>
      <c r="P38" s="2865">
        <f t="shared" si="241"/>
        <v>0</v>
      </c>
      <c r="Q38" s="2946">
        <f>SUM(R38:S38)</f>
        <v>12.818018707475</v>
      </c>
      <c r="R38" s="2946">
        <f t="shared" ref="R38" si="300">SUM(R39)</f>
        <v>12.818018707475</v>
      </c>
      <c r="S38" s="2946">
        <f t="shared" ref="S38" si="301">SUM(S39)</f>
        <v>0</v>
      </c>
      <c r="T38" s="2865">
        <f>SUM(T39)</f>
        <v>0</v>
      </c>
      <c r="U38" s="2865">
        <f t="shared" ref="U38:V38" si="302">SUM(U39)</f>
        <v>0</v>
      </c>
      <c r="V38" s="2865">
        <f t="shared" si="302"/>
        <v>0</v>
      </c>
      <c r="W38" s="2865">
        <f>SUM(W39)</f>
        <v>0</v>
      </c>
      <c r="X38" s="2865">
        <f t="shared" ref="X38:Y38" si="303">SUM(X39)</f>
        <v>0</v>
      </c>
      <c r="Y38" s="2865">
        <f t="shared" si="303"/>
        <v>0</v>
      </c>
      <c r="Z38" s="2865">
        <f>SUM(Z39)</f>
        <v>0</v>
      </c>
      <c r="AA38" s="2865">
        <f t="shared" ref="AA38:AB38" si="304">SUM(AA39)</f>
        <v>0</v>
      </c>
      <c r="AB38" s="2865">
        <f t="shared" si="304"/>
        <v>0</v>
      </c>
      <c r="AC38" s="2865">
        <f t="shared" si="163"/>
        <v>0</v>
      </c>
      <c r="AD38" s="2865">
        <f t="shared" si="243"/>
        <v>0</v>
      </c>
      <c r="AE38" s="2865">
        <f t="shared" si="243"/>
        <v>0</v>
      </c>
      <c r="AF38" s="2846">
        <f t="shared" si="206"/>
        <v>25.63603741495</v>
      </c>
      <c r="AG38" s="2846">
        <f t="shared" si="207"/>
        <v>25.63603741495</v>
      </c>
      <c r="AH38" s="2846">
        <f t="shared" si="208"/>
        <v>0</v>
      </c>
      <c r="AI38" s="2867">
        <f t="shared" si="209"/>
        <v>0</v>
      </c>
      <c r="AJ38" s="2867">
        <f t="shared" si="209"/>
        <v>0</v>
      </c>
      <c r="AK38" s="2867">
        <f t="shared" si="209"/>
        <v>0</v>
      </c>
      <c r="AL38" s="2867">
        <f t="shared" si="294"/>
        <v>-25.63603741495</v>
      </c>
      <c r="AM38" s="2867">
        <f t="shared" si="294"/>
        <v>-25.63603741495</v>
      </c>
      <c r="AN38" s="2867">
        <f t="shared" si="294"/>
        <v>0</v>
      </c>
      <c r="AO38" s="2946">
        <f>SUM(AP38:AQ38)</f>
        <v>12.818018707475</v>
      </c>
      <c r="AP38" s="2946">
        <f t="shared" ref="AP38" si="305">SUM(AP39)</f>
        <v>12.818018707475</v>
      </c>
      <c r="AQ38" s="2946">
        <f t="shared" ref="AQ38" si="306">SUM(AQ39)</f>
        <v>0</v>
      </c>
      <c r="AR38" s="2865">
        <f>SUM(AR39)</f>
        <v>66.89</v>
      </c>
      <c r="AS38" s="2865">
        <f t="shared" ref="AS38:AT38" si="307">SUM(AS39)</f>
        <v>66.89</v>
      </c>
      <c r="AT38" s="2865">
        <f t="shared" si="307"/>
        <v>0</v>
      </c>
      <c r="AU38" s="2865">
        <f>SUM(AU39)</f>
        <v>26.53</v>
      </c>
      <c r="AV38" s="2865">
        <f t="shared" ref="AV38:AW38" si="308">SUM(AV39)</f>
        <v>26.53</v>
      </c>
      <c r="AW38" s="2865">
        <f t="shared" si="308"/>
        <v>0</v>
      </c>
      <c r="AX38" s="2865">
        <f>SUM(AX39)</f>
        <v>34.598999999999997</v>
      </c>
      <c r="AY38" s="2865">
        <f t="shared" ref="AY38:AZ38" si="309">SUM(AY39)</f>
        <v>34.598999999999997</v>
      </c>
      <c r="AZ38" s="2865">
        <f t="shared" si="309"/>
        <v>0</v>
      </c>
      <c r="BA38" s="2865">
        <f t="shared" si="247"/>
        <v>128.01900000000001</v>
      </c>
      <c r="BB38" s="2865">
        <f t="shared" si="248"/>
        <v>128.01900000000001</v>
      </c>
      <c r="BC38" s="2865">
        <f t="shared" si="248"/>
        <v>0</v>
      </c>
      <c r="BD38" s="2846">
        <f t="shared" si="221"/>
        <v>38.454056122425001</v>
      </c>
      <c r="BE38" s="2846">
        <f t="shared" si="222"/>
        <v>38.454056122425001</v>
      </c>
      <c r="BF38" s="2846">
        <f t="shared" si="223"/>
        <v>0</v>
      </c>
      <c r="BG38" s="2867">
        <f t="shared" si="224"/>
        <v>128.01900000000001</v>
      </c>
      <c r="BH38" s="2867">
        <f t="shared" si="224"/>
        <v>128.01900000000001</v>
      </c>
      <c r="BI38" s="2867">
        <f t="shared" si="224"/>
        <v>0</v>
      </c>
      <c r="BJ38" s="2867">
        <f t="shared" si="295"/>
        <v>89.564943877575004</v>
      </c>
      <c r="BK38" s="2867">
        <f t="shared" si="295"/>
        <v>89.564943877575004</v>
      </c>
      <c r="BL38" s="2867">
        <f t="shared" si="295"/>
        <v>0</v>
      </c>
      <c r="BM38" s="2946">
        <f>SUM(BN38:BO38)</f>
        <v>12.818018707475</v>
      </c>
      <c r="BN38" s="2946">
        <f t="shared" ref="BN38" si="310">SUM(BN39)</f>
        <v>12.818018707475</v>
      </c>
      <c r="BO38" s="2946">
        <f t="shared" ref="BO38" si="311">SUM(BO39)</f>
        <v>0</v>
      </c>
      <c r="BP38" s="2865">
        <f>SUM(BP39)</f>
        <v>4.3819999999999997</v>
      </c>
      <c r="BQ38" s="2865">
        <f t="shared" ref="BQ38:BR38" si="312">SUM(BQ39)</f>
        <v>4.3819999999999997</v>
      </c>
      <c r="BR38" s="2865">
        <f t="shared" si="312"/>
        <v>0</v>
      </c>
      <c r="BS38" s="2865">
        <f>SUM(BS39)</f>
        <v>0</v>
      </c>
      <c r="BT38" s="2865">
        <f t="shared" ref="BT38:BU38" si="313">SUM(BT39)</f>
        <v>0</v>
      </c>
      <c r="BU38" s="2865">
        <f t="shared" si="313"/>
        <v>0</v>
      </c>
      <c r="BV38" s="2865">
        <f>SUM(BV39)</f>
        <v>-3.8999999999999998E-3</v>
      </c>
      <c r="BW38" s="2865">
        <f t="shared" ref="BW38:BX38" si="314">SUM(BW39)</f>
        <v>-3.8999999999999998E-3</v>
      </c>
      <c r="BX38" s="2865">
        <f t="shared" si="314"/>
        <v>0</v>
      </c>
      <c r="BY38" s="2865">
        <f t="shared" si="252"/>
        <v>4.3780999999999999</v>
      </c>
      <c r="BZ38" s="2865">
        <f t="shared" si="253"/>
        <v>4.3780999999999999</v>
      </c>
      <c r="CA38" s="2865">
        <f t="shared" si="253"/>
        <v>0</v>
      </c>
      <c r="CB38" s="2846">
        <f t="shared" si="157"/>
        <v>51.272074829899999</v>
      </c>
      <c r="CC38" s="2990">
        <f t="shared" ref="CC38:CD38" si="315">SUM(CC39)</f>
        <v>51.272074829899999</v>
      </c>
      <c r="CD38" s="2990">
        <f t="shared" si="315"/>
        <v>0</v>
      </c>
      <c r="CE38" s="2867">
        <f t="shared" si="236"/>
        <v>132.39709999999999</v>
      </c>
      <c r="CF38" s="2982">
        <f t="shared" si="237"/>
        <v>132.39709999999999</v>
      </c>
      <c r="CG38" s="2982">
        <f t="shared" si="237"/>
        <v>0</v>
      </c>
      <c r="CH38" s="2867">
        <f t="shared" si="135"/>
        <v>81.125025170100002</v>
      </c>
      <c r="CI38" s="2867">
        <f t="shared" si="135"/>
        <v>81.125025170100002</v>
      </c>
      <c r="CJ38" s="2867">
        <f t="shared" si="135"/>
        <v>0</v>
      </c>
      <c r="CK38" s="2863"/>
      <c r="CL38" s="4188">
        <f t="shared" si="136"/>
        <v>51.272074829899999</v>
      </c>
      <c r="CM38" s="2987"/>
    </row>
    <row r="39" spans="1:92" ht="18.75" customHeight="1" x14ac:dyDescent="0.3">
      <c r="A39" s="2879" t="s">
        <v>534</v>
      </c>
      <c r="B39" s="2853">
        <f t="shared" ref="B39:B49" si="316">SUM(C39:D39)</f>
        <v>12.818018707475</v>
      </c>
      <c r="C39" s="2853">
        <f t="shared" ref="C39" si="317">SUM(CC39/4)</f>
        <v>12.818018707475</v>
      </c>
      <c r="D39" s="2853">
        <f t="shared" ref="D39" si="318">SUM(CD39/4)</f>
        <v>0</v>
      </c>
      <c r="E39" s="2875">
        <f t="shared" si="138"/>
        <v>0</v>
      </c>
      <c r="F39" s="2955"/>
      <c r="G39" s="2955"/>
      <c r="H39" s="2875">
        <f t="shared" ref="H39" si="319">SUM(I39:J39)</f>
        <v>0</v>
      </c>
      <c r="I39" s="2955"/>
      <c r="J39" s="2955"/>
      <c r="K39" s="2875">
        <f t="shared" ref="K39" si="320">SUM(L39:M39)</f>
        <v>0</v>
      </c>
      <c r="L39" s="2955"/>
      <c r="M39" s="2955"/>
      <c r="N39" s="2875">
        <f t="shared" si="240"/>
        <v>0</v>
      </c>
      <c r="O39" s="2875">
        <f t="shared" si="241"/>
        <v>0</v>
      </c>
      <c r="P39" s="2875">
        <f t="shared" si="241"/>
        <v>0</v>
      </c>
      <c r="Q39" s="2853">
        <f t="shared" ref="Q39:Q41" si="321">SUM(R39:S39)</f>
        <v>12.818018707475</v>
      </c>
      <c r="R39" s="2853">
        <f t="shared" ref="R39" si="322">SUM(C39)</f>
        <v>12.818018707475</v>
      </c>
      <c r="S39" s="2853">
        <f t="shared" ref="S39" si="323">SUM(D39)</f>
        <v>0</v>
      </c>
      <c r="T39" s="2875">
        <f t="shared" ref="T39" si="324">SUM(U39:V39)</f>
        <v>0</v>
      </c>
      <c r="U39" s="2955"/>
      <c r="V39" s="2955"/>
      <c r="W39" s="2875">
        <f t="shared" ref="W39" si="325">SUM(X39:Y39)</f>
        <v>0</v>
      </c>
      <c r="X39" s="2955"/>
      <c r="Y39" s="2955"/>
      <c r="Z39" s="2875">
        <f t="shared" ref="Z39" si="326">SUM(AA39:AB39)</f>
        <v>0</v>
      </c>
      <c r="AA39" s="2955"/>
      <c r="AB39" s="2955"/>
      <c r="AC39" s="2875">
        <f t="shared" si="163"/>
        <v>0</v>
      </c>
      <c r="AD39" s="2875">
        <f t="shared" si="243"/>
        <v>0</v>
      </c>
      <c r="AE39" s="2875">
        <f t="shared" si="243"/>
        <v>0</v>
      </c>
      <c r="AF39" s="2856">
        <f t="shared" si="206"/>
        <v>25.63603741495</v>
      </c>
      <c r="AG39" s="2856">
        <f t="shared" si="207"/>
        <v>25.63603741495</v>
      </c>
      <c r="AH39" s="2856">
        <f t="shared" si="208"/>
        <v>0</v>
      </c>
      <c r="AI39" s="2870">
        <f t="shared" si="209"/>
        <v>0</v>
      </c>
      <c r="AJ39" s="2870">
        <f t="shared" si="209"/>
        <v>0</v>
      </c>
      <c r="AK39" s="2870">
        <f t="shared" si="209"/>
        <v>0</v>
      </c>
      <c r="AL39" s="2870">
        <f t="shared" si="294"/>
        <v>-25.63603741495</v>
      </c>
      <c r="AM39" s="2870">
        <f t="shared" si="294"/>
        <v>-25.63603741495</v>
      </c>
      <c r="AN39" s="2870">
        <f t="shared" si="294"/>
        <v>0</v>
      </c>
      <c r="AO39" s="2853">
        <f t="shared" ref="AO39:AO40" si="327">SUM(AP39:AQ39)</f>
        <v>12.818018707475</v>
      </c>
      <c r="AP39" s="2853">
        <f t="shared" ref="AP39" si="328">SUM(CC39-AG39)/2</f>
        <v>12.818018707475</v>
      </c>
      <c r="AQ39" s="2853">
        <f t="shared" ref="AQ39" si="329">SUM(CD39-AH39)/2</f>
        <v>0</v>
      </c>
      <c r="AR39" s="2875">
        <f t="shared" ref="AR39" si="330">SUM(AS39:AT39)</f>
        <v>66.89</v>
      </c>
      <c r="AS39" s="2955">
        <v>66.89</v>
      </c>
      <c r="AT39" s="2955"/>
      <c r="AU39" s="2875">
        <f t="shared" ref="AU39" si="331">SUM(AV39:AW39)</f>
        <v>26.53</v>
      </c>
      <c r="AV39" s="2955">
        <f>9.921+16.609</f>
        <v>26.53</v>
      </c>
      <c r="AW39" s="2955"/>
      <c r="AX39" s="2875">
        <f t="shared" ref="AX39" si="332">SUM(AY39:AZ39)</f>
        <v>34.598999999999997</v>
      </c>
      <c r="AY39" s="2955">
        <v>34.598999999999997</v>
      </c>
      <c r="AZ39" s="2955"/>
      <c r="BA39" s="2875">
        <f t="shared" si="247"/>
        <v>128.01900000000001</v>
      </c>
      <c r="BB39" s="2875">
        <f t="shared" si="248"/>
        <v>128.01900000000001</v>
      </c>
      <c r="BC39" s="2875">
        <f t="shared" si="248"/>
        <v>0</v>
      </c>
      <c r="BD39" s="2856">
        <f t="shared" si="221"/>
        <v>38.454056122425001</v>
      </c>
      <c r="BE39" s="2856">
        <f t="shared" si="222"/>
        <v>38.454056122425001</v>
      </c>
      <c r="BF39" s="2856">
        <f t="shared" si="223"/>
        <v>0</v>
      </c>
      <c r="BG39" s="2870">
        <f t="shared" si="224"/>
        <v>128.01900000000001</v>
      </c>
      <c r="BH39" s="2870">
        <f t="shared" si="224"/>
        <v>128.01900000000001</v>
      </c>
      <c r="BI39" s="2870">
        <f t="shared" si="224"/>
        <v>0</v>
      </c>
      <c r="BJ39" s="2870">
        <f t="shared" si="295"/>
        <v>89.564943877575004</v>
      </c>
      <c r="BK39" s="2870">
        <f t="shared" si="295"/>
        <v>89.564943877575004</v>
      </c>
      <c r="BL39" s="2870">
        <f t="shared" si="295"/>
        <v>0</v>
      </c>
      <c r="BM39" s="2853">
        <f t="shared" ref="BM39:BM41" si="333">SUM(BN39:BO39)</f>
        <v>12.818018707475</v>
      </c>
      <c r="BN39" s="2853">
        <f t="shared" ref="BN39" si="334">SUM(AP39)</f>
        <v>12.818018707475</v>
      </c>
      <c r="BO39" s="2853">
        <f t="shared" ref="BO39" si="335">SUM(AQ39)</f>
        <v>0</v>
      </c>
      <c r="BP39" s="2875">
        <f t="shared" ref="BP39" si="336">SUM(BQ39:BR39)</f>
        <v>4.3819999999999997</v>
      </c>
      <c r="BQ39" s="2955">
        <v>4.3819999999999997</v>
      </c>
      <c r="BR39" s="2955"/>
      <c r="BS39" s="2875">
        <f t="shared" ref="BS39" si="337">SUM(BT39:BU39)</f>
        <v>0</v>
      </c>
      <c r="BT39" s="2955"/>
      <c r="BU39" s="2955"/>
      <c r="BV39" s="2875">
        <f t="shared" ref="BV39" si="338">SUM(BW39:BX39)</f>
        <v>-3.8999999999999998E-3</v>
      </c>
      <c r="BW39" s="2955">
        <v>-3.8999999999999998E-3</v>
      </c>
      <c r="BX39" s="2955"/>
      <c r="BY39" s="2875">
        <f t="shared" si="252"/>
        <v>4.3780999999999999</v>
      </c>
      <c r="BZ39" s="2875">
        <f t="shared" si="253"/>
        <v>4.3780999999999999</v>
      </c>
      <c r="CA39" s="2875">
        <f t="shared" si="253"/>
        <v>0</v>
      </c>
      <c r="CB39" s="2856">
        <f t="shared" si="157"/>
        <v>51.272074829899999</v>
      </c>
      <c r="CC39" s="2991">
        <f>33.61*1.52550059</f>
        <v>51.272074829899999</v>
      </c>
      <c r="CD39" s="2991">
        <v>0</v>
      </c>
      <c r="CE39" s="2870">
        <f t="shared" si="236"/>
        <v>132.39709999999999</v>
      </c>
      <c r="CF39" s="2991">
        <f t="shared" si="237"/>
        <v>132.39709999999999</v>
      </c>
      <c r="CG39" s="2991">
        <f t="shared" si="237"/>
        <v>0</v>
      </c>
      <c r="CH39" s="2870">
        <f t="shared" si="135"/>
        <v>81.125025170100002</v>
      </c>
      <c r="CI39" s="2870">
        <f t="shared" si="135"/>
        <v>81.125025170100002</v>
      </c>
      <c r="CJ39" s="2870">
        <f t="shared" si="135"/>
        <v>0</v>
      </c>
      <c r="CK39" s="2863"/>
      <c r="CL39" s="4188">
        <f t="shared" si="136"/>
        <v>51.272074829899999</v>
      </c>
      <c r="CM39" s="2987"/>
    </row>
    <row r="40" spans="1:92" ht="18.75" customHeight="1" x14ac:dyDescent="0.3">
      <c r="A40" s="2910" t="s">
        <v>7</v>
      </c>
      <c r="B40" s="2837">
        <f t="shared" si="316"/>
        <v>12089.032673239833</v>
      </c>
      <c r="C40" s="2959">
        <f t="shared" ref="C40:D40" si="339">SUM(C41:C47)+C49</f>
        <v>12035.706096670219</v>
      </c>
      <c r="D40" s="2959">
        <f t="shared" si="339"/>
        <v>53.326576569614105</v>
      </c>
      <c r="E40" s="2861">
        <f>SUM(F40:G40)</f>
        <v>3377.8120000000004</v>
      </c>
      <c r="F40" s="2861">
        <f t="shared" ref="F40:P40" si="340">SUM(F41:F47)+F49</f>
        <v>3369.6180000000004</v>
      </c>
      <c r="G40" s="2959">
        <f t="shared" si="340"/>
        <v>8.1939999999999991</v>
      </c>
      <c r="H40" s="2861">
        <f>SUM(I40:J40)</f>
        <v>3233.1859999999997</v>
      </c>
      <c r="I40" s="2861">
        <f t="shared" ref="I40:J40" si="341">SUM(I41:I47)+I49</f>
        <v>3222.9269999999997</v>
      </c>
      <c r="J40" s="2861">
        <f t="shared" si="341"/>
        <v>10.259</v>
      </c>
      <c r="K40" s="2861">
        <f>SUM(L40:M40)</f>
        <v>3695.7563399999995</v>
      </c>
      <c r="L40" s="2861">
        <f t="shared" ref="L40:M40" si="342">SUM(L41:L47)+L49</f>
        <v>3677.0949999999993</v>
      </c>
      <c r="M40" s="2861">
        <f t="shared" si="342"/>
        <v>18.661339999999999</v>
      </c>
      <c r="N40" s="2861">
        <f t="shared" si="240"/>
        <v>10306.75434</v>
      </c>
      <c r="O40" s="2861">
        <f t="shared" si="340"/>
        <v>10269.64</v>
      </c>
      <c r="P40" s="2861">
        <f t="shared" si="340"/>
        <v>37.114339999999999</v>
      </c>
      <c r="Q40" s="2837">
        <f t="shared" si="321"/>
        <v>12089.032673239833</v>
      </c>
      <c r="R40" s="2959">
        <f t="shared" ref="R40:S40" si="343">SUM(R41:R47)+R49</f>
        <v>12035.706096670219</v>
      </c>
      <c r="S40" s="2959">
        <f t="shared" si="343"/>
        <v>53.326576569614105</v>
      </c>
      <c r="T40" s="2861">
        <f>SUM(U40:V40)</f>
        <v>3650.8130000000001</v>
      </c>
      <c r="U40" s="2861">
        <f t="shared" ref="U40:V40" si="344">SUM(U41:U47)+U49</f>
        <v>3636.81</v>
      </c>
      <c r="V40" s="2861">
        <f t="shared" si="344"/>
        <v>14.003</v>
      </c>
      <c r="W40" s="2861">
        <f>SUM(X40:Y40)</f>
        <v>3568.1079999999997</v>
      </c>
      <c r="X40" s="2861">
        <f t="shared" ref="X40:Y40" si="345">SUM(X41:X47)+X49</f>
        <v>3556.2</v>
      </c>
      <c r="Y40" s="2861">
        <f t="shared" si="345"/>
        <v>11.907999999999999</v>
      </c>
      <c r="Z40" s="2861">
        <f>SUM(AA40:AB40)</f>
        <v>3395.1839999999997</v>
      </c>
      <c r="AA40" s="2861">
        <f t="shared" ref="AA40:AB40" si="346">SUM(AA41:AA47)+AA49</f>
        <v>3384.2719999999999</v>
      </c>
      <c r="AB40" s="2861">
        <f t="shared" si="346"/>
        <v>10.912000000000001</v>
      </c>
      <c r="AC40" s="2861">
        <f t="shared" si="163"/>
        <v>10614.105</v>
      </c>
      <c r="AD40" s="2861">
        <f t="shared" ref="AD40:AE40" si="347">SUM(AD41:AD47)+AD49</f>
        <v>10577.281999999999</v>
      </c>
      <c r="AE40" s="2861">
        <f t="shared" si="347"/>
        <v>36.823</v>
      </c>
      <c r="AF40" s="2839">
        <f t="shared" si="206"/>
        <v>24178.065346479667</v>
      </c>
      <c r="AG40" s="2839">
        <f t="shared" si="207"/>
        <v>24071.412193340439</v>
      </c>
      <c r="AH40" s="2839">
        <f t="shared" si="208"/>
        <v>106.65315313922821</v>
      </c>
      <c r="AI40" s="2862">
        <f t="shared" si="209"/>
        <v>20920.859339999999</v>
      </c>
      <c r="AJ40" s="2862">
        <f t="shared" si="209"/>
        <v>20846.921999999999</v>
      </c>
      <c r="AK40" s="2862">
        <f t="shared" si="209"/>
        <v>73.937340000000006</v>
      </c>
      <c r="AL40" s="2862">
        <f t="shared" si="294"/>
        <v>-3257.2060064796678</v>
      </c>
      <c r="AM40" s="2862">
        <f t="shared" si="294"/>
        <v>-3224.4901933404399</v>
      </c>
      <c r="AN40" s="2862">
        <f t="shared" si="294"/>
        <v>-32.715813139228203</v>
      </c>
      <c r="AO40" s="2837">
        <f t="shared" si="327"/>
        <v>12152.005080395267</v>
      </c>
      <c r="AP40" s="2959">
        <f t="shared" ref="AP40:AQ40" si="348">SUM(AP41:AP47)+AP49</f>
        <v>12097.931519596368</v>
      </c>
      <c r="AQ40" s="2959">
        <f t="shared" si="348"/>
        <v>54.073560798899308</v>
      </c>
      <c r="AR40" s="2861">
        <f>SUM(AS40:AT40)</f>
        <v>3634.864</v>
      </c>
      <c r="AS40" s="2861">
        <f t="shared" ref="AS40:AT40" si="349">SUM(AS41:AS47)+AS49</f>
        <v>3623.4340000000002</v>
      </c>
      <c r="AT40" s="2861">
        <f t="shared" si="349"/>
        <v>11.43</v>
      </c>
      <c r="AU40" s="2861">
        <f>SUM(AV40:AW40)</f>
        <v>3437.3439999999996</v>
      </c>
      <c r="AV40" s="2861">
        <f t="shared" ref="AV40:AW40" si="350">SUM(AV41:AV47)+AV49</f>
        <v>3424.0389999999998</v>
      </c>
      <c r="AW40" s="2861">
        <f t="shared" si="350"/>
        <v>13.305</v>
      </c>
      <c r="AX40" s="2861">
        <f>SUM(AY40:AZ40)</f>
        <v>3585.3160000000003</v>
      </c>
      <c r="AY40" s="2861">
        <f t="shared" ref="AY40:AZ40" si="351">SUM(AY41:AY47)+AY49</f>
        <v>3573.1050000000005</v>
      </c>
      <c r="AZ40" s="2861">
        <f t="shared" si="351"/>
        <v>12.210999999999999</v>
      </c>
      <c r="BA40" s="2861">
        <f t="shared" ref="BA40:BA47" si="352">SUM(BB40:BC40)</f>
        <v>10657.523999999999</v>
      </c>
      <c r="BB40" s="2861">
        <f t="shared" ref="BB40:BC40" si="353">SUM(BB41:BB47)+BB49</f>
        <v>10620.578</v>
      </c>
      <c r="BC40" s="2861">
        <f t="shared" si="353"/>
        <v>36.945999999999998</v>
      </c>
      <c r="BD40" s="2839">
        <f t="shared" si="221"/>
        <v>36330.07042687494</v>
      </c>
      <c r="BE40" s="2839">
        <f t="shared" si="222"/>
        <v>36169.34371293681</v>
      </c>
      <c r="BF40" s="2839">
        <f t="shared" si="223"/>
        <v>160.72671393812752</v>
      </c>
      <c r="BG40" s="2862">
        <f t="shared" ref="BG40:BG47" si="354">SUM(AI40+BA40)</f>
        <v>31578.38334</v>
      </c>
      <c r="BH40" s="2862">
        <f t="shared" si="224"/>
        <v>31467.5</v>
      </c>
      <c r="BI40" s="2862">
        <f t="shared" si="224"/>
        <v>110.88334</v>
      </c>
      <c r="BJ40" s="2862">
        <f t="shared" si="295"/>
        <v>-4751.6870868749393</v>
      </c>
      <c r="BK40" s="2862">
        <f t="shared" si="295"/>
        <v>-4701.8437129368103</v>
      </c>
      <c r="BL40" s="2862">
        <f t="shared" si="295"/>
        <v>-49.843373938127513</v>
      </c>
      <c r="BM40" s="2837">
        <f t="shared" si="333"/>
        <v>12152.005080395267</v>
      </c>
      <c r="BN40" s="2959">
        <f t="shared" ref="BN40:BO40" si="355">SUM(BN41:BN47)+BN49</f>
        <v>12097.931519596368</v>
      </c>
      <c r="BO40" s="2959">
        <f t="shared" si="355"/>
        <v>54.073560798899308</v>
      </c>
      <c r="BP40" s="2861">
        <f>SUM(BQ40:BR40)</f>
        <v>3430.0509999999995</v>
      </c>
      <c r="BQ40" s="2861">
        <f t="shared" ref="BQ40:BR40" si="356">SUM(BQ41:BQ47)+BQ49</f>
        <v>3416.5579999999995</v>
      </c>
      <c r="BR40" s="2861">
        <f t="shared" si="356"/>
        <v>13.492999999999999</v>
      </c>
      <c r="BS40" s="2861">
        <f>SUM(BT40:BU40)</f>
        <v>3333.6869999999999</v>
      </c>
      <c r="BT40" s="2861">
        <f t="shared" ref="BT40:BU40" si="357">SUM(BT41:BT47)+BT49</f>
        <v>3322.2759999999998</v>
      </c>
      <c r="BU40" s="2861">
        <f t="shared" si="357"/>
        <v>11.411</v>
      </c>
      <c r="BV40" s="2861">
        <f>SUM(BW40:BX40)</f>
        <v>3933.1453000000006</v>
      </c>
      <c r="BW40" s="2861">
        <f t="shared" ref="BW40:BX40" si="358">SUM(BW41:BW47)+BW49</f>
        <v>3909.0763000000006</v>
      </c>
      <c r="BX40" s="2861">
        <f t="shared" si="358"/>
        <v>24.069000000000003</v>
      </c>
      <c r="BY40" s="2861">
        <f t="shared" si="252"/>
        <v>10696.8833</v>
      </c>
      <c r="BZ40" s="2861">
        <f t="shared" ref="BZ40:CA40" si="359">SUM(BZ41:BZ47)+BZ49</f>
        <v>10647.9103</v>
      </c>
      <c r="CA40" s="2861">
        <f t="shared" si="359"/>
        <v>48.972999999999999</v>
      </c>
      <c r="CB40" s="2839">
        <f t="shared" si="157"/>
        <v>48482.07567710826</v>
      </c>
      <c r="CC40" s="2981">
        <f>SUM(стоки!DA17)</f>
        <v>48267.275402371233</v>
      </c>
      <c r="CD40" s="2981">
        <f>SUM(стоки!DB17)</f>
        <v>214.80027473702683</v>
      </c>
      <c r="CE40" s="2862">
        <f t="shared" si="236"/>
        <v>42275.266640000002</v>
      </c>
      <c r="CF40" s="2981">
        <f t="shared" si="237"/>
        <v>42115.410300000003</v>
      </c>
      <c r="CG40" s="2981">
        <f t="shared" si="237"/>
        <v>159.85633999999999</v>
      </c>
      <c r="CH40" s="2862">
        <f t="shared" ref="CH40:CJ48" si="360">SUM(CE40-CB40)</f>
        <v>-6206.8090371082581</v>
      </c>
      <c r="CI40" s="2862">
        <f t="shared" si="360"/>
        <v>-6151.86510237123</v>
      </c>
      <c r="CJ40" s="2862">
        <f t="shared" si="360"/>
        <v>-54.943934737026837</v>
      </c>
      <c r="CK40" s="2987"/>
      <c r="CL40" s="4188">
        <f t="shared" si="136"/>
        <v>48482.075507270201</v>
      </c>
      <c r="CM40" s="2987">
        <f t="shared" ref="CM40:CN40" si="361">SUM(CC41:CC47)+CC49</f>
        <v>48267.275402371233</v>
      </c>
      <c r="CN40" s="2987">
        <f t="shared" si="361"/>
        <v>214.80027473702683</v>
      </c>
    </row>
    <row r="41" spans="1:92" ht="18.75" customHeight="1" x14ac:dyDescent="0.3">
      <c r="A41" s="2914" t="s">
        <v>1</v>
      </c>
      <c r="B41" s="2845">
        <f t="shared" si="316"/>
        <v>1568.2963228026554</v>
      </c>
      <c r="C41" s="2845">
        <f>SUM(CC41/2)/(1+(104%*100-100)/2/100)/6*3</f>
        <v>1555.6355731537537</v>
      </c>
      <c r="D41" s="2845">
        <f>SUM(CD41/2)/(1+(105.9%*100-100)/2/100)/6*3</f>
        <v>12.660749648901724</v>
      </c>
      <c r="E41" s="2865">
        <f t="shared" si="138"/>
        <v>766.11700000000008</v>
      </c>
      <c r="F41" s="2947">
        <v>765.7</v>
      </c>
      <c r="G41" s="2947">
        <v>0.41699999999999998</v>
      </c>
      <c r="H41" s="2865">
        <f t="shared" ref="H41:H47" si="362">SUM(I41:J41)</f>
        <v>746.87900000000002</v>
      </c>
      <c r="I41" s="2947">
        <v>746.40700000000004</v>
      </c>
      <c r="J41" s="2947">
        <v>0.47199999999999998</v>
      </c>
      <c r="K41" s="2865">
        <f t="shared" ref="K41:K47" si="363">SUM(L41:M41)</f>
        <v>775.88800000000003</v>
      </c>
      <c r="L41" s="2947">
        <v>770.13</v>
      </c>
      <c r="M41" s="2947">
        <v>5.758</v>
      </c>
      <c r="N41" s="2865">
        <f t="shared" si="240"/>
        <v>2288.884</v>
      </c>
      <c r="O41" s="2865">
        <f t="shared" ref="O41:O47" si="364">SUM(F41+I41+L41)</f>
        <v>2282.2370000000001</v>
      </c>
      <c r="P41" s="2865">
        <f t="shared" ref="P41:P47" si="365">SUM(G41+J41+M41)</f>
        <v>6.6470000000000002</v>
      </c>
      <c r="Q41" s="2845">
        <f t="shared" si="321"/>
        <v>1568.2963228026554</v>
      </c>
      <c r="R41" s="2845">
        <f t="shared" ref="R41:S47" si="366">SUM(C41)</f>
        <v>1555.6355731537537</v>
      </c>
      <c r="S41" s="2845">
        <f t="shared" si="366"/>
        <v>12.660749648901724</v>
      </c>
      <c r="T41" s="2865">
        <f t="shared" ref="T41:T47" si="367">SUM(U41:V41)</f>
        <v>767.72299999999996</v>
      </c>
      <c r="U41" s="2947">
        <v>766.24</v>
      </c>
      <c r="V41" s="2947">
        <v>1.4830000000000001</v>
      </c>
      <c r="W41" s="2865">
        <f t="shared" ref="W41:W47" si="368">SUM(X41:Y41)</f>
        <v>751.31</v>
      </c>
      <c r="X41" s="2947">
        <v>750.78</v>
      </c>
      <c r="Y41" s="2947">
        <v>0.53</v>
      </c>
      <c r="Z41" s="2865">
        <f t="shared" ref="Z41:Z47" si="369">SUM(AA41:AB41)</f>
        <v>683.39100000000008</v>
      </c>
      <c r="AA41" s="2947">
        <v>677.11800000000005</v>
      </c>
      <c r="AB41" s="2947">
        <v>6.2729999999999997</v>
      </c>
      <c r="AC41" s="2865">
        <f t="shared" si="163"/>
        <v>2202.424</v>
      </c>
      <c r="AD41" s="2865">
        <f t="shared" ref="AD41:AE47" si="370">SUM(U41+X41+AA41)</f>
        <v>2194.1379999999999</v>
      </c>
      <c r="AE41" s="2865">
        <f t="shared" si="370"/>
        <v>8.2859999999999996</v>
      </c>
      <c r="AF41" s="2846">
        <f t="shared" si="206"/>
        <v>3136.5926456053107</v>
      </c>
      <c r="AG41" s="2846">
        <f t="shared" si="207"/>
        <v>3111.2711463075075</v>
      </c>
      <c r="AH41" s="2846">
        <f t="shared" si="208"/>
        <v>25.321499297803449</v>
      </c>
      <c r="AI41" s="2867">
        <f t="shared" si="209"/>
        <v>4491.308</v>
      </c>
      <c r="AJ41" s="2867">
        <f t="shared" si="209"/>
        <v>4476.375</v>
      </c>
      <c r="AK41" s="2867">
        <f t="shared" si="209"/>
        <v>14.933</v>
      </c>
      <c r="AL41" s="2867">
        <f t="shared" si="294"/>
        <v>1354.7153543946893</v>
      </c>
      <c r="AM41" s="2867">
        <f t="shared" si="294"/>
        <v>1365.1038536924925</v>
      </c>
      <c r="AN41" s="2867">
        <f t="shared" si="294"/>
        <v>-10.388499297803449</v>
      </c>
      <c r="AO41" s="2845">
        <f t="shared" ref="AO41:AO65" si="371">SUM(AP41:AQ41)</f>
        <v>1631.2687299580905</v>
      </c>
      <c r="AP41" s="2845">
        <f t="shared" ref="AP41:AP47" si="372">SUM(CC41-AG41)/2</f>
        <v>1617.8609960799035</v>
      </c>
      <c r="AQ41" s="2845">
        <f t="shared" ref="AQ41:AQ47" si="373">SUM(CD41-AH41)/2</f>
        <v>13.407733878186928</v>
      </c>
      <c r="AR41" s="2865">
        <f t="shared" ref="AR41:AR47" si="374">SUM(AS41:AT41)</f>
        <v>733.41499999999996</v>
      </c>
      <c r="AS41" s="2947">
        <v>732.42399999999998</v>
      </c>
      <c r="AT41" s="2947">
        <v>0.99099999999999999</v>
      </c>
      <c r="AU41" s="2865">
        <f t="shared" ref="AU41:AU47" si="375">SUM(AV41:AW41)</f>
        <v>754.34199999999998</v>
      </c>
      <c r="AV41" s="2947">
        <v>752.702</v>
      </c>
      <c r="AW41" s="2947">
        <v>1.64</v>
      </c>
      <c r="AX41" s="2865">
        <f t="shared" ref="AX41:AX47" si="376">SUM(AY41:AZ41)</f>
        <v>780.4910000000001</v>
      </c>
      <c r="AY41" s="2947">
        <v>779.94500000000005</v>
      </c>
      <c r="AZ41" s="2947">
        <v>0.54600000000000004</v>
      </c>
      <c r="BA41" s="2865">
        <f t="shared" si="352"/>
        <v>2268.248</v>
      </c>
      <c r="BB41" s="2865">
        <f t="shared" ref="BB41:BC47" si="377">SUM(AS41+AV41+AY41)</f>
        <v>2265.0709999999999</v>
      </c>
      <c r="BC41" s="2865">
        <f t="shared" si="377"/>
        <v>3.1769999999999996</v>
      </c>
      <c r="BD41" s="2846">
        <f t="shared" si="221"/>
        <v>4767.8613755634005</v>
      </c>
      <c r="BE41" s="2846">
        <f t="shared" si="222"/>
        <v>4729.1321423874106</v>
      </c>
      <c r="BF41" s="2846">
        <f t="shared" si="223"/>
        <v>38.729233175990373</v>
      </c>
      <c r="BG41" s="2867">
        <f t="shared" si="354"/>
        <v>6759.5560000000005</v>
      </c>
      <c r="BH41" s="2867">
        <f t="shared" si="224"/>
        <v>6741.4459999999999</v>
      </c>
      <c r="BI41" s="2867">
        <f t="shared" si="224"/>
        <v>18.11</v>
      </c>
      <c r="BJ41" s="2867">
        <f t="shared" si="295"/>
        <v>1991.6946244366</v>
      </c>
      <c r="BK41" s="2867">
        <f t="shared" si="295"/>
        <v>2012.3138576125893</v>
      </c>
      <c r="BL41" s="2867">
        <f t="shared" si="295"/>
        <v>-20.619233175990374</v>
      </c>
      <c r="BM41" s="2845">
        <f t="shared" si="333"/>
        <v>1631.2687299580905</v>
      </c>
      <c r="BN41" s="2845">
        <f t="shared" ref="BN41:BO47" si="378">SUM(AP41)</f>
        <v>1617.8609960799035</v>
      </c>
      <c r="BO41" s="2845">
        <f t="shared" si="378"/>
        <v>13.407733878186928</v>
      </c>
      <c r="BP41" s="2865">
        <f t="shared" ref="BP41:BP47" si="379">SUM(BQ41:BR41)</f>
        <v>781.822</v>
      </c>
      <c r="BQ41" s="2947">
        <v>779.91</v>
      </c>
      <c r="BR41" s="2947">
        <v>1.9119999999999999</v>
      </c>
      <c r="BS41" s="2865">
        <f t="shared" ref="BS41:BS47" si="380">SUM(BT41:BU41)</f>
        <v>756.76300000000003</v>
      </c>
      <c r="BT41" s="2947">
        <v>756.15899999999999</v>
      </c>
      <c r="BU41" s="2947">
        <v>0.60399999999999998</v>
      </c>
      <c r="BV41" s="2865">
        <f t="shared" ref="BV41:BV47" si="381">SUM(BW41:BX41)</f>
        <v>852.529</v>
      </c>
      <c r="BW41" s="2947">
        <v>840.41600000000005</v>
      </c>
      <c r="BX41" s="2947">
        <v>12.113</v>
      </c>
      <c r="BY41" s="2865">
        <f t="shared" si="252"/>
        <v>2391.114</v>
      </c>
      <c r="BZ41" s="2865">
        <f t="shared" ref="BZ41:CA47" si="382">SUM(BQ41+BT41+BW41)</f>
        <v>2376.4850000000001</v>
      </c>
      <c r="CA41" s="2865">
        <f t="shared" si="382"/>
        <v>14.629</v>
      </c>
      <c r="CB41" s="2846">
        <f t="shared" si="157"/>
        <v>6399.1301055214917</v>
      </c>
      <c r="CC41" s="2982">
        <f>SUM(стоки!DA18)</f>
        <v>6346.9931384673146</v>
      </c>
      <c r="CD41" s="2982">
        <f>SUM(стоки!DB18)</f>
        <v>52.136967054177305</v>
      </c>
      <c r="CE41" s="2867">
        <f t="shared" si="236"/>
        <v>9150.67</v>
      </c>
      <c r="CF41" s="2982">
        <f t="shared" si="237"/>
        <v>9117.9310000000005</v>
      </c>
      <c r="CG41" s="2982">
        <f t="shared" si="237"/>
        <v>32.738999999999997</v>
      </c>
      <c r="CH41" s="2867">
        <f t="shared" si="360"/>
        <v>2751.5398944785084</v>
      </c>
      <c r="CI41" s="2867">
        <f t="shared" si="360"/>
        <v>2770.9378615326859</v>
      </c>
      <c r="CJ41" s="2867">
        <f t="shared" si="360"/>
        <v>-19.397967054177307</v>
      </c>
      <c r="CK41" s="2863"/>
      <c r="CL41" s="4194">
        <f t="shared" si="136"/>
        <v>6399.1301055214917</v>
      </c>
      <c r="CM41" s="2863"/>
    </row>
    <row r="42" spans="1:92" ht="18.75" customHeight="1" x14ac:dyDescent="0.3">
      <c r="A42" s="2914" t="s">
        <v>8</v>
      </c>
      <c r="B42" s="2845">
        <f t="shared" si="316"/>
        <v>290.93180513540381</v>
      </c>
      <c r="C42" s="2845">
        <f t="shared" ref="C42:C47" si="383">SUM(CC42/4)</f>
        <v>290.93180513540381</v>
      </c>
      <c r="D42" s="2845">
        <f t="shared" ref="D42:D47" si="384">SUM(CD42/4)</f>
        <v>0</v>
      </c>
      <c r="E42" s="2865">
        <f t="shared" si="138"/>
        <v>86.11</v>
      </c>
      <c r="F42" s="2947">
        <v>86.11</v>
      </c>
      <c r="G42" s="2947"/>
      <c r="H42" s="2865">
        <f t="shared" si="362"/>
        <v>87.031999999999996</v>
      </c>
      <c r="I42" s="2947">
        <v>87.031999999999996</v>
      </c>
      <c r="J42" s="2947"/>
      <c r="K42" s="2865">
        <f t="shared" si="363"/>
        <v>73.05</v>
      </c>
      <c r="L42" s="2947">
        <v>73.05</v>
      </c>
      <c r="M42" s="2947"/>
      <c r="N42" s="2865">
        <f t="shared" si="240"/>
        <v>246.19200000000001</v>
      </c>
      <c r="O42" s="2865">
        <f t="shared" si="364"/>
        <v>246.19200000000001</v>
      </c>
      <c r="P42" s="2865">
        <f t="shared" si="365"/>
        <v>0</v>
      </c>
      <c r="Q42" s="2845">
        <f t="shared" ref="Q42:Q65" si="385">SUM(R42:S42)</f>
        <v>290.93180513540381</v>
      </c>
      <c r="R42" s="2845">
        <f t="shared" si="366"/>
        <v>290.93180513540381</v>
      </c>
      <c r="S42" s="2845">
        <f t="shared" si="366"/>
        <v>0</v>
      </c>
      <c r="T42" s="2865">
        <f t="shared" si="367"/>
        <v>77.150000000000006</v>
      </c>
      <c r="U42" s="2947">
        <v>77.150000000000006</v>
      </c>
      <c r="V42" s="2947"/>
      <c r="W42" s="2865">
        <f t="shared" si="368"/>
        <v>48.41</v>
      </c>
      <c r="X42" s="2947">
        <v>48.41</v>
      </c>
      <c r="Y42" s="2947"/>
      <c r="Z42" s="2865">
        <f t="shared" si="369"/>
        <v>33.921999999999997</v>
      </c>
      <c r="AA42" s="2947">
        <v>33.921999999999997</v>
      </c>
      <c r="AB42" s="2947"/>
      <c r="AC42" s="2865">
        <f t="shared" si="163"/>
        <v>159.482</v>
      </c>
      <c r="AD42" s="2865">
        <f t="shared" si="370"/>
        <v>159.482</v>
      </c>
      <c r="AE42" s="2865">
        <f t="shared" si="370"/>
        <v>0</v>
      </c>
      <c r="AF42" s="2846">
        <f t="shared" si="206"/>
        <v>581.86361027080761</v>
      </c>
      <c r="AG42" s="2846">
        <f t="shared" si="207"/>
        <v>581.86361027080761</v>
      </c>
      <c r="AH42" s="2846">
        <f t="shared" si="208"/>
        <v>0</v>
      </c>
      <c r="AI42" s="2867">
        <f t="shared" si="209"/>
        <v>405.67399999999998</v>
      </c>
      <c r="AJ42" s="2867">
        <f t="shared" si="209"/>
        <v>405.67399999999998</v>
      </c>
      <c r="AK42" s="2867">
        <f t="shared" si="209"/>
        <v>0</v>
      </c>
      <c r="AL42" s="2867">
        <f t="shared" si="294"/>
        <v>-176.18961027080763</v>
      </c>
      <c r="AM42" s="2867">
        <f t="shared" si="294"/>
        <v>-176.18961027080763</v>
      </c>
      <c r="AN42" s="2867">
        <f t="shared" si="294"/>
        <v>0</v>
      </c>
      <c r="AO42" s="2845">
        <f t="shared" si="371"/>
        <v>290.93180513540381</v>
      </c>
      <c r="AP42" s="2845">
        <f t="shared" si="372"/>
        <v>290.93180513540381</v>
      </c>
      <c r="AQ42" s="2845">
        <f t="shared" si="373"/>
        <v>0</v>
      </c>
      <c r="AR42" s="2865">
        <f t="shared" si="374"/>
        <v>68.400000000000006</v>
      </c>
      <c r="AS42" s="2947">
        <v>68.400000000000006</v>
      </c>
      <c r="AT42" s="2947"/>
      <c r="AU42" s="2865">
        <f t="shared" si="375"/>
        <v>51.436</v>
      </c>
      <c r="AV42" s="2947">
        <v>51.436</v>
      </c>
      <c r="AW42" s="2947"/>
      <c r="AX42" s="2865">
        <f t="shared" si="376"/>
        <v>5.47</v>
      </c>
      <c r="AY42" s="2947">
        <v>5.47</v>
      </c>
      <c r="AZ42" s="2947"/>
      <c r="BA42" s="2865">
        <f t="shared" si="352"/>
        <v>125.30600000000001</v>
      </c>
      <c r="BB42" s="2865">
        <f t="shared" si="377"/>
        <v>125.30600000000001</v>
      </c>
      <c r="BC42" s="2865">
        <f t="shared" si="377"/>
        <v>0</v>
      </c>
      <c r="BD42" s="2846">
        <f t="shared" si="221"/>
        <v>872.79541540621142</v>
      </c>
      <c r="BE42" s="2846">
        <f t="shared" si="222"/>
        <v>872.79541540621142</v>
      </c>
      <c r="BF42" s="2846">
        <f t="shared" si="223"/>
        <v>0</v>
      </c>
      <c r="BG42" s="2867">
        <f t="shared" si="354"/>
        <v>530.98</v>
      </c>
      <c r="BH42" s="2867">
        <f t="shared" si="224"/>
        <v>530.98</v>
      </c>
      <c r="BI42" s="2867">
        <f t="shared" si="224"/>
        <v>0</v>
      </c>
      <c r="BJ42" s="2867">
        <f t="shared" si="295"/>
        <v>-341.8154154062114</v>
      </c>
      <c r="BK42" s="2867">
        <f t="shared" si="295"/>
        <v>-341.8154154062114</v>
      </c>
      <c r="BL42" s="2867">
        <f t="shared" si="295"/>
        <v>0</v>
      </c>
      <c r="BM42" s="2845">
        <f t="shared" ref="BM42:BM49" si="386">SUM(BN42:BO42)</f>
        <v>290.93180513540381</v>
      </c>
      <c r="BN42" s="2845">
        <f t="shared" si="378"/>
        <v>290.93180513540381</v>
      </c>
      <c r="BO42" s="2845">
        <f t="shared" si="378"/>
        <v>0</v>
      </c>
      <c r="BP42" s="2865">
        <f t="shared" si="379"/>
        <v>5.47</v>
      </c>
      <c r="BQ42" s="2947">
        <v>5.47</v>
      </c>
      <c r="BR42" s="2947"/>
      <c r="BS42" s="2865">
        <f t="shared" si="380"/>
        <v>9.1969999999999992</v>
      </c>
      <c r="BT42" s="2947">
        <v>9.1969999999999992</v>
      </c>
      <c r="BU42" s="2947"/>
      <c r="BV42" s="2865">
        <f t="shared" si="381"/>
        <v>64.061999999999998</v>
      </c>
      <c r="BW42" s="2947">
        <v>64.061999999999998</v>
      </c>
      <c r="BX42" s="2947"/>
      <c r="BY42" s="2865">
        <f t="shared" si="252"/>
        <v>78.728999999999999</v>
      </c>
      <c r="BZ42" s="2865">
        <f t="shared" si="382"/>
        <v>78.728999999999999</v>
      </c>
      <c r="CA42" s="2865">
        <f t="shared" si="382"/>
        <v>0</v>
      </c>
      <c r="CB42" s="2846">
        <f t="shared" si="157"/>
        <v>1163.7272205416152</v>
      </c>
      <c r="CC42" s="2982">
        <f>SUM(стоки!DA19)</f>
        <v>1163.7272205416152</v>
      </c>
      <c r="CD42" s="2982">
        <f>SUM(стоки!DB19)</f>
        <v>0</v>
      </c>
      <c r="CE42" s="2867">
        <f t="shared" si="236"/>
        <v>609.70900000000006</v>
      </c>
      <c r="CF42" s="2982">
        <f t="shared" si="237"/>
        <v>609.70900000000006</v>
      </c>
      <c r="CG42" s="2982">
        <f t="shared" si="237"/>
        <v>0</v>
      </c>
      <c r="CH42" s="2867">
        <f t="shared" si="360"/>
        <v>-554.01822054161516</v>
      </c>
      <c r="CI42" s="2867">
        <f t="shared" si="360"/>
        <v>-554.01822054161516</v>
      </c>
      <c r="CJ42" s="2867">
        <f t="shared" si="360"/>
        <v>0</v>
      </c>
      <c r="CK42" s="2863"/>
      <c r="CL42" s="4194">
        <f t="shared" si="136"/>
        <v>1163.7272205416152</v>
      </c>
      <c r="CM42" s="2863"/>
    </row>
    <row r="43" spans="1:92" ht="18.75" customHeight="1" x14ac:dyDescent="0.3">
      <c r="A43" s="2914" t="s">
        <v>2</v>
      </c>
      <c r="B43" s="2845">
        <f t="shared" si="316"/>
        <v>118.68025829946293</v>
      </c>
      <c r="C43" s="2845">
        <f t="shared" si="383"/>
        <v>118.68025829946293</v>
      </c>
      <c r="D43" s="2845">
        <f t="shared" si="384"/>
        <v>0</v>
      </c>
      <c r="E43" s="2865">
        <f t="shared" si="138"/>
        <v>41.16</v>
      </c>
      <c r="F43" s="2947">
        <v>41.16</v>
      </c>
      <c r="G43" s="2947"/>
      <c r="H43" s="2865">
        <f t="shared" si="362"/>
        <v>41.780999999999999</v>
      </c>
      <c r="I43" s="2947">
        <v>41.780999999999999</v>
      </c>
      <c r="J43" s="2947"/>
      <c r="K43" s="2865">
        <f t="shared" si="363"/>
        <v>31.13</v>
      </c>
      <c r="L43" s="2947">
        <v>31.13</v>
      </c>
      <c r="M43" s="2947"/>
      <c r="N43" s="2865">
        <f t="shared" si="240"/>
        <v>114.071</v>
      </c>
      <c r="O43" s="2865">
        <f t="shared" si="364"/>
        <v>114.071</v>
      </c>
      <c r="P43" s="2865">
        <f t="shared" si="365"/>
        <v>0</v>
      </c>
      <c r="Q43" s="2845">
        <f t="shared" si="385"/>
        <v>118.68025829946293</v>
      </c>
      <c r="R43" s="2845">
        <f t="shared" si="366"/>
        <v>118.68025829946293</v>
      </c>
      <c r="S43" s="2845">
        <f t="shared" si="366"/>
        <v>0</v>
      </c>
      <c r="T43" s="2865">
        <f t="shared" si="367"/>
        <v>30.62</v>
      </c>
      <c r="U43" s="2947">
        <v>30.62</v>
      </c>
      <c r="V43" s="2947"/>
      <c r="W43" s="2865">
        <f t="shared" si="368"/>
        <v>31.77</v>
      </c>
      <c r="X43" s="2947">
        <v>31.77</v>
      </c>
      <c r="Y43" s="2947"/>
      <c r="Z43" s="2865">
        <f t="shared" si="369"/>
        <v>26.832000000000001</v>
      </c>
      <c r="AA43" s="2947">
        <v>26.832000000000001</v>
      </c>
      <c r="AB43" s="2947"/>
      <c r="AC43" s="2865">
        <f t="shared" si="163"/>
        <v>89.222000000000008</v>
      </c>
      <c r="AD43" s="2865">
        <f t="shared" si="370"/>
        <v>89.222000000000008</v>
      </c>
      <c r="AE43" s="2865">
        <f t="shared" si="370"/>
        <v>0</v>
      </c>
      <c r="AF43" s="2846">
        <f t="shared" si="206"/>
        <v>237.36051659892587</v>
      </c>
      <c r="AG43" s="2846">
        <f t="shared" si="207"/>
        <v>237.36051659892587</v>
      </c>
      <c r="AH43" s="2846">
        <f t="shared" si="208"/>
        <v>0</v>
      </c>
      <c r="AI43" s="2867">
        <f t="shared" si="209"/>
        <v>203.29300000000001</v>
      </c>
      <c r="AJ43" s="2867">
        <f t="shared" si="209"/>
        <v>203.29300000000001</v>
      </c>
      <c r="AK43" s="2867">
        <f t="shared" si="209"/>
        <v>0</v>
      </c>
      <c r="AL43" s="2867">
        <f t="shared" si="294"/>
        <v>-34.067516598925863</v>
      </c>
      <c r="AM43" s="2867">
        <f t="shared" si="294"/>
        <v>-34.067516598925863</v>
      </c>
      <c r="AN43" s="2867">
        <f t="shared" si="294"/>
        <v>0</v>
      </c>
      <c r="AO43" s="2845">
        <f t="shared" si="371"/>
        <v>118.68025829946293</v>
      </c>
      <c r="AP43" s="2845">
        <f t="shared" si="372"/>
        <v>118.68025829946293</v>
      </c>
      <c r="AQ43" s="2845">
        <f t="shared" si="373"/>
        <v>0</v>
      </c>
      <c r="AR43" s="2865">
        <f t="shared" si="374"/>
        <v>31.25</v>
      </c>
      <c r="AS43" s="2947">
        <v>31.25</v>
      </c>
      <c r="AT43" s="2947"/>
      <c r="AU43" s="2865">
        <f t="shared" si="375"/>
        <v>30.48</v>
      </c>
      <c r="AV43" s="2947">
        <v>30.48</v>
      </c>
      <c r="AW43" s="2947"/>
      <c r="AX43" s="2865">
        <f t="shared" si="376"/>
        <v>29.411000000000001</v>
      </c>
      <c r="AY43" s="3031">
        <v>29.411000000000001</v>
      </c>
      <c r="AZ43" s="2947"/>
      <c r="BA43" s="2865">
        <f t="shared" si="352"/>
        <v>91.141000000000005</v>
      </c>
      <c r="BB43" s="2865">
        <f t="shared" si="377"/>
        <v>91.141000000000005</v>
      </c>
      <c r="BC43" s="2865">
        <f t="shared" si="377"/>
        <v>0</v>
      </c>
      <c r="BD43" s="2846">
        <f t="shared" si="221"/>
        <v>356.0407748983888</v>
      </c>
      <c r="BE43" s="2846">
        <f t="shared" si="222"/>
        <v>356.0407748983888</v>
      </c>
      <c r="BF43" s="2846">
        <f t="shared" si="223"/>
        <v>0</v>
      </c>
      <c r="BG43" s="2867">
        <f t="shared" si="354"/>
        <v>294.43400000000003</v>
      </c>
      <c r="BH43" s="2867">
        <f t="shared" si="224"/>
        <v>294.43400000000003</v>
      </c>
      <c r="BI43" s="2867">
        <f t="shared" si="224"/>
        <v>0</v>
      </c>
      <c r="BJ43" s="2867">
        <f t="shared" si="295"/>
        <v>-61.606774898388778</v>
      </c>
      <c r="BK43" s="2867">
        <f t="shared" si="295"/>
        <v>-61.606774898388778</v>
      </c>
      <c r="BL43" s="2867">
        <f t="shared" si="295"/>
        <v>0</v>
      </c>
      <c r="BM43" s="2845">
        <f t="shared" si="386"/>
        <v>118.68025829946293</v>
      </c>
      <c r="BN43" s="2845">
        <f t="shared" si="378"/>
        <v>118.68025829946293</v>
      </c>
      <c r="BO43" s="2845">
        <f t="shared" si="378"/>
        <v>0</v>
      </c>
      <c r="BP43" s="2865">
        <f t="shared" si="379"/>
        <v>32.744999999999997</v>
      </c>
      <c r="BQ43" s="2947">
        <v>32.744999999999997</v>
      </c>
      <c r="BR43" s="2947"/>
      <c r="BS43" s="2865">
        <f t="shared" si="380"/>
        <v>44.869</v>
      </c>
      <c r="BT43" s="2947">
        <v>44.869</v>
      </c>
      <c r="BU43" s="2947"/>
      <c r="BV43" s="2865">
        <f t="shared" si="381"/>
        <v>44.634</v>
      </c>
      <c r="BW43" s="2947">
        <v>44.634</v>
      </c>
      <c r="BX43" s="2947"/>
      <c r="BY43" s="2865">
        <f t="shared" si="252"/>
        <v>122.248</v>
      </c>
      <c r="BZ43" s="2865">
        <f t="shared" si="382"/>
        <v>122.248</v>
      </c>
      <c r="CA43" s="2865">
        <f t="shared" si="382"/>
        <v>0</v>
      </c>
      <c r="CB43" s="2846">
        <f t="shared" si="157"/>
        <v>474.72103319785174</v>
      </c>
      <c r="CC43" s="2982">
        <f>SUM(стоки!DA20)</f>
        <v>474.72103319785174</v>
      </c>
      <c r="CD43" s="2982">
        <f>SUM(стоки!DB20)</f>
        <v>0</v>
      </c>
      <c r="CE43" s="2867">
        <f t="shared" si="236"/>
        <v>416.68200000000002</v>
      </c>
      <c r="CF43" s="2982">
        <f t="shared" si="237"/>
        <v>416.68200000000002</v>
      </c>
      <c r="CG43" s="2982">
        <f t="shared" si="237"/>
        <v>0</v>
      </c>
      <c r="CH43" s="2867">
        <f t="shared" si="360"/>
        <v>-58.039033197851722</v>
      </c>
      <c r="CI43" s="2867">
        <f t="shared" si="360"/>
        <v>-58.039033197851722</v>
      </c>
      <c r="CJ43" s="2867">
        <f t="shared" si="360"/>
        <v>0</v>
      </c>
      <c r="CK43" s="2863"/>
      <c r="CL43" s="4194">
        <f t="shared" si="136"/>
        <v>474.72103319785174</v>
      </c>
      <c r="CM43" s="2863"/>
    </row>
    <row r="44" spans="1:92" ht="18.75" customHeight="1" x14ac:dyDescent="0.3">
      <c r="A44" s="2868" t="s">
        <v>3730</v>
      </c>
      <c r="B44" s="2845">
        <f t="shared" si="316"/>
        <v>0</v>
      </c>
      <c r="C44" s="2845">
        <f t="shared" si="383"/>
        <v>0</v>
      </c>
      <c r="D44" s="2845">
        <f t="shared" si="384"/>
        <v>0</v>
      </c>
      <c r="E44" s="2865">
        <f t="shared" si="138"/>
        <v>0</v>
      </c>
      <c r="F44" s="2947"/>
      <c r="G44" s="2947"/>
      <c r="H44" s="2865">
        <f t="shared" si="362"/>
        <v>0</v>
      </c>
      <c r="I44" s="2947"/>
      <c r="J44" s="2947"/>
      <c r="K44" s="2865">
        <f t="shared" si="363"/>
        <v>0</v>
      </c>
      <c r="L44" s="2947"/>
      <c r="M44" s="2947"/>
      <c r="N44" s="2865">
        <f t="shared" si="240"/>
        <v>0</v>
      </c>
      <c r="O44" s="2865">
        <f t="shared" si="364"/>
        <v>0</v>
      </c>
      <c r="P44" s="2865">
        <f t="shared" si="365"/>
        <v>0</v>
      </c>
      <c r="Q44" s="2845">
        <f t="shared" si="385"/>
        <v>0</v>
      </c>
      <c r="R44" s="2845">
        <f t="shared" si="366"/>
        <v>0</v>
      </c>
      <c r="S44" s="2845">
        <f t="shared" si="366"/>
        <v>0</v>
      </c>
      <c r="T44" s="2865">
        <f t="shared" si="367"/>
        <v>0</v>
      </c>
      <c r="U44" s="2947"/>
      <c r="V44" s="2947"/>
      <c r="W44" s="2865">
        <f t="shared" si="368"/>
        <v>0</v>
      </c>
      <c r="X44" s="2947"/>
      <c r="Y44" s="2947"/>
      <c r="Z44" s="2865">
        <f t="shared" si="369"/>
        <v>0</v>
      </c>
      <c r="AA44" s="2947"/>
      <c r="AB44" s="2947"/>
      <c r="AC44" s="2865">
        <f t="shared" si="163"/>
        <v>0</v>
      </c>
      <c r="AD44" s="2865">
        <f t="shared" si="370"/>
        <v>0</v>
      </c>
      <c r="AE44" s="2865">
        <f t="shared" si="370"/>
        <v>0</v>
      </c>
      <c r="AF44" s="2846">
        <f t="shared" si="206"/>
        <v>0</v>
      </c>
      <c r="AG44" s="2846">
        <f t="shared" si="207"/>
        <v>0</v>
      </c>
      <c r="AH44" s="2846">
        <f t="shared" si="208"/>
        <v>0</v>
      </c>
      <c r="AI44" s="2867">
        <f t="shared" si="209"/>
        <v>0</v>
      </c>
      <c r="AJ44" s="2867">
        <f t="shared" si="209"/>
        <v>0</v>
      </c>
      <c r="AK44" s="2867">
        <f t="shared" si="209"/>
        <v>0</v>
      </c>
      <c r="AL44" s="2867">
        <f t="shared" si="294"/>
        <v>0</v>
      </c>
      <c r="AM44" s="2867">
        <f t="shared" si="294"/>
        <v>0</v>
      </c>
      <c r="AN44" s="2867">
        <f t="shared" si="294"/>
        <v>0</v>
      </c>
      <c r="AO44" s="2845">
        <f t="shared" si="371"/>
        <v>0</v>
      </c>
      <c r="AP44" s="2845">
        <f t="shared" si="372"/>
        <v>0</v>
      </c>
      <c r="AQ44" s="2845">
        <f t="shared" si="373"/>
        <v>0</v>
      </c>
      <c r="AR44" s="2865">
        <f t="shared" si="374"/>
        <v>0</v>
      </c>
      <c r="AS44" s="2947"/>
      <c r="AT44" s="2947"/>
      <c r="AU44" s="2865">
        <f t="shared" si="375"/>
        <v>0</v>
      </c>
      <c r="AV44" s="2947"/>
      <c r="AW44" s="2947"/>
      <c r="AX44" s="2865">
        <f t="shared" si="376"/>
        <v>0</v>
      </c>
      <c r="AY44" s="2947"/>
      <c r="AZ44" s="2947"/>
      <c r="BA44" s="2865">
        <f t="shared" si="352"/>
        <v>0</v>
      </c>
      <c r="BB44" s="2865">
        <f t="shared" si="377"/>
        <v>0</v>
      </c>
      <c r="BC44" s="2865">
        <f t="shared" si="377"/>
        <v>0</v>
      </c>
      <c r="BD44" s="2846">
        <f t="shared" si="221"/>
        <v>0</v>
      </c>
      <c r="BE44" s="2846">
        <f t="shared" si="222"/>
        <v>0</v>
      </c>
      <c r="BF44" s="2846">
        <f t="shared" si="223"/>
        <v>0</v>
      </c>
      <c r="BG44" s="2867">
        <f t="shared" si="354"/>
        <v>0</v>
      </c>
      <c r="BH44" s="2867">
        <f t="shared" si="224"/>
        <v>0</v>
      </c>
      <c r="BI44" s="2867">
        <f t="shared" si="224"/>
        <v>0</v>
      </c>
      <c r="BJ44" s="2867">
        <f t="shared" si="295"/>
        <v>0</v>
      </c>
      <c r="BK44" s="2867">
        <f t="shared" si="295"/>
        <v>0</v>
      </c>
      <c r="BL44" s="2867">
        <f t="shared" si="295"/>
        <v>0</v>
      </c>
      <c r="BM44" s="2845">
        <f t="shared" si="386"/>
        <v>0</v>
      </c>
      <c r="BN44" s="2845">
        <f t="shared" si="378"/>
        <v>0</v>
      </c>
      <c r="BO44" s="2845">
        <f t="shared" si="378"/>
        <v>0</v>
      </c>
      <c r="BP44" s="2865">
        <f t="shared" si="379"/>
        <v>0</v>
      </c>
      <c r="BQ44" s="2947"/>
      <c r="BR44" s="2947"/>
      <c r="BS44" s="2865">
        <f t="shared" si="380"/>
        <v>0</v>
      </c>
      <c r="BT44" s="2947"/>
      <c r="BU44" s="2947"/>
      <c r="BV44" s="2865">
        <f t="shared" si="381"/>
        <v>0</v>
      </c>
      <c r="BW44" s="2947"/>
      <c r="BX44" s="2947"/>
      <c r="BY44" s="2865">
        <f t="shared" si="252"/>
        <v>0</v>
      </c>
      <c r="BZ44" s="2865">
        <f t="shared" si="382"/>
        <v>0</v>
      </c>
      <c r="CA44" s="2865">
        <f t="shared" si="382"/>
        <v>0</v>
      </c>
      <c r="CB44" s="2846">
        <f t="shared" si="157"/>
        <v>0</v>
      </c>
      <c r="CC44" s="2982">
        <f>SUM(стоки!DA21)</f>
        <v>0</v>
      </c>
      <c r="CD44" s="2982">
        <f>SUM(стоки!DB21)</f>
        <v>0</v>
      </c>
      <c r="CE44" s="2867">
        <f t="shared" si="236"/>
        <v>0</v>
      </c>
      <c r="CF44" s="2982">
        <f t="shared" si="237"/>
        <v>0</v>
      </c>
      <c r="CG44" s="2982">
        <f t="shared" si="237"/>
        <v>0</v>
      </c>
      <c r="CH44" s="2867">
        <f t="shared" si="360"/>
        <v>0</v>
      </c>
      <c r="CI44" s="2867">
        <f t="shared" si="360"/>
        <v>0</v>
      </c>
      <c r="CJ44" s="2867">
        <f t="shared" si="360"/>
        <v>0</v>
      </c>
      <c r="CK44" s="2863"/>
      <c r="CL44" s="4194">
        <f t="shared" si="136"/>
        <v>0</v>
      </c>
      <c r="CM44" s="2863"/>
    </row>
    <row r="45" spans="1:92" ht="18.75" customHeight="1" x14ac:dyDescent="0.3">
      <c r="A45" s="2914" t="s">
        <v>3</v>
      </c>
      <c r="B45" s="2845">
        <f t="shared" si="316"/>
        <v>0</v>
      </c>
      <c r="C45" s="2845">
        <f t="shared" si="383"/>
        <v>0</v>
      </c>
      <c r="D45" s="2845">
        <f t="shared" si="384"/>
        <v>0</v>
      </c>
      <c r="E45" s="2865">
        <f t="shared" si="138"/>
        <v>24.24</v>
      </c>
      <c r="F45" s="2947">
        <f>0.45+23.79</f>
        <v>24.24</v>
      </c>
      <c r="G45" s="2947"/>
      <c r="H45" s="2865">
        <f t="shared" si="362"/>
        <v>0.32900000000000001</v>
      </c>
      <c r="I45" s="2947">
        <f>0.329</f>
        <v>0.32900000000000001</v>
      </c>
      <c r="J45" s="2947"/>
      <c r="K45" s="2865">
        <f t="shared" si="363"/>
        <v>8.42</v>
      </c>
      <c r="L45" s="2947">
        <v>8.42</v>
      </c>
      <c r="M45" s="2947"/>
      <c r="N45" s="2865">
        <f t="shared" si="240"/>
        <v>32.988999999999997</v>
      </c>
      <c r="O45" s="2865">
        <f t="shared" si="364"/>
        <v>32.988999999999997</v>
      </c>
      <c r="P45" s="2865">
        <f t="shared" si="365"/>
        <v>0</v>
      </c>
      <c r="Q45" s="2845">
        <f t="shared" si="385"/>
        <v>0</v>
      </c>
      <c r="R45" s="2845">
        <f t="shared" si="366"/>
        <v>0</v>
      </c>
      <c r="S45" s="2845">
        <f t="shared" si="366"/>
        <v>0</v>
      </c>
      <c r="T45" s="2865">
        <f t="shared" si="367"/>
        <v>26.12</v>
      </c>
      <c r="U45" s="2947">
        <v>26.12</v>
      </c>
      <c r="V45" s="2947"/>
      <c r="W45" s="2865">
        <f t="shared" si="368"/>
        <v>40.799999999999997</v>
      </c>
      <c r="X45" s="2947">
        <v>40.799999999999997</v>
      </c>
      <c r="Y45" s="2947"/>
      <c r="Z45" s="2865">
        <f t="shared" si="369"/>
        <v>344.45699999999999</v>
      </c>
      <c r="AA45" s="2947">
        <f>344.457</f>
        <v>344.45699999999999</v>
      </c>
      <c r="AB45" s="2947"/>
      <c r="AC45" s="2865">
        <f t="shared" si="163"/>
        <v>411.37700000000001</v>
      </c>
      <c r="AD45" s="2865">
        <f t="shared" si="370"/>
        <v>411.37700000000001</v>
      </c>
      <c r="AE45" s="2865">
        <f t="shared" si="370"/>
        <v>0</v>
      </c>
      <c r="AF45" s="2846">
        <f t="shared" si="206"/>
        <v>0</v>
      </c>
      <c r="AG45" s="2846">
        <f t="shared" si="207"/>
        <v>0</v>
      </c>
      <c r="AH45" s="2846">
        <f t="shared" si="208"/>
        <v>0</v>
      </c>
      <c r="AI45" s="2867">
        <f t="shared" ref="AI45:AK47" si="387">SUM(AC45+N45)</f>
        <v>444.36599999999999</v>
      </c>
      <c r="AJ45" s="2867">
        <f t="shared" si="387"/>
        <v>444.36599999999999</v>
      </c>
      <c r="AK45" s="2867">
        <f t="shared" si="387"/>
        <v>0</v>
      </c>
      <c r="AL45" s="2867">
        <f t="shared" si="294"/>
        <v>444.36599999999999</v>
      </c>
      <c r="AM45" s="2867">
        <f t="shared" si="294"/>
        <v>444.36599999999999</v>
      </c>
      <c r="AN45" s="2867">
        <f t="shared" si="294"/>
        <v>0</v>
      </c>
      <c r="AO45" s="2845">
        <f t="shared" si="371"/>
        <v>0</v>
      </c>
      <c r="AP45" s="2845">
        <f t="shared" si="372"/>
        <v>0</v>
      </c>
      <c r="AQ45" s="2845">
        <f t="shared" si="373"/>
        <v>0</v>
      </c>
      <c r="AR45" s="2865">
        <f t="shared" si="374"/>
        <v>153.12</v>
      </c>
      <c r="AS45" s="2947">
        <v>153.12</v>
      </c>
      <c r="AT45" s="2947"/>
      <c r="AU45" s="2865">
        <f t="shared" si="375"/>
        <v>107.53999999999999</v>
      </c>
      <c r="AV45" s="2947">
        <f>36.1+71.44</f>
        <v>107.53999999999999</v>
      </c>
      <c r="AW45" s="2947"/>
      <c r="AX45" s="2865">
        <f t="shared" si="376"/>
        <v>49.081000000000003</v>
      </c>
      <c r="AY45" s="3031">
        <f>0.25+48.831</f>
        <v>49.081000000000003</v>
      </c>
      <c r="AZ45" s="2947"/>
      <c r="BA45" s="2865">
        <f t="shared" si="352"/>
        <v>309.74099999999999</v>
      </c>
      <c r="BB45" s="2865">
        <f t="shared" si="377"/>
        <v>309.74099999999999</v>
      </c>
      <c r="BC45" s="2865">
        <f t="shared" si="377"/>
        <v>0</v>
      </c>
      <c r="BD45" s="2846">
        <f t="shared" si="221"/>
        <v>0</v>
      </c>
      <c r="BE45" s="2846">
        <f t="shared" si="222"/>
        <v>0</v>
      </c>
      <c r="BF45" s="2846">
        <f t="shared" si="223"/>
        <v>0</v>
      </c>
      <c r="BG45" s="2867">
        <f t="shared" si="354"/>
        <v>754.10699999999997</v>
      </c>
      <c r="BH45" s="2867">
        <f t="shared" ref="BH45:BI47" si="388">SUM(AJ45+BB45)</f>
        <v>754.10699999999997</v>
      </c>
      <c r="BI45" s="2867">
        <f t="shared" si="388"/>
        <v>0</v>
      </c>
      <c r="BJ45" s="2867">
        <f t="shared" si="295"/>
        <v>754.10699999999997</v>
      </c>
      <c r="BK45" s="2867">
        <f t="shared" si="295"/>
        <v>754.10699999999997</v>
      </c>
      <c r="BL45" s="2867">
        <f t="shared" si="295"/>
        <v>0</v>
      </c>
      <c r="BM45" s="2845">
        <f t="shared" si="386"/>
        <v>0</v>
      </c>
      <c r="BN45" s="2845">
        <f t="shared" si="378"/>
        <v>0</v>
      </c>
      <c r="BO45" s="2845">
        <f t="shared" si="378"/>
        <v>0</v>
      </c>
      <c r="BP45" s="2865">
        <f t="shared" si="379"/>
        <v>348.75799999999998</v>
      </c>
      <c r="BQ45" s="2947">
        <f>16+332.758</f>
        <v>348.75799999999998</v>
      </c>
      <c r="BR45" s="2947"/>
      <c r="BS45" s="2865">
        <f t="shared" si="380"/>
        <v>13.875999999999999</v>
      </c>
      <c r="BT45" s="2947">
        <f>0.45+13.426</f>
        <v>13.875999999999999</v>
      </c>
      <c r="BU45" s="2947"/>
      <c r="BV45" s="2865">
        <f t="shared" si="381"/>
        <v>57.585999999999999</v>
      </c>
      <c r="BW45" s="2947">
        <v>57.585999999999999</v>
      </c>
      <c r="BX45" s="2947"/>
      <c r="BY45" s="2865">
        <f t="shared" si="252"/>
        <v>420.21999999999997</v>
      </c>
      <c r="BZ45" s="2865">
        <f t="shared" si="382"/>
        <v>420.21999999999997</v>
      </c>
      <c r="CA45" s="2865">
        <f t="shared" si="382"/>
        <v>0</v>
      </c>
      <c r="CB45" s="2846">
        <f t="shared" si="157"/>
        <v>0</v>
      </c>
      <c r="CC45" s="2982">
        <f>SUM(стоки!DA22)</f>
        <v>0</v>
      </c>
      <c r="CD45" s="2982">
        <f>SUM(стоки!DB22)</f>
        <v>0</v>
      </c>
      <c r="CE45" s="2867">
        <f t="shared" si="236"/>
        <v>1174.327</v>
      </c>
      <c r="CF45" s="2982">
        <f t="shared" ref="CF45:CG47" si="389">SUM(BZ45+BH45)</f>
        <v>1174.327</v>
      </c>
      <c r="CG45" s="2982">
        <f t="shared" si="389"/>
        <v>0</v>
      </c>
      <c r="CH45" s="2867">
        <f t="shared" si="360"/>
        <v>1174.327</v>
      </c>
      <c r="CI45" s="2867">
        <f t="shared" si="360"/>
        <v>1174.327</v>
      </c>
      <c r="CJ45" s="2867">
        <f t="shared" si="360"/>
        <v>0</v>
      </c>
      <c r="CK45" s="2863"/>
      <c r="CL45" s="4194">
        <f t="shared" si="136"/>
        <v>0</v>
      </c>
      <c r="CM45" s="2863"/>
    </row>
    <row r="46" spans="1:92" ht="18.75" customHeight="1" x14ac:dyDescent="0.3">
      <c r="A46" s="2914" t="s">
        <v>4</v>
      </c>
      <c r="B46" s="2845">
        <f t="shared" si="316"/>
        <v>5373.263863171871</v>
      </c>
      <c r="C46" s="2845">
        <f t="shared" si="383"/>
        <v>5342.013584883719</v>
      </c>
      <c r="D46" s="2845">
        <f t="shared" si="384"/>
        <v>31.250278288152</v>
      </c>
      <c r="E46" s="2865">
        <f t="shared" si="138"/>
        <v>1288.8129999999999</v>
      </c>
      <c r="F46" s="2947">
        <v>1282.8399999999999</v>
      </c>
      <c r="G46" s="2947">
        <v>5.9729999999999999</v>
      </c>
      <c r="H46" s="2865">
        <f t="shared" si="362"/>
        <v>1247.4270000000001</v>
      </c>
      <c r="I46" s="2947">
        <v>1239.9100000000001</v>
      </c>
      <c r="J46" s="2947">
        <v>7.5170000000000003</v>
      </c>
      <c r="K46" s="2865">
        <f t="shared" si="363"/>
        <v>1515.4003399999999</v>
      </c>
      <c r="L46" s="2947">
        <v>1505.49</v>
      </c>
      <c r="M46" s="2947">
        <v>9.9103399999999997</v>
      </c>
      <c r="N46" s="2865">
        <f t="shared" si="240"/>
        <v>4051.6403399999999</v>
      </c>
      <c r="O46" s="2865">
        <f t="shared" si="364"/>
        <v>4028.24</v>
      </c>
      <c r="P46" s="2865">
        <f t="shared" si="365"/>
        <v>23.40034</v>
      </c>
      <c r="Q46" s="2845">
        <f t="shared" si="385"/>
        <v>5373.263863171871</v>
      </c>
      <c r="R46" s="2845">
        <f t="shared" si="366"/>
        <v>5342.013584883719</v>
      </c>
      <c r="S46" s="2845">
        <f t="shared" si="366"/>
        <v>31.250278288152</v>
      </c>
      <c r="T46" s="2865">
        <f t="shared" si="367"/>
        <v>1569.6</v>
      </c>
      <c r="U46" s="2947">
        <v>1559.99</v>
      </c>
      <c r="V46" s="2947">
        <v>9.61</v>
      </c>
      <c r="W46" s="2865">
        <f t="shared" si="368"/>
        <v>1483.93</v>
      </c>
      <c r="X46" s="2947">
        <v>1475.19</v>
      </c>
      <c r="Y46" s="2947">
        <v>8.74</v>
      </c>
      <c r="Z46" s="2865">
        <f t="shared" si="369"/>
        <v>1252.1020000000001</v>
      </c>
      <c r="AA46" s="2947">
        <v>1248.539</v>
      </c>
      <c r="AB46" s="2947">
        <v>3.5630000000000002</v>
      </c>
      <c r="AC46" s="2865">
        <f t="shared" si="163"/>
        <v>4305.6319999999996</v>
      </c>
      <c r="AD46" s="2865">
        <f t="shared" si="370"/>
        <v>4283.7190000000001</v>
      </c>
      <c r="AE46" s="2865">
        <f t="shared" si="370"/>
        <v>21.913</v>
      </c>
      <c r="AF46" s="2846">
        <f t="shared" si="206"/>
        <v>10746.527726343742</v>
      </c>
      <c r="AG46" s="2846">
        <f t="shared" si="207"/>
        <v>10684.027169767438</v>
      </c>
      <c r="AH46" s="2846">
        <f t="shared" si="208"/>
        <v>62.500556576304</v>
      </c>
      <c r="AI46" s="2867">
        <f t="shared" si="387"/>
        <v>8357.2723399999995</v>
      </c>
      <c r="AJ46" s="2867">
        <f t="shared" si="387"/>
        <v>8311.9589999999989</v>
      </c>
      <c r="AK46" s="2867">
        <f t="shared" si="387"/>
        <v>45.313339999999997</v>
      </c>
      <c r="AL46" s="2867">
        <f t="shared" si="294"/>
        <v>-2389.2553863437424</v>
      </c>
      <c r="AM46" s="2867">
        <f t="shared" si="294"/>
        <v>-2372.068169767439</v>
      </c>
      <c r="AN46" s="2867">
        <f t="shared" si="294"/>
        <v>-17.187216576304003</v>
      </c>
      <c r="AO46" s="2845">
        <f t="shared" si="371"/>
        <v>5373.263863171871</v>
      </c>
      <c r="AP46" s="2845">
        <f t="shared" si="372"/>
        <v>5342.013584883719</v>
      </c>
      <c r="AQ46" s="2845">
        <f t="shared" si="373"/>
        <v>31.250278288152</v>
      </c>
      <c r="AR46" s="2865">
        <f t="shared" si="374"/>
        <v>1493.768</v>
      </c>
      <c r="AS46" s="2947">
        <v>1485.75</v>
      </c>
      <c r="AT46" s="2947">
        <v>8.0180000000000007</v>
      </c>
      <c r="AU46" s="2865">
        <f t="shared" si="375"/>
        <v>1442.6590000000001</v>
      </c>
      <c r="AV46" s="2947">
        <v>1433.7</v>
      </c>
      <c r="AW46" s="2947">
        <v>8.9589999999999996</v>
      </c>
      <c r="AX46" s="2865">
        <f t="shared" si="376"/>
        <v>1419.5550000000001</v>
      </c>
      <c r="AY46" s="2947">
        <v>1410.596</v>
      </c>
      <c r="AZ46" s="2947">
        <v>8.9589999999999996</v>
      </c>
      <c r="BA46" s="2865">
        <f t="shared" si="352"/>
        <v>4355.982</v>
      </c>
      <c r="BB46" s="2865">
        <f t="shared" si="377"/>
        <v>4330.0460000000003</v>
      </c>
      <c r="BC46" s="2865">
        <f t="shared" si="377"/>
        <v>25.936</v>
      </c>
      <c r="BD46" s="2846">
        <f t="shared" si="221"/>
        <v>16119.791589515611</v>
      </c>
      <c r="BE46" s="2846">
        <f t="shared" si="222"/>
        <v>16026.040754651156</v>
      </c>
      <c r="BF46" s="2846">
        <f t="shared" si="223"/>
        <v>93.750834864455996</v>
      </c>
      <c r="BG46" s="2867">
        <f t="shared" si="354"/>
        <v>12713.25434</v>
      </c>
      <c r="BH46" s="2867">
        <f t="shared" si="388"/>
        <v>12642.004999999999</v>
      </c>
      <c r="BI46" s="2867">
        <f t="shared" si="388"/>
        <v>71.249339999999989</v>
      </c>
      <c r="BJ46" s="2867">
        <f t="shared" si="295"/>
        <v>-3406.5372495156116</v>
      </c>
      <c r="BK46" s="2867">
        <f t="shared" si="295"/>
        <v>-3384.0357546511568</v>
      </c>
      <c r="BL46" s="2867">
        <f t="shared" si="295"/>
        <v>-22.501494864456006</v>
      </c>
      <c r="BM46" s="2845">
        <f t="shared" si="386"/>
        <v>5373.263863171871</v>
      </c>
      <c r="BN46" s="2845">
        <f t="shared" si="378"/>
        <v>5342.013584883719</v>
      </c>
      <c r="BO46" s="2845">
        <f t="shared" si="378"/>
        <v>31.250278288152</v>
      </c>
      <c r="BP46" s="2865">
        <f t="shared" si="379"/>
        <v>1269.5909999999999</v>
      </c>
      <c r="BQ46" s="2947">
        <v>1260.6959999999999</v>
      </c>
      <c r="BR46" s="2947">
        <v>8.8949999999999996</v>
      </c>
      <c r="BS46" s="2865">
        <f t="shared" si="380"/>
        <v>1266.729</v>
      </c>
      <c r="BT46" s="2947">
        <v>1258.4290000000001</v>
      </c>
      <c r="BU46" s="2947">
        <v>8.3000000000000007</v>
      </c>
      <c r="BV46" s="2865">
        <f t="shared" si="381"/>
        <v>1605.0990000000002</v>
      </c>
      <c r="BW46" s="2947">
        <v>1595.9110000000001</v>
      </c>
      <c r="BX46" s="2947">
        <v>9.1880000000000006</v>
      </c>
      <c r="BY46" s="2865">
        <f t="shared" si="252"/>
        <v>4141.4189999999999</v>
      </c>
      <c r="BZ46" s="2865">
        <f t="shared" si="382"/>
        <v>4115.0360000000001</v>
      </c>
      <c r="CA46" s="2865">
        <f t="shared" si="382"/>
        <v>26.383000000000003</v>
      </c>
      <c r="CB46" s="2846">
        <f t="shared" si="157"/>
        <v>21493.055452687484</v>
      </c>
      <c r="CC46" s="2982">
        <f>SUM(стоки!DA23)</f>
        <v>21368.054339534876</v>
      </c>
      <c r="CD46" s="2982">
        <f>SUM(стоки!DB23)</f>
        <v>125.001113152608</v>
      </c>
      <c r="CE46" s="2867">
        <f t="shared" si="236"/>
        <v>16854.673340000001</v>
      </c>
      <c r="CF46" s="2982">
        <f t="shared" si="389"/>
        <v>16757.040999999997</v>
      </c>
      <c r="CG46" s="2982">
        <f t="shared" si="389"/>
        <v>97.632339999999999</v>
      </c>
      <c r="CH46" s="2867">
        <f t="shared" si="360"/>
        <v>-4638.3821126874827</v>
      </c>
      <c r="CI46" s="2867">
        <f t="shared" si="360"/>
        <v>-4611.0133395348785</v>
      </c>
      <c r="CJ46" s="2867">
        <f t="shared" si="360"/>
        <v>-27.368773152608</v>
      </c>
      <c r="CK46" s="2863"/>
      <c r="CL46" s="4194">
        <f t="shared" si="136"/>
        <v>21493.055452687484</v>
      </c>
      <c r="CM46" s="2863"/>
    </row>
    <row r="47" spans="1:92" ht="18.75" customHeight="1" x14ac:dyDescent="0.3">
      <c r="A47" s="2914" t="s">
        <v>114</v>
      </c>
      <c r="B47" s="2845">
        <f t="shared" si="316"/>
        <v>1619.082377567207</v>
      </c>
      <c r="C47" s="2845">
        <f t="shared" si="383"/>
        <v>1609.6668289346467</v>
      </c>
      <c r="D47" s="2845">
        <f t="shared" si="384"/>
        <v>9.4155486325603786</v>
      </c>
      <c r="E47" s="2865">
        <f t="shared" si="138"/>
        <v>387.24399999999997</v>
      </c>
      <c r="F47" s="2947">
        <v>385.44</v>
      </c>
      <c r="G47" s="2947">
        <v>1.804</v>
      </c>
      <c r="H47" s="2865">
        <f t="shared" si="362"/>
        <v>377.51300000000003</v>
      </c>
      <c r="I47" s="2947">
        <f>2.482+372.761</f>
        <v>375.24300000000005</v>
      </c>
      <c r="J47" s="2947">
        <v>2.27</v>
      </c>
      <c r="K47" s="2865">
        <f t="shared" si="363"/>
        <v>456.69299999999998</v>
      </c>
      <c r="L47" s="2947">
        <v>453.7</v>
      </c>
      <c r="M47" s="2947">
        <v>2.9929999999999999</v>
      </c>
      <c r="N47" s="2865">
        <f t="shared" si="240"/>
        <v>1221.45</v>
      </c>
      <c r="O47" s="2865">
        <f t="shared" si="364"/>
        <v>1214.383</v>
      </c>
      <c r="P47" s="2865">
        <f t="shared" si="365"/>
        <v>7.0670000000000002</v>
      </c>
      <c r="Q47" s="2845">
        <f t="shared" si="385"/>
        <v>1619.082377567207</v>
      </c>
      <c r="R47" s="2845">
        <f t="shared" si="366"/>
        <v>1609.6668289346467</v>
      </c>
      <c r="S47" s="2845">
        <f t="shared" si="366"/>
        <v>9.4155486325603786</v>
      </c>
      <c r="T47" s="2865">
        <f t="shared" si="367"/>
        <v>467.27000000000004</v>
      </c>
      <c r="U47" s="2947">
        <v>464.36</v>
      </c>
      <c r="V47" s="2947">
        <v>2.91</v>
      </c>
      <c r="W47" s="2865">
        <f t="shared" si="368"/>
        <v>447.69799999999998</v>
      </c>
      <c r="X47" s="2947">
        <v>445.06</v>
      </c>
      <c r="Y47" s="2947">
        <v>2.6379999999999999</v>
      </c>
      <c r="Z47" s="2865">
        <f t="shared" si="369"/>
        <v>379.62700000000001</v>
      </c>
      <c r="AA47" s="2947">
        <v>378.55099999999999</v>
      </c>
      <c r="AB47" s="2947">
        <v>1.0760000000000001</v>
      </c>
      <c r="AC47" s="2865">
        <f t="shared" si="163"/>
        <v>1294.595</v>
      </c>
      <c r="AD47" s="2865">
        <f t="shared" si="370"/>
        <v>1287.971</v>
      </c>
      <c r="AE47" s="2865">
        <f t="shared" si="370"/>
        <v>6.6240000000000006</v>
      </c>
      <c r="AF47" s="2846">
        <f t="shared" si="206"/>
        <v>3238.164755134414</v>
      </c>
      <c r="AG47" s="2846">
        <f t="shared" si="207"/>
        <v>3219.3336578692933</v>
      </c>
      <c r="AH47" s="2846">
        <f t="shared" si="208"/>
        <v>18.831097265120757</v>
      </c>
      <c r="AI47" s="2867">
        <f t="shared" si="387"/>
        <v>2516.0450000000001</v>
      </c>
      <c r="AJ47" s="2867">
        <f t="shared" si="387"/>
        <v>2502.3540000000003</v>
      </c>
      <c r="AK47" s="2867">
        <f t="shared" si="387"/>
        <v>13.691000000000001</v>
      </c>
      <c r="AL47" s="2867">
        <f t="shared" si="294"/>
        <v>-722.11975513441394</v>
      </c>
      <c r="AM47" s="2867">
        <f t="shared" si="294"/>
        <v>-716.97965786929308</v>
      </c>
      <c r="AN47" s="2867">
        <f t="shared" si="294"/>
        <v>-5.1400972651207564</v>
      </c>
      <c r="AO47" s="2845">
        <f t="shared" si="371"/>
        <v>1619.082377567207</v>
      </c>
      <c r="AP47" s="2845">
        <f t="shared" si="372"/>
        <v>1609.6668289346467</v>
      </c>
      <c r="AQ47" s="2845">
        <f t="shared" si="373"/>
        <v>9.4155486325603786</v>
      </c>
      <c r="AR47" s="2865">
        <f t="shared" si="374"/>
        <v>448.07099999999997</v>
      </c>
      <c r="AS47" s="2947">
        <v>445.65</v>
      </c>
      <c r="AT47" s="2947">
        <v>2.4209999999999998</v>
      </c>
      <c r="AU47" s="2865">
        <f t="shared" si="375"/>
        <v>436.98200000000003</v>
      </c>
      <c r="AV47" s="2947">
        <v>434.27600000000001</v>
      </c>
      <c r="AW47" s="2947">
        <v>2.706</v>
      </c>
      <c r="AX47" s="2865">
        <f t="shared" si="376"/>
        <v>424.76</v>
      </c>
      <c r="AY47" s="2947">
        <v>422.05399999999997</v>
      </c>
      <c r="AZ47" s="2947">
        <v>2.706</v>
      </c>
      <c r="BA47" s="2865">
        <f t="shared" si="352"/>
        <v>1309.8130000000001</v>
      </c>
      <c r="BB47" s="2865">
        <f t="shared" si="377"/>
        <v>1301.98</v>
      </c>
      <c r="BC47" s="2865">
        <f t="shared" si="377"/>
        <v>7.8330000000000002</v>
      </c>
      <c r="BD47" s="2846">
        <f t="shared" si="221"/>
        <v>4857.247132701621</v>
      </c>
      <c r="BE47" s="2846">
        <f t="shared" si="222"/>
        <v>4829.0004868039396</v>
      </c>
      <c r="BF47" s="2846">
        <f t="shared" si="223"/>
        <v>28.246645897681134</v>
      </c>
      <c r="BG47" s="2867">
        <f t="shared" si="354"/>
        <v>3825.8580000000002</v>
      </c>
      <c r="BH47" s="2867">
        <f t="shared" si="388"/>
        <v>3804.3340000000003</v>
      </c>
      <c r="BI47" s="2867">
        <f t="shared" si="388"/>
        <v>21.524000000000001</v>
      </c>
      <c r="BJ47" s="2867">
        <f t="shared" si="295"/>
        <v>-1031.3891327016208</v>
      </c>
      <c r="BK47" s="2867">
        <f t="shared" si="295"/>
        <v>-1024.6664868039393</v>
      </c>
      <c r="BL47" s="2867">
        <f t="shared" si="295"/>
        <v>-6.722645897681133</v>
      </c>
      <c r="BM47" s="2845">
        <f t="shared" si="386"/>
        <v>1619.082377567207</v>
      </c>
      <c r="BN47" s="2845">
        <f t="shared" si="378"/>
        <v>1609.6668289346467</v>
      </c>
      <c r="BO47" s="2845">
        <f t="shared" si="378"/>
        <v>9.4155486325603786</v>
      </c>
      <c r="BP47" s="2865">
        <f t="shared" si="379"/>
        <v>382.00199999999995</v>
      </c>
      <c r="BQ47" s="2947">
        <v>379.31599999999997</v>
      </c>
      <c r="BR47" s="2947">
        <v>2.6859999999999999</v>
      </c>
      <c r="BS47" s="2865">
        <f t="shared" si="380"/>
        <v>394.32299999999998</v>
      </c>
      <c r="BT47" s="2947">
        <v>391.81599999999997</v>
      </c>
      <c r="BU47" s="2947">
        <v>2.5070000000000001</v>
      </c>
      <c r="BV47" s="2865">
        <f t="shared" si="381"/>
        <v>467.11699999999996</v>
      </c>
      <c r="BW47" s="2947">
        <v>464.34899999999999</v>
      </c>
      <c r="BX47" s="2947">
        <v>2.7679999999999998</v>
      </c>
      <c r="BY47" s="2865">
        <f t="shared" si="252"/>
        <v>1243.442</v>
      </c>
      <c r="BZ47" s="2865">
        <f t="shared" si="382"/>
        <v>1235.481</v>
      </c>
      <c r="CA47" s="2865">
        <f t="shared" si="382"/>
        <v>7.9609999999999994</v>
      </c>
      <c r="CB47" s="2846">
        <f t="shared" si="157"/>
        <v>6476.329510268828</v>
      </c>
      <c r="CC47" s="2982">
        <f>SUM(стоки!DA24)</f>
        <v>6438.6673157385867</v>
      </c>
      <c r="CD47" s="2982">
        <f>SUM(стоки!DB24)</f>
        <v>37.662194530241514</v>
      </c>
      <c r="CE47" s="2867">
        <f t="shared" si="236"/>
        <v>5069.3</v>
      </c>
      <c r="CF47" s="2982">
        <f t="shared" si="389"/>
        <v>5039.8150000000005</v>
      </c>
      <c r="CG47" s="2982">
        <f t="shared" si="389"/>
        <v>29.484999999999999</v>
      </c>
      <c r="CH47" s="2867">
        <f t="shared" si="360"/>
        <v>-1407.0295102688278</v>
      </c>
      <c r="CI47" s="2867">
        <f t="shared" si="360"/>
        <v>-1398.8523157385862</v>
      </c>
      <c r="CJ47" s="2867">
        <f t="shared" si="360"/>
        <v>-8.1771945302415148</v>
      </c>
      <c r="CK47" s="2863"/>
      <c r="CL47" s="4194">
        <f t="shared" si="136"/>
        <v>6476.329510268828</v>
      </c>
      <c r="CM47" s="2863"/>
    </row>
    <row r="48" spans="1:92" ht="18.75" customHeight="1" x14ac:dyDescent="0.3">
      <c r="A48" s="2882" t="str">
        <f>A28</f>
        <v>то же в %</v>
      </c>
      <c r="B48" s="2877">
        <f t="shared" ref="B48:D48" si="390">SUM(B47/B46)</f>
        <v>0.30132195603948114</v>
      </c>
      <c r="C48" s="2877">
        <f t="shared" si="390"/>
        <v>0.30132211447187562</v>
      </c>
      <c r="D48" s="2877">
        <f t="shared" si="390"/>
        <v>0.30129487314454156</v>
      </c>
      <c r="E48" s="2877">
        <f>SUM(E47/E46)</f>
        <v>0.30046562224310275</v>
      </c>
      <c r="F48" s="2877">
        <f t="shared" ref="F48:G48" si="391">SUM(F47/F46)</f>
        <v>0.30045835801814724</v>
      </c>
      <c r="G48" s="2877">
        <f t="shared" si="391"/>
        <v>0.30202578268876612</v>
      </c>
      <c r="H48" s="2877">
        <f>SUM(H47/H46)</f>
        <v>0.30263334046801937</v>
      </c>
      <c r="I48" s="2877">
        <f t="shared" ref="I48:J48" si="392">SUM(I47/I46)</f>
        <v>0.30263728819027191</v>
      </c>
      <c r="J48" s="2877">
        <f t="shared" si="392"/>
        <v>0.30198217373952374</v>
      </c>
      <c r="K48" s="2877">
        <f>SUM(K47/K46)</f>
        <v>0.30136788803940745</v>
      </c>
      <c r="L48" s="2877">
        <f t="shared" ref="L48:S48" si="393">SUM(L47/L46)</f>
        <v>0.30136367561391969</v>
      </c>
      <c r="M48" s="2877">
        <f t="shared" si="393"/>
        <v>0.30200780195230437</v>
      </c>
      <c r="N48" s="2877">
        <f t="shared" si="393"/>
        <v>0.30147049034465878</v>
      </c>
      <c r="O48" s="2877">
        <f t="shared" si="393"/>
        <v>0.30146739022501146</v>
      </c>
      <c r="P48" s="2877">
        <f t="shared" si="393"/>
        <v>0.30200415891393034</v>
      </c>
      <c r="Q48" s="2877">
        <f t="shared" si="393"/>
        <v>0.30132195603948114</v>
      </c>
      <c r="R48" s="2877">
        <f t="shared" si="393"/>
        <v>0.30132211447187562</v>
      </c>
      <c r="S48" s="2877">
        <f t="shared" si="393"/>
        <v>0.30129487314454156</v>
      </c>
      <c r="T48" s="2877">
        <f>SUM(T47/T46)</f>
        <v>0.29770005096839963</v>
      </c>
      <c r="U48" s="2877">
        <f t="shared" ref="U48:V48" si="394">SUM(U47/U46)</f>
        <v>0.29766857479855641</v>
      </c>
      <c r="V48" s="2877">
        <f t="shared" si="394"/>
        <v>0.30280957336108222</v>
      </c>
      <c r="W48" s="2877">
        <f>SUM(W47/W46)</f>
        <v>0.30169751942477069</v>
      </c>
      <c r="X48" s="2877">
        <f t="shared" ref="X48:Y48" si="395">SUM(X47/X46)</f>
        <v>0.30169673059063579</v>
      </c>
      <c r="Y48" s="2877">
        <f t="shared" si="395"/>
        <v>0.3018306636155606</v>
      </c>
      <c r="Z48" s="2877">
        <f>SUM(Z47/Z46)</f>
        <v>0.30319175274857796</v>
      </c>
      <c r="AA48" s="2877">
        <f t="shared" ref="AA48:AK48" si="396">SUM(AA47/AA46)</f>
        <v>0.30319517451997896</v>
      </c>
      <c r="AB48" s="2877">
        <f t="shared" si="396"/>
        <v>0.30199270277855739</v>
      </c>
      <c r="AC48" s="2877">
        <f t="shared" si="396"/>
        <v>0.30067479059984692</v>
      </c>
      <c r="AD48" s="2877">
        <f t="shared" si="396"/>
        <v>0.30066654698872636</v>
      </c>
      <c r="AE48" s="2877">
        <f t="shared" si="396"/>
        <v>0.30228631406014694</v>
      </c>
      <c r="AF48" s="2950">
        <f t="shared" si="396"/>
        <v>0.30132195603948114</v>
      </c>
      <c r="AG48" s="2950">
        <f t="shared" si="396"/>
        <v>0.30132211447187562</v>
      </c>
      <c r="AH48" s="2950">
        <f t="shared" si="396"/>
        <v>0.30129487314454156</v>
      </c>
      <c r="AI48" s="2950">
        <f t="shared" si="396"/>
        <v>0.30106054914084568</v>
      </c>
      <c r="AJ48" s="2950">
        <f t="shared" si="396"/>
        <v>0.30105466112140356</v>
      </c>
      <c r="AK48" s="2950">
        <f t="shared" si="396"/>
        <v>0.30214060583483809</v>
      </c>
      <c r="AL48" s="2870">
        <f t="shared" si="294"/>
        <v>-2.614068986354634E-4</v>
      </c>
      <c r="AM48" s="2870">
        <f t="shared" si="294"/>
        <v>-2.6745335047206886E-4</v>
      </c>
      <c r="AN48" s="2870">
        <f t="shared" si="294"/>
        <v>8.4573269029653009E-4</v>
      </c>
      <c r="AO48" s="2877">
        <f t="shared" ref="AO48:AQ48" si="397">SUM(AO47/AO46)</f>
        <v>0.30132195603948114</v>
      </c>
      <c r="AP48" s="2877">
        <f t="shared" si="397"/>
        <v>0.30132211447187562</v>
      </c>
      <c r="AQ48" s="2877">
        <f t="shared" si="397"/>
        <v>0.30129487314454156</v>
      </c>
      <c r="AR48" s="2877">
        <f>SUM(AR47/AR46)</f>
        <v>0.29996023478880252</v>
      </c>
      <c r="AS48" s="2877">
        <f t="shared" ref="AS48:AT48" si="398">SUM(AS47/AS46)</f>
        <v>0.29994952044422007</v>
      </c>
      <c r="AT48" s="2877">
        <f t="shared" si="398"/>
        <v>0.30194562234971312</v>
      </c>
      <c r="AU48" s="2877">
        <f>SUM(AU47/AU46)</f>
        <v>0.30290040820457226</v>
      </c>
      <c r="AV48" s="2877">
        <f t="shared" ref="AV48:AW48" si="399">SUM(AV47/AV46)</f>
        <v>0.3029057682918323</v>
      </c>
      <c r="AW48" s="2877">
        <f t="shared" si="399"/>
        <v>0.30204263868735348</v>
      </c>
      <c r="AX48" s="2877">
        <f>SUM(AX47/AX46)</f>
        <v>0.29922053037747742</v>
      </c>
      <c r="AY48" s="2877">
        <f t="shared" ref="AY48:BF48" si="400">SUM(AY47/AY46)</f>
        <v>0.2992026065577954</v>
      </c>
      <c r="AZ48" s="2877">
        <f t="shared" si="400"/>
        <v>0.30204263868735348</v>
      </c>
      <c r="BA48" s="2877">
        <f t="shared" si="400"/>
        <v>0.30069293215628534</v>
      </c>
      <c r="BB48" s="2877">
        <f t="shared" si="400"/>
        <v>0.30068502736460534</v>
      </c>
      <c r="BC48" s="2877">
        <f t="shared" si="400"/>
        <v>0.30201264651449722</v>
      </c>
      <c r="BD48" s="2950">
        <f t="shared" si="400"/>
        <v>0.30132195603948114</v>
      </c>
      <c r="BE48" s="2950">
        <f t="shared" si="400"/>
        <v>0.30132211447187562</v>
      </c>
      <c r="BF48" s="2950">
        <f t="shared" si="400"/>
        <v>0.30129487314454156</v>
      </c>
      <c r="BG48" s="2950">
        <f>SUM(BG47/BG46)</f>
        <v>0.30093459138645695</v>
      </c>
      <c r="BH48" s="2950">
        <f t="shared" ref="BH48:BI48" si="401">SUM(BH47/BH46)</f>
        <v>0.3009280569023664</v>
      </c>
      <c r="BI48" s="2950">
        <f t="shared" si="401"/>
        <v>0.30209402641484123</v>
      </c>
      <c r="BJ48" s="2870">
        <f t="shared" si="295"/>
        <v>-3.8736465302419143E-4</v>
      </c>
      <c r="BK48" s="2870">
        <f t="shared" si="295"/>
        <v>-3.9405756950922077E-4</v>
      </c>
      <c r="BL48" s="2870">
        <f t="shared" si="295"/>
        <v>7.9915327029966843E-4</v>
      </c>
      <c r="BM48" s="2877">
        <f t="shared" ref="BM48:BO48" si="402">SUM(BM47/BM46)</f>
        <v>0.30132195603948114</v>
      </c>
      <c r="BN48" s="2877">
        <f t="shared" si="402"/>
        <v>0.30132211447187562</v>
      </c>
      <c r="BO48" s="2877">
        <f t="shared" si="402"/>
        <v>0.30129487314454156</v>
      </c>
      <c r="BP48" s="2877">
        <f>SUM(BP47/BP46)</f>
        <v>0.30088587584505561</v>
      </c>
      <c r="BQ48" s="2877">
        <f t="shared" ref="BQ48:BR48" si="403">SUM(BQ47/BQ46)</f>
        <v>0.30087824503290245</v>
      </c>
      <c r="BR48" s="2877">
        <f t="shared" si="403"/>
        <v>0.30196739741427769</v>
      </c>
      <c r="BS48" s="2877">
        <f>SUM(BS47/BS46)</f>
        <v>0.31129231272040031</v>
      </c>
      <c r="BT48" s="2877">
        <f t="shared" ref="BT48:BU48" si="404">SUM(BT47/BT46)</f>
        <v>0.31135328254514155</v>
      </c>
      <c r="BU48" s="2877">
        <f t="shared" si="404"/>
        <v>0.3020481927710843</v>
      </c>
      <c r="BV48" s="2877">
        <f>SUM(BV47/BV46)</f>
        <v>0.29102067847528401</v>
      </c>
      <c r="BW48" s="2877">
        <f t="shared" ref="BW48:CG48" si="405">SUM(BW47/BW46)</f>
        <v>0.29096171403041898</v>
      </c>
      <c r="BX48" s="2877">
        <f t="shared" si="405"/>
        <v>0.3012625163256421</v>
      </c>
      <c r="BY48" s="2877">
        <f t="shared" si="405"/>
        <v>0.30024539898039782</v>
      </c>
      <c r="BZ48" s="2877">
        <f t="shared" si="405"/>
        <v>0.30023576950481112</v>
      </c>
      <c r="CA48" s="2877">
        <f t="shared" si="405"/>
        <v>0.30174733730053438</v>
      </c>
      <c r="CB48" s="2950">
        <f t="shared" si="405"/>
        <v>0.30132195603948114</v>
      </c>
      <c r="CC48" s="2950">
        <f t="shared" si="405"/>
        <v>0.30132211447187562</v>
      </c>
      <c r="CD48" s="2950">
        <f t="shared" si="405"/>
        <v>0.30129487314454156</v>
      </c>
      <c r="CE48" s="2950">
        <f t="shared" si="405"/>
        <v>0.30076524758088252</v>
      </c>
      <c r="CF48" s="3002">
        <f t="shared" si="405"/>
        <v>0.30075805149608464</v>
      </c>
      <c r="CG48" s="3002">
        <f t="shared" si="405"/>
        <v>0.30200034128035852</v>
      </c>
      <c r="CH48" s="2870">
        <f t="shared" si="360"/>
        <v>-5.5670845859862039E-4</v>
      </c>
      <c r="CI48" s="2870">
        <f t="shared" si="360"/>
        <v>-5.6406297579097986E-4</v>
      </c>
      <c r="CJ48" s="2870">
        <f t="shared" si="360"/>
        <v>7.0546813581695567E-4</v>
      </c>
      <c r="CK48" s="2863"/>
      <c r="CL48" s="4188"/>
      <c r="CM48" s="2863"/>
    </row>
    <row r="49" spans="1:92" ht="18.75" customHeight="1" x14ac:dyDescent="0.3">
      <c r="A49" s="2965" t="s">
        <v>3731</v>
      </c>
      <c r="B49" s="2837">
        <f t="shared" si="316"/>
        <v>3118.7780462632327</v>
      </c>
      <c r="C49" s="2959">
        <f t="shared" ref="C49:D49" si="406">SUM(C50:C65)+C70</f>
        <v>3118.7780462632327</v>
      </c>
      <c r="D49" s="2959">
        <f t="shared" si="406"/>
        <v>0</v>
      </c>
      <c r="E49" s="2861">
        <f t="shared" ref="E49:E112" si="407">SUM(F49:G49)</f>
        <v>784.12800000000016</v>
      </c>
      <c r="F49" s="2861">
        <f t="shared" ref="F49:G49" si="408">SUM(F50:F65)+F70</f>
        <v>784.12800000000016</v>
      </c>
      <c r="G49" s="2861">
        <f t="shared" si="408"/>
        <v>0</v>
      </c>
      <c r="H49" s="2861">
        <f t="shared" ref="H49:H64" si="409">SUM(I49:J49)</f>
        <v>732.22500000000014</v>
      </c>
      <c r="I49" s="2861">
        <f t="shared" ref="I49:J49" si="410">SUM(I50:I65)+I70</f>
        <v>732.22500000000014</v>
      </c>
      <c r="J49" s="2861">
        <f t="shared" si="410"/>
        <v>0</v>
      </c>
      <c r="K49" s="2861">
        <f t="shared" ref="K49:K64" si="411">SUM(L49:M49)</f>
        <v>835.17499999999995</v>
      </c>
      <c r="L49" s="2861">
        <f t="shared" ref="L49:M49" si="412">SUM(L50:L65)+L70</f>
        <v>835.17499999999995</v>
      </c>
      <c r="M49" s="2861">
        <f t="shared" si="412"/>
        <v>0</v>
      </c>
      <c r="N49" s="2861">
        <f t="shared" ref="N49:N74" si="413">SUM(O49:P49)</f>
        <v>2351.5280000000002</v>
      </c>
      <c r="O49" s="2861">
        <f t="shared" ref="O49:P74" si="414">SUM(F49+I49+L49)</f>
        <v>2351.5280000000002</v>
      </c>
      <c r="P49" s="2861">
        <f t="shared" si="414"/>
        <v>0</v>
      </c>
      <c r="Q49" s="2837">
        <f t="shared" si="385"/>
        <v>3118.7780462632327</v>
      </c>
      <c r="R49" s="2959">
        <f t="shared" ref="R49:S49" si="415">SUM(R50:R65)+R70</f>
        <v>3118.7780462632327</v>
      </c>
      <c r="S49" s="2959">
        <f t="shared" si="415"/>
        <v>0</v>
      </c>
      <c r="T49" s="2861">
        <f t="shared" ref="T49:T64" si="416">SUM(U49:V49)</f>
        <v>712.33</v>
      </c>
      <c r="U49" s="2861">
        <f t="shared" ref="U49:V49" si="417">SUM(U50:U65)+U70</f>
        <v>712.33</v>
      </c>
      <c r="V49" s="2861">
        <f t="shared" si="417"/>
        <v>0</v>
      </c>
      <c r="W49" s="2861">
        <f t="shared" ref="W49:W64" si="418">SUM(X49:Y49)</f>
        <v>764.18999999999994</v>
      </c>
      <c r="X49" s="2861">
        <f t="shared" ref="X49:Y49" si="419">SUM(X50:X65)+X70</f>
        <v>764.18999999999994</v>
      </c>
      <c r="Y49" s="2861">
        <f t="shared" si="419"/>
        <v>0</v>
      </c>
      <c r="Z49" s="2861">
        <f t="shared" ref="Z49:Z64" si="420">SUM(AA49:AB49)</f>
        <v>674.85299999999984</v>
      </c>
      <c r="AA49" s="2861">
        <f t="shared" ref="AA49:AB49" si="421">SUM(AA50:AA65)+AA70</f>
        <v>674.85299999999984</v>
      </c>
      <c r="AB49" s="2861">
        <f t="shared" si="421"/>
        <v>0</v>
      </c>
      <c r="AC49" s="2861">
        <f t="shared" ref="AC49:AC111" si="422">SUM(AD49:AE49)</f>
        <v>2151.3729999999996</v>
      </c>
      <c r="AD49" s="2861">
        <f t="shared" ref="AD49:AE93" si="423">SUM(U49+X49+AA49)</f>
        <v>2151.3729999999996</v>
      </c>
      <c r="AE49" s="2861">
        <f t="shared" si="423"/>
        <v>0</v>
      </c>
      <c r="AF49" s="2839">
        <f t="shared" si="206"/>
        <v>6237.5560925264654</v>
      </c>
      <c r="AG49" s="2839">
        <f t="shared" si="207"/>
        <v>6237.5560925264654</v>
      </c>
      <c r="AH49" s="2839">
        <f t="shared" si="208"/>
        <v>0</v>
      </c>
      <c r="AI49" s="2862">
        <f t="shared" ref="AI49:AK74" si="424">SUM(AC49+N49)</f>
        <v>4502.9009999999998</v>
      </c>
      <c r="AJ49" s="2862">
        <f t="shared" si="424"/>
        <v>4502.9009999999998</v>
      </c>
      <c r="AK49" s="2862">
        <f t="shared" si="424"/>
        <v>0</v>
      </c>
      <c r="AL49" s="2862">
        <f t="shared" si="294"/>
        <v>-1734.6550925264655</v>
      </c>
      <c r="AM49" s="2862">
        <f t="shared" si="294"/>
        <v>-1734.6550925264655</v>
      </c>
      <c r="AN49" s="2862">
        <f t="shared" si="294"/>
        <v>0</v>
      </c>
      <c r="AO49" s="2837">
        <f t="shared" si="371"/>
        <v>3118.7780462632327</v>
      </c>
      <c r="AP49" s="2959">
        <f t="shared" ref="AP49:AQ49" si="425">SUM(AP50:AP65)+AP70</f>
        <v>3118.7780462632327</v>
      </c>
      <c r="AQ49" s="2959">
        <f t="shared" si="425"/>
        <v>0</v>
      </c>
      <c r="AR49" s="2861">
        <f t="shared" ref="AR49:AR64" si="426">SUM(AS49:AT49)</f>
        <v>706.84000000000015</v>
      </c>
      <c r="AS49" s="2861">
        <f t="shared" ref="AS49:AT49" si="427">SUM(AS50:AS65)+AS70</f>
        <v>706.84000000000015</v>
      </c>
      <c r="AT49" s="2861">
        <f t="shared" si="427"/>
        <v>0</v>
      </c>
      <c r="AU49" s="2861">
        <f t="shared" ref="AU49:AU64" si="428">SUM(AV49:AW49)</f>
        <v>613.90499999999997</v>
      </c>
      <c r="AV49" s="2861">
        <f t="shared" ref="AV49:AW49" si="429">SUM(AV50:AV65)+AV70</f>
        <v>613.90499999999997</v>
      </c>
      <c r="AW49" s="2861">
        <f t="shared" si="429"/>
        <v>0</v>
      </c>
      <c r="AX49" s="2861">
        <f t="shared" ref="AX49:AX64" si="430">SUM(AY49:AZ49)</f>
        <v>876.548</v>
      </c>
      <c r="AY49" s="2861">
        <f t="shared" ref="AY49:AZ49" si="431">SUM(AY50:AY65)+AY70</f>
        <v>876.548</v>
      </c>
      <c r="AZ49" s="2861">
        <f t="shared" si="431"/>
        <v>0</v>
      </c>
      <c r="BA49" s="2861">
        <f t="shared" ref="BA49:BA110" si="432">SUM(BB49:BC49)</f>
        <v>2197.2930000000001</v>
      </c>
      <c r="BB49" s="2861">
        <f t="shared" ref="BB49:BC93" si="433">SUM(AS49+AV49+AY49)</f>
        <v>2197.2930000000001</v>
      </c>
      <c r="BC49" s="2861">
        <f t="shared" si="433"/>
        <v>0</v>
      </c>
      <c r="BD49" s="2839">
        <f t="shared" si="221"/>
        <v>9356.334138789698</v>
      </c>
      <c r="BE49" s="2839">
        <f t="shared" si="222"/>
        <v>9356.334138789698</v>
      </c>
      <c r="BF49" s="2839">
        <f t="shared" si="223"/>
        <v>0</v>
      </c>
      <c r="BG49" s="2862">
        <f t="shared" ref="BG49:BI74" si="434">SUM(AI49+BA49)</f>
        <v>6700.1939999999995</v>
      </c>
      <c r="BH49" s="2862">
        <f t="shared" si="434"/>
        <v>6700.1939999999995</v>
      </c>
      <c r="BI49" s="2862">
        <f t="shared" si="434"/>
        <v>0</v>
      </c>
      <c r="BJ49" s="2862">
        <f t="shared" si="295"/>
        <v>-2656.1401387896985</v>
      </c>
      <c r="BK49" s="2862">
        <f t="shared" si="295"/>
        <v>-2656.1401387896985</v>
      </c>
      <c r="BL49" s="2862">
        <f t="shared" si="295"/>
        <v>0</v>
      </c>
      <c r="BM49" s="2837">
        <f t="shared" si="386"/>
        <v>3118.7780462632327</v>
      </c>
      <c r="BN49" s="2959">
        <f t="shared" ref="BN49:BO49" si="435">SUM(BN50:BN65)+BN70</f>
        <v>3118.7780462632327</v>
      </c>
      <c r="BO49" s="2959">
        <f t="shared" si="435"/>
        <v>0</v>
      </c>
      <c r="BP49" s="2861">
        <f t="shared" ref="BP49:BP64" si="436">SUM(BQ49:BR49)</f>
        <v>609.66300000000001</v>
      </c>
      <c r="BQ49" s="2861">
        <f t="shared" ref="BQ49:BR49" si="437">SUM(BQ50:BQ65)+BQ70</f>
        <v>609.66300000000001</v>
      </c>
      <c r="BR49" s="2861">
        <f t="shared" si="437"/>
        <v>0</v>
      </c>
      <c r="BS49" s="2861">
        <f t="shared" ref="BS49:BS64" si="438">SUM(BT49:BU49)</f>
        <v>847.93</v>
      </c>
      <c r="BT49" s="2861">
        <f t="shared" ref="BT49:BU49" si="439">SUM(BT50:BT65)+BT70</f>
        <v>847.93</v>
      </c>
      <c r="BU49" s="2861">
        <f t="shared" si="439"/>
        <v>0</v>
      </c>
      <c r="BV49" s="2861">
        <f t="shared" ref="BV49:BV64" si="440">SUM(BW49:BX49)</f>
        <v>842.11830000000009</v>
      </c>
      <c r="BW49" s="2861">
        <f t="shared" ref="BW49:BX49" si="441">SUM(BW50:BW65)+BW70</f>
        <v>842.11830000000009</v>
      </c>
      <c r="BX49" s="2861">
        <f t="shared" si="441"/>
        <v>0</v>
      </c>
      <c r="BY49" s="2861">
        <f t="shared" ref="BY49:BY110" si="442">SUM(BZ49:CA49)</f>
        <v>2299.7112999999999</v>
      </c>
      <c r="BZ49" s="2861">
        <f t="shared" ref="BZ49:CA93" si="443">SUM(BQ49+BT49+BW49)</f>
        <v>2299.7112999999999</v>
      </c>
      <c r="CA49" s="2861">
        <f t="shared" si="443"/>
        <v>0</v>
      </c>
      <c r="CB49" s="2839">
        <f t="shared" si="157"/>
        <v>12475.112354890985</v>
      </c>
      <c r="CC49" s="2981">
        <f>SUM(стоки!DA26)</f>
        <v>12475.112354890985</v>
      </c>
      <c r="CD49" s="2981">
        <f>SUM(стоки!DB26)</f>
        <v>0</v>
      </c>
      <c r="CE49" s="2862">
        <f t="shared" ref="CE49" si="444">SUM(BY49+BG49)</f>
        <v>8999.9052999999985</v>
      </c>
      <c r="CF49" s="2981">
        <f>SUM(CF50:CF65)+CF70</f>
        <v>8999.9053000000004</v>
      </c>
      <c r="CG49" s="2981">
        <f>SUM(CG50:CG65)+CG70</f>
        <v>0</v>
      </c>
      <c r="CH49" s="2862">
        <f t="shared" ref="CH49:CH74" si="445">SUM(CE49-CB49)</f>
        <v>-3475.2070548909869</v>
      </c>
      <c r="CI49" s="2862">
        <f t="shared" ref="CI49:CJ74" si="446">SUM(CF49-CC49)</f>
        <v>-3475.2070548909851</v>
      </c>
      <c r="CJ49" s="2862">
        <f t="shared" si="446"/>
        <v>0</v>
      </c>
      <c r="CK49" s="2987"/>
      <c r="CL49" s="4188">
        <f t="shared" si="136"/>
        <v>12475.112185052931</v>
      </c>
      <c r="CM49" s="2987">
        <f t="shared" ref="CM49:CN49" si="447">SUM(CC50:CC74)-CC65-CC70</f>
        <v>12475.112185052931</v>
      </c>
      <c r="CN49" s="2987">
        <f t="shared" si="447"/>
        <v>0</v>
      </c>
    </row>
    <row r="50" spans="1:92" ht="18.75" customHeight="1" x14ac:dyDescent="0.3">
      <c r="A50" s="2989" t="s">
        <v>71</v>
      </c>
      <c r="B50" s="2845">
        <f t="shared" ref="B50:B65" si="448">SUM(C50:D50)</f>
        <v>1204.4327224583808</v>
      </c>
      <c r="C50" s="2845">
        <f t="shared" ref="C50:D64" si="449">SUM(CC50/4)</f>
        <v>1204.4327224583808</v>
      </c>
      <c r="D50" s="2845">
        <f t="shared" si="449"/>
        <v>0</v>
      </c>
      <c r="E50" s="2865">
        <f t="shared" si="407"/>
        <v>465.03</v>
      </c>
      <c r="F50" s="2947">
        <v>465.03</v>
      </c>
      <c r="G50" s="2947"/>
      <c r="H50" s="2865">
        <f t="shared" si="409"/>
        <v>393.79700000000003</v>
      </c>
      <c r="I50" s="2947">
        <v>393.79700000000003</v>
      </c>
      <c r="J50" s="2947"/>
      <c r="K50" s="2865">
        <f t="shared" si="411"/>
        <v>404.887</v>
      </c>
      <c r="L50" s="2947">
        <v>404.887</v>
      </c>
      <c r="M50" s="2947"/>
      <c r="N50" s="2865">
        <f t="shared" si="413"/>
        <v>1263.7139999999999</v>
      </c>
      <c r="O50" s="2865">
        <f t="shared" si="414"/>
        <v>1263.7139999999999</v>
      </c>
      <c r="P50" s="2865">
        <f t="shared" si="414"/>
        <v>0</v>
      </c>
      <c r="Q50" s="2845">
        <f t="shared" si="385"/>
        <v>1204.4327224583808</v>
      </c>
      <c r="R50" s="2845">
        <f t="shared" ref="R50:R64" si="450">SUM(C50)</f>
        <v>1204.4327224583808</v>
      </c>
      <c r="S50" s="2845">
        <f t="shared" ref="S50:S64" si="451">SUM(D50)</f>
        <v>0</v>
      </c>
      <c r="T50" s="2865">
        <f t="shared" si="416"/>
        <v>420.91</v>
      </c>
      <c r="U50" s="2947">
        <v>420.91</v>
      </c>
      <c r="V50" s="2947"/>
      <c r="W50" s="2865">
        <f t="shared" si="418"/>
        <v>500.3</v>
      </c>
      <c r="X50" s="2947">
        <v>500.3</v>
      </c>
      <c r="Y50" s="2947"/>
      <c r="Z50" s="2865">
        <f t="shared" si="420"/>
        <v>342.27100000000002</v>
      </c>
      <c r="AA50" s="2947">
        <v>342.27100000000002</v>
      </c>
      <c r="AB50" s="2947"/>
      <c r="AC50" s="2865">
        <f t="shared" si="422"/>
        <v>1263.481</v>
      </c>
      <c r="AD50" s="2865">
        <f t="shared" si="423"/>
        <v>1263.481</v>
      </c>
      <c r="AE50" s="2865">
        <f t="shared" si="423"/>
        <v>0</v>
      </c>
      <c r="AF50" s="2846">
        <f t="shared" si="206"/>
        <v>2408.8654449167616</v>
      </c>
      <c r="AG50" s="2846">
        <f t="shared" si="207"/>
        <v>2408.8654449167616</v>
      </c>
      <c r="AH50" s="2846">
        <f t="shared" si="208"/>
        <v>0</v>
      </c>
      <c r="AI50" s="2867">
        <f t="shared" si="424"/>
        <v>2527.1949999999997</v>
      </c>
      <c r="AJ50" s="2867">
        <f t="shared" si="424"/>
        <v>2527.1949999999997</v>
      </c>
      <c r="AK50" s="2867">
        <f t="shared" si="424"/>
        <v>0</v>
      </c>
      <c r="AL50" s="2867">
        <f t="shared" si="294"/>
        <v>118.32955508323812</v>
      </c>
      <c r="AM50" s="2867">
        <f t="shared" si="294"/>
        <v>118.32955508323812</v>
      </c>
      <c r="AN50" s="2867">
        <f t="shared" si="294"/>
        <v>0</v>
      </c>
      <c r="AO50" s="2845">
        <f t="shared" si="371"/>
        <v>1204.4327224583808</v>
      </c>
      <c r="AP50" s="2845">
        <f t="shared" ref="AP50:AP64" si="452">SUM(CC50-AG50)/2</f>
        <v>1204.4327224583808</v>
      </c>
      <c r="AQ50" s="2845">
        <f t="shared" ref="AQ50:AQ64" si="453">SUM(CD50-AH50)/2</f>
        <v>0</v>
      </c>
      <c r="AR50" s="2865">
        <f t="shared" si="426"/>
        <v>361</v>
      </c>
      <c r="AS50" s="2947">
        <v>361</v>
      </c>
      <c r="AT50" s="2947"/>
      <c r="AU50" s="2865">
        <f t="shared" si="428"/>
        <v>372.94200000000001</v>
      </c>
      <c r="AV50" s="2947">
        <v>372.94200000000001</v>
      </c>
      <c r="AW50" s="2947"/>
      <c r="AX50" s="2865">
        <f t="shared" si="430"/>
        <v>447.096</v>
      </c>
      <c r="AY50" s="2947">
        <v>447.096</v>
      </c>
      <c r="AZ50" s="2947"/>
      <c r="BA50" s="2865">
        <f t="shared" si="432"/>
        <v>1181.038</v>
      </c>
      <c r="BB50" s="2865">
        <f t="shared" si="433"/>
        <v>1181.038</v>
      </c>
      <c r="BC50" s="2865">
        <f t="shared" si="433"/>
        <v>0</v>
      </c>
      <c r="BD50" s="2846">
        <f t="shared" si="221"/>
        <v>3613.2981673751424</v>
      </c>
      <c r="BE50" s="2846">
        <f t="shared" si="222"/>
        <v>3613.2981673751424</v>
      </c>
      <c r="BF50" s="2846">
        <f t="shared" si="223"/>
        <v>0</v>
      </c>
      <c r="BG50" s="2867">
        <f t="shared" si="434"/>
        <v>3708.2329999999997</v>
      </c>
      <c r="BH50" s="2867">
        <f t="shared" si="434"/>
        <v>3708.2329999999997</v>
      </c>
      <c r="BI50" s="2867">
        <f t="shared" si="434"/>
        <v>0</v>
      </c>
      <c r="BJ50" s="2867">
        <f t="shared" si="295"/>
        <v>94.934832624857336</v>
      </c>
      <c r="BK50" s="2867">
        <f t="shared" si="295"/>
        <v>94.934832624857336</v>
      </c>
      <c r="BL50" s="2867">
        <f t="shared" si="295"/>
        <v>0</v>
      </c>
      <c r="BM50" s="2845">
        <f t="shared" ref="BM50:BM65" si="454">SUM(BN50:BO50)</f>
        <v>1204.4327224583808</v>
      </c>
      <c r="BN50" s="2845">
        <f t="shared" ref="BN50:BN64" si="455">SUM(AP50)</f>
        <v>1204.4327224583808</v>
      </c>
      <c r="BO50" s="2845">
        <f t="shared" ref="BO50:BO64" si="456">SUM(AQ50)</f>
        <v>0</v>
      </c>
      <c r="BP50" s="2865">
        <f t="shared" si="436"/>
        <v>329.15699999999998</v>
      </c>
      <c r="BQ50" s="2947">
        <v>329.15699999999998</v>
      </c>
      <c r="BR50" s="2947"/>
      <c r="BS50" s="2865">
        <f t="shared" si="438"/>
        <v>538.08900000000006</v>
      </c>
      <c r="BT50" s="2947">
        <v>538.08900000000006</v>
      </c>
      <c r="BU50" s="2947"/>
      <c r="BV50" s="2865">
        <f t="shared" si="440"/>
        <v>453.85199999999998</v>
      </c>
      <c r="BW50" s="2947">
        <v>453.85199999999998</v>
      </c>
      <c r="BX50" s="2947"/>
      <c r="BY50" s="2865">
        <f t="shared" si="442"/>
        <v>1321.098</v>
      </c>
      <c r="BZ50" s="2865">
        <f t="shared" si="443"/>
        <v>1321.098</v>
      </c>
      <c r="CA50" s="2865">
        <f t="shared" si="443"/>
        <v>0</v>
      </c>
      <c r="CB50" s="2846">
        <f t="shared" si="157"/>
        <v>4817.7308898335232</v>
      </c>
      <c r="CC50" s="2846">
        <f>4597.616*(1+0.032)*0.99*(1+0.036)*0.99</f>
        <v>4817.7308898335232</v>
      </c>
      <c r="CD50" s="2846">
        <v>0</v>
      </c>
      <c r="CE50" s="2867">
        <f t="shared" ref="CE50:CG74" si="457">SUM(BY50+BG50)</f>
        <v>5029.3310000000001</v>
      </c>
      <c r="CF50" s="2982">
        <f t="shared" si="457"/>
        <v>5029.3310000000001</v>
      </c>
      <c r="CG50" s="2982">
        <f t="shared" si="457"/>
        <v>0</v>
      </c>
      <c r="CH50" s="2867">
        <f t="shared" si="445"/>
        <v>211.60011016647695</v>
      </c>
      <c r="CI50" s="2867">
        <f t="shared" si="446"/>
        <v>211.60011016647695</v>
      </c>
      <c r="CJ50" s="2867">
        <f t="shared" si="446"/>
        <v>0</v>
      </c>
      <c r="CK50" s="2863"/>
      <c r="CL50" s="4188">
        <f t="shared" si="136"/>
        <v>4817.7308898335232</v>
      </c>
      <c r="CM50" s="2863"/>
    </row>
    <row r="51" spans="1:92" ht="18.75" customHeight="1" x14ac:dyDescent="0.3">
      <c r="A51" s="2989" t="s">
        <v>114</v>
      </c>
      <c r="B51" s="2845">
        <f t="shared" si="448"/>
        <v>361.32960716233919</v>
      </c>
      <c r="C51" s="2845">
        <f t="shared" si="449"/>
        <v>361.32960716233919</v>
      </c>
      <c r="D51" s="2845">
        <f t="shared" si="449"/>
        <v>0</v>
      </c>
      <c r="E51" s="2865">
        <f t="shared" si="407"/>
        <v>140.4</v>
      </c>
      <c r="F51" s="2947">
        <v>140.4</v>
      </c>
      <c r="G51" s="2947"/>
      <c r="H51" s="2865">
        <f t="shared" si="409"/>
        <v>117.485</v>
      </c>
      <c r="I51" s="2947">
        <f>0.738+116.747</f>
        <v>117.485</v>
      </c>
      <c r="J51" s="2947"/>
      <c r="K51" s="2865">
        <f t="shared" si="411"/>
        <v>122.235</v>
      </c>
      <c r="L51" s="2947">
        <v>122.235</v>
      </c>
      <c r="M51" s="2947"/>
      <c r="N51" s="2865">
        <f t="shared" si="413"/>
        <v>380.12</v>
      </c>
      <c r="O51" s="2865">
        <f t="shared" si="414"/>
        <v>380.12</v>
      </c>
      <c r="P51" s="2865">
        <f t="shared" si="414"/>
        <v>0</v>
      </c>
      <c r="Q51" s="2845">
        <f t="shared" si="385"/>
        <v>361.32960716233919</v>
      </c>
      <c r="R51" s="2845">
        <f t="shared" si="450"/>
        <v>361.32960716233919</v>
      </c>
      <c r="S51" s="2845">
        <f t="shared" si="451"/>
        <v>0</v>
      </c>
      <c r="T51" s="2865">
        <f t="shared" si="416"/>
        <v>127.03</v>
      </c>
      <c r="U51" s="2947">
        <v>127.03</v>
      </c>
      <c r="V51" s="2947"/>
      <c r="W51" s="2865">
        <f t="shared" si="418"/>
        <v>151.01</v>
      </c>
      <c r="X51" s="2947">
        <v>151.01</v>
      </c>
      <c r="Y51" s="2947"/>
      <c r="Z51" s="2865">
        <f t="shared" si="420"/>
        <v>101.90600000000001</v>
      </c>
      <c r="AA51" s="2947">
        <v>101.90600000000001</v>
      </c>
      <c r="AB51" s="2947"/>
      <c r="AC51" s="2865">
        <f t="shared" si="422"/>
        <v>379.94599999999997</v>
      </c>
      <c r="AD51" s="2865">
        <f t="shared" si="423"/>
        <v>379.94599999999997</v>
      </c>
      <c r="AE51" s="2865">
        <f t="shared" si="423"/>
        <v>0</v>
      </c>
      <c r="AF51" s="2846">
        <f t="shared" si="206"/>
        <v>722.65921432467837</v>
      </c>
      <c r="AG51" s="2846">
        <f t="shared" si="207"/>
        <v>722.65921432467837</v>
      </c>
      <c r="AH51" s="2846">
        <f t="shared" si="208"/>
        <v>0</v>
      </c>
      <c r="AI51" s="2867">
        <f t="shared" si="424"/>
        <v>760.06600000000003</v>
      </c>
      <c r="AJ51" s="2867">
        <f t="shared" si="424"/>
        <v>760.06600000000003</v>
      </c>
      <c r="AK51" s="2867">
        <f t="shared" si="424"/>
        <v>0</v>
      </c>
      <c r="AL51" s="2867">
        <f t="shared" si="294"/>
        <v>37.406785675321657</v>
      </c>
      <c r="AM51" s="2867">
        <f t="shared" si="294"/>
        <v>37.406785675321657</v>
      </c>
      <c r="AN51" s="2867">
        <f t="shared" si="294"/>
        <v>0</v>
      </c>
      <c r="AO51" s="2845">
        <f t="shared" si="371"/>
        <v>361.32960716233919</v>
      </c>
      <c r="AP51" s="2845">
        <f t="shared" si="452"/>
        <v>361.32960716233919</v>
      </c>
      <c r="AQ51" s="2845">
        <f t="shared" si="453"/>
        <v>0</v>
      </c>
      <c r="AR51" s="2865">
        <f t="shared" si="426"/>
        <v>107.14</v>
      </c>
      <c r="AS51" s="2947">
        <v>107.14</v>
      </c>
      <c r="AT51" s="2947"/>
      <c r="AU51" s="2865">
        <f t="shared" si="428"/>
        <v>112.565</v>
      </c>
      <c r="AV51" s="2947">
        <v>112.565</v>
      </c>
      <c r="AW51" s="2947"/>
      <c r="AX51" s="2865">
        <f t="shared" si="430"/>
        <v>134.911</v>
      </c>
      <c r="AY51" s="2947">
        <v>134.911</v>
      </c>
      <c r="AZ51" s="2947"/>
      <c r="BA51" s="2865">
        <f t="shared" si="432"/>
        <v>354.61599999999999</v>
      </c>
      <c r="BB51" s="2865">
        <f t="shared" si="433"/>
        <v>354.61599999999999</v>
      </c>
      <c r="BC51" s="2865">
        <f t="shared" si="433"/>
        <v>0</v>
      </c>
      <c r="BD51" s="2846">
        <f t="shared" si="221"/>
        <v>1083.9888214870175</v>
      </c>
      <c r="BE51" s="2846">
        <f t="shared" si="222"/>
        <v>1083.9888214870175</v>
      </c>
      <c r="BF51" s="2846">
        <f t="shared" si="223"/>
        <v>0</v>
      </c>
      <c r="BG51" s="2867">
        <f t="shared" si="434"/>
        <v>1114.682</v>
      </c>
      <c r="BH51" s="2867">
        <f t="shared" si="434"/>
        <v>1114.682</v>
      </c>
      <c r="BI51" s="2867">
        <f t="shared" si="434"/>
        <v>0</v>
      </c>
      <c r="BJ51" s="2867">
        <f t="shared" si="295"/>
        <v>30.693178512982513</v>
      </c>
      <c r="BK51" s="2867">
        <f t="shared" si="295"/>
        <v>30.693178512982513</v>
      </c>
      <c r="BL51" s="2867">
        <f t="shared" si="295"/>
        <v>0</v>
      </c>
      <c r="BM51" s="2845">
        <f t="shared" si="454"/>
        <v>361.32960716233919</v>
      </c>
      <c r="BN51" s="2845">
        <f t="shared" si="455"/>
        <v>361.32960716233919</v>
      </c>
      <c r="BO51" s="2845">
        <f t="shared" si="456"/>
        <v>0</v>
      </c>
      <c r="BP51" s="2865">
        <f t="shared" si="436"/>
        <v>99.358000000000004</v>
      </c>
      <c r="BQ51" s="2947">
        <v>99.358000000000004</v>
      </c>
      <c r="BR51" s="2947"/>
      <c r="BS51" s="2865">
        <f t="shared" si="438"/>
        <v>162.374</v>
      </c>
      <c r="BT51" s="2947">
        <v>162.374</v>
      </c>
      <c r="BU51" s="2947"/>
      <c r="BV51" s="2865">
        <f t="shared" si="440"/>
        <v>132.77099999999999</v>
      </c>
      <c r="BW51" s="2947">
        <v>132.77099999999999</v>
      </c>
      <c r="BX51" s="2947"/>
      <c r="BY51" s="2865">
        <f t="shared" si="442"/>
        <v>394.50299999999993</v>
      </c>
      <c r="BZ51" s="2865">
        <f t="shared" si="443"/>
        <v>394.50299999999993</v>
      </c>
      <c r="CA51" s="2865">
        <f t="shared" si="443"/>
        <v>0</v>
      </c>
      <c r="CB51" s="2846">
        <f t="shared" si="157"/>
        <v>1445.3184286493567</v>
      </c>
      <c r="CC51" s="2846">
        <f>1379.284*(1+0.032)*0.99*(1+0.036)*0.99</f>
        <v>1445.3184286493567</v>
      </c>
      <c r="CD51" s="2846">
        <v>0</v>
      </c>
      <c r="CE51" s="2867">
        <f t="shared" si="457"/>
        <v>1509.1849999999999</v>
      </c>
      <c r="CF51" s="2982">
        <f t="shared" si="457"/>
        <v>1509.1849999999999</v>
      </c>
      <c r="CG51" s="2982">
        <f t="shared" si="457"/>
        <v>0</v>
      </c>
      <c r="CH51" s="2867">
        <f t="shared" si="445"/>
        <v>63.866571350643198</v>
      </c>
      <c r="CI51" s="2867">
        <f t="shared" si="446"/>
        <v>63.866571350643198</v>
      </c>
      <c r="CJ51" s="2867">
        <f t="shared" si="446"/>
        <v>0</v>
      </c>
      <c r="CK51" s="2863"/>
      <c r="CL51" s="4188">
        <f t="shared" si="136"/>
        <v>1445.3184286493567</v>
      </c>
      <c r="CM51" s="2863"/>
    </row>
    <row r="52" spans="1:92" ht="18.75" customHeight="1" x14ac:dyDescent="0.3">
      <c r="A52" s="2989" t="s">
        <v>52</v>
      </c>
      <c r="B52" s="2845">
        <f t="shared" si="448"/>
        <v>53.684437385356247</v>
      </c>
      <c r="C52" s="2845">
        <f t="shared" si="449"/>
        <v>53.684437385356247</v>
      </c>
      <c r="D52" s="2845">
        <f t="shared" si="449"/>
        <v>0</v>
      </c>
      <c r="E52" s="2865">
        <f t="shared" si="407"/>
        <v>7.11</v>
      </c>
      <c r="F52" s="2947">
        <v>7.11</v>
      </c>
      <c r="G52" s="2947"/>
      <c r="H52" s="2865">
        <f t="shared" si="409"/>
        <v>7.133</v>
      </c>
      <c r="I52" s="2947">
        <v>7.133</v>
      </c>
      <c r="J52" s="2947"/>
      <c r="K52" s="2865">
        <f t="shared" si="411"/>
        <v>7.12</v>
      </c>
      <c r="L52" s="2947">
        <v>7.12</v>
      </c>
      <c r="M52" s="2947"/>
      <c r="N52" s="2865">
        <f t="shared" si="413"/>
        <v>21.363</v>
      </c>
      <c r="O52" s="2865">
        <f t="shared" si="414"/>
        <v>21.363</v>
      </c>
      <c r="P52" s="2865">
        <f t="shared" si="414"/>
        <v>0</v>
      </c>
      <c r="Q52" s="2845">
        <f t="shared" si="385"/>
        <v>53.684437385356247</v>
      </c>
      <c r="R52" s="2845">
        <f t="shared" si="450"/>
        <v>53.684437385356247</v>
      </c>
      <c r="S52" s="2845">
        <f t="shared" si="451"/>
        <v>0</v>
      </c>
      <c r="T52" s="2865">
        <f t="shared" si="416"/>
        <v>7.13</v>
      </c>
      <c r="U52" s="2947">
        <v>7.13</v>
      </c>
      <c r="V52" s="2947"/>
      <c r="W52" s="2865">
        <f t="shared" si="418"/>
        <v>7.14</v>
      </c>
      <c r="X52" s="2947">
        <v>7.14</v>
      </c>
      <c r="Y52" s="2947"/>
      <c r="Z52" s="2865">
        <f t="shared" si="420"/>
        <v>7.1349999999999998</v>
      </c>
      <c r="AA52" s="2947">
        <v>7.1349999999999998</v>
      </c>
      <c r="AB52" s="2947"/>
      <c r="AC52" s="2865">
        <f t="shared" si="422"/>
        <v>21.405000000000001</v>
      </c>
      <c r="AD52" s="2865">
        <f t="shared" si="423"/>
        <v>21.405000000000001</v>
      </c>
      <c r="AE52" s="2865">
        <f t="shared" si="423"/>
        <v>0</v>
      </c>
      <c r="AF52" s="2846">
        <f t="shared" si="206"/>
        <v>107.36887477071249</v>
      </c>
      <c r="AG52" s="2846">
        <f t="shared" si="207"/>
        <v>107.36887477071249</v>
      </c>
      <c r="AH52" s="2846">
        <f t="shared" si="208"/>
        <v>0</v>
      </c>
      <c r="AI52" s="2867">
        <f t="shared" si="424"/>
        <v>42.768000000000001</v>
      </c>
      <c r="AJ52" s="2867">
        <f t="shared" si="424"/>
        <v>42.768000000000001</v>
      </c>
      <c r="AK52" s="2867">
        <f t="shared" si="424"/>
        <v>0</v>
      </c>
      <c r="AL52" s="2867">
        <f t="shared" si="294"/>
        <v>-64.600874770712494</v>
      </c>
      <c r="AM52" s="2867">
        <f t="shared" si="294"/>
        <v>-64.600874770712494</v>
      </c>
      <c r="AN52" s="2867">
        <f t="shared" si="294"/>
        <v>0</v>
      </c>
      <c r="AO52" s="2845">
        <f t="shared" si="371"/>
        <v>53.684437385356247</v>
      </c>
      <c r="AP52" s="2845">
        <f t="shared" si="452"/>
        <v>53.684437385356247</v>
      </c>
      <c r="AQ52" s="2845">
        <f t="shared" si="453"/>
        <v>0</v>
      </c>
      <c r="AR52" s="2865">
        <f t="shared" si="426"/>
        <v>7.14</v>
      </c>
      <c r="AS52" s="2947">
        <v>7.14</v>
      </c>
      <c r="AT52" s="2947"/>
      <c r="AU52" s="2865">
        <f t="shared" si="428"/>
        <v>7.1269999999999998</v>
      </c>
      <c r="AV52" s="2947">
        <v>7.1269999999999998</v>
      </c>
      <c r="AW52" s="2947"/>
      <c r="AX52" s="2865">
        <f t="shared" si="430"/>
        <v>7.125</v>
      </c>
      <c r="AY52" s="2947">
        <v>7.125</v>
      </c>
      <c r="AZ52" s="2947"/>
      <c r="BA52" s="2865">
        <f t="shared" si="432"/>
        <v>21.391999999999999</v>
      </c>
      <c r="BB52" s="2865">
        <f t="shared" si="433"/>
        <v>21.391999999999999</v>
      </c>
      <c r="BC52" s="2865">
        <f t="shared" si="433"/>
        <v>0</v>
      </c>
      <c r="BD52" s="2846">
        <f t="shared" si="221"/>
        <v>161.05331215606873</v>
      </c>
      <c r="BE52" s="2846">
        <f t="shared" si="222"/>
        <v>161.05331215606873</v>
      </c>
      <c r="BF52" s="2846">
        <f t="shared" si="223"/>
        <v>0</v>
      </c>
      <c r="BG52" s="2867">
        <f t="shared" si="434"/>
        <v>64.16</v>
      </c>
      <c r="BH52" s="2867">
        <f t="shared" si="434"/>
        <v>64.16</v>
      </c>
      <c r="BI52" s="2867">
        <f t="shared" si="434"/>
        <v>0</v>
      </c>
      <c r="BJ52" s="2867">
        <f t="shared" si="295"/>
        <v>-96.893312156068731</v>
      </c>
      <c r="BK52" s="2867">
        <f t="shared" si="295"/>
        <v>-96.893312156068731</v>
      </c>
      <c r="BL52" s="2867">
        <f t="shared" si="295"/>
        <v>0</v>
      </c>
      <c r="BM52" s="2845">
        <f t="shared" si="454"/>
        <v>53.684437385356247</v>
      </c>
      <c r="BN52" s="2845">
        <f t="shared" si="455"/>
        <v>53.684437385356247</v>
      </c>
      <c r="BO52" s="2845">
        <f t="shared" si="456"/>
        <v>0</v>
      </c>
      <c r="BP52" s="2865">
        <f t="shared" si="436"/>
        <v>7.173</v>
      </c>
      <c r="BQ52" s="2947">
        <v>7.173</v>
      </c>
      <c r="BR52" s="2947"/>
      <c r="BS52" s="2865">
        <f t="shared" si="438"/>
        <v>7.4139999999999997</v>
      </c>
      <c r="BT52" s="2947">
        <v>7.4139999999999997</v>
      </c>
      <c r="BU52" s="2947"/>
      <c r="BV52" s="2865">
        <f t="shared" si="440"/>
        <v>7.125</v>
      </c>
      <c r="BW52" s="2947">
        <v>7.125</v>
      </c>
      <c r="BX52" s="2947"/>
      <c r="BY52" s="2865">
        <f t="shared" si="442"/>
        <v>21.712</v>
      </c>
      <c r="BZ52" s="2865">
        <f t="shared" si="443"/>
        <v>21.712</v>
      </c>
      <c r="CA52" s="2865">
        <f t="shared" si="443"/>
        <v>0</v>
      </c>
      <c r="CB52" s="2846">
        <f t="shared" si="157"/>
        <v>214.73774954142499</v>
      </c>
      <c r="CC52" s="2846">
        <f>98.45*2.1811858765</f>
        <v>214.73774954142499</v>
      </c>
      <c r="CD52" s="2846">
        <v>0</v>
      </c>
      <c r="CE52" s="2867">
        <f t="shared" si="457"/>
        <v>85.872</v>
      </c>
      <c r="CF52" s="2982">
        <f t="shared" si="457"/>
        <v>85.872</v>
      </c>
      <c r="CG52" s="2982">
        <f t="shared" si="457"/>
        <v>0</v>
      </c>
      <c r="CH52" s="2867">
        <f t="shared" si="445"/>
        <v>-128.86574954142498</v>
      </c>
      <c r="CI52" s="2867">
        <f t="shared" si="446"/>
        <v>-128.86574954142498</v>
      </c>
      <c r="CJ52" s="2867">
        <f t="shared" si="446"/>
        <v>0</v>
      </c>
      <c r="CK52" s="2863"/>
      <c r="CL52" s="4188">
        <f t="shared" si="136"/>
        <v>214.73774954142499</v>
      </c>
      <c r="CM52" s="2863"/>
    </row>
    <row r="53" spans="1:92" ht="18.75" customHeight="1" x14ac:dyDescent="0.3">
      <c r="A53" s="2989" t="s">
        <v>622</v>
      </c>
      <c r="B53" s="2845">
        <f t="shared" si="448"/>
        <v>0</v>
      </c>
      <c r="C53" s="2845">
        <f t="shared" si="449"/>
        <v>0</v>
      </c>
      <c r="D53" s="2845">
        <f t="shared" si="449"/>
        <v>0</v>
      </c>
      <c r="E53" s="2865">
        <f t="shared" si="407"/>
        <v>0</v>
      </c>
      <c r="F53" s="2947"/>
      <c r="G53" s="2947"/>
      <c r="H53" s="2865">
        <f t="shared" si="409"/>
        <v>0</v>
      </c>
      <c r="I53" s="2947"/>
      <c r="J53" s="2947"/>
      <c r="K53" s="2865">
        <f t="shared" si="411"/>
        <v>0</v>
      </c>
      <c r="L53" s="2947"/>
      <c r="M53" s="2947"/>
      <c r="N53" s="2865">
        <f t="shared" si="413"/>
        <v>0</v>
      </c>
      <c r="O53" s="2865">
        <f t="shared" si="414"/>
        <v>0</v>
      </c>
      <c r="P53" s="2865">
        <f t="shared" si="414"/>
        <v>0</v>
      </c>
      <c r="Q53" s="2845">
        <f t="shared" si="385"/>
        <v>0</v>
      </c>
      <c r="R53" s="2845">
        <f t="shared" si="450"/>
        <v>0</v>
      </c>
      <c r="S53" s="2845">
        <f t="shared" si="451"/>
        <v>0</v>
      </c>
      <c r="T53" s="2865">
        <f t="shared" si="416"/>
        <v>0</v>
      </c>
      <c r="U53" s="2947"/>
      <c r="V53" s="2947"/>
      <c r="W53" s="2865">
        <f t="shared" si="418"/>
        <v>0</v>
      </c>
      <c r="X53" s="2947"/>
      <c r="Y53" s="2947"/>
      <c r="Z53" s="2865">
        <f t="shared" si="420"/>
        <v>0</v>
      </c>
      <c r="AA53" s="2947"/>
      <c r="AB53" s="2947"/>
      <c r="AC53" s="2865">
        <f t="shared" si="422"/>
        <v>0</v>
      </c>
      <c r="AD53" s="2865">
        <f t="shared" si="423"/>
        <v>0</v>
      </c>
      <c r="AE53" s="2865">
        <f t="shared" si="423"/>
        <v>0</v>
      </c>
      <c r="AF53" s="2846">
        <f t="shared" si="206"/>
        <v>0</v>
      </c>
      <c r="AG53" s="2846">
        <f t="shared" si="207"/>
        <v>0</v>
      </c>
      <c r="AH53" s="2846">
        <f t="shared" si="208"/>
        <v>0</v>
      </c>
      <c r="AI53" s="2867">
        <f t="shared" si="424"/>
        <v>0</v>
      </c>
      <c r="AJ53" s="2867">
        <f t="shared" si="424"/>
        <v>0</v>
      </c>
      <c r="AK53" s="2867">
        <f t="shared" si="424"/>
        <v>0</v>
      </c>
      <c r="AL53" s="2867">
        <f t="shared" ref="AL53:AN78" si="458">SUM(AI53-AF53)</f>
        <v>0</v>
      </c>
      <c r="AM53" s="2867">
        <f t="shared" si="458"/>
        <v>0</v>
      </c>
      <c r="AN53" s="2867">
        <f t="shared" si="458"/>
        <v>0</v>
      </c>
      <c r="AO53" s="2845">
        <f t="shared" si="371"/>
        <v>0</v>
      </c>
      <c r="AP53" s="2845">
        <f t="shared" si="452"/>
        <v>0</v>
      </c>
      <c r="AQ53" s="2845">
        <f t="shared" si="453"/>
        <v>0</v>
      </c>
      <c r="AR53" s="2865">
        <f t="shared" si="426"/>
        <v>0</v>
      </c>
      <c r="AS53" s="2947"/>
      <c r="AT53" s="2947"/>
      <c r="AU53" s="2865">
        <f t="shared" si="428"/>
        <v>0</v>
      </c>
      <c r="AV53" s="2947"/>
      <c r="AW53" s="2947"/>
      <c r="AX53" s="2865">
        <f t="shared" si="430"/>
        <v>0</v>
      </c>
      <c r="AY53" s="2947"/>
      <c r="AZ53" s="2947"/>
      <c r="BA53" s="2865">
        <f t="shared" si="432"/>
        <v>0</v>
      </c>
      <c r="BB53" s="2865">
        <f t="shared" si="433"/>
        <v>0</v>
      </c>
      <c r="BC53" s="2865">
        <f t="shared" si="433"/>
        <v>0</v>
      </c>
      <c r="BD53" s="2846">
        <f t="shared" si="221"/>
        <v>0</v>
      </c>
      <c r="BE53" s="2846">
        <f t="shared" si="222"/>
        <v>0</v>
      </c>
      <c r="BF53" s="2846">
        <f t="shared" si="223"/>
        <v>0</v>
      </c>
      <c r="BG53" s="2867">
        <f t="shared" si="434"/>
        <v>0</v>
      </c>
      <c r="BH53" s="2867">
        <f t="shared" si="434"/>
        <v>0</v>
      </c>
      <c r="BI53" s="2867">
        <f t="shared" si="434"/>
        <v>0</v>
      </c>
      <c r="BJ53" s="2867">
        <f t="shared" ref="BJ53:BL78" si="459">SUM(BG53-BD53)</f>
        <v>0</v>
      </c>
      <c r="BK53" s="2867">
        <f t="shared" si="459"/>
        <v>0</v>
      </c>
      <c r="BL53" s="2867">
        <f t="shared" si="459"/>
        <v>0</v>
      </c>
      <c r="BM53" s="2845">
        <f t="shared" si="454"/>
        <v>0</v>
      </c>
      <c r="BN53" s="2845">
        <f t="shared" si="455"/>
        <v>0</v>
      </c>
      <c r="BO53" s="2845">
        <f t="shared" si="456"/>
        <v>0</v>
      </c>
      <c r="BP53" s="2865">
        <f t="shared" si="436"/>
        <v>10.597</v>
      </c>
      <c r="BQ53" s="2947">
        <v>10.597</v>
      </c>
      <c r="BR53" s="2947"/>
      <c r="BS53" s="2865">
        <f t="shared" si="438"/>
        <v>0</v>
      </c>
      <c r="BT53" s="2947"/>
      <c r="BU53" s="2947"/>
      <c r="BV53" s="2865">
        <f t="shared" si="440"/>
        <v>0</v>
      </c>
      <c r="BW53" s="2947"/>
      <c r="BX53" s="2947"/>
      <c r="BY53" s="2865">
        <f t="shared" si="442"/>
        <v>10.597</v>
      </c>
      <c r="BZ53" s="2865">
        <f t="shared" si="443"/>
        <v>10.597</v>
      </c>
      <c r="CA53" s="2865">
        <f t="shared" si="443"/>
        <v>0</v>
      </c>
      <c r="CB53" s="2846">
        <f t="shared" si="157"/>
        <v>0</v>
      </c>
      <c r="CC53" s="2846">
        <f>0*2.1811858765</f>
        <v>0</v>
      </c>
      <c r="CD53" s="2846">
        <v>0</v>
      </c>
      <c r="CE53" s="2867">
        <f t="shared" si="457"/>
        <v>10.597</v>
      </c>
      <c r="CF53" s="2982">
        <f t="shared" si="457"/>
        <v>10.597</v>
      </c>
      <c r="CG53" s="2982">
        <f t="shared" si="457"/>
        <v>0</v>
      </c>
      <c r="CH53" s="2867">
        <f t="shared" si="445"/>
        <v>10.597</v>
      </c>
      <c r="CI53" s="2867">
        <f t="shared" si="446"/>
        <v>10.597</v>
      </c>
      <c r="CJ53" s="2867">
        <f t="shared" si="446"/>
        <v>0</v>
      </c>
      <c r="CK53" s="2863"/>
      <c r="CL53" s="4188">
        <f t="shared" si="136"/>
        <v>0</v>
      </c>
      <c r="CM53" s="2863"/>
    </row>
    <row r="54" spans="1:92" ht="18.75" customHeight="1" x14ac:dyDescent="0.3">
      <c r="A54" s="2989" t="s">
        <v>624</v>
      </c>
      <c r="B54" s="2845">
        <f t="shared" si="448"/>
        <v>18.272884680378748</v>
      </c>
      <c r="C54" s="2845">
        <f t="shared" si="449"/>
        <v>18.272884680378748</v>
      </c>
      <c r="D54" s="2845">
        <f t="shared" si="449"/>
        <v>0</v>
      </c>
      <c r="E54" s="2865">
        <f t="shared" si="407"/>
        <v>2.2400000000000002</v>
      </c>
      <c r="F54" s="2947">
        <v>2.2400000000000002</v>
      </c>
      <c r="G54" s="2947"/>
      <c r="H54" s="2865">
        <f t="shared" si="409"/>
        <v>2.25</v>
      </c>
      <c r="I54" s="2947">
        <v>2.25</v>
      </c>
      <c r="J54" s="2947"/>
      <c r="K54" s="2865">
        <f t="shared" si="411"/>
        <v>2.25</v>
      </c>
      <c r="L54" s="2947">
        <v>2.25</v>
      </c>
      <c r="M54" s="2947"/>
      <c r="N54" s="2865">
        <f t="shared" si="413"/>
        <v>6.74</v>
      </c>
      <c r="O54" s="2865">
        <f t="shared" si="414"/>
        <v>6.74</v>
      </c>
      <c r="P54" s="2865">
        <f t="shared" si="414"/>
        <v>0</v>
      </c>
      <c r="Q54" s="2845">
        <f t="shared" si="385"/>
        <v>18.272884680378748</v>
      </c>
      <c r="R54" s="2845">
        <f t="shared" si="450"/>
        <v>18.272884680378748</v>
      </c>
      <c r="S54" s="2845">
        <f t="shared" si="451"/>
        <v>0</v>
      </c>
      <c r="T54" s="2865">
        <f t="shared" si="416"/>
        <v>2.25</v>
      </c>
      <c r="U54" s="2947">
        <v>2.25</v>
      </c>
      <c r="V54" s="2947"/>
      <c r="W54" s="2865">
        <f t="shared" si="418"/>
        <v>2.16</v>
      </c>
      <c r="X54" s="2947">
        <v>2.16</v>
      </c>
      <c r="Y54" s="2947"/>
      <c r="Z54" s="2865">
        <f t="shared" si="420"/>
        <v>1.6950000000000001</v>
      </c>
      <c r="AA54" s="2947">
        <v>1.6950000000000001</v>
      </c>
      <c r="AB54" s="2947"/>
      <c r="AC54" s="2865">
        <f t="shared" si="422"/>
        <v>6.1050000000000004</v>
      </c>
      <c r="AD54" s="2865">
        <f t="shared" si="423"/>
        <v>6.1050000000000004</v>
      </c>
      <c r="AE54" s="2865">
        <f t="shared" si="423"/>
        <v>0</v>
      </c>
      <c r="AF54" s="2846">
        <f t="shared" si="206"/>
        <v>36.545769360757497</v>
      </c>
      <c r="AG54" s="2846">
        <f t="shared" si="207"/>
        <v>36.545769360757497</v>
      </c>
      <c r="AH54" s="2846">
        <f t="shared" si="208"/>
        <v>0</v>
      </c>
      <c r="AI54" s="2867">
        <f t="shared" si="424"/>
        <v>12.845000000000001</v>
      </c>
      <c r="AJ54" s="2867">
        <f t="shared" si="424"/>
        <v>12.845000000000001</v>
      </c>
      <c r="AK54" s="2867">
        <f t="shared" si="424"/>
        <v>0</v>
      </c>
      <c r="AL54" s="2867">
        <f t="shared" si="458"/>
        <v>-23.700769360757498</v>
      </c>
      <c r="AM54" s="2867">
        <f t="shared" si="458"/>
        <v>-23.700769360757498</v>
      </c>
      <c r="AN54" s="2867">
        <f t="shared" si="458"/>
        <v>0</v>
      </c>
      <c r="AO54" s="2845">
        <f t="shared" si="371"/>
        <v>18.272884680378748</v>
      </c>
      <c r="AP54" s="2845">
        <f t="shared" si="452"/>
        <v>18.272884680378748</v>
      </c>
      <c r="AQ54" s="2845">
        <f t="shared" si="453"/>
        <v>0</v>
      </c>
      <c r="AR54" s="2865">
        <f t="shared" si="426"/>
        <v>1.7</v>
      </c>
      <c r="AS54" s="2947">
        <v>1.7</v>
      </c>
      <c r="AT54" s="2947"/>
      <c r="AU54" s="2865">
        <f t="shared" si="428"/>
        <v>1.6950000000000001</v>
      </c>
      <c r="AV54" s="2947">
        <v>1.6950000000000001</v>
      </c>
      <c r="AW54" s="2947"/>
      <c r="AX54" s="2865">
        <f t="shared" si="430"/>
        <v>1.6950000000000001</v>
      </c>
      <c r="AY54" s="2947">
        <v>1.6950000000000001</v>
      </c>
      <c r="AZ54" s="2947"/>
      <c r="BA54" s="2865">
        <f t="shared" si="432"/>
        <v>5.09</v>
      </c>
      <c r="BB54" s="2865">
        <f t="shared" si="433"/>
        <v>5.09</v>
      </c>
      <c r="BC54" s="2865">
        <f t="shared" si="433"/>
        <v>0</v>
      </c>
      <c r="BD54" s="2846">
        <f t="shared" si="221"/>
        <v>54.818654041136242</v>
      </c>
      <c r="BE54" s="2846">
        <f t="shared" si="222"/>
        <v>54.818654041136242</v>
      </c>
      <c r="BF54" s="2846">
        <f t="shared" si="223"/>
        <v>0</v>
      </c>
      <c r="BG54" s="2867">
        <f t="shared" si="434"/>
        <v>17.935000000000002</v>
      </c>
      <c r="BH54" s="2867">
        <f t="shared" si="434"/>
        <v>17.935000000000002</v>
      </c>
      <c r="BI54" s="2867">
        <f t="shared" si="434"/>
        <v>0</v>
      </c>
      <c r="BJ54" s="2867">
        <f t="shared" si="459"/>
        <v>-36.883654041136239</v>
      </c>
      <c r="BK54" s="2867">
        <f t="shared" si="459"/>
        <v>-36.883654041136239</v>
      </c>
      <c r="BL54" s="2867">
        <f t="shared" si="459"/>
        <v>0</v>
      </c>
      <c r="BM54" s="2845">
        <f t="shared" si="454"/>
        <v>18.272884680378748</v>
      </c>
      <c r="BN54" s="2845">
        <f t="shared" si="455"/>
        <v>18.272884680378748</v>
      </c>
      <c r="BO54" s="2845">
        <f t="shared" si="456"/>
        <v>0</v>
      </c>
      <c r="BP54" s="2865">
        <f t="shared" si="436"/>
        <v>1.6950000000000001</v>
      </c>
      <c r="BQ54" s="2947">
        <v>1.6950000000000001</v>
      </c>
      <c r="BR54" s="2947"/>
      <c r="BS54" s="2865">
        <f t="shared" si="438"/>
        <v>1.6950000000000001</v>
      </c>
      <c r="BT54" s="2947">
        <v>1.6950000000000001</v>
      </c>
      <c r="BU54" s="2947"/>
      <c r="BV54" s="2865">
        <f t="shared" si="440"/>
        <v>1.7</v>
      </c>
      <c r="BW54" s="2947">
        <v>1.7</v>
      </c>
      <c r="BX54" s="2947"/>
      <c r="BY54" s="2865">
        <f t="shared" si="442"/>
        <v>5.09</v>
      </c>
      <c r="BZ54" s="2865">
        <f t="shared" si="443"/>
        <v>5.09</v>
      </c>
      <c r="CA54" s="2865">
        <f t="shared" si="443"/>
        <v>0</v>
      </c>
      <c r="CB54" s="2846">
        <f t="shared" si="157"/>
        <v>73.091538721514993</v>
      </c>
      <c r="CC54" s="2846">
        <f>33.51*2.1811858765</f>
        <v>73.091538721514993</v>
      </c>
      <c r="CD54" s="2846">
        <v>0</v>
      </c>
      <c r="CE54" s="2867">
        <f t="shared" si="457"/>
        <v>23.025000000000002</v>
      </c>
      <c r="CF54" s="2982">
        <f t="shared" si="457"/>
        <v>23.025000000000002</v>
      </c>
      <c r="CG54" s="2982">
        <f t="shared" si="457"/>
        <v>0</v>
      </c>
      <c r="CH54" s="2867">
        <f t="shared" si="445"/>
        <v>-50.066538721514988</v>
      </c>
      <c r="CI54" s="2867">
        <f t="shared" si="446"/>
        <v>-50.066538721514988</v>
      </c>
      <c r="CJ54" s="2867">
        <f t="shared" si="446"/>
        <v>0</v>
      </c>
      <c r="CK54" s="2863"/>
      <c r="CL54" s="4188">
        <f t="shared" si="136"/>
        <v>73.091538721514993</v>
      </c>
      <c r="CM54" s="2863"/>
    </row>
    <row r="55" spans="1:92" ht="18.75" customHeight="1" x14ac:dyDescent="0.3">
      <c r="A55" s="2989" t="s">
        <v>590</v>
      </c>
      <c r="B55" s="2845">
        <f t="shared" si="448"/>
        <v>198.03215</v>
      </c>
      <c r="C55" s="2845">
        <f t="shared" si="449"/>
        <v>198.03215</v>
      </c>
      <c r="D55" s="2845">
        <f t="shared" si="449"/>
        <v>0</v>
      </c>
      <c r="E55" s="2865">
        <f t="shared" si="407"/>
        <v>38.32</v>
      </c>
      <c r="F55" s="2947">
        <v>38.32</v>
      </c>
      <c r="G55" s="2947"/>
      <c r="H55" s="2865">
        <f t="shared" si="409"/>
        <v>34.409999999999997</v>
      </c>
      <c r="I55" s="2947">
        <v>34.409999999999997</v>
      </c>
      <c r="J55" s="2947"/>
      <c r="K55" s="2865">
        <f t="shared" si="411"/>
        <v>100.86</v>
      </c>
      <c r="L55" s="2947">
        <v>100.86</v>
      </c>
      <c r="M55" s="2947"/>
      <c r="N55" s="2865">
        <f t="shared" si="413"/>
        <v>173.58999999999997</v>
      </c>
      <c r="O55" s="2865">
        <f t="shared" si="414"/>
        <v>173.58999999999997</v>
      </c>
      <c r="P55" s="2865">
        <f t="shared" si="414"/>
        <v>0</v>
      </c>
      <c r="Q55" s="2845">
        <f t="shared" si="385"/>
        <v>198.03215</v>
      </c>
      <c r="R55" s="2845">
        <f t="shared" si="450"/>
        <v>198.03215</v>
      </c>
      <c r="S55" s="2845">
        <f t="shared" si="451"/>
        <v>0</v>
      </c>
      <c r="T55" s="2865">
        <f t="shared" si="416"/>
        <v>23.79</v>
      </c>
      <c r="U55" s="2947">
        <v>23.79</v>
      </c>
      <c r="V55" s="2947"/>
      <c r="W55" s="2865">
        <f t="shared" si="418"/>
        <v>23.52</v>
      </c>
      <c r="X55" s="2947">
        <v>23.52</v>
      </c>
      <c r="Y55" s="2947"/>
      <c r="Z55" s="2865">
        <f t="shared" si="420"/>
        <v>18.802</v>
      </c>
      <c r="AA55" s="2947">
        <v>18.802</v>
      </c>
      <c r="AB55" s="2947"/>
      <c r="AC55" s="2865">
        <f t="shared" si="422"/>
        <v>66.111999999999995</v>
      </c>
      <c r="AD55" s="2865">
        <f t="shared" si="423"/>
        <v>66.111999999999995</v>
      </c>
      <c r="AE55" s="2865">
        <f t="shared" si="423"/>
        <v>0</v>
      </c>
      <c r="AF55" s="2846">
        <f t="shared" si="206"/>
        <v>396.0643</v>
      </c>
      <c r="AG55" s="2846">
        <f t="shared" si="207"/>
        <v>396.0643</v>
      </c>
      <c r="AH55" s="2846">
        <f t="shared" si="208"/>
        <v>0</v>
      </c>
      <c r="AI55" s="2867">
        <f t="shared" si="424"/>
        <v>239.70199999999997</v>
      </c>
      <c r="AJ55" s="2867">
        <f t="shared" si="424"/>
        <v>239.70199999999997</v>
      </c>
      <c r="AK55" s="2867">
        <f t="shared" si="424"/>
        <v>0</v>
      </c>
      <c r="AL55" s="2867">
        <f t="shared" si="458"/>
        <v>-156.36230000000003</v>
      </c>
      <c r="AM55" s="2867">
        <f t="shared" si="458"/>
        <v>-156.36230000000003</v>
      </c>
      <c r="AN55" s="2867">
        <f t="shared" si="458"/>
        <v>0</v>
      </c>
      <c r="AO55" s="2845">
        <f t="shared" si="371"/>
        <v>198.03215</v>
      </c>
      <c r="AP55" s="2845">
        <f t="shared" si="452"/>
        <v>198.03215</v>
      </c>
      <c r="AQ55" s="2845">
        <f t="shared" si="453"/>
        <v>0</v>
      </c>
      <c r="AR55" s="2865">
        <f t="shared" si="426"/>
        <v>24.17</v>
      </c>
      <c r="AS55" s="2947">
        <v>24.17</v>
      </c>
      <c r="AT55" s="2947"/>
      <c r="AU55" s="2865">
        <f t="shared" si="428"/>
        <v>23.359000000000002</v>
      </c>
      <c r="AV55" s="2947">
        <v>23.359000000000002</v>
      </c>
      <c r="AW55" s="2947"/>
      <c r="AX55" s="2865">
        <f t="shared" si="430"/>
        <v>22.847000000000001</v>
      </c>
      <c r="AY55" s="2947">
        <v>22.847000000000001</v>
      </c>
      <c r="AZ55" s="2947"/>
      <c r="BA55" s="2865">
        <f t="shared" si="432"/>
        <v>70.376000000000005</v>
      </c>
      <c r="BB55" s="2865">
        <f t="shared" si="433"/>
        <v>70.376000000000005</v>
      </c>
      <c r="BC55" s="2865">
        <f t="shared" si="433"/>
        <v>0</v>
      </c>
      <c r="BD55" s="2846">
        <f t="shared" si="221"/>
        <v>594.09645</v>
      </c>
      <c r="BE55" s="2846">
        <f t="shared" si="222"/>
        <v>594.09645</v>
      </c>
      <c r="BF55" s="2846">
        <f t="shared" si="223"/>
        <v>0</v>
      </c>
      <c r="BG55" s="2867">
        <f t="shared" si="434"/>
        <v>310.07799999999997</v>
      </c>
      <c r="BH55" s="2867">
        <f t="shared" si="434"/>
        <v>310.07799999999997</v>
      </c>
      <c r="BI55" s="2867">
        <f t="shared" si="434"/>
        <v>0</v>
      </c>
      <c r="BJ55" s="2867">
        <f t="shared" si="459"/>
        <v>-284.01845000000003</v>
      </c>
      <c r="BK55" s="2867">
        <f t="shared" si="459"/>
        <v>-284.01845000000003</v>
      </c>
      <c r="BL55" s="2867">
        <f t="shared" si="459"/>
        <v>0</v>
      </c>
      <c r="BM55" s="2845">
        <f t="shared" si="454"/>
        <v>198.03215</v>
      </c>
      <c r="BN55" s="2845">
        <f t="shared" si="455"/>
        <v>198.03215</v>
      </c>
      <c r="BO55" s="2845">
        <f t="shared" si="456"/>
        <v>0</v>
      </c>
      <c r="BP55" s="2865">
        <f t="shared" si="436"/>
        <v>29.24</v>
      </c>
      <c r="BQ55" s="2947">
        <f>2+27.24</f>
        <v>29.24</v>
      </c>
      <c r="BR55" s="2947"/>
      <c r="BS55" s="2865">
        <f t="shared" si="438"/>
        <v>30.434000000000001</v>
      </c>
      <c r="BT55" s="2947">
        <v>30.434000000000001</v>
      </c>
      <c r="BU55" s="2947"/>
      <c r="BV55" s="2865">
        <f t="shared" si="440"/>
        <v>64.153999999999996</v>
      </c>
      <c r="BW55" s="2947">
        <v>64.153999999999996</v>
      </c>
      <c r="BX55" s="2947"/>
      <c r="BY55" s="2865">
        <f t="shared" si="442"/>
        <v>123.828</v>
      </c>
      <c r="BZ55" s="2865">
        <f t="shared" si="443"/>
        <v>123.828</v>
      </c>
      <c r="CA55" s="2865">
        <f t="shared" si="443"/>
        <v>0</v>
      </c>
      <c r="CB55" s="2846">
        <f t="shared" si="157"/>
        <v>792.12860000000001</v>
      </c>
      <c r="CC55" s="2846">
        <v>792.12860000000001</v>
      </c>
      <c r="CD55" s="2846">
        <v>0</v>
      </c>
      <c r="CE55" s="2867">
        <f t="shared" si="457"/>
        <v>433.90599999999995</v>
      </c>
      <c r="CF55" s="2982">
        <f t="shared" si="457"/>
        <v>433.90599999999995</v>
      </c>
      <c r="CG55" s="2982">
        <f t="shared" si="457"/>
        <v>0</v>
      </c>
      <c r="CH55" s="2867">
        <f t="shared" si="445"/>
        <v>-358.22260000000006</v>
      </c>
      <c r="CI55" s="2867">
        <f t="shared" si="446"/>
        <v>-358.22260000000006</v>
      </c>
      <c r="CJ55" s="2867">
        <f t="shared" si="446"/>
        <v>0</v>
      </c>
      <c r="CK55" s="2863"/>
      <c r="CL55" s="4188">
        <f t="shared" si="136"/>
        <v>792.12860000000001</v>
      </c>
      <c r="CM55" s="2863"/>
    </row>
    <row r="56" spans="1:92" ht="18.75" customHeight="1" x14ac:dyDescent="0.3">
      <c r="A56" s="2989" t="s">
        <v>42</v>
      </c>
      <c r="B56" s="2845">
        <f t="shared" si="448"/>
        <v>34.209000000000003</v>
      </c>
      <c r="C56" s="2845">
        <f t="shared" si="449"/>
        <v>34.209000000000003</v>
      </c>
      <c r="D56" s="2845">
        <f t="shared" si="449"/>
        <v>0</v>
      </c>
      <c r="E56" s="2865">
        <f t="shared" si="407"/>
        <v>0</v>
      </c>
      <c r="F56" s="2947"/>
      <c r="G56" s="2947"/>
      <c r="H56" s="2865">
        <f t="shared" si="409"/>
        <v>0</v>
      </c>
      <c r="I56" s="2947"/>
      <c r="J56" s="2947"/>
      <c r="K56" s="2865">
        <f t="shared" si="411"/>
        <v>7.2270000000000003</v>
      </c>
      <c r="L56" s="2947">
        <f>1.259+5.968</f>
        <v>7.2270000000000003</v>
      </c>
      <c r="M56" s="2947"/>
      <c r="N56" s="2865">
        <f t="shared" si="413"/>
        <v>7.2270000000000003</v>
      </c>
      <c r="O56" s="2865">
        <f t="shared" si="414"/>
        <v>7.2270000000000003</v>
      </c>
      <c r="P56" s="2865">
        <f t="shared" si="414"/>
        <v>0</v>
      </c>
      <c r="Q56" s="2845">
        <f t="shared" si="385"/>
        <v>34.209000000000003</v>
      </c>
      <c r="R56" s="2845">
        <f t="shared" si="450"/>
        <v>34.209000000000003</v>
      </c>
      <c r="S56" s="2845">
        <f t="shared" si="451"/>
        <v>0</v>
      </c>
      <c r="T56" s="2865">
        <f t="shared" si="416"/>
        <v>0</v>
      </c>
      <c r="U56" s="2947"/>
      <c r="V56" s="2947"/>
      <c r="W56" s="2865">
        <f t="shared" si="418"/>
        <v>0</v>
      </c>
      <c r="X56" s="2947"/>
      <c r="Y56" s="2947"/>
      <c r="Z56" s="2865">
        <f t="shared" si="420"/>
        <v>47.656999999999996</v>
      </c>
      <c r="AA56" s="2947">
        <f>20.127+20.593+6.937</f>
        <v>47.656999999999996</v>
      </c>
      <c r="AB56" s="2947"/>
      <c r="AC56" s="2865">
        <f t="shared" si="422"/>
        <v>47.656999999999996</v>
      </c>
      <c r="AD56" s="2865">
        <f t="shared" si="423"/>
        <v>47.656999999999996</v>
      </c>
      <c r="AE56" s="2865">
        <f t="shared" si="423"/>
        <v>0</v>
      </c>
      <c r="AF56" s="2846">
        <f t="shared" si="206"/>
        <v>68.418000000000006</v>
      </c>
      <c r="AG56" s="2846">
        <f t="shared" si="207"/>
        <v>68.418000000000006</v>
      </c>
      <c r="AH56" s="2846">
        <f t="shared" si="208"/>
        <v>0</v>
      </c>
      <c r="AI56" s="2867">
        <f t="shared" si="424"/>
        <v>54.884</v>
      </c>
      <c r="AJ56" s="2867">
        <f t="shared" si="424"/>
        <v>54.884</v>
      </c>
      <c r="AK56" s="2867">
        <f t="shared" si="424"/>
        <v>0</v>
      </c>
      <c r="AL56" s="2867">
        <f t="shared" si="458"/>
        <v>-13.534000000000006</v>
      </c>
      <c r="AM56" s="2867">
        <f t="shared" si="458"/>
        <v>-13.534000000000006</v>
      </c>
      <c r="AN56" s="2867">
        <f t="shared" si="458"/>
        <v>0</v>
      </c>
      <c r="AO56" s="2845">
        <f t="shared" si="371"/>
        <v>34.209000000000003</v>
      </c>
      <c r="AP56" s="2845">
        <f t="shared" si="452"/>
        <v>34.209000000000003</v>
      </c>
      <c r="AQ56" s="2845">
        <f t="shared" si="453"/>
        <v>0</v>
      </c>
      <c r="AR56" s="2865">
        <f t="shared" si="426"/>
        <v>0</v>
      </c>
      <c r="AS56" s="2947"/>
      <c r="AT56" s="2947"/>
      <c r="AU56" s="2865">
        <f t="shared" si="428"/>
        <v>0</v>
      </c>
      <c r="AV56" s="2947"/>
      <c r="AW56" s="2947"/>
      <c r="AX56" s="2865">
        <f t="shared" si="430"/>
        <v>11.866999999999999</v>
      </c>
      <c r="AY56" s="2947">
        <f>9.959+1.908</f>
        <v>11.866999999999999</v>
      </c>
      <c r="AZ56" s="2947"/>
      <c r="BA56" s="2865">
        <f t="shared" si="432"/>
        <v>11.866999999999999</v>
      </c>
      <c r="BB56" s="2865">
        <f t="shared" si="433"/>
        <v>11.866999999999999</v>
      </c>
      <c r="BC56" s="2865">
        <f t="shared" si="433"/>
        <v>0</v>
      </c>
      <c r="BD56" s="2846">
        <f t="shared" si="221"/>
        <v>102.62700000000001</v>
      </c>
      <c r="BE56" s="2846">
        <f t="shared" si="222"/>
        <v>102.62700000000001</v>
      </c>
      <c r="BF56" s="2846">
        <f t="shared" si="223"/>
        <v>0</v>
      </c>
      <c r="BG56" s="2867">
        <f t="shared" si="434"/>
        <v>66.751000000000005</v>
      </c>
      <c r="BH56" s="2867">
        <f t="shared" si="434"/>
        <v>66.751000000000005</v>
      </c>
      <c r="BI56" s="2867">
        <f t="shared" si="434"/>
        <v>0</v>
      </c>
      <c r="BJ56" s="2867">
        <f t="shared" si="459"/>
        <v>-35.876000000000005</v>
      </c>
      <c r="BK56" s="2867">
        <f t="shared" si="459"/>
        <v>-35.876000000000005</v>
      </c>
      <c r="BL56" s="2867">
        <f t="shared" si="459"/>
        <v>0</v>
      </c>
      <c r="BM56" s="2845">
        <f t="shared" si="454"/>
        <v>34.209000000000003</v>
      </c>
      <c r="BN56" s="2845">
        <f t="shared" si="455"/>
        <v>34.209000000000003</v>
      </c>
      <c r="BO56" s="2845">
        <f t="shared" si="456"/>
        <v>0</v>
      </c>
      <c r="BP56" s="2865">
        <f t="shared" si="436"/>
        <v>0</v>
      </c>
      <c r="BQ56" s="2947"/>
      <c r="BR56" s="2947"/>
      <c r="BS56" s="2865">
        <f t="shared" si="438"/>
        <v>0</v>
      </c>
      <c r="BT56" s="2947"/>
      <c r="BU56" s="2947"/>
      <c r="BV56" s="2865">
        <f t="shared" si="440"/>
        <v>7.8440000000000003</v>
      </c>
      <c r="BW56" s="2947">
        <v>7.8440000000000003</v>
      </c>
      <c r="BX56" s="2947"/>
      <c r="BY56" s="2865">
        <f t="shared" si="442"/>
        <v>7.8440000000000003</v>
      </c>
      <c r="BZ56" s="2865">
        <f t="shared" si="443"/>
        <v>7.8440000000000003</v>
      </c>
      <c r="CA56" s="2865">
        <f t="shared" si="443"/>
        <v>0</v>
      </c>
      <c r="CB56" s="2846">
        <f t="shared" si="157"/>
        <v>136.83600000000001</v>
      </c>
      <c r="CC56" s="2846">
        <v>136.83600000000001</v>
      </c>
      <c r="CD56" s="2846">
        <v>0</v>
      </c>
      <c r="CE56" s="2867">
        <f t="shared" si="457"/>
        <v>74.594999999999999</v>
      </c>
      <c r="CF56" s="2982">
        <f t="shared" si="457"/>
        <v>74.594999999999999</v>
      </c>
      <c r="CG56" s="2982">
        <f t="shared" si="457"/>
        <v>0</v>
      </c>
      <c r="CH56" s="2867">
        <f t="shared" si="445"/>
        <v>-62.241000000000014</v>
      </c>
      <c r="CI56" s="2867">
        <f t="shared" si="446"/>
        <v>-62.241000000000014</v>
      </c>
      <c r="CJ56" s="2867">
        <f t="shared" si="446"/>
        <v>0</v>
      </c>
      <c r="CK56" s="2863"/>
      <c r="CL56" s="4188">
        <f t="shared" si="136"/>
        <v>136.83600000000001</v>
      </c>
      <c r="CM56" s="2863"/>
    </row>
    <row r="57" spans="1:92" ht="18.75" customHeight="1" x14ac:dyDescent="0.3">
      <c r="A57" s="2989" t="s">
        <v>38</v>
      </c>
      <c r="B57" s="2845">
        <f t="shared" si="448"/>
        <v>37.136721017088007</v>
      </c>
      <c r="C57" s="2845">
        <f t="shared" si="449"/>
        <v>37.136721017088007</v>
      </c>
      <c r="D57" s="2845">
        <f t="shared" si="449"/>
        <v>0</v>
      </c>
      <c r="E57" s="2865">
        <f t="shared" si="407"/>
        <v>0</v>
      </c>
      <c r="F57" s="2947"/>
      <c r="G57" s="2947"/>
      <c r="H57" s="2865">
        <f t="shared" si="409"/>
        <v>4.3</v>
      </c>
      <c r="I57" s="2947">
        <v>4.3</v>
      </c>
      <c r="J57" s="2947"/>
      <c r="K57" s="2865">
        <f t="shared" si="411"/>
        <v>0</v>
      </c>
      <c r="L57" s="2947"/>
      <c r="M57" s="2947"/>
      <c r="N57" s="2865">
        <f t="shared" si="413"/>
        <v>4.3</v>
      </c>
      <c r="O57" s="2865">
        <f t="shared" si="414"/>
        <v>4.3</v>
      </c>
      <c r="P57" s="2865">
        <f t="shared" si="414"/>
        <v>0</v>
      </c>
      <c r="Q57" s="2845">
        <f t="shared" si="385"/>
        <v>37.136721017088007</v>
      </c>
      <c r="R57" s="2845">
        <f t="shared" si="450"/>
        <v>37.136721017088007</v>
      </c>
      <c r="S57" s="2845">
        <f t="shared" si="451"/>
        <v>0</v>
      </c>
      <c r="T57" s="2865">
        <f t="shared" si="416"/>
        <v>15.72</v>
      </c>
      <c r="U57" s="2947">
        <f>1+14.72</f>
        <v>15.72</v>
      </c>
      <c r="V57" s="2947"/>
      <c r="W57" s="2865">
        <f t="shared" si="418"/>
        <v>0</v>
      </c>
      <c r="X57" s="2947"/>
      <c r="Y57" s="2947"/>
      <c r="Z57" s="2865">
        <f t="shared" si="420"/>
        <v>0</v>
      </c>
      <c r="AA57" s="2947"/>
      <c r="AB57" s="2947"/>
      <c r="AC57" s="2865">
        <f t="shared" si="422"/>
        <v>15.72</v>
      </c>
      <c r="AD57" s="2865">
        <f t="shared" si="423"/>
        <v>15.72</v>
      </c>
      <c r="AE57" s="2865">
        <f t="shared" si="423"/>
        <v>0</v>
      </c>
      <c r="AF57" s="2846">
        <f t="shared" si="206"/>
        <v>74.273442034176014</v>
      </c>
      <c r="AG57" s="2846">
        <f t="shared" si="207"/>
        <v>74.273442034176014</v>
      </c>
      <c r="AH57" s="2846">
        <f t="shared" si="208"/>
        <v>0</v>
      </c>
      <c r="AI57" s="2867">
        <f t="shared" si="424"/>
        <v>20.02</v>
      </c>
      <c r="AJ57" s="2867">
        <f t="shared" si="424"/>
        <v>20.02</v>
      </c>
      <c r="AK57" s="2867">
        <f t="shared" si="424"/>
        <v>0</v>
      </c>
      <c r="AL57" s="2867">
        <f t="shared" si="458"/>
        <v>-54.253442034176018</v>
      </c>
      <c r="AM57" s="2867">
        <f t="shared" si="458"/>
        <v>-54.253442034176018</v>
      </c>
      <c r="AN57" s="2867">
        <f t="shared" si="458"/>
        <v>0</v>
      </c>
      <c r="AO57" s="2845">
        <f t="shared" si="371"/>
        <v>37.136721017088007</v>
      </c>
      <c r="AP57" s="2845">
        <f t="shared" si="452"/>
        <v>37.136721017088007</v>
      </c>
      <c r="AQ57" s="2845">
        <f t="shared" si="453"/>
        <v>0</v>
      </c>
      <c r="AR57" s="2865">
        <f t="shared" si="426"/>
        <v>2.2999999999999998</v>
      </c>
      <c r="AS57" s="2947">
        <v>2.2999999999999998</v>
      </c>
      <c r="AT57" s="2947"/>
      <c r="AU57" s="2865">
        <f t="shared" si="428"/>
        <v>0</v>
      </c>
      <c r="AV57" s="2947"/>
      <c r="AW57" s="2947"/>
      <c r="AX57" s="2865">
        <f t="shared" si="430"/>
        <v>0</v>
      </c>
      <c r="AY57" s="2947"/>
      <c r="AZ57" s="2947"/>
      <c r="BA57" s="2865">
        <f t="shared" si="432"/>
        <v>2.2999999999999998</v>
      </c>
      <c r="BB57" s="2865">
        <f t="shared" si="433"/>
        <v>2.2999999999999998</v>
      </c>
      <c r="BC57" s="2865">
        <f t="shared" si="433"/>
        <v>0</v>
      </c>
      <c r="BD57" s="2846">
        <f t="shared" si="221"/>
        <v>111.41016305126402</v>
      </c>
      <c r="BE57" s="2846">
        <f t="shared" si="222"/>
        <v>111.41016305126402</v>
      </c>
      <c r="BF57" s="2846">
        <f t="shared" si="223"/>
        <v>0</v>
      </c>
      <c r="BG57" s="2867">
        <f t="shared" si="434"/>
        <v>22.32</v>
      </c>
      <c r="BH57" s="2867">
        <f t="shared" si="434"/>
        <v>22.32</v>
      </c>
      <c r="BI57" s="2867">
        <f t="shared" si="434"/>
        <v>0</v>
      </c>
      <c r="BJ57" s="2867">
        <f t="shared" si="459"/>
        <v>-89.090163051264028</v>
      </c>
      <c r="BK57" s="2867">
        <f t="shared" si="459"/>
        <v>-89.090163051264028</v>
      </c>
      <c r="BL57" s="2867">
        <f t="shared" si="459"/>
        <v>0</v>
      </c>
      <c r="BM57" s="2845">
        <f t="shared" si="454"/>
        <v>37.136721017088007</v>
      </c>
      <c r="BN57" s="2845">
        <f t="shared" si="455"/>
        <v>37.136721017088007</v>
      </c>
      <c r="BO57" s="2845">
        <f t="shared" si="456"/>
        <v>0</v>
      </c>
      <c r="BP57" s="2865">
        <f t="shared" si="436"/>
        <v>0</v>
      </c>
      <c r="BQ57" s="2947"/>
      <c r="BR57" s="2947"/>
      <c r="BS57" s="2865">
        <f t="shared" si="438"/>
        <v>0</v>
      </c>
      <c r="BT57" s="2947"/>
      <c r="BU57" s="2947"/>
      <c r="BV57" s="2865">
        <f t="shared" si="440"/>
        <v>2.3079999999999998</v>
      </c>
      <c r="BW57" s="2947">
        <v>2.3079999999999998</v>
      </c>
      <c r="BX57" s="2947"/>
      <c r="BY57" s="2865">
        <f t="shared" si="442"/>
        <v>2.3079999999999998</v>
      </c>
      <c r="BZ57" s="2865">
        <f t="shared" si="443"/>
        <v>2.3079999999999998</v>
      </c>
      <c r="CA57" s="2865">
        <f t="shared" si="443"/>
        <v>0</v>
      </c>
      <c r="CB57" s="2846">
        <f t="shared" si="157"/>
        <v>148.54688406835203</v>
      </c>
      <c r="CC57" s="2846">
        <f>141.76*(1+0.032)*0.99*(1+0.036)*0.99</f>
        <v>148.54688406835203</v>
      </c>
      <c r="CD57" s="2846">
        <v>0</v>
      </c>
      <c r="CE57" s="2867">
        <f t="shared" si="457"/>
        <v>24.628</v>
      </c>
      <c r="CF57" s="2982">
        <f t="shared" si="457"/>
        <v>24.628</v>
      </c>
      <c r="CG57" s="2982">
        <f t="shared" si="457"/>
        <v>0</v>
      </c>
      <c r="CH57" s="2867">
        <f t="shared" si="445"/>
        <v>-123.91888406835203</v>
      </c>
      <c r="CI57" s="2867">
        <f t="shared" si="446"/>
        <v>-123.91888406835203</v>
      </c>
      <c r="CJ57" s="2867">
        <f t="shared" si="446"/>
        <v>0</v>
      </c>
      <c r="CK57" s="2863"/>
      <c r="CL57" s="4188">
        <f t="shared" si="136"/>
        <v>148.54688406835203</v>
      </c>
      <c r="CM57" s="2863"/>
    </row>
    <row r="58" spans="1:92" ht="18.75" customHeight="1" x14ac:dyDescent="0.3">
      <c r="A58" s="2989" t="s">
        <v>592</v>
      </c>
      <c r="B58" s="2845">
        <f t="shared" si="448"/>
        <v>0</v>
      </c>
      <c r="C58" s="2845">
        <f t="shared" si="449"/>
        <v>0</v>
      </c>
      <c r="D58" s="2845">
        <f t="shared" si="449"/>
        <v>0</v>
      </c>
      <c r="E58" s="2865">
        <f t="shared" si="407"/>
        <v>0</v>
      </c>
      <c r="F58" s="2947"/>
      <c r="G58" s="2947"/>
      <c r="H58" s="2865">
        <f t="shared" si="409"/>
        <v>0</v>
      </c>
      <c r="I58" s="2947"/>
      <c r="J58" s="2947"/>
      <c r="K58" s="2865">
        <f t="shared" si="411"/>
        <v>0</v>
      </c>
      <c r="L58" s="2947"/>
      <c r="M58" s="2947"/>
      <c r="N58" s="2865">
        <f t="shared" si="413"/>
        <v>0</v>
      </c>
      <c r="O58" s="2865">
        <f t="shared" si="414"/>
        <v>0</v>
      </c>
      <c r="P58" s="2865">
        <f t="shared" si="414"/>
        <v>0</v>
      </c>
      <c r="Q58" s="2845">
        <f t="shared" si="385"/>
        <v>0</v>
      </c>
      <c r="R58" s="2845">
        <f t="shared" si="450"/>
        <v>0</v>
      </c>
      <c r="S58" s="2845">
        <f t="shared" si="451"/>
        <v>0</v>
      </c>
      <c r="T58" s="2865">
        <f t="shared" si="416"/>
        <v>0</v>
      </c>
      <c r="U58" s="2947"/>
      <c r="V58" s="2947"/>
      <c r="W58" s="2865">
        <f t="shared" si="418"/>
        <v>0</v>
      </c>
      <c r="X58" s="2947"/>
      <c r="Y58" s="2947"/>
      <c r="Z58" s="2865">
        <f t="shared" si="420"/>
        <v>0</v>
      </c>
      <c r="AA58" s="2947"/>
      <c r="AB58" s="2947"/>
      <c r="AC58" s="2865">
        <f t="shared" si="422"/>
        <v>0</v>
      </c>
      <c r="AD58" s="2865">
        <f t="shared" si="423"/>
        <v>0</v>
      </c>
      <c r="AE58" s="2865">
        <f t="shared" si="423"/>
        <v>0</v>
      </c>
      <c r="AF58" s="2846">
        <f t="shared" si="206"/>
        <v>0</v>
      </c>
      <c r="AG58" s="2846">
        <f t="shared" si="207"/>
        <v>0</v>
      </c>
      <c r="AH58" s="2846">
        <f t="shared" si="208"/>
        <v>0</v>
      </c>
      <c r="AI58" s="2867">
        <f t="shared" si="424"/>
        <v>0</v>
      </c>
      <c r="AJ58" s="2867">
        <f t="shared" si="424"/>
        <v>0</v>
      </c>
      <c r="AK58" s="2867">
        <f t="shared" si="424"/>
        <v>0</v>
      </c>
      <c r="AL58" s="2867">
        <f t="shared" si="458"/>
        <v>0</v>
      </c>
      <c r="AM58" s="2867">
        <f t="shared" si="458"/>
        <v>0</v>
      </c>
      <c r="AN58" s="2867">
        <f t="shared" si="458"/>
        <v>0</v>
      </c>
      <c r="AO58" s="2845">
        <f t="shared" si="371"/>
        <v>0</v>
      </c>
      <c r="AP58" s="2845">
        <f t="shared" si="452"/>
        <v>0</v>
      </c>
      <c r="AQ58" s="2845">
        <f t="shared" si="453"/>
        <v>0</v>
      </c>
      <c r="AR58" s="2865">
        <f t="shared" si="426"/>
        <v>0</v>
      </c>
      <c r="AS58" s="2947"/>
      <c r="AT58" s="2947"/>
      <c r="AU58" s="2865">
        <f t="shared" si="428"/>
        <v>0</v>
      </c>
      <c r="AV58" s="2947"/>
      <c r="AW58" s="2947"/>
      <c r="AX58" s="2865">
        <f t="shared" si="430"/>
        <v>0</v>
      </c>
      <c r="AY58" s="2947"/>
      <c r="AZ58" s="2947"/>
      <c r="BA58" s="2865">
        <f t="shared" si="432"/>
        <v>0</v>
      </c>
      <c r="BB58" s="2865">
        <f t="shared" si="433"/>
        <v>0</v>
      </c>
      <c r="BC58" s="2865">
        <f t="shared" si="433"/>
        <v>0</v>
      </c>
      <c r="BD58" s="2846">
        <f t="shared" si="221"/>
        <v>0</v>
      </c>
      <c r="BE58" s="2846">
        <f t="shared" si="222"/>
        <v>0</v>
      </c>
      <c r="BF58" s="2846">
        <f t="shared" si="223"/>
        <v>0</v>
      </c>
      <c r="BG58" s="2867">
        <f t="shared" si="434"/>
        <v>0</v>
      </c>
      <c r="BH58" s="2867">
        <f t="shared" si="434"/>
        <v>0</v>
      </c>
      <c r="BI58" s="2867">
        <f t="shared" si="434"/>
        <v>0</v>
      </c>
      <c r="BJ58" s="2867">
        <f t="shared" si="459"/>
        <v>0</v>
      </c>
      <c r="BK58" s="2867">
        <f t="shared" si="459"/>
        <v>0</v>
      </c>
      <c r="BL58" s="2867">
        <f t="shared" si="459"/>
        <v>0</v>
      </c>
      <c r="BM58" s="2845">
        <f t="shared" si="454"/>
        <v>0</v>
      </c>
      <c r="BN58" s="2845">
        <f t="shared" si="455"/>
        <v>0</v>
      </c>
      <c r="BO58" s="2845">
        <f t="shared" si="456"/>
        <v>0</v>
      </c>
      <c r="BP58" s="2865">
        <f t="shared" si="436"/>
        <v>0</v>
      </c>
      <c r="BQ58" s="2947"/>
      <c r="BR58" s="2947"/>
      <c r="BS58" s="2865">
        <f t="shared" si="438"/>
        <v>0</v>
      </c>
      <c r="BT58" s="2947"/>
      <c r="BU58" s="2947"/>
      <c r="BV58" s="2865">
        <f t="shared" si="440"/>
        <v>0</v>
      </c>
      <c r="BW58" s="2947"/>
      <c r="BX58" s="2947"/>
      <c r="BY58" s="2865">
        <f t="shared" si="442"/>
        <v>0</v>
      </c>
      <c r="BZ58" s="2865">
        <f t="shared" si="443"/>
        <v>0</v>
      </c>
      <c r="CA58" s="2865">
        <f t="shared" si="443"/>
        <v>0</v>
      </c>
      <c r="CB58" s="2846">
        <f t="shared" si="157"/>
        <v>0</v>
      </c>
      <c r="CC58" s="2846">
        <f>0*2.1811858765</f>
        <v>0</v>
      </c>
      <c r="CD58" s="2846">
        <v>0</v>
      </c>
      <c r="CE58" s="2867">
        <f t="shared" si="457"/>
        <v>0</v>
      </c>
      <c r="CF58" s="2982">
        <f t="shared" si="457"/>
        <v>0</v>
      </c>
      <c r="CG58" s="2982">
        <f t="shared" si="457"/>
        <v>0</v>
      </c>
      <c r="CH58" s="2867">
        <f t="shared" si="445"/>
        <v>0</v>
      </c>
      <c r="CI58" s="2867">
        <f t="shared" si="446"/>
        <v>0</v>
      </c>
      <c r="CJ58" s="2867">
        <f t="shared" si="446"/>
        <v>0</v>
      </c>
      <c r="CK58" s="2863"/>
      <c r="CL58" s="4188">
        <f t="shared" si="136"/>
        <v>0</v>
      </c>
      <c r="CM58" s="2863"/>
    </row>
    <row r="59" spans="1:92" ht="18.75" customHeight="1" x14ac:dyDescent="0.3">
      <c r="A59" s="2989" t="s">
        <v>95</v>
      </c>
      <c r="B59" s="2845">
        <f t="shared" si="448"/>
        <v>35.44</v>
      </c>
      <c r="C59" s="2845">
        <f t="shared" si="449"/>
        <v>35.44</v>
      </c>
      <c r="D59" s="2845">
        <f t="shared" si="449"/>
        <v>0</v>
      </c>
      <c r="E59" s="2865">
        <f t="shared" si="407"/>
        <v>0</v>
      </c>
      <c r="F59" s="2947"/>
      <c r="G59" s="2947"/>
      <c r="H59" s="2865">
        <f t="shared" si="409"/>
        <v>0</v>
      </c>
      <c r="I59" s="2947"/>
      <c r="J59" s="2947"/>
      <c r="K59" s="2865">
        <f t="shared" si="411"/>
        <v>14.37</v>
      </c>
      <c r="L59" s="2947">
        <v>14.37</v>
      </c>
      <c r="M59" s="2947"/>
      <c r="N59" s="2865">
        <f t="shared" si="413"/>
        <v>14.37</v>
      </c>
      <c r="O59" s="2865">
        <f t="shared" si="414"/>
        <v>14.37</v>
      </c>
      <c r="P59" s="2865">
        <f t="shared" si="414"/>
        <v>0</v>
      </c>
      <c r="Q59" s="2845">
        <f t="shared" si="385"/>
        <v>35.44</v>
      </c>
      <c r="R59" s="2845">
        <f t="shared" si="450"/>
        <v>35.44</v>
      </c>
      <c r="S59" s="2845">
        <f t="shared" si="451"/>
        <v>0</v>
      </c>
      <c r="T59" s="2865">
        <f t="shared" si="416"/>
        <v>0</v>
      </c>
      <c r="U59" s="2947"/>
      <c r="V59" s="2947"/>
      <c r="W59" s="2865">
        <f t="shared" si="418"/>
        <v>0</v>
      </c>
      <c r="X59" s="2947"/>
      <c r="Y59" s="2947"/>
      <c r="Z59" s="2865">
        <f t="shared" si="420"/>
        <v>14.529</v>
      </c>
      <c r="AA59" s="2947">
        <v>14.529</v>
      </c>
      <c r="AB59" s="2947"/>
      <c r="AC59" s="2865">
        <f t="shared" si="422"/>
        <v>14.529</v>
      </c>
      <c r="AD59" s="2865">
        <f t="shared" si="423"/>
        <v>14.529</v>
      </c>
      <c r="AE59" s="2865">
        <f t="shared" si="423"/>
        <v>0</v>
      </c>
      <c r="AF59" s="2846">
        <f t="shared" si="206"/>
        <v>70.88</v>
      </c>
      <c r="AG59" s="2846">
        <f t="shared" si="207"/>
        <v>70.88</v>
      </c>
      <c r="AH59" s="2846">
        <f t="shared" si="208"/>
        <v>0</v>
      </c>
      <c r="AI59" s="2867">
        <f t="shared" si="424"/>
        <v>28.899000000000001</v>
      </c>
      <c r="AJ59" s="2867">
        <f t="shared" si="424"/>
        <v>28.899000000000001</v>
      </c>
      <c r="AK59" s="2867">
        <f t="shared" si="424"/>
        <v>0</v>
      </c>
      <c r="AL59" s="2867">
        <f t="shared" si="458"/>
        <v>-41.980999999999995</v>
      </c>
      <c r="AM59" s="2867">
        <f t="shared" si="458"/>
        <v>-41.980999999999995</v>
      </c>
      <c r="AN59" s="2867">
        <f t="shared" si="458"/>
        <v>0</v>
      </c>
      <c r="AO59" s="2845">
        <f t="shared" si="371"/>
        <v>35.44</v>
      </c>
      <c r="AP59" s="2845">
        <f t="shared" si="452"/>
        <v>35.44</v>
      </c>
      <c r="AQ59" s="2845">
        <f t="shared" si="453"/>
        <v>0</v>
      </c>
      <c r="AR59" s="2865">
        <f t="shared" si="426"/>
        <v>0</v>
      </c>
      <c r="AS59" s="2947"/>
      <c r="AT59" s="2947"/>
      <c r="AU59" s="2865">
        <f t="shared" si="428"/>
        <v>0</v>
      </c>
      <c r="AV59" s="2947"/>
      <c r="AW59" s="2947"/>
      <c r="AX59" s="2865">
        <f t="shared" si="430"/>
        <v>14.689</v>
      </c>
      <c r="AY59" s="2947">
        <v>14.689</v>
      </c>
      <c r="AZ59" s="2947"/>
      <c r="BA59" s="2865">
        <f t="shared" si="432"/>
        <v>14.689</v>
      </c>
      <c r="BB59" s="2865">
        <f t="shared" si="433"/>
        <v>14.689</v>
      </c>
      <c r="BC59" s="2865">
        <f t="shared" si="433"/>
        <v>0</v>
      </c>
      <c r="BD59" s="2846">
        <f t="shared" si="221"/>
        <v>106.32</v>
      </c>
      <c r="BE59" s="2846">
        <f t="shared" si="222"/>
        <v>106.32</v>
      </c>
      <c r="BF59" s="2846">
        <f t="shared" si="223"/>
        <v>0</v>
      </c>
      <c r="BG59" s="2867">
        <f t="shared" si="434"/>
        <v>43.588000000000001</v>
      </c>
      <c r="BH59" s="2867">
        <f t="shared" si="434"/>
        <v>43.588000000000001</v>
      </c>
      <c r="BI59" s="2867">
        <f t="shared" si="434"/>
        <v>0</v>
      </c>
      <c r="BJ59" s="2867">
        <f t="shared" si="459"/>
        <v>-62.731999999999992</v>
      </c>
      <c r="BK59" s="2867">
        <f t="shared" si="459"/>
        <v>-62.731999999999992</v>
      </c>
      <c r="BL59" s="2867">
        <f t="shared" si="459"/>
        <v>0</v>
      </c>
      <c r="BM59" s="2845">
        <f t="shared" si="454"/>
        <v>35.44</v>
      </c>
      <c r="BN59" s="2845">
        <f t="shared" si="455"/>
        <v>35.44</v>
      </c>
      <c r="BO59" s="2845">
        <f t="shared" si="456"/>
        <v>0</v>
      </c>
      <c r="BP59" s="2865">
        <f t="shared" si="436"/>
        <v>0</v>
      </c>
      <c r="BQ59" s="2947"/>
      <c r="BR59" s="2947"/>
      <c r="BS59" s="2865">
        <f t="shared" si="438"/>
        <v>0</v>
      </c>
      <c r="BT59" s="2947"/>
      <c r="BU59" s="2947"/>
      <c r="BV59" s="2865">
        <f t="shared" si="440"/>
        <v>14.689</v>
      </c>
      <c r="BW59" s="2947">
        <v>14.689</v>
      </c>
      <c r="BX59" s="2947"/>
      <c r="BY59" s="2865">
        <f t="shared" si="442"/>
        <v>14.689</v>
      </c>
      <c r="BZ59" s="2865">
        <f t="shared" si="443"/>
        <v>14.689</v>
      </c>
      <c r="CA59" s="2865">
        <f t="shared" si="443"/>
        <v>0</v>
      </c>
      <c r="CB59" s="2846">
        <f t="shared" si="157"/>
        <v>141.76</v>
      </c>
      <c r="CC59" s="2846">
        <v>141.76</v>
      </c>
      <c r="CD59" s="2846">
        <v>0</v>
      </c>
      <c r="CE59" s="2867">
        <f t="shared" si="457"/>
        <v>58.277000000000001</v>
      </c>
      <c r="CF59" s="2982">
        <f t="shared" si="457"/>
        <v>58.277000000000001</v>
      </c>
      <c r="CG59" s="2982">
        <f t="shared" si="457"/>
        <v>0</v>
      </c>
      <c r="CH59" s="2867">
        <f t="shared" si="445"/>
        <v>-83.48299999999999</v>
      </c>
      <c r="CI59" s="2867">
        <f t="shared" si="446"/>
        <v>-83.48299999999999</v>
      </c>
      <c r="CJ59" s="2867">
        <f t="shared" si="446"/>
        <v>0</v>
      </c>
      <c r="CK59" s="2863"/>
      <c r="CL59" s="4188">
        <f t="shared" si="136"/>
        <v>141.76</v>
      </c>
      <c r="CM59" s="2863"/>
    </row>
    <row r="60" spans="1:92" ht="18.75" customHeight="1" x14ac:dyDescent="0.3">
      <c r="A60" s="2989" t="s">
        <v>593</v>
      </c>
      <c r="B60" s="2845">
        <f t="shared" si="448"/>
        <v>32.622999999999998</v>
      </c>
      <c r="C60" s="2845">
        <f t="shared" si="449"/>
        <v>32.622999999999998</v>
      </c>
      <c r="D60" s="2845">
        <f t="shared" si="449"/>
        <v>0</v>
      </c>
      <c r="E60" s="2865">
        <f t="shared" si="407"/>
        <v>0</v>
      </c>
      <c r="F60" s="2947"/>
      <c r="G60" s="2947"/>
      <c r="H60" s="2865">
        <f t="shared" si="409"/>
        <v>0</v>
      </c>
      <c r="I60" s="2947"/>
      <c r="J60" s="2947"/>
      <c r="K60" s="2865">
        <f t="shared" si="411"/>
        <v>0</v>
      </c>
      <c r="L60" s="2947"/>
      <c r="M60" s="2947"/>
      <c r="N60" s="2865">
        <f t="shared" si="413"/>
        <v>0</v>
      </c>
      <c r="O60" s="2865">
        <f t="shared" si="414"/>
        <v>0</v>
      </c>
      <c r="P60" s="2865">
        <f t="shared" si="414"/>
        <v>0</v>
      </c>
      <c r="Q60" s="2845">
        <f t="shared" si="385"/>
        <v>32.622999999999998</v>
      </c>
      <c r="R60" s="2845">
        <f t="shared" si="450"/>
        <v>32.622999999999998</v>
      </c>
      <c r="S60" s="2845">
        <f t="shared" si="451"/>
        <v>0</v>
      </c>
      <c r="T60" s="2865">
        <f t="shared" si="416"/>
        <v>0.23</v>
      </c>
      <c r="U60" s="2947">
        <v>0.23</v>
      </c>
      <c r="V60" s="2947"/>
      <c r="W60" s="2865">
        <f t="shared" si="418"/>
        <v>15.21</v>
      </c>
      <c r="X60" s="2947">
        <v>15.21</v>
      </c>
      <c r="Y60" s="2947"/>
      <c r="Z60" s="2865">
        <f t="shared" si="420"/>
        <v>1.6080000000000001</v>
      </c>
      <c r="AA60" s="2947">
        <v>1.6080000000000001</v>
      </c>
      <c r="AB60" s="2947"/>
      <c r="AC60" s="2865">
        <f t="shared" si="422"/>
        <v>17.048000000000002</v>
      </c>
      <c r="AD60" s="2865">
        <f t="shared" si="423"/>
        <v>17.048000000000002</v>
      </c>
      <c r="AE60" s="2865">
        <f t="shared" si="423"/>
        <v>0</v>
      </c>
      <c r="AF60" s="2846">
        <f t="shared" si="206"/>
        <v>65.245999999999995</v>
      </c>
      <c r="AG60" s="2846">
        <f t="shared" si="207"/>
        <v>65.245999999999995</v>
      </c>
      <c r="AH60" s="2846">
        <f t="shared" si="208"/>
        <v>0</v>
      </c>
      <c r="AI60" s="2867">
        <f t="shared" si="424"/>
        <v>17.048000000000002</v>
      </c>
      <c r="AJ60" s="2867">
        <f t="shared" si="424"/>
        <v>17.048000000000002</v>
      </c>
      <c r="AK60" s="2867">
        <f t="shared" si="424"/>
        <v>0</v>
      </c>
      <c r="AL60" s="2867">
        <f t="shared" si="458"/>
        <v>-48.197999999999993</v>
      </c>
      <c r="AM60" s="2867">
        <f t="shared" si="458"/>
        <v>-48.197999999999993</v>
      </c>
      <c r="AN60" s="2867">
        <f t="shared" si="458"/>
        <v>0</v>
      </c>
      <c r="AO60" s="2845">
        <f t="shared" si="371"/>
        <v>32.622999999999998</v>
      </c>
      <c r="AP60" s="2845">
        <f t="shared" si="452"/>
        <v>32.622999999999998</v>
      </c>
      <c r="AQ60" s="2845">
        <f t="shared" si="453"/>
        <v>0</v>
      </c>
      <c r="AR60" s="2865">
        <f t="shared" si="426"/>
        <v>9.1999999999999993</v>
      </c>
      <c r="AS60" s="2947">
        <v>9.1999999999999993</v>
      </c>
      <c r="AT60" s="2947"/>
      <c r="AU60" s="2865">
        <f t="shared" si="428"/>
        <v>4.242</v>
      </c>
      <c r="AV60" s="2947">
        <v>4.242</v>
      </c>
      <c r="AW60" s="2947"/>
      <c r="AX60" s="2865">
        <f t="shared" si="430"/>
        <v>0</v>
      </c>
      <c r="AY60" s="2947"/>
      <c r="AZ60" s="2947"/>
      <c r="BA60" s="2865">
        <f t="shared" si="432"/>
        <v>13.442</v>
      </c>
      <c r="BB60" s="2865">
        <f t="shared" si="433"/>
        <v>13.442</v>
      </c>
      <c r="BC60" s="2865">
        <f t="shared" si="433"/>
        <v>0</v>
      </c>
      <c r="BD60" s="2846">
        <f t="shared" si="221"/>
        <v>97.869</v>
      </c>
      <c r="BE60" s="2846">
        <f t="shared" si="222"/>
        <v>97.869</v>
      </c>
      <c r="BF60" s="2846">
        <f t="shared" si="223"/>
        <v>0</v>
      </c>
      <c r="BG60" s="2867">
        <f t="shared" si="434"/>
        <v>30.490000000000002</v>
      </c>
      <c r="BH60" s="2867">
        <f t="shared" si="434"/>
        <v>30.490000000000002</v>
      </c>
      <c r="BI60" s="2867">
        <f t="shared" si="434"/>
        <v>0</v>
      </c>
      <c r="BJ60" s="2867">
        <f t="shared" si="459"/>
        <v>-67.378999999999991</v>
      </c>
      <c r="BK60" s="2867">
        <f t="shared" si="459"/>
        <v>-67.378999999999991</v>
      </c>
      <c r="BL60" s="2867">
        <f t="shared" si="459"/>
        <v>0</v>
      </c>
      <c r="BM60" s="2845">
        <f t="shared" si="454"/>
        <v>32.622999999999998</v>
      </c>
      <c r="BN60" s="2845">
        <f t="shared" si="455"/>
        <v>32.622999999999998</v>
      </c>
      <c r="BO60" s="2845">
        <f t="shared" si="456"/>
        <v>0</v>
      </c>
      <c r="BP60" s="2865">
        <f t="shared" si="436"/>
        <v>0</v>
      </c>
      <c r="BQ60" s="2947"/>
      <c r="BR60" s="2947"/>
      <c r="BS60" s="2865">
        <f t="shared" si="438"/>
        <v>2.5</v>
      </c>
      <c r="BT60" s="2947">
        <f>2.5</f>
        <v>2.5</v>
      </c>
      <c r="BU60" s="2947"/>
      <c r="BV60" s="2865">
        <f t="shared" si="440"/>
        <v>19.626999999999999</v>
      </c>
      <c r="BW60" s="2947">
        <v>19.626999999999999</v>
      </c>
      <c r="BX60" s="2947"/>
      <c r="BY60" s="2865">
        <f t="shared" si="442"/>
        <v>22.126999999999999</v>
      </c>
      <c r="BZ60" s="2865">
        <f t="shared" si="443"/>
        <v>22.126999999999999</v>
      </c>
      <c r="CA60" s="2865">
        <f t="shared" si="443"/>
        <v>0</v>
      </c>
      <c r="CB60" s="2846">
        <f t="shared" si="157"/>
        <v>130.49199999999999</v>
      </c>
      <c r="CC60" s="2846">
        <v>130.49199999999999</v>
      </c>
      <c r="CD60" s="2846">
        <v>0</v>
      </c>
      <c r="CE60" s="2867">
        <f t="shared" si="457"/>
        <v>52.617000000000004</v>
      </c>
      <c r="CF60" s="2982">
        <f t="shared" si="457"/>
        <v>52.617000000000004</v>
      </c>
      <c r="CG60" s="2982">
        <f t="shared" si="457"/>
        <v>0</v>
      </c>
      <c r="CH60" s="2867">
        <f t="shared" si="445"/>
        <v>-77.874999999999986</v>
      </c>
      <c r="CI60" s="2867">
        <f t="shared" si="446"/>
        <v>-77.874999999999986</v>
      </c>
      <c r="CJ60" s="2867">
        <f t="shared" si="446"/>
        <v>0</v>
      </c>
      <c r="CK60" s="2863"/>
      <c r="CL60" s="4188">
        <f t="shared" si="136"/>
        <v>130.49199999999999</v>
      </c>
      <c r="CM60" s="2863"/>
    </row>
    <row r="61" spans="1:92" ht="18.75" customHeight="1" x14ac:dyDescent="0.3">
      <c r="A61" s="2989" t="s">
        <v>3798</v>
      </c>
      <c r="B61" s="2845">
        <f t="shared" si="448"/>
        <v>140.78447459999998</v>
      </c>
      <c r="C61" s="2845">
        <f t="shared" si="449"/>
        <v>140.78447459999998</v>
      </c>
      <c r="D61" s="2845">
        <f t="shared" si="449"/>
        <v>0</v>
      </c>
      <c r="E61" s="2865">
        <f t="shared" si="407"/>
        <v>5.798</v>
      </c>
      <c r="F61" s="2947">
        <f>5.798</f>
        <v>5.798</v>
      </c>
      <c r="G61" s="2947"/>
      <c r="H61" s="2865">
        <f t="shared" si="409"/>
        <v>0</v>
      </c>
      <c r="I61" s="2947"/>
      <c r="J61" s="2947"/>
      <c r="K61" s="2865">
        <f t="shared" si="411"/>
        <v>0</v>
      </c>
      <c r="L61" s="2947"/>
      <c r="M61" s="2947"/>
      <c r="N61" s="2865">
        <f t="shared" si="413"/>
        <v>5.798</v>
      </c>
      <c r="O61" s="2865">
        <f t="shared" si="414"/>
        <v>5.798</v>
      </c>
      <c r="P61" s="2865">
        <f t="shared" si="414"/>
        <v>0</v>
      </c>
      <c r="Q61" s="2845">
        <f t="shared" si="385"/>
        <v>140.78447459999998</v>
      </c>
      <c r="R61" s="2845">
        <f t="shared" si="450"/>
        <v>140.78447459999998</v>
      </c>
      <c r="S61" s="2845">
        <f t="shared" si="451"/>
        <v>0</v>
      </c>
      <c r="T61" s="2865">
        <f t="shared" si="416"/>
        <v>0</v>
      </c>
      <c r="U61" s="2947"/>
      <c r="V61" s="2947"/>
      <c r="W61" s="2865">
        <f t="shared" si="418"/>
        <v>0</v>
      </c>
      <c r="X61" s="2947"/>
      <c r="Y61" s="2947"/>
      <c r="Z61" s="2865">
        <f t="shared" si="420"/>
        <v>0</v>
      </c>
      <c r="AA61" s="2947"/>
      <c r="AB61" s="2947"/>
      <c r="AC61" s="2865">
        <f t="shared" si="422"/>
        <v>0</v>
      </c>
      <c r="AD61" s="2865">
        <f t="shared" si="423"/>
        <v>0</v>
      </c>
      <c r="AE61" s="2865">
        <f t="shared" si="423"/>
        <v>0</v>
      </c>
      <c r="AF61" s="2846">
        <f t="shared" si="206"/>
        <v>281.56894919999996</v>
      </c>
      <c r="AG61" s="2846">
        <f t="shared" si="207"/>
        <v>281.56894919999996</v>
      </c>
      <c r="AH61" s="2846">
        <f t="shared" si="208"/>
        <v>0</v>
      </c>
      <c r="AI61" s="2867">
        <f t="shared" si="424"/>
        <v>5.798</v>
      </c>
      <c r="AJ61" s="2867">
        <f t="shared" si="424"/>
        <v>5.798</v>
      </c>
      <c r="AK61" s="2867">
        <f t="shared" si="424"/>
        <v>0</v>
      </c>
      <c r="AL61" s="2867">
        <f t="shared" si="458"/>
        <v>-275.77094919999996</v>
      </c>
      <c r="AM61" s="2867">
        <f t="shared" si="458"/>
        <v>-275.77094919999996</v>
      </c>
      <c r="AN61" s="2867">
        <f t="shared" si="458"/>
        <v>0</v>
      </c>
      <c r="AO61" s="2845">
        <f t="shared" si="371"/>
        <v>140.78447459999998</v>
      </c>
      <c r="AP61" s="2845">
        <f t="shared" si="452"/>
        <v>140.78447459999998</v>
      </c>
      <c r="AQ61" s="2845">
        <f t="shared" si="453"/>
        <v>0</v>
      </c>
      <c r="AR61" s="2865">
        <f t="shared" si="426"/>
        <v>0</v>
      </c>
      <c r="AS61" s="2947"/>
      <c r="AT61" s="2947"/>
      <c r="AU61" s="2865">
        <f t="shared" si="428"/>
        <v>0</v>
      </c>
      <c r="AV61" s="2947"/>
      <c r="AW61" s="2947"/>
      <c r="AX61" s="2865">
        <f t="shared" si="430"/>
        <v>0</v>
      </c>
      <c r="AY61" s="2947"/>
      <c r="AZ61" s="2947"/>
      <c r="BA61" s="2865">
        <f t="shared" si="432"/>
        <v>0</v>
      </c>
      <c r="BB61" s="2865">
        <f t="shared" si="433"/>
        <v>0</v>
      </c>
      <c r="BC61" s="2865">
        <f t="shared" si="433"/>
        <v>0</v>
      </c>
      <c r="BD61" s="2846">
        <f t="shared" si="221"/>
        <v>422.35342379999997</v>
      </c>
      <c r="BE61" s="2846">
        <f t="shared" si="222"/>
        <v>422.35342379999997</v>
      </c>
      <c r="BF61" s="2846">
        <f t="shared" si="223"/>
        <v>0</v>
      </c>
      <c r="BG61" s="2867">
        <f t="shared" si="434"/>
        <v>5.798</v>
      </c>
      <c r="BH61" s="2867">
        <f t="shared" si="434"/>
        <v>5.798</v>
      </c>
      <c r="BI61" s="2867">
        <f t="shared" si="434"/>
        <v>0</v>
      </c>
      <c r="BJ61" s="2867">
        <f t="shared" si="459"/>
        <v>-416.55542379999997</v>
      </c>
      <c r="BK61" s="2867">
        <f t="shared" si="459"/>
        <v>-416.55542379999997</v>
      </c>
      <c r="BL61" s="2867">
        <f t="shared" si="459"/>
        <v>0</v>
      </c>
      <c r="BM61" s="2845">
        <f t="shared" si="454"/>
        <v>140.78447459999998</v>
      </c>
      <c r="BN61" s="2845">
        <f t="shared" si="455"/>
        <v>140.78447459999998</v>
      </c>
      <c r="BO61" s="2845">
        <f t="shared" si="456"/>
        <v>0</v>
      </c>
      <c r="BP61" s="2865">
        <f t="shared" si="436"/>
        <v>0</v>
      </c>
      <c r="BQ61" s="2947"/>
      <c r="BR61" s="2947"/>
      <c r="BS61" s="2865">
        <f t="shared" si="438"/>
        <v>0</v>
      </c>
      <c r="BT61" s="2947"/>
      <c r="BU61" s="2947"/>
      <c r="BV61" s="2865">
        <f t="shared" si="440"/>
        <v>0</v>
      </c>
      <c r="BW61" s="2947"/>
      <c r="BX61" s="2947"/>
      <c r="BY61" s="2865">
        <f t="shared" si="442"/>
        <v>0</v>
      </c>
      <c r="BZ61" s="2865">
        <f t="shared" si="443"/>
        <v>0</v>
      </c>
      <c r="CA61" s="2865">
        <f t="shared" si="443"/>
        <v>0</v>
      </c>
      <c r="CB61" s="2846">
        <f t="shared" si="157"/>
        <v>563.13789839999993</v>
      </c>
      <c r="CC61" s="2846">
        <f>549.06*(1+0.036)*0.99</f>
        <v>563.13789839999993</v>
      </c>
      <c r="CD61" s="2846">
        <v>0</v>
      </c>
      <c r="CE61" s="2867">
        <f t="shared" si="457"/>
        <v>5.798</v>
      </c>
      <c r="CF61" s="2982">
        <f t="shared" si="457"/>
        <v>5.798</v>
      </c>
      <c r="CG61" s="2982">
        <f t="shared" si="457"/>
        <v>0</v>
      </c>
      <c r="CH61" s="2867">
        <f t="shared" si="445"/>
        <v>-557.33989839999992</v>
      </c>
      <c r="CI61" s="2867">
        <f t="shared" si="446"/>
        <v>-557.33989839999992</v>
      </c>
      <c r="CJ61" s="2867">
        <f t="shared" si="446"/>
        <v>0</v>
      </c>
      <c r="CK61" s="2863"/>
      <c r="CL61" s="4188">
        <f t="shared" si="136"/>
        <v>563.13789839999993</v>
      </c>
      <c r="CM61" s="2863"/>
    </row>
    <row r="62" spans="1:92" ht="18.75" customHeight="1" x14ac:dyDescent="0.3">
      <c r="A62" s="2989" t="s">
        <v>600</v>
      </c>
      <c r="B62" s="2845">
        <f t="shared" si="448"/>
        <v>0</v>
      </c>
      <c r="C62" s="2845">
        <f t="shared" si="449"/>
        <v>0</v>
      </c>
      <c r="D62" s="2845">
        <f t="shared" si="449"/>
        <v>0</v>
      </c>
      <c r="E62" s="2865">
        <f t="shared" si="407"/>
        <v>26.83</v>
      </c>
      <c r="F62" s="2947">
        <v>26.83</v>
      </c>
      <c r="G62" s="2947"/>
      <c r="H62" s="2865">
        <f t="shared" si="409"/>
        <v>29.486000000000001</v>
      </c>
      <c r="I62" s="2947">
        <v>29.486000000000001</v>
      </c>
      <c r="J62" s="2947"/>
      <c r="K62" s="2865">
        <f t="shared" si="411"/>
        <v>29.3</v>
      </c>
      <c r="L62" s="2947">
        <v>29.3</v>
      </c>
      <c r="M62" s="2947"/>
      <c r="N62" s="2865">
        <f t="shared" si="413"/>
        <v>85.616</v>
      </c>
      <c r="O62" s="2865">
        <f t="shared" si="414"/>
        <v>85.616</v>
      </c>
      <c r="P62" s="2865">
        <f t="shared" si="414"/>
        <v>0</v>
      </c>
      <c r="Q62" s="2845">
        <f t="shared" si="385"/>
        <v>0</v>
      </c>
      <c r="R62" s="2845">
        <f t="shared" si="450"/>
        <v>0</v>
      </c>
      <c r="S62" s="2845">
        <f t="shared" si="451"/>
        <v>0</v>
      </c>
      <c r="T62" s="2865">
        <f t="shared" si="416"/>
        <v>27.34</v>
      </c>
      <c r="U62" s="2947">
        <v>27.34</v>
      </c>
      <c r="V62" s="2947"/>
      <c r="W62" s="2865">
        <f t="shared" si="418"/>
        <v>29.95</v>
      </c>
      <c r="X62" s="2947">
        <v>29.95</v>
      </c>
      <c r="Y62" s="2947"/>
      <c r="Z62" s="2865">
        <f t="shared" si="420"/>
        <v>28.774999999999999</v>
      </c>
      <c r="AA62" s="2947">
        <v>28.774999999999999</v>
      </c>
      <c r="AB62" s="2947"/>
      <c r="AC62" s="2865">
        <f t="shared" si="422"/>
        <v>86.064999999999998</v>
      </c>
      <c r="AD62" s="2865">
        <f t="shared" si="423"/>
        <v>86.064999999999998</v>
      </c>
      <c r="AE62" s="2865">
        <f t="shared" si="423"/>
        <v>0</v>
      </c>
      <c r="AF62" s="2846">
        <f t="shared" si="206"/>
        <v>0</v>
      </c>
      <c r="AG62" s="2846">
        <f t="shared" si="207"/>
        <v>0</v>
      </c>
      <c r="AH62" s="2846">
        <f t="shared" si="208"/>
        <v>0</v>
      </c>
      <c r="AI62" s="2867">
        <f t="shared" si="424"/>
        <v>171.68099999999998</v>
      </c>
      <c r="AJ62" s="2867">
        <f t="shared" si="424"/>
        <v>171.68099999999998</v>
      </c>
      <c r="AK62" s="2867">
        <f t="shared" si="424"/>
        <v>0</v>
      </c>
      <c r="AL62" s="2867">
        <f t="shared" si="458"/>
        <v>171.68099999999998</v>
      </c>
      <c r="AM62" s="2867">
        <f t="shared" si="458"/>
        <v>171.68099999999998</v>
      </c>
      <c r="AN62" s="2867">
        <f t="shared" si="458"/>
        <v>0</v>
      </c>
      <c r="AO62" s="2845">
        <f t="shared" si="371"/>
        <v>0</v>
      </c>
      <c r="AP62" s="2845">
        <f t="shared" si="452"/>
        <v>0</v>
      </c>
      <c r="AQ62" s="2845">
        <f t="shared" si="453"/>
        <v>0</v>
      </c>
      <c r="AR62" s="2865">
        <f t="shared" si="426"/>
        <v>27.36</v>
      </c>
      <c r="AS62" s="2947">
        <v>27.36</v>
      </c>
      <c r="AT62" s="2947"/>
      <c r="AU62" s="2865">
        <f t="shared" si="428"/>
        <v>26.748999999999999</v>
      </c>
      <c r="AV62" s="2947">
        <v>26.748999999999999</v>
      </c>
      <c r="AW62" s="2947"/>
      <c r="AX62" s="2865">
        <f t="shared" si="430"/>
        <v>28.06</v>
      </c>
      <c r="AY62" s="2947">
        <v>28.06</v>
      </c>
      <c r="AZ62" s="2947"/>
      <c r="BA62" s="2865">
        <f t="shared" si="432"/>
        <v>82.168999999999997</v>
      </c>
      <c r="BB62" s="2865">
        <f t="shared" si="433"/>
        <v>82.168999999999997</v>
      </c>
      <c r="BC62" s="2865">
        <f t="shared" si="433"/>
        <v>0</v>
      </c>
      <c r="BD62" s="2846">
        <f t="shared" si="221"/>
        <v>0</v>
      </c>
      <c r="BE62" s="2846">
        <f t="shared" si="222"/>
        <v>0</v>
      </c>
      <c r="BF62" s="2846">
        <f t="shared" si="223"/>
        <v>0</v>
      </c>
      <c r="BG62" s="2867">
        <f t="shared" si="434"/>
        <v>253.84999999999997</v>
      </c>
      <c r="BH62" s="2867">
        <f t="shared" si="434"/>
        <v>253.84999999999997</v>
      </c>
      <c r="BI62" s="2867">
        <f t="shared" si="434"/>
        <v>0</v>
      </c>
      <c r="BJ62" s="2867">
        <f t="shared" si="459"/>
        <v>253.84999999999997</v>
      </c>
      <c r="BK62" s="2867">
        <f t="shared" si="459"/>
        <v>253.84999999999997</v>
      </c>
      <c r="BL62" s="2867">
        <f t="shared" si="459"/>
        <v>0</v>
      </c>
      <c r="BM62" s="2845">
        <f t="shared" si="454"/>
        <v>0</v>
      </c>
      <c r="BN62" s="2845">
        <f t="shared" si="455"/>
        <v>0</v>
      </c>
      <c r="BO62" s="2845">
        <f t="shared" si="456"/>
        <v>0</v>
      </c>
      <c r="BP62" s="2865">
        <f t="shared" si="436"/>
        <v>27.905999999999999</v>
      </c>
      <c r="BQ62" s="2947">
        <v>27.905999999999999</v>
      </c>
      <c r="BR62" s="2947"/>
      <c r="BS62" s="2865">
        <f t="shared" si="438"/>
        <v>26.199000000000002</v>
      </c>
      <c r="BT62" s="2947">
        <v>26.199000000000002</v>
      </c>
      <c r="BU62" s="2947"/>
      <c r="BV62" s="2865">
        <f t="shared" si="440"/>
        <v>28.036000000000001</v>
      </c>
      <c r="BW62" s="2947">
        <v>28.036000000000001</v>
      </c>
      <c r="BX62" s="2947"/>
      <c r="BY62" s="2865">
        <f t="shared" si="442"/>
        <v>82.141000000000005</v>
      </c>
      <c r="BZ62" s="2865">
        <f t="shared" si="443"/>
        <v>82.141000000000005</v>
      </c>
      <c r="CA62" s="2865">
        <f t="shared" si="443"/>
        <v>0</v>
      </c>
      <c r="CB62" s="2846">
        <f t="shared" si="157"/>
        <v>0</v>
      </c>
      <c r="CC62" s="2846">
        <f>0*2.1811858765</f>
        <v>0</v>
      </c>
      <c r="CD62" s="2846">
        <v>0</v>
      </c>
      <c r="CE62" s="2867">
        <f t="shared" si="457"/>
        <v>335.99099999999999</v>
      </c>
      <c r="CF62" s="2982">
        <f t="shared" si="457"/>
        <v>335.99099999999999</v>
      </c>
      <c r="CG62" s="2982">
        <f t="shared" si="457"/>
        <v>0</v>
      </c>
      <c r="CH62" s="2867">
        <f t="shared" si="445"/>
        <v>335.99099999999999</v>
      </c>
      <c r="CI62" s="2867">
        <f t="shared" si="446"/>
        <v>335.99099999999999</v>
      </c>
      <c r="CJ62" s="2867">
        <f t="shared" si="446"/>
        <v>0</v>
      </c>
      <c r="CK62" s="2863"/>
      <c r="CL62" s="4188">
        <f t="shared" si="136"/>
        <v>0</v>
      </c>
      <c r="CM62" s="2863"/>
    </row>
    <row r="63" spans="1:92" ht="18.75" customHeight="1" x14ac:dyDescent="0.3">
      <c r="A63" s="2989" t="s">
        <v>597</v>
      </c>
      <c r="B63" s="2845">
        <f t="shared" si="448"/>
        <v>0</v>
      </c>
      <c r="C63" s="2845">
        <f t="shared" si="449"/>
        <v>0</v>
      </c>
      <c r="D63" s="2845">
        <f t="shared" si="449"/>
        <v>0</v>
      </c>
      <c r="E63" s="2865">
        <f t="shared" si="407"/>
        <v>0</v>
      </c>
      <c r="F63" s="2947"/>
      <c r="G63" s="2947"/>
      <c r="H63" s="2865">
        <f t="shared" si="409"/>
        <v>10.065</v>
      </c>
      <c r="I63" s="2947">
        <v>10.065</v>
      </c>
      <c r="J63" s="2947"/>
      <c r="K63" s="2865">
        <f t="shared" si="411"/>
        <v>10.14</v>
      </c>
      <c r="L63" s="2947">
        <v>10.14</v>
      </c>
      <c r="M63" s="2947"/>
      <c r="N63" s="2865">
        <f t="shared" si="413"/>
        <v>20.204999999999998</v>
      </c>
      <c r="O63" s="2865">
        <f t="shared" si="414"/>
        <v>20.204999999999998</v>
      </c>
      <c r="P63" s="2865">
        <f t="shared" si="414"/>
        <v>0</v>
      </c>
      <c r="Q63" s="2845">
        <f t="shared" si="385"/>
        <v>0</v>
      </c>
      <c r="R63" s="2845">
        <f t="shared" si="450"/>
        <v>0</v>
      </c>
      <c r="S63" s="2845">
        <f t="shared" si="451"/>
        <v>0</v>
      </c>
      <c r="T63" s="2865">
        <f t="shared" si="416"/>
        <v>10.06</v>
      </c>
      <c r="U63" s="2947">
        <v>10.06</v>
      </c>
      <c r="V63" s="2947"/>
      <c r="W63" s="2865">
        <f t="shared" si="418"/>
        <v>9.5299999999999994</v>
      </c>
      <c r="X63" s="2947">
        <v>9.5299999999999994</v>
      </c>
      <c r="Y63" s="2947"/>
      <c r="Z63" s="2865">
        <f t="shared" si="420"/>
        <v>9.6470000000000002</v>
      </c>
      <c r="AA63" s="2947">
        <v>9.6470000000000002</v>
      </c>
      <c r="AB63" s="2947"/>
      <c r="AC63" s="2865">
        <f t="shared" si="422"/>
        <v>29.237000000000002</v>
      </c>
      <c r="AD63" s="2865">
        <f t="shared" si="423"/>
        <v>29.237000000000002</v>
      </c>
      <c r="AE63" s="2865">
        <f t="shared" si="423"/>
        <v>0</v>
      </c>
      <c r="AF63" s="2846">
        <f t="shared" si="206"/>
        <v>0</v>
      </c>
      <c r="AG63" s="2846">
        <f t="shared" si="207"/>
        <v>0</v>
      </c>
      <c r="AH63" s="2846">
        <f t="shared" si="208"/>
        <v>0</v>
      </c>
      <c r="AI63" s="2867">
        <f t="shared" si="424"/>
        <v>49.442</v>
      </c>
      <c r="AJ63" s="2867">
        <f t="shared" si="424"/>
        <v>49.442</v>
      </c>
      <c r="AK63" s="2867">
        <f t="shared" si="424"/>
        <v>0</v>
      </c>
      <c r="AL63" s="2867">
        <f t="shared" si="458"/>
        <v>49.442</v>
      </c>
      <c r="AM63" s="2867">
        <f t="shared" si="458"/>
        <v>49.442</v>
      </c>
      <c r="AN63" s="2867">
        <f t="shared" si="458"/>
        <v>0</v>
      </c>
      <c r="AO63" s="2845">
        <f t="shared" si="371"/>
        <v>0</v>
      </c>
      <c r="AP63" s="2845">
        <f t="shared" si="452"/>
        <v>0</v>
      </c>
      <c r="AQ63" s="2845">
        <f t="shared" si="453"/>
        <v>0</v>
      </c>
      <c r="AR63" s="2865">
        <f t="shared" si="426"/>
        <v>9.57</v>
      </c>
      <c r="AS63" s="2947">
        <v>9.57</v>
      </c>
      <c r="AT63" s="2947"/>
      <c r="AU63" s="2865">
        <f t="shared" si="428"/>
        <v>9.6470000000000002</v>
      </c>
      <c r="AV63" s="2947">
        <v>9.6470000000000002</v>
      </c>
      <c r="AW63" s="2947"/>
      <c r="AX63" s="2865">
        <f t="shared" si="430"/>
        <v>9.5860000000000003</v>
      </c>
      <c r="AY63" s="3031">
        <v>9.5860000000000003</v>
      </c>
      <c r="AZ63" s="2947"/>
      <c r="BA63" s="2865">
        <f t="shared" si="432"/>
        <v>28.802999999999997</v>
      </c>
      <c r="BB63" s="2865">
        <f t="shared" si="433"/>
        <v>28.802999999999997</v>
      </c>
      <c r="BC63" s="2865">
        <f t="shared" si="433"/>
        <v>0</v>
      </c>
      <c r="BD63" s="2846">
        <f t="shared" si="221"/>
        <v>0</v>
      </c>
      <c r="BE63" s="2846">
        <f t="shared" si="222"/>
        <v>0</v>
      </c>
      <c r="BF63" s="2846">
        <f t="shared" si="223"/>
        <v>0</v>
      </c>
      <c r="BG63" s="2867">
        <f t="shared" si="434"/>
        <v>78.245000000000005</v>
      </c>
      <c r="BH63" s="2867">
        <f t="shared" si="434"/>
        <v>78.245000000000005</v>
      </c>
      <c r="BI63" s="2867">
        <f t="shared" si="434"/>
        <v>0</v>
      </c>
      <c r="BJ63" s="2867">
        <f t="shared" si="459"/>
        <v>78.245000000000005</v>
      </c>
      <c r="BK63" s="2867">
        <f t="shared" si="459"/>
        <v>78.245000000000005</v>
      </c>
      <c r="BL63" s="2867">
        <f t="shared" si="459"/>
        <v>0</v>
      </c>
      <c r="BM63" s="2845">
        <f t="shared" si="454"/>
        <v>0</v>
      </c>
      <c r="BN63" s="2845">
        <f t="shared" si="455"/>
        <v>0</v>
      </c>
      <c r="BO63" s="2845">
        <f t="shared" si="456"/>
        <v>0</v>
      </c>
      <c r="BP63" s="2865">
        <f t="shared" si="436"/>
        <v>9.5039999999999996</v>
      </c>
      <c r="BQ63" s="2947">
        <v>9.5039999999999996</v>
      </c>
      <c r="BR63" s="2947"/>
      <c r="BS63" s="2865">
        <f t="shared" si="438"/>
        <v>9.5210000000000008</v>
      </c>
      <c r="BT63" s="2947">
        <v>9.5210000000000008</v>
      </c>
      <c r="BU63" s="2947"/>
      <c r="BV63" s="2865">
        <f t="shared" si="440"/>
        <v>9.5649999999999995</v>
      </c>
      <c r="BW63" s="2947">
        <v>9.5649999999999995</v>
      </c>
      <c r="BX63" s="2947"/>
      <c r="BY63" s="2865">
        <f t="shared" si="442"/>
        <v>28.589999999999996</v>
      </c>
      <c r="BZ63" s="2865">
        <f t="shared" si="443"/>
        <v>28.589999999999996</v>
      </c>
      <c r="CA63" s="2865">
        <f t="shared" si="443"/>
        <v>0</v>
      </c>
      <c r="CB63" s="2846">
        <f t="shared" si="157"/>
        <v>0</v>
      </c>
      <c r="CC63" s="2846">
        <f>0*2.1811858765</f>
        <v>0</v>
      </c>
      <c r="CD63" s="2846">
        <v>0</v>
      </c>
      <c r="CE63" s="2867">
        <f t="shared" si="457"/>
        <v>106.83500000000001</v>
      </c>
      <c r="CF63" s="2982">
        <f t="shared" si="457"/>
        <v>106.83500000000001</v>
      </c>
      <c r="CG63" s="2982">
        <f t="shared" si="457"/>
        <v>0</v>
      </c>
      <c r="CH63" s="2867">
        <f t="shared" si="445"/>
        <v>106.83500000000001</v>
      </c>
      <c r="CI63" s="2867">
        <f t="shared" si="446"/>
        <v>106.83500000000001</v>
      </c>
      <c r="CJ63" s="2867">
        <f t="shared" si="446"/>
        <v>0</v>
      </c>
      <c r="CK63" s="2863"/>
      <c r="CL63" s="4188">
        <f t="shared" si="136"/>
        <v>0</v>
      </c>
      <c r="CM63" s="2863"/>
    </row>
    <row r="64" spans="1:92" ht="18.75" customHeight="1" x14ac:dyDescent="0.3">
      <c r="A64" s="2989" t="s">
        <v>32</v>
      </c>
      <c r="B64" s="2845">
        <f t="shared" si="448"/>
        <v>10.267932513623748</v>
      </c>
      <c r="C64" s="2845">
        <f t="shared" si="449"/>
        <v>10.267932513623748</v>
      </c>
      <c r="D64" s="2845">
        <f t="shared" si="449"/>
        <v>0</v>
      </c>
      <c r="E64" s="2865">
        <f t="shared" si="407"/>
        <v>3.33</v>
      </c>
      <c r="F64" s="2947">
        <v>3.33</v>
      </c>
      <c r="G64" s="2947"/>
      <c r="H64" s="2865">
        <f t="shared" si="409"/>
        <v>3.33</v>
      </c>
      <c r="I64" s="2947">
        <v>3.33</v>
      </c>
      <c r="J64" s="2947"/>
      <c r="K64" s="2865">
        <f t="shared" si="411"/>
        <v>3.33</v>
      </c>
      <c r="L64" s="2947">
        <v>3.33</v>
      </c>
      <c r="M64" s="2947"/>
      <c r="N64" s="2865">
        <f t="shared" si="413"/>
        <v>9.99</v>
      </c>
      <c r="O64" s="2865">
        <f t="shared" si="414"/>
        <v>9.99</v>
      </c>
      <c r="P64" s="2865">
        <f t="shared" si="414"/>
        <v>0</v>
      </c>
      <c r="Q64" s="2845">
        <f t="shared" si="385"/>
        <v>10.267932513623748</v>
      </c>
      <c r="R64" s="2845">
        <f t="shared" si="450"/>
        <v>10.267932513623748</v>
      </c>
      <c r="S64" s="2845">
        <f t="shared" si="451"/>
        <v>0</v>
      </c>
      <c r="T64" s="2865">
        <f t="shared" si="416"/>
        <v>3.33</v>
      </c>
      <c r="U64" s="2947">
        <v>3.33</v>
      </c>
      <c r="V64" s="2947"/>
      <c r="W64" s="2865">
        <f t="shared" si="418"/>
        <v>0</v>
      </c>
      <c r="X64" s="2947"/>
      <c r="Y64" s="2947"/>
      <c r="Z64" s="2865">
        <f t="shared" si="420"/>
        <v>3.3330000000000002</v>
      </c>
      <c r="AA64" s="2947">
        <v>3.3330000000000002</v>
      </c>
      <c r="AB64" s="2947"/>
      <c r="AC64" s="2865">
        <f t="shared" si="422"/>
        <v>6.6630000000000003</v>
      </c>
      <c r="AD64" s="2865">
        <f t="shared" si="423"/>
        <v>6.6630000000000003</v>
      </c>
      <c r="AE64" s="2865">
        <f t="shared" si="423"/>
        <v>0</v>
      </c>
      <c r="AF64" s="2846">
        <f t="shared" si="206"/>
        <v>20.535865027247496</v>
      </c>
      <c r="AG64" s="2846">
        <f t="shared" si="207"/>
        <v>20.535865027247496</v>
      </c>
      <c r="AH64" s="2846">
        <f t="shared" si="208"/>
        <v>0</v>
      </c>
      <c r="AI64" s="2867">
        <f t="shared" si="424"/>
        <v>16.652999999999999</v>
      </c>
      <c r="AJ64" s="2867">
        <f t="shared" si="424"/>
        <v>16.652999999999999</v>
      </c>
      <c r="AK64" s="2867">
        <f t="shared" si="424"/>
        <v>0</v>
      </c>
      <c r="AL64" s="2867">
        <f t="shared" si="458"/>
        <v>-3.8828650272474974</v>
      </c>
      <c r="AM64" s="2867">
        <f t="shared" si="458"/>
        <v>-3.8828650272474974</v>
      </c>
      <c r="AN64" s="2867">
        <f t="shared" si="458"/>
        <v>0</v>
      </c>
      <c r="AO64" s="2845">
        <f t="shared" si="371"/>
        <v>10.267932513623748</v>
      </c>
      <c r="AP64" s="2845">
        <f t="shared" si="452"/>
        <v>10.267932513623748</v>
      </c>
      <c r="AQ64" s="2845">
        <f t="shared" si="453"/>
        <v>0</v>
      </c>
      <c r="AR64" s="2865">
        <f t="shared" si="426"/>
        <v>0</v>
      </c>
      <c r="AS64" s="2947"/>
      <c r="AT64" s="2947"/>
      <c r="AU64" s="2865">
        <f t="shared" si="428"/>
        <v>3.3330000000000002</v>
      </c>
      <c r="AV64" s="2947">
        <v>3.3330000000000002</v>
      </c>
      <c r="AW64" s="2947"/>
      <c r="AX64" s="2865">
        <f t="shared" si="430"/>
        <v>3.33</v>
      </c>
      <c r="AY64" s="2947">
        <v>3.33</v>
      </c>
      <c r="AZ64" s="2947"/>
      <c r="BA64" s="2865">
        <f t="shared" si="432"/>
        <v>6.6630000000000003</v>
      </c>
      <c r="BB64" s="2865">
        <f t="shared" si="433"/>
        <v>6.6630000000000003</v>
      </c>
      <c r="BC64" s="2865">
        <f t="shared" si="433"/>
        <v>0</v>
      </c>
      <c r="BD64" s="2846">
        <f t="shared" si="221"/>
        <v>30.803797540871244</v>
      </c>
      <c r="BE64" s="2846">
        <f t="shared" si="222"/>
        <v>30.803797540871244</v>
      </c>
      <c r="BF64" s="2846">
        <f t="shared" si="223"/>
        <v>0</v>
      </c>
      <c r="BG64" s="2867">
        <f t="shared" si="434"/>
        <v>23.315999999999999</v>
      </c>
      <c r="BH64" s="2867">
        <f t="shared" si="434"/>
        <v>23.315999999999999</v>
      </c>
      <c r="BI64" s="2867">
        <f t="shared" si="434"/>
        <v>0</v>
      </c>
      <c r="BJ64" s="2867">
        <f t="shared" si="459"/>
        <v>-7.4877975408712452</v>
      </c>
      <c r="BK64" s="2867">
        <f t="shared" si="459"/>
        <v>-7.4877975408712452</v>
      </c>
      <c r="BL64" s="2867">
        <f t="shared" si="459"/>
        <v>0</v>
      </c>
      <c r="BM64" s="2845">
        <f t="shared" si="454"/>
        <v>10.267932513623748</v>
      </c>
      <c r="BN64" s="2845">
        <f t="shared" si="455"/>
        <v>10.267932513623748</v>
      </c>
      <c r="BO64" s="2845">
        <f t="shared" si="456"/>
        <v>0</v>
      </c>
      <c r="BP64" s="2865">
        <f t="shared" si="436"/>
        <v>0</v>
      </c>
      <c r="BQ64" s="2947"/>
      <c r="BR64" s="2947"/>
      <c r="BS64" s="2865">
        <f t="shared" si="438"/>
        <v>0</v>
      </c>
      <c r="BT64" s="2947"/>
      <c r="BU64" s="2947"/>
      <c r="BV64" s="2865">
        <f t="shared" si="440"/>
        <v>27.884</v>
      </c>
      <c r="BW64" s="2947">
        <v>27.884</v>
      </c>
      <c r="BX64" s="2947"/>
      <c r="BY64" s="2865">
        <f t="shared" si="442"/>
        <v>27.884</v>
      </c>
      <c r="BZ64" s="2865">
        <f t="shared" si="443"/>
        <v>27.884</v>
      </c>
      <c r="CA64" s="2865">
        <f t="shared" si="443"/>
        <v>0</v>
      </c>
      <c r="CB64" s="2846">
        <f t="shared" si="157"/>
        <v>41.071730054494992</v>
      </c>
      <c r="CC64" s="2846">
        <f>18.83*2.1811858765</f>
        <v>41.071730054494992</v>
      </c>
      <c r="CD64" s="2846">
        <v>0</v>
      </c>
      <c r="CE64" s="2867">
        <f t="shared" si="457"/>
        <v>51.2</v>
      </c>
      <c r="CF64" s="2982">
        <f t="shared" si="457"/>
        <v>51.2</v>
      </c>
      <c r="CG64" s="2982">
        <f t="shared" si="457"/>
        <v>0</v>
      </c>
      <c r="CH64" s="2867">
        <f t="shared" si="445"/>
        <v>10.128269945505011</v>
      </c>
      <c r="CI64" s="2867">
        <f t="shared" si="446"/>
        <v>10.128269945505011</v>
      </c>
      <c r="CJ64" s="2867">
        <f t="shared" si="446"/>
        <v>0</v>
      </c>
      <c r="CK64" s="2863"/>
      <c r="CL64" s="4188">
        <f t="shared" si="136"/>
        <v>41.071730054494992</v>
      </c>
      <c r="CM64" s="2863"/>
    </row>
    <row r="65" spans="1:92" ht="18.75" customHeight="1" x14ac:dyDescent="0.3">
      <c r="A65" s="2989" t="s">
        <v>591</v>
      </c>
      <c r="B65" s="2845">
        <f t="shared" si="448"/>
        <v>580.32329352101635</v>
      </c>
      <c r="C65" s="2946">
        <f t="shared" ref="C65:D65" si="460">SUM(C66:C69)</f>
        <v>580.32329352101635</v>
      </c>
      <c r="D65" s="2946">
        <f t="shared" si="460"/>
        <v>0</v>
      </c>
      <c r="E65" s="2865">
        <f>SUM(E66:E69)</f>
        <v>95.070000000000007</v>
      </c>
      <c r="F65" s="2865">
        <f t="shared" ref="F65:G65" si="461">SUM(F66:F69)</f>
        <v>95.070000000000007</v>
      </c>
      <c r="G65" s="2865">
        <f t="shared" si="461"/>
        <v>0</v>
      </c>
      <c r="H65" s="2865">
        <f>SUM(H66:H69)</f>
        <v>129.96899999999999</v>
      </c>
      <c r="I65" s="2865">
        <f t="shared" ref="I65:J65" si="462">SUM(I66:I69)</f>
        <v>129.96899999999999</v>
      </c>
      <c r="J65" s="2865">
        <f t="shared" si="462"/>
        <v>0</v>
      </c>
      <c r="K65" s="2865">
        <f>SUM(K66:K69)</f>
        <v>91.936000000000007</v>
      </c>
      <c r="L65" s="2865">
        <f t="shared" ref="L65:M65" si="463">SUM(L66:L69)</f>
        <v>91.936000000000007</v>
      </c>
      <c r="M65" s="2865">
        <f t="shared" si="463"/>
        <v>0</v>
      </c>
      <c r="N65" s="2865">
        <f t="shared" si="413"/>
        <v>316.97500000000002</v>
      </c>
      <c r="O65" s="2865">
        <f t="shared" si="414"/>
        <v>316.97500000000002</v>
      </c>
      <c r="P65" s="2865">
        <f t="shared" si="414"/>
        <v>0</v>
      </c>
      <c r="Q65" s="2845">
        <f t="shared" si="385"/>
        <v>580.32329352101635</v>
      </c>
      <c r="R65" s="2946">
        <f t="shared" ref="R65:S65" si="464">SUM(R66:R69)</f>
        <v>580.32329352101635</v>
      </c>
      <c r="S65" s="2946">
        <f t="shared" si="464"/>
        <v>0</v>
      </c>
      <c r="T65" s="2865">
        <f>SUM(T66:T69)</f>
        <v>74.539999999999992</v>
      </c>
      <c r="U65" s="2865">
        <f t="shared" ref="U65:V65" si="465">SUM(U66:U69)</f>
        <v>74.539999999999992</v>
      </c>
      <c r="V65" s="2865">
        <f t="shared" si="465"/>
        <v>0</v>
      </c>
      <c r="W65" s="2865">
        <f>SUM(W66:W69)</f>
        <v>24.71</v>
      </c>
      <c r="X65" s="2865">
        <f t="shared" ref="X65:Y65" si="466">SUM(X66:X69)</f>
        <v>24.71</v>
      </c>
      <c r="Y65" s="2865">
        <f t="shared" si="466"/>
        <v>0</v>
      </c>
      <c r="Z65" s="2865">
        <f>SUM(Z66:Z69)</f>
        <v>30.637</v>
      </c>
      <c r="AA65" s="2865">
        <f t="shared" ref="AA65:AB65" si="467">SUM(AA66:AA69)</f>
        <v>30.637</v>
      </c>
      <c r="AB65" s="2865">
        <f t="shared" si="467"/>
        <v>0</v>
      </c>
      <c r="AC65" s="2865">
        <f t="shared" si="422"/>
        <v>129.887</v>
      </c>
      <c r="AD65" s="2865">
        <f t="shared" si="423"/>
        <v>129.887</v>
      </c>
      <c r="AE65" s="2865">
        <f t="shared" si="423"/>
        <v>0</v>
      </c>
      <c r="AF65" s="2846">
        <f t="shared" si="206"/>
        <v>1160.6465870420327</v>
      </c>
      <c r="AG65" s="2846">
        <f t="shared" si="207"/>
        <v>1160.6465870420327</v>
      </c>
      <c r="AH65" s="2846">
        <f t="shared" si="208"/>
        <v>0</v>
      </c>
      <c r="AI65" s="2867">
        <f t="shared" si="424"/>
        <v>446.86200000000002</v>
      </c>
      <c r="AJ65" s="2867">
        <f t="shared" si="424"/>
        <v>446.86200000000002</v>
      </c>
      <c r="AK65" s="2867">
        <f t="shared" si="424"/>
        <v>0</v>
      </c>
      <c r="AL65" s="2867">
        <f t="shared" si="458"/>
        <v>-713.78458704203263</v>
      </c>
      <c r="AM65" s="2867">
        <f t="shared" si="458"/>
        <v>-713.78458704203263</v>
      </c>
      <c r="AN65" s="2867">
        <f t="shared" si="458"/>
        <v>0</v>
      </c>
      <c r="AO65" s="2845">
        <f t="shared" si="371"/>
        <v>580.32329352101635</v>
      </c>
      <c r="AP65" s="2946">
        <f t="shared" ref="AP65:AQ65" si="468">SUM(AP66:AP69)</f>
        <v>580.32329352101635</v>
      </c>
      <c r="AQ65" s="2946">
        <f t="shared" si="468"/>
        <v>0</v>
      </c>
      <c r="AR65" s="2865">
        <f>SUM(AR66:AR69)</f>
        <v>31.57</v>
      </c>
      <c r="AS65" s="2865">
        <f t="shared" ref="AS65:AT65" si="469">SUM(AS66:AS69)</f>
        <v>31.57</v>
      </c>
      <c r="AT65" s="2865">
        <f t="shared" si="469"/>
        <v>0</v>
      </c>
      <c r="AU65" s="2865">
        <f>SUM(AU66:AU69)</f>
        <v>18.16</v>
      </c>
      <c r="AV65" s="2865">
        <f t="shared" ref="AV65:AW65" si="470">SUM(AV66:AV69)</f>
        <v>18.16</v>
      </c>
      <c r="AW65" s="2865">
        <f t="shared" si="470"/>
        <v>0</v>
      </c>
      <c r="AX65" s="2865">
        <f>SUM(AX66:AX69)</f>
        <v>21.736999999999998</v>
      </c>
      <c r="AY65" s="2865">
        <f t="shared" ref="AY65:AZ65" si="471">SUM(AY66:AY69)</f>
        <v>21.736999999999998</v>
      </c>
      <c r="AZ65" s="2865">
        <f t="shared" si="471"/>
        <v>0</v>
      </c>
      <c r="BA65" s="2865">
        <f t="shared" si="432"/>
        <v>71.466999999999999</v>
      </c>
      <c r="BB65" s="2865">
        <f t="shared" si="433"/>
        <v>71.466999999999999</v>
      </c>
      <c r="BC65" s="2865">
        <f t="shared" si="433"/>
        <v>0</v>
      </c>
      <c r="BD65" s="2846">
        <f t="shared" si="221"/>
        <v>1740.9698805630492</v>
      </c>
      <c r="BE65" s="2846">
        <f t="shared" si="222"/>
        <v>1740.9698805630492</v>
      </c>
      <c r="BF65" s="2846">
        <f t="shared" si="223"/>
        <v>0</v>
      </c>
      <c r="BG65" s="2867">
        <f t="shared" si="434"/>
        <v>518.32900000000006</v>
      </c>
      <c r="BH65" s="2867">
        <f t="shared" si="434"/>
        <v>518.32900000000006</v>
      </c>
      <c r="BI65" s="2867">
        <f t="shared" si="434"/>
        <v>0</v>
      </c>
      <c r="BJ65" s="2867">
        <f t="shared" si="459"/>
        <v>-1222.640880563049</v>
      </c>
      <c r="BK65" s="2867">
        <f t="shared" si="459"/>
        <v>-1222.640880563049</v>
      </c>
      <c r="BL65" s="2867">
        <f t="shared" si="459"/>
        <v>0</v>
      </c>
      <c r="BM65" s="2845">
        <f t="shared" si="454"/>
        <v>580.32329352101635</v>
      </c>
      <c r="BN65" s="2946">
        <f t="shared" ref="BN65:BO65" si="472">SUM(BN66:BN69)</f>
        <v>580.32329352101635</v>
      </c>
      <c r="BO65" s="2946">
        <f t="shared" si="472"/>
        <v>0</v>
      </c>
      <c r="BP65" s="2865">
        <f>SUM(BP66:BP69)</f>
        <v>46.331999999999994</v>
      </c>
      <c r="BQ65" s="2865">
        <f t="shared" ref="BQ65:BR65" si="473">SUM(BQ66:BQ69)</f>
        <v>46.331999999999994</v>
      </c>
      <c r="BR65" s="2865">
        <f t="shared" si="473"/>
        <v>0</v>
      </c>
      <c r="BS65" s="2865">
        <f>SUM(BS66:BS69)</f>
        <v>67.621000000000009</v>
      </c>
      <c r="BT65" s="2865">
        <f t="shared" ref="BT65:BU65" si="474">SUM(BT66:BT69)</f>
        <v>67.621000000000009</v>
      </c>
      <c r="BU65" s="2865">
        <f t="shared" si="474"/>
        <v>0</v>
      </c>
      <c r="BV65" s="2865">
        <f>SUM(BV66:BV69)</f>
        <v>71.716999999999999</v>
      </c>
      <c r="BW65" s="2865">
        <f t="shared" ref="BW65:BX65" si="475">SUM(BW66:BW69)</f>
        <v>71.716999999999999</v>
      </c>
      <c r="BX65" s="2865">
        <f t="shared" si="475"/>
        <v>0</v>
      </c>
      <c r="BY65" s="2865">
        <f t="shared" si="442"/>
        <v>185.67000000000002</v>
      </c>
      <c r="BZ65" s="2865">
        <f t="shared" si="443"/>
        <v>185.67000000000002</v>
      </c>
      <c r="CA65" s="2865">
        <f t="shared" si="443"/>
        <v>0</v>
      </c>
      <c r="CB65" s="2846">
        <f t="shared" si="157"/>
        <v>2321.2931740840654</v>
      </c>
      <c r="CC65" s="2990">
        <f t="shared" ref="CC65:CD65" si="476">SUM(CC66:CC69)</f>
        <v>2321.2931740840654</v>
      </c>
      <c r="CD65" s="2990">
        <f t="shared" si="476"/>
        <v>0</v>
      </c>
      <c r="CE65" s="2867">
        <f t="shared" si="457"/>
        <v>703.99900000000002</v>
      </c>
      <c r="CF65" s="2982">
        <f t="shared" si="457"/>
        <v>703.99900000000002</v>
      </c>
      <c r="CG65" s="2982">
        <f t="shared" si="457"/>
        <v>0</v>
      </c>
      <c r="CH65" s="2867">
        <f t="shared" si="445"/>
        <v>-1617.2941740840654</v>
      </c>
      <c r="CI65" s="2867">
        <f t="shared" si="446"/>
        <v>-1617.2941740840654</v>
      </c>
      <c r="CJ65" s="2867">
        <f t="shared" si="446"/>
        <v>0</v>
      </c>
      <c r="CK65" s="2863"/>
      <c r="CL65" s="4188">
        <f t="shared" si="136"/>
        <v>2321.2931740840654</v>
      </c>
      <c r="CM65" s="2863"/>
    </row>
    <row r="66" spans="1:92" ht="18.75" customHeight="1" x14ac:dyDescent="0.3">
      <c r="A66" s="2879" t="s">
        <v>636</v>
      </c>
      <c r="B66" s="2853">
        <f t="shared" ref="B66:B75" si="477">SUM(C66:D66)</f>
        <v>129.21043054328641</v>
      </c>
      <c r="C66" s="2853">
        <f t="shared" ref="C66:C69" si="478">SUM(CC66/4)</f>
        <v>129.21043054328641</v>
      </c>
      <c r="D66" s="2853">
        <f t="shared" ref="D66:D69" si="479">SUM(CD66/4)</f>
        <v>0</v>
      </c>
      <c r="E66" s="2875">
        <f t="shared" si="407"/>
        <v>85.34</v>
      </c>
      <c r="F66" s="2955">
        <f>8.32+77.02</f>
        <v>85.34</v>
      </c>
      <c r="G66" s="2955"/>
      <c r="H66" s="2875">
        <f t="shared" ref="H66:H69" si="480">SUM(I66:J66)</f>
        <v>102.304</v>
      </c>
      <c r="I66" s="2955">
        <f>8.686+93.618</f>
        <v>102.304</v>
      </c>
      <c r="J66" s="2955"/>
      <c r="K66" s="2875">
        <f t="shared" ref="K66:K69" si="481">SUM(L66:M66)</f>
        <v>63.486000000000004</v>
      </c>
      <c r="L66" s="2955">
        <f>6.709+56.777</f>
        <v>63.486000000000004</v>
      </c>
      <c r="M66" s="2955"/>
      <c r="N66" s="2875">
        <f t="shared" si="413"/>
        <v>251.13</v>
      </c>
      <c r="O66" s="2875">
        <f t="shared" si="414"/>
        <v>251.13</v>
      </c>
      <c r="P66" s="2875">
        <f t="shared" si="414"/>
        <v>0</v>
      </c>
      <c r="Q66" s="2853">
        <f t="shared" ref="Q66:Q69" si="482">SUM(R66:S66)</f>
        <v>129.21043054328641</v>
      </c>
      <c r="R66" s="2853">
        <f t="shared" ref="R66:R69" si="483">SUM(C66)</f>
        <v>129.21043054328641</v>
      </c>
      <c r="S66" s="2853">
        <f t="shared" ref="S66:S69" si="484">SUM(D66)</f>
        <v>0</v>
      </c>
      <c r="T66" s="2875">
        <f t="shared" ref="T66:T69" si="485">SUM(U66:V66)</f>
        <v>42.92</v>
      </c>
      <c r="U66" s="2955">
        <f>4.93+37.99</f>
        <v>42.92</v>
      </c>
      <c r="V66" s="2955"/>
      <c r="W66" s="2875">
        <f t="shared" ref="W66:W69" si="486">SUM(X66:Y66)</f>
        <v>17.52</v>
      </c>
      <c r="X66" s="2955">
        <f>2.58+14.94</f>
        <v>17.52</v>
      </c>
      <c r="Y66" s="2955"/>
      <c r="Z66" s="2875">
        <f t="shared" ref="Z66:Z69" si="487">SUM(AA66:AB66)</f>
        <v>0.68500000000000005</v>
      </c>
      <c r="AA66" s="2955">
        <f>0.394+0.291</f>
        <v>0.68500000000000005</v>
      </c>
      <c r="AB66" s="2955"/>
      <c r="AC66" s="2875">
        <f t="shared" si="422"/>
        <v>61.125</v>
      </c>
      <c r="AD66" s="2875">
        <f t="shared" si="423"/>
        <v>61.125</v>
      </c>
      <c r="AE66" s="2875">
        <f t="shared" si="423"/>
        <v>0</v>
      </c>
      <c r="AF66" s="2856">
        <f t="shared" si="206"/>
        <v>258.42086108657281</v>
      </c>
      <c r="AG66" s="2856">
        <f t="shared" si="207"/>
        <v>258.42086108657281</v>
      </c>
      <c r="AH66" s="2856">
        <f t="shared" si="208"/>
        <v>0</v>
      </c>
      <c r="AI66" s="2870">
        <f t="shared" si="424"/>
        <v>312.255</v>
      </c>
      <c r="AJ66" s="2870">
        <f t="shared" si="424"/>
        <v>312.255</v>
      </c>
      <c r="AK66" s="2870">
        <f t="shared" si="424"/>
        <v>0</v>
      </c>
      <c r="AL66" s="2870">
        <f t="shared" si="458"/>
        <v>53.834138913427182</v>
      </c>
      <c r="AM66" s="2870">
        <f t="shared" si="458"/>
        <v>53.834138913427182</v>
      </c>
      <c r="AN66" s="2870">
        <f t="shared" si="458"/>
        <v>0</v>
      </c>
      <c r="AO66" s="2853">
        <f t="shared" ref="AO66:AO70" si="488">SUM(AP66:AQ66)</f>
        <v>129.21043054328641</v>
      </c>
      <c r="AP66" s="2853">
        <f t="shared" ref="AP66:AP69" si="489">SUM(CC66-AG66)/2</f>
        <v>129.21043054328641</v>
      </c>
      <c r="AQ66" s="2853">
        <f t="shared" ref="AQ66:AQ69" si="490">SUM(CD66-AH66)/2</f>
        <v>0</v>
      </c>
      <c r="AR66" s="2875">
        <f t="shared" ref="AR66:AR69" si="491">SUM(AS66:AT66)</f>
        <v>0.5</v>
      </c>
      <c r="AS66" s="2955">
        <f>0.23+0.27</f>
        <v>0.5</v>
      </c>
      <c r="AT66" s="2955"/>
      <c r="AU66" s="2875">
        <f t="shared" ref="AU66:AU69" si="492">SUM(AV66:AW66)</f>
        <v>1.3320000000000001</v>
      </c>
      <c r="AV66" s="2955">
        <f>0.229+1.103</f>
        <v>1.3320000000000001</v>
      </c>
      <c r="AW66" s="2955"/>
      <c r="AX66" s="2875">
        <f t="shared" ref="AX66:AX69" si="493">SUM(AY66:AZ66)</f>
        <v>16.782999999999998</v>
      </c>
      <c r="AY66" s="2955">
        <f>2.118+14.665</f>
        <v>16.782999999999998</v>
      </c>
      <c r="AZ66" s="2955"/>
      <c r="BA66" s="2875">
        <f t="shared" si="432"/>
        <v>18.614999999999998</v>
      </c>
      <c r="BB66" s="2875">
        <f t="shared" si="433"/>
        <v>18.614999999999998</v>
      </c>
      <c r="BC66" s="2875">
        <f t="shared" si="433"/>
        <v>0</v>
      </c>
      <c r="BD66" s="2856">
        <f t="shared" si="221"/>
        <v>387.63129162985922</v>
      </c>
      <c r="BE66" s="2856">
        <f t="shared" si="222"/>
        <v>387.63129162985922</v>
      </c>
      <c r="BF66" s="2856">
        <f t="shared" si="223"/>
        <v>0</v>
      </c>
      <c r="BG66" s="2870">
        <f t="shared" si="434"/>
        <v>330.87</v>
      </c>
      <c r="BH66" s="2870">
        <f t="shared" si="434"/>
        <v>330.87</v>
      </c>
      <c r="BI66" s="2870">
        <f t="shared" si="434"/>
        <v>0</v>
      </c>
      <c r="BJ66" s="2870">
        <f t="shared" si="459"/>
        <v>-56.761291629859215</v>
      </c>
      <c r="BK66" s="2870">
        <f t="shared" si="459"/>
        <v>-56.761291629859215</v>
      </c>
      <c r="BL66" s="2870">
        <f t="shared" si="459"/>
        <v>0</v>
      </c>
      <c r="BM66" s="2853">
        <f t="shared" ref="BM66:BM70" si="494">SUM(BN66:BO66)</f>
        <v>129.21043054328641</v>
      </c>
      <c r="BN66" s="2853">
        <f t="shared" ref="BN66:BN69" si="495">SUM(AP66)</f>
        <v>129.21043054328641</v>
      </c>
      <c r="BO66" s="2853">
        <f t="shared" ref="BO66:BO69" si="496">SUM(AQ66)</f>
        <v>0</v>
      </c>
      <c r="BP66" s="2875">
        <f t="shared" ref="BP66:BP69" si="497">SUM(BQ66:BR66)</f>
        <v>41.105999999999995</v>
      </c>
      <c r="BQ66" s="2955">
        <f>4.181+36.925</f>
        <v>41.105999999999995</v>
      </c>
      <c r="BR66" s="2955"/>
      <c r="BS66" s="2875">
        <f t="shared" ref="BS66:BS69" si="498">SUM(BT66:BU66)</f>
        <v>54.29</v>
      </c>
      <c r="BT66" s="2955">
        <f>5.624+48.666</f>
        <v>54.29</v>
      </c>
      <c r="BU66" s="2955"/>
      <c r="BV66" s="2875">
        <f t="shared" ref="BV66:BV69" si="499">SUM(BW66:BX66)</f>
        <v>72.501000000000005</v>
      </c>
      <c r="BW66" s="2955">
        <v>72.501000000000005</v>
      </c>
      <c r="BX66" s="2955"/>
      <c r="BY66" s="2875">
        <f t="shared" si="442"/>
        <v>167.89699999999999</v>
      </c>
      <c r="BZ66" s="2875">
        <f t="shared" si="443"/>
        <v>167.89699999999999</v>
      </c>
      <c r="CA66" s="2875">
        <f t="shared" si="443"/>
        <v>0</v>
      </c>
      <c r="CB66" s="2856">
        <f t="shared" si="157"/>
        <v>516.84172217314563</v>
      </c>
      <c r="CC66" s="2846">
        <f>493.228*(1+0.032)*0.99*(1+0.036)*0.99</f>
        <v>516.84172217314563</v>
      </c>
      <c r="CD66" s="2856">
        <v>0</v>
      </c>
      <c r="CE66" s="2870">
        <f t="shared" si="457"/>
        <v>498.767</v>
      </c>
      <c r="CF66" s="2991">
        <f t="shared" si="457"/>
        <v>498.767</v>
      </c>
      <c r="CG66" s="2991">
        <f t="shared" si="457"/>
        <v>0</v>
      </c>
      <c r="CH66" s="2870">
        <f t="shared" si="445"/>
        <v>-18.074722173145631</v>
      </c>
      <c r="CI66" s="2870">
        <f t="shared" si="446"/>
        <v>-18.074722173145631</v>
      </c>
      <c r="CJ66" s="2870">
        <f t="shared" si="446"/>
        <v>0</v>
      </c>
      <c r="CK66" s="2863"/>
      <c r="CL66" s="4188">
        <f t="shared" si="136"/>
        <v>516.84172217314563</v>
      </c>
      <c r="CM66" s="2863"/>
    </row>
    <row r="67" spans="1:92" ht="18.75" customHeight="1" x14ac:dyDescent="0.3">
      <c r="A67" s="2879" t="s">
        <v>548</v>
      </c>
      <c r="B67" s="2853">
        <f t="shared" si="477"/>
        <v>240.41030730782998</v>
      </c>
      <c r="C67" s="2853">
        <f t="shared" si="478"/>
        <v>240.41030730782998</v>
      </c>
      <c r="D67" s="2853">
        <f t="shared" si="479"/>
        <v>0</v>
      </c>
      <c r="E67" s="2875">
        <f t="shared" si="407"/>
        <v>1.53</v>
      </c>
      <c r="F67" s="2955">
        <v>1.53</v>
      </c>
      <c r="G67" s="2955"/>
      <c r="H67" s="2875">
        <f t="shared" si="480"/>
        <v>1.681</v>
      </c>
      <c r="I67" s="2955">
        <v>1.681</v>
      </c>
      <c r="J67" s="2955"/>
      <c r="K67" s="2875">
        <f t="shared" si="481"/>
        <v>2.4700000000000002</v>
      </c>
      <c r="L67" s="2955">
        <v>2.4700000000000002</v>
      </c>
      <c r="M67" s="2955"/>
      <c r="N67" s="2875">
        <f t="shared" si="413"/>
        <v>5.6810000000000009</v>
      </c>
      <c r="O67" s="2875">
        <f t="shared" si="414"/>
        <v>5.6810000000000009</v>
      </c>
      <c r="P67" s="2875">
        <f t="shared" si="414"/>
        <v>0</v>
      </c>
      <c r="Q67" s="2853">
        <f t="shared" si="482"/>
        <v>240.41030730782998</v>
      </c>
      <c r="R67" s="2853">
        <f t="shared" si="483"/>
        <v>240.41030730782998</v>
      </c>
      <c r="S67" s="2853">
        <f t="shared" si="484"/>
        <v>0</v>
      </c>
      <c r="T67" s="2875">
        <f t="shared" si="485"/>
        <v>3.3</v>
      </c>
      <c r="U67" s="2955">
        <v>3.3</v>
      </c>
      <c r="V67" s="2955"/>
      <c r="W67" s="2875">
        <f t="shared" si="486"/>
        <v>4.2699999999999996</v>
      </c>
      <c r="X67" s="2955">
        <v>4.2699999999999996</v>
      </c>
      <c r="Y67" s="2955"/>
      <c r="Z67" s="2875">
        <f t="shared" si="487"/>
        <v>4.8099999999999996</v>
      </c>
      <c r="AA67" s="2955">
        <v>4.8099999999999996</v>
      </c>
      <c r="AB67" s="2955"/>
      <c r="AC67" s="2875">
        <f t="shared" si="422"/>
        <v>12.379999999999999</v>
      </c>
      <c r="AD67" s="2875">
        <f t="shared" si="423"/>
        <v>12.379999999999999</v>
      </c>
      <c r="AE67" s="2875">
        <f t="shared" si="423"/>
        <v>0</v>
      </c>
      <c r="AF67" s="2856">
        <f t="shared" si="206"/>
        <v>480.82061461565996</v>
      </c>
      <c r="AG67" s="2856">
        <f t="shared" si="207"/>
        <v>480.82061461565996</v>
      </c>
      <c r="AH67" s="2856">
        <f t="shared" si="208"/>
        <v>0</v>
      </c>
      <c r="AI67" s="2870">
        <f t="shared" si="424"/>
        <v>18.061</v>
      </c>
      <c r="AJ67" s="2870">
        <f t="shared" si="424"/>
        <v>18.061</v>
      </c>
      <c r="AK67" s="2870">
        <f t="shared" si="424"/>
        <v>0</v>
      </c>
      <c r="AL67" s="2870">
        <f t="shared" si="458"/>
        <v>-462.75961461565998</v>
      </c>
      <c r="AM67" s="2870">
        <f t="shared" si="458"/>
        <v>-462.75961461565998</v>
      </c>
      <c r="AN67" s="2870">
        <f t="shared" si="458"/>
        <v>0</v>
      </c>
      <c r="AO67" s="2853">
        <f t="shared" si="488"/>
        <v>240.41030730782998</v>
      </c>
      <c r="AP67" s="2853">
        <f t="shared" si="489"/>
        <v>240.41030730782998</v>
      </c>
      <c r="AQ67" s="2853">
        <f t="shared" si="490"/>
        <v>0</v>
      </c>
      <c r="AR67" s="2875">
        <f t="shared" si="491"/>
        <v>6.56</v>
      </c>
      <c r="AS67" s="2955">
        <v>6.56</v>
      </c>
      <c r="AT67" s="2955"/>
      <c r="AU67" s="2875">
        <f t="shared" si="492"/>
        <v>2.8239999999999998</v>
      </c>
      <c r="AV67" s="2955">
        <v>2.8239999999999998</v>
      </c>
      <c r="AW67" s="2955"/>
      <c r="AX67" s="2875">
        <f t="shared" si="493"/>
        <v>2.036</v>
      </c>
      <c r="AY67" s="2955">
        <v>2.036</v>
      </c>
      <c r="AZ67" s="2955"/>
      <c r="BA67" s="2875">
        <f t="shared" si="432"/>
        <v>11.42</v>
      </c>
      <c r="BB67" s="2875">
        <f t="shared" si="433"/>
        <v>11.42</v>
      </c>
      <c r="BC67" s="2875">
        <f t="shared" si="433"/>
        <v>0</v>
      </c>
      <c r="BD67" s="2856">
        <f t="shared" si="221"/>
        <v>721.23092192348997</v>
      </c>
      <c r="BE67" s="2856">
        <f t="shared" si="222"/>
        <v>721.23092192348997</v>
      </c>
      <c r="BF67" s="2856">
        <f t="shared" si="223"/>
        <v>0</v>
      </c>
      <c r="BG67" s="2870">
        <f t="shared" si="434"/>
        <v>29.481000000000002</v>
      </c>
      <c r="BH67" s="2870">
        <f t="shared" si="434"/>
        <v>29.481000000000002</v>
      </c>
      <c r="BI67" s="2870">
        <f t="shared" si="434"/>
        <v>0</v>
      </c>
      <c r="BJ67" s="2870">
        <f t="shared" si="459"/>
        <v>-691.74992192348998</v>
      </c>
      <c r="BK67" s="2870">
        <f t="shared" si="459"/>
        <v>-691.74992192348998</v>
      </c>
      <c r="BL67" s="2870">
        <f t="shared" si="459"/>
        <v>0</v>
      </c>
      <c r="BM67" s="2853">
        <f t="shared" si="494"/>
        <v>240.41030730782998</v>
      </c>
      <c r="BN67" s="2853">
        <f t="shared" si="495"/>
        <v>240.41030730782998</v>
      </c>
      <c r="BO67" s="2853">
        <f t="shared" si="496"/>
        <v>0</v>
      </c>
      <c r="BP67" s="2875">
        <f t="shared" si="497"/>
        <v>1.673</v>
      </c>
      <c r="BQ67" s="2955">
        <v>1.673</v>
      </c>
      <c r="BR67" s="2955"/>
      <c r="BS67" s="2875">
        <f t="shared" si="498"/>
        <v>11.58</v>
      </c>
      <c r="BT67" s="2955">
        <v>11.58</v>
      </c>
      <c r="BU67" s="2955"/>
      <c r="BV67" s="2875">
        <f t="shared" si="499"/>
        <v>-1.3660000000000001</v>
      </c>
      <c r="BW67" s="2955">
        <v>-1.3660000000000001</v>
      </c>
      <c r="BX67" s="2955"/>
      <c r="BY67" s="2875">
        <f t="shared" si="442"/>
        <v>11.887</v>
      </c>
      <c r="BZ67" s="2875">
        <f t="shared" si="443"/>
        <v>11.887</v>
      </c>
      <c r="CA67" s="2875">
        <f t="shared" si="443"/>
        <v>0</v>
      </c>
      <c r="CB67" s="2856">
        <f t="shared" si="157"/>
        <v>961.64122923131993</v>
      </c>
      <c r="CC67" s="2856">
        <f>440.88*2.1811858765</f>
        <v>961.64122923131993</v>
      </c>
      <c r="CD67" s="2856">
        <v>0</v>
      </c>
      <c r="CE67" s="2870">
        <f t="shared" si="457"/>
        <v>41.368000000000002</v>
      </c>
      <c r="CF67" s="2991">
        <f t="shared" si="457"/>
        <v>41.368000000000002</v>
      </c>
      <c r="CG67" s="2991">
        <f t="shared" si="457"/>
        <v>0</v>
      </c>
      <c r="CH67" s="2870">
        <f t="shared" si="445"/>
        <v>-920.27322923131987</v>
      </c>
      <c r="CI67" s="2870">
        <f t="shared" si="446"/>
        <v>-920.27322923131987</v>
      </c>
      <c r="CJ67" s="2870">
        <f t="shared" si="446"/>
        <v>0</v>
      </c>
      <c r="CK67" s="2863"/>
      <c r="CL67" s="4188">
        <f t="shared" si="136"/>
        <v>961.64122923131993</v>
      </c>
      <c r="CM67" s="2863"/>
    </row>
    <row r="68" spans="1:92" ht="18.75" customHeight="1" x14ac:dyDescent="0.3">
      <c r="A68" s="2879" t="s">
        <v>547</v>
      </c>
      <c r="B68" s="2853">
        <f t="shared" si="477"/>
        <v>0</v>
      </c>
      <c r="C68" s="2853">
        <f t="shared" si="478"/>
        <v>0</v>
      </c>
      <c r="D68" s="2853">
        <f t="shared" si="479"/>
        <v>0</v>
      </c>
      <c r="E68" s="2875">
        <f t="shared" si="407"/>
        <v>0</v>
      </c>
      <c r="F68" s="2955"/>
      <c r="G68" s="2955"/>
      <c r="H68" s="2875">
        <f t="shared" si="480"/>
        <v>0</v>
      </c>
      <c r="I68" s="2955"/>
      <c r="J68" s="2955"/>
      <c r="K68" s="2875">
        <f t="shared" si="481"/>
        <v>0</v>
      </c>
      <c r="L68" s="2955"/>
      <c r="M68" s="2955"/>
      <c r="N68" s="2875">
        <f t="shared" si="413"/>
        <v>0</v>
      </c>
      <c r="O68" s="2875">
        <f t="shared" si="414"/>
        <v>0</v>
      </c>
      <c r="P68" s="2875">
        <f t="shared" si="414"/>
        <v>0</v>
      </c>
      <c r="Q68" s="2853">
        <f t="shared" si="482"/>
        <v>0</v>
      </c>
      <c r="R68" s="2853">
        <f t="shared" si="483"/>
        <v>0</v>
      </c>
      <c r="S68" s="2853">
        <f t="shared" si="484"/>
        <v>0</v>
      </c>
      <c r="T68" s="2875">
        <f t="shared" si="485"/>
        <v>0</v>
      </c>
      <c r="U68" s="2955"/>
      <c r="V68" s="2955"/>
      <c r="W68" s="2875">
        <f t="shared" si="486"/>
        <v>0</v>
      </c>
      <c r="X68" s="2955"/>
      <c r="Y68" s="2955"/>
      <c r="Z68" s="2875">
        <f t="shared" si="487"/>
        <v>0</v>
      </c>
      <c r="AA68" s="2955"/>
      <c r="AB68" s="2955"/>
      <c r="AC68" s="2875">
        <f t="shared" si="422"/>
        <v>0</v>
      </c>
      <c r="AD68" s="2875">
        <f t="shared" si="423"/>
        <v>0</v>
      </c>
      <c r="AE68" s="2875">
        <f t="shared" si="423"/>
        <v>0</v>
      </c>
      <c r="AF68" s="2856">
        <f t="shared" si="206"/>
        <v>0</v>
      </c>
      <c r="AG68" s="2856">
        <f t="shared" si="207"/>
        <v>0</v>
      </c>
      <c r="AH68" s="2856">
        <f t="shared" si="208"/>
        <v>0</v>
      </c>
      <c r="AI68" s="2870">
        <f t="shared" si="424"/>
        <v>0</v>
      </c>
      <c r="AJ68" s="2870">
        <f t="shared" si="424"/>
        <v>0</v>
      </c>
      <c r="AK68" s="2870">
        <f t="shared" si="424"/>
        <v>0</v>
      </c>
      <c r="AL68" s="2870">
        <f t="shared" si="458"/>
        <v>0</v>
      </c>
      <c r="AM68" s="2870">
        <f t="shared" si="458"/>
        <v>0</v>
      </c>
      <c r="AN68" s="2870">
        <f t="shared" si="458"/>
        <v>0</v>
      </c>
      <c r="AO68" s="2853">
        <f t="shared" si="488"/>
        <v>0</v>
      </c>
      <c r="AP68" s="2853">
        <f t="shared" si="489"/>
        <v>0</v>
      </c>
      <c r="AQ68" s="2853">
        <f t="shared" si="490"/>
        <v>0</v>
      </c>
      <c r="AR68" s="2875">
        <f t="shared" si="491"/>
        <v>0</v>
      </c>
      <c r="AS68" s="2955"/>
      <c r="AT68" s="2955"/>
      <c r="AU68" s="2875">
        <f t="shared" si="492"/>
        <v>0</v>
      </c>
      <c r="AV68" s="2955"/>
      <c r="AW68" s="2955"/>
      <c r="AX68" s="2875">
        <f t="shared" si="493"/>
        <v>0</v>
      </c>
      <c r="AY68" s="2955"/>
      <c r="AZ68" s="2955"/>
      <c r="BA68" s="2875">
        <f t="shared" si="432"/>
        <v>0</v>
      </c>
      <c r="BB68" s="2875">
        <f t="shared" si="433"/>
        <v>0</v>
      </c>
      <c r="BC68" s="2875">
        <f t="shared" si="433"/>
        <v>0</v>
      </c>
      <c r="BD68" s="2856">
        <f t="shared" si="221"/>
        <v>0</v>
      </c>
      <c r="BE68" s="2856">
        <f t="shared" si="222"/>
        <v>0</v>
      </c>
      <c r="BF68" s="2856">
        <f t="shared" si="223"/>
        <v>0</v>
      </c>
      <c r="BG68" s="2870">
        <f t="shared" si="434"/>
        <v>0</v>
      </c>
      <c r="BH68" s="2870">
        <f t="shared" si="434"/>
        <v>0</v>
      </c>
      <c r="BI68" s="2870">
        <f t="shared" si="434"/>
        <v>0</v>
      </c>
      <c r="BJ68" s="2870">
        <f t="shared" si="459"/>
        <v>0</v>
      </c>
      <c r="BK68" s="2870">
        <f t="shared" si="459"/>
        <v>0</v>
      </c>
      <c r="BL68" s="2870">
        <f t="shared" si="459"/>
        <v>0</v>
      </c>
      <c r="BM68" s="2853">
        <f t="shared" si="494"/>
        <v>0</v>
      </c>
      <c r="BN68" s="2853">
        <f t="shared" si="495"/>
        <v>0</v>
      </c>
      <c r="BO68" s="2853">
        <f t="shared" si="496"/>
        <v>0</v>
      </c>
      <c r="BP68" s="2875">
        <f t="shared" si="497"/>
        <v>0</v>
      </c>
      <c r="BQ68" s="2955"/>
      <c r="BR68" s="2955"/>
      <c r="BS68" s="2875">
        <f t="shared" si="498"/>
        <v>0</v>
      </c>
      <c r="BT68" s="2955"/>
      <c r="BU68" s="2955"/>
      <c r="BV68" s="2875">
        <f t="shared" si="499"/>
        <v>0</v>
      </c>
      <c r="BW68" s="2955"/>
      <c r="BX68" s="2955"/>
      <c r="BY68" s="2875">
        <f t="shared" si="442"/>
        <v>0</v>
      </c>
      <c r="BZ68" s="2875">
        <f t="shared" si="443"/>
        <v>0</v>
      </c>
      <c r="CA68" s="2875">
        <f t="shared" si="443"/>
        <v>0</v>
      </c>
      <c r="CB68" s="2856">
        <f t="shared" si="157"/>
        <v>0</v>
      </c>
      <c r="CC68" s="2856">
        <f>0*2.1811858765</f>
        <v>0</v>
      </c>
      <c r="CD68" s="2856">
        <v>0</v>
      </c>
      <c r="CE68" s="2870">
        <f t="shared" si="457"/>
        <v>0</v>
      </c>
      <c r="CF68" s="2991">
        <f t="shared" si="457"/>
        <v>0</v>
      </c>
      <c r="CG68" s="2991">
        <f t="shared" si="457"/>
        <v>0</v>
      </c>
      <c r="CH68" s="2870">
        <f t="shared" si="445"/>
        <v>0</v>
      </c>
      <c r="CI68" s="2870">
        <f t="shared" si="446"/>
        <v>0</v>
      </c>
      <c r="CJ68" s="2870">
        <f t="shared" si="446"/>
        <v>0</v>
      </c>
      <c r="CK68" s="2863"/>
      <c r="CL68" s="4188">
        <f t="shared" si="136"/>
        <v>0</v>
      </c>
      <c r="CM68" s="2863"/>
    </row>
    <row r="69" spans="1:92" ht="18.75" customHeight="1" x14ac:dyDescent="0.3">
      <c r="A69" s="2879" t="s">
        <v>3884</v>
      </c>
      <c r="B69" s="2853">
        <f t="shared" si="477"/>
        <v>210.70255566989997</v>
      </c>
      <c r="C69" s="2853">
        <f t="shared" si="478"/>
        <v>210.70255566989997</v>
      </c>
      <c r="D69" s="2853">
        <f t="shared" si="479"/>
        <v>0</v>
      </c>
      <c r="E69" s="2875">
        <f t="shared" si="407"/>
        <v>8.1999999999999993</v>
      </c>
      <c r="F69" s="2955">
        <v>8.1999999999999993</v>
      </c>
      <c r="G69" s="2955"/>
      <c r="H69" s="2875">
        <f t="shared" si="480"/>
        <v>25.984000000000002</v>
      </c>
      <c r="I69" s="2955">
        <v>25.984000000000002</v>
      </c>
      <c r="J69" s="2955"/>
      <c r="K69" s="2875">
        <f t="shared" si="481"/>
        <v>25.98</v>
      </c>
      <c r="L69" s="2955">
        <v>25.98</v>
      </c>
      <c r="M69" s="2955"/>
      <c r="N69" s="2875">
        <f t="shared" si="413"/>
        <v>60.164000000000001</v>
      </c>
      <c r="O69" s="2875">
        <f t="shared" si="414"/>
        <v>60.164000000000001</v>
      </c>
      <c r="P69" s="2875">
        <f t="shared" si="414"/>
        <v>0</v>
      </c>
      <c r="Q69" s="2853">
        <f t="shared" si="482"/>
        <v>210.70255566989997</v>
      </c>
      <c r="R69" s="2853">
        <f t="shared" si="483"/>
        <v>210.70255566989997</v>
      </c>
      <c r="S69" s="2853">
        <f t="shared" si="484"/>
        <v>0</v>
      </c>
      <c r="T69" s="2875">
        <f t="shared" si="485"/>
        <v>28.32</v>
      </c>
      <c r="U69" s="2955">
        <v>28.32</v>
      </c>
      <c r="V69" s="2955"/>
      <c r="W69" s="2875">
        <f t="shared" si="486"/>
        <v>2.92</v>
      </c>
      <c r="X69" s="2955">
        <v>2.92</v>
      </c>
      <c r="Y69" s="2955"/>
      <c r="Z69" s="2875">
        <f t="shared" si="487"/>
        <v>25.141999999999999</v>
      </c>
      <c r="AA69" s="2955">
        <v>25.141999999999999</v>
      </c>
      <c r="AB69" s="2955"/>
      <c r="AC69" s="2875">
        <f t="shared" si="422"/>
        <v>56.382000000000005</v>
      </c>
      <c r="AD69" s="2875">
        <f t="shared" si="423"/>
        <v>56.382000000000005</v>
      </c>
      <c r="AE69" s="2875">
        <f t="shared" si="423"/>
        <v>0</v>
      </c>
      <c r="AF69" s="2856">
        <f t="shared" si="206"/>
        <v>421.40511133979993</v>
      </c>
      <c r="AG69" s="2856">
        <f t="shared" si="207"/>
        <v>421.40511133979993</v>
      </c>
      <c r="AH69" s="2856">
        <f t="shared" si="208"/>
        <v>0</v>
      </c>
      <c r="AI69" s="2870">
        <f t="shared" si="424"/>
        <v>116.54600000000001</v>
      </c>
      <c r="AJ69" s="2870">
        <f t="shared" si="424"/>
        <v>116.54600000000001</v>
      </c>
      <c r="AK69" s="2870">
        <f t="shared" si="424"/>
        <v>0</v>
      </c>
      <c r="AL69" s="2870">
        <f t="shared" si="458"/>
        <v>-304.85911133979994</v>
      </c>
      <c r="AM69" s="2870">
        <f t="shared" si="458"/>
        <v>-304.85911133979994</v>
      </c>
      <c r="AN69" s="2870">
        <f t="shared" si="458"/>
        <v>0</v>
      </c>
      <c r="AO69" s="2853">
        <f t="shared" si="488"/>
        <v>210.70255566989997</v>
      </c>
      <c r="AP69" s="2853">
        <f t="shared" si="489"/>
        <v>210.70255566989997</v>
      </c>
      <c r="AQ69" s="2853">
        <f t="shared" si="490"/>
        <v>0</v>
      </c>
      <c r="AR69" s="2875">
        <f t="shared" si="491"/>
        <v>24.51</v>
      </c>
      <c r="AS69" s="2955">
        <v>24.51</v>
      </c>
      <c r="AT69" s="2955"/>
      <c r="AU69" s="2875">
        <f t="shared" si="492"/>
        <v>14.004</v>
      </c>
      <c r="AV69" s="2955">
        <v>14.004</v>
      </c>
      <c r="AW69" s="2955"/>
      <c r="AX69" s="2875">
        <f t="shared" si="493"/>
        <v>2.9180000000000001</v>
      </c>
      <c r="AY69" s="2955">
        <v>2.9180000000000001</v>
      </c>
      <c r="AZ69" s="2955"/>
      <c r="BA69" s="2875">
        <f t="shared" si="432"/>
        <v>41.432000000000002</v>
      </c>
      <c r="BB69" s="2875">
        <f t="shared" si="433"/>
        <v>41.432000000000002</v>
      </c>
      <c r="BC69" s="2875">
        <f t="shared" si="433"/>
        <v>0</v>
      </c>
      <c r="BD69" s="2856">
        <f t="shared" si="221"/>
        <v>632.10766700969987</v>
      </c>
      <c r="BE69" s="2856">
        <f t="shared" si="222"/>
        <v>632.10766700969987</v>
      </c>
      <c r="BF69" s="2856">
        <f t="shared" si="223"/>
        <v>0</v>
      </c>
      <c r="BG69" s="2870">
        <f t="shared" si="434"/>
        <v>157.97800000000001</v>
      </c>
      <c r="BH69" s="2870">
        <f t="shared" si="434"/>
        <v>157.97800000000001</v>
      </c>
      <c r="BI69" s="2870">
        <f t="shared" si="434"/>
        <v>0</v>
      </c>
      <c r="BJ69" s="2870">
        <f t="shared" si="459"/>
        <v>-474.12966700969986</v>
      </c>
      <c r="BK69" s="2870">
        <f t="shared" si="459"/>
        <v>-474.12966700969986</v>
      </c>
      <c r="BL69" s="2870">
        <f t="shared" si="459"/>
        <v>0</v>
      </c>
      <c r="BM69" s="2853">
        <f t="shared" si="494"/>
        <v>210.70255566989997</v>
      </c>
      <c r="BN69" s="2853">
        <f t="shared" si="495"/>
        <v>210.70255566989997</v>
      </c>
      <c r="BO69" s="2853">
        <f t="shared" si="496"/>
        <v>0</v>
      </c>
      <c r="BP69" s="2875">
        <f t="shared" si="497"/>
        <v>3.5529999999999999</v>
      </c>
      <c r="BQ69" s="2955">
        <v>3.5529999999999999</v>
      </c>
      <c r="BR69" s="2955"/>
      <c r="BS69" s="2875">
        <f t="shared" si="498"/>
        <v>1.7509999999999999</v>
      </c>
      <c r="BT69" s="2955">
        <v>1.7509999999999999</v>
      </c>
      <c r="BU69" s="2955"/>
      <c r="BV69" s="2875">
        <f t="shared" si="499"/>
        <v>0.58199999999999996</v>
      </c>
      <c r="BW69" s="2955">
        <v>0.58199999999999996</v>
      </c>
      <c r="BX69" s="2955"/>
      <c r="BY69" s="2875">
        <f t="shared" si="442"/>
        <v>5.8860000000000001</v>
      </c>
      <c r="BZ69" s="2875">
        <f t="shared" si="443"/>
        <v>5.8860000000000001</v>
      </c>
      <c r="CA69" s="2875">
        <f t="shared" si="443"/>
        <v>0</v>
      </c>
      <c r="CB69" s="2856">
        <f t="shared" si="157"/>
        <v>842.81022267959986</v>
      </c>
      <c r="CC69" s="2856">
        <f>193.2*2.1811858765*2</f>
        <v>842.81022267959986</v>
      </c>
      <c r="CD69" s="2856">
        <v>0</v>
      </c>
      <c r="CE69" s="2870">
        <f t="shared" si="457"/>
        <v>163.864</v>
      </c>
      <c r="CF69" s="2991">
        <f t="shared" si="457"/>
        <v>163.864</v>
      </c>
      <c r="CG69" s="2991">
        <f t="shared" si="457"/>
        <v>0</v>
      </c>
      <c r="CH69" s="2870">
        <f t="shared" si="445"/>
        <v>-678.94622267959983</v>
      </c>
      <c r="CI69" s="2870">
        <f t="shared" si="446"/>
        <v>-678.94622267959983</v>
      </c>
      <c r="CJ69" s="2870">
        <f t="shared" si="446"/>
        <v>0</v>
      </c>
      <c r="CK69" s="2863"/>
      <c r="CL69" s="4188">
        <f t="shared" si="136"/>
        <v>842.81022267959986</v>
      </c>
      <c r="CM69" s="2863"/>
    </row>
    <row r="70" spans="1:92" ht="18.75" customHeight="1" x14ac:dyDescent="0.3">
      <c r="A70" s="2989" t="s">
        <v>594</v>
      </c>
      <c r="B70" s="2845">
        <f t="shared" si="477"/>
        <v>412.24182292504997</v>
      </c>
      <c r="C70" s="2946">
        <f t="shared" ref="C70:D70" si="500">SUM(C71:C74)</f>
        <v>412.24182292504997</v>
      </c>
      <c r="D70" s="2946">
        <f t="shared" si="500"/>
        <v>0</v>
      </c>
      <c r="E70" s="2865">
        <f>SUM(E71:E74)</f>
        <v>0</v>
      </c>
      <c r="F70" s="2865">
        <f t="shared" ref="F70:G70" si="501">SUM(F71:F74)</f>
        <v>0</v>
      </c>
      <c r="G70" s="2865">
        <f t="shared" si="501"/>
        <v>0</v>
      </c>
      <c r="H70" s="2865">
        <f>SUM(H71:H74)</f>
        <v>0</v>
      </c>
      <c r="I70" s="2865">
        <f t="shared" ref="I70:J70" si="502">SUM(I71:I74)</f>
        <v>0</v>
      </c>
      <c r="J70" s="2865">
        <f t="shared" si="502"/>
        <v>0</v>
      </c>
      <c r="K70" s="2865">
        <f>SUM(K71:K74)</f>
        <v>41.52</v>
      </c>
      <c r="L70" s="2865">
        <f t="shared" ref="L70:M70" si="503">SUM(L71:L74)</f>
        <v>41.52</v>
      </c>
      <c r="M70" s="2865">
        <f t="shared" si="503"/>
        <v>0</v>
      </c>
      <c r="N70" s="2865">
        <f t="shared" si="413"/>
        <v>41.52</v>
      </c>
      <c r="O70" s="2865">
        <f t="shared" si="414"/>
        <v>41.52</v>
      </c>
      <c r="P70" s="2865">
        <f t="shared" si="414"/>
        <v>0</v>
      </c>
      <c r="Q70" s="2845">
        <f t="shared" ref="Q70:Q78" si="504">SUM(R70:S70)</f>
        <v>412.24182292504997</v>
      </c>
      <c r="R70" s="2946">
        <f t="shared" ref="R70:S70" si="505">SUM(R71:R74)</f>
        <v>412.24182292504997</v>
      </c>
      <c r="S70" s="2946">
        <f t="shared" si="505"/>
        <v>0</v>
      </c>
      <c r="T70" s="2865">
        <f>SUM(T71:T74)</f>
        <v>0</v>
      </c>
      <c r="U70" s="2865">
        <f t="shared" ref="U70:V70" si="506">SUM(U71:U74)</f>
        <v>0</v>
      </c>
      <c r="V70" s="2865">
        <f t="shared" si="506"/>
        <v>0</v>
      </c>
      <c r="W70" s="2865">
        <f>SUM(W71:W74)</f>
        <v>0.66</v>
      </c>
      <c r="X70" s="2865">
        <f t="shared" ref="X70:Y70" si="507">SUM(X71:X74)</f>
        <v>0.66</v>
      </c>
      <c r="Y70" s="2865">
        <f t="shared" si="507"/>
        <v>0</v>
      </c>
      <c r="Z70" s="2865">
        <f>SUM(Z71:Z74)</f>
        <v>66.858000000000004</v>
      </c>
      <c r="AA70" s="2865">
        <f t="shared" ref="AA70:AB70" si="508">SUM(AA71:AA74)</f>
        <v>66.858000000000004</v>
      </c>
      <c r="AB70" s="2865">
        <f t="shared" si="508"/>
        <v>0</v>
      </c>
      <c r="AC70" s="2865">
        <f t="shared" si="422"/>
        <v>67.518000000000001</v>
      </c>
      <c r="AD70" s="2865">
        <f t="shared" si="423"/>
        <v>67.518000000000001</v>
      </c>
      <c r="AE70" s="2865">
        <f t="shared" si="423"/>
        <v>0</v>
      </c>
      <c r="AF70" s="2846">
        <f t="shared" si="206"/>
        <v>824.48364585009995</v>
      </c>
      <c r="AG70" s="2846">
        <f t="shared" si="207"/>
        <v>824.48364585009995</v>
      </c>
      <c r="AH70" s="2846">
        <f t="shared" si="208"/>
        <v>0</v>
      </c>
      <c r="AI70" s="2867">
        <f t="shared" si="424"/>
        <v>109.03800000000001</v>
      </c>
      <c r="AJ70" s="2867">
        <f t="shared" si="424"/>
        <v>109.03800000000001</v>
      </c>
      <c r="AK70" s="2867">
        <f t="shared" si="424"/>
        <v>0</v>
      </c>
      <c r="AL70" s="2867">
        <f t="shared" si="458"/>
        <v>-715.44564585009994</v>
      </c>
      <c r="AM70" s="2867">
        <f t="shared" si="458"/>
        <v>-715.44564585009994</v>
      </c>
      <c r="AN70" s="2867">
        <f t="shared" si="458"/>
        <v>0</v>
      </c>
      <c r="AO70" s="2845">
        <f t="shared" si="488"/>
        <v>412.24182292504997</v>
      </c>
      <c r="AP70" s="2946">
        <f t="shared" ref="AP70:AQ70" si="509">SUM(AP71:AP74)</f>
        <v>412.24182292504997</v>
      </c>
      <c r="AQ70" s="2946">
        <f t="shared" si="509"/>
        <v>0</v>
      </c>
      <c r="AR70" s="2865">
        <f>SUM(AR71:AR74)</f>
        <v>125.69</v>
      </c>
      <c r="AS70" s="2865">
        <f t="shared" ref="AS70:AT70" si="510">SUM(AS71:AS74)</f>
        <v>125.69</v>
      </c>
      <c r="AT70" s="2865">
        <f t="shared" si="510"/>
        <v>0</v>
      </c>
      <c r="AU70" s="2865">
        <f>SUM(AU71:AU74)</f>
        <v>34.085999999999999</v>
      </c>
      <c r="AV70" s="2865">
        <f t="shared" ref="AV70:AW70" si="511">SUM(AV71:AV74)</f>
        <v>34.085999999999999</v>
      </c>
      <c r="AW70" s="2865">
        <f t="shared" si="511"/>
        <v>0</v>
      </c>
      <c r="AX70" s="2865">
        <f>SUM(AX71:AX74)</f>
        <v>173.60499999999999</v>
      </c>
      <c r="AY70" s="2865">
        <f t="shared" ref="AY70:AZ70" si="512">SUM(AY71:AY74)</f>
        <v>173.60499999999999</v>
      </c>
      <c r="AZ70" s="2865">
        <f t="shared" si="512"/>
        <v>0</v>
      </c>
      <c r="BA70" s="2865">
        <f t="shared" si="432"/>
        <v>333.38099999999997</v>
      </c>
      <c r="BB70" s="2865">
        <f t="shared" si="433"/>
        <v>333.38099999999997</v>
      </c>
      <c r="BC70" s="2865">
        <f t="shared" si="433"/>
        <v>0</v>
      </c>
      <c r="BD70" s="2846">
        <f t="shared" si="221"/>
        <v>1236.7254687751499</v>
      </c>
      <c r="BE70" s="2846">
        <f t="shared" si="222"/>
        <v>1236.7254687751499</v>
      </c>
      <c r="BF70" s="2846">
        <f t="shared" si="223"/>
        <v>0</v>
      </c>
      <c r="BG70" s="2867">
        <f t="shared" si="434"/>
        <v>442.41899999999998</v>
      </c>
      <c r="BH70" s="2867">
        <f t="shared" si="434"/>
        <v>442.41899999999998</v>
      </c>
      <c r="BI70" s="2867">
        <f t="shared" si="434"/>
        <v>0</v>
      </c>
      <c r="BJ70" s="2867">
        <f t="shared" si="459"/>
        <v>-794.30646877514994</v>
      </c>
      <c r="BK70" s="2867">
        <f t="shared" si="459"/>
        <v>-794.30646877514994</v>
      </c>
      <c r="BL70" s="2867">
        <f t="shared" si="459"/>
        <v>0</v>
      </c>
      <c r="BM70" s="2845">
        <f t="shared" si="494"/>
        <v>412.24182292504997</v>
      </c>
      <c r="BN70" s="2946">
        <f t="shared" ref="BN70:BO70" si="513">SUM(BN71:BN74)</f>
        <v>412.24182292504997</v>
      </c>
      <c r="BO70" s="2946">
        <f t="shared" si="513"/>
        <v>0</v>
      </c>
      <c r="BP70" s="2865">
        <f>SUM(BP71:BP74)</f>
        <v>48.701000000000001</v>
      </c>
      <c r="BQ70" s="2865">
        <f t="shared" ref="BQ70:BR70" si="514">SUM(BQ71:BQ74)</f>
        <v>48.701000000000001</v>
      </c>
      <c r="BR70" s="2865">
        <f t="shared" si="514"/>
        <v>0</v>
      </c>
      <c r="BS70" s="2865">
        <f>SUM(BS71:BS74)</f>
        <v>2.0830000000000002</v>
      </c>
      <c r="BT70" s="2865">
        <f t="shared" ref="BT70:BU70" si="515">SUM(BT71:BT74)</f>
        <v>2.0830000000000002</v>
      </c>
      <c r="BU70" s="2865">
        <f t="shared" si="515"/>
        <v>0</v>
      </c>
      <c r="BV70" s="2865">
        <f>SUM(BV71:BV74)</f>
        <v>0.84629999999999994</v>
      </c>
      <c r="BW70" s="2865">
        <f t="shared" ref="BW70:BX70" si="516">SUM(BW71:BW74)</f>
        <v>0.84629999999999994</v>
      </c>
      <c r="BX70" s="2865">
        <f t="shared" si="516"/>
        <v>0</v>
      </c>
      <c r="BY70" s="2865">
        <f t="shared" si="442"/>
        <v>51.630299999999998</v>
      </c>
      <c r="BZ70" s="2865">
        <f t="shared" si="443"/>
        <v>51.630299999999998</v>
      </c>
      <c r="CA70" s="2865">
        <f t="shared" si="443"/>
        <v>0</v>
      </c>
      <c r="CB70" s="2846">
        <f t="shared" si="157"/>
        <v>1648.9672917001999</v>
      </c>
      <c r="CC70" s="2990">
        <f t="shared" ref="CC70:CD70" si="517">SUM(CC71:CC74)</f>
        <v>1648.9672917001999</v>
      </c>
      <c r="CD70" s="2990">
        <f t="shared" si="517"/>
        <v>0</v>
      </c>
      <c r="CE70" s="2867">
        <f t="shared" si="457"/>
        <v>494.04929999999996</v>
      </c>
      <c r="CF70" s="2982">
        <f t="shared" si="457"/>
        <v>494.04929999999996</v>
      </c>
      <c r="CG70" s="2982">
        <f t="shared" si="457"/>
        <v>0</v>
      </c>
      <c r="CH70" s="2867">
        <f t="shared" si="445"/>
        <v>-1154.9179917002</v>
      </c>
      <c r="CI70" s="2867">
        <f t="shared" si="446"/>
        <v>-1154.9179917002</v>
      </c>
      <c r="CJ70" s="2867">
        <f t="shared" si="446"/>
        <v>0</v>
      </c>
      <c r="CK70" s="2863"/>
      <c r="CL70" s="4188">
        <f t="shared" si="136"/>
        <v>1648.9672917001999</v>
      </c>
      <c r="CM70" s="2863"/>
    </row>
    <row r="71" spans="1:92" ht="18.75" customHeight="1" x14ac:dyDescent="0.3">
      <c r="A71" s="2879" t="s">
        <v>534</v>
      </c>
      <c r="B71" s="2853">
        <f t="shared" si="477"/>
        <v>58.707507877048805</v>
      </c>
      <c r="C71" s="2853">
        <f t="shared" ref="C71:C74" si="518">SUM(CC71/4)</f>
        <v>58.707507877048805</v>
      </c>
      <c r="D71" s="2853">
        <f t="shared" ref="D71:D74" si="519">SUM(CD71/4)</f>
        <v>0</v>
      </c>
      <c r="E71" s="2875">
        <f t="shared" si="407"/>
        <v>0</v>
      </c>
      <c r="F71" s="2955"/>
      <c r="G71" s="2955"/>
      <c r="H71" s="2875">
        <f t="shared" ref="H71:H74" si="520">SUM(I71:J71)</f>
        <v>0</v>
      </c>
      <c r="I71" s="2955"/>
      <c r="J71" s="2955"/>
      <c r="K71" s="2875">
        <f t="shared" ref="K71:K74" si="521">SUM(L71:M71)</f>
        <v>40.020000000000003</v>
      </c>
      <c r="L71" s="2955">
        <f>35.71+4.31</f>
        <v>40.020000000000003</v>
      </c>
      <c r="M71" s="2955"/>
      <c r="N71" s="2875">
        <f t="shared" si="413"/>
        <v>40.020000000000003</v>
      </c>
      <c r="O71" s="2875">
        <f t="shared" si="414"/>
        <v>40.020000000000003</v>
      </c>
      <c r="P71" s="2875">
        <f t="shared" si="414"/>
        <v>0</v>
      </c>
      <c r="Q71" s="2853">
        <f t="shared" si="504"/>
        <v>58.707507877048805</v>
      </c>
      <c r="R71" s="2853">
        <f t="shared" ref="R71:R74" si="522">SUM(C71)</f>
        <v>58.707507877048805</v>
      </c>
      <c r="S71" s="2853">
        <f t="shared" ref="S71:S74" si="523">SUM(D71)</f>
        <v>0</v>
      </c>
      <c r="T71" s="2875">
        <f t="shared" ref="T71:T78" si="524">SUM(U71:V71)</f>
        <v>0</v>
      </c>
      <c r="U71" s="2955"/>
      <c r="V71" s="2955"/>
      <c r="W71" s="2875">
        <f t="shared" ref="W71:W74" si="525">SUM(X71:Y71)</f>
        <v>0</v>
      </c>
      <c r="X71" s="2955"/>
      <c r="Y71" s="2955"/>
      <c r="Z71" s="2875">
        <f t="shared" ref="Z71:Z74" si="526">SUM(AA71:AB71)</f>
        <v>66.858000000000004</v>
      </c>
      <c r="AA71" s="2955">
        <v>66.858000000000004</v>
      </c>
      <c r="AB71" s="2955"/>
      <c r="AC71" s="2875">
        <f t="shared" si="422"/>
        <v>66.858000000000004</v>
      </c>
      <c r="AD71" s="2875">
        <f t="shared" si="423"/>
        <v>66.858000000000004</v>
      </c>
      <c r="AE71" s="2875">
        <f t="shared" si="423"/>
        <v>0</v>
      </c>
      <c r="AF71" s="2856">
        <f t="shared" si="206"/>
        <v>117.41501575409761</v>
      </c>
      <c r="AG71" s="2856">
        <f t="shared" si="207"/>
        <v>117.41501575409761</v>
      </c>
      <c r="AH71" s="2856">
        <f t="shared" si="208"/>
        <v>0</v>
      </c>
      <c r="AI71" s="2870">
        <f t="shared" si="424"/>
        <v>106.87800000000001</v>
      </c>
      <c r="AJ71" s="2870">
        <f t="shared" si="424"/>
        <v>106.87800000000001</v>
      </c>
      <c r="AK71" s="2870">
        <f t="shared" si="424"/>
        <v>0</v>
      </c>
      <c r="AL71" s="2870">
        <f t="shared" si="458"/>
        <v>-10.537015754097595</v>
      </c>
      <c r="AM71" s="2870">
        <f t="shared" si="458"/>
        <v>-10.537015754097595</v>
      </c>
      <c r="AN71" s="2870">
        <f t="shared" si="458"/>
        <v>0</v>
      </c>
      <c r="AO71" s="2853">
        <f t="shared" ref="AO71:AO75" si="527">SUM(AP71:AQ71)</f>
        <v>58.707507877048805</v>
      </c>
      <c r="AP71" s="2853">
        <f t="shared" ref="AP71:AP74" si="528">SUM(CC71-AG71)/2</f>
        <v>58.707507877048805</v>
      </c>
      <c r="AQ71" s="2853">
        <f t="shared" ref="AQ71:AQ74" si="529">SUM(CD71-AH71)/2</f>
        <v>0</v>
      </c>
      <c r="AR71" s="2875">
        <f t="shared" ref="AR71:AR78" si="530">SUM(AS71:AT71)</f>
        <v>125.59</v>
      </c>
      <c r="AS71" s="2955">
        <v>125.59</v>
      </c>
      <c r="AT71" s="2955"/>
      <c r="AU71" s="2875">
        <f t="shared" ref="AU71:AU74" si="531">SUM(AV71:AW71)</f>
        <v>17.885999999999999</v>
      </c>
      <c r="AV71" s="2955">
        <v>17.885999999999999</v>
      </c>
      <c r="AW71" s="2955"/>
      <c r="AX71" s="2875">
        <f t="shared" ref="AX71:AX74" si="532">SUM(AY71:AZ71)</f>
        <v>173.60499999999999</v>
      </c>
      <c r="AY71" s="2955">
        <v>173.60499999999999</v>
      </c>
      <c r="AZ71" s="2955"/>
      <c r="BA71" s="2875">
        <f t="shared" si="432"/>
        <v>317.08100000000002</v>
      </c>
      <c r="BB71" s="2875">
        <f t="shared" si="433"/>
        <v>317.08100000000002</v>
      </c>
      <c r="BC71" s="2875">
        <f t="shared" si="433"/>
        <v>0</v>
      </c>
      <c r="BD71" s="2856">
        <f t="shared" si="221"/>
        <v>176.12252363114641</v>
      </c>
      <c r="BE71" s="2856">
        <f t="shared" si="222"/>
        <v>176.12252363114641</v>
      </c>
      <c r="BF71" s="2856">
        <f t="shared" si="223"/>
        <v>0</v>
      </c>
      <c r="BG71" s="2870">
        <f t="shared" si="434"/>
        <v>423.95900000000006</v>
      </c>
      <c r="BH71" s="2870">
        <f t="shared" si="434"/>
        <v>423.95900000000006</v>
      </c>
      <c r="BI71" s="2870">
        <f t="shared" si="434"/>
        <v>0</v>
      </c>
      <c r="BJ71" s="2870">
        <f t="shared" si="459"/>
        <v>247.83647636885365</v>
      </c>
      <c r="BK71" s="2870">
        <f t="shared" si="459"/>
        <v>247.83647636885365</v>
      </c>
      <c r="BL71" s="2870">
        <f t="shared" si="459"/>
        <v>0</v>
      </c>
      <c r="BM71" s="2853">
        <f t="shared" ref="BM71:BM75" si="533">SUM(BN71:BO71)</f>
        <v>58.707507877048805</v>
      </c>
      <c r="BN71" s="2853">
        <f t="shared" ref="BN71:BN74" si="534">SUM(AP71)</f>
        <v>58.707507877048805</v>
      </c>
      <c r="BO71" s="2853">
        <f t="shared" ref="BO71:BO74" si="535">SUM(AQ71)</f>
        <v>0</v>
      </c>
      <c r="BP71" s="2875">
        <f t="shared" ref="BP71:BP78" si="536">SUM(BQ71:BR71)</f>
        <v>48.701000000000001</v>
      </c>
      <c r="BQ71" s="2955">
        <v>48.701000000000001</v>
      </c>
      <c r="BR71" s="2955"/>
      <c r="BS71" s="2875">
        <f t="shared" ref="BS71:BS74" si="537">SUM(BT71:BU71)</f>
        <v>0</v>
      </c>
      <c r="BT71" s="2955"/>
      <c r="BU71" s="2955"/>
      <c r="BV71" s="2875">
        <f t="shared" ref="BV71:BV74" si="538">SUM(BW71:BX71)</f>
        <v>-7.7000000000000002E-3</v>
      </c>
      <c r="BW71" s="2955">
        <v>-7.7000000000000002E-3</v>
      </c>
      <c r="BX71" s="2955"/>
      <c r="BY71" s="2875">
        <f t="shared" si="442"/>
        <v>48.693300000000001</v>
      </c>
      <c r="BZ71" s="2875">
        <f t="shared" si="443"/>
        <v>48.693300000000001</v>
      </c>
      <c r="CA71" s="2875">
        <f t="shared" si="443"/>
        <v>0</v>
      </c>
      <c r="CB71" s="2856">
        <f t="shared" si="157"/>
        <v>234.83003150819522</v>
      </c>
      <c r="CC71" s="2846">
        <f>224.101*(1+0.032)*0.99*(1+0.036)*0.99</f>
        <v>234.83003150819522</v>
      </c>
      <c r="CD71" s="2856">
        <v>0</v>
      </c>
      <c r="CE71" s="2870">
        <f t="shared" si="457"/>
        <v>472.65230000000008</v>
      </c>
      <c r="CF71" s="2991">
        <f t="shared" si="457"/>
        <v>472.65230000000008</v>
      </c>
      <c r="CG71" s="2991">
        <f t="shared" si="457"/>
        <v>0</v>
      </c>
      <c r="CH71" s="2870">
        <f t="shared" si="445"/>
        <v>237.82226849180486</v>
      </c>
      <c r="CI71" s="2870">
        <f t="shared" si="446"/>
        <v>237.82226849180486</v>
      </c>
      <c r="CJ71" s="2870">
        <f t="shared" si="446"/>
        <v>0</v>
      </c>
      <c r="CK71" s="2863"/>
      <c r="CL71" s="4188">
        <f t="shared" si="136"/>
        <v>234.83003150819522</v>
      </c>
      <c r="CM71" s="2863"/>
    </row>
    <row r="72" spans="1:92" ht="18.75" customHeight="1" x14ac:dyDescent="0.3">
      <c r="A72" s="2879" t="s">
        <v>628</v>
      </c>
      <c r="B72" s="2853">
        <f t="shared" si="477"/>
        <v>341.97402990255119</v>
      </c>
      <c r="C72" s="2853">
        <f t="shared" si="518"/>
        <v>341.97402990255119</v>
      </c>
      <c r="D72" s="2853">
        <f t="shared" si="519"/>
        <v>0</v>
      </c>
      <c r="E72" s="2875">
        <f t="shared" si="407"/>
        <v>0</v>
      </c>
      <c r="F72" s="2955"/>
      <c r="G72" s="2955"/>
      <c r="H72" s="2875">
        <f t="shared" si="520"/>
        <v>0</v>
      </c>
      <c r="I72" s="2955"/>
      <c r="J72" s="2955"/>
      <c r="K72" s="2875">
        <f t="shared" si="521"/>
        <v>1.5</v>
      </c>
      <c r="L72" s="2955">
        <v>1.5</v>
      </c>
      <c r="M72" s="2955"/>
      <c r="N72" s="2875">
        <f t="shared" si="413"/>
        <v>1.5</v>
      </c>
      <c r="O72" s="2875">
        <f t="shared" si="414"/>
        <v>1.5</v>
      </c>
      <c r="P72" s="2875">
        <f t="shared" si="414"/>
        <v>0</v>
      </c>
      <c r="Q72" s="2853">
        <f t="shared" si="504"/>
        <v>341.97402990255119</v>
      </c>
      <c r="R72" s="2853">
        <f t="shared" si="522"/>
        <v>341.97402990255119</v>
      </c>
      <c r="S72" s="2853">
        <f t="shared" si="523"/>
        <v>0</v>
      </c>
      <c r="T72" s="2875">
        <f t="shared" si="524"/>
        <v>0</v>
      </c>
      <c r="U72" s="2955"/>
      <c r="V72" s="2955"/>
      <c r="W72" s="2875">
        <f t="shared" si="525"/>
        <v>0.66</v>
      </c>
      <c r="X72" s="2955">
        <v>0.66</v>
      </c>
      <c r="Y72" s="2955"/>
      <c r="Z72" s="2875">
        <f t="shared" si="526"/>
        <v>0</v>
      </c>
      <c r="AA72" s="2955"/>
      <c r="AB72" s="2955"/>
      <c r="AC72" s="2875">
        <f t="shared" si="422"/>
        <v>0.66</v>
      </c>
      <c r="AD72" s="2875">
        <f t="shared" si="423"/>
        <v>0.66</v>
      </c>
      <c r="AE72" s="2875">
        <f t="shared" si="423"/>
        <v>0</v>
      </c>
      <c r="AF72" s="2856">
        <f t="shared" si="206"/>
        <v>683.94805980510239</v>
      </c>
      <c r="AG72" s="2856">
        <f t="shared" si="207"/>
        <v>683.94805980510239</v>
      </c>
      <c r="AH72" s="2856">
        <f t="shared" si="208"/>
        <v>0</v>
      </c>
      <c r="AI72" s="2870">
        <f t="shared" si="424"/>
        <v>2.16</v>
      </c>
      <c r="AJ72" s="2870">
        <f t="shared" si="424"/>
        <v>2.16</v>
      </c>
      <c r="AK72" s="2870">
        <f t="shared" si="424"/>
        <v>0</v>
      </c>
      <c r="AL72" s="2870">
        <f t="shared" si="458"/>
        <v>-681.78805980510242</v>
      </c>
      <c r="AM72" s="2870">
        <f t="shared" si="458"/>
        <v>-681.78805980510242</v>
      </c>
      <c r="AN72" s="2870">
        <f t="shared" si="458"/>
        <v>0</v>
      </c>
      <c r="AO72" s="2853">
        <f t="shared" si="527"/>
        <v>341.97402990255119</v>
      </c>
      <c r="AP72" s="2853">
        <f t="shared" si="528"/>
        <v>341.97402990255119</v>
      </c>
      <c r="AQ72" s="2853">
        <f t="shared" si="529"/>
        <v>0</v>
      </c>
      <c r="AR72" s="2875">
        <f t="shared" si="530"/>
        <v>0</v>
      </c>
      <c r="AS72" s="2955"/>
      <c r="AT72" s="2955"/>
      <c r="AU72" s="2875">
        <f t="shared" si="531"/>
        <v>16.2</v>
      </c>
      <c r="AV72" s="2955">
        <v>16.2</v>
      </c>
      <c r="AW72" s="2955"/>
      <c r="AX72" s="2875">
        <f t="shared" si="532"/>
        <v>0</v>
      </c>
      <c r="AY72" s="2955"/>
      <c r="AZ72" s="2955"/>
      <c r="BA72" s="2875">
        <f t="shared" si="432"/>
        <v>16.2</v>
      </c>
      <c r="BB72" s="2875">
        <f t="shared" si="433"/>
        <v>16.2</v>
      </c>
      <c r="BC72" s="2875">
        <f t="shared" si="433"/>
        <v>0</v>
      </c>
      <c r="BD72" s="2856">
        <f t="shared" si="221"/>
        <v>1025.9220897076536</v>
      </c>
      <c r="BE72" s="2856">
        <f t="shared" si="222"/>
        <v>1025.9220897076536</v>
      </c>
      <c r="BF72" s="2856">
        <f t="shared" si="223"/>
        <v>0</v>
      </c>
      <c r="BG72" s="2870">
        <f t="shared" si="434"/>
        <v>18.36</v>
      </c>
      <c r="BH72" s="2870">
        <f t="shared" si="434"/>
        <v>18.36</v>
      </c>
      <c r="BI72" s="2870">
        <f t="shared" si="434"/>
        <v>0</v>
      </c>
      <c r="BJ72" s="2870">
        <f t="shared" si="459"/>
        <v>-1007.5620897076536</v>
      </c>
      <c r="BK72" s="2870">
        <f t="shared" si="459"/>
        <v>-1007.5620897076536</v>
      </c>
      <c r="BL72" s="2870">
        <f t="shared" si="459"/>
        <v>0</v>
      </c>
      <c r="BM72" s="2853">
        <f t="shared" si="533"/>
        <v>341.97402990255119</v>
      </c>
      <c r="BN72" s="2853">
        <f t="shared" si="534"/>
        <v>341.97402990255119</v>
      </c>
      <c r="BO72" s="2853">
        <f t="shared" si="535"/>
        <v>0</v>
      </c>
      <c r="BP72" s="2875">
        <f t="shared" si="536"/>
        <v>0</v>
      </c>
      <c r="BQ72" s="2955"/>
      <c r="BR72" s="2955"/>
      <c r="BS72" s="2875">
        <f t="shared" si="537"/>
        <v>2.0830000000000002</v>
      </c>
      <c r="BT72" s="2955">
        <v>2.0830000000000002</v>
      </c>
      <c r="BU72" s="2955"/>
      <c r="BV72" s="2875">
        <f t="shared" si="538"/>
        <v>0.85399999999999998</v>
      </c>
      <c r="BW72" s="2955">
        <v>0.85399999999999998</v>
      </c>
      <c r="BX72" s="2955"/>
      <c r="BY72" s="2875">
        <f t="shared" si="442"/>
        <v>2.9370000000000003</v>
      </c>
      <c r="BZ72" s="2875">
        <f t="shared" si="443"/>
        <v>2.9370000000000003</v>
      </c>
      <c r="CA72" s="2875">
        <f t="shared" si="443"/>
        <v>0</v>
      </c>
      <c r="CB72" s="2856">
        <f t="shared" si="157"/>
        <v>1367.8961196102048</v>
      </c>
      <c r="CC72" s="2846">
        <f>1305.399*(1+0.032)*0.99*(1+0.036)*0.99</f>
        <v>1367.8961196102048</v>
      </c>
      <c r="CD72" s="2856">
        <v>0</v>
      </c>
      <c r="CE72" s="2870">
        <f t="shared" si="457"/>
        <v>21.297000000000001</v>
      </c>
      <c r="CF72" s="2991">
        <f t="shared" si="457"/>
        <v>21.297000000000001</v>
      </c>
      <c r="CG72" s="2991">
        <f t="shared" si="457"/>
        <v>0</v>
      </c>
      <c r="CH72" s="2870">
        <f t="shared" si="445"/>
        <v>-1346.5991196102048</v>
      </c>
      <c r="CI72" s="2870">
        <f t="shared" si="446"/>
        <v>-1346.5991196102048</v>
      </c>
      <c r="CJ72" s="2870">
        <f t="shared" si="446"/>
        <v>0</v>
      </c>
      <c r="CK72" s="2863"/>
      <c r="CL72" s="4188">
        <f t="shared" si="136"/>
        <v>1367.8961196102048</v>
      </c>
      <c r="CM72" s="2863"/>
    </row>
    <row r="73" spans="1:92" ht="18.75" customHeight="1" x14ac:dyDescent="0.3">
      <c r="A73" s="2879" t="s">
        <v>543</v>
      </c>
      <c r="B73" s="2853">
        <f t="shared" si="477"/>
        <v>11.483943639772498</v>
      </c>
      <c r="C73" s="2853">
        <f t="shared" si="518"/>
        <v>11.483943639772498</v>
      </c>
      <c r="D73" s="2853">
        <f t="shared" si="519"/>
        <v>0</v>
      </c>
      <c r="E73" s="2875">
        <f t="shared" si="407"/>
        <v>0</v>
      </c>
      <c r="F73" s="2955"/>
      <c r="G73" s="2955"/>
      <c r="H73" s="2875">
        <f t="shared" si="520"/>
        <v>0</v>
      </c>
      <c r="I73" s="2955"/>
      <c r="J73" s="2955"/>
      <c r="K73" s="2875">
        <f t="shared" si="521"/>
        <v>0</v>
      </c>
      <c r="L73" s="2955"/>
      <c r="M73" s="2955"/>
      <c r="N73" s="2875">
        <f t="shared" si="413"/>
        <v>0</v>
      </c>
      <c r="O73" s="2875">
        <f t="shared" si="414"/>
        <v>0</v>
      </c>
      <c r="P73" s="2875">
        <f t="shared" si="414"/>
        <v>0</v>
      </c>
      <c r="Q73" s="2853">
        <f t="shared" si="504"/>
        <v>11.483943639772498</v>
      </c>
      <c r="R73" s="2853">
        <f t="shared" si="522"/>
        <v>11.483943639772498</v>
      </c>
      <c r="S73" s="2853">
        <f t="shared" si="523"/>
        <v>0</v>
      </c>
      <c r="T73" s="2875">
        <f t="shared" si="524"/>
        <v>0</v>
      </c>
      <c r="U73" s="2955"/>
      <c r="V73" s="2955"/>
      <c r="W73" s="2875">
        <f t="shared" si="525"/>
        <v>0</v>
      </c>
      <c r="X73" s="2955"/>
      <c r="Y73" s="2955"/>
      <c r="Z73" s="2875">
        <f t="shared" si="526"/>
        <v>0</v>
      </c>
      <c r="AA73" s="2955"/>
      <c r="AB73" s="2955"/>
      <c r="AC73" s="2875">
        <f t="shared" si="422"/>
        <v>0</v>
      </c>
      <c r="AD73" s="2875">
        <f t="shared" si="423"/>
        <v>0</v>
      </c>
      <c r="AE73" s="2875">
        <f t="shared" si="423"/>
        <v>0</v>
      </c>
      <c r="AF73" s="2856">
        <f t="shared" si="206"/>
        <v>22.967887279544996</v>
      </c>
      <c r="AG73" s="2856">
        <f t="shared" si="207"/>
        <v>22.967887279544996</v>
      </c>
      <c r="AH73" s="2856">
        <f t="shared" si="208"/>
        <v>0</v>
      </c>
      <c r="AI73" s="2870">
        <f t="shared" si="424"/>
        <v>0</v>
      </c>
      <c r="AJ73" s="2870">
        <f t="shared" si="424"/>
        <v>0</v>
      </c>
      <c r="AK73" s="2870">
        <f t="shared" si="424"/>
        <v>0</v>
      </c>
      <c r="AL73" s="2870">
        <f t="shared" si="458"/>
        <v>-22.967887279544996</v>
      </c>
      <c r="AM73" s="2870">
        <f t="shared" si="458"/>
        <v>-22.967887279544996</v>
      </c>
      <c r="AN73" s="2870">
        <f t="shared" si="458"/>
        <v>0</v>
      </c>
      <c r="AO73" s="2853">
        <f t="shared" si="527"/>
        <v>11.483943639772498</v>
      </c>
      <c r="AP73" s="2853">
        <f t="shared" si="528"/>
        <v>11.483943639772498</v>
      </c>
      <c r="AQ73" s="2853">
        <f t="shared" si="529"/>
        <v>0</v>
      </c>
      <c r="AR73" s="2875">
        <f t="shared" si="530"/>
        <v>0</v>
      </c>
      <c r="AS73" s="2955"/>
      <c r="AT73" s="2955"/>
      <c r="AU73" s="2875">
        <f t="shared" si="531"/>
        <v>0</v>
      </c>
      <c r="AV73" s="2955"/>
      <c r="AW73" s="2955"/>
      <c r="AX73" s="2875">
        <f t="shared" si="532"/>
        <v>0</v>
      </c>
      <c r="AY73" s="2955"/>
      <c r="AZ73" s="2955"/>
      <c r="BA73" s="2875">
        <f t="shared" si="432"/>
        <v>0</v>
      </c>
      <c r="BB73" s="2875">
        <f t="shared" si="433"/>
        <v>0</v>
      </c>
      <c r="BC73" s="2875">
        <f t="shared" si="433"/>
        <v>0</v>
      </c>
      <c r="BD73" s="2856">
        <f t="shared" si="221"/>
        <v>34.451830919317494</v>
      </c>
      <c r="BE73" s="2856">
        <f t="shared" si="222"/>
        <v>34.451830919317494</v>
      </c>
      <c r="BF73" s="2856">
        <f t="shared" si="223"/>
        <v>0</v>
      </c>
      <c r="BG73" s="2870">
        <f t="shared" si="434"/>
        <v>0</v>
      </c>
      <c r="BH73" s="2870">
        <f t="shared" si="434"/>
        <v>0</v>
      </c>
      <c r="BI73" s="2870">
        <f t="shared" si="434"/>
        <v>0</v>
      </c>
      <c r="BJ73" s="2870">
        <f t="shared" si="459"/>
        <v>-34.451830919317494</v>
      </c>
      <c r="BK73" s="2870">
        <f t="shared" si="459"/>
        <v>-34.451830919317494</v>
      </c>
      <c r="BL73" s="2870">
        <f t="shared" si="459"/>
        <v>0</v>
      </c>
      <c r="BM73" s="2853">
        <f t="shared" si="533"/>
        <v>11.483943639772498</v>
      </c>
      <c r="BN73" s="2853">
        <f t="shared" si="534"/>
        <v>11.483943639772498</v>
      </c>
      <c r="BO73" s="2853">
        <f t="shared" si="535"/>
        <v>0</v>
      </c>
      <c r="BP73" s="2875">
        <f t="shared" si="536"/>
        <v>0</v>
      </c>
      <c r="BQ73" s="2955"/>
      <c r="BR73" s="2955"/>
      <c r="BS73" s="2875">
        <f t="shared" si="537"/>
        <v>0</v>
      </c>
      <c r="BT73" s="2955"/>
      <c r="BU73" s="2955"/>
      <c r="BV73" s="2875">
        <f t="shared" si="538"/>
        <v>0</v>
      </c>
      <c r="BW73" s="2955"/>
      <c r="BX73" s="2955"/>
      <c r="BY73" s="2875">
        <f t="shared" si="442"/>
        <v>0</v>
      </c>
      <c r="BZ73" s="2875">
        <f t="shared" si="443"/>
        <v>0</v>
      </c>
      <c r="CA73" s="2875">
        <f t="shared" si="443"/>
        <v>0</v>
      </c>
      <c r="CB73" s="2856">
        <f t="shared" si="157"/>
        <v>45.935774559089992</v>
      </c>
      <c r="CC73" s="2856">
        <f>21.06*2.1811858765</f>
        <v>45.935774559089992</v>
      </c>
      <c r="CD73" s="2856">
        <v>0</v>
      </c>
      <c r="CE73" s="2870">
        <f t="shared" si="457"/>
        <v>0</v>
      </c>
      <c r="CF73" s="2991">
        <f t="shared" si="457"/>
        <v>0</v>
      </c>
      <c r="CG73" s="2991">
        <f t="shared" si="457"/>
        <v>0</v>
      </c>
      <c r="CH73" s="2870">
        <f t="shared" si="445"/>
        <v>-45.935774559089992</v>
      </c>
      <c r="CI73" s="2870">
        <f t="shared" si="446"/>
        <v>-45.935774559089992</v>
      </c>
      <c r="CJ73" s="2870">
        <f t="shared" si="446"/>
        <v>0</v>
      </c>
      <c r="CK73" s="2863"/>
      <c r="CL73" s="4188">
        <f t="shared" si="136"/>
        <v>45.935774559089992</v>
      </c>
      <c r="CM73" s="2863"/>
    </row>
    <row r="74" spans="1:92" ht="18.75" customHeight="1" x14ac:dyDescent="0.3">
      <c r="A74" s="2879" t="s">
        <v>598</v>
      </c>
      <c r="B74" s="2853">
        <f t="shared" si="477"/>
        <v>7.6341505677500004E-2</v>
      </c>
      <c r="C74" s="2853">
        <f t="shared" si="518"/>
        <v>7.6341505677500004E-2</v>
      </c>
      <c r="D74" s="2853">
        <f t="shared" si="519"/>
        <v>0</v>
      </c>
      <c r="E74" s="2875">
        <f t="shared" si="407"/>
        <v>0</v>
      </c>
      <c r="F74" s="2955"/>
      <c r="G74" s="2955"/>
      <c r="H74" s="2875">
        <f t="shared" si="520"/>
        <v>0</v>
      </c>
      <c r="I74" s="2955"/>
      <c r="J74" s="2955"/>
      <c r="K74" s="2875">
        <f t="shared" si="521"/>
        <v>0</v>
      </c>
      <c r="L74" s="2955"/>
      <c r="M74" s="2955"/>
      <c r="N74" s="2875">
        <f t="shared" si="413"/>
        <v>0</v>
      </c>
      <c r="O74" s="2875">
        <f t="shared" si="414"/>
        <v>0</v>
      </c>
      <c r="P74" s="2875">
        <f t="shared" si="414"/>
        <v>0</v>
      </c>
      <c r="Q74" s="2853">
        <f t="shared" si="504"/>
        <v>7.6341505677500004E-2</v>
      </c>
      <c r="R74" s="2853">
        <f t="shared" si="522"/>
        <v>7.6341505677500004E-2</v>
      </c>
      <c r="S74" s="2853">
        <f t="shared" si="523"/>
        <v>0</v>
      </c>
      <c r="T74" s="2875">
        <f t="shared" si="524"/>
        <v>0</v>
      </c>
      <c r="U74" s="2955"/>
      <c r="V74" s="2955"/>
      <c r="W74" s="2875">
        <f t="shared" si="525"/>
        <v>0</v>
      </c>
      <c r="X74" s="2955"/>
      <c r="Y74" s="2955"/>
      <c r="Z74" s="2875">
        <f t="shared" si="526"/>
        <v>0</v>
      </c>
      <c r="AA74" s="2955"/>
      <c r="AB74" s="2955"/>
      <c r="AC74" s="2875">
        <f t="shared" si="422"/>
        <v>0</v>
      </c>
      <c r="AD74" s="2875">
        <f t="shared" si="423"/>
        <v>0</v>
      </c>
      <c r="AE74" s="2875">
        <f t="shared" si="423"/>
        <v>0</v>
      </c>
      <c r="AF74" s="2856">
        <f t="shared" si="206"/>
        <v>0.15268301135500001</v>
      </c>
      <c r="AG74" s="2856">
        <f t="shared" si="207"/>
        <v>0.15268301135500001</v>
      </c>
      <c r="AH74" s="2856">
        <f t="shared" si="208"/>
        <v>0</v>
      </c>
      <c r="AI74" s="2870">
        <f t="shared" si="424"/>
        <v>0</v>
      </c>
      <c r="AJ74" s="2870">
        <f t="shared" si="424"/>
        <v>0</v>
      </c>
      <c r="AK74" s="2870">
        <f t="shared" si="424"/>
        <v>0</v>
      </c>
      <c r="AL74" s="2870">
        <f t="shared" si="458"/>
        <v>-0.15268301135500001</v>
      </c>
      <c r="AM74" s="2870">
        <f t="shared" si="458"/>
        <v>-0.15268301135500001</v>
      </c>
      <c r="AN74" s="2870">
        <f t="shared" si="458"/>
        <v>0</v>
      </c>
      <c r="AO74" s="2853">
        <f t="shared" si="527"/>
        <v>7.6341505677500004E-2</v>
      </c>
      <c r="AP74" s="2853">
        <f t="shared" si="528"/>
        <v>7.6341505677500004E-2</v>
      </c>
      <c r="AQ74" s="2853">
        <f t="shared" si="529"/>
        <v>0</v>
      </c>
      <c r="AR74" s="2875">
        <f t="shared" si="530"/>
        <v>0.1</v>
      </c>
      <c r="AS74" s="2955">
        <v>0.1</v>
      </c>
      <c r="AT74" s="2955"/>
      <c r="AU74" s="2875">
        <f t="shared" si="531"/>
        <v>0</v>
      </c>
      <c r="AV74" s="2955"/>
      <c r="AW74" s="2955"/>
      <c r="AX74" s="2875">
        <f t="shared" si="532"/>
        <v>0</v>
      </c>
      <c r="AY74" s="2955"/>
      <c r="AZ74" s="2955"/>
      <c r="BA74" s="2875">
        <f t="shared" si="432"/>
        <v>0.1</v>
      </c>
      <c r="BB74" s="2875">
        <f t="shared" si="433"/>
        <v>0.1</v>
      </c>
      <c r="BC74" s="2875">
        <f t="shared" si="433"/>
        <v>0</v>
      </c>
      <c r="BD74" s="2856">
        <f t="shared" si="221"/>
        <v>0.22902451703250001</v>
      </c>
      <c r="BE74" s="2856">
        <f t="shared" si="222"/>
        <v>0.22902451703250001</v>
      </c>
      <c r="BF74" s="2856">
        <f t="shared" si="223"/>
        <v>0</v>
      </c>
      <c r="BG74" s="2870">
        <f t="shared" si="434"/>
        <v>0.1</v>
      </c>
      <c r="BH74" s="2870">
        <f t="shared" si="434"/>
        <v>0.1</v>
      </c>
      <c r="BI74" s="2870">
        <f t="shared" si="434"/>
        <v>0</v>
      </c>
      <c r="BJ74" s="2870">
        <f t="shared" si="459"/>
        <v>-0.12902451703250001</v>
      </c>
      <c r="BK74" s="2870">
        <f t="shared" si="459"/>
        <v>-0.12902451703250001</v>
      </c>
      <c r="BL74" s="2870">
        <f t="shared" si="459"/>
        <v>0</v>
      </c>
      <c r="BM74" s="2853">
        <f t="shared" si="533"/>
        <v>7.6341505677500004E-2</v>
      </c>
      <c r="BN74" s="2853">
        <f t="shared" si="534"/>
        <v>7.6341505677500004E-2</v>
      </c>
      <c r="BO74" s="2853">
        <f t="shared" si="535"/>
        <v>0</v>
      </c>
      <c r="BP74" s="2875">
        <f t="shared" si="536"/>
        <v>0</v>
      </c>
      <c r="BQ74" s="2955"/>
      <c r="BR74" s="2955"/>
      <c r="BS74" s="2875">
        <f t="shared" si="537"/>
        <v>0</v>
      </c>
      <c r="BT74" s="2955"/>
      <c r="BU74" s="2955"/>
      <c r="BV74" s="2875">
        <f t="shared" si="538"/>
        <v>0</v>
      </c>
      <c r="BW74" s="2955"/>
      <c r="BX74" s="2955"/>
      <c r="BY74" s="2875">
        <f t="shared" si="442"/>
        <v>0</v>
      </c>
      <c r="BZ74" s="2875">
        <f t="shared" si="443"/>
        <v>0</v>
      </c>
      <c r="CA74" s="2875">
        <f t="shared" si="443"/>
        <v>0</v>
      </c>
      <c r="CB74" s="2856">
        <f t="shared" si="157"/>
        <v>0.30536602271000002</v>
      </c>
      <c r="CC74" s="2856">
        <f>0.14*2.1811858765</f>
        <v>0.30536602271000002</v>
      </c>
      <c r="CD74" s="2856">
        <v>0</v>
      </c>
      <c r="CE74" s="2870">
        <f t="shared" si="457"/>
        <v>0.1</v>
      </c>
      <c r="CF74" s="2991">
        <f t="shared" si="457"/>
        <v>0.1</v>
      </c>
      <c r="CG74" s="2991">
        <f t="shared" si="457"/>
        <v>0</v>
      </c>
      <c r="CH74" s="2870">
        <f t="shared" si="445"/>
        <v>-0.20536602271000001</v>
      </c>
      <c r="CI74" s="2870">
        <f t="shared" si="446"/>
        <v>-0.20536602271000001</v>
      </c>
      <c r="CJ74" s="2870">
        <f t="shared" si="446"/>
        <v>0</v>
      </c>
      <c r="CK74" s="2863"/>
      <c r="CL74" s="4188">
        <f t="shared" si="136"/>
        <v>0.30536602271000002</v>
      </c>
      <c r="CM74" s="2863"/>
    </row>
    <row r="75" spans="1:92" ht="18.75" customHeight="1" x14ac:dyDescent="0.3">
      <c r="A75" s="2910" t="s">
        <v>531</v>
      </c>
      <c r="B75" s="2837">
        <f t="shared" si="477"/>
        <v>1526.5487675876852</v>
      </c>
      <c r="C75" s="2959">
        <f t="shared" ref="C75:G75" si="539">SUM(C76+C77+C78+C80+C81)</f>
        <v>1526.5487675876852</v>
      </c>
      <c r="D75" s="2959">
        <f t="shared" si="539"/>
        <v>0</v>
      </c>
      <c r="E75" s="2861">
        <f t="shared" si="407"/>
        <v>379.51799999999997</v>
      </c>
      <c r="F75" s="2861">
        <f t="shared" si="539"/>
        <v>379.51799999999997</v>
      </c>
      <c r="G75" s="2861">
        <f t="shared" si="539"/>
        <v>0</v>
      </c>
      <c r="H75" s="2861">
        <f t="shared" ref="H75:H78" si="540">SUM(I75:J75)</f>
        <v>519.22699999999998</v>
      </c>
      <c r="I75" s="2861">
        <f t="shared" ref="I75:J75" si="541">SUM(I76+I77+I78+I80+I81)</f>
        <v>519.22699999999998</v>
      </c>
      <c r="J75" s="2861">
        <f t="shared" si="541"/>
        <v>0</v>
      </c>
      <c r="K75" s="2861">
        <f t="shared" ref="K75:K78" si="542">SUM(L75:M75)</f>
        <v>529.21799999999996</v>
      </c>
      <c r="L75" s="2861">
        <f t="shared" ref="L75:M75" si="543">SUM(L76+L77+L78+L80+L81)</f>
        <v>529.21799999999996</v>
      </c>
      <c r="M75" s="2861">
        <f t="shared" si="543"/>
        <v>0</v>
      </c>
      <c r="N75" s="2861">
        <f t="shared" ref="N75:N93" si="544">SUM(O75:P75)</f>
        <v>1427.9629999999997</v>
      </c>
      <c r="O75" s="2861">
        <f t="shared" ref="O75:P93" si="545">SUM(F75+I75+L75)</f>
        <v>1427.9629999999997</v>
      </c>
      <c r="P75" s="2861">
        <f t="shared" si="545"/>
        <v>0</v>
      </c>
      <c r="Q75" s="2837">
        <f t="shared" si="504"/>
        <v>1526.5487675876852</v>
      </c>
      <c r="R75" s="2959">
        <f t="shared" ref="R75:S75" si="546">SUM(R76+R77+R78+R80+R81)</f>
        <v>1526.5487675876852</v>
      </c>
      <c r="S75" s="2959">
        <f t="shared" si="546"/>
        <v>0</v>
      </c>
      <c r="T75" s="2861">
        <f t="shared" si="524"/>
        <v>535.27</v>
      </c>
      <c r="U75" s="2861">
        <f t="shared" ref="U75:V75" si="547">SUM(U76+U77+U78+U80+U81)</f>
        <v>535.27</v>
      </c>
      <c r="V75" s="2861">
        <f t="shared" si="547"/>
        <v>0</v>
      </c>
      <c r="W75" s="2861">
        <f t="shared" ref="W75:W78" si="548">SUM(X75:Y75)</f>
        <v>241.77299999999997</v>
      </c>
      <c r="X75" s="2861">
        <f t="shared" ref="X75:Y75" si="549">SUM(X76+X77+X78+X80+X81)</f>
        <v>241.77299999999997</v>
      </c>
      <c r="Y75" s="2861">
        <f t="shared" si="549"/>
        <v>0</v>
      </c>
      <c r="Z75" s="2861">
        <f t="shared" ref="Z75:Z78" si="550">SUM(AA75:AB75)</f>
        <v>447.03500000000003</v>
      </c>
      <c r="AA75" s="2861">
        <f t="shared" ref="AA75:AB75" si="551">SUM(AA76+AA77+AA78+AA80+AA81)</f>
        <v>447.03500000000003</v>
      </c>
      <c r="AB75" s="2861">
        <f t="shared" si="551"/>
        <v>0</v>
      </c>
      <c r="AC75" s="2861">
        <f t="shared" si="422"/>
        <v>1224.078</v>
      </c>
      <c r="AD75" s="2861">
        <f t="shared" si="423"/>
        <v>1224.078</v>
      </c>
      <c r="AE75" s="2861">
        <f t="shared" si="423"/>
        <v>0</v>
      </c>
      <c r="AF75" s="2839">
        <f t="shared" si="206"/>
        <v>3053.0975351753705</v>
      </c>
      <c r="AG75" s="2839">
        <f t="shared" si="207"/>
        <v>3053.0975351753705</v>
      </c>
      <c r="AH75" s="2839">
        <f t="shared" si="208"/>
        <v>0</v>
      </c>
      <c r="AI75" s="2862">
        <f t="shared" ref="AI75:AK78" si="552">SUM(AC75+N75)</f>
        <v>2652.0409999999997</v>
      </c>
      <c r="AJ75" s="2862">
        <f t="shared" si="552"/>
        <v>2652.0409999999997</v>
      </c>
      <c r="AK75" s="2862">
        <f t="shared" si="552"/>
        <v>0</v>
      </c>
      <c r="AL75" s="2862">
        <f t="shared" si="458"/>
        <v>-401.05653517537075</v>
      </c>
      <c r="AM75" s="2862">
        <f t="shared" si="458"/>
        <v>-401.05653517537075</v>
      </c>
      <c r="AN75" s="2862">
        <f t="shared" si="458"/>
        <v>0</v>
      </c>
      <c r="AO75" s="2837">
        <f t="shared" si="527"/>
        <v>1526.5487675876852</v>
      </c>
      <c r="AP75" s="2959">
        <f t="shared" ref="AP75:AQ75" si="553">SUM(AP76+AP77+AP78+AP80+AP81)</f>
        <v>1526.5487675876852</v>
      </c>
      <c r="AQ75" s="2959">
        <f t="shared" si="553"/>
        <v>0</v>
      </c>
      <c r="AR75" s="2861">
        <f t="shared" si="530"/>
        <v>603.30999999999995</v>
      </c>
      <c r="AS75" s="2861">
        <f t="shared" ref="AS75:AT75" si="554">SUM(AS76+AS77+AS78+AS80+AS81)</f>
        <v>603.30999999999995</v>
      </c>
      <c r="AT75" s="2861">
        <f t="shared" si="554"/>
        <v>0</v>
      </c>
      <c r="AU75" s="2861">
        <f t="shared" ref="AU75:AU78" si="555">SUM(AV75:AW75)</f>
        <v>565.50099999999998</v>
      </c>
      <c r="AV75" s="2861">
        <f t="shared" ref="AV75:AW75" si="556">SUM(AV76+AV77+AV78+AV80+AV81)</f>
        <v>565.50099999999998</v>
      </c>
      <c r="AW75" s="2861">
        <f t="shared" si="556"/>
        <v>0</v>
      </c>
      <c r="AX75" s="2861">
        <f t="shared" ref="AX75:AX78" si="557">SUM(AY75:AZ75)</f>
        <v>447.20299999999997</v>
      </c>
      <c r="AY75" s="2861">
        <f t="shared" ref="AY75:AZ75" si="558">SUM(AY76+AY77+AY78+AY80+AY81)</f>
        <v>447.20299999999997</v>
      </c>
      <c r="AZ75" s="2861">
        <f t="shared" si="558"/>
        <v>0</v>
      </c>
      <c r="BA75" s="2861">
        <f t="shared" si="432"/>
        <v>1616.0139999999999</v>
      </c>
      <c r="BB75" s="2861">
        <f t="shared" si="433"/>
        <v>1616.0139999999999</v>
      </c>
      <c r="BC75" s="2861">
        <f t="shared" si="433"/>
        <v>0</v>
      </c>
      <c r="BD75" s="2839">
        <f t="shared" si="221"/>
        <v>4579.6463027630562</v>
      </c>
      <c r="BE75" s="2839">
        <f t="shared" si="222"/>
        <v>4579.6463027630562</v>
      </c>
      <c r="BF75" s="2839">
        <f t="shared" si="223"/>
        <v>0</v>
      </c>
      <c r="BG75" s="2862">
        <f t="shared" ref="BG75:BI93" si="559">SUM(AI75+BA75)</f>
        <v>4268.0549999999994</v>
      </c>
      <c r="BH75" s="2862">
        <f t="shared" si="559"/>
        <v>4268.0549999999994</v>
      </c>
      <c r="BI75" s="2862">
        <f t="shared" si="559"/>
        <v>0</v>
      </c>
      <c r="BJ75" s="2862">
        <f t="shared" si="459"/>
        <v>-311.59130276305677</v>
      </c>
      <c r="BK75" s="2862">
        <f t="shared" si="459"/>
        <v>-311.59130276305677</v>
      </c>
      <c r="BL75" s="2862">
        <f t="shared" si="459"/>
        <v>0</v>
      </c>
      <c r="BM75" s="2837">
        <f t="shared" si="533"/>
        <v>1526.5487675876852</v>
      </c>
      <c r="BN75" s="2959">
        <f t="shared" ref="BN75:BO75" si="560">SUM(BN76+BN77+BN78+BN80+BN81)</f>
        <v>1526.5487675876852</v>
      </c>
      <c r="BO75" s="2959">
        <f t="shared" si="560"/>
        <v>0</v>
      </c>
      <c r="BP75" s="2861">
        <f t="shared" si="536"/>
        <v>450.40100000000001</v>
      </c>
      <c r="BQ75" s="2861">
        <f t="shared" ref="BQ75:BR75" si="561">SUM(BQ76+BQ77+BQ78+BQ80+BQ81)</f>
        <v>450.40100000000001</v>
      </c>
      <c r="BR75" s="2861">
        <f t="shared" si="561"/>
        <v>0</v>
      </c>
      <c r="BS75" s="2861">
        <f t="shared" ref="BS75:BS78" si="562">SUM(BT75:BU75)</f>
        <v>469.404</v>
      </c>
      <c r="BT75" s="2861">
        <f t="shared" ref="BT75:BU75" si="563">SUM(BT76+BT77+BT78+BT80+BT81)</f>
        <v>469.404</v>
      </c>
      <c r="BU75" s="2861">
        <f t="shared" si="563"/>
        <v>0</v>
      </c>
      <c r="BV75" s="2861">
        <f t="shared" ref="BV75:BV78" si="564">SUM(BW75:BX75)</f>
        <v>688.07900000000018</v>
      </c>
      <c r="BW75" s="2861">
        <f t="shared" ref="BW75:BX75" si="565">SUM(BW76+BW77+BW78+BW80+BW81)</f>
        <v>688.07900000000018</v>
      </c>
      <c r="BX75" s="2861">
        <f t="shared" si="565"/>
        <v>0</v>
      </c>
      <c r="BY75" s="2861">
        <f t="shared" si="442"/>
        <v>1607.8840000000002</v>
      </c>
      <c r="BZ75" s="2861">
        <f t="shared" si="443"/>
        <v>1607.8840000000002</v>
      </c>
      <c r="CA75" s="2861">
        <f t="shared" si="443"/>
        <v>0</v>
      </c>
      <c r="CB75" s="2839">
        <f t="shared" si="157"/>
        <v>6106.1949423047126</v>
      </c>
      <c r="CC75" s="2981">
        <f>SUM(стоки!DA27)</f>
        <v>6106.1949423047126</v>
      </c>
      <c r="CD75" s="2981">
        <f>SUM(стоки!DB27)</f>
        <v>0</v>
      </c>
      <c r="CE75" s="2862">
        <f t="shared" ref="CE75:CG78" si="566">SUM(BY75+BG75)</f>
        <v>5875.9389999999994</v>
      </c>
      <c r="CF75" s="2981">
        <f t="shared" si="566"/>
        <v>5875.9389999999994</v>
      </c>
      <c r="CG75" s="2981">
        <f t="shared" si="566"/>
        <v>0</v>
      </c>
      <c r="CH75" s="2862">
        <f t="shared" ref="CH75:CJ93" si="567">SUM(CE75-CB75)</f>
        <v>-230.25594230471324</v>
      </c>
      <c r="CI75" s="2862">
        <f t="shared" si="567"/>
        <v>-230.25594230471324</v>
      </c>
      <c r="CJ75" s="2862">
        <f t="shared" si="567"/>
        <v>0</v>
      </c>
      <c r="CK75" s="2987"/>
      <c r="CL75" s="4188">
        <f t="shared" si="136"/>
        <v>6106.1950703507409</v>
      </c>
      <c r="CM75" s="2987">
        <f t="shared" ref="CM75:CN75" si="568">SUM(CC76:CC78)+CC80+CC81</f>
        <v>6106.1949423047126</v>
      </c>
      <c r="CN75" s="2987">
        <f t="shared" si="568"/>
        <v>0</v>
      </c>
    </row>
    <row r="76" spans="1:92" ht="18.75" customHeight="1" x14ac:dyDescent="0.3">
      <c r="A76" s="2914" t="s">
        <v>3</v>
      </c>
      <c r="B76" s="2845">
        <f t="shared" ref="B76:B78" si="569">SUM(C76:D76)</f>
        <v>269.05365497253746</v>
      </c>
      <c r="C76" s="2845">
        <f t="shared" ref="C76:D78" si="570">SUM(CC76/4)</f>
        <v>269.05365497253746</v>
      </c>
      <c r="D76" s="2845">
        <f t="shared" si="570"/>
        <v>0</v>
      </c>
      <c r="E76" s="2865">
        <f t="shared" si="407"/>
        <v>73.77</v>
      </c>
      <c r="F76" s="2947">
        <f>73.77</f>
        <v>73.77</v>
      </c>
      <c r="G76" s="2947"/>
      <c r="H76" s="2865">
        <f t="shared" si="540"/>
        <v>73.95</v>
      </c>
      <c r="I76" s="2947">
        <v>73.95</v>
      </c>
      <c r="J76" s="2947"/>
      <c r="K76" s="2865">
        <f t="shared" si="542"/>
        <v>16.649999999999999</v>
      </c>
      <c r="L76" s="2947">
        <v>16.649999999999999</v>
      </c>
      <c r="M76" s="2947"/>
      <c r="N76" s="2865">
        <f t="shared" si="544"/>
        <v>164.37</v>
      </c>
      <c r="O76" s="2865">
        <f t="shared" si="545"/>
        <v>164.37</v>
      </c>
      <c r="P76" s="2865">
        <f t="shared" si="545"/>
        <v>0</v>
      </c>
      <c r="Q76" s="2845">
        <f t="shared" si="504"/>
        <v>269.05365497253746</v>
      </c>
      <c r="R76" s="2845">
        <f t="shared" ref="R76:R78" si="571">SUM(C76)</f>
        <v>269.05365497253746</v>
      </c>
      <c r="S76" s="2845">
        <f t="shared" ref="S76:S78" si="572">SUM(D76)</f>
        <v>0</v>
      </c>
      <c r="T76" s="2865">
        <f t="shared" si="524"/>
        <v>2.06</v>
      </c>
      <c r="U76" s="2947">
        <v>2.06</v>
      </c>
      <c r="V76" s="2947"/>
      <c r="W76" s="2865">
        <f t="shared" si="548"/>
        <v>66.58</v>
      </c>
      <c r="X76" s="2947">
        <f>66.19+0.39</f>
        <v>66.58</v>
      </c>
      <c r="Y76" s="2947"/>
      <c r="Z76" s="2865">
        <f t="shared" si="550"/>
        <v>21.658000000000001</v>
      </c>
      <c r="AA76" s="2947">
        <v>21.658000000000001</v>
      </c>
      <c r="AB76" s="2947"/>
      <c r="AC76" s="2865">
        <f t="shared" si="422"/>
        <v>90.298000000000002</v>
      </c>
      <c r="AD76" s="2865">
        <f t="shared" si="423"/>
        <v>90.298000000000002</v>
      </c>
      <c r="AE76" s="2865">
        <f t="shared" si="423"/>
        <v>0</v>
      </c>
      <c r="AF76" s="2846">
        <f t="shared" si="206"/>
        <v>538.10730994507492</v>
      </c>
      <c r="AG76" s="2846">
        <f t="shared" si="207"/>
        <v>538.10730994507492</v>
      </c>
      <c r="AH76" s="2846">
        <f t="shared" si="208"/>
        <v>0</v>
      </c>
      <c r="AI76" s="2867">
        <f t="shared" si="552"/>
        <v>254.66800000000001</v>
      </c>
      <c r="AJ76" s="2867">
        <f t="shared" si="552"/>
        <v>254.66800000000001</v>
      </c>
      <c r="AK76" s="2867">
        <f t="shared" si="552"/>
        <v>0</v>
      </c>
      <c r="AL76" s="2867">
        <f t="shared" si="458"/>
        <v>-283.43930994507491</v>
      </c>
      <c r="AM76" s="2867">
        <f t="shared" si="458"/>
        <v>-283.43930994507491</v>
      </c>
      <c r="AN76" s="2867">
        <f t="shared" si="458"/>
        <v>0</v>
      </c>
      <c r="AO76" s="2845">
        <f t="shared" ref="AO76:AO78" si="573">SUM(AP76:AQ76)</f>
        <v>269.05365497253746</v>
      </c>
      <c r="AP76" s="2845">
        <f t="shared" ref="AP76:AP78" si="574">SUM(CC76-AG76)/2</f>
        <v>269.05365497253746</v>
      </c>
      <c r="AQ76" s="2845">
        <f t="shared" ref="AQ76:AQ78" si="575">SUM(CD76-AH76)/2</f>
        <v>0</v>
      </c>
      <c r="AR76" s="2865">
        <f t="shared" si="530"/>
        <v>89.01</v>
      </c>
      <c r="AS76" s="2947">
        <v>89.01</v>
      </c>
      <c r="AT76" s="2947"/>
      <c r="AU76" s="2865">
        <f t="shared" si="555"/>
        <v>105.42100000000001</v>
      </c>
      <c r="AV76" s="2947">
        <v>105.42100000000001</v>
      </c>
      <c r="AW76" s="2947"/>
      <c r="AX76" s="2865">
        <f t="shared" si="557"/>
        <v>20.861999999999998</v>
      </c>
      <c r="AY76" s="2947">
        <v>20.861999999999998</v>
      </c>
      <c r="AZ76" s="2947"/>
      <c r="BA76" s="2865">
        <f t="shared" si="432"/>
        <v>215.29300000000001</v>
      </c>
      <c r="BB76" s="2865">
        <f t="shared" si="433"/>
        <v>215.29300000000001</v>
      </c>
      <c r="BC76" s="2865">
        <f t="shared" si="433"/>
        <v>0</v>
      </c>
      <c r="BD76" s="2846">
        <f t="shared" si="221"/>
        <v>807.16096491761232</v>
      </c>
      <c r="BE76" s="2846">
        <f t="shared" si="222"/>
        <v>807.16096491761232</v>
      </c>
      <c r="BF76" s="2846">
        <f t="shared" si="223"/>
        <v>0</v>
      </c>
      <c r="BG76" s="2867">
        <f t="shared" si="559"/>
        <v>469.96100000000001</v>
      </c>
      <c r="BH76" s="2867">
        <f t="shared" si="559"/>
        <v>469.96100000000001</v>
      </c>
      <c r="BI76" s="2867">
        <f t="shared" si="559"/>
        <v>0</v>
      </c>
      <c r="BJ76" s="2867">
        <f t="shared" si="459"/>
        <v>-337.19996491761231</v>
      </c>
      <c r="BK76" s="2867">
        <f t="shared" si="459"/>
        <v>-337.19996491761231</v>
      </c>
      <c r="BL76" s="2867">
        <f t="shared" si="459"/>
        <v>0</v>
      </c>
      <c r="BM76" s="2845">
        <f t="shared" ref="BM76:BM78" si="576">SUM(BN76:BO76)</f>
        <v>269.05365497253746</v>
      </c>
      <c r="BN76" s="2845">
        <f t="shared" ref="BN76:BN78" si="577">SUM(AP76)</f>
        <v>269.05365497253746</v>
      </c>
      <c r="BO76" s="2845">
        <f t="shared" ref="BO76:BO78" si="578">SUM(AQ76)</f>
        <v>0</v>
      </c>
      <c r="BP76" s="2865">
        <f t="shared" si="536"/>
        <v>10.452999999999999</v>
      </c>
      <c r="BQ76" s="2947">
        <v>10.452999999999999</v>
      </c>
      <c r="BR76" s="2947"/>
      <c r="BS76" s="2865">
        <f t="shared" si="562"/>
        <v>49.37</v>
      </c>
      <c r="BT76" s="2947">
        <v>49.37</v>
      </c>
      <c r="BU76" s="2947"/>
      <c r="BV76" s="2865">
        <f t="shared" si="564"/>
        <v>42.292000000000002</v>
      </c>
      <c r="BW76" s="2947">
        <v>42.292000000000002</v>
      </c>
      <c r="BX76" s="2947"/>
      <c r="BY76" s="2865">
        <f t="shared" si="442"/>
        <v>102.11499999999999</v>
      </c>
      <c r="BZ76" s="2865">
        <f t="shared" si="443"/>
        <v>102.11499999999999</v>
      </c>
      <c r="CA76" s="2865">
        <f t="shared" si="443"/>
        <v>0</v>
      </c>
      <c r="CB76" s="2846">
        <f t="shared" si="157"/>
        <v>1076.2146198901498</v>
      </c>
      <c r="CC76" s="2982">
        <f>SUM(стоки!DA28)</f>
        <v>1076.2146198901498</v>
      </c>
      <c r="CD76" s="2982">
        <f>SUM(стоки!DB28)</f>
        <v>0</v>
      </c>
      <c r="CE76" s="2867">
        <f t="shared" si="566"/>
        <v>572.07600000000002</v>
      </c>
      <c r="CF76" s="2982">
        <f t="shared" si="566"/>
        <v>572.07600000000002</v>
      </c>
      <c r="CG76" s="2982">
        <f t="shared" si="566"/>
        <v>0</v>
      </c>
      <c r="CH76" s="2867">
        <f t="shared" si="567"/>
        <v>-504.13861989014981</v>
      </c>
      <c r="CI76" s="2867">
        <f t="shared" si="567"/>
        <v>-504.13861989014981</v>
      </c>
      <c r="CJ76" s="2867">
        <f t="shared" si="567"/>
        <v>0</v>
      </c>
      <c r="CK76" s="2863"/>
      <c r="CL76" s="4188">
        <f t="shared" si="136"/>
        <v>1076.2146198901498</v>
      </c>
      <c r="CM76" s="2863"/>
    </row>
    <row r="77" spans="1:92" ht="18.75" customHeight="1" x14ac:dyDescent="0.3">
      <c r="A77" s="2914" t="s">
        <v>4</v>
      </c>
      <c r="B77" s="2845">
        <f t="shared" si="569"/>
        <v>436.08274162316064</v>
      </c>
      <c r="C77" s="2845">
        <f t="shared" si="570"/>
        <v>436.08274162316064</v>
      </c>
      <c r="D77" s="2845">
        <f t="shared" si="570"/>
        <v>0</v>
      </c>
      <c r="E77" s="2865">
        <f t="shared" si="407"/>
        <v>117.76</v>
      </c>
      <c r="F77" s="2947">
        <v>117.76</v>
      </c>
      <c r="G77" s="2947"/>
      <c r="H77" s="2865">
        <f t="shared" si="540"/>
        <v>183.57400000000001</v>
      </c>
      <c r="I77" s="2947">
        <v>183.57400000000001</v>
      </c>
      <c r="J77" s="2947"/>
      <c r="K77" s="2865">
        <f t="shared" si="542"/>
        <v>202.91800000000001</v>
      </c>
      <c r="L77" s="2947">
        <v>202.91800000000001</v>
      </c>
      <c r="M77" s="2947"/>
      <c r="N77" s="2865">
        <f t="shared" si="544"/>
        <v>504.25200000000001</v>
      </c>
      <c r="O77" s="2865">
        <f t="shared" si="545"/>
        <v>504.25200000000001</v>
      </c>
      <c r="P77" s="2865">
        <f t="shared" si="545"/>
        <v>0</v>
      </c>
      <c r="Q77" s="2845">
        <f t="shared" si="504"/>
        <v>436.08274162316064</v>
      </c>
      <c r="R77" s="2845">
        <f t="shared" si="571"/>
        <v>436.08274162316064</v>
      </c>
      <c r="S77" s="2845">
        <f t="shared" si="572"/>
        <v>0</v>
      </c>
      <c r="T77" s="2865">
        <f t="shared" si="524"/>
        <v>225.62</v>
      </c>
      <c r="U77" s="2947">
        <v>225.62</v>
      </c>
      <c r="V77" s="2947"/>
      <c r="W77" s="2865">
        <f t="shared" si="548"/>
        <v>0</v>
      </c>
      <c r="X77" s="2947"/>
      <c r="Y77" s="2947"/>
      <c r="Z77" s="2865">
        <f t="shared" si="550"/>
        <v>179.85400000000001</v>
      </c>
      <c r="AA77" s="2947">
        <v>179.85400000000001</v>
      </c>
      <c r="AB77" s="2947"/>
      <c r="AC77" s="2865">
        <f t="shared" si="422"/>
        <v>405.47400000000005</v>
      </c>
      <c r="AD77" s="2865">
        <f t="shared" si="423"/>
        <v>405.47400000000005</v>
      </c>
      <c r="AE77" s="2865">
        <f t="shared" si="423"/>
        <v>0</v>
      </c>
      <c r="AF77" s="2846">
        <f t="shared" si="206"/>
        <v>872.16548324632129</v>
      </c>
      <c r="AG77" s="2846">
        <f t="shared" si="207"/>
        <v>872.16548324632129</v>
      </c>
      <c r="AH77" s="2846">
        <f t="shared" si="208"/>
        <v>0</v>
      </c>
      <c r="AI77" s="2867">
        <f t="shared" si="552"/>
        <v>909.72600000000011</v>
      </c>
      <c r="AJ77" s="2867">
        <f t="shared" si="552"/>
        <v>909.72600000000011</v>
      </c>
      <c r="AK77" s="2867">
        <f t="shared" si="552"/>
        <v>0</v>
      </c>
      <c r="AL77" s="2867">
        <f t="shared" si="458"/>
        <v>37.560516753678826</v>
      </c>
      <c r="AM77" s="2867">
        <f t="shared" si="458"/>
        <v>37.560516753678826</v>
      </c>
      <c r="AN77" s="2867">
        <f t="shared" si="458"/>
        <v>0</v>
      </c>
      <c r="AO77" s="2845">
        <f t="shared" si="573"/>
        <v>436.08274162316064</v>
      </c>
      <c r="AP77" s="2845">
        <f t="shared" si="574"/>
        <v>436.08274162316064</v>
      </c>
      <c r="AQ77" s="2845">
        <f t="shared" si="575"/>
        <v>0</v>
      </c>
      <c r="AR77" s="2865">
        <f t="shared" si="530"/>
        <v>210.17</v>
      </c>
      <c r="AS77" s="2947">
        <v>210.17</v>
      </c>
      <c r="AT77" s="2947"/>
      <c r="AU77" s="2865">
        <f t="shared" si="555"/>
        <v>205.96799999999999</v>
      </c>
      <c r="AV77" s="2947">
        <v>205.96799999999999</v>
      </c>
      <c r="AW77" s="2947"/>
      <c r="AX77" s="2865">
        <f t="shared" si="557"/>
        <v>180.23400000000001</v>
      </c>
      <c r="AY77" s="2947">
        <v>180.23400000000001</v>
      </c>
      <c r="AZ77" s="2947"/>
      <c r="BA77" s="2865">
        <f t="shared" si="432"/>
        <v>596.37199999999996</v>
      </c>
      <c r="BB77" s="2865">
        <f t="shared" si="433"/>
        <v>596.37199999999996</v>
      </c>
      <c r="BC77" s="2865">
        <f t="shared" si="433"/>
        <v>0</v>
      </c>
      <c r="BD77" s="2846">
        <f t="shared" si="221"/>
        <v>1308.2482248694819</v>
      </c>
      <c r="BE77" s="2846">
        <f t="shared" si="222"/>
        <v>1308.2482248694819</v>
      </c>
      <c r="BF77" s="2846">
        <f t="shared" si="223"/>
        <v>0</v>
      </c>
      <c r="BG77" s="2867">
        <f t="shared" si="559"/>
        <v>1506.098</v>
      </c>
      <c r="BH77" s="2867">
        <f t="shared" si="559"/>
        <v>1506.098</v>
      </c>
      <c r="BI77" s="2867">
        <f t="shared" si="559"/>
        <v>0</v>
      </c>
      <c r="BJ77" s="2867">
        <f t="shared" si="459"/>
        <v>197.84977513051808</v>
      </c>
      <c r="BK77" s="2867">
        <f t="shared" si="459"/>
        <v>197.84977513051808</v>
      </c>
      <c r="BL77" s="2867">
        <f t="shared" si="459"/>
        <v>0</v>
      </c>
      <c r="BM77" s="2845">
        <f t="shared" si="576"/>
        <v>436.08274162316064</v>
      </c>
      <c r="BN77" s="2845">
        <f t="shared" si="577"/>
        <v>436.08274162316064</v>
      </c>
      <c r="BO77" s="2845">
        <f t="shared" si="578"/>
        <v>0</v>
      </c>
      <c r="BP77" s="2865">
        <f t="shared" si="536"/>
        <v>176.041</v>
      </c>
      <c r="BQ77" s="2947">
        <v>176.041</v>
      </c>
      <c r="BR77" s="2947"/>
      <c r="BS77" s="2865">
        <f t="shared" si="562"/>
        <v>151.28899999999999</v>
      </c>
      <c r="BT77" s="2947">
        <v>151.28899999999999</v>
      </c>
      <c r="BU77" s="2947"/>
      <c r="BV77" s="2865">
        <f t="shared" si="564"/>
        <v>365.88400000000001</v>
      </c>
      <c r="BW77" s="2947">
        <v>365.88400000000001</v>
      </c>
      <c r="BX77" s="2947"/>
      <c r="BY77" s="2865">
        <f t="shared" si="442"/>
        <v>693.21399999999994</v>
      </c>
      <c r="BZ77" s="2865">
        <f t="shared" si="443"/>
        <v>693.21399999999994</v>
      </c>
      <c r="CA77" s="2865">
        <f t="shared" si="443"/>
        <v>0</v>
      </c>
      <c r="CB77" s="2846">
        <f t="shared" si="157"/>
        <v>1744.3309664926426</v>
      </c>
      <c r="CC77" s="2982">
        <f>SUM(стоки!DA29)</f>
        <v>1744.3309664926426</v>
      </c>
      <c r="CD77" s="2982">
        <f>SUM(стоки!DB29)</f>
        <v>0</v>
      </c>
      <c r="CE77" s="2867">
        <f t="shared" si="566"/>
        <v>2199.3119999999999</v>
      </c>
      <c r="CF77" s="2982">
        <f t="shared" si="566"/>
        <v>2199.3119999999999</v>
      </c>
      <c r="CG77" s="2982">
        <f t="shared" si="566"/>
        <v>0</v>
      </c>
      <c r="CH77" s="2867">
        <f t="shared" si="567"/>
        <v>454.98103350735732</v>
      </c>
      <c r="CI77" s="2867">
        <f t="shared" si="567"/>
        <v>454.98103350735732</v>
      </c>
      <c r="CJ77" s="2867">
        <f t="shared" si="567"/>
        <v>0</v>
      </c>
      <c r="CK77" s="2863"/>
      <c r="CL77" s="4188">
        <f t="shared" si="136"/>
        <v>1744.3309664926426</v>
      </c>
      <c r="CM77" s="2863"/>
    </row>
    <row r="78" spans="1:92" ht="18.75" customHeight="1" x14ac:dyDescent="0.3">
      <c r="A78" s="2914" t="s">
        <v>114</v>
      </c>
      <c r="B78" s="2845">
        <f t="shared" si="569"/>
        <v>131.43282361342264</v>
      </c>
      <c r="C78" s="2845">
        <f t="shared" si="570"/>
        <v>131.43282361342264</v>
      </c>
      <c r="D78" s="2845">
        <f t="shared" si="570"/>
        <v>0</v>
      </c>
      <c r="E78" s="2865">
        <f t="shared" si="407"/>
        <v>34.75</v>
      </c>
      <c r="F78" s="2947">
        <v>34.75</v>
      </c>
      <c r="G78" s="2947"/>
      <c r="H78" s="2865">
        <f t="shared" si="540"/>
        <v>55.439</v>
      </c>
      <c r="I78" s="2947">
        <f>0.367+55.072</f>
        <v>55.439</v>
      </c>
      <c r="J78" s="2947"/>
      <c r="K78" s="2865">
        <f t="shared" si="542"/>
        <v>61.280999999999999</v>
      </c>
      <c r="L78" s="2947">
        <v>61.280999999999999</v>
      </c>
      <c r="M78" s="2947"/>
      <c r="N78" s="2865">
        <f t="shared" si="544"/>
        <v>151.47</v>
      </c>
      <c r="O78" s="2865">
        <f t="shared" si="545"/>
        <v>151.47</v>
      </c>
      <c r="P78" s="2865">
        <f t="shared" si="545"/>
        <v>0</v>
      </c>
      <c r="Q78" s="2845">
        <f t="shared" si="504"/>
        <v>131.43282361342264</v>
      </c>
      <c r="R78" s="2845">
        <f t="shared" si="571"/>
        <v>131.43282361342264</v>
      </c>
      <c r="S78" s="2845">
        <f t="shared" si="572"/>
        <v>0</v>
      </c>
      <c r="T78" s="2865">
        <f t="shared" si="524"/>
        <v>68.14</v>
      </c>
      <c r="U78" s="2947">
        <v>68.14</v>
      </c>
      <c r="V78" s="2947"/>
      <c r="W78" s="2865">
        <f t="shared" si="548"/>
        <v>0</v>
      </c>
      <c r="X78" s="2947"/>
      <c r="Y78" s="2947"/>
      <c r="Z78" s="2865">
        <f t="shared" si="550"/>
        <v>54.316000000000003</v>
      </c>
      <c r="AA78" s="2947">
        <v>54.316000000000003</v>
      </c>
      <c r="AB78" s="2947"/>
      <c r="AC78" s="2865">
        <f t="shared" si="422"/>
        <v>122.456</v>
      </c>
      <c r="AD78" s="2865">
        <f t="shared" si="423"/>
        <v>122.456</v>
      </c>
      <c r="AE78" s="2865">
        <f t="shared" si="423"/>
        <v>0</v>
      </c>
      <c r="AF78" s="2846">
        <f t="shared" si="206"/>
        <v>262.86564722684528</v>
      </c>
      <c r="AG78" s="2846">
        <f t="shared" si="207"/>
        <v>262.86564722684528</v>
      </c>
      <c r="AH78" s="2846">
        <f t="shared" si="208"/>
        <v>0</v>
      </c>
      <c r="AI78" s="2867">
        <f t="shared" si="552"/>
        <v>273.92599999999999</v>
      </c>
      <c r="AJ78" s="2867">
        <f t="shared" si="552"/>
        <v>273.92599999999999</v>
      </c>
      <c r="AK78" s="2867">
        <f t="shared" si="552"/>
        <v>0</v>
      </c>
      <c r="AL78" s="2867">
        <f t="shared" si="458"/>
        <v>11.060352773154705</v>
      </c>
      <c r="AM78" s="2867">
        <f t="shared" si="458"/>
        <v>11.060352773154705</v>
      </c>
      <c r="AN78" s="2867">
        <f t="shared" si="458"/>
        <v>0</v>
      </c>
      <c r="AO78" s="2845">
        <f t="shared" si="573"/>
        <v>131.43282361342264</v>
      </c>
      <c r="AP78" s="2845">
        <f t="shared" si="574"/>
        <v>131.43282361342264</v>
      </c>
      <c r="AQ78" s="2845">
        <f t="shared" si="575"/>
        <v>0</v>
      </c>
      <c r="AR78" s="2865">
        <f t="shared" si="530"/>
        <v>63.47</v>
      </c>
      <c r="AS78" s="2947">
        <v>63.47</v>
      </c>
      <c r="AT78" s="2947"/>
      <c r="AU78" s="2865">
        <f t="shared" si="555"/>
        <v>62.201999999999998</v>
      </c>
      <c r="AV78" s="2947">
        <v>62.201999999999998</v>
      </c>
      <c r="AW78" s="2947"/>
      <c r="AX78" s="2865">
        <f t="shared" si="557"/>
        <v>54.430999999999997</v>
      </c>
      <c r="AY78" s="2947">
        <v>54.430999999999997</v>
      </c>
      <c r="AZ78" s="2947"/>
      <c r="BA78" s="2865">
        <f t="shared" si="432"/>
        <v>180.10300000000001</v>
      </c>
      <c r="BB78" s="2865">
        <f t="shared" si="433"/>
        <v>180.10300000000001</v>
      </c>
      <c r="BC78" s="2865">
        <f t="shared" si="433"/>
        <v>0</v>
      </c>
      <c r="BD78" s="2846">
        <f t="shared" si="221"/>
        <v>394.2984708402679</v>
      </c>
      <c r="BE78" s="2846">
        <f t="shared" si="222"/>
        <v>394.2984708402679</v>
      </c>
      <c r="BF78" s="2846">
        <f t="shared" si="223"/>
        <v>0</v>
      </c>
      <c r="BG78" s="2867">
        <f t="shared" si="559"/>
        <v>454.029</v>
      </c>
      <c r="BH78" s="2867">
        <f t="shared" si="559"/>
        <v>454.029</v>
      </c>
      <c r="BI78" s="2867">
        <f t="shared" si="559"/>
        <v>0</v>
      </c>
      <c r="BJ78" s="2867">
        <f t="shared" si="459"/>
        <v>59.7305291597321</v>
      </c>
      <c r="BK78" s="2867">
        <f t="shared" si="459"/>
        <v>59.7305291597321</v>
      </c>
      <c r="BL78" s="2867">
        <f t="shared" si="459"/>
        <v>0</v>
      </c>
      <c r="BM78" s="2845">
        <f t="shared" si="576"/>
        <v>131.43282361342264</v>
      </c>
      <c r="BN78" s="2845">
        <f t="shared" si="577"/>
        <v>131.43282361342264</v>
      </c>
      <c r="BO78" s="2845">
        <f t="shared" si="578"/>
        <v>0</v>
      </c>
      <c r="BP78" s="2865">
        <f t="shared" si="536"/>
        <v>53.164000000000001</v>
      </c>
      <c r="BQ78" s="2947">
        <v>53.164000000000001</v>
      </c>
      <c r="BR78" s="2947"/>
      <c r="BS78" s="2865">
        <f t="shared" si="562"/>
        <v>45.689</v>
      </c>
      <c r="BT78" s="2947">
        <v>45.689</v>
      </c>
      <c r="BU78" s="2947"/>
      <c r="BV78" s="2865">
        <f t="shared" si="564"/>
        <v>109.527</v>
      </c>
      <c r="BW78" s="2947">
        <v>109.527</v>
      </c>
      <c r="BX78" s="2947"/>
      <c r="BY78" s="2865">
        <f t="shared" si="442"/>
        <v>208.38</v>
      </c>
      <c r="BZ78" s="2865">
        <f t="shared" si="443"/>
        <v>208.38</v>
      </c>
      <c r="CA78" s="2865">
        <f t="shared" si="443"/>
        <v>0</v>
      </c>
      <c r="CB78" s="2846">
        <f t="shared" si="157"/>
        <v>525.73129445369057</v>
      </c>
      <c r="CC78" s="2982">
        <f>SUM(стоки!DA30)</f>
        <v>525.73129445369057</v>
      </c>
      <c r="CD78" s="2982">
        <f>SUM(стоки!DB30)</f>
        <v>0</v>
      </c>
      <c r="CE78" s="2867">
        <f t="shared" si="566"/>
        <v>662.40899999999999</v>
      </c>
      <c r="CF78" s="2982">
        <f t="shared" si="566"/>
        <v>662.40899999999999</v>
      </c>
      <c r="CG78" s="2982">
        <f t="shared" si="566"/>
        <v>0</v>
      </c>
      <c r="CH78" s="2867">
        <f t="shared" si="567"/>
        <v>136.67770554630943</v>
      </c>
      <c r="CI78" s="2867">
        <f t="shared" si="567"/>
        <v>136.67770554630943</v>
      </c>
      <c r="CJ78" s="2867">
        <f t="shared" si="567"/>
        <v>0</v>
      </c>
      <c r="CK78" s="2863"/>
      <c r="CL78" s="4188">
        <f t="shared" si="136"/>
        <v>525.73129445369057</v>
      </c>
      <c r="CM78" s="2863"/>
    </row>
    <row r="79" spans="1:92" ht="18.75" customHeight="1" x14ac:dyDescent="0.3">
      <c r="A79" s="2882" t="str">
        <f>A48</f>
        <v>то же в %</v>
      </c>
      <c r="B79" s="2877">
        <f t="shared" ref="B79:D79" si="579">SUM(B78/B77)</f>
        <v>0.30139423340674154</v>
      </c>
      <c r="C79" s="2877">
        <f t="shared" si="579"/>
        <v>0.30139423340674154</v>
      </c>
      <c r="D79" s="2877" t="e">
        <f t="shared" si="579"/>
        <v>#DIV/0!</v>
      </c>
      <c r="E79" s="2877">
        <f>SUM(E78/E77)</f>
        <v>0.29509171195652173</v>
      </c>
      <c r="F79" s="2877">
        <f t="shared" ref="F79:G79" si="580">SUM(F78/F77)</f>
        <v>0.29509171195652173</v>
      </c>
      <c r="G79" s="2877" t="e">
        <f t="shared" si="580"/>
        <v>#DIV/0!</v>
      </c>
      <c r="H79" s="2877">
        <f>SUM(H78/H77)</f>
        <v>0.30199810430671009</v>
      </c>
      <c r="I79" s="2877">
        <f t="shared" ref="I79:J79" si="581">SUM(I78/I77)</f>
        <v>0.30199810430671009</v>
      </c>
      <c r="J79" s="2877" t="e">
        <f t="shared" si="581"/>
        <v>#DIV/0!</v>
      </c>
      <c r="K79" s="2877">
        <f>SUM(K78/K77)</f>
        <v>0.30199883696862773</v>
      </c>
      <c r="L79" s="2877">
        <f t="shared" ref="L79:M79" si="582">SUM(L78/L77)</f>
        <v>0.30199883696862773</v>
      </c>
      <c r="M79" s="2877" t="e">
        <f t="shared" si="582"/>
        <v>#DIV/0!</v>
      </c>
      <c r="N79" s="2992" t="e">
        <f t="shared" si="544"/>
        <v>#DIV/0!</v>
      </c>
      <c r="O79" s="2992">
        <f t="shared" si="545"/>
        <v>0.8990886532318596</v>
      </c>
      <c r="P79" s="2992" t="e">
        <f t="shared" si="545"/>
        <v>#DIV/0!</v>
      </c>
      <c r="Q79" s="2877">
        <f t="shared" ref="Q79:S79" si="583">SUM(Q78/Q77)</f>
        <v>0.30139423340674154</v>
      </c>
      <c r="R79" s="2877">
        <f t="shared" si="583"/>
        <v>0.30139423340674154</v>
      </c>
      <c r="S79" s="2877" t="e">
        <f t="shared" si="583"/>
        <v>#DIV/0!</v>
      </c>
      <c r="T79" s="2877">
        <f>SUM(T78/T77)</f>
        <v>0.30201223295807111</v>
      </c>
      <c r="U79" s="2877">
        <f t="shared" ref="U79:V79" si="584">SUM(U78/U77)</f>
        <v>0.30201223295807111</v>
      </c>
      <c r="V79" s="2877" t="e">
        <f t="shared" si="584"/>
        <v>#DIV/0!</v>
      </c>
      <c r="W79" s="2877" t="e">
        <f>SUM(W78/W77)</f>
        <v>#DIV/0!</v>
      </c>
      <c r="X79" s="2877" t="e">
        <f t="shared" ref="X79:Y79" si="585">SUM(X78/X77)</f>
        <v>#DIV/0!</v>
      </c>
      <c r="Y79" s="2877" t="e">
        <f t="shared" si="585"/>
        <v>#DIV/0!</v>
      </c>
      <c r="Z79" s="2877">
        <f>SUM(Z78/Z77)</f>
        <v>0.30200051152601554</v>
      </c>
      <c r="AA79" s="2877">
        <f t="shared" ref="AA79:AB79" si="586">SUM(AA78/AA77)</f>
        <v>0.30200051152601554</v>
      </c>
      <c r="AB79" s="2877" t="e">
        <f t="shared" si="586"/>
        <v>#DIV/0!</v>
      </c>
      <c r="AC79" s="2877" t="e">
        <f t="shared" si="422"/>
        <v>#DIV/0!</v>
      </c>
      <c r="AD79" s="2877" t="e">
        <f t="shared" si="423"/>
        <v>#DIV/0!</v>
      </c>
      <c r="AE79" s="2877" t="e">
        <f t="shared" si="423"/>
        <v>#DIV/0!</v>
      </c>
      <c r="AF79" s="2950">
        <f t="shared" ref="AF79:AK79" si="587">SUM(AF78/AF77)</f>
        <v>0.30139423340674154</v>
      </c>
      <c r="AG79" s="2950">
        <f t="shared" si="587"/>
        <v>0.30139423340674154</v>
      </c>
      <c r="AH79" s="2950" t="e">
        <f t="shared" si="587"/>
        <v>#DIV/0!</v>
      </c>
      <c r="AI79" s="2950">
        <f t="shared" si="587"/>
        <v>0.30110824577949841</v>
      </c>
      <c r="AJ79" s="2950">
        <f t="shared" si="587"/>
        <v>0.30110824577949841</v>
      </c>
      <c r="AK79" s="2950" t="e">
        <f t="shared" si="587"/>
        <v>#DIV/0!</v>
      </c>
      <c r="AL79" s="2870">
        <f t="shared" ref="AL79:AN97" si="588">SUM(AI79-AF79)</f>
        <v>-2.8598762724313387E-4</v>
      </c>
      <c r="AM79" s="2870">
        <f t="shared" si="588"/>
        <v>-2.8598762724313387E-4</v>
      </c>
      <c r="AN79" s="2870" t="e">
        <f t="shared" si="588"/>
        <v>#DIV/0!</v>
      </c>
      <c r="AO79" s="2877">
        <f t="shared" ref="AO79:AQ79" si="589">SUM(AO78/AO77)</f>
        <v>0.30139423340674154</v>
      </c>
      <c r="AP79" s="2877">
        <f t="shared" si="589"/>
        <v>0.30139423340674154</v>
      </c>
      <c r="AQ79" s="2877" t="e">
        <f t="shared" si="589"/>
        <v>#DIV/0!</v>
      </c>
      <c r="AR79" s="2877">
        <f>SUM(AR78/AR77)</f>
        <v>0.30199362420897369</v>
      </c>
      <c r="AS79" s="2877">
        <f t="shared" ref="AS79:AT79" si="590">SUM(AS78/AS77)</f>
        <v>0.30199362420897369</v>
      </c>
      <c r="AT79" s="2877" t="e">
        <f t="shared" si="590"/>
        <v>#DIV/0!</v>
      </c>
      <c r="AU79" s="2877">
        <f>SUM(AU78/AU77)</f>
        <v>0.30199836867862967</v>
      </c>
      <c r="AV79" s="2877">
        <f t="shared" ref="AV79:AW79" si="591">SUM(AV78/AV77)</f>
        <v>0.30199836867862967</v>
      </c>
      <c r="AW79" s="2877" t="e">
        <f t="shared" si="591"/>
        <v>#DIV/0!</v>
      </c>
      <c r="AX79" s="2877">
        <f>SUM(AX78/AX77)</f>
        <v>0.3020018420497797</v>
      </c>
      <c r="AY79" s="2877">
        <f t="shared" ref="AY79:AZ79" si="592">SUM(AY78/AY77)</f>
        <v>0.3020018420497797</v>
      </c>
      <c r="AZ79" s="2877" t="e">
        <f t="shared" si="592"/>
        <v>#DIV/0!</v>
      </c>
      <c r="BA79" s="2992" t="e">
        <f t="shared" si="432"/>
        <v>#DIV/0!</v>
      </c>
      <c r="BB79" s="2992">
        <f t="shared" si="433"/>
        <v>0.90599383493738306</v>
      </c>
      <c r="BC79" s="2992" t="e">
        <f t="shared" si="433"/>
        <v>#DIV/0!</v>
      </c>
      <c r="BD79" s="2950">
        <f t="shared" ref="BD79:BI79" si="593">SUM(BD78/BD77)</f>
        <v>0.30139423340674154</v>
      </c>
      <c r="BE79" s="2950">
        <f t="shared" si="593"/>
        <v>0.30139423340674154</v>
      </c>
      <c r="BF79" s="2950" t="e">
        <f t="shared" si="593"/>
        <v>#DIV/0!</v>
      </c>
      <c r="BG79" s="2950">
        <f t="shared" si="593"/>
        <v>0.30146046273217281</v>
      </c>
      <c r="BH79" s="2950">
        <f t="shared" si="593"/>
        <v>0.30146046273217281</v>
      </c>
      <c r="BI79" s="2950" t="e">
        <f t="shared" si="593"/>
        <v>#DIV/0!</v>
      </c>
      <c r="BJ79" s="2870">
        <f t="shared" ref="BJ79:BL97" si="594">SUM(BG79-BD79)</f>
        <v>6.622932543126625E-5</v>
      </c>
      <c r="BK79" s="2870">
        <f t="shared" si="594"/>
        <v>6.622932543126625E-5</v>
      </c>
      <c r="BL79" s="2870" t="e">
        <f t="shared" si="594"/>
        <v>#DIV/0!</v>
      </c>
      <c r="BM79" s="2877">
        <f t="shared" ref="BM79:BO79" si="595">SUM(BM78/BM77)</f>
        <v>0.30139423340674154</v>
      </c>
      <c r="BN79" s="2877">
        <f t="shared" si="595"/>
        <v>0.30139423340674154</v>
      </c>
      <c r="BO79" s="2877" t="e">
        <f t="shared" si="595"/>
        <v>#DIV/0!</v>
      </c>
      <c r="BP79" s="2877">
        <f>SUM(BP78/BP77)</f>
        <v>0.30199783005095404</v>
      </c>
      <c r="BQ79" s="2877">
        <f>SUM(BQ78/BQ77)</f>
        <v>0.30199783005095404</v>
      </c>
      <c r="BR79" s="2877" t="e">
        <f t="shared" ref="BR79" si="596">SUM(BR78/BR77)</f>
        <v>#DIV/0!</v>
      </c>
      <c r="BS79" s="2877">
        <f>SUM(BS78/BS77)</f>
        <v>0.30199816245728378</v>
      </c>
      <c r="BT79" s="2877">
        <f t="shared" ref="BT79:BU79" si="597">SUM(BT78/BT77)</f>
        <v>0.30199816245728378</v>
      </c>
      <c r="BU79" s="2877" t="e">
        <f t="shared" si="597"/>
        <v>#DIV/0!</v>
      </c>
      <c r="BV79" s="2877">
        <f>SUM(BV78/BV77)</f>
        <v>0.29934897399175692</v>
      </c>
      <c r="BW79" s="2877">
        <f t="shared" ref="BW79:BX79" si="598">SUM(BW78/BW77)</f>
        <v>0.29934897399175692</v>
      </c>
      <c r="BX79" s="2877" t="e">
        <f t="shared" si="598"/>
        <v>#DIV/0!</v>
      </c>
      <c r="BY79" s="2877" t="e">
        <f t="shared" si="442"/>
        <v>#DIV/0!</v>
      </c>
      <c r="BZ79" s="2877">
        <f t="shared" si="443"/>
        <v>0.90334496649999485</v>
      </c>
      <c r="CA79" s="2877" t="e">
        <f t="shared" si="443"/>
        <v>#DIV/0!</v>
      </c>
      <c r="CB79" s="2950">
        <f t="shared" ref="CB79:CG79" si="599">SUM(CB78/CB77)</f>
        <v>0.30139423340674154</v>
      </c>
      <c r="CC79" s="2950">
        <f t="shared" si="599"/>
        <v>0.30139423340674154</v>
      </c>
      <c r="CD79" s="2950" t="e">
        <f t="shared" si="599"/>
        <v>#DIV/0!</v>
      </c>
      <c r="CE79" s="2950">
        <f t="shared" si="599"/>
        <v>0.30118919007398676</v>
      </c>
      <c r="CF79" s="3002">
        <f t="shared" si="599"/>
        <v>0.30118919007398676</v>
      </c>
      <c r="CG79" s="3002" t="e">
        <f t="shared" si="599"/>
        <v>#DIV/0!</v>
      </c>
      <c r="CH79" s="2870">
        <f t="shared" si="567"/>
        <v>-2.0504333275478404E-4</v>
      </c>
      <c r="CI79" s="2867">
        <f t="shared" si="567"/>
        <v>-2.0504333275478404E-4</v>
      </c>
      <c r="CJ79" s="2867" t="e">
        <f t="shared" si="567"/>
        <v>#DIV/0!</v>
      </c>
      <c r="CK79" s="2863"/>
      <c r="CL79" s="4188">
        <f t="shared" si="136"/>
        <v>1.2055769336269662</v>
      </c>
      <c r="CM79" s="2863"/>
    </row>
    <row r="80" spans="1:92" ht="18.75" customHeight="1" x14ac:dyDescent="0.3">
      <c r="A80" s="2914" t="s">
        <v>2</v>
      </c>
      <c r="B80" s="2845">
        <f t="shared" ref="B80:B81" si="600">SUM(C80:D80)</f>
        <v>77.57378462118605</v>
      </c>
      <c r="C80" s="2845">
        <f t="shared" ref="C80:D80" si="601">SUM(CC80/4)</f>
        <v>77.57378462118605</v>
      </c>
      <c r="D80" s="2845">
        <f t="shared" si="601"/>
        <v>0</v>
      </c>
      <c r="E80" s="2865">
        <f t="shared" si="407"/>
        <v>26.4</v>
      </c>
      <c r="F80" s="2947">
        <v>26.4</v>
      </c>
      <c r="G80" s="2947"/>
      <c r="H80" s="2865">
        <f t="shared" ref="H80:H99" si="602">SUM(I80:J80)</f>
        <v>26.4</v>
      </c>
      <c r="I80" s="2947">
        <v>26.4</v>
      </c>
      <c r="J80" s="2947"/>
      <c r="K80" s="2865">
        <f t="shared" ref="K80:K99" si="603">SUM(L80:M80)</f>
        <v>26.4</v>
      </c>
      <c r="L80" s="2947">
        <v>26.4</v>
      </c>
      <c r="M80" s="2947"/>
      <c r="N80" s="2865">
        <f t="shared" si="544"/>
        <v>79.199999999999989</v>
      </c>
      <c r="O80" s="2865">
        <f t="shared" si="545"/>
        <v>79.199999999999989</v>
      </c>
      <c r="P80" s="2865">
        <f t="shared" si="545"/>
        <v>0</v>
      </c>
      <c r="Q80" s="2845">
        <f t="shared" ref="Q80:Q81" si="604">SUM(R80:S80)</f>
        <v>77.57378462118605</v>
      </c>
      <c r="R80" s="2845">
        <f t="shared" ref="R80" si="605">SUM(C80)</f>
        <v>77.57378462118605</v>
      </c>
      <c r="S80" s="2845">
        <f t="shared" ref="S80" si="606">SUM(D80)</f>
        <v>0</v>
      </c>
      <c r="T80" s="2865">
        <f t="shared" ref="T80" si="607">SUM(U80:V80)</f>
        <v>26.4</v>
      </c>
      <c r="U80" s="2947">
        <v>26.4</v>
      </c>
      <c r="V80" s="2947"/>
      <c r="W80" s="2865">
        <f t="shared" ref="W80" si="608">SUM(X80:Y80)</f>
        <v>34.74</v>
      </c>
      <c r="X80" s="2947">
        <v>34.74</v>
      </c>
      <c r="Y80" s="2947"/>
      <c r="Z80" s="2865">
        <f t="shared" ref="Z80" si="609">SUM(AA80:AB80)</f>
        <v>34.738</v>
      </c>
      <c r="AA80" s="2947">
        <v>34.738</v>
      </c>
      <c r="AB80" s="2947"/>
      <c r="AC80" s="2865">
        <f t="shared" si="422"/>
        <v>95.878</v>
      </c>
      <c r="AD80" s="2865">
        <f t="shared" si="423"/>
        <v>95.878</v>
      </c>
      <c r="AE80" s="2865">
        <f t="shared" si="423"/>
        <v>0</v>
      </c>
      <c r="AF80" s="2846">
        <f t="shared" si="206"/>
        <v>155.1475692423721</v>
      </c>
      <c r="AG80" s="2846">
        <f t="shared" si="207"/>
        <v>155.1475692423721</v>
      </c>
      <c r="AH80" s="2846">
        <f t="shared" si="208"/>
        <v>0</v>
      </c>
      <c r="AI80" s="2867">
        <f t="shared" ref="AI80:AK93" si="610">SUM(AC80+N80)</f>
        <v>175.07799999999997</v>
      </c>
      <c r="AJ80" s="2867">
        <f t="shared" si="610"/>
        <v>175.07799999999997</v>
      </c>
      <c r="AK80" s="2867">
        <f t="shared" si="610"/>
        <v>0</v>
      </c>
      <c r="AL80" s="2867">
        <f t="shared" si="588"/>
        <v>19.930430757627875</v>
      </c>
      <c r="AM80" s="2867">
        <f t="shared" si="588"/>
        <v>19.930430757627875</v>
      </c>
      <c r="AN80" s="2867">
        <f t="shared" si="588"/>
        <v>0</v>
      </c>
      <c r="AO80" s="2845">
        <f t="shared" ref="AO80:AO81" si="611">SUM(AP80:AQ80)</f>
        <v>77.57378462118605</v>
      </c>
      <c r="AP80" s="2845">
        <f t="shared" ref="AP80:AQ80" si="612">SUM(CC80-AG80)/2</f>
        <v>77.57378462118605</v>
      </c>
      <c r="AQ80" s="2845">
        <f t="shared" si="612"/>
        <v>0</v>
      </c>
      <c r="AR80" s="2865">
        <f t="shared" ref="AR80" si="613">SUM(AS80:AT80)</f>
        <v>34.74</v>
      </c>
      <c r="AS80" s="2947">
        <v>34.74</v>
      </c>
      <c r="AT80" s="2947"/>
      <c r="AU80" s="2865">
        <f t="shared" ref="AU80" si="614">SUM(AV80:AW80)</f>
        <v>34.738</v>
      </c>
      <c r="AV80" s="2947">
        <v>34.738</v>
      </c>
      <c r="AW80" s="2947"/>
      <c r="AX80" s="2865">
        <f t="shared" ref="AX80" si="615">SUM(AY80:AZ80)</f>
        <v>34.738</v>
      </c>
      <c r="AY80" s="2947">
        <v>34.738</v>
      </c>
      <c r="AZ80" s="2947"/>
      <c r="BA80" s="2865">
        <f t="shared" si="432"/>
        <v>104.21600000000001</v>
      </c>
      <c r="BB80" s="2865">
        <f t="shared" si="433"/>
        <v>104.21600000000001</v>
      </c>
      <c r="BC80" s="2865">
        <f t="shared" si="433"/>
        <v>0</v>
      </c>
      <c r="BD80" s="2846">
        <f t="shared" si="221"/>
        <v>232.72135386355814</v>
      </c>
      <c r="BE80" s="2846">
        <f t="shared" si="222"/>
        <v>232.72135386355814</v>
      </c>
      <c r="BF80" s="2846">
        <f t="shared" si="223"/>
        <v>0</v>
      </c>
      <c r="BG80" s="2867">
        <f t="shared" si="559"/>
        <v>279.29399999999998</v>
      </c>
      <c r="BH80" s="2867">
        <f t="shared" si="559"/>
        <v>279.29399999999998</v>
      </c>
      <c r="BI80" s="2867">
        <f t="shared" si="559"/>
        <v>0</v>
      </c>
      <c r="BJ80" s="2867">
        <f t="shared" si="594"/>
        <v>46.572646136441847</v>
      </c>
      <c r="BK80" s="2867">
        <f t="shared" si="594"/>
        <v>46.572646136441847</v>
      </c>
      <c r="BL80" s="2867">
        <f t="shared" si="594"/>
        <v>0</v>
      </c>
      <c r="BM80" s="2845">
        <f t="shared" ref="BM80:BM90" si="616">SUM(BN80:BO80)</f>
        <v>77.57378462118605</v>
      </c>
      <c r="BN80" s="2845">
        <f t="shared" ref="BN80" si="617">SUM(AP80)</f>
        <v>77.57378462118605</v>
      </c>
      <c r="BO80" s="2845">
        <f t="shared" ref="BO80" si="618">SUM(AQ80)</f>
        <v>0</v>
      </c>
      <c r="BP80" s="2865">
        <f t="shared" ref="BP80" si="619">SUM(BQ80:BR80)</f>
        <v>34.738</v>
      </c>
      <c r="BQ80" s="2947">
        <v>34.738</v>
      </c>
      <c r="BR80" s="2947"/>
      <c r="BS80" s="2865">
        <f t="shared" ref="BS80" si="620">SUM(BT80:BU80)</f>
        <v>29.024000000000001</v>
      </c>
      <c r="BT80" s="2947">
        <v>29.024000000000001</v>
      </c>
      <c r="BU80" s="2947"/>
      <c r="BV80" s="2865">
        <f t="shared" ref="BV80" si="621">SUM(BW80:BX80)</f>
        <v>29.038</v>
      </c>
      <c r="BW80" s="2947">
        <v>29.038</v>
      </c>
      <c r="BX80" s="2947"/>
      <c r="BY80" s="2865">
        <f t="shared" si="442"/>
        <v>92.8</v>
      </c>
      <c r="BZ80" s="2865">
        <f t="shared" si="443"/>
        <v>92.8</v>
      </c>
      <c r="CA80" s="2865">
        <f t="shared" si="443"/>
        <v>0</v>
      </c>
      <c r="CB80" s="2846">
        <f t="shared" si="157"/>
        <v>310.2951384847442</v>
      </c>
      <c r="CC80" s="2982">
        <f>SUM(стоки!DA32)</f>
        <v>310.2951384847442</v>
      </c>
      <c r="CD80" s="2982">
        <f>SUM(стоки!DB32)</f>
        <v>0</v>
      </c>
      <c r="CE80" s="2867">
        <f t="shared" ref="CE80:CG93" si="622">SUM(BY80+BG80)</f>
        <v>372.09399999999999</v>
      </c>
      <c r="CF80" s="2982">
        <f t="shared" si="622"/>
        <v>372.09399999999999</v>
      </c>
      <c r="CG80" s="2982">
        <f t="shared" si="622"/>
        <v>0</v>
      </c>
      <c r="CH80" s="2870">
        <f t="shared" si="567"/>
        <v>61.798861515255794</v>
      </c>
      <c r="CI80" s="2867">
        <f t="shared" si="567"/>
        <v>61.798861515255794</v>
      </c>
      <c r="CJ80" s="2867">
        <f t="shared" si="567"/>
        <v>0</v>
      </c>
      <c r="CK80" s="2863"/>
      <c r="CL80" s="4188">
        <f t="shared" si="136"/>
        <v>310.2951384847442</v>
      </c>
      <c r="CM80" s="2863"/>
    </row>
    <row r="81" spans="1:91" ht="18.75" customHeight="1" x14ac:dyDescent="0.3">
      <c r="A81" s="2965" t="s">
        <v>3731</v>
      </c>
      <c r="B81" s="2837">
        <f t="shared" si="600"/>
        <v>612.4057627573784</v>
      </c>
      <c r="C81" s="2959">
        <f t="shared" ref="C81:D81" si="623">SUM(C82:C90)+C92</f>
        <v>612.4057627573784</v>
      </c>
      <c r="D81" s="2959">
        <f t="shared" si="623"/>
        <v>0</v>
      </c>
      <c r="E81" s="2861">
        <f t="shared" si="407"/>
        <v>126.83799999999998</v>
      </c>
      <c r="F81" s="2861">
        <f t="shared" ref="F81:G81" si="624">SUM(F82:F90)+F92</f>
        <v>126.83799999999998</v>
      </c>
      <c r="G81" s="2861">
        <f t="shared" si="624"/>
        <v>0</v>
      </c>
      <c r="H81" s="2861">
        <f t="shared" si="602"/>
        <v>179.86399999999998</v>
      </c>
      <c r="I81" s="2861">
        <f t="shared" ref="I81:J81" si="625">SUM(I82:I90)+I92</f>
        <v>179.86399999999998</v>
      </c>
      <c r="J81" s="2861">
        <f t="shared" si="625"/>
        <v>0</v>
      </c>
      <c r="K81" s="2861">
        <f t="shared" si="603"/>
        <v>221.96899999999999</v>
      </c>
      <c r="L81" s="2861">
        <f t="shared" ref="L81:M81" si="626">SUM(L82:L90)+L92</f>
        <v>221.96899999999999</v>
      </c>
      <c r="M81" s="2861">
        <f t="shared" si="626"/>
        <v>0</v>
      </c>
      <c r="N81" s="2861">
        <f t="shared" si="544"/>
        <v>528.67099999999994</v>
      </c>
      <c r="O81" s="2861">
        <f t="shared" si="545"/>
        <v>528.67099999999994</v>
      </c>
      <c r="P81" s="2861">
        <f t="shared" si="545"/>
        <v>0</v>
      </c>
      <c r="Q81" s="2837">
        <f t="shared" si="604"/>
        <v>612.4057627573784</v>
      </c>
      <c r="R81" s="2959">
        <f t="shared" ref="R81:S81" si="627">SUM(R82:R90)+R92</f>
        <v>612.4057627573784</v>
      </c>
      <c r="S81" s="2959">
        <f t="shared" si="627"/>
        <v>0</v>
      </c>
      <c r="T81" s="2861">
        <f>SUM(T82:T90)+T92</f>
        <v>213.05</v>
      </c>
      <c r="U81" s="2861">
        <f t="shared" ref="U81" si="628">SUM(U82:U90)+U92</f>
        <v>213.05</v>
      </c>
      <c r="V81" s="2861">
        <f t="shared" ref="V81" si="629">SUM(V82:V90)+V92</f>
        <v>0</v>
      </c>
      <c r="W81" s="2861">
        <f>SUM(W82:W90)+W92</f>
        <v>140.45299999999997</v>
      </c>
      <c r="X81" s="2861">
        <f t="shared" ref="X81" si="630">SUM(X82:X90)+X92</f>
        <v>140.45299999999997</v>
      </c>
      <c r="Y81" s="2861">
        <f t="shared" ref="Y81" si="631">SUM(Y82:Y90)+Y92</f>
        <v>0</v>
      </c>
      <c r="Z81" s="2861">
        <f>SUM(Z82:Z90)+Z92</f>
        <v>156.46899999999999</v>
      </c>
      <c r="AA81" s="2861">
        <f t="shared" ref="AA81" si="632">SUM(AA82:AA90)+AA92</f>
        <v>156.46899999999999</v>
      </c>
      <c r="AB81" s="2861">
        <f t="shared" ref="AB81" si="633">SUM(AB82:AB90)+AB92</f>
        <v>0</v>
      </c>
      <c r="AC81" s="2861">
        <f t="shared" si="422"/>
        <v>509.97199999999998</v>
      </c>
      <c r="AD81" s="2861">
        <f t="shared" si="423"/>
        <v>509.97199999999998</v>
      </c>
      <c r="AE81" s="2861">
        <f t="shared" si="423"/>
        <v>0</v>
      </c>
      <c r="AF81" s="2839">
        <f t="shared" si="206"/>
        <v>1224.8115255147568</v>
      </c>
      <c r="AG81" s="2839">
        <f t="shared" si="207"/>
        <v>1224.8115255147568</v>
      </c>
      <c r="AH81" s="2839">
        <f t="shared" si="208"/>
        <v>0</v>
      </c>
      <c r="AI81" s="2862">
        <f t="shared" si="610"/>
        <v>1038.643</v>
      </c>
      <c r="AJ81" s="2862">
        <f t="shared" si="610"/>
        <v>1038.643</v>
      </c>
      <c r="AK81" s="2862">
        <f t="shared" si="610"/>
        <v>0</v>
      </c>
      <c r="AL81" s="2862">
        <f t="shared" si="588"/>
        <v>-186.16852551475677</v>
      </c>
      <c r="AM81" s="2862">
        <f t="shared" si="588"/>
        <v>-186.16852551475677</v>
      </c>
      <c r="AN81" s="2862">
        <f t="shared" si="588"/>
        <v>0</v>
      </c>
      <c r="AO81" s="2837">
        <f t="shared" si="611"/>
        <v>612.4057627573784</v>
      </c>
      <c r="AP81" s="2959">
        <f t="shared" ref="AP81:AQ81" si="634">SUM(AP82:AP90)+AP92</f>
        <v>612.4057627573784</v>
      </c>
      <c r="AQ81" s="2959">
        <f t="shared" si="634"/>
        <v>0</v>
      </c>
      <c r="AR81" s="2861">
        <f>SUM(AR82:AR90)+AR92</f>
        <v>205.92</v>
      </c>
      <c r="AS81" s="2861">
        <f t="shared" ref="AS81" si="635">SUM(AS82:AS90)+AS92</f>
        <v>205.92</v>
      </c>
      <c r="AT81" s="2861">
        <f t="shared" ref="AT81" si="636">SUM(AT82:AT90)+AT92</f>
        <v>0</v>
      </c>
      <c r="AU81" s="2861">
        <f>SUM(AU82:AU90)+AU92</f>
        <v>157.172</v>
      </c>
      <c r="AV81" s="2861">
        <f t="shared" ref="AV81" si="637">SUM(AV82:AV90)+AV92</f>
        <v>157.172</v>
      </c>
      <c r="AW81" s="2861">
        <f t="shared" ref="AW81" si="638">SUM(AW82:AW90)+AW92</f>
        <v>0</v>
      </c>
      <c r="AX81" s="2861">
        <f>SUM(AX82:AX90)+AX92</f>
        <v>156.93800000000002</v>
      </c>
      <c r="AY81" s="2861">
        <f t="shared" ref="AY81" si="639">SUM(AY82:AY90)+AY92</f>
        <v>156.93800000000002</v>
      </c>
      <c r="AZ81" s="2861">
        <f t="shared" ref="AZ81" si="640">SUM(AZ82:AZ90)+AZ92</f>
        <v>0</v>
      </c>
      <c r="BA81" s="2861">
        <f t="shared" si="432"/>
        <v>520.03</v>
      </c>
      <c r="BB81" s="2861">
        <f t="shared" si="433"/>
        <v>520.03</v>
      </c>
      <c r="BC81" s="2861">
        <f t="shared" si="433"/>
        <v>0</v>
      </c>
      <c r="BD81" s="2839">
        <f t="shared" si="221"/>
        <v>1837.2172882721352</v>
      </c>
      <c r="BE81" s="2839">
        <f t="shared" si="222"/>
        <v>1837.2172882721352</v>
      </c>
      <c r="BF81" s="2839">
        <f t="shared" si="223"/>
        <v>0</v>
      </c>
      <c r="BG81" s="2862">
        <f t="shared" si="559"/>
        <v>1558.673</v>
      </c>
      <c r="BH81" s="2862">
        <f t="shared" si="559"/>
        <v>1558.673</v>
      </c>
      <c r="BI81" s="2862">
        <f t="shared" si="559"/>
        <v>0</v>
      </c>
      <c r="BJ81" s="2862">
        <f t="shared" si="594"/>
        <v>-278.54428827213519</v>
      </c>
      <c r="BK81" s="2862">
        <f t="shared" si="594"/>
        <v>-278.54428827213519</v>
      </c>
      <c r="BL81" s="2862">
        <f t="shared" si="594"/>
        <v>0</v>
      </c>
      <c r="BM81" s="2837">
        <f t="shared" si="616"/>
        <v>612.4057627573784</v>
      </c>
      <c r="BN81" s="2959">
        <f t="shared" ref="BN81:BO81" si="641">SUM(BN82:BN90)+BN92</f>
        <v>612.4057627573784</v>
      </c>
      <c r="BO81" s="2959">
        <f t="shared" si="641"/>
        <v>0</v>
      </c>
      <c r="BP81" s="2861">
        <f>SUM(BP82:BP90)+BP92</f>
        <v>176.005</v>
      </c>
      <c r="BQ81" s="2861">
        <f t="shared" ref="BQ81" si="642">SUM(BQ82:BQ90)+BQ92</f>
        <v>176.005</v>
      </c>
      <c r="BR81" s="2861">
        <f t="shared" ref="BR81" si="643">SUM(BR82:BR90)+BR92</f>
        <v>0</v>
      </c>
      <c r="BS81" s="2861">
        <f>SUM(BS82:BS90)+BS92</f>
        <v>194.03200000000001</v>
      </c>
      <c r="BT81" s="2861">
        <f t="shared" ref="BT81" si="644">SUM(BT82:BT90)+BT92</f>
        <v>194.03200000000001</v>
      </c>
      <c r="BU81" s="2861">
        <f t="shared" ref="BU81" si="645">SUM(BU82:BU90)+BU92</f>
        <v>0</v>
      </c>
      <c r="BV81" s="2861">
        <f>SUM(BV82:BV90)+BV92</f>
        <v>141.33800000000002</v>
      </c>
      <c r="BW81" s="2861">
        <f t="shared" ref="BW81" si="646">SUM(BW82:BW90)+BW92</f>
        <v>141.33800000000002</v>
      </c>
      <c r="BX81" s="2861">
        <f t="shared" ref="BX81" si="647">SUM(BX82:BX90)+BX92</f>
        <v>0</v>
      </c>
      <c r="BY81" s="2861">
        <f t="shared" si="442"/>
        <v>511.37500000000006</v>
      </c>
      <c r="BZ81" s="2861">
        <f t="shared" si="443"/>
        <v>511.37500000000006</v>
      </c>
      <c r="CA81" s="2861">
        <f t="shared" si="443"/>
        <v>0</v>
      </c>
      <c r="CB81" s="2839">
        <f t="shared" si="157"/>
        <v>2449.6229229834853</v>
      </c>
      <c r="CC81" s="2981">
        <f>SUM(стоки!DA33)</f>
        <v>2449.6229229834853</v>
      </c>
      <c r="CD81" s="2981">
        <f>SUM(стоки!DB33)</f>
        <v>0</v>
      </c>
      <c r="CE81" s="2862">
        <f t="shared" si="622"/>
        <v>2070.0480000000002</v>
      </c>
      <c r="CF81" s="2981">
        <f t="shared" si="622"/>
        <v>2070.0480000000002</v>
      </c>
      <c r="CG81" s="2981">
        <f t="shared" si="622"/>
        <v>0</v>
      </c>
      <c r="CH81" s="2862">
        <f t="shared" si="567"/>
        <v>-379.57492298348507</v>
      </c>
      <c r="CI81" s="2862">
        <f t="shared" si="567"/>
        <v>-379.57492298348507</v>
      </c>
      <c r="CJ81" s="2862">
        <f t="shared" si="567"/>
        <v>0</v>
      </c>
      <c r="CK81" s="2872"/>
      <c r="CL81" s="4188">
        <f t="shared" si="136"/>
        <v>2449.6230510295136</v>
      </c>
      <c r="CM81" s="4195">
        <f>SUM(CC82:CC93)-CC90-CC92</f>
        <v>2449.6230510295136</v>
      </c>
    </row>
    <row r="82" spans="1:91" ht="18.75" customHeight="1" x14ac:dyDescent="0.3">
      <c r="A82" s="2989" t="s">
        <v>71</v>
      </c>
      <c r="B82" s="2845">
        <f t="shared" ref="B82:B90" si="648">SUM(C82:D82)</f>
        <v>0</v>
      </c>
      <c r="C82" s="2845">
        <f t="shared" ref="C82:C89" si="649">SUM(CC82/4)</f>
        <v>0</v>
      </c>
      <c r="D82" s="2845">
        <f t="shared" ref="D82:D89" si="650">SUM(CD82/4)</f>
        <v>0</v>
      </c>
      <c r="E82" s="2865">
        <f t="shared" si="407"/>
        <v>0</v>
      </c>
      <c r="F82" s="2947"/>
      <c r="G82" s="2947"/>
      <c r="H82" s="2865">
        <f t="shared" si="602"/>
        <v>0</v>
      </c>
      <c r="I82" s="2947"/>
      <c r="J82" s="2947"/>
      <c r="K82" s="2865">
        <f t="shared" si="603"/>
        <v>0</v>
      </c>
      <c r="L82" s="2947"/>
      <c r="M82" s="2947"/>
      <c r="N82" s="2865">
        <f t="shared" si="544"/>
        <v>0</v>
      </c>
      <c r="O82" s="2865">
        <f t="shared" si="545"/>
        <v>0</v>
      </c>
      <c r="P82" s="2865">
        <f t="shared" si="545"/>
        <v>0</v>
      </c>
      <c r="Q82" s="2845">
        <f t="shared" ref="Q82:Q90" si="651">SUM(R82:S82)</f>
        <v>0</v>
      </c>
      <c r="R82" s="2845">
        <f t="shared" ref="R82:R89" si="652">SUM(C82)</f>
        <v>0</v>
      </c>
      <c r="S82" s="2845">
        <f t="shared" ref="S82:S89" si="653">SUM(D82)</f>
        <v>0</v>
      </c>
      <c r="T82" s="2865">
        <f t="shared" ref="T82:T89" si="654">SUM(U82:V82)</f>
        <v>0</v>
      </c>
      <c r="U82" s="2947"/>
      <c r="V82" s="2947"/>
      <c r="W82" s="2865">
        <f t="shared" ref="W82:W89" si="655">SUM(X82:Y82)</f>
        <v>0</v>
      </c>
      <c r="X82" s="2947"/>
      <c r="Y82" s="2947"/>
      <c r="Z82" s="2865">
        <f t="shared" ref="Z82:Z89" si="656">SUM(AA82:AB82)</f>
        <v>0</v>
      </c>
      <c r="AA82" s="2947"/>
      <c r="AB82" s="2947"/>
      <c r="AC82" s="2865">
        <f t="shared" si="422"/>
        <v>0</v>
      </c>
      <c r="AD82" s="2865">
        <f t="shared" si="423"/>
        <v>0</v>
      </c>
      <c r="AE82" s="2865">
        <f t="shared" si="423"/>
        <v>0</v>
      </c>
      <c r="AF82" s="2846">
        <f t="shared" si="206"/>
        <v>0</v>
      </c>
      <c r="AG82" s="2846">
        <f t="shared" si="207"/>
        <v>0</v>
      </c>
      <c r="AH82" s="2846">
        <f t="shared" si="208"/>
        <v>0</v>
      </c>
      <c r="AI82" s="2867">
        <f t="shared" si="610"/>
        <v>0</v>
      </c>
      <c r="AJ82" s="2867">
        <f t="shared" si="610"/>
        <v>0</v>
      </c>
      <c r="AK82" s="2867">
        <f t="shared" si="610"/>
        <v>0</v>
      </c>
      <c r="AL82" s="2867">
        <f t="shared" si="588"/>
        <v>0</v>
      </c>
      <c r="AM82" s="2867">
        <f t="shared" si="588"/>
        <v>0</v>
      </c>
      <c r="AN82" s="2867">
        <f t="shared" si="588"/>
        <v>0</v>
      </c>
      <c r="AO82" s="2845">
        <f t="shared" ref="AO82:AO92" si="657">SUM(AP82:AQ82)</f>
        <v>0</v>
      </c>
      <c r="AP82" s="2845">
        <f t="shared" ref="AP82:AP89" si="658">SUM(CC82-AG82)/2</f>
        <v>0</v>
      </c>
      <c r="AQ82" s="2845">
        <f t="shared" ref="AQ82:AQ89" si="659">SUM(CD82-AH82)/2</f>
        <v>0</v>
      </c>
      <c r="AR82" s="2865">
        <f t="shared" ref="AR82:AR89" si="660">SUM(AS82:AT82)</f>
        <v>0</v>
      </c>
      <c r="AS82" s="2947"/>
      <c r="AT82" s="2947"/>
      <c r="AU82" s="2865">
        <f t="shared" ref="AU82:AU89" si="661">SUM(AV82:AW82)</f>
        <v>0</v>
      </c>
      <c r="AV82" s="2947"/>
      <c r="AW82" s="2947"/>
      <c r="AX82" s="2865">
        <f t="shared" ref="AX82:AX89" si="662">SUM(AY82:AZ82)</f>
        <v>0</v>
      </c>
      <c r="AY82" s="2947"/>
      <c r="AZ82" s="2947"/>
      <c r="BA82" s="2865">
        <f t="shared" si="432"/>
        <v>0</v>
      </c>
      <c r="BB82" s="2865">
        <f t="shared" si="433"/>
        <v>0</v>
      </c>
      <c r="BC82" s="2865">
        <f t="shared" si="433"/>
        <v>0</v>
      </c>
      <c r="BD82" s="2846">
        <f t="shared" si="221"/>
        <v>0</v>
      </c>
      <c r="BE82" s="2846">
        <f t="shared" si="222"/>
        <v>0</v>
      </c>
      <c r="BF82" s="2846">
        <f t="shared" si="223"/>
        <v>0</v>
      </c>
      <c r="BG82" s="2867">
        <f t="shared" si="559"/>
        <v>0</v>
      </c>
      <c r="BH82" s="2867">
        <f t="shared" si="559"/>
        <v>0</v>
      </c>
      <c r="BI82" s="2867">
        <f t="shared" si="559"/>
        <v>0</v>
      </c>
      <c r="BJ82" s="2867">
        <f t="shared" si="594"/>
        <v>0</v>
      </c>
      <c r="BK82" s="2867">
        <f t="shared" si="594"/>
        <v>0</v>
      </c>
      <c r="BL82" s="2867">
        <f t="shared" si="594"/>
        <v>0</v>
      </c>
      <c r="BM82" s="2845">
        <f t="shared" si="616"/>
        <v>0</v>
      </c>
      <c r="BN82" s="2845">
        <f t="shared" ref="BN82:BN89" si="663">SUM(AP82)</f>
        <v>0</v>
      </c>
      <c r="BO82" s="2845">
        <f t="shared" ref="BO82:BO89" si="664">SUM(AQ82)</f>
        <v>0</v>
      </c>
      <c r="BP82" s="2865">
        <f t="shared" ref="BP82:BP89" si="665">SUM(BQ82:BR82)</f>
        <v>0</v>
      </c>
      <c r="BQ82" s="2947"/>
      <c r="BR82" s="2947"/>
      <c r="BS82" s="2865">
        <f t="shared" ref="BS82:BS89" si="666">SUM(BT82:BU82)</f>
        <v>0</v>
      </c>
      <c r="BT82" s="2947"/>
      <c r="BU82" s="2947"/>
      <c r="BV82" s="2865">
        <f t="shared" ref="BV82:BV89" si="667">SUM(BW82:BX82)</f>
        <v>0</v>
      </c>
      <c r="BW82" s="2947"/>
      <c r="BX82" s="2947"/>
      <c r="BY82" s="2865">
        <f t="shared" si="442"/>
        <v>0</v>
      </c>
      <c r="BZ82" s="2865">
        <f t="shared" si="443"/>
        <v>0</v>
      </c>
      <c r="CA82" s="2865">
        <f t="shared" si="443"/>
        <v>0</v>
      </c>
      <c r="CB82" s="2846">
        <f t="shared" si="157"/>
        <v>0</v>
      </c>
      <c r="CC82" s="2982">
        <v>0</v>
      </c>
      <c r="CD82" s="2982">
        <v>0</v>
      </c>
      <c r="CE82" s="2867">
        <f t="shared" si="622"/>
        <v>0</v>
      </c>
      <c r="CF82" s="2982">
        <f t="shared" si="622"/>
        <v>0</v>
      </c>
      <c r="CG82" s="2982">
        <f t="shared" si="622"/>
        <v>0</v>
      </c>
      <c r="CH82" s="2867">
        <f t="shared" si="567"/>
        <v>0</v>
      </c>
      <c r="CI82" s="2867">
        <f t="shared" si="567"/>
        <v>0</v>
      </c>
      <c r="CJ82" s="2867">
        <f t="shared" si="567"/>
        <v>0</v>
      </c>
      <c r="CK82" s="2863"/>
      <c r="CL82" s="4188">
        <f t="shared" si="136"/>
        <v>0</v>
      </c>
      <c r="CM82" s="2863"/>
    </row>
    <row r="83" spans="1:91" ht="18.75" customHeight="1" x14ac:dyDescent="0.3">
      <c r="A83" s="2989" t="s">
        <v>114</v>
      </c>
      <c r="B83" s="2845">
        <f t="shared" si="648"/>
        <v>0</v>
      </c>
      <c r="C83" s="2845">
        <f t="shared" si="649"/>
        <v>0</v>
      </c>
      <c r="D83" s="2845">
        <f t="shared" si="650"/>
        <v>0</v>
      </c>
      <c r="E83" s="2865">
        <f t="shared" si="407"/>
        <v>0</v>
      </c>
      <c r="F83" s="2947"/>
      <c r="G83" s="2947"/>
      <c r="H83" s="2865">
        <f t="shared" si="602"/>
        <v>0</v>
      </c>
      <c r="I83" s="2947"/>
      <c r="J83" s="2947"/>
      <c r="K83" s="2865">
        <f t="shared" si="603"/>
        <v>0</v>
      </c>
      <c r="L83" s="2947"/>
      <c r="M83" s="2947"/>
      <c r="N83" s="2865">
        <f t="shared" si="544"/>
        <v>0</v>
      </c>
      <c r="O83" s="2865">
        <f t="shared" si="545"/>
        <v>0</v>
      </c>
      <c r="P83" s="2865">
        <f t="shared" si="545"/>
        <v>0</v>
      </c>
      <c r="Q83" s="2845">
        <f t="shared" si="651"/>
        <v>0</v>
      </c>
      <c r="R83" s="2845">
        <f t="shared" si="652"/>
        <v>0</v>
      </c>
      <c r="S83" s="2845">
        <f t="shared" si="653"/>
        <v>0</v>
      </c>
      <c r="T83" s="2865">
        <f t="shared" si="654"/>
        <v>0</v>
      </c>
      <c r="U83" s="2947"/>
      <c r="V83" s="2947"/>
      <c r="W83" s="2865">
        <f t="shared" si="655"/>
        <v>0</v>
      </c>
      <c r="X83" s="2947"/>
      <c r="Y83" s="2947"/>
      <c r="Z83" s="2865">
        <f t="shared" si="656"/>
        <v>0</v>
      </c>
      <c r="AA83" s="2947"/>
      <c r="AB83" s="2947"/>
      <c r="AC83" s="2865">
        <f t="shared" si="422"/>
        <v>0</v>
      </c>
      <c r="AD83" s="2865">
        <f t="shared" si="423"/>
        <v>0</v>
      </c>
      <c r="AE83" s="2865">
        <f t="shared" si="423"/>
        <v>0</v>
      </c>
      <c r="AF83" s="2846">
        <f t="shared" si="206"/>
        <v>0</v>
      </c>
      <c r="AG83" s="2846">
        <f t="shared" si="207"/>
        <v>0</v>
      </c>
      <c r="AH83" s="2846">
        <f t="shared" si="208"/>
        <v>0</v>
      </c>
      <c r="AI83" s="2867">
        <f t="shared" si="610"/>
        <v>0</v>
      </c>
      <c r="AJ83" s="2867">
        <f t="shared" si="610"/>
        <v>0</v>
      </c>
      <c r="AK83" s="2867">
        <f t="shared" si="610"/>
        <v>0</v>
      </c>
      <c r="AL83" s="2867">
        <f t="shared" si="588"/>
        <v>0</v>
      </c>
      <c r="AM83" s="2867">
        <f t="shared" si="588"/>
        <v>0</v>
      </c>
      <c r="AN83" s="2867">
        <f t="shared" si="588"/>
        <v>0</v>
      </c>
      <c r="AO83" s="2845">
        <f t="shared" si="657"/>
        <v>0</v>
      </c>
      <c r="AP83" s="2845">
        <f t="shared" si="658"/>
        <v>0</v>
      </c>
      <c r="AQ83" s="2845">
        <f t="shared" si="659"/>
        <v>0</v>
      </c>
      <c r="AR83" s="2865">
        <f t="shared" si="660"/>
        <v>0</v>
      </c>
      <c r="AS83" s="2947"/>
      <c r="AT83" s="2947"/>
      <c r="AU83" s="2865">
        <f t="shared" si="661"/>
        <v>0</v>
      </c>
      <c r="AV83" s="2947"/>
      <c r="AW83" s="2947"/>
      <c r="AX83" s="2865">
        <f t="shared" si="662"/>
        <v>0</v>
      </c>
      <c r="AY83" s="2947"/>
      <c r="AZ83" s="2947"/>
      <c r="BA83" s="2865">
        <f t="shared" si="432"/>
        <v>0</v>
      </c>
      <c r="BB83" s="2865">
        <f t="shared" si="433"/>
        <v>0</v>
      </c>
      <c r="BC83" s="2865">
        <f t="shared" si="433"/>
        <v>0</v>
      </c>
      <c r="BD83" s="2846">
        <f t="shared" si="221"/>
        <v>0</v>
      </c>
      <c r="BE83" s="2846">
        <f t="shared" si="222"/>
        <v>0</v>
      </c>
      <c r="BF83" s="2846">
        <f t="shared" si="223"/>
        <v>0</v>
      </c>
      <c r="BG83" s="2867">
        <f t="shared" si="559"/>
        <v>0</v>
      </c>
      <c r="BH83" s="2867">
        <f t="shared" si="559"/>
        <v>0</v>
      </c>
      <c r="BI83" s="2867">
        <f t="shared" si="559"/>
        <v>0</v>
      </c>
      <c r="BJ83" s="2867">
        <f t="shared" si="594"/>
        <v>0</v>
      </c>
      <c r="BK83" s="2867">
        <f t="shared" si="594"/>
        <v>0</v>
      </c>
      <c r="BL83" s="2867">
        <f t="shared" si="594"/>
        <v>0</v>
      </c>
      <c r="BM83" s="2845">
        <f t="shared" si="616"/>
        <v>0</v>
      </c>
      <c r="BN83" s="2845">
        <f t="shared" si="663"/>
        <v>0</v>
      </c>
      <c r="BO83" s="2845">
        <f t="shared" si="664"/>
        <v>0</v>
      </c>
      <c r="BP83" s="2865">
        <f t="shared" si="665"/>
        <v>0</v>
      </c>
      <c r="BQ83" s="2947"/>
      <c r="BR83" s="2947"/>
      <c r="BS83" s="2865">
        <f t="shared" si="666"/>
        <v>0</v>
      </c>
      <c r="BT83" s="2947"/>
      <c r="BU83" s="2947"/>
      <c r="BV83" s="2865">
        <f t="shared" si="667"/>
        <v>0</v>
      </c>
      <c r="BW83" s="2947"/>
      <c r="BX83" s="2947"/>
      <c r="BY83" s="2865">
        <f t="shared" si="442"/>
        <v>0</v>
      </c>
      <c r="BZ83" s="2865">
        <f t="shared" si="443"/>
        <v>0</v>
      </c>
      <c r="CA83" s="2865">
        <f t="shared" si="443"/>
        <v>0</v>
      </c>
      <c r="CB83" s="2846">
        <f t="shared" si="157"/>
        <v>0</v>
      </c>
      <c r="CC83" s="2982">
        <v>0</v>
      </c>
      <c r="CD83" s="2982">
        <v>0</v>
      </c>
      <c r="CE83" s="2867">
        <f t="shared" si="622"/>
        <v>0</v>
      </c>
      <c r="CF83" s="2982">
        <f t="shared" si="622"/>
        <v>0</v>
      </c>
      <c r="CG83" s="2982">
        <f t="shared" si="622"/>
        <v>0</v>
      </c>
      <c r="CH83" s="2867">
        <f t="shared" si="567"/>
        <v>0</v>
      </c>
      <c r="CI83" s="2867">
        <f t="shared" si="567"/>
        <v>0</v>
      </c>
      <c r="CJ83" s="2867">
        <f t="shared" si="567"/>
        <v>0</v>
      </c>
      <c r="CK83" s="2863"/>
      <c r="CL83" s="4188">
        <f t="shared" si="136"/>
        <v>0</v>
      </c>
      <c r="CM83" s="2863"/>
    </row>
    <row r="84" spans="1:91" ht="18.75" customHeight="1" x14ac:dyDescent="0.3">
      <c r="A84" s="2989" t="s">
        <v>52</v>
      </c>
      <c r="B84" s="2845">
        <f t="shared" si="648"/>
        <v>0.37375255330629997</v>
      </c>
      <c r="C84" s="2845">
        <f t="shared" si="649"/>
        <v>0.37375255330629997</v>
      </c>
      <c r="D84" s="2845">
        <f t="shared" si="650"/>
        <v>0</v>
      </c>
      <c r="E84" s="2865">
        <f t="shared" si="407"/>
        <v>0.1</v>
      </c>
      <c r="F84" s="2947">
        <v>0.1</v>
      </c>
      <c r="G84" s="2947"/>
      <c r="H84" s="2865">
        <f t="shared" si="602"/>
        <v>0.11600000000000001</v>
      </c>
      <c r="I84" s="2947">
        <v>0.11600000000000001</v>
      </c>
      <c r="J84" s="2947"/>
      <c r="K84" s="2865">
        <f t="shared" si="603"/>
        <v>0.14599999999999999</v>
      </c>
      <c r="L84" s="2947">
        <v>0.14599999999999999</v>
      </c>
      <c r="M84" s="2947"/>
      <c r="N84" s="2865">
        <f t="shared" si="544"/>
        <v>0.36199999999999999</v>
      </c>
      <c r="O84" s="2865">
        <f t="shared" si="545"/>
        <v>0.36199999999999999</v>
      </c>
      <c r="P84" s="2865">
        <f t="shared" si="545"/>
        <v>0</v>
      </c>
      <c r="Q84" s="2845">
        <f t="shared" si="651"/>
        <v>0.37375255330629997</v>
      </c>
      <c r="R84" s="2845">
        <f t="shared" si="652"/>
        <v>0.37375255330629997</v>
      </c>
      <c r="S84" s="2845">
        <f t="shared" si="653"/>
        <v>0</v>
      </c>
      <c r="T84" s="2865">
        <f t="shared" si="654"/>
        <v>0.16</v>
      </c>
      <c r="U84" s="2947">
        <v>0.16</v>
      </c>
      <c r="V84" s="2947"/>
      <c r="W84" s="2865">
        <f t="shared" si="655"/>
        <v>0.13</v>
      </c>
      <c r="X84" s="2947">
        <v>0.13</v>
      </c>
      <c r="Y84" s="2947"/>
      <c r="Z84" s="2865">
        <f t="shared" si="656"/>
        <v>0.158</v>
      </c>
      <c r="AA84" s="2947">
        <v>0.158</v>
      </c>
      <c r="AB84" s="2947"/>
      <c r="AC84" s="2865">
        <f t="shared" si="422"/>
        <v>0.44800000000000006</v>
      </c>
      <c r="AD84" s="2865">
        <f t="shared" si="423"/>
        <v>0.44800000000000006</v>
      </c>
      <c r="AE84" s="2865">
        <f t="shared" si="423"/>
        <v>0</v>
      </c>
      <c r="AF84" s="2846">
        <f t="shared" si="206"/>
        <v>0.74750510661259995</v>
      </c>
      <c r="AG84" s="2846">
        <f t="shared" si="207"/>
        <v>0.74750510661259995</v>
      </c>
      <c r="AH84" s="2846">
        <f t="shared" si="208"/>
        <v>0</v>
      </c>
      <c r="AI84" s="2867">
        <f t="shared" si="610"/>
        <v>0.81</v>
      </c>
      <c r="AJ84" s="2867">
        <f t="shared" si="610"/>
        <v>0.81</v>
      </c>
      <c r="AK84" s="2867">
        <f t="shared" si="610"/>
        <v>0</v>
      </c>
      <c r="AL84" s="2867">
        <f t="shared" si="588"/>
        <v>6.2494893387400108E-2</v>
      </c>
      <c r="AM84" s="2867">
        <f t="shared" si="588"/>
        <v>6.2494893387400108E-2</v>
      </c>
      <c r="AN84" s="2867">
        <f t="shared" si="588"/>
        <v>0</v>
      </c>
      <c r="AO84" s="2845">
        <f t="shared" si="657"/>
        <v>0.37375255330629997</v>
      </c>
      <c r="AP84" s="2845">
        <f t="shared" si="658"/>
        <v>0.37375255330629997</v>
      </c>
      <c r="AQ84" s="2845">
        <f t="shared" si="659"/>
        <v>0</v>
      </c>
      <c r="AR84" s="2865">
        <f t="shared" si="660"/>
        <v>0.13</v>
      </c>
      <c r="AS84" s="2947">
        <v>0.13</v>
      </c>
      <c r="AT84" s="2947"/>
      <c r="AU84" s="2865">
        <f t="shared" si="661"/>
        <v>0.17899999999999999</v>
      </c>
      <c r="AV84" s="2947">
        <v>0.17899999999999999</v>
      </c>
      <c r="AW84" s="2947"/>
      <c r="AX84" s="2865">
        <f t="shared" si="662"/>
        <v>0.122</v>
      </c>
      <c r="AY84" s="2947">
        <v>0.122</v>
      </c>
      <c r="AZ84" s="2947"/>
      <c r="BA84" s="2865">
        <f t="shared" si="432"/>
        <v>0.43099999999999999</v>
      </c>
      <c r="BB84" s="2865">
        <f t="shared" si="433"/>
        <v>0.43099999999999999</v>
      </c>
      <c r="BC84" s="2865">
        <f t="shared" si="433"/>
        <v>0</v>
      </c>
      <c r="BD84" s="2846">
        <f t="shared" si="221"/>
        <v>1.1212576599188999</v>
      </c>
      <c r="BE84" s="2846">
        <f t="shared" si="222"/>
        <v>1.1212576599188999</v>
      </c>
      <c r="BF84" s="2846">
        <f t="shared" si="223"/>
        <v>0</v>
      </c>
      <c r="BG84" s="2867">
        <f t="shared" si="559"/>
        <v>1.2410000000000001</v>
      </c>
      <c r="BH84" s="2867">
        <f t="shared" si="559"/>
        <v>1.2410000000000001</v>
      </c>
      <c r="BI84" s="2867">
        <f t="shared" si="559"/>
        <v>0</v>
      </c>
      <c r="BJ84" s="2867">
        <f t="shared" si="594"/>
        <v>0.11974234008110018</v>
      </c>
      <c r="BK84" s="2867">
        <f t="shared" si="594"/>
        <v>0.11974234008110018</v>
      </c>
      <c r="BL84" s="2867">
        <f t="shared" si="594"/>
        <v>0</v>
      </c>
      <c r="BM84" s="2845">
        <f t="shared" si="616"/>
        <v>0.37375255330629997</v>
      </c>
      <c r="BN84" s="2845">
        <f t="shared" si="663"/>
        <v>0.37375255330629997</v>
      </c>
      <c r="BO84" s="2845">
        <f t="shared" si="664"/>
        <v>0</v>
      </c>
      <c r="BP84" s="2865">
        <f t="shared" si="665"/>
        <v>0.14000000000000001</v>
      </c>
      <c r="BQ84" s="2947">
        <v>0.14000000000000001</v>
      </c>
      <c r="BR84" s="2947"/>
      <c r="BS84" s="2865">
        <f t="shared" si="666"/>
        <v>0.13200000000000001</v>
      </c>
      <c r="BT84" s="2947">
        <v>0.13200000000000001</v>
      </c>
      <c r="BU84" s="2947"/>
      <c r="BV84" s="2865">
        <f t="shared" si="667"/>
        <v>0.104</v>
      </c>
      <c r="BW84" s="2947">
        <v>0.104</v>
      </c>
      <c r="BX84" s="2947"/>
      <c r="BY84" s="2865">
        <f t="shared" si="442"/>
        <v>0.376</v>
      </c>
      <c r="BZ84" s="2865">
        <f t="shared" si="443"/>
        <v>0.376</v>
      </c>
      <c r="CA84" s="2865">
        <f t="shared" si="443"/>
        <v>0</v>
      </c>
      <c r="CB84" s="2846">
        <f t="shared" si="157"/>
        <v>1.4950102132251999</v>
      </c>
      <c r="CC84" s="2982">
        <f>0.98*1.52552062574</f>
        <v>1.4950102132251999</v>
      </c>
      <c r="CD84" s="2982">
        <v>0</v>
      </c>
      <c r="CE84" s="2867">
        <f t="shared" si="622"/>
        <v>1.617</v>
      </c>
      <c r="CF84" s="2982">
        <f t="shared" si="622"/>
        <v>1.617</v>
      </c>
      <c r="CG84" s="2982">
        <f t="shared" si="622"/>
        <v>0</v>
      </c>
      <c r="CH84" s="2867">
        <f t="shared" si="567"/>
        <v>0.1219897867748001</v>
      </c>
      <c r="CI84" s="2867">
        <f t="shared" si="567"/>
        <v>0.1219897867748001</v>
      </c>
      <c r="CJ84" s="2867">
        <f t="shared" si="567"/>
        <v>0</v>
      </c>
      <c r="CK84" s="2863"/>
      <c r="CL84" s="4188">
        <f t="shared" si="136"/>
        <v>1.4950102132251999</v>
      </c>
      <c r="CM84" s="2863"/>
    </row>
    <row r="85" spans="1:91" ht="18.75" customHeight="1" x14ac:dyDescent="0.3">
      <c r="A85" s="2989" t="s">
        <v>588</v>
      </c>
      <c r="B85" s="2845">
        <f t="shared" si="648"/>
        <v>544.22261838992915</v>
      </c>
      <c r="C85" s="2845">
        <f t="shared" si="649"/>
        <v>544.22261838992915</v>
      </c>
      <c r="D85" s="2845">
        <f t="shared" si="650"/>
        <v>0</v>
      </c>
      <c r="E85" s="2865">
        <f t="shared" si="407"/>
        <v>117.55</v>
      </c>
      <c r="F85" s="2947">
        <f>1.27-9.88+126.16</f>
        <v>117.55</v>
      </c>
      <c r="G85" s="2947"/>
      <c r="H85" s="2865">
        <f t="shared" si="602"/>
        <v>168.65599999999998</v>
      </c>
      <c r="I85" s="2947">
        <f>0.724+167.932</f>
        <v>168.65599999999998</v>
      </c>
      <c r="J85" s="2947"/>
      <c r="K85" s="2865">
        <f t="shared" si="603"/>
        <v>205.029</v>
      </c>
      <c r="L85" s="2947">
        <v>205.029</v>
      </c>
      <c r="M85" s="2947"/>
      <c r="N85" s="2865">
        <f t="shared" si="544"/>
        <v>491.23499999999996</v>
      </c>
      <c r="O85" s="2865">
        <f t="shared" si="545"/>
        <v>491.23499999999996</v>
      </c>
      <c r="P85" s="2865">
        <f t="shared" si="545"/>
        <v>0</v>
      </c>
      <c r="Q85" s="2845">
        <f t="shared" si="651"/>
        <v>544.22261838992915</v>
      </c>
      <c r="R85" s="2845">
        <f t="shared" si="652"/>
        <v>544.22261838992915</v>
      </c>
      <c r="S85" s="2845">
        <f t="shared" si="653"/>
        <v>0</v>
      </c>
      <c r="T85" s="2865">
        <f t="shared" si="654"/>
        <v>195.07000000000002</v>
      </c>
      <c r="U85" s="2947">
        <f>1.11+193.96</f>
        <v>195.07000000000002</v>
      </c>
      <c r="V85" s="2947"/>
      <c r="W85" s="2865">
        <f t="shared" si="655"/>
        <v>121.09</v>
      </c>
      <c r="X85" s="2947">
        <f>0.56+0.37+120.16</f>
        <v>121.09</v>
      </c>
      <c r="Y85" s="2947"/>
      <c r="Z85" s="2865">
        <f t="shared" si="656"/>
        <v>141.221</v>
      </c>
      <c r="AA85" s="2947">
        <f>1.121+140.1</f>
        <v>141.221</v>
      </c>
      <c r="AB85" s="2947"/>
      <c r="AC85" s="2865">
        <f t="shared" si="422"/>
        <v>457.38100000000003</v>
      </c>
      <c r="AD85" s="2865">
        <f t="shared" si="423"/>
        <v>457.38100000000003</v>
      </c>
      <c r="AE85" s="2865">
        <f t="shared" si="423"/>
        <v>0</v>
      </c>
      <c r="AF85" s="2846">
        <f t="shared" si="206"/>
        <v>1088.4452367798583</v>
      </c>
      <c r="AG85" s="2846">
        <f t="shared" si="207"/>
        <v>1088.4452367798583</v>
      </c>
      <c r="AH85" s="2846">
        <f t="shared" si="208"/>
        <v>0</v>
      </c>
      <c r="AI85" s="2867">
        <f t="shared" si="610"/>
        <v>948.61599999999999</v>
      </c>
      <c r="AJ85" s="2867">
        <f t="shared" si="610"/>
        <v>948.61599999999999</v>
      </c>
      <c r="AK85" s="2867">
        <f t="shared" si="610"/>
        <v>0</v>
      </c>
      <c r="AL85" s="2867">
        <f t="shared" si="588"/>
        <v>-139.82923677985832</v>
      </c>
      <c r="AM85" s="2867">
        <f t="shared" si="588"/>
        <v>-139.82923677985832</v>
      </c>
      <c r="AN85" s="2867">
        <f t="shared" si="588"/>
        <v>0</v>
      </c>
      <c r="AO85" s="2845">
        <f t="shared" si="657"/>
        <v>544.22261838992915</v>
      </c>
      <c r="AP85" s="2845">
        <f t="shared" si="658"/>
        <v>544.22261838992915</v>
      </c>
      <c r="AQ85" s="2845">
        <f t="shared" si="659"/>
        <v>0</v>
      </c>
      <c r="AR85" s="2865">
        <f t="shared" si="660"/>
        <v>187.26999999999998</v>
      </c>
      <c r="AS85" s="2947">
        <f>0.38+186.89</f>
        <v>187.26999999999998</v>
      </c>
      <c r="AT85" s="2947"/>
      <c r="AU85" s="2865">
        <f t="shared" si="661"/>
        <v>145.874</v>
      </c>
      <c r="AV85" s="2948">
        <f>144.5+1.374</f>
        <v>145.874</v>
      </c>
      <c r="AW85" s="2947"/>
      <c r="AX85" s="2865">
        <f t="shared" si="662"/>
        <v>141.40099999999998</v>
      </c>
      <c r="AY85" s="2947">
        <f>2.109+0.384+138.908</f>
        <v>141.40099999999998</v>
      </c>
      <c r="AZ85" s="2947"/>
      <c r="BA85" s="2865">
        <f t="shared" si="432"/>
        <v>474.54499999999996</v>
      </c>
      <c r="BB85" s="2865">
        <f t="shared" si="433"/>
        <v>474.54499999999996</v>
      </c>
      <c r="BC85" s="2865">
        <f t="shared" si="433"/>
        <v>0</v>
      </c>
      <c r="BD85" s="2846">
        <f t="shared" si="221"/>
        <v>1632.6678551697873</v>
      </c>
      <c r="BE85" s="2846">
        <f t="shared" si="222"/>
        <v>1632.6678551697873</v>
      </c>
      <c r="BF85" s="2846">
        <f t="shared" si="223"/>
        <v>0</v>
      </c>
      <c r="BG85" s="2867">
        <f t="shared" si="559"/>
        <v>1423.1610000000001</v>
      </c>
      <c r="BH85" s="2867">
        <f t="shared" si="559"/>
        <v>1423.1610000000001</v>
      </c>
      <c r="BI85" s="2867">
        <f t="shared" si="559"/>
        <v>0</v>
      </c>
      <c r="BJ85" s="2867">
        <f t="shared" si="594"/>
        <v>-209.50685516978729</v>
      </c>
      <c r="BK85" s="2867">
        <f t="shared" si="594"/>
        <v>-209.50685516978729</v>
      </c>
      <c r="BL85" s="2867">
        <f t="shared" si="594"/>
        <v>0</v>
      </c>
      <c r="BM85" s="2845">
        <f t="shared" si="616"/>
        <v>544.22261838992915</v>
      </c>
      <c r="BN85" s="2845">
        <f t="shared" si="663"/>
        <v>544.22261838992915</v>
      </c>
      <c r="BO85" s="2845">
        <f t="shared" si="664"/>
        <v>0</v>
      </c>
      <c r="BP85" s="2865">
        <f t="shared" si="665"/>
        <v>142.614</v>
      </c>
      <c r="BQ85" s="2947">
        <f>1.4+141.214</f>
        <v>142.614</v>
      </c>
      <c r="BR85" s="2947"/>
      <c r="BS85" s="2865">
        <f t="shared" si="666"/>
        <v>170.15600000000001</v>
      </c>
      <c r="BT85" s="2947">
        <f>1.162+168.994</f>
        <v>170.15600000000001</v>
      </c>
      <c r="BU85" s="2947"/>
      <c r="BV85" s="2865">
        <f t="shared" si="667"/>
        <v>155.608</v>
      </c>
      <c r="BW85" s="2947">
        <v>155.608</v>
      </c>
      <c r="BX85" s="2947"/>
      <c r="BY85" s="2865">
        <f t="shared" si="442"/>
        <v>468.37799999999999</v>
      </c>
      <c r="BZ85" s="2865">
        <f t="shared" si="443"/>
        <v>468.37799999999999</v>
      </c>
      <c r="CA85" s="2865">
        <f t="shared" si="443"/>
        <v>0</v>
      </c>
      <c r="CB85" s="2846">
        <f t="shared" si="157"/>
        <v>2176.8904735597166</v>
      </c>
      <c r="CC85" s="2982">
        <f>1426.982*1.52552062574</f>
        <v>2176.8904735597166</v>
      </c>
      <c r="CD85" s="2982">
        <v>0</v>
      </c>
      <c r="CE85" s="2867">
        <f t="shared" si="622"/>
        <v>1891.539</v>
      </c>
      <c r="CF85" s="2982">
        <f t="shared" si="622"/>
        <v>1891.539</v>
      </c>
      <c r="CG85" s="2982">
        <f t="shared" si="622"/>
        <v>0</v>
      </c>
      <c r="CH85" s="2867">
        <f t="shared" si="567"/>
        <v>-285.35147355971662</v>
      </c>
      <c r="CI85" s="2867">
        <f t="shared" si="567"/>
        <v>-285.35147355971662</v>
      </c>
      <c r="CJ85" s="2867">
        <f t="shared" si="567"/>
        <v>0</v>
      </c>
      <c r="CK85" s="2863"/>
      <c r="CL85" s="4188">
        <f t="shared" ref="CL85:CL126" si="668">SUM(B85+Q85+AO85+BM85)</f>
        <v>2176.8904735597166</v>
      </c>
      <c r="CM85" s="2863"/>
    </row>
    <row r="86" spans="1:91" ht="18.75" customHeight="1" x14ac:dyDescent="0.3">
      <c r="A86" s="2989" t="s">
        <v>590</v>
      </c>
      <c r="B86" s="2845">
        <f t="shared" si="648"/>
        <v>34.675083823070203</v>
      </c>
      <c r="C86" s="2845">
        <f t="shared" si="649"/>
        <v>34.675083823070203</v>
      </c>
      <c r="D86" s="2845">
        <f t="shared" si="650"/>
        <v>0</v>
      </c>
      <c r="E86" s="2865">
        <f t="shared" si="407"/>
        <v>3.74</v>
      </c>
      <c r="F86" s="2947">
        <v>3.74</v>
      </c>
      <c r="G86" s="2947"/>
      <c r="H86" s="2865">
        <f t="shared" si="602"/>
        <v>3.53</v>
      </c>
      <c r="I86" s="2947">
        <v>3.53</v>
      </c>
      <c r="J86" s="2947"/>
      <c r="K86" s="2865">
        <f t="shared" si="603"/>
        <v>6.99</v>
      </c>
      <c r="L86" s="2947">
        <v>6.99</v>
      </c>
      <c r="M86" s="2947"/>
      <c r="N86" s="2865">
        <f t="shared" si="544"/>
        <v>14.26</v>
      </c>
      <c r="O86" s="2865">
        <f t="shared" si="545"/>
        <v>14.26</v>
      </c>
      <c r="P86" s="2865">
        <f t="shared" si="545"/>
        <v>0</v>
      </c>
      <c r="Q86" s="2845">
        <f t="shared" si="651"/>
        <v>34.675083823070203</v>
      </c>
      <c r="R86" s="2845">
        <f t="shared" si="652"/>
        <v>34.675083823070203</v>
      </c>
      <c r="S86" s="2845">
        <f t="shared" si="653"/>
        <v>0</v>
      </c>
      <c r="T86" s="2865">
        <f t="shared" si="654"/>
        <v>5.13</v>
      </c>
      <c r="U86" s="2947">
        <v>5.13</v>
      </c>
      <c r="V86" s="2947"/>
      <c r="W86" s="2865">
        <f t="shared" si="655"/>
        <v>9.35</v>
      </c>
      <c r="X86" s="2947">
        <v>9.35</v>
      </c>
      <c r="Y86" s="2947"/>
      <c r="Z86" s="2865">
        <f t="shared" si="656"/>
        <v>8.02</v>
      </c>
      <c r="AA86" s="2947">
        <v>8.02</v>
      </c>
      <c r="AB86" s="2947"/>
      <c r="AC86" s="2865">
        <f t="shared" si="422"/>
        <v>22.5</v>
      </c>
      <c r="AD86" s="2865">
        <f t="shared" si="423"/>
        <v>22.5</v>
      </c>
      <c r="AE86" s="2865">
        <f t="shared" si="423"/>
        <v>0</v>
      </c>
      <c r="AF86" s="2846">
        <f t="shared" si="206"/>
        <v>69.350167646140406</v>
      </c>
      <c r="AG86" s="2846">
        <f t="shared" si="207"/>
        <v>69.350167646140406</v>
      </c>
      <c r="AH86" s="2846">
        <f t="shared" si="208"/>
        <v>0</v>
      </c>
      <c r="AI86" s="2867">
        <f t="shared" si="610"/>
        <v>36.76</v>
      </c>
      <c r="AJ86" s="2867">
        <f t="shared" si="610"/>
        <v>36.76</v>
      </c>
      <c r="AK86" s="2867">
        <f t="shared" si="610"/>
        <v>0</v>
      </c>
      <c r="AL86" s="2867">
        <f t="shared" si="588"/>
        <v>-32.590167646140408</v>
      </c>
      <c r="AM86" s="2867">
        <f t="shared" si="588"/>
        <v>-32.590167646140408</v>
      </c>
      <c r="AN86" s="2867">
        <f t="shared" si="588"/>
        <v>0</v>
      </c>
      <c r="AO86" s="2845">
        <f t="shared" si="657"/>
        <v>34.675083823070203</v>
      </c>
      <c r="AP86" s="2845">
        <f t="shared" si="658"/>
        <v>34.675083823070203</v>
      </c>
      <c r="AQ86" s="2845">
        <f t="shared" si="659"/>
        <v>0</v>
      </c>
      <c r="AR86" s="2865">
        <f t="shared" si="660"/>
        <v>6.11</v>
      </c>
      <c r="AS86" s="2947">
        <v>6.11</v>
      </c>
      <c r="AT86" s="2947"/>
      <c r="AU86" s="2865">
        <f t="shared" si="661"/>
        <v>5.1660000000000004</v>
      </c>
      <c r="AV86" s="2947">
        <v>5.1660000000000004</v>
      </c>
      <c r="AW86" s="2947"/>
      <c r="AX86" s="2865">
        <f t="shared" si="662"/>
        <v>6.7619999999999996</v>
      </c>
      <c r="AY86" s="2947">
        <v>6.7619999999999996</v>
      </c>
      <c r="AZ86" s="2947"/>
      <c r="BA86" s="2865">
        <f t="shared" si="432"/>
        <v>18.038</v>
      </c>
      <c r="BB86" s="2865">
        <f t="shared" si="433"/>
        <v>18.038</v>
      </c>
      <c r="BC86" s="2865">
        <f t="shared" si="433"/>
        <v>0</v>
      </c>
      <c r="BD86" s="2846">
        <f t="shared" si="221"/>
        <v>104.02525146921062</v>
      </c>
      <c r="BE86" s="2846">
        <f t="shared" si="222"/>
        <v>104.02525146921062</v>
      </c>
      <c r="BF86" s="2846">
        <f t="shared" si="223"/>
        <v>0</v>
      </c>
      <c r="BG86" s="2867">
        <f t="shared" si="559"/>
        <v>54.798000000000002</v>
      </c>
      <c r="BH86" s="2867">
        <f t="shared" si="559"/>
        <v>54.798000000000002</v>
      </c>
      <c r="BI86" s="2867">
        <f t="shared" si="559"/>
        <v>0</v>
      </c>
      <c r="BJ86" s="2867">
        <f t="shared" si="594"/>
        <v>-49.227251469210614</v>
      </c>
      <c r="BK86" s="2867">
        <f t="shared" si="594"/>
        <v>-49.227251469210614</v>
      </c>
      <c r="BL86" s="2867">
        <f t="shared" si="594"/>
        <v>0</v>
      </c>
      <c r="BM86" s="2845">
        <f t="shared" si="616"/>
        <v>34.675083823070203</v>
      </c>
      <c r="BN86" s="2845">
        <f t="shared" si="663"/>
        <v>34.675083823070203</v>
      </c>
      <c r="BO86" s="2845">
        <f t="shared" si="664"/>
        <v>0</v>
      </c>
      <c r="BP86" s="2865">
        <f t="shared" si="665"/>
        <v>23.719000000000001</v>
      </c>
      <c r="BQ86" s="2947">
        <v>23.719000000000001</v>
      </c>
      <c r="BR86" s="2947"/>
      <c r="BS86" s="2865">
        <f t="shared" si="666"/>
        <v>4.9169999999999998</v>
      </c>
      <c r="BT86" s="2947">
        <v>4.9169999999999998</v>
      </c>
      <c r="BU86" s="2947"/>
      <c r="BV86" s="2865">
        <f t="shared" si="667"/>
        <v>4.4180000000000001</v>
      </c>
      <c r="BW86" s="2947">
        <v>4.4180000000000001</v>
      </c>
      <c r="BX86" s="2947"/>
      <c r="BY86" s="2865">
        <f t="shared" si="442"/>
        <v>33.054000000000002</v>
      </c>
      <c r="BZ86" s="2865">
        <f t="shared" si="443"/>
        <v>33.054000000000002</v>
      </c>
      <c r="CA86" s="2865">
        <f t="shared" si="443"/>
        <v>0</v>
      </c>
      <c r="CB86" s="2846">
        <f t="shared" ref="CB86:CB125" si="669">SUM(CC86:CD86)</f>
        <v>138.70033529228081</v>
      </c>
      <c r="CC86" s="2982">
        <f>90.92*1.52552062574</f>
        <v>138.70033529228081</v>
      </c>
      <c r="CD86" s="2982">
        <v>0</v>
      </c>
      <c r="CE86" s="2867">
        <f t="shared" si="622"/>
        <v>87.852000000000004</v>
      </c>
      <c r="CF86" s="2982">
        <f t="shared" si="622"/>
        <v>87.852000000000004</v>
      </c>
      <c r="CG86" s="2982">
        <f t="shared" si="622"/>
        <v>0</v>
      </c>
      <c r="CH86" s="2867">
        <f t="shared" si="567"/>
        <v>-50.848335292280808</v>
      </c>
      <c r="CI86" s="2867">
        <f t="shared" si="567"/>
        <v>-50.848335292280808</v>
      </c>
      <c r="CJ86" s="2867">
        <f t="shared" si="567"/>
        <v>0</v>
      </c>
      <c r="CK86" s="2872"/>
      <c r="CL86" s="4188">
        <f t="shared" si="668"/>
        <v>138.70033529228081</v>
      </c>
      <c r="CM86" s="2872"/>
    </row>
    <row r="87" spans="1:91" ht="18.75" customHeight="1" x14ac:dyDescent="0.3">
      <c r="A87" s="2989" t="s">
        <v>589</v>
      </c>
      <c r="B87" s="2845">
        <f t="shared" si="648"/>
        <v>22.192511302952649</v>
      </c>
      <c r="C87" s="2845">
        <f t="shared" si="649"/>
        <v>22.192511302952649</v>
      </c>
      <c r="D87" s="2845">
        <f t="shared" si="650"/>
        <v>0</v>
      </c>
      <c r="E87" s="2865">
        <f t="shared" si="407"/>
        <v>4.0880000000000001</v>
      </c>
      <c r="F87" s="2947">
        <f>3.82+0.268</f>
        <v>4.0880000000000001</v>
      </c>
      <c r="G87" s="2947"/>
      <c r="H87" s="2865">
        <f t="shared" si="602"/>
        <v>4.218</v>
      </c>
      <c r="I87" s="2947">
        <f>3.398+0.82</f>
        <v>4.218</v>
      </c>
      <c r="J87" s="2947"/>
      <c r="K87" s="2865">
        <f t="shared" si="603"/>
        <v>0.82</v>
      </c>
      <c r="L87" s="2947">
        <v>0.82</v>
      </c>
      <c r="M87" s="2947"/>
      <c r="N87" s="2865">
        <f t="shared" si="544"/>
        <v>9.1260000000000012</v>
      </c>
      <c r="O87" s="2865">
        <f t="shared" si="545"/>
        <v>9.1260000000000012</v>
      </c>
      <c r="P87" s="2865">
        <f t="shared" si="545"/>
        <v>0</v>
      </c>
      <c r="Q87" s="2845">
        <f t="shared" si="651"/>
        <v>22.192511302952649</v>
      </c>
      <c r="R87" s="2845">
        <f t="shared" si="652"/>
        <v>22.192511302952649</v>
      </c>
      <c r="S87" s="2845">
        <f t="shared" si="653"/>
        <v>0</v>
      </c>
      <c r="T87" s="2865">
        <f t="shared" si="654"/>
        <v>4.4000000000000004</v>
      </c>
      <c r="U87" s="2947">
        <v>4.4000000000000004</v>
      </c>
      <c r="V87" s="2947"/>
      <c r="W87" s="2865">
        <f t="shared" si="655"/>
        <v>4.67</v>
      </c>
      <c r="X87" s="2947">
        <v>4.67</v>
      </c>
      <c r="Y87" s="2947"/>
      <c r="Z87" s="2865">
        <f t="shared" si="656"/>
        <v>4.67</v>
      </c>
      <c r="AA87" s="2947">
        <v>4.67</v>
      </c>
      <c r="AB87" s="2947"/>
      <c r="AC87" s="2865">
        <f t="shared" si="422"/>
        <v>13.74</v>
      </c>
      <c r="AD87" s="2865">
        <f t="shared" si="423"/>
        <v>13.74</v>
      </c>
      <c r="AE87" s="2865">
        <f t="shared" si="423"/>
        <v>0</v>
      </c>
      <c r="AF87" s="2846">
        <f t="shared" si="206"/>
        <v>44.385022605905299</v>
      </c>
      <c r="AG87" s="2846">
        <f t="shared" si="207"/>
        <v>44.385022605905299</v>
      </c>
      <c r="AH87" s="2846">
        <f t="shared" si="208"/>
        <v>0</v>
      </c>
      <c r="AI87" s="2867">
        <f t="shared" si="610"/>
        <v>22.866</v>
      </c>
      <c r="AJ87" s="2867">
        <f t="shared" si="610"/>
        <v>22.866</v>
      </c>
      <c r="AK87" s="2867">
        <f t="shared" si="610"/>
        <v>0</v>
      </c>
      <c r="AL87" s="2867">
        <f t="shared" si="588"/>
        <v>-21.519022605905299</v>
      </c>
      <c r="AM87" s="2867">
        <f t="shared" si="588"/>
        <v>-21.519022605905299</v>
      </c>
      <c r="AN87" s="2867">
        <f t="shared" si="588"/>
        <v>0</v>
      </c>
      <c r="AO87" s="2845">
        <f t="shared" si="657"/>
        <v>22.192511302952649</v>
      </c>
      <c r="AP87" s="2845">
        <f t="shared" si="658"/>
        <v>22.192511302952649</v>
      </c>
      <c r="AQ87" s="2845">
        <f t="shared" si="659"/>
        <v>0</v>
      </c>
      <c r="AR87" s="2865">
        <f t="shared" si="660"/>
        <v>4.66</v>
      </c>
      <c r="AS87" s="2947">
        <v>4.66</v>
      </c>
      <c r="AT87" s="2947"/>
      <c r="AU87" s="2865">
        <f t="shared" si="661"/>
        <v>4.6619999999999999</v>
      </c>
      <c r="AV87" s="2947">
        <v>4.6619999999999999</v>
      </c>
      <c r="AW87" s="2947"/>
      <c r="AX87" s="2865">
        <f t="shared" si="662"/>
        <v>4.6619999999999999</v>
      </c>
      <c r="AY87" s="2947">
        <v>4.6619999999999999</v>
      </c>
      <c r="AZ87" s="2947"/>
      <c r="BA87" s="2865">
        <f t="shared" si="432"/>
        <v>13.983999999999998</v>
      </c>
      <c r="BB87" s="2865">
        <f t="shared" si="433"/>
        <v>13.983999999999998</v>
      </c>
      <c r="BC87" s="2865">
        <f t="shared" si="433"/>
        <v>0</v>
      </c>
      <c r="BD87" s="2846">
        <f t="shared" si="221"/>
        <v>66.577533908857944</v>
      </c>
      <c r="BE87" s="2846">
        <f t="shared" si="222"/>
        <v>66.577533908857944</v>
      </c>
      <c r="BF87" s="2846">
        <f t="shared" si="223"/>
        <v>0</v>
      </c>
      <c r="BG87" s="2867">
        <f t="shared" si="559"/>
        <v>36.849999999999994</v>
      </c>
      <c r="BH87" s="2867">
        <f t="shared" si="559"/>
        <v>36.849999999999994</v>
      </c>
      <c r="BI87" s="2867">
        <f t="shared" si="559"/>
        <v>0</v>
      </c>
      <c r="BJ87" s="2867">
        <f t="shared" si="594"/>
        <v>-29.72753390885795</v>
      </c>
      <c r="BK87" s="2867">
        <f t="shared" si="594"/>
        <v>-29.72753390885795</v>
      </c>
      <c r="BL87" s="2867">
        <f t="shared" si="594"/>
        <v>0</v>
      </c>
      <c r="BM87" s="2845">
        <f t="shared" si="616"/>
        <v>22.192511302952649</v>
      </c>
      <c r="BN87" s="2845">
        <f t="shared" si="663"/>
        <v>22.192511302952649</v>
      </c>
      <c r="BO87" s="2845">
        <f t="shared" si="664"/>
        <v>0</v>
      </c>
      <c r="BP87" s="2865">
        <f t="shared" si="665"/>
        <v>4.6619999999999999</v>
      </c>
      <c r="BQ87" s="2947">
        <v>4.6619999999999999</v>
      </c>
      <c r="BR87" s="2947"/>
      <c r="BS87" s="2865">
        <f t="shared" si="666"/>
        <v>4.6619999999999999</v>
      </c>
      <c r="BT87" s="2947">
        <v>4.6619999999999999</v>
      </c>
      <c r="BU87" s="2947"/>
      <c r="BV87" s="2865">
        <f t="shared" si="667"/>
        <v>8.1370000000000005</v>
      </c>
      <c r="BW87" s="2947">
        <v>8.1370000000000005</v>
      </c>
      <c r="BX87" s="2947"/>
      <c r="BY87" s="2865">
        <f t="shared" si="442"/>
        <v>17.460999999999999</v>
      </c>
      <c r="BZ87" s="2865">
        <f t="shared" si="443"/>
        <v>17.460999999999999</v>
      </c>
      <c r="CA87" s="2865">
        <f t="shared" si="443"/>
        <v>0</v>
      </c>
      <c r="CB87" s="2846">
        <f t="shared" si="669"/>
        <v>88.770045211810597</v>
      </c>
      <c r="CC87" s="2982">
        <f>58.19*1.52552062574</f>
        <v>88.770045211810597</v>
      </c>
      <c r="CD87" s="2982">
        <v>0</v>
      </c>
      <c r="CE87" s="2867">
        <f t="shared" si="622"/>
        <v>54.310999999999993</v>
      </c>
      <c r="CF87" s="2982">
        <f t="shared" si="622"/>
        <v>54.310999999999993</v>
      </c>
      <c r="CG87" s="2982">
        <f t="shared" si="622"/>
        <v>0</v>
      </c>
      <c r="CH87" s="2867">
        <f t="shared" si="567"/>
        <v>-34.459045211810604</v>
      </c>
      <c r="CI87" s="2867">
        <f t="shared" si="567"/>
        <v>-34.459045211810604</v>
      </c>
      <c r="CJ87" s="2867">
        <f t="shared" si="567"/>
        <v>0</v>
      </c>
      <c r="CK87" s="2863"/>
      <c r="CL87" s="4188">
        <f t="shared" si="668"/>
        <v>88.770045211810597</v>
      </c>
      <c r="CM87" s="2863"/>
    </row>
    <row r="88" spans="1:91" ht="18.75" customHeight="1" x14ac:dyDescent="0.3">
      <c r="A88" s="2989" t="s">
        <v>599</v>
      </c>
      <c r="B88" s="2845">
        <f t="shared" si="648"/>
        <v>3.2264761234401003</v>
      </c>
      <c r="C88" s="2845">
        <f t="shared" si="649"/>
        <v>3.2264761234401003</v>
      </c>
      <c r="D88" s="2845">
        <f t="shared" si="650"/>
        <v>0</v>
      </c>
      <c r="E88" s="2865">
        <f t="shared" si="407"/>
        <v>1.36</v>
      </c>
      <c r="F88" s="2947">
        <f>1.36</f>
        <v>1.36</v>
      </c>
      <c r="G88" s="2947"/>
      <c r="H88" s="2865">
        <f t="shared" si="602"/>
        <v>2.62</v>
      </c>
      <c r="I88" s="2947">
        <v>2.62</v>
      </c>
      <c r="J88" s="2947"/>
      <c r="K88" s="2865">
        <f t="shared" si="603"/>
        <v>3.4</v>
      </c>
      <c r="L88" s="2947">
        <v>3.4</v>
      </c>
      <c r="M88" s="2947"/>
      <c r="N88" s="2865">
        <f t="shared" si="544"/>
        <v>7.3800000000000008</v>
      </c>
      <c r="O88" s="2865">
        <f t="shared" si="545"/>
        <v>7.3800000000000008</v>
      </c>
      <c r="P88" s="2865">
        <f t="shared" si="545"/>
        <v>0</v>
      </c>
      <c r="Q88" s="2845">
        <f t="shared" si="651"/>
        <v>3.2264761234401003</v>
      </c>
      <c r="R88" s="2845">
        <f t="shared" si="652"/>
        <v>3.2264761234401003</v>
      </c>
      <c r="S88" s="2845">
        <f t="shared" si="653"/>
        <v>0</v>
      </c>
      <c r="T88" s="2865">
        <f t="shared" si="654"/>
        <v>0.64</v>
      </c>
      <c r="U88" s="2947">
        <v>0.64</v>
      </c>
      <c r="V88" s="2947"/>
      <c r="W88" s="2865">
        <f t="shared" si="655"/>
        <v>1.26</v>
      </c>
      <c r="X88" s="2947">
        <v>1.26</v>
      </c>
      <c r="Y88" s="2947"/>
      <c r="Z88" s="2865">
        <f t="shared" si="656"/>
        <v>0</v>
      </c>
      <c r="AA88" s="2947"/>
      <c r="AB88" s="2947"/>
      <c r="AC88" s="2865">
        <f t="shared" si="422"/>
        <v>1.9</v>
      </c>
      <c r="AD88" s="2865">
        <f t="shared" si="423"/>
        <v>1.9</v>
      </c>
      <c r="AE88" s="2865">
        <f t="shared" si="423"/>
        <v>0</v>
      </c>
      <c r="AF88" s="2846">
        <f t="shared" si="206"/>
        <v>6.4529522468802005</v>
      </c>
      <c r="AG88" s="2846">
        <f t="shared" si="207"/>
        <v>6.4529522468802005</v>
      </c>
      <c r="AH88" s="2846">
        <f t="shared" si="208"/>
        <v>0</v>
      </c>
      <c r="AI88" s="2867">
        <f t="shared" si="610"/>
        <v>9.2800000000000011</v>
      </c>
      <c r="AJ88" s="2867">
        <f t="shared" si="610"/>
        <v>9.2800000000000011</v>
      </c>
      <c r="AK88" s="2867">
        <f t="shared" si="610"/>
        <v>0</v>
      </c>
      <c r="AL88" s="2867">
        <f t="shared" si="588"/>
        <v>2.8270477531198006</v>
      </c>
      <c r="AM88" s="2867">
        <f t="shared" si="588"/>
        <v>2.8270477531198006</v>
      </c>
      <c r="AN88" s="2867">
        <f t="shared" si="588"/>
        <v>0</v>
      </c>
      <c r="AO88" s="2845">
        <f t="shared" si="657"/>
        <v>3.2264761234401003</v>
      </c>
      <c r="AP88" s="2845">
        <f t="shared" si="658"/>
        <v>3.2264761234401003</v>
      </c>
      <c r="AQ88" s="2845">
        <f t="shared" si="659"/>
        <v>0</v>
      </c>
      <c r="AR88" s="2865">
        <f t="shared" si="660"/>
        <v>2.98</v>
      </c>
      <c r="AS88" s="2947">
        <v>2.98</v>
      </c>
      <c r="AT88" s="2947"/>
      <c r="AU88" s="2865">
        <f t="shared" si="661"/>
        <v>1.26</v>
      </c>
      <c r="AV88" s="2947">
        <v>1.26</v>
      </c>
      <c r="AW88" s="2947"/>
      <c r="AX88" s="2865">
        <f t="shared" si="662"/>
        <v>1.56</v>
      </c>
      <c r="AY88" s="2947">
        <v>1.56</v>
      </c>
      <c r="AZ88" s="2947"/>
      <c r="BA88" s="2865">
        <f t="shared" si="432"/>
        <v>5.8000000000000007</v>
      </c>
      <c r="BB88" s="2865">
        <f t="shared" si="433"/>
        <v>5.8000000000000007</v>
      </c>
      <c r="BC88" s="2865">
        <f t="shared" si="433"/>
        <v>0</v>
      </c>
      <c r="BD88" s="2846">
        <f t="shared" si="221"/>
        <v>9.6794283703203003</v>
      </c>
      <c r="BE88" s="2846">
        <f t="shared" si="222"/>
        <v>9.6794283703203003</v>
      </c>
      <c r="BF88" s="2846">
        <f t="shared" si="223"/>
        <v>0</v>
      </c>
      <c r="BG88" s="2867">
        <f t="shared" si="559"/>
        <v>15.080000000000002</v>
      </c>
      <c r="BH88" s="2867">
        <f t="shared" si="559"/>
        <v>15.080000000000002</v>
      </c>
      <c r="BI88" s="2867">
        <f t="shared" si="559"/>
        <v>0</v>
      </c>
      <c r="BJ88" s="2867">
        <f t="shared" si="594"/>
        <v>5.4005716296797015</v>
      </c>
      <c r="BK88" s="2867">
        <f t="shared" si="594"/>
        <v>5.4005716296797015</v>
      </c>
      <c r="BL88" s="2867">
        <f t="shared" si="594"/>
        <v>0</v>
      </c>
      <c r="BM88" s="2845">
        <f t="shared" si="616"/>
        <v>3.2264761234401003</v>
      </c>
      <c r="BN88" s="2845">
        <f t="shared" si="663"/>
        <v>3.2264761234401003</v>
      </c>
      <c r="BO88" s="2845">
        <f t="shared" si="664"/>
        <v>0</v>
      </c>
      <c r="BP88" s="2865">
        <f t="shared" si="665"/>
        <v>1.51</v>
      </c>
      <c r="BQ88" s="2947">
        <v>1.51</v>
      </c>
      <c r="BR88" s="2947"/>
      <c r="BS88" s="2865">
        <f t="shared" si="666"/>
        <v>1.51</v>
      </c>
      <c r="BT88" s="2947">
        <v>1.51</v>
      </c>
      <c r="BU88" s="2947"/>
      <c r="BV88" s="2865">
        <f t="shared" si="667"/>
        <v>-3.4</v>
      </c>
      <c r="BW88" s="2947">
        <v>-3.4</v>
      </c>
      <c r="BX88" s="2947"/>
      <c r="BY88" s="2865">
        <f t="shared" si="442"/>
        <v>-0.37999999999999989</v>
      </c>
      <c r="BZ88" s="2865">
        <f t="shared" si="443"/>
        <v>-0.37999999999999989</v>
      </c>
      <c r="CA88" s="2865">
        <f t="shared" si="443"/>
        <v>0</v>
      </c>
      <c r="CB88" s="2846">
        <f t="shared" si="669"/>
        <v>12.905904493760401</v>
      </c>
      <c r="CC88" s="2982">
        <f>8.46*1.52552062574</f>
        <v>12.905904493760401</v>
      </c>
      <c r="CD88" s="2982">
        <v>0</v>
      </c>
      <c r="CE88" s="2867">
        <f t="shared" si="622"/>
        <v>14.700000000000003</v>
      </c>
      <c r="CF88" s="2982">
        <f t="shared" si="622"/>
        <v>14.700000000000003</v>
      </c>
      <c r="CG88" s="2982">
        <f t="shared" si="622"/>
        <v>0</v>
      </c>
      <c r="CH88" s="2867">
        <f t="shared" si="567"/>
        <v>1.7940955062396018</v>
      </c>
      <c r="CI88" s="2867">
        <f t="shared" si="567"/>
        <v>1.7940955062396018</v>
      </c>
      <c r="CJ88" s="2867">
        <f t="shared" si="567"/>
        <v>0</v>
      </c>
      <c r="CK88" s="2863"/>
      <c r="CL88" s="4188">
        <f t="shared" si="668"/>
        <v>12.905904493760401</v>
      </c>
      <c r="CM88" s="2863"/>
    </row>
    <row r="89" spans="1:91" ht="18.75" customHeight="1" x14ac:dyDescent="0.3">
      <c r="A89" s="2989" t="s">
        <v>32</v>
      </c>
      <c r="B89" s="2845">
        <f t="shared" si="648"/>
        <v>3.6612495017760001</v>
      </c>
      <c r="C89" s="2845">
        <f t="shared" si="649"/>
        <v>3.6612495017760001</v>
      </c>
      <c r="D89" s="2845">
        <f t="shared" si="650"/>
        <v>0</v>
      </c>
      <c r="E89" s="2865">
        <f t="shared" si="407"/>
        <v>0</v>
      </c>
      <c r="F89" s="2947"/>
      <c r="G89" s="2947"/>
      <c r="H89" s="2865">
        <f t="shared" si="602"/>
        <v>0</v>
      </c>
      <c r="I89" s="2947"/>
      <c r="J89" s="2947"/>
      <c r="K89" s="2865">
        <f t="shared" si="603"/>
        <v>5.4</v>
      </c>
      <c r="L89" s="2947">
        <f>3+2.4</f>
        <v>5.4</v>
      </c>
      <c r="M89" s="2947"/>
      <c r="N89" s="2865">
        <f t="shared" si="544"/>
        <v>5.4</v>
      </c>
      <c r="O89" s="2865">
        <f t="shared" si="545"/>
        <v>5.4</v>
      </c>
      <c r="P89" s="2865">
        <f t="shared" si="545"/>
        <v>0</v>
      </c>
      <c r="Q89" s="2845">
        <f t="shared" si="651"/>
        <v>3.6612495017760001</v>
      </c>
      <c r="R89" s="2845">
        <f t="shared" si="652"/>
        <v>3.6612495017760001</v>
      </c>
      <c r="S89" s="2845">
        <f t="shared" si="653"/>
        <v>0</v>
      </c>
      <c r="T89" s="2865">
        <f t="shared" si="654"/>
        <v>7.6</v>
      </c>
      <c r="U89" s="2947">
        <v>7.6</v>
      </c>
      <c r="V89" s="2947"/>
      <c r="W89" s="2865">
        <f t="shared" si="655"/>
        <v>3.93</v>
      </c>
      <c r="X89" s="2947">
        <v>3.93</v>
      </c>
      <c r="Y89" s="2947"/>
      <c r="Z89" s="2865">
        <f t="shared" si="656"/>
        <v>2.4</v>
      </c>
      <c r="AA89" s="2947">
        <v>2.4</v>
      </c>
      <c r="AB89" s="2947"/>
      <c r="AC89" s="2865">
        <f t="shared" si="422"/>
        <v>13.93</v>
      </c>
      <c r="AD89" s="2865">
        <f t="shared" si="423"/>
        <v>13.93</v>
      </c>
      <c r="AE89" s="2865">
        <f t="shared" si="423"/>
        <v>0</v>
      </c>
      <c r="AF89" s="2846">
        <f t="shared" si="206"/>
        <v>7.3224990035520001</v>
      </c>
      <c r="AG89" s="2846">
        <f t="shared" si="207"/>
        <v>7.3224990035520001</v>
      </c>
      <c r="AH89" s="2846">
        <f t="shared" si="208"/>
        <v>0</v>
      </c>
      <c r="AI89" s="2867">
        <f t="shared" si="610"/>
        <v>19.329999999999998</v>
      </c>
      <c r="AJ89" s="2867">
        <f t="shared" si="610"/>
        <v>19.329999999999998</v>
      </c>
      <c r="AK89" s="2867">
        <f t="shared" si="610"/>
        <v>0</v>
      </c>
      <c r="AL89" s="2867">
        <f t="shared" si="588"/>
        <v>12.007500996447998</v>
      </c>
      <c r="AM89" s="2867">
        <f t="shared" si="588"/>
        <v>12.007500996447998</v>
      </c>
      <c r="AN89" s="2867">
        <f t="shared" si="588"/>
        <v>0</v>
      </c>
      <c r="AO89" s="2845">
        <f t="shared" si="657"/>
        <v>3.6612495017760001</v>
      </c>
      <c r="AP89" s="2845">
        <f t="shared" si="658"/>
        <v>3.6612495017760001</v>
      </c>
      <c r="AQ89" s="2845">
        <f t="shared" si="659"/>
        <v>0</v>
      </c>
      <c r="AR89" s="2865">
        <f t="shared" si="660"/>
        <v>3.33</v>
      </c>
      <c r="AS89" s="2947">
        <v>3.33</v>
      </c>
      <c r="AT89" s="2947"/>
      <c r="AU89" s="2865">
        <f t="shared" si="661"/>
        <v>0</v>
      </c>
      <c r="AV89" s="2947"/>
      <c r="AW89" s="2947"/>
      <c r="AX89" s="2865">
        <f t="shared" si="662"/>
        <v>2.4</v>
      </c>
      <c r="AY89" s="2947">
        <v>2.4</v>
      </c>
      <c r="AZ89" s="2947"/>
      <c r="BA89" s="2865">
        <f t="shared" si="432"/>
        <v>5.73</v>
      </c>
      <c r="BB89" s="2865">
        <f t="shared" si="433"/>
        <v>5.73</v>
      </c>
      <c r="BC89" s="2865">
        <f t="shared" si="433"/>
        <v>0</v>
      </c>
      <c r="BD89" s="2846">
        <f t="shared" si="221"/>
        <v>10.983748505328</v>
      </c>
      <c r="BE89" s="2846">
        <f t="shared" si="222"/>
        <v>10.983748505328</v>
      </c>
      <c r="BF89" s="2846">
        <f t="shared" si="223"/>
        <v>0</v>
      </c>
      <c r="BG89" s="2867">
        <f t="shared" si="559"/>
        <v>25.06</v>
      </c>
      <c r="BH89" s="2867">
        <f t="shared" si="559"/>
        <v>25.06</v>
      </c>
      <c r="BI89" s="2867">
        <f t="shared" si="559"/>
        <v>0</v>
      </c>
      <c r="BJ89" s="2867">
        <f t="shared" si="594"/>
        <v>14.076251494671999</v>
      </c>
      <c r="BK89" s="2867">
        <f t="shared" si="594"/>
        <v>14.076251494671999</v>
      </c>
      <c r="BL89" s="2867">
        <f t="shared" si="594"/>
        <v>0</v>
      </c>
      <c r="BM89" s="2845">
        <f t="shared" si="616"/>
        <v>3.6612495017760001</v>
      </c>
      <c r="BN89" s="2845">
        <f t="shared" si="663"/>
        <v>3.6612495017760001</v>
      </c>
      <c r="BO89" s="2845">
        <f t="shared" si="664"/>
        <v>0</v>
      </c>
      <c r="BP89" s="2865">
        <f t="shared" si="665"/>
        <v>3.33</v>
      </c>
      <c r="BQ89" s="2947">
        <v>3.33</v>
      </c>
      <c r="BR89" s="2947"/>
      <c r="BS89" s="2865">
        <f t="shared" si="666"/>
        <v>3.33</v>
      </c>
      <c r="BT89" s="2947">
        <v>3.33</v>
      </c>
      <c r="BU89" s="2947"/>
      <c r="BV89" s="2865">
        <f t="shared" si="667"/>
        <v>-22.12</v>
      </c>
      <c r="BW89" s="2947">
        <v>-22.12</v>
      </c>
      <c r="BX89" s="2947"/>
      <c r="BY89" s="2865">
        <f t="shared" si="442"/>
        <v>-15.46</v>
      </c>
      <c r="BZ89" s="2865">
        <f t="shared" si="443"/>
        <v>-15.46</v>
      </c>
      <c r="CA89" s="2865">
        <f t="shared" si="443"/>
        <v>0</v>
      </c>
      <c r="CB89" s="2846">
        <f t="shared" si="669"/>
        <v>14.644998007104</v>
      </c>
      <c r="CC89" s="2982">
        <f>9.6*1.52552062574</f>
        <v>14.644998007104</v>
      </c>
      <c r="CD89" s="2982">
        <v>0</v>
      </c>
      <c r="CE89" s="2867">
        <f t="shared" si="622"/>
        <v>9.5999999999999979</v>
      </c>
      <c r="CF89" s="2982">
        <f t="shared" si="622"/>
        <v>9.5999999999999979</v>
      </c>
      <c r="CG89" s="2982">
        <f t="shared" si="622"/>
        <v>0</v>
      </c>
      <c r="CH89" s="2867">
        <f t="shared" si="567"/>
        <v>-5.0449980071040024</v>
      </c>
      <c r="CI89" s="2867">
        <f t="shared" si="567"/>
        <v>-5.0449980071040024</v>
      </c>
      <c r="CJ89" s="2867">
        <f t="shared" si="567"/>
        <v>0</v>
      </c>
      <c r="CK89" s="2863"/>
      <c r="CL89" s="4188">
        <f t="shared" si="668"/>
        <v>14.644998007104</v>
      </c>
      <c r="CM89" s="2863"/>
    </row>
    <row r="90" spans="1:91" ht="18.75" customHeight="1" x14ac:dyDescent="0.3">
      <c r="A90" s="2989" t="s">
        <v>591</v>
      </c>
      <c r="B90" s="2845">
        <f t="shared" si="648"/>
        <v>4.0540710629040504</v>
      </c>
      <c r="C90" s="2946">
        <f t="shared" ref="C90:D90" si="670">SUM(C91)</f>
        <v>4.0540710629040504</v>
      </c>
      <c r="D90" s="2946">
        <f t="shared" si="670"/>
        <v>0</v>
      </c>
      <c r="E90" s="2865">
        <f t="shared" si="407"/>
        <v>0</v>
      </c>
      <c r="F90" s="2865">
        <f t="shared" ref="F90:G90" si="671">SUM(F91)</f>
        <v>0</v>
      </c>
      <c r="G90" s="2865">
        <f t="shared" si="671"/>
        <v>0</v>
      </c>
      <c r="H90" s="2865">
        <f t="shared" si="602"/>
        <v>0.72399999999999998</v>
      </c>
      <c r="I90" s="2865">
        <f t="shared" ref="I90:J90" si="672">SUM(I91)</f>
        <v>0.72399999999999998</v>
      </c>
      <c r="J90" s="2865">
        <f t="shared" si="672"/>
        <v>0</v>
      </c>
      <c r="K90" s="2865">
        <f t="shared" si="603"/>
        <v>2.4E-2</v>
      </c>
      <c r="L90" s="2865">
        <f t="shared" ref="L90:M90" si="673">SUM(L91)</f>
        <v>2.4E-2</v>
      </c>
      <c r="M90" s="2865">
        <f t="shared" si="673"/>
        <v>0</v>
      </c>
      <c r="N90" s="2865">
        <f t="shared" si="544"/>
        <v>0.748</v>
      </c>
      <c r="O90" s="2865">
        <f t="shared" si="545"/>
        <v>0.748</v>
      </c>
      <c r="P90" s="2865">
        <f t="shared" si="545"/>
        <v>0</v>
      </c>
      <c r="Q90" s="2845">
        <f t="shared" si="651"/>
        <v>4.0540710629040504</v>
      </c>
      <c r="R90" s="2946">
        <f t="shared" ref="R90:S90" si="674">SUM(R91)</f>
        <v>4.0540710629040504</v>
      </c>
      <c r="S90" s="2946">
        <f t="shared" si="674"/>
        <v>0</v>
      </c>
      <c r="T90" s="2865">
        <f>SUM(T91)</f>
        <v>0.05</v>
      </c>
      <c r="U90" s="2865">
        <f t="shared" ref="U90:V90" si="675">SUM(U91)</f>
        <v>0.05</v>
      </c>
      <c r="V90" s="2865">
        <f t="shared" si="675"/>
        <v>0</v>
      </c>
      <c r="W90" s="2865">
        <f>SUM(W91)</f>
        <v>2.3E-2</v>
      </c>
      <c r="X90" s="2865">
        <f t="shared" ref="X90:Y90" si="676">SUM(X91)</f>
        <v>2.3E-2</v>
      </c>
      <c r="Y90" s="2865">
        <f t="shared" si="676"/>
        <v>0</v>
      </c>
      <c r="Z90" s="2865">
        <f>SUM(Z91)</f>
        <v>0</v>
      </c>
      <c r="AA90" s="2865">
        <f t="shared" ref="AA90:AB90" si="677">SUM(AA91)</f>
        <v>0</v>
      </c>
      <c r="AB90" s="2865">
        <f t="shared" si="677"/>
        <v>0</v>
      </c>
      <c r="AC90" s="2865">
        <f t="shared" si="422"/>
        <v>7.3000000000000009E-2</v>
      </c>
      <c r="AD90" s="2865">
        <f t="shared" si="423"/>
        <v>7.3000000000000009E-2</v>
      </c>
      <c r="AE90" s="2865">
        <f t="shared" si="423"/>
        <v>0</v>
      </c>
      <c r="AF90" s="2846">
        <f t="shared" si="206"/>
        <v>8.1081421258081008</v>
      </c>
      <c r="AG90" s="2846">
        <f t="shared" si="207"/>
        <v>8.1081421258081008</v>
      </c>
      <c r="AH90" s="2846">
        <f t="shared" si="208"/>
        <v>0</v>
      </c>
      <c r="AI90" s="2867">
        <f t="shared" si="610"/>
        <v>0.82099999999999995</v>
      </c>
      <c r="AJ90" s="2867">
        <f t="shared" si="610"/>
        <v>0.82099999999999995</v>
      </c>
      <c r="AK90" s="2867">
        <f t="shared" si="610"/>
        <v>0</v>
      </c>
      <c r="AL90" s="2867">
        <f t="shared" si="588"/>
        <v>-7.2871421258081011</v>
      </c>
      <c r="AM90" s="2867">
        <f t="shared" si="588"/>
        <v>-7.2871421258081011</v>
      </c>
      <c r="AN90" s="2867">
        <f t="shared" si="588"/>
        <v>0</v>
      </c>
      <c r="AO90" s="2845">
        <f t="shared" si="657"/>
        <v>4.0540710629040504</v>
      </c>
      <c r="AP90" s="2946">
        <f t="shared" ref="AP90:AQ90" si="678">SUM(AP91)</f>
        <v>4.0540710629040504</v>
      </c>
      <c r="AQ90" s="2946">
        <f t="shared" si="678"/>
        <v>0</v>
      </c>
      <c r="AR90" s="2865">
        <f>SUM(AR91)</f>
        <v>1.44</v>
      </c>
      <c r="AS90" s="2865">
        <f t="shared" ref="AS90:AT90" si="679">SUM(AS91)</f>
        <v>1.44</v>
      </c>
      <c r="AT90" s="2865">
        <f t="shared" si="679"/>
        <v>0</v>
      </c>
      <c r="AU90" s="2865">
        <f>SUM(AU91)</f>
        <v>3.1E-2</v>
      </c>
      <c r="AV90" s="2865">
        <f t="shared" ref="AV90:AW90" si="680">SUM(AV91)</f>
        <v>3.1E-2</v>
      </c>
      <c r="AW90" s="2865">
        <f t="shared" si="680"/>
        <v>0</v>
      </c>
      <c r="AX90" s="2865">
        <f>SUM(AX91)</f>
        <v>3.1E-2</v>
      </c>
      <c r="AY90" s="2865">
        <f t="shared" ref="AY90:AZ90" si="681">SUM(AY91)</f>
        <v>3.1E-2</v>
      </c>
      <c r="AZ90" s="2865">
        <f t="shared" si="681"/>
        <v>0</v>
      </c>
      <c r="BA90" s="2865">
        <f t="shared" si="432"/>
        <v>1.5019999999999998</v>
      </c>
      <c r="BB90" s="2865">
        <f t="shared" si="433"/>
        <v>1.5019999999999998</v>
      </c>
      <c r="BC90" s="2865">
        <f t="shared" si="433"/>
        <v>0</v>
      </c>
      <c r="BD90" s="2846">
        <f t="shared" si="221"/>
        <v>12.162213188712151</v>
      </c>
      <c r="BE90" s="2846">
        <f t="shared" si="222"/>
        <v>12.162213188712151</v>
      </c>
      <c r="BF90" s="2846">
        <f t="shared" si="223"/>
        <v>0</v>
      </c>
      <c r="BG90" s="2867">
        <f t="shared" si="559"/>
        <v>2.3229999999999995</v>
      </c>
      <c r="BH90" s="2867">
        <f t="shared" si="559"/>
        <v>2.3229999999999995</v>
      </c>
      <c r="BI90" s="2867">
        <f t="shared" si="559"/>
        <v>0</v>
      </c>
      <c r="BJ90" s="2867">
        <f t="shared" si="594"/>
        <v>-9.8392131887121508</v>
      </c>
      <c r="BK90" s="2867">
        <f t="shared" si="594"/>
        <v>-9.8392131887121508</v>
      </c>
      <c r="BL90" s="2867">
        <f t="shared" si="594"/>
        <v>0</v>
      </c>
      <c r="BM90" s="2845">
        <f t="shared" si="616"/>
        <v>4.0540710629040504</v>
      </c>
      <c r="BN90" s="2946">
        <f t="shared" ref="BN90:BO90" si="682">SUM(BN91)</f>
        <v>4.0540710629040504</v>
      </c>
      <c r="BO90" s="2946">
        <f t="shared" si="682"/>
        <v>0</v>
      </c>
      <c r="BP90" s="2865">
        <f>SUM(BP91)</f>
        <v>0.03</v>
      </c>
      <c r="BQ90" s="2865">
        <f t="shared" ref="BQ90:BR90" si="683">SUM(BQ91)</f>
        <v>0.03</v>
      </c>
      <c r="BR90" s="2865">
        <f t="shared" si="683"/>
        <v>0</v>
      </c>
      <c r="BS90" s="2865">
        <f>SUM(BS91)</f>
        <v>9.3249999999999993</v>
      </c>
      <c r="BT90" s="2865">
        <f t="shared" ref="BT90:BU90" si="684">SUM(BT91)</f>
        <v>9.3249999999999993</v>
      </c>
      <c r="BU90" s="2865">
        <f t="shared" si="684"/>
        <v>0</v>
      </c>
      <c r="BV90" s="2865">
        <f>SUM(BV91)</f>
        <v>-1.409</v>
      </c>
      <c r="BW90" s="2865">
        <f t="shared" ref="BW90:BX90" si="685">SUM(BW91)</f>
        <v>-1.409</v>
      </c>
      <c r="BX90" s="2865">
        <f t="shared" si="685"/>
        <v>0</v>
      </c>
      <c r="BY90" s="2865">
        <f t="shared" si="442"/>
        <v>7.9459999999999988</v>
      </c>
      <c r="BZ90" s="2865">
        <f t="shared" si="443"/>
        <v>7.9459999999999988</v>
      </c>
      <c r="CA90" s="2865">
        <f t="shared" si="443"/>
        <v>0</v>
      </c>
      <c r="CB90" s="2846">
        <f t="shared" si="669"/>
        <v>16.216284251616202</v>
      </c>
      <c r="CC90" s="2990">
        <f t="shared" ref="CC90:CD90" si="686">SUM(CC91)</f>
        <v>16.216284251616202</v>
      </c>
      <c r="CD90" s="2990">
        <f t="shared" si="686"/>
        <v>0</v>
      </c>
      <c r="CE90" s="2867">
        <f t="shared" si="622"/>
        <v>10.268999999999998</v>
      </c>
      <c r="CF90" s="2982">
        <f t="shared" si="622"/>
        <v>10.268999999999998</v>
      </c>
      <c r="CG90" s="2982">
        <f t="shared" si="622"/>
        <v>0</v>
      </c>
      <c r="CH90" s="2867">
        <f t="shared" si="567"/>
        <v>-5.9472842516162032</v>
      </c>
      <c r="CI90" s="2867">
        <f t="shared" si="567"/>
        <v>-5.9472842516162032</v>
      </c>
      <c r="CJ90" s="2867">
        <f t="shared" si="567"/>
        <v>0</v>
      </c>
      <c r="CK90" s="2863"/>
      <c r="CL90" s="4188">
        <f t="shared" si="668"/>
        <v>16.216284251616202</v>
      </c>
      <c r="CM90" s="2863"/>
    </row>
    <row r="91" spans="1:91" ht="18.75" customHeight="1" x14ac:dyDescent="0.3">
      <c r="A91" s="2879" t="s">
        <v>548</v>
      </c>
      <c r="B91" s="2853">
        <f t="shared" ref="B91:B92" si="687">SUM(C91:D91)</f>
        <v>4.0540710629040504</v>
      </c>
      <c r="C91" s="2853">
        <f t="shared" ref="C91" si="688">SUM(CC91/4)</f>
        <v>4.0540710629040504</v>
      </c>
      <c r="D91" s="2853">
        <f t="shared" ref="D91" si="689">SUM(CD91/4)</f>
        <v>0</v>
      </c>
      <c r="E91" s="2875">
        <f t="shared" si="407"/>
        <v>0</v>
      </c>
      <c r="F91" s="2955"/>
      <c r="G91" s="2955"/>
      <c r="H91" s="2875">
        <f t="shared" si="602"/>
        <v>0.72399999999999998</v>
      </c>
      <c r="I91" s="2955">
        <v>0.72399999999999998</v>
      </c>
      <c r="J91" s="2955"/>
      <c r="K91" s="2875">
        <f t="shared" si="603"/>
        <v>2.4E-2</v>
      </c>
      <c r="L91" s="2955">
        <v>2.4E-2</v>
      </c>
      <c r="M91" s="2955"/>
      <c r="N91" s="2875">
        <f t="shared" si="544"/>
        <v>0.748</v>
      </c>
      <c r="O91" s="2875">
        <f t="shared" si="545"/>
        <v>0.748</v>
      </c>
      <c r="P91" s="2875">
        <f t="shared" si="545"/>
        <v>0</v>
      </c>
      <c r="Q91" s="2853">
        <f t="shared" ref="Q91:Q101" si="690">SUM(R91:S91)</f>
        <v>4.0540710629040504</v>
      </c>
      <c r="R91" s="2853">
        <f t="shared" ref="R91" si="691">SUM(C91)</f>
        <v>4.0540710629040504</v>
      </c>
      <c r="S91" s="2853">
        <f t="shared" ref="S91" si="692">SUM(D91)</f>
        <v>0</v>
      </c>
      <c r="T91" s="2875">
        <f t="shared" ref="T91" si="693">SUM(U91:V91)</f>
        <v>0.05</v>
      </c>
      <c r="U91" s="2955">
        <v>0.05</v>
      </c>
      <c r="V91" s="2955"/>
      <c r="W91" s="2875">
        <f t="shared" ref="W91" si="694">SUM(X91:Y91)</f>
        <v>2.3E-2</v>
      </c>
      <c r="X91" s="2955">
        <v>2.3E-2</v>
      </c>
      <c r="Y91" s="2955"/>
      <c r="Z91" s="2875">
        <f t="shared" ref="Z91" si="695">SUM(AA91:AB91)</f>
        <v>0</v>
      </c>
      <c r="AA91" s="2955"/>
      <c r="AB91" s="2955"/>
      <c r="AC91" s="2875">
        <f t="shared" si="422"/>
        <v>7.3000000000000009E-2</v>
      </c>
      <c r="AD91" s="2875">
        <f t="shared" si="423"/>
        <v>7.3000000000000009E-2</v>
      </c>
      <c r="AE91" s="2875">
        <f t="shared" si="423"/>
        <v>0</v>
      </c>
      <c r="AF91" s="2856">
        <f t="shared" si="206"/>
        <v>8.1081421258081008</v>
      </c>
      <c r="AG91" s="2856">
        <f t="shared" si="207"/>
        <v>8.1081421258081008</v>
      </c>
      <c r="AH91" s="2856">
        <f t="shared" si="208"/>
        <v>0</v>
      </c>
      <c r="AI91" s="2870">
        <f t="shared" si="610"/>
        <v>0.82099999999999995</v>
      </c>
      <c r="AJ91" s="2870">
        <f t="shared" si="610"/>
        <v>0.82099999999999995</v>
      </c>
      <c r="AK91" s="2870">
        <f t="shared" si="610"/>
        <v>0</v>
      </c>
      <c r="AL91" s="2870">
        <f t="shared" si="588"/>
        <v>-7.2871421258081011</v>
      </c>
      <c r="AM91" s="2870">
        <f t="shared" si="588"/>
        <v>-7.2871421258081011</v>
      </c>
      <c r="AN91" s="2870">
        <f t="shared" si="588"/>
        <v>0</v>
      </c>
      <c r="AO91" s="2853">
        <f t="shared" ref="AO91" si="696">SUM(AP91:AQ91)</f>
        <v>4.0540710629040504</v>
      </c>
      <c r="AP91" s="2853">
        <f t="shared" ref="AP91" si="697">SUM(CC91-AG91)/2</f>
        <v>4.0540710629040504</v>
      </c>
      <c r="AQ91" s="2853">
        <f t="shared" ref="AQ91" si="698">SUM(CD91-AH91)/2</f>
        <v>0</v>
      </c>
      <c r="AR91" s="2875">
        <f t="shared" ref="AR91" si="699">SUM(AS91:AT91)</f>
        <v>1.44</v>
      </c>
      <c r="AS91" s="2955">
        <f>0.06+1.38</f>
        <v>1.44</v>
      </c>
      <c r="AT91" s="2955"/>
      <c r="AU91" s="2875">
        <f t="shared" ref="AU91" si="700">SUM(AV91:AW91)</f>
        <v>3.1E-2</v>
      </c>
      <c r="AV91" s="2955">
        <v>3.1E-2</v>
      </c>
      <c r="AW91" s="2955"/>
      <c r="AX91" s="2875">
        <f t="shared" ref="AX91" si="701">SUM(AY91:AZ91)</f>
        <v>3.1E-2</v>
      </c>
      <c r="AY91" s="2955">
        <v>3.1E-2</v>
      </c>
      <c r="AZ91" s="2955"/>
      <c r="BA91" s="2875">
        <f t="shared" si="432"/>
        <v>1.5019999999999998</v>
      </c>
      <c r="BB91" s="2875">
        <f t="shared" si="433"/>
        <v>1.5019999999999998</v>
      </c>
      <c r="BC91" s="2875">
        <f t="shared" si="433"/>
        <v>0</v>
      </c>
      <c r="BD91" s="2856">
        <f t="shared" si="221"/>
        <v>12.162213188712151</v>
      </c>
      <c r="BE91" s="2856">
        <f t="shared" si="222"/>
        <v>12.162213188712151</v>
      </c>
      <c r="BF91" s="2856">
        <f t="shared" si="223"/>
        <v>0</v>
      </c>
      <c r="BG91" s="2870">
        <f t="shared" si="559"/>
        <v>2.3229999999999995</v>
      </c>
      <c r="BH91" s="2870">
        <f t="shared" si="559"/>
        <v>2.3229999999999995</v>
      </c>
      <c r="BI91" s="2870">
        <f t="shared" si="559"/>
        <v>0</v>
      </c>
      <c r="BJ91" s="2870">
        <f t="shared" si="594"/>
        <v>-9.8392131887121508</v>
      </c>
      <c r="BK91" s="2870">
        <f t="shared" si="594"/>
        <v>-9.8392131887121508</v>
      </c>
      <c r="BL91" s="2870">
        <f t="shared" si="594"/>
        <v>0</v>
      </c>
      <c r="BM91" s="2853">
        <f t="shared" ref="BM91:BM94" si="702">SUM(BN91:BO91)</f>
        <v>4.0540710629040504</v>
      </c>
      <c r="BN91" s="2853">
        <f t="shared" ref="BN91" si="703">SUM(AP91)</f>
        <v>4.0540710629040504</v>
      </c>
      <c r="BO91" s="2853">
        <f t="shared" ref="BO91" si="704">SUM(AQ91)</f>
        <v>0</v>
      </c>
      <c r="BP91" s="2875">
        <f t="shared" ref="BP91" si="705">SUM(BQ91:BR91)</f>
        <v>0.03</v>
      </c>
      <c r="BQ91" s="2955">
        <v>0.03</v>
      </c>
      <c r="BR91" s="2955"/>
      <c r="BS91" s="2875">
        <f t="shared" ref="BS91" si="706">SUM(BT91:BU91)</f>
        <v>9.3249999999999993</v>
      </c>
      <c r="BT91" s="2955">
        <v>9.3249999999999993</v>
      </c>
      <c r="BU91" s="2955"/>
      <c r="BV91" s="2875">
        <f t="shared" ref="BV91" si="707">SUM(BW91:BX91)</f>
        <v>-1.409</v>
      </c>
      <c r="BW91" s="2955">
        <v>-1.409</v>
      </c>
      <c r="BX91" s="2955"/>
      <c r="BY91" s="2875">
        <f t="shared" si="442"/>
        <v>7.9459999999999988</v>
      </c>
      <c r="BZ91" s="2875">
        <f t="shared" si="443"/>
        <v>7.9459999999999988</v>
      </c>
      <c r="CA91" s="2875">
        <f t="shared" si="443"/>
        <v>0</v>
      </c>
      <c r="CB91" s="2856">
        <f t="shared" si="669"/>
        <v>16.216284251616202</v>
      </c>
      <c r="CC91" s="2991">
        <f>10.63*1.52552062574</f>
        <v>16.216284251616202</v>
      </c>
      <c r="CD91" s="2991">
        <v>0</v>
      </c>
      <c r="CE91" s="2870">
        <f t="shared" si="622"/>
        <v>10.268999999999998</v>
      </c>
      <c r="CF91" s="2991">
        <f t="shared" si="622"/>
        <v>10.268999999999998</v>
      </c>
      <c r="CG91" s="2991">
        <f t="shared" si="622"/>
        <v>0</v>
      </c>
      <c r="CH91" s="2870">
        <f t="shared" si="567"/>
        <v>-5.9472842516162032</v>
      </c>
      <c r="CI91" s="2870">
        <f t="shared" si="567"/>
        <v>-5.9472842516162032</v>
      </c>
      <c r="CJ91" s="2870">
        <f t="shared" si="567"/>
        <v>0</v>
      </c>
      <c r="CK91" s="2863"/>
      <c r="CL91" s="4188">
        <f t="shared" si="668"/>
        <v>16.216284251616202</v>
      </c>
      <c r="CM91" s="2863"/>
    </row>
    <row r="92" spans="1:91" ht="18.75" customHeight="1" x14ac:dyDescent="0.3">
      <c r="A92" s="2989" t="s">
        <v>594</v>
      </c>
      <c r="B92" s="2845">
        <f t="shared" si="687"/>
        <v>0</v>
      </c>
      <c r="C92" s="2946">
        <f t="shared" ref="C92:D92" si="708">SUM(C93)</f>
        <v>0</v>
      </c>
      <c r="D92" s="2946">
        <f t="shared" si="708"/>
        <v>0</v>
      </c>
      <c r="E92" s="2865">
        <f t="shared" si="407"/>
        <v>0</v>
      </c>
      <c r="F92" s="2865">
        <f t="shared" ref="F92:G92" si="709">SUM(F93)</f>
        <v>0</v>
      </c>
      <c r="G92" s="2865">
        <f t="shared" si="709"/>
        <v>0</v>
      </c>
      <c r="H92" s="2865">
        <f t="shared" si="602"/>
        <v>0</v>
      </c>
      <c r="I92" s="2865">
        <f t="shared" ref="I92:J92" si="710">SUM(I93)</f>
        <v>0</v>
      </c>
      <c r="J92" s="2865">
        <f t="shared" si="710"/>
        <v>0</v>
      </c>
      <c r="K92" s="2865">
        <f t="shared" si="603"/>
        <v>0.16</v>
      </c>
      <c r="L92" s="2865">
        <f t="shared" ref="L92:M92" si="711">SUM(L93)</f>
        <v>0.16</v>
      </c>
      <c r="M92" s="2865">
        <f t="shared" si="711"/>
        <v>0</v>
      </c>
      <c r="N92" s="2865">
        <f t="shared" si="544"/>
        <v>0.16</v>
      </c>
      <c r="O92" s="2865">
        <f t="shared" si="545"/>
        <v>0.16</v>
      </c>
      <c r="P92" s="2865">
        <f t="shared" si="545"/>
        <v>0</v>
      </c>
      <c r="Q92" s="2845">
        <f t="shared" si="690"/>
        <v>0</v>
      </c>
      <c r="R92" s="2946">
        <f t="shared" ref="R92:S92" si="712">SUM(R93)</f>
        <v>0</v>
      </c>
      <c r="S92" s="2946">
        <f t="shared" si="712"/>
        <v>0</v>
      </c>
      <c r="T92" s="2865">
        <f>SUM(T93)</f>
        <v>0</v>
      </c>
      <c r="U92" s="2865">
        <f t="shared" ref="U92:V92" si="713">SUM(U93)</f>
        <v>0</v>
      </c>
      <c r="V92" s="2865">
        <f t="shared" si="713"/>
        <v>0</v>
      </c>
      <c r="W92" s="2865">
        <f>SUM(W93)</f>
        <v>0</v>
      </c>
      <c r="X92" s="2865">
        <f t="shared" ref="X92:Y92" si="714">SUM(X93)</f>
        <v>0</v>
      </c>
      <c r="Y92" s="2865">
        <f t="shared" si="714"/>
        <v>0</v>
      </c>
      <c r="Z92" s="2865">
        <f>SUM(Z93)</f>
        <v>0</v>
      </c>
      <c r="AA92" s="2865">
        <f t="shared" ref="AA92:AB92" si="715">SUM(AA93)</f>
        <v>0</v>
      </c>
      <c r="AB92" s="2865">
        <f t="shared" si="715"/>
        <v>0</v>
      </c>
      <c r="AC92" s="2865">
        <f t="shared" si="422"/>
        <v>0</v>
      </c>
      <c r="AD92" s="2865">
        <f t="shared" si="423"/>
        <v>0</v>
      </c>
      <c r="AE92" s="2865">
        <f t="shared" si="423"/>
        <v>0</v>
      </c>
      <c r="AF92" s="2846">
        <f t="shared" si="206"/>
        <v>0</v>
      </c>
      <c r="AG92" s="2846">
        <f t="shared" si="207"/>
        <v>0</v>
      </c>
      <c r="AH92" s="2846">
        <f t="shared" si="208"/>
        <v>0</v>
      </c>
      <c r="AI92" s="2867">
        <f t="shared" si="610"/>
        <v>0.16</v>
      </c>
      <c r="AJ92" s="2867">
        <f t="shared" si="610"/>
        <v>0.16</v>
      </c>
      <c r="AK92" s="2867">
        <f t="shared" si="610"/>
        <v>0</v>
      </c>
      <c r="AL92" s="2867">
        <f t="shared" si="588"/>
        <v>0.16</v>
      </c>
      <c r="AM92" s="2867">
        <f t="shared" si="588"/>
        <v>0.16</v>
      </c>
      <c r="AN92" s="2867">
        <f t="shared" si="588"/>
        <v>0</v>
      </c>
      <c r="AO92" s="2845">
        <f t="shared" si="657"/>
        <v>0</v>
      </c>
      <c r="AP92" s="2946">
        <f t="shared" ref="AP92:AQ92" si="716">SUM(AP93)</f>
        <v>0</v>
      </c>
      <c r="AQ92" s="2946">
        <f t="shared" si="716"/>
        <v>0</v>
      </c>
      <c r="AR92" s="2865">
        <f>SUM(AR93)</f>
        <v>0</v>
      </c>
      <c r="AS92" s="2865">
        <f t="shared" ref="AS92:AT92" si="717">SUM(AS93)</f>
        <v>0</v>
      </c>
      <c r="AT92" s="2865">
        <f t="shared" si="717"/>
        <v>0</v>
      </c>
      <c r="AU92" s="2865">
        <f>SUM(AU93)</f>
        <v>0</v>
      </c>
      <c r="AV92" s="2865">
        <f t="shared" ref="AV92:AW92" si="718">SUM(AV93)</f>
        <v>0</v>
      </c>
      <c r="AW92" s="2865">
        <f t="shared" si="718"/>
        <v>0</v>
      </c>
      <c r="AX92" s="2865">
        <f>SUM(AX93)</f>
        <v>0</v>
      </c>
      <c r="AY92" s="2865">
        <f t="shared" ref="AY92:AZ92" si="719">SUM(AY93)</f>
        <v>0</v>
      </c>
      <c r="AZ92" s="2865">
        <f t="shared" si="719"/>
        <v>0</v>
      </c>
      <c r="BA92" s="2865">
        <f t="shared" si="432"/>
        <v>0</v>
      </c>
      <c r="BB92" s="2865">
        <f t="shared" si="433"/>
        <v>0</v>
      </c>
      <c r="BC92" s="2865">
        <f t="shared" si="433"/>
        <v>0</v>
      </c>
      <c r="BD92" s="2846">
        <f t="shared" si="221"/>
        <v>0</v>
      </c>
      <c r="BE92" s="2846">
        <f t="shared" si="222"/>
        <v>0</v>
      </c>
      <c r="BF92" s="2846">
        <f t="shared" si="223"/>
        <v>0</v>
      </c>
      <c r="BG92" s="2867">
        <f t="shared" si="559"/>
        <v>0.16</v>
      </c>
      <c r="BH92" s="2867">
        <f t="shared" si="559"/>
        <v>0.16</v>
      </c>
      <c r="BI92" s="2867">
        <f t="shared" si="559"/>
        <v>0</v>
      </c>
      <c r="BJ92" s="2867">
        <f t="shared" si="594"/>
        <v>0.16</v>
      </c>
      <c r="BK92" s="2867">
        <f t="shared" si="594"/>
        <v>0.16</v>
      </c>
      <c r="BL92" s="2867">
        <f t="shared" si="594"/>
        <v>0</v>
      </c>
      <c r="BM92" s="2845">
        <f t="shared" si="702"/>
        <v>0</v>
      </c>
      <c r="BN92" s="2946">
        <f t="shared" ref="BN92:BO92" si="720">SUM(BN93)</f>
        <v>0</v>
      </c>
      <c r="BO92" s="2946">
        <f t="shared" si="720"/>
        <v>0</v>
      </c>
      <c r="BP92" s="2865">
        <f>SUM(BP93)</f>
        <v>0</v>
      </c>
      <c r="BQ92" s="2865">
        <f t="shared" ref="BQ92:BR92" si="721">SUM(BQ93)</f>
        <v>0</v>
      </c>
      <c r="BR92" s="2865">
        <f t="shared" si="721"/>
        <v>0</v>
      </c>
      <c r="BS92" s="2865">
        <f>SUM(BS93)</f>
        <v>0</v>
      </c>
      <c r="BT92" s="2865">
        <f t="shared" ref="BT92:BU92" si="722">SUM(BT93)</f>
        <v>0</v>
      </c>
      <c r="BU92" s="2865">
        <f t="shared" si="722"/>
        <v>0</v>
      </c>
      <c r="BV92" s="2865">
        <f>SUM(BV93)</f>
        <v>0</v>
      </c>
      <c r="BW92" s="2865">
        <f t="shared" ref="BW92:BX92" si="723">SUM(BW93)</f>
        <v>0</v>
      </c>
      <c r="BX92" s="2865">
        <f t="shared" si="723"/>
        <v>0</v>
      </c>
      <c r="BY92" s="2865">
        <f t="shared" si="442"/>
        <v>0</v>
      </c>
      <c r="BZ92" s="2865">
        <f t="shared" si="443"/>
        <v>0</v>
      </c>
      <c r="CA92" s="2865">
        <f t="shared" si="443"/>
        <v>0</v>
      </c>
      <c r="CB92" s="2846">
        <f t="shared" si="669"/>
        <v>0</v>
      </c>
      <c r="CC92" s="2990">
        <f t="shared" ref="CC92:CD92" si="724">SUM(CC93)</f>
        <v>0</v>
      </c>
      <c r="CD92" s="2990">
        <f t="shared" si="724"/>
        <v>0</v>
      </c>
      <c r="CE92" s="2867">
        <f t="shared" si="622"/>
        <v>0.16</v>
      </c>
      <c r="CF92" s="2982">
        <f t="shared" si="622"/>
        <v>0.16</v>
      </c>
      <c r="CG92" s="2982">
        <f t="shared" si="622"/>
        <v>0</v>
      </c>
      <c r="CH92" s="2867">
        <f t="shared" si="567"/>
        <v>0.16</v>
      </c>
      <c r="CI92" s="2867">
        <f t="shared" si="567"/>
        <v>0.16</v>
      </c>
      <c r="CJ92" s="2867">
        <f t="shared" si="567"/>
        <v>0</v>
      </c>
      <c r="CK92" s="2863"/>
      <c r="CL92" s="4188">
        <f t="shared" si="668"/>
        <v>0</v>
      </c>
      <c r="CM92" s="2863"/>
    </row>
    <row r="93" spans="1:91" ht="18.75" customHeight="1" x14ac:dyDescent="0.3">
      <c r="A93" s="2879" t="s">
        <v>598</v>
      </c>
      <c r="B93" s="2853">
        <f t="shared" ref="B93:B94" si="725">SUM(C93:D93)</f>
        <v>0</v>
      </c>
      <c r="C93" s="2853">
        <f t="shared" ref="C93" si="726">SUM(CC93/4)</f>
        <v>0</v>
      </c>
      <c r="D93" s="2853">
        <f t="shared" ref="D93" si="727">SUM(CD93/4)</f>
        <v>0</v>
      </c>
      <c r="E93" s="2875">
        <f t="shared" si="407"/>
        <v>0</v>
      </c>
      <c r="F93" s="2955"/>
      <c r="G93" s="2955"/>
      <c r="H93" s="2875">
        <f t="shared" si="602"/>
        <v>0</v>
      </c>
      <c r="I93" s="2955"/>
      <c r="J93" s="2955"/>
      <c r="K93" s="2875">
        <f t="shared" si="603"/>
        <v>0.16</v>
      </c>
      <c r="L93" s="2955">
        <v>0.16</v>
      </c>
      <c r="M93" s="2955"/>
      <c r="N93" s="2875">
        <f t="shared" si="544"/>
        <v>0.16</v>
      </c>
      <c r="O93" s="2875">
        <f t="shared" si="545"/>
        <v>0.16</v>
      </c>
      <c r="P93" s="2875">
        <f t="shared" si="545"/>
        <v>0</v>
      </c>
      <c r="Q93" s="2853">
        <f t="shared" si="690"/>
        <v>0</v>
      </c>
      <c r="R93" s="2853">
        <f t="shared" ref="R93" si="728">SUM(C93)</f>
        <v>0</v>
      </c>
      <c r="S93" s="2853">
        <f t="shared" ref="S93" si="729">SUM(D93)</f>
        <v>0</v>
      </c>
      <c r="T93" s="2875">
        <f t="shared" ref="T93:T99" si="730">SUM(U93:V93)</f>
        <v>0</v>
      </c>
      <c r="U93" s="2955"/>
      <c r="V93" s="2955"/>
      <c r="W93" s="2875">
        <f t="shared" ref="W93:W99" si="731">SUM(X93:Y93)</f>
        <v>0</v>
      </c>
      <c r="X93" s="2955"/>
      <c r="Y93" s="2955"/>
      <c r="Z93" s="2875">
        <f t="shared" ref="Z93:Z99" si="732">SUM(AA93:AB93)</f>
        <v>0</v>
      </c>
      <c r="AA93" s="2955"/>
      <c r="AB93" s="2955"/>
      <c r="AC93" s="2875">
        <f t="shared" si="422"/>
        <v>0</v>
      </c>
      <c r="AD93" s="2875">
        <f t="shared" si="423"/>
        <v>0</v>
      </c>
      <c r="AE93" s="2875">
        <f t="shared" si="423"/>
        <v>0</v>
      </c>
      <c r="AF93" s="2856">
        <f t="shared" ref="AF93:AF103" si="733">SUM(AG93:AH93)</f>
        <v>0</v>
      </c>
      <c r="AG93" s="2856">
        <f t="shared" ref="AG93:AG103" si="734">SUM(C93+R93)</f>
        <v>0</v>
      </c>
      <c r="AH93" s="2856">
        <f t="shared" ref="AH93:AH103" si="735">SUM(D93+S93)</f>
        <v>0</v>
      </c>
      <c r="AI93" s="2870">
        <f t="shared" si="610"/>
        <v>0.16</v>
      </c>
      <c r="AJ93" s="2870">
        <f t="shared" si="610"/>
        <v>0.16</v>
      </c>
      <c r="AK93" s="2870">
        <f t="shared" si="610"/>
        <v>0</v>
      </c>
      <c r="AL93" s="2870">
        <f t="shared" si="588"/>
        <v>0.16</v>
      </c>
      <c r="AM93" s="2870">
        <f t="shared" si="588"/>
        <v>0.16</v>
      </c>
      <c r="AN93" s="2870">
        <f t="shared" si="588"/>
        <v>0</v>
      </c>
      <c r="AO93" s="2853">
        <f t="shared" ref="AO93:AO94" si="736">SUM(AP93:AQ93)</f>
        <v>0</v>
      </c>
      <c r="AP93" s="2853">
        <f t="shared" ref="AP93:AQ93" si="737">SUM(CC93-AG93)/2</f>
        <v>0</v>
      </c>
      <c r="AQ93" s="2853">
        <f t="shared" si="737"/>
        <v>0</v>
      </c>
      <c r="AR93" s="2875">
        <f t="shared" ref="AR93:AR99" si="738">SUM(AS93:AT93)</f>
        <v>0</v>
      </c>
      <c r="AS93" s="2955"/>
      <c r="AT93" s="2955"/>
      <c r="AU93" s="2875">
        <f t="shared" ref="AU93:AU99" si="739">SUM(AV93:AW93)</f>
        <v>0</v>
      </c>
      <c r="AV93" s="2955"/>
      <c r="AW93" s="2955"/>
      <c r="AX93" s="2875">
        <f t="shared" ref="AX93:AX98" si="740">SUM(AY93:AZ93)</f>
        <v>0</v>
      </c>
      <c r="AY93" s="2955"/>
      <c r="AZ93" s="2955"/>
      <c r="BA93" s="2875">
        <f t="shared" si="432"/>
        <v>0</v>
      </c>
      <c r="BB93" s="2875">
        <f t="shared" si="433"/>
        <v>0</v>
      </c>
      <c r="BC93" s="2875">
        <f t="shared" si="433"/>
        <v>0</v>
      </c>
      <c r="BD93" s="2856">
        <f t="shared" ref="BD93:BD125" si="741">SUM(BE93:BF93)</f>
        <v>0</v>
      </c>
      <c r="BE93" s="2856">
        <f t="shared" ref="BE93:BF125" si="742">SUM(AG93+AP93)</f>
        <v>0</v>
      </c>
      <c r="BF93" s="2856">
        <f t="shared" si="742"/>
        <v>0</v>
      </c>
      <c r="BG93" s="2870">
        <f t="shared" si="559"/>
        <v>0.16</v>
      </c>
      <c r="BH93" s="2870">
        <f t="shared" si="559"/>
        <v>0.16</v>
      </c>
      <c r="BI93" s="2870">
        <f t="shared" si="559"/>
        <v>0</v>
      </c>
      <c r="BJ93" s="2870">
        <f t="shared" si="594"/>
        <v>0.16</v>
      </c>
      <c r="BK93" s="2870">
        <f t="shared" si="594"/>
        <v>0.16</v>
      </c>
      <c r="BL93" s="2870">
        <f t="shared" si="594"/>
        <v>0</v>
      </c>
      <c r="BM93" s="2853">
        <f t="shared" si="702"/>
        <v>0</v>
      </c>
      <c r="BN93" s="2853">
        <f t="shared" ref="BN93:BO93" si="743">SUM(AP93)</f>
        <v>0</v>
      </c>
      <c r="BO93" s="2853">
        <f t="shared" si="743"/>
        <v>0</v>
      </c>
      <c r="BP93" s="2875">
        <f t="shared" ref="BP93:BP99" si="744">SUM(BQ93:BR93)</f>
        <v>0</v>
      </c>
      <c r="BQ93" s="2955"/>
      <c r="BR93" s="2955"/>
      <c r="BS93" s="2875">
        <f t="shared" ref="BS93:BS99" si="745">SUM(BT93:BU93)</f>
        <v>0</v>
      </c>
      <c r="BT93" s="2955"/>
      <c r="BU93" s="2955"/>
      <c r="BV93" s="2875">
        <f t="shared" ref="BV93:BV99" si="746">SUM(BW93:BX93)</f>
        <v>0</v>
      </c>
      <c r="BW93" s="2955"/>
      <c r="BX93" s="2955"/>
      <c r="BY93" s="2875">
        <f t="shared" si="442"/>
        <v>0</v>
      </c>
      <c r="BZ93" s="2875">
        <f t="shared" si="443"/>
        <v>0</v>
      </c>
      <c r="CA93" s="2875">
        <f t="shared" si="443"/>
        <v>0</v>
      </c>
      <c r="CB93" s="2856">
        <f t="shared" si="669"/>
        <v>0</v>
      </c>
      <c r="CC93" s="2991">
        <f>0*1.52552062574</f>
        <v>0</v>
      </c>
      <c r="CD93" s="2991">
        <v>0</v>
      </c>
      <c r="CE93" s="2870">
        <f t="shared" si="622"/>
        <v>0.16</v>
      </c>
      <c r="CF93" s="2991">
        <f t="shared" si="622"/>
        <v>0.16</v>
      </c>
      <c r="CG93" s="2991">
        <f t="shared" si="622"/>
        <v>0</v>
      </c>
      <c r="CH93" s="2870">
        <f t="shared" si="567"/>
        <v>0.16</v>
      </c>
      <c r="CI93" s="2870">
        <f t="shared" si="567"/>
        <v>0.16</v>
      </c>
      <c r="CJ93" s="2870">
        <f t="shared" si="567"/>
        <v>0</v>
      </c>
      <c r="CK93" s="2863"/>
      <c r="CL93" s="4188">
        <f t="shared" si="668"/>
        <v>0</v>
      </c>
      <c r="CM93" s="2863"/>
    </row>
    <row r="94" spans="1:91" ht="18.75" customHeight="1" x14ac:dyDescent="0.3">
      <c r="A94" s="2910" t="s">
        <v>523</v>
      </c>
      <c r="B94" s="2837">
        <f t="shared" si="725"/>
        <v>4199.8533669332755</v>
      </c>
      <c r="C94" s="2959">
        <f t="shared" ref="C94:D94" si="747">SUM(C95:C99)+C101</f>
        <v>4199.8533669332755</v>
      </c>
      <c r="D94" s="2959">
        <f t="shared" si="747"/>
        <v>0</v>
      </c>
      <c r="E94" s="2861">
        <f t="shared" si="407"/>
        <v>1138.4354900000001</v>
      </c>
      <c r="F94" s="2861">
        <f t="shared" ref="F94:G94" si="748">SUM(F95:F99)+F101</f>
        <v>1138.4354900000001</v>
      </c>
      <c r="G94" s="2861">
        <f t="shared" si="748"/>
        <v>0</v>
      </c>
      <c r="H94" s="2861">
        <f t="shared" si="602"/>
        <v>1120.491</v>
      </c>
      <c r="I94" s="2861">
        <f t="shared" ref="I94:J94" si="749">SUM(I95:I99)+I101</f>
        <v>1120.491</v>
      </c>
      <c r="J94" s="2861">
        <f t="shared" si="749"/>
        <v>0</v>
      </c>
      <c r="K94" s="2861">
        <f t="shared" si="603"/>
        <v>1246.0140000000001</v>
      </c>
      <c r="L94" s="2861">
        <f t="shared" ref="L94:M94" si="750">SUM(L95:L99)+L101</f>
        <v>1246.0140000000001</v>
      </c>
      <c r="M94" s="2861">
        <f t="shared" si="750"/>
        <v>0</v>
      </c>
      <c r="N94" s="2861">
        <f t="shared" ref="N94:N99" si="751">SUM(O94:P94)</f>
        <v>3504.94049</v>
      </c>
      <c r="O94" s="2861">
        <f t="shared" ref="O94:O99" si="752">SUM(F94+I94+L94)</f>
        <v>3504.94049</v>
      </c>
      <c r="P94" s="2861">
        <f t="shared" ref="P94:P99" si="753">SUM(G94+J94+M94)</f>
        <v>0</v>
      </c>
      <c r="Q94" s="2837">
        <f t="shared" si="690"/>
        <v>4199.8533669332755</v>
      </c>
      <c r="R94" s="2959">
        <f t="shared" ref="R94:S94" si="754">SUM(R95:R99)+R101</f>
        <v>4199.8533669332755</v>
      </c>
      <c r="S94" s="2959">
        <f t="shared" si="754"/>
        <v>0</v>
      </c>
      <c r="T94" s="2861">
        <f t="shared" si="730"/>
        <v>1219.8899999999999</v>
      </c>
      <c r="U94" s="2861">
        <f t="shared" ref="U94" si="755">SUM(U95:U99)+U101</f>
        <v>1219.8899999999999</v>
      </c>
      <c r="V94" s="2861">
        <f t="shared" ref="V94" si="756">SUM(V95:V99)+V101</f>
        <v>0</v>
      </c>
      <c r="W94" s="2861">
        <f t="shared" si="731"/>
        <v>1476.6799999999998</v>
      </c>
      <c r="X94" s="2861">
        <f t="shared" ref="X94:Y94" si="757">SUM(X95:X99)+X101</f>
        <v>1476.6799999999998</v>
      </c>
      <c r="Y94" s="2861">
        <f t="shared" si="757"/>
        <v>0</v>
      </c>
      <c r="Z94" s="2861">
        <f t="shared" si="732"/>
        <v>795.06200000000001</v>
      </c>
      <c r="AA94" s="2861">
        <f t="shared" ref="AA94:AB94" si="758">SUM(AA95:AA99)+AA101</f>
        <v>795.06200000000001</v>
      </c>
      <c r="AB94" s="2861">
        <f t="shared" si="758"/>
        <v>0</v>
      </c>
      <c r="AC94" s="2861">
        <f t="shared" si="422"/>
        <v>3491.6319999999996</v>
      </c>
      <c r="AD94" s="2861">
        <f t="shared" ref="AD94:AE111" si="759">SUM(U94+X94+AA94)</f>
        <v>3491.6319999999996</v>
      </c>
      <c r="AE94" s="2861">
        <f t="shared" si="759"/>
        <v>0</v>
      </c>
      <c r="AF94" s="2839">
        <f t="shared" si="733"/>
        <v>8399.7067338665511</v>
      </c>
      <c r="AG94" s="2839">
        <f t="shared" si="734"/>
        <v>8399.7067338665511</v>
      </c>
      <c r="AH94" s="2839">
        <f t="shared" si="735"/>
        <v>0</v>
      </c>
      <c r="AI94" s="2862">
        <f t="shared" ref="AI94:AK99" si="760">SUM(AC94+N94)</f>
        <v>6996.5724899999996</v>
      </c>
      <c r="AJ94" s="2862">
        <f t="shared" si="760"/>
        <v>6996.5724899999996</v>
      </c>
      <c r="AK94" s="2862">
        <f t="shared" si="760"/>
        <v>0</v>
      </c>
      <c r="AL94" s="2862">
        <f t="shared" si="588"/>
        <v>-1403.1342438665515</v>
      </c>
      <c r="AM94" s="2862">
        <f t="shared" si="588"/>
        <v>-1403.1342438665515</v>
      </c>
      <c r="AN94" s="2862">
        <f t="shared" si="588"/>
        <v>0</v>
      </c>
      <c r="AO94" s="2837">
        <f t="shared" si="736"/>
        <v>4199.8533669332755</v>
      </c>
      <c r="AP94" s="2959">
        <f t="shared" ref="AP94:AQ94" si="761">SUM(AP95:AP99)+AP101</f>
        <v>4199.8533669332755</v>
      </c>
      <c r="AQ94" s="2959">
        <f t="shared" si="761"/>
        <v>0</v>
      </c>
      <c r="AR94" s="2861">
        <f t="shared" si="738"/>
        <v>1168.95</v>
      </c>
      <c r="AS94" s="2861">
        <f t="shared" ref="AS94" si="762">SUM(AS95:AS99)+AS101</f>
        <v>1168.95</v>
      </c>
      <c r="AT94" s="2861">
        <f t="shared" ref="AT94" si="763">SUM(AT95:AT99)+AT101</f>
        <v>0</v>
      </c>
      <c r="AU94" s="2861">
        <f t="shared" si="739"/>
        <v>1893.8579999999999</v>
      </c>
      <c r="AV94" s="2861">
        <f t="shared" ref="AV94:AW94" si="764">SUM(AV95:AV99)+AV101</f>
        <v>1893.8579999999999</v>
      </c>
      <c r="AW94" s="2861">
        <f t="shared" si="764"/>
        <v>0</v>
      </c>
      <c r="AX94" s="2861">
        <f t="shared" si="740"/>
        <v>1594.492</v>
      </c>
      <c r="AY94" s="2861">
        <f>SUM(AY95:AY99)+AY101</f>
        <v>1594.492</v>
      </c>
      <c r="AZ94" s="2861">
        <f t="shared" ref="AZ94" si="765">SUM(AZ95:AZ99)+AZ101</f>
        <v>0</v>
      </c>
      <c r="BA94" s="2861">
        <f t="shared" si="432"/>
        <v>4657.3</v>
      </c>
      <c r="BB94" s="2861">
        <f t="shared" ref="BB94:BC110" si="766">SUM(AS94+AV94+AY94)</f>
        <v>4657.3</v>
      </c>
      <c r="BC94" s="2861">
        <f t="shared" si="766"/>
        <v>0</v>
      </c>
      <c r="BD94" s="2839">
        <f t="shared" si="741"/>
        <v>12599.560100799827</v>
      </c>
      <c r="BE94" s="2839">
        <f t="shared" si="742"/>
        <v>12599.560100799827</v>
      </c>
      <c r="BF94" s="2839">
        <f t="shared" si="742"/>
        <v>0</v>
      </c>
      <c r="BG94" s="2862">
        <f t="shared" ref="BG94:BI99" si="767">SUM(AI94+BA94)</f>
        <v>11653.87249</v>
      </c>
      <c r="BH94" s="2862">
        <f t="shared" si="767"/>
        <v>11653.87249</v>
      </c>
      <c r="BI94" s="2862">
        <f t="shared" si="767"/>
        <v>0</v>
      </c>
      <c r="BJ94" s="2862">
        <f t="shared" si="594"/>
        <v>-945.68761079982687</v>
      </c>
      <c r="BK94" s="2862">
        <f t="shared" si="594"/>
        <v>-945.68761079982687</v>
      </c>
      <c r="BL94" s="2862">
        <f t="shared" si="594"/>
        <v>0</v>
      </c>
      <c r="BM94" s="2837">
        <f t="shared" si="702"/>
        <v>4199.8533669332755</v>
      </c>
      <c r="BN94" s="2959">
        <f t="shared" ref="BN94:BO94" si="768">SUM(BN95:BN99)+BN101</f>
        <v>4199.8533669332755</v>
      </c>
      <c r="BO94" s="2959">
        <f t="shared" si="768"/>
        <v>0</v>
      </c>
      <c r="BP94" s="2861">
        <f t="shared" si="744"/>
        <v>1072.6869999999999</v>
      </c>
      <c r="BQ94" s="2861">
        <f t="shared" ref="BQ94" si="769">SUM(BQ95:BQ99)+BQ101</f>
        <v>1072.6869999999999</v>
      </c>
      <c r="BR94" s="2861">
        <f t="shared" ref="BR94" si="770">SUM(BR95:BR99)+BR101</f>
        <v>0</v>
      </c>
      <c r="BS94" s="2861">
        <f t="shared" si="745"/>
        <v>1121.8530000000001</v>
      </c>
      <c r="BT94" s="2861">
        <f t="shared" ref="BT94:BU94" si="771">SUM(BT95:BT99)+BT101</f>
        <v>1121.8530000000001</v>
      </c>
      <c r="BU94" s="2861">
        <f t="shared" si="771"/>
        <v>0</v>
      </c>
      <c r="BV94" s="2861">
        <f t="shared" si="746"/>
        <v>1575.8565000000001</v>
      </c>
      <c r="BW94" s="2861">
        <f t="shared" ref="BW94:BX94" si="772">SUM(BW95:BW99)+BW101</f>
        <v>1575.8565000000001</v>
      </c>
      <c r="BX94" s="2861">
        <f t="shared" si="772"/>
        <v>0</v>
      </c>
      <c r="BY94" s="2861">
        <f t="shared" si="442"/>
        <v>3770.3964999999998</v>
      </c>
      <c r="BZ94" s="2861">
        <f t="shared" ref="BZ94:CA110" si="773">SUM(BQ94+BT94+BW94)</f>
        <v>3770.3964999999998</v>
      </c>
      <c r="CA94" s="2861">
        <f t="shared" si="773"/>
        <v>0</v>
      </c>
      <c r="CB94" s="2839">
        <f t="shared" si="669"/>
        <v>16799.413373074774</v>
      </c>
      <c r="CC94" s="2981">
        <f>SUM(стоки!DA34)</f>
        <v>16799.413373074774</v>
      </c>
      <c r="CD94" s="2981">
        <f>SUM(стоки!DB34)</f>
        <v>0</v>
      </c>
      <c r="CE94" s="2862">
        <f t="shared" ref="CE94:CG99" si="774">SUM(BY94+BG94)</f>
        <v>15424.26899</v>
      </c>
      <c r="CF94" s="2981">
        <f t="shared" si="774"/>
        <v>15424.26899</v>
      </c>
      <c r="CG94" s="2981">
        <f t="shared" si="774"/>
        <v>0</v>
      </c>
      <c r="CH94" s="2862">
        <f t="shared" ref="CH94:CJ110" si="775">SUM(CE94-CB94)</f>
        <v>-1375.1443830747739</v>
      </c>
      <c r="CI94" s="2862">
        <f t="shared" si="775"/>
        <v>-1375.1443830747739</v>
      </c>
      <c r="CJ94" s="2862">
        <f t="shared" si="775"/>
        <v>0</v>
      </c>
      <c r="CK94" s="2987"/>
      <c r="CL94" s="4188">
        <f t="shared" si="668"/>
        <v>16799.413467733102</v>
      </c>
      <c r="CM94" s="2987">
        <f>SUM(CC95:CC99)+CC101</f>
        <v>16799.413373074774</v>
      </c>
    </row>
    <row r="95" spans="1:91" ht="18.75" customHeight="1" x14ac:dyDescent="0.3">
      <c r="A95" s="2914" t="s">
        <v>2</v>
      </c>
      <c r="B95" s="2845">
        <f t="shared" ref="B95:B106" si="776">SUM(C95:D95)</f>
        <v>999.49763464091552</v>
      </c>
      <c r="C95" s="2845">
        <f t="shared" ref="C95:D99" si="777">SUM(CC95/4)</f>
        <v>999.49763464091552</v>
      </c>
      <c r="D95" s="2845">
        <f t="shared" si="777"/>
        <v>0</v>
      </c>
      <c r="E95" s="2865">
        <f t="shared" si="407"/>
        <v>345.23</v>
      </c>
      <c r="F95" s="2947">
        <v>345.23</v>
      </c>
      <c r="G95" s="2947"/>
      <c r="H95" s="2865">
        <f t="shared" si="602"/>
        <v>346.745</v>
      </c>
      <c r="I95" s="2947">
        <v>346.745</v>
      </c>
      <c r="J95" s="2947"/>
      <c r="K95" s="2865">
        <f t="shared" si="603"/>
        <v>349.41</v>
      </c>
      <c r="L95" s="2947">
        <v>349.41</v>
      </c>
      <c r="M95" s="2947"/>
      <c r="N95" s="2865">
        <f t="shared" si="751"/>
        <v>1041.385</v>
      </c>
      <c r="O95" s="2865">
        <f t="shared" si="752"/>
        <v>1041.385</v>
      </c>
      <c r="P95" s="2865">
        <f t="shared" si="753"/>
        <v>0</v>
      </c>
      <c r="Q95" s="2845">
        <f t="shared" si="690"/>
        <v>999.49763464091552</v>
      </c>
      <c r="R95" s="2845">
        <f t="shared" ref="R95:R99" si="778">SUM(C95)</f>
        <v>999.49763464091552</v>
      </c>
      <c r="S95" s="2845">
        <f t="shared" ref="S95:S99" si="779">SUM(D95)</f>
        <v>0</v>
      </c>
      <c r="T95" s="2865">
        <f t="shared" si="730"/>
        <v>352.15</v>
      </c>
      <c r="U95" s="2947">
        <v>352.15</v>
      </c>
      <c r="V95" s="2947"/>
      <c r="W95" s="2865">
        <f t="shared" si="731"/>
        <v>363.36</v>
      </c>
      <c r="X95" s="2947">
        <v>363.36</v>
      </c>
      <c r="Y95" s="2947"/>
      <c r="Z95" s="2865">
        <f t="shared" si="732"/>
        <v>363.35599999999999</v>
      </c>
      <c r="AA95" s="2947">
        <v>363.35599999999999</v>
      </c>
      <c r="AB95" s="2947"/>
      <c r="AC95" s="2865">
        <f t="shared" si="422"/>
        <v>1078.866</v>
      </c>
      <c r="AD95" s="2865">
        <f t="shared" si="759"/>
        <v>1078.866</v>
      </c>
      <c r="AE95" s="2865">
        <f t="shared" si="759"/>
        <v>0</v>
      </c>
      <c r="AF95" s="2846">
        <f t="shared" si="733"/>
        <v>1998.995269281831</v>
      </c>
      <c r="AG95" s="2846">
        <f t="shared" si="734"/>
        <v>1998.995269281831</v>
      </c>
      <c r="AH95" s="2846">
        <f t="shared" si="735"/>
        <v>0</v>
      </c>
      <c r="AI95" s="2867">
        <f t="shared" si="760"/>
        <v>2120.2510000000002</v>
      </c>
      <c r="AJ95" s="2867">
        <f t="shared" si="760"/>
        <v>2120.2510000000002</v>
      </c>
      <c r="AK95" s="2867">
        <f t="shared" si="760"/>
        <v>0</v>
      </c>
      <c r="AL95" s="2867">
        <f t="shared" si="588"/>
        <v>121.25573071816916</v>
      </c>
      <c r="AM95" s="2867">
        <f t="shared" si="588"/>
        <v>121.25573071816916</v>
      </c>
      <c r="AN95" s="2867">
        <f t="shared" si="588"/>
        <v>0</v>
      </c>
      <c r="AO95" s="2845">
        <f t="shared" ref="AO95:AO109" si="780">SUM(AP95:AQ95)</f>
        <v>999.49763464091552</v>
      </c>
      <c r="AP95" s="2845">
        <f t="shared" ref="AP95:AP99" si="781">SUM(CC95-AG95)/2</f>
        <v>999.49763464091552</v>
      </c>
      <c r="AQ95" s="2845">
        <f t="shared" ref="AQ95:AQ99" si="782">SUM(CD95-AH95)/2</f>
        <v>0</v>
      </c>
      <c r="AR95" s="2865">
        <f t="shared" si="738"/>
        <v>363.36</v>
      </c>
      <c r="AS95" s="2947">
        <v>363.36</v>
      </c>
      <c r="AT95" s="2947"/>
      <c r="AU95" s="2865">
        <f t="shared" si="739"/>
        <v>363.35599999999999</v>
      </c>
      <c r="AV95" s="2947">
        <v>363.35599999999999</v>
      </c>
      <c r="AW95" s="2947"/>
      <c r="AX95" s="2865">
        <f t="shared" si="740"/>
        <v>379.29199999999997</v>
      </c>
      <c r="AY95" s="2947">
        <v>379.29199999999997</v>
      </c>
      <c r="AZ95" s="2947"/>
      <c r="BA95" s="2865">
        <f t="shared" si="432"/>
        <v>1106.008</v>
      </c>
      <c r="BB95" s="2865">
        <f t="shared" si="766"/>
        <v>1106.008</v>
      </c>
      <c r="BC95" s="2865">
        <f t="shared" si="766"/>
        <v>0</v>
      </c>
      <c r="BD95" s="2846">
        <f t="shared" si="741"/>
        <v>2998.4929039227463</v>
      </c>
      <c r="BE95" s="2846">
        <f t="shared" si="742"/>
        <v>2998.4929039227463</v>
      </c>
      <c r="BF95" s="2846">
        <f t="shared" si="742"/>
        <v>0</v>
      </c>
      <c r="BG95" s="2867">
        <f t="shared" si="767"/>
        <v>3226.259</v>
      </c>
      <c r="BH95" s="2867">
        <f t="shared" si="767"/>
        <v>3226.259</v>
      </c>
      <c r="BI95" s="2867">
        <f t="shared" si="767"/>
        <v>0</v>
      </c>
      <c r="BJ95" s="2867">
        <f t="shared" si="594"/>
        <v>227.76609607725368</v>
      </c>
      <c r="BK95" s="2867">
        <f t="shared" si="594"/>
        <v>227.76609607725368</v>
      </c>
      <c r="BL95" s="2867">
        <f t="shared" si="594"/>
        <v>0</v>
      </c>
      <c r="BM95" s="2845">
        <f t="shared" ref="BM95" si="783">SUM(BN95:BO95)</f>
        <v>999.49763464091552</v>
      </c>
      <c r="BN95" s="2845">
        <f t="shared" ref="BN95:BN99" si="784">SUM(AP95)</f>
        <v>999.49763464091552</v>
      </c>
      <c r="BO95" s="2845">
        <f t="shared" ref="BO95:BO99" si="785">SUM(AQ95)</f>
        <v>0</v>
      </c>
      <c r="BP95" s="2865">
        <f t="shared" si="744"/>
        <v>377.89400000000001</v>
      </c>
      <c r="BQ95" s="2947">
        <v>377.89400000000001</v>
      </c>
      <c r="BR95" s="2947"/>
      <c r="BS95" s="2865">
        <f t="shared" si="745"/>
        <v>377.89400000000001</v>
      </c>
      <c r="BT95" s="2947">
        <v>377.89400000000001</v>
      </c>
      <c r="BU95" s="2947"/>
      <c r="BV95" s="2865">
        <f t="shared" si="746"/>
        <v>377.89600000000002</v>
      </c>
      <c r="BW95" s="2947">
        <v>377.89600000000002</v>
      </c>
      <c r="BX95" s="2947"/>
      <c r="BY95" s="2865">
        <f t="shared" si="442"/>
        <v>1133.684</v>
      </c>
      <c r="BZ95" s="2865">
        <f t="shared" si="773"/>
        <v>1133.684</v>
      </c>
      <c r="CA95" s="2865">
        <f t="shared" si="773"/>
        <v>0</v>
      </c>
      <c r="CB95" s="2846">
        <f t="shared" si="669"/>
        <v>3997.9905385636621</v>
      </c>
      <c r="CC95" s="2982">
        <f>SUM(стоки!DA35)</f>
        <v>3997.9905385636621</v>
      </c>
      <c r="CD95" s="2982">
        <f>SUM(стоки!DB35)</f>
        <v>0</v>
      </c>
      <c r="CE95" s="2867">
        <f t="shared" si="774"/>
        <v>4359.9430000000002</v>
      </c>
      <c r="CF95" s="2982">
        <f t="shared" si="774"/>
        <v>4359.9430000000002</v>
      </c>
      <c r="CG95" s="2982">
        <f t="shared" si="774"/>
        <v>0</v>
      </c>
      <c r="CH95" s="2867">
        <f t="shared" si="775"/>
        <v>361.95246143633813</v>
      </c>
      <c r="CI95" s="2867">
        <f t="shared" si="775"/>
        <v>361.95246143633813</v>
      </c>
      <c r="CJ95" s="2867">
        <f t="shared" si="775"/>
        <v>0</v>
      </c>
      <c r="CK95" s="2863"/>
      <c r="CL95" s="4188">
        <f t="shared" si="668"/>
        <v>3997.9905385636621</v>
      </c>
      <c r="CM95" s="2863"/>
    </row>
    <row r="96" spans="1:91" ht="18.75" customHeight="1" x14ac:dyDescent="0.3">
      <c r="A96" s="2868" t="s">
        <v>3730</v>
      </c>
      <c r="B96" s="2845">
        <f t="shared" si="776"/>
        <v>0</v>
      </c>
      <c r="C96" s="2845">
        <f t="shared" si="777"/>
        <v>0</v>
      </c>
      <c r="D96" s="2845">
        <f t="shared" si="777"/>
        <v>0</v>
      </c>
      <c r="E96" s="2865">
        <f t="shared" si="407"/>
        <v>0</v>
      </c>
      <c r="F96" s="2947"/>
      <c r="G96" s="2947"/>
      <c r="H96" s="2865">
        <f t="shared" si="602"/>
        <v>0</v>
      </c>
      <c r="I96" s="2947"/>
      <c r="J96" s="2947"/>
      <c r="K96" s="2865">
        <f t="shared" si="603"/>
        <v>0</v>
      </c>
      <c r="L96" s="2947"/>
      <c r="M96" s="2947"/>
      <c r="N96" s="2865">
        <f t="shared" si="751"/>
        <v>0</v>
      </c>
      <c r="O96" s="2865">
        <f t="shared" si="752"/>
        <v>0</v>
      </c>
      <c r="P96" s="2865">
        <f t="shared" si="753"/>
        <v>0</v>
      </c>
      <c r="Q96" s="2845">
        <f t="shared" si="690"/>
        <v>0</v>
      </c>
      <c r="R96" s="2845">
        <f t="shared" si="778"/>
        <v>0</v>
      </c>
      <c r="S96" s="2845">
        <f t="shared" si="779"/>
        <v>0</v>
      </c>
      <c r="T96" s="2865">
        <f t="shared" si="730"/>
        <v>0</v>
      </c>
      <c r="U96" s="2947"/>
      <c r="V96" s="2947"/>
      <c r="W96" s="2865">
        <f t="shared" si="731"/>
        <v>0</v>
      </c>
      <c r="X96" s="2947"/>
      <c r="Y96" s="2947"/>
      <c r="Z96" s="2865">
        <f t="shared" si="732"/>
        <v>0</v>
      </c>
      <c r="AA96" s="2947">
        <v>0</v>
      </c>
      <c r="AB96" s="2947"/>
      <c r="AC96" s="2865">
        <f t="shared" si="422"/>
        <v>0</v>
      </c>
      <c r="AD96" s="2865">
        <f t="shared" si="759"/>
        <v>0</v>
      </c>
      <c r="AE96" s="2865">
        <f t="shared" si="759"/>
        <v>0</v>
      </c>
      <c r="AF96" s="2846">
        <f t="shared" si="733"/>
        <v>0</v>
      </c>
      <c r="AG96" s="2846">
        <f t="shared" si="734"/>
        <v>0</v>
      </c>
      <c r="AH96" s="2846">
        <f t="shared" si="735"/>
        <v>0</v>
      </c>
      <c r="AI96" s="2867">
        <f t="shared" si="760"/>
        <v>0</v>
      </c>
      <c r="AJ96" s="2867">
        <f t="shared" si="760"/>
        <v>0</v>
      </c>
      <c r="AK96" s="2867">
        <f t="shared" si="760"/>
        <v>0</v>
      </c>
      <c r="AL96" s="2867">
        <f t="shared" si="588"/>
        <v>0</v>
      </c>
      <c r="AM96" s="2867">
        <f t="shared" si="588"/>
        <v>0</v>
      </c>
      <c r="AN96" s="2867">
        <f t="shared" si="588"/>
        <v>0</v>
      </c>
      <c r="AO96" s="2845">
        <f t="shared" si="780"/>
        <v>0</v>
      </c>
      <c r="AP96" s="2845">
        <f t="shared" si="781"/>
        <v>0</v>
      </c>
      <c r="AQ96" s="2845">
        <f t="shared" si="782"/>
        <v>0</v>
      </c>
      <c r="AR96" s="2865">
        <f t="shared" si="738"/>
        <v>0</v>
      </c>
      <c r="AS96" s="2947"/>
      <c r="AT96" s="2947"/>
      <c r="AU96" s="2865">
        <f t="shared" si="739"/>
        <v>0</v>
      </c>
      <c r="AV96" s="2947"/>
      <c r="AW96" s="2947"/>
      <c r="AX96" s="2865">
        <f t="shared" si="740"/>
        <v>0</v>
      </c>
      <c r="AY96" s="2947"/>
      <c r="AZ96" s="2947"/>
      <c r="BA96" s="2865">
        <f t="shared" si="432"/>
        <v>0</v>
      </c>
      <c r="BB96" s="2865">
        <f t="shared" si="766"/>
        <v>0</v>
      </c>
      <c r="BC96" s="2865">
        <f t="shared" si="766"/>
        <v>0</v>
      </c>
      <c r="BD96" s="2846">
        <f t="shared" si="741"/>
        <v>0</v>
      </c>
      <c r="BE96" s="2846">
        <f t="shared" si="742"/>
        <v>0</v>
      </c>
      <c r="BF96" s="2846">
        <f t="shared" si="742"/>
        <v>0</v>
      </c>
      <c r="BG96" s="2867">
        <f t="shared" si="767"/>
        <v>0</v>
      </c>
      <c r="BH96" s="2867">
        <f t="shared" si="767"/>
        <v>0</v>
      </c>
      <c r="BI96" s="2867">
        <f t="shared" si="767"/>
        <v>0</v>
      </c>
      <c r="BJ96" s="2867">
        <f t="shared" si="594"/>
        <v>0</v>
      </c>
      <c r="BK96" s="2867">
        <f t="shared" si="594"/>
        <v>0</v>
      </c>
      <c r="BL96" s="2867">
        <f t="shared" si="594"/>
        <v>0</v>
      </c>
      <c r="BM96" s="2845">
        <f t="shared" ref="BM96:BM101" si="786">SUM(BN96:BO96)</f>
        <v>0</v>
      </c>
      <c r="BN96" s="2845">
        <f t="shared" si="784"/>
        <v>0</v>
      </c>
      <c r="BO96" s="2845">
        <f t="shared" si="785"/>
        <v>0</v>
      </c>
      <c r="BP96" s="2865">
        <f t="shared" si="744"/>
        <v>0</v>
      </c>
      <c r="BQ96" s="2947"/>
      <c r="BR96" s="2947"/>
      <c r="BS96" s="2865">
        <f t="shared" si="745"/>
        <v>0</v>
      </c>
      <c r="BT96" s="2947"/>
      <c r="BU96" s="2947"/>
      <c r="BV96" s="2865">
        <f t="shared" si="746"/>
        <v>0</v>
      </c>
      <c r="BW96" s="2947"/>
      <c r="BX96" s="2947"/>
      <c r="BY96" s="2865">
        <f t="shared" si="442"/>
        <v>0</v>
      </c>
      <c r="BZ96" s="2865">
        <f t="shared" si="773"/>
        <v>0</v>
      </c>
      <c r="CA96" s="2865">
        <f t="shared" si="773"/>
        <v>0</v>
      </c>
      <c r="CB96" s="2846">
        <f t="shared" si="669"/>
        <v>0</v>
      </c>
      <c r="CC96" s="2982">
        <f>SUM(стоки!DA36)</f>
        <v>0</v>
      </c>
      <c r="CD96" s="2982">
        <f>SUM(стоки!DB36)</f>
        <v>0</v>
      </c>
      <c r="CE96" s="2867">
        <f t="shared" si="774"/>
        <v>0</v>
      </c>
      <c r="CF96" s="2982">
        <f t="shared" si="774"/>
        <v>0</v>
      </c>
      <c r="CG96" s="2982">
        <f t="shared" si="774"/>
        <v>0</v>
      </c>
      <c r="CH96" s="2867">
        <f t="shared" si="775"/>
        <v>0</v>
      </c>
      <c r="CI96" s="2867">
        <f t="shared" si="775"/>
        <v>0</v>
      </c>
      <c r="CJ96" s="2867">
        <f t="shared" si="775"/>
        <v>0</v>
      </c>
      <c r="CK96" s="2863"/>
      <c r="CL96" s="4188">
        <f t="shared" si="668"/>
        <v>0</v>
      </c>
      <c r="CM96" s="2863"/>
    </row>
    <row r="97" spans="1:99" ht="18.75" customHeight="1" x14ac:dyDescent="0.3">
      <c r="A97" s="2914" t="s">
        <v>3</v>
      </c>
      <c r="B97" s="2845">
        <f t="shared" si="776"/>
        <v>197.22333816108002</v>
      </c>
      <c r="C97" s="2845">
        <f t="shared" si="777"/>
        <v>197.22333816108002</v>
      </c>
      <c r="D97" s="2845">
        <f t="shared" si="777"/>
        <v>0</v>
      </c>
      <c r="E97" s="2865">
        <f t="shared" si="407"/>
        <v>7.13</v>
      </c>
      <c r="F97" s="2947">
        <f>7.13</f>
        <v>7.13</v>
      </c>
      <c r="G97" s="2947"/>
      <c r="H97" s="2865">
        <f t="shared" si="602"/>
        <v>4.1849999999999996</v>
      </c>
      <c r="I97" s="2947">
        <f>4.185</f>
        <v>4.1849999999999996</v>
      </c>
      <c r="J97" s="2947"/>
      <c r="K97" s="2865">
        <f t="shared" si="603"/>
        <v>54.755000000000003</v>
      </c>
      <c r="L97" s="2947">
        <v>54.755000000000003</v>
      </c>
      <c r="M97" s="2947"/>
      <c r="N97" s="2865">
        <f t="shared" si="751"/>
        <v>66.070000000000007</v>
      </c>
      <c r="O97" s="2865">
        <f t="shared" si="752"/>
        <v>66.070000000000007</v>
      </c>
      <c r="P97" s="2865">
        <f t="shared" si="753"/>
        <v>0</v>
      </c>
      <c r="Q97" s="2845">
        <f t="shared" si="690"/>
        <v>197.22333816108002</v>
      </c>
      <c r="R97" s="2845">
        <f t="shared" si="778"/>
        <v>197.22333816108002</v>
      </c>
      <c r="S97" s="2845">
        <f t="shared" si="779"/>
        <v>0</v>
      </c>
      <c r="T97" s="2865">
        <f t="shared" si="730"/>
        <v>20.75</v>
      </c>
      <c r="U97" s="2947">
        <v>20.75</v>
      </c>
      <c r="V97" s="2947"/>
      <c r="W97" s="2865">
        <f t="shared" si="731"/>
        <v>37.51</v>
      </c>
      <c r="X97" s="2947">
        <v>37.51</v>
      </c>
      <c r="Y97" s="2947"/>
      <c r="Z97" s="2865">
        <f t="shared" si="732"/>
        <v>2.2999999999999998</v>
      </c>
      <c r="AA97" s="2947">
        <v>2.2999999999999998</v>
      </c>
      <c r="AB97" s="2947"/>
      <c r="AC97" s="2865">
        <f t="shared" si="422"/>
        <v>60.559999999999995</v>
      </c>
      <c r="AD97" s="2865">
        <f t="shared" si="759"/>
        <v>60.559999999999995</v>
      </c>
      <c r="AE97" s="2865">
        <f t="shared" si="759"/>
        <v>0</v>
      </c>
      <c r="AF97" s="2846">
        <f t="shared" si="733"/>
        <v>394.44667632216004</v>
      </c>
      <c r="AG97" s="2846">
        <f t="shared" si="734"/>
        <v>394.44667632216004</v>
      </c>
      <c r="AH97" s="2846">
        <f t="shared" si="735"/>
        <v>0</v>
      </c>
      <c r="AI97" s="2867">
        <f t="shared" si="760"/>
        <v>126.63</v>
      </c>
      <c r="AJ97" s="2867">
        <f t="shared" si="760"/>
        <v>126.63</v>
      </c>
      <c r="AK97" s="2867">
        <f t="shared" si="760"/>
        <v>0</v>
      </c>
      <c r="AL97" s="2867">
        <f t="shared" si="588"/>
        <v>-267.81667632216005</v>
      </c>
      <c r="AM97" s="2867">
        <f t="shared" si="588"/>
        <v>-267.81667632216005</v>
      </c>
      <c r="AN97" s="2867">
        <f t="shared" si="588"/>
        <v>0</v>
      </c>
      <c r="AO97" s="2845">
        <f t="shared" si="780"/>
        <v>197.22333816108002</v>
      </c>
      <c r="AP97" s="2845">
        <f t="shared" si="781"/>
        <v>197.22333816108002</v>
      </c>
      <c r="AQ97" s="2845">
        <f t="shared" si="782"/>
        <v>0</v>
      </c>
      <c r="AR97" s="2865">
        <f t="shared" si="738"/>
        <v>15</v>
      </c>
      <c r="AS97" s="2947">
        <v>15</v>
      </c>
      <c r="AT97" s="2947"/>
      <c r="AU97" s="2865">
        <f t="shared" si="739"/>
        <v>963.13499999999999</v>
      </c>
      <c r="AV97" s="2947">
        <f>940.369+22.766</f>
        <v>963.13499999999999</v>
      </c>
      <c r="AW97" s="2947"/>
      <c r="AX97" s="2865">
        <f t="shared" si="740"/>
        <v>80.486999999999995</v>
      </c>
      <c r="AY97" s="2947">
        <v>80.486999999999995</v>
      </c>
      <c r="AZ97" s="2947"/>
      <c r="BA97" s="2865">
        <f t="shared" si="432"/>
        <v>1058.6220000000001</v>
      </c>
      <c r="BB97" s="2865">
        <f>SUM(AS97+AV97+AY97)</f>
        <v>1058.6220000000001</v>
      </c>
      <c r="BC97" s="2865">
        <f t="shared" si="766"/>
        <v>0</v>
      </c>
      <c r="BD97" s="2846">
        <f t="shared" si="741"/>
        <v>591.67001448324004</v>
      </c>
      <c r="BE97" s="2846">
        <f t="shared" si="742"/>
        <v>591.67001448324004</v>
      </c>
      <c r="BF97" s="2846">
        <f t="shared" si="742"/>
        <v>0</v>
      </c>
      <c r="BG97" s="2867">
        <f t="shared" si="767"/>
        <v>1185.252</v>
      </c>
      <c r="BH97" s="2867">
        <f t="shared" si="767"/>
        <v>1185.252</v>
      </c>
      <c r="BI97" s="2867">
        <f t="shared" si="767"/>
        <v>0</v>
      </c>
      <c r="BJ97" s="2867">
        <f t="shared" si="594"/>
        <v>593.58198551675991</v>
      </c>
      <c r="BK97" s="2867">
        <f t="shared" si="594"/>
        <v>593.58198551675991</v>
      </c>
      <c r="BL97" s="2867">
        <f t="shared" si="594"/>
        <v>0</v>
      </c>
      <c r="BM97" s="2845">
        <f t="shared" si="786"/>
        <v>197.22333816108002</v>
      </c>
      <c r="BN97" s="2845">
        <f t="shared" si="784"/>
        <v>197.22333816108002</v>
      </c>
      <c r="BO97" s="2845">
        <f t="shared" si="785"/>
        <v>0</v>
      </c>
      <c r="BP97" s="2865">
        <f t="shared" si="744"/>
        <v>50.530999999999999</v>
      </c>
      <c r="BQ97" s="2947">
        <f>9+41.531</f>
        <v>50.530999999999999</v>
      </c>
      <c r="BR97" s="2947"/>
      <c r="BS97" s="2865">
        <f t="shared" si="745"/>
        <v>28.672000000000001</v>
      </c>
      <c r="BT97" s="2947">
        <f>28.672</f>
        <v>28.672000000000001</v>
      </c>
      <c r="BU97" s="2947"/>
      <c r="BV97" s="2865">
        <f t="shared" si="746"/>
        <v>64.247</v>
      </c>
      <c r="BW97" s="2947">
        <v>64.247</v>
      </c>
      <c r="BX97" s="2947"/>
      <c r="BY97" s="2865">
        <f t="shared" si="442"/>
        <v>143.44999999999999</v>
      </c>
      <c r="BZ97" s="2865">
        <f t="shared" si="773"/>
        <v>143.44999999999999</v>
      </c>
      <c r="CA97" s="2865">
        <f t="shared" si="773"/>
        <v>0</v>
      </c>
      <c r="CB97" s="2846">
        <f t="shared" si="669"/>
        <v>788.89335264432009</v>
      </c>
      <c r="CC97" s="2982">
        <f>SUM(стоки!DA37)</f>
        <v>788.89335264432009</v>
      </c>
      <c r="CD97" s="2982">
        <f>SUM(стоки!DB37)</f>
        <v>0</v>
      </c>
      <c r="CE97" s="2867">
        <f t="shared" si="774"/>
        <v>1328.702</v>
      </c>
      <c r="CF97" s="2982">
        <f t="shared" si="774"/>
        <v>1328.702</v>
      </c>
      <c r="CG97" s="2982">
        <f t="shared" si="774"/>
        <v>0</v>
      </c>
      <c r="CH97" s="2867">
        <f t="shared" si="775"/>
        <v>539.80864735567991</v>
      </c>
      <c r="CI97" s="2867">
        <f t="shared" si="775"/>
        <v>539.80864735567991</v>
      </c>
      <c r="CJ97" s="2867">
        <f t="shared" si="775"/>
        <v>0</v>
      </c>
      <c r="CK97" s="2863"/>
      <c r="CL97" s="4188">
        <f t="shared" si="668"/>
        <v>788.89335264432009</v>
      </c>
      <c r="CM97" s="2863"/>
    </row>
    <row r="98" spans="1:99" ht="18.75" customHeight="1" x14ac:dyDescent="0.3">
      <c r="A98" s="2914" t="s">
        <v>4</v>
      </c>
      <c r="B98" s="2845">
        <f t="shared" si="776"/>
        <v>1453.6091387438689</v>
      </c>
      <c r="C98" s="2845">
        <f t="shared" si="777"/>
        <v>1453.6091387438689</v>
      </c>
      <c r="D98" s="2845">
        <f t="shared" si="777"/>
        <v>0</v>
      </c>
      <c r="E98" s="2865">
        <f t="shared" si="407"/>
        <v>255.61</v>
      </c>
      <c r="F98" s="2947">
        <v>255.61</v>
      </c>
      <c r="G98" s="2947"/>
      <c r="H98" s="2865">
        <f t="shared" si="602"/>
        <v>335.97500000000002</v>
      </c>
      <c r="I98" s="2947">
        <v>335.97500000000002</v>
      </c>
      <c r="J98" s="2947"/>
      <c r="K98" s="2865">
        <f t="shared" si="603"/>
        <v>334.13</v>
      </c>
      <c r="L98" s="2947">
        <v>334.13</v>
      </c>
      <c r="M98" s="2947"/>
      <c r="N98" s="2865">
        <f t="shared" si="751"/>
        <v>925.71500000000003</v>
      </c>
      <c r="O98" s="2865">
        <f t="shared" si="752"/>
        <v>925.71500000000003</v>
      </c>
      <c r="P98" s="2865">
        <f t="shared" si="753"/>
        <v>0</v>
      </c>
      <c r="Q98" s="2845">
        <f t="shared" si="690"/>
        <v>1453.6091387438689</v>
      </c>
      <c r="R98" s="2845">
        <f t="shared" si="778"/>
        <v>1453.6091387438689</v>
      </c>
      <c r="S98" s="2845">
        <f t="shared" si="779"/>
        <v>0</v>
      </c>
      <c r="T98" s="2865">
        <f t="shared" si="730"/>
        <v>434.48</v>
      </c>
      <c r="U98" s="2947">
        <v>434.48</v>
      </c>
      <c r="V98" s="2947"/>
      <c r="W98" s="2865">
        <f t="shared" si="731"/>
        <v>263.02</v>
      </c>
      <c r="X98" s="2947">
        <v>263.02</v>
      </c>
      <c r="Y98" s="2947"/>
      <c r="Z98" s="2865">
        <f t="shared" si="732"/>
        <v>298.30700000000002</v>
      </c>
      <c r="AA98" s="2947">
        <v>298.30700000000002</v>
      </c>
      <c r="AB98" s="2947"/>
      <c r="AC98" s="2865">
        <f t="shared" si="422"/>
        <v>995.80700000000002</v>
      </c>
      <c r="AD98" s="2865">
        <f t="shared" si="759"/>
        <v>995.80700000000002</v>
      </c>
      <c r="AE98" s="2865">
        <f t="shared" si="759"/>
        <v>0</v>
      </c>
      <c r="AF98" s="2846">
        <f t="shared" si="733"/>
        <v>2907.2182774877379</v>
      </c>
      <c r="AG98" s="2846">
        <f t="shared" si="734"/>
        <v>2907.2182774877379</v>
      </c>
      <c r="AH98" s="2846">
        <f t="shared" si="735"/>
        <v>0</v>
      </c>
      <c r="AI98" s="2867">
        <f t="shared" si="760"/>
        <v>1921.5219999999999</v>
      </c>
      <c r="AJ98" s="2867">
        <f t="shared" si="760"/>
        <v>1921.5219999999999</v>
      </c>
      <c r="AK98" s="2867">
        <f t="shared" si="760"/>
        <v>0</v>
      </c>
      <c r="AL98" s="2867">
        <f t="shared" ref="AL98:AN114" si="787">SUM(AI98-AF98)</f>
        <v>-985.69627748773792</v>
      </c>
      <c r="AM98" s="2867">
        <f t="shared" si="787"/>
        <v>-985.69627748773792</v>
      </c>
      <c r="AN98" s="2867">
        <f t="shared" si="787"/>
        <v>0</v>
      </c>
      <c r="AO98" s="2845">
        <f t="shared" si="780"/>
        <v>1453.6091387438689</v>
      </c>
      <c r="AP98" s="2845">
        <f t="shared" si="781"/>
        <v>1453.6091387438689</v>
      </c>
      <c r="AQ98" s="2845">
        <f t="shared" si="782"/>
        <v>0</v>
      </c>
      <c r="AR98" s="2865">
        <f t="shared" si="738"/>
        <v>379.39</v>
      </c>
      <c r="AS98" s="2947">
        <v>379.39</v>
      </c>
      <c r="AT98" s="2947"/>
      <c r="AU98" s="2865">
        <f t="shared" si="739"/>
        <v>254.137</v>
      </c>
      <c r="AV98" s="2947">
        <v>254.137</v>
      </c>
      <c r="AW98" s="2947"/>
      <c r="AX98" s="2865">
        <f t="shared" si="740"/>
        <v>528.48099999999999</v>
      </c>
      <c r="AY98" s="2947">
        <v>528.48099999999999</v>
      </c>
      <c r="AZ98" s="2947"/>
      <c r="BA98" s="2865">
        <f t="shared" si="432"/>
        <v>1162.008</v>
      </c>
      <c r="BB98" s="2865">
        <f>SUM(AS98+AV98+AY98)</f>
        <v>1162.008</v>
      </c>
      <c r="BC98" s="2865">
        <f t="shared" si="766"/>
        <v>0</v>
      </c>
      <c r="BD98" s="2846">
        <f t="shared" si="741"/>
        <v>4360.8274162316065</v>
      </c>
      <c r="BE98" s="2846">
        <f t="shared" si="742"/>
        <v>4360.8274162316065</v>
      </c>
      <c r="BF98" s="2846">
        <f t="shared" si="742"/>
        <v>0</v>
      </c>
      <c r="BG98" s="2867">
        <f t="shared" si="767"/>
        <v>3083.5299999999997</v>
      </c>
      <c r="BH98" s="2867">
        <f t="shared" si="767"/>
        <v>3083.5299999999997</v>
      </c>
      <c r="BI98" s="2867">
        <f t="shared" si="767"/>
        <v>0</v>
      </c>
      <c r="BJ98" s="2867">
        <f t="shared" ref="BJ98:BL114" si="788">SUM(BG98-BD98)</f>
        <v>-1277.2974162316068</v>
      </c>
      <c r="BK98" s="2867">
        <f t="shared" si="788"/>
        <v>-1277.2974162316068</v>
      </c>
      <c r="BL98" s="2867">
        <f t="shared" si="788"/>
        <v>0</v>
      </c>
      <c r="BM98" s="2845">
        <f t="shared" si="786"/>
        <v>1453.6091387438689</v>
      </c>
      <c r="BN98" s="2845">
        <f t="shared" si="784"/>
        <v>1453.6091387438689</v>
      </c>
      <c r="BO98" s="2845">
        <f t="shared" si="785"/>
        <v>0</v>
      </c>
      <c r="BP98" s="2865">
        <f t="shared" si="744"/>
        <v>305.185</v>
      </c>
      <c r="BQ98" s="2947">
        <v>305.185</v>
      </c>
      <c r="BR98" s="2947"/>
      <c r="BS98" s="2865">
        <f t="shared" si="745"/>
        <v>301.20299999999997</v>
      </c>
      <c r="BT98" s="2947">
        <v>301.20299999999997</v>
      </c>
      <c r="BU98" s="2947"/>
      <c r="BV98" s="2865">
        <f t="shared" si="746"/>
        <v>609.322</v>
      </c>
      <c r="BW98" s="2947">
        <v>609.322</v>
      </c>
      <c r="BX98" s="2947"/>
      <c r="BY98" s="2865">
        <f t="shared" si="442"/>
        <v>1215.71</v>
      </c>
      <c r="BZ98" s="2865">
        <f t="shared" si="773"/>
        <v>1215.71</v>
      </c>
      <c r="CA98" s="2865">
        <f t="shared" si="773"/>
        <v>0</v>
      </c>
      <c r="CB98" s="2846">
        <f t="shared" si="669"/>
        <v>5814.4365549754757</v>
      </c>
      <c r="CC98" s="2982">
        <f>SUM(стоки!DA38)</f>
        <v>5814.4365549754757</v>
      </c>
      <c r="CD98" s="2982">
        <f>SUM(стоки!DB38)</f>
        <v>0</v>
      </c>
      <c r="CE98" s="2867">
        <f t="shared" si="774"/>
        <v>4299.24</v>
      </c>
      <c r="CF98" s="2982">
        <f t="shared" si="774"/>
        <v>4299.24</v>
      </c>
      <c r="CG98" s="2982">
        <f t="shared" si="774"/>
        <v>0</v>
      </c>
      <c r="CH98" s="2867">
        <f t="shared" si="775"/>
        <v>-1515.1965549754759</v>
      </c>
      <c r="CI98" s="2867">
        <f t="shared" si="775"/>
        <v>-1515.1965549754759</v>
      </c>
      <c r="CJ98" s="2867">
        <f t="shared" si="775"/>
        <v>0</v>
      </c>
      <c r="CK98" s="2863"/>
      <c r="CL98" s="4188">
        <f t="shared" si="668"/>
        <v>5814.4365549754757</v>
      </c>
      <c r="CM98" s="2863"/>
    </row>
    <row r="99" spans="1:99" ht="18.75" customHeight="1" x14ac:dyDescent="0.3">
      <c r="A99" s="2914" t="s">
        <v>114</v>
      </c>
      <c r="B99" s="2845">
        <f t="shared" si="776"/>
        <v>442.48210306683126</v>
      </c>
      <c r="C99" s="2845">
        <f t="shared" si="777"/>
        <v>442.48210306683126</v>
      </c>
      <c r="D99" s="2845">
        <f t="shared" si="777"/>
        <v>0</v>
      </c>
      <c r="E99" s="2865">
        <f t="shared" si="407"/>
        <v>78.400000000000006</v>
      </c>
      <c r="F99" s="2947">
        <v>78.400000000000006</v>
      </c>
      <c r="G99" s="2947"/>
      <c r="H99" s="2865">
        <f t="shared" si="602"/>
        <v>100.60300000000001</v>
      </c>
      <c r="I99" s="2947">
        <f>0.534+100.069</f>
        <v>100.60300000000001</v>
      </c>
      <c r="J99" s="2947"/>
      <c r="K99" s="2865">
        <f t="shared" si="603"/>
        <v>101.084</v>
      </c>
      <c r="L99" s="2947">
        <v>101.084</v>
      </c>
      <c r="M99" s="2947"/>
      <c r="N99" s="2865">
        <f t="shared" si="751"/>
        <v>280.08699999999999</v>
      </c>
      <c r="O99" s="2865">
        <f t="shared" si="752"/>
        <v>280.08699999999999</v>
      </c>
      <c r="P99" s="2865">
        <f t="shared" si="753"/>
        <v>0</v>
      </c>
      <c r="Q99" s="2845">
        <f t="shared" si="690"/>
        <v>442.48210306683126</v>
      </c>
      <c r="R99" s="2845">
        <f t="shared" si="778"/>
        <v>442.48210306683126</v>
      </c>
      <c r="S99" s="2845">
        <f t="shared" si="779"/>
        <v>0</v>
      </c>
      <c r="T99" s="2865">
        <f t="shared" si="730"/>
        <v>130.69</v>
      </c>
      <c r="U99" s="2947">
        <v>130.69</v>
      </c>
      <c r="V99" s="2947"/>
      <c r="W99" s="2865">
        <f t="shared" si="731"/>
        <v>79.41</v>
      </c>
      <c r="X99" s="2947">
        <v>79.41</v>
      </c>
      <c r="Y99" s="2947"/>
      <c r="Z99" s="2865">
        <f t="shared" si="732"/>
        <v>90.158000000000001</v>
      </c>
      <c r="AA99" s="2947">
        <v>90.158000000000001</v>
      </c>
      <c r="AB99" s="2947"/>
      <c r="AC99" s="2865">
        <f t="shared" si="422"/>
        <v>300.25799999999998</v>
      </c>
      <c r="AD99" s="2865">
        <f t="shared" si="759"/>
        <v>300.25799999999998</v>
      </c>
      <c r="AE99" s="2865">
        <f t="shared" si="759"/>
        <v>0</v>
      </c>
      <c r="AF99" s="2846">
        <f t="shared" si="733"/>
        <v>884.96420613366251</v>
      </c>
      <c r="AG99" s="2846">
        <f t="shared" si="734"/>
        <v>884.96420613366251</v>
      </c>
      <c r="AH99" s="2846">
        <f t="shared" si="735"/>
        <v>0</v>
      </c>
      <c r="AI99" s="2867">
        <f t="shared" si="760"/>
        <v>580.34500000000003</v>
      </c>
      <c r="AJ99" s="2867">
        <f t="shared" si="760"/>
        <v>580.34500000000003</v>
      </c>
      <c r="AK99" s="2867">
        <f t="shared" si="760"/>
        <v>0</v>
      </c>
      <c r="AL99" s="2867">
        <f t="shared" si="787"/>
        <v>-304.61920613366249</v>
      </c>
      <c r="AM99" s="2867">
        <f t="shared" si="787"/>
        <v>-304.61920613366249</v>
      </c>
      <c r="AN99" s="2867">
        <f t="shared" si="787"/>
        <v>0</v>
      </c>
      <c r="AO99" s="2845">
        <f t="shared" si="780"/>
        <v>442.48210306683126</v>
      </c>
      <c r="AP99" s="2845">
        <f t="shared" si="781"/>
        <v>442.48210306683126</v>
      </c>
      <c r="AQ99" s="2845">
        <f t="shared" si="782"/>
        <v>0</v>
      </c>
      <c r="AR99" s="2865">
        <f t="shared" si="738"/>
        <v>114.9</v>
      </c>
      <c r="AS99" s="2947">
        <v>114.9</v>
      </c>
      <c r="AT99" s="2947"/>
      <c r="AU99" s="2865">
        <f t="shared" si="739"/>
        <v>78.396000000000001</v>
      </c>
      <c r="AV99" s="2947">
        <v>78.396000000000001</v>
      </c>
      <c r="AW99" s="2947"/>
      <c r="AX99" s="2865">
        <f>SUM(AY99:AZ99)</f>
        <v>157.358</v>
      </c>
      <c r="AY99" s="2947">
        <v>157.358</v>
      </c>
      <c r="AZ99" s="2947"/>
      <c r="BA99" s="2865">
        <f t="shared" si="432"/>
        <v>350.654</v>
      </c>
      <c r="BB99" s="2865">
        <f>SUM(AS99+AV99+AY99)</f>
        <v>350.654</v>
      </c>
      <c r="BC99" s="2865">
        <f t="shared" si="766"/>
        <v>0</v>
      </c>
      <c r="BD99" s="2846">
        <f t="shared" si="741"/>
        <v>1327.4463092004937</v>
      </c>
      <c r="BE99" s="2846">
        <f t="shared" si="742"/>
        <v>1327.4463092004937</v>
      </c>
      <c r="BF99" s="2846">
        <f t="shared" si="742"/>
        <v>0</v>
      </c>
      <c r="BG99" s="2867">
        <f t="shared" si="767"/>
        <v>930.99900000000002</v>
      </c>
      <c r="BH99" s="2867">
        <f t="shared" si="767"/>
        <v>930.99900000000002</v>
      </c>
      <c r="BI99" s="2867">
        <f t="shared" si="767"/>
        <v>0</v>
      </c>
      <c r="BJ99" s="2867">
        <f t="shared" si="788"/>
        <v>-396.44730920049369</v>
      </c>
      <c r="BK99" s="2867">
        <f t="shared" si="788"/>
        <v>-396.44730920049369</v>
      </c>
      <c r="BL99" s="2867">
        <f t="shared" si="788"/>
        <v>0</v>
      </c>
      <c r="BM99" s="2845">
        <f t="shared" si="786"/>
        <v>442.48210306683126</v>
      </c>
      <c r="BN99" s="2845">
        <f t="shared" si="784"/>
        <v>442.48210306683126</v>
      </c>
      <c r="BO99" s="2845">
        <f t="shared" si="785"/>
        <v>0</v>
      </c>
      <c r="BP99" s="2865">
        <f t="shared" si="744"/>
        <v>91.558999999999997</v>
      </c>
      <c r="BQ99" s="2947">
        <v>91.558999999999997</v>
      </c>
      <c r="BR99" s="2947"/>
      <c r="BS99" s="2865">
        <f t="shared" si="745"/>
        <v>92.350999999999999</v>
      </c>
      <c r="BT99" s="2947">
        <v>92.350999999999999</v>
      </c>
      <c r="BU99" s="2947"/>
      <c r="BV99" s="2865">
        <f t="shared" si="746"/>
        <v>184.73099999999999</v>
      </c>
      <c r="BW99" s="2947">
        <v>184.73099999999999</v>
      </c>
      <c r="BX99" s="2947"/>
      <c r="BY99" s="2865">
        <f t="shared" si="442"/>
        <v>368.64099999999996</v>
      </c>
      <c r="BZ99" s="2865">
        <f t="shared" si="773"/>
        <v>368.64099999999996</v>
      </c>
      <c r="CA99" s="2865">
        <f t="shared" si="773"/>
        <v>0</v>
      </c>
      <c r="CB99" s="2846">
        <f t="shared" si="669"/>
        <v>1769.928412267325</v>
      </c>
      <c r="CC99" s="2982">
        <f>SUM(стоки!DA39)</f>
        <v>1769.928412267325</v>
      </c>
      <c r="CD99" s="2982">
        <f>SUM(стоки!DB39)</f>
        <v>0</v>
      </c>
      <c r="CE99" s="2867">
        <f t="shared" si="774"/>
        <v>1299.6399999999999</v>
      </c>
      <c r="CF99" s="2982">
        <f t="shared" si="774"/>
        <v>1299.6399999999999</v>
      </c>
      <c r="CG99" s="2982">
        <f t="shared" si="774"/>
        <v>0</v>
      </c>
      <c r="CH99" s="2867">
        <f t="shared" si="775"/>
        <v>-470.28841226732516</v>
      </c>
      <c r="CI99" s="2867">
        <f t="shared" si="775"/>
        <v>-470.28841226732516</v>
      </c>
      <c r="CJ99" s="2867">
        <f t="shared" si="775"/>
        <v>0</v>
      </c>
      <c r="CK99" s="2863"/>
      <c r="CL99" s="4188">
        <f t="shared" si="668"/>
        <v>1769.928412267325</v>
      </c>
      <c r="CM99" s="2863"/>
    </row>
    <row r="100" spans="1:99" ht="18.75" customHeight="1" x14ac:dyDescent="0.3">
      <c r="A100" s="2882" t="str">
        <f>A79</f>
        <v>то же в %</v>
      </c>
      <c r="B100" s="2877">
        <f t="shared" ref="B100:D100" si="789">SUM(B99/B98)</f>
        <v>0.30440239488945464</v>
      </c>
      <c r="C100" s="2877">
        <f t="shared" si="789"/>
        <v>0.30440239488945464</v>
      </c>
      <c r="D100" s="2877" t="e">
        <f t="shared" si="789"/>
        <v>#DIV/0!</v>
      </c>
      <c r="E100" s="2877">
        <f>SUM(E99/E98)</f>
        <v>0.30671726458276283</v>
      </c>
      <c r="F100" s="2877">
        <f t="shared" ref="F100:S100" si="790">SUM(F99/F98)</f>
        <v>0.30671726458276283</v>
      </c>
      <c r="G100" s="2877" t="e">
        <f t="shared" si="790"/>
        <v>#DIV/0!</v>
      </c>
      <c r="H100" s="2877">
        <f>SUM(H99/H98)</f>
        <v>0.29943596993823945</v>
      </c>
      <c r="I100" s="2877">
        <f t="shared" ref="I100:J100" si="791">SUM(I99/I98)</f>
        <v>0.29943596993823945</v>
      </c>
      <c r="J100" s="2877" t="e">
        <f t="shared" si="791"/>
        <v>#DIV/0!</v>
      </c>
      <c r="K100" s="2877">
        <f>SUM(K99/K98)</f>
        <v>0.30252895579564842</v>
      </c>
      <c r="L100" s="2877">
        <f t="shared" ref="L100:M100" si="792">SUM(L99/L98)</f>
        <v>0.30252895579564842</v>
      </c>
      <c r="M100" s="2877" t="e">
        <f t="shared" si="792"/>
        <v>#DIV/0!</v>
      </c>
      <c r="N100" s="2877">
        <f t="shared" si="790"/>
        <v>0.30256288382493529</v>
      </c>
      <c r="O100" s="2877">
        <f t="shared" si="790"/>
        <v>0.30256288382493529</v>
      </c>
      <c r="P100" s="2877" t="e">
        <f t="shared" si="790"/>
        <v>#DIV/0!</v>
      </c>
      <c r="Q100" s="2877">
        <f t="shared" si="790"/>
        <v>0.30440239488945464</v>
      </c>
      <c r="R100" s="2877">
        <f t="shared" si="790"/>
        <v>0.30440239488945464</v>
      </c>
      <c r="S100" s="2877" t="e">
        <f t="shared" si="790"/>
        <v>#DIV/0!</v>
      </c>
      <c r="T100" s="2877">
        <f>SUM(T99/T98)</f>
        <v>0.30079635426256673</v>
      </c>
      <c r="U100" s="2877">
        <f t="shared" ref="U100:V100" si="793">SUM(U99/U98)</f>
        <v>0.30079635426256673</v>
      </c>
      <c r="V100" s="2877" t="e">
        <f t="shared" si="793"/>
        <v>#DIV/0!</v>
      </c>
      <c r="W100" s="2877">
        <f>SUM(W99/W98)</f>
        <v>0.30191620409094366</v>
      </c>
      <c r="X100" s="2877">
        <f t="shared" ref="X100:Y100" si="794">SUM(X99/X98)</f>
        <v>0.30191620409094366</v>
      </c>
      <c r="Y100" s="2877" t="e">
        <f t="shared" si="794"/>
        <v>#DIV/0!</v>
      </c>
      <c r="Z100" s="2877">
        <f>SUM(Z99/Z98)</f>
        <v>0.30223226407694087</v>
      </c>
      <c r="AA100" s="2877">
        <f t="shared" ref="AA100:AB100" si="795">SUM(AA99/AA98)</f>
        <v>0.30223226407694087</v>
      </c>
      <c r="AB100" s="2877" t="e">
        <f t="shared" si="795"/>
        <v>#DIV/0!</v>
      </c>
      <c r="AC100" s="2877" t="e">
        <f t="shared" si="422"/>
        <v>#DIV/0!</v>
      </c>
      <c r="AD100" s="2877">
        <f t="shared" si="759"/>
        <v>0.90494482243045127</v>
      </c>
      <c r="AE100" s="2877" t="e">
        <f t="shared" si="759"/>
        <v>#DIV/0!</v>
      </c>
      <c r="AF100" s="2950">
        <f t="shared" ref="AF100:AK100" si="796">SUM(AF99/AF98)</f>
        <v>0.30440239488945464</v>
      </c>
      <c r="AG100" s="2950">
        <f t="shared" si="796"/>
        <v>0.30440239488945464</v>
      </c>
      <c r="AH100" s="2950" t="e">
        <f t="shared" si="796"/>
        <v>#DIV/0!</v>
      </c>
      <c r="AI100" s="2950">
        <f t="shared" si="796"/>
        <v>0.30202360420541635</v>
      </c>
      <c r="AJ100" s="2950">
        <f t="shared" si="796"/>
        <v>0.30202360420541635</v>
      </c>
      <c r="AK100" s="2950" t="e">
        <f t="shared" si="796"/>
        <v>#DIV/0!</v>
      </c>
      <c r="AL100" s="2870">
        <f t="shared" si="787"/>
        <v>-2.37879068403829E-3</v>
      </c>
      <c r="AM100" s="2870">
        <f t="shared" si="787"/>
        <v>-2.37879068403829E-3</v>
      </c>
      <c r="AN100" s="2870" t="e">
        <f t="shared" si="787"/>
        <v>#DIV/0!</v>
      </c>
      <c r="AO100" s="2877">
        <f t="shared" ref="AO100:AQ100" si="797">SUM(AO99/AO98)</f>
        <v>0.30440239488945464</v>
      </c>
      <c r="AP100" s="2877">
        <f t="shared" si="797"/>
        <v>0.30440239488945464</v>
      </c>
      <c r="AQ100" s="2877" t="e">
        <f t="shared" si="797"/>
        <v>#DIV/0!</v>
      </c>
      <c r="AR100" s="2877">
        <f>SUM(AR99/AR98)</f>
        <v>0.30285458235588708</v>
      </c>
      <c r="AS100" s="2877">
        <f t="shared" ref="AS100:AT100" si="798">SUM(AS99/AS98)</f>
        <v>0.30285458235588708</v>
      </c>
      <c r="AT100" s="2877" t="e">
        <f t="shared" si="798"/>
        <v>#DIV/0!</v>
      </c>
      <c r="AU100" s="2877">
        <f>SUM(AU99/AU98)</f>
        <v>0.30847928479520886</v>
      </c>
      <c r="AV100" s="2877">
        <f t="shared" ref="AV100:AW100" si="799">SUM(AV99/AV98)</f>
        <v>0.30847928479520886</v>
      </c>
      <c r="AW100" s="2877" t="e">
        <f t="shared" si="799"/>
        <v>#DIV/0!</v>
      </c>
      <c r="AX100" s="2877">
        <f>SUM(AX99/AX98)</f>
        <v>0.29775526461689256</v>
      </c>
      <c r="AY100" s="2877">
        <f>SUM(AY99/AY98)</f>
        <v>0.29775526461689256</v>
      </c>
      <c r="AZ100" s="2877" t="e">
        <f t="shared" ref="AZ100" si="800">SUM(AZ99/AZ98)</f>
        <v>#DIV/0!</v>
      </c>
      <c r="BA100" s="2877" t="e">
        <f t="shared" si="432"/>
        <v>#DIV/0!</v>
      </c>
      <c r="BB100" s="2877">
        <f t="shared" si="766"/>
        <v>0.90908913176798856</v>
      </c>
      <c r="BC100" s="2877" t="e">
        <f t="shared" si="766"/>
        <v>#DIV/0!</v>
      </c>
      <c r="BD100" s="2950">
        <f t="shared" ref="BD100:BF100" si="801">SUM(BD99/BD98)</f>
        <v>0.30440239488945464</v>
      </c>
      <c r="BE100" s="2950">
        <f t="shared" si="801"/>
        <v>0.30440239488945464</v>
      </c>
      <c r="BF100" s="2950" t="e">
        <f t="shared" si="801"/>
        <v>#DIV/0!</v>
      </c>
      <c r="BG100" s="2950">
        <f>SUM(BG99/BG98)</f>
        <v>0.30192636361572617</v>
      </c>
      <c r="BH100" s="2950">
        <f t="shared" ref="BH100:BI100" si="802">SUM(BH99/BH98)</f>
        <v>0.30192636361572617</v>
      </c>
      <c r="BI100" s="2950" t="e">
        <f t="shared" si="802"/>
        <v>#DIV/0!</v>
      </c>
      <c r="BJ100" s="2870">
        <f t="shared" si="788"/>
        <v>-2.476031273728474E-3</v>
      </c>
      <c r="BK100" s="2870">
        <f t="shared" si="788"/>
        <v>-2.476031273728474E-3</v>
      </c>
      <c r="BL100" s="2870" t="e">
        <f t="shared" si="788"/>
        <v>#DIV/0!</v>
      </c>
      <c r="BM100" s="2877">
        <f t="shared" ref="BM100:BO100" si="803">SUM(BM99/BM98)</f>
        <v>0.30440239488945464</v>
      </c>
      <c r="BN100" s="2877">
        <f t="shared" si="803"/>
        <v>0.30440239488945464</v>
      </c>
      <c r="BO100" s="2877" t="e">
        <f t="shared" si="803"/>
        <v>#DIV/0!</v>
      </c>
      <c r="BP100" s="2877">
        <f>SUM(BP99/BP98)</f>
        <v>0.30001146845356097</v>
      </c>
      <c r="BQ100" s="2877">
        <f t="shared" ref="BQ100:BR100" si="804">SUM(BQ99/BQ98)</f>
        <v>0.30001146845356097</v>
      </c>
      <c r="BR100" s="2877" t="e">
        <f t="shared" si="804"/>
        <v>#DIV/0!</v>
      </c>
      <c r="BS100" s="2877">
        <f>SUM(BS99/BS98)</f>
        <v>0.30660717190731834</v>
      </c>
      <c r="BT100" s="2877">
        <f t="shared" ref="BT100:BU100" si="805">SUM(BT99/BT98)</f>
        <v>0.30660717190731834</v>
      </c>
      <c r="BU100" s="2877" t="e">
        <f t="shared" si="805"/>
        <v>#DIV/0!</v>
      </c>
      <c r="BV100" s="2877">
        <f>SUM(BV99/BV98)</f>
        <v>0.30317467611542009</v>
      </c>
      <c r="BW100" s="2877">
        <f t="shared" ref="BW100:BX100" si="806">SUM(BW99/BW98)</f>
        <v>0.30317467611542009</v>
      </c>
      <c r="BX100" s="2877" t="e">
        <f t="shared" si="806"/>
        <v>#DIV/0!</v>
      </c>
      <c r="BY100" s="2877" t="e">
        <f t="shared" si="442"/>
        <v>#DIV/0!</v>
      </c>
      <c r="BZ100" s="2877">
        <f t="shared" si="773"/>
        <v>0.90979331647629946</v>
      </c>
      <c r="CA100" s="2877" t="e">
        <f t="shared" si="773"/>
        <v>#DIV/0!</v>
      </c>
      <c r="CB100" s="2950">
        <f t="shared" ref="CB100:CG100" si="807">SUM(CB99/CB98)</f>
        <v>0.30440239488945464</v>
      </c>
      <c r="CC100" s="2950">
        <f t="shared" si="807"/>
        <v>0.30440239488945464</v>
      </c>
      <c r="CD100" s="2950" t="e">
        <f t="shared" si="807"/>
        <v>#DIV/0!</v>
      </c>
      <c r="CE100" s="2950">
        <f t="shared" si="807"/>
        <v>0.30229528939998696</v>
      </c>
      <c r="CF100" s="3002">
        <f t="shared" si="807"/>
        <v>0.30229528939998696</v>
      </c>
      <c r="CG100" s="3002" t="e">
        <f t="shared" si="807"/>
        <v>#DIV/0!</v>
      </c>
      <c r="CH100" s="2870">
        <f t="shared" si="775"/>
        <v>-2.1071054894676866E-3</v>
      </c>
      <c r="CI100" s="2870">
        <f t="shared" si="775"/>
        <v>-2.1071054894676866E-3</v>
      </c>
      <c r="CJ100" s="2870" t="e">
        <f t="shared" si="775"/>
        <v>#DIV/0!</v>
      </c>
      <c r="CK100" s="2863"/>
      <c r="CL100" s="4188">
        <f t="shared" si="668"/>
        <v>1.2176095795578186</v>
      </c>
      <c r="CM100" s="2863"/>
    </row>
    <row r="101" spans="1:99" ht="18.75" customHeight="1" x14ac:dyDescent="0.3">
      <c r="A101" s="2965" t="s">
        <v>3731</v>
      </c>
      <c r="B101" s="2837">
        <f t="shared" si="776"/>
        <v>1107.0411523205798</v>
      </c>
      <c r="C101" s="2959">
        <f t="shared" ref="C101:D101" si="808">SUM(C102:C106)+C108</f>
        <v>1107.0411523205798</v>
      </c>
      <c r="D101" s="2959">
        <f t="shared" si="808"/>
        <v>0</v>
      </c>
      <c r="E101" s="2861">
        <f t="shared" si="407"/>
        <v>452.06549000000007</v>
      </c>
      <c r="F101" s="2861">
        <f t="shared" ref="F101:G101" si="809">SUM(F102:F106)+F108</f>
        <v>452.06549000000007</v>
      </c>
      <c r="G101" s="2861">
        <f t="shared" si="809"/>
        <v>0</v>
      </c>
      <c r="H101" s="2861">
        <f t="shared" ref="H101:H124" si="810">SUM(I101:J101)</f>
        <v>332.98300000000006</v>
      </c>
      <c r="I101" s="2861">
        <f t="shared" ref="I101:J101" si="811">SUM(I102:I106)+I108</f>
        <v>332.98300000000006</v>
      </c>
      <c r="J101" s="2861">
        <f t="shared" si="811"/>
        <v>0</v>
      </c>
      <c r="K101" s="2861">
        <f t="shared" ref="K101:K124" si="812">SUM(L101:M101)</f>
        <v>406.63499999999999</v>
      </c>
      <c r="L101" s="2861">
        <f t="shared" ref="L101:M101" si="813">SUM(L102:L106)+L108</f>
        <v>406.63499999999999</v>
      </c>
      <c r="M101" s="2861">
        <f t="shared" si="813"/>
        <v>0</v>
      </c>
      <c r="N101" s="2861">
        <f t="shared" ref="N101:N110" si="814">SUM(O101:P101)</f>
        <v>1191.6834900000001</v>
      </c>
      <c r="O101" s="2861">
        <f t="shared" ref="O101:P116" si="815">SUM(F101+I101+L101)</f>
        <v>1191.6834900000001</v>
      </c>
      <c r="P101" s="2861">
        <f t="shared" si="815"/>
        <v>0</v>
      </c>
      <c r="Q101" s="2837">
        <f t="shared" si="690"/>
        <v>1107.0411523205798</v>
      </c>
      <c r="R101" s="2959">
        <f t="shared" ref="R101:S101" si="816">SUM(R102:R106)+R108</f>
        <v>1107.0411523205798</v>
      </c>
      <c r="S101" s="2959">
        <f t="shared" si="816"/>
        <v>0</v>
      </c>
      <c r="T101" s="2861">
        <f t="shared" ref="T101:T124" si="817">SUM(U101:V101)</f>
        <v>281.82</v>
      </c>
      <c r="U101" s="2861">
        <f t="shared" ref="U101:V101" si="818">SUM(U102:U106)+U108</f>
        <v>281.82</v>
      </c>
      <c r="V101" s="2861">
        <f t="shared" si="818"/>
        <v>0</v>
      </c>
      <c r="W101" s="2861">
        <f t="shared" ref="W101:W124" si="819">SUM(X101:Y101)</f>
        <v>733.38</v>
      </c>
      <c r="X101" s="2861">
        <f t="shared" ref="X101:Y101" si="820">SUM(X102:X106)+X108</f>
        <v>733.38</v>
      </c>
      <c r="Y101" s="2861">
        <f t="shared" si="820"/>
        <v>0</v>
      </c>
      <c r="Z101" s="2861">
        <f t="shared" ref="Z101:Z124" si="821">SUM(AA101:AB101)</f>
        <v>40.940999999999995</v>
      </c>
      <c r="AA101" s="2861">
        <f t="shared" ref="AA101:AB101" si="822">SUM(AA102:AA106)+AA108</f>
        <v>40.940999999999995</v>
      </c>
      <c r="AB101" s="2861">
        <f t="shared" si="822"/>
        <v>0</v>
      </c>
      <c r="AC101" s="2861">
        <f t="shared" si="422"/>
        <v>1056.1410000000001</v>
      </c>
      <c r="AD101" s="2861">
        <f t="shared" si="759"/>
        <v>1056.1410000000001</v>
      </c>
      <c r="AE101" s="2861">
        <f t="shared" si="759"/>
        <v>0</v>
      </c>
      <c r="AF101" s="2839">
        <f t="shared" si="733"/>
        <v>2214.0823046411597</v>
      </c>
      <c r="AG101" s="2839">
        <f t="shared" si="734"/>
        <v>2214.0823046411597</v>
      </c>
      <c r="AH101" s="2839">
        <f t="shared" si="735"/>
        <v>0</v>
      </c>
      <c r="AI101" s="2862">
        <f t="shared" ref="AI101:AI110" si="823">SUM(AC101+N101)</f>
        <v>2247.82449</v>
      </c>
      <c r="AJ101" s="2862">
        <f t="shared" ref="AJ101:AK116" si="824">SUM(AD101+O101)</f>
        <v>2247.82449</v>
      </c>
      <c r="AK101" s="2862">
        <f t="shared" si="824"/>
        <v>0</v>
      </c>
      <c r="AL101" s="2862">
        <f t="shared" si="787"/>
        <v>33.742185358840288</v>
      </c>
      <c r="AM101" s="2862">
        <f t="shared" si="787"/>
        <v>33.742185358840288</v>
      </c>
      <c r="AN101" s="2862">
        <f t="shared" si="787"/>
        <v>0</v>
      </c>
      <c r="AO101" s="2837">
        <f t="shared" si="780"/>
        <v>1107.0411523205798</v>
      </c>
      <c r="AP101" s="2959">
        <f t="shared" ref="AP101:AQ101" si="825">SUM(AP102:AP106)+AP108</f>
        <v>1107.0411523205798</v>
      </c>
      <c r="AQ101" s="2959">
        <f t="shared" si="825"/>
        <v>0</v>
      </c>
      <c r="AR101" s="2861">
        <f t="shared" ref="AR101:AR124" si="826">SUM(AS101:AT101)</f>
        <v>296.3</v>
      </c>
      <c r="AS101" s="2861">
        <f t="shared" ref="AS101:AT101" si="827">SUM(AS102:AS106)+AS108</f>
        <v>296.3</v>
      </c>
      <c r="AT101" s="2861">
        <f t="shared" si="827"/>
        <v>0</v>
      </c>
      <c r="AU101" s="2861">
        <f t="shared" ref="AU101:AU124" si="828">SUM(AV101:AW101)</f>
        <v>234.834</v>
      </c>
      <c r="AV101" s="2861">
        <f t="shared" ref="AV101:AW101" si="829">SUM(AV102:AV106)+AV108</f>
        <v>234.834</v>
      </c>
      <c r="AW101" s="2861">
        <f t="shared" si="829"/>
        <v>0</v>
      </c>
      <c r="AX101" s="2861">
        <f t="shared" ref="AX101:AX124" si="830">SUM(AY101:AZ101)</f>
        <v>448.87400000000002</v>
      </c>
      <c r="AY101" s="2861">
        <f t="shared" ref="AY101:AZ101" si="831">SUM(AY102:AY106)+AY108</f>
        <v>448.87400000000002</v>
      </c>
      <c r="AZ101" s="2861">
        <f t="shared" si="831"/>
        <v>0</v>
      </c>
      <c r="BA101" s="2861">
        <f t="shared" si="432"/>
        <v>980.00800000000004</v>
      </c>
      <c r="BB101" s="2861">
        <f t="shared" si="766"/>
        <v>980.00800000000004</v>
      </c>
      <c r="BC101" s="2861">
        <f t="shared" si="766"/>
        <v>0</v>
      </c>
      <c r="BD101" s="2839">
        <f t="shared" si="741"/>
        <v>3321.1234569617395</v>
      </c>
      <c r="BE101" s="2839">
        <f t="shared" si="742"/>
        <v>3321.1234569617395</v>
      </c>
      <c r="BF101" s="2839">
        <f t="shared" si="742"/>
        <v>0</v>
      </c>
      <c r="BG101" s="2862">
        <f t="shared" ref="BG101:BG110" si="832">SUM(AI101+BA101)</f>
        <v>3227.8324899999998</v>
      </c>
      <c r="BH101" s="2862">
        <f t="shared" ref="BH101:BI116" si="833">SUM(AJ101+BB101)</f>
        <v>3227.8324899999998</v>
      </c>
      <c r="BI101" s="2862">
        <f t="shared" si="833"/>
        <v>0</v>
      </c>
      <c r="BJ101" s="2862">
        <f t="shared" si="788"/>
        <v>-93.290966961739741</v>
      </c>
      <c r="BK101" s="2862">
        <f t="shared" si="788"/>
        <v>-93.290966961739741</v>
      </c>
      <c r="BL101" s="2862">
        <f t="shared" si="788"/>
        <v>0</v>
      </c>
      <c r="BM101" s="2837">
        <f t="shared" si="786"/>
        <v>1107.0411523205798</v>
      </c>
      <c r="BN101" s="2959">
        <f t="shared" ref="BN101:BO101" si="834">SUM(BN102:BN106)+BN108</f>
        <v>1107.0411523205798</v>
      </c>
      <c r="BO101" s="2959">
        <f t="shared" si="834"/>
        <v>0</v>
      </c>
      <c r="BP101" s="2861">
        <f t="shared" ref="BP101:BP124" si="835">SUM(BQ101:BR101)</f>
        <v>247.51799999999997</v>
      </c>
      <c r="BQ101" s="2861">
        <f t="shared" ref="BQ101:BR101" si="836">SUM(BQ102:BQ106)+BQ108</f>
        <v>247.51799999999997</v>
      </c>
      <c r="BR101" s="2861">
        <f t="shared" si="836"/>
        <v>0</v>
      </c>
      <c r="BS101" s="2861">
        <f t="shared" ref="BS101:BS124" si="837">SUM(BT101:BU101)</f>
        <v>321.73299999999995</v>
      </c>
      <c r="BT101" s="2861">
        <f t="shared" ref="BT101:BU101" si="838">SUM(BT102:BT106)+BT108</f>
        <v>321.73299999999995</v>
      </c>
      <c r="BU101" s="2861">
        <f t="shared" si="838"/>
        <v>0</v>
      </c>
      <c r="BV101" s="2861">
        <f t="shared" ref="BV101:BV124" si="839">SUM(BW101:BX101)</f>
        <v>339.66049999999996</v>
      </c>
      <c r="BW101" s="2861">
        <f t="shared" ref="BW101:BX101" si="840">SUM(BW102:BW106)+BW108</f>
        <v>339.66049999999996</v>
      </c>
      <c r="BX101" s="2861">
        <f t="shared" si="840"/>
        <v>0</v>
      </c>
      <c r="BY101" s="2861">
        <f t="shared" si="442"/>
        <v>908.91149999999993</v>
      </c>
      <c r="BZ101" s="2861">
        <f t="shared" si="773"/>
        <v>908.91149999999993</v>
      </c>
      <c r="CA101" s="2861">
        <f t="shared" si="773"/>
        <v>0</v>
      </c>
      <c r="CB101" s="2839">
        <f t="shared" si="669"/>
        <v>4428.1645146239916</v>
      </c>
      <c r="CC101" s="2981">
        <f>SUM(стоки!DA41)</f>
        <v>4428.1645146239916</v>
      </c>
      <c r="CD101" s="2981">
        <f>SUM(стоки!DB41)</f>
        <v>0</v>
      </c>
      <c r="CE101" s="2862">
        <f t="shared" ref="CE101:CE110" si="841">SUM(BY101+BG101)</f>
        <v>4136.7439899999999</v>
      </c>
      <c r="CF101" s="2981">
        <f t="shared" ref="CF101:CG116" si="842">SUM(BZ101+BH101)</f>
        <v>4136.7439899999999</v>
      </c>
      <c r="CG101" s="2981">
        <f t="shared" si="842"/>
        <v>0</v>
      </c>
      <c r="CH101" s="2862">
        <f t="shared" si="775"/>
        <v>-291.4205246239917</v>
      </c>
      <c r="CI101" s="2862">
        <f t="shared" si="775"/>
        <v>-291.4205246239917</v>
      </c>
      <c r="CJ101" s="2862">
        <f t="shared" si="775"/>
        <v>0</v>
      </c>
      <c r="CK101" s="2987"/>
      <c r="CL101" s="4188">
        <f t="shared" si="668"/>
        <v>4428.1646092823194</v>
      </c>
      <c r="CM101" s="2987">
        <f>SUM(CC102:CC110)-CC106-CC108</f>
        <v>4428.1646092823194</v>
      </c>
    </row>
    <row r="102" spans="1:99" ht="18.75" customHeight="1" x14ac:dyDescent="0.3">
      <c r="A102" s="2989" t="s">
        <v>71</v>
      </c>
      <c r="B102" s="2845">
        <f t="shared" si="776"/>
        <v>548.81713056693593</v>
      </c>
      <c r="C102" s="2845">
        <f t="shared" ref="C102:D105" si="843">SUM(CC102/4)</f>
        <v>548.81713056693593</v>
      </c>
      <c r="D102" s="2845">
        <f t="shared" si="843"/>
        <v>0</v>
      </c>
      <c r="E102" s="2865">
        <f t="shared" si="407"/>
        <v>238.05</v>
      </c>
      <c r="F102" s="2947">
        <v>238.05</v>
      </c>
      <c r="G102" s="2947"/>
      <c r="H102" s="2865">
        <f t="shared" si="810"/>
        <v>226.036</v>
      </c>
      <c r="I102" s="2947">
        <v>226.036</v>
      </c>
      <c r="J102" s="2947"/>
      <c r="K102" s="2865">
        <f t="shared" si="812"/>
        <v>265.08</v>
      </c>
      <c r="L102" s="2947">
        <v>265.08</v>
      </c>
      <c r="M102" s="2947"/>
      <c r="N102" s="2865">
        <f t="shared" si="814"/>
        <v>729.16599999999994</v>
      </c>
      <c r="O102" s="2865">
        <f t="shared" si="815"/>
        <v>729.16599999999994</v>
      </c>
      <c r="P102" s="2865">
        <f t="shared" si="815"/>
        <v>0</v>
      </c>
      <c r="Q102" s="2845">
        <f t="shared" ref="Q102:Q121" si="844">SUM(R102:S102)</f>
        <v>548.81713056693593</v>
      </c>
      <c r="R102" s="2845">
        <f t="shared" ref="R102:R105" si="845">SUM(C102)</f>
        <v>548.81713056693593</v>
      </c>
      <c r="S102" s="2845">
        <f t="shared" ref="S102:S105" si="846">SUM(D102)</f>
        <v>0</v>
      </c>
      <c r="T102" s="2865">
        <f t="shared" si="817"/>
        <v>189.55</v>
      </c>
      <c r="U102" s="2947">
        <v>189.55</v>
      </c>
      <c r="V102" s="2947"/>
      <c r="W102" s="2865">
        <f t="shared" si="819"/>
        <v>515.74</v>
      </c>
      <c r="X102" s="2947">
        <v>515.74</v>
      </c>
      <c r="Y102" s="2947"/>
      <c r="Z102" s="2865">
        <f t="shared" si="821"/>
        <v>0</v>
      </c>
      <c r="AA102" s="2947"/>
      <c r="AB102" s="2947"/>
      <c r="AC102" s="2865">
        <f t="shared" si="422"/>
        <v>705.29</v>
      </c>
      <c r="AD102" s="2865">
        <f t="shared" si="759"/>
        <v>705.29</v>
      </c>
      <c r="AE102" s="2865">
        <f t="shared" si="759"/>
        <v>0</v>
      </c>
      <c r="AF102" s="2846">
        <f t="shared" si="733"/>
        <v>1097.6342611338719</v>
      </c>
      <c r="AG102" s="2846">
        <f t="shared" si="734"/>
        <v>1097.6342611338719</v>
      </c>
      <c r="AH102" s="2846">
        <f t="shared" si="735"/>
        <v>0</v>
      </c>
      <c r="AI102" s="2867">
        <f t="shared" si="823"/>
        <v>1434.4559999999999</v>
      </c>
      <c r="AJ102" s="2867">
        <f t="shared" si="824"/>
        <v>1434.4559999999999</v>
      </c>
      <c r="AK102" s="2867">
        <f t="shared" si="824"/>
        <v>0</v>
      </c>
      <c r="AL102" s="2867">
        <f t="shared" si="787"/>
        <v>336.82173886612804</v>
      </c>
      <c r="AM102" s="2867">
        <f t="shared" si="787"/>
        <v>336.82173886612804</v>
      </c>
      <c r="AN102" s="2867">
        <f t="shared" si="787"/>
        <v>0</v>
      </c>
      <c r="AO102" s="2845">
        <f t="shared" si="780"/>
        <v>548.81713056693593</v>
      </c>
      <c r="AP102" s="2845">
        <f t="shared" ref="AP102:AP105" si="847">SUM(CC102-AG102)/2</f>
        <v>548.81713056693593</v>
      </c>
      <c r="AQ102" s="2845">
        <f t="shared" ref="AQ102:AQ105" si="848">SUM(CD102-AH102)/2</f>
        <v>0</v>
      </c>
      <c r="AR102" s="2865">
        <f t="shared" si="826"/>
        <v>189.56</v>
      </c>
      <c r="AS102" s="2947">
        <v>189.56</v>
      </c>
      <c r="AT102" s="2947"/>
      <c r="AU102" s="2865">
        <f t="shared" si="828"/>
        <v>154.37100000000001</v>
      </c>
      <c r="AV102" s="2947">
        <v>154.37100000000001</v>
      </c>
      <c r="AW102" s="2947"/>
      <c r="AX102" s="2865">
        <f t="shared" si="830"/>
        <v>218.43799999999999</v>
      </c>
      <c r="AY102" s="2947">
        <v>218.43799999999999</v>
      </c>
      <c r="AZ102" s="2947"/>
      <c r="BA102" s="2865">
        <f t="shared" si="432"/>
        <v>562.36900000000003</v>
      </c>
      <c r="BB102" s="2865">
        <f t="shared" si="766"/>
        <v>562.36900000000003</v>
      </c>
      <c r="BC102" s="2865">
        <f t="shared" si="766"/>
        <v>0</v>
      </c>
      <c r="BD102" s="2846">
        <f t="shared" si="741"/>
        <v>1646.4513917008078</v>
      </c>
      <c r="BE102" s="2846">
        <f t="shared" si="742"/>
        <v>1646.4513917008078</v>
      </c>
      <c r="BF102" s="2846">
        <f t="shared" si="742"/>
        <v>0</v>
      </c>
      <c r="BG102" s="2867">
        <f t="shared" si="832"/>
        <v>1996.8249999999998</v>
      </c>
      <c r="BH102" s="2867">
        <f t="shared" si="833"/>
        <v>1996.8249999999998</v>
      </c>
      <c r="BI102" s="2867">
        <f t="shared" si="833"/>
        <v>0</v>
      </c>
      <c r="BJ102" s="2867">
        <f t="shared" si="788"/>
        <v>350.37360829919203</v>
      </c>
      <c r="BK102" s="2867">
        <f t="shared" si="788"/>
        <v>350.37360829919203</v>
      </c>
      <c r="BL102" s="2867">
        <f t="shared" si="788"/>
        <v>0</v>
      </c>
      <c r="BM102" s="2845">
        <f t="shared" ref="BM102:BM106" si="849">SUM(BN102:BO102)</f>
        <v>548.81713056693593</v>
      </c>
      <c r="BN102" s="2845">
        <f t="shared" ref="BN102:BN105" si="850">SUM(AP102)</f>
        <v>548.81713056693593</v>
      </c>
      <c r="BO102" s="2845">
        <f t="shared" ref="BO102:BO105" si="851">SUM(AQ102)</f>
        <v>0</v>
      </c>
      <c r="BP102" s="2865">
        <f t="shared" si="835"/>
        <v>156.93100000000001</v>
      </c>
      <c r="BQ102" s="2947">
        <v>156.93100000000001</v>
      </c>
      <c r="BR102" s="2947"/>
      <c r="BS102" s="2865">
        <f t="shared" si="837"/>
        <v>194.84399999999999</v>
      </c>
      <c r="BT102" s="2947">
        <v>194.84399999999999</v>
      </c>
      <c r="BU102" s="2947"/>
      <c r="BV102" s="2865">
        <f t="shared" si="839"/>
        <v>181.25899999999999</v>
      </c>
      <c r="BW102" s="2947">
        <v>181.25899999999999</v>
      </c>
      <c r="BX102" s="2947"/>
      <c r="BY102" s="2865">
        <f t="shared" si="442"/>
        <v>533.03399999999999</v>
      </c>
      <c r="BZ102" s="2865">
        <f t="shared" si="773"/>
        <v>533.03399999999999</v>
      </c>
      <c r="CA102" s="2865">
        <f t="shared" si="773"/>
        <v>0</v>
      </c>
      <c r="CB102" s="2846">
        <f t="shared" si="669"/>
        <v>2195.2685222677437</v>
      </c>
      <c r="CC102" s="2846">
        <f>2094.97*(1+0.032)*0.99*(1+0.036)*0.99</f>
        <v>2195.2685222677437</v>
      </c>
      <c r="CD102" s="2982">
        <v>0</v>
      </c>
      <c r="CE102" s="2867">
        <f t="shared" si="841"/>
        <v>2529.8589999999999</v>
      </c>
      <c r="CF102" s="2982">
        <f t="shared" si="842"/>
        <v>2529.8589999999999</v>
      </c>
      <c r="CG102" s="2982">
        <f t="shared" si="842"/>
        <v>0</v>
      </c>
      <c r="CH102" s="2867">
        <f t="shared" si="775"/>
        <v>334.5904777322562</v>
      </c>
      <c r="CI102" s="2867">
        <f t="shared" si="775"/>
        <v>334.5904777322562</v>
      </c>
      <c r="CJ102" s="2867">
        <f t="shared" si="775"/>
        <v>0</v>
      </c>
      <c r="CK102" s="2863"/>
      <c r="CL102" s="4188">
        <f t="shared" si="668"/>
        <v>2195.2685222677437</v>
      </c>
      <c r="CM102" s="2863"/>
    </row>
    <row r="103" spans="1:99" ht="18.75" customHeight="1" x14ac:dyDescent="0.3">
      <c r="A103" s="2989" t="s">
        <v>114</v>
      </c>
      <c r="B103" s="2845">
        <f t="shared" si="776"/>
        <v>164.644877201112</v>
      </c>
      <c r="C103" s="2845">
        <f t="shared" si="843"/>
        <v>164.644877201112</v>
      </c>
      <c r="D103" s="2845">
        <f t="shared" si="843"/>
        <v>0</v>
      </c>
      <c r="E103" s="2865">
        <f t="shared" si="407"/>
        <v>71.489999999999995</v>
      </c>
      <c r="F103" s="2947">
        <v>71.489999999999995</v>
      </c>
      <c r="G103" s="2947"/>
      <c r="H103" s="2865">
        <f t="shared" si="810"/>
        <v>68.26100000000001</v>
      </c>
      <c r="I103" s="2947">
        <f>0.45+67.811</f>
        <v>68.26100000000001</v>
      </c>
      <c r="J103" s="2947"/>
      <c r="K103" s="2865">
        <f t="shared" si="812"/>
        <v>80.055000000000007</v>
      </c>
      <c r="L103" s="2947">
        <v>80.055000000000007</v>
      </c>
      <c r="M103" s="2947"/>
      <c r="N103" s="2865">
        <f t="shared" si="814"/>
        <v>219.80600000000001</v>
      </c>
      <c r="O103" s="2865">
        <f t="shared" si="815"/>
        <v>219.80600000000001</v>
      </c>
      <c r="P103" s="2865">
        <f t="shared" si="815"/>
        <v>0</v>
      </c>
      <c r="Q103" s="2845">
        <f t="shared" si="844"/>
        <v>164.644877201112</v>
      </c>
      <c r="R103" s="2845">
        <f t="shared" si="845"/>
        <v>164.644877201112</v>
      </c>
      <c r="S103" s="2845">
        <f t="shared" si="846"/>
        <v>0</v>
      </c>
      <c r="T103" s="2865">
        <f t="shared" si="817"/>
        <v>56.78</v>
      </c>
      <c r="U103" s="2947">
        <v>56.78</v>
      </c>
      <c r="V103" s="2947"/>
      <c r="W103" s="2865">
        <f t="shared" si="819"/>
        <v>155.59</v>
      </c>
      <c r="X103" s="2947">
        <v>155.59</v>
      </c>
      <c r="Y103" s="2947"/>
      <c r="Z103" s="2865">
        <f t="shared" si="821"/>
        <v>0</v>
      </c>
      <c r="AA103" s="2947"/>
      <c r="AB103" s="2947"/>
      <c r="AC103" s="2865">
        <f t="shared" si="422"/>
        <v>212.37</v>
      </c>
      <c r="AD103" s="2865">
        <f t="shared" si="759"/>
        <v>212.37</v>
      </c>
      <c r="AE103" s="2865">
        <f t="shared" si="759"/>
        <v>0</v>
      </c>
      <c r="AF103" s="2846">
        <f t="shared" si="733"/>
        <v>329.28975440222399</v>
      </c>
      <c r="AG103" s="2846">
        <f t="shared" si="734"/>
        <v>329.28975440222399</v>
      </c>
      <c r="AH103" s="2846">
        <f t="shared" si="735"/>
        <v>0</v>
      </c>
      <c r="AI103" s="2867">
        <f t="shared" si="823"/>
        <v>432.17600000000004</v>
      </c>
      <c r="AJ103" s="2867">
        <f t="shared" si="824"/>
        <v>432.17600000000004</v>
      </c>
      <c r="AK103" s="2867">
        <f t="shared" si="824"/>
        <v>0</v>
      </c>
      <c r="AL103" s="2867">
        <f t="shared" si="787"/>
        <v>102.88624559777605</v>
      </c>
      <c r="AM103" s="2867">
        <f t="shared" si="787"/>
        <v>102.88624559777605</v>
      </c>
      <c r="AN103" s="2867">
        <f t="shared" si="787"/>
        <v>0</v>
      </c>
      <c r="AO103" s="2845">
        <f t="shared" si="780"/>
        <v>164.644877201112</v>
      </c>
      <c r="AP103" s="2845">
        <f t="shared" si="847"/>
        <v>164.644877201112</v>
      </c>
      <c r="AQ103" s="2845">
        <f t="shared" si="848"/>
        <v>0</v>
      </c>
      <c r="AR103" s="2865">
        <f t="shared" si="826"/>
        <v>57.23</v>
      </c>
      <c r="AS103" s="2947">
        <v>57.23</v>
      </c>
      <c r="AT103" s="2947"/>
      <c r="AU103" s="2865">
        <f t="shared" si="828"/>
        <v>46.597999999999999</v>
      </c>
      <c r="AV103" s="2947">
        <v>46.597999999999999</v>
      </c>
      <c r="AW103" s="2947"/>
      <c r="AX103" s="2865">
        <f t="shared" si="830"/>
        <v>65.477999999999994</v>
      </c>
      <c r="AY103" s="2947">
        <v>65.477999999999994</v>
      </c>
      <c r="AZ103" s="2947"/>
      <c r="BA103" s="2865">
        <f t="shared" si="432"/>
        <v>169.30599999999998</v>
      </c>
      <c r="BB103" s="2865">
        <f t="shared" si="766"/>
        <v>169.30599999999998</v>
      </c>
      <c r="BC103" s="2865">
        <f t="shared" si="766"/>
        <v>0</v>
      </c>
      <c r="BD103" s="2846">
        <f t="shared" si="741"/>
        <v>493.93463160333602</v>
      </c>
      <c r="BE103" s="2846">
        <f t="shared" si="742"/>
        <v>493.93463160333602</v>
      </c>
      <c r="BF103" s="2846">
        <f t="shared" si="742"/>
        <v>0</v>
      </c>
      <c r="BG103" s="2867">
        <f t="shared" si="832"/>
        <v>601.48199999999997</v>
      </c>
      <c r="BH103" s="2867">
        <f t="shared" si="833"/>
        <v>601.48199999999997</v>
      </c>
      <c r="BI103" s="2867">
        <f t="shared" si="833"/>
        <v>0</v>
      </c>
      <c r="BJ103" s="2867">
        <f t="shared" si="788"/>
        <v>107.54736839666396</v>
      </c>
      <c r="BK103" s="2867">
        <f t="shared" si="788"/>
        <v>107.54736839666396</v>
      </c>
      <c r="BL103" s="2867">
        <f t="shared" si="788"/>
        <v>0</v>
      </c>
      <c r="BM103" s="2845">
        <f t="shared" si="849"/>
        <v>164.644877201112</v>
      </c>
      <c r="BN103" s="2845">
        <f t="shared" si="850"/>
        <v>164.644877201112</v>
      </c>
      <c r="BO103" s="2845">
        <f t="shared" si="851"/>
        <v>0</v>
      </c>
      <c r="BP103" s="2865">
        <f t="shared" si="835"/>
        <v>47.384</v>
      </c>
      <c r="BQ103" s="2947">
        <v>47.384</v>
      </c>
      <c r="BR103" s="2947"/>
      <c r="BS103" s="2865">
        <f t="shared" si="837"/>
        <v>58.820999999999998</v>
      </c>
      <c r="BT103" s="2947">
        <v>58.820999999999998</v>
      </c>
      <c r="BU103" s="2947"/>
      <c r="BV103" s="2865">
        <f t="shared" si="839"/>
        <v>54.811</v>
      </c>
      <c r="BW103" s="2947">
        <v>54.811</v>
      </c>
      <c r="BX103" s="2947"/>
      <c r="BY103" s="2865">
        <f t="shared" si="442"/>
        <v>161.01599999999999</v>
      </c>
      <c r="BZ103" s="2865">
        <f t="shared" si="773"/>
        <v>161.01599999999999</v>
      </c>
      <c r="CA103" s="2865">
        <f t="shared" si="773"/>
        <v>0</v>
      </c>
      <c r="CB103" s="2846">
        <f t="shared" si="669"/>
        <v>658.57950880444798</v>
      </c>
      <c r="CC103" s="2846">
        <f>628.49*(1+0.032)*0.99*(1+0.036)*0.99</f>
        <v>658.57950880444798</v>
      </c>
      <c r="CD103" s="2982">
        <v>0</v>
      </c>
      <c r="CE103" s="2867">
        <f t="shared" si="841"/>
        <v>762.49799999999993</v>
      </c>
      <c r="CF103" s="2982">
        <f t="shared" si="842"/>
        <v>762.49799999999993</v>
      </c>
      <c r="CG103" s="2982">
        <f t="shared" si="842"/>
        <v>0</v>
      </c>
      <c r="CH103" s="2867">
        <f t="shared" si="775"/>
        <v>103.91849119555195</v>
      </c>
      <c r="CI103" s="2867">
        <f t="shared" si="775"/>
        <v>103.91849119555195</v>
      </c>
      <c r="CJ103" s="2867">
        <f t="shared" si="775"/>
        <v>0</v>
      </c>
      <c r="CK103" s="2863"/>
      <c r="CL103" s="4188">
        <f t="shared" si="668"/>
        <v>658.57950880444798</v>
      </c>
      <c r="CM103" s="2863"/>
    </row>
    <row r="104" spans="1:99" ht="18.75" customHeight="1" x14ac:dyDescent="0.3">
      <c r="A104" s="2989" t="s">
        <v>52</v>
      </c>
      <c r="B104" s="2845">
        <f t="shared" si="776"/>
        <v>3.8678801233848685</v>
      </c>
      <c r="C104" s="2845">
        <f t="shared" si="843"/>
        <v>3.8678801233848685</v>
      </c>
      <c r="D104" s="2845">
        <f t="shared" si="843"/>
        <v>0</v>
      </c>
      <c r="E104" s="2865">
        <f t="shared" si="407"/>
        <v>0.61</v>
      </c>
      <c r="F104" s="2947">
        <v>0.61</v>
      </c>
      <c r="G104" s="2947"/>
      <c r="H104" s="2865">
        <f t="shared" si="810"/>
        <v>0.61</v>
      </c>
      <c r="I104" s="2947">
        <v>0.61</v>
      </c>
      <c r="J104" s="2947"/>
      <c r="K104" s="2865">
        <f t="shared" si="812"/>
        <v>0.69</v>
      </c>
      <c r="L104" s="2947">
        <v>0.69</v>
      </c>
      <c r="M104" s="2947"/>
      <c r="N104" s="2865">
        <f t="shared" si="814"/>
        <v>1.91</v>
      </c>
      <c r="O104" s="2865">
        <f t="shared" si="815"/>
        <v>1.91</v>
      </c>
      <c r="P104" s="2865">
        <f t="shared" si="815"/>
        <v>0</v>
      </c>
      <c r="Q104" s="2845">
        <f t="shared" si="844"/>
        <v>3.8678801233848685</v>
      </c>
      <c r="R104" s="2845">
        <f t="shared" si="845"/>
        <v>3.8678801233848685</v>
      </c>
      <c r="S104" s="2845">
        <f t="shared" si="846"/>
        <v>0</v>
      </c>
      <c r="T104" s="2865">
        <f t="shared" si="817"/>
        <v>0.65</v>
      </c>
      <c r="U104" s="2947">
        <v>0.65</v>
      </c>
      <c r="V104" s="2947"/>
      <c r="W104" s="2865">
        <f t="shared" si="819"/>
        <v>0.65</v>
      </c>
      <c r="X104" s="2947">
        <v>0.65</v>
      </c>
      <c r="Y104" s="2947"/>
      <c r="Z104" s="2865">
        <f t="shared" si="821"/>
        <v>0.66300000000000003</v>
      </c>
      <c r="AA104" s="2947">
        <v>0.66300000000000003</v>
      </c>
      <c r="AB104" s="2947"/>
      <c r="AC104" s="2865">
        <f t="shared" si="422"/>
        <v>1.9630000000000001</v>
      </c>
      <c r="AD104" s="2865">
        <f t="shared" si="759"/>
        <v>1.9630000000000001</v>
      </c>
      <c r="AE104" s="2865">
        <f t="shared" si="759"/>
        <v>0</v>
      </c>
      <c r="AF104" s="2846">
        <f t="shared" ref="AF104:AF125" si="852">SUM(AG104:AH104)</f>
        <v>7.7357602467697371</v>
      </c>
      <c r="AG104" s="2846">
        <f t="shared" ref="AG104:AH125" si="853">SUM(C104+R104)</f>
        <v>7.7357602467697371</v>
      </c>
      <c r="AH104" s="2846">
        <f t="shared" si="853"/>
        <v>0</v>
      </c>
      <c r="AI104" s="2867">
        <f t="shared" si="823"/>
        <v>3.8730000000000002</v>
      </c>
      <c r="AJ104" s="2867">
        <f t="shared" si="824"/>
        <v>3.8730000000000002</v>
      </c>
      <c r="AK104" s="2867">
        <f t="shared" si="824"/>
        <v>0</v>
      </c>
      <c r="AL104" s="2867">
        <f t="shared" si="787"/>
        <v>-3.8627602467697368</v>
      </c>
      <c r="AM104" s="2867">
        <f t="shared" si="787"/>
        <v>-3.8627602467697368</v>
      </c>
      <c r="AN104" s="2867">
        <f t="shared" si="787"/>
        <v>0</v>
      </c>
      <c r="AO104" s="2845">
        <f t="shared" si="780"/>
        <v>3.8678801233848685</v>
      </c>
      <c r="AP104" s="2845">
        <f t="shared" si="847"/>
        <v>3.8678801233848685</v>
      </c>
      <c r="AQ104" s="2845">
        <f t="shared" si="848"/>
        <v>0</v>
      </c>
      <c r="AR104" s="2865">
        <f t="shared" si="826"/>
        <v>0.61</v>
      </c>
      <c r="AS104" s="2947">
        <v>0.61</v>
      </c>
      <c r="AT104" s="2947"/>
      <c r="AU104" s="2865">
        <f t="shared" si="828"/>
        <v>1.073</v>
      </c>
      <c r="AV104" s="2947">
        <v>1.073</v>
      </c>
      <c r="AW104" s="2947"/>
      <c r="AX104" s="2865">
        <f t="shared" si="830"/>
        <v>0.69799999999999995</v>
      </c>
      <c r="AY104" s="2947">
        <v>0.69799999999999995</v>
      </c>
      <c r="AZ104" s="2947"/>
      <c r="BA104" s="2865">
        <f t="shared" si="432"/>
        <v>2.3809999999999998</v>
      </c>
      <c r="BB104" s="2865">
        <f t="shared" si="766"/>
        <v>2.3809999999999998</v>
      </c>
      <c r="BC104" s="2865">
        <f t="shared" si="766"/>
        <v>0</v>
      </c>
      <c r="BD104" s="2846">
        <f t="shared" si="741"/>
        <v>11.603640370154606</v>
      </c>
      <c r="BE104" s="2846">
        <f t="shared" si="742"/>
        <v>11.603640370154606</v>
      </c>
      <c r="BF104" s="2846">
        <f t="shared" si="742"/>
        <v>0</v>
      </c>
      <c r="BG104" s="2867">
        <f t="shared" si="832"/>
        <v>6.2539999999999996</v>
      </c>
      <c r="BH104" s="2867">
        <f t="shared" si="833"/>
        <v>6.2539999999999996</v>
      </c>
      <c r="BI104" s="2867">
        <f t="shared" si="833"/>
        <v>0</v>
      </c>
      <c r="BJ104" s="2867">
        <f t="shared" si="788"/>
        <v>-5.3496403701546065</v>
      </c>
      <c r="BK104" s="2867">
        <f t="shared" si="788"/>
        <v>-5.3496403701546065</v>
      </c>
      <c r="BL104" s="2867">
        <f t="shared" si="788"/>
        <v>0</v>
      </c>
      <c r="BM104" s="2845">
        <f t="shared" si="849"/>
        <v>3.8678801233848685</v>
      </c>
      <c r="BN104" s="2845">
        <f t="shared" si="850"/>
        <v>3.8678801233848685</v>
      </c>
      <c r="BO104" s="2845">
        <f t="shared" si="851"/>
        <v>0</v>
      </c>
      <c r="BP104" s="2865">
        <f t="shared" si="835"/>
        <v>0.80800000000000005</v>
      </c>
      <c r="BQ104" s="2947">
        <v>0.80800000000000005</v>
      </c>
      <c r="BR104" s="2947"/>
      <c r="BS104" s="2865">
        <f t="shared" si="837"/>
        <v>1.099</v>
      </c>
      <c r="BT104" s="2947">
        <v>1.099</v>
      </c>
      <c r="BU104" s="2947"/>
      <c r="BV104" s="2865">
        <f t="shared" si="839"/>
        <v>0.75900000000000001</v>
      </c>
      <c r="BW104" s="2947">
        <v>0.75900000000000001</v>
      </c>
      <c r="BX104" s="2947"/>
      <c r="BY104" s="2865">
        <f t="shared" si="442"/>
        <v>2.6659999999999999</v>
      </c>
      <c r="BZ104" s="2865">
        <f t="shared" si="773"/>
        <v>2.6659999999999999</v>
      </c>
      <c r="CA104" s="2865">
        <f t="shared" si="773"/>
        <v>0</v>
      </c>
      <c r="CB104" s="2846">
        <f t="shared" si="669"/>
        <v>15.471520493539474</v>
      </c>
      <c r="CC104" s="2982">
        <f>6.25185*2.47471076458</f>
        <v>15.471520493539474</v>
      </c>
      <c r="CD104" s="2982">
        <v>0</v>
      </c>
      <c r="CE104" s="2867">
        <f t="shared" si="841"/>
        <v>8.92</v>
      </c>
      <c r="CF104" s="2982">
        <f t="shared" si="842"/>
        <v>8.92</v>
      </c>
      <c r="CG104" s="2982">
        <f t="shared" si="842"/>
        <v>0</v>
      </c>
      <c r="CH104" s="2867">
        <f t="shared" si="775"/>
        <v>-6.5515204935394742</v>
      </c>
      <c r="CI104" s="2867">
        <f t="shared" si="775"/>
        <v>-6.5515204935394742</v>
      </c>
      <c r="CJ104" s="2867">
        <f t="shared" si="775"/>
        <v>0</v>
      </c>
      <c r="CK104" s="2863"/>
      <c r="CL104" s="4188">
        <f t="shared" si="668"/>
        <v>15.471520493539474</v>
      </c>
      <c r="CM104" s="2863"/>
    </row>
    <row r="105" spans="1:99" ht="18.75" customHeight="1" x14ac:dyDescent="0.3">
      <c r="A105" s="2989" t="s">
        <v>590</v>
      </c>
      <c r="B105" s="2845">
        <f t="shared" si="776"/>
        <v>259.65902697355654</v>
      </c>
      <c r="C105" s="2845">
        <f t="shared" si="843"/>
        <v>259.65902697355654</v>
      </c>
      <c r="D105" s="2845">
        <f t="shared" si="843"/>
        <v>0</v>
      </c>
      <c r="E105" s="2865">
        <f t="shared" si="407"/>
        <v>24.88</v>
      </c>
      <c r="F105" s="2947">
        <v>24.88</v>
      </c>
      <c r="G105" s="2947"/>
      <c r="H105" s="2865">
        <f t="shared" si="810"/>
        <v>36.512</v>
      </c>
      <c r="I105" s="2947">
        <v>36.512</v>
      </c>
      <c r="J105" s="2947"/>
      <c r="K105" s="2865">
        <f t="shared" si="812"/>
        <v>56.48</v>
      </c>
      <c r="L105" s="2947">
        <v>56.48</v>
      </c>
      <c r="M105" s="2947"/>
      <c r="N105" s="2865">
        <f t="shared" si="814"/>
        <v>117.87199999999999</v>
      </c>
      <c r="O105" s="2865">
        <f t="shared" si="815"/>
        <v>117.87199999999999</v>
      </c>
      <c r="P105" s="2865">
        <f t="shared" si="815"/>
        <v>0</v>
      </c>
      <c r="Q105" s="2845">
        <f t="shared" si="844"/>
        <v>259.65902697355654</v>
      </c>
      <c r="R105" s="2845">
        <f t="shared" si="845"/>
        <v>259.65902697355654</v>
      </c>
      <c r="S105" s="2845">
        <f t="shared" si="846"/>
        <v>0</v>
      </c>
      <c r="T105" s="2865">
        <f t="shared" si="817"/>
        <v>34.21</v>
      </c>
      <c r="U105" s="2947">
        <v>34.21</v>
      </c>
      <c r="V105" s="2947"/>
      <c r="W105" s="2865">
        <f t="shared" si="819"/>
        <v>26.52</v>
      </c>
      <c r="X105" s="2947">
        <v>26.52</v>
      </c>
      <c r="Y105" s="2947"/>
      <c r="Z105" s="2865">
        <f t="shared" si="821"/>
        <v>36.872</v>
      </c>
      <c r="AA105" s="2947">
        <v>36.872</v>
      </c>
      <c r="AB105" s="2947"/>
      <c r="AC105" s="2865">
        <f t="shared" si="422"/>
        <v>97.602000000000004</v>
      </c>
      <c r="AD105" s="2865">
        <f t="shared" si="759"/>
        <v>97.602000000000004</v>
      </c>
      <c r="AE105" s="2865">
        <f t="shared" si="759"/>
        <v>0</v>
      </c>
      <c r="AF105" s="2846">
        <f t="shared" si="852"/>
        <v>519.31805394711307</v>
      </c>
      <c r="AG105" s="2846">
        <f t="shared" si="853"/>
        <v>519.31805394711307</v>
      </c>
      <c r="AH105" s="2846">
        <f t="shared" si="853"/>
        <v>0</v>
      </c>
      <c r="AI105" s="2867">
        <f t="shared" si="823"/>
        <v>215.47399999999999</v>
      </c>
      <c r="AJ105" s="2867">
        <f t="shared" si="824"/>
        <v>215.47399999999999</v>
      </c>
      <c r="AK105" s="2867">
        <f t="shared" si="824"/>
        <v>0</v>
      </c>
      <c r="AL105" s="2867">
        <f t="shared" si="787"/>
        <v>-303.84405394711308</v>
      </c>
      <c r="AM105" s="2867">
        <f t="shared" si="787"/>
        <v>-303.84405394711308</v>
      </c>
      <c r="AN105" s="2867">
        <f t="shared" si="787"/>
        <v>0</v>
      </c>
      <c r="AO105" s="2845">
        <f t="shared" si="780"/>
        <v>259.65902697355654</v>
      </c>
      <c r="AP105" s="2845">
        <f t="shared" si="847"/>
        <v>259.65902697355654</v>
      </c>
      <c r="AQ105" s="2845">
        <f t="shared" si="848"/>
        <v>0</v>
      </c>
      <c r="AR105" s="2865">
        <f t="shared" si="826"/>
        <v>19.13</v>
      </c>
      <c r="AS105" s="2947">
        <v>19.13</v>
      </c>
      <c r="AT105" s="2947"/>
      <c r="AU105" s="2865">
        <f t="shared" si="828"/>
        <v>32.231999999999999</v>
      </c>
      <c r="AV105" s="2947">
        <v>32.231999999999999</v>
      </c>
      <c r="AW105" s="2947"/>
      <c r="AX105" s="2865">
        <f t="shared" si="830"/>
        <v>38.979999999999997</v>
      </c>
      <c r="AY105" s="2947">
        <v>38.979999999999997</v>
      </c>
      <c r="AZ105" s="2947"/>
      <c r="BA105" s="2865">
        <f t="shared" si="432"/>
        <v>90.341999999999985</v>
      </c>
      <c r="BB105" s="2865">
        <f t="shared" si="766"/>
        <v>90.341999999999985</v>
      </c>
      <c r="BC105" s="2865">
        <f t="shared" si="766"/>
        <v>0</v>
      </c>
      <c r="BD105" s="2846">
        <f t="shared" si="741"/>
        <v>778.97708092066955</v>
      </c>
      <c r="BE105" s="2846">
        <f t="shared" si="742"/>
        <v>778.97708092066955</v>
      </c>
      <c r="BF105" s="2846">
        <f t="shared" si="742"/>
        <v>0</v>
      </c>
      <c r="BG105" s="2867">
        <f t="shared" si="832"/>
        <v>305.81599999999997</v>
      </c>
      <c r="BH105" s="2867">
        <f t="shared" si="833"/>
        <v>305.81599999999997</v>
      </c>
      <c r="BI105" s="2867">
        <f t="shared" si="833"/>
        <v>0</v>
      </c>
      <c r="BJ105" s="2867">
        <f t="shared" si="788"/>
        <v>-473.16108092066958</v>
      </c>
      <c r="BK105" s="2867">
        <f t="shared" si="788"/>
        <v>-473.16108092066958</v>
      </c>
      <c r="BL105" s="2867">
        <f t="shared" si="788"/>
        <v>0</v>
      </c>
      <c r="BM105" s="2845">
        <f t="shared" si="849"/>
        <v>259.65902697355654</v>
      </c>
      <c r="BN105" s="2845">
        <f t="shared" si="850"/>
        <v>259.65902697355654</v>
      </c>
      <c r="BO105" s="2845">
        <f t="shared" si="851"/>
        <v>0</v>
      </c>
      <c r="BP105" s="2865">
        <f t="shared" si="835"/>
        <v>40.634999999999998</v>
      </c>
      <c r="BQ105" s="2947">
        <v>40.634999999999998</v>
      </c>
      <c r="BR105" s="2947"/>
      <c r="BS105" s="2865">
        <f t="shared" si="837"/>
        <v>18.271000000000001</v>
      </c>
      <c r="BT105" s="2947">
        <v>18.271000000000001</v>
      </c>
      <c r="BU105" s="2947"/>
      <c r="BV105" s="2865">
        <f t="shared" si="839"/>
        <v>41.649000000000001</v>
      </c>
      <c r="BW105" s="2947">
        <v>41.649000000000001</v>
      </c>
      <c r="BX105" s="2947"/>
      <c r="BY105" s="2865">
        <f t="shared" si="442"/>
        <v>100.55500000000001</v>
      </c>
      <c r="BZ105" s="2865">
        <f t="shared" si="773"/>
        <v>100.55500000000001</v>
      </c>
      <c r="CA105" s="2865">
        <f t="shared" si="773"/>
        <v>0</v>
      </c>
      <c r="CB105" s="2846">
        <f t="shared" si="669"/>
        <v>1038.6361078942261</v>
      </c>
      <c r="CC105" s="2982">
        <f>419.7*2.47471076458</f>
        <v>1038.6361078942261</v>
      </c>
      <c r="CD105" s="2982">
        <v>0</v>
      </c>
      <c r="CE105" s="2867">
        <f t="shared" si="841"/>
        <v>406.37099999999998</v>
      </c>
      <c r="CF105" s="2982">
        <f t="shared" si="842"/>
        <v>406.37099999999998</v>
      </c>
      <c r="CG105" s="2982">
        <f t="shared" si="842"/>
        <v>0</v>
      </c>
      <c r="CH105" s="2867">
        <f t="shared" si="775"/>
        <v>-632.26510789422616</v>
      </c>
      <c r="CI105" s="2867">
        <f t="shared" si="775"/>
        <v>-632.26510789422616</v>
      </c>
      <c r="CJ105" s="2867">
        <f t="shared" si="775"/>
        <v>0</v>
      </c>
      <c r="CK105" s="2863"/>
      <c r="CL105" s="4188">
        <f t="shared" si="668"/>
        <v>1038.6361078942261</v>
      </c>
      <c r="CM105" s="2863"/>
    </row>
    <row r="106" spans="1:99" ht="18.75" customHeight="1" x14ac:dyDescent="0.3">
      <c r="A106" s="2989" t="s">
        <v>591</v>
      </c>
      <c r="B106" s="2845">
        <f t="shared" si="776"/>
        <v>30.878203565046949</v>
      </c>
      <c r="C106" s="2946">
        <f t="shared" ref="C106:D106" si="854">SUM(C107)</f>
        <v>30.878203565046949</v>
      </c>
      <c r="D106" s="2946">
        <f t="shared" si="854"/>
        <v>0</v>
      </c>
      <c r="E106" s="2865">
        <f t="shared" si="407"/>
        <v>9.1754899999999999</v>
      </c>
      <c r="F106" s="2865">
        <f t="shared" ref="F106:G106" si="855">SUM(F107)</f>
        <v>9.1754899999999999</v>
      </c>
      <c r="G106" s="2865">
        <f t="shared" si="855"/>
        <v>0</v>
      </c>
      <c r="H106" s="2865">
        <f t="shared" si="810"/>
        <v>1.5640000000000001</v>
      </c>
      <c r="I106" s="2865">
        <f t="shared" ref="I106:J106" si="856">SUM(I107)</f>
        <v>1.5640000000000001</v>
      </c>
      <c r="J106" s="2865">
        <f t="shared" si="856"/>
        <v>0</v>
      </c>
      <c r="K106" s="2865">
        <f t="shared" si="812"/>
        <v>4.33</v>
      </c>
      <c r="L106" s="2865">
        <f t="shared" ref="L106:M106" si="857">SUM(L107)</f>
        <v>4.33</v>
      </c>
      <c r="M106" s="2865">
        <f t="shared" si="857"/>
        <v>0</v>
      </c>
      <c r="N106" s="2865">
        <f t="shared" si="814"/>
        <v>15.06949</v>
      </c>
      <c r="O106" s="2865">
        <f t="shared" si="815"/>
        <v>15.06949</v>
      </c>
      <c r="P106" s="2865">
        <f t="shared" si="815"/>
        <v>0</v>
      </c>
      <c r="Q106" s="2845">
        <f t="shared" si="844"/>
        <v>30.878203565046949</v>
      </c>
      <c r="R106" s="2946">
        <f t="shared" ref="R106:S106" si="858">SUM(R107)</f>
        <v>30.878203565046949</v>
      </c>
      <c r="S106" s="2946">
        <f t="shared" si="858"/>
        <v>0</v>
      </c>
      <c r="T106" s="2865">
        <f t="shared" si="817"/>
        <v>0.63</v>
      </c>
      <c r="U106" s="2865">
        <f t="shared" ref="U106:V106" si="859">SUM(U107)</f>
        <v>0.63</v>
      </c>
      <c r="V106" s="2865">
        <f t="shared" si="859"/>
        <v>0</v>
      </c>
      <c r="W106" s="2865">
        <f t="shared" si="819"/>
        <v>34.880000000000003</v>
      </c>
      <c r="X106" s="2865">
        <f t="shared" ref="X106:Y106" si="860">SUM(X107)</f>
        <v>34.880000000000003</v>
      </c>
      <c r="Y106" s="2865">
        <f t="shared" si="860"/>
        <v>0</v>
      </c>
      <c r="Z106" s="2865">
        <f t="shared" si="821"/>
        <v>1.2330000000000001</v>
      </c>
      <c r="AA106" s="2865">
        <f t="shared" ref="AA106:AB106" si="861">SUM(AA107)</f>
        <v>1.2330000000000001</v>
      </c>
      <c r="AB106" s="2865">
        <f t="shared" si="861"/>
        <v>0</v>
      </c>
      <c r="AC106" s="2865">
        <f t="shared" si="422"/>
        <v>36.743000000000002</v>
      </c>
      <c r="AD106" s="2865">
        <f t="shared" si="759"/>
        <v>36.743000000000002</v>
      </c>
      <c r="AE106" s="2865">
        <f t="shared" si="759"/>
        <v>0</v>
      </c>
      <c r="AF106" s="2846">
        <f t="shared" si="852"/>
        <v>61.756407130093898</v>
      </c>
      <c r="AG106" s="2846">
        <f t="shared" si="853"/>
        <v>61.756407130093898</v>
      </c>
      <c r="AH106" s="2846">
        <f t="shared" si="853"/>
        <v>0</v>
      </c>
      <c r="AI106" s="2867">
        <f t="shared" si="823"/>
        <v>51.812490000000004</v>
      </c>
      <c r="AJ106" s="2867">
        <f t="shared" si="824"/>
        <v>51.812490000000004</v>
      </c>
      <c r="AK106" s="2867">
        <f t="shared" si="824"/>
        <v>0</v>
      </c>
      <c r="AL106" s="2867">
        <f t="shared" si="787"/>
        <v>-9.9439171300938938</v>
      </c>
      <c r="AM106" s="2867">
        <f t="shared" si="787"/>
        <v>-9.9439171300938938</v>
      </c>
      <c r="AN106" s="2867">
        <f t="shared" si="787"/>
        <v>0</v>
      </c>
      <c r="AO106" s="2845">
        <f t="shared" si="780"/>
        <v>30.878203565046949</v>
      </c>
      <c r="AP106" s="2946">
        <f t="shared" ref="AP106:AQ106" si="862">SUM(AP107)</f>
        <v>30.878203565046949</v>
      </c>
      <c r="AQ106" s="2946">
        <f t="shared" si="862"/>
        <v>0</v>
      </c>
      <c r="AR106" s="2865">
        <f t="shared" si="826"/>
        <v>6.37</v>
      </c>
      <c r="AS106" s="2865">
        <f t="shared" ref="AS106:AT106" si="863">SUM(AS107)</f>
        <v>6.37</v>
      </c>
      <c r="AT106" s="2865">
        <f t="shared" si="863"/>
        <v>0</v>
      </c>
      <c r="AU106" s="2865">
        <f t="shared" si="828"/>
        <v>0.56000000000000005</v>
      </c>
      <c r="AV106" s="2865">
        <f t="shared" ref="AV106:AW106" si="864">SUM(AV107)</f>
        <v>0.56000000000000005</v>
      </c>
      <c r="AW106" s="2865">
        <f t="shared" si="864"/>
        <v>0</v>
      </c>
      <c r="AX106" s="2865">
        <f t="shared" si="830"/>
        <v>3.3239999999999998</v>
      </c>
      <c r="AY106" s="2865">
        <f t="shared" ref="AY106:AZ106" si="865">SUM(AY107)</f>
        <v>3.3239999999999998</v>
      </c>
      <c r="AZ106" s="2865">
        <f t="shared" si="865"/>
        <v>0</v>
      </c>
      <c r="BA106" s="2865">
        <f t="shared" si="432"/>
        <v>10.254</v>
      </c>
      <c r="BB106" s="2865">
        <f t="shared" si="766"/>
        <v>10.254</v>
      </c>
      <c r="BC106" s="2865">
        <f t="shared" si="766"/>
        <v>0</v>
      </c>
      <c r="BD106" s="2846">
        <f t="shared" si="741"/>
        <v>92.63461069514085</v>
      </c>
      <c r="BE106" s="2846">
        <f t="shared" si="742"/>
        <v>92.63461069514085</v>
      </c>
      <c r="BF106" s="2846">
        <f t="shared" si="742"/>
        <v>0</v>
      </c>
      <c r="BG106" s="2867">
        <f t="shared" si="832"/>
        <v>62.066490000000002</v>
      </c>
      <c r="BH106" s="2867">
        <f t="shared" si="833"/>
        <v>62.066490000000002</v>
      </c>
      <c r="BI106" s="2867">
        <f t="shared" si="833"/>
        <v>0</v>
      </c>
      <c r="BJ106" s="2867">
        <f t="shared" si="788"/>
        <v>-30.568120695140848</v>
      </c>
      <c r="BK106" s="2867">
        <f t="shared" si="788"/>
        <v>-30.568120695140848</v>
      </c>
      <c r="BL106" s="2867">
        <f t="shared" si="788"/>
        <v>0</v>
      </c>
      <c r="BM106" s="2845">
        <f t="shared" si="849"/>
        <v>30.878203565046949</v>
      </c>
      <c r="BN106" s="2946">
        <f t="shared" ref="BN106:BO106" si="866">SUM(BN107)</f>
        <v>30.878203565046949</v>
      </c>
      <c r="BO106" s="2946">
        <f t="shared" si="866"/>
        <v>0</v>
      </c>
      <c r="BP106" s="2865">
        <f t="shared" si="835"/>
        <v>1.76</v>
      </c>
      <c r="BQ106" s="2865">
        <f t="shared" ref="BQ106:BR106" si="867">SUM(BQ107)</f>
        <v>1.76</v>
      </c>
      <c r="BR106" s="2865">
        <f t="shared" si="867"/>
        <v>0</v>
      </c>
      <c r="BS106" s="2865">
        <f t="shared" si="837"/>
        <v>8.9830000000000005</v>
      </c>
      <c r="BT106" s="2865">
        <f t="shared" ref="BT106:BU106" si="868">SUM(BT107)</f>
        <v>8.9830000000000005</v>
      </c>
      <c r="BU106" s="2865">
        <f t="shared" si="868"/>
        <v>0</v>
      </c>
      <c r="BV106" s="2865">
        <f t="shared" si="839"/>
        <v>61.194000000000003</v>
      </c>
      <c r="BW106" s="2865">
        <f t="shared" ref="BW106:BX106" si="869">SUM(BW107)</f>
        <v>61.194000000000003</v>
      </c>
      <c r="BX106" s="2865">
        <f t="shared" si="869"/>
        <v>0</v>
      </c>
      <c r="BY106" s="2865">
        <f t="shared" si="442"/>
        <v>71.936999999999998</v>
      </c>
      <c r="BZ106" s="2865">
        <f t="shared" si="773"/>
        <v>71.936999999999998</v>
      </c>
      <c r="CA106" s="2865">
        <f t="shared" si="773"/>
        <v>0</v>
      </c>
      <c r="CB106" s="2846">
        <f t="shared" si="669"/>
        <v>123.5128142601878</v>
      </c>
      <c r="CC106" s="2990">
        <f t="shared" ref="CC106:CD106" si="870">SUM(CC107)</f>
        <v>123.5128142601878</v>
      </c>
      <c r="CD106" s="2990">
        <f t="shared" si="870"/>
        <v>0</v>
      </c>
      <c r="CE106" s="2867">
        <f t="shared" si="841"/>
        <v>134.00349</v>
      </c>
      <c r="CF106" s="2982">
        <f t="shared" si="842"/>
        <v>134.00349</v>
      </c>
      <c r="CG106" s="2982">
        <f t="shared" si="842"/>
        <v>0</v>
      </c>
      <c r="CH106" s="2867">
        <f t="shared" si="775"/>
        <v>10.490675739812204</v>
      </c>
      <c r="CI106" s="2867">
        <f t="shared" si="775"/>
        <v>10.490675739812204</v>
      </c>
      <c r="CJ106" s="2867">
        <f t="shared" si="775"/>
        <v>0</v>
      </c>
      <c r="CK106" s="2863"/>
      <c r="CL106" s="4188">
        <f t="shared" si="668"/>
        <v>123.5128142601878</v>
      </c>
      <c r="CM106" s="2863"/>
    </row>
    <row r="107" spans="1:99" ht="18.75" customHeight="1" x14ac:dyDescent="0.3">
      <c r="A107" s="2879" t="s">
        <v>548</v>
      </c>
      <c r="B107" s="2853">
        <f t="shared" ref="B107:B108" si="871">SUM(C107:D107)</f>
        <v>30.878203565046949</v>
      </c>
      <c r="C107" s="2853">
        <f t="shared" ref="C107:D107" si="872">SUM(CC107/4)</f>
        <v>30.878203565046949</v>
      </c>
      <c r="D107" s="2853">
        <f t="shared" si="872"/>
        <v>0</v>
      </c>
      <c r="E107" s="2875">
        <f t="shared" si="407"/>
        <v>9.1754899999999999</v>
      </c>
      <c r="F107" s="2955">
        <f>9.04+0.13549</f>
        <v>9.1754899999999999</v>
      </c>
      <c r="G107" s="2955"/>
      <c r="H107" s="2875">
        <f t="shared" si="810"/>
        <v>1.5640000000000001</v>
      </c>
      <c r="I107" s="2955">
        <f>1.54+0.024</f>
        <v>1.5640000000000001</v>
      </c>
      <c r="J107" s="2955"/>
      <c r="K107" s="2875">
        <f t="shared" si="812"/>
        <v>4.33</v>
      </c>
      <c r="L107" s="2955">
        <v>4.33</v>
      </c>
      <c r="M107" s="2955"/>
      <c r="N107" s="2875">
        <f t="shared" si="814"/>
        <v>15.06949</v>
      </c>
      <c r="O107" s="2875">
        <f t="shared" si="815"/>
        <v>15.06949</v>
      </c>
      <c r="P107" s="2875">
        <f t="shared" si="815"/>
        <v>0</v>
      </c>
      <c r="Q107" s="2853">
        <f t="shared" ref="Q107" si="873">SUM(R107:S107)</f>
        <v>30.878203565046949</v>
      </c>
      <c r="R107" s="2853">
        <f t="shared" ref="R107" si="874">SUM(C107)</f>
        <v>30.878203565046949</v>
      </c>
      <c r="S107" s="2853">
        <f t="shared" ref="S107" si="875">SUM(D107)</f>
        <v>0</v>
      </c>
      <c r="T107" s="2875">
        <f t="shared" si="817"/>
        <v>0.63</v>
      </c>
      <c r="U107" s="2955">
        <v>0.63</v>
      </c>
      <c r="V107" s="2955"/>
      <c r="W107" s="2875">
        <f t="shared" si="819"/>
        <v>34.880000000000003</v>
      </c>
      <c r="X107" s="2955">
        <v>34.880000000000003</v>
      </c>
      <c r="Y107" s="2955"/>
      <c r="Z107" s="2875">
        <f t="shared" si="821"/>
        <v>1.2330000000000001</v>
      </c>
      <c r="AA107" s="2955">
        <v>1.2330000000000001</v>
      </c>
      <c r="AB107" s="2955"/>
      <c r="AC107" s="2875">
        <f t="shared" si="422"/>
        <v>36.743000000000002</v>
      </c>
      <c r="AD107" s="2875">
        <f t="shared" si="759"/>
        <v>36.743000000000002</v>
      </c>
      <c r="AE107" s="2875">
        <f t="shared" si="759"/>
        <v>0</v>
      </c>
      <c r="AF107" s="2856">
        <f t="shared" si="852"/>
        <v>61.756407130093898</v>
      </c>
      <c r="AG107" s="2856">
        <f t="shared" si="853"/>
        <v>61.756407130093898</v>
      </c>
      <c r="AH107" s="2856">
        <f t="shared" si="853"/>
        <v>0</v>
      </c>
      <c r="AI107" s="2870">
        <f t="shared" si="823"/>
        <v>51.812490000000004</v>
      </c>
      <c r="AJ107" s="2870">
        <f t="shared" si="824"/>
        <v>51.812490000000004</v>
      </c>
      <c r="AK107" s="2870">
        <f t="shared" si="824"/>
        <v>0</v>
      </c>
      <c r="AL107" s="2870">
        <f t="shared" si="787"/>
        <v>-9.9439171300938938</v>
      </c>
      <c r="AM107" s="2870">
        <f t="shared" si="787"/>
        <v>-9.9439171300938938</v>
      </c>
      <c r="AN107" s="2870">
        <f t="shared" si="787"/>
        <v>0</v>
      </c>
      <c r="AO107" s="2853">
        <f t="shared" ref="AO107" si="876">SUM(AP107:AQ107)</f>
        <v>30.878203565046949</v>
      </c>
      <c r="AP107" s="2853">
        <f t="shared" ref="AP107:AQ107" si="877">SUM(CC107-AG107)/2</f>
        <v>30.878203565046949</v>
      </c>
      <c r="AQ107" s="2853">
        <f t="shared" si="877"/>
        <v>0</v>
      </c>
      <c r="AR107" s="2875">
        <f t="shared" si="826"/>
        <v>6.37</v>
      </c>
      <c r="AS107" s="2955">
        <v>6.37</v>
      </c>
      <c r="AT107" s="2955"/>
      <c r="AU107" s="2875">
        <f t="shared" si="828"/>
        <v>0.56000000000000005</v>
      </c>
      <c r="AV107" s="2955">
        <v>0.56000000000000005</v>
      </c>
      <c r="AW107" s="2955"/>
      <c r="AX107" s="2875">
        <f t="shared" si="830"/>
        <v>3.3239999999999998</v>
      </c>
      <c r="AY107" s="2955">
        <v>3.3239999999999998</v>
      </c>
      <c r="AZ107" s="2955"/>
      <c r="BA107" s="2875">
        <f t="shared" si="432"/>
        <v>10.254</v>
      </c>
      <c r="BB107" s="2875">
        <f t="shared" si="766"/>
        <v>10.254</v>
      </c>
      <c r="BC107" s="2875">
        <f t="shared" si="766"/>
        <v>0</v>
      </c>
      <c r="BD107" s="2856">
        <f t="shared" si="741"/>
        <v>92.63461069514085</v>
      </c>
      <c r="BE107" s="2856">
        <f t="shared" si="742"/>
        <v>92.63461069514085</v>
      </c>
      <c r="BF107" s="2856">
        <f t="shared" si="742"/>
        <v>0</v>
      </c>
      <c r="BG107" s="2870">
        <f t="shared" si="832"/>
        <v>62.066490000000002</v>
      </c>
      <c r="BH107" s="2870">
        <f t="shared" si="833"/>
        <v>62.066490000000002</v>
      </c>
      <c r="BI107" s="2870">
        <f t="shared" si="833"/>
        <v>0</v>
      </c>
      <c r="BJ107" s="2870">
        <f t="shared" si="788"/>
        <v>-30.568120695140848</v>
      </c>
      <c r="BK107" s="2870">
        <f t="shared" si="788"/>
        <v>-30.568120695140848</v>
      </c>
      <c r="BL107" s="2870">
        <f t="shared" si="788"/>
        <v>0</v>
      </c>
      <c r="BM107" s="2853">
        <f t="shared" ref="BM107:BM111" si="878">SUM(BN107:BO107)</f>
        <v>30.878203565046949</v>
      </c>
      <c r="BN107" s="2853">
        <f t="shared" ref="BN107" si="879">SUM(AP107)</f>
        <v>30.878203565046949</v>
      </c>
      <c r="BO107" s="2853">
        <f t="shared" ref="BO107" si="880">SUM(AQ107)</f>
        <v>0</v>
      </c>
      <c r="BP107" s="2875">
        <f t="shared" si="835"/>
        <v>1.76</v>
      </c>
      <c r="BQ107" s="2955">
        <v>1.76</v>
      </c>
      <c r="BR107" s="2955"/>
      <c r="BS107" s="2875">
        <f t="shared" si="837"/>
        <v>8.9830000000000005</v>
      </c>
      <c r="BT107" s="2955">
        <v>8.9830000000000005</v>
      </c>
      <c r="BU107" s="2955"/>
      <c r="BV107" s="2875">
        <f t="shared" si="839"/>
        <v>61.194000000000003</v>
      </c>
      <c r="BW107" s="2955">
        <v>61.194000000000003</v>
      </c>
      <c r="BX107" s="2955"/>
      <c r="BY107" s="2875">
        <f t="shared" si="442"/>
        <v>71.936999999999998</v>
      </c>
      <c r="BZ107" s="2875">
        <f t="shared" si="773"/>
        <v>71.936999999999998</v>
      </c>
      <c r="CA107" s="2875">
        <f t="shared" si="773"/>
        <v>0</v>
      </c>
      <c r="CB107" s="2856">
        <f t="shared" si="669"/>
        <v>123.5128142601878</v>
      </c>
      <c r="CC107" s="2991">
        <f>49.91*2.47471076458</f>
        <v>123.5128142601878</v>
      </c>
      <c r="CD107" s="2991">
        <v>0</v>
      </c>
      <c r="CE107" s="2870">
        <f t="shared" si="841"/>
        <v>134.00349</v>
      </c>
      <c r="CF107" s="2991">
        <f t="shared" si="842"/>
        <v>134.00349</v>
      </c>
      <c r="CG107" s="2991">
        <f t="shared" si="842"/>
        <v>0</v>
      </c>
      <c r="CH107" s="2870">
        <f t="shared" si="775"/>
        <v>10.490675739812204</v>
      </c>
      <c r="CI107" s="2870">
        <f t="shared" si="775"/>
        <v>10.490675739812204</v>
      </c>
      <c r="CJ107" s="2870">
        <f t="shared" si="775"/>
        <v>0</v>
      </c>
      <c r="CK107" s="2863"/>
      <c r="CL107" s="4188">
        <f t="shared" si="668"/>
        <v>123.5128142601878</v>
      </c>
      <c r="CM107" s="2863"/>
    </row>
    <row r="108" spans="1:99" ht="18.75" customHeight="1" x14ac:dyDescent="0.3">
      <c r="A108" s="2989" t="s">
        <v>594</v>
      </c>
      <c r="B108" s="2845">
        <f t="shared" si="871"/>
        <v>99.174033890543512</v>
      </c>
      <c r="C108" s="2946">
        <f t="shared" ref="C108:D108" si="881">SUM(C109:C110)</f>
        <v>99.174033890543512</v>
      </c>
      <c r="D108" s="2946">
        <f t="shared" si="881"/>
        <v>0</v>
      </c>
      <c r="E108" s="2865">
        <f t="shared" si="407"/>
        <v>107.86</v>
      </c>
      <c r="F108" s="2865">
        <f t="shared" ref="F108:G108" si="882">SUM(F109:F110)</f>
        <v>107.86</v>
      </c>
      <c r="G108" s="2865">
        <f t="shared" si="882"/>
        <v>0</v>
      </c>
      <c r="H108" s="2865">
        <f t="shared" si="810"/>
        <v>0</v>
      </c>
      <c r="I108" s="2865">
        <f t="shared" ref="I108:J108" si="883">SUM(I109:I110)</f>
        <v>0</v>
      </c>
      <c r="J108" s="2865">
        <f t="shared" si="883"/>
        <v>0</v>
      </c>
      <c r="K108" s="2865">
        <f t="shared" si="812"/>
        <v>0</v>
      </c>
      <c r="L108" s="2865">
        <f t="shared" ref="L108:M108" si="884">SUM(L109:L110)</f>
        <v>0</v>
      </c>
      <c r="M108" s="2865">
        <f t="shared" si="884"/>
        <v>0</v>
      </c>
      <c r="N108" s="2865">
        <f t="shared" si="814"/>
        <v>107.86</v>
      </c>
      <c r="O108" s="2865">
        <f t="shared" si="815"/>
        <v>107.86</v>
      </c>
      <c r="P108" s="2865">
        <f t="shared" si="815"/>
        <v>0</v>
      </c>
      <c r="Q108" s="2845">
        <f t="shared" si="844"/>
        <v>99.174033890543512</v>
      </c>
      <c r="R108" s="2946">
        <f t="shared" ref="R108:S108" si="885">SUM(R109:R110)</f>
        <v>99.174033890543512</v>
      </c>
      <c r="S108" s="2946">
        <f t="shared" si="885"/>
        <v>0</v>
      </c>
      <c r="T108" s="2865">
        <f t="shared" si="817"/>
        <v>0</v>
      </c>
      <c r="U108" s="2865">
        <f t="shared" ref="U108:V108" si="886">SUM(U109:U110)</f>
        <v>0</v>
      </c>
      <c r="V108" s="2865">
        <f t="shared" si="886"/>
        <v>0</v>
      </c>
      <c r="W108" s="2865">
        <f t="shared" si="819"/>
        <v>0</v>
      </c>
      <c r="X108" s="2865">
        <f t="shared" ref="X108:Y108" si="887">SUM(X109:X110)</f>
        <v>0</v>
      </c>
      <c r="Y108" s="2865">
        <f t="shared" si="887"/>
        <v>0</v>
      </c>
      <c r="Z108" s="2865">
        <f t="shared" si="821"/>
        <v>2.173</v>
      </c>
      <c r="AA108" s="2865">
        <f t="shared" ref="AA108:AB108" si="888">SUM(AA109:AA110)</f>
        <v>2.173</v>
      </c>
      <c r="AB108" s="2865">
        <f t="shared" si="888"/>
        <v>0</v>
      </c>
      <c r="AC108" s="2865">
        <f t="shared" si="422"/>
        <v>2.173</v>
      </c>
      <c r="AD108" s="2865">
        <f t="shared" si="759"/>
        <v>2.173</v>
      </c>
      <c r="AE108" s="2865">
        <f t="shared" si="759"/>
        <v>0</v>
      </c>
      <c r="AF108" s="2846">
        <f t="shared" si="852"/>
        <v>198.34806778108702</v>
      </c>
      <c r="AG108" s="2846">
        <f t="shared" si="853"/>
        <v>198.34806778108702</v>
      </c>
      <c r="AH108" s="2846">
        <f t="shared" si="853"/>
        <v>0</v>
      </c>
      <c r="AI108" s="2867">
        <f t="shared" si="823"/>
        <v>110.033</v>
      </c>
      <c r="AJ108" s="2867">
        <f t="shared" si="824"/>
        <v>110.033</v>
      </c>
      <c r="AK108" s="2867">
        <f t="shared" si="824"/>
        <v>0</v>
      </c>
      <c r="AL108" s="2867">
        <f t="shared" si="787"/>
        <v>-88.315067781087023</v>
      </c>
      <c r="AM108" s="2867">
        <f t="shared" si="787"/>
        <v>-88.315067781087023</v>
      </c>
      <c r="AN108" s="2867">
        <f t="shared" si="787"/>
        <v>0</v>
      </c>
      <c r="AO108" s="2845">
        <f t="shared" si="780"/>
        <v>99.174033890543512</v>
      </c>
      <c r="AP108" s="2946">
        <f t="shared" ref="AP108:AQ108" si="889">SUM(AP109:AP110)</f>
        <v>99.174033890543512</v>
      </c>
      <c r="AQ108" s="2946">
        <f t="shared" si="889"/>
        <v>0</v>
      </c>
      <c r="AR108" s="2865">
        <f t="shared" si="826"/>
        <v>23.4</v>
      </c>
      <c r="AS108" s="2865">
        <f t="shared" ref="AS108:AT108" si="890">SUM(AS109:AS110)</f>
        <v>23.4</v>
      </c>
      <c r="AT108" s="2865">
        <f t="shared" si="890"/>
        <v>0</v>
      </c>
      <c r="AU108" s="2865">
        <f t="shared" si="828"/>
        <v>0</v>
      </c>
      <c r="AV108" s="2865">
        <f t="shared" ref="AV108:AW108" si="891">SUM(AV109:AV110)</f>
        <v>0</v>
      </c>
      <c r="AW108" s="2865">
        <f t="shared" si="891"/>
        <v>0</v>
      </c>
      <c r="AX108" s="2865">
        <f t="shared" si="830"/>
        <v>121.956</v>
      </c>
      <c r="AY108" s="2865">
        <f t="shared" ref="AY108:AZ108" si="892">SUM(AY109:AY110)</f>
        <v>121.956</v>
      </c>
      <c r="AZ108" s="2865">
        <f t="shared" si="892"/>
        <v>0</v>
      </c>
      <c r="BA108" s="2865">
        <f t="shared" si="432"/>
        <v>145.35599999999999</v>
      </c>
      <c r="BB108" s="2865">
        <f t="shared" si="766"/>
        <v>145.35599999999999</v>
      </c>
      <c r="BC108" s="2865">
        <f t="shared" si="766"/>
        <v>0</v>
      </c>
      <c r="BD108" s="2846">
        <f t="shared" si="741"/>
        <v>297.52210167163054</v>
      </c>
      <c r="BE108" s="2846">
        <f t="shared" si="742"/>
        <v>297.52210167163054</v>
      </c>
      <c r="BF108" s="2846">
        <f t="shared" si="742"/>
        <v>0</v>
      </c>
      <c r="BG108" s="2867">
        <f t="shared" si="832"/>
        <v>255.38900000000001</v>
      </c>
      <c r="BH108" s="2867">
        <f t="shared" si="833"/>
        <v>255.38900000000001</v>
      </c>
      <c r="BI108" s="2867">
        <f t="shared" si="833"/>
        <v>0</v>
      </c>
      <c r="BJ108" s="2867">
        <f t="shared" si="788"/>
        <v>-42.133101671630527</v>
      </c>
      <c r="BK108" s="2867">
        <f t="shared" si="788"/>
        <v>-42.133101671630527</v>
      </c>
      <c r="BL108" s="2867">
        <f t="shared" si="788"/>
        <v>0</v>
      </c>
      <c r="BM108" s="2845">
        <f t="shared" si="878"/>
        <v>99.174033890543512</v>
      </c>
      <c r="BN108" s="2946">
        <f t="shared" ref="BN108:BO108" si="893">SUM(BN109:BN110)</f>
        <v>99.174033890543512</v>
      </c>
      <c r="BO108" s="2946">
        <f t="shared" si="893"/>
        <v>0</v>
      </c>
      <c r="BP108" s="2865">
        <f t="shared" si="835"/>
        <v>0</v>
      </c>
      <c r="BQ108" s="2865">
        <f t="shared" ref="BQ108:BR108" si="894">SUM(BQ109:BQ110)</f>
        <v>0</v>
      </c>
      <c r="BR108" s="2865">
        <f t="shared" si="894"/>
        <v>0</v>
      </c>
      <c r="BS108" s="2865">
        <f t="shared" si="837"/>
        <v>39.715000000000003</v>
      </c>
      <c r="BT108" s="2865">
        <f t="shared" ref="BT108:BU108" si="895">SUM(BT109:BT110)</f>
        <v>39.715000000000003</v>
      </c>
      <c r="BU108" s="2865">
        <f t="shared" si="895"/>
        <v>0</v>
      </c>
      <c r="BV108" s="2865">
        <f t="shared" si="839"/>
        <v>-1.15E-2</v>
      </c>
      <c r="BW108" s="2865">
        <f t="shared" ref="BW108:BX108" si="896">SUM(BW109:BW110)</f>
        <v>-1.15E-2</v>
      </c>
      <c r="BX108" s="2865">
        <f t="shared" si="896"/>
        <v>0</v>
      </c>
      <c r="BY108" s="2865">
        <f t="shared" si="442"/>
        <v>39.703500000000005</v>
      </c>
      <c r="BZ108" s="2865">
        <f t="shared" si="773"/>
        <v>39.703500000000005</v>
      </c>
      <c r="CA108" s="2865">
        <f t="shared" si="773"/>
        <v>0</v>
      </c>
      <c r="CB108" s="2846">
        <f t="shared" si="669"/>
        <v>396.69613556217405</v>
      </c>
      <c r="CC108" s="2990">
        <f t="shared" ref="CC108:CD108" si="897">SUM(CC109:CC110)</f>
        <v>396.69613556217405</v>
      </c>
      <c r="CD108" s="2990">
        <f t="shared" si="897"/>
        <v>0</v>
      </c>
      <c r="CE108" s="2867">
        <f t="shared" si="841"/>
        <v>295.09250000000003</v>
      </c>
      <c r="CF108" s="2982">
        <f t="shared" si="842"/>
        <v>295.09250000000003</v>
      </c>
      <c r="CG108" s="2982">
        <f t="shared" si="842"/>
        <v>0</v>
      </c>
      <c r="CH108" s="2867">
        <f t="shared" si="775"/>
        <v>-101.60363556217402</v>
      </c>
      <c r="CI108" s="2867">
        <f t="shared" si="775"/>
        <v>-101.60363556217402</v>
      </c>
      <c r="CJ108" s="2867">
        <f t="shared" si="775"/>
        <v>0</v>
      </c>
      <c r="CK108" s="2863"/>
      <c r="CL108" s="4188">
        <f t="shared" si="668"/>
        <v>396.69613556217405</v>
      </c>
      <c r="CM108" s="2863"/>
    </row>
    <row r="109" spans="1:99" ht="18.75" customHeight="1" x14ac:dyDescent="0.3">
      <c r="A109" s="2879" t="s">
        <v>534</v>
      </c>
      <c r="B109" s="2853">
        <f t="shared" ref="B109:B111" si="898">SUM(C109:D109)</f>
        <v>98.641971076158811</v>
      </c>
      <c r="C109" s="2853">
        <f t="shared" ref="C109:C110" si="899">SUM(CC109/4)</f>
        <v>98.641971076158811</v>
      </c>
      <c r="D109" s="2853">
        <f t="shared" ref="D109:D110" si="900">SUM(CD109/4)</f>
        <v>0</v>
      </c>
      <c r="E109" s="2875">
        <f t="shared" si="407"/>
        <v>107.52</v>
      </c>
      <c r="F109" s="2955">
        <f>40.67+66.85</f>
        <v>107.52</v>
      </c>
      <c r="G109" s="2955"/>
      <c r="H109" s="2875">
        <f t="shared" si="810"/>
        <v>0</v>
      </c>
      <c r="I109" s="2955"/>
      <c r="J109" s="2955"/>
      <c r="K109" s="2875">
        <f t="shared" si="812"/>
        <v>0</v>
      </c>
      <c r="L109" s="2955"/>
      <c r="M109" s="2955"/>
      <c r="N109" s="2875">
        <f t="shared" si="814"/>
        <v>107.52</v>
      </c>
      <c r="O109" s="2875">
        <f t="shared" si="815"/>
        <v>107.52</v>
      </c>
      <c r="P109" s="2875">
        <f t="shared" si="815"/>
        <v>0</v>
      </c>
      <c r="Q109" s="2853">
        <f t="shared" si="844"/>
        <v>98.641971076158811</v>
      </c>
      <c r="R109" s="2853">
        <f t="shared" ref="R109:R110" si="901">SUM(C109)</f>
        <v>98.641971076158811</v>
      </c>
      <c r="S109" s="2853">
        <f t="shared" ref="S109:S110" si="902">SUM(D109)</f>
        <v>0</v>
      </c>
      <c r="T109" s="2875">
        <f t="shared" si="817"/>
        <v>0</v>
      </c>
      <c r="U109" s="2955"/>
      <c r="V109" s="2955"/>
      <c r="W109" s="2875">
        <f t="shared" si="819"/>
        <v>0</v>
      </c>
      <c r="X109" s="2955"/>
      <c r="Y109" s="2955"/>
      <c r="Z109" s="2875">
        <f t="shared" si="821"/>
        <v>2.173</v>
      </c>
      <c r="AA109" s="2955">
        <v>2.173</v>
      </c>
      <c r="AB109" s="2955"/>
      <c r="AC109" s="2875">
        <f t="shared" si="422"/>
        <v>2.173</v>
      </c>
      <c r="AD109" s="2875">
        <f t="shared" si="759"/>
        <v>2.173</v>
      </c>
      <c r="AE109" s="2875">
        <f t="shared" si="759"/>
        <v>0</v>
      </c>
      <c r="AF109" s="2856">
        <f t="shared" si="852"/>
        <v>197.28394215231762</v>
      </c>
      <c r="AG109" s="2856">
        <f t="shared" si="853"/>
        <v>197.28394215231762</v>
      </c>
      <c r="AH109" s="2856">
        <f t="shared" si="853"/>
        <v>0</v>
      </c>
      <c r="AI109" s="2870">
        <f t="shared" si="823"/>
        <v>109.693</v>
      </c>
      <c r="AJ109" s="2870">
        <f t="shared" si="824"/>
        <v>109.693</v>
      </c>
      <c r="AK109" s="2870">
        <f t="shared" si="824"/>
        <v>0</v>
      </c>
      <c r="AL109" s="2870">
        <f t="shared" si="787"/>
        <v>-87.590942152317623</v>
      </c>
      <c r="AM109" s="2870">
        <f t="shared" si="787"/>
        <v>-87.590942152317623</v>
      </c>
      <c r="AN109" s="2870">
        <f t="shared" si="787"/>
        <v>0</v>
      </c>
      <c r="AO109" s="2853">
        <f t="shared" si="780"/>
        <v>98.641971076158811</v>
      </c>
      <c r="AP109" s="2853">
        <f t="shared" ref="AP109" si="903">SUM(CC109-AG109)/2</f>
        <v>98.641971076158811</v>
      </c>
      <c r="AQ109" s="2853">
        <f t="shared" ref="AQ109:AQ110" si="904">SUM(CD109-AH109)/2</f>
        <v>0</v>
      </c>
      <c r="AR109" s="2875">
        <f t="shared" si="826"/>
        <v>23.4</v>
      </c>
      <c r="AS109" s="2955">
        <v>23.4</v>
      </c>
      <c r="AT109" s="2955"/>
      <c r="AU109" s="2875">
        <f t="shared" si="828"/>
        <v>0</v>
      </c>
      <c r="AV109" s="2955"/>
      <c r="AW109" s="2955"/>
      <c r="AX109" s="2875">
        <f t="shared" si="830"/>
        <v>121.956</v>
      </c>
      <c r="AY109" s="2955">
        <v>121.956</v>
      </c>
      <c r="AZ109" s="2955"/>
      <c r="BA109" s="2875">
        <f t="shared" si="432"/>
        <v>145.35599999999999</v>
      </c>
      <c r="BB109" s="2875">
        <f t="shared" si="766"/>
        <v>145.35599999999999</v>
      </c>
      <c r="BC109" s="2875">
        <f t="shared" si="766"/>
        <v>0</v>
      </c>
      <c r="BD109" s="2856">
        <f t="shared" si="741"/>
        <v>295.92591322847642</v>
      </c>
      <c r="BE109" s="2856">
        <f t="shared" si="742"/>
        <v>295.92591322847642</v>
      </c>
      <c r="BF109" s="2856">
        <f t="shared" si="742"/>
        <v>0</v>
      </c>
      <c r="BG109" s="2870">
        <f t="shared" si="832"/>
        <v>255.04899999999998</v>
      </c>
      <c r="BH109" s="2870">
        <f t="shared" si="833"/>
        <v>255.04899999999998</v>
      </c>
      <c r="BI109" s="2870">
        <f t="shared" si="833"/>
        <v>0</v>
      </c>
      <c r="BJ109" s="2870">
        <f t="shared" si="788"/>
        <v>-40.87691322847644</v>
      </c>
      <c r="BK109" s="2870">
        <f t="shared" si="788"/>
        <v>-40.87691322847644</v>
      </c>
      <c r="BL109" s="2870">
        <f t="shared" si="788"/>
        <v>0</v>
      </c>
      <c r="BM109" s="2853">
        <f t="shared" si="878"/>
        <v>98.641971076158811</v>
      </c>
      <c r="BN109" s="2853">
        <f t="shared" ref="BN109:BN110" si="905">SUM(AP109)</f>
        <v>98.641971076158811</v>
      </c>
      <c r="BO109" s="2853">
        <f t="shared" ref="BO109:BO110" si="906">SUM(AQ109)</f>
        <v>0</v>
      </c>
      <c r="BP109" s="2875">
        <f t="shared" si="835"/>
        <v>0</v>
      </c>
      <c r="BQ109" s="2955"/>
      <c r="BR109" s="2955"/>
      <c r="BS109" s="2875">
        <f t="shared" si="837"/>
        <v>39.715000000000003</v>
      </c>
      <c r="BT109" s="2955">
        <v>39.715000000000003</v>
      </c>
      <c r="BU109" s="2955"/>
      <c r="BV109" s="2875">
        <f t="shared" si="839"/>
        <v>-6.4999999999999997E-3</v>
      </c>
      <c r="BW109" s="2955">
        <v>-6.4999999999999997E-3</v>
      </c>
      <c r="BX109" s="2955"/>
      <c r="BY109" s="2875">
        <f t="shared" si="442"/>
        <v>39.708500000000001</v>
      </c>
      <c r="BZ109" s="2875">
        <f t="shared" si="773"/>
        <v>39.708500000000001</v>
      </c>
      <c r="CA109" s="2875">
        <f t="shared" si="773"/>
        <v>0</v>
      </c>
      <c r="CB109" s="2856">
        <f t="shared" si="669"/>
        <v>394.56788430463524</v>
      </c>
      <c r="CC109" s="2991">
        <f>159.44*2.47471076458</f>
        <v>394.56788430463524</v>
      </c>
      <c r="CD109" s="2991">
        <v>0</v>
      </c>
      <c r="CE109" s="2870">
        <f t="shared" si="841"/>
        <v>294.75749999999999</v>
      </c>
      <c r="CF109" s="2991">
        <f t="shared" si="842"/>
        <v>294.75749999999999</v>
      </c>
      <c r="CG109" s="2991">
        <f t="shared" si="842"/>
        <v>0</v>
      </c>
      <c r="CH109" s="2870">
        <f t="shared" si="775"/>
        <v>-99.810384304635249</v>
      </c>
      <c r="CI109" s="2870">
        <f t="shared" si="775"/>
        <v>-99.810384304635249</v>
      </c>
      <c r="CJ109" s="2870">
        <f t="shared" si="775"/>
        <v>0</v>
      </c>
      <c r="CK109" s="2863"/>
      <c r="CL109" s="4188">
        <f t="shared" si="668"/>
        <v>394.56788430463524</v>
      </c>
      <c r="CM109" s="2863"/>
    </row>
    <row r="110" spans="1:99" ht="18.75" customHeight="1" x14ac:dyDescent="0.3">
      <c r="A110" s="2879" t="s">
        <v>598</v>
      </c>
      <c r="B110" s="2853">
        <f t="shared" si="898"/>
        <v>0.53206281438470004</v>
      </c>
      <c r="C110" s="2853">
        <f t="shared" si="899"/>
        <v>0.53206281438470004</v>
      </c>
      <c r="D110" s="2853">
        <f t="shared" si="900"/>
        <v>0</v>
      </c>
      <c r="E110" s="2875">
        <f t="shared" si="407"/>
        <v>0.34</v>
      </c>
      <c r="F110" s="2955">
        <v>0.34</v>
      </c>
      <c r="G110" s="2955"/>
      <c r="H110" s="2875">
        <f t="shared" si="810"/>
        <v>0</v>
      </c>
      <c r="I110" s="2955"/>
      <c r="J110" s="2955"/>
      <c r="K110" s="2875">
        <f t="shared" si="812"/>
        <v>0</v>
      </c>
      <c r="L110" s="2955"/>
      <c r="M110" s="2955"/>
      <c r="N110" s="2875">
        <f t="shared" si="814"/>
        <v>0.34</v>
      </c>
      <c r="O110" s="2875">
        <f t="shared" si="815"/>
        <v>0.34</v>
      </c>
      <c r="P110" s="2875">
        <f t="shared" si="815"/>
        <v>0</v>
      </c>
      <c r="Q110" s="2853">
        <f t="shared" si="844"/>
        <v>0.53206281438470004</v>
      </c>
      <c r="R110" s="2853">
        <f t="shared" si="901"/>
        <v>0.53206281438470004</v>
      </c>
      <c r="S110" s="2853">
        <f t="shared" si="902"/>
        <v>0</v>
      </c>
      <c r="T110" s="2875">
        <f t="shared" si="817"/>
        <v>0</v>
      </c>
      <c r="U110" s="2955"/>
      <c r="V110" s="2955"/>
      <c r="W110" s="2875">
        <f t="shared" si="819"/>
        <v>0</v>
      </c>
      <c r="X110" s="2955"/>
      <c r="Y110" s="2955"/>
      <c r="Z110" s="2875">
        <f t="shared" si="821"/>
        <v>0</v>
      </c>
      <c r="AA110" s="2955"/>
      <c r="AB110" s="2955"/>
      <c r="AC110" s="2875">
        <f t="shared" si="422"/>
        <v>0</v>
      </c>
      <c r="AD110" s="2875">
        <f t="shared" si="759"/>
        <v>0</v>
      </c>
      <c r="AE110" s="2875">
        <f t="shared" si="759"/>
        <v>0</v>
      </c>
      <c r="AF110" s="2856">
        <f t="shared" si="852"/>
        <v>1.0641256287694001</v>
      </c>
      <c r="AG110" s="2856">
        <f t="shared" si="853"/>
        <v>1.0641256287694001</v>
      </c>
      <c r="AH110" s="2856">
        <f t="shared" si="853"/>
        <v>0</v>
      </c>
      <c r="AI110" s="2870">
        <f t="shared" si="823"/>
        <v>0.34</v>
      </c>
      <c r="AJ110" s="2870">
        <f t="shared" si="824"/>
        <v>0.34</v>
      </c>
      <c r="AK110" s="2870">
        <f t="shared" si="824"/>
        <v>0</v>
      </c>
      <c r="AL110" s="2870">
        <f t="shared" si="787"/>
        <v>-0.72412562876940001</v>
      </c>
      <c r="AM110" s="2870">
        <f t="shared" si="787"/>
        <v>-0.72412562876940001</v>
      </c>
      <c r="AN110" s="2870">
        <f t="shared" si="787"/>
        <v>0</v>
      </c>
      <c r="AO110" s="2853">
        <f t="shared" ref="AO110:AO111" si="907">SUM(AP110:AQ110)</f>
        <v>0.53206281438470004</v>
      </c>
      <c r="AP110" s="2853">
        <f t="shared" ref="AP110" si="908">SUM(CC110-AG110)/2</f>
        <v>0.53206281438470004</v>
      </c>
      <c r="AQ110" s="2853">
        <f t="shared" si="904"/>
        <v>0</v>
      </c>
      <c r="AR110" s="2875">
        <f t="shared" si="826"/>
        <v>0</v>
      </c>
      <c r="AS110" s="2955"/>
      <c r="AT110" s="2955"/>
      <c r="AU110" s="2875">
        <f t="shared" si="828"/>
        <v>0</v>
      </c>
      <c r="AV110" s="2955"/>
      <c r="AW110" s="2955"/>
      <c r="AX110" s="2875">
        <f t="shared" si="830"/>
        <v>0</v>
      </c>
      <c r="AY110" s="2955"/>
      <c r="AZ110" s="2955"/>
      <c r="BA110" s="2875">
        <f t="shared" si="432"/>
        <v>0</v>
      </c>
      <c r="BB110" s="2875">
        <f t="shared" si="766"/>
        <v>0</v>
      </c>
      <c r="BC110" s="2875">
        <f t="shared" si="766"/>
        <v>0</v>
      </c>
      <c r="BD110" s="2856">
        <f t="shared" si="741"/>
        <v>1.5961884431541002</v>
      </c>
      <c r="BE110" s="2856">
        <f t="shared" si="742"/>
        <v>1.5961884431541002</v>
      </c>
      <c r="BF110" s="2856">
        <f t="shared" si="742"/>
        <v>0</v>
      </c>
      <c r="BG110" s="2870">
        <f t="shared" si="832"/>
        <v>0.34</v>
      </c>
      <c r="BH110" s="2870">
        <f t="shared" si="833"/>
        <v>0.34</v>
      </c>
      <c r="BI110" s="2870">
        <f t="shared" si="833"/>
        <v>0</v>
      </c>
      <c r="BJ110" s="2870">
        <f t="shared" si="788"/>
        <v>-1.2561884431541002</v>
      </c>
      <c r="BK110" s="2870">
        <f t="shared" si="788"/>
        <v>-1.2561884431541002</v>
      </c>
      <c r="BL110" s="2870">
        <f t="shared" si="788"/>
        <v>0</v>
      </c>
      <c r="BM110" s="2853">
        <f t="shared" si="878"/>
        <v>0.53206281438470004</v>
      </c>
      <c r="BN110" s="2853">
        <f t="shared" si="905"/>
        <v>0.53206281438470004</v>
      </c>
      <c r="BO110" s="2853">
        <f t="shared" si="906"/>
        <v>0</v>
      </c>
      <c r="BP110" s="2875">
        <f t="shared" si="835"/>
        <v>0</v>
      </c>
      <c r="BQ110" s="2955"/>
      <c r="BR110" s="2955"/>
      <c r="BS110" s="2875">
        <f t="shared" si="837"/>
        <v>0</v>
      </c>
      <c r="BT110" s="2955"/>
      <c r="BU110" s="2955"/>
      <c r="BV110" s="2875">
        <f t="shared" si="839"/>
        <v>-5.0000000000000001E-3</v>
      </c>
      <c r="BW110" s="2955">
        <v>-5.0000000000000001E-3</v>
      </c>
      <c r="BX110" s="2955"/>
      <c r="BY110" s="2875">
        <f t="shared" si="442"/>
        <v>-5.0000000000000001E-3</v>
      </c>
      <c r="BZ110" s="2875">
        <f t="shared" si="773"/>
        <v>-5.0000000000000001E-3</v>
      </c>
      <c r="CA110" s="2875">
        <f t="shared" si="773"/>
        <v>0</v>
      </c>
      <c r="CB110" s="2856">
        <f t="shared" si="669"/>
        <v>2.1282512575388002</v>
      </c>
      <c r="CC110" s="2991">
        <f>0.86*2.47471076458</f>
        <v>2.1282512575388002</v>
      </c>
      <c r="CD110" s="2991">
        <v>0</v>
      </c>
      <c r="CE110" s="2870">
        <f t="shared" si="841"/>
        <v>0.33500000000000002</v>
      </c>
      <c r="CF110" s="2991">
        <f t="shared" si="842"/>
        <v>0.33500000000000002</v>
      </c>
      <c r="CG110" s="2991">
        <f t="shared" si="842"/>
        <v>0</v>
      </c>
      <c r="CH110" s="2870">
        <f t="shared" si="775"/>
        <v>-1.7932512575388002</v>
      </c>
      <c r="CI110" s="2870">
        <f t="shared" si="775"/>
        <v>-1.7932512575388002</v>
      </c>
      <c r="CJ110" s="2870">
        <f t="shared" si="775"/>
        <v>0</v>
      </c>
      <c r="CK110" s="2863"/>
      <c r="CL110" s="4188">
        <f t="shared" si="668"/>
        <v>2.1282512575388002</v>
      </c>
      <c r="CM110" s="2863"/>
    </row>
    <row r="111" spans="1:99" ht="18.75" customHeight="1" x14ac:dyDescent="0.3">
      <c r="A111" s="2965" t="s">
        <v>3741</v>
      </c>
      <c r="B111" s="2837">
        <f t="shared" si="898"/>
        <v>586.36005499999999</v>
      </c>
      <c r="C111" s="2959">
        <f t="shared" ref="C111:D111" si="909">SUM(C112:C114)</f>
        <v>586.36005499999999</v>
      </c>
      <c r="D111" s="2959">
        <f t="shared" si="909"/>
        <v>0</v>
      </c>
      <c r="E111" s="2861">
        <f t="shared" si="407"/>
        <v>0</v>
      </c>
      <c r="F111" s="2861">
        <f t="shared" ref="F111:G111" si="910">SUM(F112:F114)</f>
        <v>0</v>
      </c>
      <c r="G111" s="2861">
        <f t="shared" si="910"/>
        <v>0</v>
      </c>
      <c r="H111" s="2861">
        <f t="shared" si="810"/>
        <v>0</v>
      </c>
      <c r="I111" s="2861">
        <f t="shared" ref="I111:J111" si="911">SUM(I112:I114)</f>
        <v>0</v>
      </c>
      <c r="J111" s="2861">
        <f t="shared" si="911"/>
        <v>0</v>
      </c>
      <c r="K111" s="2861">
        <f t="shared" si="812"/>
        <v>131.339</v>
      </c>
      <c r="L111" s="2861">
        <f t="shared" ref="L111:M111" si="912">SUM(L112:L114)</f>
        <v>131.339</v>
      </c>
      <c r="M111" s="2861">
        <f t="shared" si="912"/>
        <v>0</v>
      </c>
      <c r="N111" s="2861">
        <f t="shared" ref="N111:N123" si="913">SUM(O111:P111)</f>
        <v>131.339</v>
      </c>
      <c r="O111" s="2861">
        <f t="shared" si="815"/>
        <v>131.339</v>
      </c>
      <c r="P111" s="2861">
        <f t="shared" si="815"/>
        <v>0</v>
      </c>
      <c r="Q111" s="2837">
        <f t="shared" si="844"/>
        <v>586.36005499999999</v>
      </c>
      <c r="R111" s="2959">
        <f t="shared" ref="R111:S111" si="914">SUM(R112:R114)</f>
        <v>586.36005499999999</v>
      </c>
      <c r="S111" s="2959">
        <f t="shared" si="914"/>
        <v>0</v>
      </c>
      <c r="T111" s="2861">
        <f t="shared" si="817"/>
        <v>0</v>
      </c>
      <c r="U111" s="2861">
        <f t="shared" ref="U111:V111" si="915">SUM(U112:U114)</f>
        <v>0</v>
      </c>
      <c r="V111" s="2861">
        <f t="shared" si="915"/>
        <v>0</v>
      </c>
      <c r="W111" s="2861">
        <f t="shared" si="819"/>
        <v>0</v>
      </c>
      <c r="X111" s="2861">
        <f t="shared" ref="X111:Y111" si="916">SUM(X112:X114)</f>
        <v>0</v>
      </c>
      <c r="Y111" s="2861">
        <f t="shared" si="916"/>
        <v>0</v>
      </c>
      <c r="Z111" s="2861">
        <f t="shared" si="821"/>
        <v>131.34299999999999</v>
      </c>
      <c r="AA111" s="2861">
        <f t="shared" ref="AA111:AB111" si="917">SUM(AA112:AA114)</f>
        <v>131.34299999999999</v>
      </c>
      <c r="AB111" s="2861">
        <f t="shared" si="917"/>
        <v>0</v>
      </c>
      <c r="AC111" s="2861">
        <f t="shared" si="422"/>
        <v>131.34299999999999</v>
      </c>
      <c r="AD111" s="2861">
        <f t="shared" si="759"/>
        <v>131.34299999999999</v>
      </c>
      <c r="AE111" s="2861">
        <f t="shared" si="759"/>
        <v>0</v>
      </c>
      <c r="AF111" s="2839">
        <f t="shared" si="852"/>
        <v>1172.72011</v>
      </c>
      <c r="AG111" s="2839">
        <f t="shared" si="853"/>
        <v>1172.72011</v>
      </c>
      <c r="AH111" s="2839">
        <f t="shared" si="853"/>
        <v>0</v>
      </c>
      <c r="AI111" s="2862">
        <f t="shared" ref="AI111:AK125" si="918">SUM(AC111+N111)</f>
        <v>262.68200000000002</v>
      </c>
      <c r="AJ111" s="2862">
        <f t="shared" si="824"/>
        <v>262.68200000000002</v>
      </c>
      <c r="AK111" s="2862">
        <f t="shared" si="824"/>
        <v>0</v>
      </c>
      <c r="AL111" s="2862">
        <f t="shared" si="787"/>
        <v>-910.03810999999996</v>
      </c>
      <c r="AM111" s="2862">
        <f t="shared" si="787"/>
        <v>-910.03810999999996</v>
      </c>
      <c r="AN111" s="2862">
        <f t="shared" si="787"/>
        <v>0</v>
      </c>
      <c r="AO111" s="2837">
        <f t="shared" si="907"/>
        <v>586.36005499999999</v>
      </c>
      <c r="AP111" s="2959">
        <f t="shared" ref="AP111:AQ111" si="919">SUM(AP112:AP114)</f>
        <v>586.36005499999999</v>
      </c>
      <c r="AQ111" s="2959">
        <f t="shared" si="919"/>
        <v>0</v>
      </c>
      <c r="AR111" s="2861">
        <f t="shared" si="826"/>
        <v>0</v>
      </c>
      <c r="AS111" s="2861">
        <f t="shared" ref="AS111:AT111" si="920">SUM(AS112:AS114)</f>
        <v>0</v>
      </c>
      <c r="AT111" s="2861">
        <f t="shared" si="920"/>
        <v>0</v>
      </c>
      <c r="AU111" s="2861">
        <f t="shared" si="828"/>
        <v>0</v>
      </c>
      <c r="AV111" s="2861">
        <f t="shared" ref="AV111:AW111" si="921">SUM(AV112:AV114)</f>
        <v>0</v>
      </c>
      <c r="AW111" s="2861">
        <f t="shared" si="921"/>
        <v>0</v>
      </c>
      <c r="AX111" s="2861">
        <f t="shared" si="830"/>
        <v>131.34299999999999</v>
      </c>
      <c r="AY111" s="2861">
        <f t="shared" ref="AY111:AZ111" si="922">SUM(AY112:AY114)</f>
        <v>131.34299999999999</v>
      </c>
      <c r="AZ111" s="2861">
        <f t="shared" si="922"/>
        <v>0</v>
      </c>
      <c r="BA111" s="2861">
        <f t="shared" ref="BA111:BA125" si="923">SUM(BB111:BC111)</f>
        <v>131.34299999999999</v>
      </c>
      <c r="BB111" s="2861">
        <f t="shared" ref="BB111:BC125" si="924">SUM(AS111+AV111+AY111)</f>
        <v>131.34299999999999</v>
      </c>
      <c r="BC111" s="2861">
        <f t="shared" si="924"/>
        <v>0</v>
      </c>
      <c r="BD111" s="2839">
        <f t="shared" si="741"/>
        <v>1759.0801649999999</v>
      </c>
      <c r="BE111" s="2839">
        <f t="shared" si="742"/>
        <v>1759.0801649999999</v>
      </c>
      <c r="BF111" s="2839">
        <f t="shared" si="742"/>
        <v>0</v>
      </c>
      <c r="BG111" s="2862">
        <f t="shared" ref="BG111:BI125" si="925">SUM(AI111+BA111)</f>
        <v>394.02499999999998</v>
      </c>
      <c r="BH111" s="2862">
        <f t="shared" si="833"/>
        <v>394.02499999999998</v>
      </c>
      <c r="BI111" s="2862">
        <f t="shared" si="833"/>
        <v>0</v>
      </c>
      <c r="BJ111" s="2862">
        <f t="shared" si="788"/>
        <v>-1365.0551649999998</v>
      </c>
      <c r="BK111" s="2862">
        <f t="shared" si="788"/>
        <v>-1365.0551649999998</v>
      </c>
      <c r="BL111" s="2862">
        <f t="shared" si="788"/>
        <v>0</v>
      </c>
      <c r="BM111" s="2837">
        <f t="shared" si="878"/>
        <v>586.36005499999999</v>
      </c>
      <c r="BN111" s="2959">
        <f t="shared" ref="BN111:BO111" si="926">SUM(BN112:BN114)</f>
        <v>586.36005499999999</v>
      </c>
      <c r="BO111" s="2959">
        <f t="shared" si="926"/>
        <v>0</v>
      </c>
      <c r="BP111" s="2861">
        <f t="shared" si="835"/>
        <v>0</v>
      </c>
      <c r="BQ111" s="2861">
        <f t="shared" ref="BQ111:BR111" si="927">SUM(BQ112:BQ114)</f>
        <v>0</v>
      </c>
      <c r="BR111" s="2861">
        <f t="shared" si="927"/>
        <v>0</v>
      </c>
      <c r="BS111" s="2861">
        <f t="shared" si="837"/>
        <v>0</v>
      </c>
      <c r="BT111" s="2861">
        <f t="shared" ref="BT111:BU111" si="928">SUM(BT112:BT114)</f>
        <v>0</v>
      </c>
      <c r="BU111" s="2861">
        <f t="shared" si="928"/>
        <v>0</v>
      </c>
      <c r="BV111" s="2861">
        <f t="shared" si="839"/>
        <v>776.05909999999994</v>
      </c>
      <c r="BW111" s="2861">
        <f t="shared" ref="BW111:BX111" si="929">SUM(BW112:BW114)</f>
        <v>776.05909999999994</v>
      </c>
      <c r="BX111" s="2861">
        <f t="shared" si="929"/>
        <v>0</v>
      </c>
      <c r="BY111" s="2861">
        <f t="shared" ref="BY111:BY125" si="930">SUM(BZ111:CA111)</f>
        <v>776.05909999999994</v>
      </c>
      <c r="BZ111" s="2861">
        <f t="shared" ref="BZ111:CA125" si="931">SUM(BQ111+BT111+BW111)</f>
        <v>776.05909999999994</v>
      </c>
      <c r="CA111" s="2861">
        <f t="shared" si="931"/>
        <v>0</v>
      </c>
      <c r="CB111" s="2839">
        <f t="shared" si="669"/>
        <v>2345.44022</v>
      </c>
      <c r="CC111" s="2981">
        <f>SUM(стоки!DA42)</f>
        <v>2345.44022</v>
      </c>
      <c r="CD111" s="2981">
        <f>SUM(стоки!DB42)</f>
        <v>0</v>
      </c>
      <c r="CE111" s="2862">
        <f t="shared" ref="CE111:CG125" si="932">SUM(BY111+BG111)</f>
        <v>1170.0841</v>
      </c>
      <c r="CF111" s="2981">
        <f t="shared" si="842"/>
        <v>1170.0841</v>
      </c>
      <c r="CG111" s="2981">
        <f t="shared" si="842"/>
        <v>0</v>
      </c>
      <c r="CH111" s="2862">
        <f t="shared" ref="CH111:CJ126" si="933">SUM(CE111-CB111)</f>
        <v>-1175.3561199999999</v>
      </c>
      <c r="CI111" s="2862">
        <f t="shared" si="933"/>
        <v>-1175.3561199999999</v>
      </c>
      <c r="CJ111" s="2862">
        <f t="shared" si="933"/>
        <v>0</v>
      </c>
      <c r="CK111" s="2987"/>
      <c r="CL111" s="4188">
        <f t="shared" si="668"/>
        <v>2345.44022</v>
      </c>
      <c r="CM111" s="2987"/>
    </row>
    <row r="112" spans="1:99" ht="43.5" customHeight="1" x14ac:dyDescent="0.2">
      <c r="A112" s="2882" t="s">
        <v>3799</v>
      </c>
      <c r="B112" s="2853">
        <f t="shared" ref="B112:B121" si="934">SUM(C112:D112)</f>
        <v>131.45500000000001</v>
      </c>
      <c r="C112" s="2853">
        <f t="shared" ref="C112:D114" si="935">SUM(CC112/4)</f>
        <v>131.45500000000001</v>
      </c>
      <c r="D112" s="2853">
        <f t="shared" si="935"/>
        <v>0</v>
      </c>
      <c r="E112" s="2930">
        <f t="shared" si="407"/>
        <v>0</v>
      </c>
      <c r="F112" s="2876"/>
      <c r="G112" s="2876"/>
      <c r="H112" s="2930">
        <f t="shared" si="810"/>
        <v>0</v>
      </c>
      <c r="I112" s="2876"/>
      <c r="J112" s="2876"/>
      <c r="K112" s="2930">
        <f t="shared" si="812"/>
        <v>116.85</v>
      </c>
      <c r="L112" s="2876">
        <v>116.85</v>
      </c>
      <c r="M112" s="2876"/>
      <c r="N112" s="2930">
        <f t="shared" si="913"/>
        <v>116.85</v>
      </c>
      <c r="O112" s="2930">
        <f t="shared" si="815"/>
        <v>116.85</v>
      </c>
      <c r="P112" s="2930">
        <f t="shared" si="815"/>
        <v>0</v>
      </c>
      <c r="Q112" s="2853">
        <f t="shared" si="844"/>
        <v>131.45500000000001</v>
      </c>
      <c r="R112" s="2853">
        <f t="shared" ref="R112:R114" si="936">SUM(C112)</f>
        <v>131.45500000000001</v>
      </c>
      <c r="S112" s="2853">
        <f t="shared" ref="S112:S114" si="937">SUM(D112)</f>
        <v>0</v>
      </c>
      <c r="T112" s="2930">
        <f t="shared" si="817"/>
        <v>0</v>
      </c>
      <c r="U112" s="2876"/>
      <c r="V112" s="2876"/>
      <c r="W112" s="2930">
        <f t="shared" si="819"/>
        <v>0</v>
      </c>
      <c r="X112" s="2876"/>
      <c r="Y112" s="2876"/>
      <c r="Z112" s="2930">
        <f t="shared" si="821"/>
        <v>116.854</v>
      </c>
      <c r="AA112" s="2876">
        <v>116.854</v>
      </c>
      <c r="AB112" s="2876"/>
      <c r="AC112" s="2930">
        <f t="shared" ref="AC112:AC125" si="938">SUM(AD112:AE112)</f>
        <v>116.854</v>
      </c>
      <c r="AD112" s="2930">
        <f t="shared" ref="AD112:AE125" si="939">SUM(U112+X112+AA112)</f>
        <v>116.854</v>
      </c>
      <c r="AE112" s="2930">
        <f t="shared" si="939"/>
        <v>0</v>
      </c>
      <c r="AF112" s="2856">
        <f t="shared" si="852"/>
        <v>262.91000000000003</v>
      </c>
      <c r="AG112" s="2856">
        <f t="shared" si="853"/>
        <v>262.91000000000003</v>
      </c>
      <c r="AH112" s="2856">
        <f t="shared" si="853"/>
        <v>0</v>
      </c>
      <c r="AI112" s="2870">
        <f t="shared" si="918"/>
        <v>233.70400000000001</v>
      </c>
      <c r="AJ112" s="2870">
        <f t="shared" si="824"/>
        <v>233.70400000000001</v>
      </c>
      <c r="AK112" s="2870">
        <f t="shared" si="824"/>
        <v>0</v>
      </c>
      <c r="AL112" s="2870">
        <f t="shared" si="787"/>
        <v>-29.206000000000017</v>
      </c>
      <c r="AM112" s="2870">
        <f t="shared" si="787"/>
        <v>-29.206000000000017</v>
      </c>
      <c r="AN112" s="2870">
        <f t="shared" si="787"/>
        <v>0</v>
      </c>
      <c r="AO112" s="2853">
        <f t="shared" ref="AO112:AO120" si="940">SUM(AP112:AQ112)</f>
        <v>131.45500000000001</v>
      </c>
      <c r="AP112" s="2853">
        <f t="shared" ref="AP112:AP114" si="941">SUM(CC112-AG112)/2</f>
        <v>131.45500000000001</v>
      </c>
      <c r="AQ112" s="2853">
        <f t="shared" ref="AQ112:AQ114" si="942">SUM(CD112-AH112)/2</f>
        <v>0</v>
      </c>
      <c r="AR112" s="2930">
        <f t="shared" si="826"/>
        <v>0</v>
      </c>
      <c r="AS112" s="2876"/>
      <c r="AT112" s="2876"/>
      <c r="AU112" s="2930">
        <f t="shared" si="828"/>
        <v>0</v>
      </c>
      <c r="AV112" s="2876"/>
      <c r="AW112" s="2876"/>
      <c r="AX112" s="2930">
        <f t="shared" si="830"/>
        <v>116.854</v>
      </c>
      <c r="AY112" s="2876">
        <v>116.854</v>
      </c>
      <c r="AZ112" s="2876"/>
      <c r="BA112" s="2930">
        <f t="shared" si="923"/>
        <v>116.854</v>
      </c>
      <c r="BB112" s="2930">
        <f t="shared" si="924"/>
        <v>116.854</v>
      </c>
      <c r="BC112" s="2930">
        <f t="shared" si="924"/>
        <v>0</v>
      </c>
      <c r="BD112" s="2856">
        <f t="shared" si="741"/>
        <v>394.36500000000001</v>
      </c>
      <c r="BE112" s="2856">
        <f t="shared" si="742"/>
        <v>394.36500000000001</v>
      </c>
      <c r="BF112" s="2856">
        <f t="shared" si="742"/>
        <v>0</v>
      </c>
      <c r="BG112" s="2870">
        <f t="shared" si="925"/>
        <v>350.55799999999999</v>
      </c>
      <c r="BH112" s="2870">
        <f t="shared" si="833"/>
        <v>350.55799999999999</v>
      </c>
      <c r="BI112" s="2870">
        <f t="shared" si="833"/>
        <v>0</v>
      </c>
      <c r="BJ112" s="2870">
        <f t="shared" si="788"/>
        <v>-43.807000000000016</v>
      </c>
      <c r="BK112" s="2870">
        <f t="shared" si="788"/>
        <v>-43.807000000000016</v>
      </c>
      <c r="BL112" s="2870">
        <f t="shared" si="788"/>
        <v>0</v>
      </c>
      <c r="BM112" s="2853">
        <f t="shared" ref="BM112:BM115" si="943">SUM(BN112:BO112)</f>
        <v>131.45500000000001</v>
      </c>
      <c r="BN112" s="2853">
        <f t="shared" ref="BN112:BN114" si="944">SUM(AP112)</f>
        <v>131.45500000000001</v>
      </c>
      <c r="BO112" s="2853">
        <f t="shared" ref="BO112:BO114" si="945">SUM(AQ112)</f>
        <v>0</v>
      </c>
      <c r="BP112" s="2930">
        <f t="shared" si="835"/>
        <v>0</v>
      </c>
      <c r="BQ112" s="2876"/>
      <c r="BR112" s="2876"/>
      <c r="BS112" s="2930">
        <f t="shared" si="837"/>
        <v>0</v>
      </c>
      <c r="BT112" s="2876"/>
      <c r="BU112" s="2876"/>
      <c r="BV112" s="2930">
        <f t="shared" si="839"/>
        <v>761.5761</v>
      </c>
      <c r="BW112" s="2876">
        <v>761.5761</v>
      </c>
      <c r="BX112" s="2876"/>
      <c r="BY112" s="2930">
        <f t="shared" si="930"/>
        <v>761.5761</v>
      </c>
      <c r="BZ112" s="2930">
        <f t="shared" si="931"/>
        <v>761.5761</v>
      </c>
      <c r="CA112" s="2930">
        <f t="shared" si="931"/>
        <v>0</v>
      </c>
      <c r="CB112" s="2856">
        <f t="shared" si="669"/>
        <v>525.82000000000005</v>
      </c>
      <c r="CC112" s="2991">
        <f>SUM(стоки!DA43)</f>
        <v>525.82000000000005</v>
      </c>
      <c r="CD112" s="2991">
        <f>SUM(стоки!DB43)</f>
        <v>0</v>
      </c>
      <c r="CE112" s="2870">
        <f t="shared" si="932"/>
        <v>1112.1341</v>
      </c>
      <c r="CF112" s="2991">
        <f t="shared" si="842"/>
        <v>1112.1341</v>
      </c>
      <c r="CG112" s="2991">
        <f t="shared" si="842"/>
        <v>0</v>
      </c>
      <c r="CH112" s="2870">
        <f t="shared" si="933"/>
        <v>586.31409999999994</v>
      </c>
      <c r="CI112" s="2870">
        <f t="shared" si="933"/>
        <v>586.31409999999994</v>
      </c>
      <c r="CJ112" s="2870">
        <f t="shared" si="933"/>
        <v>0</v>
      </c>
      <c r="CK112" s="2863"/>
      <c r="CL112" s="4226">
        <f t="shared" si="668"/>
        <v>525.82000000000005</v>
      </c>
      <c r="CM112" s="2863"/>
      <c r="CN112" s="4225"/>
      <c r="CO112" s="4225"/>
      <c r="CP112" s="4225"/>
      <c r="CQ112" s="4225"/>
      <c r="CR112" s="4225"/>
      <c r="CS112" s="4225"/>
      <c r="CT112" s="4225"/>
      <c r="CU112" s="4225"/>
    </row>
    <row r="113" spans="1:92" ht="18.75" customHeight="1" x14ac:dyDescent="0.3">
      <c r="A113" s="2882" t="s">
        <v>524</v>
      </c>
      <c r="B113" s="2853">
        <f t="shared" si="934"/>
        <v>18.572500000000002</v>
      </c>
      <c r="C113" s="2853">
        <f t="shared" si="935"/>
        <v>18.572500000000002</v>
      </c>
      <c r="D113" s="2853">
        <f t="shared" si="935"/>
        <v>0</v>
      </c>
      <c r="E113" s="2875">
        <f t="shared" ref="E113:E124" si="946">SUM(F113:G113)</f>
        <v>0</v>
      </c>
      <c r="F113" s="2876"/>
      <c r="G113" s="2876"/>
      <c r="H113" s="2875">
        <f t="shared" si="810"/>
        <v>0</v>
      </c>
      <c r="I113" s="2876"/>
      <c r="J113" s="2876"/>
      <c r="K113" s="2875">
        <f t="shared" si="812"/>
        <v>14.489000000000001</v>
      </c>
      <c r="L113" s="2876">
        <v>14.489000000000001</v>
      </c>
      <c r="M113" s="2876"/>
      <c r="N113" s="2875">
        <f t="shared" si="913"/>
        <v>14.489000000000001</v>
      </c>
      <c r="O113" s="2875">
        <f t="shared" si="815"/>
        <v>14.489000000000001</v>
      </c>
      <c r="P113" s="2875">
        <f t="shared" si="815"/>
        <v>0</v>
      </c>
      <c r="Q113" s="2853">
        <f t="shared" si="844"/>
        <v>18.572500000000002</v>
      </c>
      <c r="R113" s="2853">
        <f t="shared" si="936"/>
        <v>18.572500000000002</v>
      </c>
      <c r="S113" s="2853">
        <f t="shared" si="937"/>
        <v>0</v>
      </c>
      <c r="T113" s="2875">
        <f t="shared" si="817"/>
        <v>0</v>
      </c>
      <c r="U113" s="2876"/>
      <c r="V113" s="2876"/>
      <c r="W113" s="2875">
        <f t="shared" si="819"/>
        <v>0</v>
      </c>
      <c r="X113" s="2876"/>
      <c r="Y113" s="2876"/>
      <c r="Z113" s="2875">
        <f t="shared" si="821"/>
        <v>14.489000000000001</v>
      </c>
      <c r="AA113" s="2876">
        <v>14.489000000000001</v>
      </c>
      <c r="AB113" s="2876"/>
      <c r="AC113" s="2875">
        <f t="shared" si="938"/>
        <v>14.489000000000001</v>
      </c>
      <c r="AD113" s="2875">
        <f t="shared" si="939"/>
        <v>14.489000000000001</v>
      </c>
      <c r="AE113" s="2875">
        <f t="shared" si="939"/>
        <v>0</v>
      </c>
      <c r="AF113" s="2856">
        <f t="shared" si="852"/>
        <v>37.145000000000003</v>
      </c>
      <c r="AG113" s="2856">
        <f t="shared" si="853"/>
        <v>37.145000000000003</v>
      </c>
      <c r="AH113" s="2856">
        <f t="shared" si="853"/>
        <v>0</v>
      </c>
      <c r="AI113" s="2870">
        <f t="shared" si="918"/>
        <v>28.978000000000002</v>
      </c>
      <c r="AJ113" s="2870">
        <f t="shared" si="824"/>
        <v>28.978000000000002</v>
      </c>
      <c r="AK113" s="2870">
        <f t="shared" si="824"/>
        <v>0</v>
      </c>
      <c r="AL113" s="2870">
        <f t="shared" si="787"/>
        <v>-8.1670000000000016</v>
      </c>
      <c r="AM113" s="2870">
        <f t="shared" si="787"/>
        <v>-8.1670000000000016</v>
      </c>
      <c r="AN113" s="2870">
        <f t="shared" si="787"/>
        <v>0</v>
      </c>
      <c r="AO113" s="2853">
        <f t="shared" si="940"/>
        <v>18.572500000000002</v>
      </c>
      <c r="AP113" s="2853">
        <f t="shared" si="941"/>
        <v>18.572500000000002</v>
      </c>
      <c r="AQ113" s="2853">
        <f t="shared" si="942"/>
        <v>0</v>
      </c>
      <c r="AR113" s="2875">
        <f t="shared" si="826"/>
        <v>0</v>
      </c>
      <c r="AS113" s="2876"/>
      <c r="AT113" s="2876"/>
      <c r="AU113" s="2875">
        <f t="shared" si="828"/>
        <v>0</v>
      </c>
      <c r="AV113" s="2876"/>
      <c r="AW113" s="2876"/>
      <c r="AX113" s="2875">
        <f t="shared" si="830"/>
        <v>14.489000000000001</v>
      </c>
      <c r="AY113" s="2876">
        <v>14.489000000000001</v>
      </c>
      <c r="AZ113" s="2876"/>
      <c r="BA113" s="2875">
        <f t="shared" si="923"/>
        <v>14.489000000000001</v>
      </c>
      <c r="BB113" s="2875">
        <f t="shared" si="924"/>
        <v>14.489000000000001</v>
      </c>
      <c r="BC113" s="2875">
        <f t="shared" si="924"/>
        <v>0</v>
      </c>
      <c r="BD113" s="2856">
        <f t="shared" si="741"/>
        <v>55.717500000000001</v>
      </c>
      <c r="BE113" s="2856">
        <f t="shared" si="742"/>
        <v>55.717500000000001</v>
      </c>
      <c r="BF113" s="2856">
        <f t="shared" si="742"/>
        <v>0</v>
      </c>
      <c r="BG113" s="2870">
        <f t="shared" si="925"/>
        <v>43.466999999999999</v>
      </c>
      <c r="BH113" s="2870">
        <f t="shared" si="833"/>
        <v>43.466999999999999</v>
      </c>
      <c r="BI113" s="2870">
        <f t="shared" si="833"/>
        <v>0</v>
      </c>
      <c r="BJ113" s="2870">
        <f t="shared" si="788"/>
        <v>-12.250500000000002</v>
      </c>
      <c r="BK113" s="2870">
        <f t="shared" si="788"/>
        <v>-12.250500000000002</v>
      </c>
      <c r="BL113" s="2870">
        <f t="shared" si="788"/>
        <v>0</v>
      </c>
      <c r="BM113" s="2853">
        <f t="shared" si="943"/>
        <v>18.572500000000002</v>
      </c>
      <c r="BN113" s="2853">
        <f t="shared" si="944"/>
        <v>18.572500000000002</v>
      </c>
      <c r="BO113" s="2853">
        <f t="shared" si="945"/>
        <v>0</v>
      </c>
      <c r="BP113" s="2875">
        <f t="shared" si="835"/>
        <v>0</v>
      </c>
      <c r="BQ113" s="2876"/>
      <c r="BR113" s="2876"/>
      <c r="BS113" s="2875">
        <f t="shared" si="837"/>
        <v>0</v>
      </c>
      <c r="BT113" s="2876"/>
      <c r="BU113" s="2876"/>
      <c r="BV113" s="2875">
        <f t="shared" si="839"/>
        <v>14.483000000000001</v>
      </c>
      <c r="BW113" s="2876">
        <v>14.483000000000001</v>
      </c>
      <c r="BX113" s="2876"/>
      <c r="BY113" s="2875">
        <f t="shared" si="930"/>
        <v>14.483000000000001</v>
      </c>
      <c r="BZ113" s="2875">
        <f t="shared" si="931"/>
        <v>14.483000000000001</v>
      </c>
      <c r="CA113" s="2875">
        <f t="shared" si="931"/>
        <v>0</v>
      </c>
      <c r="CB113" s="2856">
        <f t="shared" si="669"/>
        <v>74.290000000000006</v>
      </c>
      <c r="CC113" s="2991">
        <f>SUM(стоки!DA44)</f>
        <v>74.290000000000006</v>
      </c>
      <c r="CD113" s="2991">
        <f>SUM(стоки!DB44)</f>
        <v>0</v>
      </c>
      <c r="CE113" s="2870">
        <f t="shared" si="932"/>
        <v>57.95</v>
      </c>
      <c r="CF113" s="2991">
        <f t="shared" si="842"/>
        <v>57.95</v>
      </c>
      <c r="CG113" s="2991">
        <f t="shared" si="842"/>
        <v>0</v>
      </c>
      <c r="CH113" s="2870">
        <f t="shared" si="933"/>
        <v>-16.340000000000003</v>
      </c>
      <c r="CI113" s="2870">
        <f t="shared" si="933"/>
        <v>-16.340000000000003</v>
      </c>
      <c r="CJ113" s="2870">
        <f t="shared" si="933"/>
        <v>0</v>
      </c>
      <c r="CK113" s="2863"/>
      <c r="CL113" s="4188">
        <f t="shared" si="668"/>
        <v>74.290000000000006</v>
      </c>
      <c r="CM113" s="2863"/>
    </row>
    <row r="114" spans="1:92" ht="18.75" customHeight="1" x14ac:dyDescent="0.3">
      <c r="A114" s="2882" t="s">
        <v>526</v>
      </c>
      <c r="B114" s="2853">
        <f t="shared" si="934"/>
        <v>436.33255500000001</v>
      </c>
      <c r="C114" s="2853">
        <f t="shared" si="935"/>
        <v>436.33255500000001</v>
      </c>
      <c r="D114" s="2853">
        <f t="shared" si="935"/>
        <v>0</v>
      </c>
      <c r="E114" s="2875">
        <f t="shared" si="946"/>
        <v>0</v>
      </c>
      <c r="F114" s="2876"/>
      <c r="G114" s="2876"/>
      <c r="H114" s="2875">
        <f t="shared" si="810"/>
        <v>0</v>
      </c>
      <c r="I114" s="2876"/>
      <c r="J114" s="2876"/>
      <c r="K114" s="2875">
        <f t="shared" si="812"/>
        <v>0</v>
      </c>
      <c r="L114" s="2876"/>
      <c r="M114" s="2876"/>
      <c r="N114" s="2875">
        <f t="shared" si="913"/>
        <v>0</v>
      </c>
      <c r="O114" s="2875">
        <f t="shared" si="815"/>
        <v>0</v>
      </c>
      <c r="P114" s="2875">
        <f t="shared" si="815"/>
        <v>0</v>
      </c>
      <c r="Q114" s="2853">
        <f t="shared" si="844"/>
        <v>436.33255500000001</v>
      </c>
      <c r="R114" s="2853">
        <f t="shared" si="936"/>
        <v>436.33255500000001</v>
      </c>
      <c r="S114" s="2853">
        <f t="shared" si="937"/>
        <v>0</v>
      </c>
      <c r="T114" s="2875">
        <f t="shared" si="817"/>
        <v>0</v>
      </c>
      <c r="U114" s="2876"/>
      <c r="V114" s="2876"/>
      <c r="W114" s="2875">
        <f t="shared" si="819"/>
        <v>0</v>
      </c>
      <c r="X114" s="2876"/>
      <c r="Y114" s="2876"/>
      <c r="Z114" s="2875">
        <f t="shared" si="821"/>
        <v>0</v>
      </c>
      <c r="AA114" s="2876"/>
      <c r="AB114" s="2876"/>
      <c r="AC114" s="2875">
        <f t="shared" si="938"/>
        <v>0</v>
      </c>
      <c r="AD114" s="2875">
        <f t="shared" si="939"/>
        <v>0</v>
      </c>
      <c r="AE114" s="2875">
        <f t="shared" si="939"/>
        <v>0</v>
      </c>
      <c r="AF114" s="2856">
        <f t="shared" si="852"/>
        <v>872.66511000000003</v>
      </c>
      <c r="AG114" s="2856">
        <f t="shared" si="853"/>
        <v>872.66511000000003</v>
      </c>
      <c r="AH114" s="2856">
        <f t="shared" si="853"/>
        <v>0</v>
      </c>
      <c r="AI114" s="2870">
        <f t="shared" si="918"/>
        <v>0</v>
      </c>
      <c r="AJ114" s="2870">
        <f t="shared" si="824"/>
        <v>0</v>
      </c>
      <c r="AK114" s="2870">
        <f t="shared" si="824"/>
        <v>0</v>
      </c>
      <c r="AL114" s="2870">
        <f t="shared" si="787"/>
        <v>-872.66511000000003</v>
      </c>
      <c r="AM114" s="2870">
        <f t="shared" si="787"/>
        <v>-872.66511000000003</v>
      </c>
      <c r="AN114" s="2870">
        <f t="shared" si="787"/>
        <v>0</v>
      </c>
      <c r="AO114" s="2853">
        <f t="shared" si="940"/>
        <v>436.33255500000001</v>
      </c>
      <c r="AP114" s="2853">
        <f t="shared" si="941"/>
        <v>436.33255500000001</v>
      </c>
      <c r="AQ114" s="2853">
        <f t="shared" si="942"/>
        <v>0</v>
      </c>
      <c r="AR114" s="2875">
        <f t="shared" si="826"/>
        <v>0</v>
      </c>
      <c r="AS114" s="2876"/>
      <c r="AT114" s="2876"/>
      <c r="AU114" s="2875">
        <f t="shared" si="828"/>
        <v>0</v>
      </c>
      <c r="AV114" s="2876"/>
      <c r="AW114" s="2876"/>
      <c r="AX114" s="2875">
        <f t="shared" si="830"/>
        <v>0</v>
      </c>
      <c r="AY114" s="2876"/>
      <c r="AZ114" s="2876"/>
      <c r="BA114" s="2875">
        <f t="shared" si="923"/>
        <v>0</v>
      </c>
      <c r="BB114" s="2875">
        <f t="shared" si="924"/>
        <v>0</v>
      </c>
      <c r="BC114" s="2875">
        <f t="shared" si="924"/>
        <v>0</v>
      </c>
      <c r="BD114" s="2856">
        <f t="shared" si="741"/>
        <v>1308.9976650000001</v>
      </c>
      <c r="BE114" s="2856">
        <f t="shared" si="742"/>
        <v>1308.9976650000001</v>
      </c>
      <c r="BF114" s="2856">
        <f t="shared" si="742"/>
        <v>0</v>
      </c>
      <c r="BG114" s="2870">
        <f t="shared" si="925"/>
        <v>0</v>
      </c>
      <c r="BH114" s="2870">
        <f t="shared" si="833"/>
        <v>0</v>
      </c>
      <c r="BI114" s="2870">
        <f t="shared" si="833"/>
        <v>0</v>
      </c>
      <c r="BJ114" s="2870">
        <f t="shared" si="788"/>
        <v>-1308.9976650000001</v>
      </c>
      <c r="BK114" s="2870">
        <f t="shared" si="788"/>
        <v>-1308.9976650000001</v>
      </c>
      <c r="BL114" s="2870">
        <f t="shared" si="788"/>
        <v>0</v>
      </c>
      <c r="BM114" s="2853">
        <f t="shared" si="943"/>
        <v>436.33255500000001</v>
      </c>
      <c r="BN114" s="2853">
        <f t="shared" si="944"/>
        <v>436.33255500000001</v>
      </c>
      <c r="BO114" s="2853">
        <f t="shared" si="945"/>
        <v>0</v>
      </c>
      <c r="BP114" s="2875">
        <f t="shared" si="835"/>
        <v>0</v>
      </c>
      <c r="BQ114" s="2876"/>
      <c r="BR114" s="2876"/>
      <c r="BS114" s="2875">
        <f t="shared" si="837"/>
        <v>0</v>
      </c>
      <c r="BT114" s="2876"/>
      <c r="BU114" s="2876"/>
      <c r="BV114" s="2875">
        <f t="shared" si="839"/>
        <v>0</v>
      </c>
      <c r="BW114" s="2876"/>
      <c r="BX114" s="2876"/>
      <c r="BY114" s="2875">
        <f t="shared" si="930"/>
        <v>0</v>
      </c>
      <c r="BZ114" s="2875">
        <f t="shared" si="931"/>
        <v>0</v>
      </c>
      <c r="CA114" s="2875">
        <f t="shared" si="931"/>
        <v>0</v>
      </c>
      <c r="CB114" s="2856">
        <f t="shared" si="669"/>
        <v>1745.3302200000001</v>
      </c>
      <c r="CC114" s="2991">
        <f>SUM(стоки!DA45)</f>
        <v>1745.3302200000001</v>
      </c>
      <c r="CD114" s="2991">
        <f>SUM(стоки!DB45)</f>
        <v>0</v>
      </c>
      <c r="CE114" s="2870">
        <f t="shared" si="932"/>
        <v>0</v>
      </c>
      <c r="CF114" s="2991">
        <f t="shared" si="842"/>
        <v>0</v>
      </c>
      <c r="CG114" s="2991">
        <f t="shared" si="842"/>
        <v>0</v>
      </c>
      <c r="CH114" s="2870">
        <f t="shared" si="933"/>
        <v>-1745.3302200000001</v>
      </c>
      <c r="CI114" s="2870">
        <f t="shared" si="933"/>
        <v>-1745.3302200000001</v>
      </c>
      <c r="CJ114" s="2870">
        <f t="shared" si="933"/>
        <v>0</v>
      </c>
      <c r="CK114" s="2863"/>
      <c r="CL114" s="4188">
        <f t="shared" si="668"/>
        <v>1745.3302200000001</v>
      </c>
      <c r="CM114" s="2863"/>
    </row>
    <row r="115" spans="1:92" ht="18.75" customHeight="1" x14ac:dyDescent="0.3">
      <c r="A115" s="2965" t="s">
        <v>3744</v>
      </c>
      <c r="B115" s="2837">
        <f t="shared" si="934"/>
        <v>2664.3350666880492</v>
      </c>
      <c r="C115" s="2959">
        <f>SUM(C116:C121)</f>
        <v>2649.1740666880492</v>
      </c>
      <c r="D115" s="2959">
        <f>SUM(D116:D121)</f>
        <v>15.161</v>
      </c>
      <c r="E115" s="2861">
        <f t="shared" si="946"/>
        <v>883.36530000000016</v>
      </c>
      <c r="F115" s="2959">
        <f t="shared" ref="F115:G115" si="947">SUM(F116:F121)</f>
        <v>881.62400000000014</v>
      </c>
      <c r="G115" s="2959">
        <f t="shared" si="947"/>
        <v>1.7413000000000001</v>
      </c>
      <c r="H115" s="2861">
        <f t="shared" si="810"/>
        <v>911.89985999999999</v>
      </c>
      <c r="I115" s="2959">
        <f t="shared" ref="I115:J115" si="948">SUM(I116:I121)</f>
        <v>909.7106</v>
      </c>
      <c r="J115" s="2959">
        <f t="shared" si="948"/>
        <v>2.18926</v>
      </c>
      <c r="K115" s="2861">
        <f t="shared" si="812"/>
        <v>1001.39043</v>
      </c>
      <c r="L115" s="2861">
        <f t="shared" ref="L115:M115" si="949">SUM(L116:L121)</f>
        <v>998.53600000000006</v>
      </c>
      <c r="M115" s="2959">
        <f t="shared" si="949"/>
        <v>2.8544299999999998</v>
      </c>
      <c r="N115" s="2861">
        <f t="shared" si="913"/>
        <v>2796.6555900000003</v>
      </c>
      <c r="O115" s="2861">
        <f t="shared" si="815"/>
        <v>2789.8706000000002</v>
      </c>
      <c r="P115" s="2861">
        <f t="shared" si="815"/>
        <v>6.7849899999999996</v>
      </c>
      <c r="Q115" s="2837">
        <f t="shared" si="844"/>
        <v>2664.3350666880492</v>
      </c>
      <c r="R115" s="2959">
        <f t="shared" ref="R115:S115" si="950">SUM(R116:R121)</f>
        <v>2649.1740666880492</v>
      </c>
      <c r="S115" s="2959">
        <f t="shared" si="950"/>
        <v>15.161</v>
      </c>
      <c r="T115" s="2861">
        <f t="shared" si="817"/>
        <v>1094.22018</v>
      </c>
      <c r="U115" s="2861">
        <f>SUM(U116:U121)</f>
        <v>1091.3040000000001</v>
      </c>
      <c r="V115" s="2959">
        <f t="shared" ref="V115" si="951">SUM(V116:V121)</f>
        <v>2.9161799999999998</v>
      </c>
      <c r="W115" s="2861">
        <f t="shared" si="819"/>
        <v>1453.9959700000002</v>
      </c>
      <c r="X115" s="2861">
        <f t="shared" ref="X115:Y115" si="952">SUM(X116:X121)</f>
        <v>1450.6590000000001</v>
      </c>
      <c r="Y115" s="2959">
        <f t="shared" si="952"/>
        <v>3.3369700000000004</v>
      </c>
      <c r="Z115" s="2861">
        <f t="shared" si="821"/>
        <v>915.84430000000009</v>
      </c>
      <c r="AA115" s="2959">
        <f t="shared" ref="AA115:AB115" si="953">SUM(AA116:AA121)</f>
        <v>914.79600000000005</v>
      </c>
      <c r="AB115" s="2959">
        <f t="shared" si="953"/>
        <v>1.0483000000000002</v>
      </c>
      <c r="AC115" s="2861">
        <f t="shared" si="938"/>
        <v>3464.0604499999999</v>
      </c>
      <c r="AD115" s="2861">
        <f t="shared" si="939"/>
        <v>3456.759</v>
      </c>
      <c r="AE115" s="2861">
        <f t="shared" si="939"/>
        <v>7.30145</v>
      </c>
      <c r="AF115" s="2839">
        <f t="shared" si="852"/>
        <v>5328.6701333760984</v>
      </c>
      <c r="AG115" s="2839">
        <f t="shared" si="853"/>
        <v>5298.3481333760983</v>
      </c>
      <c r="AH115" s="2839">
        <f t="shared" si="853"/>
        <v>30.321999999999999</v>
      </c>
      <c r="AI115" s="2862">
        <f t="shared" si="918"/>
        <v>6260.7160400000002</v>
      </c>
      <c r="AJ115" s="2862">
        <f t="shared" si="824"/>
        <v>6246.6296000000002</v>
      </c>
      <c r="AK115" s="2862">
        <f t="shared" si="824"/>
        <v>14.08644</v>
      </c>
      <c r="AL115" s="2862">
        <f t="shared" ref="AL115:AN126" si="954">SUM(AI115-AF115)</f>
        <v>932.04590662390183</v>
      </c>
      <c r="AM115" s="2862">
        <f t="shared" si="954"/>
        <v>948.28146662390191</v>
      </c>
      <c r="AN115" s="2862">
        <f t="shared" si="954"/>
        <v>-16.23556</v>
      </c>
      <c r="AO115" s="2837">
        <f t="shared" si="940"/>
        <v>2664.3350666880492</v>
      </c>
      <c r="AP115" s="2959">
        <f t="shared" ref="AP115:AQ115" si="955">SUM(AP116:AP121)</f>
        <v>2649.1740666880492</v>
      </c>
      <c r="AQ115" s="2959">
        <f t="shared" si="955"/>
        <v>15.161</v>
      </c>
      <c r="AR115" s="2861">
        <f t="shared" si="826"/>
        <v>887.49837000000002</v>
      </c>
      <c r="AS115" s="2959">
        <f t="shared" ref="AS115:AT115" si="956">SUM(AS116:AS121)</f>
        <v>885.43299999999999</v>
      </c>
      <c r="AT115" s="2959">
        <f t="shared" si="956"/>
        <v>2.0653700000000002</v>
      </c>
      <c r="AU115" s="2861">
        <f t="shared" si="828"/>
        <v>751.08989999999994</v>
      </c>
      <c r="AV115" s="2959">
        <f t="shared" ref="AV115:AW115" si="957">SUM(AV116:AV121)</f>
        <v>749.06399999999996</v>
      </c>
      <c r="AW115" s="2993">
        <f t="shared" si="957"/>
        <v>2.0259</v>
      </c>
      <c r="AX115" s="2861">
        <f t="shared" si="830"/>
        <v>1161.6197999999999</v>
      </c>
      <c r="AY115" s="2861">
        <f t="shared" ref="AY115:AZ115" si="958">SUM(AY116:AY121)</f>
        <v>1158.693</v>
      </c>
      <c r="AZ115" s="2959">
        <f t="shared" si="958"/>
        <v>2.9268000000000001</v>
      </c>
      <c r="BA115" s="2861">
        <f t="shared" si="923"/>
        <v>2800.2080699999997</v>
      </c>
      <c r="BB115" s="2861">
        <f t="shared" si="924"/>
        <v>2793.1899999999996</v>
      </c>
      <c r="BC115" s="2861">
        <f t="shared" si="924"/>
        <v>7.0180699999999998</v>
      </c>
      <c r="BD115" s="2839">
        <f t="shared" si="741"/>
        <v>7993.0052000641481</v>
      </c>
      <c r="BE115" s="2839">
        <f t="shared" si="742"/>
        <v>7947.5222000641479</v>
      </c>
      <c r="BF115" s="2839">
        <f t="shared" si="742"/>
        <v>45.482999999999997</v>
      </c>
      <c r="BG115" s="2862">
        <f t="shared" si="925"/>
        <v>9060.9241099999999</v>
      </c>
      <c r="BH115" s="2862">
        <f t="shared" si="833"/>
        <v>9039.8195999999989</v>
      </c>
      <c r="BI115" s="2862">
        <f t="shared" si="833"/>
        <v>21.104509999999998</v>
      </c>
      <c r="BJ115" s="2862">
        <f t="shared" ref="BJ115:BL126" si="959">SUM(BG115-BD115)</f>
        <v>1067.9189099358518</v>
      </c>
      <c r="BK115" s="2862">
        <f t="shared" si="959"/>
        <v>1092.297399935851</v>
      </c>
      <c r="BL115" s="2862">
        <f t="shared" si="959"/>
        <v>-24.378489999999999</v>
      </c>
      <c r="BM115" s="2837">
        <f t="shared" si="943"/>
        <v>2664.3350666880492</v>
      </c>
      <c r="BN115" s="2959">
        <f t="shared" ref="BN115:BO115" si="960">SUM(BN116:BN121)</f>
        <v>2649.1740666880492</v>
      </c>
      <c r="BO115" s="2959">
        <f t="shared" si="960"/>
        <v>15.161</v>
      </c>
      <c r="BP115" s="2861">
        <f t="shared" si="835"/>
        <v>799.18491000000006</v>
      </c>
      <c r="BQ115" s="2959">
        <f t="shared" ref="BQ115:BR115" si="961">SUM(BQ116:BQ121)</f>
        <v>796.84300000000007</v>
      </c>
      <c r="BR115" s="2959">
        <f t="shared" si="961"/>
        <v>2.3419099999999999</v>
      </c>
      <c r="BS115" s="2861">
        <f t="shared" si="837"/>
        <v>907.32702000000018</v>
      </c>
      <c r="BT115" s="2861">
        <f t="shared" ref="BT115:BU115" si="962">SUM(BT116:BT121)</f>
        <v>905.08600000000013</v>
      </c>
      <c r="BU115" s="2959">
        <f t="shared" si="962"/>
        <v>2.2410200000000002</v>
      </c>
      <c r="BV115" s="2861">
        <f t="shared" si="839"/>
        <v>892.58963999999992</v>
      </c>
      <c r="BW115" s="2861">
        <f t="shared" ref="BW115:BX115" si="963">SUM(BW116:BW121)</f>
        <v>890.48199999999997</v>
      </c>
      <c r="BX115" s="2959">
        <f t="shared" si="963"/>
        <v>2.10764</v>
      </c>
      <c r="BY115" s="2861">
        <f t="shared" si="930"/>
        <v>2599.1015700000003</v>
      </c>
      <c r="BZ115" s="2861">
        <f t="shared" si="931"/>
        <v>2592.4110000000001</v>
      </c>
      <c r="CA115" s="2861">
        <f t="shared" si="931"/>
        <v>6.6905700000000001</v>
      </c>
      <c r="CB115" s="2839">
        <f t="shared" si="669"/>
        <v>10657.340266752199</v>
      </c>
      <c r="CC115" s="2981">
        <f>SUM(стоки!DA46)</f>
        <v>10596.696266752198</v>
      </c>
      <c r="CD115" s="2981">
        <f>SUM(стоки!DB46)</f>
        <v>60.643999999999998</v>
      </c>
      <c r="CE115" s="2862">
        <f t="shared" si="932"/>
        <v>11660.025680000001</v>
      </c>
      <c r="CF115" s="2981">
        <f t="shared" si="842"/>
        <v>11632.230599999999</v>
      </c>
      <c r="CG115" s="2981">
        <f t="shared" si="842"/>
        <v>27.795079999999999</v>
      </c>
      <c r="CH115" s="2862">
        <f t="shared" si="933"/>
        <v>1002.685413247802</v>
      </c>
      <c r="CI115" s="2862">
        <f t="shared" si="933"/>
        <v>1035.5343332478005</v>
      </c>
      <c r="CJ115" s="2862">
        <f t="shared" si="933"/>
        <v>-32.84892</v>
      </c>
      <c r="CK115" s="2872"/>
      <c r="CL115" s="4188">
        <f t="shared" si="668"/>
        <v>10657.340266752197</v>
      </c>
      <c r="CM115" s="2872">
        <f t="shared" ref="CM115:CN115" si="964">SUM(CC116:CC121)</f>
        <v>10596.696266752197</v>
      </c>
      <c r="CN115" s="2872">
        <f t="shared" si="964"/>
        <v>60.643999999999998</v>
      </c>
    </row>
    <row r="116" spans="1:92" ht="18.75" customHeight="1" x14ac:dyDescent="0.3">
      <c r="A116" s="2879" t="s">
        <v>3745</v>
      </c>
      <c r="B116" s="2853">
        <f t="shared" si="934"/>
        <v>1642.859313423663</v>
      </c>
      <c r="C116" s="2853">
        <f t="shared" ref="C116:C121" si="965">SUM(CC116/4)</f>
        <v>1633.4130194853369</v>
      </c>
      <c r="D116" s="2853">
        <f t="shared" ref="D116:D121" si="966">SUM(CD116/4)</f>
        <v>9.4462939383260505</v>
      </c>
      <c r="E116" s="2875">
        <f t="shared" si="946"/>
        <v>564.61300000000006</v>
      </c>
      <c r="F116" s="2956">
        <v>563.5</v>
      </c>
      <c r="G116" s="2956">
        <v>1.113</v>
      </c>
      <c r="H116" s="2875">
        <f t="shared" si="810"/>
        <v>576.95100000000002</v>
      </c>
      <c r="I116" s="2956">
        <v>575.56600000000003</v>
      </c>
      <c r="J116" s="2956">
        <v>1.385</v>
      </c>
      <c r="K116" s="2875">
        <f t="shared" si="812"/>
        <v>547.72</v>
      </c>
      <c r="L116" s="2955">
        <v>546.15899999999999</v>
      </c>
      <c r="M116" s="2956">
        <v>1.5609999999999999</v>
      </c>
      <c r="N116" s="2875">
        <f t="shared" si="913"/>
        <v>1689.2839999999999</v>
      </c>
      <c r="O116" s="2875">
        <f t="shared" si="815"/>
        <v>1685.2249999999999</v>
      </c>
      <c r="P116" s="2875">
        <f t="shared" si="815"/>
        <v>4.0590000000000002</v>
      </c>
      <c r="Q116" s="2853">
        <f t="shared" si="844"/>
        <v>1642.859313423663</v>
      </c>
      <c r="R116" s="2853">
        <f t="shared" ref="R116:R123" si="967">SUM(C116)</f>
        <v>1633.4130194853369</v>
      </c>
      <c r="S116" s="2853">
        <f t="shared" ref="S116:S123" si="968">SUM(D116)</f>
        <v>9.4462939383260505</v>
      </c>
      <c r="T116" s="2875">
        <f t="shared" si="817"/>
        <v>701.82400000000007</v>
      </c>
      <c r="U116" s="2955">
        <v>699.95</v>
      </c>
      <c r="V116" s="2956">
        <v>1.8740000000000001</v>
      </c>
      <c r="W116" s="2875">
        <f t="shared" si="819"/>
        <v>1007.2810000000001</v>
      </c>
      <c r="X116" s="2955">
        <v>1004.97</v>
      </c>
      <c r="Y116" s="2956">
        <v>2.3109999999999999</v>
      </c>
      <c r="Z116" s="2875">
        <f t="shared" si="821"/>
        <v>596.91399999999999</v>
      </c>
      <c r="AA116" s="2955">
        <v>596.23099999999999</v>
      </c>
      <c r="AB116" s="2956">
        <v>0.68300000000000005</v>
      </c>
      <c r="AC116" s="2875">
        <f t="shared" si="938"/>
        <v>2306.0189999999998</v>
      </c>
      <c r="AD116" s="2875">
        <f t="shared" si="939"/>
        <v>2301.1509999999998</v>
      </c>
      <c r="AE116" s="2875">
        <f t="shared" si="939"/>
        <v>4.8680000000000003</v>
      </c>
      <c r="AF116" s="2856">
        <f t="shared" si="852"/>
        <v>3285.718626847326</v>
      </c>
      <c r="AG116" s="2856">
        <f t="shared" si="853"/>
        <v>3266.8260389706738</v>
      </c>
      <c r="AH116" s="2856">
        <f t="shared" si="853"/>
        <v>18.892587876652101</v>
      </c>
      <c r="AI116" s="2870">
        <f t="shared" si="918"/>
        <v>3995.3029999999999</v>
      </c>
      <c r="AJ116" s="2870">
        <f t="shared" si="824"/>
        <v>3986.3759999999997</v>
      </c>
      <c r="AK116" s="2870">
        <f t="shared" si="824"/>
        <v>8.9269999999999996</v>
      </c>
      <c r="AL116" s="2870">
        <f t="shared" si="954"/>
        <v>709.58437315267383</v>
      </c>
      <c r="AM116" s="2870">
        <f t="shared" si="954"/>
        <v>719.54996102932591</v>
      </c>
      <c r="AN116" s="2870">
        <f t="shared" si="954"/>
        <v>-9.9655878766521013</v>
      </c>
      <c r="AO116" s="2853">
        <f t="shared" si="940"/>
        <v>1642.859313423663</v>
      </c>
      <c r="AP116" s="2853">
        <f t="shared" ref="AP116:AQ123" si="969">SUM(CC116-AG116)/2</f>
        <v>1633.4130194853369</v>
      </c>
      <c r="AQ116" s="2853">
        <f t="shared" si="969"/>
        <v>9.4462939383260505</v>
      </c>
      <c r="AR116" s="2875">
        <f t="shared" si="826"/>
        <v>584.47</v>
      </c>
      <c r="AS116" s="2955">
        <v>583.11</v>
      </c>
      <c r="AT116" s="2956">
        <v>1.36</v>
      </c>
      <c r="AU116" s="2875">
        <f t="shared" si="828"/>
        <v>522.56049999999993</v>
      </c>
      <c r="AV116" s="2955">
        <v>521.15099999999995</v>
      </c>
      <c r="AW116" s="2956">
        <v>1.4095</v>
      </c>
      <c r="AX116" s="2875">
        <f t="shared" si="830"/>
        <v>681.995</v>
      </c>
      <c r="AY116" s="2955">
        <v>680.27700000000004</v>
      </c>
      <c r="AZ116" s="2956">
        <v>1.718</v>
      </c>
      <c r="BA116" s="2875">
        <f t="shared" si="923"/>
        <v>1789.0255</v>
      </c>
      <c r="BB116" s="2875">
        <f t="shared" si="924"/>
        <v>1784.538</v>
      </c>
      <c r="BC116" s="2875">
        <f t="shared" si="924"/>
        <v>4.4874999999999998</v>
      </c>
      <c r="BD116" s="2856">
        <f t="shared" si="741"/>
        <v>4928.5779402709886</v>
      </c>
      <c r="BE116" s="2856">
        <f t="shared" si="742"/>
        <v>4900.2390584560108</v>
      </c>
      <c r="BF116" s="2856">
        <f t="shared" si="742"/>
        <v>28.338881814978151</v>
      </c>
      <c r="BG116" s="2870">
        <f t="shared" si="925"/>
        <v>5784.3284999999996</v>
      </c>
      <c r="BH116" s="2870">
        <f t="shared" si="833"/>
        <v>5770.9139999999998</v>
      </c>
      <c r="BI116" s="2870">
        <f t="shared" si="833"/>
        <v>13.4145</v>
      </c>
      <c r="BJ116" s="2870">
        <f t="shared" si="959"/>
        <v>855.750559729011</v>
      </c>
      <c r="BK116" s="2870">
        <f t="shared" si="959"/>
        <v>870.67494154398901</v>
      </c>
      <c r="BL116" s="2870">
        <f t="shared" si="959"/>
        <v>-14.924381814978151</v>
      </c>
      <c r="BM116" s="2853">
        <f t="shared" ref="BM116:BM123" si="970">SUM(BN116:BO116)</f>
        <v>1642.859313423663</v>
      </c>
      <c r="BN116" s="2853">
        <f t="shared" ref="BN116:BN123" si="971">SUM(AP116)</f>
        <v>1633.4130194853369</v>
      </c>
      <c r="BO116" s="2853">
        <f t="shared" ref="BO116:BO123" si="972">SUM(AQ116)</f>
        <v>9.4462939383260505</v>
      </c>
      <c r="BP116" s="2875">
        <f t="shared" si="835"/>
        <v>511.16800000000001</v>
      </c>
      <c r="BQ116" s="2955">
        <v>509.67</v>
      </c>
      <c r="BR116" s="2956">
        <v>1.498</v>
      </c>
      <c r="BS116" s="2875">
        <f t="shared" si="837"/>
        <v>558.00200000000007</v>
      </c>
      <c r="BT116" s="2955">
        <v>556.62400000000002</v>
      </c>
      <c r="BU116" s="2956">
        <v>1.3779999999999999</v>
      </c>
      <c r="BV116" s="2875">
        <f t="shared" si="839"/>
        <v>583.53</v>
      </c>
      <c r="BW116" s="2955">
        <v>582.15300000000002</v>
      </c>
      <c r="BX116" s="2956">
        <v>1.377</v>
      </c>
      <c r="BY116" s="2875">
        <f t="shared" si="930"/>
        <v>1652.7</v>
      </c>
      <c r="BZ116" s="2875">
        <f t="shared" si="931"/>
        <v>1648.4470000000001</v>
      </c>
      <c r="CA116" s="2875">
        <f t="shared" si="931"/>
        <v>4.2530000000000001</v>
      </c>
      <c r="CB116" s="2856">
        <f t="shared" ref="CB116:CB121" si="973">SUM(CC116:CD116)</f>
        <v>6571.4372536946521</v>
      </c>
      <c r="CC116" s="2856">
        <f>SUM('ОХР '!DE10)</f>
        <v>6533.6520779413477</v>
      </c>
      <c r="CD116" s="2856">
        <f>18.46*2.04686759227</f>
        <v>37.785175753304202</v>
      </c>
      <c r="CE116" s="2870">
        <f t="shared" si="932"/>
        <v>7437.0284999999994</v>
      </c>
      <c r="CF116" s="2991">
        <f t="shared" si="842"/>
        <v>7419.3609999999999</v>
      </c>
      <c r="CG116" s="2991">
        <f t="shared" si="842"/>
        <v>17.6675</v>
      </c>
      <c r="CH116" s="2870">
        <f t="shared" si="933"/>
        <v>865.59124630534734</v>
      </c>
      <c r="CI116" s="2870">
        <f t="shared" si="933"/>
        <v>885.70892205865221</v>
      </c>
      <c r="CJ116" s="2870">
        <f t="shared" si="933"/>
        <v>-20.117675753304201</v>
      </c>
      <c r="CK116" s="2863"/>
      <c r="CL116" s="4188">
        <f t="shared" si="668"/>
        <v>6571.4372536946521</v>
      </c>
      <c r="CM116" s="2863"/>
    </row>
    <row r="117" spans="1:92" ht="18.75" customHeight="1" x14ac:dyDescent="0.3">
      <c r="A117" s="2879" t="s">
        <v>3746</v>
      </c>
      <c r="B117" s="2853">
        <f t="shared" si="934"/>
        <v>492.85790584560107</v>
      </c>
      <c r="C117" s="2853">
        <f t="shared" si="965"/>
        <v>490.02390584560106</v>
      </c>
      <c r="D117" s="2853">
        <f t="shared" si="966"/>
        <v>2.8340000000000001</v>
      </c>
      <c r="E117" s="2875">
        <f t="shared" si="946"/>
        <v>168.93799999999999</v>
      </c>
      <c r="F117" s="2956">
        <v>168.60499999999999</v>
      </c>
      <c r="G117" s="2956">
        <v>0.33300000000000002</v>
      </c>
      <c r="H117" s="2875">
        <f t="shared" si="810"/>
        <v>173.3126</v>
      </c>
      <c r="I117" s="2956">
        <v>172.89660000000001</v>
      </c>
      <c r="J117" s="2956">
        <v>0.41599999999999998</v>
      </c>
      <c r="K117" s="2875">
        <f t="shared" si="812"/>
        <v>163.26599999999999</v>
      </c>
      <c r="L117" s="2955">
        <v>162.80099999999999</v>
      </c>
      <c r="M117" s="2956">
        <v>0.46500000000000002</v>
      </c>
      <c r="N117" s="2875">
        <f t="shared" si="913"/>
        <v>505.51659999999998</v>
      </c>
      <c r="O117" s="2875">
        <f t="shared" ref="O117:P123" si="974">SUM(F117+I117+L117)</f>
        <v>504.30259999999998</v>
      </c>
      <c r="P117" s="2875">
        <f t="shared" si="974"/>
        <v>1.214</v>
      </c>
      <c r="Q117" s="2853">
        <f t="shared" si="844"/>
        <v>492.85790584560107</v>
      </c>
      <c r="R117" s="2853">
        <f t="shared" si="967"/>
        <v>490.02390584560106</v>
      </c>
      <c r="S117" s="2853">
        <f t="shared" si="968"/>
        <v>2.8340000000000001</v>
      </c>
      <c r="T117" s="2875">
        <f t="shared" si="817"/>
        <v>211.03399999999999</v>
      </c>
      <c r="U117" s="2955">
        <v>210.47</v>
      </c>
      <c r="V117" s="2956">
        <v>0.56399999999999995</v>
      </c>
      <c r="W117" s="2875">
        <f t="shared" si="819"/>
        <v>289.43299999999999</v>
      </c>
      <c r="X117" s="2955">
        <v>288.76900000000001</v>
      </c>
      <c r="Y117" s="2956">
        <v>0.66400000000000003</v>
      </c>
      <c r="Z117" s="2875">
        <f t="shared" si="821"/>
        <v>179.09100000000001</v>
      </c>
      <c r="AA117" s="2955">
        <v>179.09</v>
      </c>
      <c r="AB117" s="2956">
        <v>1E-3</v>
      </c>
      <c r="AC117" s="2875">
        <f t="shared" si="938"/>
        <v>679.55800000000011</v>
      </c>
      <c r="AD117" s="2875">
        <f t="shared" si="939"/>
        <v>678.32900000000006</v>
      </c>
      <c r="AE117" s="2875">
        <f t="shared" si="939"/>
        <v>1.2289999999999999</v>
      </c>
      <c r="AF117" s="2856">
        <f t="shared" si="852"/>
        <v>985.71581169120213</v>
      </c>
      <c r="AG117" s="2856">
        <f t="shared" si="853"/>
        <v>980.04781169120213</v>
      </c>
      <c r="AH117" s="2856">
        <f t="shared" si="853"/>
        <v>5.6680000000000001</v>
      </c>
      <c r="AI117" s="2870">
        <f t="shared" si="918"/>
        <v>1185.0746000000001</v>
      </c>
      <c r="AJ117" s="2870">
        <f t="shared" si="918"/>
        <v>1182.6316000000002</v>
      </c>
      <c r="AK117" s="2870">
        <f t="shared" si="918"/>
        <v>2.4429999999999996</v>
      </c>
      <c r="AL117" s="2870">
        <f t="shared" si="954"/>
        <v>199.35878830879801</v>
      </c>
      <c r="AM117" s="2870">
        <f t="shared" si="954"/>
        <v>202.58378830879803</v>
      </c>
      <c r="AN117" s="2870">
        <f t="shared" si="954"/>
        <v>-3.2250000000000005</v>
      </c>
      <c r="AO117" s="2853">
        <f t="shared" si="940"/>
        <v>492.85790584560107</v>
      </c>
      <c r="AP117" s="2853">
        <f t="shared" si="969"/>
        <v>490.02390584560106</v>
      </c>
      <c r="AQ117" s="2853">
        <f t="shared" si="969"/>
        <v>2.8340000000000001</v>
      </c>
      <c r="AR117" s="2875">
        <f t="shared" si="826"/>
        <v>175.02700000000002</v>
      </c>
      <c r="AS117" s="2955">
        <v>174.62</v>
      </c>
      <c r="AT117" s="2956">
        <v>0.40699999999999997</v>
      </c>
      <c r="AU117" s="2875">
        <f t="shared" si="828"/>
        <v>157.28700000000001</v>
      </c>
      <c r="AV117" s="2955">
        <v>156.863</v>
      </c>
      <c r="AW117" s="2956">
        <v>0.42399999999999999</v>
      </c>
      <c r="AX117" s="2875">
        <f t="shared" si="830"/>
        <v>205.48373000000001</v>
      </c>
      <c r="AY117" s="2955">
        <v>204.96600000000001</v>
      </c>
      <c r="AZ117" s="2956">
        <v>0.51773000000000002</v>
      </c>
      <c r="BA117" s="2875">
        <f t="shared" si="923"/>
        <v>537.79773000000012</v>
      </c>
      <c r="BB117" s="2875">
        <f t="shared" si="924"/>
        <v>536.44900000000007</v>
      </c>
      <c r="BC117" s="2875">
        <f t="shared" si="924"/>
        <v>1.34873</v>
      </c>
      <c r="BD117" s="2856">
        <f t="shared" si="741"/>
        <v>1478.5737175368031</v>
      </c>
      <c r="BE117" s="2856">
        <f t="shared" si="742"/>
        <v>1470.0717175368031</v>
      </c>
      <c r="BF117" s="2856">
        <f t="shared" si="742"/>
        <v>8.5020000000000007</v>
      </c>
      <c r="BG117" s="2870">
        <f t="shared" si="925"/>
        <v>1722.8723300000001</v>
      </c>
      <c r="BH117" s="2870">
        <f t="shared" si="925"/>
        <v>1719.0806000000002</v>
      </c>
      <c r="BI117" s="2870">
        <f t="shared" si="925"/>
        <v>3.7917299999999994</v>
      </c>
      <c r="BJ117" s="2870">
        <f t="shared" si="959"/>
        <v>244.29861246319706</v>
      </c>
      <c r="BK117" s="2870">
        <f t="shared" si="959"/>
        <v>249.0088824631971</v>
      </c>
      <c r="BL117" s="2870">
        <f t="shared" si="959"/>
        <v>-4.7102700000000013</v>
      </c>
      <c r="BM117" s="2853">
        <f t="shared" si="970"/>
        <v>492.85790584560107</v>
      </c>
      <c r="BN117" s="2853">
        <f t="shared" si="971"/>
        <v>490.02390584560106</v>
      </c>
      <c r="BO117" s="2853">
        <f t="shared" si="972"/>
        <v>2.8340000000000001</v>
      </c>
      <c r="BP117" s="2875">
        <f t="shared" si="835"/>
        <v>153.12400000000002</v>
      </c>
      <c r="BQ117" s="2955">
        <v>152.67500000000001</v>
      </c>
      <c r="BR117" s="2956">
        <v>0.44900000000000001</v>
      </c>
      <c r="BS117" s="2875">
        <f t="shared" si="837"/>
        <v>180.14699999999999</v>
      </c>
      <c r="BT117" s="2955">
        <v>179.702</v>
      </c>
      <c r="BU117" s="2956">
        <v>0.44500000000000001</v>
      </c>
      <c r="BV117" s="2875">
        <f t="shared" si="839"/>
        <v>153.66524999999999</v>
      </c>
      <c r="BW117" s="2955">
        <v>153.101</v>
      </c>
      <c r="BX117" s="2956">
        <v>0.56425000000000003</v>
      </c>
      <c r="BY117" s="2875">
        <f t="shared" si="930"/>
        <v>486.93625000000003</v>
      </c>
      <c r="BZ117" s="2875">
        <f t="shared" si="931"/>
        <v>485.47800000000001</v>
      </c>
      <c r="CA117" s="2875">
        <f t="shared" si="931"/>
        <v>1.45825</v>
      </c>
      <c r="CB117" s="2856">
        <f t="shared" si="973"/>
        <v>1971.4316233824043</v>
      </c>
      <c r="CC117" s="2856">
        <f>SUM('ОХР '!DE11)</f>
        <v>1960.0956233824043</v>
      </c>
      <c r="CD117" s="2856">
        <v>11.336</v>
      </c>
      <c r="CE117" s="2870">
        <f t="shared" si="932"/>
        <v>2209.8085800000003</v>
      </c>
      <c r="CF117" s="2991">
        <f t="shared" si="932"/>
        <v>2204.5586000000003</v>
      </c>
      <c r="CG117" s="2991">
        <f t="shared" si="932"/>
        <v>5.249979999999999</v>
      </c>
      <c r="CH117" s="2870">
        <f t="shared" si="933"/>
        <v>238.37695661759608</v>
      </c>
      <c r="CI117" s="2870">
        <f t="shared" si="933"/>
        <v>244.46297661759604</v>
      </c>
      <c r="CJ117" s="2870">
        <f t="shared" si="933"/>
        <v>-6.0860200000000013</v>
      </c>
      <c r="CK117" s="2863"/>
      <c r="CL117" s="4188">
        <f t="shared" si="668"/>
        <v>1971.4316233824043</v>
      </c>
      <c r="CM117" s="2863"/>
    </row>
    <row r="118" spans="1:92" ht="18.75" customHeight="1" x14ac:dyDescent="0.3">
      <c r="A118" s="2879" t="s">
        <v>274</v>
      </c>
      <c r="B118" s="2853">
        <f t="shared" si="934"/>
        <v>2.6959338554044012</v>
      </c>
      <c r="C118" s="2853">
        <f t="shared" si="965"/>
        <v>2.6396449966169762</v>
      </c>
      <c r="D118" s="2853">
        <f t="shared" si="966"/>
        <v>5.6288858787424997E-2</v>
      </c>
      <c r="E118" s="2875">
        <f t="shared" si="946"/>
        <v>0.17734999999999998</v>
      </c>
      <c r="F118" s="2956">
        <v>0.17699999999999999</v>
      </c>
      <c r="G118" s="2956">
        <v>3.5E-4</v>
      </c>
      <c r="H118" s="2875">
        <f t="shared" si="810"/>
        <v>0.10725999999999999</v>
      </c>
      <c r="I118" s="2956">
        <v>0.107</v>
      </c>
      <c r="J118" s="2956">
        <v>2.5999999999999998E-4</v>
      </c>
      <c r="K118" s="2875">
        <f t="shared" si="812"/>
        <v>4.7334899999999998</v>
      </c>
      <c r="L118" s="2955">
        <v>4.72</v>
      </c>
      <c r="M118" s="2956">
        <v>1.349E-2</v>
      </c>
      <c r="N118" s="2875">
        <f t="shared" si="913"/>
        <v>5.0180999999999996</v>
      </c>
      <c r="O118" s="2875">
        <f t="shared" si="974"/>
        <v>5.0039999999999996</v>
      </c>
      <c r="P118" s="2875">
        <f t="shared" si="974"/>
        <v>1.41E-2</v>
      </c>
      <c r="Q118" s="2853">
        <f t="shared" si="844"/>
        <v>2.6959338554044012</v>
      </c>
      <c r="R118" s="2853">
        <f t="shared" si="967"/>
        <v>2.6396449966169762</v>
      </c>
      <c r="S118" s="2853">
        <f t="shared" si="968"/>
        <v>5.6288858787424997E-2</v>
      </c>
      <c r="T118" s="2875">
        <f t="shared" si="817"/>
        <v>5.1638000000000002</v>
      </c>
      <c r="U118" s="2955">
        <v>5.15</v>
      </c>
      <c r="V118" s="2956">
        <v>1.38E-2</v>
      </c>
      <c r="W118" s="2875">
        <f t="shared" si="819"/>
        <v>4.2397400000000003</v>
      </c>
      <c r="X118" s="2955">
        <v>4.2300000000000004</v>
      </c>
      <c r="Y118" s="2956">
        <v>9.7400000000000004E-3</v>
      </c>
      <c r="Z118" s="2875">
        <f t="shared" si="821"/>
        <v>4.1387</v>
      </c>
      <c r="AA118" s="2955">
        <v>4.1340000000000003</v>
      </c>
      <c r="AB118" s="2956">
        <v>4.7000000000000002E-3</v>
      </c>
      <c r="AC118" s="2875">
        <f t="shared" si="938"/>
        <v>13.542240000000001</v>
      </c>
      <c r="AD118" s="2875">
        <f t="shared" si="939"/>
        <v>13.514000000000001</v>
      </c>
      <c r="AE118" s="2875">
        <f t="shared" si="939"/>
        <v>2.8239999999999998E-2</v>
      </c>
      <c r="AF118" s="2856">
        <f t="shared" si="852"/>
        <v>5.3918677108088024</v>
      </c>
      <c r="AG118" s="2856">
        <f t="shared" si="853"/>
        <v>5.2792899932339523</v>
      </c>
      <c r="AH118" s="2856">
        <f t="shared" si="853"/>
        <v>0.11257771757484999</v>
      </c>
      <c r="AI118" s="2870">
        <f t="shared" si="918"/>
        <v>18.56034</v>
      </c>
      <c r="AJ118" s="2870">
        <f t="shared" si="918"/>
        <v>18.518000000000001</v>
      </c>
      <c r="AK118" s="2870">
        <f t="shared" si="918"/>
        <v>4.2339999999999996E-2</v>
      </c>
      <c r="AL118" s="2870">
        <f t="shared" si="954"/>
        <v>13.168472289191197</v>
      </c>
      <c r="AM118" s="2870">
        <f t="shared" si="954"/>
        <v>13.238710006766048</v>
      </c>
      <c r="AN118" s="2870">
        <f t="shared" si="954"/>
        <v>-7.0237717574850006E-2</v>
      </c>
      <c r="AO118" s="2853">
        <f t="shared" si="940"/>
        <v>2.6959338554044012</v>
      </c>
      <c r="AP118" s="2853">
        <f t="shared" si="969"/>
        <v>2.6396449966169762</v>
      </c>
      <c r="AQ118" s="2853">
        <f t="shared" si="969"/>
        <v>5.6288858787424997E-2</v>
      </c>
      <c r="AR118" s="2875">
        <f t="shared" si="826"/>
        <v>4.0293699999999992</v>
      </c>
      <c r="AS118" s="2955">
        <v>4.0199999999999996</v>
      </c>
      <c r="AT118" s="2956">
        <v>9.3699999999999999E-3</v>
      </c>
      <c r="AU118" s="2875">
        <f t="shared" si="828"/>
        <v>4.3949999999999996</v>
      </c>
      <c r="AV118" s="2955">
        <v>4.383</v>
      </c>
      <c r="AW118" s="2956">
        <v>1.2E-2</v>
      </c>
      <c r="AX118" s="2875">
        <f t="shared" si="830"/>
        <v>5.1349400000000003</v>
      </c>
      <c r="AY118" s="2955">
        <v>5.1219999999999999</v>
      </c>
      <c r="AZ118" s="2956">
        <v>1.294E-2</v>
      </c>
      <c r="BA118" s="2875">
        <f t="shared" si="923"/>
        <v>13.559309999999998</v>
      </c>
      <c r="BB118" s="2875">
        <f t="shared" si="924"/>
        <v>13.524999999999999</v>
      </c>
      <c r="BC118" s="2875">
        <f t="shared" si="924"/>
        <v>3.431E-2</v>
      </c>
      <c r="BD118" s="2856">
        <f t="shared" si="741"/>
        <v>8.0878015662132032</v>
      </c>
      <c r="BE118" s="2856">
        <f t="shared" si="742"/>
        <v>7.9189349898509285</v>
      </c>
      <c r="BF118" s="2856">
        <f t="shared" si="742"/>
        <v>0.16886657636227498</v>
      </c>
      <c r="BG118" s="2870">
        <f t="shared" si="925"/>
        <v>32.11965</v>
      </c>
      <c r="BH118" s="2870">
        <f t="shared" si="925"/>
        <v>32.042999999999999</v>
      </c>
      <c r="BI118" s="2870">
        <f t="shared" si="925"/>
        <v>7.6649999999999996E-2</v>
      </c>
      <c r="BJ118" s="2870">
        <f t="shared" si="959"/>
        <v>24.031848433786799</v>
      </c>
      <c r="BK118" s="2870">
        <f t="shared" si="959"/>
        <v>24.124065010149071</v>
      </c>
      <c r="BL118" s="2870">
        <f t="shared" si="959"/>
        <v>-9.2216576362274982E-2</v>
      </c>
      <c r="BM118" s="2853">
        <f t="shared" si="970"/>
        <v>2.6959338554044012</v>
      </c>
      <c r="BN118" s="2853">
        <f t="shared" si="971"/>
        <v>2.6396449966169762</v>
      </c>
      <c r="BO118" s="2853">
        <f t="shared" si="972"/>
        <v>5.6288858787424997E-2</v>
      </c>
      <c r="BP118" s="2875">
        <f t="shared" si="835"/>
        <v>4.9033700000000007</v>
      </c>
      <c r="BQ118" s="2955">
        <v>4.8890000000000002</v>
      </c>
      <c r="BR118" s="2956">
        <v>1.4370000000000001E-2</v>
      </c>
      <c r="BS118" s="2875">
        <f t="shared" si="837"/>
        <v>5.70052</v>
      </c>
      <c r="BT118" s="2955">
        <v>5.6719999999999997</v>
      </c>
      <c r="BU118" s="2956">
        <v>2.852E-2</v>
      </c>
      <c r="BV118" s="2875">
        <f t="shared" si="839"/>
        <v>6.4009999999999998</v>
      </c>
      <c r="BW118" s="2955">
        <v>6.4009999999999998</v>
      </c>
      <c r="BX118" s="2956">
        <v>0</v>
      </c>
      <c r="BY118" s="2875">
        <f t="shared" si="930"/>
        <v>17.00489</v>
      </c>
      <c r="BZ118" s="2875">
        <f t="shared" si="931"/>
        <v>16.962</v>
      </c>
      <c r="CA118" s="2875">
        <f t="shared" si="931"/>
        <v>4.2889999999999998E-2</v>
      </c>
      <c r="CB118" s="2856">
        <f t="shared" si="973"/>
        <v>10.783735421617605</v>
      </c>
      <c r="CC118" s="2856">
        <f>SUM('ОХР '!DE21)</f>
        <v>10.558579986467905</v>
      </c>
      <c r="CD118" s="2856">
        <f>0.11*2.04686759227</f>
        <v>0.22515543514969999</v>
      </c>
      <c r="CE118" s="2870">
        <f t="shared" si="932"/>
        <v>49.124539999999996</v>
      </c>
      <c r="CF118" s="2991">
        <f t="shared" si="932"/>
        <v>49.004999999999995</v>
      </c>
      <c r="CG118" s="2991">
        <f t="shared" si="932"/>
        <v>0.11953999999999999</v>
      </c>
      <c r="CH118" s="2870">
        <f t="shared" si="933"/>
        <v>38.340804578382389</v>
      </c>
      <c r="CI118" s="2870">
        <f t="shared" si="933"/>
        <v>38.446420013532091</v>
      </c>
      <c r="CJ118" s="2870">
        <f t="shared" si="933"/>
        <v>-0.1056154351497</v>
      </c>
      <c r="CK118" s="2863"/>
      <c r="CL118" s="4188">
        <f t="shared" si="668"/>
        <v>10.783735421617605</v>
      </c>
      <c r="CM118" s="2863"/>
    </row>
    <row r="119" spans="1:92" ht="18.75" customHeight="1" x14ac:dyDescent="0.3">
      <c r="A119" s="2879" t="s">
        <v>1546</v>
      </c>
      <c r="B119" s="2853">
        <f t="shared" si="934"/>
        <v>11.020337850836876</v>
      </c>
      <c r="C119" s="2853">
        <f t="shared" si="965"/>
        <v>10.958931823068776</v>
      </c>
      <c r="D119" s="2853">
        <f t="shared" si="966"/>
        <v>6.1406027768099995E-2</v>
      </c>
      <c r="E119" s="2875">
        <f t="shared" si="946"/>
        <v>9.0449999999999999</v>
      </c>
      <c r="F119" s="2956">
        <v>9.0269999999999992</v>
      </c>
      <c r="G119" s="2956">
        <v>1.7999999999999999E-2</v>
      </c>
      <c r="H119" s="2875">
        <f t="shared" si="810"/>
        <v>10.077999999999999</v>
      </c>
      <c r="I119" s="2956">
        <v>10.054</v>
      </c>
      <c r="J119" s="2956">
        <v>2.4E-2</v>
      </c>
      <c r="K119" s="2875">
        <f t="shared" si="812"/>
        <v>7.0661399999999999</v>
      </c>
      <c r="L119" s="2955">
        <v>7.0460000000000003</v>
      </c>
      <c r="M119" s="2956">
        <v>2.0140000000000002E-2</v>
      </c>
      <c r="N119" s="2875">
        <f t="shared" si="913"/>
        <v>26.189139999999998</v>
      </c>
      <c r="O119" s="2875">
        <f t="shared" si="974"/>
        <v>26.126999999999999</v>
      </c>
      <c r="P119" s="2875">
        <f t="shared" si="974"/>
        <v>6.2140000000000001E-2</v>
      </c>
      <c r="Q119" s="2853">
        <f t="shared" si="844"/>
        <v>11.020337850836876</v>
      </c>
      <c r="R119" s="2853">
        <f t="shared" si="967"/>
        <v>10.958931823068776</v>
      </c>
      <c r="S119" s="2853">
        <f t="shared" si="968"/>
        <v>6.1406027768099995E-2</v>
      </c>
      <c r="T119" s="2875">
        <f t="shared" si="817"/>
        <v>4.5320999999999998</v>
      </c>
      <c r="U119" s="2955">
        <v>4.5199999999999996</v>
      </c>
      <c r="V119" s="2956">
        <v>1.21E-2</v>
      </c>
      <c r="W119" s="2875">
        <f t="shared" si="819"/>
        <v>1.9744999999999999</v>
      </c>
      <c r="X119" s="2955">
        <v>1.97</v>
      </c>
      <c r="Y119" s="2956">
        <v>4.4999999999999997E-3</v>
      </c>
      <c r="Z119" s="2875">
        <f t="shared" si="821"/>
        <v>0</v>
      </c>
      <c r="AA119" s="2955">
        <v>0</v>
      </c>
      <c r="AB119" s="2956">
        <v>0</v>
      </c>
      <c r="AC119" s="2875">
        <f t="shared" si="938"/>
        <v>6.5065999999999997</v>
      </c>
      <c r="AD119" s="2875">
        <f t="shared" si="939"/>
        <v>6.4899999999999993</v>
      </c>
      <c r="AE119" s="2875">
        <f t="shared" si="939"/>
        <v>1.66E-2</v>
      </c>
      <c r="AF119" s="2856">
        <f t="shared" si="852"/>
        <v>22.040675701673752</v>
      </c>
      <c r="AG119" s="2856">
        <f t="shared" si="853"/>
        <v>21.917863646137551</v>
      </c>
      <c r="AH119" s="2856">
        <f t="shared" si="853"/>
        <v>0.12281205553619999</v>
      </c>
      <c r="AI119" s="2870">
        <f t="shared" si="918"/>
        <v>32.695740000000001</v>
      </c>
      <c r="AJ119" s="2870">
        <f t="shared" si="918"/>
        <v>32.616999999999997</v>
      </c>
      <c r="AK119" s="2870">
        <f t="shared" si="918"/>
        <v>7.8740000000000004E-2</v>
      </c>
      <c r="AL119" s="2870">
        <f t="shared" si="954"/>
        <v>10.655064298326248</v>
      </c>
      <c r="AM119" s="2870">
        <f t="shared" si="954"/>
        <v>10.699136353862446</v>
      </c>
      <c r="AN119" s="2870">
        <f t="shared" si="954"/>
        <v>-4.4072055536199986E-2</v>
      </c>
      <c r="AO119" s="2853">
        <f t="shared" si="940"/>
        <v>11.020337850836876</v>
      </c>
      <c r="AP119" s="2853">
        <f t="shared" si="969"/>
        <v>10.958931823068776</v>
      </c>
      <c r="AQ119" s="2853">
        <f t="shared" si="969"/>
        <v>6.1406027768099995E-2</v>
      </c>
      <c r="AR119" s="2875">
        <f t="shared" si="826"/>
        <v>0</v>
      </c>
      <c r="AS119" s="2955">
        <v>0</v>
      </c>
      <c r="AT119" s="2956">
        <v>0</v>
      </c>
      <c r="AU119" s="2875">
        <f t="shared" si="828"/>
        <v>0</v>
      </c>
      <c r="AV119" s="2955">
        <v>0</v>
      </c>
      <c r="AW119" s="2956">
        <v>0</v>
      </c>
      <c r="AX119" s="2875">
        <f t="shared" si="830"/>
        <v>2.8190999999999997</v>
      </c>
      <c r="AY119" s="2955">
        <v>2.8119999999999998</v>
      </c>
      <c r="AZ119" s="2956">
        <v>7.1000000000000004E-3</v>
      </c>
      <c r="BA119" s="2875">
        <f t="shared" si="923"/>
        <v>2.8190999999999997</v>
      </c>
      <c r="BB119" s="2875">
        <f t="shared" si="924"/>
        <v>2.8119999999999998</v>
      </c>
      <c r="BC119" s="2875">
        <f t="shared" si="924"/>
        <v>7.1000000000000004E-3</v>
      </c>
      <c r="BD119" s="2856">
        <f t="shared" si="741"/>
        <v>33.06101355251063</v>
      </c>
      <c r="BE119" s="2856">
        <f t="shared" si="742"/>
        <v>32.876795469206328</v>
      </c>
      <c r="BF119" s="2856">
        <f t="shared" si="742"/>
        <v>0.18421808330429998</v>
      </c>
      <c r="BG119" s="2870">
        <f t="shared" si="925"/>
        <v>35.51484</v>
      </c>
      <c r="BH119" s="2870">
        <f t="shared" si="925"/>
        <v>35.428999999999995</v>
      </c>
      <c r="BI119" s="2870">
        <f t="shared" si="925"/>
        <v>8.584E-2</v>
      </c>
      <c r="BJ119" s="2870">
        <f t="shared" si="959"/>
        <v>2.4538264474893694</v>
      </c>
      <c r="BK119" s="2870">
        <f t="shared" si="959"/>
        <v>2.5522045307936665</v>
      </c>
      <c r="BL119" s="2870">
        <f t="shared" si="959"/>
        <v>-9.8378083304299979E-2</v>
      </c>
      <c r="BM119" s="2853">
        <f t="shared" si="970"/>
        <v>11.020337850836876</v>
      </c>
      <c r="BN119" s="2853">
        <f t="shared" si="971"/>
        <v>10.958931823068776</v>
      </c>
      <c r="BO119" s="2853">
        <f t="shared" si="972"/>
        <v>6.1406027768099995E-2</v>
      </c>
      <c r="BP119" s="2875">
        <f t="shared" si="835"/>
        <v>4.0217900000000002</v>
      </c>
      <c r="BQ119" s="2955">
        <v>4.01</v>
      </c>
      <c r="BR119" s="2956">
        <v>1.179E-2</v>
      </c>
      <c r="BS119" s="2875">
        <f t="shared" si="837"/>
        <v>5.7091000000000003</v>
      </c>
      <c r="BT119" s="2955">
        <v>5.6950000000000003</v>
      </c>
      <c r="BU119" s="2956">
        <v>1.41E-2</v>
      </c>
      <c r="BV119" s="2875">
        <f t="shared" si="839"/>
        <v>7.07646</v>
      </c>
      <c r="BW119" s="2955">
        <v>7.06</v>
      </c>
      <c r="BX119" s="2956">
        <v>1.6459999999999999E-2</v>
      </c>
      <c r="BY119" s="2875">
        <f t="shared" si="930"/>
        <v>16.80735</v>
      </c>
      <c r="BZ119" s="2875">
        <f t="shared" si="931"/>
        <v>16.765000000000001</v>
      </c>
      <c r="CA119" s="2875">
        <f t="shared" si="931"/>
        <v>4.2349999999999999E-2</v>
      </c>
      <c r="CB119" s="2856">
        <f t="shared" si="973"/>
        <v>44.081351403347504</v>
      </c>
      <c r="CC119" s="2856">
        <f>SUM('ОХР '!DE17)</f>
        <v>43.835727292275102</v>
      </c>
      <c r="CD119" s="2856">
        <f>0.12*2.04686759227</f>
        <v>0.24562411107239998</v>
      </c>
      <c r="CE119" s="2870">
        <f t="shared" si="932"/>
        <v>52.322189999999999</v>
      </c>
      <c r="CF119" s="2991">
        <f t="shared" si="932"/>
        <v>52.193999999999996</v>
      </c>
      <c r="CG119" s="2991">
        <f t="shared" si="932"/>
        <v>0.12819</v>
      </c>
      <c r="CH119" s="2870">
        <f t="shared" si="933"/>
        <v>8.2408385966524946</v>
      </c>
      <c r="CI119" s="2870">
        <f t="shared" si="933"/>
        <v>8.3582727077248933</v>
      </c>
      <c r="CJ119" s="2870">
        <f t="shared" si="933"/>
        <v>-0.11743411107239998</v>
      </c>
      <c r="CK119" s="2863"/>
      <c r="CL119" s="4188">
        <f t="shared" si="668"/>
        <v>44.081351403347504</v>
      </c>
      <c r="CM119" s="2863"/>
    </row>
    <row r="120" spans="1:92" ht="18.75" customHeight="1" x14ac:dyDescent="0.3">
      <c r="A120" s="2879" t="s">
        <v>275</v>
      </c>
      <c r="B120" s="2853">
        <f t="shared" si="934"/>
        <v>13.05285050462046</v>
      </c>
      <c r="C120" s="2853">
        <f t="shared" si="965"/>
        <v>12.945389956026286</v>
      </c>
      <c r="D120" s="2853">
        <f t="shared" si="966"/>
        <v>0.10746054859417499</v>
      </c>
      <c r="E120" s="2875">
        <f t="shared" si="946"/>
        <v>6.2749999999999995</v>
      </c>
      <c r="F120" s="2956">
        <v>6.2629999999999999</v>
      </c>
      <c r="G120" s="2956">
        <v>1.2E-2</v>
      </c>
      <c r="H120" s="2875">
        <f t="shared" si="810"/>
        <v>6.3679999999999994</v>
      </c>
      <c r="I120" s="2956">
        <v>6.3529999999999998</v>
      </c>
      <c r="J120" s="2956">
        <v>1.4999999999999999E-2</v>
      </c>
      <c r="K120" s="2875">
        <f t="shared" si="812"/>
        <v>6.3464</v>
      </c>
      <c r="L120" s="2955">
        <v>6.17</v>
      </c>
      <c r="M120" s="2956">
        <v>0.1764</v>
      </c>
      <c r="N120" s="2875">
        <f t="shared" si="913"/>
        <v>18.9894</v>
      </c>
      <c r="O120" s="2875">
        <f t="shared" si="974"/>
        <v>18.786000000000001</v>
      </c>
      <c r="P120" s="2875">
        <f t="shared" si="974"/>
        <v>0.2034</v>
      </c>
      <c r="Q120" s="2853">
        <f t="shared" si="844"/>
        <v>13.05285050462046</v>
      </c>
      <c r="R120" s="2853">
        <f t="shared" si="967"/>
        <v>12.945389956026286</v>
      </c>
      <c r="S120" s="2853">
        <f t="shared" si="968"/>
        <v>0.10746054859417499</v>
      </c>
      <c r="T120" s="2875">
        <f t="shared" si="817"/>
        <v>6.7356999999999996</v>
      </c>
      <c r="U120" s="2955">
        <v>6.56</v>
      </c>
      <c r="V120" s="2956">
        <v>0.1757</v>
      </c>
      <c r="W120" s="2875">
        <f t="shared" si="819"/>
        <v>6.4147300000000005</v>
      </c>
      <c r="X120" s="2955">
        <v>6.4</v>
      </c>
      <c r="Y120" s="2956">
        <v>1.473E-2</v>
      </c>
      <c r="Z120" s="2875">
        <f t="shared" si="821"/>
        <v>5.7505999999999995</v>
      </c>
      <c r="AA120" s="2955">
        <v>5.7439999999999998</v>
      </c>
      <c r="AB120" s="2956">
        <v>6.6E-3</v>
      </c>
      <c r="AC120" s="2875">
        <f t="shared" si="938"/>
        <v>18.901030000000002</v>
      </c>
      <c r="AD120" s="2875">
        <f t="shared" si="939"/>
        <v>18.704000000000001</v>
      </c>
      <c r="AE120" s="2875">
        <f t="shared" si="939"/>
        <v>0.19702999999999998</v>
      </c>
      <c r="AF120" s="2856">
        <f t="shared" si="852"/>
        <v>26.105701009240921</v>
      </c>
      <c r="AG120" s="2856">
        <f t="shared" si="853"/>
        <v>25.890779912052572</v>
      </c>
      <c r="AH120" s="2856">
        <f t="shared" si="853"/>
        <v>0.21492109718834998</v>
      </c>
      <c r="AI120" s="2870">
        <f t="shared" si="918"/>
        <v>37.890430000000002</v>
      </c>
      <c r="AJ120" s="2870">
        <f t="shared" si="918"/>
        <v>37.49</v>
      </c>
      <c r="AK120" s="2870">
        <f t="shared" si="918"/>
        <v>0.40042999999999995</v>
      </c>
      <c r="AL120" s="2870">
        <f t="shared" si="954"/>
        <v>11.784728990759081</v>
      </c>
      <c r="AM120" s="2870">
        <f t="shared" si="954"/>
        <v>11.59922008794743</v>
      </c>
      <c r="AN120" s="2870">
        <f t="shared" si="954"/>
        <v>0.18550890281164997</v>
      </c>
      <c r="AO120" s="2853">
        <f t="shared" si="940"/>
        <v>13.05285050462046</v>
      </c>
      <c r="AP120" s="2853">
        <f t="shared" si="969"/>
        <v>12.945389956026286</v>
      </c>
      <c r="AQ120" s="2853">
        <f t="shared" si="969"/>
        <v>0.10746054859417499</v>
      </c>
      <c r="AR120" s="2875">
        <f t="shared" si="826"/>
        <v>6.0540000000000003</v>
      </c>
      <c r="AS120" s="2955">
        <v>6.04</v>
      </c>
      <c r="AT120" s="2956">
        <v>1.4E-2</v>
      </c>
      <c r="AU120" s="2875">
        <f t="shared" si="828"/>
        <v>6.1840000000000002</v>
      </c>
      <c r="AV120" s="2955">
        <v>6.1669999999999998</v>
      </c>
      <c r="AW120" s="2956">
        <v>1.7000000000000001E-2</v>
      </c>
      <c r="AX120" s="2875">
        <f t="shared" si="830"/>
        <v>6.3610299999999995</v>
      </c>
      <c r="AY120" s="2955">
        <v>6.3449999999999998</v>
      </c>
      <c r="AZ120" s="2956">
        <v>1.6029999999999999E-2</v>
      </c>
      <c r="BA120" s="2875">
        <f t="shared" si="923"/>
        <v>18.599029999999999</v>
      </c>
      <c r="BB120" s="2875">
        <f t="shared" si="924"/>
        <v>18.552</v>
      </c>
      <c r="BC120" s="2875">
        <f t="shared" si="924"/>
        <v>4.7030000000000002E-2</v>
      </c>
      <c r="BD120" s="2856">
        <f t="shared" si="741"/>
        <v>39.158551513861383</v>
      </c>
      <c r="BE120" s="2856">
        <f t="shared" si="742"/>
        <v>38.836169868078855</v>
      </c>
      <c r="BF120" s="2856">
        <f t="shared" si="742"/>
        <v>0.32238164578252498</v>
      </c>
      <c r="BG120" s="2870">
        <f t="shared" si="925"/>
        <v>56.489460000000001</v>
      </c>
      <c r="BH120" s="2870">
        <f t="shared" si="925"/>
        <v>56.042000000000002</v>
      </c>
      <c r="BI120" s="2870">
        <f t="shared" si="925"/>
        <v>0.44745999999999997</v>
      </c>
      <c r="BJ120" s="2870">
        <f t="shared" si="959"/>
        <v>17.330908486138618</v>
      </c>
      <c r="BK120" s="2870">
        <f t="shared" si="959"/>
        <v>17.205830131921147</v>
      </c>
      <c r="BL120" s="2870">
        <f t="shared" si="959"/>
        <v>0.12507835421747499</v>
      </c>
      <c r="BM120" s="2853">
        <f t="shared" si="970"/>
        <v>13.05285050462046</v>
      </c>
      <c r="BN120" s="2853">
        <f t="shared" si="971"/>
        <v>12.945389956026286</v>
      </c>
      <c r="BO120" s="2853">
        <f t="shared" si="972"/>
        <v>0.10746054859417499</v>
      </c>
      <c r="BP120" s="2875">
        <f t="shared" si="835"/>
        <v>6.0547500000000003</v>
      </c>
      <c r="BQ120" s="2955">
        <v>6.0369999999999999</v>
      </c>
      <c r="BR120" s="2956">
        <v>1.7749999999999998E-2</v>
      </c>
      <c r="BS120" s="2875">
        <f t="shared" si="837"/>
        <v>6.2343999999999999</v>
      </c>
      <c r="BT120" s="2955">
        <v>6.2190000000000003</v>
      </c>
      <c r="BU120" s="2956">
        <v>1.54E-2</v>
      </c>
      <c r="BV120" s="2875">
        <f t="shared" si="839"/>
        <v>6.0110399999999995</v>
      </c>
      <c r="BW120" s="2955">
        <v>6.3129999999999997</v>
      </c>
      <c r="BX120" s="2956">
        <v>-0.30196000000000001</v>
      </c>
      <c r="BY120" s="2875">
        <f t="shared" si="930"/>
        <v>18.300190000000001</v>
      </c>
      <c r="BZ120" s="2875">
        <f t="shared" si="931"/>
        <v>18.568999999999999</v>
      </c>
      <c r="CA120" s="2875">
        <f t="shared" si="931"/>
        <v>-0.26880999999999999</v>
      </c>
      <c r="CB120" s="2856">
        <f t="shared" si="973"/>
        <v>52.211402018481841</v>
      </c>
      <c r="CC120" s="2856">
        <f>SUM('ОХР '!DE24)</f>
        <v>51.781559824105145</v>
      </c>
      <c r="CD120" s="2856">
        <f>0.21*2.04686759227</f>
        <v>0.42984219437669996</v>
      </c>
      <c r="CE120" s="2870">
        <f t="shared" si="932"/>
        <v>74.789649999999995</v>
      </c>
      <c r="CF120" s="2991">
        <f t="shared" si="932"/>
        <v>74.611000000000004</v>
      </c>
      <c r="CG120" s="2991">
        <f t="shared" si="932"/>
        <v>0.17864999999999998</v>
      </c>
      <c r="CH120" s="2870">
        <f t="shared" si="933"/>
        <v>22.578247981518153</v>
      </c>
      <c r="CI120" s="2870">
        <f t="shared" si="933"/>
        <v>22.82944017589486</v>
      </c>
      <c r="CJ120" s="2870">
        <f t="shared" si="933"/>
        <v>-0.25119219437669998</v>
      </c>
      <c r="CK120" s="2863"/>
      <c r="CL120" s="4188">
        <f t="shared" si="668"/>
        <v>52.211402018481841</v>
      </c>
      <c r="CM120" s="2863"/>
    </row>
    <row r="121" spans="1:92" ht="18.75" customHeight="1" x14ac:dyDescent="0.3">
      <c r="A121" s="2879" t="s">
        <v>3747</v>
      </c>
      <c r="B121" s="2853">
        <f t="shared" si="934"/>
        <v>501.84872520792379</v>
      </c>
      <c r="C121" s="2853">
        <f t="shared" si="965"/>
        <v>499.19317458139955</v>
      </c>
      <c r="D121" s="2853">
        <f t="shared" si="966"/>
        <v>2.6555506265242488</v>
      </c>
      <c r="E121" s="2875">
        <f t="shared" si="946"/>
        <v>134.31695000000002</v>
      </c>
      <c r="F121" s="2956">
        <f>133.913+0.132+0.007</f>
        <v>134.05200000000002</v>
      </c>
      <c r="G121" s="2956">
        <v>0.26495000000000002</v>
      </c>
      <c r="H121" s="2875">
        <f t="shared" si="810"/>
        <v>145.083</v>
      </c>
      <c r="I121" s="2956">
        <v>144.73400000000001</v>
      </c>
      <c r="J121" s="2956">
        <v>0.34899999999999998</v>
      </c>
      <c r="K121" s="2875">
        <f t="shared" si="812"/>
        <v>272.25839999999999</v>
      </c>
      <c r="L121" s="2955">
        <v>271.64</v>
      </c>
      <c r="M121" s="2956">
        <v>0.61839999999999995</v>
      </c>
      <c r="N121" s="2875">
        <f t="shared" si="913"/>
        <v>551.65835000000004</v>
      </c>
      <c r="O121" s="2875">
        <f t="shared" si="974"/>
        <v>550.42600000000004</v>
      </c>
      <c r="P121" s="2875">
        <f t="shared" si="974"/>
        <v>1.2323499999999998</v>
      </c>
      <c r="Q121" s="2853">
        <f t="shared" si="844"/>
        <v>501.84872520792379</v>
      </c>
      <c r="R121" s="2853">
        <f t="shared" si="967"/>
        <v>499.19317458139955</v>
      </c>
      <c r="S121" s="2853">
        <f t="shared" si="968"/>
        <v>2.6555506265242488</v>
      </c>
      <c r="T121" s="2875">
        <f t="shared" si="817"/>
        <v>164.93057999999999</v>
      </c>
      <c r="U121" s="2955">
        <v>164.654</v>
      </c>
      <c r="V121" s="2956">
        <f>0.282-0.00542</f>
        <v>0.27657999999999999</v>
      </c>
      <c r="W121" s="2875">
        <f t="shared" si="819"/>
        <v>144.65299999999999</v>
      </c>
      <c r="X121" s="2955">
        <v>144.32</v>
      </c>
      <c r="Y121" s="2956">
        <v>0.33300000000000002</v>
      </c>
      <c r="Z121" s="2875">
        <f t="shared" si="821"/>
        <v>129.95000000000002</v>
      </c>
      <c r="AA121" s="2955">
        <v>129.59700000000001</v>
      </c>
      <c r="AB121" s="2956">
        <v>0.35299999999999998</v>
      </c>
      <c r="AC121" s="2875">
        <f t="shared" si="938"/>
        <v>439.53358000000003</v>
      </c>
      <c r="AD121" s="2875">
        <f t="shared" si="939"/>
        <v>438.57100000000003</v>
      </c>
      <c r="AE121" s="2875">
        <f t="shared" si="939"/>
        <v>0.96257999999999999</v>
      </c>
      <c r="AF121" s="2856">
        <f t="shared" si="852"/>
        <v>1003.6974504158476</v>
      </c>
      <c r="AG121" s="2856">
        <f t="shared" si="853"/>
        <v>998.38634916279909</v>
      </c>
      <c r="AH121" s="2856">
        <f t="shared" si="853"/>
        <v>5.3111012530484976</v>
      </c>
      <c r="AI121" s="2870">
        <f t="shared" si="918"/>
        <v>991.19193000000007</v>
      </c>
      <c r="AJ121" s="2870">
        <f t="shared" si="918"/>
        <v>988.99700000000007</v>
      </c>
      <c r="AK121" s="2870">
        <f t="shared" si="918"/>
        <v>2.1949299999999998</v>
      </c>
      <c r="AL121" s="2870">
        <f t="shared" si="954"/>
        <v>-12.505520415847514</v>
      </c>
      <c r="AM121" s="2870">
        <f t="shared" si="954"/>
        <v>-9.3893491627990215</v>
      </c>
      <c r="AN121" s="2870">
        <f t="shared" si="954"/>
        <v>-3.1161712530484977</v>
      </c>
      <c r="AO121" s="2853">
        <f t="shared" ref="AO121" si="975">SUM(AP121:AQ121)</f>
        <v>501.84872520792379</v>
      </c>
      <c r="AP121" s="2853">
        <f t="shared" si="969"/>
        <v>499.19317458139955</v>
      </c>
      <c r="AQ121" s="2853">
        <f t="shared" si="969"/>
        <v>2.6555506265242488</v>
      </c>
      <c r="AR121" s="2875">
        <f t="shared" si="826"/>
        <v>117.91800000000001</v>
      </c>
      <c r="AS121" s="2955">
        <v>117.643</v>
      </c>
      <c r="AT121" s="2956">
        <v>0.27500000000000002</v>
      </c>
      <c r="AU121" s="2875">
        <f t="shared" si="828"/>
        <v>60.663400000000003</v>
      </c>
      <c r="AV121" s="2955">
        <v>60.5</v>
      </c>
      <c r="AW121" s="2956">
        <v>0.16339999999999999</v>
      </c>
      <c r="AX121" s="2875">
        <f t="shared" si="830"/>
        <v>259.82599999999996</v>
      </c>
      <c r="AY121" s="2955">
        <v>259.17099999999999</v>
      </c>
      <c r="AZ121" s="2956">
        <v>0.65500000000000003</v>
      </c>
      <c r="BA121" s="2875">
        <f t="shared" si="923"/>
        <v>438.40739999999994</v>
      </c>
      <c r="BB121" s="2875">
        <f t="shared" si="924"/>
        <v>437.31399999999996</v>
      </c>
      <c r="BC121" s="2875">
        <f t="shared" si="924"/>
        <v>1.0933999999999999</v>
      </c>
      <c r="BD121" s="2856">
        <f t="shared" si="741"/>
        <v>1505.5461756237714</v>
      </c>
      <c r="BE121" s="2856">
        <f t="shared" si="742"/>
        <v>1497.5795237441987</v>
      </c>
      <c r="BF121" s="2856">
        <f t="shared" si="742"/>
        <v>7.9666518795727459</v>
      </c>
      <c r="BG121" s="2870">
        <f t="shared" si="925"/>
        <v>1429.59933</v>
      </c>
      <c r="BH121" s="2870">
        <f t="shared" si="925"/>
        <v>1426.3110000000001</v>
      </c>
      <c r="BI121" s="2870">
        <f t="shared" si="925"/>
        <v>3.2883299999999998</v>
      </c>
      <c r="BJ121" s="2870">
        <f t="shared" si="959"/>
        <v>-75.946845623771424</v>
      </c>
      <c r="BK121" s="2870">
        <f t="shared" si="959"/>
        <v>-71.268523744198546</v>
      </c>
      <c r="BL121" s="2870">
        <f t="shared" si="959"/>
        <v>-4.6783218795727457</v>
      </c>
      <c r="BM121" s="2853">
        <f t="shared" si="970"/>
        <v>501.84872520792379</v>
      </c>
      <c r="BN121" s="2853">
        <f t="shared" si="971"/>
        <v>499.19317458139955</v>
      </c>
      <c r="BO121" s="2853">
        <f t="shared" si="972"/>
        <v>2.6555506265242488</v>
      </c>
      <c r="BP121" s="2875">
        <f t="shared" si="835"/>
        <v>119.913</v>
      </c>
      <c r="BQ121" s="2955">
        <v>119.562</v>
      </c>
      <c r="BR121" s="2956">
        <v>0.35099999999999998</v>
      </c>
      <c r="BS121" s="2875">
        <f t="shared" si="837"/>
        <v>151.53400000000002</v>
      </c>
      <c r="BT121" s="2955">
        <v>151.17400000000001</v>
      </c>
      <c r="BU121" s="2956">
        <v>0.36</v>
      </c>
      <c r="BV121" s="2875">
        <f t="shared" si="839"/>
        <v>135.90589</v>
      </c>
      <c r="BW121" s="2955">
        <v>135.45400000000001</v>
      </c>
      <c r="BX121" s="2956">
        <v>0.45189000000000001</v>
      </c>
      <c r="BY121" s="2875">
        <f t="shared" si="930"/>
        <v>407.35289</v>
      </c>
      <c r="BZ121" s="2875">
        <f t="shared" si="931"/>
        <v>406.19</v>
      </c>
      <c r="CA121" s="2875">
        <f t="shared" si="931"/>
        <v>1.16289</v>
      </c>
      <c r="CB121" s="2856">
        <f t="shared" si="973"/>
        <v>2007.3949008316952</v>
      </c>
      <c r="CC121" s="2856">
        <f>SUM(CC115-CC116-CC117-CC118-CC119-CC120)</f>
        <v>1996.7726983255982</v>
      </c>
      <c r="CD121" s="2856">
        <f>SUM(CD115-CD116-CD117-CD118-CD119-CD120)</f>
        <v>10.622202506096995</v>
      </c>
      <c r="CE121" s="2870">
        <f t="shared" si="932"/>
        <v>1836.9522200000001</v>
      </c>
      <c r="CF121" s="2991">
        <f t="shared" si="932"/>
        <v>1832.5010000000002</v>
      </c>
      <c r="CG121" s="2991">
        <f t="shared" si="932"/>
        <v>4.4512199999999993</v>
      </c>
      <c r="CH121" s="2870">
        <f t="shared" si="933"/>
        <v>-170.44268083169504</v>
      </c>
      <c r="CI121" s="2870">
        <f t="shared" si="933"/>
        <v>-164.27169832559798</v>
      </c>
      <c r="CJ121" s="2870">
        <f t="shared" si="933"/>
        <v>-6.1709825060969958</v>
      </c>
      <c r="CK121" s="2863"/>
      <c r="CL121" s="4188">
        <f t="shared" si="668"/>
        <v>2007.3949008316952</v>
      </c>
      <c r="CM121" s="2863"/>
    </row>
    <row r="122" spans="1:92" ht="18.75" customHeight="1" x14ac:dyDescent="0.3">
      <c r="A122" s="2914" t="s">
        <v>3800</v>
      </c>
      <c r="B122" s="2845">
        <f t="shared" ref="B122" si="976">SUM(C122:D122)</f>
        <v>0</v>
      </c>
      <c r="C122" s="2845">
        <f t="shared" ref="C122:D122" si="977">SUM(CC122/4)</f>
        <v>0</v>
      </c>
      <c r="D122" s="2845">
        <f t="shared" si="977"/>
        <v>0</v>
      </c>
      <c r="E122" s="2865">
        <f t="shared" si="946"/>
        <v>0</v>
      </c>
      <c r="F122" s="2924"/>
      <c r="G122" s="2924"/>
      <c r="H122" s="2865">
        <f t="shared" si="810"/>
        <v>0</v>
      </c>
      <c r="I122" s="2924"/>
      <c r="J122" s="2924"/>
      <c r="K122" s="2865">
        <f t="shared" si="812"/>
        <v>0</v>
      </c>
      <c r="L122" s="2924"/>
      <c r="M122" s="2924"/>
      <c r="N122" s="2865">
        <f t="shared" si="913"/>
        <v>0</v>
      </c>
      <c r="O122" s="2865">
        <f t="shared" si="974"/>
        <v>0</v>
      </c>
      <c r="P122" s="2865">
        <f t="shared" si="974"/>
        <v>0</v>
      </c>
      <c r="Q122" s="2845">
        <f t="shared" ref="Q122" si="978">SUM(R122:S122)</f>
        <v>0</v>
      </c>
      <c r="R122" s="2845">
        <f t="shared" si="967"/>
        <v>0</v>
      </c>
      <c r="S122" s="2845">
        <f t="shared" si="968"/>
        <v>0</v>
      </c>
      <c r="T122" s="2865">
        <f t="shared" si="817"/>
        <v>0</v>
      </c>
      <c r="U122" s="2924"/>
      <c r="V122" s="2915"/>
      <c r="W122" s="2865">
        <f t="shared" si="819"/>
        <v>0</v>
      </c>
      <c r="X122" s="2924"/>
      <c r="Y122" s="2924"/>
      <c r="Z122" s="2865">
        <f t="shared" si="821"/>
        <v>0</v>
      </c>
      <c r="AA122" s="2924"/>
      <c r="AB122" s="2924"/>
      <c r="AC122" s="2865">
        <f t="shared" si="938"/>
        <v>0</v>
      </c>
      <c r="AD122" s="2865">
        <f t="shared" si="939"/>
        <v>0</v>
      </c>
      <c r="AE122" s="2865">
        <f t="shared" si="939"/>
        <v>0</v>
      </c>
      <c r="AF122" s="2846">
        <f t="shared" si="852"/>
        <v>0</v>
      </c>
      <c r="AG122" s="2846">
        <f t="shared" si="853"/>
        <v>0</v>
      </c>
      <c r="AH122" s="2846">
        <f t="shared" si="853"/>
        <v>0</v>
      </c>
      <c r="AI122" s="2867">
        <f t="shared" si="918"/>
        <v>0</v>
      </c>
      <c r="AJ122" s="2867">
        <f t="shared" si="918"/>
        <v>0</v>
      </c>
      <c r="AK122" s="2867">
        <f t="shared" si="918"/>
        <v>0</v>
      </c>
      <c r="AL122" s="2867">
        <f t="shared" si="954"/>
        <v>0</v>
      </c>
      <c r="AM122" s="2867">
        <f t="shared" si="954"/>
        <v>0</v>
      </c>
      <c r="AN122" s="2867">
        <f t="shared" si="954"/>
        <v>0</v>
      </c>
      <c r="AO122" s="2845">
        <f t="shared" ref="AO122:AO123" si="979">SUM(AP122:AQ122)</f>
        <v>0</v>
      </c>
      <c r="AP122" s="2845">
        <f t="shared" si="969"/>
        <v>0</v>
      </c>
      <c r="AQ122" s="2845">
        <f t="shared" si="969"/>
        <v>0</v>
      </c>
      <c r="AR122" s="2865">
        <f t="shared" si="826"/>
        <v>0</v>
      </c>
      <c r="AS122" s="2924"/>
      <c r="AT122" s="2915"/>
      <c r="AU122" s="2865">
        <f t="shared" si="828"/>
        <v>0</v>
      </c>
      <c r="AV122" s="2924"/>
      <c r="AW122" s="2924"/>
      <c r="AX122" s="2865">
        <f t="shared" si="830"/>
        <v>0</v>
      </c>
      <c r="AY122" s="2924"/>
      <c r="AZ122" s="2924"/>
      <c r="BA122" s="2865">
        <f t="shared" si="923"/>
        <v>0</v>
      </c>
      <c r="BB122" s="2865">
        <f t="shared" si="924"/>
        <v>0</v>
      </c>
      <c r="BC122" s="2865">
        <f t="shared" si="924"/>
        <v>0</v>
      </c>
      <c r="BD122" s="2846">
        <f t="shared" si="741"/>
        <v>0</v>
      </c>
      <c r="BE122" s="2846">
        <f t="shared" si="742"/>
        <v>0</v>
      </c>
      <c r="BF122" s="2846">
        <f t="shared" si="742"/>
        <v>0</v>
      </c>
      <c r="BG122" s="2867">
        <f t="shared" si="925"/>
        <v>0</v>
      </c>
      <c r="BH122" s="2867">
        <f t="shared" si="925"/>
        <v>0</v>
      </c>
      <c r="BI122" s="2867">
        <f t="shared" si="925"/>
        <v>0</v>
      </c>
      <c r="BJ122" s="2867">
        <f t="shared" si="959"/>
        <v>0</v>
      </c>
      <c r="BK122" s="2867">
        <f t="shared" si="959"/>
        <v>0</v>
      </c>
      <c r="BL122" s="2867">
        <f t="shared" si="959"/>
        <v>0</v>
      </c>
      <c r="BM122" s="2845">
        <f t="shared" si="970"/>
        <v>0</v>
      </c>
      <c r="BN122" s="2845">
        <f t="shared" si="971"/>
        <v>0</v>
      </c>
      <c r="BO122" s="2845">
        <f t="shared" si="972"/>
        <v>0</v>
      </c>
      <c r="BP122" s="2865">
        <f t="shared" si="835"/>
        <v>0</v>
      </c>
      <c r="BQ122" s="2924"/>
      <c r="BR122" s="2915"/>
      <c r="BS122" s="2865">
        <f t="shared" si="837"/>
        <v>0</v>
      </c>
      <c r="BT122" s="2924"/>
      <c r="BU122" s="2915"/>
      <c r="BV122" s="2865">
        <f t="shared" si="839"/>
        <v>0</v>
      </c>
      <c r="BW122" s="2924"/>
      <c r="BX122" s="2924"/>
      <c r="BY122" s="2865">
        <f t="shared" si="930"/>
        <v>0</v>
      </c>
      <c r="BZ122" s="2865">
        <f t="shared" si="931"/>
        <v>0</v>
      </c>
      <c r="CA122" s="2865">
        <f t="shared" si="931"/>
        <v>0</v>
      </c>
      <c r="CB122" s="2846">
        <f t="shared" si="669"/>
        <v>0</v>
      </c>
      <c r="CC122" s="2982">
        <v>0</v>
      </c>
      <c r="CD122" s="2982">
        <v>0</v>
      </c>
      <c r="CE122" s="2867">
        <f t="shared" si="932"/>
        <v>0</v>
      </c>
      <c r="CF122" s="2982">
        <f t="shared" si="932"/>
        <v>0</v>
      </c>
      <c r="CG122" s="2982">
        <f t="shared" si="932"/>
        <v>0</v>
      </c>
      <c r="CH122" s="2867">
        <f t="shared" si="933"/>
        <v>0</v>
      </c>
      <c r="CI122" s="2867">
        <f t="shared" si="933"/>
        <v>0</v>
      </c>
      <c r="CJ122" s="2867">
        <f t="shared" si="933"/>
        <v>0</v>
      </c>
      <c r="CK122" s="2863"/>
      <c r="CL122" s="4188">
        <f t="shared" si="668"/>
        <v>0</v>
      </c>
      <c r="CM122" s="2863"/>
    </row>
    <row r="123" spans="1:92" ht="18.75" customHeight="1" x14ac:dyDescent="0.3">
      <c r="A123" s="2914" t="s">
        <v>3749</v>
      </c>
      <c r="B123" s="2845">
        <f t="shared" ref="B123:B124" si="980">SUM(C123:D123)</f>
        <v>0</v>
      </c>
      <c r="C123" s="2845">
        <f t="shared" ref="C123" si="981">SUM(CC123/4)</f>
        <v>0</v>
      </c>
      <c r="D123" s="2845">
        <f t="shared" ref="D123" si="982">SUM(CD123/4)</f>
        <v>0</v>
      </c>
      <c r="E123" s="2865">
        <f t="shared" si="946"/>
        <v>0</v>
      </c>
      <c r="F123" s="2947"/>
      <c r="G123" s="2947"/>
      <c r="H123" s="2865">
        <f t="shared" si="810"/>
        <v>0</v>
      </c>
      <c r="I123" s="2947"/>
      <c r="J123" s="2947"/>
      <c r="K123" s="2865">
        <f t="shared" si="812"/>
        <v>0</v>
      </c>
      <c r="L123" s="2947"/>
      <c r="M123" s="2947"/>
      <c r="N123" s="2865">
        <f t="shared" si="913"/>
        <v>0</v>
      </c>
      <c r="O123" s="2865">
        <f t="shared" si="974"/>
        <v>0</v>
      </c>
      <c r="P123" s="2865">
        <f t="shared" si="974"/>
        <v>0</v>
      </c>
      <c r="Q123" s="2845">
        <f t="shared" ref="Q123" si="983">SUM(R123:S123)</f>
        <v>0</v>
      </c>
      <c r="R123" s="2845">
        <f t="shared" si="967"/>
        <v>0</v>
      </c>
      <c r="S123" s="2845">
        <f t="shared" si="968"/>
        <v>0</v>
      </c>
      <c r="T123" s="2865">
        <f t="shared" si="817"/>
        <v>0</v>
      </c>
      <c r="U123" s="2947"/>
      <c r="V123" s="2948"/>
      <c r="W123" s="2865">
        <f t="shared" si="819"/>
        <v>0</v>
      </c>
      <c r="X123" s="2947"/>
      <c r="Y123" s="2947"/>
      <c r="Z123" s="2865">
        <f t="shared" si="821"/>
        <v>0</v>
      </c>
      <c r="AA123" s="2947"/>
      <c r="AB123" s="2947"/>
      <c r="AC123" s="2865">
        <f t="shared" si="938"/>
        <v>0</v>
      </c>
      <c r="AD123" s="2865">
        <f t="shared" si="939"/>
        <v>0</v>
      </c>
      <c r="AE123" s="2865">
        <f t="shared" si="939"/>
        <v>0</v>
      </c>
      <c r="AF123" s="2846">
        <f t="shared" si="852"/>
        <v>0</v>
      </c>
      <c r="AG123" s="2846">
        <f t="shared" si="853"/>
        <v>0</v>
      </c>
      <c r="AH123" s="2846">
        <f t="shared" si="853"/>
        <v>0</v>
      </c>
      <c r="AI123" s="2867">
        <f t="shared" si="918"/>
        <v>0</v>
      </c>
      <c r="AJ123" s="2867">
        <f t="shared" si="918"/>
        <v>0</v>
      </c>
      <c r="AK123" s="2867">
        <f t="shared" si="918"/>
        <v>0</v>
      </c>
      <c r="AL123" s="2867">
        <f t="shared" si="954"/>
        <v>0</v>
      </c>
      <c r="AM123" s="2867">
        <f t="shared" si="954"/>
        <v>0</v>
      </c>
      <c r="AN123" s="2867">
        <f t="shared" si="954"/>
        <v>0</v>
      </c>
      <c r="AO123" s="2845">
        <f t="shared" si="979"/>
        <v>0</v>
      </c>
      <c r="AP123" s="2845">
        <f t="shared" si="969"/>
        <v>0</v>
      </c>
      <c r="AQ123" s="2845">
        <f t="shared" si="969"/>
        <v>0</v>
      </c>
      <c r="AR123" s="2865">
        <f t="shared" si="826"/>
        <v>0</v>
      </c>
      <c r="AS123" s="2947"/>
      <c r="AT123" s="2948"/>
      <c r="AU123" s="2865">
        <f t="shared" si="828"/>
        <v>0</v>
      </c>
      <c r="AV123" s="2947"/>
      <c r="AW123" s="2947"/>
      <c r="AX123" s="2865">
        <f t="shared" si="830"/>
        <v>0</v>
      </c>
      <c r="AY123" s="2947"/>
      <c r="AZ123" s="2947"/>
      <c r="BA123" s="2865">
        <f t="shared" si="923"/>
        <v>0</v>
      </c>
      <c r="BB123" s="2865">
        <f t="shared" si="924"/>
        <v>0</v>
      </c>
      <c r="BC123" s="2865">
        <f t="shared" si="924"/>
        <v>0</v>
      </c>
      <c r="BD123" s="2846">
        <f t="shared" si="741"/>
        <v>0</v>
      </c>
      <c r="BE123" s="2846">
        <f t="shared" si="742"/>
        <v>0</v>
      </c>
      <c r="BF123" s="2846">
        <f t="shared" si="742"/>
        <v>0</v>
      </c>
      <c r="BG123" s="2867">
        <f t="shared" si="925"/>
        <v>0</v>
      </c>
      <c r="BH123" s="2867">
        <f t="shared" si="925"/>
        <v>0</v>
      </c>
      <c r="BI123" s="2867">
        <f t="shared" si="925"/>
        <v>0</v>
      </c>
      <c r="BJ123" s="2867">
        <f t="shared" si="959"/>
        <v>0</v>
      </c>
      <c r="BK123" s="2867">
        <f t="shared" si="959"/>
        <v>0</v>
      </c>
      <c r="BL123" s="2867">
        <f t="shared" si="959"/>
        <v>0</v>
      </c>
      <c r="BM123" s="2845">
        <f t="shared" si="970"/>
        <v>0</v>
      </c>
      <c r="BN123" s="2845">
        <f t="shared" si="971"/>
        <v>0</v>
      </c>
      <c r="BO123" s="2845">
        <f t="shared" si="972"/>
        <v>0</v>
      </c>
      <c r="BP123" s="2865">
        <f t="shared" si="835"/>
        <v>0</v>
      </c>
      <c r="BQ123" s="2947"/>
      <c r="BR123" s="2948"/>
      <c r="BS123" s="2865">
        <f t="shared" si="837"/>
        <v>0</v>
      </c>
      <c r="BT123" s="2947"/>
      <c r="BU123" s="2948"/>
      <c r="BV123" s="2865">
        <f t="shared" si="839"/>
        <v>0</v>
      </c>
      <c r="BW123" s="2947"/>
      <c r="BX123" s="2947"/>
      <c r="BY123" s="2865">
        <f t="shared" si="930"/>
        <v>0</v>
      </c>
      <c r="BZ123" s="2865">
        <f t="shared" si="931"/>
        <v>0</v>
      </c>
      <c r="CA123" s="2865">
        <f t="shared" si="931"/>
        <v>0</v>
      </c>
      <c r="CB123" s="2846">
        <f t="shared" si="669"/>
        <v>0</v>
      </c>
      <c r="CC123" s="2982">
        <f>SUM(стоки!DA47)</f>
        <v>0</v>
      </c>
      <c r="CD123" s="2982">
        <v>0</v>
      </c>
      <c r="CE123" s="2867">
        <f t="shared" si="932"/>
        <v>0</v>
      </c>
      <c r="CF123" s="2982">
        <f t="shared" si="932"/>
        <v>0</v>
      </c>
      <c r="CG123" s="2982">
        <f t="shared" si="932"/>
        <v>0</v>
      </c>
      <c r="CH123" s="2867">
        <f t="shared" si="933"/>
        <v>0</v>
      </c>
      <c r="CI123" s="2867">
        <f t="shared" si="933"/>
        <v>0</v>
      </c>
      <c r="CJ123" s="2867">
        <f t="shared" si="933"/>
        <v>0</v>
      </c>
      <c r="CK123" s="2863"/>
      <c r="CL123" s="4188">
        <f t="shared" si="668"/>
        <v>0</v>
      </c>
      <c r="CM123" s="2863"/>
    </row>
    <row r="124" spans="1:92" ht="18.75" customHeight="1" x14ac:dyDescent="0.3">
      <c r="A124" s="2910" t="s">
        <v>12</v>
      </c>
      <c r="B124" s="2837">
        <f t="shared" si="980"/>
        <v>25176.410669338384</v>
      </c>
      <c r="C124" s="2959">
        <f>SUM(C21+C40+C75+C94+C111+C115+C122+C123)</f>
        <v>25107.923092768771</v>
      </c>
      <c r="D124" s="2959">
        <f>SUM(D21+D40+D75+D94+D111+D115+D122+D123)</f>
        <v>68.487576569614106</v>
      </c>
      <c r="E124" s="2861">
        <f t="shared" si="946"/>
        <v>6837.0297899999996</v>
      </c>
      <c r="F124" s="2861">
        <f t="shared" ref="F124:G124" si="984">SUM(F21+F40+F75+F94+F111+F115+F122+F123)</f>
        <v>6827.0944899999995</v>
      </c>
      <c r="G124" s="2959">
        <f t="shared" si="984"/>
        <v>9.9352999999999998</v>
      </c>
      <c r="H124" s="2959">
        <f t="shared" si="810"/>
        <v>6960.8995599999998</v>
      </c>
      <c r="I124" s="2959">
        <f t="shared" ref="I124:J124" si="985">SUM(I21+I40+I75+I94+I111+I115+I122+I123)</f>
        <v>6948.4512999999997</v>
      </c>
      <c r="J124" s="2959">
        <f t="shared" si="985"/>
        <v>12.448260000000001</v>
      </c>
      <c r="K124" s="2861">
        <f t="shared" si="812"/>
        <v>7887.9431699999996</v>
      </c>
      <c r="L124" s="2861">
        <f t="shared" ref="L124:M124" si="986">SUM(L21+L40+L75+L94+L111+L115+L122+L123)</f>
        <v>7866.4273999999996</v>
      </c>
      <c r="M124" s="2959">
        <f t="shared" si="986"/>
        <v>21.51577</v>
      </c>
      <c r="N124" s="2959">
        <f t="shared" ref="N124" si="987">SUM(O124:P124)</f>
        <v>21685.872520000001</v>
      </c>
      <c r="O124" s="2959">
        <f t="shared" ref="O124" si="988">SUM(F124+I124+L124)</f>
        <v>21641.973190000001</v>
      </c>
      <c r="P124" s="2959">
        <f t="shared" ref="P124:P125" si="989">SUM(G124+J124+M124)</f>
        <v>43.899330000000006</v>
      </c>
      <c r="Q124" s="2959">
        <f>SUM(Q21+Q40+Q75+Q94+Q111+Q115+Q122+Q123)</f>
        <v>25176.410669338384</v>
      </c>
      <c r="R124" s="2959">
        <f>SUM(R21+R40+R75+R94+R111+R115+R122+R123)</f>
        <v>25107.923092768771</v>
      </c>
      <c r="S124" s="2959">
        <f>SUM(S21+S40+S75+S94+S111+S115+S122+S123)</f>
        <v>68.487576569614106</v>
      </c>
      <c r="T124" s="2861">
        <f t="shared" si="817"/>
        <v>7734.77718</v>
      </c>
      <c r="U124" s="2861">
        <f t="shared" ref="U124:V124" si="990">SUM(U21+U40+U75+U94+U111+U115+U122+U123)</f>
        <v>7717.8580000000002</v>
      </c>
      <c r="V124" s="2959">
        <f t="shared" si="990"/>
        <v>16.919180000000001</v>
      </c>
      <c r="W124" s="2861">
        <f t="shared" si="819"/>
        <v>8201.4269699999986</v>
      </c>
      <c r="X124" s="2861">
        <f t="shared" ref="X124:Y124" si="991">SUM(X21+X40+X75+X94+X111+X115+X122+X123)</f>
        <v>8186.1819999999989</v>
      </c>
      <c r="Y124" s="2861">
        <f t="shared" si="991"/>
        <v>15.24497</v>
      </c>
      <c r="Z124" s="2861">
        <f t="shared" si="821"/>
        <v>7019.1312999999991</v>
      </c>
      <c r="AA124" s="2959">
        <f t="shared" ref="AA124:AB124" si="992">SUM(AA21+AA40+AA75+AA94+AA111+AA115+AA122+AA123)</f>
        <v>7007.1709999999994</v>
      </c>
      <c r="AB124" s="2959">
        <f t="shared" si="992"/>
        <v>11.9603</v>
      </c>
      <c r="AC124" s="2861">
        <f t="shared" si="938"/>
        <v>22955.335449999999</v>
      </c>
      <c r="AD124" s="2861">
        <f t="shared" si="939"/>
        <v>22911.210999999999</v>
      </c>
      <c r="AE124" s="2861">
        <f t="shared" si="939"/>
        <v>44.124449999999996</v>
      </c>
      <c r="AF124" s="2839">
        <f t="shared" si="852"/>
        <v>50352.821338676767</v>
      </c>
      <c r="AG124" s="2839">
        <f t="shared" si="853"/>
        <v>50215.846185537543</v>
      </c>
      <c r="AH124" s="2839">
        <f t="shared" si="853"/>
        <v>136.97515313922821</v>
      </c>
      <c r="AI124" s="2862">
        <f t="shared" si="918"/>
        <v>44641.207970000003</v>
      </c>
      <c r="AJ124" s="2862">
        <f t="shared" si="918"/>
        <v>44553.18419</v>
      </c>
      <c r="AK124" s="2862">
        <f t="shared" si="918"/>
        <v>88.023780000000002</v>
      </c>
      <c r="AL124" s="2862">
        <f t="shared" si="954"/>
        <v>-5711.6133686767644</v>
      </c>
      <c r="AM124" s="2862">
        <f t="shared" si="954"/>
        <v>-5662.6619955375427</v>
      </c>
      <c r="AN124" s="2862">
        <f t="shared" si="954"/>
        <v>-48.95137313922821</v>
      </c>
      <c r="AO124" s="2959">
        <f>SUM(AO21+AO40+AO75+AO94+AO111+AO115+AO122+AO123)</f>
        <v>25258.941652080899</v>
      </c>
      <c r="AP124" s="2959">
        <f>SUM(AP21+AP40+AP75+AP94+AP111+AP115+AP122+AP123)</f>
        <v>25189.707091282002</v>
      </c>
      <c r="AQ124" s="2959">
        <f>SUM(AQ21+AQ40+AQ75+AQ94+AQ111+AQ115+AQ122+AQ123)</f>
        <v>69.234560798899309</v>
      </c>
      <c r="AR124" s="2861">
        <f t="shared" si="826"/>
        <v>7654.8623699999998</v>
      </c>
      <c r="AS124" s="2959">
        <f t="shared" ref="AS124:AT124" si="993">SUM(AS21+AS40+AS75+AS94+AS111+AS115+AS122+AS123)</f>
        <v>7641.3670000000002</v>
      </c>
      <c r="AT124" s="2959">
        <f t="shared" si="993"/>
        <v>13.495369999999999</v>
      </c>
      <c r="AU124" s="2959">
        <f t="shared" si="828"/>
        <v>8095.7349000000004</v>
      </c>
      <c r="AV124" s="2959">
        <f t="shared" ref="AV124:AW124" si="994">SUM(AV21+AV40+AV75+AV94+AV111+AV115+AV122+AV123)</f>
        <v>8080.4040000000005</v>
      </c>
      <c r="AW124" s="2959">
        <f t="shared" si="994"/>
        <v>15.3309</v>
      </c>
      <c r="AX124" s="2861">
        <f t="shared" si="830"/>
        <v>8184.3488000000016</v>
      </c>
      <c r="AY124" s="2861">
        <f t="shared" ref="AY124:AZ124" si="995">SUM(AY21+AY40+AY75+AY94+AY111+AY115+AY122+AY123)</f>
        <v>8169.2110000000011</v>
      </c>
      <c r="AZ124" s="2861">
        <f t="shared" si="995"/>
        <v>15.137799999999999</v>
      </c>
      <c r="BA124" s="2861">
        <f t="shared" si="923"/>
        <v>23934.946070000005</v>
      </c>
      <c r="BB124" s="2861">
        <f t="shared" si="924"/>
        <v>23890.982000000004</v>
      </c>
      <c r="BC124" s="2861">
        <f t="shared" si="924"/>
        <v>43.96407</v>
      </c>
      <c r="BD124" s="2839">
        <f t="shared" si="741"/>
        <v>75611.762990757663</v>
      </c>
      <c r="BE124" s="2839">
        <f t="shared" si="742"/>
        <v>75405.553276819541</v>
      </c>
      <c r="BF124" s="2839">
        <f t="shared" si="742"/>
        <v>206.20971393812752</v>
      </c>
      <c r="BG124" s="2862">
        <f t="shared" si="925"/>
        <v>68576.154040000009</v>
      </c>
      <c r="BH124" s="2862">
        <f t="shared" si="925"/>
        <v>68444.166190000004</v>
      </c>
      <c r="BI124" s="2862">
        <f t="shared" si="925"/>
        <v>131.98785000000001</v>
      </c>
      <c r="BJ124" s="2862">
        <f t="shared" si="959"/>
        <v>-7035.6089507576544</v>
      </c>
      <c r="BK124" s="2862">
        <f t="shared" si="959"/>
        <v>-6961.3870868195372</v>
      </c>
      <c r="BL124" s="2862">
        <f t="shared" si="959"/>
        <v>-74.221863938127512</v>
      </c>
      <c r="BM124" s="2959">
        <f>SUM(BM21+BM40+BM75+BM94+BM111+BM115+BM122+BM123)</f>
        <v>25258.941652080899</v>
      </c>
      <c r="BN124" s="2959">
        <f>SUM(BN21+BN40+BN75+BN94+BN111+BN115+BN122+BN123)</f>
        <v>25189.707091282002</v>
      </c>
      <c r="BO124" s="2959">
        <f>SUM(BO21+BO40+BO75+BO94+BO111+BO115+BO122+BO123)</f>
        <v>69.234560798899309</v>
      </c>
      <c r="BP124" s="2861">
        <f t="shared" si="835"/>
        <v>7112.7985799999988</v>
      </c>
      <c r="BQ124" s="2861">
        <f t="shared" ref="BQ124:BR124" si="996">SUM(BQ21+BQ40+BQ75+BQ94+BQ111+BQ115+BQ122+BQ123)</f>
        <v>7096.9636699999992</v>
      </c>
      <c r="BR124" s="2861">
        <f t="shared" si="996"/>
        <v>15.834909999999999</v>
      </c>
      <c r="BS124" s="2861">
        <f t="shared" si="837"/>
        <v>7294.1870200000003</v>
      </c>
      <c r="BT124" s="2861">
        <f t="shared" ref="BT124:BU124" si="997">SUM(BT21+BT40+BT75+BT94+BT111+BT115+BT122+BT123)</f>
        <v>7280.5349999999999</v>
      </c>
      <c r="BU124" s="2959">
        <f t="shared" si="997"/>
        <v>13.65202</v>
      </c>
      <c r="BV124" s="2861">
        <f t="shared" si="839"/>
        <v>9428.1976400000003</v>
      </c>
      <c r="BW124" s="2861">
        <f t="shared" ref="BW124:BX124" si="998">SUM(BW21+BW40+BW75+BW94+BW111+BW115+BW122+BW123)</f>
        <v>9402.0210000000006</v>
      </c>
      <c r="BX124" s="2861">
        <f t="shared" si="998"/>
        <v>26.176640000000003</v>
      </c>
      <c r="BY124" s="2861">
        <f t="shared" si="930"/>
        <v>23835.183240000002</v>
      </c>
      <c r="BZ124" s="2861">
        <f t="shared" si="931"/>
        <v>23779.519670000001</v>
      </c>
      <c r="CA124" s="2861">
        <f t="shared" si="931"/>
        <v>55.663570000000007</v>
      </c>
      <c r="CB124" s="2961">
        <f>SUM(CB21+CB40+CB75+CB94+CB111+CB115+CB122+CB123)</f>
        <v>100870.7046716</v>
      </c>
      <c r="CC124" s="2961">
        <f>SUM(CC21+CC40+CC75+CC94+CC111+CC115+CC122+CC123)</f>
        <v>100595.26039686298</v>
      </c>
      <c r="CD124" s="2961">
        <f>SUM(CD21+CD40+CD75+CD94+CD111+CD115+CD122+CD123)</f>
        <v>275.44427473702683</v>
      </c>
      <c r="CE124" s="2862">
        <f t="shared" si="932"/>
        <v>92411.337280000007</v>
      </c>
      <c r="CF124" s="2981">
        <f t="shared" si="932"/>
        <v>92223.685859999998</v>
      </c>
      <c r="CG124" s="2981">
        <f t="shared" si="932"/>
        <v>187.65142000000003</v>
      </c>
      <c r="CH124" s="2862">
        <f t="shared" si="933"/>
        <v>-8459.3673915999971</v>
      </c>
      <c r="CI124" s="2862">
        <f t="shared" si="933"/>
        <v>-8371.5745368629869</v>
      </c>
      <c r="CJ124" s="2862">
        <f t="shared" si="933"/>
        <v>-87.792854737026801</v>
      </c>
      <c r="CK124" s="2863"/>
      <c r="CL124" s="4188">
        <f t="shared" si="668"/>
        <v>100870.70464283857</v>
      </c>
      <c r="CM124" s="2863"/>
    </row>
    <row r="125" spans="1:92" ht="18.75" customHeight="1" x14ac:dyDescent="0.3">
      <c r="A125" s="2910" t="s">
        <v>13</v>
      </c>
      <c r="B125" s="2959">
        <f>SUM(B9)</f>
        <v>711.10124999999994</v>
      </c>
      <c r="C125" s="2959">
        <f t="shared" ref="C125:D125" si="999">SUM(C9)</f>
        <v>706.68449999999996</v>
      </c>
      <c r="D125" s="2959">
        <f t="shared" si="999"/>
        <v>4.4167500000000004</v>
      </c>
      <c r="E125" s="2861">
        <f>SUM(E9)</f>
        <v>261.28100000000001</v>
      </c>
      <c r="F125" s="2861">
        <f t="shared" ref="F125:G125" si="1000">SUM(F9)</f>
        <v>261.07100000000003</v>
      </c>
      <c r="G125" s="2861">
        <f t="shared" si="1000"/>
        <v>0.21</v>
      </c>
      <c r="H125" s="2959">
        <f>SUM(H9)</f>
        <v>264.26599999999996</v>
      </c>
      <c r="I125" s="2959">
        <f t="shared" ref="I125:J125" si="1001">SUM(I9)</f>
        <v>264.02999999999997</v>
      </c>
      <c r="J125" s="2959">
        <f t="shared" si="1001"/>
        <v>0.23599999999999999</v>
      </c>
      <c r="K125" s="2861">
        <f>SUM(K9)</f>
        <v>261.25650000000002</v>
      </c>
      <c r="L125" s="2861">
        <f t="shared" ref="L125:M125" si="1002">SUM(L9)</f>
        <v>258.37</v>
      </c>
      <c r="M125" s="2861">
        <f t="shared" si="1002"/>
        <v>2.8864999999999998</v>
      </c>
      <c r="N125" s="2959">
        <f t="shared" ref="N125" si="1003">SUM(O125:P125)</f>
        <v>786.80349999999999</v>
      </c>
      <c r="O125" s="2959">
        <f t="shared" ref="O125" si="1004">SUM(F125+I125+L125)</f>
        <v>783.471</v>
      </c>
      <c r="P125" s="2959">
        <f t="shared" si="989"/>
        <v>3.3324999999999996</v>
      </c>
      <c r="Q125" s="2959">
        <f>SUM(Q9)</f>
        <v>711.10124999999994</v>
      </c>
      <c r="R125" s="2959">
        <f t="shared" ref="R125:S125" si="1005">SUM(R9)</f>
        <v>706.68449999999996</v>
      </c>
      <c r="S125" s="2959">
        <f t="shared" si="1005"/>
        <v>4.4167500000000004</v>
      </c>
      <c r="T125" s="2861">
        <f>SUM(T9)</f>
        <v>271.30174999999997</v>
      </c>
      <c r="U125" s="2861">
        <f t="shared" ref="U125:V125" si="1006">SUM(U9)</f>
        <v>270.56799999999998</v>
      </c>
      <c r="V125" s="2861">
        <f t="shared" si="1006"/>
        <v>0.73375000000000001</v>
      </c>
      <c r="W125" s="2861">
        <f>SUM(W9)</f>
        <v>260.84950000000003</v>
      </c>
      <c r="X125" s="2861">
        <f t="shared" ref="X125:Y125" si="1007">SUM(X9)</f>
        <v>260.58100000000002</v>
      </c>
      <c r="Y125" s="2861">
        <f t="shared" si="1007"/>
        <v>0.26850000000000002</v>
      </c>
      <c r="Z125" s="2861">
        <f>SUM(Z9)</f>
        <v>266.214</v>
      </c>
      <c r="AA125" s="2861">
        <f t="shared" ref="AA125:AB125" si="1008">SUM(AA9)</f>
        <v>263.11700000000002</v>
      </c>
      <c r="AB125" s="2861">
        <f t="shared" si="1008"/>
        <v>3.097</v>
      </c>
      <c r="AC125" s="2861">
        <f t="shared" si="938"/>
        <v>798.36525000000006</v>
      </c>
      <c r="AD125" s="2861">
        <f t="shared" si="939"/>
        <v>794.26600000000008</v>
      </c>
      <c r="AE125" s="2861">
        <f t="shared" si="939"/>
        <v>4.0992499999999996</v>
      </c>
      <c r="AF125" s="2839">
        <f t="shared" si="852"/>
        <v>1422.2024999999999</v>
      </c>
      <c r="AG125" s="2839">
        <f t="shared" si="853"/>
        <v>1413.3689999999999</v>
      </c>
      <c r="AH125" s="2839">
        <f t="shared" si="853"/>
        <v>8.8335000000000008</v>
      </c>
      <c r="AI125" s="2862">
        <f t="shared" si="918"/>
        <v>1585.16875</v>
      </c>
      <c r="AJ125" s="2862">
        <f t="shared" si="918"/>
        <v>1577.7370000000001</v>
      </c>
      <c r="AK125" s="2862">
        <f t="shared" si="918"/>
        <v>7.4317499999999992</v>
      </c>
      <c r="AL125" s="2862">
        <f t="shared" si="954"/>
        <v>162.96625000000017</v>
      </c>
      <c r="AM125" s="2862">
        <f t="shared" si="954"/>
        <v>164.36800000000017</v>
      </c>
      <c r="AN125" s="2862">
        <f t="shared" si="954"/>
        <v>-1.4017500000000016</v>
      </c>
      <c r="AO125" s="2959">
        <f>SUM(AO9)</f>
        <v>711.10124999999994</v>
      </c>
      <c r="AP125" s="2959">
        <f t="shared" ref="AP125:AQ125" si="1009">SUM(AP9)</f>
        <v>706.68449999999996</v>
      </c>
      <c r="AQ125" s="2959">
        <f t="shared" si="1009"/>
        <v>4.4167500000000004</v>
      </c>
      <c r="AR125" s="2861">
        <f>SUM(AR9)</f>
        <v>238.05900000000003</v>
      </c>
      <c r="AS125" s="2861">
        <f t="shared" ref="AS125:AT125" si="1010">SUM(AS9)</f>
        <v>237.59300000000002</v>
      </c>
      <c r="AT125" s="2861">
        <f t="shared" si="1010"/>
        <v>0.46600000000000003</v>
      </c>
      <c r="AU125" s="2861">
        <f>SUM(AU9)</f>
        <v>251.54199999999997</v>
      </c>
      <c r="AV125" s="2861">
        <f t="shared" ref="AV125:AW125" si="1011">SUM(AV9)</f>
        <v>250.72699999999998</v>
      </c>
      <c r="AW125" s="2861">
        <f t="shared" si="1011"/>
        <v>0.81499999999999995</v>
      </c>
      <c r="AX125" s="2861">
        <f>SUM(AX9)</f>
        <v>252.58899999999997</v>
      </c>
      <c r="AY125" s="2861">
        <f t="shared" ref="AY125:AZ125" si="1012">SUM(AY9)</f>
        <v>249.69299999999998</v>
      </c>
      <c r="AZ125" s="2861">
        <f t="shared" si="1012"/>
        <v>2.8959999999999999</v>
      </c>
      <c r="BA125" s="2861">
        <f t="shared" si="923"/>
        <v>742.18999999999994</v>
      </c>
      <c r="BB125" s="2861">
        <f t="shared" si="924"/>
        <v>738.01299999999992</v>
      </c>
      <c r="BC125" s="2861">
        <f t="shared" si="924"/>
        <v>4.1769999999999996</v>
      </c>
      <c r="BD125" s="2839">
        <f t="shared" si="741"/>
        <v>2133.30375</v>
      </c>
      <c r="BE125" s="2839">
        <f t="shared" si="742"/>
        <v>2120.0535</v>
      </c>
      <c r="BF125" s="2839">
        <f t="shared" si="742"/>
        <v>13.250250000000001</v>
      </c>
      <c r="BG125" s="2862">
        <f t="shared" si="925"/>
        <v>2327.3587499999999</v>
      </c>
      <c r="BH125" s="2862">
        <f t="shared" si="925"/>
        <v>2315.75</v>
      </c>
      <c r="BI125" s="2862">
        <f t="shared" si="925"/>
        <v>11.608749999999999</v>
      </c>
      <c r="BJ125" s="2862">
        <f t="shared" si="959"/>
        <v>194.05499999999984</v>
      </c>
      <c r="BK125" s="2862">
        <f t="shared" si="959"/>
        <v>195.69650000000001</v>
      </c>
      <c r="BL125" s="2862">
        <f t="shared" si="959"/>
        <v>-1.6415000000000024</v>
      </c>
      <c r="BM125" s="2959">
        <f>SUM(BM9)</f>
        <v>711.10124999999994</v>
      </c>
      <c r="BN125" s="2959">
        <f t="shared" ref="BN125:BO125" si="1013">SUM(BN9)</f>
        <v>706.68449999999996</v>
      </c>
      <c r="BO125" s="2959">
        <f t="shared" si="1013"/>
        <v>4.4167500000000004</v>
      </c>
      <c r="BP125" s="2861">
        <f>SUM(BP9)</f>
        <v>256.726</v>
      </c>
      <c r="BQ125" s="2861">
        <f t="shared" ref="BQ125:BR125" si="1014">SUM(BQ9)</f>
        <v>255.59700000000001</v>
      </c>
      <c r="BR125" s="2861">
        <f t="shared" si="1014"/>
        <v>1.129</v>
      </c>
      <c r="BS125" s="2861">
        <f>SUM(BS9)</f>
        <v>250.44099999999997</v>
      </c>
      <c r="BT125" s="2861">
        <f t="shared" ref="BT125:BU125" si="1015">SUM(BT9)</f>
        <v>250.14499999999998</v>
      </c>
      <c r="BU125" s="2861">
        <f t="shared" si="1015"/>
        <v>0.29599999999999999</v>
      </c>
      <c r="BV125" s="2861">
        <f>SUM(BV9)</f>
        <v>269.55400000000003</v>
      </c>
      <c r="BW125" s="2861">
        <f t="shared" ref="BW125:BX125" si="1016">SUM(BW9)</f>
        <v>266.37</v>
      </c>
      <c r="BX125" s="2861">
        <f t="shared" si="1016"/>
        <v>3.1840000000000002</v>
      </c>
      <c r="BY125" s="2861">
        <f t="shared" si="930"/>
        <v>776.721</v>
      </c>
      <c r="BZ125" s="2861">
        <f t="shared" si="931"/>
        <v>772.11199999999997</v>
      </c>
      <c r="CA125" s="2861">
        <f t="shared" si="931"/>
        <v>4.609</v>
      </c>
      <c r="CB125" s="2839">
        <f t="shared" si="669"/>
        <v>2844.4049999999997</v>
      </c>
      <c r="CC125" s="2961">
        <f t="shared" ref="CC125:CD125" si="1017">SUM(CC9)</f>
        <v>2826.7379999999998</v>
      </c>
      <c r="CD125" s="2961">
        <f t="shared" si="1017"/>
        <v>17.667000000000002</v>
      </c>
      <c r="CE125" s="2862">
        <f t="shared" si="932"/>
        <v>3104.0797499999999</v>
      </c>
      <c r="CF125" s="2981">
        <f t="shared" si="932"/>
        <v>3087.8620000000001</v>
      </c>
      <c r="CG125" s="2862">
        <f t="shared" si="932"/>
        <v>16.217749999999999</v>
      </c>
      <c r="CH125" s="2862">
        <f t="shared" si="933"/>
        <v>259.67475000000013</v>
      </c>
      <c r="CI125" s="2862">
        <f t="shared" si="933"/>
        <v>261.12400000000025</v>
      </c>
      <c r="CJ125" s="2862">
        <f t="shared" si="933"/>
        <v>-1.4492500000000028</v>
      </c>
      <c r="CK125" s="2863"/>
      <c r="CL125" s="4188">
        <f t="shared" si="668"/>
        <v>2844.4049999999997</v>
      </c>
      <c r="CM125" s="2863"/>
    </row>
    <row r="126" spans="1:92" ht="18.75" customHeight="1" x14ac:dyDescent="0.3">
      <c r="A126" s="2910" t="s">
        <v>14</v>
      </c>
      <c r="B126" s="2959">
        <f t="shared" ref="B126:AK126" si="1018">SUM(B124/B125)</f>
        <v>35.404818469013222</v>
      </c>
      <c r="C126" s="2959">
        <f t="shared" si="1018"/>
        <v>35.529183239152367</v>
      </c>
      <c r="D126" s="2959">
        <f t="shared" si="1018"/>
        <v>15.506328537864743</v>
      </c>
      <c r="E126" s="2861">
        <f t="shared" si="1018"/>
        <v>26.167343932394623</v>
      </c>
      <c r="F126" s="2861">
        <f t="shared" si="1018"/>
        <v>26.150336460196648</v>
      </c>
      <c r="G126" s="2861">
        <f t="shared" si="1018"/>
        <v>47.310952380952379</v>
      </c>
      <c r="H126" s="2861">
        <f t="shared" si="1018"/>
        <v>26.340503734873199</v>
      </c>
      <c r="I126" s="2861">
        <f t="shared" si="1018"/>
        <v>26.316900730977544</v>
      </c>
      <c r="J126" s="2861">
        <f t="shared" si="1018"/>
        <v>52.746864406779672</v>
      </c>
      <c r="K126" s="2861">
        <f t="shared" si="1018"/>
        <v>30.192332707511579</v>
      </c>
      <c r="L126" s="2861">
        <f t="shared" si="1018"/>
        <v>30.446365290087858</v>
      </c>
      <c r="M126" s="2861">
        <f t="shared" si="1018"/>
        <v>7.4539303654945437</v>
      </c>
      <c r="N126" s="2861">
        <f t="shared" si="1018"/>
        <v>27.561992949955105</v>
      </c>
      <c r="O126" s="2861">
        <f t="shared" si="1018"/>
        <v>27.62319625104184</v>
      </c>
      <c r="P126" s="2861">
        <f t="shared" si="1018"/>
        <v>13.173092273068271</v>
      </c>
      <c r="Q126" s="2959">
        <f t="shared" si="1018"/>
        <v>35.404818469013222</v>
      </c>
      <c r="R126" s="2959">
        <f t="shared" si="1018"/>
        <v>35.529183239152367</v>
      </c>
      <c r="S126" s="2959">
        <f t="shared" si="1018"/>
        <v>15.506328537864743</v>
      </c>
      <c r="T126" s="2861">
        <f t="shared" si="1018"/>
        <v>28.509868366127389</v>
      </c>
      <c r="U126" s="2861">
        <f t="shared" si="1018"/>
        <v>28.52465184352917</v>
      </c>
      <c r="V126" s="2861">
        <f t="shared" si="1018"/>
        <v>23.058507666098809</v>
      </c>
      <c r="W126" s="2861">
        <f t="shared" si="1018"/>
        <v>31.441221738972079</v>
      </c>
      <c r="X126" s="2861">
        <f t="shared" si="1018"/>
        <v>31.415114686028524</v>
      </c>
      <c r="Y126" s="2861">
        <f t="shared" si="1018"/>
        <v>56.77828677839851</v>
      </c>
      <c r="Z126" s="2861">
        <f t="shared" si="1018"/>
        <v>26.366499507914682</v>
      </c>
      <c r="AA126" s="2861">
        <f t="shared" si="1018"/>
        <v>26.631388317744573</v>
      </c>
      <c r="AB126" s="2861">
        <f t="shared" si="1018"/>
        <v>3.8618986115595737</v>
      </c>
      <c r="AC126" s="2861">
        <f t="shared" si="1018"/>
        <v>28.752924115873025</v>
      </c>
      <c r="AD126" s="2861">
        <f t="shared" si="1018"/>
        <v>28.845765776200917</v>
      </c>
      <c r="AE126" s="2861">
        <f t="shared" si="1018"/>
        <v>10.764030005488809</v>
      </c>
      <c r="AF126" s="2961">
        <f t="shared" si="1018"/>
        <v>35.404818469013222</v>
      </c>
      <c r="AG126" s="2961">
        <f t="shared" si="1018"/>
        <v>35.529183239152367</v>
      </c>
      <c r="AH126" s="2961">
        <f t="shared" si="1018"/>
        <v>15.506328537864743</v>
      </c>
      <c r="AI126" s="2962">
        <f t="shared" si="1018"/>
        <v>28.161801681997581</v>
      </c>
      <c r="AJ126" s="2962">
        <f t="shared" si="1018"/>
        <v>28.238663471795363</v>
      </c>
      <c r="AK126" s="2962">
        <f t="shared" si="1018"/>
        <v>11.844287011807449</v>
      </c>
      <c r="AL126" s="2862">
        <f t="shared" si="954"/>
        <v>-7.243016787015641</v>
      </c>
      <c r="AM126" s="2862">
        <f t="shared" si="954"/>
        <v>-7.2905197673570044</v>
      </c>
      <c r="AN126" s="2862">
        <f t="shared" si="954"/>
        <v>-3.662041526057294</v>
      </c>
      <c r="AO126" s="2959">
        <f t="shared" ref="AO126:BI126" si="1019">SUM(AO124/AO125)</f>
        <v>35.520879272931808</v>
      </c>
      <c r="AP126" s="2959">
        <f t="shared" si="1019"/>
        <v>35.644912391996719</v>
      </c>
      <c r="AQ126" s="2959">
        <f t="shared" si="1019"/>
        <v>15.675453851564907</v>
      </c>
      <c r="AR126" s="2861">
        <f t="shared" si="1019"/>
        <v>32.155315993094142</v>
      </c>
      <c r="AS126" s="2861">
        <f t="shared" si="1019"/>
        <v>32.161583043271477</v>
      </c>
      <c r="AT126" s="2861">
        <f t="shared" si="1019"/>
        <v>28.960021459227466</v>
      </c>
      <c r="AU126" s="2861">
        <f t="shared" si="1019"/>
        <v>32.184426060061547</v>
      </c>
      <c r="AV126" s="2861">
        <f t="shared" si="1019"/>
        <v>32.227897274725102</v>
      </c>
      <c r="AW126" s="2861">
        <f t="shared" si="1019"/>
        <v>18.810920245398773</v>
      </c>
      <c r="AX126" s="2861">
        <f t="shared" si="1019"/>
        <v>32.401841727074427</v>
      </c>
      <c r="AY126" s="2861">
        <f t="shared" si="1019"/>
        <v>32.717020501175448</v>
      </c>
      <c r="AZ126" s="2861">
        <f t="shared" si="1019"/>
        <v>5.2271408839779001</v>
      </c>
      <c r="BA126" s="2861">
        <f t="shared" si="1019"/>
        <v>32.249081865829517</v>
      </c>
      <c r="BB126" s="2861">
        <f t="shared" si="1019"/>
        <v>32.372034096960363</v>
      </c>
      <c r="BC126" s="2861">
        <f t="shared" si="1019"/>
        <v>10.525274120181949</v>
      </c>
      <c r="BD126" s="2961">
        <f t="shared" si="1019"/>
        <v>35.443505403652743</v>
      </c>
      <c r="BE126" s="2961">
        <f t="shared" si="1019"/>
        <v>35.567759623433815</v>
      </c>
      <c r="BF126" s="2961">
        <f t="shared" si="1019"/>
        <v>15.562703642431464</v>
      </c>
      <c r="BG126" s="2962">
        <f t="shared" si="1019"/>
        <v>29.465227069097111</v>
      </c>
      <c r="BH126" s="2962">
        <f t="shared" si="1019"/>
        <v>29.555939194645365</v>
      </c>
      <c r="BI126" s="2962">
        <f t="shared" si="1019"/>
        <v>11.369686658770327</v>
      </c>
      <c r="BJ126" s="2862">
        <f t="shared" si="959"/>
        <v>-5.9782783345556325</v>
      </c>
      <c r="BK126" s="2862">
        <f t="shared" si="959"/>
        <v>-6.0118204287884502</v>
      </c>
      <c r="BL126" s="2862">
        <f t="shared" si="959"/>
        <v>-4.1930169836611366</v>
      </c>
      <c r="BM126" s="2959">
        <f t="shared" ref="BM126:CG126" si="1020">SUM(BM124/BM125)</f>
        <v>35.520879272931808</v>
      </c>
      <c r="BN126" s="2959">
        <f t="shared" si="1020"/>
        <v>35.644912391996719</v>
      </c>
      <c r="BO126" s="2959">
        <f t="shared" si="1020"/>
        <v>15.675453851564907</v>
      </c>
      <c r="BP126" s="2861">
        <f t="shared" si="1020"/>
        <v>27.70579754290566</v>
      </c>
      <c r="BQ126" s="2861">
        <f t="shared" si="1020"/>
        <v>27.766224447078795</v>
      </c>
      <c r="BR126" s="2861">
        <f t="shared" si="1020"/>
        <v>14.025606731620902</v>
      </c>
      <c r="BS126" s="2861">
        <f t="shared" si="1020"/>
        <v>29.125370925687093</v>
      </c>
      <c r="BT126" s="2861">
        <f t="shared" si="1020"/>
        <v>29.105258949809112</v>
      </c>
      <c r="BU126" s="2861">
        <f t="shared" si="1020"/>
        <v>46.12168918918919</v>
      </c>
      <c r="BV126" s="2861">
        <f t="shared" si="1020"/>
        <v>34.977027385978317</v>
      </c>
      <c r="BW126" s="2861">
        <f t="shared" si="1020"/>
        <v>35.296846491722043</v>
      </c>
      <c r="BX126" s="2861">
        <f t="shared" si="1020"/>
        <v>8.2213065326633163</v>
      </c>
      <c r="BY126" s="2861">
        <f t="shared" si="1020"/>
        <v>30.686930364957306</v>
      </c>
      <c r="BZ126" s="2861">
        <f t="shared" si="1020"/>
        <v>30.798018512858242</v>
      </c>
      <c r="CA126" s="2861">
        <f t="shared" si="1020"/>
        <v>12.077146886526362</v>
      </c>
      <c r="CB126" s="2961">
        <f t="shared" si="1020"/>
        <v>35.462848881084099</v>
      </c>
      <c r="CC126" s="2961">
        <f t="shared" si="1020"/>
        <v>35.587047825749323</v>
      </c>
      <c r="CD126" s="2961">
        <f t="shared" si="1020"/>
        <v>15.590891194714825</v>
      </c>
      <c r="CE126" s="2962">
        <f t="shared" si="1020"/>
        <v>29.770928817147823</v>
      </c>
      <c r="CF126" s="2961">
        <f t="shared" si="1020"/>
        <v>29.866517953198684</v>
      </c>
      <c r="CG126" s="2962">
        <f t="shared" si="1020"/>
        <v>11.570743167208771</v>
      </c>
      <c r="CH126" s="2862">
        <f t="shared" si="933"/>
        <v>-5.6919200639362764</v>
      </c>
      <c r="CI126" s="2862">
        <f t="shared" si="933"/>
        <v>-5.7205298725506388</v>
      </c>
      <c r="CJ126" s="2862">
        <f t="shared" si="933"/>
        <v>-4.0201480275060533</v>
      </c>
      <c r="CK126" s="2863"/>
      <c r="CL126" s="4188">
        <f t="shared" si="668"/>
        <v>141.85139548389006</v>
      </c>
      <c r="CM126" s="2863"/>
    </row>
    <row r="127" spans="1:92" ht="18.75" customHeight="1" x14ac:dyDescent="0.3">
      <c r="A127" s="2910" t="s">
        <v>3801</v>
      </c>
      <c r="B127" s="4652">
        <f>SUM(B128:B130)</f>
        <v>834.02499999999998</v>
      </c>
      <c r="C127" s="4653"/>
      <c r="D127" s="4654"/>
      <c r="E127" s="4587">
        <f>SUM(E128:E130)</f>
        <v>342.41999999999996</v>
      </c>
      <c r="F127" s="4588"/>
      <c r="G127" s="4589"/>
      <c r="H127" s="4587">
        <f>SUM(H128:H130)</f>
        <v>240.14400000000001</v>
      </c>
      <c r="I127" s="4588"/>
      <c r="J127" s="4589"/>
      <c r="K127" s="4587">
        <f>SUM(K128:K130)</f>
        <v>463.24900000000002</v>
      </c>
      <c r="L127" s="4588"/>
      <c r="M127" s="4589"/>
      <c r="N127" s="4587">
        <f>SUM(N128:N130)</f>
        <v>1045.8129999999999</v>
      </c>
      <c r="O127" s="4588"/>
      <c r="P127" s="4589"/>
      <c r="Q127" s="4652">
        <f>SUM(Q128:Q130)</f>
        <v>834.02499999999998</v>
      </c>
      <c r="R127" s="4653"/>
      <c r="S127" s="4654"/>
      <c r="T127" s="4587">
        <f>SUM(T128:T130)</f>
        <v>301.96100000000001</v>
      </c>
      <c r="U127" s="4588"/>
      <c r="V127" s="4589"/>
      <c r="W127" s="4587">
        <f>SUM(W128:W130)</f>
        <v>592.53575999999998</v>
      </c>
      <c r="X127" s="4588"/>
      <c r="Y127" s="4589"/>
      <c r="Z127" s="4587">
        <f>SUM(Z128:Z130)</f>
        <v>931.73800000000006</v>
      </c>
      <c r="AA127" s="4588"/>
      <c r="AB127" s="4589"/>
      <c r="AC127" s="4587">
        <f>SUM(AC128:AC130)</f>
        <v>1826.2347599999998</v>
      </c>
      <c r="AD127" s="4588"/>
      <c r="AE127" s="4589"/>
      <c r="AF127" s="4649">
        <f>SUM(B127+Q127)</f>
        <v>1668.05</v>
      </c>
      <c r="AG127" s="4650"/>
      <c r="AH127" s="4651"/>
      <c r="AI127" s="4606">
        <f>SUM(N127+AC127)</f>
        <v>2872.0477599999995</v>
      </c>
      <c r="AJ127" s="4607"/>
      <c r="AK127" s="4608"/>
      <c r="AL127" s="4606">
        <f>SUM(AI127-AF127)</f>
        <v>1203.9977599999995</v>
      </c>
      <c r="AM127" s="4607"/>
      <c r="AN127" s="4608"/>
      <c r="AO127" s="4652">
        <f>SUM(AO128:AO130)</f>
        <v>834.02499999999998</v>
      </c>
      <c r="AP127" s="4653"/>
      <c r="AQ127" s="4654"/>
      <c r="AR127" s="4587">
        <f>SUM(AR128:AR130)</f>
        <v>533.69200000000001</v>
      </c>
      <c r="AS127" s="4588"/>
      <c r="AT127" s="4589"/>
      <c r="AU127" s="4587">
        <f>SUM(AU128:AU130)</f>
        <v>653.50599999999997</v>
      </c>
      <c r="AV127" s="4588"/>
      <c r="AW127" s="4589"/>
      <c r="AX127" s="4587">
        <f>SUM(AX128:AX130)</f>
        <v>654.38446999999996</v>
      </c>
      <c r="AY127" s="4588"/>
      <c r="AZ127" s="4589"/>
      <c r="BA127" s="4587">
        <f>SUM(BA128:BA130)</f>
        <v>1841.5824699999998</v>
      </c>
      <c r="BB127" s="4588"/>
      <c r="BC127" s="4589"/>
      <c r="BD127" s="4649">
        <f t="shared" ref="BD127:BD131" si="1021">SUM(AF127+AO127)</f>
        <v>2502.0749999999998</v>
      </c>
      <c r="BE127" s="4650"/>
      <c r="BF127" s="4651"/>
      <c r="BG127" s="4606">
        <f>SUM(BA127+AI127)</f>
        <v>4713.6302299999988</v>
      </c>
      <c r="BH127" s="4607"/>
      <c r="BI127" s="4608"/>
      <c r="BJ127" s="4606">
        <f>SUM(BG127-BD127)</f>
        <v>2211.555229999999</v>
      </c>
      <c r="BK127" s="4607"/>
      <c r="BL127" s="4608"/>
      <c r="BM127" s="4652">
        <f>SUM(BM128:BM130)</f>
        <v>834.02499999999998</v>
      </c>
      <c r="BN127" s="4653"/>
      <c r="BO127" s="4654"/>
      <c r="BP127" s="4587">
        <f>SUM(BP128:BP130)</f>
        <v>674.69600000000003</v>
      </c>
      <c r="BQ127" s="4588"/>
      <c r="BR127" s="4589"/>
      <c r="BS127" s="4587">
        <f>SUM(BS128:BS130)</f>
        <v>573.87199999999996</v>
      </c>
      <c r="BT127" s="4588"/>
      <c r="BU127" s="4589"/>
      <c r="BV127" s="4587">
        <f>SUM(BV128:BV130)</f>
        <v>586.95300000000009</v>
      </c>
      <c r="BW127" s="4588"/>
      <c r="BX127" s="4589"/>
      <c r="BY127" s="4587">
        <f>SUM(BY128:BY130)</f>
        <v>1835.5210000000002</v>
      </c>
      <c r="BZ127" s="4588"/>
      <c r="CA127" s="4589"/>
      <c r="CB127" s="4649">
        <f t="shared" ref="CB127:CB131" si="1022">SUM(BM127+BD127)</f>
        <v>3336.1</v>
      </c>
      <c r="CC127" s="4650"/>
      <c r="CD127" s="4651"/>
      <c r="CE127" s="4606">
        <f>SUM(BY127+BG127)</f>
        <v>6549.1512299999995</v>
      </c>
      <c r="CF127" s="4607"/>
      <c r="CG127" s="4608"/>
      <c r="CH127" s="4606">
        <f>SUM(CE127-CB127)</f>
        <v>3213.0512299999996</v>
      </c>
      <c r="CI127" s="4607"/>
      <c r="CJ127" s="4608"/>
      <c r="CK127" s="2863"/>
      <c r="CL127" s="2863"/>
      <c r="CM127" s="2863"/>
    </row>
    <row r="128" spans="1:92" ht="36" customHeight="1" x14ac:dyDescent="0.2">
      <c r="A128" s="2903" t="s">
        <v>3802</v>
      </c>
      <c r="B128" s="4603">
        <f>3336.1/4</f>
        <v>834.02499999999998</v>
      </c>
      <c r="C128" s="4604"/>
      <c r="D128" s="4605"/>
      <c r="E128" s="4595">
        <v>287.74799999999999</v>
      </c>
      <c r="F128" s="4596"/>
      <c r="G128" s="4597"/>
      <c r="H128" s="4595">
        <v>219.928</v>
      </c>
      <c r="I128" s="4596"/>
      <c r="J128" s="4597"/>
      <c r="K128" s="4595">
        <v>322.19299999999998</v>
      </c>
      <c r="L128" s="4596"/>
      <c r="M128" s="4597"/>
      <c r="N128" s="4592">
        <f>SUM(E128+H128+K128)</f>
        <v>829.86899999999991</v>
      </c>
      <c r="O128" s="4593"/>
      <c r="P128" s="4594"/>
      <c r="Q128" s="4603">
        <f>SUM(B128)</f>
        <v>834.02499999999998</v>
      </c>
      <c r="R128" s="4604"/>
      <c r="S128" s="4605"/>
      <c r="T128" s="4595">
        <v>205.56299999999999</v>
      </c>
      <c r="U128" s="4596"/>
      <c r="V128" s="4597"/>
      <c r="W128" s="4595">
        <v>577.35970999999995</v>
      </c>
      <c r="X128" s="4596"/>
      <c r="Y128" s="4597"/>
      <c r="Z128" s="4595">
        <v>643.68100000000004</v>
      </c>
      <c r="AA128" s="4596"/>
      <c r="AB128" s="4597"/>
      <c r="AC128" s="4592">
        <f>SUM(T128+W128+Z128)</f>
        <v>1426.6037099999999</v>
      </c>
      <c r="AD128" s="4593"/>
      <c r="AE128" s="4594"/>
      <c r="AF128" s="4655">
        <f>SUM(B128+Q128)</f>
        <v>1668.05</v>
      </c>
      <c r="AG128" s="4656"/>
      <c r="AH128" s="4657"/>
      <c r="AI128" s="4598">
        <f t="shared" ref="AI128:AI131" si="1023">SUM(N128+AC128)</f>
        <v>2256.47271</v>
      </c>
      <c r="AJ128" s="4599"/>
      <c r="AK128" s="4600"/>
      <c r="AL128" s="4598">
        <f t="shared" ref="AL128:AL131" si="1024">SUM(AI128-AF128)</f>
        <v>588.42271000000005</v>
      </c>
      <c r="AM128" s="4599"/>
      <c r="AN128" s="4600"/>
      <c r="AO128" s="4603">
        <f>SUM(Q128)</f>
        <v>834.02499999999998</v>
      </c>
      <c r="AP128" s="4604"/>
      <c r="AQ128" s="4605"/>
      <c r="AR128" s="4595">
        <v>492.99299999999999</v>
      </c>
      <c r="AS128" s="4596"/>
      <c r="AT128" s="4597"/>
      <c r="AU128" s="4595">
        <v>601.50099999999998</v>
      </c>
      <c r="AV128" s="4596"/>
      <c r="AW128" s="4597"/>
      <c r="AX128" s="4595">
        <v>558.94947000000002</v>
      </c>
      <c r="AY128" s="4596"/>
      <c r="AZ128" s="4597"/>
      <c r="BA128" s="4592">
        <f>SUM(AR128+AU128+AX128)</f>
        <v>1653.4434699999999</v>
      </c>
      <c r="BB128" s="4593"/>
      <c r="BC128" s="4594"/>
      <c r="BD128" s="4655">
        <f>SUM(AF128+AO128)</f>
        <v>2502.0749999999998</v>
      </c>
      <c r="BE128" s="4656"/>
      <c r="BF128" s="4657"/>
      <c r="BG128" s="4655">
        <f t="shared" ref="BG128:BG131" si="1025">SUM(BA128+AI128)</f>
        <v>3909.9161800000002</v>
      </c>
      <c r="BH128" s="4656"/>
      <c r="BI128" s="4657"/>
      <c r="BJ128" s="4598">
        <f>SUM(BG128-BD128)</f>
        <v>1407.8411800000003</v>
      </c>
      <c r="BK128" s="4599"/>
      <c r="BL128" s="4600"/>
      <c r="BM128" s="4603">
        <f>SUM(AO128)</f>
        <v>834.02499999999998</v>
      </c>
      <c r="BN128" s="4604"/>
      <c r="BO128" s="4605"/>
      <c r="BP128" s="4595">
        <v>633.41300000000001</v>
      </c>
      <c r="BQ128" s="4596"/>
      <c r="BR128" s="4597"/>
      <c r="BS128" s="4595">
        <v>528.09799999999996</v>
      </c>
      <c r="BT128" s="4596"/>
      <c r="BU128" s="4597"/>
      <c r="BV128" s="4595">
        <v>533.32000000000005</v>
      </c>
      <c r="BW128" s="4596"/>
      <c r="BX128" s="4597"/>
      <c r="BY128" s="4592">
        <f>SUM(BP128+BS128+BV128)</f>
        <v>1694.8310000000001</v>
      </c>
      <c r="BZ128" s="4593"/>
      <c r="CA128" s="4594"/>
      <c r="CB128" s="4655">
        <f t="shared" si="1022"/>
        <v>3336.1</v>
      </c>
      <c r="CC128" s="4656"/>
      <c r="CD128" s="4657"/>
      <c r="CE128" s="4655">
        <f t="shared" ref="CE128:CE131" si="1026">SUM(BY128+BG128)</f>
        <v>5604.7471800000003</v>
      </c>
      <c r="CF128" s="4656"/>
      <c r="CG128" s="4657"/>
      <c r="CH128" s="4598">
        <f>SUM(CE128-CB128)</f>
        <v>2268.6471800000004</v>
      </c>
      <c r="CI128" s="4599"/>
      <c r="CJ128" s="4600"/>
      <c r="CK128" s="2863"/>
      <c r="CL128" s="2863"/>
      <c r="CM128" s="2863"/>
    </row>
    <row r="129" spans="1:91" ht="40.5" customHeight="1" x14ac:dyDescent="0.2">
      <c r="A129" s="2882" t="s">
        <v>3803</v>
      </c>
      <c r="B129" s="4603">
        <v>0</v>
      </c>
      <c r="C129" s="4604"/>
      <c r="D129" s="4605"/>
      <c r="E129" s="4595">
        <v>0</v>
      </c>
      <c r="F129" s="4596"/>
      <c r="G129" s="4597"/>
      <c r="H129" s="4595">
        <v>0</v>
      </c>
      <c r="I129" s="4596"/>
      <c r="J129" s="4597"/>
      <c r="K129" s="4595">
        <v>0</v>
      </c>
      <c r="L129" s="4596"/>
      <c r="M129" s="4597"/>
      <c r="N129" s="4592">
        <f>SUM(E129+H129+K129)</f>
        <v>0</v>
      </c>
      <c r="O129" s="4593"/>
      <c r="P129" s="4594"/>
      <c r="Q129" s="4603">
        <v>0</v>
      </c>
      <c r="R129" s="4604"/>
      <c r="S129" s="4605"/>
      <c r="T129" s="4595">
        <v>18</v>
      </c>
      <c r="U129" s="4596"/>
      <c r="V129" s="4597"/>
      <c r="W129" s="4595">
        <v>0</v>
      </c>
      <c r="X129" s="4596"/>
      <c r="Y129" s="4597"/>
      <c r="Z129" s="4595">
        <v>0</v>
      </c>
      <c r="AA129" s="4596"/>
      <c r="AB129" s="4597"/>
      <c r="AC129" s="4592">
        <f>SUM(T129+W129+Z129)</f>
        <v>18</v>
      </c>
      <c r="AD129" s="4593"/>
      <c r="AE129" s="4594"/>
      <c r="AF129" s="4655">
        <f>SUM(B129+Q129)</f>
        <v>0</v>
      </c>
      <c r="AG129" s="4656"/>
      <c r="AH129" s="4657"/>
      <c r="AI129" s="4598">
        <f t="shared" si="1023"/>
        <v>18</v>
      </c>
      <c r="AJ129" s="4599"/>
      <c r="AK129" s="4600"/>
      <c r="AL129" s="4598">
        <f t="shared" si="1024"/>
        <v>18</v>
      </c>
      <c r="AM129" s="4599"/>
      <c r="AN129" s="4600"/>
      <c r="AO129" s="4603">
        <v>0</v>
      </c>
      <c r="AP129" s="4604"/>
      <c r="AQ129" s="4605"/>
      <c r="AR129" s="4595">
        <v>0</v>
      </c>
      <c r="AS129" s="4596"/>
      <c r="AT129" s="4597"/>
      <c r="AU129" s="4595">
        <v>17.600000000000001</v>
      </c>
      <c r="AV129" s="4596"/>
      <c r="AW129" s="4597"/>
      <c r="AX129" s="4595">
        <v>0</v>
      </c>
      <c r="AY129" s="4596"/>
      <c r="AZ129" s="4597"/>
      <c r="BA129" s="4592">
        <f>SUM(AR129+AU129+AX129)</f>
        <v>17.600000000000001</v>
      </c>
      <c r="BB129" s="4593"/>
      <c r="BC129" s="4594"/>
      <c r="BD129" s="4655">
        <f>SUM(AF129+AO129)</f>
        <v>0</v>
      </c>
      <c r="BE129" s="4656"/>
      <c r="BF129" s="4657"/>
      <c r="BG129" s="4598">
        <f t="shared" si="1025"/>
        <v>35.6</v>
      </c>
      <c r="BH129" s="4599"/>
      <c r="BI129" s="4600"/>
      <c r="BJ129" s="4598">
        <f>SUM(BG129-BD129)</f>
        <v>35.6</v>
      </c>
      <c r="BK129" s="4599"/>
      <c r="BL129" s="4600"/>
      <c r="BM129" s="4603">
        <v>0</v>
      </c>
      <c r="BN129" s="4604"/>
      <c r="BO129" s="4605"/>
      <c r="BP129" s="4595">
        <v>0</v>
      </c>
      <c r="BQ129" s="4596"/>
      <c r="BR129" s="4597"/>
      <c r="BS129" s="4595">
        <v>0</v>
      </c>
      <c r="BT129" s="4596"/>
      <c r="BU129" s="4597"/>
      <c r="BV129" s="4595">
        <v>0</v>
      </c>
      <c r="BW129" s="4596"/>
      <c r="BX129" s="4597"/>
      <c r="BY129" s="4592">
        <f>SUM(BP129+BS129+BV129)</f>
        <v>0</v>
      </c>
      <c r="BZ129" s="4593"/>
      <c r="CA129" s="4594"/>
      <c r="CB129" s="4655">
        <f t="shared" si="1022"/>
        <v>0</v>
      </c>
      <c r="CC129" s="4656"/>
      <c r="CD129" s="4657"/>
      <c r="CE129" s="4598">
        <f t="shared" si="1026"/>
        <v>35.6</v>
      </c>
      <c r="CF129" s="4599"/>
      <c r="CG129" s="4600"/>
      <c r="CH129" s="4598">
        <f>SUM(CE129-CB129)</f>
        <v>35.6</v>
      </c>
      <c r="CI129" s="4599"/>
      <c r="CJ129" s="4600"/>
      <c r="CK129" s="2863"/>
      <c r="CL129" s="2863"/>
      <c r="CM129" s="2863"/>
    </row>
    <row r="130" spans="1:91" ht="36" customHeight="1" x14ac:dyDescent="0.2">
      <c r="A130" s="2882" t="s">
        <v>3753</v>
      </c>
      <c r="B130" s="4603">
        <v>0</v>
      </c>
      <c r="C130" s="4604"/>
      <c r="D130" s="4605"/>
      <c r="E130" s="4595">
        <v>54.671999999999997</v>
      </c>
      <c r="F130" s="4596"/>
      <c r="G130" s="4597"/>
      <c r="H130" s="4595">
        <v>20.216000000000001</v>
      </c>
      <c r="I130" s="4596"/>
      <c r="J130" s="4597"/>
      <c r="K130" s="4595">
        <v>141.05600000000001</v>
      </c>
      <c r="L130" s="4596"/>
      <c r="M130" s="4597"/>
      <c r="N130" s="4592">
        <f>SUM(E130+H130+K130)</f>
        <v>215.94400000000002</v>
      </c>
      <c r="O130" s="4593"/>
      <c r="P130" s="4594"/>
      <c r="Q130" s="4603">
        <v>0</v>
      </c>
      <c r="R130" s="4604"/>
      <c r="S130" s="4605"/>
      <c r="T130" s="4595">
        <v>78.397999999999996</v>
      </c>
      <c r="U130" s="4596"/>
      <c r="V130" s="4597"/>
      <c r="W130" s="4595">
        <v>15.17605</v>
      </c>
      <c r="X130" s="4596"/>
      <c r="Y130" s="4597"/>
      <c r="Z130" s="4595">
        <v>288.05700000000002</v>
      </c>
      <c r="AA130" s="4596"/>
      <c r="AB130" s="4597"/>
      <c r="AC130" s="4592">
        <f>SUM(T130+W130+Z130)</f>
        <v>381.63105000000002</v>
      </c>
      <c r="AD130" s="4593"/>
      <c r="AE130" s="4594"/>
      <c r="AF130" s="4655">
        <f>SUM(B130+Q130)</f>
        <v>0</v>
      </c>
      <c r="AG130" s="4656"/>
      <c r="AH130" s="4657"/>
      <c r="AI130" s="4598">
        <f t="shared" si="1023"/>
        <v>597.57505000000003</v>
      </c>
      <c r="AJ130" s="4599"/>
      <c r="AK130" s="4600"/>
      <c r="AL130" s="4598">
        <f t="shared" si="1024"/>
        <v>597.57505000000003</v>
      </c>
      <c r="AM130" s="4599"/>
      <c r="AN130" s="4600"/>
      <c r="AO130" s="4603">
        <v>0</v>
      </c>
      <c r="AP130" s="4604"/>
      <c r="AQ130" s="4605"/>
      <c r="AR130" s="4595">
        <v>40.698999999999998</v>
      </c>
      <c r="AS130" s="4596"/>
      <c r="AT130" s="4597"/>
      <c r="AU130" s="4595">
        <v>34.405000000000001</v>
      </c>
      <c r="AV130" s="4596"/>
      <c r="AW130" s="4597"/>
      <c r="AX130" s="4595">
        <v>95.435000000000002</v>
      </c>
      <c r="AY130" s="4596"/>
      <c r="AZ130" s="4597"/>
      <c r="BA130" s="4592">
        <f>SUM(AR130+AU130+AX130)</f>
        <v>170.53899999999999</v>
      </c>
      <c r="BB130" s="4593"/>
      <c r="BC130" s="4594"/>
      <c r="BD130" s="4655">
        <f>SUM(AF130+AO130)</f>
        <v>0</v>
      </c>
      <c r="BE130" s="4656"/>
      <c r="BF130" s="4657"/>
      <c r="BG130" s="4598">
        <f t="shared" si="1025"/>
        <v>768.11405000000002</v>
      </c>
      <c r="BH130" s="4599"/>
      <c r="BI130" s="4600"/>
      <c r="BJ130" s="4598">
        <f>SUM(BG130-BD130)</f>
        <v>768.11405000000002</v>
      </c>
      <c r="BK130" s="4599"/>
      <c r="BL130" s="4600"/>
      <c r="BM130" s="4603">
        <v>0</v>
      </c>
      <c r="BN130" s="4604"/>
      <c r="BO130" s="4605"/>
      <c r="BP130" s="4595">
        <v>41.283000000000001</v>
      </c>
      <c r="BQ130" s="4596"/>
      <c r="BR130" s="4597"/>
      <c r="BS130" s="4595">
        <v>45.774000000000001</v>
      </c>
      <c r="BT130" s="4596"/>
      <c r="BU130" s="4597"/>
      <c r="BV130" s="4595">
        <v>53.633000000000003</v>
      </c>
      <c r="BW130" s="4596"/>
      <c r="BX130" s="4597"/>
      <c r="BY130" s="4592">
        <f>SUM(BP130+BS130+BV130)</f>
        <v>140.69</v>
      </c>
      <c r="BZ130" s="4593"/>
      <c r="CA130" s="4594"/>
      <c r="CB130" s="4655">
        <f t="shared" si="1022"/>
        <v>0</v>
      </c>
      <c r="CC130" s="4656"/>
      <c r="CD130" s="4657"/>
      <c r="CE130" s="4598">
        <f t="shared" si="1026"/>
        <v>908.80404999999996</v>
      </c>
      <c r="CF130" s="4599"/>
      <c r="CG130" s="4600"/>
      <c r="CH130" s="4655">
        <f>SUM(CE130-CB130)</f>
        <v>908.80404999999996</v>
      </c>
      <c r="CI130" s="4656"/>
      <c r="CJ130" s="4657"/>
      <c r="CK130" s="2863"/>
      <c r="CL130" s="2863"/>
      <c r="CM130" s="2863"/>
    </row>
    <row r="131" spans="1:91" ht="18.75" customHeight="1" x14ac:dyDescent="0.3">
      <c r="A131" s="2910" t="s">
        <v>3754</v>
      </c>
      <c r="B131" s="4652">
        <f>SUM(B124+B127)</f>
        <v>26010.435669338385</v>
      </c>
      <c r="C131" s="4653"/>
      <c r="D131" s="4654"/>
      <c r="E131" s="4587">
        <f>SUM(E124+E127)</f>
        <v>7179.4497899999997</v>
      </c>
      <c r="F131" s="4588"/>
      <c r="G131" s="4589"/>
      <c r="H131" s="4587">
        <f t="shared" ref="H131" si="1027">SUM(H124+H127)</f>
        <v>7201.0435600000001</v>
      </c>
      <c r="I131" s="4588"/>
      <c r="J131" s="4589"/>
      <c r="K131" s="4587">
        <f t="shared" ref="K131" si="1028">SUM(K124+K127)</f>
        <v>8351.1921700000003</v>
      </c>
      <c r="L131" s="4588"/>
      <c r="M131" s="4589"/>
      <c r="N131" s="4587">
        <f t="shared" ref="N131" si="1029">SUM(N124+N127)</f>
        <v>22731.685519999999</v>
      </c>
      <c r="O131" s="4588"/>
      <c r="P131" s="4589"/>
      <c r="Q131" s="4652">
        <f>SUM(Q124+Q127)</f>
        <v>26010.435669338385</v>
      </c>
      <c r="R131" s="4653"/>
      <c r="S131" s="4654"/>
      <c r="T131" s="4587">
        <f>SUM(T124+T127)</f>
        <v>8036.7381800000003</v>
      </c>
      <c r="U131" s="4588"/>
      <c r="V131" s="4589"/>
      <c r="W131" s="4587">
        <f t="shared" ref="W131" si="1030">SUM(W124+W127)</f>
        <v>8793.9627299999993</v>
      </c>
      <c r="X131" s="4588"/>
      <c r="Y131" s="4589"/>
      <c r="Z131" s="4587">
        <f t="shared" ref="Z131" si="1031">SUM(Z124+Z127)</f>
        <v>7950.8692999999994</v>
      </c>
      <c r="AA131" s="4588"/>
      <c r="AB131" s="4589"/>
      <c r="AC131" s="4587">
        <f t="shared" ref="AC131" si="1032">SUM(AC124+AC127)</f>
        <v>24781.570209999998</v>
      </c>
      <c r="AD131" s="4588"/>
      <c r="AE131" s="4589"/>
      <c r="AF131" s="4649">
        <f>SUM(B131+Q131)</f>
        <v>52020.87133867677</v>
      </c>
      <c r="AG131" s="4650"/>
      <c r="AH131" s="4651"/>
      <c r="AI131" s="4606">
        <f t="shared" si="1023"/>
        <v>47513.255729999997</v>
      </c>
      <c r="AJ131" s="4607"/>
      <c r="AK131" s="4608"/>
      <c r="AL131" s="4606">
        <f t="shared" si="1024"/>
        <v>-4507.6156086767733</v>
      </c>
      <c r="AM131" s="4607"/>
      <c r="AN131" s="4608"/>
      <c r="AO131" s="4652">
        <f>SUM(AO124+AO127)</f>
        <v>26092.966652080901</v>
      </c>
      <c r="AP131" s="4653"/>
      <c r="AQ131" s="4654"/>
      <c r="AR131" s="4587">
        <f>SUM(AR124+AR127)</f>
        <v>8188.5543699999998</v>
      </c>
      <c r="AS131" s="4588"/>
      <c r="AT131" s="4589"/>
      <c r="AU131" s="4587">
        <f t="shared" ref="AU131" si="1033">SUM(AU124+AU127)</f>
        <v>8749.2409000000007</v>
      </c>
      <c r="AV131" s="4588"/>
      <c r="AW131" s="4589"/>
      <c r="AX131" s="4587">
        <f t="shared" ref="AX131" si="1034">SUM(AX124+AX127)</f>
        <v>8838.7332700000006</v>
      </c>
      <c r="AY131" s="4588"/>
      <c r="AZ131" s="4589"/>
      <c r="BA131" s="4587">
        <f t="shared" ref="BA131" si="1035">SUM(BA124+BA127)</f>
        <v>25776.528540000007</v>
      </c>
      <c r="BB131" s="4588"/>
      <c r="BC131" s="4589"/>
      <c r="BD131" s="4649">
        <f t="shared" si="1021"/>
        <v>78113.837990757675</v>
      </c>
      <c r="BE131" s="4650"/>
      <c r="BF131" s="4651"/>
      <c r="BG131" s="4606">
        <f t="shared" si="1025"/>
        <v>73289.784270000004</v>
      </c>
      <c r="BH131" s="4607"/>
      <c r="BI131" s="4608"/>
      <c r="BJ131" s="4606">
        <f>SUM(BG131-BD131)</f>
        <v>-4824.0537207576708</v>
      </c>
      <c r="BK131" s="4607"/>
      <c r="BL131" s="4608"/>
      <c r="BM131" s="4652">
        <f>SUM(BM124+BM127)</f>
        <v>26092.966652080901</v>
      </c>
      <c r="BN131" s="4653"/>
      <c r="BO131" s="4654"/>
      <c r="BP131" s="4587">
        <f>SUM(BP124+BP127)</f>
        <v>7787.4945799999987</v>
      </c>
      <c r="BQ131" s="4588"/>
      <c r="BR131" s="4589"/>
      <c r="BS131" s="4587">
        <f t="shared" ref="BS131" si="1036">SUM(BS124+BS127)</f>
        <v>7868.0590200000006</v>
      </c>
      <c r="BT131" s="4588"/>
      <c r="BU131" s="4589"/>
      <c r="BV131" s="4587">
        <f t="shared" ref="BV131" si="1037">SUM(BV124+BV127)</f>
        <v>10015.15064</v>
      </c>
      <c r="BW131" s="4588"/>
      <c r="BX131" s="4589"/>
      <c r="BY131" s="4587">
        <f t="shared" ref="BY131" si="1038">SUM(BY124+BY127)</f>
        <v>25670.704240000003</v>
      </c>
      <c r="BZ131" s="4588"/>
      <c r="CA131" s="4589"/>
      <c r="CB131" s="4649">
        <f t="shared" si="1022"/>
        <v>104206.80464283857</v>
      </c>
      <c r="CC131" s="4650"/>
      <c r="CD131" s="4651"/>
      <c r="CE131" s="4606">
        <f t="shared" si="1026"/>
        <v>98960.48851000001</v>
      </c>
      <c r="CF131" s="4607"/>
      <c r="CG131" s="4608"/>
      <c r="CH131" s="4606">
        <f>SUM(CE131-CB131)</f>
        <v>-5246.3161328385613</v>
      </c>
      <c r="CI131" s="4607"/>
      <c r="CJ131" s="4608"/>
      <c r="CK131" s="2863"/>
      <c r="CL131" s="2863"/>
      <c r="CM131" s="2863"/>
    </row>
    <row r="132" spans="1:91" ht="18.75" customHeight="1" x14ac:dyDescent="0.2">
      <c r="A132" s="2994"/>
      <c r="B132" s="523"/>
      <c r="C132" s="523"/>
      <c r="D132" s="523"/>
      <c r="E132" s="523"/>
      <c r="F132" s="523"/>
      <c r="G132" s="523"/>
      <c r="H132" s="523"/>
      <c r="I132" s="523"/>
      <c r="J132" s="523"/>
      <c r="K132" s="523"/>
      <c r="L132" s="523"/>
      <c r="M132" s="523"/>
      <c r="N132" s="523"/>
      <c r="O132" s="523"/>
      <c r="P132" s="523"/>
      <c r="Q132" s="523"/>
      <c r="R132" s="523"/>
      <c r="S132" s="523"/>
      <c r="T132" s="523"/>
      <c r="U132" s="523"/>
      <c r="V132" s="523"/>
      <c r="W132" s="523"/>
      <c r="X132" s="523"/>
      <c r="Y132" s="523"/>
      <c r="Z132" s="523"/>
      <c r="AA132" s="523"/>
      <c r="AB132" s="523"/>
      <c r="AC132" s="523"/>
      <c r="AD132" s="523"/>
      <c r="AE132" s="523"/>
      <c r="AF132" s="523"/>
      <c r="AG132" s="523"/>
      <c r="AH132" s="523"/>
      <c r="AI132" s="523"/>
      <c r="AJ132" s="523"/>
      <c r="AK132" s="523"/>
      <c r="AL132" s="523"/>
      <c r="AM132" s="523"/>
      <c r="AN132" s="523"/>
      <c r="AO132" s="523"/>
      <c r="AP132" s="523"/>
      <c r="AQ132" s="523"/>
      <c r="AR132" s="523"/>
      <c r="AS132" s="523"/>
      <c r="AT132" s="523"/>
      <c r="AU132" s="523"/>
      <c r="AV132" s="523"/>
      <c r="AW132" s="523"/>
      <c r="AX132" s="523"/>
      <c r="AY132" s="523"/>
      <c r="AZ132" s="523"/>
      <c r="BA132" s="523"/>
      <c r="BB132" s="523"/>
      <c r="BC132" s="523"/>
      <c r="BD132" s="523"/>
      <c r="BE132" s="523"/>
      <c r="BF132" s="523"/>
      <c r="BG132" s="523"/>
      <c r="BH132" s="523"/>
      <c r="BI132" s="523"/>
      <c r="BJ132" s="523"/>
      <c r="BK132" s="523"/>
      <c r="BL132" s="523"/>
      <c r="BM132" s="523"/>
      <c r="BN132" s="523"/>
      <c r="BO132" s="523"/>
      <c r="BP132" s="523"/>
      <c r="BQ132" s="523"/>
      <c r="BR132" s="523"/>
      <c r="BS132" s="523"/>
      <c r="BT132" s="523"/>
      <c r="BU132" s="523"/>
      <c r="BV132" s="523"/>
      <c r="BW132" s="523"/>
      <c r="BX132" s="523"/>
      <c r="BY132" s="523"/>
      <c r="BZ132" s="523"/>
      <c r="CA132" s="523"/>
      <c r="CB132" s="523"/>
      <c r="CC132" s="523"/>
      <c r="CD132" s="523"/>
      <c r="CK132" s="2863"/>
      <c r="CL132" s="2863"/>
      <c r="CM132" s="2863"/>
    </row>
    <row r="133" spans="1:91" ht="18.75" customHeight="1" x14ac:dyDescent="0.2">
      <c r="A133" s="2995"/>
      <c r="B133" s="523"/>
      <c r="C133" s="523"/>
      <c r="D133" s="523"/>
      <c r="E133" s="523"/>
      <c r="F133" s="523"/>
      <c r="G133" s="523"/>
      <c r="H133" s="523"/>
      <c r="I133" s="523"/>
      <c r="J133" s="523"/>
      <c r="K133" s="523"/>
      <c r="L133" s="523"/>
      <c r="M133" s="523"/>
      <c r="N133" s="523"/>
      <c r="O133" s="523"/>
      <c r="P133" s="523"/>
      <c r="Q133" s="523"/>
      <c r="R133" s="523"/>
      <c r="S133" s="523"/>
      <c r="T133" s="523"/>
      <c r="U133" s="523"/>
      <c r="V133" s="523"/>
      <c r="W133" s="523"/>
      <c r="X133" s="523"/>
      <c r="Y133" s="523"/>
      <c r="Z133" s="523"/>
      <c r="AA133" s="523"/>
      <c r="AB133" s="523"/>
      <c r="AC133" s="523"/>
      <c r="AD133" s="523"/>
      <c r="AE133" s="523"/>
      <c r="AF133" s="523"/>
      <c r="AG133" s="523"/>
      <c r="AH133" s="523"/>
      <c r="AI133" s="523"/>
      <c r="AJ133" s="523"/>
      <c r="AK133" s="523"/>
      <c r="AL133" s="523"/>
      <c r="AM133" s="523"/>
      <c r="AN133" s="523"/>
      <c r="AO133" s="523"/>
      <c r="AP133" s="523"/>
      <c r="AQ133" s="523"/>
      <c r="AR133" s="523"/>
      <c r="AS133" s="523"/>
      <c r="AT133" s="523"/>
      <c r="AU133" s="523"/>
      <c r="AV133" s="523"/>
      <c r="AW133" s="523"/>
      <c r="AX133" s="523"/>
      <c r="AY133" s="523"/>
      <c r="AZ133" s="523"/>
      <c r="BA133" s="523"/>
      <c r="BB133" s="523"/>
      <c r="BC133" s="523"/>
      <c r="BD133" s="523"/>
      <c r="BE133" s="523"/>
      <c r="BF133" s="523"/>
      <c r="BG133" s="523"/>
      <c r="BH133" s="523"/>
      <c r="BI133" s="523"/>
      <c r="BJ133" s="523"/>
      <c r="BK133" s="523"/>
      <c r="BL133" s="523"/>
      <c r="BM133" s="523"/>
      <c r="BN133" s="523"/>
      <c r="BO133" s="523"/>
      <c r="BP133" s="523"/>
      <c r="BQ133" s="523"/>
      <c r="BR133" s="523"/>
      <c r="BS133" s="523"/>
      <c r="BT133" s="523"/>
      <c r="BU133" s="523"/>
      <c r="BV133" s="523"/>
      <c r="BW133" s="523"/>
      <c r="BX133" s="523"/>
      <c r="BY133" s="523"/>
      <c r="BZ133" s="523"/>
      <c r="CA133" s="523"/>
      <c r="CB133" s="523"/>
      <c r="CC133" s="523"/>
      <c r="CD133" s="523"/>
      <c r="CK133" s="2863"/>
      <c r="CL133" s="2863"/>
      <c r="CM133" s="2863"/>
    </row>
    <row r="134" spans="1:91" ht="18.75" customHeight="1" x14ac:dyDescent="0.2">
      <c r="A134" s="2995"/>
      <c r="B134" s="523"/>
      <c r="C134" s="523"/>
      <c r="D134" s="523"/>
      <c r="E134" s="523"/>
      <c r="F134" s="4223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  <c r="AG134" s="523"/>
      <c r="AH134" s="523"/>
      <c r="AI134" s="523"/>
      <c r="AJ134" s="523"/>
      <c r="AK134" s="523"/>
      <c r="AL134" s="523"/>
      <c r="AM134" s="523"/>
      <c r="AN134" s="523"/>
      <c r="AO134" s="523"/>
      <c r="AP134" s="523"/>
      <c r="AQ134" s="523"/>
      <c r="AR134" s="523"/>
      <c r="AS134" s="523"/>
      <c r="AT134" s="523"/>
      <c r="AU134" s="523"/>
      <c r="AV134" s="523"/>
      <c r="AW134" s="523"/>
      <c r="AX134" s="523"/>
      <c r="AY134" s="523"/>
      <c r="AZ134" s="523"/>
      <c r="BA134" s="523"/>
      <c r="BB134" s="523"/>
      <c r="BC134" s="523"/>
      <c r="BD134" s="523"/>
      <c r="BE134" s="523"/>
      <c r="BF134" s="523"/>
      <c r="BG134" s="523"/>
      <c r="BH134" s="523"/>
      <c r="BI134" s="523"/>
      <c r="BJ134" s="523"/>
      <c r="BK134" s="523"/>
      <c r="BL134" s="523"/>
      <c r="BM134" s="523"/>
      <c r="BN134" s="523"/>
      <c r="BO134" s="523"/>
      <c r="BP134" s="523"/>
      <c r="BQ134" s="523"/>
      <c r="BR134" s="523"/>
      <c r="BS134" s="523"/>
      <c r="BT134" s="523"/>
      <c r="BU134" s="523"/>
      <c r="BV134" s="523"/>
      <c r="BW134" s="523"/>
      <c r="BX134" s="523"/>
      <c r="BY134" s="523"/>
      <c r="BZ134" s="523"/>
      <c r="CA134" s="523"/>
      <c r="CB134" s="523"/>
      <c r="CC134" s="523"/>
      <c r="CD134" s="523"/>
      <c r="CK134" s="2863"/>
      <c r="CL134" s="2863"/>
      <c r="CM134" s="2863"/>
    </row>
    <row r="135" spans="1:91" ht="18.75" customHeight="1" x14ac:dyDescent="0.2">
      <c r="CK135" s="2863"/>
      <c r="CL135" s="2863"/>
      <c r="CM135" s="2863"/>
    </row>
    <row r="136" spans="1:91" ht="18.75" customHeight="1" x14ac:dyDescent="0.3">
      <c r="A136" s="2906" t="s">
        <v>3810</v>
      </c>
      <c r="CK136" s="2863"/>
      <c r="CL136" s="2863"/>
      <c r="CM136" s="2863"/>
    </row>
    <row r="137" spans="1:91" ht="18.75" customHeight="1" x14ac:dyDescent="0.3">
      <c r="A137" s="2906" t="s">
        <v>3755</v>
      </c>
      <c r="CK137" s="2863"/>
      <c r="CL137" s="2863"/>
      <c r="CM137" s="2863"/>
    </row>
    <row r="138" spans="1:91" ht="18.75" customHeight="1" x14ac:dyDescent="0.2">
      <c r="CK138" s="2863"/>
      <c r="CL138" s="2863"/>
      <c r="CM138" s="2863"/>
    </row>
    <row r="139" spans="1:91" ht="18.75" customHeight="1" x14ac:dyDescent="0.2">
      <c r="A139" s="2975" t="s">
        <v>3790</v>
      </c>
      <c r="B139" s="2976"/>
      <c r="C139" s="2976"/>
      <c r="D139" s="2976"/>
      <c r="E139" s="2976"/>
      <c r="F139" s="2976"/>
      <c r="G139" s="2976"/>
      <c r="H139" s="2976"/>
      <c r="I139" s="2976"/>
      <c r="J139" s="2976"/>
      <c r="K139" s="2977"/>
      <c r="L139" s="2977"/>
      <c r="M139" s="2977"/>
      <c r="N139" s="2977"/>
      <c r="O139" s="2977"/>
      <c r="P139" s="2977"/>
      <c r="Q139" s="2977"/>
      <c r="R139" s="2977"/>
      <c r="S139" s="2977"/>
      <c r="T139" s="2977"/>
      <c r="U139" s="2977"/>
      <c r="V139" s="2977"/>
      <c r="W139" s="2977"/>
      <c r="X139" s="2977"/>
      <c r="Y139" s="2977"/>
      <c r="Z139" s="2977"/>
      <c r="AA139" s="2977"/>
      <c r="AB139" s="2977"/>
      <c r="AC139" s="2977"/>
      <c r="AD139" s="2977"/>
      <c r="AE139" s="2977"/>
      <c r="AF139" s="2977"/>
      <c r="AG139" s="2977"/>
      <c r="AH139" s="2977"/>
      <c r="AI139" s="2977"/>
      <c r="AJ139" s="2977"/>
      <c r="AK139" s="2977"/>
      <c r="AL139" s="2977"/>
      <c r="AM139" s="2977"/>
      <c r="AN139" s="2977"/>
      <c r="AO139" s="2977"/>
      <c r="AP139" s="2977"/>
      <c r="AQ139" s="2977"/>
      <c r="AR139" s="2977"/>
      <c r="AS139" s="2977"/>
      <c r="AT139" s="2977"/>
      <c r="AU139" s="2977"/>
      <c r="AV139" s="2977"/>
      <c r="AW139" s="2977"/>
      <c r="AX139" s="2977"/>
      <c r="AY139" s="2977"/>
      <c r="AZ139" s="2977"/>
      <c r="BA139" s="2977"/>
      <c r="BB139" s="2977"/>
      <c r="BC139" s="2977"/>
      <c r="BD139" s="2977"/>
      <c r="BE139" s="2977"/>
      <c r="BF139" s="2977"/>
      <c r="BG139" s="2977"/>
      <c r="BH139" s="2977"/>
      <c r="BI139" s="2977"/>
      <c r="BJ139" s="2977"/>
      <c r="BK139" s="2977"/>
      <c r="BL139" s="2977"/>
      <c r="BM139" s="2977"/>
      <c r="BN139" s="2977"/>
      <c r="BO139" s="2977"/>
      <c r="BP139" s="2977"/>
      <c r="BQ139" s="2977"/>
      <c r="BR139" s="2977"/>
      <c r="BS139" s="2977"/>
      <c r="BT139" s="2977"/>
      <c r="BU139" s="2977"/>
      <c r="BV139" s="2978"/>
      <c r="BW139" s="2978"/>
      <c r="BX139" s="2978"/>
      <c r="BY139" s="2978"/>
      <c r="BZ139" s="2978"/>
      <c r="CA139" s="2978"/>
      <c r="CB139" s="2978"/>
      <c r="CC139" s="2978"/>
      <c r="CD139" s="2978"/>
      <c r="CE139" s="2978"/>
      <c r="CF139" s="2978"/>
      <c r="CG139" s="2978"/>
      <c r="CH139" s="2978"/>
      <c r="CI139" s="2978"/>
      <c r="CJ139" s="2979"/>
      <c r="CK139" s="2863"/>
      <c r="CL139" s="2863"/>
      <c r="CM139" s="2863"/>
    </row>
    <row r="140" spans="1:91" ht="18.75" customHeight="1" x14ac:dyDescent="0.2">
      <c r="A140" s="4638" t="s">
        <v>527</v>
      </c>
      <c r="B140" s="4622" t="s">
        <v>3716</v>
      </c>
      <c r="C140" s="4623"/>
      <c r="D140" s="4623"/>
      <c r="E140" s="4623"/>
      <c r="F140" s="4623"/>
      <c r="G140" s="4623"/>
      <c r="H140" s="4623"/>
      <c r="I140" s="4623"/>
      <c r="J140" s="4623"/>
      <c r="K140" s="4623"/>
      <c r="L140" s="4623"/>
      <c r="M140" s="4623"/>
      <c r="N140" s="4623"/>
      <c r="O140" s="4623"/>
      <c r="P140" s="4624"/>
      <c r="Q140" s="4613" t="s">
        <v>3717</v>
      </c>
      <c r="R140" s="4614"/>
      <c r="S140" s="4614"/>
      <c r="T140" s="4614"/>
      <c r="U140" s="4614"/>
      <c r="V140" s="4614"/>
      <c r="W140" s="4614"/>
      <c r="X140" s="4614"/>
      <c r="Y140" s="4614"/>
      <c r="Z140" s="4614"/>
      <c r="AA140" s="4614"/>
      <c r="AB140" s="4614"/>
      <c r="AC140" s="4614"/>
      <c r="AD140" s="4568"/>
      <c r="AE140" s="4569"/>
      <c r="AF140" s="4609" t="s">
        <v>3718</v>
      </c>
      <c r="AG140" s="4610"/>
      <c r="AH140" s="4610"/>
      <c r="AI140" s="4610"/>
      <c r="AJ140" s="4610"/>
      <c r="AK140" s="4610"/>
      <c r="AL140" s="4610"/>
      <c r="AM140" s="4625"/>
      <c r="AN140" s="4626"/>
      <c r="AO140" s="4622" t="s">
        <v>3719</v>
      </c>
      <c r="AP140" s="4623"/>
      <c r="AQ140" s="4623"/>
      <c r="AR140" s="4623"/>
      <c r="AS140" s="4623"/>
      <c r="AT140" s="4623"/>
      <c r="AU140" s="4623"/>
      <c r="AV140" s="4623"/>
      <c r="AW140" s="4623"/>
      <c r="AX140" s="4623"/>
      <c r="AY140" s="4623"/>
      <c r="AZ140" s="4623"/>
      <c r="BA140" s="4623"/>
      <c r="BB140" s="4625"/>
      <c r="BC140" s="4626"/>
      <c r="BD140" s="4609" t="s">
        <v>3720</v>
      </c>
      <c r="BE140" s="4610"/>
      <c r="BF140" s="4610"/>
      <c r="BG140" s="4610"/>
      <c r="BH140" s="4610"/>
      <c r="BI140" s="4610"/>
      <c r="BJ140" s="4610"/>
      <c r="BK140" s="4625"/>
      <c r="BL140" s="4626"/>
      <c r="BM140" s="4622" t="s">
        <v>3721</v>
      </c>
      <c r="BN140" s="4623"/>
      <c r="BO140" s="4623"/>
      <c r="BP140" s="4623"/>
      <c r="BQ140" s="4623"/>
      <c r="BR140" s="4623"/>
      <c r="BS140" s="4623"/>
      <c r="BT140" s="4623"/>
      <c r="BU140" s="4623"/>
      <c r="BV140" s="4623"/>
      <c r="BW140" s="4623"/>
      <c r="BX140" s="4623"/>
      <c r="BY140" s="4623"/>
      <c r="BZ140" s="4625"/>
      <c r="CA140" s="4625"/>
      <c r="CB140" s="4609" t="s">
        <v>1992</v>
      </c>
      <c r="CC140" s="4610"/>
      <c r="CD140" s="4610"/>
      <c r="CE140" s="4610"/>
      <c r="CF140" s="4610"/>
      <c r="CG140" s="4610"/>
      <c r="CH140" s="4610"/>
      <c r="CI140" s="4611"/>
      <c r="CJ140" s="4612"/>
      <c r="CK140" s="2863"/>
      <c r="CL140" s="2863"/>
      <c r="CM140" s="2863"/>
    </row>
    <row r="141" spans="1:91" ht="25.5" customHeight="1" x14ac:dyDescent="0.2">
      <c r="A141" s="4639"/>
      <c r="B141" s="4613" t="s">
        <v>3573</v>
      </c>
      <c r="C141" s="4614"/>
      <c r="D141" s="4615"/>
      <c r="E141" s="4616" t="s">
        <v>571</v>
      </c>
      <c r="F141" s="4617"/>
      <c r="G141" s="4618"/>
      <c r="H141" s="4616" t="s">
        <v>572</v>
      </c>
      <c r="I141" s="4617"/>
      <c r="J141" s="4618"/>
      <c r="K141" s="4616" t="s">
        <v>573</v>
      </c>
      <c r="L141" s="4617"/>
      <c r="M141" s="4618"/>
      <c r="N141" s="4613" t="s">
        <v>1677</v>
      </c>
      <c r="O141" s="4614"/>
      <c r="P141" s="4615"/>
      <c r="Q141" s="4613" t="s">
        <v>3573</v>
      </c>
      <c r="R141" s="4614"/>
      <c r="S141" s="4615"/>
      <c r="T141" s="4619" t="s">
        <v>3722</v>
      </c>
      <c r="U141" s="4620"/>
      <c r="V141" s="4621"/>
      <c r="W141" s="4619" t="s">
        <v>575</v>
      </c>
      <c r="X141" s="4620"/>
      <c r="Y141" s="4621"/>
      <c r="Z141" s="4619" t="s">
        <v>576</v>
      </c>
      <c r="AA141" s="4620"/>
      <c r="AB141" s="4621"/>
      <c r="AC141" s="4613" t="s">
        <v>1677</v>
      </c>
      <c r="AD141" s="4614"/>
      <c r="AE141" s="4615"/>
      <c r="AF141" s="4627" t="s">
        <v>3573</v>
      </c>
      <c r="AG141" s="4628"/>
      <c r="AH141" s="4629"/>
      <c r="AI141" s="4627" t="s">
        <v>1677</v>
      </c>
      <c r="AJ141" s="4628"/>
      <c r="AK141" s="4629"/>
      <c r="AL141" s="4627" t="s">
        <v>3723</v>
      </c>
      <c r="AM141" s="4628"/>
      <c r="AN141" s="4629"/>
      <c r="AO141" s="4643" t="s">
        <v>3573</v>
      </c>
      <c r="AP141" s="4644"/>
      <c r="AQ141" s="4645"/>
      <c r="AR141" s="4646" t="s">
        <v>577</v>
      </c>
      <c r="AS141" s="4647"/>
      <c r="AT141" s="4648"/>
      <c r="AU141" s="4646" t="s">
        <v>578</v>
      </c>
      <c r="AV141" s="4647"/>
      <c r="AW141" s="4648"/>
      <c r="AX141" s="4646" t="s">
        <v>579</v>
      </c>
      <c r="AY141" s="4647"/>
      <c r="AZ141" s="4648"/>
      <c r="BA141" s="4643" t="s">
        <v>1677</v>
      </c>
      <c r="BB141" s="4644"/>
      <c r="BC141" s="4645"/>
      <c r="BD141" s="4640" t="s">
        <v>3573</v>
      </c>
      <c r="BE141" s="4641"/>
      <c r="BF141" s="4642"/>
      <c r="BG141" s="4640" t="s">
        <v>1677</v>
      </c>
      <c r="BH141" s="4641"/>
      <c r="BI141" s="4642"/>
      <c r="BJ141" s="4640" t="s">
        <v>3723</v>
      </c>
      <c r="BK141" s="4641"/>
      <c r="BL141" s="4642"/>
      <c r="BM141" s="4630" t="s">
        <v>3573</v>
      </c>
      <c r="BN141" s="4631"/>
      <c r="BO141" s="4632"/>
      <c r="BP141" s="4630" t="s">
        <v>580</v>
      </c>
      <c r="BQ141" s="4631"/>
      <c r="BR141" s="4632"/>
      <c r="BS141" s="4630" t="s">
        <v>581</v>
      </c>
      <c r="BT141" s="4631"/>
      <c r="BU141" s="4632"/>
      <c r="BV141" s="4630" t="s">
        <v>582</v>
      </c>
      <c r="BW141" s="4631"/>
      <c r="BX141" s="4632"/>
      <c r="BY141" s="4630" t="s">
        <v>1677</v>
      </c>
      <c r="BZ141" s="4631"/>
      <c r="CA141" s="4631"/>
      <c r="CB141" s="4633" t="s">
        <v>3573</v>
      </c>
      <c r="CC141" s="4634"/>
      <c r="CD141" s="4635"/>
      <c r="CE141" s="4633" t="s">
        <v>1677</v>
      </c>
      <c r="CF141" s="4634"/>
      <c r="CG141" s="4635"/>
      <c r="CH141" s="4633" t="s">
        <v>3723</v>
      </c>
      <c r="CI141" s="4636"/>
      <c r="CJ141" s="4637"/>
      <c r="CK141" s="2863"/>
      <c r="CL141" s="2863"/>
      <c r="CM141" s="2863"/>
    </row>
    <row r="142" spans="1:91" ht="25.5" customHeight="1" x14ac:dyDescent="0.2">
      <c r="A142" s="4639"/>
      <c r="B142" s="2832" t="s">
        <v>616</v>
      </c>
      <c r="C142" s="2832" t="s">
        <v>3791</v>
      </c>
      <c r="D142" s="2832" t="s">
        <v>3792</v>
      </c>
      <c r="E142" s="2832" t="s">
        <v>616</v>
      </c>
      <c r="F142" s="2832" t="s">
        <v>3791</v>
      </c>
      <c r="G142" s="2832" t="s">
        <v>3792</v>
      </c>
      <c r="H142" s="2832" t="s">
        <v>616</v>
      </c>
      <c r="I142" s="2832" t="s">
        <v>3791</v>
      </c>
      <c r="J142" s="2832" t="s">
        <v>3792</v>
      </c>
      <c r="K142" s="2832" t="s">
        <v>616</v>
      </c>
      <c r="L142" s="2832" t="s">
        <v>3791</v>
      </c>
      <c r="M142" s="2832" t="s">
        <v>3792</v>
      </c>
      <c r="N142" s="2832" t="s">
        <v>616</v>
      </c>
      <c r="O142" s="2832" t="s">
        <v>3791</v>
      </c>
      <c r="P142" s="2832" t="s">
        <v>3792</v>
      </c>
      <c r="Q142" s="2832" t="s">
        <v>616</v>
      </c>
      <c r="R142" s="2832" t="s">
        <v>3791</v>
      </c>
      <c r="S142" s="2832" t="s">
        <v>3792</v>
      </c>
      <c r="T142" s="2832" t="s">
        <v>616</v>
      </c>
      <c r="U142" s="2832" t="s">
        <v>3791</v>
      </c>
      <c r="V142" s="2832" t="s">
        <v>3792</v>
      </c>
      <c r="W142" s="2832" t="s">
        <v>616</v>
      </c>
      <c r="X142" s="2832" t="s">
        <v>3791</v>
      </c>
      <c r="Y142" s="2832" t="s">
        <v>3792</v>
      </c>
      <c r="Z142" s="2832" t="s">
        <v>616</v>
      </c>
      <c r="AA142" s="2832" t="s">
        <v>3791</v>
      </c>
      <c r="AB142" s="2832" t="s">
        <v>3792</v>
      </c>
      <c r="AC142" s="2832" t="s">
        <v>616</v>
      </c>
      <c r="AD142" s="2832" t="s">
        <v>3791</v>
      </c>
      <c r="AE142" s="2832" t="s">
        <v>3792</v>
      </c>
      <c r="AF142" s="2833" t="s">
        <v>616</v>
      </c>
      <c r="AG142" s="2833" t="s">
        <v>3791</v>
      </c>
      <c r="AH142" s="2833" t="s">
        <v>3792</v>
      </c>
      <c r="AI142" s="2833" t="s">
        <v>616</v>
      </c>
      <c r="AJ142" s="2833" t="s">
        <v>3791</v>
      </c>
      <c r="AK142" s="2833" t="s">
        <v>3792</v>
      </c>
      <c r="AL142" s="2833" t="s">
        <v>616</v>
      </c>
      <c r="AM142" s="2833" t="s">
        <v>3791</v>
      </c>
      <c r="AN142" s="2833" t="s">
        <v>3792</v>
      </c>
      <c r="AO142" s="2832" t="s">
        <v>616</v>
      </c>
      <c r="AP142" s="2832" t="s">
        <v>3791</v>
      </c>
      <c r="AQ142" s="2832" t="s">
        <v>3792</v>
      </c>
      <c r="AR142" s="2832" t="s">
        <v>616</v>
      </c>
      <c r="AS142" s="2832" t="s">
        <v>3791</v>
      </c>
      <c r="AT142" s="2832" t="s">
        <v>3792</v>
      </c>
      <c r="AU142" s="2832" t="s">
        <v>616</v>
      </c>
      <c r="AV142" s="2832" t="s">
        <v>3791</v>
      </c>
      <c r="AW142" s="2832" t="s">
        <v>3792</v>
      </c>
      <c r="AX142" s="2832" t="s">
        <v>616</v>
      </c>
      <c r="AY142" s="2832" t="s">
        <v>3791</v>
      </c>
      <c r="AZ142" s="2832" t="s">
        <v>3792</v>
      </c>
      <c r="BA142" s="2832" t="s">
        <v>616</v>
      </c>
      <c r="BB142" s="2832" t="s">
        <v>3791</v>
      </c>
      <c r="BC142" s="2832" t="s">
        <v>3792</v>
      </c>
      <c r="BD142" s="2833" t="s">
        <v>616</v>
      </c>
      <c r="BE142" s="2833" t="s">
        <v>3791</v>
      </c>
      <c r="BF142" s="2833" t="s">
        <v>3792</v>
      </c>
      <c r="BG142" s="2833" t="s">
        <v>616</v>
      </c>
      <c r="BH142" s="2833" t="s">
        <v>3791</v>
      </c>
      <c r="BI142" s="2833" t="s">
        <v>3792</v>
      </c>
      <c r="BJ142" s="2833" t="s">
        <v>616</v>
      </c>
      <c r="BK142" s="2833" t="s">
        <v>3791</v>
      </c>
      <c r="BL142" s="2833" t="s">
        <v>3792</v>
      </c>
      <c r="BM142" s="2832" t="s">
        <v>616</v>
      </c>
      <c r="BN142" s="2832" t="s">
        <v>3791</v>
      </c>
      <c r="BO142" s="2832" t="s">
        <v>3792</v>
      </c>
      <c r="BP142" s="2832" t="s">
        <v>616</v>
      </c>
      <c r="BQ142" s="2832" t="s">
        <v>3791</v>
      </c>
      <c r="BR142" s="2832" t="s">
        <v>3792</v>
      </c>
      <c r="BS142" s="2832" t="s">
        <v>616</v>
      </c>
      <c r="BT142" s="2832" t="s">
        <v>3791</v>
      </c>
      <c r="BU142" s="2832" t="s">
        <v>3792</v>
      </c>
      <c r="BV142" s="2832" t="s">
        <v>616</v>
      </c>
      <c r="BW142" s="2832" t="s">
        <v>3791</v>
      </c>
      <c r="BX142" s="2832" t="s">
        <v>3792</v>
      </c>
      <c r="BY142" s="2832" t="s">
        <v>616</v>
      </c>
      <c r="BZ142" s="2832" t="s">
        <v>3791</v>
      </c>
      <c r="CA142" s="2832" t="s">
        <v>3792</v>
      </c>
      <c r="CB142" s="2833" t="s">
        <v>616</v>
      </c>
      <c r="CC142" s="2833" t="s">
        <v>3791</v>
      </c>
      <c r="CD142" s="2833" t="s">
        <v>3792</v>
      </c>
      <c r="CE142" s="2833" t="s">
        <v>616</v>
      </c>
      <c r="CF142" s="2833" t="s">
        <v>3791</v>
      </c>
      <c r="CG142" s="2833" t="s">
        <v>3792</v>
      </c>
      <c r="CH142" s="2833" t="s">
        <v>616</v>
      </c>
      <c r="CI142" s="2833" t="s">
        <v>3791</v>
      </c>
      <c r="CJ142" s="2833" t="s">
        <v>3792</v>
      </c>
      <c r="CK142" s="2863"/>
      <c r="CL142" s="2863"/>
      <c r="CM142" s="2863"/>
    </row>
    <row r="143" spans="1:91" ht="18.75" customHeight="1" x14ac:dyDescent="0.2">
      <c r="A143" s="2935" t="s">
        <v>3804</v>
      </c>
      <c r="B143" s="2996">
        <f t="shared" ref="B143:AE143" si="1039">SUM(B9)</f>
        <v>711.10124999999994</v>
      </c>
      <c r="C143" s="2996">
        <f t="shared" si="1039"/>
        <v>706.68449999999996</v>
      </c>
      <c r="D143" s="2996">
        <f t="shared" si="1039"/>
        <v>4.4167500000000004</v>
      </c>
      <c r="E143" s="2997">
        <f t="shared" si="1039"/>
        <v>261.28100000000001</v>
      </c>
      <c r="F143" s="2997">
        <f t="shared" si="1039"/>
        <v>261.07100000000003</v>
      </c>
      <c r="G143" s="2997">
        <f t="shared" si="1039"/>
        <v>0.21</v>
      </c>
      <c r="H143" s="2997">
        <f t="shared" si="1039"/>
        <v>264.26599999999996</v>
      </c>
      <c r="I143" s="2997">
        <f t="shared" si="1039"/>
        <v>264.02999999999997</v>
      </c>
      <c r="J143" s="2997">
        <f t="shared" si="1039"/>
        <v>0.23599999999999999</v>
      </c>
      <c r="K143" s="2997">
        <f t="shared" si="1039"/>
        <v>261.25650000000002</v>
      </c>
      <c r="L143" s="2997">
        <f t="shared" si="1039"/>
        <v>258.37</v>
      </c>
      <c r="M143" s="2997">
        <f t="shared" si="1039"/>
        <v>2.8864999999999998</v>
      </c>
      <c r="N143" s="2997">
        <f t="shared" si="1039"/>
        <v>786.80349999999999</v>
      </c>
      <c r="O143" s="2997">
        <f t="shared" si="1039"/>
        <v>783.471</v>
      </c>
      <c r="P143" s="2997">
        <f t="shared" si="1039"/>
        <v>3.3324999999999996</v>
      </c>
      <c r="Q143" s="2996">
        <f t="shared" si="1039"/>
        <v>711.10124999999994</v>
      </c>
      <c r="R143" s="2996">
        <f t="shared" si="1039"/>
        <v>706.68449999999996</v>
      </c>
      <c r="S143" s="2996">
        <f t="shared" si="1039"/>
        <v>4.4167500000000004</v>
      </c>
      <c r="T143" s="2997">
        <f t="shared" si="1039"/>
        <v>271.30174999999997</v>
      </c>
      <c r="U143" s="2997">
        <f t="shared" si="1039"/>
        <v>270.56799999999998</v>
      </c>
      <c r="V143" s="2997">
        <f t="shared" si="1039"/>
        <v>0.73375000000000001</v>
      </c>
      <c r="W143" s="2997">
        <f t="shared" si="1039"/>
        <v>260.84950000000003</v>
      </c>
      <c r="X143" s="2997">
        <f t="shared" si="1039"/>
        <v>260.58100000000002</v>
      </c>
      <c r="Y143" s="2997">
        <f t="shared" si="1039"/>
        <v>0.26850000000000002</v>
      </c>
      <c r="Z143" s="2997">
        <f t="shared" si="1039"/>
        <v>266.214</v>
      </c>
      <c r="AA143" s="2997">
        <f t="shared" si="1039"/>
        <v>263.11700000000002</v>
      </c>
      <c r="AB143" s="2997">
        <f t="shared" si="1039"/>
        <v>3.097</v>
      </c>
      <c r="AC143" s="2997">
        <f t="shared" si="1039"/>
        <v>798.36525000000006</v>
      </c>
      <c r="AD143" s="2997">
        <f t="shared" si="1039"/>
        <v>794.26600000000008</v>
      </c>
      <c r="AE143" s="2997">
        <f t="shared" si="1039"/>
        <v>4.0992499999999996</v>
      </c>
      <c r="AF143" s="2981">
        <f t="shared" ref="AF143:AH146" si="1040">SUM(Q143+B143)</f>
        <v>1422.2024999999999</v>
      </c>
      <c r="AG143" s="2981">
        <f t="shared" si="1040"/>
        <v>1413.3689999999999</v>
      </c>
      <c r="AH143" s="2981">
        <f t="shared" si="1040"/>
        <v>8.8335000000000008</v>
      </c>
      <c r="AI143" s="2839">
        <f t="shared" ref="AI143:AI146" si="1041">SUM(AJ143:AK143)</f>
        <v>1585.16875</v>
      </c>
      <c r="AJ143" s="2839">
        <f t="shared" ref="AJ143:AK146" si="1042">SUM(O143+AD143)</f>
        <v>1577.7370000000001</v>
      </c>
      <c r="AK143" s="2839">
        <f t="shared" si="1042"/>
        <v>7.4317499999999992</v>
      </c>
      <c r="AL143" s="2862">
        <f t="shared" ref="AL143:AN146" si="1043">SUM(AI143-AF143)</f>
        <v>162.96625000000017</v>
      </c>
      <c r="AM143" s="2862">
        <f t="shared" si="1043"/>
        <v>164.36800000000017</v>
      </c>
      <c r="AN143" s="2862">
        <f t="shared" si="1043"/>
        <v>-1.4017500000000016</v>
      </c>
      <c r="AO143" s="2996">
        <f t="shared" ref="AO143:BC143" si="1044">SUM(AO9)</f>
        <v>711.10124999999994</v>
      </c>
      <c r="AP143" s="2996">
        <f t="shared" si="1044"/>
        <v>706.68449999999996</v>
      </c>
      <c r="AQ143" s="2996">
        <f t="shared" si="1044"/>
        <v>4.4167500000000004</v>
      </c>
      <c r="AR143" s="2997">
        <f t="shared" si="1044"/>
        <v>238.05900000000003</v>
      </c>
      <c r="AS143" s="2997">
        <f t="shared" si="1044"/>
        <v>237.59300000000002</v>
      </c>
      <c r="AT143" s="2997">
        <f t="shared" si="1044"/>
        <v>0.46600000000000003</v>
      </c>
      <c r="AU143" s="2997">
        <f t="shared" si="1044"/>
        <v>251.54199999999997</v>
      </c>
      <c r="AV143" s="2997">
        <f t="shared" si="1044"/>
        <v>250.72699999999998</v>
      </c>
      <c r="AW143" s="2997">
        <f t="shared" si="1044"/>
        <v>0.81499999999999995</v>
      </c>
      <c r="AX143" s="2997">
        <f t="shared" si="1044"/>
        <v>252.58899999999997</v>
      </c>
      <c r="AY143" s="2997">
        <f t="shared" si="1044"/>
        <v>249.69299999999998</v>
      </c>
      <c r="AZ143" s="2997">
        <f t="shared" si="1044"/>
        <v>2.8959999999999999</v>
      </c>
      <c r="BA143" s="2997">
        <f t="shared" si="1044"/>
        <v>742.18999999999994</v>
      </c>
      <c r="BB143" s="2997">
        <f t="shared" si="1044"/>
        <v>738.01299999999992</v>
      </c>
      <c r="BC143" s="2997">
        <f t="shared" si="1044"/>
        <v>4.1769999999999996</v>
      </c>
      <c r="BD143" s="2981">
        <f t="shared" ref="BD143:BF146" si="1045">SUM(AF143+AO143)</f>
        <v>2133.30375</v>
      </c>
      <c r="BE143" s="2981">
        <f t="shared" si="1045"/>
        <v>2120.0535</v>
      </c>
      <c r="BF143" s="2981">
        <f t="shared" si="1045"/>
        <v>13.250250000000001</v>
      </c>
      <c r="BG143" s="2840">
        <f t="shared" ref="BG143:BG146" si="1046">SUM(BH143:BI143)</f>
        <v>2327.3587499999999</v>
      </c>
      <c r="BH143" s="2840">
        <f t="shared" ref="BH143:BI146" si="1047">SUM(AJ143+BB143)</f>
        <v>2315.75</v>
      </c>
      <c r="BI143" s="2840">
        <f t="shared" si="1047"/>
        <v>11.608749999999999</v>
      </c>
      <c r="BJ143" s="2862">
        <f t="shared" ref="BJ143:BL146" si="1048">SUM(BG143-BD143)</f>
        <v>194.05499999999984</v>
      </c>
      <c r="BK143" s="2862">
        <f t="shared" si="1048"/>
        <v>195.69650000000001</v>
      </c>
      <c r="BL143" s="2862">
        <f t="shared" si="1048"/>
        <v>-1.6415000000000024</v>
      </c>
      <c r="BM143" s="2996">
        <f t="shared" ref="BM143:CA143" si="1049">SUM(BM9)</f>
        <v>711.10124999999994</v>
      </c>
      <c r="BN143" s="2996">
        <f t="shared" si="1049"/>
        <v>706.68449999999996</v>
      </c>
      <c r="BO143" s="2996">
        <f t="shared" si="1049"/>
        <v>4.4167500000000004</v>
      </c>
      <c r="BP143" s="2997">
        <f t="shared" si="1049"/>
        <v>256.726</v>
      </c>
      <c r="BQ143" s="2997">
        <f t="shared" si="1049"/>
        <v>255.59700000000001</v>
      </c>
      <c r="BR143" s="2997">
        <f t="shared" si="1049"/>
        <v>1.129</v>
      </c>
      <c r="BS143" s="2997">
        <f t="shared" si="1049"/>
        <v>250.44099999999997</v>
      </c>
      <c r="BT143" s="2997">
        <f t="shared" si="1049"/>
        <v>250.14499999999998</v>
      </c>
      <c r="BU143" s="2997">
        <f t="shared" si="1049"/>
        <v>0.29599999999999999</v>
      </c>
      <c r="BV143" s="2997">
        <f t="shared" si="1049"/>
        <v>269.55400000000003</v>
      </c>
      <c r="BW143" s="2997">
        <f t="shared" si="1049"/>
        <v>266.37</v>
      </c>
      <c r="BX143" s="2997">
        <f t="shared" si="1049"/>
        <v>3.1840000000000002</v>
      </c>
      <c r="BY143" s="2997">
        <f t="shared" si="1049"/>
        <v>776.721</v>
      </c>
      <c r="BZ143" s="2997">
        <f t="shared" si="1049"/>
        <v>772.11199999999997</v>
      </c>
      <c r="CA143" s="2997">
        <f t="shared" si="1049"/>
        <v>4.609</v>
      </c>
      <c r="CB143" s="2981">
        <f t="shared" ref="CB143:CD146" si="1050">SUM(BM143+BD143)</f>
        <v>2844.4049999999997</v>
      </c>
      <c r="CC143" s="2981">
        <f t="shared" si="1050"/>
        <v>2826.7379999999998</v>
      </c>
      <c r="CD143" s="2981">
        <f t="shared" si="1050"/>
        <v>17.667000000000002</v>
      </c>
      <c r="CE143" s="2840">
        <f t="shared" ref="CE143:CE146" si="1051">SUM(CF143:CG143)</f>
        <v>3104.0797499999999</v>
      </c>
      <c r="CF143" s="2840">
        <f t="shared" ref="CF143:CG146" si="1052">SUM(BH143+BZ143)</f>
        <v>3087.8620000000001</v>
      </c>
      <c r="CG143" s="2840">
        <f t="shared" si="1052"/>
        <v>16.217749999999999</v>
      </c>
      <c r="CH143" s="2862">
        <f t="shared" ref="CH143:CJ146" si="1053">SUM(CE143-CB143)</f>
        <v>259.67475000000013</v>
      </c>
      <c r="CI143" s="2862">
        <f t="shared" si="1053"/>
        <v>261.12400000000025</v>
      </c>
      <c r="CJ143" s="2862">
        <f t="shared" si="1053"/>
        <v>-1.4492500000000028</v>
      </c>
      <c r="CK143" s="2863"/>
      <c r="CL143" s="2863"/>
      <c r="CM143" s="2863"/>
    </row>
    <row r="144" spans="1:91" ht="18.75" customHeight="1" x14ac:dyDescent="0.2">
      <c r="A144" s="2868" t="s">
        <v>255</v>
      </c>
      <c r="B144" s="2998">
        <f t="shared" ref="B144:AE144" si="1054">SUM(B10)</f>
        <v>536.66224999999997</v>
      </c>
      <c r="C144" s="2998">
        <f t="shared" si="1054"/>
        <v>536.66224999999997</v>
      </c>
      <c r="D144" s="2998">
        <f t="shared" si="1054"/>
        <v>0</v>
      </c>
      <c r="E144" s="2999">
        <f t="shared" si="1054"/>
        <v>211.63800000000001</v>
      </c>
      <c r="F144" s="2999">
        <f t="shared" si="1054"/>
        <v>211.63800000000001</v>
      </c>
      <c r="G144" s="2999">
        <f t="shared" si="1054"/>
        <v>0</v>
      </c>
      <c r="H144" s="2999">
        <f t="shared" si="1054"/>
        <v>198.41</v>
      </c>
      <c r="I144" s="2999">
        <f t="shared" si="1054"/>
        <v>198.41</v>
      </c>
      <c r="J144" s="2999">
        <f t="shared" si="1054"/>
        <v>0</v>
      </c>
      <c r="K144" s="2999">
        <f t="shared" si="1054"/>
        <v>197.654</v>
      </c>
      <c r="L144" s="2999">
        <f t="shared" si="1054"/>
        <v>197.654</v>
      </c>
      <c r="M144" s="2999">
        <f t="shared" si="1054"/>
        <v>0</v>
      </c>
      <c r="N144" s="2999">
        <f t="shared" si="1054"/>
        <v>607.702</v>
      </c>
      <c r="O144" s="2999">
        <f t="shared" si="1054"/>
        <v>607.702</v>
      </c>
      <c r="P144" s="2999">
        <f t="shared" si="1054"/>
        <v>0</v>
      </c>
      <c r="Q144" s="2998">
        <f t="shared" si="1054"/>
        <v>536.66224999999997</v>
      </c>
      <c r="R144" s="2998">
        <f t="shared" si="1054"/>
        <v>536.66224999999997</v>
      </c>
      <c r="S144" s="2998">
        <f t="shared" si="1054"/>
        <v>0</v>
      </c>
      <c r="T144" s="2999">
        <f t="shared" si="1054"/>
        <v>209.45099999999999</v>
      </c>
      <c r="U144" s="2999">
        <f t="shared" si="1054"/>
        <v>209.45099999999999</v>
      </c>
      <c r="V144" s="2999">
        <f t="shared" si="1054"/>
        <v>0</v>
      </c>
      <c r="W144" s="2999">
        <f t="shared" si="1054"/>
        <v>205.357</v>
      </c>
      <c r="X144" s="2999">
        <f t="shared" si="1054"/>
        <v>205.357</v>
      </c>
      <c r="Y144" s="2999">
        <f t="shared" si="1054"/>
        <v>0</v>
      </c>
      <c r="Z144" s="2999">
        <f t="shared" si="1054"/>
        <v>202.36600000000001</v>
      </c>
      <c r="AA144" s="2999">
        <f t="shared" si="1054"/>
        <v>202.36600000000001</v>
      </c>
      <c r="AB144" s="2999">
        <f t="shared" si="1054"/>
        <v>0</v>
      </c>
      <c r="AC144" s="2999">
        <f t="shared" si="1054"/>
        <v>617.17399999999998</v>
      </c>
      <c r="AD144" s="2999">
        <f t="shared" si="1054"/>
        <v>617.17399999999998</v>
      </c>
      <c r="AE144" s="2999">
        <f t="shared" si="1054"/>
        <v>0</v>
      </c>
      <c r="AF144" s="2982">
        <f t="shared" si="1040"/>
        <v>1073.3244999999999</v>
      </c>
      <c r="AG144" s="2982">
        <f t="shared" si="1040"/>
        <v>1073.3244999999999</v>
      </c>
      <c r="AH144" s="2982">
        <f t="shared" si="1040"/>
        <v>0</v>
      </c>
      <c r="AI144" s="2846">
        <f t="shared" si="1041"/>
        <v>1224.876</v>
      </c>
      <c r="AJ144" s="2846">
        <f t="shared" si="1042"/>
        <v>1224.876</v>
      </c>
      <c r="AK144" s="2846">
        <f t="shared" si="1042"/>
        <v>0</v>
      </c>
      <c r="AL144" s="2867">
        <f t="shared" si="1043"/>
        <v>151.55150000000003</v>
      </c>
      <c r="AM144" s="2867">
        <f t="shared" si="1043"/>
        <v>151.55150000000003</v>
      </c>
      <c r="AN144" s="2867">
        <f t="shared" si="1043"/>
        <v>0</v>
      </c>
      <c r="AO144" s="2998">
        <f t="shared" ref="AO144:BC144" si="1055">SUM(AO10)</f>
        <v>536.66224999999997</v>
      </c>
      <c r="AP144" s="2998">
        <f t="shared" si="1055"/>
        <v>536.66224999999997</v>
      </c>
      <c r="AQ144" s="2998">
        <f t="shared" si="1055"/>
        <v>0</v>
      </c>
      <c r="AR144" s="2999">
        <f t="shared" si="1055"/>
        <v>188.018</v>
      </c>
      <c r="AS144" s="2999">
        <f t="shared" si="1055"/>
        <v>188.018</v>
      </c>
      <c r="AT144" s="2999">
        <f t="shared" si="1055"/>
        <v>0</v>
      </c>
      <c r="AU144" s="2999">
        <f t="shared" si="1055"/>
        <v>194.14699999999999</v>
      </c>
      <c r="AV144" s="2999">
        <f t="shared" si="1055"/>
        <v>194.14699999999999</v>
      </c>
      <c r="AW144" s="2999">
        <f t="shared" si="1055"/>
        <v>0</v>
      </c>
      <c r="AX144" s="2999">
        <f t="shared" si="1055"/>
        <v>188.57599999999999</v>
      </c>
      <c r="AY144" s="2999">
        <f t="shared" si="1055"/>
        <v>188.57599999999999</v>
      </c>
      <c r="AZ144" s="2999">
        <f t="shared" si="1055"/>
        <v>0</v>
      </c>
      <c r="BA144" s="2999">
        <f t="shared" si="1055"/>
        <v>570.74099999999999</v>
      </c>
      <c r="BB144" s="2999">
        <f t="shared" si="1055"/>
        <v>570.74099999999999</v>
      </c>
      <c r="BC144" s="2999">
        <f t="shared" si="1055"/>
        <v>0</v>
      </c>
      <c r="BD144" s="2982">
        <f t="shared" si="1045"/>
        <v>1609.98675</v>
      </c>
      <c r="BE144" s="2982">
        <f t="shared" si="1045"/>
        <v>1609.98675</v>
      </c>
      <c r="BF144" s="2982">
        <f t="shared" si="1045"/>
        <v>0</v>
      </c>
      <c r="BG144" s="2847">
        <f t="shared" si="1046"/>
        <v>1795.617</v>
      </c>
      <c r="BH144" s="2847">
        <f t="shared" si="1047"/>
        <v>1795.617</v>
      </c>
      <c r="BI144" s="2847">
        <f t="shared" si="1047"/>
        <v>0</v>
      </c>
      <c r="BJ144" s="2867">
        <f t="shared" si="1048"/>
        <v>185.63024999999993</v>
      </c>
      <c r="BK144" s="2867">
        <f t="shared" si="1048"/>
        <v>185.63024999999993</v>
      </c>
      <c r="BL144" s="2867">
        <f t="shared" si="1048"/>
        <v>0</v>
      </c>
      <c r="BM144" s="2998">
        <f t="shared" ref="BM144:CA144" si="1056">SUM(BM10)</f>
        <v>536.66224999999997</v>
      </c>
      <c r="BN144" s="2998">
        <f t="shared" si="1056"/>
        <v>536.66224999999997</v>
      </c>
      <c r="BO144" s="2998">
        <f t="shared" si="1056"/>
        <v>0</v>
      </c>
      <c r="BP144" s="2999">
        <f t="shared" si="1056"/>
        <v>195.09200000000001</v>
      </c>
      <c r="BQ144" s="2999">
        <f t="shared" si="1056"/>
        <v>195.09200000000001</v>
      </c>
      <c r="BR144" s="2999">
        <f t="shared" si="1056"/>
        <v>0</v>
      </c>
      <c r="BS144" s="2999">
        <f t="shared" si="1056"/>
        <v>198.24299999999999</v>
      </c>
      <c r="BT144" s="2999">
        <f t="shared" si="1056"/>
        <v>198.24299999999999</v>
      </c>
      <c r="BU144" s="2999">
        <f t="shared" si="1056"/>
        <v>0</v>
      </c>
      <c r="BV144" s="2999">
        <f t="shared" si="1056"/>
        <v>202.09399999999999</v>
      </c>
      <c r="BW144" s="2999">
        <f t="shared" si="1056"/>
        <v>202.09399999999999</v>
      </c>
      <c r="BX144" s="2999">
        <f t="shared" si="1056"/>
        <v>0</v>
      </c>
      <c r="BY144" s="2999">
        <f t="shared" si="1056"/>
        <v>595.42900000000009</v>
      </c>
      <c r="BZ144" s="2999">
        <f t="shared" si="1056"/>
        <v>595.42900000000009</v>
      </c>
      <c r="CA144" s="2999">
        <f t="shared" si="1056"/>
        <v>0</v>
      </c>
      <c r="CB144" s="2982">
        <f t="shared" si="1050"/>
        <v>2146.6489999999999</v>
      </c>
      <c r="CC144" s="2982">
        <f t="shared" si="1050"/>
        <v>2146.6489999999999</v>
      </c>
      <c r="CD144" s="2982">
        <f t="shared" si="1050"/>
        <v>0</v>
      </c>
      <c r="CE144" s="2847">
        <f t="shared" si="1051"/>
        <v>2391.0460000000003</v>
      </c>
      <c r="CF144" s="2847">
        <f t="shared" si="1052"/>
        <v>2391.0460000000003</v>
      </c>
      <c r="CG144" s="2847">
        <f t="shared" si="1052"/>
        <v>0</v>
      </c>
      <c r="CH144" s="2867">
        <f t="shared" si="1053"/>
        <v>244.39700000000039</v>
      </c>
      <c r="CI144" s="2867">
        <f t="shared" si="1053"/>
        <v>244.39700000000039</v>
      </c>
      <c r="CJ144" s="2867">
        <f t="shared" si="1053"/>
        <v>0</v>
      </c>
      <c r="CK144" s="2863"/>
      <c r="CL144" s="2863"/>
      <c r="CM144" s="2863"/>
    </row>
    <row r="145" spans="1:91" ht="18.75" customHeight="1" x14ac:dyDescent="0.2">
      <c r="A145" s="2868" t="s">
        <v>3805</v>
      </c>
      <c r="B145" s="2998">
        <f t="shared" ref="B145:AE145" si="1057">SUM(B11)</f>
        <v>4.4167500000000004</v>
      </c>
      <c r="C145" s="2998">
        <f t="shared" si="1057"/>
        <v>0</v>
      </c>
      <c r="D145" s="2998">
        <f t="shared" si="1057"/>
        <v>4.4167500000000004</v>
      </c>
      <c r="E145" s="2999">
        <f t="shared" si="1057"/>
        <v>0.21</v>
      </c>
      <c r="F145" s="2999">
        <f t="shared" si="1057"/>
        <v>0</v>
      </c>
      <c r="G145" s="2999">
        <f t="shared" si="1057"/>
        <v>0.21</v>
      </c>
      <c r="H145" s="2999">
        <f t="shared" si="1057"/>
        <v>0.23599999999999999</v>
      </c>
      <c r="I145" s="2999">
        <f t="shared" si="1057"/>
        <v>0</v>
      </c>
      <c r="J145" s="2999">
        <f t="shared" si="1057"/>
        <v>0.23599999999999999</v>
      </c>
      <c r="K145" s="2999">
        <f t="shared" si="1057"/>
        <v>2.8864999999999998</v>
      </c>
      <c r="L145" s="2999">
        <f t="shared" si="1057"/>
        <v>0</v>
      </c>
      <c r="M145" s="2999">
        <f t="shared" si="1057"/>
        <v>2.8864999999999998</v>
      </c>
      <c r="N145" s="2999">
        <f t="shared" si="1057"/>
        <v>3.3324999999999996</v>
      </c>
      <c r="O145" s="2999">
        <f t="shared" si="1057"/>
        <v>0</v>
      </c>
      <c r="P145" s="2999">
        <f t="shared" si="1057"/>
        <v>3.3324999999999996</v>
      </c>
      <c r="Q145" s="2998">
        <f t="shared" si="1057"/>
        <v>4.4167500000000004</v>
      </c>
      <c r="R145" s="2998">
        <f t="shared" si="1057"/>
        <v>0</v>
      </c>
      <c r="S145" s="2998">
        <f t="shared" si="1057"/>
        <v>4.4167500000000004</v>
      </c>
      <c r="T145" s="2999">
        <f t="shared" si="1057"/>
        <v>0.73375000000000001</v>
      </c>
      <c r="U145" s="2999">
        <f t="shared" si="1057"/>
        <v>0</v>
      </c>
      <c r="V145" s="2999">
        <f t="shared" si="1057"/>
        <v>0.73375000000000001</v>
      </c>
      <c r="W145" s="2999">
        <f t="shared" si="1057"/>
        <v>0.26850000000000002</v>
      </c>
      <c r="X145" s="2999">
        <f t="shared" si="1057"/>
        <v>0</v>
      </c>
      <c r="Y145" s="2999">
        <f t="shared" si="1057"/>
        <v>0.26850000000000002</v>
      </c>
      <c r="Z145" s="2999">
        <f t="shared" si="1057"/>
        <v>3.097</v>
      </c>
      <c r="AA145" s="2999">
        <f t="shared" si="1057"/>
        <v>0</v>
      </c>
      <c r="AB145" s="2999">
        <f t="shared" si="1057"/>
        <v>3.097</v>
      </c>
      <c r="AC145" s="2999">
        <f t="shared" si="1057"/>
        <v>4.0992499999999996</v>
      </c>
      <c r="AD145" s="2999">
        <f t="shared" si="1057"/>
        <v>0</v>
      </c>
      <c r="AE145" s="2999">
        <f t="shared" si="1057"/>
        <v>4.0992499999999996</v>
      </c>
      <c r="AF145" s="2982">
        <f t="shared" si="1040"/>
        <v>8.8335000000000008</v>
      </c>
      <c r="AG145" s="2982">
        <f t="shared" si="1040"/>
        <v>0</v>
      </c>
      <c r="AH145" s="2982">
        <f t="shared" si="1040"/>
        <v>8.8335000000000008</v>
      </c>
      <c r="AI145" s="2846">
        <f t="shared" si="1041"/>
        <v>7.4317499999999992</v>
      </c>
      <c r="AJ145" s="2846">
        <f t="shared" si="1042"/>
        <v>0</v>
      </c>
      <c r="AK145" s="2846">
        <f t="shared" si="1042"/>
        <v>7.4317499999999992</v>
      </c>
      <c r="AL145" s="2867">
        <f t="shared" si="1043"/>
        <v>-1.4017500000000016</v>
      </c>
      <c r="AM145" s="2867">
        <f t="shared" si="1043"/>
        <v>0</v>
      </c>
      <c r="AN145" s="2867">
        <f t="shared" si="1043"/>
        <v>-1.4017500000000016</v>
      </c>
      <c r="AO145" s="2998">
        <f t="shared" ref="AO145:BC145" si="1058">SUM(AO11)</f>
        <v>4.4167500000000004</v>
      </c>
      <c r="AP145" s="2998">
        <f t="shared" si="1058"/>
        <v>0</v>
      </c>
      <c r="AQ145" s="2998">
        <f t="shared" si="1058"/>
        <v>4.4167500000000004</v>
      </c>
      <c r="AR145" s="2999">
        <f t="shared" si="1058"/>
        <v>0.46600000000000003</v>
      </c>
      <c r="AS145" s="2999">
        <f t="shared" si="1058"/>
        <v>0</v>
      </c>
      <c r="AT145" s="2999">
        <f t="shared" si="1058"/>
        <v>0.46600000000000003</v>
      </c>
      <c r="AU145" s="2999">
        <f t="shared" si="1058"/>
        <v>0.81499999999999995</v>
      </c>
      <c r="AV145" s="2999">
        <f t="shared" si="1058"/>
        <v>0</v>
      </c>
      <c r="AW145" s="2999">
        <f t="shared" si="1058"/>
        <v>0.81499999999999995</v>
      </c>
      <c r="AX145" s="2999">
        <f t="shared" si="1058"/>
        <v>2.8959999999999999</v>
      </c>
      <c r="AY145" s="2999">
        <f t="shared" si="1058"/>
        <v>0</v>
      </c>
      <c r="AZ145" s="2999">
        <f t="shared" si="1058"/>
        <v>2.8959999999999999</v>
      </c>
      <c r="BA145" s="2999">
        <f t="shared" si="1058"/>
        <v>4.1769999999999996</v>
      </c>
      <c r="BB145" s="2999">
        <f t="shared" si="1058"/>
        <v>0</v>
      </c>
      <c r="BC145" s="2999">
        <f t="shared" si="1058"/>
        <v>4.1769999999999996</v>
      </c>
      <c r="BD145" s="2982">
        <f t="shared" si="1045"/>
        <v>13.250250000000001</v>
      </c>
      <c r="BE145" s="2982">
        <f t="shared" si="1045"/>
        <v>0</v>
      </c>
      <c r="BF145" s="2982">
        <f t="shared" si="1045"/>
        <v>13.250250000000001</v>
      </c>
      <c r="BG145" s="2847">
        <f t="shared" si="1046"/>
        <v>11.608749999999999</v>
      </c>
      <c r="BH145" s="2847">
        <f t="shared" si="1047"/>
        <v>0</v>
      </c>
      <c r="BI145" s="2847">
        <f t="shared" si="1047"/>
        <v>11.608749999999999</v>
      </c>
      <c r="BJ145" s="2867">
        <f t="shared" si="1048"/>
        <v>-1.6415000000000024</v>
      </c>
      <c r="BK145" s="2867">
        <f t="shared" si="1048"/>
        <v>0</v>
      </c>
      <c r="BL145" s="2867">
        <f t="shared" si="1048"/>
        <v>-1.6415000000000024</v>
      </c>
      <c r="BM145" s="2998">
        <f t="shared" ref="BM145:CA145" si="1059">SUM(BM11)</f>
        <v>4.4167500000000004</v>
      </c>
      <c r="BN145" s="2998">
        <f t="shared" si="1059"/>
        <v>0</v>
      </c>
      <c r="BO145" s="2998">
        <f t="shared" si="1059"/>
        <v>4.4167500000000004</v>
      </c>
      <c r="BP145" s="2999">
        <f t="shared" si="1059"/>
        <v>1.129</v>
      </c>
      <c r="BQ145" s="2999">
        <f t="shared" si="1059"/>
        <v>0</v>
      </c>
      <c r="BR145" s="2999">
        <f t="shared" si="1059"/>
        <v>1.129</v>
      </c>
      <c r="BS145" s="2999">
        <f t="shared" si="1059"/>
        <v>0.29599999999999999</v>
      </c>
      <c r="BT145" s="2999">
        <f t="shared" si="1059"/>
        <v>0</v>
      </c>
      <c r="BU145" s="2999">
        <f t="shared" si="1059"/>
        <v>0.29599999999999999</v>
      </c>
      <c r="BV145" s="2999">
        <f t="shared" si="1059"/>
        <v>3.1840000000000002</v>
      </c>
      <c r="BW145" s="2999">
        <f t="shared" si="1059"/>
        <v>0</v>
      </c>
      <c r="BX145" s="2999">
        <f t="shared" si="1059"/>
        <v>3.1840000000000002</v>
      </c>
      <c r="BY145" s="2999">
        <f t="shared" si="1059"/>
        <v>4.609</v>
      </c>
      <c r="BZ145" s="2999">
        <f t="shared" si="1059"/>
        <v>0</v>
      </c>
      <c r="CA145" s="2999">
        <f t="shared" si="1059"/>
        <v>4.609</v>
      </c>
      <c r="CB145" s="2982">
        <f t="shared" si="1050"/>
        <v>17.667000000000002</v>
      </c>
      <c r="CC145" s="2982">
        <f t="shared" si="1050"/>
        <v>0</v>
      </c>
      <c r="CD145" s="2982">
        <f t="shared" si="1050"/>
        <v>17.667000000000002</v>
      </c>
      <c r="CE145" s="2847">
        <f t="shared" si="1051"/>
        <v>16.217749999999999</v>
      </c>
      <c r="CF145" s="2847">
        <f t="shared" si="1052"/>
        <v>0</v>
      </c>
      <c r="CG145" s="2847">
        <f t="shared" si="1052"/>
        <v>16.217749999999999</v>
      </c>
      <c r="CH145" s="2867">
        <f t="shared" si="1053"/>
        <v>-1.4492500000000028</v>
      </c>
      <c r="CI145" s="2867">
        <f t="shared" si="1053"/>
        <v>0</v>
      </c>
      <c r="CJ145" s="2867">
        <f t="shared" si="1053"/>
        <v>-1.4492500000000028</v>
      </c>
      <c r="CK145" s="2863"/>
      <c r="CL145" s="2863"/>
      <c r="CM145" s="2863"/>
    </row>
    <row r="146" spans="1:91" ht="18.75" customHeight="1" x14ac:dyDescent="0.2">
      <c r="A146" s="2868" t="s">
        <v>3796</v>
      </c>
      <c r="B146" s="2998">
        <f t="shared" ref="B146:AE146" si="1060">SUM(B12)</f>
        <v>170.02225000000001</v>
      </c>
      <c r="C146" s="2998">
        <f t="shared" si="1060"/>
        <v>170.02225000000001</v>
      </c>
      <c r="D146" s="2998">
        <f t="shared" si="1060"/>
        <v>0</v>
      </c>
      <c r="E146" s="2999">
        <f t="shared" si="1060"/>
        <v>49.433</v>
      </c>
      <c r="F146" s="2999">
        <f t="shared" si="1060"/>
        <v>49.433</v>
      </c>
      <c r="G146" s="2999">
        <f t="shared" si="1060"/>
        <v>0</v>
      </c>
      <c r="H146" s="2999">
        <f t="shared" si="1060"/>
        <v>65.62</v>
      </c>
      <c r="I146" s="2999">
        <f t="shared" si="1060"/>
        <v>65.62</v>
      </c>
      <c r="J146" s="2999">
        <f t="shared" si="1060"/>
        <v>0</v>
      </c>
      <c r="K146" s="2999">
        <f t="shared" si="1060"/>
        <v>60.716000000000001</v>
      </c>
      <c r="L146" s="2999">
        <f t="shared" si="1060"/>
        <v>60.716000000000001</v>
      </c>
      <c r="M146" s="2999">
        <f t="shared" si="1060"/>
        <v>0</v>
      </c>
      <c r="N146" s="2999">
        <f t="shared" si="1060"/>
        <v>175.76900000000001</v>
      </c>
      <c r="O146" s="2999">
        <f t="shared" si="1060"/>
        <v>175.76900000000001</v>
      </c>
      <c r="P146" s="2999">
        <f t="shared" si="1060"/>
        <v>0</v>
      </c>
      <c r="Q146" s="2998">
        <f t="shared" si="1060"/>
        <v>170.02225000000001</v>
      </c>
      <c r="R146" s="2998">
        <f t="shared" si="1060"/>
        <v>170.02225000000001</v>
      </c>
      <c r="S146" s="2998">
        <f t="shared" si="1060"/>
        <v>0</v>
      </c>
      <c r="T146" s="2999">
        <f t="shared" si="1060"/>
        <v>61.116999999999997</v>
      </c>
      <c r="U146" s="2999">
        <f t="shared" si="1060"/>
        <v>61.116999999999997</v>
      </c>
      <c r="V146" s="2999">
        <f t="shared" si="1060"/>
        <v>0</v>
      </c>
      <c r="W146" s="2999">
        <f t="shared" si="1060"/>
        <v>55.223999999999997</v>
      </c>
      <c r="X146" s="2999">
        <f t="shared" si="1060"/>
        <v>55.223999999999997</v>
      </c>
      <c r="Y146" s="2999">
        <f t="shared" si="1060"/>
        <v>0</v>
      </c>
      <c r="Z146" s="2999">
        <f t="shared" si="1060"/>
        <v>60.750999999999998</v>
      </c>
      <c r="AA146" s="2999">
        <f t="shared" si="1060"/>
        <v>60.750999999999998</v>
      </c>
      <c r="AB146" s="2999">
        <f t="shared" si="1060"/>
        <v>0</v>
      </c>
      <c r="AC146" s="2999">
        <f t="shared" si="1060"/>
        <v>177.09199999999998</v>
      </c>
      <c r="AD146" s="2999">
        <f t="shared" si="1060"/>
        <v>177.09199999999998</v>
      </c>
      <c r="AE146" s="2999">
        <f t="shared" si="1060"/>
        <v>0</v>
      </c>
      <c r="AF146" s="2982">
        <f t="shared" si="1040"/>
        <v>340.04450000000003</v>
      </c>
      <c r="AG146" s="2982">
        <f t="shared" si="1040"/>
        <v>340.04450000000003</v>
      </c>
      <c r="AH146" s="2982">
        <f t="shared" si="1040"/>
        <v>0</v>
      </c>
      <c r="AI146" s="2846">
        <f t="shared" si="1041"/>
        <v>352.86099999999999</v>
      </c>
      <c r="AJ146" s="2846">
        <f t="shared" si="1042"/>
        <v>352.86099999999999</v>
      </c>
      <c r="AK146" s="2846">
        <f t="shared" si="1042"/>
        <v>0</v>
      </c>
      <c r="AL146" s="2867">
        <f t="shared" si="1043"/>
        <v>12.816499999999962</v>
      </c>
      <c r="AM146" s="2867">
        <f t="shared" si="1043"/>
        <v>12.816499999999962</v>
      </c>
      <c r="AN146" s="2867">
        <f t="shared" si="1043"/>
        <v>0</v>
      </c>
      <c r="AO146" s="2998">
        <f t="shared" ref="AO146:BC146" si="1061">SUM(AO12)</f>
        <v>170.02225000000001</v>
      </c>
      <c r="AP146" s="2998">
        <f t="shared" si="1061"/>
        <v>170.02225000000001</v>
      </c>
      <c r="AQ146" s="2998">
        <f t="shared" si="1061"/>
        <v>0</v>
      </c>
      <c r="AR146" s="2999">
        <f t="shared" si="1061"/>
        <v>49.575000000000003</v>
      </c>
      <c r="AS146" s="2999">
        <f t="shared" si="1061"/>
        <v>49.575000000000003</v>
      </c>
      <c r="AT146" s="2999">
        <f t="shared" si="1061"/>
        <v>0</v>
      </c>
      <c r="AU146" s="2999">
        <f t="shared" si="1061"/>
        <v>56.58</v>
      </c>
      <c r="AV146" s="2999">
        <f t="shared" si="1061"/>
        <v>56.58</v>
      </c>
      <c r="AW146" s="2999">
        <f t="shared" si="1061"/>
        <v>0</v>
      </c>
      <c r="AX146" s="2999">
        <f t="shared" si="1061"/>
        <v>61.116999999999997</v>
      </c>
      <c r="AY146" s="2999">
        <f t="shared" si="1061"/>
        <v>61.116999999999997</v>
      </c>
      <c r="AZ146" s="2999">
        <f t="shared" si="1061"/>
        <v>0</v>
      </c>
      <c r="BA146" s="2999">
        <f t="shared" si="1061"/>
        <v>167.27199999999999</v>
      </c>
      <c r="BB146" s="2999">
        <f t="shared" si="1061"/>
        <v>167.27199999999999</v>
      </c>
      <c r="BC146" s="2999">
        <f t="shared" si="1061"/>
        <v>0</v>
      </c>
      <c r="BD146" s="2982">
        <f t="shared" si="1045"/>
        <v>510.06675000000007</v>
      </c>
      <c r="BE146" s="2982">
        <f t="shared" si="1045"/>
        <v>510.06675000000007</v>
      </c>
      <c r="BF146" s="2982">
        <f t="shared" si="1045"/>
        <v>0</v>
      </c>
      <c r="BG146" s="2847">
        <f t="shared" si="1046"/>
        <v>520.13300000000004</v>
      </c>
      <c r="BH146" s="2847">
        <f t="shared" si="1047"/>
        <v>520.13300000000004</v>
      </c>
      <c r="BI146" s="2847">
        <f t="shared" si="1047"/>
        <v>0</v>
      </c>
      <c r="BJ146" s="2867">
        <f t="shared" si="1048"/>
        <v>10.066249999999968</v>
      </c>
      <c r="BK146" s="2867">
        <f t="shared" si="1048"/>
        <v>10.066249999999968</v>
      </c>
      <c r="BL146" s="2867">
        <f t="shared" si="1048"/>
        <v>0</v>
      </c>
      <c r="BM146" s="2998">
        <f t="shared" ref="BM146:CA146" si="1062">SUM(BM12)</f>
        <v>170.02225000000001</v>
      </c>
      <c r="BN146" s="2998">
        <f t="shared" si="1062"/>
        <v>170.02225000000001</v>
      </c>
      <c r="BO146" s="2998">
        <f t="shared" si="1062"/>
        <v>0</v>
      </c>
      <c r="BP146" s="2999">
        <f t="shared" si="1062"/>
        <v>60.505000000000003</v>
      </c>
      <c r="BQ146" s="2999">
        <f t="shared" si="1062"/>
        <v>60.505000000000003</v>
      </c>
      <c r="BR146" s="2999">
        <f t="shared" si="1062"/>
        <v>0</v>
      </c>
      <c r="BS146" s="2999">
        <f t="shared" si="1062"/>
        <v>51.902000000000001</v>
      </c>
      <c r="BT146" s="2999">
        <f t="shared" si="1062"/>
        <v>51.902000000000001</v>
      </c>
      <c r="BU146" s="2999">
        <f t="shared" si="1062"/>
        <v>0</v>
      </c>
      <c r="BV146" s="2999">
        <f t="shared" si="1062"/>
        <v>64.275999999999996</v>
      </c>
      <c r="BW146" s="2999">
        <f t="shared" si="1062"/>
        <v>64.275999999999996</v>
      </c>
      <c r="BX146" s="2999">
        <f t="shared" si="1062"/>
        <v>0</v>
      </c>
      <c r="BY146" s="2999">
        <f t="shared" si="1062"/>
        <v>176.68299999999999</v>
      </c>
      <c r="BZ146" s="2999">
        <f t="shared" si="1062"/>
        <v>176.68299999999999</v>
      </c>
      <c r="CA146" s="2999">
        <f t="shared" si="1062"/>
        <v>0</v>
      </c>
      <c r="CB146" s="2982">
        <f t="shared" si="1050"/>
        <v>680.08900000000006</v>
      </c>
      <c r="CC146" s="2982">
        <f t="shared" si="1050"/>
        <v>680.08900000000006</v>
      </c>
      <c r="CD146" s="2982">
        <f t="shared" si="1050"/>
        <v>0</v>
      </c>
      <c r="CE146" s="2847">
        <f t="shared" si="1051"/>
        <v>696.81600000000003</v>
      </c>
      <c r="CF146" s="2847">
        <f t="shared" si="1052"/>
        <v>696.81600000000003</v>
      </c>
      <c r="CG146" s="2847">
        <f t="shared" si="1052"/>
        <v>0</v>
      </c>
      <c r="CH146" s="3000">
        <f t="shared" si="1053"/>
        <v>16.726999999999975</v>
      </c>
      <c r="CI146" s="3000">
        <f t="shared" si="1053"/>
        <v>16.726999999999975</v>
      </c>
      <c r="CJ146" s="3000">
        <f t="shared" si="1053"/>
        <v>0</v>
      </c>
      <c r="CK146" s="2863"/>
      <c r="CL146" s="2863"/>
      <c r="CM146" s="2863"/>
    </row>
    <row r="147" spans="1:91" ht="18.75" customHeight="1" x14ac:dyDescent="0.2">
      <c r="A147" s="2975" t="s">
        <v>3729</v>
      </c>
      <c r="B147" s="2976"/>
      <c r="C147" s="2976"/>
      <c r="D147" s="2976"/>
      <c r="E147" s="2976"/>
      <c r="F147" s="2976"/>
      <c r="G147" s="2976"/>
      <c r="H147" s="2976"/>
      <c r="I147" s="2976"/>
      <c r="J147" s="2976"/>
      <c r="K147" s="2977"/>
      <c r="L147" s="2977"/>
      <c r="M147" s="2977"/>
      <c r="N147" s="2977"/>
      <c r="O147" s="2977"/>
      <c r="P147" s="2977"/>
      <c r="Q147" s="2977"/>
      <c r="R147" s="2977"/>
      <c r="S147" s="2977"/>
      <c r="T147" s="2977"/>
      <c r="U147" s="2977"/>
      <c r="V147" s="2977"/>
      <c r="W147" s="2977"/>
      <c r="X147" s="2977"/>
      <c r="Y147" s="2977"/>
      <c r="Z147" s="2977"/>
      <c r="AA147" s="2977"/>
      <c r="AB147" s="2977"/>
      <c r="AC147" s="2977"/>
      <c r="AD147" s="2977"/>
      <c r="AE147" s="2977"/>
      <c r="AF147" s="2977"/>
      <c r="AG147" s="2977"/>
      <c r="AH147" s="2977"/>
      <c r="AI147" s="2977"/>
      <c r="AJ147" s="2977"/>
      <c r="AK147" s="2977"/>
      <c r="AL147" s="2977"/>
      <c r="AM147" s="2977"/>
      <c r="AN147" s="2977"/>
      <c r="AO147" s="2977"/>
      <c r="AP147" s="2977"/>
      <c r="AQ147" s="2977"/>
      <c r="AR147" s="2977"/>
      <c r="AS147" s="2977"/>
      <c r="AT147" s="2977"/>
      <c r="AU147" s="2977"/>
      <c r="AV147" s="2977"/>
      <c r="AW147" s="2977"/>
      <c r="AX147" s="2977"/>
      <c r="AY147" s="2977"/>
      <c r="AZ147" s="2977"/>
      <c r="BA147" s="2977"/>
      <c r="BB147" s="2977"/>
      <c r="BC147" s="2977"/>
      <c r="BD147" s="2977"/>
      <c r="BE147" s="2977"/>
      <c r="BF147" s="2977"/>
      <c r="BG147" s="2977"/>
      <c r="BH147" s="2977"/>
      <c r="BI147" s="2977"/>
      <c r="BJ147" s="2977"/>
      <c r="BK147" s="2977"/>
      <c r="BL147" s="2977"/>
      <c r="BM147" s="2977"/>
      <c r="BN147" s="2977"/>
      <c r="BO147" s="2977"/>
      <c r="BP147" s="2977"/>
      <c r="BQ147" s="2977"/>
      <c r="BR147" s="2977"/>
      <c r="BS147" s="2977"/>
      <c r="BT147" s="2977"/>
      <c r="BU147" s="2977"/>
      <c r="BV147" s="2978"/>
      <c r="BW147" s="2978"/>
      <c r="BX147" s="2978"/>
      <c r="BY147" s="2978"/>
      <c r="BZ147" s="2978"/>
      <c r="CA147" s="2978"/>
      <c r="CB147" s="2978"/>
      <c r="CC147" s="2978"/>
      <c r="CD147" s="2978"/>
      <c r="CE147" s="2978"/>
      <c r="CF147" s="2978"/>
      <c r="CG147" s="2978"/>
      <c r="CH147" s="2978"/>
      <c r="CI147" s="2978"/>
      <c r="CJ147" s="2979"/>
      <c r="CK147" s="2863"/>
      <c r="CL147" s="2863"/>
      <c r="CM147" s="2863"/>
    </row>
    <row r="148" spans="1:91" ht="18.75" customHeight="1" x14ac:dyDescent="0.2">
      <c r="A148" s="4638" t="s">
        <v>527</v>
      </c>
      <c r="B148" s="4622" t="s">
        <v>3716</v>
      </c>
      <c r="C148" s="4623"/>
      <c r="D148" s="4623"/>
      <c r="E148" s="4623"/>
      <c r="F148" s="4623"/>
      <c r="G148" s="4623"/>
      <c r="H148" s="4623"/>
      <c r="I148" s="4623"/>
      <c r="J148" s="4623"/>
      <c r="K148" s="4623"/>
      <c r="L148" s="4623"/>
      <c r="M148" s="4623"/>
      <c r="N148" s="4623"/>
      <c r="O148" s="4623"/>
      <c r="P148" s="4624"/>
      <c r="Q148" s="4613" t="s">
        <v>3717</v>
      </c>
      <c r="R148" s="4614"/>
      <c r="S148" s="4614"/>
      <c r="T148" s="4614"/>
      <c r="U148" s="4614"/>
      <c r="V148" s="4614"/>
      <c r="W148" s="4614"/>
      <c r="X148" s="4614"/>
      <c r="Y148" s="4614"/>
      <c r="Z148" s="4614"/>
      <c r="AA148" s="4614"/>
      <c r="AB148" s="4614"/>
      <c r="AC148" s="4614"/>
      <c r="AD148" s="4568"/>
      <c r="AE148" s="4569"/>
      <c r="AF148" s="4609" t="s">
        <v>3718</v>
      </c>
      <c r="AG148" s="4610"/>
      <c r="AH148" s="4610"/>
      <c r="AI148" s="4610"/>
      <c r="AJ148" s="4610"/>
      <c r="AK148" s="4610"/>
      <c r="AL148" s="4610"/>
      <c r="AM148" s="4625"/>
      <c r="AN148" s="4626"/>
      <c r="AO148" s="4622" t="s">
        <v>3719</v>
      </c>
      <c r="AP148" s="4623"/>
      <c r="AQ148" s="4623"/>
      <c r="AR148" s="4623"/>
      <c r="AS148" s="4623"/>
      <c r="AT148" s="4623"/>
      <c r="AU148" s="4623"/>
      <c r="AV148" s="4623"/>
      <c r="AW148" s="4623"/>
      <c r="AX148" s="4623"/>
      <c r="AY148" s="4623"/>
      <c r="AZ148" s="4623"/>
      <c r="BA148" s="4623"/>
      <c r="BB148" s="4625"/>
      <c r="BC148" s="4626"/>
      <c r="BD148" s="4609" t="s">
        <v>3720</v>
      </c>
      <c r="BE148" s="4610"/>
      <c r="BF148" s="4610"/>
      <c r="BG148" s="4610"/>
      <c r="BH148" s="4610"/>
      <c r="BI148" s="4610"/>
      <c r="BJ148" s="4610"/>
      <c r="BK148" s="4625"/>
      <c r="BL148" s="4626"/>
      <c r="BM148" s="4622" t="s">
        <v>3721</v>
      </c>
      <c r="BN148" s="4623"/>
      <c r="BO148" s="4623"/>
      <c r="BP148" s="4623"/>
      <c r="BQ148" s="4623"/>
      <c r="BR148" s="4623"/>
      <c r="BS148" s="4623"/>
      <c r="BT148" s="4623"/>
      <c r="BU148" s="4623"/>
      <c r="BV148" s="4623"/>
      <c r="BW148" s="4623"/>
      <c r="BX148" s="4623"/>
      <c r="BY148" s="4623"/>
      <c r="BZ148" s="4625"/>
      <c r="CA148" s="4625"/>
      <c r="CB148" s="4609" t="s">
        <v>1992</v>
      </c>
      <c r="CC148" s="4610"/>
      <c r="CD148" s="4610"/>
      <c r="CE148" s="4610"/>
      <c r="CF148" s="4610"/>
      <c r="CG148" s="4610"/>
      <c r="CH148" s="4610"/>
      <c r="CI148" s="4611"/>
      <c r="CJ148" s="4612"/>
      <c r="CK148" s="2863"/>
      <c r="CL148" s="2863"/>
      <c r="CM148" s="2863"/>
    </row>
    <row r="149" spans="1:91" ht="25.5" customHeight="1" x14ac:dyDescent="0.2">
      <c r="A149" s="4639"/>
      <c r="B149" s="4613" t="s">
        <v>3573</v>
      </c>
      <c r="C149" s="4614"/>
      <c r="D149" s="4615"/>
      <c r="E149" s="4616" t="s">
        <v>571</v>
      </c>
      <c r="F149" s="4617"/>
      <c r="G149" s="4618"/>
      <c r="H149" s="4616" t="s">
        <v>572</v>
      </c>
      <c r="I149" s="4617"/>
      <c r="J149" s="4618"/>
      <c r="K149" s="4616" t="s">
        <v>573</v>
      </c>
      <c r="L149" s="4617"/>
      <c r="M149" s="4618"/>
      <c r="N149" s="4613" t="s">
        <v>1677</v>
      </c>
      <c r="O149" s="4614"/>
      <c r="P149" s="4615"/>
      <c r="Q149" s="4613" t="s">
        <v>3573</v>
      </c>
      <c r="R149" s="4614"/>
      <c r="S149" s="4615"/>
      <c r="T149" s="4619" t="s">
        <v>3722</v>
      </c>
      <c r="U149" s="4620"/>
      <c r="V149" s="4621"/>
      <c r="W149" s="4619" t="s">
        <v>575</v>
      </c>
      <c r="X149" s="4620"/>
      <c r="Y149" s="4621"/>
      <c r="Z149" s="4619" t="s">
        <v>576</v>
      </c>
      <c r="AA149" s="4620"/>
      <c r="AB149" s="4621"/>
      <c r="AC149" s="4613" t="s">
        <v>1677</v>
      </c>
      <c r="AD149" s="4614"/>
      <c r="AE149" s="4615"/>
      <c r="AF149" s="4627" t="s">
        <v>3573</v>
      </c>
      <c r="AG149" s="4628"/>
      <c r="AH149" s="4629"/>
      <c r="AI149" s="4627" t="s">
        <v>1677</v>
      </c>
      <c r="AJ149" s="4628"/>
      <c r="AK149" s="4629"/>
      <c r="AL149" s="4627" t="s">
        <v>3723</v>
      </c>
      <c r="AM149" s="4628"/>
      <c r="AN149" s="4629"/>
      <c r="AO149" s="4643" t="s">
        <v>3573</v>
      </c>
      <c r="AP149" s="4644"/>
      <c r="AQ149" s="4645"/>
      <c r="AR149" s="4646" t="s">
        <v>577</v>
      </c>
      <c r="AS149" s="4647"/>
      <c r="AT149" s="4648"/>
      <c r="AU149" s="4646" t="s">
        <v>578</v>
      </c>
      <c r="AV149" s="4647"/>
      <c r="AW149" s="4648"/>
      <c r="AX149" s="4646" t="s">
        <v>579</v>
      </c>
      <c r="AY149" s="4647"/>
      <c r="AZ149" s="4648"/>
      <c r="BA149" s="4643" t="s">
        <v>1677</v>
      </c>
      <c r="BB149" s="4644"/>
      <c r="BC149" s="4645"/>
      <c r="BD149" s="4640" t="s">
        <v>3573</v>
      </c>
      <c r="BE149" s="4641"/>
      <c r="BF149" s="4642"/>
      <c r="BG149" s="4640" t="s">
        <v>1677</v>
      </c>
      <c r="BH149" s="4641"/>
      <c r="BI149" s="4642"/>
      <c r="BJ149" s="4640" t="s">
        <v>3723</v>
      </c>
      <c r="BK149" s="4641"/>
      <c r="BL149" s="4642"/>
      <c r="BM149" s="4630" t="s">
        <v>3573</v>
      </c>
      <c r="BN149" s="4631"/>
      <c r="BO149" s="4632"/>
      <c r="BP149" s="4630" t="s">
        <v>580</v>
      </c>
      <c r="BQ149" s="4631"/>
      <c r="BR149" s="4632"/>
      <c r="BS149" s="4630" t="s">
        <v>581</v>
      </c>
      <c r="BT149" s="4631"/>
      <c r="BU149" s="4632"/>
      <c r="BV149" s="4630" t="s">
        <v>582</v>
      </c>
      <c r="BW149" s="4631"/>
      <c r="BX149" s="4632"/>
      <c r="BY149" s="4630" t="s">
        <v>1677</v>
      </c>
      <c r="BZ149" s="4631"/>
      <c r="CA149" s="4631"/>
      <c r="CB149" s="4633" t="s">
        <v>3573</v>
      </c>
      <c r="CC149" s="4634"/>
      <c r="CD149" s="4635"/>
      <c r="CE149" s="4633" t="s">
        <v>1677</v>
      </c>
      <c r="CF149" s="4634"/>
      <c r="CG149" s="4635"/>
      <c r="CH149" s="4633" t="s">
        <v>3723</v>
      </c>
      <c r="CI149" s="4636"/>
      <c r="CJ149" s="4637"/>
      <c r="CK149" s="2863"/>
      <c r="CL149" s="2863"/>
      <c r="CM149" s="2863"/>
    </row>
    <row r="150" spans="1:91" ht="25.5" customHeight="1" x14ac:dyDescent="0.2">
      <c r="A150" s="4639"/>
      <c r="B150" s="2832" t="s">
        <v>616</v>
      </c>
      <c r="C150" s="2832" t="s">
        <v>3791</v>
      </c>
      <c r="D150" s="2832" t="s">
        <v>3792</v>
      </c>
      <c r="E150" s="2832" t="s">
        <v>616</v>
      </c>
      <c r="F150" s="2832" t="s">
        <v>3791</v>
      </c>
      <c r="G150" s="2832" t="s">
        <v>3792</v>
      </c>
      <c r="H150" s="2832" t="s">
        <v>616</v>
      </c>
      <c r="I150" s="2832" t="s">
        <v>3791</v>
      </c>
      <c r="J150" s="2832" t="s">
        <v>3792</v>
      </c>
      <c r="K150" s="2832" t="s">
        <v>616</v>
      </c>
      <c r="L150" s="2832" t="s">
        <v>3791</v>
      </c>
      <c r="M150" s="2832" t="s">
        <v>3792</v>
      </c>
      <c r="N150" s="2832" t="s">
        <v>616</v>
      </c>
      <c r="O150" s="2832" t="s">
        <v>3791</v>
      </c>
      <c r="P150" s="2832" t="s">
        <v>3792</v>
      </c>
      <c r="Q150" s="2832" t="s">
        <v>616</v>
      </c>
      <c r="R150" s="2832" t="s">
        <v>3791</v>
      </c>
      <c r="S150" s="2832" t="s">
        <v>3792</v>
      </c>
      <c r="T150" s="2832" t="s">
        <v>616</v>
      </c>
      <c r="U150" s="2832" t="s">
        <v>3791</v>
      </c>
      <c r="V150" s="2832" t="s">
        <v>3792</v>
      </c>
      <c r="W150" s="2832" t="s">
        <v>616</v>
      </c>
      <c r="X150" s="2832" t="s">
        <v>3791</v>
      </c>
      <c r="Y150" s="2832" t="s">
        <v>3792</v>
      </c>
      <c r="Z150" s="2832" t="s">
        <v>616</v>
      </c>
      <c r="AA150" s="2832" t="s">
        <v>3791</v>
      </c>
      <c r="AB150" s="2832" t="s">
        <v>3792</v>
      </c>
      <c r="AC150" s="2832" t="s">
        <v>616</v>
      </c>
      <c r="AD150" s="2832" t="s">
        <v>3791</v>
      </c>
      <c r="AE150" s="2832" t="s">
        <v>3792</v>
      </c>
      <c r="AF150" s="2833" t="s">
        <v>616</v>
      </c>
      <c r="AG150" s="2833" t="s">
        <v>3791</v>
      </c>
      <c r="AH150" s="2833" t="s">
        <v>3792</v>
      </c>
      <c r="AI150" s="2833" t="s">
        <v>616</v>
      </c>
      <c r="AJ150" s="2833" t="s">
        <v>3791</v>
      </c>
      <c r="AK150" s="2833" t="s">
        <v>3792</v>
      </c>
      <c r="AL150" s="2833" t="s">
        <v>616</v>
      </c>
      <c r="AM150" s="2833" t="s">
        <v>3791</v>
      </c>
      <c r="AN150" s="2833" t="s">
        <v>3792</v>
      </c>
      <c r="AO150" s="2832" t="s">
        <v>616</v>
      </c>
      <c r="AP150" s="2832" t="s">
        <v>3791</v>
      </c>
      <c r="AQ150" s="2832" t="s">
        <v>3792</v>
      </c>
      <c r="AR150" s="2832" t="s">
        <v>616</v>
      </c>
      <c r="AS150" s="2832" t="s">
        <v>3791</v>
      </c>
      <c r="AT150" s="2832" t="s">
        <v>3792</v>
      </c>
      <c r="AU150" s="2832" t="s">
        <v>616</v>
      </c>
      <c r="AV150" s="2832" t="s">
        <v>3791</v>
      </c>
      <c r="AW150" s="2832" t="s">
        <v>3792</v>
      </c>
      <c r="AX150" s="2832" t="s">
        <v>616</v>
      </c>
      <c r="AY150" s="2832" t="s">
        <v>3791</v>
      </c>
      <c r="AZ150" s="2832" t="s">
        <v>3792</v>
      </c>
      <c r="BA150" s="2832" t="s">
        <v>616</v>
      </c>
      <c r="BB150" s="2832" t="s">
        <v>3791</v>
      </c>
      <c r="BC150" s="2832" t="s">
        <v>3792</v>
      </c>
      <c r="BD150" s="2833" t="s">
        <v>616</v>
      </c>
      <c r="BE150" s="2833" t="s">
        <v>3791</v>
      </c>
      <c r="BF150" s="2833" t="s">
        <v>3792</v>
      </c>
      <c r="BG150" s="2833" t="s">
        <v>616</v>
      </c>
      <c r="BH150" s="2833" t="s">
        <v>3791</v>
      </c>
      <c r="BI150" s="2833" t="s">
        <v>3792</v>
      </c>
      <c r="BJ150" s="2833" t="s">
        <v>616</v>
      </c>
      <c r="BK150" s="2833" t="s">
        <v>3791</v>
      </c>
      <c r="BL150" s="2833" t="s">
        <v>3792</v>
      </c>
      <c r="BM150" s="2832" t="s">
        <v>616</v>
      </c>
      <c r="BN150" s="2832" t="s">
        <v>3791</v>
      </c>
      <c r="BO150" s="2832" t="s">
        <v>3792</v>
      </c>
      <c r="BP150" s="2832" t="s">
        <v>616</v>
      </c>
      <c r="BQ150" s="2832" t="s">
        <v>3791</v>
      </c>
      <c r="BR150" s="2832" t="s">
        <v>3792</v>
      </c>
      <c r="BS150" s="2832" t="s">
        <v>616</v>
      </c>
      <c r="BT150" s="2832" t="s">
        <v>3791</v>
      </c>
      <c r="BU150" s="2832" t="s">
        <v>3792</v>
      </c>
      <c r="BV150" s="2832" t="s">
        <v>616</v>
      </c>
      <c r="BW150" s="2832" t="s">
        <v>3791</v>
      </c>
      <c r="BX150" s="2832" t="s">
        <v>3792</v>
      </c>
      <c r="BY150" s="2832" t="s">
        <v>616</v>
      </c>
      <c r="BZ150" s="2832" t="s">
        <v>3791</v>
      </c>
      <c r="CA150" s="2832" t="s">
        <v>3792</v>
      </c>
      <c r="CB150" s="2833" t="s">
        <v>616</v>
      </c>
      <c r="CC150" s="2833" t="s">
        <v>3791</v>
      </c>
      <c r="CD150" s="2833" t="s">
        <v>3792</v>
      </c>
      <c r="CE150" s="2833" t="s">
        <v>616</v>
      </c>
      <c r="CF150" s="2833" t="s">
        <v>3791</v>
      </c>
      <c r="CG150" s="2833" t="s">
        <v>3792</v>
      </c>
      <c r="CH150" s="2833" t="s">
        <v>616</v>
      </c>
      <c r="CI150" s="2833" t="s">
        <v>3791</v>
      </c>
      <c r="CJ150" s="2833" t="s">
        <v>3792</v>
      </c>
    </row>
    <row r="151" spans="1:91" ht="18.75" customHeight="1" x14ac:dyDescent="0.3">
      <c r="A151" s="2868" t="s">
        <v>1</v>
      </c>
      <c r="B151" s="2946">
        <f t="shared" ref="B151:CB151" si="1063">SUM(B22+B41)</f>
        <v>2057.2607124796673</v>
      </c>
      <c r="C151" s="2946">
        <f t="shared" si="1063"/>
        <v>2044.5999628307654</v>
      </c>
      <c r="D151" s="2946">
        <f t="shared" si="1063"/>
        <v>12.660749648901724</v>
      </c>
      <c r="E151" s="2865">
        <f t="shared" si="1063"/>
        <v>889.68700000000013</v>
      </c>
      <c r="F151" s="2865">
        <f t="shared" si="1063"/>
        <v>889.27</v>
      </c>
      <c r="G151" s="2865">
        <f t="shared" si="1063"/>
        <v>0.41699999999999998</v>
      </c>
      <c r="H151" s="2865">
        <f t="shared" si="1063"/>
        <v>858.92700000000002</v>
      </c>
      <c r="I151" s="2865">
        <f t="shared" si="1063"/>
        <v>858.45500000000004</v>
      </c>
      <c r="J151" s="2865">
        <f t="shared" si="1063"/>
        <v>0.47199999999999998</v>
      </c>
      <c r="K151" s="2865">
        <f t="shared" si="1063"/>
        <v>938.69800000000009</v>
      </c>
      <c r="L151" s="2865">
        <f t="shared" si="1063"/>
        <v>932.94</v>
      </c>
      <c r="M151" s="2865">
        <f t="shared" si="1063"/>
        <v>5.758</v>
      </c>
      <c r="N151" s="2865">
        <f t="shared" si="1063"/>
        <v>2687.3119999999999</v>
      </c>
      <c r="O151" s="2865">
        <f t="shared" si="1063"/>
        <v>2680.665</v>
      </c>
      <c r="P151" s="2865">
        <f t="shared" si="1063"/>
        <v>6.6470000000000002</v>
      </c>
      <c r="Q151" s="2946">
        <f t="shared" si="1063"/>
        <v>2057.2607124796673</v>
      </c>
      <c r="R151" s="2946">
        <f t="shared" si="1063"/>
        <v>2044.5999628307654</v>
      </c>
      <c r="S151" s="2946">
        <f t="shared" si="1063"/>
        <v>12.660749648901724</v>
      </c>
      <c r="T151" s="2865">
        <f t="shared" si="1063"/>
        <v>928.84299999999996</v>
      </c>
      <c r="U151" s="2865">
        <f t="shared" si="1063"/>
        <v>927.36</v>
      </c>
      <c r="V151" s="2865">
        <f t="shared" si="1063"/>
        <v>1.4830000000000001</v>
      </c>
      <c r="W151" s="2865">
        <f t="shared" si="1063"/>
        <v>890.96999999999991</v>
      </c>
      <c r="X151" s="2865">
        <f t="shared" si="1063"/>
        <v>890.43999999999994</v>
      </c>
      <c r="Y151" s="2865">
        <f t="shared" si="1063"/>
        <v>0.53</v>
      </c>
      <c r="Z151" s="2865">
        <f t="shared" si="1063"/>
        <v>779.25300000000004</v>
      </c>
      <c r="AA151" s="2865">
        <f t="shared" si="1063"/>
        <v>772.98</v>
      </c>
      <c r="AB151" s="2865">
        <f t="shared" si="1063"/>
        <v>6.2729999999999997</v>
      </c>
      <c r="AC151" s="2865">
        <f t="shared" si="1063"/>
        <v>2599.0659999999998</v>
      </c>
      <c r="AD151" s="2865">
        <f t="shared" si="1063"/>
        <v>2590.7799999999997</v>
      </c>
      <c r="AE151" s="2865">
        <f t="shared" si="1063"/>
        <v>8.2859999999999996</v>
      </c>
      <c r="AF151" s="2990">
        <f t="shared" si="1063"/>
        <v>4114.5214249593346</v>
      </c>
      <c r="AG151" s="2990">
        <f t="shared" si="1063"/>
        <v>4089.1999256615309</v>
      </c>
      <c r="AH151" s="2990">
        <f t="shared" si="1063"/>
        <v>25.321499297803449</v>
      </c>
      <c r="AI151" s="3001">
        <f t="shared" si="1063"/>
        <v>5286.3779999999997</v>
      </c>
      <c r="AJ151" s="3001">
        <f t="shared" si="1063"/>
        <v>5271.4449999999997</v>
      </c>
      <c r="AK151" s="3001">
        <f t="shared" si="1063"/>
        <v>14.933</v>
      </c>
      <c r="AL151" s="2847">
        <f t="shared" ref="AL151:AN166" si="1064">SUM(AI151-AF151)</f>
        <v>1171.8565750406651</v>
      </c>
      <c r="AM151" s="2847">
        <f t="shared" si="1064"/>
        <v>1182.2450743384688</v>
      </c>
      <c r="AN151" s="2847">
        <f t="shared" si="1064"/>
        <v>-10.388499297803449</v>
      </c>
      <c r="AO151" s="2946">
        <f t="shared" si="1063"/>
        <v>2139.7916952221826</v>
      </c>
      <c r="AP151" s="2946">
        <f t="shared" si="1063"/>
        <v>2126.3839613439959</v>
      </c>
      <c r="AQ151" s="2946">
        <f t="shared" si="1063"/>
        <v>13.407733878186928</v>
      </c>
      <c r="AR151" s="2865">
        <f t="shared" si="1063"/>
        <v>846.07499999999993</v>
      </c>
      <c r="AS151" s="2865">
        <f t="shared" si="1063"/>
        <v>845.08399999999995</v>
      </c>
      <c r="AT151" s="2865">
        <f t="shared" si="1063"/>
        <v>0.99099999999999999</v>
      </c>
      <c r="AU151" s="2865">
        <f t="shared" si="1063"/>
        <v>882.62699999999995</v>
      </c>
      <c r="AV151" s="2865">
        <f t="shared" si="1063"/>
        <v>880.98699999999997</v>
      </c>
      <c r="AW151" s="2865">
        <f t="shared" si="1063"/>
        <v>1.64</v>
      </c>
      <c r="AX151" s="2865">
        <f t="shared" si="1063"/>
        <v>922.00100000000009</v>
      </c>
      <c r="AY151" s="2865">
        <f t="shared" si="1063"/>
        <v>921.45500000000004</v>
      </c>
      <c r="AZ151" s="2865">
        <f t="shared" si="1063"/>
        <v>0.54600000000000004</v>
      </c>
      <c r="BA151" s="2865">
        <f t="shared" si="1063"/>
        <v>2650.703</v>
      </c>
      <c r="BB151" s="2865">
        <f t="shared" si="1063"/>
        <v>2647.5259999999998</v>
      </c>
      <c r="BC151" s="2865">
        <f t="shared" si="1063"/>
        <v>3.1769999999999996</v>
      </c>
      <c r="BD151" s="2990">
        <f t="shared" si="1063"/>
        <v>6254.3131201815158</v>
      </c>
      <c r="BE151" s="2990">
        <f t="shared" si="1063"/>
        <v>6215.5838870055268</v>
      </c>
      <c r="BF151" s="2990">
        <f t="shared" si="1063"/>
        <v>38.729233175990373</v>
      </c>
      <c r="BG151" s="3001">
        <f t="shared" si="1063"/>
        <v>7937.0810000000001</v>
      </c>
      <c r="BH151" s="3001">
        <f t="shared" si="1063"/>
        <v>7918.9709999999995</v>
      </c>
      <c r="BI151" s="3001">
        <f t="shared" si="1063"/>
        <v>18.11</v>
      </c>
      <c r="BJ151" s="2847">
        <f t="shared" ref="BJ151:BL179" si="1065">SUM(BG151-BD151)</f>
        <v>1682.7678798184843</v>
      </c>
      <c r="BK151" s="2847">
        <f t="shared" si="1065"/>
        <v>1703.3871129944728</v>
      </c>
      <c r="BL151" s="2847">
        <f t="shared" si="1065"/>
        <v>-20.619233175990374</v>
      </c>
      <c r="BM151" s="2946">
        <f t="shared" si="1063"/>
        <v>2139.7916952221826</v>
      </c>
      <c r="BN151" s="2946">
        <f t="shared" si="1063"/>
        <v>2126.3839613439959</v>
      </c>
      <c r="BO151" s="2946">
        <f t="shared" si="1063"/>
        <v>13.407733878186928</v>
      </c>
      <c r="BP151" s="2865">
        <f t="shared" si="1063"/>
        <v>931.12300000000005</v>
      </c>
      <c r="BQ151" s="2865">
        <f t="shared" si="1063"/>
        <v>929.21100000000001</v>
      </c>
      <c r="BR151" s="2865">
        <f t="shared" si="1063"/>
        <v>1.9119999999999999</v>
      </c>
      <c r="BS151" s="2865">
        <f t="shared" si="1063"/>
        <v>938.45600000000002</v>
      </c>
      <c r="BT151" s="2865">
        <f t="shared" si="1063"/>
        <v>937.85199999999998</v>
      </c>
      <c r="BU151" s="2865">
        <f t="shared" si="1063"/>
        <v>0.60399999999999998</v>
      </c>
      <c r="BV151" s="2865">
        <f t="shared" si="1063"/>
        <v>996.23800000000006</v>
      </c>
      <c r="BW151" s="2865">
        <f t="shared" si="1063"/>
        <v>984.125</v>
      </c>
      <c r="BX151" s="2865">
        <f t="shared" si="1063"/>
        <v>12.113</v>
      </c>
      <c r="BY151" s="2865">
        <f t="shared" si="1063"/>
        <v>2865.817</v>
      </c>
      <c r="BZ151" s="2865">
        <f t="shared" si="1063"/>
        <v>2851.1880000000001</v>
      </c>
      <c r="CA151" s="2865">
        <f t="shared" si="1063"/>
        <v>14.629</v>
      </c>
      <c r="CB151" s="2990">
        <f t="shared" si="1063"/>
        <v>8394.1048154036998</v>
      </c>
      <c r="CC151" s="2990">
        <f t="shared" ref="CC151:CG151" si="1066">SUM(CC22+CC41)</f>
        <v>8341.9678483495227</v>
      </c>
      <c r="CD151" s="2990">
        <f t="shared" si="1066"/>
        <v>52.136967054177305</v>
      </c>
      <c r="CE151" s="3001">
        <f t="shared" si="1066"/>
        <v>10802.897999999999</v>
      </c>
      <c r="CF151" s="3001">
        <f t="shared" si="1066"/>
        <v>10770.159</v>
      </c>
      <c r="CG151" s="3001">
        <f t="shared" si="1066"/>
        <v>32.738999999999997</v>
      </c>
      <c r="CH151" s="2847">
        <f t="shared" ref="CH151:CJ179" si="1067">SUM(CE151-CB151)</f>
        <v>2408.7931845962994</v>
      </c>
      <c r="CI151" s="2847">
        <f t="shared" si="1067"/>
        <v>2428.191151650477</v>
      </c>
      <c r="CJ151" s="2847">
        <f t="shared" si="1067"/>
        <v>-19.397967054177307</v>
      </c>
    </row>
    <row r="152" spans="1:91" ht="18.75" customHeight="1" x14ac:dyDescent="0.3">
      <c r="A152" s="2868" t="s">
        <v>2</v>
      </c>
      <c r="B152" s="2946">
        <f t="shared" ref="B152:CB152" si="1068">SUM(B23+B43+B80+B95)</f>
        <v>1283.1550000000002</v>
      </c>
      <c r="C152" s="2946">
        <f t="shared" si="1068"/>
        <v>1283.1550000000002</v>
      </c>
      <c r="D152" s="2946">
        <f t="shared" si="1068"/>
        <v>0</v>
      </c>
      <c r="E152" s="2865">
        <f t="shared" si="1068"/>
        <v>441.29</v>
      </c>
      <c r="F152" s="2865">
        <f t="shared" si="1068"/>
        <v>441.29</v>
      </c>
      <c r="G152" s="2865">
        <f t="shared" si="1068"/>
        <v>0</v>
      </c>
      <c r="H152" s="2865">
        <f t="shared" si="1068"/>
        <v>443.42899999999997</v>
      </c>
      <c r="I152" s="2865">
        <f t="shared" si="1068"/>
        <v>443.42899999999997</v>
      </c>
      <c r="J152" s="2865">
        <f t="shared" si="1068"/>
        <v>0</v>
      </c>
      <c r="K152" s="2865">
        <f t="shared" si="1068"/>
        <v>435.44000000000005</v>
      </c>
      <c r="L152" s="2865">
        <f t="shared" si="1068"/>
        <v>435.44000000000005</v>
      </c>
      <c r="M152" s="2865">
        <f t="shared" si="1068"/>
        <v>0</v>
      </c>
      <c r="N152" s="2865">
        <f t="shared" si="1068"/>
        <v>1320.1590000000001</v>
      </c>
      <c r="O152" s="2865">
        <f t="shared" si="1068"/>
        <v>1320.1590000000001</v>
      </c>
      <c r="P152" s="2865">
        <f t="shared" si="1068"/>
        <v>0</v>
      </c>
      <c r="Q152" s="2946">
        <f t="shared" si="1068"/>
        <v>1283.1550000000002</v>
      </c>
      <c r="R152" s="2946">
        <f t="shared" si="1068"/>
        <v>1283.1550000000002</v>
      </c>
      <c r="S152" s="2946">
        <f t="shared" si="1068"/>
        <v>0</v>
      </c>
      <c r="T152" s="2865">
        <f t="shared" si="1068"/>
        <v>437.66999999999996</v>
      </c>
      <c r="U152" s="2865">
        <f t="shared" si="1068"/>
        <v>437.66999999999996</v>
      </c>
      <c r="V152" s="2865">
        <f t="shared" si="1068"/>
        <v>0</v>
      </c>
      <c r="W152" s="2865">
        <f t="shared" si="1068"/>
        <v>458.37</v>
      </c>
      <c r="X152" s="2865">
        <f t="shared" si="1068"/>
        <v>458.37</v>
      </c>
      <c r="Y152" s="2865">
        <f t="shared" si="1068"/>
        <v>0</v>
      </c>
      <c r="Z152" s="2865">
        <f t="shared" si="1068"/>
        <v>453.42899999999997</v>
      </c>
      <c r="AA152" s="2865">
        <f t="shared" si="1068"/>
        <v>453.42899999999997</v>
      </c>
      <c r="AB152" s="2865">
        <f t="shared" si="1068"/>
        <v>0</v>
      </c>
      <c r="AC152" s="2865">
        <f t="shared" si="1068"/>
        <v>1349.4690000000001</v>
      </c>
      <c r="AD152" s="2865">
        <f t="shared" si="1068"/>
        <v>1349.4690000000001</v>
      </c>
      <c r="AE152" s="2865">
        <f t="shared" si="1068"/>
        <v>0</v>
      </c>
      <c r="AF152" s="2990">
        <f t="shared" si="1068"/>
        <v>2566.3100000000004</v>
      </c>
      <c r="AG152" s="2990">
        <f t="shared" si="1068"/>
        <v>2566.3100000000004</v>
      </c>
      <c r="AH152" s="2990">
        <f t="shared" si="1068"/>
        <v>0</v>
      </c>
      <c r="AI152" s="3001">
        <f t="shared" si="1068"/>
        <v>2669.6280000000002</v>
      </c>
      <c r="AJ152" s="3001">
        <f t="shared" si="1068"/>
        <v>2669.6280000000002</v>
      </c>
      <c r="AK152" s="3001">
        <f t="shared" si="1068"/>
        <v>0</v>
      </c>
      <c r="AL152" s="2847">
        <f t="shared" ref="AL152:AL179" si="1069">SUM(AI152-AF152)</f>
        <v>103.31799999999976</v>
      </c>
      <c r="AM152" s="2847">
        <f t="shared" si="1064"/>
        <v>103.31799999999976</v>
      </c>
      <c r="AN152" s="2847">
        <f t="shared" si="1064"/>
        <v>0</v>
      </c>
      <c r="AO152" s="2946">
        <f t="shared" si="1068"/>
        <v>1283.1550000000002</v>
      </c>
      <c r="AP152" s="2946">
        <f t="shared" si="1068"/>
        <v>1283.1550000000002</v>
      </c>
      <c r="AQ152" s="2946">
        <f t="shared" si="1068"/>
        <v>0</v>
      </c>
      <c r="AR152" s="2865">
        <f t="shared" si="1068"/>
        <v>457.85</v>
      </c>
      <c r="AS152" s="2865">
        <f t="shared" si="1068"/>
        <v>457.85</v>
      </c>
      <c r="AT152" s="2865">
        <f t="shared" si="1068"/>
        <v>0</v>
      </c>
      <c r="AU152" s="2865">
        <f t="shared" si="1068"/>
        <v>457.077</v>
      </c>
      <c r="AV152" s="2865">
        <f t="shared" si="1068"/>
        <v>457.077</v>
      </c>
      <c r="AW152" s="2865">
        <f t="shared" si="1068"/>
        <v>0</v>
      </c>
      <c r="AX152" s="2865">
        <f t="shared" si="1068"/>
        <v>471.94399999999996</v>
      </c>
      <c r="AY152" s="2865">
        <f t="shared" si="1068"/>
        <v>471.94399999999996</v>
      </c>
      <c r="AZ152" s="2865">
        <f t="shared" si="1068"/>
        <v>0</v>
      </c>
      <c r="BA152" s="2865">
        <f t="shared" si="1068"/>
        <v>1386.8710000000001</v>
      </c>
      <c r="BB152" s="2865">
        <f t="shared" si="1068"/>
        <v>1386.8710000000001</v>
      </c>
      <c r="BC152" s="2865">
        <f t="shared" si="1068"/>
        <v>0</v>
      </c>
      <c r="BD152" s="2990">
        <f t="shared" si="1068"/>
        <v>3849.4650000000001</v>
      </c>
      <c r="BE152" s="2990">
        <f t="shared" si="1068"/>
        <v>3849.4650000000001</v>
      </c>
      <c r="BF152" s="2990">
        <f t="shared" si="1068"/>
        <v>0</v>
      </c>
      <c r="BG152" s="3001">
        <f t="shared" si="1068"/>
        <v>4056.4989999999998</v>
      </c>
      <c r="BH152" s="3001">
        <f t="shared" si="1068"/>
        <v>4056.4989999999998</v>
      </c>
      <c r="BI152" s="3001">
        <f t="shared" si="1068"/>
        <v>0</v>
      </c>
      <c r="BJ152" s="2847">
        <f t="shared" si="1065"/>
        <v>207.03399999999965</v>
      </c>
      <c r="BK152" s="2847">
        <f t="shared" si="1065"/>
        <v>207.03399999999965</v>
      </c>
      <c r="BL152" s="2847">
        <f t="shared" si="1065"/>
        <v>0</v>
      </c>
      <c r="BM152" s="2946">
        <f t="shared" si="1068"/>
        <v>1283.1550000000002</v>
      </c>
      <c r="BN152" s="2946">
        <f t="shared" si="1068"/>
        <v>1283.1550000000002</v>
      </c>
      <c r="BO152" s="2946">
        <f t="shared" si="1068"/>
        <v>0</v>
      </c>
      <c r="BP152" s="2865">
        <f t="shared" si="1068"/>
        <v>473.88</v>
      </c>
      <c r="BQ152" s="2865">
        <f t="shared" si="1068"/>
        <v>473.88</v>
      </c>
      <c r="BR152" s="2865">
        <f t="shared" si="1068"/>
        <v>0</v>
      </c>
      <c r="BS152" s="2865">
        <f t="shared" si="1068"/>
        <v>480.29</v>
      </c>
      <c r="BT152" s="2865">
        <f t="shared" si="1068"/>
        <v>480.29</v>
      </c>
      <c r="BU152" s="2865">
        <f t="shared" si="1068"/>
        <v>0</v>
      </c>
      <c r="BV152" s="2865">
        <f t="shared" si="1068"/>
        <v>480.08100000000002</v>
      </c>
      <c r="BW152" s="2865">
        <f t="shared" si="1068"/>
        <v>480.08100000000002</v>
      </c>
      <c r="BX152" s="2865">
        <f t="shared" si="1068"/>
        <v>0</v>
      </c>
      <c r="BY152" s="2865">
        <f t="shared" si="1068"/>
        <v>1434.251</v>
      </c>
      <c r="BZ152" s="2865">
        <f t="shared" si="1068"/>
        <v>1434.251</v>
      </c>
      <c r="CA152" s="2865">
        <f t="shared" si="1068"/>
        <v>0</v>
      </c>
      <c r="CB152" s="2990">
        <f t="shared" si="1068"/>
        <v>5132.6200000000008</v>
      </c>
      <c r="CC152" s="2990">
        <f t="shared" ref="CC152:CG152" si="1070">SUM(CC23+CC43+CC80+CC95)</f>
        <v>5132.6200000000008</v>
      </c>
      <c r="CD152" s="2990">
        <f t="shared" si="1070"/>
        <v>0</v>
      </c>
      <c r="CE152" s="3001">
        <f t="shared" si="1070"/>
        <v>5490.75</v>
      </c>
      <c r="CF152" s="3001">
        <f t="shared" si="1070"/>
        <v>5490.75</v>
      </c>
      <c r="CG152" s="3001">
        <f t="shared" si="1070"/>
        <v>0</v>
      </c>
      <c r="CH152" s="2847">
        <f t="shared" si="1067"/>
        <v>358.1299999999992</v>
      </c>
      <c r="CI152" s="2847">
        <f t="shared" si="1067"/>
        <v>358.1299999999992</v>
      </c>
      <c r="CJ152" s="2847">
        <f t="shared" si="1067"/>
        <v>0</v>
      </c>
    </row>
    <row r="153" spans="1:91" ht="18.75" customHeight="1" x14ac:dyDescent="0.3">
      <c r="A153" s="2868" t="s">
        <v>210</v>
      </c>
      <c r="B153" s="2946">
        <f t="shared" ref="B153:CB153" si="1071">SUM(B24+B44+B96)</f>
        <v>0</v>
      </c>
      <c r="C153" s="2946">
        <f t="shared" ref="C153:AE153" si="1072">SUM(C24+C44+C96)</f>
        <v>0</v>
      </c>
      <c r="D153" s="2946">
        <f t="shared" si="1072"/>
        <v>0</v>
      </c>
      <c r="E153" s="2865">
        <f t="shared" si="1072"/>
        <v>0</v>
      </c>
      <c r="F153" s="2865">
        <f t="shared" si="1072"/>
        <v>0</v>
      </c>
      <c r="G153" s="2865">
        <f t="shared" si="1072"/>
        <v>0</v>
      </c>
      <c r="H153" s="2865">
        <f t="shared" si="1072"/>
        <v>0</v>
      </c>
      <c r="I153" s="2865">
        <f t="shared" si="1072"/>
        <v>0</v>
      </c>
      <c r="J153" s="2865">
        <f t="shared" si="1072"/>
        <v>0</v>
      </c>
      <c r="K153" s="2865">
        <f t="shared" si="1072"/>
        <v>0</v>
      </c>
      <c r="L153" s="2865">
        <f t="shared" si="1072"/>
        <v>0</v>
      </c>
      <c r="M153" s="2865">
        <f t="shared" si="1072"/>
        <v>0</v>
      </c>
      <c r="N153" s="2865">
        <f t="shared" si="1072"/>
        <v>0</v>
      </c>
      <c r="O153" s="2865">
        <f t="shared" si="1072"/>
        <v>0</v>
      </c>
      <c r="P153" s="2865">
        <f t="shared" si="1072"/>
        <v>0</v>
      </c>
      <c r="Q153" s="2946">
        <f t="shared" si="1072"/>
        <v>0</v>
      </c>
      <c r="R153" s="2946">
        <f t="shared" si="1072"/>
        <v>0</v>
      </c>
      <c r="S153" s="2946">
        <f t="shared" si="1072"/>
        <v>0</v>
      </c>
      <c r="T153" s="2865">
        <f t="shared" si="1072"/>
        <v>0</v>
      </c>
      <c r="U153" s="2865">
        <f t="shared" si="1072"/>
        <v>0</v>
      </c>
      <c r="V153" s="2865">
        <f t="shared" si="1072"/>
        <v>0</v>
      </c>
      <c r="W153" s="2865">
        <f t="shared" si="1072"/>
        <v>6.26</v>
      </c>
      <c r="X153" s="2865">
        <f t="shared" si="1072"/>
        <v>6.26</v>
      </c>
      <c r="Y153" s="2865">
        <f t="shared" si="1072"/>
        <v>0</v>
      </c>
      <c r="Z153" s="2865">
        <f t="shared" si="1072"/>
        <v>6.2640000000000002</v>
      </c>
      <c r="AA153" s="2865">
        <f t="shared" si="1072"/>
        <v>6.2640000000000002</v>
      </c>
      <c r="AB153" s="2865">
        <f t="shared" si="1072"/>
        <v>0</v>
      </c>
      <c r="AC153" s="2865">
        <f t="shared" si="1072"/>
        <v>12.524000000000001</v>
      </c>
      <c r="AD153" s="2865">
        <f t="shared" si="1072"/>
        <v>12.524000000000001</v>
      </c>
      <c r="AE153" s="2865">
        <f t="shared" si="1072"/>
        <v>0</v>
      </c>
      <c r="AF153" s="2990">
        <f t="shared" si="1071"/>
        <v>0</v>
      </c>
      <c r="AG153" s="2990">
        <f t="shared" ref="AG153:AK153" si="1073">SUM(AG24+AG44+AG96)</f>
        <v>0</v>
      </c>
      <c r="AH153" s="2990">
        <f t="shared" si="1073"/>
        <v>0</v>
      </c>
      <c r="AI153" s="3001">
        <f t="shared" si="1073"/>
        <v>12.524000000000001</v>
      </c>
      <c r="AJ153" s="3001">
        <f t="shared" si="1073"/>
        <v>12.524000000000001</v>
      </c>
      <c r="AK153" s="3001">
        <f t="shared" si="1073"/>
        <v>0</v>
      </c>
      <c r="AL153" s="2847">
        <f t="shared" si="1069"/>
        <v>12.524000000000001</v>
      </c>
      <c r="AM153" s="2847">
        <f t="shared" si="1064"/>
        <v>12.524000000000001</v>
      </c>
      <c r="AN153" s="2847">
        <f t="shared" si="1064"/>
        <v>0</v>
      </c>
      <c r="AO153" s="2946">
        <f t="shared" si="1071"/>
        <v>0</v>
      </c>
      <c r="AP153" s="2946">
        <f t="shared" ref="AP153:BC153" si="1074">SUM(AP24+AP44+AP96)</f>
        <v>0</v>
      </c>
      <c r="AQ153" s="2946">
        <f t="shared" si="1074"/>
        <v>0</v>
      </c>
      <c r="AR153" s="2865">
        <f t="shared" si="1074"/>
        <v>6.26</v>
      </c>
      <c r="AS153" s="2865">
        <f t="shared" si="1074"/>
        <v>6.26</v>
      </c>
      <c r="AT153" s="2865">
        <f t="shared" si="1074"/>
        <v>0</v>
      </c>
      <c r="AU153" s="2865">
        <f t="shared" si="1074"/>
        <v>6.2640000000000002</v>
      </c>
      <c r="AV153" s="2865">
        <f t="shared" si="1074"/>
        <v>6.2640000000000002</v>
      </c>
      <c r="AW153" s="2865">
        <f t="shared" si="1074"/>
        <v>0</v>
      </c>
      <c r="AX153" s="2865">
        <f t="shared" si="1074"/>
        <v>6.2640000000000002</v>
      </c>
      <c r="AY153" s="2865">
        <f t="shared" si="1074"/>
        <v>6.2640000000000002</v>
      </c>
      <c r="AZ153" s="2865">
        <f t="shared" si="1074"/>
        <v>0</v>
      </c>
      <c r="BA153" s="2865">
        <f t="shared" si="1074"/>
        <v>18.788</v>
      </c>
      <c r="BB153" s="2865">
        <f t="shared" si="1074"/>
        <v>18.788</v>
      </c>
      <c r="BC153" s="2865">
        <f t="shared" si="1074"/>
        <v>0</v>
      </c>
      <c r="BD153" s="2990">
        <f t="shared" si="1071"/>
        <v>0</v>
      </c>
      <c r="BE153" s="2990">
        <f t="shared" ref="BE153:BI153" si="1075">SUM(BE24+BE44+BE96)</f>
        <v>0</v>
      </c>
      <c r="BF153" s="2990">
        <f t="shared" si="1075"/>
        <v>0</v>
      </c>
      <c r="BG153" s="3001">
        <f t="shared" si="1075"/>
        <v>31.312000000000001</v>
      </c>
      <c r="BH153" s="3001">
        <f t="shared" si="1075"/>
        <v>31.312000000000001</v>
      </c>
      <c r="BI153" s="3001">
        <f t="shared" si="1075"/>
        <v>0</v>
      </c>
      <c r="BJ153" s="2847">
        <f t="shared" si="1065"/>
        <v>31.312000000000001</v>
      </c>
      <c r="BK153" s="2847">
        <f t="shared" si="1065"/>
        <v>31.312000000000001</v>
      </c>
      <c r="BL153" s="2847">
        <f t="shared" si="1065"/>
        <v>0</v>
      </c>
      <c r="BM153" s="2946">
        <f t="shared" si="1071"/>
        <v>0</v>
      </c>
      <c r="BN153" s="2946">
        <f t="shared" ref="BN153:CA153" si="1076">SUM(BN24+BN44+BN96)</f>
        <v>0</v>
      </c>
      <c r="BO153" s="2946">
        <f t="shared" si="1076"/>
        <v>0</v>
      </c>
      <c r="BP153" s="2865">
        <f t="shared" si="1076"/>
        <v>7.6539999999999999</v>
      </c>
      <c r="BQ153" s="2865">
        <f t="shared" si="1076"/>
        <v>7.6539999999999999</v>
      </c>
      <c r="BR153" s="2865">
        <f t="shared" si="1076"/>
        <v>0</v>
      </c>
      <c r="BS153" s="2865">
        <f t="shared" si="1076"/>
        <v>7.6539999999999999</v>
      </c>
      <c r="BT153" s="2865">
        <f t="shared" si="1076"/>
        <v>7.6539999999999999</v>
      </c>
      <c r="BU153" s="2865">
        <f t="shared" si="1076"/>
        <v>0</v>
      </c>
      <c r="BV153" s="2865">
        <f t="shared" si="1076"/>
        <v>7.6630000000000003</v>
      </c>
      <c r="BW153" s="2865">
        <f t="shared" si="1076"/>
        <v>7.6630000000000003</v>
      </c>
      <c r="BX153" s="2865">
        <f t="shared" si="1076"/>
        <v>0</v>
      </c>
      <c r="BY153" s="2865">
        <f t="shared" si="1076"/>
        <v>22.971</v>
      </c>
      <c r="BZ153" s="2865">
        <f t="shared" si="1076"/>
        <v>22.971</v>
      </c>
      <c r="CA153" s="2865">
        <f t="shared" si="1076"/>
        <v>0</v>
      </c>
      <c r="CB153" s="2990">
        <f t="shared" si="1071"/>
        <v>0</v>
      </c>
      <c r="CC153" s="2990">
        <f t="shared" ref="CC153:CG153" si="1077">SUM(CC24+CC44+CC96)</f>
        <v>0</v>
      </c>
      <c r="CD153" s="2990">
        <f t="shared" si="1077"/>
        <v>0</v>
      </c>
      <c r="CE153" s="3001">
        <f t="shared" si="1077"/>
        <v>54.283000000000001</v>
      </c>
      <c r="CF153" s="3001">
        <f t="shared" si="1077"/>
        <v>54.283000000000001</v>
      </c>
      <c r="CG153" s="3001">
        <f t="shared" si="1077"/>
        <v>0</v>
      </c>
      <c r="CH153" s="2847">
        <f t="shared" si="1067"/>
        <v>54.283000000000001</v>
      </c>
      <c r="CI153" s="2847">
        <f t="shared" si="1067"/>
        <v>54.283000000000001</v>
      </c>
      <c r="CJ153" s="2847">
        <f t="shared" si="1067"/>
        <v>0</v>
      </c>
    </row>
    <row r="154" spans="1:91" ht="18.75" customHeight="1" x14ac:dyDescent="0.3">
      <c r="A154" s="2868" t="s">
        <v>8</v>
      </c>
      <c r="B154" s="2946">
        <f>SUM(B42)</f>
        <v>290.93180513540381</v>
      </c>
      <c r="C154" s="2946">
        <f t="shared" ref="C154:BN154" si="1078">SUM(C42)</f>
        <v>290.93180513540381</v>
      </c>
      <c r="D154" s="2946">
        <f t="shared" si="1078"/>
        <v>0</v>
      </c>
      <c r="E154" s="2865">
        <f t="shared" si="1078"/>
        <v>86.11</v>
      </c>
      <c r="F154" s="2865">
        <f t="shared" si="1078"/>
        <v>86.11</v>
      </c>
      <c r="G154" s="2865">
        <f t="shared" si="1078"/>
        <v>0</v>
      </c>
      <c r="H154" s="2865">
        <f t="shared" si="1078"/>
        <v>87.031999999999996</v>
      </c>
      <c r="I154" s="2865">
        <f t="shared" si="1078"/>
        <v>87.031999999999996</v>
      </c>
      <c r="J154" s="2865">
        <f t="shared" si="1078"/>
        <v>0</v>
      </c>
      <c r="K154" s="2865">
        <f t="shared" si="1078"/>
        <v>73.05</v>
      </c>
      <c r="L154" s="2865">
        <f t="shared" si="1078"/>
        <v>73.05</v>
      </c>
      <c r="M154" s="2865">
        <f t="shared" si="1078"/>
        <v>0</v>
      </c>
      <c r="N154" s="2865">
        <f t="shared" si="1078"/>
        <v>246.19200000000001</v>
      </c>
      <c r="O154" s="2865">
        <f t="shared" si="1078"/>
        <v>246.19200000000001</v>
      </c>
      <c r="P154" s="2865">
        <f t="shared" si="1078"/>
        <v>0</v>
      </c>
      <c r="Q154" s="2946">
        <f t="shared" si="1078"/>
        <v>290.93180513540381</v>
      </c>
      <c r="R154" s="2946">
        <f t="shared" si="1078"/>
        <v>290.93180513540381</v>
      </c>
      <c r="S154" s="2946">
        <f t="shared" si="1078"/>
        <v>0</v>
      </c>
      <c r="T154" s="2865">
        <f t="shared" si="1078"/>
        <v>77.150000000000006</v>
      </c>
      <c r="U154" s="2865">
        <f t="shared" si="1078"/>
        <v>77.150000000000006</v>
      </c>
      <c r="V154" s="2865">
        <f t="shared" si="1078"/>
        <v>0</v>
      </c>
      <c r="W154" s="2865">
        <f t="shared" si="1078"/>
        <v>48.41</v>
      </c>
      <c r="X154" s="2865">
        <f t="shared" si="1078"/>
        <v>48.41</v>
      </c>
      <c r="Y154" s="2865">
        <f t="shared" si="1078"/>
        <v>0</v>
      </c>
      <c r="Z154" s="2865">
        <f t="shared" si="1078"/>
        <v>33.921999999999997</v>
      </c>
      <c r="AA154" s="2865">
        <f t="shared" si="1078"/>
        <v>33.921999999999997</v>
      </c>
      <c r="AB154" s="2865">
        <f t="shared" si="1078"/>
        <v>0</v>
      </c>
      <c r="AC154" s="2865">
        <f t="shared" si="1078"/>
        <v>159.482</v>
      </c>
      <c r="AD154" s="2865">
        <f t="shared" si="1078"/>
        <v>159.482</v>
      </c>
      <c r="AE154" s="2865">
        <f t="shared" si="1078"/>
        <v>0</v>
      </c>
      <c r="AF154" s="2990">
        <f t="shared" si="1078"/>
        <v>581.86361027080761</v>
      </c>
      <c r="AG154" s="2990">
        <f t="shared" si="1078"/>
        <v>581.86361027080761</v>
      </c>
      <c r="AH154" s="2990">
        <f t="shared" si="1078"/>
        <v>0</v>
      </c>
      <c r="AI154" s="3001">
        <f t="shared" si="1078"/>
        <v>405.67399999999998</v>
      </c>
      <c r="AJ154" s="3001">
        <f t="shared" si="1078"/>
        <v>405.67399999999998</v>
      </c>
      <c r="AK154" s="3001">
        <f t="shared" si="1078"/>
        <v>0</v>
      </c>
      <c r="AL154" s="2847">
        <f t="shared" si="1069"/>
        <v>-176.18961027080763</v>
      </c>
      <c r="AM154" s="2847">
        <f t="shared" si="1064"/>
        <v>-176.18961027080763</v>
      </c>
      <c r="AN154" s="2847">
        <f t="shared" si="1064"/>
        <v>0</v>
      </c>
      <c r="AO154" s="2946">
        <f t="shared" si="1078"/>
        <v>290.93180513540381</v>
      </c>
      <c r="AP154" s="2946">
        <f t="shared" si="1078"/>
        <v>290.93180513540381</v>
      </c>
      <c r="AQ154" s="2946">
        <f t="shared" si="1078"/>
        <v>0</v>
      </c>
      <c r="AR154" s="2865">
        <f t="shared" si="1078"/>
        <v>68.400000000000006</v>
      </c>
      <c r="AS154" s="2865">
        <f t="shared" si="1078"/>
        <v>68.400000000000006</v>
      </c>
      <c r="AT154" s="2865">
        <f t="shared" si="1078"/>
        <v>0</v>
      </c>
      <c r="AU154" s="2865">
        <f t="shared" si="1078"/>
        <v>51.436</v>
      </c>
      <c r="AV154" s="2865">
        <f t="shared" si="1078"/>
        <v>51.436</v>
      </c>
      <c r="AW154" s="2865">
        <f t="shared" si="1078"/>
        <v>0</v>
      </c>
      <c r="AX154" s="2865">
        <f t="shared" si="1078"/>
        <v>5.47</v>
      </c>
      <c r="AY154" s="2865">
        <f t="shared" si="1078"/>
        <v>5.47</v>
      </c>
      <c r="AZ154" s="2865">
        <f t="shared" si="1078"/>
        <v>0</v>
      </c>
      <c r="BA154" s="2865">
        <f t="shared" si="1078"/>
        <v>125.30600000000001</v>
      </c>
      <c r="BB154" s="2865">
        <f t="shared" si="1078"/>
        <v>125.30600000000001</v>
      </c>
      <c r="BC154" s="2865">
        <f t="shared" si="1078"/>
        <v>0</v>
      </c>
      <c r="BD154" s="2990">
        <f t="shared" si="1078"/>
        <v>872.79541540621142</v>
      </c>
      <c r="BE154" s="2990">
        <f t="shared" si="1078"/>
        <v>872.79541540621142</v>
      </c>
      <c r="BF154" s="2990">
        <f t="shared" si="1078"/>
        <v>0</v>
      </c>
      <c r="BG154" s="3001">
        <f t="shared" si="1078"/>
        <v>530.98</v>
      </c>
      <c r="BH154" s="3001">
        <f t="shared" si="1078"/>
        <v>530.98</v>
      </c>
      <c r="BI154" s="3001">
        <f t="shared" si="1078"/>
        <v>0</v>
      </c>
      <c r="BJ154" s="2847">
        <f t="shared" si="1065"/>
        <v>-341.8154154062114</v>
      </c>
      <c r="BK154" s="2847">
        <f t="shared" si="1065"/>
        <v>-341.8154154062114</v>
      </c>
      <c r="BL154" s="2847">
        <f t="shared" si="1065"/>
        <v>0</v>
      </c>
      <c r="BM154" s="2946">
        <f t="shared" si="1078"/>
        <v>290.93180513540381</v>
      </c>
      <c r="BN154" s="2946">
        <f t="shared" si="1078"/>
        <v>290.93180513540381</v>
      </c>
      <c r="BO154" s="2946">
        <f t="shared" ref="BO154:CG154" si="1079">SUM(BO42)</f>
        <v>0</v>
      </c>
      <c r="BP154" s="2865">
        <f t="shared" si="1079"/>
        <v>5.47</v>
      </c>
      <c r="BQ154" s="2865">
        <f t="shared" si="1079"/>
        <v>5.47</v>
      </c>
      <c r="BR154" s="2865">
        <f t="shared" si="1079"/>
        <v>0</v>
      </c>
      <c r="BS154" s="2865">
        <f t="shared" si="1079"/>
        <v>9.1969999999999992</v>
      </c>
      <c r="BT154" s="2865">
        <f t="shared" si="1079"/>
        <v>9.1969999999999992</v>
      </c>
      <c r="BU154" s="2865">
        <f t="shared" si="1079"/>
        <v>0</v>
      </c>
      <c r="BV154" s="2865">
        <f t="shared" si="1079"/>
        <v>64.061999999999998</v>
      </c>
      <c r="BW154" s="2865">
        <f t="shared" si="1079"/>
        <v>64.061999999999998</v>
      </c>
      <c r="BX154" s="2865">
        <f t="shared" si="1079"/>
        <v>0</v>
      </c>
      <c r="BY154" s="2865">
        <f t="shared" si="1079"/>
        <v>78.728999999999999</v>
      </c>
      <c r="BZ154" s="2865">
        <f t="shared" si="1079"/>
        <v>78.728999999999999</v>
      </c>
      <c r="CA154" s="2865">
        <f t="shared" si="1079"/>
        <v>0</v>
      </c>
      <c r="CB154" s="2990">
        <f t="shared" si="1079"/>
        <v>1163.7272205416152</v>
      </c>
      <c r="CC154" s="2990">
        <f t="shared" si="1079"/>
        <v>1163.7272205416152</v>
      </c>
      <c r="CD154" s="2990">
        <f t="shared" si="1079"/>
        <v>0</v>
      </c>
      <c r="CE154" s="3001">
        <f t="shared" si="1079"/>
        <v>609.70900000000006</v>
      </c>
      <c r="CF154" s="3001">
        <f t="shared" si="1079"/>
        <v>609.70900000000006</v>
      </c>
      <c r="CG154" s="3001">
        <f t="shared" si="1079"/>
        <v>0</v>
      </c>
      <c r="CH154" s="2847">
        <f t="shared" si="1067"/>
        <v>-554.01822054161516</v>
      </c>
      <c r="CI154" s="2847">
        <f t="shared" si="1067"/>
        <v>-554.01822054161516</v>
      </c>
      <c r="CJ154" s="2847">
        <f t="shared" si="1067"/>
        <v>0</v>
      </c>
    </row>
    <row r="155" spans="1:91" ht="18.75" customHeight="1" x14ac:dyDescent="0.3">
      <c r="A155" s="2868" t="s">
        <v>3</v>
      </c>
      <c r="B155" s="2946">
        <f>SUM(B25+B45+B76+B97)</f>
        <v>466.27699313361745</v>
      </c>
      <c r="C155" s="2946">
        <f t="shared" ref="C155:AE157" si="1080">SUM(C25+C45+C76+C97)</f>
        <v>466.27699313361745</v>
      </c>
      <c r="D155" s="2946">
        <f t="shared" si="1080"/>
        <v>0</v>
      </c>
      <c r="E155" s="2865">
        <f t="shared" si="1080"/>
        <v>113.96</v>
      </c>
      <c r="F155" s="2865">
        <f t="shared" si="1080"/>
        <v>113.96</v>
      </c>
      <c r="G155" s="2865">
        <f t="shared" si="1080"/>
        <v>0</v>
      </c>
      <c r="H155" s="2865">
        <f t="shared" si="1080"/>
        <v>114.41400000000002</v>
      </c>
      <c r="I155" s="2865">
        <f t="shared" si="1080"/>
        <v>114.41400000000002</v>
      </c>
      <c r="J155" s="2865">
        <f t="shared" si="1080"/>
        <v>0</v>
      </c>
      <c r="K155" s="2865">
        <f t="shared" si="1080"/>
        <v>121.881</v>
      </c>
      <c r="L155" s="2865">
        <f t="shared" si="1080"/>
        <v>121.881</v>
      </c>
      <c r="M155" s="2865">
        <f t="shared" si="1080"/>
        <v>0</v>
      </c>
      <c r="N155" s="2865">
        <f t="shared" si="1080"/>
        <v>350.255</v>
      </c>
      <c r="O155" s="2865">
        <f t="shared" si="1080"/>
        <v>350.255</v>
      </c>
      <c r="P155" s="2865">
        <f t="shared" si="1080"/>
        <v>0</v>
      </c>
      <c r="Q155" s="2946">
        <f t="shared" si="1080"/>
        <v>466.27699313361745</v>
      </c>
      <c r="R155" s="2946">
        <f t="shared" si="1080"/>
        <v>466.27699313361745</v>
      </c>
      <c r="S155" s="2946">
        <f t="shared" si="1080"/>
        <v>0</v>
      </c>
      <c r="T155" s="2865">
        <f t="shared" si="1080"/>
        <v>58.330000000000005</v>
      </c>
      <c r="U155" s="2865">
        <f t="shared" si="1080"/>
        <v>58.330000000000005</v>
      </c>
      <c r="V155" s="2865">
        <f t="shared" si="1080"/>
        <v>0</v>
      </c>
      <c r="W155" s="2865">
        <f t="shared" si="1080"/>
        <v>233.82999999999998</v>
      </c>
      <c r="X155" s="2865">
        <f t="shared" si="1080"/>
        <v>233.82999999999998</v>
      </c>
      <c r="Y155" s="2865">
        <f t="shared" si="1080"/>
        <v>0</v>
      </c>
      <c r="Z155" s="2865">
        <f t="shared" si="1080"/>
        <v>410.971</v>
      </c>
      <c r="AA155" s="2865">
        <f t="shared" si="1080"/>
        <v>410.971</v>
      </c>
      <c r="AB155" s="2865">
        <f t="shared" si="1080"/>
        <v>0</v>
      </c>
      <c r="AC155" s="2865">
        <f t="shared" si="1080"/>
        <v>703.13099999999997</v>
      </c>
      <c r="AD155" s="2865">
        <f t="shared" si="1080"/>
        <v>703.13099999999997</v>
      </c>
      <c r="AE155" s="2865">
        <f t="shared" si="1080"/>
        <v>0</v>
      </c>
      <c r="AF155" s="2990">
        <f>SUM(AF25+AF45+AF76+AF97)</f>
        <v>932.5539862672349</v>
      </c>
      <c r="AG155" s="2990">
        <f t="shared" ref="AG155:AK157" si="1081">SUM(AG25+AG45+AG76+AG97)</f>
        <v>932.5539862672349</v>
      </c>
      <c r="AH155" s="2990">
        <f t="shared" si="1081"/>
        <v>0</v>
      </c>
      <c r="AI155" s="3001">
        <f t="shared" si="1081"/>
        <v>1053.386</v>
      </c>
      <c r="AJ155" s="3001">
        <f t="shared" si="1081"/>
        <v>1053.386</v>
      </c>
      <c r="AK155" s="3001">
        <f t="shared" si="1081"/>
        <v>0</v>
      </c>
      <c r="AL155" s="2847">
        <f t="shared" si="1069"/>
        <v>120.83201373276506</v>
      </c>
      <c r="AM155" s="2847">
        <f t="shared" si="1064"/>
        <v>120.83201373276506</v>
      </c>
      <c r="AN155" s="2847">
        <f t="shared" si="1064"/>
        <v>0</v>
      </c>
      <c r="AO155" s="2946">
        <f>SUM(AO25+AO45+AO76+AO97)</f>
        <v>466.27699313361745</v>
      </c>
      <c r="AP155" s="2946">
        <f t="shared" ref="AP155:BC157" si="1082">SUM(AP25+AP45+AP76+AP97)</f>
        <v>466.27699313361745</v>
      </c>
      <c r="AQ155" s="2946">
        <f t="shared" si="1082"/>
        <v>0</v>
      </c>
      <c r="AR155" s="2865">
        <f t="shared" si="1082"/>
        <v>315.12</v>
      </c>
      <c r="AS155" s="2865">
        <f t="shared" si="1082"/>
        <v>315.12</v>
      </c>
      <c r="AT155" s="2865">
        <f t="shared" si="1082"/>
        <v>0</v>
      </c>
      <c r="AU155" s="2865">
        <f t="shared" si="1082"/>
        <v>1248.8119999999999</v>
      </c>
      <c r="AV155" s="2865">
        <f t="shared" si="1082"/>
        <v>1248.8119999999999</v>
      </c>
      <c r="AW155" s="2865">
        <f t="shared" si="1082"/>
        <v>0</v>
      </c>
      <c r="AX155" s="2865">
        <f t="shared" si="1082"/>
        <v>181.363</v>
      </c>
      <c r="AY155" s="2865">
        <f>SUM(AY25+AY45+AY76+AY97)</f>
        <v>181.363</v>
      </c>
      <c r="AZ155" s="2865">
        <f t="shared" si="1082"/>
        <v>0</v>
      </c>
      <c r="BA155" s="2865">
        <f t="shared" si="1082"/>
        <v>1745.2950000000001</v>
      </c>
      <c r="BB155" s="2865">
        <f t="shared" si="1082"/>
        <v>1745.2950000000001</v>
      </c>
      <c r="BC155" s="2865">
        <f t="shared" si="1082"/>
        <v>0</v>
      </c>
      <c r="BD155" s="2990">
        <f>SUM(BD25+BD45+BD76+BD97)</f>
        <v>1398.8309794008524</v>
      </c>
      <c r="BE155" s="2990">
        <f t="shared" ref="BE155:BI157" si="1083">SUM(BE25+BE45+BE76+BE97)</f>
        <v>1398.8309794008524</v>
      </c>
      <c r="BF155" s="2990">
        <f t="shared" si="1083"/>
        <v>0</v>
      </c>
      <c r="BG155" s="3001">
        <f t="shared" si="1083"/>
        <v>2798.6809999999996</v>
      </c>
      <c r="BH155" s="3001">
        <f t="shared" si="1083"/>
        <v>2798.6809999999996</v>
      </c>
      <c r="BI155" s="3001">
        <f t="shared" si="1083"/>
        <v>0</v>
      </c>
      <c r="BJ155" s="2847">
        <f t="shared" si="1065"/>
        <v>1399.8500205991472</v>
      </c>
      <c r="BK155" s="2847">
        <f t="shared" si="1065"/>
        <v>1399.8500205991472</v>
      </c>
      <c r="BL155" s="2847">
        <f t="shared" si="1065"/>
        <v>0</v>
      </c>
      <c r="BM155" s="2946">
        <f>SUM(BM25+BM45+BM76+BM97)</f>
        <v>466.27699313361745</v>
      </c>
      <c r="BN155" s="2946">
        <f t="shared" ref="BN155:CA157" si="1084">SUM(BN25+BN45+BN76+BN97)</f>
        <v>466.27699313361745</v>
      </c>
      <c r="BO155" s="2946">
        <f t="shared" si="1084"/>
        <v>0</v>
      </c>
      <c r="BP155" s="2865">
        <f t="shared" si="1084"/>
        <v>514.02199999999993</v>
      </c>
      <c r="BQ155" s="2865">
        <f t="shared" si="1084"/>
        <v>514.02199999999993</v>
      </c>
      <c r="BR155" s="2865">
        <f t="shared" si="1084"/>
        <v>0</v>
      </c>
      <c r="BS155" s="2865">
        <f t="shared" si="1084"/>
        <v>113.298</v>
      </c>
      <c r="BT155" s="2865">
        <f t="shared" si="1084"/>
        <v>113.298</v>
      </c>
      <c r="BU155" s="2865">
        <f t="shared" si="1084"/>
        <v>0</v>
      </c>
      <c r="BV155" s="2865">
        <f t="shared" si="1084"/>
        <v>189.49599999999998</v>
      </c>
      <c r="BW155" s="2865">
        <f t="shared" si="1084"/>
        <v>189.49599999999998</v>
      </c>
      <c r="BX155" s="2865">
        <f t="shared" si="1084"/>
        <v>0</v>
      </c>
      <c r="BY155" s="2865">
        <f t="shared" si="1084"/>
        <v>816.81600000000003</v>
      </c>
      <c r="BZ155" s="2865">
        <f t="shared" si="1084"/>
        <v>816.81600000000003</v>
      </c>
      <c r="CA155" s="2865">
        <f t="shared" si="1084"/>
        <v>0</v>
      </c>
      <c r="CB155" s="2990">
        <f>SUM(CB25+CB45+CB76+CB97)</f>
        <v>1865.1079725344698</v>
      </c>
      <c r="CC155" s="2990">
        <f t="shared" ref="CC155:CG157" si="1085">SUM(CC25+CC45+CC76+CC97)</f>
        <v>1865.1079725344698</v>
      </c>
      <c r="CD155" s="2990">
        <f t="shared" si="1085"/>
        <v>0</v>
      </c>
      <c r="CE155" s="3001">
        <f t="shared" si="1085"/>
        <v>3615.4970000000003</v>
      </c>
      <c r="CF155" s="3001">
        <f t="shared" si="1085"/>
        <v>3615.4970000000003</v>
      </c>
      <c r="CG155" s="3001">
        <f t="shared" si="1085"/>
        <v>0</v>
      </c>
      <c r="CH155" s="2847">
        <f t="shared" si="1067"/>
        <v>1750.3890274655305</v>
      </c>
      <c r="CI155" s="2847">
        <f t="shared" si="1067"/>
        <v>1750.3890274655305</v>
      </c>
      <c r="CJ155" s="2847">
        <f t="shared" si="1067"/>
        <v>0</v>
      </c>
    </row>
    <row r="156" spans="1:91" ht="18.75" customHeight="1" x14ac:dyDescent="0.3">
      <c r="A156" s="2868" t="s">
        <v>4</v>
      </c>
      <c r="B156" s="2946">
        <f>SUM(B26+B46+B77+B98)</f>
        <v>9879.4521932778644</v>
      </c>
      <c r="C156" s="2946">
        <f t="shared" si="1080"/>
        <v>9848.2019149897133</v>
      </c>
      <c r="D156" s="2946">
        <f t="shared" si="1080"/>
        <v>31.250278288152</v>
      </c>
      <c r="E156" s="2865">
        <f t="shared" si="1080"/>
        <v>2327.413</v>
      </c>
      <c r="F156" s="2865">
        <f t="shared" si="1080"/>
        <v>2321.44</v>
      </c>
      <c r="G156" s="2865">
        <f t="shared" si="1080"/>
        <v>5.9729999999999999</v>
      </c>
      <c r="H156" s="2865">
        <f t="shared" si="1080"/>
        <v>2511.4500000000003</v>
      </c>
      <c r="I156" s="2865">
        <f t="shared" si="1080"/>
        <v>2503.933</v>
      </c>
      <c r="J156" s="2865">
        <f t="shared" si="1080"/>
        <v>7.5170000000000003</v>
      </c>
      <c r="K156" s="2865">
        <f t="shared" si="1080"/>
        <v>2806.82834</v>
      </c>
      <c r="L156" s="2865">
        <f t="shared" si="1080"/>
        <v>2796.9180000000001</v>
      </c>
      <c r="M156" s="2865">
        <f t="shared" si="1080"/>
        <v>9.9103399999999997</v>
      </c>
      <c r="N156" s="2865">
        <f t="shared" si="1080"/>
        <v>7645.6913400000012</v>
      </c>
      <c r="O156" s="2865">
        <f t="shared" si="1080"/>
        <v>7622.2910000000011</v>
      </c>
      <c r="P156" s="2865">
        <f t="shared" si="1080"/>
        <v>23.40034</v>
      </c>
      <c r="Q156" s="2946">
        <f t="shared" si="1080"/>
        <v>9879.4521932778644</v>
      </c>
      <c r="R156" s="2946">
        <f t="shared" si="1080"/>
        <v>9848.2019149897133</v>
      </c>
      <c r="S156" s="2946">
        <f t="shared" si="1080"/>
        <v>31.250278288152</v>
      </c>
      <c r="T156" s="2865">
        <f t="shared" si="1080"/>
        <v>2988.33</v>
      </c>
      <c r="U156" s="2865">
        <f t="shared" si="1080"/>
        <v>2978.72</v>
      </c>
      <c r="V156" s="2865">
        <f t="shared" si="1080"/>
        <v>9.61</v>
      </c>
      <c r="W156" s="2865">
        <f t="shared" si="1080"/>
        <v>2633.84</v>
      </c>
      <c r="X156" s="2865">
        <f t="shared" si="1080"/>
        <v>2625.1</v>
      </c>
      <c r="Y156" s="2865">
        <f t="shared" si="1080"/>
        <v>8.74</v>
      </c>
      <c r="Z156" s="2865">
        <f t="shared" si="1080"/>
        <v>2601.8890000000001</v>
      </c>
      <c r="AA156" s="2865">
        <f t="shared" si="1080"/>
        <v>2598.326</v>
      </c>
      <c r="AB156" s="2865">
        <f t="shared" si="1080"/>
        <v>3.5630000000000002</v>
      </c>
      <c r="AC156" s="2865">
        <f t="shared" si="1080"/>
        <v>8224.0589999999993</v>
      </c>
      <c r="AD156" s="2865">
        <f t="shared" si="1080"/>
        <v>8202.1460000000006</v>
      </c>
      <c r="AE156" s="2865">
        <f t="shared" si="1080"/>
        <v>21.913</v>
      </c>
      <c r="AF156" s="2990">
        <f>SUM(AF26+AF46+AF77+AF98)</f>
        <v>19758.904386555729</v>
      </c>
      <c r="AG156" s="2990">
        <f t="shared" si="1081"/>
        <v>19696.403829979427</v>
      </c>
      <c r="AH156" s="2990">
        <f t="shared" si="1081"/>
        <v>62.500556576304</v>
      </c>
      <c r="AI156" s="3001">
        <f t="shared" si="1081"/>
        <v>15869.750339999999</v>
      </c>
      <c r="AJ156" s="3001">
        <f t="shared" si="1081"/>
        <v>15824.436999999998</v>
      </c>
      <c r="AK156" s="3001">
        <f t="shared" si="1081"/>
        <v>45.313339999999997</v>
      </c>
      <c r="AL156" s="2847">
        <f t="shared" si="1069"/>
        <v>-3889.15404655573</v>
      </c>
      <c r="AM156" s="2847">
        <f t="shared" si="1064"/>
        <v>-3871.9668299794284</v>
      </c>
      <c r="AN156" s="2847">
        <f t="shared" si="1064"/>
        <v>-17.187216576304003</v>
      </c>
      <c r="AO156" s="2946">
        <f>SUM(AO26+AO46+AO77+AO98)</f>
        <v>9879.4521932778644</v>
      </c>
      <c r="AP156" s="2946">
        <f t="shared" si="1082"/>
        <v>9848.2019149897133</v>
      </c>
      <c r="AQ156" s="2946">
        <f t="shared" si="1082"/>
        <v>31.250278288152</v>
      </c>
      <c r="AR156" s="2865">
        <f t="shared" si="1082"/>
        <v>2895.6579999999999</v>
      </c>
      <c r="AS156" s="2865">
        <f t="shared" si="1082"/>
        <v>2887.64</v>
      </c>
      <c r="AT156" s="2865">
        <f t="shared" si="1082"/>
        <v>8.0180000000000007</v>
      </c>
      <c r="AU156" s="2865">
        <f t="shared" si="1082"/>
        <v>2794.3330000000001</v>
      </c>
      <c r="AV156" s="2865">
        <f t="shared" si="1082"/>
        <v>2785.3740000000003</v>
      </c>
      <c r="AW156" s="2865">
        <f t="shared" si="1082"/>
        <v>8.9589999999999996</v>
      </c>
      <c r="AX156" s="2865">
        <f t="shared" si="1082"/>
        <v>2890.4539999999997</v>
      </c>
      <c r="AY156" s="2865">
        <f>SUM(AY26+AY46+AY77+AY98)</f>
        <v>2881.4949999999999</v>
      </c>
      <c r="AZ156" s="2865">
        <f t="shared" si="1082"/>
        <v>8.9589999999999996</v>
      </c>
      <c r="BA156" s="2865">
        <f t="shared" si="1082"/>
        <v>8580.4449999999997</v>
      </c>
      <c r="BB156" s="2865">
        <f t="shared" si="1082"/>
        <v>8554.509</v>
      </c>
      <c r="BC156" s="2865">
        <f t="shared" si="1082"/>
        <v>25.936</v>
      </c>
      <c r="BD156" s="2990">
        <f>SUM(BD26+BD46+BD77+BD98)</f>
        <v>29638.356579833591</v>
      </c>
      <c r="BE156" s="2990">
        <f t="shared" si="1083"/>
        <v>29544.605744969136</v>
      </c>
      <c r="BF156" s="2990">
        <f t="shared" si="1083"/>
        <v>93.750834864455996</v>
      </c>
      <c r="BG156" s="3001">
        <f t="shared" si="1083"/>
        <v>24450.195339999998</v>
      </c>
      <c r="BH156" s="3001">
        <f t="shared" si="1083"/>
        <v>24378.945999999996</v>
      </c>
      <c r="BI156" s="3001">
        <f t="shared" si="1083"/>
        <v>71.249339999999989</v>
      </c>
      <c r="BJ156" s="2847">
        <f t="shared" si="1065"/>
        <v>-5188.1612398335928</v>
      </c>
      <c r="BK156" s="2847">
        <f t="shared" si="1065"/>
        <v>-5165.6597449691399</v>
      </c>
      <c r="BL156" s="2847">
        <f t="shared" si="1065"/>
        <v>-22.501494864456006</v>
      </c>
      <c r="BM156" s="2946">
        <f>SUM(BM26+BM46+BM77+BM98)</f>
        <v>9879.4521932778644</v>
      </c>
      <c r="BN156" s="2946">
        <f t="shared" si="1084"/>
        <v>9848.2019149897133</v>
      </c>
      <c r="BO156" s="2946">
        <f t="shared" si="1084"/>
        <v>31.250278288152</v>
      </c>
      <c r="BP156" s="2865">
        <f t="shared" si="1084"/>
        <v>2548.7130000000002</v>
      </c>
      <c r="BQ156" s="2865">
        <f t="shared" si="1084"/>
        <v>2539.8179999999998</v>
      </c>
      <c r="BR156" s="2865">
        <f t="shared" si="1084"/>
        <v>8.8949999999999996</v>
      </c>
      <c r="BS156" s="2865">
        <f t="shared" si="1084"/>
        <v>2627.5030000000002</v>
      </c>
      <c r="BT156" s="2865">
        <f t="shared" si="1084"/>
        <v>2619.203</v>
      </c>
      <c r="BU156" s="2865">
        <f t="shared" si="1084"/>
        <v>8.3000000000000007</v>
      </c>
      <c r="BV156" s="2865">
        <f t="shared" si="1084"/>
        <v>3589.7040000000002</v>
      </c>
      <c r="BW156" s="2865">
        <f t="shared" si="1084"/>
        <v>3580.5160000000001</v>
      </c>
      <c r="BX156" s="2865">
        <f t="shared" si="1084"/>
        <v>9.1880000000000006</v>
      </c>
      <c r="BY156" s="2865">
        <f t="shared" si="1084"/>
        <v>8765.9199999999983</v>
      </c>
      <c r="BZ156" s="2865">
        <f t="shared" si="1084"/>
        <v>8739.5370000000003</v>
      </c>
      <c r="CA156" s="2865">
        <f t="shared" si="1084"/>
        <v>26.383000000000003</v>
      </c>
      <c r="CB156" s="2990">
        <f>SUM(CB26+CB46+CB77+CB98)</f>
        <v>39517.808773111457</v>
      </c>
      <c r="CC156" s="2990">
        <f t="shared" si="1085"/>
        <v>39392.807659958853</v>
      </c>
      <c r="CD156" s="2990">
        <f t="shared" si="1085"/>
        <v>125.001113152608</v>
      </c>
      <c r="CE156" s="3001">
        <f t="shared" si="1085"/>
        <v>33216.115339999997</v>
      </c>
      <c r="CF156" s="3001">
        <f t="shared" si="1085"/>
        <v>33118.482999999993</v>
      </c>
      <c r="CG156" s="3001">
        <f t="shared" si="1085"/>
        <v>97.632339999999999</v>
      </c>
      <c r="CH156" s="2847">
        <f t="shared" si="1067"/>
        <v>-6301.6934331114608</v>
      </c>
      <c r="CI156" s="2847">
        <f t="shared" si="1067"/>
        <v>-6274.3246599588601</v>
      </c>
      <c r="CJ156" s="2847">
        <f t="shared" si="1067"/>
        <v>-27.368773152608</v>
      </c>
    </row>
    <row r="157" spans="1:91" ht="18.75" customHeight="1" x14ac:dyDescent="0.3">
      <c r="A157" s="2868" t="s">
        <v>114</v>
      </c>
      <c r="B157" s="2946">
        <f>SUM(B27+B47+B78+B99)</f>
        <v>2976.7193696411173</v>
      </c>
      <c r="C157" s="2946">
        <f t="shared" si="1080"/>
        <v>2967.303821008557</v>
      </c>
      <c r="D157" s="2946">
        <f t="shared" si="1080"/>
        <v>9.4155486325603786</v>
      </c>
      <c r="E157" s="2865">
        <f t="shared" si="1080"/>
        <v>701.274</v>
      </c>
      <c r="F157" s="2865">
        <f t="shared" si="1080"/>
        <v>699.46999999999991</v>
      </c>
      <c r="G157" s="2865">
        <f t="shared" si="1080"/>
        <v>1.804</v>
      </c>
      <c r="H157" s="2865">
        <f t="shared" si="1080"/>
        <v>757.44699999999989</v>
      </c>
      <c r="I157" s="2865">
        <f t="shared" si="1080"/>
        <v>755.17699999999991</v>
      </c>
      <c r="J157" s="2865">
        <f t="shared" si="1080"/>
        <v>2.27</v>
      </c>
      <c r="K157" s="2865">
        <f t="shared" si="1080"/>
        <v>843.58999999999992</v>
      </c>
      <c r="L157" s="2865">
        <f t="shared" si="1080"/>
        <v>840.59699999999998</v>
      </c>
      <c r="M157" s="2865">
        <f t="shared" si="1080"/>
        <v>2.9929999999999999</v>
      </c>
      <c r="N157" s="2865">
        <f t="shared" si="1080"/>
        <v>2302.3109999999997</v>
      </c>
      <c r="O157" s="2865">
        <f t="shared" si="1080"/>
        <v>2295.2439999999997</v>
      </c>
      <c r="P157" s="2865">
        <f t="shared" si="1080"/>
        <v>7.0670000000000002</v>
      </c>
      <c r="Q157" s="2946">
        <f t="shared" si="1080"/>
        <v>2976.7193696411173</v>
      </c>
      <c r="R157" s="2946">
        <f t="shared" si="1080"/>
        <v>2967.303821008557</v>
      </c>
      <c r="S157" s="2946">
        <f t="shared" si="1080"/>
        <v>9.4155486325603786</v>
      </c>
      <c r="T157" s="2865">
        <f t="shared" si="1080"/>
        <v>895.19</v>
      </c>
      <c r="U157" s="2865">
        <f t="shared" si="1080"/>
        <v>892.28</v>
      </c>
      <c r="V157" s="2865">
        <f t="shared" si="1080"/>
        <v>2.91</v>
      </c>
      <c r="W157" s="2865">
        <f t="shared" si="1080"/>
        <v>793.48799999999994</v>
      </c>
      <c r="X157" s="2865">
        <f t="shared" si="1080"/>
        <v>790.85</v>
      </c>
      <c r="Y157" s="2865">
        <f t="shared" si="1080"/>
        <v>2.6379999999999999</v>
      </c>
      <c r="Z157" s="2865">
        <f t="shared" si="1080"/>
        <v>786.41200000000003</v>
      </c>
      <c r="AA157" s="2865">
        <f t="shared" si="1080"/>
        <v>785.33600000000001</v>
      </c>
      <c r="AB157" s="2865">
        <f t="shared" si="1080"/>
        <v>1.0760000000000001</v>
      </c>
      <c r="AC157" s="2865">
        <f t="shared" si="1080"/>
        <v>2475.09</v>
      </c>
      <c r="AD157" s="2865">
        <f t="shared" si="1080"/>
        <v>2468.4659999999999</v>
      </c>
      <c r="AE157" s="2865">
        <f t="shared" si="1080"/>
        <v>6.6240000000000006</v>
      </c>
      <c r="AF157" s="2990">
        <f>SUM(AF27+AF47+AF78+AF99)</f>
        <v>5953.4387392822346</v>
      </c>
      <c r="AG157" s="2990">
        <f t="shared" si="1081"/>
        <v>5934.6076420171139</v>
      </c>
      <c r="AH157" s="2990">
        <f t="shared" si="1081"/>
        <v>18.831097265120757</v>
      </c>
      <c r="AI157" s="3001">
        <f t="shared" si="1081"/>
        <v>4777.4010000000007</v>
      </c>
      <c r="AJ157" s="3001">
        <f t="shared" si="1081"/>
        <v>4763.7100000000009</v>
      </c>
      <c r="AK157" s="3001">
        <f t="shared" si="1081"/>
        <v>13.691000000000001</v>
      </c>
      <c r="AL157" s="2847">
        <f t="shared" si="1069"/>
        <v>-1176.0377392822338</v>
      </c>
      <c r="AM157" s="2847">
        <f t="shared" si="1064"/>
        <v>-1170.897642017113</v>
      </c>
      <c r="AN157" s="2847">
        <f t="shared" si="1064"/>
        <v>-5.1400972651207564</v>
      </c>
      <c r="AO157" s="2946">
        <f>SUM(AO27+AO47+AO78+AO99)</f>
        <v>2976.7193696411173</v>
      </c>
      <c r="AP157" s="2946">
        <f t="shared" si="1082"/>
        <v>2967.303821008557</v>
      </c>
      <c r="AQ157" s="2946">
        <f t="shared" si="1082"/>
        <v>9.4155486325603786</v>
      </c>
      <c r="AR157" s="2865">
        <f t="shared" si="1082"/>
        <v>870.63099999999997</v>
      </c>
      <c r="AS157" s="2865">
        <f t="shared" si="1082"/>
        <v>868.20999999999992</v>
      </c>
      <c r="AT157" s="2865">
        <f t="shared" si="1082"/>
        <v>2.4209999999999998</v>
      </c>
      <c r="AU157" s="2865">
        <f t="shared" si="1082"/>
        <v>845.14799999999991</v>
      </c>
      <c r="AV157" s="2865">
        <f t="shared" si="1082"/>
        <v>842.44200000000001</v>
      </c>
      <c r="AW157" s="2865">
        <f t="shared" si="1082"/>
        <v>2.706</v>
      </c>
      <c r="AX157" s="2865">
        <f t="shared" si="1082"/>
        <v>866.22499999999991</v>
      </c>
      <c r="AY157" s="2865">
        <f>SUM(AY27+AY47+AY78+AY99)</f>
        <v>863.51900000000001</v>
      </c>
      <c r="AZ157" s="2865">
        <f t="shared" si="1082"/>
        <v>2.706</v>
      </c>
      <c r="BA157" s="2865">
        <f t="shared" si="1082"/>
        <v>2582.0040000000004</v>
      </c>
      <c r="BB157" s="2865">
        <f t="shared" si="1082"/>
        <v>2574.1709999999998</v>
      </c>
      <c r="BC157" s="2865">
        <f t="shared" si="1082"/>
        <v>7.8330000000000002</v>
      </c>
      <c r="BD157" s="2990">
        <f>SUM(BD27+BD47+BD78+BD99)</f>
        <v>8930.1581089233532</v>
      </c>
      <c r="BE157" s="2990">
        <f t="shared" si="1083"/>
        <v>8901.9114630256718</v>
      </c>
      <c r="BF157" s="2990">
        <f t="shared" si="1083"/>
        <v>28.246645897681134</v>
      </c>
      <c r="BG157" s="3001">
        <f t="shared" si="1083"/>
        <v>7359.4050000000007</v>
      </c>
      <c r="BH157" s="3001">
        <f t="shared" si="1083"/>
        <v>7337.8810000000012</v>
      </c>
      <c r="BI157" s="3001">
        <f t="shared" si="1083"/>
        <v>21.524000000000001</v>
      </c>
      <c r="BJ157" s="2847">
        <f t="shared" si="1065"/>
        <v>-1570.7531089233526</v>
      </c>
      <c r="BK157" s="2847">
        <f t="shared" si="1065"/>
        <v>-1564.0304630256705</v>
      </c>
      <c r="BL157" s="2847">
        <f t="shared" si="1065"/>
        <v>-6.722645897681133</v>
      </c>
      <c r="BM157" s="2946">
        <f>SUM(BM27+BM47+BM78+BM99)</f>
        <v>2976.7193696411173</v>
      </c>
      <c r="BN157" s="2946">
        <f t="shared" si="1084"/>
        <v>2967.303821008557</v>
      </c>
      <c r="BO157" s="2946">
        <f t="shared" si="1084"/>
        <v>9.4155486325603786</v>
      </c>
      <c r="BP157" s="2865">
        <f t="shared" si="1084"/>
        <v>764.91499999999996</v>
      </c>
      <c r="BQ157" s="2865">
        <f t="shared" si="1084"/>
        <v>762.22899999999993</v>
      </c>
      <c r="BR157" s="2865">
        <f t="shared" si="1084"/>
        <v>2.6859999999999999</v>
      </c>
      <c r="BS157" s="2865">
        <f t="shared" si="1084"/>
        <v>805.72799999999995</v>
      </c>
      <c r="BT157" s="2865">
        <f t="shared" si="1084"/>
        <v>803.221</v>
      </c>
      <c r="BU157" s="2865">
        <f t="shared" si="1084"/>
        <v>2.5070000000000001</v>
      </c>
      <c r="BV157" s="2865">
        <f t="shared" si="1084"/>
        <v>1065.2559999999999</v>
      </c>
      <c r="BW157" s="2865">
        <f t="shared" si="1084"/>
        <v>1062.4880000000001</v>
      </c>
      <c r="BX157" s="2865">
        <f t="shared" si="1084"/>
        <v>2.7679999999999998</v>
      </c>
      <c r="BY157" s="2865">
        <f t="shared" si="1084"/>
        <v>2635.8989999999999</v>
      </c>
      <c r="BZ157" s="2865">
        <f t="shared" si="1084"/>
        <v>2627.9380000000001</v>
      </c>
      <c r="CA157" s="2865">
        <f t="shared" si="1084"/>
        <v>7.9609999999999994</v>
      </c>
      <c r="CB157" s="2990">
        <f>SUM(CB27+CB47+CB78+CB99)</f>
        <v>11906.877478564469</v>
      </c>
      <c r="CC157" s="2990">
        <f t="shared" si="1085"/>
        <v>11869.215284034228</v>
      </c>
      <c r="CD157" s="2990">
        <f t="shared" si="1085"/>
        <v>37.662194530241514</v>
      </c>
      <c r="CE157" s="3001">
        <f t="shared" si="1085"/>
        <v>9995.3040000000001</v>
      </c>
      <c r="CF157" s="3001">
        <f t="shared" si="1085"/>
        <v>9965.8189999999995</v>
      </c>
      <c r="CG157" s="3001">
        <f t="shared" si="1085"/>
        <v>29.484999999999999</v>
      </c>
      <c r="CH157" s="2847">
        <f t="shared" si="1067"/>
        <v>-1911.573478564469</v>
      </c>
      <c r="CI157" s="2847">
        <f t="shared" si="1067"/>
        <v>-1903.3962840342283</v>
      </c>
      <c r="CJ157" s="2847">
        <f t="shared" si="1067"/>
        <v>-8.1771945302415148</v>
      </c>
    </row>
    <row r="158" spans="1:91" ht="18.75" customHeight="1" x14ac:dyDescent="0.3">
      <c r="A158" s="2929" t="s">
        <v>310</v>
      </c>
      <c r="B158" s="2877">
        <f>SUM(B157/B156)</f>
        <v>0.30130409170525912</v>
      </c>
      <c r="C158" s="2877">
        <f t="shared" ref="C158:BN158" si="1086">SUM(C157/C156)</f>
        <v>0.30130412095756226</v>
      </c>
      <c r="D158" s="2877">
        <f t="shared" si="1086"/>
        <v>0.30129487314454156</v>
      </c>
      <c r="E158" s="2877">
        <f t="shared" si="1086"/>
        <v>0.30131051085475591</v>
      </c>
      <c r="F158" s="2877">
        <f t="shared" si="1086"/>
        <v>0.30130867048039145</v>
      </c>
      <c r="G158" s="2877">
        <f t="shared" si="1086"/>
        <v>0.30202578268876612</v>
      </c>
      <c r="H158" s="2877">
        <f t="shared" si="1086"/>
        <v>0.30159748352545335</v>
      </c>
      <c r="I158" s="2877">
        <f t="shared" si="1086"/>
        <v>0.30159632865575875</v>
      </c>
      <c r="J158" s="2877">
        <f t="shared" si="1086"/>
        <v>0.30198217373952374</v>
      </c>
      <c r="K158" s="2877">
        <f t="shared" si="1086"/>
        <v>0.30054919568041694</v>
      </c>
      <c r="L158" s="2877">
        <f t="shared" si="1086"/>
        <v>0.30054402739014868</v>
      </c>
      <c r="M158" s="2877">
        <f t="shared" si="1086"/>
        <v>0.30200780195230437</v>
      </c>
      <c r="N158" s="2877">
        <f t="shared" si="1086"/>
        <v>0.30112528712151743</v>
      </c>
      <c r="O158" s="2877">
        <f t="shared" si="1086"/>
        <v>0.30112258899588057</v>
      </c>
      <c r="P158" s="2877">
        <f t="shared" si="1086"/>
        <v>0.30200415891393034</v>
      </c>
      <c r="Q158" s="2877">
        <f t="shared" si="1086"/>
        <v>0.30130409170525912</v>
      </c>
      <c r="R158" s="2877">
        <f t="shared" si="1086"/>
        <v>0.30130412095756226</v>
      </c>
      <c r="S158" s="2877">
        <f t="shared" si="1086"/>
        <v>0.30129487314454156</v>
      </c>
      <c r="T158" s="2877">
        <f t="shared" si="1086"/>
        <v>0.29956196270157581</v>
      </c>
      <c r="U158" s="2877">
        <f t="shared" si="1086"/>
        <v>0.29955148520169739</v>
      </c>
      <c r="V158" s="2877">
        <f t="shared" si="1086"/>
        <v>0.30280957336108222</v>
      </c>
      <c r="W158" s="2877">
        <f t="shared" si="1086"/>
        <v>0.3012665917443732</v>
      </c>
      <c r="X158" s="2877">
        <f t="shared" si="1086"/>
        <v>0.30126471372519142</v>
      </c>
      <c r="Y158" s="2877">
        <f t="shared" si="1086"/>
        <v>0.3018306636155606</v>
      </c>
      <c r="Z158" s="2877">
        <f t="shared" si="1086"/>
        <v>0.30224656009537687</v>
      </c>
      <c r="AA158" s="2877">
        <f t="shared" si="1086"/>
        <v>0.30224690820166522</v>
      </c>
      <c r="AB158" s="2877">
        <f t="shared" si="1086"/>
        <v>0.30199270277855739</v>
      </c>
      <c r="AC158" s="2877">
        <f t="shared" si="1086"/>
        <v>0.30095722805490577</v>
      </c>
      <c r="AD158" s="2877">
        <f t="shared" si="1086"/>
        <v>0.30095367724495514</v>
      </c>
      <c r="AE158" s="2877">
        <f t="shared" si="1086"/>
        <v>0.30228631406014694</v>
      </c>
      <c r="AF158" s="2950">
        <f t="shared" si="1086"/>
        <v>0.30130409170525912</v>
      </c>
      <c r="AG158" s="2950">
        <f t="shared" si="1086"/>
        <v>0.30130412095756226</v>
      </c>
      <c r="AH158" s="2950">
        <f t="shared" si="1086"/>
        <v>0.30129487314454156</v>
      </c>
      <c r="AI158" s="2950">
        <f t="shared" si="1086"/>
        <v>0.30103819516041619</v>
      </c>
      <c r="AJ158" s="2950">
        <f t="shared" si="1086"/>
        <v>0.3010350384029461</v>
      </c>
      <c r="AK158" s="2950">
        <f t="shared" si="1086"/>
        <v>0.30214060583483809</v>
      </c>
      <c r="AL158" s="2851">
        <f t="shared" si="1069"/>
        <v>-2.6589654484293623E-4</v>
      </c>
      <c r="AM158" s="2851">
        <f t="shared" si="1064"/>
        <v>-2.6908255461616237E-4</v>
      </c>
      <c r="AN158" s="2851">
        <f t="shared" si="1064"/>
        <v>8.4573269029653009E-4</v>
      </c>
      <c r="AO158" s="2877">
        <f t="shared" si="1086"/>
        <v>0.30130409170525912</v>
      </c>
      <c r="AP158" s="2877">
        <f t="shared" si="1086"/>
        <v>0.30130412095756226</v>
      </c>
      <c r="AQ158" s="2877">
        <f t="shared" si="1086"/>
        <v>0.30129487314454156</v>
      </c>
      <c r="AR158" s="2877">
        <f t="shared" si="1086"/>
        <v>0.30066775841622179</v>
      </c>
      <c r="AS158" s="2877">
        <f t="shared" si="1086"/>
        <v>0.30066421022011053</v>
      </c>
      <c r="AT158" s="2877">
        <f t="shared" si="1086"/>
        <v>0.30194562234971312</v>
      </c>
      <c r="AU158" s="2877">
        <f t="shared" si="1086"/>
        <v>0.30245071006211494</v>
      </c>
      <c r="AV158" s="2877">
        <f t="shared" si="1086"/>
        <v>0.30245202260091458</v>
      </c>
      <c r="AW158" s="2877">
        <f t="shared" si="1086"/>
        <v>0.30204263868735348</v>
      </c>
      <c r="AX158" s="2877">
        <f t="shared" si="1086"/>
        <v>0.29968475540520623</v>
      </c>
      <c r="AY158" s="2877">
        <f t="shared" si="1086"/>
        <v>0.29967742439254624</v>
      </c>
      <c r="AZ158" s="2877">
        <f t="shared" si="1086"/>
        <v>0.30204263868735348</v>
      </c>
      <c r="BA158" s="2877">
        <f t="shared" si="1086"/>
        <v>0.30091726011879344</v>
      </c>
      <c r="BB158" s="2877">
        <f t="shared" si="1086"/>
        <v>0.30091393907002728</v>
      </c>
      <c r="BC158" s="2877">
        <f t="shared" si="1086"/>
        <v>0.30201264651449722</v>
      </c>
      <c r="BD158" s="2950">
        <f t="shared" si="1086"/>
        <v>0.30130409170525924</v>
      </c>
      <c r="BE158" s="2950">
        <f t="shared" si="1086"/>
        <v>0.30130412095756232</v>
      </c>
      <c r="BF158" s="2950">
        <f t="shared" si="1086"/>
        <v>0.30129487314454156</v>
      </c>
      <c r="BG158" s="2950">
        <f t="shared" si="1086"/>
        <v>0.30099575474393742</v>
      </c>
      <c r="BH158" s="2950">
        <f t="shared" si="1086"/>
        <v>0.30099254496072153</v>
      </c>
      <c r="BI158" s="2950">
        <f t="shared" si="1086"/>
        <v>0.30209402641484123</v>
      </c>
      <c r="BJ158" s="2851">
        <f t="shared" si="1065"/>
        <v>-3.0833696132182009E-4</v>
      </c>
      <c r="BK158" s="2851">
        <f t="shared" si="1065"/>
        <v>-3.1157599684078496E-4</v>
      </c>
      <c r="BL158" s="2851">
        <f t="shared" si="1065"/>
        <v>7.9915327029966843E-4</v>
      </c>
      <c r="BM158" s="2877">
        <f t="shared" si="1086"/>
        <v>0.30130409170525912</v>
      </c>
      <c r="BN158" s="2877">
        <f t="shared" si="1086"/>
        <v>0.30130412095756226</v>
      </c>
      <c r="BO158" s="2877">
        <f t="shared" ref="BO158:CG158" si="1087">SUM(BO157/BO156)</f>
        <v>0.30129487314454156</v>
      </c>
      <c r="BP158" s="2877">
        <f t="shared" si="1087"/>
        <v>0.30011813805634446</v>
      </c>
      <c r="BQ158" s="2877">
        <f t="shared" si="1087"/>
        <v>0.30011166154425239</v>
      </c>
      <c r="BR158" s="2877">
        <f t="shared" si="1087"/>
        <v>0.30196739741427769</v>
      </c>
      <c r="BS158" s="2877">
        <f t="shared" si="1087"/>
        <v>0.3066516003977921</v>
      </c>
      <c r="BT158" s="2877">
        <f t="shared" si="1087"/>
        <v>0.30666618814960123</v>
      </c>
      <c r="BU158" s="2877">
        <f t="shared" si="1087"/>
        <v>0.3020481927710843</v>
      </c>
      <c r="BV158" s="2877">
        <f t="shared" si="1087"/>
        <v>0.29675315847769057</v>
      </c>
      <c r="BW158" s="2877">
        <f t="shared" si="1087"/>
        <v>0.29674158696679476</v>
      </c>
      <c r="BX158" s="2877">
        <f t="shared" si="1087"/>
        <v>0.3012625163256421</v>
      </c>
      <c r="BY158" s="2877">
        <f t="shared" si="1087"/>
        <v>0.30069850055670144</v>
      </c>
      <c r="BZ158" s="2877">
        <f t="shared" si="1087"/>
        <v>0.30069533431805368</v>
      </c>
      <c r="CA158" s="2877">
        <f t="shared" si="1087"/>
        <v>0.30174733730053438</v>
      </c>
      <c r="CB158" s="2950">
        <f t="shared" si="1087"/>
        <v>0.30130409170525912</v>
      </c>
      <c r="CC158" s="2950">
        <f t="shared" si="1087"/>
        <v>0.30130412095756226</v>
      </c>
      <c r="CD158" s="2950">
        <f t="shared" si="1087"/>
        <v>0.30129487314454156</v>
      </c>
      <c r="CE158" s="2950">
        <f t="shared" si="1087"/>
        <v>0.30091730768899722</v>
      </c>
      <c r="CF158" s="2950">
        <f t="shared" si="1087"/>
        <v>0.3009141149369674</v>
      </c>
      <c r="CG158" s="2950">
        <f t="shared" si="1087"/>
        <v>0.30200034128035852</v>
      </c>
      <c r="CH158" s="2851">
        <f t="shared" si="1067"/>
        <v>-3.8678401626190961E-4</v>
      </c>
      <c r="CI158" s="2851">
        <f t="shared" si="1067"/>
        <v>-3.9000602059485745E-4</v>
      </c>
      <c r="CJ158" s="2851">
        <f t="shared" si="1067"/>
        <v>7.0546813581695567E-4</v>
      </c>
    </row>
    <row r="159" spans="1:91" ht="18.75" customHeight="1" x14ac:dyDescent="0.3">
      <c r="A159" s="2945" t="s">
        <v>3756</v>
      </c>
      <c r="B159" s="2946">
        <f>SUM(B29+B49+B81+B101)</f>
        <v>4971.9194739826607</v>
      </c>
      <c r="C159" s="2946">
        <f t="shared" ref="C159:AE161" si="1088">SUM(C29+C49+C81+C101)</f>
        <v>4971.9194739826607</v>
      </c>
      <c r="D159" s="2946">
        <f t="shared" si="1088"/>
        <v>0</v>
      </c>
      <c r="E159" s="2865">
        <f t="shared" si="1088"/>
        <v>1393.9304900000002</v>
      </c>
      <c r="F159" s="2865">
        <f t="shared" si="1088"/>
        <v>1393.9304900000002</v>
      </c>
      <c r="G159" s="2865">
        <f t="shared" si="1088"/>
        <v>0</v>
      </c>
      <c r="H159" s="2865">
        <f t="shared" si="1088"/>
        <v>1276.3007000000002</v>
      </c>
      <c r="I159" s="2865">
        <f t="shared" si="1088"/>
        <v>1276.3007000000002</v>
      </c>
      <c r="J159" s="2865">
        <f t="shared" si="1088"/>
        <v>0</v>
      </c>
      <c r="K159" s="2865">
        <f t="shared" si="1088"/>
        <v>1535.7264</v>
      </c>
      <c r="L159" s="2865">
        <f t="shared" si="1088"/>
        <v>1535.7264</v>
      </c>
      <c r="M159" s="2865">
        <f t="shared" si="1088"/>
        <v>0</v>
      </c>
      <c r="N159" s="2865">
        <f t="shared" si="1088"/>
        <v>4205.95759</v>
      </c>
      <c r="O159" s="2865">
        <f t="shared" si="1088"/>
        <v>4205.95759</v>
      </c>
      <c r="P159" s="2865">
        <f t="shared" si="1088"/>
        <v>0</v>
      </c>
      <c r="Q159" s="2946">
        <f t="shared" si="1088"/>
        <v>4971.9194739826607</v>
      </c>
      <c r="R159" s="2946">
        <f t="shared" si="1088"/>
        <v>4971.9194739826607</v>
      </c>
      <c r="S159" s="2946">
        <f t="shared" si="1088"/>
        <v>0</v>
      </c>
      <c r="T159" s="2865">
        <f t="shared" si="1088"/>
        <v>1255.0440000000001</v>
      </c>
      <c r="U159" s="2865">
        <f t="shared" si="1088"/>
        <v>1255.0440000000001</v>
      </c>
      <c r="V159" s="2865">
        <f t="shared" si="1088"/>
        <v>0</v>
      </c>
      <c r="W159" s="2865">
        <f t="shared" si="1088"/>
        <v>1682.2629999999999</v>
      </c>
      <c r="X159" s="2865">
        <f t="shared" si="1088"/>
        <v>1682.2629999999999</v>
      </c>
      <c r="Y159" s="2865">
        <f t="shared" si="1088"/>
        <v>0</v>
      </c>
      <c r="Z159" s="2865">
        <f t="shared" si="1088"/>
        <v>899.80399999999986</v>
      </c>
      <c r="AA159" s="2865">
        <f t="shared" si="1088"/>
        <v>899.80399999999986</v>
      </c>
      <c r="AB159" s="2865">
        <f t="shared" si="1088"/>
        <v>0</v>
      </c>
      <c r="AC159" s="2865">
        <f t="shared" si="1088"/>
        <v>3837.1109999999994</v>
      </c>
      <c r="AD159" s="2865">
        <f t="shared" si="1088"/>
        <v>3837.1109999999994</v>
      </c>
      <c r="AE159" s="2865">
        <f t="shared" si="1088"/>
        <v>0</v>
      </c>
      <c r="AF159" s="2990">
        <f>SUM(AF29+AF49+AF81+AF101)</f>
        <v>9943.8389479653215</v>
      </c>
      <c r="AG159" s="2990">
        <f t="shared" ref="AG159:AK161" si="1089">SUM(AG29+AG49+AG81+AG101)</f>
        <v>9943.8389479653215</v>
      </c>
      <c r="AH159" s="2990">
        <f t="shared" si="1089"/>
        <v>0</v>
      </c>
      <c r="AI159" s="3001">
        <f t="shared" si="1089"/>
        <v>8043.0685899999999</v>
      </c>
      <c r="AJ159" s="3001">
        <f t="shared" si="1089"/>
        <v>8043.0685899999999</v>
      </c>
      <c r="AK159" s="3001">
        <f t="shared" si="1089"/>
        <v>0</v>
      </c>
      <c r="AL159" s="2851">
        <f t="shared" si="1069"/>
        <v>-1900.7703579653216</v>
      </c>
      <c r="AM159" s="2851">
        <f t="shared" si="1064"/>
        <v>-1900.7703579653216</v>
      </c>
      <c r="AN159" s="2851">
        <f t="shared" si="1064"/>
        <v>0</v>
      </c>
      <c r="AO159" s="2946">
        <f>SUM(AO29+AO49+AO81+AO101)</f>
        <v>4971.9194739826607</v>
      </c>
      <c r="AP159" s="2946">
        <f t="shared" ref="AP159:BC161" si="1090">SUM(AP29+AP49+AP81+AP101)</f>
        <v>4971.9194739826607</v>
      </c>
      <c r="AQ159" s="2946">
        <f t="shared" si="1090"/>
        <v>0</v>
      </c>
      <c r="AR159" s="2865">
        <f t="shared" si="1090"/>
        <v>1307.3700000000001</v>
      </c>
      <c r="AS159" s="2865">
        <f t="shared" si="1090"/>
        <v>1307.3700000000001</v>
      </c>
      <c r="AT159" s="2865">
        <f t="shared" si="1090"/>
        <v>0</v>
      </c>
      <c r="AU159" s="2865">
        <f t="shared" si="1090"/>
        <v>1058.9480000000001</v>
      </c>
      <c r="AV159" s="2865">
        <f t="shared" si="1090"/>
        <v>1058.9480000000001</v>
      </c>
      <c r="AW159" s="2865">
        <f t="shared" si="1090"/>
        <v>0</v>
      </c>
      <c r="AX159" s="2865">
        <f t="shared" si="1090"/>
        <v>1547.665</v>
      </c>
      <c r="AY159" s="2865">
        <f t="shared" si="1090"/>
        <v>1547.665</v>
      </c>
      <c r="AZ159" s="2865">
        <f t="shared" si="1090"/>
        <v>0</v>
      </c>
      <c r="BA159" s="2865">
        <f t="shared" si="1090"/>
        <v>3913.9830000000002</v>
      </c>
      <c r="BB159" s="2865">
        <f t="shared" si="1090"/>
        <v>3913.9830000000002</v>
      </c>
      <c r="BC159" s="2865">
        <f t="shared" si="1090"/>
        <v>0</v>
      </c>
      <c r="BD159" s="2990">
        <f>SUM(BD29+BD49+BD81+BD101)</f>
        <v>14915.758421947983</v>
      </c>
      <c r="BE159" s="2990">
        <f t="shared" ref="BE159:BI161" si="1091">SUM(BE29+BE49+BE81+BE101)</f>
        <v>14915.758421947983</v>
      </c>
      <c r="BF159" s="2990">
        <f t="shared" si="1091"/>
        <v>0</v>
      </c>
      <c r="BG159" s="3001">
        <f t="shared" si="1091"/>
        <v>11957.051589999999</v>
      </c>
      <c r="BH159" s="3001">
        <f t="shared" si="1091"/>
        <v>11957.051589999999</v>
      </c>
      <c r="BI159" s="3001">
        <f t="shared" si="1091"/>
        <v>0</v>
      </c>
      <c r="BJ159" s="2851">
        <f t="shared" si="1065"/>
        <v>-2958.706831947984</v>
      </c>
      <c r="BK159" s="2851">
        <f t="shared" si="1065"/>
        <v>-2958.706831947984</v>
      </c>
      <c r="BL159" s="2851">
        <f t="shared" si="1065"/>
        <v>0</v>
      </c>
      <c r="BM159" s="2946">
        <f>SUM(BM29+BM49+BM81+BM101)</f>
        <v>4971.9194739826607</v>
      </c>
      <c r="BN159" s="2946">
        <f t="shared" ref="BN159:CA161" si="1092">SUM(BN29+BN49+BN81+BN101)</f>
        <v>4971.9194739826607</v>
      </c>
      <c r="BO159" s="2946">
        <f t="shared" si="1092"/>
        <v>0</v>
      </c>
      <c r="BP159" s="2865">
        <f t="shared" si="1092"/>
        <v>1067.8366699999999</v>
      </c>
      <c r="BQ159" s="2865">
        <f t="shared" si="1092"/>
        <v>1067.8366699999999</v>
      </c>
      <c r="BR159" s="2865">
        <f t="shared" si="1092"/>
        <v>0</v>
      </c>
      <c r="BS159" s="2865">
        <f t="shared" si="1092"/>
        <v>1404.7339999999999</v>
      </c>
      <c r="BT159" s="2865">
        <f t="shared" si="1092"/>
        <v>1404.7339999999999</v>
      </c>
      <c r="BU159" s="2865">
        <f t="shared" si="1092"/>
        <v>0</v>
      </c>
      <c r="BV159" s="2865">
        <f t="shared" si="1092"/>
        <v>1367.0489</v>
      </c>
      <c r="BW159" s="2865">
        <f t="shared" si="1092"/>
        <v>1367.0489</v>
      </c>
      <c r="BX159" s="2865">
        <f t="shared" si="1092"/>
        <v>0</v>
      </c>
      <c r="BY159" s="2865">
        <f t="shared" si="1092"/>
        <v>3839.6195699999998</v>
      </c>
      <c r="BZ159" s="2865">
        <f t="shared" si="1092"/>
        <v>3839.6195699999998</v>
      </c>
      <c r="CA159" s="2865">
        <f t="shared" si="1092"/>
        <v>0</v>
      </c>
      <c r="CB159" s="2990">
        <f>SUM(CB29+CB49+CB81+CB101)</f>
        <v>19887.677924692078</v>
      </c>
      <c r="CC159" s="2990">
        <f t="shared" ref="CC159:CG161" si="1093">SUM(CC29+CC49+CC81+CC101)</f>
        <v>19887.677924692078</v>
      </c>
      <c r="CD159" s="2990">
        <f t="shared" si="1093"/>
        <v>0</v>
      </c>
      <c r="CE159" s="3001">
        <f t="shared" si="1093"/>
        <v>15796.671159999998</v>
      </c>
      <c r="CF159" s="3001">
        <f t="shared" si="1093"/>
        <v>15796.671160000002</v>
      </c>
      <c r="CG159" s="3001">
        <f t="shared" si="1093"/>
        <v>0</v>
      </c>
      <c r="CH159" s="2851">
        <f t="shared" si="1067"/>
        <v>-4091.0067646920797</v>
      </c>
      <c r="CI159" s="2851">
        <f t="shared" si="1067"/>
        <v>-4091.0067646920761</v>
      </c>
      <c r="CJ159" s="2851">
        <f t="shared" si="1067"/>
        <v>0</v>
      </c>
    </row>
    <row r="160" spans="1:91" ht="18.75" customHeight="1" x14ac:dyDescent="0.3">
      <c r="A160" s="2949" t="s">
        <v>3757</v>
      </c>
      <c r="B160" s="2951">
        <f>SUM(B30+B50+B82+B102)</f>
        <v>1753.2498530253167</v>
      </c>
      <c r="C160" s="2951">
        <f t="shared" si="1088"/>
        <v>1753.2498530253167</v>
      </c>
      <c r="D160" s="2951">
        <f t="shared" si="1088"/>
        <v>0</v>
      </c>
      <c r="E160" s="2875">
        <f t="shared" si="1088"/>
        <v>703.07999999999993</v>
      </c>
      <c r="F160" s="2875">
        <f t="shared" si="1088"/>
        <v>703.07999999999993</v>
      </c>
      <c r="G160" s="2875">
        <f t="shared" si="1088"/>
        <v>0</v>
      </c>
      <c r="H160" s="2875">
        <f t="shared" si="1088"/>
        <v>619.83300000000008</v>
      </c>
      <c r="I160" s="2875">
        <f t="shared" si="1088"/>
        <v>619.83300000000008</v>
      </c>
      <c r="J160" s="2875">
        <f t="shared" si="1088"/>
        <v>0</v>
      </c>
      <c r="K160" s="2875">
        <f t="shared" si="1088"/>
        <v>669.96699999999998</v>
      </c>
      <c r="L160" s="2875">
        <f t="shared" si="1088"/>
        <v>669.96699999999998</v>
      </c>
      <c r="M160" s="2875">
        <f t="shared" si="1088"/>
        <v>0</v>
      </c>
      <c r="N160" s="2875">
        <f t="shared" si="1088"/>
        <v>1992.8799999999999</v>
      </c>
      <c r="O160" s="2875">
        <f t="shared" si="1088"/>
        <v>1992.8799999999999</v>
      </c>
      <c r="P160" s="2875">
        <f t="shared" si="1088"/>
        <v>0</v>
      </c>
      <c r="Q160" s="2951">
        <f t="shared" si="1088"/>
        <v>1753.2498530253167</v>
      </c>
      <c r="R160" s="2951">
        <f t="shared" si="1088"/>
        <v>1753.2498530253167</v>
      </c>
      <c r="S160" s="2951">
        <f t="shared" si="1088"/>
        <v>0</v>
      </c>
      <c r="T160" s="2875">
        <f t="shared" si="1088"/>
        <v>610.46</v>
      </c>
      <c r="U160" s="2875">
        <f t="shared" si="1088"/>
        <v>610.46</v>
      </c>
      <c r="V160" s="2875">
        <f t="shared" si="1088"/>
        <v>0</v>
      </c>
      <c r="W160" s="2875">
        <f t="shared" si="1088"/>
        <v>1016.04</v>
      </c>
      <c r="X160" s="2875">
        <f t="shared" si="1088"/>
        <v>1016.04</v>
      </c>
      <c r="Y160" s="2875">
        <f t="shared" si="1088"/>
        <v>0</v>
      </c>
      <c r="Z160" s="2875">
        <f t="shared" si="1088"/>
        <v>342.27100000000002</v>
      </c>
      <c r="AA160" s="2875">
        <f t="shared" si="1088"/>
        <v>342.27100000000002</v>
      </c>
      <c r="AB160" s="2875">
        <f t="shared" si="1088"/>
        <v>0</v>
      </c>
      <c r="AC160" s="2875">
        <f t="shared" si="1088"/>
        <v>1968.771</v>
      </c>
      <c r="AD160" s="2875">
        <f t="shared" si="1088"/>
        <v>1968.771</v>
      </c>
      <c r="AE160" s="2875">
        <f t="shared" si="1088"/>
        <v>0</v>
      </c>
      <c r="AF160" s="3002">
        <f>SUM(AF30+AF50+AF82+AF102)</f>
        <v>3506.4997060506334</v>
      </c>
      <c r="AG160" s="3002">
        <f t="shared" si="1089"/>
        <v>3506.4997060506334</v>
      </c>
      <c r="AH160" s="3002">
        <f t="shared" si="1089"/>
        <v>0</v>
      </c>
      <c r="AI160" s="3003">
        <f t="shared" si="1089"/>
        <v>3961.6509999999998</v>
      </c>
      <c r="AJ160" s="3003">
        <f t="shared" si="1089"/>
        <v>3961.6509999999998</v>
      </c>
      <c r="AK160" s="3003">
        <f t="shared" si="1089"/>
        <v>0</v>
      </c>
      <c r="AL160" s="2851">
        <f t="shared" si="1069"/>
        <v>455.15129394936639</v>
      </c>
      <c r="AM160" s="2851">
        <f t="shared" si="1064"/>
        <v>455.15129394936639</v>
      </c>
      <c r="AN160" s="2851">
        <f t="shared" si="1064"/>
        <v>0</v>
      </c>
      <c r="AO160" s="2951">
        <f>SUM(AO30+AO50+AO82+AO102)</f>
        <v>1753.2498530253167</v>
      </c>
      <c r="AP160" s="2951">
        <f t="shared" si="1090"/>
        <v>1753.2498530253167</v>
      </c>
      <c r="AQ160" s="2951">
        <f t="shared" si="1090"/>
        <v>0</v>
      </c>
      <c r="AR160" s="2875">
        <f t="shared" si="1090"/>
        <v>550.55999999999995</v>
      </c>
      <c r="AS160" s="2875">
        <f t="shared" si="1090"/>
        <v>550.55999999999995</v>
      </c>
      <c r="AT160" s="2875">
        <f t="shared" si="1090"/>
        <v>0</v>
      </c>
      <c r="AU160" s="2875">
        <f t="shared" si="1090"/>
        <v>527.31299999999999</v>
      </c>
      <c r="AV160" s="2875">
        <f t="shared" si="1090"/>
        <v>527.31299999999999</v>
      </c>
      <c r="AW160" s="2875">
        <f t="shared" si="1090"/>
        <v>0</v>
      </c>
      <c r="AX160" s="2875">
        <f t="shared" si="1090"/>
        <v>665.53399999999999</v>
      </c>
      <c r="AY160" s="2875">
        <f t="shared" si="1090"/>
        <v>665.53399999999999</v>
      </c>
      <c r="AZ160" s="2875">
        <f t="shared" si="1090"/>
        <v>0</v>
      </c>
      <c r="BA160" s="2875">
        <f t="shared" si="1090"/>
        <v>1743.4070000000002</v>
      </c>
      <c r="BB160" s="2875">
        <f t="shared" si="1090"/>
        <v>1743.4070000000002</v>
      </c>
      <c r="BC160" s="2875">
        <f t="shared" si="1090"/>
        <v>0</v>
      </c>
      <c r="BD160" s="3002">
        <f>SUM(BD30+BD50+BD82+BD102)</f>
        <v>5259.7495590759499</v>
      </c>
      <c r="BE160" s="3002">
        <f t="shared" si="1091"/>
        <v>5259.7495590759499</v>
      </c>
      <c r="BF160" s="3002">
        <f t="shared" si="1091"/>
        <v>0</v>
      </c>
      <c r="BG160" s="3003">
        <f t="shared" si="1091"/>
        <v>5705.0579999999991</v>
      </c>
      <c r="BH160" s="3003">
        <f t="shared" si="1091"/>
        <v>5705.0579999999991</v>
      </c>
      <c r="BI160" s="3003">
        <f t="shared" si="1091"/>
        <v>0</v>
      </c>
      <c r="BJ160" s="2851">
        <f t="shared" si="1065"/>
        <v>445.30844092404914</v>
      </c>
      <c r="BK160" s="2851">
        <f t="shared" si="1065"/>
        <v>445.30844092404914</v>
      </c>
      <c r="BL160" s="2851">
        <f t="shared" si="1065"/>
        <v>0</v>
      </c>
      <c r="BM160" s="2951">
        <f>SUM(BM30+BM50+BM82+BM102)</f>
        <v>1753.2498530253167</v>
      </c>
      <c r="BN160" s="2951">
        <f t="shared" si="1092"/>
        <v>1753.2498530253167</v>
      </c>
      <c r="BO160" s="2951">
        <f t="shared" si="1092"/>
        <v>0</v>
      </c>
      <c r="BP160" s="2875">
        <f t="shared" si="1092"/>
        <v>486.08799999999997</v>
      </c>
      <c r="BQ160" s="2875">
        <f t="shared" si="1092"/>
        <v>486.08799999999997</v>
      </c>
      <c r="BR160" s="2875">
        <f t="shared" si="1092"/>
        <v>0</v>
      </c>
      <c r="BS160" s="2875">
        <f t="shared" si="1092"/>
        <v>732.93299999999999</v>
      </c>
      <c r="BT160" s="2875">
        <f t="shared" si="1092"/>
        <v>732.93299999999999</v>
      </c>
      <c r="BU160" s="2875">
        <f t="shared" si="1092"/>
        <v>0</v>
      </c>
      <c r="BV160" s="2875">
        <f t="shared" si="1092"/>
        <v>635.11099999999999</v>
      </c>
      <c r="BW160" s="2875">
        <f t="shared" si="1092"/>
        <v>635.11099999999999</v>
      </c>
      <c r="BX160" s="2875">
        <f t="shared" si="1092"/>
        <v>0</v>
      </c>
      <c r="BY160" s="2875">
        <f t="shared" si="1092"/>
        <v>1854.1320000000001</v>
      </c>
      <c r="BZ160" s="2875">
        <f t="shared" si="1092"/>
        <v>1854.1320000000001</v>
      </c>
      <c r="CA160" s="2875">
        <f t="shared" si="1092"/>
        <v>0</v>
      </c>
      <c r="CB160" s="3002">
        <f>SUM(CB30+CB50+CB82+CB102)</f>
        <v>7012.9994121012669</v>
      </c>
      <c r="CC160" s="3002">
        <f t="shared" si="1093"/>
        <v>7012.9994121012669</v>
      </c>
      <c r="CD160" s="3002">
        <f t="shared" si="1093"/>
        <v>0</v>
      </c>
      <c r="CE160" s="3003">
        <f t="shared" si="1093"/>
        <v>7559.1900000000005</v>
      </c>
      <c r="CF160" s="3003">
        <f t="shared" si="1093"/>
        <v>7559.1900000000005</v>
      </c>
      <c r="CG160" s="3003">
        <f t="shared" si="1093"/>
        <v>0</v>
      </c>
      <c r="CH160" s="2851">
        <f t="shared" si="1067"/>
        <v>546.19058789873361</v>
      </c>
      <c r="CI160" s="2851">
        <f t="shared" si="1067"/>
        <v>546.19058789873361</v>
      </c>
      <c r="CJ160" s="2851">
        <f t="shared" si="1067"/>
        <v>0</v>
      </c>
    </row>
    <row r="161" spans="1:88" ht="18.75" customHeight="1" x14ac:dyDescent="0.3">
      <c r="A161" s="2949" t="s">
        <v>3758</v>
      </c>
      <c r="B161" s="2951">
        <f>SUM(B31+B51+B83+B103)</f>
        <v>525.97448436345121</v>
      </c>
      <c r="C161" s="2951">
        <f t="shared" si="1088"/>
        <v>525.97448436345121</v>
      </c>
      <c r="D161" s="2951">
        <f t="shared" si="1088"/>
        <v>0</v>
      </c>
      <c r="E161" s="2875">
        <f t="shared" si="1088"/>
        <v>211.89</v>
      </c>
      <c r="F161" s="2875">
        <f t="shared" si="1088"/>
        <v>211.89</v>
      </c>
      <c r="G161" s="2875">
        <f t="shared" si="1088"/>
        <v>0</v>
      </c>
      <c r="H161" s="2875">
        <f t="shared" si="1088"/>
        <v>185.74600000000001</v>
      </c>
      <c r="I161" s="2875">
        <f t="shared" si="1088"/>
        <v>185.74600000000001</v>
      </c>
      <c r="J161" s="2875">
        <f t="shared" si="1088"/>
        <v>0</v>
      </c>
      <c r="K161" s="2875">
        <f t="shared" si="1088"/>
        <v>202.29000000000002</v>
      </c>
      <c r="L161" s="2875">
        <f t="shared" si="1088"/>
        <v>202.29000000000002</v>
      </c>
      <c r="M161" s="2875">
        <f t="shared" si="1088"/>
        <v>0</v>
      </c>
      <c r="N161" s="2875">
        <f t="shared" si="1088"/>
        <v>599.92600000000004</v>
      </c>
      <c r="O161" s="2875">
        <f t="shared" si="1088"/>
        <v>599.92600000000004</v>
      </c>
      <c r="P161" s="2875">
        <f t="shared" si="1088"/>
        <v>0</v>
      </c>
      <c r="Q161" s="2951">
        <f t="shared" si="1088"/>
        <v>525.97448436345121</v>
      </c>
      <c r="R161" s="2951">
        <f t="shared" si="1088"/>
        <v>525.97448436345121</v>
      </c>
      <c r="S161" s="2951">
        <f t="shared" si="1088"/>
        <v>0</v>
      </c>
      <c r="T161" s="2875">
        <f t="shared" si="1088"/>
        <v>183.81</v>
      </c>
      <c r="U161" s="2875">
        <f t="shared" si="1088"/>
        <v>183.81</v>
      </c>
      <c r="V161" s="2875">
        <f t="shared" si="1088"/>
        <v>0</v>
      </c>
      <c r="W161" s="2875">
        <f t="shared" si="1088"/>
        <v>306.60000000000002</v>
      </c>
      <c r="X161" s="2875">
        <f t="shared" si="1088"/>
        <v>306.60000000000002</v>
      </c>
      <c r="Y161" s="2875">
        <f t="shared" si="1088"/>
        <v>0</v>
      </c>
      <c r="Z161" s="2875">
        <f t="shared" si="1088"/>
        <v>101.90600000000001</v>
      </c>
      <c r="AA161" s="2875">
        <f t="shared" si="1088"/>
        <v>101.90600000000001</v>
      </c>
      <c r="AB161" s="2875">
        <f t="shared" si="1088"/>
        <v>0</v>
      </c>
      <c r="AC161" s="2875">
        <f t="shared" si="1088"/>
        <v>592.31600000000003</v>
      </c>
      <c r="AD161" s="2875">
        <f t="shared" si="1088"/>
        <v>592.31600000000003</v>
      </c>
      <c r="AE161" s="2875">
        <f t="shared" si="1088"/>
        <v>0</v>
      </c>
      <c r="AF161" s="3002">
        <f>SUM(AF31+AF51+AF83+AF103)</f>
        <v>1051.9489687269024</v>
      </c>
      <c r="AG161" s="3002">
        <f t="shared" si="1089"/>
        <v>1051.9489687269024</v>
      </c>
      <c r="AH161" s="3002">
        <f t="shared" si="1089"/>
        <v>0</v>
      </c>
      <c r="AI161" s="3003">
        <f t="shared" si="1089"/>
        <v>1192.2420000000002</v>
      </c>
      <c r="AJ161" s="3003">
        <f t="shared" si="1089"/>
        <v>1192.2420000000002</v>
      </c>
      <c r="AK161" s="3003">
        <f t="shared" si="1089"/>
        <v>0</v>
      </c>
      <c r="AL161" s="2851">
        <f t="shared" si="1069"/>
        <v>140.29303127309777</v>
      </c>
      <c r="AM161" s="2851">
        <f t="shared" si="1064"/>
        <v>140.29303127309777</v>
      </c>
      <c r="AN161" s="2851">
        <f t="shared" si="1064"/>
        <v>0</v>
      </c>
      <c r="AO161" s="2951">
        <f>SUM(AO31+AO51+AO83+AO103)</f>
        <v>525.97448436345121</v>
      </c>
      <c r="AP161" s="2951">
        <f t="shared" si="1090"/>
        <v>525.97448436345121</v>
      </c>
      <c r="AQ161" s="2951">
        <f t="shared" si="1090"/>
        <v>0</v>
      </c>
      <c r="AR161" s="2875">
        <f t="shared" si="1090"/>
        <v>164.37</v>
      </c>
      <c r="AS161" s="2875">
        <f t="shared" si="1090"/>
        <v>164.37</v>
      </c>
      <c r="AT161" s="2875">
        <f t="shared" si="1090"/>
        <v>0</v>
      </c>
      <c r="AU161" s="2875">
        <f t="shared" si="1090"/>
        <v>159.16300000000001</v>
      </c>
      <c r="AV161" s="2875">
        <f t="shared" si="1090"/>
        <v>159.16300000000001</v>
      </c>
      <c r="AW161" s="2875">
        <f t="shared" si="1090"/>
        <v>0</v>
      </c>
      <c r="AX161" s="2875">
        <f t="shared" si="1090"/>
        <v>200.38900000000001</v>
      </c>
      <c r="AY161" s="2875">
        <f t="shared" si="1090"/>
        <v>200.38900000000001</v>
      </c>
      <c r="AZ161" s="2875">
        <f t="shared" si="1090"/>
        <v>0</v>
      </c>
      <c r="BA161" s="2875">
        <f t="shared" si="1090"/>
        <v>523.92200000000003</v>
      </c>
      <c r="BB161" s="2875">
        <f t="shared" si="1090"/>
        <v>523.92200000000003</v>
      </c>
      <c r="BC161" s="2875">
        <f t="shared" si="1090"/>
        <v>0</v>
      </c>
      <c r="BD161" s="3002">
        <f>SUM(BD31+BD51+BD83+BD103)</f>
        <v>1577.9234530903536</v>
      </c>
      <c r="BE161" s="3002">
        <f t="shared" si="1091"/>
        <v>1577.9234530903536</v>
      </c>
      <c r="BF161" s="3002">
        <f t="shared" si="1091"/>
        <v>0</v>
      </c>
      <c r="BG161" s="3003">
        <f t="shared" si="1091"/>
        <v>1716.164</v>
      </c>
      <c r="BH161" s="3003">
        <f t="shared" si="1091"/>
        <v>1716.164</v>
      </c>
      <c r="BI161" s="3003">
        <f t="shared" si="1091"/>
        <v>0</v>
      </c>
      <c r="BJ161" s="2851">
        <f t="shared" si="1065"/>
        <v>138.24054690964635</v>
      </c>
      <c r="BK161" s="2851">
        <f t="shared" si="1065"/>
        <v>138.24054690964635</v>
      </c>
      <c r="BL161" s="2851">
        <f t="shared" si="1065"/>
        <v>0</v>
      </c>
      <c r="BM161" s="2951">
        <f>SUM(BM31+BM51+BM83+BM103)</f>
        <v>525.97448436345121</v>
      </c>
      <c r="BN161" s="2951">
        <f t="shared" si="1092"/>
        <v>525.97448436345121</v>
      </c>
      <c r="BO161" s="2951">
        <f t="shared" si="1092"/>
        <v>0</v>
      </c>
      <c r="BP161" s="2875">
        <f t="shared" si="1092"/>
        <v>146.74200000000002</v>
      </c>
      <c r="BQ161" s="2875">
        <f t="shared" si="1092"/>
        <v>146.74200000000002</v>
      </c>
      <c r="BR161" s="2875">
        <f t="shared" si="1092"/>
        <v>0</v>
      </c>
      <c r="BS161" s="2875">
        <f t="shared" si="1092"/>
        <v>221.19499999999999</v>
      </c>
      <c r="BT161" s="2875">
        <f t="shared" si="1092"/>
        <v>221.19499999999999</v>
      </c>
      <c r="BU161" s="2875">
        <f t="shared" si="1092"/>
        <v>0</v>
      </c>
      <c r="BV161" s="2875">
        <f t="shared" si="1092"/>
        <v>187.58199999999999</v>
      </c>
      <c r="BW161" s="2875">
        <f t="shared" si="1092"/>
        <v>187.58199999999999</v>
      </c>
      <c r="BX161" s="2875">
        <f t="shared" si="1092"/>
        <v>0</v>
      </c>
      <c r="BY161" s="2875">
        <f t="shared" si="1092"/>
        <v>555.51899999999989</v>
      </c>
      <c r="BZ161" s="2875">
        <f t="shared" si="1092"/>
        <v>555.51899999999989</v>
      </c>
      <c r="CA161" s="2875">
        <f t="shared" si="1092"/>
        <v>0</v>
      </c>
      <c r="CB161" s="3002">
        <f>SUM(CB31+CB51+CB83+CB103)</f>
        <v>2103.8979374538048</v>
      </c>
      <c r="CC161" s="3002">
        <f t="shared" si="1093"/>
        <v>2103.8979374538048</v>
      </c>
      <c r="CD161" s="3002">
        <f t="shared" si="1093"/>
        <v>0</v>
      </c>
      <c r="CE161" s="3003">
        <f t="shared" si="1093"/>
        <v>2271.683</v>
      </c>
      <c r="CF161" s="3003">
        <f t="shared" si="1093"/>
        <v>2271.683</v>
      </c>
      <c r="CG161" s="3003">
        <f t="shared" si="1093"/>
        <v>0</v>
      </c>
      <c r="CH161" s="2851">
        <f t="shared" si="1067"/>
        <v>167.78506254619515</v>
      </c>
      <c r="CI161" s="2851">
        <f t="shared" si="1067"/>
        <v>167.78506254619515</v>
      </c>
      <c r="CJ161" s="2851">
        <f t="shared" si="1067"/>
        <v>0</v>
      </c>
    </row>
    <row r="162" spans="1:88" ht="18.75" customHeight="1" x14ac:dyDescent="0.3">
      <c r="A162" s="2949" t="s">
        <v>31</v>
      </c>
      <c r="B162" s="2951">
        <f>SUM(B85)</f>
        <v>544.22261838992915</v>
      </c>
      <c r="C162" s="2951">
        <f t="shared" ref="C162:BN162" si="1094">SUM(C85)</f>
        <v>544.22261838992915</v>
      </c>
      <c r="D162" s="2951">
        <f t="shared" si="1094"/>
        <v>0</v>
      </c>
      <c r="E162" s="2875">
        <f t="shared" si="1094"/>
        <v>117.55</v>
      </c>
      <c r="F162" s="2875">
        <f t="shared" si="1094"/>
        <v>117.55</v>
      </c>
      <c r="G162" s="2875">
        <f t="shared" si="1094"/>
        <v>0</v>
      </c>
      <c r="H162" s="2875">
        <f t="shared" si="1094"/>
        <v>168.65599999999998</v>
      </c>
      <c r="I162" s="2875">
        <f t="shared" si="1094"/>
        <v>168.65599999999998</v>
      </c>
      <c r="J162" s="2875">
        <f t="shared" si="1094"/>
        <v>0</v>
      </c>
      <c r="K162" s="2875">
        <f t="shared" si="1094"/>
        <v>205.029</v>
      </c>
      <c r="L162" s="2875">
        <f t="shared" si="1094"/>
        <v>205.029</v>
      </c>
      <c r="M162" s="2875">
        <f t="shared" si="1094"/>
        <v>0</v>
      </c>
      <c r="N162" s="2875">
        <f t="shared" si="1094"/>
        <v>491.23499999999996</v>
      </c>
      <c r="O162" s="2875">
        <f t="shared" si="1094"/>
        <v>491.23499999999996</v>
      </c>
      <c r="P162" s="2875">
        <f t="shared" si="1094"/>
        <v>0</v>
      </c>
      <c r="Q162" s="2951">
        <f t="shared" si="1094"/>
        <v>544.22261838992915</v>
      </c>
      <c r="R162" s="2951">
        <f t="shared" si="1094"/>
        <v>544.22261838992915</v>
      </c>
      <c r="S162" s="2951">
        <f t="shared" si="1094"/>
        <v>0</v>
      </c>
      <c r="T162" s="2875">
        <f t="shared" si="1094"/>
        <v>195.07000000000002</v>
      </c>
      <c r="U162" s="2875">
        <f t="shared" si="1094"/>
        <v>195.07000000000002</v>
      </c>
      <c r="V162" s="2875">
        <f t="shared" si="1094"/>
        <v>0</v>
      </c>
      <c r="W162" s="2875">
        <f t="shared" si="1094"/>
        <v>121.09</v>
      </c>
      <c r="X162" s="2875">
        <f t="shared" si="1094"/>
        <v>121.09</v>
      </c>
      <c r="Y162" s="2875">
        <f t="shared" si="1094"/>
        <v>0</v>
      </c>
      <c r="Z162" s="2875">
        <f t="shared" si="1094"/>
        <v>141.221</v>
      </c>
      <c r="AA162" s="2875">
        <f t="shared" si="1094"/>
        <v>141.221</v>
      </c>
      <c r="AB162" s="2875">
        <f t="shared" si="1094"/>
        <v>0</v>
      </c>
      <c r="AC162" s="2875">
        <f t="shared" si="1094"/>
        <v>457.38100000000003</v>
      </c>
      <c r="AD162" s="2875">
        <f t="shared" si="1094"/>
        <v>457.38100000000003</v>
      </c>
      <c r="AE162" s="2875">
        <f t="shared" si="1094"/>
        <v>0</v>
      </c>
      <c r="AF162" s="3002">
        <f t="shared" si="1094"/>
        <v>1088.4452367798583</v>
      </c>
      <c r="AG162" s="3002">
        <f t="shared" si="1094"/>
        <v>1088.4452367798583</v>
      </c>
      <c r="AH162" s="3002">
        <f t="shared" si="1094"/>
        <v>0</v>
      </c>
      <c r="AI162" s="3003">
        <f t="shared" si="1094"/>
        <v>948.61599999999999</v>
      </c>
      <c r="AJ162" s="3003">
        <f t="shared" si="1094"/>
        <v>948.61599999999999</v>
      </c>
      <c r="AK162" s="3003">
        <f t="shared" si="1094"/>
        <v>0</v>
      </c>
      <c r="AL162" s="2851">
        <f t="shared" si="1069"/>
        <v>-139.82923677985832</v>
      </c>
      <c r="AM162" s="2851">
        <f t="shared" si="1064"/>
        <v>-139.82923677985832</v>
      </c>
      <c r="AN162" s="2851">
        <f t="shared" si="1064"/>
        <v>0</v>
      </c>
      <c r="AO162" s="2951">
        <f t="shared" si="1094"/>
        <v>544.22261838992915</v>
      </c>
      <c r="AP162" s="2951">
        <f t="shared" si="1094"/>
        <v>544.22261838992915</v>
      </c>
      <c r="AQ162" s="2951">
        <f t="shared" si="1094"/>
        <v>0</v>
      </c>
      <c r="AR162" s="2875">
        <f t="shared" si="1094"/>
        <v>187.26999999999998</v>
      </c>
      <c r="AS162" s="2875">
        <f t="shared" si="1094"/>
        <v>187.26999999999998</v>
      </c>
      <c r="AT162" s="2875">
        <f t="shared" si="1094"/>
        <v>0</v>
      </c>
      <c r="AU162" s="2875">
        <f t="shared" si="1094"/>
        <v>145.874</v>
      </c>
      <c r="AV162" s="2875">
        <f t="shared" si="1094"/>
        <v>145.874</v>
      </c>
      <c r="AW162" s="2875">
        <f t="shared" si="1094"/>
        <v>0</v>
      </c>
      <c r="AX162" s="2875">
        <f t="shared" si="1094"/>
        <v>141.40099999999998</v>
      </c>
      <c r="AY162" s="2875">
        <f t="shared" si="1094"/>
        <v>141.40099999999998</v>
      </c>
      <c r="AZ162" s="2875">
        <f t="shared" si="1094"/>
        <v>0</v>
      </c>
      <c r="BA162" s="2875">
        <f t="shared" si="1094"/>
        <v>474.54499999999996</v>
      </c>
      <c r="BB162" s="2875">
        <f t="shared" si="1094"/>
        <v>474.54499999999996</v>
      </c>
      <c r="BC162" s="2875">
        <f t="shared" si="1094"/>
        <v>0</v>
      </c>
      <c r="BD162" s="3002">
        <f t="shared" si="1094"/>
        <v>1632.6678551697873</v>
      </c>
      <c r="BE162" s="3002">
        <f t="shared" si="1094"/>
        <v>1632.6678551697873</v>
      </c>
      <c r="BF162" s="3002">
        <f t="shared" si="1094"/>
        <v>0</v>
      </c>
      <c r="BG162" s="3003">
        <f t="shared" si="1094"/>
        <v>1423.1610000000001</v>
      </c>
      <c r="BH162" s="3003">
        <f t="shared" si="1094"/>
        <v>1423.1610000000001</v>
      </c>
      <c r="BI162" s="3003">
        <f t="shared" si="1094"/>
        <v>0</v>
      </c>
      <c r="BJ162" s="2851">
        <f t="shared" si="1065"/>
        <v>-209.50685516978729</v>
      </c>
      <c r="BK162" s="2851">
        <f t="shared" si="1065"/>
        <v>-209.50685516978729</v>
      </c>
      <c r="BL162" s="2851">
        <f t="shared" si="1065"/>
        <v>0</v>
      </c>
      <c r="BM162" s="2951">
        <f t="shared" si="1094"/>
        <v>544.22261838992915</v>
      </c>
      <c r="BN162" s="2951">
        <f t="shared" si="1094"/>
        <v>544.22261838992915</v>
      </c>
      <c r="BO162" s="2951">
        <f t="shared" ref="BO162:CG162" si="1095">SUM(BO85)</f>
        <v>0</v>
      </c>
      <c r="BP162" s="2875">
        <f t="shared" si="1095"/>
        <v>142.614</v>
      </c>
      <c r="BQ162" s="2875">
        <f t="shared" si="1095"/>
        <v>142.614</v>
      </c>
      <c r="BR162" s="2875">
        <f t="shared" si="1095"/>
        <v>0</v>
      </c>
      <c r="BS162" s="2875">
        <f t="shared" si="1095"/>
        <v>170.15600000000001</v>
      </c>
      <c r="BT162" s="2875">
        <f t="shared" si="1095"/>
        <v>170.15600000000001</v>
      </c>
      <c r="BU162" s="2875">
        <f t="shared" si="1095"/>
        <v>0</v>
      </c>
      <c r="BV162" s="2875">
        <f t="shared" si="1095"/>
        <v>155.608</v>
      </c>
      <c r="BW162" s="2875">
        <f t="shared" si="1095"/>
        <v>155.608</v>
      </c>
      <c r="BX162" s="2875">
        <f t="shared" si="1095"/>
        <v>0</v>
      </c>
      <c r="BY162" s="2875">
        <f t="shared" si="1095"/>
        <v>468.37799999999999</v>
      </c>
      <c r="BZ162" s="2875">
        <f t="shared" si="1095"/>
        <v>468.37799999999999</v>
      </c>
      <c r="CA162" s="2875">
        <f t="shared" si="1095"/>
        <v>0</v>
      </c>
      <c r="CB162" s="3002">
        <f t="shared" si="1095"/>
        <v>2176.8904735597166</v>
      </c>
      <c r="CC162" s="3002">
        <f t="shared" si="1095"/>
        <v>2176.8904735597166</v>
      </c>
      <c r="CD162" s="3002">
        <f t="shared" si="1095"/>
        <v>0</v>
      </c>
      <c r="CE162" s="3003">
        <f t="shared" si="1095"/>
        <v>1891.539</v>
      </c>
      <c r="CF162" s="3003">
        <f t="shared" si="1095"/>
        <v>1891.539</v>
      </c>
      <c r="CG162" s="3003">
        <f t="shared" si="1095"/>
        <v>0</v>
      </c>
      <c r="CH162" s="2851">
        <f t="shared" si="1067"/>
        <v>-285.35147355971662</v>
      </c>
      <c r="CI162" s="2851">
        <f t="shared" si="1067"/>
        <v>-285.35147355971662</v>
      </c>
      <c r="CJ162" s="2851">
        <f t="shared" si="1067"/>
        <v>0</v>
      </c>
    </row>
    <row r="163" spans="1:88" ht="18.75" customHeight="1" x14ac:dyDescent="0.3">
      <c r="A163" s="2949" t="s">
        <v>289</v>
      </c>
      <c r="B163" s="2951">
        <f>SUM(B159-B160-B161-B162)</f>
        <v>2148.4725182039633</v>
      </c>
      <c r="C163" s="2951">
        <f t="shared" ref="C163:BN163" si="1096">SUM(C159-C160-C161-C162)</f>
        <v>2148.4725182039633</v>
      </c>
      <c r="D163" s="2951">
        <f t="shared" si="1096"/>
        <v>0</v>
      </c>
      <c r="E163" s="2875">
        <f t="shared" si="1096"/>
        <v>361.41049000000027</v>
      </c>
      <c r="F163" s="2875">
        <f t="shared" si="1096"/>
        <v>361.41049000000027</v>
      </c>
      <c r="G163" s="2875">
        <f t="shared" si="1096"/>
        <v>0</v>
      </c>
      <c r="H163" s="2875">
        <f t="shared" si="1096"/>
        <v>302.06570000000022</v>
      </c>
      <c r="I163" s="2875">
        <f t="shared" si="1096"/>
        <v>302.06570000000022</v>
      </c>
      <c r="J163" s="2875">
        <f t="shared" si="1096"/>
        <v>0</v>
      </c>
      <c r="K163" s="2875">
        <f t="shared" si="1096"/>
        <v>458.44039999999995</v>
      </c>
      <c r="L163" s="2875">
        <f t="shared" si="1096"/>
        <v>458.44039999999995</v>
      </c>
      <c r="M163" s="2875">
        <f t="shared" si="1096"/>
        <v>0</v>
      </c>
      <c r="N163" s="2875">
        <f t="shared" si="1096"/>
        <v>1121.91659</v>
      </c>
      <c r="O163" s="2875">
        <f t="shared" si="1096"/>
        <v>1121.91659</v>
      </c>
      <c r="P163" s="2875">
        <f t="shared" si="1096"/>
        <v>0</v>
      </c>
      <c r="Q163" s="2951">
        <f t="shared" si="1096"/>
        <v>2148.4725182039633</v>
      </c>
      <c r="R163" s="2951">
        <f t="shared" si="1096"/>
        <v>2148.4725182039633</v>
      </c>
      <c r="S163" s="2951">
        <f t="shared" si="1096"/>
        <v>0</v>
      </c>
      <c r="T163" s="2875">
        <f t="shared" si="1096"/>
        <v>265.70400000000006</v>
      </c>
      <c r="U163" s="2875">
        <f t="shared" si="1096"/>
        <v>265.70400000000006</v>
      </c>
      <c r="V163" s="2875">
        <f t="shared" si="1096"/>
        <v>0</v>
      </c>
      <c r="W163" s="2875">
        <f t="shared" si="1096"/>
        <v>238.53299999999993</v>
      </c>
      <c r="X163" s="2875">
        <f t="shared" si="1096"/>
        <v>238.53299999999993</v>
      </c>
      <c r="Y163" s="2875">
        <f t="shared" si="1096"/>
        <v>0</v>
      </c>
      <c r="Z163" s="2875">
        <f t="shared" si="1096"/>
        <v>314.40599999999989</v>
      </c>
      <c r="AA163" s="2875">
        <f t="shared" si="1096"/>
        <v>314.40599999999989</v>
      </c>
      <c r="AB163" s="2875">
        <f t="shared" si="1096"/>
        <v>0</v>
      </c>
      <c r="AC163" s="2875">
        <f t="shared" si="1096"/>
        <v>818.64299999999935</v>
      </c>
      <c r="AD163" s="2875">
        <f t="shared" si="1096"/>
        <v>818.64299999999935</v>
      </c>
      <c r="AE163" s="2875">
        <f t="shared" si="1096"/>
        <v>0</v>
      </c>
      <c r="AF163" s="3002">
        <f t="shared" si="1096"/>
        <v>4296.9450364079266</v>
      </c>
      <c r="AG163" s="3002">
        <f t="shared" si="1096"/>
        <v>4296.9450364079266</v>
      </c>
      <c r="AH163" s="3002">
        <f t="shared" si="1096"/>
        <v>0</v>
      </c>
      <c r="AI163" s="3003">
        <f t="shared" si="1096"/>
        <v>1940.5595899999998</v>
      </c>
      <c r="AJ163" s="3003">
        <f t="shared" si="1096"/>
        <v>1940.5595899999998</v>
      </c>
      <c r="AK163" s="3003">
        <f t="shared" si="1096"/>
        <v>0</v>
      </c>
      <c r="AL163" s="2851">
        <f t="shared" si="1069"/>
        <v>-2356.3854464079268</v>
      </c>
      <c r="AM163" s="2851">
        <f t="shared" si="1064"/>
        <v>-2356.3854464079268</v>
      </c>
      <c r="AN163" s="2851">
        <f t="shared" si="1064"/>
        <v>0</v>
      </c>
      <c r="AO163" s="2951">
        <f t="shared" si="1096"/>
        <v>2148.4725182039633</v>
      </c>
      <c r="AP163" s="2951">
        <f t="shared" si="1096"/>
        <v>2148.4725182039633</v>
      </c>
      <c r="AQ163" s="2951">
        <f t="shared" si="1096"/>
        <v>0</v>
      </c>
      <c r="AR163" s="2875">
        <f t="shared" si="1096"/>
        <v>405.17000000000019</v>
      </c>
      <c r="AS163" s="2875">
        <f t="shared" si="1096"/>
        <v>405.17000000000019</v>
      </c>
      <c r="AT163" s="2875">
        <f t="shared" si="1096"/>
        <v>0</v>
      </c>
      <c r="AU163" s="2875">
        <f t="shared" si="1096"/>
        <v>226.5980000000001</v>
      </c>
      <c r="AV163" s="2875">
        <f t="shared" si="1096"/>
        <v>226.5980000000001</v>
      </c>
      <c r="AW163" s="2875">
        <f t="shared" si="1096"/>
        <v>0</v>
      </c>
      <c r="AX163" s="2875">
        <f t="shared" si="1096"/>
        <v>540.34100000000001</v>
      </c>
      <c r="AY163" s="2875">
        <f t="shared" si="1096"/>
        <v>540.34100000000001</v>
      </c>
      <c r="AZ163" s="2875">
        <f t="shared" si="1096"/>
        <v>0</v>
      </c>
      <c r="BA163" s="2875">
        <f t="shared" si="1096"/>
        <v>1172.1089999999999</v>
      </c>
      <c r="BB163" s="2875">
        <f t="shared" si="1096"/>
        <v>1172.1089999999999</v>
      </c>
      <c r="BC163" s="2875">
        <f t="shared" si="1096"/>
        <v>0</v>
      </c>
      <c r="BD163" s="3002">
        <f t="shared" si="1096"/>
        <v>6445.4175546118913</v>
      </c>
      <c r="BE163" s="3002">
        <f t="shared" si="1096"/>
        <v>6445.4175546118913</v>
      </c>
      <c r="BF163" s="3002">
        <f t="shared" si="1096"/>
        <v>0</v>
      </c>
      <c r="BG163" s="3003">
        <f t="shared" si="1096"/>
        <v>3112.6685900000002</v>
      </c>
      <c r="BH163" s="3003">
        <f t="shared" si="1096"/>
        <v>3112.6685900000002</v>
      </c>
      <c r="BI163" s="3003">
        <f t="shared" si="1096"/>
        <v>0</v>
      </c>
      <c r="BJ163" s="2851">
        <f t="shared" si="1065"/>
        <v>-3332.7489646118911</v>
      </c>
      <c r="BK163" s="2851">
        <f t="shared" si="1065"/>
        <v>-3332.7489646118911</v>
      </c>
      <c r="BL163" s="2851">
        <f t="shared" si="1065"/>
        <v>0</v>
      </c>
      <c r="BM163" s="2951">
        <f t="shared" si="1096"/>
        <v>2148.4725182039633</v>
      </c>
      <c r="BN163" s="2951">
        <f t="shared" si="1096"/>
        <v>2148.4725182039633</v>
      </c>
      <c r="BO163" s="2951">
        <f t="shared" ref="BO163:CG163" si="1097">SUM(BO159-BO160-BO161-BO162)</f>
        <v>0</v>
      </c>
      <c r="BP163" s="2875">
        <f t="shared" si="1097"/>
        <v>292.39266999999995</v>
      </c>
      <c r="BQ163" s="2875">
        <f t="shared" si="1097"/>
        <v>292.39266999999995</v>
      </c>
      <c r="BR163" s="2875">
        <f t="shared" si="1097"/>
        <v>0</v>
      </c>
      <c r="BS163" s="2875">
        <f t="shared" si="1097"/>
        <v>280.44999999999993</v>
      </c>
      <c r="BT163" s="2875">
        <f t="shared" si="1097"/>
        <v>280.44999999999993</v>
      </c>
      <c r="BU163" s="2875">
        <f t="shared" si="1097"/>
        <v>0</v>
      </c>
      <c r="BV163" s="2875">
        <f t="shared" si="1097"/>
        <v>388.74790000000002</v>
      </c>
      <c r="BW163" s="2875">
        <f t="shared" si="1097"/>
        <v>388.74790000000002</v>
      </c>
      <c r="BX163" s="2875">
        <f t="shared" si="1097"/>
        <v>0</v>
      </c>
      <c r="BY163" s="2875">
        <f t="shared" si="1097"/>
        <v>961.59057000000007</v>
      </c>
      <c r="BZ163" s="2875">
        <f t="shared" si="1097"/>
        <v>961.59057000000007</v>
      </c>
      <c r="CA163" s="2875">
        <f t="shared" si="1097"/>
        <v>0</v>
      </c>
      <c r="CB163" s="3002">
        <f t="shared" si="1097"/>
        <v>8593.8901015772881</v>
      </c>
      <c r="CC163" s="3002">
        <f t="shared" si="1097"/>
        <v>8593.8901015772881</v>
      </c>
      <c r="CD163" s="3002">
        <f t="shared" si="1097"/>
        <v>0</v>
      </c>
      <c r="CE163" s="3003">
        <f t="shared" si="1097"/>
        <v>4074.2591599999978</v>
      </c>
      <c r="CF163" s="3003">
        <f t="shared" si="1097"/>
        <v>4074.2591600000014</v>
      </c>
      <c r="CG163" s="3003">
        <f t="shared" si="1097"/>
        <v>0</v>
      </c>
      <c r="CH163" s="2851">
        <f t="shared" si="1067"/>
        <v>-4519.6309415772903</v>
      </c>
      <c r="CI163" s="2851">
        <f t="shared" si="1067"/>
        <v>-4519.6309415772866</v>
      </c>
      <c r="CJ163" s="2851">
        <f t="shared" si="1067"/>
        <v>0</v>
      </c>
    </row>
    <row r="164" spans="1:88" ht="18.75" customHeight="1" x14ac:dyDescent="0.3">
      <c r="A164" s="2945" t="s">
        <v>3741</v>
      </c>
      <c r="B164" s="2946">
        <f t="shared" ref="B164:CB164" si="1098">SUM(B111)</f>
        <v>586.36005499999999</v>
      </c>
      <c r="C164" s="2946">
        <f t="shared" ref="C164:AE164" si="1099">SUM(C111)</f>
        <v>586.36005499999999</v>
      </c>
      <c r="D164" s="2946">
        <f t="shared" si="1099"/>
        <v>0</v>
      </c>
      <c r="E164" s="2865">
        <f t="shared" si="1099"/>
        <v>0</v>
      </c>
      <c r="F164" s="2865">
        <f t="shared" si="1099"/>
        <v>0</v>
      </c>
      <c r="G164" s="2865">
        <f t="shared" si="1099"/>
        <v>0</v>
      </c>
      <c r="H164" s="2865">
        <f t="shared" si="1099"/>
        <v>0</v>
      </c>
      <c r="I164" s="2865">
        <f t="shared" si="1099"/>
        <v>0</v>
      </c>
      <c r="J164" s="2865">
        <f t="shared" si="1099"/>
        <v>0</v>
      </c>
      <c r="K164" s="2865">
        <f t="shared" si="1099"/>
        <v>131.339</v>
      </c>
      <c r="L164" s="2865">
        <f t="shared" si="1099"/>
        <v>131.339</v>
      </c>
      <c r="M164" s="2865">
        <f t="shared" si="1099"/>
        <v>0</v>
      </c>
      <c r="N164" s="2865">
        <f t="shared" si="1099"/>
        <v>131.339</v>
      </c>
      <c r="O164" s="2865">
        <f t="shared" si="1099"/>
        <v>131.339</v>
      </c>
      <c r="P164" s="2865">
        <f t="shared" si="1099"/>
        <v>0</v>
      </c>
      <c r="Q164" s="2946">
        <f t="shared" si="1099"/>
        <v>586.36005499999999</v>
      </c>
      <c r="R164" s="2946">
        <f t="shared" si="1099"/>
        <v>586.36005499999999</v>
      </c>
      <c r="S164" s="2946">
        <f t="shared" si="1099"/>
        <v>0</v>
      </c>
      <c r="T164" s="2865">
        <f t="shared" si="1099"/>
        <v>0</v>
      </c>
      <c r="U164" s="2865">
        <f t="shared" si="1099"/>
        <v>0</v>
      </c>
      <c r="V164" s="2865">
        <f t="shared" si="1099"/>
        <v>0</v>
      </c>
      <c r="W164" s="2865">
        <f t="shared" si="1099"/>
        <v>0</v>
      </c>
      <c r="X164" s="2865">
        <f t="shared" si="1099"/>
        <v>0</v>
      </c>
      <c r="Y164" s="2865">
        <f t="shared" si="1099"/>
        <v>0</v>
      </c>
      <c r="Z164" s="2865">
        <f t="shared" si="1099"/>
        <v>131.34299999999999</v>
      </c>
      <c r="AA164" s="2865">
        <f t="shared" si="1099"/>
        <v>131.34299999999999</v>
      </c>
      <c r="AB164" s="2865">
        <f t="shared" si="1099"/>
        <v>0</v>
      </c>
      <c r="AC164" s="2865">
        <f t="shared" si="1099"/>
        <v>131.34299999999999</v>
      </c>
      <c r="AD164" s="2865">
        <f t="shared" si="1099"/>
        <v>131.34299999999999</v>
      </c>
      <c r="AE164" s="2865">
        <f t="shared" si="1099"/>
        <v>0</v>
      </c>
      <c r="AF164" s="2990">
        <f t="shared" si="1098"/>
        <v>1172.72011</v>
      </c>
      <c r="AG164" s="2990">
        <f t="shared" ref="AG164:AK164" si="1100">SUM(AG111)</f>
        <v>1172.72011</v>
      </c>
      <c r="AH164" s="2990">
        <f t="shared" si="1100"/>
        <v>0</v>
      </c>
      <c r="AI164" s="3001">
        <f t="shared" si="1100"/>
        <v>262.68200000000002</v>
      </c>
      <c r="AJ164" s="3001">
        <f t="shared" si="1100"/>
        <v>262.68200000000002</v>
      </c>
      <c r="AK164" s="3001">
        <f t="shared" si="1100"/>
        <v>0</v>
      </c>
      <c r="AL164" s="2847">
        <f t="shared" si="1069"/>
        <v>-910.03810999999996</v>
      </c>
      <c r="AM164" s="2847">
        <f t="shared" si="1064"/>
        <v>-910.03810999999996</v>
      </c>
      <c r="AN164" s="2847">
        <f t="shared" si="1064"/>
        <v>0</v>
      </c>
      <c r="AO164" s="2946">
        <f t="shared" si="1098"/>
        <v>586.36005499999999</v>
      </c>
      <c r="AP164" s="2946">
        <f t="shared" ref="AP164:BE176" si="1101">SUM(AP111)</f>
        <v>586.36005499999999</v>
      </c>
      <c r="AQ164" s="2946">
        <f t="shared" si="1101"/>
        <v>0</v>
      </c>
      <c r="AR164" s="2865">
        <f t="shared" si="1101"/>
        <v>0</v>
      </c>
      <c r="AS164" s="2865">
        <f t="shared" si="1101"/>
        <v>0</v>
      </c>
      <c r="AT164" s="2865">
        <f t="shared" si="1101"/>
        <v>0</v>
      </c>
      <c r="AU164" s="2865">
        <f t="shared" si="1101"/>
        <v>0</v>
      </c>
      <c r="AV164" s="2865">
        <f t="shared" si="1101"/>
        <v>0</v>
      </c>
      <c r="AW164" s="2865">
        <f t="shared" si="1101"/>
        <v>0</v>
      </c>
      <c r="AX164" s="2865">
        <f t="shared" si="1101"/>
        <v>131.34299999999999</v>
      </c>
      <c r="AY164" s="2865">
        <f t="shared" si="1101"/>
        <v>131.34299999999999</v>
      </c>
      <c r="AZ164" s="2865">
        <f t="shared" si="1101"/>
        <v>0</v>
      </c>
      <c r="BA164" s="2865">
        <f t="shared" si="1101"/>
        <v>131.34299999999999</v>
      </c>
      <c r="BB164" s="2865">
        <f t="shared" si="1101"/>
        <v>131.34299999999999</v>
      </c>
      <c r="BC164" s="2865">
        <f t="shared" si="1101"/>
        <v>0</v>
      </c>
      <c r="BD164" s="2990">
        <f t="shared" si="1098"/>
        <v>1759.0801649999999</v>
      </c>
      <c r="BE164" s="2990">
        <f t="shared" ref="BD164:BI176" si="1102">SUM(BE111)</f>
        <v>1759.0801649999999</v>
      </c>
      <c r="BF164" s="2990">
        <f t="shared" si="1102"/>
        <v>0</v>
      </c>
      <c r="BG164" s="3001">
        <f t="shared" si="1102"/>
        <v>394.02499999999998</v>
      </c>
      <c r="BH164" s="3001">
        <f t="shared" si="1102"/>
        <v>394.02499999999998</v>
      </c>
      <c r="BI164" s="3001">
        <f t="shared" si="1102"/>
        <v>0</v>
      </c>
      <c r="BJ164" s="2847">
        <f t="shared" si="1065"/>
        <v>-1365.0551649999998</v>
      </c>
      <c r="BK164" s="2847">
        <f t="shared" si="1065"/>
        <v>-1365.0551649999998</v>
      </c>
      <c r="BL164" s="2847">
        <f t="shared" si="1065"/>
        <v>0</v>
      </c>
      <c r="BM164" s="2946">
        <f t="shared" si="1098"/>
        <v>586.36005499999999</v>
      </c>
      <c r="BN164" s="2946">
        <f t="shared" ref="BN164:CA164" si="1103">SUM(BN111)</f>
        <v>586.36005499999999</v>
      </c>
      <c r="BO164" s="2946">
        <f t="shared" si="1103"/>
        <v>0</v>
      </c>
      <c r="BP164" s="2865">
        <f t="shared" si="1103"/>
        <v>0</v>
      </c>
      <c r="BQ164" s="2865">
        <f t="shared" si="1103"/>
        <v>0</v>
      </c>
      <c r="BR164" s="2865">
        <f t="shared" si="1103"/>
        <v>0</v>
      </c>
      <c r="BS164" s="2865">
        <f t="shared" si="1103"/>
        <v>0</v>
      </c>
      <c r="BT164" s="2865">
        <f t="shared" si="1103"/>
        <v>0</v>
      </c>
      <c r="BU164" s="2865">
        <f t="shared" si="1103"/>
        <v>0</v>
      </c>
      <c r="BV164" s="2865">
        <f t="shared" si="1103"/>
        <v>776.05909999999994</v>
      </c>
      <c r="BW164" s="2865">
        <f t="shared" si="1103"/>
        <v>776.05909999999994</v>
      </c>
      <c r="BX164" s="2865">
        <f t="shared" si="1103"/>
        <v>0</v>
      </c>
      <c r="BY164" s="2865">
        <f t="shared" si="1103"/>
        <v>776.05909999999994</v>
      </c>
      <c r="BZ164" s="2865">
        <f t="shared" si="1103"/>
        <v>776.05909999999994</v>
      </c>
      <c r="CA164" s="2865">
        <f t="shared" si="1103"/>
        <v>0</v>
      </c>
      <c r="CB164" s="2990">
        <f t="shared" si="1098"/>
        <v>2345.44022</v>
      </c>
      <c r="CC164" s="2990">
        <f t="shared" ref="CC164:CG164" si="1104">SUM(CC111)</f>
        <v>2345.44022</v>
      </c>
      <c r="CD164" s="2990">
        <f t="shared" si="1104"/>
        <v>0</v>
      </c>
      <c r="CE164" s="3001">
        <f t="shared" si="1104"/>
        <v>1170.0841</v>
      </c>
      <c r="CF164" s="3001">
        <f t="shared" si="1104"/>
        <v>1170.0841</v>
      </c>
      <c r="CG164" s="3001">
        <f t="shared" si="1104"/>
        <v>0</v>
      </c>
      <c r="CH164" s="2847">
        <f t="shared" si="1067"/>
        <v>-1175.3561199999999</v>
      </c>
      <c r="CI164" s="2847">
        <f t="shared" si="1067"/>
        <v>-1175.3561199999999</v>
      </c>
      <c r="CJ164" s="2847">
        <f t="shared" si="1067"/>
        <v>0</v>
      </c>
    </row>
    <row r="165" spans="1:88" ht="18.75" customHeight="1" x14ac:dyDescent="0.3">
      <c r="A165" s="2929" t="s">
        <v>3799</v>
      </c>
      <c r="B165" s="2951">
        <f t="shared" ref="B165:AK172" si="1105">SUM(B112)</f>
        <v>131.45500000000001</v>
      </c>
      <c r="C165" s="2951">
        <f t="shared" si="1105"/>
        <v>131.45500000000001</v>
      </c>
      <c r="D165" s="2951">
        <f t="shared" si="1105"/>
        <v>0</v>
      </c>
      <c r="E165" s="2875">
        <f t="shared" si="1105"/>
        <v>0</v>
      </c>
      <c r="F165" s="2875">
        <f t="shared" si="1105"/>
        <v>0</v>
      </c>
      <c r="G165" s="2875">
        <f t="shared" si="1105"/>
        <v>0</v>
      </c>
      <c r="H165" s="2875">
        <f t="shared" si="1105"/>
        <v>0</v>
      </c>
      <c r="I165" s="2875">
        <f t="shared" si="1105"/>
        <v>0</v>
      </c>
      <c r="J165" s="2875">
        <f t="shared" si="1105"/>
        <v>0</v>
      </c>
      <c r="K165" s="2875">
        <f t="shared" si="1105"/>
        <v>116.85</v>
      </c>
      <c r="L165" s="2875">
        <f t="shared" si="1105"/>
        <v>116.85</v>
      </c>
      <c r="M165" s="2875">
        <f t="shared" si="1105"/>
        <v>0</v>
      </c>
      <c r="N165" s="2875">
        <f t="shared" si="1105"/>
        <v>116.85</v>
      </c>
      <c r="O165" s="2875">
        <f t="shared" si="1105"/>
        <v>116.85</v>
      </c>
      <c r="P165" s="2875">
        <f t="shared" si="1105"/>
        <v>0</v>
      </c>
      <c r="Q165" s="2951">
        <f t="shared" si="1105"/>
        <v>131.45500000000001</v>
      </c>
      <c r="R165" s="2951">
        <f t="shared" si="1105"/>
        <v>131.45500000000001</v>
      </c>
      <c r="S165" s="2951">
        <f t="shared" si="1105"/>
        <v>0</v>
      </c>
      <c r="T165" s="2875">
        <f t="shared" si="1105"/>
        <v>0</v>
      </c>
      <c r="U165" s="2875">
        <f t="shared" si="1105"/>
        <v>0</v>
      </c>
      <c r="V165" s="2875">
        <f t="shared" si="1105"/>
        <v>0</v>
      </c>
      <c r="W165" s="2875">
        <f t="shared" si="1105"/>
        <v>0</v>
      </c>
      <c r="X165" s="2875">
        <f t="shared" si="1105"/>
        <v>0</v>
      </c>
      <c r="Y165" s="2875">
        <f t="shared" si="1105"/>
        <v>0</v>
      </c>
      <c r="Z165" s="2875">
        <f t="shared" si="1105"/>
        <v>116.854</v>
      </c>
      <c r="AA165" s="2875">
        <f t="shared" si="1105"/>
        <v>116.854</v>
      </c>
      <c r="AB165" s="2875">
        <f t="shared" si="1105"/>
        <v>0</v>
      </c>
      <c r="AC165" s="2875">
        <f t="shared" si="1105"/>
        <v>116.854</v>
      </c>
      <c r="AD165" s="2875">
        <f t="shared" si="1105"/>
        <v>116.854</v>
      </c>
      <c r="AE165" s="2875">
        <f t="shared" si="1105"/>
        <v>0</v>
      </c>
      <c r="AF165" s="3002">
        <f t="shared" si="1105"/>
        <v>262.91000000000003</v>
      </c>
      <c r="AG165" s="3002">
        <f t="shared" si="1105"/>
        <v>262.91000000000003</v>
      </c>
      <c r="AH165" s="3002">
        <f t="shared" si="1105"/>
        <v>0</v>
      </c>
      <c r="AI165" s="3003">
        <f t="shared" si="1105"/>
        <v>233.70400000000001</v>
      </c>
      <c r="AJ165" s="3003">
        <f t="shared" si="1105"/>
        <v>233.70400000000001</v>
      </c>
      <c r="AK165" s="3003">
        <f t="shared" si="1105"/>
        <v>0</v>
      </c>
      <c r="AL165" s="2851">
        <f t="shared" si="1069"/>
        <v>-29.206000000000017</v>
      </c>
      <c r="AM165" s="2851">
        <f t="shared" si="1064"/>
        <v>-29.206000000000017</v>
      </c>
      <c r="AN165" s="2851">
        <f t="shared" si="1064"/>
        <v>0</v>
      </c>
      <c r="AO165" s="2951">
        <f t="shared" ref="AO165:BD174" si="1106">SUM(AO112)</f>
        <v>131.45500000000001</v>
      </c>
      <c r="AP165" s="2951">
        <f t="shared" si="1101"/>
        <v>131.45500000000001</v>
      </c>
      <c r="AQ165" s="2951">
        <f t="shared" si="1101"/>
        <v>0</v>
      </c>
      <c r="AR165" s="2875">
        <f t="shared" si="1101"/>
        <v>0</v>
      </c>
      <c r="AS165" s="2875">
        <f t="shared" si="1101"/>
        <v>0</v>
      </c>
      <c r="AT165" s="2875">
        <f t="shared" si="1101"/>
        <v>0</v>
      </c>
      <c r="AU165" s="2875">
        <f t="shared" si="1101"/>
        <v>0</v>
      </c>
      <c r="AV165" s="2875">
        <f t="shared" si="1101"/>
        <v>0</v>
      </c>
      <c r="AW165" s="2875">
        <f t="shared" si="1101"/>
        <v>0</v>
      </c>
      <c r="AX165" s="2875">
        <f t="shared" si="1101"/>
        <v>116.854</v>
      </c>
      <c r="AY165" s="2875">
        <f t="shared" si="1101"/>
        <v>116.854</v>
      </c>
      <c r="AZ165" s="2875">
        <f t="shared" si="1101"/>
        <v>0</v>
      </c>
      <c r="BA165" s="2875">
        <f t="shared" si="1101"/>
        <v>116.854</v>
      </c>
      <c r="BB165" s="2875">
        <f t="shared" si="1101"/>
        <v>116.854</v>
      </c>
      <c r="BC165" s="2875">
        <f t="shared" si="1101"/>
        <v>0</v>
      </c>
      <c r="BD165" s="3002">
        <f t="shared" si="1101"/>
        <v>394.36500000000001</v>
      </c>
      <c r="BE165" s="3002">
        <f t="shared" si="1101"/>
        <v>394.36500000000001</v>
      </c>
      <c r="BF165" s="3002">
        <f t="shared" si="1102"/>
        <v>0</v>
      </c>
      <c r="BG165" s="3003">
        <f t="shared" si="1102"/>
        <v>350.55799999999999</v>
      </c>
      <c r="BH165" s="3003">
        <f t="shared" si="1102"/>
        <v>350.55799999999999</v>
      </c>
      <c r="BI165" s="3003">
        <f t="shared" si="1102"/>
        <v>0</v>
      </c>
      <c r="BJ165" s="2851">
        <f t="shared" si="1065"/>
        <v>-43.807000000000016</v>
      </c>
      <c r="BK165" s="2851">
        <f t="shared" si="1065"/>
        <v>-43.807000000000016</v>
      </c>
      <c r="BL165" s="2851">
        <f t="shared" si="1065"/>
        <v>0</v>
      </c>
      <c r="BM165" s="2951">
        <f t="shared" ref="BM165:CG176" si="1107">SUM(BM112)</f>
        <v>131.45500000000001</v>
      </c>
      <c r="BN165" s="2951">
        <f t="shared" si="1107"/>
        <v>131.45500000000001</v>
      </c>
      <c r="BO165" s="2951">
        <f t="shared" si="1107"/>
        <v>0</v>
      </c>
      <c r="BP165" s="2875">
        <f t="shared" si="1107"/>
        <v>0</v>
      </c>
      <c r="BQ165" s="2875">
        <f t="shared" si="1107"/>
        <v>0</v>
      </c>
      <c r="BR165" s="2875">
        <f t="shared" si="1107"/>
        <v>0</v>
      </c>
      <c r="BS165" s="2875">
        <f t="shared" si="1107"/>
        <v>0</v>
      </c>
      <c r="BT165" s="2875">
        <f t="shared" si="1107"/>
        <v>0</v>
      </c>
      <c r="BU165" s="2875">
        <f t="shared" si="1107"/>
        <v>0</v>
      </c>
      <c r="BV165" s="2875">
        <f t="shared" si="1107"/>
        <v>761.5761</v>
      </c>
      <c r="BW165" s="2875">
        <f t="shared" si="1107"/>
        <v>761.5761</v>
      </c>
      <c r="BX165" s="2875">
        <f t="shared" si="1107"/>
        <v>0</v>
      </c>
      <c r="BY165" s="2875">
        <f t="shared" si="1107"/>
        <v>761.5761</v>
      </c>
      <c r="BZ165" s="2875">
        <f t="shared" si="1107"/>
        <v>761.5761</v>
      </c>
      <c r="CA165" s="2875">
        <f t="shared" si="1107"/>
        <v>0</v>
      </c>
      <c r="CB165" s="3002">
        <f t="shared" si="1107"/>
        <v>525.82000000000005</v>
      </c>
      <c r="CC165" s="3002">
        <f t="shared" si="1107"/>
        <v>525.82000000000005</v>
      </c>
      <c r="CD165" s="3002">
        <f t="shared" si="1107"/>
        <v>0</v>
      </c>
      <c r="CE165" s="3003">
        <f t="shared" si="1107"/>
        <v>1112.1341</v>
      </c>
      <c r="CF165" s="3003">
        <f t="shared" si="1107"/>
        <v>1112.1341</v>
      </c>
      <c r="CG165" s="3003">
        <f t="shared" si="1107"/>
        <v>0</v>
      </c>
      <c r="CH165" s="2851">
        <f t="shared" si="1067"/>
        <v>586.31409999999994</v>
      </c>
      <c r="CI165" s="2851">
        <f t="shared" si="1067"/>
        <v>586.31409999999994</v>
      </c>
      <c r="CJ165" s="2851">
        <f t="shared" si="1067"/>
        <v>0</v>
      </c>
    </row>
    <row r="166" spans="1:88" ht="18.75" customHeight="1" x14ac:dyDescent="0.3">
      <c r="A166" s="2929" t="s">
        <v>524</v>
      </c>
      <c r="B166" s="2951">
        <f t="shared" si="1105"/>
        <v>18.572500000000002</v>
      </c>
      <c r="C166" s="2951">
        <f t="shared" si="1105"/>
        <v>18.572500000000002</v>
      </c>
      <c r="D166" s="2951">
        <f t="shared" si="1105"/>
        <v>0</v>
      </c>
      <c r="E166" s="2875">
        <f t="shared" si="1105"/>
        <v>0</v>
      </c>
      <c r="F166" s="2875">
        <f t="shared" si="1105"/>
        <v>0</v>
      </c>
      <c r="G166" s="2875">
        <f t="shared" si="1105"/>
        <v>0</v>
      </c>
      <c r="H166" s="2875">
        <f t="shared" si="1105"/>
        <v>0</v>
      </c>
      <c r="I166" s="2875">
        <f t="shared" si="1105"/>
        <v>0</v>
      </c>
      <c r="J166" s="2875">
        <f t="shared" si="1105"/>
        <v>0</v>
      </c>
      <c r="K166" s="2875">
        <f t="shared" si="1105"/>
        <v>14.489000000000001</v>
      </c>
      <c r="L166" s="2875">
        <f t="shared" si="1105"/>
        <v>14.489000000000001</v>
      </c>
      <c r="M166" s="2875">
        <f t="shared" si="1105"/>
        <v>0</v>
      </c>
      <c r="N166" s="2875">
        <f t="shared" si="1105"/>
        <v>14.489000000000001</v>
      </c>
      <c r="O166" s="2875">
        <f t="shared" si="1105"/>
        <v>14.489000000000001</v>
      </c>
      <c r="P166" s="2875">
        <f t="shared" si="1105"/>
        <v>0</v>
      </c>
      <c r="Q166" s="2951">
        <f t="shared" si="1105"/>
        <v>18.572500000000002</v>
      </c>
      <c r="R166" s="2951">
        <f t="shared" si="1105"/>
        <v>18.572500000000002</v>
      </c>
      <c r="S166" s="2951">
        <f t="shared" si="1105"/>
        <v>0</v>
      </c>
      <c r="T166" s="2875">
        <f t="shared" si="1105"/>
        <v>0</v>
      </c>
      <c r="U166" s="2875">
        <f t="shared" si="1105"/>
        <v>0</v>
      </c>
      <c r="V166" s="2875">
        <f t="shared" si="1105"/>
        <v>0</v>
      </c>
      <c r="W166" s="2875">
        <f t="shared" si="1105"/>
        <v>0</v>
      </c>
      <c r="X166" s="2875">
        <f t="shared" si="1105"/>
        <v>0</v>
      </c>
      <c r="Y166" s="2875">
        <f t="shared" si="1105"/>
        <v>0</v>
      </c>
      <c r="Z166" s="2875">
        <f t="shared" si="1105"/>
        <v>14.489000000000001</v>
      </c>
      <c r="AA166" s="2875">
        <f t="shared" si="1105"/>
        <v>14.489000000000001</v>
      </c>
      <c r="AB166" s="2875">
        <f t="shared" si="1105"/>
        <v>0</v>
      </c>
      <c r="AC166" s="2875">
        <f t="shared" si="1105"/>
        <v>14.489000000000001</v>
      </c>
      <c r="AD166" s="2875">
        <f t="shared" si="1105"/>
        <v>14.489000000000001</v>
      </c>
      <c r="AE166" s="2875">
        <f t="shared" si="1105"/>
        <v>0</v>
      </c>
      <c r="AF166" s="3002">
        <f t="shared" si="1105"/>
        <v>37.145000000000003</v>
      </c>
      <c r="AG166" s="3002">
        <f t="shared" si="1105"/>
        <v>37.145000000000003</v>
      </c>
      <c r="AH166" s="3002">
        <f t="shared" si="1105"/>
        <v>0</v>
      </c>
      <c r="AI166" s="3003">
        <f t="shared" si="1105"/>
        <v>28.978000000000002</v>
      </c>
      <c r="AJ166" s="3003">
        <f t="shared" si="1105"/>
        <v>28.978000000000002</v>
      </c>
      <c r="AK166" s="3003">
        <f t="shared" si="1105"/>
        <v>0</v>
      </c>
      <c r="AL166" s="2851">
        <f t="shared" si="1069"/>
        <v>-8.1670000000000016</v>
      </c>
      <c r="AM166" s="2851">
        <f t="shared" si="1064"/>
        <v>-8.1670000000000016</v>
      </c>
      <c r="AN166" s="2851">
        <f t="shared" si="1064"/>
        <v>0</v>
      </c>
      <c r="AO166" s="2951">
        <f t="shared" si="1106"/>
        <v>18.572500000000002</v>
      </c>
      <c r="AP166" s="2951">
        <f t="shared" si="1101"/>
        <v>18.572500000000002</v>
      </c>
      <c r="AQ166" s="2951">
        <f t="shared" si="1101"/>
        <v>0</v>
      </c>
      <c r="AR166" s="2875">
        <f t="shared" si="1101"/>
        <v>0</v>
      </c>
      <c r="AS166" s="2875">
        <f t="shared" si="1101"/>
        <v>0</v>
      </c>
      <c r="AT166" s="2875">
        <f t="shared" si="1101"/>
        <v>0</v>
      </c>
      <c r="AU166" s="2875">
        <f t="shared" si="1101"/>
        <v>0</v>
      </c>
      <c r="AV166" s="2875">
        <f t="shared" si="1101"/>
        <v>0</v>
      </c>
      <c r="AW166" s="2875">
        <f t="shared" si="1101"/>
        <v>0</v>
      </c>
      <c r="AX166" s="2875">
        <f t="shared" si="1101"/>
        <v>14.489000000000001</v>
      </c>
      <c r="AY166" s="2875">
        <f t="shared" si="1101"/>
        <v>14.489000000000001</v>
      </c>
      <c r="AZ166" s="2875">
        <f t="shared" si="1101"/>
        <v>0</v>
      </c>
      <c r="BA166" s="2875">
        <f t="shared" si="1101"/>
        <v>14.489000000000001</v>
      </c>
      <c r="BB166" s="2875">
        <f t="shared" si="1101"/>
        <v>14.489000000000001</v>
      </c>
      <c r="BC166" s="2875">
        <f t="shared" si="1101"/>
        <v>0</v>
      </c>
      <c r="BD166" s="3002">
        <f t="shared" si="1102"/>
        <v>55.717500000000001</v>
      </c>
      <c r="BE166" s="3002">
        <f t="shared" si="1102"/>
        <v>55.717500000000001</v>
      </c>
      <c r="BF166" s="3002">
        <f t="shared" si="1102"/>
        <v>0</v>
      </c>
      <c r="BG166" s="3003">
        <f t="shared" si="1102"/>
        <v>43.466999999999999</v>
      </c>
      <c r="BH166" s="3003">
        <f t="shared" si="1102"/>
        <v>43.466999999999999</v>
      </c>
      <c r="BI166" s="3003">
        <f t="shared" si="1102"/>
        <v>0</v>
      </c>
      <c r="BJ166" s="2851">
        <f t="shared" si="1065"/>
        <v>-12.250500000000002</v>
      </c>
      <c r="BK166" s="2851">
        <f t="shared" si="1065"/>
        <v>-12.250500000000002</v>
      </c>
      <c r="BL166" s="2851">
        <f t="shared" si="1065"/>
        <v>0</v>
      </c>
      <c r="BM166" s="2951">
        <f t="shared" si="1107"/>
        <v>18.572500000000002</v>
      </c>
      <c r="BN166" s="2951">
        <f t="shared" si="1107"/>
        <v>18.572500000000002</v>
      </c>
      <c r="BO166" s="2951">
        <f t="shared" si="1107"/>
        <v>0</v>
      </c>
      <c r="BP166" s="2875">
        <f t="shared" si="1107"/>
        <v>0</v>
      </c>
      <c r="BQ166" s="2875">
        <f t="shared" si="1107"/>
        <v>0</v>
      </c>
      <c r="BR166" s="2875">
        <f t="shared" si="1107"/>
        <v>0</v>
      </c>
      <c r="BS166" s="2875">
        <f t="shared" si="1107"/>
        <v>0</v>
      </c>
      <c r="BT166" s="2875">
        <f t="shared" si="1107"/>
        <v>0</v>
      </c>
      <c r="BU166" s="2875">
        <f t="shared" si="1107"/>
        <v>0</v>
      </c>
      <c r="BV166" s="2875">
        <f t="shared" si="1107"/>
        <v>14.483000000000001</v>
      </c>
      <c r="BW166" s="2875">
        <f t="shared" si="1107"/>
        <v>14.483000000000001</v>
      </c>
      <c r="BX166" s="2875">
        <f t="shared" si="1107"/>
        <v>0</v>
      </c>
      <c r="BY166" s="2875">
        <f t="shared" si="1107"/>
        <v>14.483000000000001</v>
      </c>
      <c r="BZ166" s="2875">
        <f t="shared" si="1107"/>
        <v>14.483000000000001</v>
      </c>
      <c r="CA166" s="2875">
        <f t="shared" si="1107"/>
        <v>0</v>
      </c>
      <c r="CB166" s="3002">
        <f t="shared" si="1107"/>
        <v>74.290000000000006</v>
      </c>
      <c r="CC166" s="3002">
        <f t="shared" si="1107"/>
        <v>74.290000000000006</v>
      </c>
      <c r="CD166" s="3002">
        <f t="shared" si="1107"/>
        <v>0</v>
      </c>
      <c r="CE166" s="3003">
        <f t="shared" si="1107"/>
        <v>57.95</v>
      </c>
      <c r="CF166" s="3003">
        <f t="shared" si="1107"/>
        <v>57.95</v>
      </c>
      <c r="CG166" s="3003">
        <f t="shared" si="1107"/>
        <v>0</v>
      </c>
      <c r="CH166" s="2851">
        <f t="shared" si="1067"/>
        <v>-16.340000000000003</v>
      </c>
      <c r="CI166" s="2851">
        <f t="shared" si="1067"/>
        <v>-16.340000000000003</v>
      </c>
      <c r="CJ166" s="2851">
        <f t="shared" si="1067"/>
        <v>0</v>
      </c>
    </row>
    <row r="167" spans="1:88" ht="18.75" customHeight="1" x14ac:dyDescent="0.3">
      <c r="A167" s="2929" t="s">
        <v>526</v>
      </c>
      <c r="B167" s="2951">
        <f t="shared" si="1105"/>
        <v>436.33255500000001</v>
      </c>
      <c r="C167" s="2951">
        <f t="shared" si="1105"/>
        <v>436.33255500000001</v>
      </c>
      <c r="D167" s="2951">
        <f t="shared" si="1105"/>
        <v>0</v>
      </c>
      <c r="E167" s="2875">
        <f t="shared" si="1105"/>
        <v>0</v>
      </c>
      <c r="F167" s="2875">
        <f t="shared" si="1105"/>
        <v>0</v>
      </c>
      <c r="G167" s="2875">
        <f t="shared" si="1105"/>
        <v>0</v>
      </c>
      <c r="H167" s="2875">
        <f t="shared" si="1105"/>
        <v>0</v>
      </c>
      <c r="I167" s="2875">
        <f t="shared" si="1105"/>
        <v>0</v>
      </c>
      <c r="J167" s="2875">
        <f t="shared" si="1105"/>
        <v>0</v>
      </c>
      <c r="K167" s="2875">
        <f t="shared" si="1105"/>
        <v>0</v>
      </c>
      <c r="L167" s="2875">
        <f t="shared" si="1105"/>
        <v>0</v>
      </c>
      <c r="M167" s="2875">
        <f t="shared" si="1105"/>
        <v>0</v>
      </c>
      <c r="N167" s="2875">
        <f t="shared" si="1105"/>
        <v>0</v>
      </c>
      <c r="O167" s="2875">
        <f t="shared" si="1105"/>
        <v>0</v>
      </c>
      <c r="P167" s="2875">
        <f t="shared" si="1105"/>
        <v>0</v>
      </c>
      <c r="Q167" s="2951">
        <f t="shared" si="1105"/>
        <v>436.33255500000001</v>
      </c>
      <c r="R167" s="2951">
        <f t="shared" si="1105"/>
        <v>436.33255500000001</v>
      </c>
      <c r="S167" s="2951">
        <f t="shared" si="1105"/>
        <v>0</v>
      </c>
      <c r="T167" s="2875">
        <f t="shared" si="1105"/>
        <v>0</v>
      </c>
      <c r="U167" s="2875">
        <f t="shared" si="1105"/>
        <v>0</v>
      </c>
      <c r="V167" s="2875">
        <f t="shared" si="1105"/>
        <v>0</v>
      </c>
      <c r="W167" s="2875">
        <f t="shared" si="1105"/>
        <v>0</v>
      </c>
      <c r="X167" s="2875">
        <f t="shared" si="1105"/>
        <v>0</v>
      </c>
      <c r="Y167" s="2875">
        <f t="shared" si="1105"/>
        <v>0</v>
      </c>
      <c r="Z167" s="2875">
        <f t="shared" si="1105"/>
        <v>0</v>
      </c>
      <c r="AA167" s="2875">
        <f t="shared" si="1105"/>
        <v>0</v>
      </c>
      <c r="AB167" s="2875">
        <f t="shared" si="1105"/>
        <v>0</v>
      </c>
      <c r="AC167" s="2875">
        <f t="shared" si="1105"/>
        <v>0</v>
      </c>
      <c r="AD167" s="2875">
        <f t="shared" si="1105"/>
        <v>0</v>
      </c>
      <c r="AE167" s="2875">
        <f t="shared" si="1105"/>
        <v>0</v>
      </c>
      <c r="AF167" s="3002">
        <f t="shared" si="1105"/>
        <v>872.66511000000003</v>
      </c>
      <c r="AG167" s="3002">
        <f t="shared" si="1105"/>
        <v>872.66511000000003</v>
      </c>
      <c r="AH167" s="3002">
        <f t="shared" si="1105"/>
        <v>0</v>
      </c>
      <c r="AI167" s="3003">
        <f t="shared" si="1105"/>
        <v>0</v>
      </c>
      <c r="AJ167" s="3003">
        <f t="shared" si="1105"/>
        <v>0</v>
      </c>
      <c r="AK167" s="3003">
        <f t="shared" si="1105"/>
        <v>0</v>
      </c>
      <c r="AL167" s="2851">
        <f t="shared" si="1069"/>
        <v>-872.66511000000003</v>
      </c>
      <c r="AM167" s="2851">
        <f t="shared" ref="AM167:AN179" si="1108">SUM(AJ167-AG167)</f>
        <v>-872.66511000000003</v>
      </c>
      <c r="AN167" s="2851">
        <f t="shared" si="1108"/>
        <v>0</v>
      </c>
      <c r="AO167" s="2951">
        <f t="shared" si="1106"/>
        <v>436.33255500000001</v>
      </c>
      <c r="AP167" s="2951">
        <f t="shared" si="1101"/>
        <v>436.33255500000001</v>
      </c>
      <c r="AQ167" s="2951">
        <f t="shared" si="1101"/>
        <v>0</v>
      </c>
      <c r="AR167" s="2875">
        <f t="shared" si="1101"/>
        <v>0</v>
      </c>
      <c r="AS167" s="2875">
        <f t="shared" si="1101"/>
        <v>0</v>
      </c>
      <c r="AT167" s="2875">
        <f t="shared" si="1101"/>
        <v>0</v>
      </c>
      <c r="AU167" s="2875">
        <f t="shared" si="1101"/>
        <v>0</v>
      </c>
      <c r="AV167" s="2875">
        <f t="shared" si="1101"/>
        <v>0</v>
      </c>
      <c r="AW167" s="2875">
        <f t="shared" si="1101"/>
        <v>0</v>
      </c>
      <c r="AX167" s="2875">
        <f t="shared" si="1101"/>
        <v>0</v>
      </c>
      <c r="AY167" s="2875">
        <f t="shared" si="1101"/>
        <v>0</v>
      </c>
      <c r="AZ167" s="2875">
        <f t="shared" si="1101"/>
        <v>0</v>
      </c>
      <c r="BA167" s="2875">
        <f t="shared" si="1101"/>
        <v>0</v>
      </c>
      <c r="BB167" s="2875">
        <f t="shared" si="1101"/>
        <v>0</v>
      </c>
      <c r="BC167" s="2875">
        <f t="shared" si="1101"/>
        <v>0</v>
      </c>
      <c r="BD167" s="3002">
        <f t="shared" si="1102"/>
        <v>1308.9976650000001</v>
      </c>
      <c r="BE167" s="3002">
        <f t="shared" si="1102"/>
        <v>1308.9976650000001</v>
      </c>
      <c r="BF167" s="3002">
        <f t="shared" si="1102"/>
        <v>0</v>
      </c>
      <c r="BG167" s="3003">
        <f t="shared" si="1102"/>
        <v>0</v>
      </c>
      <c r="BH167" s="3003">
        <f t="shared" si="1102"/>
        <v>0</v>
      </c>
      <c r="BI167" s="3003">
        <f t="shared" si="1102"/>
        <v>0</v>
      </c>
      <c r="BJ167" s="2851">
        <f t="shared" si="1065"/>
        <v>-1308.9976650000001</v>
      </c>
      <c r="BK167" s="2851">
        <f t="shared" si="1065"/>
        <v>-1308.9976650000001</v>
      </c>
      <c r="BL167" s="2851">
        <f t="shared" si="1065"/>
        <v>0</v>
      </c>
      <c r="BM167" s="2951">
        <f t="shared" si="1107"/>
        <v>436.33255500000001</v>
      </c>
      <c r="BN167" s="2951">
        <f t="shared" si="1107"/>
        <v>436.33255500000001</v>
      </c>
      <c r="BO167" s="2951">
        <f t="shared" si="1107"/>
        <v>0</v>
      </c>
      <c r="BP167" s="2875">
        <f t="shared" si="1107"/>
        <v>0</v>
      </c>
      <c r="BQ167" s="2875">
        <f t="shared" si="1107"/>
        <v>0</v>
      </c>
      <c r="BR167" s="2875">
        <f t="shared" si="1107"/>
        <v>0</v>
      </c>
      <c r="BS167" s="2875">
        <f t="shared" si="1107"/>
        <v>0</v>
      </c>
      <c r="BT167" s="2875">
        <f t="shared" si="1107"/>
        <v>0</v>
      </c>
      <c r="BU167" s="2875">
        <f t="shared" si="1107"/>
        <v>0</v>
      </c>
      <c r="BV167" s="2875">
        <f t="shared" si="1107"/>
        <v>0</v>
      </c>
      <c r="BW167" s="2875">
        <f t="shared" si="1107"/>
        <v>0</v>
      </c>
      <c r="BX167" s="2875">
        <f t="shared" si="1107"/>
        <v>0</v>
      </c>
      <c r="BY167" s="2875">
        <f t="shared" si="1107"/>
        <v>0</v>
      </c>
      <c r="BZ167" s="2875">
        <f t="shared" si="1107"/>
        <v>0</v>
      </c>
      <c r="CA167" s="2875">
        <f t="shared" si="1107"/>
        <v>0</v>
      </c>
      <c r="CB167" s="3002">
        <f t="shared" si="1107"/>
        <v>1745.3302200000001</v>
      </c>
      <c r="CC167" s="3002">
        <f t="shared" si="1107"/>
        <v>1745.3302200000001</v>
      </c>
      <c r="CD167" s="3002">
        <f t="shared" si="1107"/>
        <v>0</v>
      </c>
      <c r="CE167" s="3003">
        <f t="shared" si="1107"/>
        <v>0</v>
      </c>
      <c r="CF167" s="3003">
        <f t="shared" si="1107"/>
        <v>0</v>
      </c>
      <c r="CG167" s="3003">
        <f t="shared" si="1107"/>
        <v>0</v>
      </c>
      <c r="CH167" s="2851">
        <f t="shared" si="1067"/>
        <v>-1745.3302200000001</v>
      </c>
      <c r="CI167" s="2851">
        <f t="shared" si="1067"/>
        <v>-1745.3302200000001</v>
      </c>
      <c r="CJ167" s="2851">
        <f t="shared" si="1067"/>
        <v>0</v>
      </c>
    </row>
    <row r="168" spans="1:88" ht="18.75" customHeight="1" x14ac:dyDescent="0.3">
      <c r="A168" s="2945" t="s">
        <v>3759</v>
      </c>
      <c r="B168" s="2946">
        <f t="shared" si="1105"/>
        <v>2664.3350666880492</v>
      </c>
      <c r="C168" s="2946">
        <f t="shared" si="1105"/>
        <v>2649.1740666880492</v>
      </c>
      <c r="D168" s="2946">
        <f t="shared" si="1105"/>
        <v>15.161</v>
      </c>
      <c r="E168" s="2865">
        <f t="shared" si="1105"/>
        <v>883.36530000000016</v>
      </c>
      <c r="F168" s="2865">
        <f t="shared" si="1105"/>
        <v>881.62400000000014</v>
      </c>
      <c r="G168" s="2865">
        <f t="shared" si="1105"/>
        <v>1.7413000000000001</v>
      </c>
      <c r="H168" s="2865">
        <f t="shared" si="1105"/>
        <v>911.89985999999999</v>
      </c>
      <c r="I168" s="2865">
        <f t="shared" si="1105"/>
        <v>909.7106</v>
      </c>
      <c r="J168" s="2865">
        <f t="shared" si="1105"/>
        <v>2.18926</v>
      </c>
      <c r="K168" s="2865">
        <f t="shared" si="1105"/>
        <v>1001.39043</v>
      </c>
      <c r="L168" s="2865">
        <f t="shared" si="1105"/>
        <v>998.53600000000006</v>
      </c>
      <c r="M168" s="2865">
        <f t="shared" si="1105"/>
        <v>2.8544299999999998</v>
      </c>
      <c r="N168" s="2865">
        <f t="shared" si="1105"/>
        <v>2796.6555900000003</v>
      </c>
      <c r="O168" s="2865">
        <f t="shared" si="1105"/>
        <v>2789.8706000000002</v>
      </c>
      <c r="P168" s="2865">
        <f t="shared" si="1105"/>
        <v>6.7849899999999996</v>
      </c>
      <c r="Q168" s="2946">
        <f t="shared" si="1105"/>
        <v>2664.3350666880492</v>
      </c>
      <c r="R168" s="2946">
        <f t="shared" si="1105"/>
        <v>2649.1740666880492</v>
      </c>
      <c r="S168" s="2946">
        <f t="shared" si="1105"/>
        <v>15.161</v>
      </c>
      <c r="T168" s="2865">
        <f t="shared" si="1105"/>
        <v>1094.22018</v>
      </c>
      <c r="U168" s="2865">
        <f t="shared" si="1105"/>
        <v>1091.3040000000001</v>
      </c>
      <c r="V168" s="2865">
        <f t="shared" si="1105"/>
        <v>2.9161799999999998</v>
      </c>
      <c r="W168" s="2865">
        <f t="shared" si="1105"/>
        <v>1453.9959700000002</v>
      </c>
      <c r="X168" s="2865">
        <f t="shared" si="1105"/>
        <v>1450.6590000000001</v>
      </c>
      <c r="Y168" s="2865">
        <f t="shared" si="1105"/>
        <v>3.3369700000000004</v>
      </c>
      <c r="Z168" s="2865">
        <f t="shared" si="1105"/>
        <v>915.84430000000009</v>
      </c>
      <c r="AA168" s="2865">
        <f t="shared" si="1105"/>
        <v>914.79600000000005</v>
      </c>
      <c r="AB168" s="2865">
        <f t="shared" si="1105"/>
        <v>1.0483000000000002</v>
      </c>
      <c r="AC168" s="2865">
        <f t="shared" si="1105"/>
        <v>3464.0604499999999</v>
      </c>
      <c r="AD168" s="2865">
        <f t="shared" si="1105"/>
        <v>3456.759</v>
      </c>
      <c r="AE168" s="2865">
        <f t="shared" si="1105"/>
        <v>7.30145</v>
      </c>
      <c r="AF168" s="2990">
        <f t="shared" si="1105"/>
        <v>5328.6701333760984</v>
      </c>
      <c r="AG168" s="2990">
        <f t="shared" si="1105"/>
        <v>5298.3481333760983</v>
      </c>
      <c r="AH168" s="2990">
        <f t="shared" si="1105"/>
        <v>30.321999999999999</v>
      </c>
      <c r="AI168" s="3001">
        <f t="shared" si="1105"/>
        <v>6260.7160400000002</v>
      </c>
      <c r="AJ168" s="3001">
        <f t="shared" si="1105"/>
        <v>6246.6296000000002</v>
      </c>
      <c r="AK168" s="3001">
        <f t="shared" si="1105"/>
        <v>14.08644</v>
      </c>
      <c r="AL168" s="2847">
        <f t="shared" si="1069"/>
        <v>932.04590662390183</v>
      </c>
      <c r="AM168" s="2847">
        <f t="shared" si="1108"/>
        <v>948.28146662390191</v>
      </c>
      <c r="AN168" s="2847">
        <f t="shared" si="1108"/>
        <v>-16.23556</v>
      </c>
      <c r="AO168" s="2946">
        <f t="shared" si="1106"/>
        <v>2664.3350666880492</v>
      </c>
      <c r="AP168" s="2946">
        <f t="shared" si="1101"/>
        <v>2649.1740666880492</v>
      </c>
      <c r="AQ168" s="2946">
        <f t="shared" si="1101"/>
        <v>15.161</v>
      </c>
      <c r="AR168" s="2865">
        <f t="shared" si="1101"/>
        <v>887.49837000000002</v>
      </c>
      <c r="AS168" s="2865">
        <f t="shared" si="1101"/>
        <v>885.43299999999999</v>
      </c>
      <c r="AT168" s="2865">
        <f t="shared" si="1101"/>
        <v>2.0653700000000002</v>
      </c>
      <c r="AU168" s="2865">
        <f t="shared" si="1101"/>
        <v>751.08989999999994</v>
      </c>
      <c r="AV168" s="2865">
        <f t="shared" si="1101"/>
        <v>749.06399999999996</v>
      </c>
      <c r="AW168" s="2865">
        <f t="shared" si="1101"/>
        <v>2.0259</v>
      </c>
      <c r="AX168" s="2865">
        <f t="shared" si="1101"/>
        <v>1161.6197999999999</v>
      </c>
      <c r="AY168" s="2865">
        <f t="shared" si="1101"/>
        <v>1158.693</v>
      </c>
      <c r="AZ168" s="2865">
        <f t="shared" si="1101"/>
        <v>2.9268000000000001</v>
      </c>
      <c r="BA168" s="2865">
        <f t="shared" si="1101"/>
        <v>2800.2080699999997</v>
      </c>
      <c r="BB168" s="2865">
        <f t="shared" si="1101"/>
        <v>2793.1899999999996</v>
      </c>
      <c r="BC168" s="2865">
        <f t="shared" si="1101"/>
        <v>7.0180699999999998</v>
      </c>
      <c r="BD168" s="2990">
        <f t="shared" si="1102"/>
        <v>7993.0052000641481</v>
      </c>
      <c r="BE168" s="2990">
        <f t="shared" si="1102"/>
        <v>7947.5222000641479</v>
      </c>
      <c r="BF168" s="2990">
        <f t="shared" si="1102"/>
        <v>45.482999999999997</v>
      </c>
      <c r="BG168" s="3001">
        <f t="shared" si="1102"/>
        <v>9060.9241099999999</v>
      </c>
      <c r="BH168" s="3001">
        <f t="shared" si="1102"/>
        <v>9039.8195999999989</v>
      </c>
      <c r="BI168" s="3001">
        <f t="shared" si="1102"/>
        <v>21.104509999999998</v>
      </c>
      <c r="BJ168" s="2847">
        <f t="shared" si="1065"/>
        <v>1067.9189099358518</v>
      </c>
      <c r="BK168" s="2847">
        <f t="shared" si="1065"/>
        <v>1092.297399935851</v>
      </c>
      <c r="BL168" s="2847">
        <f t="shared" si="1065"/>
        <v>-24.378489999999999</v>
      </c>
      <c r="BM168" s="2946">
        <f t="shared" si="1107"/>
        <v>2664.3350666880492</v>
      </c>
      <c r="BN168" s="2946">
        <f t="shared" si="1107"/>
        <v>2649.1740666880492</v>
      </c>
      <c r="BO168" s="2946">
        <f t="shared" si="1107"/>
        <v>15.161</v>
      </c>
      <c r="BP168" s="2865">
        <f t="shared" si="1107"/>
        <v>799.18491000000006</v>
      </c>
      <c r="BQ168" s="2865">
        <f t="shared" si="1107"/>
        <v>796.84300000000007</v>
      </c>
      <c r="BR168" s="2865">
        <f t="shared" si="1107"/>
        <v>2.3419099999999999</v>
      </c>
      <c r="BS168" s="2865">
        <f t="shared" si="1107"/>
        <v>907.32702000000018</v>
      </c>
      <c r="BT168" s="2865">
        <f t="shared" si="1107"/>
        <v>905.08600000000013</v>
      </c>
      <c r="BU168" s="2865">
        <f t="shared" si="1107"/>
        <v>2.2410200000000002</v>
      </c>
      <c r="BV168" s="2865">
        <f t="shared" si="1107"/>
        <v>892.58963999999992</v>
      </c>
      <c r="BW168" s="2865">
        <f t="shared" si="1107"/>
        <v>890.48199999999997</v>
      </c>
      <c r="BX168" s="2865">
        <f t="shared" si="1107"/>
        <v>2.10764</v>
      </c>
      <c r="BY168" s="2865">
        <f t="shared" si="1107"/>
        <v>2599.1015700000003</v>
      </c>
      <c r="BZ168" s="2865">
        <f t="shared" si="1107"/>
        <v>2592.4110000000001</v>
      </c>
      <c r="CA168" s="2865">
        <f t="shared" si="1107"/>
        <v>6.6905700000000001</v>
      </c>
      <c r="CB168" s="2990">
        <f t="shared" si="1107"/>
        <v>10657.340266752199</v>
      </c>
      <c r="CC168" s="2990">
        <f t="shared" si="1107"/>
        <v>10596.696266752198</v>
      </c>
      <c r="CD168" s="2990">
        <f t="shared" si="1107"/>
        <v>60.643999999999998</v>
      </c>
      <c r="CE168" s="3001">
        <f t="shared" si="1107"/>
        <v>11660.025680000001</v>
      </c>
      <c r="CF168" s="3001">
        <f t="shared" si="1107"/>
        <v>11632.230599999999</v>
      </c>
      <c r="CG168" s="3001">
        <f t="shared" si="1107"/>
        <v>27.795079999999999</v>
      </c>
      <c r="CH168" s="2847">
        <f t="shared" si="1067"/>
        <v>1002.685413247802</v>
      </c>
      <c r="CI168" s="2847">
        <f t="shared" si="1067"/>
        <v>1035.5343332478005</v>
      </c>
      <c r="CJ168" s="2847">
        <f t="shared" si="1067"/>
        <v>-32.84892</v>
      </c>
    </row>
    <row r="169" spans="1:88" ht="18.75" customHeight="1" x14ac:dyDescent="0.3">
      <c r="A169" s="2879" t="s">
        <v>3745</v>
      </c>
      <c r="B169" s="2951">
        <f t="shared" si="1105"/>
        <v>1642.859313423663</v>
      </c>
      <c r="C169" s="2951">
        <f t="shared" si="1105"/>
        <v>1633.4130194853369</v>
      </c>
      <c r="D169" s="2951">
        <f t="shared" si="1105"/>
        <v>9.4462939383260505</v>
      </c>
      <c r="E169" s="2875">
        <f t="shared" si="1105"/>
        <v>564.61300000000006</v>
      </c>
      <c r="F169" s="2875">
        <f t="shared" si="1105"/>
        <v>563.5</v>
      </c>
      <c r="G169" s="2875">
        <f t="shared" si="1105"/>
        <v>1.113</v>
      </c>
      <c r="H169" s="2875">
        <f t="shared" si="1105"/>
        <v>576.95100000000002</v>
      </c>
      <c r="I169" s="2875">
        <f t="shared" si="1105"/>
        <v>575.56600000000003</v>
      </c>
      <c r="J169" s="2875">
        <f t="shared" si="1105"/>
        <v>1.385</v>
      </c>
      <c r="K169" s="2875">
        <f t="shared" si="1105"/>
        <v>547.72</v>
      </c>
      <c r="L169" s="2875">
        <f t="shared" si="1105"/>
        <v>546.15899999999999</v>
      </c>
      <c r="M169" s="2875">
        <f t="shared" si="1105"/>
        <v>1.5609999999999999</v>
      </c>
      <c r="N169" s="2875">
        <f t="shared" si="1105"/>
        <v>1689.2839999999999</v>
      </c>
      <c r="O169" s="2875">
        <f t="shared" si="1105"/>
        <v>1685.2249999999999</v>
      </c>
      <c r="P169" s="2875">
        <f t="shared" si="1105"/>
        <v>4.0590000000000002</v>
      </c>
      <c r="Q169" s="2951">
        <f t="shared" si="1105"/>
        <v>1642.859313423663</v>
      </c>
      <c r="R169" s="2951">
        <f t="shared" si="1105"/>
        <v>1633.4130194853369</v>
      </c>
      <c r="S169" s="2951">
        <f t="shared" si="1105"/>
        <v>9.4462939383260505</v>
      </c>
      <c r="T169" s="2875">
        <f t="shared" si="1105"/>
        <v>701.82400000000007</v>
      </c>
      <c r="U169" s="2875">
        <f t="shared" si="1105"/>
        <v>699.95</v>
      </c>
      <c r="V169" s="2875">
        <f t="shared" si="1105"/>
        <v>1.8740000000000001</v>
      </c>
      <c r="W169" s="2875">
        <f t="shared" si="1105"/>
        <v>1007.2810000000001</v>
      </c>
      <c r="X169" s="2875">
        <f t="shared" si="1105"/>
        <v>1004.97</v>
      </c>
      <c r="Y169" s="2875">
        <f t="shared" si="1105"/>
        <v>2.3109999999999999</v>
      </c>
      <c r="Z169" s="2875">
        <f t="shared" si="1105"/>
        <v>596.91399999999999</v>
      </c>
      <c r="AA169" s="2875">
        <f t="shared" si="1105"/>
        <v>596.23099999999999</v>
      </c>
      <c r="AB169" s="2875">
        <f t="shared" si="1105"/>
        <v>0.68300000000000005</v>
      </c>
      <c r="AC169" s="2875">
        <f t="shared" si="1105"/>
        <v>2306.0189999999998</v>
      </c>
      <c r="AD169" s="2875">
        <f t="shared" si="1105"/>
        <v>2301.1509999999998</v>
      </c>
      <c r="AE169" s="2875">
        <f t="shared" si="1105"/>
        <v>4.8680000000000003</v>
      </c>
      <c r="AF169" s="3002">
        <f t="shared" si="1105"/>
        <v>3285.718626847326</v>
      </c>
      <c r="AG169" s="3002">
        <f t="shared" si="1105"/>
        <v>3266.8260389706738</v>
      </c>
      <c r="AH169" s="3002">
        <f t="shared" si="1105"/>
        <v>18.892587876652101</v>
      </c>
      <c r="AI169" s="3003">
        <f t="shared" si="1105"/>
        <v>3995.3029999999999</v>
      </c>
      <c r="AJ169" s="3003">
        <f t="shared" si="1105"/>
        <v>3986.3759999999997</v>
      </c>
      <c r="AK169" s="3003">
        <f t="shared" si="1105"/>
        <v>8.9269999999999996</v>
      </c>
      <c r="AL169" s="2851">
        <f t="shared" si="1069"/>
        <v>709.58437315267383</v>
      </c>
      <c r="AM169" s="2851">
        <f t="shared" si="1108"/>
        <v>719.54996102932591</v>
      </c>
      <c r="AN169" s="2851">
        <f t="shared" si="1108"/>
        <v>-9.9655878766521013</v>
      </c>
      <c r="AO169" s="2951">
        <f t="shared" si="1106"/>
        <v>1642.859313423663</v>
      </c>
      <c r="AP169" s="2951">
        <f t="shared" si="1101"/>
        <v>1633.4130194853369</v>
      </c>
      <c r="AQ169" s="2951">
        <f t="shared" si="1101"/>
        <v>9.4462939383260505</v>
      </c>
      <c r="AR169" s="2875">
        <f t="shared" si="1101"/>
        <v>584.47</v>
      </c>
      <c r="AS169" s="2875">
        <f t="shared" si="1101"/>
        <v>583.11</v>
      </c>
      <c r="AT169" s="2875">
        <f t="shared" si="1101"/>
        <v>1.36</v>
      </c>
      <c r="AU169" s="2875">
        <f t="shared" si="1101"/>
        <v>522.56049999999993</v>
      </c>
      <c r="AV169" s="2875">
        <f t="shared" si="1101"/>
        <v>521.15099999999995</v>
      </c>
      <c r="AW169" s="2875">
        <f t="shared" si="1101"/>
        <v>1.4095</v>
      </c>
      <c r="AX169" s="2875">
        <f t="shared" si="1101"/>
        <v>681.995</v>
      </c>
      <c r="AY169" s="2875">
        <f t="shared" si="1101"/>
        <v>680.27700000000004</v>
      </c>
      <c r="AZ169" s="2875">
        <f t="shared" si="1101"/>
        <v>1.718</v>
      </c>
      <c r="BA169" s="2875">
        <f t="shared" si="1101"/>
        <v>1789.0255</v>
      </c>
      <c r="BB169" s="2875">
        <f t="shared" si="1101"/>
        <v>1784.538</v>
      </c>
      <c r="BC169" s="2875">
        <f t="shared" si="1101"/>
        <v>4.4874999999999998</v>
      </c>
      <c r="BD169" s="3002">
        <f t="shared" si="1102"/>
        <v>4928.5779402709886</v>
      </c>
      <c r="BE169" s="3002">
        <f t="shared" si="1102"/>
        <v>4900.2390584560108</v>
      </c>
      <c r="BF169" s="3002">
        <f t="shared" si="1102"/>
        <v>28.338881814978151</v>
      </c>
      <c r="BG169" s="3003">
        <f t="shared" si="1102"/>
        <v>5784.3284999999996</v>
      </c>
      <c r="BH169" s="3003">
        <f t="shared" si="1102"/>
        <v>5770.9139999999998</v>
      </c>
      <c r="BI169" s="3003">
        <f t="shared" si="1102"/>
        <v>13.4145</v>
      </c>
      <c r="BJ169" s="2851">
        <f t="shared" si="1065"/>
        <v>855.750559729011</v>
      </c>
      <c r="BK169" s="2851">
        <f t="shared" si="1065"/>
        <v>870.67494154398901</v>
      </c>
      <c r="BL169" s="2851">
        <f t="shared" si="1065"/>
        <v>-14.924381814978151</v>
      </c>
      <c r="BM169" s="2951">
        <f t="shared" si="1107"/>
        <v>1642.859313423663</v>
      </c>
      <c r="BN169" s="2951">
        <f t="shared" si="1107"/>
        <v>1633.4130194853369</v>
      </c>
      <c r="BO169" s="2951">
        <f t="shared" si="1107"/>
        <v>9.4462939383260505</v>
      </c>
      <c r="BP169" s="2875">
        <f t="shared" si="1107"/>
        <v>511.16800000000001</v>
      </c>
      <c r="BQ169" s="2875">
        <f t="shared" si="1107"/>
        <v>509.67</v>
      </c>
      <c r="BR169" s="2875">
        <f t="shared" si="1107"/>
        <v>1.498</v>
      </c>
      <c r="BS169" s="2875">
        <f t="shared" si="1107"/>
        <v>558.00200000000007</v>
      </c>
      <c r="BT169" s="2875">
        <f t="shared" si="1107"/>
        <v>556.62400000000002</v>
      </c>
      <c r="BU169" s="2875">
        <f t="shared" si="1107"/>
        <v>1.3779999999999999</v>
      </c>
      <c r="BV169" s="2875">
        <f t="shared" si="1107"/>
        <v>583.53</v>
      </c>
      <c r="BW169" s="2875">
        <f t="shared" si="1107"/>
        <v>582.15300000000002</v>
      </c>
      <c r="BX169" s="2875">
        <f t="shared" si="1107"/>
        <v>1.377</v>
      </c>
      <c r="BY169" s="2875">
        <f t="shared" si="1107"/>
        <v>1652.7</v>
      </c>
      <c r="BZ169" s="2875">
        <f t="shared" si="1107"/>
        <v>1648.4470000000001</v>
      </c>
      <c r="CA169" s="2875">
        <f t="shared" si="1107"/>
        <v>4.2530000000000001</v>
      </c>
      <c r="CB169" s="3002">
        <f t="shared" si="1107"/>
        <v>6571.4372536946521</v>
      </c>
      <c r="CC169" s="3002">
        <f t="shared" si="1107"/>
        <v>6533.6520779413477</v>
      </c>
      <c r="CD169" s="3002">
        <f t="shared" si="1107"/>
        <v>37.785175753304202</v>
      </c>
      <c r="CE169" s="3003">
        <f t="shared" si="1107"/>
        <v>7437.0284999999994</v>
      </c>
      <c r="CF169" s="3003">
        <f t="shared" si="1107"/>
        <v>7419.3609999999999</v>
      </c>
      <c r="CG169" s="3003">
        <f t="shared" si="1107"/>
        <v>17.6675</v>
      </c>
      <c r="CH169" s="2851">
        <f t="shared" si="1067"/>
        <v>865.59124630534734</v>
      </c>
      <c r="CI169" s="2851">
        <f t="shared" si="1067"/>
        <v>885.70892205865221</v>
      </c>
      <c r="CJ169" s="2851">
        <f t="shared" si="1067"/>
        <v>-20.117675753304201</v>
      </c>
    </row>
    <row r="170" spans="1:88" ht="18.75" customHeight="1" x14ac:dyDescent="0.3">
      <c r="A170" s="2879" t="s">
        <v>3746</v>
      </c>
      <c r="B170" s="2951">
        <f t="shared" si="1105"/>
        <v>492.85790584560107</v>
      </c>
      <c r="C170" s="2951">
        <f t="shared" si="1105"/>
        <v>490.02390584560106</v>
      </c>
      <c r="D170" s="2951">
        <f t="shared" si="1105"/>
        <v>2.8340000000000001</v>
      </c>
      <c r="E170" s="2875">
        <f t="shared" si="1105"/>
        <v>168.93799999999999</v>
      </c>
      <c r="F170" s="2875">
        <f t="shared" si="1105"/>
        <v>168.60499999999999</v>
      </c>
      <c r="G170" s="2875">
        <f t="shared" si="1105"/>
        <v>0.33300000000000002</v>
      </c>
      <c r="H170" s="2875">
        <f t="shared" si="1105"/>
        <v>173.3126</v>
      </c>
      <c r="I170" s="2875">
        <f t="shared" si="1105"/>
        <v>172.89660000000001</v>
      </c>
      <c r="J170" s="2875">
        <f t="shared" si="1105"/>
        <v>0.41599999999999998</v>
      </c>
      <c r="K170" s="2875">
        <f t="shared" si="1105"/>
        <v>163.26599999999999</v>
      </c>
      <c r="L170" s="2875">
        <f t="shared" si="1105"/>
        <v>162.80099999999999</v>
      </c>
      <c r="M170" s="2875">
        <f t="shared" si="1105"/>
        <v>0.46500000000000002</v>
      </c>
      <c r="N170" s="2875">
        <f t="shared" si="1105"/>
        <v>505.51659999999998</v>
      </c>
      <c r="O170" s="2875">
        <f t="shared" si="1105"/>
        <v>504.30259999999998</v>
      </c>
      <c r="P170" s="2875">
        <f t="shared" si="1105"/>
        <v>1.214</v>
      </c>
      <c r="Q170" s="2951">
        <f t="shared" si="1105"/>
        <v>492.85790584560107</v>
      </c>
      <c r="R170" s="2951">
        <f t="shared" si="1105"/>
        <v>490.02390584560106</v>
      </c>
      <c r="S170" s="2951">
        <f t="shared" si="1105"/>
        <v>2.8340000000000001</v>
      </c>
      <c r="T170" s="2875">
        <f t="shared" si="1105"/>
        <v>211.03399999999999</v>
      </c>
      <c r="U170" s="2875">
        <f t="shared" si="1105"/>
        <v>210.47</v>
      </c>
      <c r="V170" s="2875">
        <f t="shared" si="1105"/>
        <v>0.56399999999999995</v>
      </c>
      <c r="W170" s="2875">
        <f t="shared" si="1105"/>
        <v>289.43299999999999</v>
      </c>
      <c r="X170" s="2875">
        <f t="shared" si="1105"/>
        <v>288.76900000000001</v>
      </c>
      <c r="Y170" s="2875">
        <f t="shared" si="1105"/>
        <v>0.66400000000000003</v>
      </c>
      <c r="Z170" s="2875">
        <f t="shared" si="1105"/>
        <v>179.09100000000001</v>
      </c>
      <c r="AA170" s="2875">
        <f t="shared" si="1105"/>
        <v>179.09</v>
      </c>
      <c r="AB170" s="2875">
        <f t="shared" si="1105"/>
        <v>1E-3</v>
      </c>
      <c r="AC170" s="2875">
        <f t="shared" si="1105"/>
        <v>679.55800000000011</v>
      </c>
      <c r="AD170" s="2875">
        <f t="shared" si="1105"/>
        <v>678.32900000000006</v>
      </c>
      <c r="AE170" s="2875">
        <f t="shared" si="1105"/>
        <v>1.2289999999999999</v>
      </c>
      <c r="AF170" s="3002">
        <f t="shared" si="1105"/>
        <v>985.71581169120213</v>
      </c>
      <c r="AG170" s="3002">
        <f t="shared" si="1105"/>
        <v>980.04781169120213</v>
      </c>
      <c r="AH170" s="3002">
        <f t="shared" si="1105"/>
        <v>5.6680000000000001</v>
      </c>
      <c r="AI170" s="3003">
        <f t="shared" si="1105"/>
        <v>1185.0746000000001</v>
      </c>
      <c r="AJ170" s="3003">
        <f t="shared" si="1105"/>
        <v>1182.6316000000002</v>
      </c>
      <c r="AK170" s="3003">
        <f t="shared" si="1105"/>
        <v>2.4429999999999996</v>
      </c>
      <c r="AL170" s="2851">
        <f t="shared" si="1069"/>
        <v>199.35878830879801</v>
      </c>
      <c r="AM170" s="2851">
        <f t="shared" si="1108"/>
        <v>202.58378830879803</v>
      </c>
      <c r="AN170" s="2851">
        <f t="shared" si="1108"/>
        <v>-3.2250000000000005</v>
      </c>
      <c r="AO170" s="2951">
        <f t="shared" si="1106"/>
        <v>492.85790584560107</v>
      </c>
      <c r="AP170" s="2951">
        <f t="shared" si="1101"/>
        <v>490.02390584560106</v>
      </c>
      <c r="AQ170" s="2951">
        <f t="shared" si="1101"/>
        <v>2.8340000000000001</v>
      </c>
      <c r="AR170" s="2875">
        <f t="shared" si="1101"/>
        <v>175.02700000000002</v>
      </c>
      <c r="AS170" s="2875">
        <f t="shared" si="1101"/>
        <v>174.62</v>
      </c>
      <c r="AT170" s="2875">
        <f t="shared" si="1101"/>
        <v>0.40699999999999997</v>
      </c>
      <c r="AU170" s="2875">
        <f t="shared" si="1101"/>
        <v>157.28700000000001</v>
      </c>
      <c r="AV170" s="2875">
        <f t="shared" si="1101"/>
        <v>156.863</v>
      </c>
      <c r="AW170" s="2875">
        <f t="shared" si="1101"/>
        <v>0.42399999999999999</v>
      </c>
      <c r="AX170" s="2875">
        <f t="shared" si="1101"/>
        <v>205.48373000000001</v>
      </c>
      <c r="AY170" s="2875">
        <f t="shared" si="1101"/>
        <v>204.96600000000001</v>
      </c>
      <c r="AZ170" s="2875">
        <f t="shared" si="1101"/>
        <v>0.51773000000000002</v>
      </c>
      <c r="BA170" s="2875">
        <f t="shared" si="1101"/>
        <v>537.79773000000012</v>
      </c>
      <c r="BB170" s="2875">
        <f t="shared" si="1101"/>
        <v>536.44900000000007</v>
      </c>
      <c r="BC170" s="2875">
        <f t="shared" si="1101"/>
        <v>1.34873</v>
      </c>
      <c r="BD170" s="3002">
        <f t="shared" si="1102"/>
        <v>1478.5737175368031</v>
      </c>
      <c r="BE170" s="3002">
        <f t="shared" si="1102"/>
        <v>1470.0717175368031</v>
      </c>
      <c r="BF170" s="3002">
        <f t="shared" si="1102"/>
        <v>8.5020000000000007</v>
      </c>
      <c r="BG170" s="3003">
        <f t="shared" si="1102"/>
        <v>1722.8723300000001</v>
      </c>
      <c r="BH170" s="3003">
        <f t="shared" si="1102"/>
        <v>1719.0806000000002</v>
      </c>
      <c r="BI170" s="3003">
        <f t="shared" si="1102"/>
        <v>3.7917299999999994</v>
      </c>
      <c r="BJ170" s="2851">
        <f t="shared" si="1065"/>
        <v>244.29861246319706</v>
      </c>
      <c r="BK170" s="2851">
        <f t="shared" si="1065"/>
        <v>249.0088824631971</v>
      </c>
      <c r="BL170" s="2851">
        <f t="shared" si="1065"/>
        <v>-4.7102700000000013</v>
      </c>
      <c r="BM170" s="2951">
        <f t="shared" si="1107"/>
        <v>492.85790584560107</v>
      </c>
      <c r="BN170" s="2951">
        <f t="shared" si="1107"/>
        <v>490.02390584560106</v>
      </c>
      <c r="BO170" s="2951">
        <f t="shared" si="1107"/>
        <v>2.8340000000000001</v>
      </c>
      <c r="BP170" s="2875">
        <f t="shared" si="1107"/>
        <v>153.12400000000002</v>
      </c>
      <c r="BQ170" s="2875">
        <f t="shared" si="1107"/>
        <v>152.67500000000001</v>
      </c>
      <c r="BR170" s="2875">
        <f t="shared" si="1107"/>
        <v>0.44900000000000001</v>
      </c>
      <c r="BS170" s="2875">
        <f t="shared" si="1107"/>
        <v>180.14699999999999</v>
      </c>
      <c r="BT170" s="2875">
        <f t="shared" si="1107"/>
        <v>179.702</v>
      </c>
      <c r="BU170" s="2875">
        <f t="shared" si="1107"/>
        <v>0.44500000000000001</v>
      </c>
      <c r="BV170" s="2875">
        <f t="shared" si="1107"/>
        <v>153.66524999999999</v>
      </c>
      <c r="BW170" s="2875">
        <f t="shared" si="1107"/>
        <v>153.101</v>
      </c>
      <c r="BX170" s="2875">
        <f t="shared" si="1107"/>
        <v>0.56425000000000003</v>
      </c>
      <c r="BY170" s="2875">
        <f t="shared" si="1107"/>
        <v>486.93625000000003</v>
      </c>
      <c r="BZ170" s="2875">
        <f t="shared" si="1107"/>
        <v>485.47800000000001</v>
      </c>
      <c r="CA170" s="2875">
        <f t="shared" si="1107"/>
        <v>1.45825</v>
      </c>
      <c r="CB170" s="3002">
        <f t="shared" si="1107"/>
        <v>1971.4316233824043</v>
      </c>
      <c r="CC170" s="3002">
        <f t="shared" si="1107"/>
        <v>1960.0956233824043</v>
      </c>
      <c r="CD170" s="3002">
        <f t="shared" si="1107"/>
        <v>11.336</v>
      </c>
      <c r="CE170" s="3003">
        <f t="shared" si="1107"/>
        <v>2209.8085800000003</v>
      </c>
      <c r="CF170" s="3003">
        <f t="shared" si="1107"/>
        <v>2204.5586000000003</v>
      </c>
      <c r="CG170" s="3003">
        <f t="shared" si="1107"/>
        <v>5.249979999999999</v>
      </c>
      <c r="CH170" s="2851">
        <f t="shared" si="1067"/>
        <v>238.37695661759608</v>
      </c>
      <c r="CI170" s="2851">
        <f t="shared" si="1067"/>
        <v>244.46297661759604</v>
      </c>
      <c r="CJ170" s="2851">
        <f t="shared" si="1067"/>
        <v>-6.0860200000000013</v>
      </c>
    </row>
    <row r="171" spans="1:88" ht="18.75" customHeight="1" x14ac:dyDescent="0.3">
      <c r="A171" s="2879" t="s">
        <v>274</v>
      </c>
      <c r="B171" s="2951">
        <f t="shared" si="1105"/>
        <v>2.6959338554044012</v>
      </c>
      <c r="C171" s="2951">
        <f t="shared" si="1105"/>
        <v>2.6396449966169762</v>
      </c>
      <c r="D171" s="2951">
        <f t="shared" si="1105"/>
        <v>5.6288858787424997E-2</v>
      </c>
      <c r="E171" s="2875">
        <f t="shared" si="1105"/>
        <v>0.17734999999999998</v>
      </c>
      <c r="F171" s="2875">
        <f t="shared" si="1105"/>
        <v>0.17699999999999999</v>
      </c>
      <c r="G171" s="2875">
        <f t="shared" si="1105"/>
        <v>3.5E-4</v>
      </c>
      <c r="H171" s="2875">
        <f t="shared" si="1105"/>
        <v>0.10725999999999999</v>
      </c>
      <c r="I171" s="2875">
        <f t="shared" si="1105"/>
        <v>0.107</v>
      </c>
      <c r="J171" s="2875">
        <f t="shared" si="1105"/>
        <v>2.5999999999999998E-4</v>
      </c>
      <c r="K171" s="2875">
        <f t="shared" si="1105"/>
        <v>4.7334899999999998</v>
      </c>
      <c r="L171" s="2875">
        <f t="shared" si="1105"/>
        <v>4.72</v>
      </c>
      <c r="M171" s="2875">
        <f t="shared" si="1105"/>
        <v>1.349E-2</v>
      </c>
      <c r="N171" s="2875">
        <f t="shared" si="1105"/>
        <v>5.0180999999999996</v>
      </c>
      <c r="O171" s="2875">
        <f t="shared" si="1105"/>
        <v>5.0039999999999996</v>
      </c>
      <c r="P171" s="2875">
        <f t="shared" si="1105"/>
        <v>1.41E-2</v>
      </c>
      <c r="Q171" s="2951">
        <f t="shared" si="1105"/>
        <v>2.6959338554044012</v>
      </c>
      <c r="R171" s="2951">
        <f t="shared" si="1105"/>
        <v>2.6396449966169762</v>
      </c>
      <c r="S171" s="2951">
        <f t="shared" si="1105"/>
        <v>5.6288858787424997E-2</v>
      </c>
      <c r="T171" s="2875">
        <f t="shared" si="1105"/>
        <v>5.1638000000000002</v>
      </c>
      <c r="U171" s="2875">
        <f t="shared" si="1105"/>
        <v>5.15</v>
      </c>
      <c r="V171" s="2875">
        <f t="shared" si="1105"/>
        <v>1.38E-2</v>
      </c>
      <c r="W171" s="2875">
        <f t="shared" si="1105"/>
        <v>4.2397400000000003</v>
      </c>
      <c r="X171" s="2875">
        <f t="shared" si="1105"/>
        <v>4.2300000000000004</v>
      </c>
      <c r="Y171" s="2875">
        <f t="shared" si="1105"/>
        <v>9.7400000000000004E-3</v>
      </c>
      <c r="Z171" s="2875">
        <f t="shared" si="1105"/>
        <v>4.1387</v>
      </c>
      <c r="AA171" s="2875">
        <f t="shared" si="1105"/>
        <v>4.1340000000000003</v>
      </c>
      <c r="AB171" s="2875">
        <f t="shared" si="1105"/>
        <v>4.7000000000000002E-3</v>
      </c>
      <c r="AC171" s="2875">
        <f t="shared" si="1105"/>
        <v>13.542240000000001</v>
      </c>
      <c r="AD171" s="2875">
        <f t="shared" si="1105"/>
        <v>13.514000000000001</v>
      </c>
      <c r="AE171" s="2875">
        <f t="shared" si="1105"/>
        <v>2.8239999999999998E-2</v>
      </c>
      <c r="AF171" s="3002">
        <f t="shared" si="1105"/>
        <v>5.3918677108088024</v>
      </c>
      <c r="AG171" s="3002">
        <f t="shared" si="1105"/>
        <v>5.2792899932339523</v>
      </c>
      <c r="AH171" s="3002">
        <f t="shared" si="1105"/>
        <v>0.11257771757484999</v>
      </c>
      <c r="AI171" s="3003">
        <f t="shared" si="1105"/>
        <v>18.56034</v>
      </c>
      <c r="AJ171" s="3003">
        <f t="shared" si="1105"/>
        <v>18.518000000000001</v>
      </c>
      <c r="AK171" s="3003">
        <f t="shared" si="1105"/>
        <v>4.2339999999999996E-2</v>
      </c>
      <c r="AL171" s="2851">
        <f t="shared" si="1069"/>
        <v>13.168472289191197</v>
      </c>
      <c r="AM171" s="2851">
        <f t="shared" si="1108"/>
        <v>13.238710006766048</v>
      </c>
      <c r="AN171" s="2851">
        <f t="shared" si="1108"/>
        <v>-7.0237717574850006E-2</v>
      </c>
      <c r="AO171" s="2951">
        <f t="shared" si="1106"/>
        <v>2.6959338554044012</v>
      </c>
      <c r="AP171" s="2951">
        <f t="shared" si="1101"/>
        <v>2.6396449966169762</v>
      </c>
      <c r="AQ171" s="2951">
        <f t="shared" si="1101"/>
        <v>5.6288858787424997E-2</v>
      </c>
      <c r="AR171" s="2875">
        <f t="shared" si="1101"/>
        <v>4.0293699999999992</v>
      </c>
      <c r="AS171" s="2875">
        <f t="shared" si="1101"/>
        <v>4.0199999999999996</v>
      </c>
      <c r="AT171" s="2875">
        <f t="shared" si="1101"/>
        <v>9.3699999999999999E-3</v>
      </c>
      <c r="AU171" s="2875">
        <f t="shared" si="1101"/>
        <v>4.3949999999999996</v>
      </c>
      <c r="AV171" s="2875">
        <f t="shared" si="1101"/>
        <v>4.383</v>
      </c>
      <c r="AW171" s="2875">
        <f t="shared" si="1101"/>
        <v>1.2E-2</v>
      </c>
      <c r="AX171" s="2875">
        <f t="shared" si="1101"/>
        <v>5.1349400000000003</v>
      </c>
      <c r="AY171" s="2875">
        <f t="shared" si="1101"/>
        <v>5.1219999999999999</v>
      </c>
      <c r="AZ171" s="2875">
        <f t="shared" si="1101"/>
        <v>1.294E-2</v>
      </c>
      <c r="BA171" s="2875">
        <f t="shared" si="1101"/>
        <v>13.559309999999998</v>
      </c>
      <c r="BB171" s="2875">
        <f t="shared" si="1101"/>
        <v>13.524999999999999</v>
      </c>
      <c r="BC171" s="2875">
        <f t="shared" si="1101"/>
        <v>3.431E-2</v>
      </c>
      <c r="BD171" s="3002">
        <f t="shared" si="1102"/>
        <v>8.0878015662132032</v>
      </c>
      <c r="BE171" s="3002">
        <f t="shared" si="1102"/>
        <v>7.9189349898509285</v>
      </c>
      <c r="BF171" s="3002">
        <f t="shared" si="1102"/>
        <v>0.16886657636227498</v>
      </c>
      <c r="BG171" s="3003">
        <f t="shared" si="1102"/>
        <v>32.11965</v>
      </c>
      <c r="BH171" s="3003">
        <f t="shared" si="1102"/>
        <v>32.042999999999999</v>
      </c>
      <c r="BI171" s="3003">
        <f t="shared" si="1102"/>
        <v>7.6649999999999996E-2</v>
      </c>
      <c r="BJ171" s="2851">
        <f t="shared" si="1065"/>
        <v>24.031848433786799</v>
      </c>
      <c r="BK171" s="2851">
        <f t="shared" si="1065"/>
        <v>24.124065010149071</v>
      </c>
      <c r="BL171" s="2851">
        <f t="shared" si="1065"/>
        <v>-9.2216576362274982E-2</v>
      </c>
      <c r="BM171" s="2951">
        <f t="shared" si="1107"/>
        <v>2.6959338554044012</v>
      </c>
      <c r="BN171" s="2951">
        <f t="shared" si="1107"/>
        <v>2.6396449966169762</v>
      </c>
      <c r="BO171" s="2951">
        <f t="shared" si="1107"/>
        <v>5.6288858787424997E-2</v>
      </c>
      <c r="BP171" s="2875">
        <f t="shared" si="1107"/>
        <v>4.9033700000000007</v>
      </c>
      <c r="BQ171" s="2875">
        <f t="shared" si="1107"/>
        <v>4.8890000000000002</v>
      </c>
      <c r="BR171" s="2875">
        <f t="shared" si="1107"/>
        <v>1.4370000000000001E-2</v>
      </c>
      <c r="BS171" s="2875">
        <f t="shared" si="1107"/>
        <v>5.70052</v>
      </c>
      <c r="BT171" s="2875">
        <f t="shared" si="1107"/>
        <v>5.6719999999999997</v>
      </c>
      <c r="BU171" s="2875">
        <f t="shared" si="1107"/>
        <v>2.852E-2</v>
      </c>
      <c r="BV171" s="2875">
        <f t="shared" si="1107"/>
        <v>6.4009999999999998</v>
      </c>
      <c r="BW171" s="2875">
        <f t="shared" si="1107"/>
        <v>6.4009999999999998</v>
      </c>
      <c r="BX171" s="2875">
        <f t="shared" si="1107"/>
        <v>0</v>
      </c>
      <c r="BY171" s="2875">
        <f t="shared" si="1107"/>
        <v>17.00489</v>
      </c>
      <c r="BZ171" s="2875">
        <f t="shared" si="1107"/>
        <v>16.962</v>
      </c>
      <c r="CA171" s="2875">
        <f t="shared" si="1107"/>
        <v>4.2889999999999998E-2</v>
      </c>
      <c r="CB171" s="3002">
        <f t="shared" si="1107"/>
        <v>10.783735421617605</v>
      </c>
      <c r="CC171" s="3002">
        <f t="shared" si="1107"/>
        <v>10.558579986467905</v>
      </c>
      <c r="CD171" s="3002">
        <f t="shared" si="1107"/>
        <v>0.22515543514969999</v>
      </c>
      <c r="CE171" s="3003">
        <f t="shared" si="1107"/>
        <v>49.124539999999996</v>
      </c>
      <c r="CF171" s="3003">
        <f t="shared" si="1107"/>
        <v>49.004999999999995</v>
      </c>
      <c r="CG171" s="3003">
        <f t="shared" si="1107"/>
        <v>0.11953999999999999</v>
      </c>
      <c r="CH171" s="2851">
        <f t="shared" si="1067"/>
        <v>38.340804578382389</v>
      </c>
      <c r="CI171" s="2851">
        <f t="shared" si="1067"/>
        <v>38.446420013532091</v>
      </c>
      <c r="CJ171" s="2851">
        <f t="shared" si="1067"/>
        <v>-0.1056154351497</v>
      </c>
    </row>
    <row r="172" spans="1:88" ht="18.75" customHeight="1" x14ac:dyDescent="0.3">
      <c r="A172" s="2879" t="s">
        <v>1546</v>
      </c>
      <c r="B172" s="2951">
        <f t="shared" si="1105"/>
        <v>11.020337850836876</v>
      </c>
      <c r="C172" s="2951">
        <f t="shared" si="1105"/>
        <v>10.958931823068776</v>
      </c>
      <c r="D172" s="2951">
        <f t="shared" si="1105"/>
        <v>6.1406027768099995E-2</v>
      </c>
      <c r="E172" s="2875">
        <f t="shared" ref="E172:AK172" si="1109">SUM(E119)</f>
        <v>9.0449999999999999</v>
      </c>
      <c r="F172" s="2875">
        <f t="shared" si="1109"/>
        <v>9.0269999999999992</v>
      </c>
      <c r="G172" s="2875">
        <f t="shared" si="1109"/>
        <v>1.7999999999999999E-2</v>
      </c>
      <c r="H172" s="2875">
        <f t="shared" si="1109"/>
        <v>10.077999999999999</v>
      </c>
      <c r="I172" s="2875">
        <f t="shared" si="1109"/>
        <v>10.054</v>
      </c>
      <c r="J172" s="2875">
        <f t="shared" si="1109"/>
        <v>2.4E-2</v>
      </c>
      <c r="K172" s="2875">
        <f t="shared" si="1109"/>
        <v>7.0661399999999999</v>
      </c>
      <c r="L172" s="2875">
        <f t="shared" si="1109"/>
        <v>7.0460000000000003</v>
      </c>
      <c r="M172" s="2875">
        <f t="shared" si="1109"/>
        <v>2.0140000000000002E-2</v>
      </c>
      <c r="N172" s="2875">
        <f t="shared" si="1109"/>
        <v>26.189139999999998</v>
      </c>
      <c r="O172" s="2875">
        <f t="shared" si="1109"/>
        <v>26.126999999999999</v>
      </c>
      <c r="P172" s="2875">
        <f t="shared" si="1109"/>
        <v>6.2140000000000001E-2</v>
      </c>
      <c r="Q172" s="2951">
        <f t="shared" si="1109"/>
        <v>11.020337850836876</v>
      </c>
      <c r="R172" s="2951">
        <f t="shared" si="1109"/>
        <v>10.958931823068776</v>
      </c>
      <c r="S172" s="2951">
        <f t="shared" si="1109"/>
        <v>6.1406027768099995E-2</v>
      </c>
      <c r="T172" s="2875">
        <f t="shared" si="1109"/>
        <v>4.5320999999999998</v>
      </c>
      <c r="U172" s="2875">
        <f t="shared" si="1109"/>
        <v>4.5199999999999996</v>
      </c>
      <c r="V172" s="2875">
        <f t="shared" si="1109"/>
        <v>1.21E-2</v>
      </c>
      <c r="W172" s="2875">
        <f t="shared" si="1109"/>
        <v>1.9744999999999999</v>
      </c>
      <c r="X172" s="2875">
        <f t="shared" si="1109"/>
        <v>1.97</v>
      </c>
      <c r="Y172" s="2875">
        <f t="shared" si="1109"/>
        <v>4.4999999999999997E-3</v>
      </c>
      <c r="Z172" s="2875">
        <f t="shared" si="1109"/>
        <v>0</v>
      </c>
      <c r="AA172" s="2875">
        <f t="shared" si="1109"/>
        <v>0</v>
      </c>
      <c r="AB172" s="2875">
        <f t="shared" si="1109"/>
        <v>0</v>
      </c>
      <c r="AC172" s="2875">
        <f t="shared" si="1109"/>
        <v>6.5065999999999997</v>
      </c>
      <c r="AD172" s="2875">
        <f t="shared" si="1109"/>
        <v>6.4899999999999993</v>
      </c>
      <c r="AE172" s="2875">
        <f t="shared" si="1109"/>
        <v>1.66E-2</v>
      </c>
      <c r="AF172" s="3002">
        <f t="shared" si="1109"/>
        <v>22.040675701673752</v>
      </c>
      <c r="AG172" s="3002">
        <f t="shared" si="1109"/>
        <v>21.917863646137551</v>
      </c>
      <c r="AH172" s="3002">
        <f t="shared" si="1109"/>
        <v>0.12281205553619999</v>
      </c>
      <c r="AI172" s="3003">
        <f t="shared" si="1109"/>
        <v>32.695740000000001</v>
      </c>
      <c r="AJ172" s="3003">
        <f t="shared" si="1109"/>
        <v>32.616999999999997</v>
      </c>
      <c r="AK172" s="3003">
        <f t="shared" si="1109"/>
        <v>7.8740000000000004E-2</v>
      </c>
      <c r="AL172" s="2851">
        <f t="shared" si="1069"/>
        <v>10.655064298326248</v>
      </c>
      <c r="AM172" s="2851">
        <f t="shared" si="1108"/>
        <v>10.699136353862446</v>
      </c>
      <c r="AN172" s="2851">
        <f t="shared" si="1108"/>
        <v>-4.4072055536199986E-2</v>
      </c>
      <c r="AO172" s="2951">
        <f t="shared" si="1106"/>
        <v>11.020337850836876</v>
      </c>
      <c r="AP172" s="2951">
        <f t="shared" si="1101"/>
        <v>10.958931823068776</v>
      </c>
      <c r="AQ172" s="2951">
        <f t="shared" si="1101"/>
        <v>6.1406027768099995E-2</v>
      </c>
      <c r="AR172" s="2875">
        <f t="shared" si="1101"/>
        <v>0</v>
      </c>
      <c r="AS172" s="2875">
        <f t="shared" si="1101"/>
        <v>0</v>
      </c>
      <c r="AT172" s="2875">
        <f t="shared" si="1101"/>
        <v>0</v>
      </c>
      <c r="AU172" s="2875">
        <f t="shared" si="1101"/>
        <v>0</v>
      </c>
      <c r="AV172" s="2875">
        <f t="shared" si="1101"/>
        <v>0</v>
      </c>
      <c r="AW172" s="2875">
        <f t="shared" si="1101"/>
        <v>0</v>
      </c>
      <c r="AX172" s="2875">
        <f t="shared" si="1101"/>
        <v>2.8190999999999997</v>
      </c>
      <c r="AY172" s="2875">
        <f t="shared" si="1101"/>
        <v>2.8119999999999998</v>
      </c>
      <c r="AZ172" s="2875">
        <f t="shared" si="1101"/>
        <v>7.1000000000000004E-3</v>
      </c>
      <c r="BA172" s="2875">
        <f t="shared" si="1101"/>
        <v>2.8190999999999997</v>
      </c>
      <c r="BB172" s="2875">
        <f t="shared" si="1101"/>
        <v>2.8119999999999998</v>
      </c>
      <c r="BC172" s="2875">
        <f t="shared" si="1101"/>
        <v>7.1000000000000004E-3</v>
      </c>
      <c r="BD172" s="3002">
        <f t="shared" si="1102"/>
        <v>33.06101355251063</v>
      </c>
      <c r="BE172" s="3002">
        <f t="shared" si="1102"/>
        <v>32.876795469206328</v>
      </c>
      <c r="BF172" s="3002">
        <f t="shared" si="1102"/>
        <v>0.18421808330429998</v>
      </c>
      <c r="BG172" s="3003">
        <f t="shared" si="1102"/>
        <v>35.51484</v>
      </c>
      <c r="BH172" s="3003">
        <f t="shared" si="1102"/>
        <v>35.428999999999995</v>
      </c>
      <c r="BI172" s="3003">
        <f t="shared" si="1102"/>
        <v>8.584E-2</v>
      </c>
      <c r="BJ172" s="2851">
        <f t="shared" si="1065"/>
        <v>2.4538264474893694</v>
      </c>
      <c r="BK172" s="2851">
        <f t="shared" si="1065"/>
        <v>2.5522045307936665</v>
      </c>
      <c r="BL172" s="2851">
        <f t="shared" si="1065"/>
        <v>-9.8378083304299979E-2</v>
      </c>
      <c r="BM172" s="2951">
        <f t="shared" si="1107"/>
        <v>11.020337850836876</v>
      </c>
      <c r="BN172" s="2951">
        <f t="shared" si="1107"/>
        <v>10.958931823068776</v>
      </c>
      <c r="BO172" s="2951">
        <f t="shared" si="1107"/>
        <v>6.1406027768099995E-2</v>
      </c>
      <c r="BP172" s="2875">
        <f t="shared" si="1107"/>
        <v>4.0217900000000002</v>
      </c>
      <c r="BQ172" s="2875">
        <f t="shared" si="1107"/>
        <v>4.01</v>
      </c>
      <c r="BR172" s="2875">
        <f t="shared" si="1107"/>
        <v>1.179E-2</v>
      </c>
      <c r="BS172" s="2875">
        <f t="shared" si="1107"/>
        <v>5.7091000000000003</v>
      </c>
      <c r="BT172" s="2875">
        <f t="shared" si="1107"/>
        <v>5.6950000000000003</v>
      </c>
      <c r="BU172" s="2875">
        <f t="shared" si="1107"/>
        <v>1.41E-2</v>
      </c>
      <c r="BV172" s="2875">
        <f t="shared" si="1107"/>
        <v>7.07646</v>
      </c>
      <c r="BW172" s="2875">
        <f t="shared" si="1107"/>
        <v>7.06</v>
      </c>
      <c r="BX172" s="2875">
        <f t="shared" si="1107"/>
        <v>1.6459999999999999E-2</v>
      </c>
      <c r="BY172" s="2875">
        <f t="shared" si="1107"/>
        <v>16.80735</v>
      </c>
      <c r="BZ172" s="2875">
        <f t="shared" si="1107"/>
        <v>16.765000000000001</v>
      </c>
      <c r="CA172" s="2875">
        <f t="shared" si="1107"/>
        <v>4.2349999999999999E-2</v>
      </c>
      <c r="CB172" s="3002">
        <f t="shared" si="1107"/>
        <v>44.081351403347504</v>
      </c>
      <c r="CC172" s="3002">
        <f t="shared" si="1107"/>
        <v>43.835727292275102</v>
      </c>
      <c r="CD172" s="3002">
        <f t="shared" si="1107"/>
        <v>0.24562411107239998</v>
      </c>
      <c r="CE172" s="3003">
        <f t="shared" si="1107"/>
        <v>52.322189999999999</v>
      </c>
      <c r="CF172" s="3003">
        <f t="shared" si="1107"/>
        <v>52.193999999999996</v>
      </c>
      <c r="CG172" s="3003">
        <f t="shared" si="1107"/>
        <v>0.12819</v>
      </c>
      <c r="CH172" s="2851">
        <f t="shared" si="1067"/>
        <v>8.2408385966524946</v>
      </c>
      <c r="CI172" s="2851">
        <f t="shared" si="1067"/>
        <v>8.3582727077248933</v>
      </c>
      <c r="CJ172" s="2851">
        <f t="shared" si="1067"/>
        <v>-0.11743411107239998</v>
      </c>
    </row>
    <row r="173" spans="1:88" ht="18.75" customHeight="1" x14ac:dyDescent="0.3">
      <c r="A173" s="2879" t="s">
        <v>275</v>
      </c>
      <c r="B173" s="2951">
        <f t="shared" ref="B173:AK176" si="1110">SUM(B120)</f>
        <v>13.05285050462046</v>
      </c>
      <c r="C173" s="2951">
        <f t="shared" si="1110"/>
        <v>12.945389956026286</v>
      </c>
      <c r="D173" s="2951">
        <f t="shared" si="1110"/>
        <v>0.10746054859417499</v>
      </c>
      <c r="E173" s="2875">
        <f t="shared" si="1110"/>
        <v>6.2749999999999995</v>
      </c>
      <c r="F173" s="2875">
        <f t="shared" si="1110"/>
        <v>6.2629999999999999</v>
      </c>
      <c r="G173" s="2875">
        <f t="shared" si="1110"/>
        <v>1.2E-2</v>
      </c>
      <c r="H173" s="2875">
        <f t="shared" si="1110"/>
        <v>6.3679999999999994</v>
      </c>
      <c r="I173" s="2875">
        <f t="shared" si="1110"/>
        <v>6.3529999999999998</v>
      </c>
      <c r="J173" s="2875">
        <f t="shared" si="1110"/>
        <v>1.4999999999999999E-2</v>
      </c>
      <c r="K173" s="2875">
        <f t="shared" si="1110"/>
        <v>6.3464</v>
      </c>
      <c r="L173" s="2875">
        <f t="shared" si="1110"/>
        <v>6.17</v>
      </c>
      <c r="M173" s="2875">
        <f t="shared" si="1110"/>
        <v>0.1764</v>
      </c>
      <c r="N173" s="2875">
        <f t="shared" si="1110"/>
        <v>18.9894</v>
      </c>
      <c r="O173" s="2875">
        <f t="shared" si="1110"/>
        <v>18.786000000000001</v>
      </c>
      <c r="P173" s="2875">
        <f t="shared" si="1110"/>
        <v>0.2034</v>
      </c>
      <c r="Q173" s="2951">
        <f t="shared" si="1110"/>
        <v>13.05285050462046</v>
      </c>
      <c r="R173" s="2951">
        <f t="shared" si="1110"/>
        <v>12.945389956026286</v>
      </c>
      <c r="S173" s="2951">
        <f t="shared" si="1110"/>
        <v>0.10746054859417499</v>
      </c>
      <c r="T173" s="2875">
        <f t="shared" si="1110"/>
        <v>6.7356999999999996</v>
      </c>
      <c r="U173" s="2875">
        <f t="shared" si="1110"/>
        <v>6.56</v>
      </c>
      <c r="V173" s="2875">
        <f t="shared" si="1110"/>
        <v>0.1757</v>
      </c>
      <c r="W173" s="2875">
        <f t="shared" si="1110"/>
        <v>6.4147300000000005</v>
      </c>
      <c r="X173" s="2875">
        <f t="shared" si="1110"/>
        <v>6.4</v>
      </c>
      <c r="Y173" s="2875">
        <f t="shared" si="1110"/>
        <v>1.473E-2</v>
      </c>
      <c r="Z173" s="2875">
        <f t="shared" si="1110"/>
        <v>5.7505999999999995</v>
      </c>
      <c r="AA173" s="2875">
        <f t="shared" si="1110"/>
        <v>5.7439999999999998</v>
      </c>
      <c r="AB173" s="2875">
        <f t="shared" si="1110"/>
        <v>6.6E-3</v>
      </c>
      <c r="AC173" s="2875">
        <f t="shared" si="1110"/>
        <v>18.901030000000002</v>
      </c>
      <c r="AD173" s="2875">
        <f t="shared" si="1110"/>
        <v>18.704000000000001</v>
      </c>
      <c r="AE173" s="2875">
        <f t="shared" si="1110"/>
        <v>0.19702999999999998</v>
      </c>
      <c r="AF173" s="3002">
        <f t="shared" si="1110"/>
        <v>26.105701009240921</v>
      </c>
      <c r="AG173" s="3002">
        <f t="shared" si="1110"/>
        <v>25.890779912052572</v>
      </c>
      <c r="AH173" s="3002">
        <f t="shared" si="1110"/>
        <v>0.21492109718834998</v>
      </c>
      <c r="AI173" s="3003">
        <f t="shared" si="1110"/>
        <v>37.890430000000002</v>
      </c>
      <c r="AJ173" s="3003">
        <f t="shared" si="1110"/>
        <v>37.49</v>
      </c>
      <c r="AK173" s="3003">
        <f t="shared" si="1110"/>
        <v>0.40042999999999995</v>
      </c>
      <c r="AL173" s="2851">
        <f t="shared" si="1069"/>
        <v>11.784728990759081</v>
      </c>
      <c r="AM173" s="2851">
        <f t="shared" si="1108"/>
        <v>11.59922008794743</v>
      </c>
      <c r="AN173" s="2851">
        <f t="shared" si="1108"/>
        <v>0.18550890281164997</v>
      </c>
      <c r="AO173" s="2951">
        <f t="shared" si="1106"/>
        <v>13.05285050462046</v>
      </c>
      <c r="AP173" s="2951">
        <f t="shared" si="1101"/>
        <v>12.945389956026286</v>
      </c>
      <c r="AQ173" s="2951">
        <f t="shared" si="1101"/>
        <v>0.10746054859417499</v>
      </c>
      <c r="AR173" s="2875">
        <f t="shared" si="1101"/>
        <v>6.0540000000000003</v>
      </c>
      <c r="AS173" s="2875">
        <f t="shared" si="1101"/>
        <v>6.04</v>
      </c>
      <c r="AT173" s="2875">
        <f t="shared" si="1101"/>
        <v>1.4E-2</v>
      </c>
      <c r="AU173" s="2875">
        <f t="shared" si="1101"/>
        <v>6.1840000000000002</v>
      </c>
      <c r="AV173" s="2875">
        <f t="shared" si="1101"/>
        <v>6.1669999999999998</v>
      </c>
      <c r="AW173" s="2875">
        <f t="shared" si="1101"/>
        <v>1.7000000000000001E-2</v>
      </c>
      <c r="AX173" s="2875">
        <f t="shared" si="1101"/>
        <v>6.3610299999999995</v>
      </c>
      <c r="AY173" s="2875">
        <f t="shared" si="1101"/>
        <v>6.3449999999999998</v>
      </c>
      <c r="AZ173" s="2875">
        <f t="shared" si="1101"/>
        <v>1.6029999999999999E-2</v>
      </c>
      <c r="BA173" s="2875">
        <f t="shared" si="1101"/>
        <v>18.599029999999999</v>
      </c>
      <c r="BB173" s="2875">
        <f t="shared" si="1101"/>
        <v>18.552</v>
      </c>
      <c r="BC173" s="2875">
        <f t="shared" si="1101"/>
        <v>4.7030000000000002E-2</v>
      </c>
      <c r="BD173" s="3002">
        <f t="shared" si="1102"/>
        <v>39.158551513861383</v>
      </c>
      <c r="BE173" s="3002">
        <f t="shared" si="1102"/>
        <v>38.836169868078855</v>
      </c>
      <c r="BF173" s="3002">
        <f t="shared" si="1102"/>
        <v>0.32238164578252498</v>
      </c>
      <c r="BG173" s="3003">
        <f t="shared" si="1102"/>
        <v>56.489460000000001</v>
      </c>
      <c r="BH173" s="3003">
        <f t="shared" si="1102"/>
        <v>56.042000000000002</v>
      </c>
      <c r="BI173" s="3003">
        <f t="shared" si="1102"/>
        <v>0.44745999999999997</v>
      </c>
      <c r="BJ173" s="2851">
        <f t="shared" si="1065"/>
        <v>17.330908486138618</v>
      </c>
      <c r="BK173" s="2851">
        <f t="shared" si="1065"/>
        <v>17.205830131921147</v>
      </c>
      <c r="BL173" s="2851">
        <f t="shared" si="1065"/>
        <v>0.12507835421747499</v>
      </c>
      <c r="BM173" s="2951">
        <f t="shared" si="1107"/>
        <v>13.05285050462046</v>
      </c>
      <c r="BN173" s="2951">
        <f t="shared" si="1107"/>
        <v>12.945389956026286</v>
      </c>
      <c r="BO173" s="2951">
        <f t="shared" si="1107"/>
        <v>0.10746054859417499</v>
      </c>
      <c r="BP173" s="2875">
        <f t="shared" si="1107"/>
        <v>6.0547500000000003</v>
      </c>
      <c r="BQ173" s="2875">
        <f t="shared" si="1107"/>
        <v>6.0369999999999999</v>
      </c>
      <c r="BR173" s="2875">
        <f t="shared" si="1107"/>
        <v>1.7749999999999998E-2</v>
      </c>
      <c r="BS173" s="2875">
        <f t="shared" si="1107"/>
        <v>6.2343999999999999</v>
      </c>
      <c r="BT173" s="2875">
        <f t="shared" si="1107"/>
        <v>6.2190000000000003</v>
      </c>
      <c r="BU173" s="2875">
        <f t="shared" si="1107"/>
        <v>1.54E-2</v>
      </c>
      <c r="BV173" s="2875">
        <f t="shared" si="1107"/>
        <v>6.0110399999999995</v>
      </c>
      <c r="BW173" s="2875">
        <f t="shared" si="1107"/>
        <v>6.3129999999999997</v>
      </c>
      <c r="BX173" s="2875">
        <f t="shared" si="1107"/>
        <v>-0.30196000000000001</v>
      </c>
      <c r="BY173" s="2875">
        <f t="shared" si="1107"/>
        <v>18.300190000000001</v>
      </c>
      <c r="BZ173" s="2875">
        <f t="shared" si="1107"/>
        <v>18.568999999999999</v>
      </c>
      <c r="CA173" s="2875">
        <f t="shared" si="1107"/>
        <v>-0.26880999999999999</v>
      </c>
      <c r="CB173" s="3002">
        <f t="shared" si="1107"/>
        <v>52.211402018481841</v>
      </c>
      <c r="CC173" s="3002">
        <f t="shared" si="1107"/>
        <v>51.781559824105145</v>
      </c>
      <c r="CD173" s="3002">
        <f t="shared" si="1107"/>
        <v>0.42984219437669996</v>
      </c>
      <c r="CE173" s="3003">
        <f t="shared" si="1107"/>
        <v>74.789649999999995</v>
      </c>
      <c r="CF173" s="3003">
        <f t="shared" si="1107"/>
        <v>74.611000000000004</v>
      </c>
      <c r="CG173" s="3003">
        <f t="shared" si="1107"/>
        <v>0.17864999999999998</v>
      </c>
      <c r="CH173" s="2851">
        <f t="shared" si="1067"/>
        <v>22.578247981518153</v>
      </c>
      <c r="CI173" s="2851">
        <f t="shared" si="1067"/>
        <v>22.82944017589486</v>
      </c>
      <c r="CJ173" s="2851">
        <f t="shared" si="1067"/>
        <v>-0.25119219437669998</v>
      </c>
    </row>
    <row r="174" spans="1:88" ht="18.75" customHeight="1" x14ac:dyDescent="0.3">
      <c r="A174" s="2949" t="s">
        <v>3747</v>
      </c>
      <c r="B174" s="2951">
        <f>SUM(B121)</f>
        <v>501.84872520792379</v>
      </c>
      <c r="C174" s="2951">
        <f t="shared" si="1110"/>
        <v>499.19317458139955</v>
      </c>
      <c r="D174" s="2951">
        <f t="shared" si="1110"/>
        <v>2.6555506265242488</v>
      </c>
      <c r="E174" s="2875">
        <f t="shared" si="1110"/>
        <v>134.31695000000002</v>
      </c>
      <c r="F174" s="2875">
        <f t="shared" si="1110"/>
        <v>134.05200000000002</v>
      </c>
      <c r="G174" s="2875">
        <f t="shared" si="1110"/>
        <v>0.26495000000000002</v>
      </c>
      <c r="H174" s="2875">
        <f t="shared" si="1110"/>
        <v>145.083</v>
      </c>
      <c r="I174" s="2875">
        <f t="shared" si="1110"/>
        <v>144.73400000000001</v>
      </c>
      <c r="J174" s="2875">
        <f t="shared" si="1110"/>
        <v>0.34899999999999998</v>
      </c>
      <c r="K174" s="2875">
        <f t="shared" si="1110"/>
        <v>272.25839999999999</v>
      </c>
      <c r="L174" s="2875">
        <f t="shared" si="1110"/>
        <v>271.64</v>
      </c>
      <c r="M174" s="2875">
        <f t="shared" si="1110"/>
        <v>0.61839999999999995</v>
      </c>
      <c r="N174" s="2875">
        <f t="shared" si="1110"/>
        <v>551.65835000000004</v>
      </c>
      <c r="O174" s="2875">
        <f t="shared" si="1110"/>
        <v>550.42600000000004</v>
      </c>
      <c r="P174" s="2875">
        <f t="shared" si="1110"/>
        <v>1.2323499999999998</v>
      </c>
      <c r="Q174" s="2951">
        <f t="shared" si="1110"/>
        <v>501.84872520792379</v>
      </c>
      <c r="R174" s="2951">
        <f t="shared" si="1110"/>
        <v>499.19317458139955</v>
      </c>
      <c r="S174" s="2951">
        <f t="shared" si="1110"/>
        <v>2.6555506265242488</v>
      </c>
      <c r="T174" s="2875">
        <f t="shared" si="1110"/>
        <v>164.93057999999999</v>
      </c>
      <c r="U174" s="2875">
        <f t="shared" si="1110"/>
        <v>164.654</v>
      </c>
      <c r="V174" s="2875">
        <f t="shared" si="1110"/>
        <v>0.27657999999999999</v>
      </c>
      <c r="W174" s="2875">
        <f t="shared" si="1110"/>
        <v>144.65299999999999</v>
      </c>
      <c r="X174" s="2875">
        <f t="shared" si="1110"/>
        <v>144.32</v>
      </c>
      <c r="Y174" s="2875">
        <f t="shared" si="1110"/>
        <v>0.33300000000000002</v>
      </c>
      <c r="Z174" s="2875">
        <f t="shared" si="1110"/>
        <v>129.95000000000002</v>
      </c>
      <c r="AA174" s="2875">
        <f t="shared" si="1110"/>
        <v>129.59700000000001</v>
      </c>
      <c r="AB174" s="2875">
        <f t="shared" si="1110"/>
        <v>0.35299999999999998</v>
      </c>
      <c r="AC174" s="2875">
        <f t="shared" si="1110"/>
        <v>439.53358000000003</v>
      </c>
      <c r="AD174" s="2875">
        <f t="shared" si="1110"/>
        <v>438.57100000000003</v>
      </c>
      <c r="AE174" s="2875">
        <f t="shared" si="1110"/>
        <v>0.96257999999999999</v>
      </c>
      <c r="AF174" s="3002">
        <f t="shared" si="1110"/>
        <v>1003.6974504158476</v>
      </c>
      <c r="AG174" s="3002">
        <f t="shared" si="1110"/>
        <v>998.38634916279909</v>
      </c>
      <c r="AH174" s="3002">
        <f t="shared" si="1110"/>
        <v>5.3111012530484976</v>
      </c>
      <c r="AI174" s="3003">
        <f t="shared" si="1110"/>
        <v>991.19193000000007</v>
      </c>
      <c r="AJ174" s="3003">
        <f t="shared" si="1110"/>
        <v>988.99700000000007</v>
      </c>
      <c r="AK174" s="3003">
        <f t="shared" si="1110"/>
        <v>2.1949299999999998</v>
      </c>
      <c r="AL174" s="2851">
        <f t="shared" si="1069"/>
        <v>-12.505520415847514</v>
      </c>
      <c r="AM174" s="2851">
        <f t="shared" si="1108"/>
        <v>-9.3893491627990215</v>
      </c>
      <c r="AN174" s="2851">
        <f t="shared" si="1108"/>
        <v>-3.1161712530484977</v>
      </c>
      <c r="AO174" s="2951">
        <f t="shared" si="1106"/>
        <v>501.84872520792379</v>
      </c>
      <c r="AP174" s="2951">
        <f t="shared" si="1101"/>
        <v>499.19317458139955</v>
      </c>
      <c r="AQ174" s="2951">
        <f t="shared" si="1101"/>
        <v>2.6555506265242488</v>
      </c>
      <c r="AR174" s="2875">
        <f t="shared" si="1101"/>
        <v>117.91800000000001</v>
      </c>
      <c r="AS174" s="2875">
        <f t="shared" si="1101"/>
        <v>117.643</v>
      </c>
      <c r="AT174" s="2875">
        <f t="shared" si="1101"/>
        <v>0.27500000000000002</v>
      </c>
      <c r="AU174" s="2875">
        <f t="shared" si="1101"/>
        <v>60.663400000000003</v>
      </c>
      <c r="AV174" s="2875">
        <f t="shared" si="1101"/>
        <v>60.5</v>
      </c>
      <c r="AW174" s="2875">
        <f t="shared" si="1101"/>
        <v>0.16339999999999999</v>
      </c>
      <c r="AX174" s="2875">
        <f t="shared" si="1101"/>
        <v>259.82599999999996</v>
      </c>
      <c r="AY174" s="2875">
        <f t="shared" si="1101"/>
        <v>259.17099999999999</v>
      </c>
      <c r="AZ174" s="2875">
        <f t="shared" si="1101"/>
        <v>0.65500000000000003</v>
      </c>
      <c r="BA174" s="2875">
        <f t="shared" si="1101"/>
        <v>438.40739999999994</v>
      </c>
      <c r="BB174" s="2875">
        <f t="shared" si="1101"/>
        <v>437.31399999999996</v>
      </c>
      <c r="BC174" s="2875">
        <f t="shared" si="1101"/>
        <v>1.0933999999999999</v>
      </c>
      <c r="BD174" s="3002">
        <f t="shared" si="1106"/>
        <v>1505.5461756237714</v>
      </c>
      <c r="BE174" s="3002">
        <f t="shared" si="1102"/>
        <v>1497.5795237441987</v>
      </c>
      <c r="BF174" s="3002">
        <f t="shared" si="1102"/>
        <v>7.9666518795727459</v>
      </c>
      <c r="BG174" s="3003">
        <f t="shared" si="1102"/>
        <v>1429.59933</v>
      </c>
      <c r="BH174" s="3003">
        <f t="shared" si="1102"/>
        <v>1426.3110000000001</v>
      </c>
      <c r="BI174" s="3003">
        <f t="shared" si="1102"/>
        <v>3.2883299999999998</v>
      </c>
      <c r="BJ174" s="2851">
        <f t="shared" si="1065"/>
        <v>-75.946845623771424</v>
      </c>
      <c r="BK174" s="2851">
        <f t="shared" si="1065"/>
        <v>-71.268523744198546</v>
      </c>
      <c r="BL174" s="2851">
        <f t="shared" si="1065"/>
        <v>-4.6783218795727457</v>
      </c>
      <c r="BM174" s="2951">
        <f t="shared" si="1107"/>
        <v>501.84872520792379</v>
      </c>
      <c r="BN174" s="2951">
        <f t="shared" si="1107"/>
        <v>499.19317458139955</v>
      </c>
      <c r="BO174" s="2951">
        <f t="shared" si="1107"/>
        <v>2.6555506265242488</v>
      </c>
      <c r="BP174" s="2875">
        <f t="shared" si="1107"/>
        <v>119.913</v>
      </c>
      <c r="BQ174" s="2875">
        <f t="shared" si="1107"/>
        <v>119.562</v>
      </c>
      <c r="BR174" s="2875">
        <f t="shared" si="1107"/>
        <v>0.35099999999999998</v>
      </c>
      <c r="BS174" s="2875">
        <f t="shared" si="1107"/>
        <v>151.53400000000002</v>
      </c>
      <c r="BT174" s="2875">
        <f t="shared" si="1107"/>
        <v>151.17400000000001</v>
      </c>
      <c r="BU174" s="2875">
        <f t="shared" si="1107"/>
        <v>0.36</v>
      </c>
      <c r="BV174" s="2875">
        <f t="shared" si="1107"/>
        <v>135.90589</v>
      </c>
      <c r="BW174" s="2875">
        <f t="shared" si="1107"/>
        <v>135.45400000000001</v>
      </c>
      <c r="BX174" s="2875">
        <f t="shared" si="1107"/>
        <v>0.45189000000000001</v>
      </c>
      <c r="BY174" s="2875">
        <f t="shared" si="1107"/>
        <v>407.35289</v>
      </c>
      <c r="BZ174" s="2875">
        <f t="shared" si="1107"/>
        <v>406.19</v>
      </c>
      <c r="CA174" s="2875">
        <f t="shared" si="1107"/>
        <v>1.16289</v>
      </c>
      <c r="CB174" s="3002">
        <f t="shared" si="1107"/>
        <v>2007.3949008316952</v>
      </c>
      <c r="CC174" s="3002">
        <f t="shared" si="1107"/>
        <v>1996.7726983255982</v>
      </c>
      <c r="CD174" s="3002">
        <f t="shared" si="1107"/>
        <v>10.622202506096995</v>
      </c>
      <c r="CE174" s="3003">
        <f t="shared" si="1107"/>
        <v>1836.9522200000001</v>
      </c>
      <c r="CF174" s="3003">
        <f t="shared" si="1107"/>
        <v>1832.5010000000002</v>
      </c>
      <c r="CG174" s="3003">
        <f t="shared" si="1107"/>
        <v>4.4512199999999993</v>
      </c>
      <c r="CH174" s="2851">
        <f t="shared" si="1067"/>
        <v>-170.44268083169504</v>
      </c>
      <c r="CI174" s="2851">
        <f t="shared" si="1067"/>
        <v>-164.27169832559798</v>
      </c>
      <c r="CJ174" s="2851">
        <f t="shared" si="1067"/>
        <v>-6.1709825060969958</v>
      </c>
    </row>
    <row r="175" spans="1:88" ht="18.75" customHeight="1" x14ac:dyDescent="0.3">
      <c r="A175" s="2868" t="s">
        <v>506</v>
      </c>
      <c r="B175" s="2951">
        <f>SUM(B122)</f>
        <v>0</v>
      </c>
      <c r="C175" s="2951">
        <f t="shared" si="1110"/>
        <v>0</v>
      </c>
      <c r="D175" s="2951">
        <f t="shared" si="1110"/>
        <v>0</v>
      </c>
      <c r="E175" s="2875">
        <f t="shared" si="1110"/>
        <v>0</v>
      </c>
      <c r="F175" s="2875">
        <f t="shared" si="1110"/>
        <v>0</v>
      </c>
      <c r="G175" s="2875">
        <f t="shared" si="1110"/>
        <v>0</v>
      </c>
      <c r="H175" s="2875">
        <f t="shared" si="1110"/>
        <v>0</v>
      </c>
      <c r="I175" s="2875">
        <f t="shared" si="1110"/>
        <v>0</v>
      </c>
      <c r="J175" s="2875">
        <f t="shared" si="1110"/>
        <v>0</v>
      </c>
      <c r="K175" s="2875">
        <f t="shared" si="1110"/>
        <v>0</v>
      </c>
      <c r="L175" s="2875">
        <f t="shared" si="1110"/>
        <v>0</v>
      </c>
      <c r="M175" s="2875">
        <f t="shared" si="1110"/>
        <v>0</v>
      </c>
      <c r="N175" s="2875">
        <f t="shared" si="1110"/>
        <v>0</v>
      </c>
      <c r="O175" s="2875">
        <f t="shared" si="1110"/>
        <v>0</v>
      </c>
      <c r="P175" s="2875">
        <f t="shared" si="1110"/>
        <v>0</v>
      </c>
      <c r="Q175" s="2951">
        <f t="shared" si="1110"/>
        <v>0</v>
      </c>
      <c r="R175" s="2951">
        <f t="shared" si="1110"/>
        <v>0</v>
      </c>
      <c r="S175" s="2951">
        <f t="shared" si="1110"/>
        <v>0</v>
      </c>
      <c r="T175" s="2875">
        <f t="shared" si="1110"/>
        <v>0</v>
      </c>
      <c r="U175" s="2875">
        <f t="shared" si="1110"/>
        <v>0</v>
      </c>
      <c r="V175" s="2875">
        <f t="shared" si="1110"/>
        <v>0</v>
      </c>
      <c r="W175" s="2875">
        <f t="shared" si="1110"/>
        <v>0</v>
      </c>
      <c r="X175" s="2875">
        <f t="shared" si="1110"/>
        <v>0</v>
      </c>
      <c r="Y175" s="2875">
        <f t="shared" si="1110"/>
        <v>0</v>
      </c>
      <c r="Z175" s="2875">
        <f t="shared" si="1110"/>
        <v>0</v>
      </c>
      <c r="AA175" s="2875">
        <f t="shared" si="1110"/>
        <v>0</v>
      </c>
      <c r="AB175" s="2875">
        <f t="shared" si="1110"/>
        <v>0</v>
      </c>
      <c r="AC175" s="2875">
        <f t="shared" si="1110"/>
        <v>0</v>
      </c>
      <c r="AD175" s="2875">
        <f t="shared" si="1110"/>
        <v>0</v>
      </c>
      <c r="AE175" s="2875">
        <f t="shared" si="1110"/>
        <v>0</v>
      </c>
      <c r="AF175" s="3002">
        <f>SUM(AF122)</f>
        <v>0</v>
      </c>
      <c r="AG175" s="3002">
        <f t="shared" si="1110"/>
        <v>0</v>
      </c>
      <c r="AH175" s="3002">
        <f t="shared" si="1110"/>
        <v>0</v>
      </c>
      <c r="AI175" s="3003">
        <f t="shared" si="1110"/>
        <v>0</v>
      </c>
      <c r="AJ175" s="3003">
        <f t="shared" si="1110"/>
        <v>0</v>
      </c>
      <c r="AK175" s="3003">
        <f t="shared" si="1110"/>
        <v>0</v>
      </c>
      <c r="AL175" s="2847">
        <f t="shared" si="1069"/>
        <v>0</v>
      </c>
      <c r="AM175" s="2847">
        <f t="shared" si="1108"/>
        <v>0</v>
      </c>
      <c r="AN175" s="2847">
        <f t="shared" si="1108"/>
        <v>0</v>
      </c>
      <c r="AO175" s="2951">
        <f>SUM(AO122)</f>
        <v>0</v>
      </c>
      <c r="AP175" s="2951">
        <f t="shared" si="1101"/>
        <v>0</v>
      </c>
      <c r="AQ175" s="2951">
        <f t="shared" si="1101"/>
        <v>0</v>
      </c>
      <c r="AR175" s="2875">
        <f t="shared" si="1101"/>
        <v>0</v>
      </c>
      <c r="AS175" s="2875">
        <f t="shared" si="1101"/>
        <v>0</v>
      </c>
      <c r="AT175" s="2875">
        <f t="shared" si="1101"/>
        <v>0</v>
      </c>
      <c r="AU175" s="2875">
        <f t="shared" si="1101"/>
        <v>0</v>
      </c>
      <c r="AV175" s="2875">
        <f t="shared" si="1101"/>
        <v>0</v>
      </c>
      <c r="AW175" s="2875">
        <f t="shared" si="1101"/>
        <v>0</v>
      </c>
      <c r="AX175" s="2875">
        <f t="shared" si="1101"/>
        <v>0</v>
      </c>
      <c r="AY175" s="2875">
        <f t="shared" si="1101"/>
        <v>0</v>
      </c>
      <c r="AZ175" s="2875">
        <f t="shared" si="1101"/>
        <v>0</v>
      </c>
      <c r="BA175" s="2875">
        <f t="shared" si="1101"/>
        <v>0</v>
      </c>
      <c r="BB175" s="2875">
        <f t="shared" si="1101"/>
        <v>0</v>
      </c>
      <c r="BC175" s="2875">
        <f t="shared" si="1101"/>
        <v>0</v>
      </c>
      <c r="BD175" s="3002">
        <f>SUM(BD122)</f>
        <v>0</v>
      </c>
      <c r="BE175" s="3002">
        <f t="shared" si="1102"/>
        <v>0</v>
      </c>
      <c r="BF175" s="3002">
        <f t="shared" si="1102"/>
        <v>0</v>
      </c>
      <c r="BG175" s="3003">
        <f t="shared" si="1102"/>
        <v>0</v>
      </c>
      <c r="BH175" s="3003">
        <f t="shared" si="1102"/>
        <v>0</v>
      </c>
      <c r="BI175" s="3003">
        <f t="shared" si="1102"/>
        <v>0</v>
      </c>
      <c r="BJ175" s="2847">
        <f t="shared" si="1065"/>
        <v>0</v>
      </c>
      <c r="BK175" s="2847">
        <f t="shared" si="1065"/>
        <v>0</v>
      </c>
      <c r="BL175" s="2847">
        <f t="shared" si="1065"/>
        <v>0</v>
      </c>
      <c r="BM175" s="2951">
        <f>SUM(BM122)</f>
        <v>0</v>
      </c>
      <c r="BN175" s="2951">
        <f t="shared" si="1107"/>
        <v>0</v>
      </c>
      <c r="BO175" s="2951">
        <f t="shared" si="1107"/>
        <v>0</v>
      </c>
      <c r="BP175" s="2875">
        <f t="shared" si="1107"/>
        <v>0</v>
      </c>
      <c r="BQ175" s="2875">
        <f t="shared" si="1107"/>
        <v>0</v>
      </c>
      <c r="BR175" s="2875">
        <f t="shared" si="1107"/>
        <v>0</v>
      </c>
      <c r="BS175" s="2875">
        <f t="shared" si="1107"/>
        <v>0</v>
      </c>
      <c r="BT175" s="2875">
        <f t="shared" si="1107"/>
        <v>0</v>
      </c>
      <c r="BU175" s="2875">
        <f t="shared" si="1107"/>
        <v>0</v>
      </c>
      <c r="BV175" s="2875">
        <f t="shared" si="1107"/>
        <v>0</v>
      </c>
      <c r="BW175" s="2875">
        <f t="shared" si="1107"/>
        <v>0</v>
      </c>
      <c r="BX175" s="2875">
        <f t="shared" si="1107"/>
        <v>0</v>
      </c>
      <c r="BY175" s="2875">
        <f t="shared" si="1107"/>
        <v>0</v>
      </c>
      <c r="BZ175" s="2875">
        <f t="shared" si="1107"/>
        <v>0</v>
      </c>
      <c r="CA175" s="2875">
        <f t="shared" si="1107"/>
        <v>0</v>
      </c>
      <c r="CB175" s="3002">
        <f>SUM(CB122)</f>
        <v>0</v>
      </c>
      <c r="CC175" s="3002">
        <f t="shared" si="1107"/>
        <v>0</v>
      </c>
      <c r="CD175" s="3002">
        <f t="shared" si="1107"/>
        <v>0</v>
      </c>
      <c r="CE175" s="3003">
        <f t="shared" si="1107"/>
        <v>0</v>
      </c>
      <c r="CF175" s="3003">
        <f t="shared" si="1107"/>
        <v>0</v>
      </c>
      <c r="CG175" s="3003">
        <f t="shared" si="1107"/>
        <v>0</v>
      </c>
      <c r="CH175" s="2847">
        <f t="shared" si="1067"/>
        <v>0</v>
      </c>
      <c r="CI175" s="2847">
        <f t="shared" si="1067"/>
        <v>0</v>
      </c>
      <c r="CJ175" s="2847">
        <f t="shared" si="1067"/>
        <v>0</v>
      </c>
    </row>
    <row r="176" spans="1:88" ht="18.75" customHeight="1" x14ac:dyDescent="0.3">
      <c r="A176" s="2914" t="s">
        <v>3749</v>
      </c>
      <c r="B176" s="2946">
        <f t="shared" ref="B176:AO176" si="1111">SUM(B123)</f>
        <v>0</v>
      </c>
      <c r="C176" s="2946">
        <f t="shared" si="1110"/>
        <v>0</v>
      </c>
      <c r="D176" s="2946">
        <f t="shared" si="1110"/>
        <v>0</v>
      </c>
      <c r="E176" s="2865">
        <f t="shared" si="1110"/>
        <v>0</v>
      </c>
      <c r="F176" s="2865">
        <f t="shared" si="1110"/>
        <v>0</v>
      </c>
      <c r="G176" s="2865">
        <f t="shared" si="1110"/>
        <v>0</v>
      </c>
      <c r="H176" s="2865">
        <f t="shared" si="1110"/>
        <v>0</v>
      </c>
      <c r="I176" s="2865">
        <f t="shared" si="1110"/>
        <v>0</v>
      </c>
      <c r="J176" s="2865">
        <f t="shared" si="1110"/>
        <v>0</v>
      </c>
      <c r="K176" s="2865">
        <f t="shared" si="1110"/>
        <v>0</v>
      </c>
      <c r="L176" s="2865">
        <f t="shared" si="1110"/>
        <v>0</v>
      </c>
      <c r="M176" s="2865">
        <f t="shared" si="1110"/>
        <v>0</v>
      </c>
      <c r="N176" s="2865">
        <f t="shared" si="1110"/>
        <v>0</v>
      </c>
      <c r="O176" s="2865">
        <f t="shared" si="1110"/>
        <v>0</v>
      </c>
      <c r="P176" s="2865">
        <f t="shared" si="1110"/>
        <v>0</v>
      </c>
      <c r="Q176" s="2946">
        <f t="shared" si="1110"/>
        <v>0</v>
      </c>
      <c r="R176" s="2946">
        <f t="shared" si="1110"/>
        <v>0</v>
      </c>
      <c r="S176" s="2946">
        <f t="shared" si="1110"/>
        <v>0</v>
      </c>
      <c r="T176" s="2865">
        <f t="shared" si="1110"/>
        <v>0</v>
      </c>
      <c r="U176" s="2865">
        <f t="shared" si="1110"/>
        <v>0</v>
      </c>
      <c r="V176" s="2865">
        <f t="shared" si="1110"/>
        <v>0</v>
      </c>
      <c r="W176" s="2865">
        <f t="shared" si="1110"/>
        <v>0</v>
      </c>
      <c r="X176" s="2865">
        <f t="shared" si="1110"/>
        <v>0</v>
      </c>
      <c r="Y176" s="2865">
        <f t="shared" si="1110"/>
        <v>0</v>
      </c>
      <c r="Z176" s="2865">
        <f t="shared" si="1110"/>
        <v>0</v>
      </c>
      <c r="AA176" s="2865">
        <f t="shared" si="1110"/>
        <v>0</v>
      </c>
      <c r="AB176" s="2865">
        <f t="shared" si="1110"/>
        <v>0</v>
      </c>
      <c r="AC176" s="2865">
        <f t="shared" si="1110"/>
        <v>0</v>
      </c>
      <c r="AD176" s="2865">
        <f t="shared" si="1110"/>
        <v>0</v>
      </c>
      <c r="AE176" s="2865">
        <f t="shared" si="1110"/>
        <v>0</v>
      </c>
      <c r="AF176" s="2990">
        <f t="shared" si="1111"/>
        <v>0</v>
      </c>
      <c r="AG176" s="2990">
        <f t="shared" si="1110"/>
        <v>0</v>
      </c>
      <c r="AH176" s="2990">
        <f t="shared" si="1110"/>
        <v>0</v>
      </c>
      <c r="AI176" s="3001">
        <f t="shared" si="1110"/>
        <v>0</v>
      </c>
      <c r="AJ176" s="3001">
        <f t="shared" si="1110"/>
        <v>0</v>
      </c>
      <c r="AK176" s="3001">
        <f t="shared" si="1110"/>
        <v>0</v>
      </c>
      <c r="AL176" s="2847">
        <f t="shared" si="1069"/>
        <v>0</v>
      </c>
      <c r="AM176" s="2847">
        <f t="shared" si="1108"/>
        <v>0</v>
      </c>
      <c r="AN176" s="2847">
        <f t="shared" si="1108"/>
        <v>0</v>
      </c>
      <c r="AO176" s="2946">
        <f t="shared" si="1111"/>
        <v>0</v>
      </c>
      <c r="AP176" s="2946">
        <f t="shared" si="1101"/>
        <v>0</v>
      </c>
      <c r="AQ176" s="2946">
        <f t="shared" si="1101"/>
        <v>0</v>
      </c>
      <c r="AR176" s="2865">
        <f t="shared" si="1101"/>
        <v>0</v>
      </c>
      <c r="AS176" s="2865">
        <f t="shared" si="1101"/>
        <v>0</v>
      </c>
      <c r="AT176" s="2865">
        <f t="shared" si="1101"/>
        <v>0</v>
      </c>
      <c r="AU176" s="2865">
        <f t="shared" si="1101"/>
        <v>0</v>
      </c>
      <c r="AV176" s="2865">
        <f t="shared" si="1101"/>
        <v>0</v>
      </c>
      <c r="AW176" s="2865">
        <f t="shared" si="1101"/>
        <v>0</v>
      </c>
      <c r="AX176" s="2865">
        <f t="shared" si="1101"/>
        <v>0</v>
      </c>
      <c r="AY176" s="2865">
        <f t="shared" si="1101"/>
        <v>0</v>
      </c>
      <c r="AZ176" s="2865">
        <f t="shared" si="1101"/>
        <v>0</v>
      </c>
      <c r="BA176" s="2865">
        <f t="shared" si="1101"/>
        <v>0</v>
      </c>
      <c r="BB176" s="2865">
        <f t="shared" si="1101"/>
        <v>0</v>
      </c>
      <c r="BC176" s="2865">
        <f t="shared" si="1101"/>
        <v>0</v>
      </c>
      <c r="BD176" s="2990">
        <f t="shared" si="1101"/>
        <v>0</v>
      </c>
      <c r="BE176" s="2990">
        <f t="shared" si="1102"/>
        <v>0</v>
      </c>
      <c r="BF176" s="2990">
        <f t="shared" si="1102"/>
        <v>0</v>
      </c>
      <c r="BG176" s="3001">
        <f t="shared" si="1102"/>
        <v>0</v>
      </c>
      <c r="BH176" s="3001">
        <f t="shared" si="1102"/>
        <v>0</v>
      </c>
      <c r="BI176" s="3001">
        <f t="shared" si="1102"/>
        <v>0</v>
      </c>
      <c r="BJ176" s="2847">
        <f t="shared" si="1065"/>
        <v>0</v>
      </c>
      <c r="BK176" s="2847">
        <f t="shared" si="1065"/>
        <v>0</v>
      </c>
      <c r="BL176" s="2847">
        <f t="shared" si="1065"/>
        <v>0</v>
      </c>
      <c r="BM176" s="2946">
        <f t="shared" ref="BM176:CB176" si="1112">SUM(BM123)</f>
        <v>0</v>
      </c>
      <c r="BN176" s="2946">
        <f t="shared" si="1107"/>
        <v>0</v>
      </c>
      <c r="BO176" s="2946">
        <f t="shared" si="1107"/>
        <v>0</v>
      </c>
      <c r="BP176" s="2865">
        <f t="shared" si="1107"/>
        <v>0</v>
      </c>
      <c r="BQ176" s="2865">
        <f t="shared" si="1107"/>
        <v>0</v>
      </c>
      <c r="BR176" s="2865">
        <f t="shared" si="1107"/>
        <v>0</v>
      </c>
      <c r="BS176" s="2865">
        <f t="shared" si="1107"/>
        <v>0</v>
      </c>
      <c r="BT176" s="2865">
        <f t="shared" si="1107"/>
        <v>0</v>
      </c>
      <c r="BU176" s="2865">
        <f t="shared" si="1107"/>
        <v>0</v>
      </c>
      <c r="BV176" s="2865">
        <f t="shared" si="1107"/>
        <v>0</v>
      </c>
      <c r="BW176" s="2865">
        <f t="shared" si="1107"/>
        <v>0</v>
      </c>
      <c r="BX176" s="2865">
        <f t="shared" si="1107"/>
        <v>0</v>
      </c>
      <c r="BY176" s="2865">
        <f t="shared" si="1107"/>
        <v>0</v>
      </c>
      <c r="BZ176" s="2865">
        <f t="shared" si="1107"/>
        <v>0</v>
      </c>
      <c r="CA176" s="2865">
        <f t="shared" si="1107"/>
        <v>0</v>
      </c>
      <c r="CB176" s="2990">
        <f t="shared" si="1112"/>
        <v>0</v>
      </c>
      <c r="CC176" s="2990">
        <f t="shared" si="1107"/>
        <v>0</v>
      </c>
      <c r="CD176" s="2990">
        <f t="shared" si="1107"/>
        <v>0</v>
      </c>
      <c r="CE176" s="3001">
        <f t="shared" si="1107"/>
        <v>0</v>
      </c>
      <c r="CF176" s="3001">
        <f t="shared" si="1107"/>
        <v>0</v>
      </c>
      <c r="CG176" s="3001">
        <f t="shared" si="1107"/>
        <v>0</v>
      </c>
      <c r="CH176" s="2847">
        <f t="shared" si="1067"/>
        <v>0</v>
      </c>
      <c r="CI176" s="2847">
        <f t="shared" si="1067"/>
        <v>0</v>
      </c>
      <c r="CJ176" s="2847">
        <f t="shared" si="1067"/>
        <v>0</v>
      </c>
    </row>
    <row r="177" spans="1:90" ht="18.75" customHeight="1" x14ac:dyDescent="0.3">
      <c r="A177" s="2935" t="s">
        <v>12</v>
      </c>
      <c r="B177" s="2959">
        <f>SUM(B151+B152+B153+B154+B155+B156+B157+B159+B164+B168+B175+B176)</f>
        <v>25176.41066933838</v>
      </c>
      <c r="C177" s="2959">
        <f t="shared" ref="C177:AE177" si="1113">SUM(C151+C152+C153+C154+C155+C156+C157+C159+C164+C168+C175+C176)</f>
        <v>25107.923092768768</v>
      </c>
      <c r="D177" s="2959">
        <f t="shared" si="1113"/>
        <v>68.487576569614106</v>
      </c>
      <c r="E177" s="2861">
        <f t="shared" si="1113"/>
        <v>6837.0297900000014</v>
      </c>
      <c r="F177" s="2861">
        <f t="shared" si="1113"/>
        <v>6827.0944899999995</v>
      </c>
      <c r="G177" s="2861">
        <f t="shared" si="1113"/>
        <v>9.9352999999999998</v>
      </c>
      <c r="H177" s="2861">
        <f t="shared" si="1113"/>
        <v>6960.8995599999998</v>
      </c>
      <c r="I177" s="2861">
        <f t="shared" si="1113"/>
        <v>6948.4513000000006</v>
      </c>
      <c r="J177" s="2861">
        <f t="shared" si="1113"/>
        <v>12.448260000000001</v>
      </c>
      <c r="K177" s="2861">
        <f t="shared" si="1113"/>
        <v>7887.9431700000014</v>
      </c>
      <c r="L177" s="2861">
        <f t="shared" si="1113"/>
        <v>7866.4274000000005</v>
      </c>
      <c r="M177" s="2861">
        <f t="shared" si="1113"/>
        <v>21.51577</v>
      </c>
      <c r="N177" s="2861">
        <f t="shared" si="1113"/>
        <v>21685.872520000004</v>
      </c>
      <c r="O177" s="2861">
        <f t="shared" si="1113"/>
        <v>21641.973190000004</v>
      </c>
      <c r="P177" s="2861">
        <f t="shared" si="1113"/>
        <v>43.899329999999999</v>
      </c>
      <c r="Q177" s="2959">
        <f t="shared" si="1113"/>
        <v>25176.41066933838</v>
      </c>
      <c r="R177" s="2959">
        <f t="shared" si="1113"/>
        <v>25107.923092768768</v>
      </c>
      <c r="S177" s="2959">
        <f t="shared" si="1113"/>
        <v>68.487576569614106</v>
      </c>
      <c r="T177" s="2861">
        <f t="shared" si="1113"/>
        <v>7734.777180000001</v>
      </c>
      <c r="U177" s="2861">
        <f t="shared" si="1113"/>
        <v>7717.8579999999993</v>
      </c>
      <c r="V177" s="2861">
        <f t="shared" si="1113"/>
        <v>16.919180000000001</v>
      </c>
      <c r="W177" s="2861">
        <f t="shared" si="1113"/>
        <v>8201.4269700000004</v>
      </c>
      <c r="X177" s="2861">
        <f t="shared" si="1113"/>
        <v>8186.1820000000007</v>
      </c>
      <c r="Y177" s="2861">
        <f t="shared" si="1113"/>
        <v>15.24497</v>
      </c>
      <c r="Z177" s="2861">
        <f t="shared" si="1113"/>
        <v>7019.1313</v>
      </c>
      <c r="AA177" s="2861">
        <f t="shared" si="1113"/>
        <v>7007.1710000000003</v>
      </c>
      <c r="AB177" s="2861">
        <f t="shared" si="1113"/>
        <v>11.9603</v>
      </c>
      <c r="AC177" s="2861">
        <f t="shared" si="1113"/>
        <v>22955.335450000002</v>
      </c>
      <c r="AD177" s="2861">
        <f t="shared" si="1113"/>
        <v>22911.211000000003</v>
      </c>
      <c r="AE177" s="2861">
        <f t="shared" si="1113"/>
        <v>44.124450000000003</v>
      </c>
      <c r="AF177" s="2961">
        <f>SUM(AF151+AF152+AF153+AF154+AF155+AF156+AF157+AF159+AF164+AF168+AF175+AF176)</f>
        <v>50352.82133867676</v>
      </c>
      <c r="AG177" s="2961">
        <f t="shared" ref="AG177:AK177" si="1114">SUM(AG151+AG152+AG153+AG154+AG155+AG156+AG157+AG159+AG164+AG168+AG175+AG176)</f>
        <v>50215.846185537535</v>
      </c>
      <c r="AH177" s="2961">
        <f t="shared" si="1114"/>
        <v>136.97515313922821</v>
      </c>
      <c r="AI177" s="2962">
        <f t="shared" si="1114"/>
        <v>44641.207970000003</v>
      </c>
      <c r="AJ177" s="2962">
        <f t="shared" si="1114"/>
        <v>44553.18419</v>
      </c>
      <c r="AK177" s="2962">
        <f t="shared" si="1114"/>
        <v>88.023779999999988</v>
      </c>
      <c r="AL177" s="2840">
        <f t="shared" si="1069"/>
        <v>-5711.6133686767571</v>
      </c>
      <c r="AM177" s="2840">
        <f t="shared" si="1108"/>
        <v>-5662.6619955375354</v>
      </c>
      <c r="AN177" s="2840">
        <f t="shared" si="1108"/>
        <v>-48.951373139228224</v>
      </c>
      <c r="AO177" s="2959">
        <f>SUM(AO151+AO152+AO153+AO154+AO155+AO156+AO157+AO159+AO164+AO168+AO175+AO176)</f>
        <v>25258.941652080895</v>
      </c>
      <c r="AP177" s="2959">
        <f t="shared" ref="AP177:BC177" si="1115">SUM(AP151+AP152+AP153+AP154+AP155+AP156+AP157+AP159+AP164+AP168+AP175+AP176)</f>
        <v>25189.707091281998</v>
      </c>
      <c r="AQ177" s="2959">
        <f t="shared" si="1115"/>
        <v>69.234560798899309</v>
      </c>
      <c r="AR177" s="2861">
        <f t="shared" si="1115"/>
        <v>7654.8623699999998</v>
      </c>
      <c r="AS177" s="2861">
        <f t="shared" si="1115"/>
        <v>7641.3669999999993</v>
      </c>
      <c r="AT177" s="2861">
        <f t="shared" si="1115"/>
        <v>13.495369999999999</v>
      </c>
      <c r="AU177" s="2861">
        <f t="shared" si="1115"/>
        <v>8095.7348999999995</v>
      </c>
      <c r="AV177" s="2861">
        <f t="shared" si="1115"/>
        <v>8080.4040000000005</v>
      </c>
      <c r="AW177" s="2861">
        <f t="shared" si="1115"/>
        <v>15.3309</v>
      </c>
      <c r="AX177" s="2861">
        <f t="shared" si="1115"/>
        <v>8184.3487999999998</v>
      </c>
      <c r="AY177" s="2861">
        <f t="shared" si="1115"/>
        <v>8169.2110000000002</v>
      </c>
      <c r="AZ177" s="2861">
        <f t="shared" si="1115"/>
        <v>15.137799999999999</v>
      </c>
      <c r="BA177" s="2861">
        <f t="shared" si="1115"/>
        <v>23934.946070000002</v>
      </c>
      <c r="BB177" s="2861">
        <f t="shared" si="1115"/>
        <v>23890.982</v>
      </c>
      <c r="BC177" s="2861">
        <f t="shared" si="1115"/>
        <v>43.96407</v>
      </c>
      <c r="BD177" s="2961">
        <f>SUM(BD151+BD152+BD153+BD154+BD155+BD156+BD157+BD159+BD164+BD168+BD175+BD176)</f>
        <v>75611.762990757648</v>
      </c>
      <c r="BE177" s="2961">
        <f t="shared" ref="BE177:BI177" si="1116">SUM(BE151+BE152+BE153+BE154+BE155+BE156+BE157+BE159+BE164+BE168+BE175+BE176)</f>
        <v>75405.553276819541</v>
      </c>
      <c r="BF177" s="2961">
        <f t="shared" si="1116"/>
        <v>206.20971393812752</v>
      </c>
      <c r="BG177" s="2962">
        <f t="shared" si="1116"/>
        <v>68576.154039999994</v>
      </c>
      <c r="BH177" s="2962">
        <f t="shared" si="1116"/>
        <v>68444.166189999989</v>
      </c>
      <c r="BI177" s="2962">
        <f t="shared" si="1116"/>
        <v>131.98784999999998</v>
      </c>
      <c r="BJ177" s="2840">
        <f t="shared" si="1065"/>
        <v>-7035.6089507576544</v>
      </c>
      <c r="BK177" s="2840">
        <f t="shared" si="1065"/>
        <v>-6961.3870868195518</v>
      </c>
      <c r="BL177" s="2840">
        <f t="shared" si="1065"/>
        <v>-74.221863938127541</v>
      </c>
      <c r="BM177" s="2959">
        <f>SUM(BM151+BM152+BM153+BM154+BM155+BM156+BM157+BM159+BM164+BM168+BM175+BM176)</f>
        <v>25258.941652080895</v>
      </c>
      <c r="BN177" s="2959">
        <f t="shared" ref="BN177:CA177" si="1117">SUM(BN151+BN152+BN153+BN154+BN155+BN156+BN157+BN159+BN164+BN168+BN175+BN176)</f>
        <v>25189.707091281998</v>
      </c>
      <c r="BO177" s="2959">
        <f t="shared" si="1117"/>
        <v>69.234560798899309</v>
      </c>
      <c r="BP177" s="2861">
        <f t="shared" si="1117"/>
        <v>7112.7985799999997</v>
      </c>
      <c r="BQ177" s="2861">
        <f t="shared" si="1117"/>
        <v>7096.9636699999992</v>
      </c>
      <c r="BR177" s="2861">
        <f t="shared" si="1117"/>
        <v>15.834909999999999</v>
      </c>
      <c r="BS177" s="2861">
        <f t="shared" si="1117"/>
        <v>7294.1870200000012</v>
      </c>
      <c r="BT177" s="2861">
        <f t="shared" si="1117"/>
        <v>7280.5350000000008</v>
      </c>
      <c r="BU177" s="2861">
        <f t="shared" si="1117"/>
        <v>13.65202</v>
      </c>
      <c r="BV177" s="2861">
        <f t="shared" si="1117"/>
        <v>9428.1976400000003</v>
      </c>
      <c r="BW177" s="2861">
        <f t="shared" si="1117"/>
        <v>9402.0210000000006</v>
      </c>
      <c r="BX177" s="2861">
        <f t="shared" si="1117"/>
        <v>26.176640000000003</v>
      </c>
      <c r="BY177" s="2861">
        <f t="shared" si="1117"/>
        <v>23835.183239999995</v>
      </c>
      <c r="BZ177" s="2861">
        <f t="shared" si="1117"/>
        <v>23779.519669999998</v>
      </c>
      <c r="CA177" s="2861">
        <f t="shared" si="1117"/>
        <v>55.66357</v>
      </c>
      <c r="CB177" s="2961">
        <f>SUM(CB151+CB152+CB153+CB154+CB155+CB156+CB157+CB159+CB164+CB168+CB175+CB176)</f>
        <v>100870.70467159999</v>
      </c>
      <c r="CC177" s="2961">
        <f t="shared" ref="CC177:CG177" si="1118">SUM(CC151+CC152+CC153+CC154+CC155+CC156+CC157+CC159+CC164+CC168+CC175+CC176)</f>
        <v>100595.26039686297</v>
      </c>
      <c r="CD177" s="2961">
        <f t="shared" si="1118"/>
        <v>275.44427473702683</v>
      </c>
      <c r="CE177" s="2962">
        <f t="shared" si="1118"/>
        <v>92411.337279999992</v>
      </c>
      <c r="CF177" s="2962">
        <f t="shared" si="1118"/>
        <v>92223.685859999983</v>
      </c>
      <c r="CG177" s="2962">
        <f t="shared" si="1118"/>
        <v>187.65141999999997</v>
      </c>
      <c r="CH177" s="2840">
        <f t="shared" si="1067"/>
        <v>-8459.3673915999971</v>
      </c>
      <c r="CI177" s="2840">
        <f t="shared" si="1067"/>
        <v>-8371.5745368629869</v>
      </c>
      <c r="CJ177" s="2840">
        <f t="shared" si="1067"/>
        <v>-87.792854737026857</v>
      </c>
    </row>
    <row r="178" spans="1:90" ht="18.75" customHeight="1" x14ac:dyDescent="0.3">
      <c r="A178" s="2935" t="s">
        <v>13</v>
      </c>
      <c r="B178" s="2959">
        <f>SUM(B143)</f>
        <v>711.10124999999994</v>
      </c>
      <c r="C178" s="2959">
        <f t="shared" ref="C178:BN178" si="1119">SUM(C143)</f>
        <v>706.68449999999996</v>
      </c>
      <c r="D178" s="2959">
        <f t="shared" si="1119"/>
        <v>4.4167500000000004</v>
      </c>
      <c r="E178" s="2861">
        <f t="shared" si="1119"/>
        <v>261.28100000000001</v>
      </c>
      <c r="F178" s="2861">
        <f t="shared" si="1119"/>
        <v>261.07100000000003</v>
      </c>
      <c r="G178" s="2861">
        <f t="shared" si="1119"/>
        <v>0.21</v>
      </c>
      <c r="H178" s="2861">
        <f t="shared" si="1119"/>
        <v>264.26599999999996</v>
      </c>
      <c r="I178" s="2861">
        <f t="shared" si="1119"/>
        <v>264.02999999999997</v>
      </c>
      <c r="J178" s="2861">
        <f t="shared" si="1119"/>
        <v>0.23599999999999999</v>
      </c>
      <c r="K178" s="2861">
        <f t="shared" si="1119"/>
        <v>261.25650000000002</v>
      </c>
      <c r="L178" s="2861">
        <f t="shared" si="1119"/>
        <v>258.37</v>
      </c>
      <c r="M178" s="2861">
        <f t="shared" si="1119"/>
        <v>2.8864999999999998</v>
      </c>
      <c r="N178" s="2861">
        <f t="shared" si="1119"/>
        <v>786.80349999999999</v>
      </c>
      <c r="O178" s="2861">
        <f t="shared" si="1119"/>
        <v>783.471</v>
      </c>
      <c r="P178" s="2861">
        <f t="shared" si="1119"/>
        <v>3.3324999999999996</v>
      </c>
      <c r="Q178" s="2959">
        <f t="shared" si="1119"/>
        <v>711.10124999999994</v>
      </c>
      <c r="R178" s="2959">
        <f t="shared" si="1119"/>
        <v>706.68449999999996</v>
      </c>
      <c r="S178" s="2959">
        <f t="shared" si="1119"/>
        <v>4.4167500000000004</v>
      </c>
      <c r="T178" s="2861">
        <f t="shared" si="1119"/>
        <v>271.30174999999997</v>
      </c>
      <c r="U178" s="2861">
        <f t="shared" si="1119"/>
        <v>270.56799999999998</v>
      </c>
      <c r="V178" s="2861">
        <f t="shared" si="1119"/>
        <v>0.73375000000000001</v>
      </c>
      <c r="W178" s="2861">
        <f t="shared" si="1119"/>
        <v>260.84950000000003</v>
      </c>
      <c r="X178" s="2861">
        <f t="shared" si="1119"/>
        <v>260.58100000000002</v>
      </c>
      <c r="Y178" s="2861">
        <f t="shared" si="1119"/>
        <v>0.26850000000000002</v>
      </c>
      <c r="Z178" s="2861">
        <f t="shared" si="1119"/>
        <v>266.214</v>
      </c>
      <c r="AA178" s="2861">
        <f t="shared" si="1119"/>
        <v>263.11700000000002</v>
      </c>
      <c r="AB178" s="2861">
        <f t="shared" si="1119"/>
        <v>3.097</v>
      </c>
      <c r="AC178" s="2861">
        <f t="shared" si="1119"/>
        <v>798.36525000000006</v>
      </c>
      <c r="AD178" s="2861">
        <f t="shared" si="1119"/>
        <v>794.26600000000008</v>
      </c>
      <c r="AE178" s="2861">
        <f t="shared" si="1119"/>
        <v>4.0992499999999996</v>
      </c>
      <c r="AF178" s="2961">
        <f t="shared" si="1119"/>
        <v>1422.2024999999999</v>
      </c>
      <c r="AG178" s="2961">
        <f t="shared" si="1119"/>
        <v>1413.3689999999999</v>
      </c>
      <c r="AH178" s="2961">
        <f t="shared" si="1119"/>
        <v>8.8335000000000008</v>
      </c>
      <c r="AI178" s="2962">
        <f t="shared" si="1119"/>
        <v>1585.16875</v>
      </c>
      <c r="AJ178" s="2962">
        <f t="shared" si="1119"/>
        <v>1577.7370000000001</v>
      </c>
      <c r="AK178" s="2962">
        <f t="shared" si="1119"/>
        <v>7.4317499999999992</v>
      </c>
      <c r="AL178" s="2840">
        <f t="shared" si="1069"/>
        <v>162.96625000000017</v>
      </c>
      <c r="AM178" s="2840">
        <f t="shared" si="1108"/>
        <v>164.36800000000017</v>
      </c>
      <c r="AN178" s="2840">
        <f t="shared" si="1108"/>
        <v>-1.4017500000000016</v>
      </c>
      <c r="AO178" s="2959">
        <f t="shared" si="1119"/>
        <v>711.10124999999994</v>
      </c>
      <c r="AP178" s="2959">
        <f t="shared" si="1119"/>
        <v>706.68449999999996</v>
      </c>
      <c r="AQ178" s="2959">
        <f t="shared" si="1119"/>
        <v>4.4167500000000004</v>
      </c>
      <c r="AR178" s="2861">
        <f t="shared" si="1119"/>
        <v>238.05900000000003</v>
      </c>
      <c r="AS178" s="2861">
        <f t="shared" si="1119"/>
        <v>237.59300000000002</v>
      </c>
      <c r="AT178" s="2861">
        <f t="shared" si="1119"/>
        <v>0.46600000000000003</v>
      </c>
      <c r="AU178" s="2861">
        <f t="shared" si="1119"/>
        <v>251.54199999999997</v>
      </c>
      <c r="AV178" s="2861">
        <f t="shared" si="1119"/>
        <v>250.72699999999998</v>
      </c>
      <c r="AW178" s="2861">
        <f t="shared" si="1119"/>
        <v>0.81499999999999995</v>
      </c>
      <c r="AX178" s="2861">
        <f t="shared" si="1119"/>
        <v>252.58899999999997</v>
      </c>
      <c r="AY178" s="2861">
        <f t="shared" si="1119"/>
        <v>249.69299999999998</v>
      </c>
      <c r="AZ178" s="2861">
        <f t="shared" si="1119"/>
        <v>2.8959999999999999</v>
      </c>
      <c r="BA178" s="2861">
        <f t="shared" si="1119"/>
        <v>742.18999999999994</v>
      </c>
      <c r="BB178" s="2861">
        <f t="shared" si="1119"/>
        <v>738.01299999999992</v>
      </c>
      <c r="BC178" s="2861">
        <f t="shared" si="1119"/>
        <v>4.1769999999999996</v>
      </c>
      <c r="BD178" s="2961">
        <f t="shared" si="1119"/>
        <v>2133.30375</v>
      </c>
      <c r="BE178" s="2961">
        <f t="shared" si="1119"/>
        <v>2120.0535</v>
      </c>
      <c r="BF178" s="2961">
        <f t="shared" si="1119"/>
        <v>13.250250000000001</v>
      </c>
      <c r="BG178" s="2962">
        <f t="shared" si="1119"/>
        <v>2327.3587499999999</v>
      </c>
      <c r="BH178" s="2962">
        <f t="shared" si="1119"/>
        <v>2315.75</v>
      </c>
      <c r="BI178" s="2962">
        <f t="shared" si="1119"/>
        <v>11.608749999999999</v>
      </c>
      <c r="BJ178" s="2840">
        <f t="shared" si="1065"/>
        <v>194.05499999999984</v>
      </c>
      <c r="BK178" s="2840">
        <f t="shared" si="1065"/>
        <v>195.69650000000001</v>
      </c>
      <c r="BL178" s="2840">
        <f t="shared" si="1065"/>
        <v>-1.6415000000000024</v>
      </c>
      <c r="BM178" s="2959">
        <f t="shared" si="1119"/>
        <v>711.10124999999994</v>
      </c>
      <c r="BN178" s="2959">
        <f t="shared" si="1119"/>
        <v>706.68449999999996</v>
      </c>
      <c r="BO178" s="2959">
        <f t="shared" ref="BO178:CG178" si="1120">SUM(BO143)</f>
        <v>4.4167500000000004</v>
      </c>
      <c r="BP178" s="2861">
        <f t="shared" si="1120"/>
        <v>256.726</v>
      </c>
      <c r="BQ178" s="2861">
        <f t="shared" si="1120"/>
        <v>255.59700000000001</v>
      </c>
      <c r="BR178" s="2861">
        <f t="shared" si="1120"/>
        <v>1.129</v>
      </c>
      <c r="BS178" s="2861">
        <f t="shared" si="1120"/>
        <v>250.44099999999997</v>
      </c>
      <c r="BT178" s="2861">
        <f t="shared" si="1120"/>
        <v>250.14499999999998</v>
      </c>
      <c r="BU178" s="2861">
        <f t="shared" si="1120"/>
        <v>0.29599999999999999</v>
      </c>
      <c r="BV178" s="2861">
        <f t="shared" si="1120"/>
        <v>269.55400000000003</v>
      </c>
      <c r="BW178" s="2861">
        <f t="shared" si="1120"/>
        <v>266.37</v>
      </c>
      <c r="BX178" s="2861">
        <f t="shared" si="1120"/>
        <v>3.1840000000000002</v>
      </c>
      <c r="BY178" s="2861">
        <f t="shared" si="1120"/>
        <v>776.721</v>
      </c>
      <c r="BZ178" s="2861">
        <f t="shared" si="1120"/>
        <v>772.11199999999997</v>
      </c>
      <c r="CA178" s="2861">
        <f t="shared" si="1120"/>
        <v>4.609</v>
      </c>
      <c r="CB178" s="2961">
        <f t="shared" si="1120"/>
        <v>2844.4049999999997</v>
      </c>
      <c r="CC178" s="2961">
        <f t="shared" si="1120"/>
        <v>2826.7379999999998</v>
      </c>
      <c r="CD178" s="2961">
        <f t="shared" si="1120"/>
        <v>17.667000000000002</v>
      </c>
      <c r="CE178" s="2962">
        <f t="shared" si="1120"/>
        <v>3104.0797499999999</v>
      </c>
      <c r="CF178" s="2962">
        <f t="shared" si="1120"/>
        <v>3087.8620000000001</v>
      </c>
      <c r="CG178" s="2962">
        <f t="shared" si="1120"/>
        <v>16.217749999999999</v>
      </c>
      <c r="CH178" s="2840">
        <f t="shared" si="1067"/>
        <v>259.67475000000013</v>
      </c>
      <c r="CI178" s="2840">
        <f t="shared" si="1067"/>
        <v>261.12400000000025</v>
      </c>
      <c r="CJ178" s="2840">
        <f t="shared" si="1067"/>
        <v>-1.4492500000000028</v>
      </c>
    </row>
    <row r="179" spans="1:90" ht="18.75" customHeight="1" x14ac:dyDescent="0.3">
      <c r="A179" s="2935" t="s">
        <v>14</v>
      </c>
      <c r="B179" s="2959">
        <f>SUM(B177/B178)</f>
        <v>35.404818469013215</v>
      </c>
      <c r="C179" s="2959">
        <f t="shared" ref="C179:BN179" si="1121">SUM(C177/C178)</f>
        <v>35.529183239152367</v>
      </c>
      <c r="D179" s="2959">
        <f t="shared" si="1121"/>
        <v>15.506328537864743</v>
      </c>
      <c r="E179" s="2861">
        <f t="shared" si="1121"/>
        <v>26.16734393239463</v>
      </c>
      <c r="F179" s="2861">
        <f t="shared" si="1121"/>
        <v>26.150336460196648</v>
      </c>
      <c r="G179" s="2861">
        <f t="shared" si="1121"/>
        <v>47.310952380952379</v>
      </c>
      <c r="H179" s="2861">
        <f t="shared" si="1121"/>
        <v>26.340503734873199</v>
      </c>
      <c r="I179" s="2861">
        <f t="shared" si="1121"/>
        <v>26.316900730977544</v>
      </c>
      <c r="J179" s="2861">
        <f t="shared" si="1121"/>
        <v>52.746864406779672</v>
      </c>
      <c r="K179" s="2861">
        <f t="shared" si="1121"/>
        <v>30.192332707511586</v>
      </c>
      <c r="L179" s="2861">
        <f t="shared" si="1121"/>
        <v>30.446365290087861</v>
      </c>
      <c r="M179" s="2861">
        <f t="shared" si="1121"/>
        <v>7.4539303654945437</v>
      </c>
      <c r="N179" s="2861">
        <f t="shared" si="1121"/>
        <v>27.561992949955108</v>
      </c>
      <c r="O179" s="2861">
        <f t="shared" si="1121"/>
        <v>27.623196251041843</v>
      </c>
      <c r="P179" s="2861">
        <f t="shared" si="1121"/>
        <v>13.173092273068269</v>
      </c>
      <c r="Q179" s="2959">
        <f t="shared" si="1121"/>
        <v>35.404818469013215</v>
      </c>
      <c r="R179" s="2959">
        <f t="shared" si="1121"/>
        <v>35.529183239152367</v>
      </c>
      <c r="S179" s="2959">
        <f t="shared" si="1121"/>
        <v>15.506328537864743</v>
      </c>
      <c r="T179" s="2861">
        <f t="shared" si="1121"/>
        <v>28.509868366127392</v>
      </c>
      <c r="U179" s="2861">
        <f t="shared" si="1121"/>
        <v>28.524651843529167</v>
      </c>
      <c r="V179" s="2861">
        <f t="shared" si="1121"/>
        <v>23.058507666098809</v>
      </c>
      <c r="W179" s="2861">
        <f t="shared" si="1121"/>
        <v>31.441221738972086</v>
      </c>
      <c r="X179" s="2861">
        <f t="shared" si="1121"/>
        <v>31.415114686028531</v>
      </c>
      <c r="Y179" s="2861">
        <f t="shared" si="1121"/>
        <v>56.77828677839851</v>
      </c>
      <c r="Z179" s="2861">
        <f t="shared" si="1121"/>
        <v>26.366499507914686</v>
      </c>
      <c r="AA179" s="2861">
        <f t="shared" si="1121"/>
        <v>26.631388317744577</v>
      </c>
      <c r="AB179" s="2861">
        <f t="shared" si="1121"/>
        <v>3.8618986115595737</v>
      </c>
      <c r="AC179" s="2861">
        <f t="shared" si="1121"/>
        <v>28.752924115873029</v>
      </c>
      <c r="AD179" s="2861">
        <f t="shared" si="1121"/>
        <v>28.845765776200921</v>
      </c>
      <c r="AE179" s="2861">
        <f t="shared" si="1121"/>
        <v>10.764030005488811</v>
      </c>
      <c r="AF179" s="2961">
        <f t="shared" si="1121"/>
        <v>35.404818469013215</v>
      </c>
      <c r="AG179" s="2961">
        <f t="shared" si="1121"/>
        <v>35.529183239152367</v>
      </c>
      <c r="AH179" s="2961">
        <f t="shared" si="1121"/>
        <v>15.506328537864743</v>
      </c>
      <c r="AI179" s="2962">
        <f t="shared" si="1121"/>
        <v>28.161801681997581</v>
      </c>
      <c r="AJ179" s="2962">
        <f t="shared" si="1121"/>
        <v>28.238663471795363</v>
      </c>
      <c r="AK179" s="2962">
        <f t="shared" si="1121"/>
        <v>11.844287011807447</v>
      </c>
      <c r="AL179" s="2840">
        <f t="shared" si="1069"/>
        <v>-7.2430167870156339</v>
      </c>
      <c r="AM179" s="2840">
        <f t="shared" si="1108"/>
        <v>-7.2905197673570044</v>
      </c>
      <c r="AN179" s="2840">
        <f t="shared" si="1108"/>
        <v>-3.6620415260572958</v>
      </c>
      <c r="AO179" s="2959">
        <f t="shared" si="1121"/>
        <v>35.520879272931808</v>
      </c>
      <c r="AP179" s="2959">
        <f t="shared" si="1121"/>
        <v>35.644912391996712</v>
      </c>
      <c r="AQ179" s="2959">
        <f t="shared" si="1121"/>
        <v>15.675453851564907</v>
      </c>
      <c r="AR179" s="2861">
        <f t="shared" si="1121"/>
        <v>32.155315993094142</v>
      </c>
      <c r="AS179" s="2861">
        <f t="shared" si="1121"/>
        <v>32.16158304327147</v>
      </c>
      <c r="AT179" s="2861">
        <f t="shared" si="1121"/>
        <v>28.960021459227466</v>
      </c>
      <c r="AU179" s="2861">
        <f t="shared" si="1121"/>
        <v>32.18442606006154</v>
      </c>
      <c r="AV179" s="2861">
        <f t="shared" si="1121"/>
        <v>32.227897274725102</v>
      </c>
      <c r="AW179" s="2861">
        <f t="shared" si="1121"/>
        <v>18.810920245398773</v>
      </c>
      <c r="AX179" s="2861">
        <f t="shared" si="1121"/>
        <v>32.401841727074419</v>
      </c>
      <c r="AY179" s="2861">
        <f t="shared" si="1121"/>
        <v>32.717020501175448</v>
      </c>
      <c r="AZ179" s="2861">
        <f t="shared" si="1121"/>
        <v>5.2271408839779001</v>
      </c>
      <c r="BA179" s="2861">
        <f t="shared" si="1121"/>
        <v>32.24908186582951</v>
      </c>
      <c r="BB179" s="2861">
        <f t="shared" si="1121"/>
        <v>32.372034096960355</v>
      </c>
      <c r="BC179" s="2861">
        <f t="shared" si="1121"/>
        <v>10.525274120181949</v>
      </c>
      <c r="BD179" s="2961">
        <f t="shared" si="1121"/>
        <v>35.443505403652736</v>
      </c>
      <c r="BE179" s="2961">
        <f t="shared" si="1121"/>
        <v>35.567759623433815</v>
      </c>
      <c r="BF179" s="2961">
        <f t="shared" si="1121"/>
        <v>15.562703642431464</v>
      </c>
      <c r="BG179" s="2962">
        <f t="shared" si="1121"/>
        <v>29.465227069097104</v>
      </c>
      <c r="BH179" s="2962">
        <f t="shared" si="1121"/>
        <v>29.555939194645358</v>
      </c>
      <c r="BI179" s="2962">
        <f t="shared" si="1121"/>
        <v>11.369686658770323</v>
      </c>
      <c r="BJ179" s="2840">
        <f t="shared" si="1065"/>
        <v>-5.9782783345556325</v>
      </c>
      <c r="BK179" s="2840">
        <f t="shared" si="1065"/>
        <v>-6.0118204287884573</v>
      </c>
      <c r="BL179" s="2840">
        <f t="shared" si="1065"/>
        <v>-4.1930169836611402</v>
      </c>
      <c r="BM179" s="2959">
        <f t="shared" si="1121"/>
        <v>35.520879272931808</v>
      </c>
      <c r="BN179" s="2959">
        <f t="shared" si="1121"/>
        <v>35.644912391996712</v>
      </c>
      <c r="BO179" s="2959">
        <f t="shared" ref="BO179:CG179" si="1122">SUM(BO177/BO178)</f>
        <v>15.675453851564907</v>
      </c>
      <c r="BP179" s="2861">
        <f t="shared" si="1122"/>
        <v>27.705797542905664</v>
      </c>
      <c r="BQ179" s="2861">
        <f t="shared" si="1122"/>
        <v>27.766224447078795</v>
      </c>
      <c r="BR179" s="2861">
        <f t="shared" si="1122"/>
        <v>14.025606731620902</v>
      </c>
      <c r="BS179" s="2861">
        <f t="shared" si="1122"/>
        <v>29.125370925687097</v>
      </c>
      <c r="BT179" s="2861">
        <f t="shared" si="1122"/>
        <v>29.105258949809116</v>
      </c>
      <c r="BU179" s="2861">
        <f t="shared" si="1122"/>
        <v>46.12168918918919</v>
      </c>
      <c r="BV179" s="2861">
        <f t="shared" si="1122"/>
        <v>34.977027385978317</v>
      </c>
      <c r="BW179" s="2861">
        <f t="shared" si="1122"/>
        <v>35.296846491722043</v>
      </c>
      <c r="BX179" s="2861">
        <f t="shared" si="1122"/>
        <v>8.2213065326633163</v>
      </c>
      <c r="BY179" s="2861">
        <f t="shared" si="1122"/>
        <v>30.686930364957295</v>
      </c>
      <c r="BZ179" s="2861">
        <f t="shared" si="1122"/>
        <v>30.798018512858238</v>
      </c>
      <c r="CA179" s="2861">
        <f t="shared" si="1122"/>
        <v>12.077146886526361</v>
      </c>
      <c r="CB179" s="2961">
        <f t="shared" si="1122"/>
        <v>35.462848881084092</v>
      </c>
      <c r="CC179" s="2961">
        <f t="shared" si="1122"/>
        <v>35.587047825749316</v>
      </c>
      <c r="CD179" s="2961">
        <f t="shared" si="1122"/>
        <v>15.590891194714825</v>
      </c>
      <c r="CE179" s="2962">
        <f t="shared" si="1122"/>
        <v>29.770928817147819</v>
      </c>
      <c r="CF179" s="2962">
        <f t="shared" si="1122"/>
        <v>29.866517953198681</v>
      </c>
      <c r="CG179" s="2962">
        <f t="shared" si="1122"/>
        <v>11.570743167208768</v>
      </c>
      <c r="CH179" s="2840">
        <f t="shared" si="1067"/>
        <v>-5.6919200639362728</v>
      </c>
      <c r="CI179" s="2840">
        <f t="shared" si="1067"/>
        <v>-5.7205298725506353</v>
      </c>
      <c r="CJ179" s="2840">
        <f t="shared" si="1067"/>
        <v>-4.0201480275060568</v>
      </c>
    </row>
    <row r="180" spans="1:90" ht="18.75" customHeight="1" x14ac:dyDescent="0.3">
      <c r="A180" s="2910" t="s">
        <v>3801</v>
      </c>
      <c r="B180" s="4652">
        <f>SUM(B182:B183)</f>
        <v>0</v>
      </c>
      <c r="C180" s="4653"/>
      <c r="D180" s="4654"/>
      <c r="E180" s="4587">
        <f>SUM(E182:E183)</f>
        <v>54.671999999999997</v>
      </c>
      <c r="F180" s="4588"/>
      <c r="G180" s="4589"/>
      <c r="H180" s="4587">
        <f t="shared" ref="H180" si="1123">SUM(H182:H183)</f>
        <v>20.216000000000001</v>
      </c>
      <c r="I180" s="4588"/>
      <c r="J180" s="4589"/>
      <c r="K180" s="4587">
        <f t="shared" ref="K180" si="1124">SUM(K182:K183)</f>
        <v>141.05600000000001</v>
      </c>
      <c r="L180" s="4588"/>
      <c r="M180" s="4589"/>
      <c r="N180" s="4587">
        <f t="shared" ref="N180" si="1125">SUM(N182:N183)</f>
        <v>215.94400000000002</v>
      </c>
      <c r="O180" s="4588"/>
      <c r="P180" s="4589"/>
      <c r="Q180" s="4652">
        <f>SUM(Q182:Q183)</f>
        <v>0</v>
      </c>
      <c r="R180" s="4653"/>
      <c r="S180" s="4654"/>
      <c r="T180" s="4587">
        <f>SUM(T182:T183)</f>
        <v>96.397999999999996</v>
      </c>
      <c r="U180" s="4588"/>
      <c r="V180" s="4589"/>
      <c r="W180" s="4587">
        <f t="shared" ref="W180" si="1126">SUM(W182:W183)</f>
        <v>15.17605</v>
      </c>
      <c r="X180" s="4588"/>
      <c r="Y180" s="4589"/>
      <c r="Z180" s="4587">
        <f t="shared" ref="Z180" si="1127">SUM(Z182:Z183)</f>
        <v>288.05700000000002</v>
      </c>
      <c r="AA180" s="4588"/>
      <c r="AB180" s="4589"/>
      <c r="AC180" s="4587">
        <f t="shared" ref="AC180" si="1128">SUM(AC182:AC183)</f>
        <v>399.63105000000002</v>
      </c>
      <c r="AD180" s="4588"/>
      <c r="AE180" s="4589"/>
      <c r="AF180" s="4649">
        <f>SUM(B180+Q180)</f>
        <v>0</v>
      </c>
      <c r="AG180" s="4650"/>
      <c r="AH180" s="4651"/>
      <c r="AI180" s="4606">
        <f>SUM(N180+AC180)</f>
        <v>615.57505000000003</v>
      </c>
      <c r="AJ180" s="4607"/>
      <c r="AK180" s="4608"/>
      <c r="AL180" s="4606">
        <f>SUM(AI180-AF180)</f>
        <v>615.57505000000003</v>
      </c>
      <c r="AM180" s="4607"/>
      <c r="AN180" s="4608"/>
      <c r="AO180" s="4652">
        <f>SUM(AO182:AO183)</f>
        <v>0</v>
      </c>
      <c r="AP180" s="4653"/>
      <c r="AQ180" s="4654"/>
      <c r="AR180" s="4587">
        <f>SUM(AR182:AR183)</f>
        <v>40.698999999999998</v>
      </c>
      <c r="AS180" s="4588"/>
      <c r="AT180" s="4589"/>
      <c r="AU180" s="4587">
        <f t="shared" ref="AU180" si="1129">SUM(AU182:AU183)</f>
        <v>52.005000000000003</v>
      </c>
      <c r="AV180" s="4588"/>
      <c r="AW180" s="4589"/>
      <c r="AX180" s="4587">
        <f t="shared" ref="AX180" si="1130">SUM(AX182:AX183)</f>
        <v>95.435000000000002</v>
      </c>
      <c r="AY180" s="4588"/>
      <c r="AZ180" s="4589"/>
      <c r="BA180" s="4587">
        <f t="shared" ref="BA180" si="1131">SUM(BA182:BA183)</f>
        <v>188.13899999999998</v>
      </c>
      <c r="BB180" s="4588"/>
      <c r="BC180" s="4589"/>
      <c r="BD180" s="4649">
        <f t="shared" ref="BD180" si="1132">SUM(AF180+AO180)</f>
        <v>0</v>
      </c>
      <c r="BE180" s="4650"/>
      <c r="BF180" s="4651"/>
      <c r="BG180" s="4606">
        <f>SUM(BA180+AI180)</f>
        <v>803.71405000000004</v>
      </c>
      <c r="BH180" s="4607"/>
      <c r="BI180" s="4608"/>
      <c r="BJ180" s="4606">
        <f>SUM(BG180-BD180)</f>
        <v>803.71405000000004</v>
      </c>
      <c r="BK180" s="4607"/>
      <c r="BL180" s="4608"/>
      <c r="BM180" s="4652">
        <f>SUM(BM182:BM183)</f>
        <v>0</v>
      </c>
      <c r="BN180" s="4653"/>
      <c r="BO180" s="4654"/>
      <c r="BP180" s="4587">
        <f>SUM(BP182:BP183)</f>
        <v>41.283000000000001</v>
      </c>
      <c r="BQ180" s="4588"/>
      <c r="BR180" s="4589"/>
      <c r="BS180" s="4587">
        <f t="shared" ref="BS180" si="1133">SUM(BS182:BS183)</f>
        <v>45.774000000000001</v>
      </c>
      <c r="BT180" s="4588"/>
      <c r="BU180" s="4589"/>
      <c r="BV180" s="4587">
        <f t="shared" ref="BV180" si="1134">SUM(BV182:BV183)</f>
        <v>53.633000000000003</v>
      </c>
      <c r="BW180" s="4588"/>
      <c r="BX180" s="4589"/>
      <c r="BY180" s="4587">
        <f t="shared" ref="BY180" si="1135">SUM(BY182:BY183)</f>
        <v>140.69</v>
      </c>
      <c r="BZ180" s="4588"/>
      <c r="CA180" s="4589"/>
      <c r="CB180" s="4649">
        <f t="shared" ref="CB180:CB184" si="1136">SUM(BM180+BD180)</f>
        <v>0</v>
      </c>
      <c r="CC180" s="4650"/>
      <c r="CD180" s="4651"/>
      <c r="CE180" s="4606">
        <f>SUM(BY180+BG180)</f>
        <v>944.4040500000001</v>
      </c>
      <c r="CF180" s="4607"/>
      <c r="CG180" s="4608"/>
      <c r="CH180" s="4606">
        <f>SUM(CE180-CB180)</f>
        <v>944.4040500000001</v>
      </c>
      <c r="CI180" s="4607"/>
      <c r="CJ180" s="4608"/>
    </row>
    <row r="181" spans="1:90" ht="36" customHeight="1" x14ac:dyDescent="0.2">
      <c r="A181" s="2903" t="s">
        <v>3802</v>
      </c>
      <c r="B181" s="4603">
        <f>SUM(B128)</f>
        <v>834.02499999999998</v>
      </c>
      <c r="C181" s="4604"/>
      <c r="D181" s="4605"/>
      <c r="E181" s="4603">
        <f t="shared" ref="E181:E183" si="1137">SUM(E128)</f>
        <v>287.74799999999999</v>
      </c>
      <c r="F181" s="4604"/>
      <c r="G181" s="4605"/>
      <c r="H181" s="4603">
        <f t="shared" ref="H181:H183" si="1138">SUM(H128)</f>
        <v>219.928</v>
      </c>
      <c r="I181" s="4604"/>
      <c r="J181" s="4605"/>
      <c r="K181" s="4603">
        <f t="shared" ref="K181:K183" si="1139">SUM(K128)</f>
        <v>322.19299999999998</v>
      </c>
      <c r="L181" s="4604"/>
      <c r="M181" s="4605"/>
      <c r="N181" s="4592">
        <f>SUM(E181+H181+K181)</f>
        <v>829.86899999999991</v>
      </c>
      <c r="O181" s="4593"/>
      <c r="P181" s="4594"/>
      <c r="Q181" s="4603">
        <f t="shared" ref="Q181:Q183" si="1140">SUM(Q128)</f>
        <v>834.02499999999998</v>
      </c>
      <c r="R181" s="4604"/>
      <c r="S181" s="4605"/>
      <c r="T181" s="4603">
        <f t="shared" ref="T181:T183" si="1141">SUM(T128)</f>
        <v>205.56299999999999</v>
      </c>
      <c r="U181" s="4604"/>
      <c r="V181" s="4605"/>
      <c r="W181" s="4603">
        <f t="shared" ref="W181:W183" si="1142">SUM(W128)</f>
        <v>577.35970999999995</v>
      </c>
      <c r="X181" s="4604"/>
      <c r="Y181" s="4605"/>
      <c r="Z181" s="4603">
        <f t="shared" ref="Z181:Z183" si="1143">SUM(Z128)</f>
        <v>643.68100000000004</v>
      </c>
      <c r="AA181" s="4604"/>
      <c r="AB181" s="4605"/>
      <c r="AC181" s="4592">
        <f>SUM(T181+W181+Z181)</f>
        <v>1426.6037099999999</v>
      </c>
      <c r="AD181" s="4593"/>
      <c r="AE181" s="4594"/>
      <c r="AF181" s="4655">
        <f>SUM(B181+Q181)</f>
        <v>1668.05</v>
      </c>
      <c r="AG181" s="4656"/>
      <c r="AH181" s="4657"/>
      <c r="AI181" s="4598">
        <f t="shared" ref="AI181:AI184" si="1144">SUM(N181+AC181)</f>
        <v>2256.47271</v>
      </c>
      <c r="AJ181" s="4599"/>
      <c r="AK181" s="4600"/>
      <c r="AL181" s="4598">
        <f t="shared" ref="AL181:AL184" si="1145">SUM(AI181-AF181)</f>
        <v>588.42271000000005</v>
      </c>
      <c r="AM181" s="4599"/>
      <c r="AN181" s="4600"/>
      <c r="AO181" s="4603">
        <f t="shared" ref="AO181:AO183" si="1146">SUM(AO128)</f>
        <v>834.02499999999998</v>
      </c>
      <c r="AP181" s="4604"/>
      <c r="AQ181" s="4605"/>
      <c r="AR181" s="4603">
        <f t="shared" ref="AR181:AR183" si="1147">SUM(AR128)</f>
        <v>492.99299999999999</v>
      </c>
      <c r="AS181" s="4604"/>
      <c r="AT181" s="4605"/>
      <c r="AU181" s="4603">
        <f t="shared" ref="AU181:AU183" si="1148">SUM(AU128)</f>
        <v>601.50099999999998</v>
      </c>
      <c r="AV181" s="4604"/>
      <c r="AW181" s="4605"/>
      <c r="AX181" s="4603">
        <f t="shared" ref="AX181:AX183" si="1149">SUM(AX128)</f>
        <v>558.94947000000002</v>
      </c>
      <c r="AY181" s="4604"/>
      <c r="AZ181" s="4605"/>
      <c r="BA181" s="4592">
        <f>SUM(AR181+AU181+AX181)</f>
        <v>1653.4434699999999</v>
      </c>
      <c r="BB181" s="4593"/>
      <c r="BC181" s="4594"/>
      <c r="BD181" s="4655">
        <f>SUM(AF181+AO181)</f>
        <v>2502.0749999999998</v>
      </c>
      <c r="BE181" s="4656"/>
      <c r="BF181" s="4657"/>
      <c r="BG181" s="4598">
        <f t="shared" ref="BG181:BG184" si="1150">SUM(BA181+AI181)</f>
        <v>3909.9161800000002</v>
      </c>
      <c r="BH181" s="4599"/>
      <c r="BI181" s="4600"/>
      <c r="BJ181" s="4598">
        <f>SUM(BG181-BD181)</f>
        <v>1407.8411800000003</v>
      </c>
      <c r="BK181" s="4599"/>
      <c r="BL181" s="4600"/>
      <c r="BM181" s="4603">
        <f t="shared" ref="BM181:BM183" si="1151">SUM(BM128)</f>
        <v>834.02499999999998</v>
      </c>
      <c r="BN181" s="4604"/>
      <c r="BO181" s="4605"/>
      <c r="BP181" s="4603">
        <f t="shared" ref="BP181:BP183" si="1152">SUM(BP128)</f>
        <v>633.41300000000001</v>
      </c>
      <c r="BQ181" s="4604"/>
      <c r="BR181" s="4605"/>
      <c r="BS181" s="4603">
        <f t="shared" ref="BS181:BS183" si="1153">SUM(BS128)</f>
        <v>528.09799999999996</v>
      </c>
      <c r="BT181" s="4604"/>
      <c r="BU181" s="4605"/>
      <c r="BV181" s="4603">
        <f t="shared" ref="BV181:BV183" si="1154">SUM(BV128)</f>
        <v>533.32000000000005</v>
      </c>
      <c r="BW181" s="4604"/>
      <c r="BX181" s="4605"/>
      <c r="BY181" s="4592">
        <f>SUM(BP181+BS181+BV181)</f>
        <v>1694.8310000000001</v>
      </c>
      <c r="BZ181" s="4593"/>
      <c r="CA181" s="4594"/>
      <c r="CB181" s="4655">
        <f t="shared" si="1136"/>
        <v>3336.1</v>
      </c>
      <c r="CC181" s="4656"/>
      <c r="CD181" s="4657"/>
      <c r="CE181" s="4598">
        <f t="shared" ref="CE181:CE184" si="1155">SUM(BY181+BG181)</f>
        <v>5604.7471800000003</v>
      </c>
      <c r="CF181" s="4599"/>
      <c r="CG181" s="4600"/>
      <c r="CH181" s="4598">
        <f>SUM(CE181-CB181)</f>
        <v>2268.6471800000004</v>
      </c>
      <c r="CI181" s="4599"/>
      <c r="CJ181" s="4600"/>
    </row>
    <row r="182" spans="1:90" ht="36" customHeight="1" x14ac:dyDescent="0.2">
      <c r="A182" s="2882" t="s">
        <v>3803</v>
      </c>
      <c r="B182" s="4603">
        <f>SUM(B129)</f>
        <v>0</v>
      </c>
      <c r="C182" s="4604"/>
      <c r="D182" s="4605"/>
      <c r="E182" s="4603">
        <f t="shared" si="1137"/>
        <v>0</v>
      </c>
      <c r="F182" s="4604"/>
      <c r="G182" s="4605"/>
      <c r="H182" s="4603">
        <f t="shared" si="1138"/>
        <v>0</v>
      </c>
      <c r="I182" s="4604"/>
      <c r="J182" s="4605"/>
      <c r="K182" s="4603">
        <f t="shared" si="1139"/>
        <v>0</v>
      </c>
      <c r="L182" s="4604"/>
      <c r="M182" s="4605"/>
      <c r="N182" s="4592">
        <f>SUM(E182+H182+K182)</f>
        <v>0</v>
      </c>
      <c r="O182" s="4593"/>
      <c r="P182" s="4594"/>
      <c r="Q182" s="4603">
        <f t="shared" si="1140"/>
        <v>0</v>
      </c>
      <c r="R182" s="4604"/>
      <c r="S182" s="4605"/>
      <c r="T182" s="4603">
        <f t="shared" si="1141"/>
        <v>18</v>
      </c>
      <c r="U182" s="4604"/>
      <c r="V182" s="4605"/>
      <c r="W182" s="4603">
        <f t="shared" si="1142"/>
        <v>0</v>
      </c>
      <c r="X182" s="4604"/>
      <c r="Y182" s="4605"/>
      <c r="Z182" s="4603">
        <f t="shared" si="1143"/>
        <v>0</v>
      </c>
      <c r="AA182" s="4604"/>
      <c r="AB182" s="4605"/>
      <c r="AC182" s="4592">
        <f>SUM(T182+W182+Z182)</f>
        <v>18</v>
      </c>
      <c r="AD182" s="4593"/>
      <c r="AE182" s="4594"/>
      <c r="AF182" s="4655">
        <f>SUM(B182+Q182)</f>
        <v>0</v>
      </c>
      <c r="AG182" s="4656"/>
      <c r="AH182" s="4657"/>
      <c r="AI182" s="4598">
        <f t="shared" si="1144"/>
        <v>18</v>
      </c>
      <c r="AJ182" s="4599"/>
      <c r="AK182" s="4600"/>
      <c r="AL182" s="4598">
        <f t="shared" si="1145"/>
        <v>18</v>
      </c>
      <c r="AM182" s="4599"/>
      <c r="AN182" s="4600"/>
      <c r="AO182" s="4603">
        <f t="shared" si="1146"/>
        <v>0</v>
      </c>
      <c r="AP182" s="4604"/>
      <c r="AQ182" s="4605"/>
      <c r="AR182" s="4603">
        <f t="shared" si="1147"/>
        <v>0</v>
      </c>
      <c r="AS182" s="4604"/>
      <c r="AT182" s="4605"/>
      <c r="AU182" s="4603">
        <f t="shared" si="1148"/>
        <v>17.600000000000001</v>
      </c>
      <c r="AV182" s="4604"/>
      <c r="AW182" s="4605"/>
      <c r="AX182" s="4603">
        <f t="shared" si="1149"/>
        <v>0</v>
      </c>
      <c r="AY182" s="4604"/>
      <c r="AZ182" s="4605"/>
      <c r="BA182" s="4592">
        <f>SUM(AR182+AU182+AX182)</f>
        <v>17.600000000000001</v>
      </c>
      <c r="BB182" s="4593"/>
      <c r="BC182" s="4594"/>
      <c r="BD182" s="4655">
        <f>SUM(AF182+AO182)</f>
        <v>0</v>
      </c>
      <c r="BE182" s="4656"/>
      <c r="BF182" s="4657"/>
      <c r="BG182" s="4598">
        <f t="shared" si="1150"/>
        <v>35.6</v>
      </c>
      <c r="BH182" s="4599"/>
      <c r="BI182" s="4600"/>
      <c r="BJ182" s="4598">
        <f>SUM(BG182-BD182)</f>
        <v>35.6</v>
      </c>
      <c r="BK182" s="4599"/>
      <c r="BL182" s="4600"/>
      <c r="BM182" s="4603">
        <f t="shared" si="1151"/>
        <v>0</v>
      </c>
      <c r="BN182" s="4604"/>
      <c r="BO182" s="4605"/>
      <c r="BP182" s="4603">
        <f t="shared" si="1152"/>
        <v>0</v>
      </c>
      <c r="BQ182" s="4604"/>
      <c r="BR182" s="4605"/>
      <c r="BS182" s="4603">
        <f t="shared" si="1153"/>
        <v>0</v>
      </c>
      <c r="BT182" s="4604"/>
      <c r="BU182" s="4605"/>
      <c r="BV182" s="4603">
        <f t="shared" si="1154"/>
        <v>0</v>
      </c>
      <c r="BW182" s="4604"/>
      <c r="BX182" s="4605"/>
      <c r="BY182" s="4592">
        <f>SUM(BP182+BS182+BV182)</f>
        <v>0</v>
      </c>
      <c r="BZ182" s="4593"/>
      <c r="CA182" s="4594"/>
      <c r="CB182" s="4655">
        <f t="shared" si="1136"/>
        <v>0</v>
      </c>
      <c r="CC182" s="4656"/>
      <c r="CD182" s="4657"/>
      <c r="CE182" s="4598">
        <f t="shared" si="1155"/>
        <v>35.6</v>
      </c>
      <c r="CF182" s="4599"/>
      <c r="CG182" s="4600"/>
      <c r="CH182" s="4598">
        <f>SUM(CE182-CB182)</f>
        <v>35.6</v>
      </c>
      <c r="CI182" s="4599"/>
      <c r="CJ182" s="4600"/>
    </row>
    <row r="183" spans="1:90" ht="35.25" customHeight="1" x14ac:dyDescent="0.2">
      <c r="A183" s="2882" t="s">
        <v>3753</v>
      </c>
      <c r="B183" s="4603">
        <f>SUM(B130)</f>
        <v>0</v>
      </c>
      <c r="C183" s="4604"/>
      <c r="D183" s="4605"/>
      <c r="E183" s="4603">
        <f t="shared" si="1137"/>
        <v>54.671999999999997</v>
      </c>
      <c r="F183" s="4604"/>
      <c r="G183" s="4605"/>
      <c r="H183" s="4603">
        <f t="shared" si="1138"/>
        <v>20.216000000000001</v>
      </c>
      <c r="I183" s="4604"/>
      <c r="J183" s="4605"/>
      <c r="K183" s="4603">
        <f t="shared" si="1139"/>
        <v>141.05600000000001</v>
      </c>
      <c r="L183" s="4604"/>
      <c r="M183" s="4605"/>
      <c r="N183" s="4592">
        <f>SUM(E183+H183+K183)</f>
        <v>215.94400000000002</v>
      </c>
      <c r="O183" s="4593"/>
      <c r="P183" s="4594"/>
      <c r="Q183" s="4603">
        <f t="shared" si="1140"/>
        <v>0</v>
      </c>
      <c r="R183" s="4604"/>
      <c r="S183" s="4605"/>
      <c r="T183" s="4603">
        <f t="shared" si="1141"/>
        <v>78.397999999999996</v>
      </c>
      <c r="U183" s="4604"/>
      <c r="V183" s="4605"/>
      <c r="W183" s="4603">
        <f t="shared" si="1142"/>
        <v>15.17605</v>
      </c>
      <c r="X183" s="4604"/>
      <c r="Y183" s="4605"/>
      <c r="Z183" s="4603">
        <f t="shared" si="1143"/>
        <v>288.05700000000002</v>
      </c>
      <c r="AA183" s="4604"/>
      <c r="AB183" s="4605"/>
      <c r="AC183" s="4592">
        <f>SUM(T183+W183+Z183)</f>
        <v>381.63105000000002</v>
      </c>
      <c r="AD183" s="4593"/>
      <c r="AE183" s="4594"/>
      <c r="AF183" s="4655">
        <f>SUM(B183+Q183)</f>
        <v>0</v>
      </c>
      <c r="AG183" s="4656"/>
      <c r="AH183" s="4657"/>
      <c r="AI183" s="4598">
        <f t="shared" si="1144"/>
        <v>597.57505000000003</v>
      </c>
      <c r="AJ183" s="4599"/>
      <c r="AK183" s="4600"/>
      <c r="AL183" s="4598">
        <f t="shared" si="1145"/>
        <v>597.57505000000003</v>
      </c>
      <c r="AM183" s="4599"/>
      <c r="AN183" s="4600"/>
      <c r="AO183" s="4603">
        <f t="shared" si="1146"/>
        <v>0</v>
      </c>
      <c r="AP183" s="4604"/>
      <c r="AQ183" s="4605"/>
      <c r="AR183" s="4603">
        <f t="shared" si="1147"/>
        <v>40.698999999999998</v>
      </c>
      <c r="AS183" s="4604"/>
      <c r="AT183" s="4605"/>
      <c r="AU183" s="4603">
        <f t="shared" si="1148"/>
        <v>34.405000000000001</v>
      </c>
      <c r="AV183" s="4604"/>
      <c r="AW183" s="4605"/>
      <c r="AX183" s="4603">
        <f t="shared" si="1149"/>
        <v>95.435000000000002</v>
      </c>
      <c r="AY183" s="4604"/>
      <c r="AZ183" s="4605"/>
      <c r="BA183" s="4592">
        <f>SUM(AR183+AU183+AX183)</f>
        <v>170.53899999999999</v>
      </c>
      <c r="BB183" s="4593"/>
      <c r="BC183" s="4594"/>
      <c r="BD183" s="4655">
        <f>SUM(AF183+AO183)</f>
        <v>0</v>
      </c>
      <c r="BE183" s="4656"/>
      <c r="BF183" s="4657"/>
      <c r="BG183" s="4598">
        <f t="shared" si="1150"/>
        <v>768.11405000000002</v>
      </c>
      <c r="BH183" s="4599"/>
      <c r="BI183" s="4600"/>
      <c r="BJ183" s="4598">
        <f>SUM(BG183-BD183)</f>
        <v>768.11405000000002</v>
      </c>
      <c r="BK183" s="4599"/>
      <c r="BL183" s="4600"/>
      <c r="BM183" s="4603">
        <f t="shared" si="1151"/>
        <v>0</v>
      </c>
      <c r="BN183" s="4604"/>
      <c r="BO183" s="4605"/>
      <c r="BP183" s="4603">
        <f t="shared" si="1152"/>
        <v>41.283000000000001</v>
      </c>
      <c r="BQ183" s="4604"/>
      <c r="BR183" s="4605"/>
      <c r="BS183" s="4603">
        <f t="shared" si="1153"/>
        <v>45.774000000000001</v>
      </c>
      <c r="BT183" s="4604"/>
      <c r="BU183" s="4605"/>
      <c r="BV183" s="4603">
        <f t="shared" si="1154"/>
        <v>53.633000000000003</v>
      </c>
      <c r="BW183" s="4604"/>
      <c r="BX183" s="4605"/>
      <c r="BY183" s="4592">
        <f>SUM(BP183+BS183+BV183)</f>
        <v>140.69</v>
      </c>
      <c r="BZ183" s="4593"/>
      <c r="CA183" s="4594"/>
      <c r="CB183" s="4655">
        <f t="shared" si="1136"/>
        <v>0</v>
      </c>
      <c r="CC183" s="4656"/>
      <c r="CD183" s="4657"/>
      <c r="CE183" s="4598">
        <f t="shared" si="1155"/>
        <v>908.80404999999996</v>
      </c>
      <c r="CF183" s="4599"/>
      <c r="CG183" s="4600"/>
      <c r="CH183" s="4598">
        <f>SUM(CE183-CB183)</f>
        <v>908.80404999999996</v>
      </c>
      <c r="CI183" s="4599"/>
      <c r="CJ183" s="4600"/>
    </row>
    <row r="184" spans="1:90" ht="18.75" customHeight="1" x14ac:dyDescent="0.3">
      <c r="A184" s="2910" t="s">
        <v>3754</v>
      </c>
      <c r="B184" s="4652">
        <f>SUM(B177+B180)</f>
        <v>25176.41066933838</v>
      </c>
      <c r="C184" s="4653"/>
      <c r="D184" s="4654"/>
      <c r="E184" s="4587">
        <f>SUM(E177+E180)</f>
        <v>6891.701790000001</v>
      </c>
      <c r="F184" s="4588"/>
      <c r="G184" s="4589"/>
      <c r="H184" s="4587">
        <f t="shared" ref="H184" si="1156">SUM(H177+H180)</f>
        <v>6981.1155600000002</v>
      </c>
      <c r="I184" s="4588"/>
      <c r="J184" s="4589"/>
      <c r="K184" s="4587">
        <f t="shared" ref="K184" si="1157">SUM(K177+K180)</f>
        <v>8028.999170000001</v>
      </c>
      <c r="L184" s="4588"/>
      <c r="M184" s="4589"/>
      <c r="N184" s="4587">
        <f t="shared" ref="N184" si="1158">SUM(N177+N180)</f>
        <v>21901.816520000004</v>
      </c>
      <c r="O184" s="4588"/>
      <c r="P184" s="4589"/>
      <c r="Q184" s="4652">
        <f>SUM(Q177+Q180)</f>
        <v>25176.41066933838</v>
      </c>
      <c r="R184" s="4653"/>
      <c r="S184" s="4654"/>
      <c r="T184" s="4587">
        <f>SUM(T177+T180)</f>
        <v>7831.1751800000011</v>
      </c>
      <c r="U184" s="4588"/>
      <c r="V184" s="4589"/>
      <c r="W184" s="4587">
        <f t="shared" ref="W184" si="1159">SUM(W177+W180)</f>
        <v>8216.6030200000005</v>
      </c>
      <c r="X184" s="4588"/>
      <c r="Y184" s="4589"/>
      <c r="Z184" s="4587">
        <f t="shared" ref="Z184" si="1160">SUM(Z177+Z180)</f>
        <v>7307.1882999999998</v>
      </c>
      <c r="AA184" s="4588"/>
      <c r="AB184" s="4589"/>
      <c r="AC184" s="4587">
        <f t="shared" ref="AC184" si="1161">SUM(AC177+AC180)</f>
        <v>23354.966500000002</v>
      </c>
      <c r="AD184" s="4588"/>
      <c r="AE184" s="4589"/>
      <c r="AF184" s="4649">
        <f>SUM(B184+Q184)</f>
        <v>50352.82133867676</v>
      </c>
      <c r="AG184" s="4650"/>
      <c r="AH184" s="4651"/>
      <c r="AI184" s="4606">
        <f t="shared" si="1144"/>
        <v>45256.783020000003</v>
      </c>
      <c r="AJ184" s="4607"/>
      <c r="AK184" s="4608"/>
      <c r="AL184" s="4606">
        <f t="shared" si="1145"/>
        <v>-5096.0383186767576</v>
      </c>
      <c r="AM184" s="4607"/>
      <c r="AN184" s="4608"/>
      <c r="AO184" s="4652">
        <f>SUM(AO177+AO180)</f>
        <v>25258.941652080895</v>
      </c>
      <c r="AP184" s="4653"/>
      <c r="AQ184" s="4654"/>
      <c r="AR184" s="4587">
        <f>SUM(AR177+AR180)</f>
        <v>7695.5613699999994</v>
      </c>
      <c r="AS184" s="4588"/>
      <c r="AT184" s="4589"/>
      <c r="AU184" s="4587">
        <f t="shared" ref="AU184" si="1162">SUM(AU177+AU180)</f>
        <v>8147.7398999999996</v>
      </c>
      <c r="AV184" s="4588"/>
      <c r="AW184" s="4589"/>
      <c r="AX184" s="4587">
        <f t="shared" ref="AX184" si="1163">SUM(AX177+AX180)</f>
        <v>8279.7837999999992</v>
      </c>
      <c r="AY184" s="4588"/>
      <c r="AZ184" s="4589"/>
      <c r="BA184" s="4587">
        <f t="shared" ref="BA184" si="1164">SUM(BA177+BA180)</f>
        <v>24123.085070000001</v>
      </c>
      <c r="BB184" s="4588"/>
      <c r="BC184" s="4589"/>
      <c r="BD184" s="4649">
        <f t="shared" ref="BD184" si="1165">SUM(AF184+AO184)</f>
        <v>75611.762990757648</v>
      </c>
      <c r="BE184" s="4650"/>
      <c r="BF184" s="4651"/>
      <c r="BG184" s="4606">
        <f t="shared" si="1150"/>
        <v>69379.868090000004</v>
      </c>
      <c r="BH184" s="4607"/>
      <c r="BI184" s="4608"/>
      <c r="BJ184" s="4606">
        <f>SUM(BG184-BD184)</f>
        <v>-6231.8949007576448</v>
      </c>
      <c r="BK184" s="4607"/>
      <c r="BL184" s="4608"/>
      <c r="BM184" s="4652">
        <f>SUM(BM177+BM180)</f>
        <v>25258.941652080895</v>
      </c>
      <c r="BN184" s="4653"/>
      <c r="BO184" s="4654"/>
      <c r="BP184" s="4587">
        <f>SUM(BP177+BP180)</f>
        <v>7154.08158</v>
      </c>
      <c r="BQ184" s="4588"/>
      <c r="BR184" s="4589"/>
      <c r="BS184" s="4587">
        <f t="shared" ref="BS184" si="1166">SUM(BS177+BS180)</f>
        <v>7339.9610200000016</v>
      </c>
      <c r="BT184" s="4588"/>
      <c r="BU184" s="4589"/>
      <c r="BV184" s="4587">
        <f t="shared" ref="BV184" si="1167">SUM(BV177+BV180)</f>
        <v>9481.8306400000001</v>
      </c>
      <c r="BW184" s="4588"/>
      <c r="BX184" s="4589"/>
      <c r="BY184" s="4587">
        <f t="shared" ref="BY184" si="1168">SUM(BY177+BY180)</f>
        <v>23975.873239999994</v>
      </c>
      <c r="BZ184" s="4588"/>
      <c r="CA184" s="4589"/>
      <c r="CB184" s="4649">
        <f t="shared" si="1136"/>
        <v>100870.70464283854</v>
      </c>
      <c r="CC184" s="4650"/>
      <c r="CD184" s="4651"/>
      <c r="CE184" s="4606">
        <f t="shared" si="1155"/>
        <v>93355.74132999999</v>
      </c>
      <c r="CF184" s="4607"/>
      <c r="CG184" s="4608"/>
      <c r="CH184" s="4606">
        <f>SUM(CE184-CB184)</f>
        <v>-7514.9633128385467</v>
      </c>
      <c r="CI184" s="4607"/>
      <c r="CJ184" s="4608"/>
    </row>
    <row r="185" spans="1:90" ht="18.75" customHeight="1" x14ac:dyDescent="0.2"/>
    <row r="186" spans="1:90" ht="18.75" customHeight="1" x14ac:dyDescent="0.2">
      <c r="A186" s="2995"/>
    </row>
    <row r="187" spans="1:90" ht="18.75" customHeight="1" x14ac:dyDescent="0.2">
      <c r="A187" s="2995"/>
    </row>
    <row r="188" spans="1:90" ht="18.75" customHeight="1" x14ac:dyDescent="0.2"/>
    <row r="189" spans="1:90" ht="18.75" customHeight="1" x14ac:dyDescent="0.3">
      <c r="A189" s="2906" t="s">
        <v>3968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</row>
    <row r="190" spans="1:90" ht="18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</row>
    <row r="191" spans="1:90" ht="18.75" customHeight="1" x14ac:dyDescent="0.2">
      <c r="A191" s="4638" t="s">
        <v>527</v>
      </c>
      <c r="B191" s="4622" t="s">
        <v>3716</v>
      </c>
      <c r="C191" s="4623"/>
      <c r="D191" s="4623"/>
      <c r="E191" s="4623"/>
      <c r="F191" s="4623"/>
      <c r="G191" s="4623"/>
      <c r="H191" s="4623"/>
      <c r="I191" s="4623"/>
      <c r="J191" s="4623"/>
      <c r="K191" s="4623"/>
      <c r="L191" s="4623"/>
      <c r="M191" s="4623"/>
      <c r="N191" s="4623"/>
      <c r="O191" s="4623"/>
      <c r="P191" s="4624"/>
      <c r="Q191" s="4613" t="s">
        <v>3717</v>
      </c>
      <c r="R191" s="4614"/>
      <c r="S191" s="4614"/>
      <c r="T191" s="4614"/>
      <c r="U191" s="4614"/>
      <c r="V191" s="4614"/>
      <c r="W191" s="4614"/>
      <c r="X191" s="4614"/>
      <c r="Y191" s="4614"/>
      <c r="Z191" s="4614"/>
      <c r="AA191" s="4614"/>
      <c r="AB191" s="4614"/>
      <c r="AC191" s="4614"/>
      <c r="AD191" s="4568"/>
      <c r="AE191" s="4569"/>
      <c r="AF191" s="4609" t="s">
        <v>3718</v>
      </c>
      <c r="AG191" s="4610"/>
      <c r="AH191" s="4610"/>
      <c r="AI191" s="4610"/>
      <c r="AJ191" s="4610"/>
      <c r="AK191" s="4610"/>
      <c r="AL191" s="4610"/>
      <c r="AM191" s="4625"/>
      <c r="AN191" s="4626"/>
      <c r="AO191" s="4622" t="s">
        <v>3719</v>
      </c>
      <c r="AP191" s="4623"/>
      <c r="AQ191" s="4623"/>
      <c r="AR191" s="4623"/>
      <c r="AS191" s="4623"/>
      <c r="AT191" s="4623"/>
      <c r="AU191" s="4623"/>
      <c r="AV191" s="4623"/>
      <c r="AW191" s="4623"/>
      <c r="AX191" s="4623"/>
      <c r="AY191" s="4623"/>
      <c r="AZ191" s="4623"/>
      <c r="BA191" s="4623"/>
      <c r="BB191" s="4625"/>
      <c r="BC191" s="4626"/>
      <c r="BD191" s="4609" t="s">
        <v>3720</v>
      </c>
      <c r="BE191" s="4610"/>
      <c r="BF191" s="4610"/>
      <c r="BG191" s="4610"/>
      <c r="BH191" s="4610"/>
      <c r="BI191" s="4610"/>
      <c r="BJ191" s="4610"/>
      <c r="BK191" s="4625"/>
      <c r="BL191" s="4626"/>
      <c r="BM191" s="4622" t="s">
        <v>3721</v>
      </c>
      <c r="BN191" s="4623"/>
      <c r="BO191" s="4623"/>
      <c r="BP191" s="4623"/>
      <c r="BQ191" s="4623"/>
      <c r="BR191" s="4623"/>
      <c r="BS191" s="4623"/>
      <c r="BT191" s="4623"/>
      <c r="BU191" s="4623"/>
      <c r="BV191" s="4623"/>
      <c r="BW191" s="4623"/>
      <c r="BX191" s="4623"/>
      <c r="BY191" s="4623"/>
      <c r="BZ191" s="4625"/>
      <c r="CA191" s="4625"/>
      <c r="CB191" s="4609" t="s">
        <v>1992</v>
      </c>
      <c r="CC191" s="4610"/>
      <c r="CD191" s="4610"/>
      <c r="CE191" s="4610"/>
      <c r="CF191" s="4610"/>
      <c r="CG191" s="4610"/>
      <c r="CH191" s="4610"/>
      <c r="CI191" s="4611"/>
      <c r="CJ191" s="4612"/>
      <c r="CK191" s="5"/>
      <c r="CL191" s="5"/>
    </row>
    <row r="192" spans="1:90" ht="25.5" customHeight="1" x14ac:dyDescent="0.2">
      <c r="A192" s="4639"/>
      <c r="B192" s="4613" t="s">
        <v>3573</v>
      </c>
      <c r="C192" s="4614"/>
      <c r="D192" s="4615"/>
      <c r="E192" s="4616" t="s">
        <v>571</v>
      </c>
      <c r="F192" s="4617"/>
      <c r="G192" s="4618"/>
      <c r="H192" s="4616" t="s">
        <v>572</v>
      </c>
      <c r="I192" s="4617"/>
      <c r="J192" s="4618"/>
      <c r="K192" s="4616" t="s">
        <v>573</v>
      </c>
      <c r="L192" s="4617"/>
      <c r="M192" s="4618"/>
      <c r="N192" s="4613" t="s">
        <v>1677</v>
      </c>
      <c r="O192" s="4614"/>
      <c r="P192" s="4615"/>
      <c r="Q192" s="4613" t="s">
        <v>3573</v>
      </c>
      <c r="R192" s="4614"/>
      <c r="S192" s="4615"/>
      <c r="T192" s="4619" t="s">
        <v>3722</v>
      </c>
      <c r="U192" s="4620"/>
      <c r="V192" s="4621"/>
      <c r="W192" s="4619" t="s">
        <v>575</v>
      </c>
      <c r="X192" s="4620"/>
      <c r="Y192" s="4621"/>
      <c r="Z192" s="4619" t="s">
        <v>576</v>
      </c>
      <c r="AA192" s="4620"/>
      <c r="AB192" s="4621"/>
      <c r="AC192" s="4613" t="s">
        <v>1677</v>
      </c>
      <c r="AD192" s="4614"/>
      <c r="AE192" s="4615"/>
      <c r="AF192" s="4627" t="s">
        <v>3573</v>
      </c>
      <c r="AG192" s="4628"/>
      <c r="AH192" s="4629"/>
      <c r="AI192" s="4627" t="s">
        <v>1677</v>
      </c>
      <c r="AJ192" s="4628"/>
      <c r="AK192" s="4629"/>
      <c r="AL192" s="4627" t="s">
        <v>3723</v>
      </c>
      <c r="AM192" s="4628"/>
      <c r="AN192" s="4629"/>
      <c r="AO192" s="4643" t="s">
        <v>3573</v>
      </c>
      <c r="AP192" s="4644"/>
      <c r="AQ192" s="4645"/>
      <c r="AR192" s="4646" t="s">
        <v>577</v>
      </c>
      <c r="AS192" s="4647"/>
      <c r="AT192" s="4648"/>
      <c r="AU192" s="4646" t="s">
        <v>578</v>
      </c>
      <c r="AV192" s="4647"/>
      <c r="AW192" s="4648"/>
      <c r="AX192" s="4646" t="s">
        <v>579</v>
      </c>
      <c r="AY192" s="4647"/>
      <c r="AZ192" s="4648"/>
      <c r="BA192" s="4643" t="s">
        <v>1677</v>
      </c>
      <c r="BB192" s="4644"/>
      <c r="BC192" s="4645"/>
      <c r="BD192" s="4640" t="s">
        <v>3573</v>
      </c>
      <c r="BE192" s="4641"/>
      <c r="BF192" s="4642"/>
      <c r="BG192" s="4640" t="s">
        <v>1677</v>
      </c>
      <c r="BH192" s="4641"/>
      <c r="BI192" s="4642"/>
      <c r="BJ192" s="4640" t="s">
        <v>3723</v>
      </c>
      <c r="BK192" s="4641"/>
      <c r="BL192" s="4642"/>
      <c r="BM192" s="4630" t="s">
        <v>3573</v>
      </c>
      <c r="BN192" s="4631"/>
      <c r="BO192" s="4632"/>
      <c r="BP192" s="4630" t="s">
        <v>580</v>
      </c>
      <c r="BQ192" s="4631"/>
      <c r="BR192" s="4632"/>
      <c r="BS192" s="4630" t="s">
        <v>581</v>
      </c>
      <c r="BT192" s="4631"/>
      <c r="BU192" s="4632"/>
      <c r="BV192" s="4630" t="s">
        <v>582</v>
      </c>
      <c r="BW192" s="4631"/>
      <c r="BX192" s="4632"/>
      <c r="BY192" s="4630" t="s">
        <v>1677</v>
      </c>
      <c r="BZ192" s="4631"/>
      <c r="CA192" s="4631"/>
      <c r="CB192" s="4633" t="s">
        <v>3573</v>
      </c>
      <c r="CC192" s="4634"/>
      <c r="CD192" s="4635"/>
      <c r="CE192" s="4633" t="s">
        <v>1677</v>
      </c>
      <c r="CF192" s="4634"/>
      <c r="CG192" s="4635"/>
      <c r="CH192" s="4633" t="s">
        <v>3723</v>
      </c>
      <c r="CI192" s="4636"/>
      <c r="CJ192" s="4637"/>
      <c r="CK192" s="5"/>
      <c r="CL192" s="5"/>
    </row>
    <row r="193" spans="1:90" ht="25.5" customHeight="1" x14ac:dyDescent="0.2">
      <c r="A193" s="4639"/>
      <c r="B193" s="2832" t="s">
        <v>616</v>
      </c>
      <c r="C193" s="2832" t="s">
        <v>3791</v>
      </c>
      <c r="D193" s="2832" t="s">
        <v>3792</v>
      </c>
      <c r="E193" s="2832" t="s">
        <v>616</v>
      </c>
      <c r="F193" s="2832" t="s">
        <v>3791</v>
      </c>
      <c r="G193" s="2832" t="s">
        <v>3792</v>
      </c>
      <c r="H193" s="2832" t="s">
        <v>616</v>
      </c>
      <c r="I193" s="2832" t="s">
        <v>3791</v>
      </c>
      <c r="J193" s="2832" t="s">
        <v>3792</v>
      </c>
      <c r="K193" s="2832" t="s">
        <v>616</v>
      </c>
      <c r="L193" s="2832" t="s">
        <v>3791</v>
      </c>
      <c r="M193" s="2832" t="s">
        <v>3792</v>
      </c>
      <c r="N193" s="2832" t="s">
        <v>616</v>
      </c>
      <c r="O193" s="2832" t="s">
        <v>3791</v>
      </c>
      <c r="P193" s="2832" t="s">
        <v>3792</v>
      </c>
      <c r="Q193" s="2832" t="s">
        <v>616</v>
      </c>
      <c r="R193" s="2832" t="s">
        <v>3791</v>
      </c>
      <c r="S193" s="2832" t="s">
        <v>3792</v>
      </c>
      <c r="T193" s="2832" t="s">
        <v>616</v>
      </c>
      <c r="U193" s="2832" t="s">
        <v>3791</v>
      </c>
      <c r="V193" s="2832" t="s">
        <v>3792</v>
      </c>
      <c r="W193" s="2832" t="s">
        <v>616</v>
      </c>
      <c r="X193" s="2832" t="s">
        <v>3791</v>
      </c>
      <c r="Y193" s="2832" t="s">
        <v>3792</v>
      </c>
      <c r="Z193" s="2832" t="s">
        <v>616</v>
      </c>
      <c r="AA193" s="2832" t="s">
        <v>3791</v>
      </c>
      <c r="AB193" s="2832" t="s">
        <v>3792</v>
      </c>
      <c r="AC193" s="2832" t="s">
        <v>616</v>
      </c>
      <c r="AD193" s="2832" t="s">
        <v>3791</v>
      </c>
      <c r="AE193" s="2832" t="s">
        <v>3792</v>
      </c>
      <c r="AF193" s="2833" t="s">
        <v>616</v>
      </c>
      <c r="AG193" s="2833" t="s">
        <v>3791</v>
      </c>
      <c r="AH193" s="2833" t="s">
        <v>3792</v>
      </c>
      <c r="AI193" s="2833" t="s">
        <v>616</v>
      </c>
      <c r="AJ193" s="2833" t="s">
        <v>3791</v>
      </c>
      <c r="AK193" s="2833" t="s">
        <v>3792</v>
      </c>
      <c r="AL193" s="2833" t="s">
        <v>616</v>
      </c>
      <c r="AM193" s="2833" t="s">
        <v>3791</v>
      </c>
      <c r="AN193" s="2833" t="s">
        <v>3792</v>
      </c>
      <c r="AO193" s="2832" t="s">
        <v>616</v>
      </c>
      <c r="AP193" s="2832" t="s">
        <v>3791</v>
      </c>
      <c r="AQ193" s="2832" t="s">
        <v>3792</v>
      </c>
      <c r="AR193" s="2832" t="s">
        <v>616</v>
      </c>
      <c r="AS193" s="2832" t="s">
        <v>3791</v>
      </c>
      <c r="AT193" s="2832" t="s">
        <v>3792</v>
      </c>
      <c r="AU193" s="2832" t="s">
        <v>616</v>
      </c>
      <c r="AV193" s="2832" t="s">
        <v>3791</v>
      </c>
      <c r="AW193" s="2832" t="s">
        <v>3792</v>
      </c>
      <c r="AX193" s="2832" t="s">
        <v>616</v>
      </c>
      <c r="AY193" s="2832" t="s">
        <v>3791</v>
      </c>
      <c r="AZ193" s="2832" t="s">
        <v>3792</v>
      </c>
      <c r="BA193" s="2832" t="s">
        <v>616</v>
      </c>
      <c r="BB193" s="2832" t="s">
        <v>3791</v>
      </c>
      <c r="BC193" s="2832" t="s">
        <v>3792</v>
      </c>
      <c r="BD193" s="2833" t="s">
        <v>616</v>
      </c>
      <c r="BE193" s="2833" t="s">
        <v>3791</v>
      </c>
      <c r="BF193" s="2833" t="s">
        <v>3792</v>
      </c>
      <c r="BG193" s="2833" t="s">
        <v>616</v>
      </c>
      <c r="BH193" s="2833" t="s">
        <v>3791</v>
      </c>
      <c r="BI193" s="2833" t="s">
        <v>3792</v>
      </c>
      <c r="BJ193" s="2833" t="s">
        <v>616</v>
      </c>
      <c r="BK193" s="2833" t="s">
        <v>3791</v>
      </c>
      <c r="BL193" s="2833" t="s">
        <v>3792</v>
      </c>
      <c r="BM193" s="2832" t="s">
        <v>616</v>
      </c>
      <c r="BN193" s="2832" t="s">
        <v>3791</v>
      </c>
      <c r="BO193" s="2832" t="s">
        <v>3792</v>
      </c>
      <c r="BP193" s="2832" t="s">
        <v>616</v>
      </c>
      <c r="BQ193" s="2832" t="s">
        <v>3791</v>
      </c>
      <c r="BR193" s="2832" t="s">
        <v>3792</v>
      </c>
      <c r="BS193" s="2832" t="s">
        <v>616</v>
      </c>
      <c r="BT193" s="2832" t="s">
        <v>3791</v>
      </c>
      <c r="BU193" s="2832" t="s">
        <v>3792</v>
      </c>
      <c r="BV193" s="2832" t="s">
        <v>616</v>
      </c>
      <c r="BW193" s="2832" t="s">
        <v>3791</v>
      </c>
      <c r="BX193" s="2832" t="s">
        <v>3792</v>
      </c>
      <c r="BY193" s="2832" t="s">
        <v>616</v>
      </c>
      <c r="BZ193" s="2832" t="s">
        <v>3791</v>
      </c>
      <c r="CA193" s="2832" t="s">
        <v>3792</v>
      </c>
      <c r="CB193" s="2833" t="s">
        <v>616</v>
      </c>
      <c r="CC193" s="2833" t="s">
        <v>3791</v>
      </c>
      <c r="CD193" s="2833" t="s">
        <v>3792</v>
      </c>
      <c r="CE193" s="2833" t="s">
        <v>616</v>
      </c>
      <c r="CF193" s="2833" t="s">
        <v>3791</v>
      </c>
      <c r="CG193" s="2833" t="s">
        <v>3792</v>
      </c>
      <c r="CH193" s="2833" t="s">
        <v>616</v>
      </c>
      <c r="CI193" s="2833" t="s">
        <v>3791</v>
      </c>
      <c r="CJ193" s="2833" t="s">
        <v>3792</v>
      </c>
      <c r="CK193" s="5"/>
      <c r="CL193" s="5"/>
    </row>
    <row r="194" spans="1:90" ht="18.75" customHeight="1" x14ac:dyDescent="0.3">
      <c r="A194" s="2989" t="s">
        <v>71</v>
      </c>
      <c r="B194" s="3004">
        <f t="shared" ref="B194" si="1169">SUM(B30+B50+B82+B102)</f>
        <v>1753.2498530253167</v>
      </c>
      <c r="C194" s="3004">
        <f t="shared" ref="C194:AE196" si="1170">SUM(C30+C50+C82+C102)</f>
        <v>1753.2498530253167</v>
      </c>
      <c r="D194" s="3004">
        <f t="shared" si="1170"/>
        <v>0</v>
      </c>
      <c r="E194" s="3005">
        <f t="shared" si="1170"/>
        <v>703.07999999999993</v>
      </c>
      <c r="F194" s="3005">
        <f t="shared" si="1170"/>
        <v>703.07999999999993</v>
      </c>
      <c r="G194" s="3005">
        <f t="shared" si="1170"/>
        <v>0</v>
      </c>
      <c r="H194" s="3005">
        <f t="shared" si="1170"/>
        <v>619.83300000000008</v>
      </c>
      <c r="I194" s="3005">
        <f t="shared" si="1170"/>
        <v>619.83300000000008</v>
      </c>
      <c r="J194" s="3005">
        <f t="shared" si="1170"/>
        <v>0</v>
      </c>
      <c r="K194" s="3005">
        <f t="shared" si="1170"/>
        <v>669.96699999999998</v>
      </c>
      <c r="L194" s="3005">
        <f t="shared" si="1170"/>
        <v>669.96699999999998</v>
      </c>
      <c r="M194" s="3005">
        <f t="shared" si="1170"/>
        <v>0</v>
      </c>
      <c r="N194" s="3005">
        <f t="shared" si="1170"/>
        <v>1992.8799999999999</v>
      </c>
      <c r="O194" s="3005">
        <f t="shared" si="1170"/>
        <v>1992.8799999999999</v>
      </c>
      <c r="P194" s="3005">
        <f t="shared" si="1170"/>
        <v>0</v>
      </c>
      <c r="Q194" s="3004">
        <f t="shared" si="1170"/>
        <v>1753.2498530253167</v>
      </c>
      <c r="R194" s="3004">
        <f t="shared" si="1170"/>
        <v>1753.2498530253167</v>
      </c>
      <c r="S194" s="3004">
        <f t="shared" si="1170"/>
        <v>0</v>
      </c>
      <c r="T194" s="3005">
        <f t="shared" si="1170"/>
        <v>610.46</v>
      </c>
      <c r="U194" s="3005">
        <f t="shared" si="1170"/>
        <v>610.46</v>
      </c>
      <c r="V194" s="3005">
        <f t="shared" si="1170"/>
        <v>0</v>
      </c>
      <c r="W194" s="3005">
        <f t="shared" si="1170"/>
        <v>1016.04</v>
      </c>
      <c r="X194" s="3005">
        <f t="shared" si="1170"/>
        <v>1016.04</v>
      </c>
      <c r="Y194" s="3005">
        <f t="shared" si="1170"/>
        <v>0</v>
      </c>
      <c r="Z194" s="3005">
        <f t="shared" si="1170"/>
        <v>342.27100000000002</v>
      </c>
      <c r="AA194" s="3005">
        <f t="shared" si="1170"/>
        <v>342.27100000000002</v>
      </c>
      <c r="AB194" s="3005">
        <f t="shared" si="1170"/>
        <v>0</v>
      </c>
      <c r="AC194" s="3005">
        <f t="shared" si="1170"/>
        <v>1968.771</v>
      </c>
      <c r="AD194" s="3005">
        <f t="shared" si="1170"/>
        <v>1968.771</v>
      </c>
      <c r="AE194" s="3005">
        <f t="shared" si="1170"/>
        <v>0</v>
      </c>
      <c r="AF194" s="2982">
        <f t="shared" ref="AF194:AG223" si="1171">SUM(Q194+B194)</f>
        <v>3506.4997060506334</v>
      </c>
      <c r="AG194" s="2982">
        <f t="shared" ref="AG194:AH211" si="1172">SUM(R194+C194)</f>
        <v>3506.4997060506334</v>
      </c>
      <c r="AH194" s="2982">
        <f t="shared" si="1172"/>
        <v>0</v>
      </c>
      <c r="AI194" s="3006">
        <f>SUM(AC194+N194)</f>
        <v>3961.6509999999998</v>
      </c>
      <c r="AJ194" s="3006">
        <f>SUM(AD194+O194)</f>
        <v>3961.6509999999998</v>
      </c>
      <c r="AK194" s="3006">
        <f>SUM(AE194+P194)</f>
        <v>0</v>
      </c>
      <c r="AL194" s="3006">
        <f t="shared" ref="AL194:AN223" si="1173">SUM(AI194-AF194)</f>
        <v>455.15129394936639</v>
      </c>
      <c r="AM194" s="3006">
        <f t="shared" si="1173"/>
        <v>455.15129394936639</v>
      </c>
      <c r="AN194" s="3006">
        <f t="shared" si="1173"/>
        <v>0</v>
      </c>
      <c r="AO194" s="3004">
        <f>SUM(AO30+AO50+AO82+AO102)</f>
        <v>1753.2498530253167</v>
      </c>
      <c r="AP194" s="3004">
        <f t="shared" ref="AP194:BC196" si="1174">SUM(AP30+AP50+AP82+AP102)</f>
        <v>1753.2498530253167</v>
      </c>
      <c r="AQ194" s="3004">
        <f t="shared" si="1174"/>
        <v>0</v>
      </c>
      <c r="AR194" s="3005">
        <f t="shared" si="1174"/>
        <v>550.55999999999995</v>
      </c>
      <c r="AS194" s="3005">
        <f t="shared" si="1174"/>
        <v>550.55999999999995</v>
      </c>
      <c r="AT194" s="3005">
        <f t="shared" si="1174"/>
        <v>0</v>
      </c>
      <c r="AU194" s="3005">
        <f t="shared" si="1174"/>
        <v>527.31299999999999</v>
      </c>
      <c r="AV194" s="3005">
        <f t="shared" si="1174"/>
        <v>527.31299999999999</v>
      </c>
      <c r="AW194" s="3005">
        <f t="shared" si="1174"/>
        <v>0</v>
      </c>
      <c r="AX194" s="3005">
        <f t="shared" si="1174"/>
        <v>665.53399999999999</v>
      </c>
      <c r="AY194" s="3005">
        <f t="shared" si="1174"/>
        <v>665.53399999999999</v>
      </c>
      <c r="AZ194" s="3005">
        <f t="shared" si="1174"/>
        <v>0</v>
      </c>
      <c r="BA194" s="3005">
        <f t="shared" si="1174"/>
        <v>1743.4070000000002</v>
      </c>
      <c r="BB194" s="3005">
        <f t="shared" si="1174"/>
        <v>1743.4070000000002</v>
      </c>
      <c r="BC194" s="3005">
        <f t="shared" si="1174"/>
        <v>0</v>
      </c>
      <c r="BD194" s="2982">
        <f t="shared" ref="BD194:BE223" si="1175">SUM(AF194+AO194)</f>
        <v>5259.7495590759499</v>
      </c>
      <c r="BE194" s="2982">
        <f t="shared" ref="BE194:BF209" si="1176">SUM(AG194+AP194)</f>
        <v>5259.7495590759499</v>
      </c>
      <c r="BF194" s="2982">
        <f t="shared" si="1176"/>
        <v>0</v>
      </c>
      <c r="BG194" s="3006">
        <f>SUM(AI194+BA194)</f>
        <v>5705.058</v>
      </c>
      <c r="BH194" s="3006">
        <f t="shared" ref="BH194:BI209" si="1177">SUM(AJ194+BB194)</f>
        <v>5705.058</v>
      </c>
      <c r="BI194" s="3006">
        <f t="shared" si="1177"/>
        <v>0</v>
      </c>
      <c r="BJ194" s="3006">
        <f t="shared" ref="BJ194:BL223" si="1178">SUM(BG194-BD194)</f>
        <v>445.30844092405005</v>
      </c>
      <c r="BK194" s="3006">
        <f t="shared" si="1178"/>
        <v>445.30844092405005</v>
      </c>
      <c r="BL194" s="3006">
        <f t="shared" si="1178"/>
        <v>0</v>
      </c>
      <c r="BM194" s="3004">
        <f>SUM(BM30+BM50+BM82+BM102)</f>
        <v>1753.2498530253167</v>
      </c>
      <c r="BN194" s="3004">
        <f t="shared" ref="BN194:CA196" si="1179">SUM(BN30+BN50+BN82+BN102)</f>
        <v>1753.2498530253167</v>
      </c>
      <c r="BO194" s="3004">
        <f t="shared" si="1179"/>
        <v>0</v>
      </c>
      <c r="BP194" s="3005">
        <f t="shared" si="1179"/>
        <v>486.08799999999997</v>
      </c>
      <c r="BQ194" s="3005">
        <f t="shared" si="1179"/>
        <v>486.08799999999997</v>
      </c>
      <c r="BR194" s="3005">
        <f t="shared" si="1179"/>
        <v>0</v>
      </c>
      <c r="BS194" s="3005">
        <f t="shared" si="1179"/>
        <v>732.93299999999999</v>
      </c>
      <c r="BT194" s="3005">
        <f t="shared" si="1179"/>
        <v>732.93299999999999</v>
      </c>
      <c r="BU194" s="3005">
        <f t="shared" si="1179"/>
        <v>0</v>
      </c>
      <c r="BV194" s="3005">
        <f t="shared" si="1179"/>
        <v>635.11099999999999</v>
      </c>
      <c r="BW194" s="3005">
        <f t="shared" si="1179"/>
        <v>635.11099999999999</v>
      </c>
      <c r="BX194" s="3005">
        <f t="shared" si="1179"/>
        <v>0</v>
      </c>
      <c r="BY194" s="3005">
        <f t="shared" si="1179"/>
        <v>1854.1320000000001</v>
      </c>
      <c r="BZ194" s="3005">
        <f t="shared" si="1179"/>
        <v>1854.1320000000001</v>
      </c>
      <c r="CA194" s="3005">
        <f t="shared" si="1179"/>
        <v>0</v>
      </c>
      <c r="CB194" s="2982">
        <f t="shared" ref="CB194:CC223" si="1180">SUM(BM194+BD194)</f>
        <v>7012.9994121012669</v>
      </c>
      <c r="CC194" s="2982">
        <f t="shared" ref="CC194:CD209" si="1181">SUM(BN194+BE194)</f>
        <v>7012.9994121012669</v>
      </c>
      <c r="CD194" s="2982">
        <f t="shared" si="1181"/>
        <v>0</v>
      </c>
      <c r="CE194" s="3006">
        <f>SUM(BY194+BG194)</f>
        <v>7559.1900000000005</v>
      </c>
      <c r="CF194" s="3006">
        <f t="shared" ref="CF194:CG209" si="1182">SUM(BZ194+BH194)</f>
        <v>7559.1900000000005</v>
      </c>
      <c r="CG194" s="3006">
        <f t="shared" si="1182"/>
        <v>0</v>
      </c>
      <c r="CH194" s="3006">
        <f t="shared" ref="CH194:CJ223" si="1183">SUM(CE194-CB194)</f>
        <v>546.19058789873361</v>
      </c>
      <c r="CI194" s="3006">
        <f t="shared" si="1183"/>
        <v>546.19058789873361</v>
      </c>
      <c r="CJ194" s="3006">
        <f t="shared" si="1183"/>
        <v>0</v>
      </c>
      <c r="CK194" s="389"/>
      <c r="CL194" s="5"/>
    </row>
    <row r="195" spans="1:90" ht="18.75" customHeight="1" x14ac:dyDescent="0.3">
      <c r="A195" s="2989" t="s">
        <v>114</v>
      </c>
      <c r="B195" s="3004">
        <f>SUM(B31+B51+B83+B103)</f>
        <v>525.97448436345121</v>
      </c>
      <c r="C195" s="3004">
        <f t="shared" si="1170"/>
        <v>525.97448436345121</v>
      </c>
      <c r="D195" s="3004">
        <f t="shared" si="1170"/>
        <v>0</v>
      </c>
      <c r="E195" s="3005">
        <f t="shared" si="1170"/>
        <v>211.89</v>
      </c>
      <c r="F195" s="3005">
        <f t="shared" si="1170"/>
        <v>211.89</v>
      </c>
      <c r="G195" s="3005">
        <f t="shared" si="1170"/>
        <v>0</v>
      </c>
      <c r="H195" s="3005">
        <f t="shared" si="1170"/>
        <v>185.74600000000001</v>
      </c>
      <c r="I195" s="3005">
        <f t="shared" si="1170"/>
        <v>185.74600000000001</v>
      </c>
      <c r="J195" s="3005">
        <f t="shared" si="1170"/>
        <v>0</v>
      </c>
      <c r="K195" s="3005">
        <f t="shared" si="1170"/>
        <v>202.29000000000002</v>
      </c>
      <c r="L195" s="3005">
        <f t="shared" si="1170"/>
        <v>202.29000000000002</v>
      </c>
      <c r="M195" s="3005">
        <f t="shared" si="1170"/>
        <v>0</v>
      </c>
      <c r="N195" s="3005">
        <f t="shared" si="1170"/>
        <v>599.92600000000004</v>
      </c>
      <c r="O195" s="3005">
        <f t="shared" si="1170"/>
        <v>599.92600000000004</v>
      </c>
      <c r="P195" s="3005">
        <f t="shared" si="1170"/>
        <v>0</v>
      </c>
      <c r="Q195" s="3004">
        <f t="shared" si="1170"/>
        <v>525.97448436345121</v>
      </c>
      <c r="R195" s="3004">
        <f t="shared" si="1170"/>
        <v>525.97448436345121</v>
      </c>
      <c r="S195" s="3004">
        <f t="shared" si="1170"/>
        <v>0</v>
      </c>
      <c r="T195" s="3005">
        <f t="shared" si="1170"/>
        <v>183.81</v>
      </c>
      <c r="U195" s="3005">
        <f t="shared" si="1170"/>
        <v>183.81</v>
      </c>
      <c r="V195" s="3005">
        <f t="shared" si="1170"/>
        <v>0</v>
      </c>
      <c r="W195" s="3005">
        <f t="shared" si="1170"/>
        <v>306.60000000000002</v>
      </c>
      <c r="X195" s="3005">
        <f t="shared" si="1170"/>
        <v>306.60000000000002</v>
      </c>
      <c r="Y195" s="3005">
        <f t="shared" si="1170"/>
        <v>0</v>
      </c>
      <c r="Z195" s="3005">
        <f t="shared" si="1170"/>
        <v>101.90600000000001</v>
      </c>
      <c r="AA195" s="3005">
        <f t="shared" si="1170"/>
        <v>101.90600000000001</v>
      </c>
      <c r="AB195" s="3005">
        <f t="shared" si="1170"/>
        <v>0</v>
      </c>
      <c r="AC195" s="3005">
        <f t="shared" si="1170"/>
        <v>592.31600000000003</v>
      </c>
      <c r="AD195" s="3005">
        <f t="shared" si="1170"/>
        <v>592.31600000000003</v>
      </c>
      <c r="AE195" s="3005">
        <f t="shared" si="1170"/>
        <v>0</v>
      </c>
      <c r="AF195" s="2982">
        <f t="shared" si="1171"/>
        <v>1051.9489687269024</v>
      </c>
      <c r="AG195" s="2982">
        <f t="shared" si="1172"/>
        <v>1051.9489687269024</v>
      </c>
      <c r="AH195" s="2982">
        <f t="shared" si="1172"/>
        <v>0</v>
      </c>
      <c r="AI195" s="3006">
        <f t="shared" ref="AI195:AI223" si="1184">SUM(AC195+N195)</f>
        <v>1192.2420000000002</v>
      </c>
      <c r="AJ195" s="3006">
        <f t="shared" ref="AJ195:AK223" si="1185">SUM(AD195+O195)</f>
        <v>1192.2420000000002</v>
      </c>
      <c r="AK195" s="3006">
        <f t="shared" si="1185"/>
        <v>0</v>
      </c>
      <c r="AL195" s="3006">
        <f t="shared" si="1173"/>
        <v>140.29303127309777</v>
      </c>
      <c r="AM195" s="3006">
        <f t="shared" si="1173"/>
        <v>140.29303127309777</v>
      </c>
      <c r="AN195" s="3006">
        <f t="shared" si="1173"/>
        <v>0</v>
      </c>
      <c r="AO195" s="3004">
        <f>SUM(AO31+AO51+AO83+AO103)</f>
        <v>525.97448436345121</v>
      </c>
      <c r="AP195" s="3004">
        <f t="shared" si="1174"/>
        <v>525.97448436345121</v>
      </c>
      <c r="AQ195" s="3004">
        <f t="shared" si="1174"/>
        <v>0</v>
      </c>
      <c r="AR195" s="3005">
        <f t="shared" si="1174"/>
        <v>164.37</v>
      </c>
      <c r="AS195" s="3005">
        <f t="shared" si="1174"/>
        <v>164.37</v>
      </c>
      <c r="AT195" s="3005">
        <f t="shared" si="1174"/>
        <v>0</v>
      </c>
      <c r="AU195" s="3005">
        <f t="shared" si="1174"/>
        <v>159.16300000000001</v>
      </c>
      <c r="AV195" s="3005">
        <f t="shared" si="1174"/>
        <v>159.16300000000001</v>
      </c>
      <c r="AW195" s="3005">
        <f t="shared" si="1174"/>
        <v>0</v>
      </c>
      <c r="AX195" s="3005">
        <f t="shared" si="1174"/>
        <v>200.38900000000001</v>
      </c>
      <c r="AY195" s="3005">
        <f t="shared" si="1174"/>
        <v>200.38900000000001</v>
      </c>
      <c r="AZ195" s="3005">
        <f t="shared" si="1174"/>
        <v>0</v>
      </c>
      <c r="BA195" s="3005">
        <f t="shared" si="1174"/>
        <v>523.92200000000003</v>
      </c>
      <c r="BB195" s="3005">
        <f t="shared" si="1174"/>
        <v>523.92200000000003</v>
      </c>
      <c r="BC195" s="3005">
        <f t="shared" si="1174"/>
        <v>0</v>
      </c>
      <c r="BD195" s="2982">
        <f t="shared" si="1175"/>
        <v>1577.9234530903536</v>
      </c>
      <c r="BE195" s="2982">
        <f t="shared" si="1176"/>
        <v>1577.9234530903536</v>
      </c>
      <c r="BF195" s="2982">
        <f t="shared" si="1176"/>
        <v>0</v>
      </c>
      <c r="BG195" s="3006">
        <f t="shared" ref="BG195:BG223" si="1186">SUM(AI195+BA195)</f>
        <v>1716.1640000000002</v>
      </c>
      <c r="BH195" s="3006">
        <f t="shared" si="1177"/>
        <v>1716.1640000000002</v>
      </c>
      <c r="BI195" s="3006">
        <f t="shared" si="1177"/>
        <v>0</v>
      </c>
      <c r="BJ195" s="3006">
        <f t="shared" si="1178"/>
        <v>138.24054690964658</v>
      </c>
      <c r="BK195" s="3006">
        <f t="shared" si="1178"/>
        <v>138.24054690964658</v>
      </c>
      <c r="BL195" s="3006">
        <f t="shared" si="1178"/>
        <v>0</v>
      </c>
      <c r="BM195" s="3004">
        <f>SUM(BM31+BM51+BM83+BM103)</f>
        <v>525.97448436345121</v>
      </c>
      <c r="BN195" s="3004">
        <f t="shared" si="1179"/>
        <v>525.97448436345121</v>
      </c>
      <c r="BO195" s="3004">
        <f t="shared" si="1179"/>
        <v>0</v>
      </c>
      <c r="BP195" s="3005">
        <f t="shared" si="1179"/>
        <v>146.74200000000002</v>
      </c>
      <c r="BQ195" s="3005">
        <f t="shared" si="1179"/>
        <v>146.74200000000002</v>
      </c>
      <c r="BR195" s="3005">
        <f t="shared" si="1179"/>
        <v>0</v>
      </c>
      <c r="BS195" s="3005">
        <f t="shared" si="1179"/>
        <v>221.19499999999999</v>
      </c>
      <c r="BT195" s="3005">
        <f t="shared" si="1179"/>
        <v>221.19499999999999</v>
      </c>
      <c r="BU195" s="3005">
        <f t="shared" si="1179"/>
        <v>0</v>
      </c>
      <c r="BV195" s="3005">
        <f t="shared" si="1179"/>
        <v>187.58199999999999</v>
      </c>
      <c r="BW195" s="3005">
        <f t="shared" si="1179"/>
        <v>187.58199999999999</v>
      </c>
      <c r="BX195" s="3005">
        <f t="shared" si="1179"/>
        <v>0</v>
      </c>
      <c r="BY195" s="3005">
        <f t="shared" si="1179"/>
        <v>555.51899999999989</v>
      </c>
      <c r="BZ195" s="3005">
        <f t="shared" si="1179"/>
        <v>555.51899999999989</v>
      </c>
      <c r="CA195" s="3005">
        <f t="shared" si="1179"/>
        <v>0</v>
      </c>
      <c r="CB195" s="2982">
        <f t="shared" si="1180"/>
        <v>2103.8979374538048</v>
      </c>
      <c r="CC195" s="2982">
        <f t="shared" si="1181"/>
        <v>2103.8979374538048</v>
      </c>
      <c r="CD195" s="2982">
        <f t="shared" si="1181"/>
        <v>0</v>
      </c>
      <c r="CE195" s="3006">
        <f t="shared" ref="CE195:CE223" si="1187">SUM(BY195+BG195)</f>
        <v>2271.683</v>
      </c>
      <c r="CF195" s="3006">
        <f t="shared" si="1182"/>
        <v>2271.683</v>
      </c>
      <c r="CG195" s="3006">
        <f t="shared" si="1182"/>
        <v>0</v>
      </c>
      <c r="CH195" s="3006">
        <f t="shared" si="1183"/>
        <v>167.78506254619515</v>
      </c>
      <c r="CI195" s="3006">
        <f t="shared" si="1183"/>
        <v>167.78506254619515</v>
      </c>
      <c r="CJ195" s="3006">
        <f t="shared" si="1183"/>
        <v>0</v>
      </c>
      <c r="CK195" s="389"/>
      <c r="CL195" s="5"/>
    </row>
    <row r="196" spans="1:90" ht="18.75" customHeight="1" x14ac:dyDescent="0.3">
      <c r="A196" s="2989" t="s">
        <v>52</v>
      </c>
      <c r="B196" s="3004">
        <f>SUM(B32+B52+B84+B104)</f>
        <v>75.511278113272411</v>
      </c>
      <c r="C196" s="3004">
        <f t="shared" si="1170"/>
        <v>75.511278113272411</v>
      </c>
      <c r="D196" s="3004">
        <f t="shared" si="1170"/>
        <v>0</v>
      </c>
      <c r="E196" s="3005">
        <f t="shared" si="1170"/>
        <v>14.209999999999999</v>
      </c>
      <c r="F196" s="3005">
        <f t="shared" si="1170"/>
        <v>14.209999999999999</v>
      </c>
      <c r="G196" s="3005">
        <f t="shared" si="1170"/>
        <v>0</v>
      </c>
      <c r="H196" s="3005">
        <f t="shared" si="1170"/>
        <v>14.193999999999999</v>
      </c>
      <c r="I196" s="3005">
        <f t="shared" si="1170"/>
        <v>14.193999999999999</v>
      </c>
      <c r="J196" s="3005">
        <f t="shared" si="1170"/>
        <v>0</v>
      </c>
      <c r="K196" s="3005">
        <f t="shared" si="1170"/>
        <v>14.296000000000001</v>
      </c>
      <c r="L196" s="3005">
        <f t="shared" si="1170"/>
        <v>14.296000000000001</v>
      </c>
      <c r="M196" s="3005">
        <f t="shared" si="1170"/>
        <v>0</v>
      </c>
      <c r="N196" s="3005">
        <f t="shared" si="1170"/>
        <v>42.699999999999996</v>
      </c>
      <c r="O196" s="3005">
        <f t="shared" si="1170"/>
        <v>42.699999999999996</v>
      </c>
      <c r="P196" s="3005">
        <f t="shared" si="1170"/>
        <v>0</v>
      </c>
      <c r="Q196" s="3004">
        <f t="shared" si="1170"/>
        <v>75.511278113272411</v>
      </c>
      <c r="R196" s="3004">
        <f t="shared" si="1170"/>
        <v>75.511278113272411</v>
      </c>
      <c r="S196" s="3004">
        <f t="shared" si="1170"/>
        <v>0</v>
      </c>
      <c r="T196" s="3005">
        <f t="shared" si="1170"/>
        <v>14.28</v>
      </c>
      <c r="U196" s="3005">
        <f t="shared" si="1170"/>
        <v>14.28</v>
      </c>
      <c r="V196" s="3005">
        <f t="shared" si="1170"/>
        <v>0</v>
      </c>
      <c r="W196" s="3005">
        <f t="shared" si="1170"/>
        <v>14.260000000000002</v>
      </c>
      <c r="X196" s="3005">
        <f t="shared" si="1170"/>
        <v>14.260000000000002</v>
      </c>
      <c r="Y196" s="3005">
        <f t="shared" si="1170"/>
        <v>0</v>
      </c>
      <c r="Z196" s="3005">
        <f t="shared" si="1170"/>
        <v>14.295999999999999</v>
      </c>
      <c r="AA196" s="3005">
        <f t="shared" si="1170"/>
        <v>14.295999999999999</v>
      </c>
      <c r="AB196" s="3005">
        <f t="shared" si="1170"/>
        <v>0</v>
      </c>
      <c r="AC196" s="3005">
        <f t="shared" si="1170"/>
        <v>42.835999999999999</v>
      </c>
      <c r="AD196" s="3005">
        <f t="shared" si="1170"/>
        <v>42.835999999999999</v>
      </c>
      <c r="AE196" s="3005">
        <f t="shared" si="1170"/>
        <v>0</v>
      </c>
      <c r="AF196" s="2982">
        <f t="shared" si="1171"/>
        <v>151.02255622654482</v>
      </c>
      <c r="AG196" s="2982">
        <f t="shared" si="1172"/>
        <v>151.02255622654482</v>
      </c>
      <c r="AH196" s="2982">
        <f t="shared" si="1172"/>
        <v>0</v>
      </c>
      <c r="AI196" s="3006">
        <f t="shared" si="1184"/>
        <v>85.536000000000001</v>
      </c>
      <c r="AJ196" s="3006">
        <f t="shared" si="1185"/>
        <v>85.536000000000001</v>
      </c>
      <c r="AK196" s="3006">
        <f t="shared" si="1185"/>
        <v>0</v>
      </c>
      <c r="AL196" s="3006">
        <f t="shared" si="1173"/>
        <v>-65.48655622654482</v>
      </c>
      <c r="AM196" s="3006">
        <f t="shared" si="1173"/>
        <v>-65.48655622654482</v>
      </c>
      <c r="AN196" s="3006">
        <f t="shared" si="1173"/>
        <v>0</v>
      </c>
      <c r="AO196" s="3004">
        <f>SUM(AO32+AO52+AO84+AO104)</f>
        <v>75.511278113272411</v>
      </c>
      <c r="AP196" s="3004">
        <f t="shared" si="1174"/>
        <v>75.511278113272411</v>
      </c>
      <c r="AQ196" s="3004">
        <f t="shared" si="1174"/>
        <v>0</v>
      </c>
      <c r="AR196" s="3005">
        <f t="shared" si="1174"/>
        <v>14.229999999999999</v>
      </c>
      <c r="AS196" s="3005">
        <f t="shared" si="1174"/>
        <v>14.229999999999999</v>
      </c>
      <c r="AT196" s="3005">
        <f t="shared" si="1174"/>
        <v>0</v>
      </c>
      <c r="AU196" s="3005">
        <f t="shared" si="1174"/>
        <v>14.727</v>
      </c>
      <c r="AV196" s="3005">
        <f t="shared" si="1174"/>
        <v>14.727</v>
      </c>
      <c r="AW196" s="3005">
        <f t="shared" si="1174"/>
        <v>0</v>
      </c>
      <c r="AX196" s="3005">
        <f t="shared" si="1174"/>
        <v>14.297000000000001</v>
      </c>
      <c r="AY196" s="3005">
        <f t="shared" si="1174"/>
        <v>14.297000000000001</v>
      </c>
      <c r="AZ196" s="3005">
        <f t="shared" si="1174"/>
        <v>0</v>
      </c>
      <c r="BA196" s="3005">
        <f t="shared" si="1174"/>
        <v>43.253999999999998</v>
      </c>
      <c r="BB196" s="3005">
        <f t="shared" si="1174"/>
        <v>43.253999999999998</v>
      </c>
      <c r="BC196" s="3005">
        <f t="shared" si="1174"/>
        <v>0</v>
      </c>
      <c r="BD196" s="2982">
        <f t="shared" si="1175"/>
        <v>226.53383433981725</v>
      </c>
      <c r="BE196" s="2982">
        <f t="shared" si="1176"/>
        <v>226.53383433981725</v>
      </c>
      <c r="BF196" s="2982">
        <f t="shared" si="1176"/>
        <v>0</v>
      </c>
      <c r="BG196" s="3006">
        <f t="shared" si="1186"/>
        <v>128.79</v>
      </c>
      <c r="BH196" s="3006">
        <f t="shared" si="1177"/>
        <v>128.79</v>
      </c>
      <c r="BI196" s="3006">
        <f t="shared" si="1177"/>
        <v>0</v>
      </c>
      <c r="BJ196" s="3006">
        <f t="shared" si="1178"/>
        <v>-97.743834339817255</v>
      </c>
      <c r="BK196" s="3006">
        <f t="shared" si="1178"/>
        <v>-97.743834339817255</v>
      </c>
      <c r="BL196" s="3006">
        <f t="shared" si="1178"/>
        <v>0</v>
      </c>
      <c r="BM196" s="3004">
        <f>SUM(BM32+BM52+BM84+BM104)</f>
        <v>75.511278113272411</v>
      </c>
      <c r="BN196" s="3004">
        <f t="shared" si="1179"/>
        <v>75.511278113272411</v>
      </c>
      <c r="BO196" s="3004">
        <f t="shared" si="1179"/>
        <v>0</v>
      </c>
      <c r="BP196" s="3005">
        <f t="shared" si="1179"/>
        <v>14.481999999999999</v>
      </c>
      <c r="BQ196" s="3005">
        <f t="shared" si="1179"/>
        <v>14.481999999999999</v>
      </c>
      <c r="BR196" s="3005">
        <f t="shared" si="1179"/>
        <v>0</v>
      </c>
      <c r="BS196" s="3005">
        <f t="shared" si="1179"/>
        <v>14.984999999999999</v>
      </c>
      <c r="BT196" s="3005">
        <f t="shared" si="1179"/>
        <v>14.984999999999999</v>
      </c>
      <c r="BU196" s="3005">
        <f t="shared" si="1179"/>
        <v>0</v>
      </c>
      <c r="BV196" s="3005">
        <f t="shared" si="1179"/>
        <v>14.462999999999999</v>
      </c>
      <c r="BW196" s="3005">
        <f t="shared" si="1179"/>
        <v>14.462999999999999</v>
      </c>
      <c r="BX196" s="3005">
        <f t="shared" si="1179"/>
        <v>0</v>
      </c>
      <c r="BY196" s="3005">
        <f t="shared" si="1179"/>
        <v>43.93</v>
      </c>
      <c r="BZ196" s="3005">
        <f t="shared" si="1179"/>
        <v>43.93</v>
      </c>
      <c r="CA196" s="3005">
        <f t="shared" si="1179"/>
        <v>0</v>
      </c>
      <c r="CB196" s="2982">
        <f t="shared" si="1180"/>
        <v>302.04511245308964</v>
      </c>
      <c r="CC196" s="2982">
        <f t="shared" si="1181"/>
        <v>302.04511245308964</v>
      </c>
      <c r="CD196" s="2982">
        <f t="shared" si="1181"/>
        <v>0</v>
      </c>
      <c r="CE196" s="3006">
        <f t="shared" si="1187"/>
        <v>172.72</v>
      </c>
      <c r="CF196" s="3006">
        <f t="shared" si="1182"/>
        <v>172.72</v>
      </c>
      <c r="CG196" s="3006">
        <f t="shared" si="1182"/>
        <v>0</v>
      </c>
      <c r="CH196" s="3006">
        <f t="shared" si="1183"/>
        <v>-129.32511245308964</v>
      </c>
      <c r="CI196" s="3006">
        <f t="shared" si="1183"/>
        <v>-129.32511245308964</v>
      </c>
      <c r="CJ196" s="3006">
        <f t="shared" si="1183"/>
        <v>0</v>
      </c>
      <c r="CK196" s="389"/>
      <c r="CL196" s="5"/>
    </row>
    <row r="197" spans="1:90" ht="18.75" customHeight="1" x14ac:dyDescent="0.3">
      <c r="A197" s="2989" t="s">
        <v>590</v>
      </c>
      <c r="B197" s="3004">
        <f t="shared" ref="B197:AE197" si="1188">SUM(B33+B55+B86+B105)</f>
        <v>514.44788183687672</v>
      </c>
      <c r="C197" s="3004">
        <f t="shared" si="1188"/>
        <v>514.44788183687672</v>
      </c>
      <c r="D197" s="3004">
        <f t="shared" si="1188"/>
        <v>0</v>
      </c>
      <c r="E197" s="3005">
        <f t="shared" si="1188"/>
        <v>67.540000000000006</v>
      </c>
      <c r="F197" s="3005">
        <f t="shared" si="1188"/>
        <v>67.540000000000006</v>
      </c>
      <c r="G197" s="3005">
        <f t="shared" si="1188"/>
        <v>0</v>
      </c>
      <c r="H197" s="3005">
        <f t="shared" si="1188"/>
        <v>74.961999999999989</v>
      </c>
      <c r="I197" s="3005">
        <f t="shared" si="1188"/>
        <v>74.961999999999989</v>
      </c>
      <c r="J197" s="3005">
        <f t="shared" si="1188"/>
        <v>0</v>
      </c>
      <c r="K197" s="3005">
        <f t="shared" si="1188"/>
        <v>206.13899999999998</v>
      </c>
      <c r="L197" s="3005">
        <f t="shared" si="1188"/>
        <v>206.13899999999998</v>
      </c>
      <c r="M197" s="3005">
        <f t="shared" si="1188"/>
        <v>0</v>
      </c>
      <c r="N197" s="3005">
        <f t="shared" si="1188"/>
        <v>348.64099999999996</v>
      </c>
      <c r="O197" s="3005">
        <f t="shared" si="1188"/>
        <v>348.64099999999996</v>
      </c>
      <c r="P197" s="3005">
        <f t="shared" si="1188"/>
        <v>0</v>
      </c>
      <c r="Q197" s="3004">
        <f t="shared" si="1188"/>
        <v>514.44788183687672</v>
      </c>
      <c r="R197" s="3004">
        <f t="shared" si="1188"/>
        <v>514.44788183687672</v>
      </c>
      <c r="S197" s="3004">
        <f t="shared" si="1188"/>
        <v>0</v>
      </c>
      <c r="T197" s="3005">
        <f t="shared" si="1188"/>
        <v>79.44</v>
      </c>
      <c r="U197" s="3005">
        <f t="shared" si="1188"/>
        <v>79.44</v>
      </c>
      <c r="V197" s="3005">
        <f t="shared" si="1188"/>
        <v>0</v>
      </c>
      <c r="W197" s="3005">
        <f t="shared" si="1188"/>
        <v>70.52</v>
      </c>
      <c r="X197" s="3005">
        <f t="shared" si="1188"/>
        <v>70.52</v>
      </c>
      <c r="Y197" s="3005">
        <f t="shared" si="1188"/>
        <v>0</v>
      </c>
      <c r="Z197" s="3005">
        <f t="shared" si="1188"/>
        <v>64.343000000000004</v>
      </c>
      <c r="AA197" s="3005">
        <f t="shared" si="1188"/>
        <v>64.343000000000004</v>
      </c>
      <c r="AB197" s="3005">
        <f t="shared" si="1188"/>
        <v>0</v>
      </c>
      <c r="AC197" s="3005">
        <f t="shared" si="1188"/>
        <v>214.303</v>
      </c>
      <c r="AD197" s="3005">
        <f t="shared" si="1188"/>
        <v>214.303</v>
      </c>
      <c r="AE197" s="3005">
        <f t="shared" si="1188"/>
        <v>0</v>
      </c>
      <c r="AF197" s="2982">
        <f t="shared" si="1171"/>
        <v>1028.8957636737534</v>
      </c>
      <c r="AG197" s="2982">
        <f t="shared" si="1172"/>
        <v>1028.8957636737534</v>
      </c>
      <c r="AH197" s="2982">
        <f t="shared" si="1172"/>
        <v>0</v>
      </c>
      <c r="AI197" s="3006">
        <f t="shared" si="1184"/>
        <v>562.94399999999996</v>
      </c>
      <c r="AJ197" s="3006">
        <f t="shared" si="1185"/>
        <v>562.94399999999996</v>
      </c>
      <c r="AK197" s="3006">
        <f t="shared" si="1185"/>
        <v>0</v>
      </c>
      <c r="AL197" s="3006">
        <f t="shared" si="1173"/>
        <v>-465.95176367375348</v>
      </c>
      <c r="AM197" s="3006">
        <f t="shared" si="1173"/>
        <v>-465.95176367375348</v>
      </c>
      <c r="AN197" s="3006">
        <f t="shared" si="1173"/>
        <v>0</v>
      </c>
      <c r="AO197" s="3004">
        <f>SUM(AO33+AO55+AO86+AO105)</f>
        <v>514.44788183687672</v>
      </c>
      <c r="AP197" s="3004">
        <f t="shared" ref="AP197:BC197" si="1189">SUM(AP33+AP55+AP86+AP105)</f>
        <v>514.44788183687672</v>
      </c>
      <c r="AQ197" s="3004">
        <f t="shared" si="1189"/>
        <v>0</v>
      </c>
      <c r="AR197" s="3005">
        <f t="shared" si="1189"/>
        <v>53.47</v>
      </c>
      <c r="AS197" s="3005">
        <f t="shared" si="1189"/>
        <v>53.47</v>
      </c>
      <c r="AT197" s="3005">
        <f t="shared" si="1189"/>
        <v>0</v>
      </c>
      <c r="AU197" s="3005">
        <f t="shared" si="1189"/>
        <v>61.267000000000003</v>
      </c>
      <c r="AV197" s="3005">
        <f t="shared" si="1189"/>
        <v>61.267000000000003</v>
      </c>
      <c r="AW197" s="3005">
        <f t="shared" si="1189"/>
        <v>0</v>
      </c>
      <c r="AX197" s="3005">
        <f t="shared" si="1189"/>
        <v>71.634999999999991</v>
      </c>
      <c r="AY197" s="3005">
        <f t="shared" si="1189"/>
        <v>71.634999999999991</v>
      </c>
      <c r="AZ197" s="3005">
        <f t="shared" si="1189"/>
        <v>0</v>
      </c>
      <c r="BA197" s="3005">
        <f t="shared" si="1189"/>
        <v>186.37199999999999</v>
      </c>
      <c r="BB197" s="3005">
        <f t="shared" si="1189"/>
        <v>186.37199999999999</v>
      </c>
      <c r="BC197" s="3005">
        <f t="shared" si="1189"/>
        <v>0</v>
      </c>
      <c r="BD197" s="2982">
        <f t="shared" si="1175"/>
        <v>1543.3436455106303</v>
      </c>
      <c r="BE197" s="2982">
        <f t="shared" si="1176"/>
        <v>1543.3436455106303</v>
      </c>
      <c r="BF197" s="2982">
        <f t="shared" si="1176"/>
        <v>0</v>
      </c>
      <c r="BG197" s="3006">
        <f t="shared" si="1186"/>
        <v>749.31599999999992</v>
      </c>
      <c r="BH197" s="3006">
        <f t="shared" si="1177"/>
        <v>749.31599999999992</v>
      </c>
      <c r="BI197" s="3006">
        <f t="shared" si="1177"/>
        <v>0</v>
      </c>
      <c r="BJ197" s="3006">
        <f t="shared" si="1178"/>
        <v>-794.02764551063035</v>
      </c>
      <c r="BK197" s="3006">
        <f t="shared" si="1178"/>
        <v>-794.02764551063035</v>
      </c>
      <c r="BL197" s="3006">
        <f t="shared" si="1178"/>
        <v>0</v>
      </c>
      <c r="BM197" s="3004">
        <f>SUM(BM33+BM55+BM86+BM105)</f>
        <v>514.44788183687672</v>
      </c>
      <c r="BN197" s="3004">
        <f t="shared" ref="BN197:CA197" si="1190">SUM(BN33+BN55+BN86+BN105)</f>
        <v>514.44788183687672</v>
      </c>
      <c r="BO197" s="3004">
        <f t="shared" si="1190"/>
        <v>0</v>
      </c>
      <c r="BP197" s="3005">
        <f t="shared" si="1190"/>
        <v>96.83</v>
      </c>
      <c r="BQ197" s="3005">
        <f t="shared" si="1190"/>
        <v>96.83</v>
      </c>
      <c r="BR197" s="3005">
        <f t="shared" si="1190"/>
        <v>0</v>
      </c>
      <c r="BS197" s="3005">
        <f t="shared" si="1190"/>
        <v>54.282000000000004</v>
      </c>
      <c r="BT197" s="3005">
        <f t="shared" si="1190"/>
        <v>54.282000000000004</v>
      </c>
      <c r="BU197" s="3005">
        <f t="shared" si="1190"/>
        <v>0</v>
      </c>
      <c r="BV197" s="3005">
        <f t="shared" si="1190"/>
        <v>120.146</v>
      </c>
      <c r="BW197" s="3005">
        <f t="shared" si="1190"/>
        <v>120.146</v>
      </c>
      <c r="BX197" s="3005">
        <f t="shared" si="1190"/>
        <v>0</v>
      </c>
      <c r="BY197" s="3005">
        <f t="shared" si="1190"/>
        <v>271.25800000000004</v>
      </c>
      <c r="BZ197" s="3005">
        <f t="shared" si="1190"/>
        <v>271.25800000000004</v>
      </c>
      <c r="CA197" s="3005">
        <f t="shared" si="1190"/>
        <v>0</v>
      </c>
      <c r="CB197" s="2982">
        <f t="shared" si="1180"/>
        <v>2057.7915273475069</v>
      </c>
      <c r="CC197" s="2982">
        <f t="shared" si="1181"/>
        <v>2057.7915273475069</v>
      </c>
      <c r="CD197" s="2982">
        <f t="shared" si="1181"/>
        <v>0</v>
      </c>
      <c r="CE197" s="3006">
        <f t="shared" si="1187"/>
        <v>1020.574</v>
      </c>
      <c r="CF197" s="3006">
        <f t="shared" si="1182"/>
        <v>1020.574</v>
      </c>
      <c r="CG197" s="3006">
        <f t="shared" si="1182"/>
        <v>0</v>
      </c>
      <c r="CH197" s="3006">
        <f t="shared" si="1183"/>
        <v>-1037.2175273475068</v>
      </c>
      <c r="CI197" s="3006">
        <f t="shared" si="1183"/>
        <v>-1037.2175273475068</v>
      </c>
      <c r="CJ197" s="3006">
        <f t="shared" si="1183"/>
        <v>0</v>
      </c>
      <c r="CK197" s="389"/>
      <c r="CL197" s="5"/>
    </row>
    <row r="198" spans="1:90" ht="18.75" customHeight="1" x14ac:dyDescent="0.3">
      <c r="A198" s="2989" t="s">
        <v>622</v>
      </c>
      <c r="B198" s="3004">
        <f>SUM(B53)</f>
        <v>0</v>
      </c>
      <c r="C198" s="3004">
        <f t="shared" ref="C198:AE199" si="1191">SUM(C53)</f>
        <v>0</v>
      </c>
      <c r="D198" s="3004">
        <f t="shared" si="1191"/>
        <v>0</v>
      </c>
      <c r="E198" s="3005">
        <f t="shared" si="1191"/>
        <v>0</v>
      </c>
      <c r="F198" s="3005">
        <f t="shared" si="1191"/>
        <v>0</v>
      </c>
      <c r="G198" s="3005">
        <f t="shared" si="1191"/>
        <v>0</v>
      </c>
      <c r="H198" s="3005">
        <f t="shared" si="1191"/>
        <v>0</v>
      </c>
      <c r="I198" s="3005">
        <f t="shared" si="1191"/>
        <v>0</v>
      </c>
      <c r="J198" s="3005">
        <f t="shared" si="1191"/>
        <v>0</v>
      </c>
      <c r="K198" s="3005">
        <f t="shared" si="1191"/>
        <v>0</v>
      </c>
      <c r="L198" s="3005">
        <f t="shared" si="1191"/>
        <v>0</v>
      </c>
      <c r="M198" s="3005">
        <f t="shared" si="1191"/>
        <v>0</v>
      </c>
      <c r="N198" s="3005">
        <f t="shared" si="1191"/>
        <v>0</v>
      </c>
      <c r="O198" s="3005">
        <f t="shared" si="1191"/>
        <v>0</v>
      </c>
      <c r="P198" s="3005">
        <f t="shared" si="1191"/>
        <v>0</v>
      </c>
      <c r="Q198" s="3004">
        <f t="shared" si="1191"/>
        <v>0</v>
      </c>
      <c r="R198" s="3004">
        <f t="shared" si="1191"/>
        <v>0</v>
      </c>
      <c r="S198" s="3004">
        <f t="shared" si="1191"/>
        <v>0</v>
      </c>
      <c r="T198" s="3005">
        <f t="shared" si="1191"/>
        <v>0</v>
      </c>
      <c r="U198" s="3005">
        <f t="shared" si="1191"/>
        <v>0</v>
      </c>
      <c r="V198" s="3005">
        <f t="shared" si="1191"/>
        <v>0</v>
      </c>
      <c r="W198" s="3005">
        <f t="shared" si="1191"/>
        <v>0</v>
      </c>
      <c r="X198" s="3005">
        <f t="shared" si="1191"/>
        <v>0</v>
      </c>
      <c r="Y198" s="3005">
        <f t="shared" si="1191"/>
        <v>0</v>
      </c>
      <c r="Z198" s="3005">
        <f t="shared" si="1191"/>
        <v>0</v>
      </c>
      <c r="AA198" s="3005">
        <f t="shared" si="1191"/>
        <v>0</v>
      </c>
      <c r="AB198" s="3005">
        <f t="shared" si="1191"/>
        <v>0</v>
      </c>
      <c r="AC198" s="3005">
        <f t="shared" si="1191"/>
        <v>0</v>
      </c>
      <c r="AD198" s="3005">
        <f t="shared" si="1191"/>
        <v>0</v>
      </c>
      <c r="AE198" s="3005">
        <f t="shared" si="1191"/>
        <v>0</v>
      </c>
      <c r="AF198" s="2982">
        <f t="shared" si="1171"/>
        <v>0</v>
      </c>
      <c r="AG198" s="2982">
        <f t="shared" si="1172"/>
        <v>0</v>
      </c>
      <c r="AH198" s="2982">
        <f t="shared" si="1172"/>
        <v>0</v>
      </c>
      <c r="AI198" s="3006">
        <f t="shared" si="1184"/>
        <v>0</v>
      </c>
      <c r="AJ198" s="3006">
        <f t="shared" si="1185"/>
        <v>0</v>
      </c>
      <c r="AK198" s="3006">
        <f t="shared" si="1185"/>
        <v>0</v>
      </c>
      <c r="AL198" s="3006">
        <f t="shared" si="1173"/>
        <v>0</v>
      </c>
      <c r="AM198" s="3006">
        <f t="shared" si="1173"/>
        <v>0</v>
      </c>
      <c r="AN198" s="3006">
        <f t="shared" si="1173"/>
        <v>0</v>
      </c>
      <c r="AO198" s="3004">
        <f>SUM(AO53)</f>
        <v>0</v>
      </c>
      <c r="AP198" s="3004">
        <f t="shared" ref="AP198:BC199" si="1192">SUM(AP53)</f>
        <v>0</v>
      </c>
      <c r="AQ198" s="3004">
        <f t="shared" si="1192"/>
        <v>0</v>
      </c>
      <c r="AR198" s="3005">
        <f t="shared" si="1192"/>
        <v>0</v>
      </c>
      <c r="AS198" s="3005">
        <f t="shared" si="1192"/>
        <v>0</v>
      </c>
      <c r="AT198" s="3005">
        <f t="shared" si="1192"/>
        <v>0</v>
      </c>
      <c r="AU198" s="3005">
        <f t="shared" si="1192"/>
        <v>0</v>
      </c>
      <c r="AV198" s="3005">
        <f t="shared" si="1192"/>
        <v>0</v>
      </c>
      <c r="AW198" s="3005">
        <f t="shared" si="1192"/>
        <v>0</v>
      </c>
      <c r="AX198" s="3005">
        <f t="shared" si="1192"/>
        <v>0</v>
      </c>
      <c r="AY198" s="3005">
        <f t="shared" si="1192"/>
        <v>0</v>
      </c>
      <c r="AZ198" s="3005">
        <f t="shared" si="1192"/>
        <v>0</v>
      </c>
      <c r="BA198" s="3005">
        <f t="shared" si="1192"/>
        <v>0</v>
      </c>
      <c r="BB198" s="3005">
        <f t="shared" si="1192"/>
        <v>0</v>
      </c>
      <c r="BC198" s="3005">
        <f t="shared" si="1192"/>
        <v>0</v>
      </c>
      <c r="BD198" s="2982">
        <f t="shared" si="1175"/>
        <v>0</v>
      </c>
      <c r="BE198" s="2982">
        <f t="shared" si="1176"/>
        <v>0</v>
      </c>
      <c r="BF198" s="2982">
        <f t="shared" si="1176"/>
        <v>0</v>
      </c>
      <c r="BG198" s="3006">
        <f t="shared" si="1186"/>
        <v>0</v>
      </c>
      <c r="BH198" s="3006">
        <f t="shared" si="1177"/>
        <v>0</v>
      </c>
      <c r="BI198" s="3006">
        <f t="shared" si="1177"/>
        <v>0</v>
      </c>
      <c r="BJ198" s="3006">
        <f t="shared" si="1178"/>
        <v>0</v>
      </c>
      <c r="BK198" s="3006">
        <f t="shared" si="1178"/>
        <v>0</v>
      </c>
      <c r="BL198" s="3006">
        <f t="shared" si="1178"/>
        <v>0</v>
      </c>
      <c r="BM198" s="3004">
        <f>SUM(BM53)</f>
        <v>0</v>
      </c>
      <c r="BN198" s="3004">
        <f t="shared" ref="BN198:CA199" si="1193">SUM(BN53)</f>
        <v>0</v>
      </c>
      <c r="BO198" s="3004">
        <f t="shared" si="1193"/>
        <v>0</v>
      </c>
      <c r="BP198" s="3005">
        <f t="shared" si="1193"/>
        <v>10.597</v>
      </c>
      <c r="BQ198" s="3005">
        <f t="shared" si="1193"/>
        <v>10.597</v>
      </c>
      <c r="BR198" s="3005">
        <f t="shared" si="1193"/>
        <v>0</v>
      </c>
      <c r="BS198" s="3005">
        <f t="shared" si="1193"/>
        <v>0</v>
      </c>
      <c r="BT198" s="3005">
        <f t="shared" si="1193"/>
        <v>0</v>
      </c>
      <c r="BU198" s="3005">
        <f t="shared" si="1193"/>
        <v>0</v>
      </c>
      <c r="BV198" s="3005">
        <f t="shared" si="1193"/>
        <v>0</v>
      </c>
      <c r="BW198" s="3005">
        <f t="shared" si="1193"/>
        <v>0</v>
      </c>
      <c r="BX198" s="3005">
        <f t="shared" si="1193"/>
        <v>0</v>
      </c>
      <c r="BY198" s="3005">
        <f t="shared" si="1193"/>
        <v>10.597</v>
      </c>
      <c r="BZ198" s="3005">
        <f t="shared" si="1193"/>
        <v>10.597</v>
      </c>
      <c r="CA198" s="3005">
        <f t="shared" si="1193"/>
        <v>0</v>
      </c>
      <c r="CB198" s="2982">
        <f t="shared" si="1180"/>
        <v>0</v>
      </c>
      <c r="CC198" s="2982">
        <f t="shared" si="1181"/>
        <v>0</v>
      </c>
      <c r="CD198" s="2982">
        <f t="shared" si="1181"/>
        <v>0</v>
      </c>
      <c r="CE198" s="3006">
        <f t="shared" si="1187"/>
        <v>10.597</v>
      </c>
      <c r="CF198" s="3006">
        <f t="shared" si="1182"/>
        <v>10.597</v>
      </c>
      <c r="CG198" s="3006">
        <f t="shared" si="1182"/>
        <v>0</v>
      </c>
      <c r="CH198" s="3006">
        <f t="shared" si="1183"/>
        <v>10.597</v>
      </c>
      <c r="CI198" s="3006">
        <f t="shared" si="1183"/>
        <v>10.597</v>
      </c>
      <c r="CJ198" s="3006">
        <f t="shared" si="1183"/>
        <v>0</v>
      </c>
      <c r="CK198" s="389"/>
      <c r="CL198" s="5"/>
    </row>
    <row r="199" spans="1:90" ht="18.75" customHeight="1" x14ac:dyDescent="0.3">
      <c r="A199" s="2989" t="s">
        <v>624</v>
      </c>
      <c r="B199" s="3004">
        <f>SUM(B54)</f>
        <v>18.272884680378748</v>
      </c>
      <c r="C199" s="3004">
        <f t="shared" si="1191"/>
        <v>18.272884680378748</v>
      </c>
      <c r="D199" s="3004">
        <f t="shared" si="1191"/>
        <v>0</v>
      </c>
      <c r="E199" s="3005">
        <f t="shared" si="1191"/>
        <v>2.2400000000000002</v>
      </c>
      <c r="F199" s="3005">
        <f t="shared" si="1191"/>
        <v>2.2400000000000002</v>
      </c>
      <c r="G199" s="3005">
        <f t="shared" si="1191"/>
        <v>0</v>
      </c>
      <c r="H199" s="3005">
        <f t="shared" si="1191"/>
        <v>2.25</v>
      </c>
      <c r="I199" s="3005">
        <f t="shared" si="1191"/>
        <v>2.25</v>
      </c>
      <c r="J199" s="3005">
        <f t="shared" si="1191"/>
        <v>0</v>
      </c>
      <c r="K199" s="3005">
        <f t="shared" si="1191"/>
        <v>2.25</v>
      </c>
      <c r="L199" s="3005">
        <f t="shared" si="1191"/>
        <v>2.25</v>
      </c>
      <c r="M199" s="3005">
        <f t="shared" si="1191"/>
        <v>0</v>
      </c>
      <c r="N199" s="3005">
        <f t="shared" si="1191"/>
        <v>6.74</v>
      </c>
      <c r="O199" s="3005">
        <f t="shared" si="1191"/>
        <v>6.74</v>
      </c>
      <c r="P199" s="3005">
        <f t="shared" si="1191"/>
        <v>0</v>
      </c>
      <c r="Q199" s="3004">
        <f t="shared" si="1191"/>
        <v>18.272884680378748</v>
      </c>
      <c r="R199" s="3004">
        <f t="shared" si="1191"/>
        <v>18.272884680378748</v>
      </c>
      <c r="S199" s="3004">
        <f t="shared" si="1191"/>
        <v>0</v>
      </c>
      <c r="T199" s="3005">
        <f t="shared" si="1191"/>
        <v>2.25</v>
      </c>
      <c r="U199" s="3005">
        <f t="shared" si="1191"/>
        <v>2.25</v>
      </c>
      <c r="V199" s="3005">
        <f t="shared" si="1191"/>
        <v>0</v>
      </c>
      <c r="W199" s="3005">
        <f t="shared" si="1191"/>
        <v>2.16</v>
      </c>
      <c r="X199" s="3005">
        <f t="shared" si="1191"/>
        <v>2.16</v>
      </c>
      <c r="Y199" s="3005">
        <f t="shared" si="1191"/>
        <v>0</v>
      </c>
      <c r="Z199" s="3005">
        <f t="shared" si="1191"/>
        <v>1.6950000000000001</v>
      </c>
      <c r="AA199" s="3005">
        <f t="shared" si="1191"/>
        <v>1.6950000000000001</v>
      </c>
      <c r="AB199" s="3005">
        <f t="shared" si="1191"/>
        <v>0</v>
      </c>
      <c r="AC199" s="3005">
        <f t="shared" si="1191"/>
        <v>6.1050000000000004</v>
      </c>
      <c r="AD199" s="3005">
        <f t="shared" si="1191"/>
        <v>6.1050000000000004</v>
      </c>
      <c r="AE199" s="3005">
        <f t="shared" si="1191"/>
        <v>0</v>
      </c>
      <c r="AF199" s="2982">
        <f t="shared" si="1171"/>
        <v>36.545769360757497</v>
      </c>
      <c r="AG199" s="2982">
        <f t="shared" si="1172"/>
        <v>36.545769360757497</v>
      </c>
      <c r="AH199" s="2982">
        <f t="shared" si="1172"/>
        <v>0</v>
      </c>
      <c r="AI199" s="3006">
        <f t="shared" si="1184"/>
        <v>12.845000000000001</v>
      </c>
      <c r="AJ199" s="3006">
        <f t="shared" si="1185"/>
        <v>12.845000000000001</v>
      </c>
      <c r="AK199" s="3006">
        <f t="shared" si="1185"/>
        <v>0</v>
      </c>
      <c r="AL199" s="3006">
        <f t="shared" si="1173"/>
        <v>-23.700769360757498</v>
      </c>
      <c r="AM199" s="3006">
        <f t="shared" si="1173"/>
        <v>-23.700769360757498</v>
      </c>
      <c r="AN199" s="3006">
        <f t="shared" si="1173"/>
        <v>0</v>
      </c>
      <c r="AO199" s="3004">
        <f>SUM(AO54)</f>
        <v>18.272884680378748</v>
      </c>
      <c r="AP199" s="3004">
        <f t="shared" si="1192"/>
        <v>18.272884680378748</v>
      </c>
      <c r="AQ199" s="3004">
        <f t="shared" si="1192"/>
        <v>0</v>
      </c>
      <c r="AR199" s="3005">
        <f t="shared" si="1192"/>
        <v>1.7</v>
      </c>
      <c r="AS199" s="3005">
        <f t="shared" si="1192"/>
        <v>1.7</v>
      </c>
      <c r="AT199" s="3005">
        <f t="shared" si="1192"/>
        <v>0</v>
      </c>
      <c r="AU199" s="3005">
        <f t="shared" si="1192"/>
        <v>1.6950000000000001</v>
      </c>
      <c r="AV199" s="3005">
        <f t="shared" si="1192"/>
        <v>1.6950000000000001</v>
      </c>
      <c r="AW199" s="3005">
        <f t="shared" si="1192"/>
        <v>0</v>
      </c>
      <c r="AX199" s="3005">
        <f t="shared" si="1192"/>
        <v>1.6950000000000001</v>
      </c>
      <c r="AY199" s="3005">
        <f t="shared" si="1192"/>
        <v>1.6950000000000001</v>
      </c>
      <c r="AZ199" s="3005">
        <f t="shared" si="1192"/>
        <v>0</v>
      </c>
      <c r="BA199" s="3005">
        <f t="shared" si="1192"/>
        <v>5.09</v>
      </c>
      <c r="BB199" s="3005">
        <f t="shared" si="1192"/>
        <v>5.09</v>
      </c>
      <c r="BC199" s="3005">
        <f t="shared" si="1192"/>
        <v>0</v>
      </c>
      <c r="BD199" s="2982">
        <f t="shared" si="1175"/>
        <v>54.818654041136242</v>
      </c>
      <c r="BE199" s="2982">
        <f t="shared" si="1176"/>
        <v>54.818654041136242</v>
      </c>
      <c r="BF199" s="2982">
        <f t="shared" si="1176"/>
        <v>0</v>
      </c>
      <c r="BG199" s="3006">
        <f t="shared" si="1186"/>
        <v>17.935000000000002</v>
      </c>
      <c r="BH199" s="3006">
        <f t="shared" si="1177"/>
        <v>17.935000000000002</v>
      </c>
      <c r="BI199" s="3006">
        <f t="shared" si="1177"/>
        <v>0</v>
      </c>
      <c r="BJ199" s="3006">
        <f t="shared" si="1178"/>
        <v>-36.883654041136239</v>
      </c>
      <c r="BK199" s="3006">
        <f t="shared" si="1178"/>
        <v>-36.883654041136239</v>
      </c>
      <c r="BL199" s="3006">
        <f t="shared" si="1178"/>
        <v>0</v>
      </c>
      <c r="BM199" s="3004">
        <f>SUM(BM54)</f>
        <v>18.272884680378748</v>
      </c>
      <c r="BN199" s="3004">
        <f t="shared" si="1193"/>
        <v>18.272884680378748</v>
      </c>
      <c r="BO199" s="3004">
        <f t="shared" si="1193"/>
        <v>0</v>
      </c>
      <c r="BP199" s="3005">
        <f t="shared" si="1193"/>
        <v>1.6950000000000001</v>
      </c>
      <c r="BQ199" s="3005">
        <f t="shared" si="1193"/>
        <v>1.6950000000000001</v>
      </c>
      <c r="BR199" s="3005">
        <f t="shared" si="1193"/>
        <v>0</v>
      </c>
      <c r="BS199" s="3005">
        <f t="shared" si="1193"/>
        <v>1.6950000000000001</v>
      </c>
      <c r="BT199" s="3005">
        <f t="shared" si="1193"/>
        <v>1.6950000000000001</v>
      </c>
      <c r="BU199" s="3005">
        <f t="shared" si="1193"/>
        <v>0</v>
      </c>
      <c r="BV199" s="3005">
        <f t="shared" si="1193"/>
        <v>1.7</v>
      </c>
      <c r="BW199" s="3005">
        <f t="shared" si="1193"/>
        <v>1.7</v>
      </c>
      <c r="BX199" s="3005">
        <f t="shared" si="1193"/>
        <v>0</v>
      </c>
      <c r="BY199" s="3005">
        <f t="shared" si="1193"/>
        <v>5.09</v>
      </c>
      <c r="BZ199" s="3005">
        <f t="shared" si="1193"/>
        <v>5.09</v>
      </c>
      <c r="CA199" s="3005">
        <f t="shared" si="1193"/>
        <v>0</v>
      </c>
      <c r="CB199" s="2982">
        <f t="shared" si="1180"/>
        <v>73.091538721514993</v>
      </c>
      <c r="CC199" s="2982">
        <f t="shared" si="1181"/>
        <v>73.091538721514993</v>
      </c>
      <c r="CD199" s="2982">
        <f t="shared" si="1181"/>
        <v>0</v>
      </c>
      <c r="CE199" s="3006">
        <f t="shared" si="1187"/>
        <v>23.025000000000002</v>
      </c>
      <c r="CF199" s="3006">
        <f t="shared" si="1182"/>
        <v>23.025000000000002</v>
      </c>
      <c r="CG199" s="3006">
        <f t="shared" si="1182"/>
        <v>0</v>
      </c>
      <c r="CH199" s="3006">
        <f t="shared" si="1183"/>
        <v>-50.066538721514988</v>
      </c>
      <c r="CI199" s="3006">
        <f t="shared" si="1183"/>
        <v>-50.066538721514988</v>
      </c>
      <c r="CJ199" s="3006">
        <f t="shared" si="1183"/>
        <v>0</v>
      </c>
      <c r="CK199" s="389"/>
      <c r="CL199" s="5"/>
    </row>
    <row r="200" spans="1:90" ht="18.75" customHeight="1" x14ac:dyDescent="0.3">
      <c r="A200" s="2989" t="s">
        <v>42</v>
      </c>
      <c r="B200" s="3004">
        <f t="shared" ref="B200:AE207" si="1194">SUM(B56)</f>
        <v>34.209000000000003</v>
      </c>
      <c r="C200" s="3004">
        <f t="shared" si="1194"/>
        <v>34.209000000000003</v>
      </c>
      <c r="D200" s="3004">
        <f t="shared" si="1194"/>
        <v>0</v>
      </c>
      <c r="E200" s="3005">
        <f t="shared" si="1194"/>
        <v>0</v>
      </c>
      <c r="F200" s="3005">
        <f t="shared" si="1194"/>
        <v>0</v>
      </c>
      <c r="G200" s="3005">
        <f t="shared" si="1194"/>
        <v>0</v>
      </c>
      <c r="H200" s="3005">
        <f t="shared" si="1194"/>
        <v>0</v>
      </c>
      <c r="I200" s="3005">
        <f t="shared" si="1194"/>
        <v>0</v>
      </c>
      <c r="J200" s="3005">
        <f t="shared" si="1194"/>
        <v>0</v>
      </c>
      <c r="K200" s="3005">
        <f t="shared" si="1194"/>
        <v>7.2270000000000003</v>
      </c>
      <c r="L200" s="3005">
        <f t="shared" si="1194"/>
        <v>7.2270000000000003</v>
      </c>
      <c r="M200" s="3005">
        <f t="shared" si="1194"/>
        <v>0</v>
      </c>
      <c r="N200" s="3005">
        <f t="shared" si="1194"/>
        <v>7.2270000000000003</v>
      </c>
      <c r="O200" s="3005">
        <f t="shared" si="1194"/>
        <v>7.2270000000000003</v>
      </c>
      <c r="P200" s="3005">
        <f t="shared" si="1194"/>
        <v>0</v>
      </c>
      <c r="Q200" s="3004">
        <f t="shared" si="1194"/>
        <v>34.209000000000003</v>
      </c>
      <c r="R200" s="3004">
        <f t="shared" si="1194"/>
        <v>34.209000000000003</v>
      </c>
      <c r="S200" s="3004">
        <f t="shared" si="1194"/>
        <v>0</v>
      </c>
      <c r="T200" s="3005">
        <f t="shared" si="1194"/>
        <v>0</v>
      </c>
      <c r="U200" s="3005">
        <f t="shared" si="1194"/>
        <v>0</v>
      </c>
      <c r="V200" s="3005">
        <f t="shared" si="1194"/>
        <v>0</v>
      </c>
      <c r="W200" s="3005">
        <f t="shared" si="1194"/>
        <v>0</v>
      </c>
      <c r="X200" s="3005">
        <f t="shared" si="1194"/>
        <v>0</v>
      </c>
      <c r="Y200" s="3005">
        <f t="shared" si="1194"/>
        <v>0</v>
      </c>
      <c r="Z200" s="3005">
        <f t="shared" si="1194"/>
        <v>47.656999999999996</v>
      </c>
      <c r="AA200" s="3005">
        <f t="shared" si="1194"/>
        <v>47.656999999999996</v>
      </c>
      <c r="AB200" s="3005">
        <f t="shared" si="1194"/>
        <v>0</v>
      </c>
      <c r="AC200" s="3005">
        <f t="shared" si="1194"/>
        <v>47.656999999999996</v>
      </c>
      <c r="AD200" s="3005">
        <f t="shared" si="1194"/>
        <v>47.656999999999996</v>
      </c>
      <c r="AE200" s="3005">
        <f t="shared" si="1194"/>
        <v>0</v>
      </c>
      <c r="AF200" s="2982">
        <f t="shared" si="1171"/>
        <v>68.418000000000006</v>
      </c>
      <c r="AG200" s="2982">
        <f t="shared" si="1172"/>
        <v>68.418000000000006</v>
      </c>
      <c r="AH200" s="2982">
        <f t="shared" si="1172"/>
        <v>0</v>
      </c>
      <c r="AI200" s="3006">
        <f t="shared" si="1184"/>
        <v>54.884</v>
      </c>
      <c r="AJ200" s="3006">
        <f t="shared" si="1185"/>
        <v>54.884</v>
      </c>
      <c r="AK200" s="3006">
        <f t="shared" si="1185"/>
        <v>0</v>
      </c>
      <c r="AL200" s="3006">
        <f t="shared" si="1173"/>
        <v>-13.534000000000006</v>
      </c>
      <c r="AM200" s="3006">
        <f t="shared" si="1173"/>
        <v>-13.534000000000006</v>
      </c>
      <c r="AN200" s="3006">
        <f t="shared" si="1173"/>
        <v>0</v>
      </c>
      <c r="AO200" s="3004">
        <f t="shared" ref="AO200:BC207" si="1195">SUM(AO56)</f>
        <v>34.209000000000003</v>
      </c>
      <c r="AP200" s="3004">
        <f t="shared" si="1195"/>
        <v>34.209000000000003</v>
      </c>
      <c r="AQ200" s="3004">
        <f t="shared" si="1195"/>
        <v>0</v>
      </c>
      <c r="AR200" s="3005">
        <f t="shared" si="1195"/>
        <v>0</v>
      </c>
      <c r="AS200" s="3005">
        <f t="shared" si="1195"/>
        <v>0</v>
      </c>
      <c r="AT200" s="3005">
        <f t="shared" si="1195"/>
        <v>0</v>
      </c>
      <c r="AU200" s="3005">
        <f t="shared" si="1195"/>
        <v>0</v>
      </c>
      <c r="AV200" s="3005">
        <f t="shared" si="1195"/>
        <v>0</v>
      </c>
      <c r="AW200" s="3005">
        <f t="shared" si="1195"/>
        <v>0</v>
      </c>
      <c r="AX200" s="3005">
        <f t="shared" si="1195"/>
        <v>11.866999999999999</v>
      </c>
      <c r="AY200" s="3005">
        <f t="shared" si="1195"/>
        <v>11.866999999999999</v>
      </c>
      <c r="AZ200" s="3005">
        <f t="shared" si="1195"/>
        <v>0</v>
      </c>
      <c r="BA200" s="3005">
        <f t="shared" si="1195"/>
        <v>11.866999999999999</v>
      </c>
      <c r="BB200" s="3005">
        <f t="shared" si="1195"/>
        <v>11.866999999999999</v>
      </c>
      <c r="BC200" s="3005">
        <f t="shared" si="1195"/>
        <v>0</v>
      </c>
      <c r="BD200" s="2982">
        <f t="shared" si="1175"/>
        <v>102.62700000000001</v>
      </c>
      <c r="BE200" s="2982">
        <f t="shared" si="1176"/>
        <v>102.62700000000001</v>
      </c>
      <c r="BF200" s="2982">
        <f t="shared" si="1176"/>
        <v>0</v>
      </c>
      <c r="BG200" s="3006">
        <f t="shared" si="1186"/>
        <v>66.751000000000005</v>
      </c>
      <c r="BH200" s="3006">
        <f t="shared" si="1177"/>
        <v>66.751000000000005</v>
      </c>
      <c r="BI200" s="3006">
        <f t="shared" si="1177"/>
        <v>0</v>
      </c>
      <c r="BJ200" s="3006">
        <f t="shared" si="1178"/>
        <v>-35.876000000000005</v>
      </c>
      <c r="BK200" s="3006">
        <f t="shared" si="1178"/>
        <v>-35.876000000000005</v>
      </c>
      <c r="BL200" s="3006">
        <f t="shared" si="1178"/>
        <v>0</v>
      </c>
      <c r="BM200" s="3004">
        <f t="shared" ref="BM200:CA207" si="1196">SUM(BM56)</f>
        <v>34.209000000000003</v>
      </c>
      <c r="BN200" s="3004">
        <f t="shared" si="1196"/>
        <v>34.209000000000003</v>
      </c>
      <c r="BO200" s="3004">
        <f t="shared" si="1196"/>
        <v>0</v>
      </c>
      <c r="BP200" s="3005">
        <f t="shared" si="1196"/>
        <v>0</v>
      </c>
      <c r="BQ200" s="3005">
        <f t="shared" si="1196"/>
        <v>0</v>
      </c>
      <c r="BR200" s="3005">
        <f t="shared" si="1196"/>
        <v>0</v>
      </c>
      <c r="BS200" s="3005">
        <f t="shared" si="1196"/>
        <v>0</v>
      </c>
      <c r="BT200" s="3005">
        <f t="shared" si="1196"/>
        <v>0</v>
      </c>
      <c r="BU200" s="3005">
        <f t="shared" si="1196"/>
        <v>0</v>
      </c>
      <c r="BV200" s="3005">
        <f t="shared" si="1196"/>
        <v>7.8440000000000003</v>
      </c>
      <c r="BW200" s="3005">
        <f t="shared" si="1196"/>
        <v>7.8440000000000003</v>
      </c>
      <c r="BX200" s="3005">
        <f t="shared" si="1196"/>
        <v>0</v>
      </c>
      <c r="BY200" s="3005">
        <f t="shared" si="1196"/>
        <v>7.8440000000000003</v>
      </c>
      <c r="BZ200" s="3005">
        <f t="shared" si="1196"/>
        <v>7.8440000000000003</v>
      </c>
      <c r="CA200" s="3005">
        <f t="shared" si="1196"/>
        <v>0</v>
      </c>
      <c r="CB200" s="2982">
        <f t="shared" si="1180"/>
        <v>136.83600000000001</v>
      </c>
      <c r="CC200" s="2982">
        <f t="shared" si="1181"/>
        <v>136.83600000000001</v>
      </c>
      <c r="CD200" s="2982">
        <f t="shared" si="1181"/>
        <v>0</v>
      </c>
      <c r="CE200" s="3006">
        <f t="shared" si="1187"/>
        <v>74.594999999999999</v>
      </c>
      <c r="CF200" s="3006">
        <f t="shared" si="1182"/>
        <v>74.594999999999999</v>
      </c>
      <c r="CG200" s="3006">
        <f t="shared" si="1182"/>
        <v>0</v>
      </c>
      <c r="CH200" s="3006">
        <f t="shared" si="1183"/>
        <v>-62.241000000000014</v>
      </c>
      <c r="CI200" s="3006">
        <f t="shared" si="1183"/>
        <v>-62.241000000000014</v>
      </c>
      <c r="CJ200" s="3006">
        <f t="shared" si="1183"/>
        <v>0</v>
      </c>
      <c r="CK200" s="389"/>
      <c r="CL200" s="5"/>
    </row>
    <row r="201" spans="1:90" ht="18.75" customHeight="1" x14ac:dyDescent="0.3">
      <c r="A201" s="2989" t="s">
        <v>38</v>
      </c>
      <c r="B201" s="3004">
        <f t="shared" si="1194"/>
        <v>37.136721017088007</v>
      </c>
      <c r="C201" s="3004">
        <f t="shared" si="1194"/>
        <v>37.136721017088007</v>
      </c>
      <c r="D201" s="3004">
        <f t="shared" si="1194"/>
        <v>0</v>
      </c>
      <c r="E201" s="3005">
        <f t="shared" si="1194"/>
        <v>0</v>
      </c>
      <c r="F201" s="3005">
        <f t="shared" si="1194"/>
        <v>0</v>
      </c>
      <c r="G201" s="3005">
        <f t="shared" si="1194"/>
        <v>0</v>
      </c>
      <c r="H201" s="3005">
        <f t="shared" si="1194"/>
        <v>4.3</v>
      </c>
      <c r="I201" s="3005">
        <f t="shared" si="1194"/>
        <v>4.3</v>
      </c>
      <c r="J201" s="3005">
        <f t="shared" si="1194"/>
        <v>0</v>
      </c>
      <c r="K201" s="3005">
        <f t="shared" si="1194"/>
        <v>0</v>
      </c>
      <c r="L201" s="3005">
        <f t="shared" si="1194"/>
        <v>0</v>
      </c>
      <c r="M201" s="3005">
        <f t="shared" si="1194"/>
        <v>0</v>
      </c>
      <c r="N201" s="3005">
        <f t="shared" si="1194"/>
        <v>4.3</v>
      </c>
      <c r="O201" s="3005">
        <f t="shared" si="1194"/>
        <v>4.3</v>
      </c>
      <c r="P201" s="3005">
        <f t="shared" si="1194"/>
        <v>0</v>
      </c>
      <c r="Q201" s="3004">
        <f t="shared" si="1194"/>
        <v>37.136721017088007</v>
      </c>
      <c r="R201" s="3004">
        <f t="shared" si="1194"/>
        <v>37.136721017088007</v>
      </c>
      <c r="S201" s="3004">
        <f t="shared" si="1194"/>
        <v>0</v>
      </c>
      <c r="T201" s="3005">
        <f t="shared" si="1194"/>
        <v>15.72</v>
      </c>
      <c r="U201" s="3005">
        <f t="shared" si="1194"/>
        <v>15.72</v>
      </c>
      <c r="V201" s="3005">
        <f t="shared" si="1194"/>
        <v>0</v>
      </c>
      <c r="W201" s="3005">
        <f t="shared" si="1194"/>
        <v>0</v>
      </c>
      <c r="X201" s="3005">
        <f t="shared" si="1194"/>
        <v>0</v>
      </c>
      <c r="Y201" s="3005">
        <f t="shared" si="1194"/>
        <v>0</v>
      </c>
      <c r="Z201" s="3005">
        <f t="shared" si="1194"/>
        <v>0</v>
      </c>
      <c r="AA201" s="3005">
        <f t="shared" si="1194"/>
        <v>0</v>
      </c>
      <c r="AB201" s="3005">
        <f t="shared" si="1194"/>
        <v>0</v>
      </c>
      <c r="AC201" s="3005">
        <f t="shared" si="1194"/>
        <v>15.72</v>
      </c>
      <c r="AD201" s="3005">
        <f t="shared" si="1194"/>
        <v>15.72</v>
      </c>
      <c r="AE201" s="3005">
        <f t="shared" si="1194"/>
        <v>0</v>
      </c>
      <c r="AF201" s="2982">
        <f t="shared" si="1171"/>
        <v>74.273442034176014</v>
      </c>
      <c r="AG201" s="2982">
        <f t="shared" si="1172"/>
        <v>74.273442034176014</v>
      </c>
      <c r="AH201" s="2982">
        <f t="shared" si="1172"/>
        <v>0</v>
      </c>
      <c r="AI201" s="3006">
        <f t="shared" si="1184"/>
        <v>20.02</v>
      </c>
      <c r="AJ201" s="3006">
        <f t="shared" si="1185"/>
        <v>20.02</v>
      </c>
      <c r="AK201" s="3006">
        <f t="shared" si="1185"/>
        <v>0</v>
      </c>
      <c r="AL201" s="3006">
        <f t="shared" si="1173"/>
        <v>-54.253442034176018</v>
      </c>
      <c r="AM201" s="3006">
        <f t="shared" si="1173"/>
        <v>-54.253442034176018</v>
      </c>
      <c r="AN201" s="3006">
        <f t="shared" si="1173"/>
        <v>0</v>
      </c>
      <c r="AO201" s="3004">
        <f t="shared" si="1195"/>
        <v>37.136721017088007</v>
      </c>
      <c r="AP201" s="3004">
        <f t="shared" si="1195"/>
        <v>37.136721017088007</v>
      </c>
      <c r="AQ201" s="3004">
        <f t="shared" si="1195"/>
        <v>0</v>
      </c>
      <c r="AR201" s="3005">
        <f t="shared" si="1195"/>
        <v>2.2999999999999998</v>
      </c>
      <c r="AS201" s="3005">
        <f t="shared" si="1195"/>
        <v>2.2999999999999998</v>
      </c>
      <c r="AT201" s="3005">
        <f t="shared" si="1195"/>
        <v>0</v>
      </c>
      <c r="AU201" s="3005">
        <f t="shared" si="1195"/>
        <v>0</v>
      </c>
      <c r="AV201" s="3005">
        <f t="shared" si="1195"/>
        <v>0</v>
      </c>
      <c r="AW201" s="3005">
        <f t="shared" si="1195"/>
        <v>0</v>
      </c>
      <c r="AX201" s="3005">
        <f t="shared" si="1195"/>
        <v>0</v>
      </c>
      <c r="AY201" s="3005">
        <f t="shared" si="1195"/>
        <v>0</v>
      </c>
      <c r="AZ201" s="3005">
        <f t="shared" si="1195"/>
        <v>0</v>
      </c>
      <c r="BA201" s="3005">
        <f t="shared" si="1195"/>
        <v>2.2999999999999998</v>
      </c>
      <c r="BB201" s="3005">
        <f t="shared" si="1195"/>
        <v>2.2999999999999998</v>
      </c>
      <c r="BC201" s="3005">
        <f t="shared" si="1195"/>
        <v>0</v>
      </c>
      <c r="BD201" s="2982">
        <f t="shared" si="1175"/>
        <v>111.41016305126402</v>
      </c>
      <c r="BE201" s="2982">
        <f t="shared" si="1176"/>
        <v>111.41016305126402</v>
      </c>
      <c r="BF201" s="2982">
        <f t="shared" si="1176"/>
        <v>0</v>
      </c>
      <c r="BG201" s="3006">
        <f t="shared" si="1186"/>
        <v>22.32</v>
      </c>
      <c r="BH201" s="3006">
        <f t="shared" si="1177"/>
        <v>22.32</v>
      </c>
      <c r="BI201" s="3006">
        <f t="shared" si="1177"/>
        <v>0</v>
      </c>
      <c r="BJ201" s="3006">
        <f t="shared" si="1178"/>
        <v>-89.090163051264028</v>
      </c>
      <c r="BK201" s="3006">
        <f t="shared" si="1178"/>
        <v>-89.090163051264028</v>
      </c>
      <c r="BL201" s="3006">
        <f t="shared" si="1178"/>
        <v>0</v>
      </c>
      <c r="BM201" s="3004">
        <f t="shared" si="1196"/>
        <v>37.136721017088007</v>
      </c>
      <c r="BN201" s="3004">
        <f t="shared" si="1196"/>
        <v>37.136721017088007</v>
      </c>
      <c r="BO201" s="3004">
        <f t="shared" si="1196"/>
        <v>0</v>
      </c>
      <c r="BP201" s="3005">
        <f t="shared" si="1196"/>
        <v>0</v>
      </c>
      <c r="BQ201" s="3005">
        <f t="shared" si="1196"/>
        <v>0</v>
      </c>
      <c r="BR201" s="3005">
        <f t="shared" si="1196"/>
        <v>0</v>
      </c>
      <c r="BS201" s="3005">
        <f t="shared" si="1196"/>
        <v>0</v>
      </c>
      <c r="BT201" s="3005">
        <f t="shared" si="1196"/>
        <v>0</v>
      </c>
      <c r="BU201" s="3005">
        <f t="shared" si="1196"/>
        <v>0</v>
      </c>
      <c r="BV201" s="3005">
        <f t="shared" si="1196"/>
        <v>2.3079999999999998</v>
      </c>
      <c r="BW201" s="3005">
        <f t="shared" si="1196"/>
        <v>2.3079999999999998</v>
      </c>
      <c r="BX201" s="3005">
        <f t="shared" si="1196"/>
        <v>0</v>
      </c>
      <c r="BY201" s="3005">
        <f t="shared" si="1196"/>
        <v>2.3079999999999998</v>
      </c>
      <c r="BZ201" s="3005">
        <f t="shared" si="1196"/>
        <v>2.3079999999999998</v>
      </c>
      <c r="CA201" s="3005">
        <f t="shared" si="1196"/>
        <v>0</v>
      </c>
      <c r="CB201" s="2982">
        <f t="shared" ref="CB201" si="1197">SUM(BM201+BD201)</f>
        <v>148.54688406835203</v>
      </c>
      <c r="CC201" s="2982">
        <f t="shared" si="1181"/>
        <v>148.54688406835203</v>
      </c>
      <c r="CD201" s="2982">
        <f t="shared" si="1181"/>
        <v>0</v>
      </c>
      <c r="CE201" s="3006">
        <f t="shared" si="1187"/>
        <v>24.628</v>
      </c>
      <c r="CF201" s="3006">
        <f t="shared" si="1182"/>
        <v>24.628</v>
      </c>
      <c r="CG201" s="3006">
        <f t="shared" si="1182"/>
        <v>0</v>
      </c>
      <c r="CH201" s="3006">
        <f t="shared" si="1183"/>
        <v>-123.91888406835203</v>
      </c>
      <c r="CI201" s="3006">
        <f t="shared" si="1183"/>
        <v>-123.91888406835203</v>
      </c>
      <c r="CJ201" s="3006">
        <f t="shared" si="1183"/>
        <v>0</v>
      </c>
      <c r="CK201" s="389"/>
      <c r="CL201" s="5"/>
    </row>
    <row r="202" spans="1:90" ht="18.75" customHeight="1" x14ac:dyDescent="0.3">
      <c r="A202" s="2989" t="s">
        <v>592</v>
      </c>
      <c r="B202" s="3004">
        <f t="shared" si="1194"/>
        <v>0</v>
      </c>
      <c r="C202" s="3004">
        <f t="shared" si="1194"/>
        <v>0</v>
      </c>
      <c r="D202" s="3004">
        <f t="shared" si="1194"/>
        <v>0</v>
      </c>
      <c r="E202" s="3005">
        <f t="shared" si="1194"/>
        <v>0</v>
      </c>
      <c r="F202" s="3005">
        <f t="shared" si="1194"/>
        <v>0</v>
      </c>
      <c r="G202" s="3005">
        <f t="shared" si="1194"/>
        <v>0</v>
      </c>
      <c r="H202" s="3005">
        <f t="shared" si="1194"/>
        <v>0</v>
      </c>
      <c r="I202" s="3005">
        <f t="shared" si="1194"/>
        <v>0</v>
      </c>
      <c r="J202" s="3005">
        <f t="shared" si="1194"/>
        <v>0</v>
      </c>
      <c r="K202" s="3005">
        <f t="shared" si="1194"/>
        <v>0</v>
      </c>
      <c r="L202" s="3005">
        <f t="shared" si="1194"/>
        <v>0</v>
      </c>
      <c r="M202" s="3005">
        <f t="shared" si="1194"/>
        <v>0</v>
      </c>
      <c r="N202" s="3005">
        <f t="shared" si="1194"/>
        <v>0</v>
      </c>
      <c r="O202" s="3005">
        <f t="shared" si="1194"/>
        <v>0</v>
      </c>
      <c r="P202" s="3005">
        <f t="shared" si="1194"/>
        <v>0</v>
      </c>
      <c r="Q202" s="3004">
        <f t="shared" si="1194"/>
        <v>0</v>
      </c>
      <c r="R202" s="3004">
        <f t="shared" si="1194"/>
        <v>0</v>
      </c>
      <c r="S202" s="3004">
        <f t="shared" si="1194"/>
        <v>0</v>
      </c>
      <c r="T202" s="3005">
        <f t="shared" si="1194"/>
        <v>0</v>
      </c>
      <c r="U202" s="3005">
        <f t="shared" si="1194"/>
        <v>0</v>
      </c>
      <c r="V202" s="3005">
        <f t="shared" si="1194"/>
        <v>0</v>
      </c>
      <c r="W202" s="3005">
        <f t="shared" si="1194"/>
        <v>0</v>
      </c>
      <c r="X202" s="3005">
        <f t="shared" si="1194"/>
        <v>0</v>
      </c>
      <c r="Y202" s="3005">
        <f t="shared" si="1194"/>
        <v>0</v>
      </c>
      <c r="Z202" s="3005">
        <f t="shared" si="1194"/>
        <v>0</v>
      </c>
      <c r="AA202" s="3005">
        <f t="shared" si="1194"/>
        <v>0</v>
      </c>
      <c r="AB202" s="3005">
        <f t="shared" si="1194"/>
        <v>0</v>
      </c>
      <c r="AC202" s="3005">
        <f t="shared" si="1194"/>
        <v>0</v>
      </c>
      <c r="AD202" s="3005">
        <f t="shared" si="1194"/>
        <v>0</v>
      </c>
      <c r="AE202" s="3005">
        <f t="shared" si="1194"/>
        <v>0</v>
      </c>
      <c r="AF202" s="2982">
        <f t="shared" si="1171"/>
        <v>0</v>
      </c>
      <c r="AG202" s="2982">
        <f t="shared" si="1172"/>
        <v>0</v>
      </c>
      <c r="AH202" s="2982">
        <f t="shared" si="1172"/>
        <v>0</v>
      </c>
      <c r="AI202" s="3006">
        <f t="shared" si="1184"/>
        <v>0</v>
      </c>
      <c r="AJ202" s="3006">
        <f t="shared" si="1185"/>
        <v>0</v>
      </c>
      <c r="AK202" s="3006">
        <f t="shared" si="1185"/>
        <v>0</v>
      </c>
      <c r="AL202" s="3006">
        <f t="shared" si="1173"/>
        <v>0</v>
      </c>
      <c r="AM202" s="3006">
        <f t="shared" si="1173"/>
        <v>0</v>
      </c>
      <c r="AN202" s="3006">
        <f t="shared" si="1173"/>
        <v>0</v>
      </c>
      <c r="AO202" s="3004">
        <f t="shared" si="1195"/>
        <v>0</v>
      </c>
      <c r="AP202" s="3004">
        <f t="shared" si="1195"/>
        <v>0</v>
      </c>
      <c r="AQ202" s="3004">
        <f t="shared" si="1195"/>
        <v>0</v>
      </c>
      <c r="AR202" s="3005">
        <f t="shared" si="1195"/>
        <v>0</v>
      </c>
      <c r="AS202" s="3005">
        <f t="shared" si="1195"/>
        <v>0</v>
      </c>
      <c r="AT202" s="3005">
        <f t="shared" si="1195"/>
        <v>0</v>
      </c>
      <c r="AU202" s="3005">
        <f t="shared" si="1195"/>
        <v>0</v>
      </c>
      <c r="AV202" s="3005">
        <f t="shared" si="1195"/>
        <v>0</v>
      </c>
      <c r="AW202" s="3005">
        <f t="shared" si="1195"/>
        <v>0</v>
      </c>
      <c r="AX202" s="3005">
        <f t="shared" si="1195"/>
        <v>0</v>
      </c>
      <c r="AY202" s="3005">
        <f t="shared" si="1195"/>
        <v>0</v>
      </c>
      <c r="AZ202" s="3005">
        <f t="shared" si="1195"/>
        <v>0</v>
      </c>
      <c r="BA202" s="3005">
        <f t="shared" si="1195"/>
        <v>0</v>
      </c>
      <c r="BB202" s="3005">
        <f t="shared" si="1195"/>
        <v>0</v>
      </c>
      <c r="BC202" s="3005">
        <f t="shared" si="1195"/>
        <v>0</v>
      </c>
      <c r="BD202" s="2982">
        <f t="shared" si="1175"/>
        <v>0</v>
      </c>
      <c r="BE202" s="2982">
        <f t="shared" si="1176"/>
        <v>0</v>
      </c>
      <c r="BF202" s="2982">
        <f t="shared" si="1176"/>
        <v>0</v>
      </c>
      <c r="BG202" s="3006">
        <f t="shared" si="1186"/>
        <v>0</v>
      </c>
      <c r="BH202" s="3006">
        <f t="shared" si="1177"/>
        <v>0</v>
      </c>
      <c r="BI202" s="3006">
        <f t="shared" si="1177"/>
        <v>0</v>
      </c>
      <c r="BJ202" s="3006">
        <f t="shared" si="1178"/>
        <v>0</v>
      </c>
      <c r="BK202" s="3006">
        <f t="shared" si="1178"/>
        <v>0</v>
      </c>
      <c r="BL202" s="3006">
        <f t="shared" si="1178"/>
        <v>0</v>
      </c>
      <c r="BM202" s="3004">
        <f t="shared" si="1196"/>
        <v>0</v>
      </c>
      <c r="BN202" s="3004">
        <f t="shared" si="1196"/>
        <v>0</v>
      </c>
      <c r="BO202" s="3004">
        <f t="shared" si="1196"/>
        <v>0</v>
      </c>
      <c r="BP202" s="3005">
        <f t="shared" si="1196"/>
        <v>0</v>
      </c>
      <c r="BQ202" s="3005">
        <f t="shared" si="1196"/>
        <v>0</v>
      </c>
      <c r="BR202" s="3005">
        <f t="shared" si="1196"/>
        <v>0</v>
      </c>
      <c r="BS202" s="3005">
        <f t="shared" si="1196"/>
        <v>0</v>
      </c>
      <c r="BT202" s="3005">
        <f t="shared" si="1196"/>
        <v>0</v>
      </c>
      <c r="BU202" s="3005">
        <f t="shared" si="1196"/>
        <v>0</v>
      </c>
      <c r="BV202" s="3005">
        <f t="shared" si="1196"/>
        <v>0</v>
      </c>
      <c r="BW202" s="3005">
        <f t="shared" si="1196"/>
        <v>0</v>
      </c>
      <c r="BX202" s="3005">
        <f t="shared" si="1196"/>
        <v>0</v>
      </c>
      <c r="BY202" s="3005">
        <f t="shared" si="1196"/>
        <v>0</v>
      </c>
      <c r="BZ202" s="3005">
        <f t="shared" si="1196"/>
        <v>0</v>
      </c>
      <c r="CA202" s="3005">
        <f t="shared" si="1196"/>
        <v>0</v>
      </c>
      <c r="CB202" s="2982">
        <f t="shared" si="1180"/>
        <v>0</v>
      </c>
      <c r="CC202" s="2982">
        <f t="shared" si="1181"/>
        <v>0</v>
      </c>
      <c r="CD202" s="2982">
        <f t="shared" si="1181"/>
        <v>0</v>
      </c>
      <c r="CE202" s="3006">
        <f t="shared" si="1187"/>
        <v>0</v>
      </c>
      <c r="CF202" s="3006">
        <f t="shared" si="1182"/>
        <v>0</v>
      </c>
      <c r="CG202" s="3006">
        <f t="shared" si="1182"/>
        <v>0</v>
      </c>
      <c r="CH202" s="3006">
        <f t="shared" si="1183"/>
        <v>0</v>
      </c>
      <c r="CI202" s="3006">
        <f t="shared" si="1183"/>
        <v>0</v>
      </c>
      <c r="CJ202" s="3006">
        <f t="shared" si="1183"/>
        <v>0</v>
      </c>
      <c r="CK202" s="389"/>
      <c r="CL202" s="5"/>
    </row>
    <row r="203" spans="1:90" ht="18.75" customHeight="1" x14ac:dyDescent="0.3">
      <c r="A203" s="2989" t="s">
        <v>95</v>
      </c>
      <c r="B203" s="3004">
        <f t="shared" si="1194"/>
        <v>35.44</v>
      </c>
      <c r="C203" s="3004">
        <f t="shared" si="1194"/>
        <v>35.44</v>
      </c>
      <c r="D203" s="3004">
        <f t="shared" si="1194"/>
        <v>0</v>
      </c>
      <c r="E203" s="3005">
        <f t="shared" si="1194"/>
        <v>0</v>
      </c>
      <c r="F203" s="3005">
        <f t="shared" si="1194"/>
        <v>0</v>
      </c>
      <c r="G203" s="3005">
        <f t="shared" si="1194"/>
        <v>0</v>
      </c>
      <c r="H203" s="3005">
        <f t="shared" si="1194"/>
        <v>0</v>
      </c>
      <c r="I203" s="3005">
        <f t="shared" si="1194"/>
        <v>0</v>
      </c>
      <c r="J203" s="3005">
        <f t="shared" si="1194"/>
        <v>0</v>
      </c>
      <c r="K203" s="3005">
        <f t="shared" si="1194"/>
        <v>14.37</v>
      </c>
      <c r="L203" s="3005">
        <f t="shared" si="1194"/>
        <v>14.37</v>
      </c>
      <c r="M203" s="3005">
        <f t="shared" si="1194"/>
        <v>0</v>
      </c>
      <c r="N203" s="3005">
        <f t="shared" si="1194"/>
        <v>14.37</v>
      </c>
      <c r="O203" s="3005">
        <f t="shared" si="1194"/>
        <v>14.37</v>
      </c>
      <c r="P203" s="3005">
        <f t="shared" si="1194"/>
        <v>0</v>
      </c>
      <c r="Q203" s="3004">
        <f t="shared" si="1194"/>
        <v>35.44</v>
      </c>
      <c r="R203" s="3004">
        <f t="shared" si="1194"/>
        <v>35.44</v>
      </c>
      <c r="S203" s="3004">
        <f t="shared" si="1194"/>
        <v>0</v>
      </c>
      <c r="T203" s="3005">
        <f t="shared" si="1194"/>
        <v>0</v>
      </c>
      <c r="U203" s="3005">
        <f t="shared" si="1194"/>
        <v>0</v>
      </c>
      <c r="V203" s="3005">
        <f t="shared" si="1194"/>
        <v>0</v>
      </c>
      <c r="W203" s="3005">
        <f t="shared" si="1194"/>
        <v>0</v>
      </c>
      <c r="X203" s="3005">
        <f t="shared" si="1194"/>
        <v>0</v>
      </c>
      <c r="Y203" s="3005">
        <f t="shared" si="1194"/>
        <v>0</v>
      </c>
      <c r="Z203" s="3005">
        <f t="shared" si="1194"/>
        <v>14.529</v>
      </c>
      <c r="AA203" s="3005">
        <f t="shared" si="1194"/>
        <v>14.529</v>
      </c>
      <c r="AB203" s="3005">
        <f t="shared" si="1194"/>
        <v>0</v>
      </c>
      <c r="AC203" s="3005">
        <f t="shared" si="1194"/>
        <v>14.529</v>
      </c>
      <c r="AD203" s="3005">
        <f t="shared" si="1194"/>
        <v>14.529</v>
      </c>
      <c r="AE203" s="3005">
        <f t="shared" si="1194"/>
        <v>0</v>
      </c>
      <c r="AF203" s="2982">
        <f t="shared" si="1171"/>
        <v>70.88</v>
      </c>
      <c r="AG203" s="2982">
        <f t="shared" si="1172"/>
        <v>70.88</v>
      </c>
      <c r="AH203" s="2982">
        <f t="shared" si="1172"/>
        <v>0</v>
      </c>
      <c r="AI203" s="3006">
        <f t="shared" si="1184"/>
        <v>28.899000000000001</v>
      </c>
      <c r="AJ203" s="3006">
        <f t="shared" si="1185"/>
        <v>28.899000000000001</v>
      </c>
      <c r="AK203" s="3006">
        <f t="shared" si="1185"/>
        <v>0</v>
      </c>
      <c r="AL203" s="3006">
        <f t="shared" si="1173"/>
        <v>-41.980999999999995</v>
      </c>
      <c r="AM203" s="3006">
        <f t="shared" si="1173"/>
        <v>-41.980999999999995</v>
      </c>
      <c r="AN203" s="3006">
        <f t="shared" si="1173"/>
        <v>0</v>
      </c>
      <c r="AO203" s="3004">
        <f t="shared" si="1195"/>
        <v>35.44</v>
      </c>
      <c r="AP203" s="3004">
        <f t="shared" si="1195"/>
        <v>35.44</v>
      </c>
      <c r="AQ203" s="3004">
        <f t="shared" si="1195"/>
        <v>0</v>
      </c>
      <c r="AR203" s="3005">
        <f t="shared" si="1195"/>
        <v>0</v>
      </c>
      <c r="AS203" s="3005">
        <f t="shared" si="1195"/>
        <v>0</v>
      </c>
      <c r="AT203" s="3005">
        <f t="shared" si="1195"/>
        <v>0</v>
      </c>
      <c r="AU203" s="3005">
        <f t="shared" si="1195"/>
        <v>0</v>
      </c>
      <c r="AV203" s="3005">
        <f t="shared" si="1195"/>
        <v>0</v>
      </c>
      <c r="AW203" s="3005">
        <f t="shared" si="1195"/>
        <v>0</v>
      </c>
      <c r="AX203" s="3005">
        <f t="shared" si="1195"/>
        <v>14.689</v>
      </c>
      <c r="AY203" s="3005">
        <f t="shared" si="1195"/>
        <v>14.689</v>
      </c>
      <c r="AZ203" s="3005">
        <f t="shared" si="1195"/>
        <v>0</v>
      </c>
      <c r="BA203" s="3005">
        <f t="shared" si="1195"/>
        <v>14.689</v>
      </c>
      <c r="BB203" s="3005">
        <f t="shared" si="1195"/>
        <v>14.689</v>
      </c>
      <c r="BC203" s="3005">
        <f t="shared" si="1195"/>
        <v>0</v>
      </c>
      <c r="BD203" s="2982">
        <f t="shared" si="1175"/>
        <v>106.32</v>
      </c>
      <c r="BE203" s="2982">
        <f t="shared" si="1176"/>
        <v>106.32</v>
      </c>
      <c r="BF203" s="2982">
        <f t="shared" si="1176"/>
        <v>0</v>
      </c>
      <c r="BG203" s="3006">
        <f t="shared" si="1186"/>
        <v>43.588000000000001</v>
      </c>
      <c r="BH203" s="3006">
        <f t="shared" si="1177"/>
        <v>43.588000000000001</v>
      </c>
      <c r="BI203" s="3006">
        <f t="shared" si="1177"/>
        <v>0</v>
      </c>
      <c r="BJ203" s="3006">
        <f t="shared" si="1178"/>
        <v>-62.731999999999992</v>
      </c>
      <c r="BK203" s="3006">
        <f t="shared" si="1178"/>
        <v>-62.731999999999992</v>
      </c>
      <c r="BL203" s="3006">
        <f t="shared" si="1178"/>
        <v>0</v>
      </c>
      <c r="BM203" s="3004">
        <f t="shared" si="1196"/>
        <v>35.44</v>
      </c>
      <c r="BN203" s="3004">
        <f t="shared" si="1196"/>
        <v>35.44</v>
      </c>
      <c r="BO203" s="3004">
        <f t="shared" si="1196"/>
        <v>0</v>
      </c>
      <c r="BP203" s="3005">
        <f t="shared" si="1196"/>
        <v>0</v>
      </c>
      <c r="BQ203" s="3005">
        <f t="shared" si="1196"/>
        <v>0</v>
      </c>
      <c r="BR203" s="3005">
        <f t="shared" si="1196"/>
        <v>0</v>
      </c>
      <c r="BS203" s="3005">
        <f t="shared" si="1196"/>
        <v>0</v>
      </c>
      <c r="BT203" s="3005">
        <f t="shared" si="1196"/>
        <v>0</v>
      </c>
      <c r="BU203" s="3005">
        <f t="shared" si="1196"/>
        <v>0</v>
      </c>
      <c r="BV203" s="3005">
        <f t="shared" si="1196"/>
        <v>14.689</v>
      </c>
      <c r="BW203" s="3005">
        <f t="shared" si="1196"/>
        <v>14.689</v>
      </c>
      <c r="BX203" s="3005">
        <f t="shared" si="1196"/>
        <v>0</v>
      </c>
      <c r="BY203" s="3005">
        <f t="shared" si="1196"/>
        <v>14.689</v>
      </c>
      <c r="BZ203" s="3005">
        <f t="shared" si="1196"/>
        <v>14.689</v>
      </c>
      <c r="CA203" s="3005">
        <f t="shared" si="1196"/>
        <v>0</v>
      </c>
      <c r="CB203" s="2982">
        <f t="shared" si="1180"/>
        <v>141.76</v>
      </c>
      <c r="CC203" s="2982">
        <f t="shared" si="1181"/>
        <v>141.76</v>
      </c>
      <c r="CD203" s="2982">
        <f t="shared" si="1181"/>
        <v>0</v>
      </c>
      <c r="CE203" s="3006">
        <f t="shared" si="1187"/>
        <v>58.277000000000001</v>
      </c>
      <c r="CF203" s="3006">
        <f t="shared" si="1182"/>
        <v>58.277000000000001</v>
      </c>
      <c r="CG203" s="3006">
        <f t="shared" si="1182"/>
        <v>0</v>
      </c>
      <c r="CH203" s="3006">
        <f t="shared" si="1183"/>
        <v>-83.48299999999999</v>
      </c>
      <c r="CI203" s="3006">
        <f t="shared" si="1183"/>
        <v>-83.48299999999999</v>
      </c>
      <c r="CJ203" s="3006">
        <f t="shared" si="1183"/>
        <v>0</v>
      </c>
      <c r="CK203" s="389"/>
      <c r="CL203" s="5"/>
    </row>
    <row r="204" spans="1:90" ht="18.75" customHeight="1" x14ac:dyDescent="0.3">
      <c r="A204" s="2989" t="s">
        <v>593</v>
      </c>
      <c r="B204" s="3004">
        <f t="shared" si="1194"/>
        <v>32.622999999999998</v>
      </c>
      <c r="C204" s="3004">
        <f t="shared" si="1194"/>
        <v>32.622999999999998</v>
      </c>
      <c r="D204" s="3004">
        <f t="shared" si="1194"/>
        <v>0</v>
      </c>
      <c r="E204" s="3005">
        <f t="shared" si="1194"/>
        <v>0</v>
      </c>
      <c r="F204" s="3005">
        <f t="shared" si="1194"/>
        <v>0</v>
      </c>
      <c r="G204" s="3005">
        <f t="shared" si="1194"/>
        <v>0</v>
      </c>
      <c r="H204" s="3005">
        <f t="shared" si="1194"/>
        <v>0</v>
      </c>
      <c r="I204" s="3005">
        <f t="shared" si="1194"/>
        <v>0</v>
      </c>
      <c r="J204" s="3005">
        <f t="shared" si="1194"/>
        <v>0</v>
      </c>
      <c r="K204" s="3005">
        <f t="shared" si="1194"/>
        <v>0</v>
      </c>
      <c r="L204" s="3005">
        <f t="shared" si="1194"/>
        <v>0</v>
      </c>
      <c r="M204" s="3005">
        <f t="shared" si="1194"/>
        <v>0</v>
      </c>
      <c r="N204" s="3005">
        <f t="shared" si="1194"/>
        <v>0</v>
      </c>
      <c r="O204" s="3005">
        <f t="shared" si="1194"/>
        <v>0</v>
      </c>
      <c r="P204" s="3005">
        <f t="shared" si="1194"/>
        <v>0</v>
      </c>
      <c r="Q204" s="3004">
        <f t="shared" si="1194"/>
        <v>32.622999999999998</v>
      </c>
      <c r="R204" s="3004">
        <f t="shared" si="1194"/>
        <v>32.622999999999998</v>
      </c>
      <c r="S204" s="3004">
        <f t="shared" si="1194"/>
        <v>0</v>
      </c>
      <c r="T204" s="3005">
        <f t="shared" si="1194"/>
        <v>0.23</v>
      </c>
      <c r="U204" s="3005">
        <f t="shared" si="1194"/>
        <v>0.23</v>
      </c>
      <c r="V204" s="3005">
        <f t="shared" si="1194"/>
        <v>0</v>
      </c>
      <c r="W204" s="3005">
        <f t="shared" si="1194"/>
        <v>15.21</v>
      </c>
      <c r="X204" s="3005">
        <f t="shared" si="1194"/>
        <v>15.21</v>
      </c>
      <c r="Y204" s="3005">
        <f t="shared" si="1194"/>
        <v>0</v>
      </c>
      <c r="Z204" s="3005">
        <f t="shared" si="1194"/>
        <v>1.6080000000000001</v>
      </c>
      <c r="AA204" s="3005">
        <f t="shared" si="1194"/>
        <v>1.6080000000000001</v>
      </c>
      <c r="AB204" s="3005">
        <f t="shared" si="1194"/>
        <v>0</v>
      </c>
      <c r="AC204" s="3005">
        <f t="shared" si="1194"/>
        <v>17.048000000000002</v>
      </c>
      <c r="AD204" s="3005">
        <f t="shared" si="1194"/>
        <v>17.048000000000002</v>
      </c>
      <c r="AE204" s="3005">
        <f t="shared" si="1194"/>
        <v>0</v>
      </c>
      <c r="AF204" s="2982">
        <f t="shared" si="1171"/>
        <v>65.245999999999995</v>
      </c>
      <c r="AG204" s="2982">
        <f t="shared" si="1172"/>
        <v>65.245999999999995</v>
      </c>
      <c r="AH204" s="2982">
        <f t="shared" si="1172"/>
        <v>0</v>
      </c>
      <c r="AI204" s="3006">
        <f t="shared" si="1184"/>
        <v>17.048000000000002</v>
      </c>
      <c r="AJ204" s="3006">
        <f t="shared" si="1185"/>
        <v>17.048000000000002</v>
      </c>
      <c r="AK204" s="3006">
        <f t="shared" si="1185"/>
        <v>0</v>
      </c>
      <c r="AL204" s="3006">
        <f t="shared" si="1173"/>
        <v>-48.197999999999993</v>
      </c>
      <c r="AM204" s="3006">
        <f t="shared" si="1173"/>
        <v>-48.197999999999993</v>
      </c>
      <c r="AN204" s="3006">
        <f t="shared" si="1173"/>
        <v>0</v>
      </c>
      <c r="AO204" s="3004">
        <f t="shared" si="1195"/>
        <v>32.622999999999998</v>
      </c>
      <c r="AP204" s="3004">
        <f t="shared" si="1195"/>
        <v>32.622999999999998</v>
      </c>
      <c r="AQ204" s="3004">
        <f t="shared" si="1195"/>
        <v>0</v>
      </c>
      <c r="AR204" s="3005">
        <f t="shared" si="1195"/>
        <v>9.1999999999999993</v>
      </c>
      <c r="AS204" s="3005">
        <f t="shared" si="1195"/>
        <v>9.1999999999999993</v>
      </c>
      <c r="AT204" s="3005">
        <f t="shared" si="1195"/>
        <v>0</v>
      </c>
      <c r="AU204" s="3005">
        <f t="shared" si="1195"/>
        <v>4.242</v>
      </c>
      <c r="AV204" s="3005">
        <f t="shared" si="1195"/>
        <v>4.242</v>
      </c>
      <c r="AW204" s="3005">
        <f t="shared" si="1195"/>
        <v>0</v>
      </c>
      <c r="AX204" s="3005">
        <f t="shared" si="1195"/>
        <v>0</v>
      </c>
      <c r="AY204" s="3005">
        <f t="shared" si="1195"/>
        <v>0</v>
      </c>
      <c r="AZ204" s="3005">
        <f t="shared" si="1195"/>
        <v>0</v>
      </c>
      <c r="BA204" s="3005">
        <f t="shared" si="1195"/>
        <v>13.442</v>
      </c>
      <c r="BB204" s="3005">
        <f t="shared" si="1195"/>
        <v>13.442</v>
      </c>
      <c r="BC204" s="3005">
        <f t="shared" si="1195"/>
        <v>0</v>
      </c>
      <c r="BD204" s="2982">
        <f t="shared" si="1175"/>
        <v>97.869</v>
      </c>
      <c r="BE204" s="2982">
        <f t="shared" si="1176"/>
        <v>97.869</v>
      </c>
      <c r="BF204" s="2982">
        <f t="shared" si="1176"/>
        <v>0</v>
      </c>
      <c r="BG204" s="3006">
        <f t="shared" si="1186"/>
        <v>30.490000000000002</v>
      </c>
      <c r="BH204" s="3006">
        <f t="shared" si="1177"/>
        <v>30.490000000000002</v>
      </c>
      <c r="BI204" s="3006">
        <f t="shared" si="1177"/>
        <v>0</v>
      </c>
      <c r="BJ204" s="3006">
        <f t="shared" si="1178"/>
        <v>-67.378999999999991</v>
      </c>
      <c r="BK204" s="3006">
        <f t="shared" si="1178"/>
        <v>-67.378999999999991</v>
      </c>
      <c r="BL204" s="3006">
        <f t="shared" si="1178"/>
        <v>0</v>
      </c>
      <c r="BM204" s="3004">
        <f t="shared" si="1196"/>
        <v>32.622999999999998</v>
      </c>
      <c r="BN204" s="3004">
        <f t="shared" si="1196"/>
        <v>32.622999999999998</v>
      </c>
      <c r="BO204" s="3004">
        <f t="shared" si="1196"/>
        <v>0</v>
      </c>
      <c r="BP204" s="3005">
        <f t="shared" si="1196"/>
        <v>0</v>
      </c>
      <c r="BQ204" s="3005">
        <f t="shared" si="1196"/>
        <v>0</v>
      </c>
      <c r="BR204" s="3005">
        <f t="shared" si="1196"/>
        <v>0</v>
      </c>
      <c r="BS204" s="3005">
        <f t="shared" si="1196"/>
        <v>2.5</v>
      </c>
      <c r="BT204" s="3005">
        <f t="shared" si="1196"/>
        <v>2.5</v>
      </c>
      <c r="BU204" s="3005">
        <f t="shared" si="1196"/>
        <v>0</v>
      </c>
      <c r="BV204" s="3005">
        <f t="shared" si="1196"/>
        <v>19.626999999999999</v>
      </c>
      <c r="BW204" s="3005">
        <f t="shared" si="1196"/>
        <v>19.626999999999999</v>
      </c>
      <c r="BX204" s="3005">
        <f t="shared" si="1196"/>
        <v>0</v>
      </c>
      <c r="BY204" s="3005">
        <f t="shared" si="1196"/>
        <v>22.126999999999999</v>
      </c>
      <c r="BZ204" s="3005">
        <f t="shared" si="1196"/>
        <v>22.126999999999999</v>
      </c>
      <c r="CA204" s="3005">
        <f t="shared" si="1196"/>
        <v>0</v>
      </c>
      <c r="CB204" s="2982">
        <f t="shared" si="1180"/>
        <v>130.49199999999999</v>
      </c>
      <c r="CC204" s="2982">
        <f t="shared" si="1181"/>
        <v>130.49199999999999</v>
      </c>
      <c r="CD204" s="2982">
        <f t="shared" si="1181"/>
        <v>0</v>
      </c>
      <c r="CE204" s="3006">
        <f t="shared" si="1187"/>
        <v>52.617000000000004</v>
      </c>
      <c r="CF204" s="3006">
        <f t="shared" si="1182"/>
        <v>52.617000000000004</v>
      </c>
      <c r="CG204" s="3006">
        <f t="shared" si="1182"/>
        <v>0</v>
      </c>
      <c r="CH204" s="3006">
        <f t="shared" si="1183"/>
        <v>-77.874999999999986</v>
      </c>
      <c r="CI204" s="3006">
        <f t="shared" si="1183"/>
        <v>-77.874999999999986</v>
      </c>
      <c r="CJ204" s="3006">
        <f t="shared" si="1183"/>
        <v>0</v>
      </c>
      <c r="CK204" s="389"/>
      <c r="CL204" s="5"/>
    </row>
    <row r="205" spans="1:90" ht="18.75" customHeight="1" x14ac:dyDescent="0.3">
      <c r="A205" s="2989" t="s">
        <v>596</v>
      </c>
      <c r="B205" s="3004">
        <f t="shared" si="1194"/>
        <v>140.78447459999998</v>
      </c>
      <c r="C205" s="3004">
        <f t="shared" si="1194"/>
        <v>140.78447459999998</v>
      </c>
      <c r="D205" s="3004">
        <f t="shared" si="1194"/>
        <v>0</v>
      </c>
      <c r="E205" s="3005">
        <f t="shared" si="1194"/>
        <v>5.798</v>
      </c>
      <c r="F205" s="3005">
        <f t="shared" si="1194"/>
        <v>5.798</v>
      </c>
      <c r="G205" s="3005">
        <f t="shared" si="1194"/>
        <v>0</v>
      </c>
      <c r="H205" s="3005">
        <f t="shared" si="1194"/>
        <v>0</v>
      </c>
      <c r="I205" s="3005">
        <f t="shared" si="1194"/>
        <v>0</v>
      </c>
      <c r="J205" s="3005">
        <f t="shared" si="1194"/>
        <v>0</v>
      </c>
      <c r="K205" s="3005">
        <f t="shared" si="1194"/>
        <v>0</v>
      </c>
      <c r="L205" s="3005">
        <f t="shared" si="1194"/>
        <v>0</v>
      </c>
      <c r="M205" s="3005">
        <f t="shared" si="1194"/>
        <v>0</v>
      </c>
      <c r="N205" s="3005">
        <f t="shared" si="1194"/>
        <v>5.798</v>
      </c>
      <c r="O205" s="3005">
        <f t="shared" si="1194"/>
        <v>5.798</v>
      </c>
      <c r="P205" s="3005">
        <f t="shared" si="1194"/>
        <v>0</v>
      </c>
      <c r="Q205" s="3004">
        <f t="shared" si="1194"/>
        <v>140.78447459999998</v>
      </c>
      <c r="R205" s="3004">
        <f t="shared" si="1194"/>
        <v>140.78447459999998</v>
      </c>
      <c r="S205" s="3004">
        <f t="shared" si="1194"/>
        <v>0</v>
      </c>
      <c r="T205" s="3005">
        <f t="shared" si="1194"/>
        <v>0</v>
      </c>
      <c r="U205" s="3005">
        <f t="shared" si="1194"/>
        <v>0</v>
      </c>
      <c r="V205" s="3005">
        <f t="shared" si="1194"/>
        <v>0</v>
      </c>
      <c r="W205" s="3005">
        <f t="shared" si="1194"/>
        <v>0</v>
      </c>
      <c r="X205" s="3005">
        <f t="shared" si="1194"/>
        <v>0</v>
      </c>
      <c r="Y205" s="3005">
        <f t="shared" si="1194"/>
        <v>0</v>
      </c>
      <c r="Z205" s="3005">
        <f t="shared" si="1194"/>
        <v>0</v>
      </c>
      <c r="AA205" s="3005">
        <f t="shared" si="1194"/>
        <v>0</v>
      </c>
      <c r="AB205" s="3005">
        <f t="shared" si="1194"/>
        <v>0</v>
      </c>
      <c r="AC205" s="3005">
        <f t="shared" si="1194"/>
        <v>0</v>
      </c>
      <c r="AD205" s="3005">
        <f t="shared" si="1194"/>
        <v>0</v>
      </c>
      <c r="AE205" s="3005">
        <f t="shared" si="1194"/>
        <v>0</v>
      </c>
      <c r="AF205" s="2982">
        <f t="shared" si="1171"/>
        <v>281.56894919999996</v>
      </c>
      <c r="AG205" s="2982">
        <f t="shared" si="1172"/>
        <v>281.56894919999996</v>
      </c>
      <c r="AH205" s="2982">
        <f t="shared" si="1172"/>
        <v>0</v>
      </c>
      <c r="AI205" s="3006">
        <f t="shared" si="1184"/>
        <v>5.798</v>
      </c>
      <c r="AJ205" s="3006">
        <f t="shared" si="1185"/>
        <v>5.798</v>
      </c>
      <c r="AK205" s="3006">
        <f t="shared" si="1185"/>
        <v>0</v>
      </c>
      <c r="AL205" s="3006">
        <f t="shared" si="1173"/>
        <v>-275.77094919999996</v>
      </c>
      <c r="AM205" s="3006">
        <f t="shared" si="1173"/>
        <v>-275.77094919999996</v>
      </c>
      <c r="AN205" s="3006">
        <f t="shared" si="1173"/>
        <v>0</v>
      </c>
      <c r="AO205" s="3004">
        <f t="shared" si="1195"/>
        <v>140.78447459999998</v>
      </c>
      <c r="AP205" s="3004">
        <f t="shared" si="1195"/>
        <v>140.78447459999998</v>
      </c>
      <c r="AQ205" s="3004">
        <f t="shared" si="1195"/>
        <v>0</v>
      </c>
      <c r="AR205" s="3005">
        <f t="shared" si="1195"/>
        <v>0</v>
      </c>
      <c r="AS205" s="3005">
        <f t="shared" si="1195"/>
        <v>0</v>
      </c>
      <c r="AT205" s="3005">
        <f t="shared" si="1195"/>
        <v>0</v>
      </c>
      <c r="AU205" s="3005">
        <f t="shared" si="1195"/>
        <v>0</v>
      </c>
      <c r="AV205" s="3005">
        <f t="shared" si="1195"/>
        <v>0</v>
      </c>
      <c r="AW205" s="3005">
        <f t="shared" si="1195"/>
        <v>0</v>
      </c>
      <c r="AX205" s="3005">
        <f t="shared" si="1195"/>
        <v>0</v>
      </c>
      <c r="AY205" s="3005">
        <f t="shared" si="1195"/>
        <v>0</v>
      </c>
      <c r="AZ205" s="3005">
        <f t="shared" si="1195"/>
        <v>0</v>
      </c>
      <c r="BA205" s="3005">
        <f t="shared" si="1195"/>
        <v>0</v>
      </c>
      <c r="BB205" s="3005">
        <f t="shared" si="1195"/>
        <v>0</v>
      </c>
      <c r="BC205" s="3005">
        <f t="shared" si="1195"/>
        <v>0</v>
      </c>
      <c r="BD205" s="2982">
        <f t="shared" si="1175"/>
        <v>422.35342379999997</v>
      </c>
      <c r="BE205" s="2982">
        <f t="shared" si="1176"/>
        <v>422.35342379999997</v>
      </c>
      <c r="BF205" s="2982">
        <f t="shared" si="1176"/>
        <v>0</v>
      </c>
      <c r="BG205" s="3006">
        <f t="shared" si="1186"/>
        <v>5.798</v>
      </c>
      <c r="BH205" s="3006">
        <f t="shared" si="1177"/>
        <v>5.798</v>
      </c>
      <c r="BI205" s="3006">
        <f t="shared" si="1177"/>
        <v>0</v>
      </c>
      <c r="BJ205" s="3006">
        <f t="shared" si="1178"/>
        <v>-416.55542379999997</v>
      </c>
      <c r="BK205" s="3006">
        <f t="shared" si="1178"/>
        <v>-416.55542379999997</v>
      </c>
      <c r="BL205" s="3006">
        <f t="shared" si="1178"/>
        <v>0</v>
      </c>
      <c r="BM205" s="3004">
        <f t="shared" si="1196"/>
        <v>140.78447459999998</v>
      </c>
      <c r="BN205" s="3004">
        <f t="shared" si="1196"/>
        <v>140.78447459999998</v>
      </c>
      <c r="BO205" s="3004">
        <f t="shared" si="1196"/>
        <v>0</v>
      </c>
      <c r="BP205" s="3005">
        <f t="shared" si="1196"/>
        <v>0</v>
      </c>
      <c r="BQ205" s="3005">
        <f t="shared" si="1196"/>
        <v>0</v>
      </c>
      <c r="BR205" s="3005">
        <f t="shared" si="1196"/>
        <v>0</v>
      </c>
      <c r="BS205" s="3005">
        <f t="shared" si="1196"/>
        <v>0</v>
      </c>
      <c r="BT205" s="3005">
        <f t="shared" si="1196"/>
        <v>0</v>
      </c>
      <c r="BU205" s="3005">
        <f t="shared" si="1196"/>
        <v>0</v>
      </c>
      <c r="BV205" s="3005">
        <f t="shared" si="1196"/>
        <v>0</v>
      </c>
      <c r="BW205" s="3005">
        <f t="shared" si="1196"/>
        <v>0</v>
      </c>
      <c r="BX205" s="3005">
        <f t="shared" si="1196"/>
        <v>0</v>
      </c>
      <c r="BY205" s="3005">
        <f t="shared" si="1196"/>
        <v>0</v>
      </c>
      <c r="BZ205" s="3005">
        <f t="shared" si="1196"/>
        <v>0</v>
      </c>
      <c r="CA205" s="3005">
        <f t="shared" si="1196"/>
        <v>0</v>
      </c>
      <c r="CB205" s="2982">
        <f t="shared" si="1180"/>
        <v>563.13789839999993</v>
      </c>
      <c r="CC205" s="2982">
        <f t="shared" si="1181"/>
        <v>563.13789839999993</v>
      </c>
      <c r="CD205" s="2982">
        <f t="shared" si="1181"/>
        <v>0</v>
      </c>
      <c r="CE205" s="3006">
        <f t="shared" si="1187"/>
        <v>5.798</v>
      </c>
      <c r="CF205" s="3006">
        <f t="shared" si="1182"/>
        <v>5.798</v>
      </c>
      <c r="CG205" s="3006">
        <f t="shared" si="1182"/>
        <v>0</v>
      </c>
      <c r="CH205" s="3006">
        <f t="shared" si="1183"/>
        <v>-557.33989839999992</v>
      </c>
      <c r="CI205" s="3006">
        <f t="shared" si="1183"/>
        <v>-557.33989839999992</v>
      </c>
      <c r="CJ205" s="3006">
        <f t="shared" si="1183"/>
        <v>0</v>
      </c>
      <c r="CK205" s="389"/>
      <c r="CL205" s="5"/>
    </row>
    <row r="206" spans="1:90" ht="18.75" customHeight="1" x14ac:dyDescent="0.3">
      <c r="A206" s="2989" t="s">
        <v>600</v>
      </c>
      <c r="B206" s="3004">
        <f t="shared" si="1194"/>
        <v>0</v>
      </c>
      <c r="C206" s="3004">
        <f t="shared" si="1194"/>
        <v>0</v>
      </c>
      <c r="D206" s="3004">
        <f t="shared" si="1194"/>
        <v>0</v>
      </c>
      <c r="E206" s="3005">
        <f t="shared" si="1194"/>
        <v>26.83</v>
      </c>
      <c r="F206" s="3005">
        <f t="shared" si="1194"/>
        <v>26.83</v>
      </c>
      <c r="G206" s="3005">
        <f t="shared" si="1194"/>
        <v>0</v>
      </c>
      <c r="H206" s="3005">
        <f t="shared" si="1194"/>
        <v>29.486000000000001</v>
      </c>
      <c r="I206" s="3005">
        <f t="shared" si="1194"/>
        <v>29.486000000000001</v>
      </c>
      <c r="J206" s="3005">
        <f t="shared" si="1194"/>
        <v>0</v>
      </c>
      <c r="K206" s="3005">
        <f t="shared" si="1194"/>
        <v>29.3</v>
      </c>
      <c r="L206" s="3005">
        <f t="shared" si="1194"/>
        <v>29.3</v>
      </c>
      <c r="M206" s="3005">
        <f t="shared" si="1194"/>
        <v>0</v>
      </c>
      <c r="N206" s="3005">
        <f t="shared" si="1194"/>
        <v>85.616</v>
      </c>
      <c r="O206" s="3005">
        <f t="shared" si="1194"/>
        <v>85.616</v>
      </c>
      <c r="P206" s="3005">
        <f t="shared" si="1194"/>
        <v>0</v>
      </c>
      <c r="Q206" s="3004">
        <f t="shared" si="1194"/>
        <v>0</v>
      </c>
      <c r="R206" s="3004">
        <f t="shared" si="1194"/>
        <v>0</v>
      </c>
      <c r="S206" s="3004">
        <f t="shared" si="1194"/>
        <v>0</v>
      </c>
      <c r="T206" s="3005">
        <f t="shared" si="1194"/>
        <v>27.34</v>
      </c>
      <c r="U206" s="3005">
        <f t="shared" si="1194"/>
        <v>27.34</v>
      </c>
      <c r="V206" s="3005">
        <f t="shared" si="1194"/>
        <v>0</v>
      </c>
      <c r="W206" s="3005">
        <f t="shared" si="1194"/>
        <v>29.95</v>
      </c>
      <c r="X206" s="3005">
        <f t="shared" si="1194"/>
        <v>29.95</v>
      </c>
      <c r="Y206" s="3005">
        <f t="shared" si="1194"/>
        <v>0</v>
      </c>
      <c r="Z206" s="3005">
        <f t="shared" si="1194"/>
        <v>28.774999999999999</v>
      </c>
      <c r="AA206" s="3005">
        <f t="shared" si="1194"/>
        <v>28.774999999999999</v>
      </c>
      <c r="AB206" s="3005">
        <f t="shared" si="1194"/>
        <v>0</v>
      </c>
      <c r="AC206" s="3005">
        <f t="shared" si="1194"/>
        <v>86.064999999999998</v>
      </c>
      <c r="AD206" s="3005">
        <f t="shared" si="1194"/>
        <v>86.064999999999998</v>
      </c>
      <c r="AE206" s="3005">
        <f t="shared" si="1194"/>
        <v>0</v>
      </c>
      <c r="AF206" s="2982">
        <f t="shared" si="1171"/>
        <v>0</v>
      </c>
      <c r="AG206" s="2982">
        <f t="shared" si="1172"/>
        <v>0</v>
      </c>
      <c r="AH206" s="2982">
        <f t="shared" si="1172"/>
        <v>0</v>
      </c>
      <c r="AI206" s="3006">
        <f t="shared" si="1184"/>
        <v>171.68099999999998</v>
      </c>
      <c r="AJ206" s="3006">
        <f t="shared" si="1185"/>
        <v>171.68099999999998</v>
      </c>
      <c r="AK206" s="3006">
        <f t="shared" si="1185"/>
        <v>0</v>
      </c>
      <c r="AL206" s="3006">
        <f t="shared" si="1173"/>
        <v>171.68099999999998</v>
      </c>
      <c r="AM206" s="3006">
        <f t="shared" si="1173"/>
        <v>171.68099999999998</v>
      </c>
      <c r="AN206" s="3006">
        <f t="shared" si="1173"/>
        <v>0</v>
      </c>
      <c r="AO206" s="3004">
        <f t="shared" si="1195"/>
        <v>0</v>
      </c>
      <c r="AP206" s="3004">
        <f t="shared" si="1195"/>
        <v>0</v>
      </c>
      <c r="AQ206" s="3004">
        <f t="shared" si="1195"/>
        <v>0</v>
      </c>
      <c r="AR206" s="3005">
        <f t="shared" si="1195"/>
        <v>27.36</v>
      </c>
      <c r="AS206" s="3005">
        <f t="shared" si="1195"/>
        <v>27.36</v>
      </c>
      <c r="AT206" s="3005">
        <f t="shared" si="1195"/>
        <v>0</v>
      </c>
      <c r="AU206" s="3005">
        <f t="shared" si="1195"/>
        <v>26.748999999999999</v>
      </c>
      <c r="AV206" s="3005">
        <f t="shared" si="1195"/>
        <v>26.748999999999999</v>
      </c>
      <c r="AW206" s="3005">
        <f t="shared" si="1195"/>
        <v>0</v>
      </c>
      <c r="AX206" s="3005">
        <f t="shared" si="1195"/>
        <v>28.06</v>
      </c>
      <c r="AY206" s="3005">
        <f t="shared" si="1195"/>
        <v>28.06</v>
      </c>
      <c r="AZ206" s="3005">
        <f t="shared" si="1195"/>
        <v>0</v>
      </c>
      <c r="BA206" s="3005">
        <f t="shared" si="1195"/>
        <v>82.168999999999997</v>
      </c>
      <c r="BB206" s="3005">
        <f t="shared" si="1195"/>
        <v>82.168999999999997</v>
      </c>
      <c r="BC206" s="3005">
        <f t="shared" si="1195"/>
        <v>0</v>
      </c>
      <c r="BD206" s="2982">
        <f t="shared" si="1175"/>
        <v>0</v>
      </c>
      <c r="BE206" s="2982">
        <f t="shared" si="1176"/>
        <v>0</v>
      </c>
      <c r="BF206" s="2982">
        <f t="shared" si="1176"/>
        <v>0</v>
      </c>
      <c r="BG206" s="3006">
        <f t="shared" si="1186"/>
        <v>253.84999999999997</v>
      </c>
      <c r="BH206" s="3006">
        <f t="shared" si="1177"/>
        <v>253.84999999999997</v>
      </c>
      <c r="BI206" s="3006">
        <f t="shared" si="1177"/>
        <v>0</v>
      </c>
      <c r="BJ206" s="3006">
        <f t="shared" si="1178"/>
        <v>253.84999999999997</v>
      </c>
      <c r="BK206" s="3006">
        <f t="shared" si="1178"/>
        <v>253.84999999999997</v>
      </c>
      <c r="BL206" s="3006">
        <f t="shared" si="1178"/>
        <v>0</v>
      </c>
      <c r="BM206" s="3004">
        <f t="shared" si="1196"/>
        <v>0</v>
      </c>
      <c r="BN206" s="3004">
        <f t="shared" si="1196"/>
        <v>0</v>
      </c>
      <c r="BO206" s="3004">
        <f t="shared" si="1196"/>
        <v>0</v>
      </c>
      <c r="BP206" s="3005">
        <f t="shared" si="1196"/>
        <v>27.905999999999999</v>
      </c>
      <c r="BQ206" s="3005">
        <f t="shared" si="1196"/>
        <v>27.905999999999999</v>
      </c>
      <c r="BR206" s="3005">
        <f t="shared" si="1196"/>
        <v>0</v>
      </c>
      <c r="BS206" s="3005">
        <f t="shared" si="1196"/>
        <v>26.199000000000002</v>
      </c>
      <c r="BT206" s="3005">
        <f t="shared" si="1196"/>
        <v>26.199000000000002</v>
      </c>
      <c r="BU206" s="3005">
        <f t="shared" si="1196"/>
        <v>0</v>
      </c>
      <c r="BV206" s="3005">
        <f t="shared" si="1196"/>
        <v>28.036000000000001</v>
      </c>
      <c r="BW206" s="3005">
        <f t="shared" si="1196"/>
        <v>28.036000000000001</v>
      </c>
      <c r="BX206" s="3005">
        <f t="shared" si="1196"/>
        <v>0</v>
      </c>
      <c r="BY206" s="3005">
        <f t="shared" si="1196"/>
        <v>82.141000000000005</v>
      </c>
      <c r="BZ206" s="3005">
        <f t="shared" si="1196"/>
        <v>82.141000000000005</v>
      </c>
      <c r="CA206" s="3005">
        <f t="shared" si="1196"/>
        <v>0</v>
      </c>
      <c r="CB206" s="2982">
        <f t="shared" si="1180"/>
        <v>0</v>
      </c>
      <c r="CC206" s="2982">
        <f t="shared" si="1181"/>
        <v>0</v>
      </c>
      <c r="CD206" s="2982">
        <f t="shared" si="1181"/>
        <v>0</v>
      </c>
      <c r="CE206" s="3006">
        <f t="shared" si="1187"/>
        <v>335.99099999999999</v>
      </c>
      <c r="CF206" s="3006">
        <f t="shared" si="1182"/>
        <v>335.99099999999999</v>
      </c>
      <c r="CG206" s="3006">
        <f t="shared" si="1182"/>
        <v>0</v>
      </c>
      <c r="CH206" s="3006">
        <f t="shared" si="1183"/>
        <v>335.99099999999999</v>
      </c>
      <c r="CI206" s="3006">
        <f t="shared" si="1183"/>
        <v>335.99099999999999</v>
      </c>
      <c r="CJ206" s="3006">
        <f t="shared" si="1183"/>
        <v>0</v>
      </c>
      <c r="CK206" s="389"/>
      <c r="CL206" s="5"/>
    </row>
    <row r="207" spans="1:90" ht="18.75" customHeight="1" x14ac:dyDescent="0.3">
      <c r="A207" s="2989" t="s">
        <v>597</v>
      </c>
      <c r="B207" s="3004">
        <f t="shared" si="1194"/>
        <v>0</v>
      </c>
      <c r="C207" s="3004">
        <f t="shared" si="1194"/>
        <v>0</v>
      </c>
      <c r="D207" s="3004">
        <f t="shared" si="1194"/>
        <v>0</v>
      </c>
      <c r="E207" s="3005">
        <f t="shared" si="1194"/>
        <v>0</v>
      </c>
      <c r="F207" s="3005">
        <f t="shared" si="1194"/>
        <v>0</v>
      </c>
      <c r="G207" s="3005">
        <f t="shared" si="1194"/>
        <v>0</v>
      </c>
      <c r="H207" s="3005">
        <f t="shared" si="1194"/>
        <v>10.065</v>
      </c>
      <c r="I207" s="3005">
        <f t="shared" si="1194"/>
        <v>10.065</v>
      </c>
      <c r="J207" s="3005">
        <f t="shared" si="1194"/>
        <v>0</v>
      </c>
      <c r="K207" s="3005">
        <f t="shared" si="1194"/>
        <v>10.14</v>
      </c>
      <c r="L207" s="3005">
        <f t="shared" si="1194"/>
        <v>10.14</v>
      </c>
      <c r="M207" s="3005">
        <f t="shared" si="1194"/>
        <v>0</v>
      </c>
      <c r="N207" s="3005">
        <f t="shared" si="1194"/>
        <v>20.204999999999998</v>
      </c>
      <c r="O207" s="3005">
        <f t="shared" si="1194"/>
        <v>20.204999999999998</v>
      </c>
      <c r="P207" s="3005">
        <f t="shared" si="1194"/>
        <v>0</v>
      </c>
      <c r="Q207" s="3004">
        <f t="shared" si="1194"/>
        <v>0</v>
      </c>
      <c r="R207" s="3004">
        <f t="shared" si="1194"/>
        <v>0</v>
      </c>
      <c r="S207" s="3004">
        <f t="shared" si="1194"/>
        <v>0</v>
      </c>
      <c r="T207" s="3005">
        <f t="shared" si="1194"/>
        <v>10.06</v>
      </c>
      <c r="U207" s="3005">
        <f t="shared" si="1194"/>
        <v>10.06</v>
      </c>
      <c r="V207" s="3005">
        <f t="shared" si="1194"/>
        <v>0</v>
      </c>
      <c r="W207" s="3005">
        <f t="shared" si="1194"/>
        <v>9.5299999999999994</v>
      </c>
      <c r="X207" s="3005">
        <f t="shared" si="1194"/>
        <v>9.5299999999999994</v>
      </c>
      <c r="Y207" s="3005">
        <f t="shared" si="1194"/>
        <v>0</v>
      </c>
      <c r="Z207" s="3005">
        <f t="shared" si="1194"/>
        <v>9.6470000000000002</v>
      </c>
      <c r="AA207" s="3005">
        <f t="shared" si="1194"/>
        <v>9.6470000000000002</v>
      </c>
      <c r="AB207" s="3005">
        <f t="shared" si="1194"/>
        <v>0</v>
      </c>
      <c r="AC207" s="3005">
        <f t="shared" si="1194"/>
        <v>29.237000000000002</v>
      </c>
      <c r="AD207" s="3005">
        <f t="shared" si="1194"/>
        <v>29.237000000000002</v>
      </c>
      <c r="AE207" s="3005">
        <f t="shared" si="1194"/>
        <v>0</v>
      </c>
      <c r="AF207" s="2982">
        <f t="shared" si="1171"/>
        <v>0</v>
      </c>
      <c r="AG207" s="2982">
        <f t="shared" si="1172"/>
        <v>0</v>
      </c>
      <c r="AH207" s="2982">
        <f t="shared" si="1172"/>
        <v>0</v>
      </c>
      <c r="AI207" s="3006">
        <f t="shared" si="1184"/>
        <v>49.442</v>
      </c>
      <c r="AJ207" s="3006">
        <f t="shared" si="1185"/>
        <v>49.442</v>
      </c>
      <c r="AK207" s="3006">
        <f t="shared" si="1185"/>
        <v>0</v>
      </c>
      <c r="AL207" s="3006">
        <f t="shared" si="1173"/>
        <v>49.442</v>
      </c>
      <c r="AM207" s="3006">
        <f t="shared" si="1173"/>
        <v>49.442</v>
      </c>
      <c r="AN207" s="3006">
        <f t="shared" si="1173"/>
        <v>0</v>
      </c>
      <c r="AO207" s="3004">
        <f t="shared" si="1195"/>
        <v>0</v>
      </c>
      <c r="AP207" s="3004">
        <f t="shared" si="1195"/>
        <v>0</v>
      </c>
      <c r="AQ207" s="3004">
        <f t="shared" si="1195"/>
        <v>0</v>
      </c>
      <c r="AR207" s="3005">
        <f t="shared" si="1195"/>
        <v>9.57</v>
      </c>
      <c r="AS207" s="3005">
        <f t="shared" si="1195"/>
        <v>9.57</v>
      </c>
      <c r="AT207" s="3005">
        <f t="shared" si="1195"/>
        <v>0</v>
      </c>
      <c r="AU207" s="3005">
        <f t="shared" si="1195"/>
        <v>9.6470000000000002</v>
      </c>
      <c r="AV207" s="3005">
        <f t="shared" si="1195"/>
        <v>9.6470000000000002</v>
      </c>
      <c r="AW207" s="3005">
        <f t="shared" si="1195"/>
        <v>0</v>
      </c>
      <c r="AX207" s="3005">
        <f t="shared" si="1195"/>
        <v>9.5860000000000003</v>
      </c>
      <c r="AY207" s="3005">
        <f t="shared" si="1195"/>
        <v>9.5860000000000003</v>
      </c>
      <c r="AZ207" s="3005">
        <f t="shared" si="1195"/>
        <v>0</v>
      </c>
      <c r="BA207" s="3005">
        <f t="shared" si="1195"/>
        <v>28.802999999999997</v>
      </c>
      <c r="BB207" s="3005">
        <f t="shared" si="1195"/>
        <v>28.802999999999997</v>
      </c>
      <c r="BC207" s="3005">
        <f t="shared" si="1195"/>
        <v>0</v>
      </c>
      <c r="BD207" s="2982">
        <f t="shared" si="1175"/>
        <v>0</v>
      </c>
      <c r="BE207" s="2982">
        <f t="shared" si="1176"/>
        <v>0</v>
      </c>
      <c r="BF207" s="2982">
        <f t="shared" si="1176"/>
        <v>0</v>
      </c>
      <c r="BG207" s="3006">
        <f t="shared" si="1186"/>
        <v>78.245000000000005</v>
      </c>
      <c r="BH207" s="3006">
        <f t="shared" si="1177"/>
        <v>78.245000000000005</v>
      </c>
      <c r="BI207" s="3006">
        <f t="shared" si="1177"/>
        <v>0</v>
      </c>
      <c r="BJ207" s="3006">
        <f t="shared" si="1178"/>
        <v>78.245000000000005</v>
      </c>
      <c r="BK207" s="3006">
        <f t="shared" si="1178"/>
        <v>78.245000000000005</v>
      </c>
      <c r="BL207" s="3006">
        <f t="shared" si="1178"/>
        <v>0</v>
      </c>
      <c r="BM207" s="3004">
        <f t="shared" si="1196"/>
        <v>0</v>
      </c>
      <c r="BN207" s="3004">
        <f t="shared" si="1196"/>
        <v>0</v>
      </c>
      <c r="BO207" s="3004">
        <f t="shared" si="1196"/>
        <v>0</v>
      </c>
      <c r="BP207" s="3005">
        <f t="shared" si="1196"/>
        <v>9.5039999999999996</v>
      </c>
      <c r="BQ207" s="3005">
        <f t="shared" si="1196"/>
        <v>9.5039999999999996</v>
      </c>
      <c r="BR207" s="3005">
        <f t="shared" si="1196"/>
        <v>0</v>
      </c>
      <c r="BS207" s="3005">
        <f t="shared" si="1196"/>
        <v>9.5210000000000008</v>
      </c>
      <c r="BT207" s="3005">
        <f t="shared" si="1196"/>
        <v>9.5210000000000008</v>
      </c>
      <c r="BU207" s="3005">
        <f t="shared" si="1196"/>
        <v>0</v>
      </c>
      <c r="BV207" s="3005">
        <f t="shared" si="1196"/>
        <v>9.5649999999999995</v>
      </c>
      <c r="BW207" s="3005">
        <f t="shared" si="1196"/>
        <v>9.5649999999999995</v>
      </c>
      <c r="BX207" s="3005">
        <f t="shared" si="1196"/>
        <v>0</v>
      </c>
      <c r="BY207" s="3005">
        <f t="shared" si="1196"/>
        <v>28.589999999999996</v>
      </c>
      <c r="BZ207" s="3005">
        <f t="shared" si="1196"/>
        <v>28.589999999999996</v>
      </c>
      <c r="CA207" s="3005">
        <f t="shared" si="1196"/>
        <v>0</v>
      </c>
      <c r="CB207" s="2982">
        <f t="shared" si="1180"/>
        <v>0</v>
      </c>
      <c r="CC207" s="2982">
        <f t="shared" si="1181"/>
        <v>0</v>
      </c>
      <c r="CD207" s="2982">
        <f t="shared" si="1181"/>
        <v>0</v>
      </c>
      <c r="CE207" s="3006">
        <f t="shared" si="1187"/>
        <v>106.83500000000001</v>
      </c>
      <c r="CF207" s="3006">
        <f t="shared" si="1182"/>
        <v>106.83500000000001</v>
      </c>
      <c r="CG207" s="3006">
        <f t="shared" si="1182"/>
        <v>0</v>
      </c>
      <c r="CH207" s="3006">
        <f t="shared" si="1183"/>
        <v>106.83500000000001</v>
      </c>
      <c r="CI207" s="3006">
        <f t="shared" si="1183"/>
        <v>106.83500000000001</v>
      </c>
      <c r="CJ207" s="3006">
        <f t="shared" si="1183"/>
        <v>0</v>
      </c>
      <c r="CK207" s="389"/>
      <c r="CL207" s="5"/>
    </row>
    <row r="208" spans="1:90" ht="18.75" customHeight="1" x14ac:dyDescent="0.3">
      <c r="A208" s="2989" t="s">
        <v>32</v>
      </c>
      <c r="B208" s="3004">
        <f>SUM(B64+B89)</f>
        <v>13.929182015399748</v>
      </c>
      <c r="C208" s="3004">
        <f t="shared" ref="C208:AE208" si="1198">SUM(C64+C89)</f>
        <v>13.929182015399748</v>
      </c>
      <c r="D208" s="3004">
        <f t="shared" si="1198"/>
        <v>0</v>
      </c>
      <c r="E208" s="3005">
        <f t="shared" si="1198"/>
        <v>3.33</v>
      </c>
      <c r="F208" s="3005">
        <f t="shared" si="1198"/>
        <v>3.33</v>
      </c>
      <c r="G208" s="3005">
        <f t="shared" si="1198"/>
        <v>0</v>
      </c>
      <c r="H208" s="3005">
        <f t="shared" si="1198"/>
        <v>3.33</v>
      </c>
      <c r="I208" s="3005">
        <f t="shared" si="1198"/>
        <v>3.33</v>
      </c>
      <c r="J208" s="3005">
        <f t="shared" si="1198"/>
        <v>0</v>
      </c>
      <c r="K208" s="3005">
        <f t="shared" si="1198"/>
        <v>8.73</v>
      </c>
      <c r="L208" s="3005">
        <f t="shared" si="1198"/>
        <v>8.73</v>
      </c>
      <c r="M208" s="3005">
        <f t="shared" si="1198"/>
        <v>0</v>
      </c>
      <c r="N208" s="3005">
        <f t="shared" si="1198"/>
        <v>15.39</v>
      </c>
      <c r="O208" s="3005">
        <f t="shared" si="1198"/>
        <v>15.39</v>
      </c>
      <c r="P208" s="3005">
        <f t="shared" si="1198"/>
        <v>0</v>
      </c>
      <c r="Q208" s="3004">
        <f t="shared" si="1198"/>
        <v>13.929182015399748</v>
      </c>
      <c r="R208" s="3004">
        <f t="shared" si="1198"/>
        <v>13.929182015399748</v>
      </c>
      <c r="S208" s="3004">
        <f t="shared" si="1198"/>
        <v>0</v>
      </c>
      <c r="T208" s="3005">
        <f t="shared" si="1198"/>
        <v>10.93</v>
      </c>
      <c r="U208" s="3005">
        <f t="shared" si="1198"/>
        <v>10.93</v>
      </c>
      <c r="V208" s="3005">
        <f t="shared" si="1198"/>
        <v>0</v>
      </c>
      <c r="W208" s="3005">
        <f t="shared" si="1198"/>
        <v>3.93</v>
      </c>
      <c r="X208" s="3005">
        <f t="shared" si="1198"/>
        <v>3.93</v>
      </c>
      <c r="Y208" s="3005">
        <f t="shared" si="1198"/>
        <v>0</v>
      </c>
      <c r="Z208" s="3005">
        <f t="shared" si="1198"/>
        <v>5.7330000000000005</v>
      </c>
      <c r="AA208" s="3005">
        <f t="shared" si="1198"/>
        <v>5.7330000000000005</v>
      </c>
      <c r="AB208" s="3005">
        <f t="shared" si="1198"/>
        <v>0</v>
      </c>
      <c r="AC208" s="3005">
        <f t="shared" si="1198"/>
        <v>20.593</v>
      </c>
      <c r="AD208" s="3005">
        <f t="shared" si="1198"/>
        <v>20.593</v>
      </c>
      <c r="AE208" s="3005">
        <f t="shared" si="1198"/>
        <v>0</v>
      </c>
      <c r="AF208" s="2982">
        <f t="shared" si="1171"/>
        <v>27.858364030799496</v>
      </c>
      <c r="AG208" s="2982">
        <f t="shared" si="1172"/>
        <v>27.858364030799496</v>
      </c>
      <c r="AH208" s="2982">
        <f t="shared" si="1172"/>
        <v>0</v>
      </c>
      <c r="AI208" s="3006">
        <f t="shared" si="1184"/>
        <v>35.983000000000004</v>
      </c>
      <c r="AJ208" s="3006">
        <f t="shared" si="1185"/>
        <v>35.983000000000004</v>
      </c>
      <c r="AK208" s="3006">
        <f t="shared" si="1185"/>
        <v>0</v>
      </c>
      <c r="AL208" s="3006">
        <f t="shared" si="1173"/>
        <v>8.1246359692005079</v>
      </c>
      <c r="AM208" s="3006">
        <f t="shared" si="1173"/>
        <v>8.1246359692005079</v>
      </c>
      <c r="AN208" s="3006">
        <f t="shared" si="1173"/>
        <v>0</v>
      </c>
      <c r="AO208" s="3004">
        <f t="shared" ref="AO208:BC208" si="1199">SUM(AO64+AO89)</f>
        <v>13.929182015399748</v>
      </c>
      <c r="AP208" s="3004">
        <f t="shared" si="1199"/>
        <v>13.929182015399748</v>
      </c>
      <c r="AQ208" s="3004">
        <f t="shared" si="1199"/>
        <v>0</v>
      </c>
      <c r="AR208" s="3005">
        <f t="shared" si="1199"/>
        <v>3.33</v>
      </c>
      <c r="AS208" s="3005">
        <f t="shared" si="1199"/>
        <v>3.33</v>
      </c>
      <c r="AT208" s="3005">
        <f t="shared" si="1199"/>
        <v>0</v>
      </c>
      <c r="AU208" s="3005">
        <f t="shared" si="1199"/>
        <v>3.3330000000000002</v>
      </c>
      <c r="AV208" s="3005">
        <f t="shared" si="1199"/>
        <v>3.3330000000000002</v>
      </c>
      <c r="AW208" s="3005">
        <f t="shared" si="1199"/>
        <v>0</v>
      </c>
      <c r="AX208" s="3005">
        <f t="shared" si="1199"/>
        <v>5.73</v>
      </c>
      <c r="AY208" s="3005">
        <f t="shared" si="1199"/>
        <v>5.73</v>
      </c>
      <c r="AZ208" s="3005">
        <f t="shared" si="1199"/>
        <v>0</v>
      </c>
      <c r="BA208" s="3005">
        <f t="shared" si="1199"/>
        <v>12.393000000000001</v>
      </c>
      <c r="BB208" s="3005">
        <f t="shared" si="1199"/>
        <v>12.393000000000001</v>
      </c>
      <c r="BC208" s="3005">
        <f t="shared" si="1199"/>
        <v>0</v>
      </c>
      <c r="BD208" s="2982">
        <f t="shared" si="1175"/>
        <v>41.787546046199246</v>
      </c>
      <c r="BE208" s="2982">
        <f t="shared" si="1176"/>
        <v>41.787546046199246</v>
      </c>
      <c r="BF208" s="2982">
        <f t="shared" si="1176"/>
        <v>0</v>
      </c>
      <c r="BG208" s="3006">
        <f t="shared" si="1186"/>
        <v>48.376000000000005</v>
      </c>
      <c r="BH208" s="3006">
        <f t="shared" si="1177"/>
        <v>48.376000000000005</v>
      </c>
      <c r="BI208" s="3006">
        <f t="shared" si="1177"/>
        <v>0</v>
      </c>
      <c r="BJ208" s="3006">
        <f t="shared" si="1178"/>
        <v>6.5884539538007587</v>
      </c>
      <c r="BK208" s="3006">
        <f t="shared" si="1178"/>
        <v>6.5884539538007587</v>
      </c>
      <c r="BL208" s="3006">
        <f t="shared" si="1178"/>
        <v>0</v>
      </c>
      <c r="BM208" s="3004">
        <f t="shared" ref="BM208:CA208" si="1200">SUM(BM64+BM89)</f>
        <v>13.929182015399748</v>
      </c>
      <c r="BN208" s="3004">
        <f t="shared" si="1200"/>
        <v>13.929182015399748</v>
      </c>
      <c r="BO208" s="3004">
        <f t="shared" si="1200"/>
        <v>0</v>
      </c>
      <c r="BP208" s="3005">
        <f t="shared" si="1200"/>
        <v>3.33</v>
      </c>
      <c r="BQ208" s="3005">
        <f t="shared" si="1200"/>
        <v>3.33</v>
      </c>
      <c r="BR208" s="3005">
        <f t="shared" si="1200"/>
        <v>0</v>
      </c>
      <c r="BS208" s="3005">
        <f t="shared" si="1200"/>
        <v>3.33</v>
      </c>
      <c r="BT208" s="3005">
        <f t="shared" si="1200"/>
        <v>3.33</v>
      </c>
      <c r="BU208" s="3005">
        <f t="shared" si="1200"/>
        <v>0</v>
      </c>
      <c r="BV208" s="3005">
        <f t="shared" si="1200"/>
        <v>5.7639999999999993</v>
      </c>
      <c r="BW208" s="3005">
        <f t="shared" si="1200"/>
        <v>5.7639999999999993</v>
      </c>
      <c r="BX208" s="3005">
        <f t="shared" si="1200"/>
        <v>0</v>
      </c>
      <c r="BY208" s="3005">
        <f t="shared" si="1200"/>
        <v>12.423999999999999</v>
      </c>
      <c r="BZ208" s="3005">
        <f t="shared" si="1200"/>
        <v>12.423999999999999</v>
      </c>
      <c r="CA208" s="3005">
        <f t="shared" si="1200"/>
        <v>0</v>
      </c>
      <c r="CB208" s="2982">
        <f t="shared" si="1180"/>
        <v>55.716728061598992</v>
      </c>
      <c r="CC208" s="2982">
        <f t="shared" si="1181"/>
        <v>55.716728061598992</v>
      </c>
      <c r="CD208" s="2982">
        <f t="shared" si="1181"/>
        <v>0</v>
      </c>
      <c r="CE208" s="3006">
        <f t="shared" si="1187"/>
        <v>60.800000000000004</v>
      </c>
      <c r="CF208" s="3006">
        <f t="shared" si="1182"/>
        <v>60.800000000000004</v>
      </c>
      <c r="CG208" s="3006">
        <f t="shared" si="1182"/>
        <v>0</v>
      </c>
      <c r="CH208" s="3006">
        <f t="shared" si="1183"/>
        <v>5.0832719384010119</v>
      </c>
      <c r="CI208" s="3006">
        <f t="shared" si="1183"/>
        <v>5.0832719384010119</v>
      </c>
      <c r="CJ208" s="3006">
        <f t="shared" si="1183"/>
        <v>0</v>
      </c>
      <c r="CK208" s="389"/>
      <c r="CL208" s="5"/>
    </row>
    <row r="209" spans="1:90" ht="18.75" customHeight="1" x14ac:dyDescent="0.3">
      <c r="A209" s="2925" t="s">
        <v>588</v>
      </c>
      <c r="B209" s="2915">
        <f>SUM(B85)</f>
        <v>544.22261838992915</v>
      </c>
      <c r="C209" s="2915">
        <f t="shared" ref="C209:AE209" si="1201">SUM(C85)</f>
        <v>544.22261838992915</v>
      </c>
      <c r="D209" s="2915">
        <f t="shared" si="1201"/>
        <v>0</v>
      </c>
      <c r="E209" s="2924">
        <f t="shared" si="1201"/>
        <v>117.55</v>
      </c>
      <c r="F209" s="2924">
        <f t="shared" si="1201"/>
        <v>117.55</v>
      </c>
      <c r="G209" s="2924">
        <f t="shared" si="1201"/>
        <v>0</v>
      </c>
      <c r="H209" s="2924">
        <f t="shared" si="1201"/>
        <v>168.65599999999998</v>
      </c>
      <c r="I209" s="2924">
        <f t="shared" si="1201"/>
        <v>168.65599999999998</v>
      </c>
      <c r="J209" s="2924">
        <f t="shared" si="1201"/>
        <v>0</v>
      </c>
      <c r="K209" s="2924">
        <f t="shared" si="1201"/>
        <v>205.029</v>
      </c>
      <c r="L209" s="2924">
        <f t="shared" si="1201"/>
        <v>205.029</v>
      </c>
      <c r="M209" s="2924">
        <f t="shared" si="1201"/>
        <v>0</v>
      </c>
      <c r="N209" s="2924">
        <f t="shared" si="1201"/>
        <v>491.23499999999996</v>
      </c>
      <c r="O209" s="2924">
        <f t="shared" si="1201"/>
        <v>491.23499999999996</v>
      </c>
      <c r="P209" s="2924">
        <f t="shared" si="1201"/>
        <v>0</v>
      </c>
      <c r="Q209" s="2915">
        <f t="shared" si="1201"/>
        <v>544.22261838992915</v>
      </c>
      <c r="R209" s="2915">
        <f t="shared" si="1201"/>
        <v>544.22261838992915</v>
      </c>
      <c r="S209" s="2915">
        <f t="shared" si="1201"/>
        <v>0</v>
      </c>
      <c r="T209" s="2924">
        <f t="shared" si="1201"/>
        <v>195.07000000000002</v>
      </c>
      <c r="U209" s="2924">
        <f t="shared" si="1201"/>
        <v>195.07000000000002</v>
      </c>
      <c r="V209" s="2924">
        <f t="shared" si="1201"/>
        <v>0</v>
      </c>
      <c r="W209" s="2924">
        <f t="shared" si="1201"/>
        <v>121.09</v>
      </c>
      <c r="X209" s="2924">
        <f t="shared" si="1201"/>
        <v>121.09</v>
      </c>
      <c r="Y209" s="2924">
        <f t="shared" si="1201"/>
        <v>0</v>
      </c>
      <c r="Z209" s="2924">
        <f t="shared" si="1201"/>
        <v>141.221</v>
      </c>
      <c r="AA209" s="2924">
        <f t="shared" si="1201"/>
        <v>141.221</v>
      </c>
      <c r="AB209" s="2924">
        <f t="shared" si="1201"/>
        <v>0</v>
      </c>
      <c r="AC209" s="2924">
        <f t="shared" si="1201"/>
        <v>457.38100000000003</v>
      </c>
      <c r="AD209" s="2924">
        <f t="shared" si="1201"/>
        <v>457.38100000000003</v>
      </c>
      <c r="AE209" s="2924">
        <f t="shared" si="1201"/>
        <v>0</v>
      </c>
      <c r="AF209" s="2982">
        <f t="shared" si="1171"/>
        <v>1088.4452367798583</v>
      </c>
      <c r="AG209" s="2982">
        <f t="shared" si="1172"/>
        <v>1088.4452367798583</v>
      </c>
      <c r="AH209" s="2982">
        <f t="shared" si="1172"/>
        <v>0</v>
      </c>
      <c r="AI209" s="3006">
        <f t="shared" si="1184"/>
        <v>948.61599999999999</v>
      </c>
      <c r="AJ209" s="3006">
        <f t="shared" si="1185"/>
        <v>948.61599999999999</v>
      </c>
      <c r="AK209" s="3006">
        <f t="shared" si="1185"/>
        <v>0</v>
      </c>
      <c r="AL209" s="3006">
        <f t="shared" si="1173"/>
        <v>-139.82923677985832</v>
      </c>
      <c r="AM209" s="3006">
        <f t="shared" si="1173"/>
        <v>-139.82923677985832</v>
      </c>
      <c r="AN209" s="3006">
        <f t="shared" si="1173"/>
        <v>0</v>
      </c>
      <c r="AO209" s="2915">
        <f t="shared" ref="AO209:BC209" si="1202">SUM(AO85)</f>
        <v>544.22261838992915</v>
      </c>
      <c r="AP209" s="2915">
        <f t="shared" si="1202"/>
        <v>544.22261838992915</v>
      </c>
      <c r="AQ209" s="2915">
        <f t="shared" si="1202"/>
        <v>0</v>
      </c>
      <c r="AR209" s="2924">
        <f t="shared" si="1202"/>
        <v>187.26999999999998</v>
      </c>
      <c r="AS209" s="2924">
        <f t="shared" si="1202"/>
        <v>187.26999999999998</v>
      </c>
      <c r="AT209" s="2924">
        <f t="shared" si="1202"/>
        <v>0</v>
      </c>
      <c r="AU209" s="2924">
        <f t="shared" si="1202"/>
        <v>145.874</v>
      </c>
      <c r="AV209" s="2924">
        <f t="shared" si="1202"/>
        <v>145.874</v>
      </c>
      <c r="AW209" s="2924">
        <f t="shared" si="1202"/>
        <v>0</v>
      </c>
      <c r="AX209" s="2924">
        <f t="shared" si="1202"/>
        <v>141.40099999999998</v>
      </c>
      <c r="AY209" s="2924">
        <f t="shared" si="1202"/>
        <v>141.40099999999998</v>
      </c>
      <c r="AZ209" s="2924">
        <f t="shared" si="1202"/>
        <v>0</v>
      </c>
      <c r="BA209" s="2924">
        <f t="shared" si="1202"/>
        <v>474.54499999999996</v>
      </c>
      <c r="BB209" s="2924">
        <f t="shared" si="1202"/>
        <v>474.54499999999996</v>
      </c>
      <c r="BC209" s="2924">
        <f t="shared" si="1202"/>
        <v>0</v>
      </c>
      <c r="BD209" s="2982">
        <f t="shared" si="1175"/>
        <v>1632.6678551697873</v>
      </c>
      <c r="BE209" s="2982">
        <f t="shared" si="1176"/>
        <v>1632.6678551697873</v>
      </c>
      <c r="BF209" s="2982">
        <f t="shared" si="1176"/>
        <v>0</v>
      </c>
      <c r="BG209" s="3006">
        <f t="shared" si="1186"/>
        <v>1423.1610000000001</v>
      </c>
      <c r="BH209" s="3006">
        <f t="shared" si="1177"/>
        <v>1423.1610000000001</v>
      </c>
      <c r="BI209" s="3006">
        <f t="shared" si="1177"/>
        <v>0</v>
      </c>
      <c r="BJ209" s="3006">
        <f t="shared" si="1178"/>
        <v>-209.50685516978729</v>
      </c>
      <c r="BK209" s="3006">
        <f t="shared" si="1178"/>
        <v>-209.50685516978729</v>
      </c>
      <c r="BL209" s="3006">
        <f t="shared" si="1178"/>
        <v>0</v>
      </c>
      <c r="BM209" s="2915">
        <f t="shared" ref="BM209:CA209" si="1203">SUM(BM85)</f>
        <v>544.22261838992915</v>
      </c>
      <c r="BN209" s="2915">
        <f t="shared" si="1203"/>
        <v>544.22261838992915</v>
      </c>
      <c r="BO209" s="2915">
        <f t="shared" si="1203"/>
        <v>0</v>
      </c>
      <c r="BP209" s="2924">
        <f t="shared" si="1203"/>
        <v>142.614</v>
      </c>
      <c r="BQ209" s="2924">
        <f t="shared" si="1203"/>
        <v>142.614</v>
      </c>
      <c r="BR209" s="2924">
        <f t="shared" si="1203"/>
        <v>0</v>
      </c>
      <c r="BS209" s="2924">
        <f t="shared" si="1203"/>
        <v>170.15600000000001</v>
      </c>
      <c r="BT209" s="2924">
        <f t="shared" si="1203"/>
        <v>170.15600000000001</v>
      </c>
      <c r="BU209" s="2924">
        <f t="shared" si="1203"/>
        <v>0</v>
      </c>
      <c r="BV209" s="2924">
        <f t="shared" si="1203"/>
        <v>155.608</v>
      </c>
      <c r="BW209" s="2924">
        <f t="shared" si="1203"/>
        <v>155.608</v>
      </c>
      <c r="BX209" s="2924">
        <f t="shared" si="1203"/>
        <v>0</v>
      </c>
      <c r="BY209" s="2924">
        <f t="shared" si="1203"/>
        <v>468.37799999999999</v>
      </c>
      <c r="BZ209" s="2924">
        <f t="shared" si="1203"/>
        <v>468.37799999999999</v>
      </c>
      <c r="CA209" s="2924">
        <f t="shared" si="1203"/>
        <v>0</v>
      </c>
      <c r="CB209" s="2982">
        <f t="shared" si="1180"/>
        <v>2176.8904735597166</v>
      </c>
      <c r="CC209" s="2982">
        <f t="shared" si="1181"/>
        <v>2176.8904735597166</v>
      </c>
      <c r="CD209" s="2982">
        <f t="shared" si="1181"/>
        <v>0</v>
      </c>
      <c r="CE209" s="3006">
        <f t="shared" si="1187"/>
        <v>1891.539</v>
      </c>
      <c r="CF209" s="3006">
        <f t="shared" si="1182"/>
        <v>1891.539</v>
      </c>
      <c r="CG209" s="3006">
        <f t="shared" si="1182"/>
        <v>0</v>
      </c>
      <c r="CH209" s="3006">
        <f t="shared" si="1183"/>
        <v>-285.35147355971662</v>
      </c>
      <c r="CI209" s="3006">
        <f t="shared" si="1183"/>
        <v>-285.35147355971662</v>
      </c>
      <c r="CJ209" s="3006">
        <f t="shared" si="1183"/>
        <v>0</v>
      </c>
      <c r="CK209" s="389"/>
      <c r="CL209" s="5"/>
    </row>
    <row r="210" spans="1:90" ht="18.75" customHeight="1" x14ac:dyDescent="0.3">
      <c r="A210" s="2989" t="s">
        <v>589</v>
      </c>
      <c r="B210" s="3004">
        <f>SUM(B87)</f>
        <v>22.192511302952649</v>
      </c>
      <c r="C210" s="3004">
        <f t="shared" ref="C210:AE211" si="1204">SUM(C87)</f>
        <v>22.192511302952649</v>
      </c>
      <c r="D210" s="3004">
        <f t="shared" si="1204"/>
        <v>0</v>
      </c>
      <c r="E210" s="3005">
        <f t="shared" si="1204"/>
        <v>4.0880000000000001</v>
      </c>
      <c r="F210" s="3005">
        <f t="shared" si="1204"/>
        <v>4.0880000000000001</v>
      </c>
      <c r="G210" s="3005">
        <f t="shared" si="1204"/>
        <v>0</v>
      </c>
      <c r="H210" s="3005">
        <f t="shared" si="1204"/>
        <v>4.218</v>
      </c>
      <c r="I210" s="3005">
        <f t="shared" si="1204"/>
        <v>4.218</v>
      </c>
      <c r="J210" s="3005">
        <f t="shared" si="1204"/>
        <v>0</v>
      </c>
      <c r="K210" s="3005">
        <f t="shared" si="1204"/>
        <v>0.82</v>
      </c>
      <c r="L210" s="3005">
        <f t="shared" si="1204"/>
        <v>0.82</v>
      </c>
      <c r="M210" s="3005">
        <f t="shared" si="1204"/>
        <v>0</v>
      </c>
      <c r="N210" s="3005">
        <f t="shared" si="1204"/>
        <v>9.1260000000000012</v>
      </c>
      <c r="O210" s="3005">
        <f t="shared" si="1204"/>
        <v>9.1260000000000012</v>
      </c>
      <c r="P210" s="3005">
        <f t="shared" si="1204"/>
        <v>0</v>
      </c>
      <c r="Q210" s="3004">
        <f t="shared" si="1204"/>
        <v>22.192511302952649</v>
      </c>
      <c r="R210" s="3004">
        <f t="shared" si="1204"/>
        <v>22.192511302952649</v>
      </c>
      <c r="S210" s="3004">
        <f t="shared" si="1204"/>
        <v>0</v>
      </c>
      <c r="T210" s="3005">
        <f t="shared" si="1204"/>
        <v>4.4000000000000004</v>
      </c>
      <c r="U210" s="3005">
        <f t="shared" si="1204"/>
        <v>4.4000000000000004</v>
      </c>
      <c r="V210" s="3005">
        <f t="shared" si="1204"/>
        <v>0</v>
      </c>
      <c r="W210" s="3005">
        <f t="shared" si="1204"/>
        <v>4.67</v>
      </c>
      <c r="X210" s="3005">
        <f t="shared" si="1204"/>
        <v>4.67</v>
      </c>
      <c r="Y210" s="3005">
        <f t="shared" si="1204"/>
        <v>0</v>
      </c>
      <c r="Z210" s="3005">
        <f t="shared" si="1204"/>
        <v>4.67</v>
      </c>
      <c r="AA210" s="3005">
        <f t="shared" si="1204"/>
        <v>4.67</v>
      </c>
      <c r="AB210" s="3005">
        <f t="shared" si="1204"/>
        <v>0</v>
      </c>
      <c r="AC210" s="3005">
        <f t="shared" si="1204"/>
        <v>13.74</v>
      </c>
      <c r="AD210" s="3005">
        <f t="shared" si="1204"/>
        <v>13.74</v>
      </c>
      <c r="AE210" s="3005">
        <f t="shared" si="1204"/>
        <v>0</v>
      </c>
      <c r="AF210" s="2982">
        <f t="shared" si="1171"/>
        <v>44.385022605905299</v>
      </c>
      <c r="AG210" s="2982">
        <f t="shared" si="1172"/>
        <v>44.385022605905299</v>
      </c>
      <c r="AH210" s="2982">
        <f t="shared" si="1172"/>
        <v>0</v>
      </c>
      <c r="AI210" s="3006">
        <f t="shared" si="1184"/>
        <v>22.866</v>
      </c>
      <c r="AJ210" s="3006">
        <f t="shared" si="1185"/>
        <v>22.866</v>
      </c>
      <c r="AK210" s="3006">
        <f t="shared" si="1185"/>
        <v>0</v>
      </c>
      <c r="AL210" s="3006">
        <f t="shared" si="1173"/>
        <v>-21.519022605905299</v>
      </c>
      <c r="AM210" s="3006">
        <f t="shared" si="1173"/>
        <v>-21.519022605905299</v>
      </c>
      <c r="AN210" s="3006">
        <f t="shared" si="1173"/>
        <v>0</v>
      </c>
      <c r="AO210" s="3004">
        <f>SUM(AO87)</f>
        <v>22.192511302952649</v>
      </c>
      <c r="AP210" s="3004">
        <f t="shared" ref="AP210:BC211" si="1205">SUM(AP87)</f>
        <v>22.192511302952649</v>
      </c>
      <c r="AQ210" s="3004">
        <f t="shared" si="1205"/>
        <v>0</v>
      </c>
      <c r="AR210" s="3005">
        <f t="shared" si="1205"/>
        <v>4.66</v>
      </c>
      <c r="AS210" s="3005">
        <f t="shared" si="1205"/>
        <v>4.66</v>
      </c>
      <c r="AT210" s="3005">
        <f t="shared" si="1205"/>
        <v>0</v>
      </c>
      <c r="AU210" s="3005">
        <f t="shared" si="1205"/>
        <v>4.6619999999999999</v>
      </c>
      <c r="AV210" s="3005">
        <f t="shared" si="1205"/>
        <v>4.6619999999999999</v>
      </c>
      <c r="AW210" s="3005">
        <f t="shared" si="1205"/>
        <v>0</v>
      </c>
      <c r="AX210" s="3005">
        <f t="shared" si="1205"/>
        <v>4.6619999999999999</v>
      </c>
      <c r="AY210" s="3005">
        <f t="shared" si="1205"/>
        <v>4.6619999999999999</v>
      </c>
      <c r="AZ210" s="3005">
        <f t="shared" si="1205"/>
        <v>0</v>
      </c>
      <c r="BA210" s="3005">
        <f t="shared" si="1205"/>
        <v>13.983999999999998</v>
      </c>
      <c r="BB210" s="3005">
        <f t="shared" si="1205"/>
        <v>13.983999999999998</v>
      </c>
      <c r="BC210" s="3005">
        <f t="shared" si="1205"/>
        <v>0</v>
      </c>
      <c r="BD210" s="2982">
        <f t="shared" si="1175"/>
        <v>66.577533908857944</v>
      </c>
      <c r="BE210" s="2982">
        <f t="shared" ref="BE210:BF223" si="1206">SUM(AG210+AP210)</f>
        <v>66.577533908857944</v>
      </c>
      <c r="BF210" s="2982">
        <f t="shared" si="1206"/>
        <v>0</v>
      </c>
      <c r="BG210" s="3006">
        <f t="shared" si="1186"/>
        <v>36.849999999999994</v>
      </c>
      <c r="BH210" s="3006">
        <f t="shared" ref="BH210:BI223" si="1207">SUM(AJ210+BB210)</f>
        <v>36.849999999999994</v>
      </c>
      <c r="BI210" s="3006">
        <f t="shared" si="1207"/>
        <v>0</v>
      </c>
      <c r="BJ210" s="3006">
        <f t="shared" si="1178"/>
        <v>-29.72753390885795</v>
      </c>
      <c r="BK210" s="3006">
        <f t="shared" si="1178"/>
        <v>-29.72753390885795</v>
      </c>
      <c r="BL210" s="3006">
        <f t="shared" si="1178"/>
        <v>0</v>
      </c>
      <c r="BM210" s="3004">
        <f>SUM(BM87)</f>
        <v>22.192511302952649</v>
      </c>
      <c r="BN210" s="3004">
        <f t="shared" ref="BN210:CA211" si="1208">SUM(BN87)</f>
        <v>22.192511302952649</v>
      </c>
      <c r="BO210" s="3004">
        <f t="shared" si="1208"/>
        <v>0</v>
      </c>
      <c r="BP210" s="3005">
        <f t="shared" si="1208"/>
        <v>4.6619999999999999</v>
      </c>
      <c r="BQ210" s="3005">
        <f t="shared" si="1208"/>
        <v>4.6619999999999999</v>
      </c>
      <c r="BR210" s="3005">
        <f t="shared" si="1208"/>
        <v>0</v>
      </c>
      <c r="BS210" s="3005">
        <f t="shared" si="1208"/>
        <v>4.6619999999999999</v>
      </c>
      <c r="BT210" s="3005">
        <f t="shared" si="1208"/>
        <v>4.6619999999999999</v>
      </c>
      <c r="BU210" s="3005">
        <f t="shared" si="1208"/>
        <v>0</v>
      </c>
      <c r="BV210" s="3005">
        <f t="shared" si="1208"/>
        <v>8.1370000000000005</v>
      </c>
      <c r="BW210" s="3005">
        <f t="shared" si="1208"/>
        <v>8.1370000000000005</v>
      </c>
      <c r="BX210" s="3005">
        <f t="shared" si="1208"/>
        <v>0</v>
      </c>
      <c r="BY210" s="3005">
        <f t="shared" si="1208"/>
        <v>17.460999999999999</v>
      </c>
      <c r="BZ210" s="3005">
        <f t="shared" si="1208"/>
        <v>17.460999999999999</v>
      </c>
      <c r="CA210" s="3005">
        <f t="shared" si="1208"/>
        <v>0</v>
      </c>
      <c r="CB210" s="2982">
        <f t="shared" si="1180"/>
        <v>88.770045211810597</v>
      </c>
      <c r="CC210" s="2982">
        <f t="shared" ref="CC210:CD223" si="1209">SUM(BN210+BE210)</f>
        <v>88.770045211810597</v>
      </c>
      <c r="CD210" s="2982">
        <f t="shared" si="1209"/>
        <v>0</v>
      </c>
      <c r="CE210" s="3006">
        <f t="shared" si="1187"/>
        <v>54.310999999999993</v>
      </c>
      <c r="CF210" s="3006">
        <f t="shared" ref="CF210:CG223" si="1210">SUM(BZ210+BH210)</f>
        <v>54.310999999999993</v>
      </c>
      <c r="CG210" s="3006">
        <f t="shared" si="1210"/>
        <v>0</v>
      </c>
      <c r="CH210" s="3006">
        <f t="shared" si="1183"/>
        <v>-34.459045211810604</v>
      </c>
      <c r="CI210" s="3006">
        <f t="shared" si="1183"/>
        <v>-34.459045211810604</v>
      </c>
      <c r="CJ210" s="3006">
        <f t="shared" si="1183"/>
        <v>0</v>
      </c>
      <c r="CK210" s="389"/>
      <c r="CL210" s="5"/>
    </row>
    <row r="211" spans="1:90" ht="18.75" customHeight="1" x14ac:dyDescent="0.3">
      <c r="A211" s="2989" t="s">
        <v>599</v>
      </c>
      <c r="B211" s="3004">
        <f>SUM(B88)</f>
        <v>3.2264761234401003</v>
      </c>
      <c r="C211" s="3004">
        <f t="shared" si="1204"/>
        <v>3.2264761234401003</v>
      </c>
      <c r="D211" s="3004">
        <f t="shared" si="1204"/>
        <v>0</v>
      </c>
      <c r="E211" s="3005">
        <f t="shared" si="1204"/>
        <v>1.36</v>
      </c>
      <c r="F211" s="3005">
        <f t="shared" si="1204"/>
        <v>1.36</v>
      </c>
      <c r="G211" s="3005">
        <f t="shared" si="1204"/>
        <v>0</v>
      </c>
      <c r="H211" s="3005">
        <f t="shared" si="1204"/>
        <v>2.62</v>
      </c>
      <c r="I211" s="3005">
        <f t="shared" si="1204"/>
        <v>2.62</v>
      </c>
      <c r="J211" s="3005">
        <f t="shared" si="1204"/>
        <v>0</v>
      </c>
      <c r="K211" s="3005">
        <f t="shared" si="1204"/>
        <v>3.4</v>
      </c>
      <c r="L211" s="3005">
        <f t="shared" si="1204"/>
        <v>3.4</v>
      </c>
      <c r="M211" s="3005">
        <f t="shared" si="1204"/>
        <v>0</v>
      </c>
      <c r="N211" s="3005">
        <f t="shared" si="1204"/>
        <v>7.3800000000000008</v>
      </c>
      <c r="O211" s="3005">
        <f t="shared" si="1204"/>
        <v>7.3800000000000008</v>
      </c>
      <c r="P211" s="3005">
        <f t="shared" si="1204"/>
        <v>0</v>
      </c>
      <c r="Q211" s="3004">
        <f t="shared" si="1204"/>
        <v>3.2264761234401003</v>
      </c>
      <c r="R211" s="3004">
        <f t="shared" si="1204"/>
        <v>3.2264761234401003</v>
      </c>
      <c r="S211" s="3004">
        <f t="shared" si="1204"/>
        <v>0</v>
      </c>
      <c r="T211" s="3005">
        <f t="shared" si="1204"/>
        <v>0.64</v>
      </c>
      <c r="U211" s="3005">
        <f t="shared" si="1204"/>
        <v>0.64</v>
      </c>
      <c r="V211" s="3005">
        <f t="shared" si="1204"/>
        <v>0</v>
      </c>
      <c r="W211" s="3005">
        <f t="shared" si="1204"/>
        <v>1.26</v>
      </c>
      <c r="X211" s="3005">
        <f t="shared" si="1204"/>
        <v>1.26</v>
      </c>
      <c r="Y211" s="3005">
        <f t="shared" si="1204"/>
        <v>0</v>
      </c>
      <c r="Z211" s="3005">
        <f t="shared" si="1204"/>
        <v>0</v>
      </c>
      <c r="AA211" s="3005">
        <f t="shared" si="1204"/>
        <v>0</v>
      </c>
      <c r="AB211" s="3005">
        <f t="shared" si="1204"/>
        <v>0</v>
      </c>
      <c r="AC211" s="3005">
        <f t="shared" si="1204"/>
        <v>1.9</v>
      </c>
      <c r="AD211" s="3005">
        <f t="shared" si="1204"/>
        <v>1.9</v>
      </c>
      <c r="AE211" s="3005">
        <f t="shared" si="1204"/>
        <v>0</v>
      </c>
      <c r="AF211" s="2982">
        <f t="shared" si="1171"/>
        <v>6.4529522468802005</v>
      </c>
      <c r="AG211" s="2982">
        <f t="shared" si="1172"/>
        <v>6.4529522468802005</v>
      </c>
      <c r="AH211" s="2982">
        <f t="shared" si="1172"/>
        <v>0</v>
      </c>
      <c r="AI211" s="3006">
        <f t="shared" si="1184"/>
        <v>9.2800000000000011</v>
      </c>
      <c r="AJ211" s="3006">
        <f t="shared" si="1185"/>
        <v>9.2800000000000011</v>
      </c>
      <c r="AK211" s="3006">
        <f t="shared" si="1185"/>
        <v>0</v>
      </c>
      <c r="AL211" s="3006">
        <f t="shared" si="1173"/>
        <v>2.8270477531198006</v>
      </c>
      <c r="AM211" s="3006">
        <f t="shared" si="1173"/>
        <v>2.8270477531198006</v>
      </c>
      <c r="AN211" s="3006">
        <f t="shared" si="1173"/>
        <v>0</v>
      </c>
      <c r="AO211" s="3004">
        <f>SUM(AO88)</f>
        <v>3.2264761234401003</v>
      </c>
      <c r="AP211" s="3004">
        <f t="shared" si="1205"/>
        <v>3.2264761234401003</v>
      </c>
      <c r="AQ211" s="3004">
        <f t="shared" si="1205"/>
        <v>0</v>
      </c>
      <c r="AR211" s="3005">
        <f t="shared" si="1205"/>
        <v>2.98</v>
      </c>
      <c r="AS211" s="3005">
        <f t="shared" si="1205"/>
        <v>2.98</v>
      </c>
      <c r="AT211" s="3005">
        <f t="shared" si="1205"/>
        <v>0</v>
      </c>
      <c r="AU211" s="3005">
        <f t="shared" si="1205"/>
        <v>1.26</v>
      </c>
      <c r="AV211" s="3005">
        <f t="shared" si="1205"/>
        <v>1.26</v>
      </c>
      <c r="AW211" s="3005">
        <f t="shared" si="1205"/>
        <v>0</v>
      </c>
      <c r="AX211" s="3005">
        <f t="shared" si="1205"/>
        <v>1.56</v>
      </c>
      <c r="AY211" s="3005">
        <f t="shared" si="1205"/>
        <v>1.56</v>
      </c>
      <c r="AZ211" s="3005">
        <f t="shared" si="1205"/>
        <v>0</v>
      </c>
      <c r="BA211" s="3005">
        <f t="shared" si="1205"/>
        <v>5.8000000000000007</v>
      </c>
      <c r="BB211" s="3005">
        <f t="shared" si="1205"/>
        <v>5.8000000000000007</v>
      </c>
      <c r="BC211" s="3005">
        <f t="shared" si="1205"/>
        <v>0</v>
      </c>
      <c r="BD211" s="2982">
        <f t="shared" si="1175"/>
        <v>9.6794283703203003</v>
      </c>
      <c r="BE211" s="2982">
        <f t="shared" si="1206"/>
        <v>9.6794283703203003</v>
      </c>
      <c r="BF211" s="2982">
        <f t="shared" si="1206"/>
        <v>0</v>
      </c>
      <c r="BG211" s="3006">
        <f t="shared" si="1186"/>
        <v>15.080000000000002</v>
      </c>
      <c r="BH211" s="3006">
        <f t="shared" si="1207"/>
        <v>15.080000000000002</v>
      </c>
      <c r="BI211" s="3006">
        <f t="shared" si="1207"/>
        <v>0</v>
      </c>
      <c r="BJ211" s="3006">
        <f t="shared" si="1178"/>
        <v>5.4005716296797015</v>
      </c>
      <c r="BK211" s="3006">
        <f t="shared" si="1178"/>
        <v>5.4005716296797015</v>
      </c>
      <c r="BL211" s="3006">
        <f t="shared" si="1178"/>
        <v>0</v>
      </c>
      <c r="BM211" s="3004">
        <f>SUM(BM88)</f>
        <v>3.2264761234401003</v>
      </c>
      <c r="BN211" s="3004">
        <f t="shared" si="1208"/>
        <v>3.2264761234401003</v>
      </c>
      <c r="BO211" s="3004">
        <f t="shared" si="1208"/>
        <v>0</v>
      </c>
      <c r="BP211" s="3005">
        <f t="shared" si="1208"/>
        <v>1.51</v>
      </c>
      <c r="BQ211" s="3005">
        <f t="shared" si="1208"/>
        <v>1.51</v>
      </c>
      <c r="BR211" s="3005">
        <f t="shared" si="1208"/>
        <v>0</v>
      </c>
      <c r="BS211" s="3005">
        <f t="shared" si="1208"/>
        <v>1.51</v>
      </c>
      <c r="BT211" s="3005">
        <f t="shared" si="1208"/>
        <v>1.51</v>
      </c>
      <c r="BU211" s="3005">
        <f t="shared" si="1208"/>
        <v>0</v>
      </c>
      <c r="BV211" s="3005">
        <f t="shared" si="1208"/>
        <v>-3.4</v>
      </c>
      <c r="BW211" s="3005">
        <f t="shared" si="1208"/>
        <v>-3.4</v>
      </c>
      <c r="BX211" s="3005">
        <f t="shared" si="1208"/>
        <v>0</v>
      </c>
      <c r="BY211" s="3005">
        <f t="shared" si="1208"/>
        <v>-0.37999999999999989</v>
      </c>
      <c r="BZ211" s="3005">
        <f t="shared" si="1208"/>
        <v>-0.37999999999999989</v>
      </c>
      <c r="CA211" s="3005">
        <f t="shared" si="1208"/>
        <v>0</v>
      </c>
      <c r="CB211" s="2982">
        <f t="shared" si="1180"/>
        <v>12.905904493760401</v>
      </c>
      <c r="CC211" s="2982">
        <f t="shared" si="1209"/>
        <v>12.905904493760401</v>
      </c>
      <c r="CD211" s="2982">
        <f t="shared" si="1209"/>
        <v>0</v>
      </c>
      <c r="CE211" s="3006">
        <f t="shared" si="1187"/>
        <v>14.700000000000003</v>
      </c>
      <c r="CF211" s="3006">
        <f t="shared" si="1210"/>
        <v>14.700000000000003</v>
      </c>
      <c r="CG211" s="3006">
        <f t="shared" si="1210"/>
        <v>0</v>
      </c>
      <c r="CH211" s="3006">
        <f t="shared" si="1183"/>
        <v>1.7940955062396018</v>
      </c>
      <c r="CI211" s="3006">
        <f t="shared" si="1183"/>
        <v>1.7940955062396018</v>
      </c>
      <c r="CJ211" s="3006">
        <f t="shared" si="1183"/>
        <v>0</v>
      </c>
      <c r="CK211" s="389"/>
      <c r="CL211" s="5"/>
    </row>
    <row r="212" spans="1:90" ht="18.75" customHeight="1" x14ac:dyDescent="0.3">
      <c r="A212" s="2989" t="s">
        <v>3797</v>
      </c>
      <c r="B212" s="3004">
        <f>SUM(B34)</f>
        <v>79.03125</v>
      </c>
      <c r="C212" s="3004">
        <f t="shared" ref="C212:AE212" si="1211">SUM(C34)</f>
        <v>79.03125</v>
      </c>
      <c r="D212" s="3004">
        <f t="shared" si="1211"/>
        <v>0</v>
      </c>
      <c r="E212" s="3005">
        <f t="shared" si="1211"/>
        <v>23.88</v>
      </c>
      <c r="F212" s="3005">
        <f t="shared" si="1211"/>
        <v>23.88</v>
      </c>
      <c r="G212" s="3005">
        <f t="shared" si="1211"/>
        <v>0</v>
      </c>
      <c r="H212" s="3005">
        <f t="shared" si="1211"/>
        <v>24.355</v>
      </c>
      <c r="I212" s="3005">
        <f t="shared" si="1211"/>
        <v>24.355</v>
      </c>
      <c r="J212" s="3005">
        <f t="shared" si="1211"/>
        <v>0</v>
      </c>
      <c r="K212" s="3005">
        <f t="shared" si="1211"/>
        <v>23.77</v>
      </c>
      <c r="L212" s="3005">
        <f t="shared" si="1211"/>
        <v>23.77</v>
      </c>
      <c r="M212" s="3005">
        <f t="shared" si="1211"/>
        <v>0</v>
      </c>
      <c r="N212" s="3005">
        <f t="shared" si="1211"/>
        <v>72.004999999999995</v>
      </c>
      <c r="O212" s="3005">
        <f t="shared" si="1211"/>
        <v>72.004999999999995</v>
      </c>
      <c r="P212" s="3005">
        <f t="shared" si="1211"/>
        <v>0</v>
      </c>
      <c r="Q212" s="3004">
        <f t="shared" si="1211"/>
        <v>79.03125</v>
      </c>
      <c r="R212" s="3004">
        <f t="shared" si="1211"/>
        <v>79.03125</v>
      </c>
      <c r="S212" s="3004">
        <f t="shared" si="1211"/>
        <v>0</v>
      </c>
      <c r="T212" s="3005">
        <f t="shared" si="1211"/>
        <v>25.1</v>
      </c>
      <c r="U212" s="3005">
        <f t="shared" si="1211"/>
        <v>25.1</v>
      </c>
      <c r="V212" s="3005">
        <f t="shared" si="1211"/>
        <v>0</v>
      </c>
      <c r="W212" s="3005">
        <f t="shared" si="1211"/>
        <v>23.73</v>
      </c>
      <c r="X212" s="3005">
        <f t="shared" si="1211"/>
        <v>23.73</v>
      </c>
      <c r="Y212" s="3005">
        <f t="shared" si="1211"/>
        <v>0</v>
      </c>
      <c r="Z212" s="3005">
        <f t="shared" si="1211"/>
        <v>20.524000000000001</v>
      </c>
      <c r="AA212" s="3005">
        <f t="shared" si="1211"/>
        <v>20.524000000000001</v>
      </c>
      <c r="AB212" s="3005">
        <f t="shared" si="1211"/>
        <v>0</v>
      </c>
      <c r="AC212" s="3005">
        <f t="shared" si="1211"/>
        <v>69.353999999999999</v>
      </c>
      <c r="AD212" s="3005">
        <f t="shared" si="1211"/>
        <v>69.353999999999999</v>
      </c>
      <c r="AE212" s="3005">
        <f t="shared" si="1211"/>
        <v>0</v>
      </c>
      <c r="AF212" s="2982">
        <f t="shared" ref="AF212:AH223" si="1212">SUM(Q212+B212)</f>
        <v>158.0625</v>
      </c>
      <c r="AG212" s="2982">
        <f t="shared" si="1212"/>
        <v>158.0625</v>
      </c>
      <c r="AH212" s="2982">
        <f t="shared" si="1212"/>
        <v>0</v>
      </c>
      <c r="AI212" s="3006">
        <f t="shared" si="1184"/>
        <v>141.35899999999998</v>
      </c>
      <c r="AJ212" s="3006">
        <f t="shared" si="1185"/>
        <v>141.35899999999998</v>
      </c>
      <c r="AK212" s="3006">
        <f t="shared" si="1185"/>
        <v>0</v>
      </c>
      <c r="AL212" s="3006">
        <f t="shared" si="1173"/>
        <v>-16.70350000000002</v>
      </c>
      <c r="AM212" s="3006">
        <f t="shared" si="1173"/>
        <v>-16.70350000000002</v>
      </c>
      <c r="AN212" s="3006">
        <f t="shared" si="1173"/>
        <v>0</v>
      </c>
      <c r="AO212" s="3004">
        <f t="shared" ref="AO212:BC212" si="1213">SUM(AO34)</f>
        <v>79.03125</v>
      </c>
      <c r="AP212" s="3004">
        <f t="shared" si="1213"/>
        <v>79.03125</v>
      </c>
      <c r="AQ212" s="3004">
        <f t="shared" si="1213"/>
        <v>0</v>
      </c>
      <c r="AR212" s="3005">
        <f t="shared" si="1213"/>
        <v>18.7</v>
      </c>
      <c r="AS212" s="3005">
        <f t="shared" si="1213"/>
        <v>18.7</v>
      </c>
      <c r="AT212" s="3005">
        <f t="shared" si="1213"/>
        <v>0</v>
      </c>
      <c r="AU212" s="3005">
        <f t="shared" si="1213"/>
        <v>19.649000000000001</v>
      </c>
      <c r="AV212" s="3005">
        <f t="shared" si="1213"/>
        <v>19.649000000000001</v>
      </c>
      <c r="AW212" s="3005">
        <f t="shared" si="1213"/>
        <v>0</v>
      </c>
      <c r="AX212" s="3005">
        <f t="shared" si="1213"/>
        <v>19.821999999999999</v>
      </c>
      <c r="AY212" s="3005">
        <f t="shared" si="1213"/>
        <v>19.821999999999999</v>
      </c>
      <c r="AZ212" s="3005">
        <f t="shared" si="1213"/>
        <v>0</v>
      </c>
      <c r="BA212" s="3005">
        <f t="shared" si="1213"/>
        <v>58.171000000000006</v>
      </c>
      <c r="BB212" s="3005">
        <f t="shared" si="1213"/>
        <v>58.171000000000006</v>
      </c>
      <c r="BC212" s="3005">
        <f t="shared" si="1213"/>
        <v>0</v>
      </c>
      <c r="BD212" s="2982">
        <f t="shared" ref="BD212" si="1214">SUM(AF212+AO212)</f>
        <v>237.09375</v>
      </c>
      <c r="BE212" s="2982">
        <f t="shared" si="1206"/>
        <v>237.09375</v>
      </c>
      <c r="BF212" s="2982">
        <f t="shared" si="1206"/>
        <v>0</v>
      </c>
      <c r="BG212" s="3006">
        <f t="shared" si="1186"/>
        <v>199.52999999999997</v>
      </c>
      <c r="BH212" s="3006">
        <f t="shared" si="1207"/>
        <v>199.52999999999997</v>
      </c>
      <c r="BI212" s="3006">
        <f t="shared" si="1207"/>
        <v>0</v>
      </c>
      <c r="BJ212" s="3006">
        <f t="shared" si="1178"/>
        <v>-37.563750000000027</v>
      </c>
      <c r="BK212" s="3006">
        <f t="shared" si="1178"/>
        <v>-37.563750000000027</v>
      </c>
      <c r="BL212" s="3006">
        <f t="shared" si="1178"/>
        <v>0</v>
      </c>
      <c r="BM212" s="3004">
        <f t="shared" ref="BM212:CA212" si="1215">SUM(BM34)</f>
        <v>79.03125</v>
      </c>
      <c r="BN212" s="3004">
        <f t="shared" si="1215"/>
        <v>79.03125</v>
      </c>
      <c r="BO212" s="3004">
        <f t="shared" si="1215"/>
        <v>0</v>
      </c>
      <c r="BP212" s="3005">
        <f t="shared" si="1215"/>
        <v>20.643999999999998</v>
      </c>
      <c r="BQ212" s="3005">
        <f t="shared" si="1215"/>
        <v>20.643999999999998</v>
      </c>
      <c r="BR212" s="3005">
        <f t="shared" si="1215"/>
        <v>0</v>
      </c>
      <c r="BS212" s="3005">
        <f t="shared" si="1215"/>
        <v>24.283000000000001</v>
      </c>
      <c r="BT212" s="3005">
        <f t="shared" si="1215"/>
        <v>24.283000000000001</v>
      </c>
      <c r="BU212" s="3005">
        <f t="shared" si="1215"/>
        <v>0</v>
      </c>
      <c r="BV212" s="3005">
        <f t="shared" si="1215"/>
        <v>24.81</v>
      </c>
      <c r="BW212" s="3005">
        <f t="shared" si="1215"/>
        <v>24.81</v>
      </c>
      <c r="BX212" s="3005">
        <f t="shared" si="1215"/>
        <v>0</v>
      </c>
      <c r="BY212" s="3005">
        <f t="shared" si="1215"/>
        <v>69.736999999999995</v>
      </c>
      <c r="BZ212" s="3005">
        <f t="shared" si="1215"/>
        <v>69.736999999999995</v>
      </c>
      <c r="CA212" s="3005">
        <f t="shared" si="1215"/>
        <v>0</v>
      </c>
      <c r="CB212" s="2982">
        <f t="shared" ref="CB212" si="1216">SUM(BM212+BD212)</f>
        <v>316.125</v>
      </c>
      <c r="CC212" s="2982">
        <f t="shared" si="1209"/>
        <v>316.125</v>
      </c>
      <c r="CD212" s="2982">
        <f t="shared" si="1209"/>
        <v>0</v>
      </c>
      <c r="CE212" s="3006">
        <f t="shared" si="1187"/>
        <v>269.26699999999994</v>
      </c>
      <c r="CF212" s="3006">
        <f t="shared" si="1210"/>
        <v>269.26699999999994</v>
      </c>
      <c r="CG212" s="3006">
        <f t="shared" si="1210"/>
        <v>0</v>
      </c>
      <c r="CH212" s="3006">
        <f t="shared" si="1183"/>
        <v>-46.858000000000061</v>
      </c>
      <c r="CI212" s="3006">
        <f t="shared" si="1183"/>
        <v>-46.858000000000061</v>
      </c>
      <c r="CJ212" s="3006">
        <f t="shared" si="1183"/>
        <v>0</v>
      </c>
      <c r="CK212" s="389"/>
      <c r="CL212" s="5"/>
    </row>
    <row r="213" spans="1:90" ht="18.75" customHeight="1" x14ac:dyDescent="0.3">
      <c r="A213" s="2965" t="s">
        <v>591</v>
      </c>
      <c r="B213" s="3007">
        <f>SUM(B35+B65+B90+B106)</f>
        <v>617.43398299148748</v>
      </c>
      <c r="C213" s="3007">
        <f t="shared" ref="C213:AE213" si="1217">SUM(C35+C65+C90+C106)</f>
        <v>617.43398299148748</v>
      </c>
      <c r="D213" s="3007">
        <f t="shared" si="1217"/>
        <v>0</v>
      </c>
      <c r="E213" s="3008">
        <f t="shared" si="1217"/>
        <v>104.27449</v>
      </c>
      <c r="F213" s="3008">
        <f t="shared" si="1217"/>
        <v>104.27449</v>
      </c>
      <c r="G213" s="3008">
        <f t="shared" si="1217"/>
        <v>0</v>
      </c>
      <c r="H213" s="3008">
        <f t="shared" si="1217"/>
        <v>132.28569999999996</v>
      </c>
      <c r="I213" s="3008">
        <f t="shared" si="1217"/>
        <v>132.28569999999996</v>
      </c>
      <c r="J213" s="3008">
        <f t="shared" si="1217"/>
        <v>0</v>
      </c>
      <c r="K213" s="3008">
        <f t="shared" si="1217"/>
        <v>96.318400000000011</v>
      </c>
      <c r="L213" s="3008">
        <f t="shared" si="1217"/>
        <v>96.318400000000011</v>
      </c>
      <c r="M213" s="3008">
        <f t="shared" si="1217"/>
        <v>0</v>
      </c>
      <c r="N213" s="3008">
        <f t="shared" si="1217"/>
        <v>332.87858999999997</v>
      </c>
      <c r="O213" s="3008">
        <f t="shared" si="1217"/>
        <v>332.87858999999997</v>
      </c>
      <c r="P213" s="3008">
        <f t="shared" si="1217"/>
        <v>0</v>
      </c>
      <c r="Q213" s="3007">
        <f t="shared" si="1217"/>
        <v>617.43398299148748</v>
      </c>
      <c r="R213" s="3007">
        <f t="shared" si="1217"/>
        <v>617.43398299148748</v>
      </c>
      <c r="S213" s="3007">
        <f t="shared" si="1217"/>
        <v>0</v>
      </c>
      <c r="T213" s="3008">
        <f t="shared" si="1217"/>
        <v>75.313999999999979</v>
      </c>
      <c r="U213" s="3008">
        <f t="shared" si="1217"/>
        <v>75.313999999999979</v>
      </c>
      <c r="V213" s="3008">
        <f t="shared" si="1217"/>
        <v>0</v>
      </c>
      <c r="W213" s="3008">
        <f t="shared" si="1217"/>
        <v>62.653000000000006</v>
      </c>
      <c r="X213" s="3008">
        <f t="shared" si="1217"/>
        <v>62.653000000000006</v>
      </c>
      <c r="Y213" s="3008">
        <f t="shared" si="1217"/>
        <v>0</v>
      </c>
      <c r="Z213" s="3008">
        <f t="shared" si="1217"/>
        <v>31.898</v>
      </c>
      <c r="AA213" s="3008">
        <f t="shared" si="1217"/>
        <v>31.898</v>
      </c>
      <c r="AB213" s="3008">
        <f t="shared" si="1217"/>
        <v>0</v>
      </c>
      <c r="AC213" s="3008">
        <f t="shared" si="1217"/>
        <v>169.86500000000001</v>
      </c>
      <c r="AD213" s="3008">
        <f t="shared" si="1217"/>
        <v>169.86500000000001</v>
      </c>
      <c r="AE213" s="3008">
        <f t="shared" si="1217"/>
        <v>0</v>
      </c>
      <c r="AF213" s="2981">
        <f t="shared" si="1171"/>
        <v>1234.867965982975</v>
      </c>
      <c r="AG213" s="2981">
        <f t="shared" si="1171"/>
        <v>1234.867965982975</v>
      </c>
      <c r="AH213" s="2981">
        <f t="shared" si="1212"/>
        <v>0</v>
      </c>
      <c r="AI213" s="3009">
        <f t="shared" si="1184"/>
        <v>502.74358999999998</v>
      </c>
      <c r="AJ213" s="3009">
        <f t="shared" si="1185"/>
        <v>502.74358999999998</v>
      </c>
      <c r="AK213" s="3009">
        <f t="shared" si="1185"/>
        <v>0</v>
      </c>
      <c r="AL213" s="3009">
        <f t="shared" si="1173"/>
        <v>-732.12437598297493</v>
      </c>
      <c r="AM213" s="3009">
        <f t="shared" si="1173"/>
        <v>-732.12437598297493</v>
      </c>
      <c r="AN213" s="3009">
        <f t="shared" si="1173"/>
        <v>0</v>
      </c>
      <c r="AO213" s="3007">
        <f t="shared" ref="AO213:BC213" si="1218">SUM(AO35+AO65+AO90+AO106)</f>
        <v>617.43398299148748</v>
      </c>
      <c r="AP213" s="3007">
        <f t="shared" si="1218"/>
        <v>617.43398299148748</v>
      </c>
      <c r="AQ213" s="3007">
        <f t="shared" si="1218"/>
        <v>0</v>
      </c>
      <c r="AR213" s="3008">
        <f t="shared" si="1218"/>
        <v>41.69</v>
      </c>
      <c r="AS213" s="3008">
        <f t="shared" si="1218"/>
        <v>41.69</v>
      </c>
      <c r="AT213" s="3008">
        <f t="shared" si="1218"/>
        <v>0</v>
      </c>
      <c r="AU213" s="3008">
        <f t="shared" si="1218"/>
        <v>18.750999999999998</v>
      </c>
      <c r="AV213" s="3008">
        <f t="shared" si="1218"/>
        <v>18.750999999999998</v>
      </c>
      <c r="AW213" s="3008">
        <f t="shared" si="1218"/>
        <v>0</v>
      </c>
      <c r="AX213" s="3008">
        <f t="shared" si="1218"/>
        <v>26.577999999999996</v>
      </c>
      <c r="AY213" s="3008">
        <f t="shared" si="1218"/>
        <v>26.577999999999996</v>
      </c>
      <c r="AZ213" s="3008">
        <f t="shared" si="1218"/>
        <v>0</v>
      </c>
      <c r="BA213" s="3008">
        <f t="shared" si="1218"/>
        <v>87.019000000000005</v>
      </c>
      <c r="BB213" s="3008">
        <f t="shared" si="1218"/>
        <v>87.019000000000005</v>
      </c>
      <c r="BC213" s="3008">
        <f t="shared" si="1218"/>
        <v>0</v>
      </c>
      <c r="BD213" s="2981">
        <f t="shared" si="1175"/>
        <v>1852.3019489744624</v>
      </c>
      <c r="BE213" s="2981">
        <f t="shared" si="1175"/>
        <v>1852.3019489744624</v>
      </c>
      <c r="BF213" s="2981">
        <f t="shared" si="1206"/>
        <v>0</v>
      </c>
      <c r="BG213" s="3009">
        <f t="shared" si="1186"/>
        <v>589.76259000000005</v>
      </c>
      <c r="BH213" s="3009">
        <f t="shared" si="1207"/>
        <v>589.76259000000005</v>
      </c>
      <c r="BI213" s="3009">
        <f t="shared" si="1207"/>
        <v>0</v>
      </c>
      <c r="BJ213" s="3009">
        <f t="shared" si="1178"/>
        <v>-1262.5393589744624</v>
      </c>
      <c r="BK213" s="3009">
        <f t="shared" si="1178"/>
        <v>-1262.5393589744624</v>
      </c>
      <c r="BL213" s="3009">
        <f t="shared" si="1178"/>
        <v>0</v>
      </c>
      <c r="BM213" s="3007">
        <f t="shared" ref="BM213:CA213" si="1219">SUM(BM35+BM65+BM90+BM106)</f>
        <v>617.43398299148748</v>
      </c>
      <c r="BN213" s="3007">
        <f t="shared" si="1219"/>
        <v>617.43398299148748</v>
      </c>
      <c r="BO213" s="3007">
        <f t="shared" si="1219"/>
        <v>0</v>
      </c>
      <c r="BP213" s="3008">
        <f t="shared" si="1219"/>
        <v>48.149669999999993</v>
      </c>
      <c r="BQ213" s="3008">
        <f t="shared" si="1219"/>
        <v>48.149669999999993</v>
      </c>
      <c r="BR213" s="3008">
        <f t="shared" si="1219"/>
        <v>0</v>
      </c>
      <c r="BS213" s="3008">
        <f t="shared" si="1219"/>
        <v>95.685000000000016</v>
      </c>
      <c r="BT213" s="3008">
        <f t="shared" si="1219"/>
        <v>95.685000000000016</v>
      </c>
      <c r="BU213" s="3008">
        <f t="shared" si="1219"/>
        <v>0</v>
      </c>
      <c r="BV213" s="3008">
        <f t="shared" si="1219"/>
        <v>134.22800000000001</v>
      </c>
      <c r="BW213" s="3008">
        <f t="shared" si="1219"/>
        <v>134.22800000000001</v>
      </c>
      <c r="BX213" s="3008">
        <f t="shared" si="1219"/>
        <v>0</v>
      </c>
      <c r="BY213" s="3008">
        <f t="shared" si="1219"/>
        <v>278.06267000000003</v>
      </c>
      <c r="BZ213" s="3008">
        <f t="shared" si="1219"/>
        <v>278.06267000000003</v>
      </c>
      <c r="CA213" s="3008">
        <f t="shared" si="1219"/>
        <v>0</v>
      </c>
      <c r="CB213" s="2981">
        <f t="shared" si="1180"/>
        <v>2469.7359319659499</v>
      </c>
      <c r="CC213" s="2981">
        <f t="shared" si="1180"/>
        <v>2469.7359319659499</v>
      </c>
      <c r="CD213" s="2981">
        <f t="shared" si="1209"/>
        <v>0</v>
      </c>
      <c r="CE213" s="3009">
        <f t="shared" si="1187"/>
        <v>867.82526000000007</v>
      </c>
      <c r="CF213" s="3009">
        <f t="shared" si="1210"/>
        <v>867.82526000000007</v>
      </c>
      <c r="CG213" s="3009">
        <f t="shared" si="1210"/>
        <v>0</v>
      </c>
      <c r="CH213" s="3009">
        <f t="shared" si="1183"/>
        <v>-1601.9106719659499</v>
      </c>
      <c r="CI213" s="3009">
        <f t="shared" si="1183"/>
        <v>-1601.9106719659499</v>
      </c>
      <c r="CJ213" s="3009">
        <f t="shared" si="1183"/>
        <v>0</v>
      </c>
      <c r="CK213" s="389"/>
      <c r="CL213" s="5"/>
    </row>
    <row r="214" spans="1:90" ht="18.75" customHeight="1" x14ac:dyDescent="0.3">
      <c r="A214" s="2879" t="s">
        <v>636</v>
      </c>
      <c r="B214" s="3010">
        <f>SUM(B66)</f>
        <v>129.21043054328641</v>
      </c>
      <c r="C214" s="3010">
        <f t="shared" ref="C214:AE214" si="1220">SUM(C66)</f>
        <v>129.21043054328641</v>
      </c>
      <c r="D214" s="3010">
        <f t="shared" si="1220"/>
        <v>0</v>
      </c>
      <c r="E214" s="3011">
        <f t="shared" si="1220"/>
        <v>85.34</v>
      </c>
      <c r="F214" s="3011">
        <f t="shared" si="1220"/>
        <v>85.34</v>
      </c>
      <c r="G214" s="3011">
        <f t="shared" si="1220"/>
        <v>0</v>
      </c>
      <c r="H214" s="3011">
        <f t="shared" si="1220"/>
        <v>102.304</v>
      </c>
      <c r="I214" s="3011">
        <f t="shared" si="1220"/>
        <v>102.304</v>
      </c>
      <c r="J214" s="3011">
        <f t="shared" si="1220"/>
        <v>0</v>
      </c>
      <c r="K214" s="3011">
        <f t="shared" si="1220"/>
        <v>63.486000000000004</v>
      </c>
      <c r="L214" s="3011">
        <f t="shared" si="1220"/>
        <v>63.486000000000004</v>
      </c>
      <c r="M214" s="3011">
        <f t="shared" si="1220"/>
        <v>0</v>
      </c>
      <c r="N214" s="3011">
        <f t="shared" si="1220"/>
        <v>251.13</v>
      </c>
      <c r="O214" s="3011">
        <f t="shared" si="1220"/>
        <v>251.13</v>
      </c>
      <c r="P214" s="3011">
        <f t="shared" si="1220"/>
        <v>0</v>
      </c>
      <c r="Q214" s="3010">
        <f t="shared" si="1220"/>
        <v>129.21043054328641</v>
      </c>
      <c r="R214" s="3010">
        <f t="shared" si="1220"/>
        <v>129.21043054328641</v>
      </c>
      <c r="S214" s="3010">
        <f t="shared" si="1220"/>
        <v>0</v>
      </c>
      <c r="T214" s="3011">
        <f t="shared" si="1220"/>
        <v>42.92</v>
      </c>
      <c r="U214" s="3011">
        <f t="shared" si="1220"/>
        <v>42.92</v>
      </c>
      <c r="V214" s="3011">
        <f t="shared" si="1220"/>
        <v>0</v>
      </c>
      <c r="W214" s="3011">
        <f t="shared" si="1220"/>
        <v>17.52</v>
      </c>
      <c r="X214" s="3011">
        <f t="shared" si="1220"/>
        <v>17.52</v>
      </c>
      <c r="Y214" s="3011">
        <f t="shared" si="1220"/>
        <v>0</v>
      </c>
      <c r="Z214" s="3011">
        <f t="shared" si="1220"/>
        <v>0.68500000000000005</v>
      </c>
      <c r="AA214" s="3011">
        <f t="shared" si="1220"/>
        <v>0.68500000000000005</v>
      </c>
      <c r="AB214" s="3011">
        <f t="shared" si="1220"/>
        <v>0</v>
      </c>
      <c r="AC214" s="3011">
        <f t="shared" si="1220"/>
        <v>61.125</v>
      </c>
      <c r="AD214" s="3011">
        <f t="shared" si="1220"/>
        <v>61.125</v>
      </c>
      <c r="AE214" s="3011">
        <f t="shared" si="1220"/>
        <v>0</v>
      </c>
      <c r="AF214" s="2991">
        <f t="shared" si="1171"/>
        <v>258.42086108657281</v>
      </c>
      <c r="AG214" s="2991">
        <f t="shared" si="1171"/>
        <v>258.42086108657281</v>
      </c>
      <c r="AH214" s="2991">
        <f t="shared" si="1212"/>
        <v>0</v>
      </c>
      <c r="AI214" s="3006">
        <f t="shared" si="1184"/>
        <v>312.255</v>
      </c>
      <c r="AJ214" s="3006">
        <f t="shared" si="1185"/>
        <v>312.255</v>
      </c>
      <c r="AK214" s="3006">
        <f t="shared" si="1185"/>
        <v>0</v>
      </c>
      <c r="AL214" s="3012">
        <f t="shared" si="1173"/>
        <v>53.834138913427182</v>
      </c>
      <c r="AM214" s="3012">
        <f t="shared" si="1173"/>
        <v>53.834138913427182</v>
      </c>
      <c r="AN214" s="3012">
        <f t="shared" si="1173"/>
        <v>0</v>
      </c>
      <c r="AO214" s="3010">
        <f t="shared" ref="AO214:BC214" si="1221">SUM(AO66)</f>
        <v>129.21043054328641</v>
      </c>
      <c r="AP214" s="3010">
        <f t="shared" si="1221"/>
        <v>129.21043054328641</v>
      </c>
      <c r="AQ214" s="3010">
        <f t="shared" si="1221"/>
        <v>0</v>
      </c>
      <c r="AR214" s="3011">
        <f t="shared" si="1221"/>
        <v>0.5</v>
      </c>
      <c r="AS214" s="3011">
        <f t="shared" si="1221"/>
        <v>0.5</v>
      </c>
      <c r="AT214" s="3011">
        <f t="shared" si="1221"/>
        <v>0</v>
      </c>
      <c r="AU214" s="3011">
        <f t="shared" si="1221"/>
        <v>1.3320000000000001</v>
      </c>
      <c r="AV214" s="3011">
        <f t="shared" si="1221"/>
        <v>1.3320000000000001</v>
      </c>
      <c r="AW214" s="3011">
        <f t="shared" si="1221"/>
        <v>0</v>
      </c>
      <c r="AX214" s="3011">
        <f t="shared" si="1221"/>
        <v>16.782999999999998</v>
      </c>
      <c r="AY214" s="3011">
        <f t="shared" si="1221"/>
        <v>16.782999999999998</v>
      </c>
      <c r="AZ214" s="3011">
        <f t="shared" si="1221"/>
        <v>0</v>
      </c>
      <c r="BA214" s="3011">
        <f t="shared" si="1221"/>
        <v>18.614999999999998</v>
      </c>
      <c r="BB214" s="3011">
        <f t="shared" si="1221"/>
        <v>18.614999999999998</v>
      </c>
      <c r="BC214" s="3011">
        <f t="shared" si="1221"/>
        <v>0</v>
      </c>
      <c r="BD214" s="2991">
        <f t="shared" si="1175"/>
        <v>387.63129162985922</v>
      </c>
      <c r="BE214" s="2991">
        <f t="shared" si="1175"/>
        <v>387.63129162985922</v>
      </c>
      <c r="BF214" s="2991">
        <f t="shared" si="1206"/>
        <v>0</v>
      </c>
      <c r="BG214" s="3006">
        <f t="shared" si="1186"/>
        <v>330.87</v>
      </c>
      <c r="BH214" s="3006">
        <f t="shared" si="1207"/>
        <v>330.87</v>
      </c>
      <c r="BI214" s="3006">
        <f t="shared" si="1207"/>
        <v>0</v>
      </c>
      <c r="BJ214" s="3012">
        <f t="shared" si="1178"/>
        <v>-56.761291629859215</v>
      </c>
      <c r="BK214" s="3012">
        <f t="shared" si="1178"/>
        <v>-56.761291629859215</v>
      </c>
      <c r="BL214" s="3012">
        <f t="shared" si="1178"/>
        <v>0</v>
      </c>
      <c r="BM214" s="3010">
        <f t="shared" ref="BM214:CA214" si="1222">SUM(BM66)</f>
        <v>129.21043054328641</v>
      </c>
      <c r="BN214" s="3010">
        <f t="shared" si="1222"/>
        <v>129.21043054328641</v>
      </c>
      <c r="BO214" s="3010">
        <f t="shared" si="1222"/>
        <v>0</v>
      </c>
      <c r="BP214" s="3011">
        <f t="shared" si="1222"/>
        <v>41.105999999999995</v>
      </c>
      <c r="BQ214" s="3011">
        <f t="shared" si="1222"/>
        <v>41.105999999999995</v>
      </c>
      <c r="BR214" s="3011">
        <f t="shared" si="1222"/>
        <v>0</v>
      </c>
      <c r="BS214" s="3011">
        <f t="shared" si="1222"/>
        <v>54.29</v>
      </c>
      <c r="BT214" s="3011">
        <f t="shared" si="1222"/>
        <v>54.29</v>
      </c>
      <c r="BU214" s="3011">
        <f t="shared" si="1222"/>
        <v>0</v>
      </c>
      <c r="BV214" s="3011">
        <f t="shared" si="1222"/>
        <v>72.501000000000005</v>
      </c>
      <c r="BW214" s="3011">
        <f t="shared" si="1222"/>
        <v>72.501000000000005</v>
      </c>
      <c r="BX214" s="3011">
        <f t="shared" si="1222"/>
        <v>0</v>
      </c>
      <c r="BY214" s="3011">
        <f t="shared" si="1222"/>
        <v>167.89699999999999</v>
      </c>
      <c r="BZ214" s="3011">
        <f t="shared" si="1222"/>
        <v>167.89699999999999</v>
      </c>
      <c r="CA214" s="3011">
        <f t="shared" si="1222"/>
        <v>0</v>
      </c>
      <c r="CB214" s="2991">
        <f t="shared" si="1180"/>
        <v>516.84172217314563</v>
      </c>
      <c r="CC214" s="2991">
        <f t="shared" si="1180"/>
        <v>516.84172217314563</v>
      </c>
      <c r="CD214" s="2991">
        <f t="shared" si="1209"/>
        <v>0</v>
      </c>
      <c r="CE214" s="3006">
        <f t="shared" si="1187"/>
        <v>498.767</v>
      </c>
      <c r="CF214" s="3006">
        <f t="shared" si="1210"/>
        <v>498.767</v>
      </c>
      <c r="CG214" s="3006">
        <f t="shared" si="1210"/>
        <v>0</v>
      </c>
      <c r="CH214" s="3012">
        <f t="shared" si="1183"/>
        <v>-18.074722173145631</v>
      </c>
      <c r="CI214" s="3012">
        <f t="shared" si="1183"/>
        <v>-18.074722173145631</v>
      </c>
      <c r="CJ214" s="3012">
        <f t="shared" si="1183"/>
        <v>0</v>
      </c>
      <c r="CK214" s="389"/>
      <c r="CL214" s="5"/>
    </row>
    <row r="215" spans="1:90" ht="18.75" customHeight="1" x14ac:dyDescent="0.3">
      <c r="A215" s="2879" t="s">
        <v>548</v>
      </c>
      <c r="B215" s="3010">
        <f>SUM(B36+B67+B91+B107)</f>
        <v>277.52099677830097</v>
      </c>
      <c r="C215" s="3010">
        <f t="shared" ref="C215:AE215" si="1223">SUM(C36+C67+C91+C107)</f>
        <v>277.52099677830097</v>
      </c>
      <c r="D215" s="3010">
        <f t="shared" si="1223"/>
        <v>0</v>
      </c>
      <c r="E215" s="3011">
        <f t="shared" si="1223"/>
        <v>10.734489999999999</v>
      </c>
      <c r="F215" s="3011">
        <f t="shared" si="1223"/>
        <v>10.734489999999999</v>
      </c>
      <c r="G215" s="3011">
        <f t="shared" si="1223"/>
        <v>0</v>
      </c>
      <c r="H215" s="3011">
        <f t="shared" si="1223"/>
        <v>3.9977</v>
      </c>
      <c r="I215" s="3011">
        <f t="shared" si="1223"/>
        <v>3.9977</v>
      </c>
      <c r="J215" s="3011">
        <f t="shared" si="1223"/>
        <v>0</v>
      </c>
      <c r="K215" s="3011">
        <f t="shared" si="1223"/>
        <v>6.8524000000000003</v>
      </c>
      <c r="L215" s="3011">
        <f t="shared" si="1223"/>
        <v>6.8524000000000003</v>
      </c>
      <c r="M215" s="3011">
        <f t="shared" si="1223"/>
        <v>0</v>
      </c>
      <c r="N215" s="3011">
        <f t="shared" si="1223"/>
        <v>21.584590000000002</v>
      </c>
      <c r="O215" s="3011">
        <f t="shared" si="1223"/>
        <v>21.584590000000002</v>
      </c>
      <c r="P215" s="3011">
        <f t="shared" si="1223"/>
        <v>0</v>
      </c>
      <c r="Q215" s="3010">
        <f t="shared" si="1223"/>
        <v>277.52099677830097</v>
      </c>
      <c r="R215" s="3010">
        <f t="shared" si="1223"/>
        <v>277.52099677830097</v>
      </c>
      <c r="S215" s="3010">
        <f t="shared" si="1223"/>
        <v>0</v>
      </c>
      <c r="T215" s="3011">
        <f t="shared" si="1223"/>
        <v>4.0739999999999998</v>
      </c>
      <c r="U215" s="3011">
        <f t="shared" si="1223"/>
        <v>4.0739999999999998</v>
      </c>
      <c r="V215" s="3011">
        <f t="shared" si="1223"/>
        <v>0</v>
      </c>
      <c r="W215" s="3011">
        <f t="shared" si="1223"/>
        <v>42.213000000000001</v>
      </c>
      <c r="X215" s="3011">
        <f t="shared" si="1223"/>
        <v>42.213000000000001</v>
      </c>
      <c r="Y215" s="3011">
        <f t="shared" si="1223"/>
        <v>0</v>
      </c>
      <c r="Z215" s="3011">
        <f t="shared" si="1223"/>
        <v>6.0709999999999997</v>
      </c>
      <c r="AA215" s="3011">
        <f t="shared" si="1223"/>
        <v>6.0709999999999997</v>
      </c>
      <c r="AB215" s="3011">
        <f t="shared" si="1223"/>
        <v>0</v>
      </c>
      <c r="AC215" s="3011">
        <f t="shared" si="1223"/>
        <v>52.358000000000004</v>
      </c>
      <c r="AD215" s="3011">
        <f t="shared" si="1223"/>
        <v>52.358000000000004</v>
      </c>
      <c r="AE215" s="3011">
        <f t="shared" si="1223"/>
        <v>0</v>
      </c>
      <c r="AF215" s="2991">
        <f t="shared" si="1171"/>
        <v>555.04199355660194</v>
      </c>
      <c r="AG215" s="2991">
        <f t="shared" si="1171"/>
        <v>555.04199355660194</v>
      </c>
      <c r="AH215" s="2991">
        <f t="shared" si="1212"/>
        <v>0</v>
      </c>
      <c r="AI215" s="3006">
        <f t="shared" si="1184"/>
        <v>73.94259000000001</v>
      </c>
      <c r="AJ215" s="3006">
        <f t="shared" si="1185"/>
        <v>73.94259000000001</v>
      </c>
      <c r="AK215" s="3006">
        <f t="shared" si="1185"/>
        <v>0</v>
      </c>
      <c r="AL215" s="3012">
        <f t="shared" si="1173"/>
        <v>-481.09940355660194</v>
      </c>
      <c r="AM215" s="3012">
        <f t="shared" si="1173"/>
        <v>-481.09940355660194</v>
      </c>
      <c r="AN215" s="3012">
        <f t="shared" si="1173"/>
        <v>0</v>
      </c>
      <c r="AO215" s="3010">
        <f t="shared" ref="AO215:BC215" si="1224">SUM(AO36+AO67+AO91+AO107)</f>
        <v>277.52099677830097</v>
      </c>
      <c r="AP215" s="3010">
        <f t="shared" si="1224"/>
        <v>277.52099677830097</v>
      </c>
      <c r="AQ215" s="3010">
        <f t="shared" si="1224"/>
        <v>0</v>
      </c>
      <c r="AR215" s="3011">
        <f t="shared" si="1224"/>
        <v>16.68</v>
      </c>
      <c r="AS215" s="3011">
        <f t="shared" si="1224"/>
        <v>16.68</v>
      </c>
      <c r="AT215" s="3011">
        <f t="shared" si="1224"/>
        <v>0</v>
      </c>
      <c r="AU215" s="3011">
        <f t="shared" si="1224"/>
        <v>3.415</v>
      </c>
      <c r="AV215" s="3011">
        <f t="shared" si="1224"/>
        <v>3.415</v>
      </c>
      <c r="AW215" s="3011">
        <f t="shared" si="1224"/>
        <v>0</v>
      </c>
      <c r="AX215" s="3011">
        <f t="shared" si="1224"/>
        <v>5.4180000000000001</v>
      </c>
      <c r="AY215" s="3011">
        <f t="shared" si="1224"/>
        <v>5.4180000000000001</v>
      </c>
      <c r="AZ215" s="3011">
        <f t="shared" si="1224"/>
        <v>0</v>
      </c>
      <c r="BA215" s="3011">
        <f t="shared" si="1224"/>
        <v>25.512999999999998</v>
      </c>
      <c r="BB215" s="3011">
        <f t="shared" si="1224"/>
        <v>25.512999999999998</v>
      </c>
      <c r="BC215" s="3011">
        <f t="shared" si="1224"/>
        <v>0</v>
      </c>
      <c r="BD215" s="2991">
        <f t="shared" si="1175"/>
        <v>832.56299033490291</v>
      </c>
      <c r="BE215" s="2991">
        <f t="shared" si="1175"/>
        <v>832.56299033490291</v>
      </c>
      <c r="BF215" s="2991">
        <f t="shared" si="1206"/>
        <v>0</v>
      </c>
      <c r="BG215" s="3006">
        <f t="shared" si="1186"/>
        <v>99.455590000000001</v>
      </c>
      <c r="BH215" s="3006">
        <f t="shared" si="1207"/>
        <v>99.455590000000001</v>
      </c>
      <c r="BI215" s="3006">
        <f t="shared" si="1207"/>
        <v>0</v>
      </c>
      <c r="BJ215" s="3012">
        <f t="shared" si="1178"/>
        <v>-733.10740033490288</v>
      </c>
      <c r="BK215" s="3012">
        <f t="shared" si="1178"/>
        <v>-733.10740033490288</v>
      </c>
      <c r="BL215" s="3012">
        <f t="shared" si="1178"/>
        <v>0</v>
      </c>
      <c r="BM215" s="3010">
        <f t="shared" ref="BM215:CA215" si="1225">SUM(BM36+BM67+BM91+BM107)</f>
        <v>277.52099677830097</v>
      </c>
      <c r="BN215" s="3010">
        <f t="shared" si="1225"/>
        <v>277.52099677830097</v>
      </c>
      <c r="BO215" s="3010">
        <f t="shared" si="1225"/>
        <v>0</v>
      </c>
      <c r="BP215" s="3011">
        <f t="shared" si="1225"/>
        <v>3.4906700000000002</v>
      </c>
      <c r="BQ215" s="3011">
        <f t="shared" si="1225"/>
        <v>3.4906700000000002</v>
      </c>
      <c r="BR215" s="3011">
        <f t="shared" si="1225"/>
        <v>0</v>
      </c>
      <c r="BS215" s="3011">
        <f t="shared" si="1225"/>
        <v>39.643999999999998</v>
      </c>
      <c r="BT215" s="3011">
        <f t="shared" si="1225"/>
        <v>39.643999999999998</v>
      </c>
      <c r="BU215" s="3011">
        <f t="shared" si="1225"/>
        <v>0</v>
      </c>
      <c r="BV215" s="3011">
        <f t="shared" si="1225"/>
        <v>61.145000000000003</v>
      </c>
      <c r="BW215" s="3011">
        <f t="shared" si="1225"/>
        <v>61.145000000000003</v>
      </c>
      <c r="BX215" s="3011">
        <f t="shared" si="1225"/>
        <v>0</v>
      </c>
      <c r="BY215" s="3011">
        <f t="shared" si="1225"/>
        <v>104.27967</v>
      </c>
      <c r="BZ215" s="3011">
        <f t="shared" si="1225"/>
        <v>104.27967</v>
      </c>
      <c r="CA215" s="3011">
        <f t="shared" si="1225"/>
        <v>0</v>
      </c>
      <c r="CB215" s="2991">
        <f t="shared" si="1180"/>
        <v>1110.0839871132039</v>
      </c>
      <c r="CC215" s="2991">
        <f t="shared" si="1180"/>
        <v>1110.0839871132039</v>
      </c>
      <c r="CD215" s="2991">
        <f t="shared" si="1209"/>
        <v>0</v>
      </c>
      <c r="CE215" s="3006">
        <f t="shared" si="1187"/>
        <v>203.73525999999998</v>
      </c>
      <c r="CF215" s="3006">
        <f t="shared" si="1210"/>
        <v>203.73525999999998</v>
      </c>
      <c r="CG215" s="3006">
        <f t="shared" si="1210"/>
        <v>0</v>
      </c>
      <c r="CH215" s="3012">
        <f t="shared" si="1183"/>
        <v>-906.34872711320395</v>
      </c>
      <c r="CI215" s="3012">
        <f t="shared" si="1183"/>
        <v>-906.34872711320395</v>
      </c>
      <c r="CJ215" s="3012">
        <f t="shared" si="1183"/>
        <v>0</v>
      </c>
      <c r="CK215" s="389"/>
      <c r="CL215" s="5"/>
    </row>
    <row r="216" spans="1:90" ht="18.75" customHeight="1" x14ac:dyDescent="0.3">
      <c r="A216" s="2879" t="s">
        <v>547</v>
      </c>
      <c r="B216" s="3010">
        <f>SUM(B68)</f>
        <v>0</v>
      </c>
      <c r="C216" s="3010">
        <f t="shared" ref="C216:AE216" si="1226">SUM(C68)</f>
        <v>0</v>
      </c>
      <c r="D216" s="3010">
        <f t="shared" si="1226"/>
        <v>0</v>
      </c>
      <c r="E216" s="3011">
        <f t="shared" si="1226"/>
        <v>0</v>
      </c>
      <c r="F216" s="3011">
        <f t="shared" si="1226"/>
        <v>0</v>
      </c>
      <c r="G216" s="3011">
        <f t="shared" si="1226"/>
        <v>0</v>
      </c>
      <c r="H216" s="3011">
        <f t="shared" si="1226"/>
        <v>0</v>
      </c>
      <c r="I216" s="3011">
        <f t="shared" si="1226"/>
        <v>0</v>
      </c>
      <c r="J216" s="3011">
        <f t="shared" si="1226"/>
        <v>0</v>
      </c>
      <c r="K216" s="3011">
        <f t="shared" si="1226"/>
        <v>0</v>
      </c>
      <c r="L216" s="3011">
        <f t="shared" si="1226"/>
        <v>0</v>
      </c>
      <c r="M216" s="3011">
        <f t="shared" si="1226"/>
        <v>0</v>
      </c>
      <c r="N216" s="3011">
        <f t="shared" si="1226"/>
        <v>0</v>
      </c>
      <c r="O216" s="3011">
        <f t="shared" si="1226"/>
        <v>0</v>
      </c>
      <c r="P216" s="3011">
        <f t="shared" si="1226"/>
        <v>0</v>
      </c>
      <c r="Q216" s="3010">
        <f t="shared" si="1226"/>
        <v>0</v>
      </c>
      <c r="R216" s="3010">
        <f t="shared" si="1226"/>
        <v>0</v>
      </c>
      <c r="S216" s="3010">
        <f t="shared" si="1226"/>
        <v>0</v>
      </c>
      <c r="T216" s="3011">
        <f t="shared" si="1226"/>
        <v>0</v>
      </c>
      <c r="U216" s="3011">
        <f t="shared" si="1226"/>
        <v>0</v>
      </c>
      <c r="V216" s="3011">
        <f t="shared" si="1226"/>
        <v>0</v>
      </c>
      <c r="W216" s="3011">
        <f t="shared" si="1226"/>
        <v>0</v>
      </c>
      <c r="X216" s="3011">
        <f t="shared" si="1226"/>
        <v>0</v>
      </c>
      <c r="Y216" s="3011">
        <f t="shared" si="1226"/>
        <v>0</v>
      </c>
      <c r="Z216" s="3011">
        <f t="shared" si="1226"/>
        <v>0</v>
      </c>
      <c r="AA216" s="3011">
        <f t="shared" si="1226"/>
        <v>0</v>
      </c>
      <c r="AB216" s="3011">
        <f t="shared" si="1226"/>
        <v>0</v>
      </c>
      <c r="AC216" s="3011">
        <f t="shared" si="1226"/>
        <v>0</v>
      </c>
      <c r="AD216" s="3011">
        <f t="shared" si="1226"/>
        <v>0</v>
      </c>
      <c r="AE216" s="3011">
        <f t="shared" si="1226"/>
        <v>0</v>
      </c>
      <c r="AF216" s="2991">
        <f t="shared" si="1171"/>
        <v>0</v>
      </c>
      <c r="AG216" s="2991">
        <f t="shared" si="1171"/>
        <v>0</v>
      </c>
      <c r="AH216" s="2991">
        <f t="shared" si="1212"/>
        <v>0</v>
      </c>
      <c r="AI216" s="3006">
        <f t="shared" si="1184"/>
        <v>0</v>
      </c>
      <c r="AJ216" s="3006">
        <f t="shared" si="1185"/>
        <v>0</v>
      </c>
      <c r="AK216" s="3006">
        <f t="shared" si="1185"/>
        <v>0</v>
      </c>
      <c r="AL216" s="3012">
        <f t="shared" si="1173"/>
        <v>0</v>
      </c>
      <c r="AM216" s="3012">
        <f t="shared" si="1173"/>
        <v>0</v>
      </c>
      <c r="AN216" s="3012">
        <f t="shared" si="1173"/>
        <v>0</v>
      </c>
      <c r="AO216" s="3010">
        <f t="shared" ref="AO216:BC216" si="1227">SUM(AO68)</f>
        <v>0</v>
      </c>
      <c r="AP216" s="3010">
        <f t="shared" si="1227"/>
        <v>0</v>
      </c>
      <c r="AQ216" s="3010">
        <f t="shared" si="1227"/>
        <v>0</v>
      </c>
      <c r="AR216" s="3011">
        <f t="shared" si="1227"/>
        <v>0</v>
      </c>
      <c r="AS216" s="3011">
        <f t="shared" si="1227"/>
        <v>0</v>
      </c>
      <c r="AT216" s="3011">
        <f t="shared" si="1227"/>
        <v>0</v>
      </c>
      <c r="AU216" s="3011">
        <f t="shared" si="1227"/>
        <v>0</v>
      </c>
      <c r="AV216" s="3011">
        <f t="shared" si="1227"/>
        <v>0</v>
      </c>
      <c r="AW216" s="3011">
        <f t="shared" si="1227"/>
        <v>0</v>
      </c>
      <c r="AX216" s="3011">
        <f t="shared" si="1227"/>
        <v>0</v>
      </c>
      <c r="AY216" s="3011">
        <f t="shared" si="1227"/>
        <v>0</v>
      </c>
      <c r="AZ216" s="3011">
        <f t="shared" si="1227"/>
        <v>0</v>
      </c>
      <c r="BA216" s="3011">
        <f t="shared" si="1227"/>
        <v>0</v>
      </c>
      <c r="BB216" s="3011">
        <f t="shared" si="1227"/>
        <v>0</v>
      </c>
      <c r="BC216" s="3011">
        <f t="shared" si="1227"/>
        <v>0</v>
      </c>
      <c r="BD216" s="2991">
        <f t="shared" si="1175"/>
        <v>0</v>
      </c>
      <c r="BE216" s="2991">
        <f t="shared" si="1175"/>
        <v>0</v>
      </c>
      <c r="BF216" s="2991">
        <f t="shared" si="1206"/>
        <v>0</v>
      </c>
      <c r="BG216" s="3006">
        <f t="shared" si="1186"/>
        <v>0</v>
      </c>
      <c r="BH216" s="3006">
        <f t="shared" si="1207"/>
        <v>0</v>
      </c>
      <c r="BI216" s="3006">
        <f t="shared" si="1207"/>
        <v>0</v>
      </c>
      <c r="BJ216" s="3012">
        <f t="shared" si="1178"/>
        <v>0</v>
      </c>
      <c r="BK216" s="3012">
        <f t="shared" si="1178"/>
        <v>0</v>
      </c>
      <c r="BL216" s="3012">
        <f t="shared" si="1178"/>
        <v>0</v>
      </c>
      <c r="BM216" s="3010">
        <f t="shared" ref="BM216:CA216" si="1228">SUM(BM68)</f>
        <v>0</v>
      </c>
      <c r="BN216" s="3010">
        <f t="shared" si="1228"/>
        <v>0</v>
      </c>
      <c r="BO216" s="3010">
        <f t="shared" si="1228"/>
        <v>0</v>
      </c>
      <c r="BP216" s="3011">
        <f t="shared" si="1228"/>
        <v>0</v>
      </c>
      <c r="BQ216" s="3011">
        <f t="shared" si="1228"/>
        <v>0</v>
      </c>
      <c r="BR216" s="3011">
        <f t="shared" si="1228"/>
        <v>0</v>
      </c>
      <c r="BS216" s="3011">
        <f t="shared" si="1228"/>
        <v>0</v>
      </c>
      <c r="BT216" s="3011">
        <f t="shared" si="1228"/>
        <v>0</v>
      </c>
      <c r="BU216" s="3011">
        <f t="shared" si="1228"/>
        <v>0</v>
      </c>
      <c r="BV216" s="3011">
        <f t="shared" si="1228"/>
        <v>0</v>
      </c>
      <c r="BW216" s="3011">
        <f t="shared" si="1228"/>
        <v>0</v>
      </c>
      <c r="BX216" s="3011">
        <f t="shared" si="1228"/>
        <v>0</v>
      </c>
      <c r="BY216" s="3011">
        <f t="shared" si="1228"/>
        <v>0</v>
      </c>
      <c r="BZ216" s="3011">
        <f t="shared" si="1228"/>
        <v>0</v>
      </c>
      <c r="CA216" s="3011">
        <f t="shared" si="1228"/>
        <v>0</v>
      </c>
      <c r="CB216" s="2991">
        <f t="shared" si="1180"/>
        <v>0</v>
      </c>
      <c r="CC216" s="2991">
        <f t="shared" si="1180"/>
        <v>0</v>
      </c>
      <c r="CD216" s="2991">
        <f t="shared" si="1209"/>
        <v>0</v>
      </c>
      <c r="CE216" s="3006">
        <f t="shared" si="1187"/>
        <v>0</v>
      </c>
      <c r="CF216" s="3006">
        <f t="shared" si="1210"/>
        <v>0</v>
      </c>
      <c r="CG216" s="3006">
        <f t="shared" si="1210"/>
        <v>0</v>
      </c>
      <c r="CH216" s="3012">
        <f t="shared" si="1183"/>
        <v>0</v>
      </c>
      <c r="CI216" s="3012">
        <f t="shared" si="1183"/>
        <v>0</v>
      </c>
      <c r="CJ216" s="3012">
        <f t="shared" si="1183"/>
        <v>0</v>
      </c>
      <c r="CK216" s="389"/>
      <c r="CL216" s="5"/>
    </row>
    <row r="217" spans="1:90" ht="18.75" customHeight="1" x14ac:dyDescent="0.3">
      <c r="A217" s="2879" t="s">
        <v>549</v>
      </c>
      <c r="B217" s="3010">
        <f>SUM(B37+B69)</f>
        <v>210.70255566989997</v>
      </c>
      <c r="C217" s="3010">
        <f t="shared" ref="C217:AE217" si="1229">SUM(C37+C69)</f>
        <v>210.70255566989997</v>
      </c>
      <c r="D217" s="3010">
        <f t="shared" si="1229"/>
        <v>0</v>
      </c>
      <c r="E217" s="3011">
        <f t="shared" si="1229"/>
        <v>8.1999999999999993</v>
      </c>
      <c r="F217" s="3011">
        <f t="shared" si="1229"/>
        <v>8.1999999999999993</v>
      </c>
      <c r="G217" s="3011">
        <f t="shared" si="1229"/>
        <v>0</v>
      </c>
      <c r="H217" s="3011">
        <f t="shared" si="1229"/>
        <v>25.984000000000002</v>
      </c>
      <c r="I217" s="3011">
        <f t="shared" si="1229"/>
        <v>25.984000000000002</v>
      </c>
      <c r="J217" s="3011">
        <f t="shared" si="1229"/>
        <v>0</v>
      </c>
      <c r="K217" s="3011">
        <f t="shared" si="1229"/>
        <v>25.98</v>
      </c>
      <c r="L217" s="3011">
        <f t="shared" si="1229"/>
        <v>25.98</v>
      </c>
      <c r="M217" s="3011">
        <f t="shared" si="1229"/>
        <v>0</v>
      </c>
      <c r="N217" s="3011">
        <f t="shared" si="1229"/>
        <v>60.164000000000001</v>
      </c>
      <c r="O217" s="3011">
        <f t="shared" si="1229"/>
        <v>60.164000000000001</v>
      </c>
      <c r="P217" s="3011">
        <f t="shared" si="1229"/>
        <v>0</v>
      </c>
      <c r="Q217" s="3010">
        <f t="shared" si="1229"/>
        <v>210.70255566989997</v>
      </c>
      <c r="R217" s="3010">
        <f t="shared" si="1229"/>
        <v>210.70255566989997</v>
      </c>
      <c r="S217" s="3010">
        <f t="shared" si="1229"/>
        <v>0</v>
      </c>
      <c r="T217" s="3011">
        <f t="shared" si="1229"/>
        <v>28.32</v>
      </c>
      <c r="U217" s="3011">
        <f t="shared" si="1229"/>
        <v>28.32</v>
      </c>
      <c r="V217" s="3011">
        <f t="shared" si="1229"/>
        <v>0</v>
      </c>
      <c r="W217" s="3011">
        <f t="shared" si="1229"/>
        <v>2.92</v>
      </c>
      <c r="X217" s="3011">
        <f t="shared" si="1229"/>
        <v>2.92</v>
      </c>
      <c r="Y217" s="3011">
        <f t="shared" si="1229"/>
        <v>0</v>
      </c>
      <c r="Z217" s="3011">
        <f t="shared" si="1229"/>
        <v>25.141999999999999</v>
      </c>
      <c r="AA217" s="3011">
        <f t="shared" si="1229"/>
        <v>25.141999999999999</v>
      </c>
      <c r="AB217" s="3011">
        <f t="shared" si="1229"/>
        <v>0</v>
      </c>
      <c r="AC217" s="3011">
        <f t="shared" si="1229"/>
        <v>56.382000000000005</v>
      </c>
      <c r="AD217" s="3011">
        <f t="shared" si="1229"/>
        <v>56.382000000000005</v>
      </c>
      <c r="AE217" s="3011">
        <f t="shared" si="1229"/>
        <v>0</v>
      </c>
      <c r="AF217" s="2991">
        <f t="shared" si="1171"/>
        <v>421.40511133979993</v>
      </c>
      <c r="AG217" s="2991">
        <f t="shared" si="1171"/>
        <v>421.40511133979993</v>
      </c>
      <c r="AH217" s="2991">
        <f t="shared" si="1212"/>
        <v>0</v>
      </c>
      <c r="AI217" s="3006">
        <f t="shared" si="1184"/>
        <v>116.54600000000001</v>
      </c>
      <c r="AJ217" s="3006">
        <f t="shared" si="1185"/>
        <v>116.54600000000001</v>
      </c>
      <c r="AK217" s="3006">
        <f t="shared" si="1185"/>
        <v>0</v>
      </c>
      <c r="AL217" s="3012">
        <f t="shared" si="1173"/>
        <v>-304.85911133979994</v>
      </c>
      <c r="AM217" s="3012">
        <f t="shared" si="1173"/>
        <v>-304.85911133979994</v>
      </c>
      <c r="AN217" s="3012">
        <f t="shared" si="1173"/>
        <v>0</v>
      </c>
      <c r="AO217" s="3010">
        <f t="shared" ref="AO217:BC217" si="1230">SUM(AO37+AO69)</f>
        <v>210.70255566989997</v>
      </c>
      <c r="AP217" s="3010">
        <f t="shared" si="1230"/>
        <v>210.70255566989997</v>
      </c>
      <c r="AQ217" s="3010">
        <f t="shared" si="1230"/>
        <v>0</v>
      </c>
      <c r="AR217" s="3011">
        <f t="shared" si="1230"/>
        <v>24.51</v>
      </c>
      <c r="AS217" s="3011">
        <f t="shared" si="1230"/>
        <v>24.51</v>
      </c>
      <c r="AT217" s="3011">
        <f t="shared" si="1230"/>
        <v>0</v>
      </c>
      <c r="AU217" s="3011">
        <f t="shared" si="1230"/>
        <v>14.004</v>
      </c>
      <c r="AV217" s="3011">
        <f t="shared" si="1230"/>
        <v>14.004</v>
      </c>
      <c r="AW217" s="3011">
        <f t="shared" si="1230"/>
        <v>0</v>
      </c>
      <c r="AX217" s="3011">
        <f t="shared" si="1230"/>
        <v>4.3770000000000007</v>
      </c>
      <c r="AY217" s="3011">
        <f t="shared" si="1230"/>
        <v>4.3770000000000007</v>
      </c>
      <c r="AZ217" s="3011">
        <f t="shared" si="1230"/>
        <v>0</v>
      </c>
      <c r="BA217" s="3011">
        <f t="shared" si="1230"/>
        <v>42.891000000000005</v>
      </c>
      <c r="BB217" s="3011">
        <f t="shared" si="1230"/>
        <v>42.891000000000005</v>
      </c>
      <c r="BC217" s="3011">
        <f t="shared" si="1230"/>
        <v>0</v>
      </c>
      <c r="BD217" s="2991">
        <f t="shared" si="1175"/>
        <v>632.10766700969987</v>
      </c>
      <c r="BE217" s="2991">
        <f t="shared" si="1175"/>
        <v>632.10766700969987</v>
      </c>
      <c r="BF217" s="2991">
        <f t="shared" si="1206"/>
        <v>0</v>
      </c>
      <c r="BG217" s="3006">
        <f t="shared" si="1186"/>
        <v>159.43700000000001</v>
      </c>
      <c r="BH217" s="3006">
        <f t="shared" si="1207"/>
        <v>159.43700000000001</v>
      </c>
      <c r="BI217" s="3006">
        <f t="shared" si="1207"/>
        <v>0</v>
      </c>
      <c r="BJ217" s="3012">
        <f t="shared" si="1178"/>
        <v>-472.67066700969986</v>
      </c>
      <c r="BK217" s="3012">
        <f t="shared" si="1178"/>
        <v>-472.67066700969986</v>
      </c>
      <c r="BL217" s="3012">
        <f t="shared" si="1178"/>
        <v>0</v>
      </c>
      <c r="BM217" s="3010">
        <f t="shared" ref="BM217:CA217" si="1231">SUM(BM37+BM69)</f>
        <v>210.70255566989997</v>
      </c>
      <c r="BN217" s="3010">
        <f t="shared" si="1231"/>
        <v>210.70255566989997</v>
      </c>
      <c r="BO217" s="3010">
        <f t="shared" si="1231"/>
        <v>0</v>
      </c>
      <c r="BP217" s="3011">
        <f t="shared" si="1231"/>
        <v>3.5529999999999999</v>
      </c>
      <c r="BQ217" s="3011">
        <f t="shared" si="1231"/>
        <v>3.5529999999999999</v>
      </c>
      <c r="BR217" s="3011">
        <f t="shared" si="1231"/>
        <v>0</v>
      </c>
      <c r="BS217" s="3011">
        <f t="shared" si="1231"/>
        <v>1.7509999999999999</v>
      </c>
      <c r="BT217" s="3011">
        <f t="shared" si="1231"/>
        <v>1.7509999999999999</v>
      </c>
      <c r="BU217" s="3011">
        <f t="shared" si="1231"/>
        <v>0</v>
      </c>
      <c r="BV217" s="3011">
        <f t="shared" si="1231"/>
        <v>0.58199999999999996</v>
      </c>
      <c r="BW217" s="3011">
        <f t="shared" si="1231"/>
        <v>0.58199999999999996</v>
      </c>
      <c r="BX217" s="3011">
        <f t="shared" si="1231"/>
        <v>0</v>
      </c>
      <c r="BY217" s="3011">
        <f t="shared" si="1231"/>
        <v>5.8860000000000001</v>
      </c>
      <c r="BZ217" s="3011">
        <f t="shared" si="1231"/>
        <v>5.8860000000000001</v>
      </c>
      <c r="CA217" s="3011">
        <f t="shared" si="1231"/>
        <v>0</v>
      </c>
      <c r="CB217" s="2991">
        <f t="shared" si="1180"/>
        <v>842.81022267959986</v>
      </c>
      <c r="CC217" s="2991">
        <f t="shared" si="1180"/>
        <v>842.81022267959986</v>
      </c>
      <c r="CD217" s="2991">
        <f t="shared" si="1209"/>
        <v>0</v>
      </c>
      <c r="CE217" s="3006">
        <f t="shared" si="1187"/>
        <v>165.32300000000001</v>
      </c>
      <c r="CF217" s="3006">
        <f t="shared" si="1210"/>
        <v>165.32300000000001</v>
      </c>
      <c r="CG217" s="3006">
        <f t="shared" si="1210"/>
        <v>0</v>
      </c>
      <c r="CH217" s="3012">
        <f t="shared" si="1183"/>
        <v>-677.48722267959988</v>
      </c>
      <c r="CI217" s="3012">
        <f t="shared" si="1183"/>
        <v>-677.48722267959988</v>
      </c>
      <c r="CJ217" s="3012">
        <f t="shared" si="1183"/>
        <v>0</v>
      </c>
      <c r="CK217" s="389"/>
      <c r="CL217" s="5"/>
    </row>
    <row r="218" spans="1:90" ht="18.75" customHeight="1" x14ac:dyDescent="0.3">
      <c r="A218" s="2965" t="s">
        <v>594</v>
      </c>
      <c r="B218" s="3007">
        <f>SUM(B38+B70+B92+B108)</f>
        <v>524.23387552306849</v>
      </c>
      <c r="C218" s="3007">
        <f t="shared" ref="C218:AE218" si="1232">SUM(C38+C70+C92+C108)</f>
        <v>524.23387552306849</v>
      </c>
      <c r="D218" s="3007">
        <f t="shared" si="1232"/>
        <v>0</v>
      </c>
      <c r="E218" s="3013">
        <f t="shared" si="1232"/>
        <v>107.86</v>
      </c>
      <c r="F218" s="3013">
        <f t="shared" si="1232"/>
        <v>107.86</v>
      </c>
      <c r="G218" s="3013">
        <f t="shared" si="1232"/>
        <v>0</v>
      </c>
      <c r="H218" s="3013">
        <f t="shared" si="1232"/>
        <v>0</v>
      </c>
      <c r="I218" s="3013">
        <f t="shared" si="1232"/>
        <v>0</v>
      </c>
      <c r="J218" s="3013">
        <f t="shared" si="1232"/>
        <v>0</v>
      </c>
      <c r="K218" s="3013">
        <f t="shared" si="1232"/>
        <v>41.68</v>
      </c>
      <c r="L218" s="3013">
        <f t="shared" si="1232"/>
        <v>41.68</v>
      </c>
      <c r="M218" s="3013">
        <f t="shared" si="1232"/>
        <v>0</v>
      </c>
      <c r="N218" s="3013">
        <f t="shared" si="1232"/>
        <v>149.54</v>
      </c>
      <c r="O218" s="3013">
        <f t="shared" si="1232"/>
        <v>149.54</v>
      </c>
      <c r="P218" s="3013">
        <f t="shared" si="1232"/>
        <v>0</v>
      </c>
      <c r="Q218" s="3007">
        <f t="shared" si="1232"/>
        <v>524.23387552306849</v>
      </c>
      <c r="R218" s="3007">
        <f t="shared" si="1232"/>
        <v>524.23387552306849</v>
      </c>
      <c r="S218" s="3007">
        <f t="shared" si="1232"/>
        <v>0</v>
      </c>
      <c r="T218" s="3013">
        <f t="shared" si="1232"/>
        <v>0</v>
      </c>
      <c r="U218" s="3013">
        <f t="shared" si="1232"/>
        <v>0</v>
      </c>
      <c r="V218" s="3013">
        <f t="shared" si="1232"/>
        <v>0</v>
      </c>
      <c r="W218" s="3013">
        <f t="shared" si="1232"/>
        <v>0.66</v>
      </c>
      <c r="X218" s="3013">
        <f t="shared" si="1232"/>
        <v>0.66</v>
      </c>
      <c r="Y218" s="3013">
        <f t="shared" si="1232"/>
        <v>0</v>
      </c>
      <c r="Z218" s="3013">
        <f t="shared" si="1232"/>
        <v>69.031000000000006</v>
      </c>
      <c r="AA218" s="3013">
        <f t="shared" si="1232"/>
        <v>69.031000000000006</v>
      </c>
      <c r="AB218" s="3013">
        <f t="shared" si="1232"/>
        <v>0</v>
      </c>
      <c r="AC218" s="3013">
        <f t="shared" si="1232"/>
        <v>69.691000000000003</v>
      </c>
      <c r="AD218" s="3013">
        <f t="shared" si="1232"/>
        <v>69.691000000000003</v>
      </c>
      <c r="AE218" s="3013">
        <f t="shared" si="1232"/>
        <v>0</v>
      </c>
      <c r="AF218" s="2981">
        <f t="shared" si="1171"/>
        <v>1048.467751046137</v>
      </c>
      <c r="AG218" s="2981">
        <f t="shared" si="1171"/>
        <v>1048.467751046137</v>
      </c>
      <c r="AH218" s="2981">
        <f t="shared" si="1212"/>
        <v>0</v>
      </c>
      <c r="AI218" s="3009">
        <f t="shared" si="1184"/>
        <v>219.23099999999999</v>
      </c>
      <c r="AJ218" s="3009">
        <f t="shared" si="1185"/>
        <v>219.23099999999999</v>
      </c>
      <c r="AK218" s="3009">
        <f t="shared" si="1185"/>
        <v>0</v>
      </c>
      <c r="AL218" s="3009">
        <f t="shared" si="1173"/>
        <v>-829.23675104613699</v>
      </c>
      <c r="AM218" s="3009">
        <f t="shared" si="1173"/>
        <v>-829.23675104613699</v>
      </c>
      <c r="AN218" s="3009">
        <f t="shared" si="1173"/>
        <v>0</v>
      </c>
      <c r="AO218" s="3007">
        <f t="shared" ref="AO218:BC218" si="1233">SUM(AO38+AO70+AO92+AO108)</f>
        <v>524.23387552306849</v>
      </c>
      <c r="AP218" s="3007">
        <f t="shared" si="1233"/>
        <v>524.23387552306849</v>
      </c>
      <c r="AQ218" s="3007">
        <f t="shared" si="1233"/>
        <v>0</v>
      </c>
      <c r="AR218" s="3013">
        <f t="shared" si="1233"/>
        <v>215.98</v>
      </c>
      <c r="AS218" s="3013">
        <f t="shared" si="1233"/>
        <v>215.98</v>
      </c>
      <c r="AT218" s="3013">
        <f t="shared" si="1233"/>
        <v>0</v>
      </c>
      <c r="AU218" s="3013">
        <f t="shared" si="1233"/>
        <v>60.616</v>
      </c>
      <c r="AV218" s="3013">
        <f t="shared" si="1233"/>
        <v>60.616</v>
      </c>
      <c r="AW218" s="3013">
        <f t="shared" si="1233"/>
        <v>0</v>
      </c>
      <c r="AX218" s="3013">
        <f t="shared" si="1233"/>
        <v>330.15999999999997</v>
      </c>
      <c r="AY218" s="3013">
        <f t="shared" si="1233"/>
        <v>330.15999999999997</v>
      </c>
      <c r="AZ218" s="3013">
        <f t="shared" si="1233"/>
        <v>0</v>
      </c>
      <c r="BA218" s="3013">
        <f t="shared" si="1233"/>
        <v>606.75599999999997</v>
      </c>
      <c r="BB218" s="3013">
        <f t="shared" si="1233"/>
        <v>606.75599999999997</v>
      </c>
      <c r="BC218" s="3013">
        <f t="shared" si="1233"/>
        <v>0</v>
      </c>
      <c r="BD218" s="2981">
        <f t="shared" si="1175"/>
        <v>1572.7016265692055</v>
      </c>
      <c r="BE218" s="2981">
        <f t="shared" si="1175"/>
        <v>1572.7016265692055</v>
      </c>
      <c r="BF218" s="2981">
        <f t="shared" si="1206"/>
        <v>0</v>
      </c>
      <c r="BG218" s="3009">
        <f t="shared" si="1186"/>
        <v>825.98699999999997</v>
      </c>
      <c r="BH218" s="3009">
        <f t="shared" si="1207"/>
        <v>825.98699999999997</v>
      </c>
      <c r="BI218" s="3009">
        <f t="shared" si="1207"/>
        <v>0</v>
      </c>
      <c r="BJ218" s="3009">
        <f t="shared" si="1178"/>
        <v>-746.71462656920551</v>
      </c>
      <c r="BK218" s="3009">
        <f t="shared" si="1178"/>
        <v>-746.71462656920551</v>
      </c>
      <c r="BL218" s="3009">
        <f t="shared" si="1178"/>
        <v>0</v>
      </c>
      <c r="BM218" s="3007">
        <f t="shared" ref="BM218:CA218" si="1234">SUM(BM38+BM70+BM92+BM108)</f>
        <v>524.23387552306849</v>
      </c>
      <c r="BN218" s="3007">
        <f t="shared" si="1234"/>
        <v>524.23387552306849</v>
      </c>
      <c r="BO218" s="3007">
        <f t="shared" si="1234"/>
        <v>0</v>
      </c>
      <c r="BP218" s="3013">
        <f t="shared" si="1234"/>
        <v>53.082999999999998</v>
      </c>
      <c r="BQ218" s="3013">
        <f t="shared" si="1234"/>
        <v>53.082999999999998</v>
      </c>
      <c r="BR218" s="3013">
        <f t="shared" si="1234"/>
        <v>0</v>
      </c>
      <c r="BS218" s="3013">
        <f t="shared" si="1234"/>
        <v>41.798000000000002</v>
      </c>
      <c r="BT218" s="3013">
        <f t="shared" si="1234"/>
        <v>41.798000000000002</v>
      </c>
      <c r="BU218" s="3013">
        <f t="shared" si="1234"/>
        <v>0</v>
      </c>
      <c r="BV218" s="3013">
        <f t="shared" si="1234"/>
        <v>0.83089999999999997</v>
      </c>
      <c r="BW218" s="3013">
        <f t="shared" si="1234"/>
        <v>0.83089999999999997</v>
      </c>
      <c r="BX218" s="3013">
        <f t="shared" si="1234"/>
        <v>0</v>
      </c>
      <c r="BY218" s="3013">
        <f t="shared" si="1234"/>
        <v>95.7119</v>
      </c>
      <c r="BZ218" s="3013">
        <f t="shared" si="1234"/>
        <v>95.7119</v>
      </c>
      <c r="CA218" s="3013">
        <f t="shared" si="1234"/>
        <v>0</v>
      </c>
      <c r="CB218" s="2981">
        <f t="shared" si="1180"/>
        <v>2096.935502092274</v>
      </c>
      <c r="CC218" s="2981">
        <f t="shared" si="1180"/>
        <v>2096.935502092274</v>
      </c>
      <c r="CD218" s="2981">
        <f t="shared" si="1209"/>
        <v>0</v>
      </c>
      <c r="CE218" s="3009">
        <f t="shared" si="1187"/>
        <v>921.69889999999998</v>
      </c>
      <c r="CF218" s="3009">
        <f t="shared" si="1210"/>
        <v>921.69889999999998</v>
      </c>
      <c r="CG218" s="3009">
        <f t="shared" si="1210"/>
        <v>0</v>
      </c>
      <c r="CH218" s="3009">
        <f t="shared" si="1183"/>
        <v>-1175.2366020922741</v>
      </c>
      <c r="CI218" s="3009">
        <f t="shared" si="1183"/>
        <v>-1175.2366020922741</v>
      </c>
      <c r="CJ218" s="3009">
        <f t="shared" si="1183"/>
        <v>0</v>
      </c>
      <c r="CK218" s="389"/>
      <c r="CL218" s="5"/>
    </row>
    <row r="219" spans="1:90" ht="18.75" customHeight="1" x14ac:dyDescent="0.3">
      <c r="A219" s="2879" t="s">
        <v>534</v>
      </c>
      <c r="B219" s="3010">
        <f>SUM(B39+B71+B109)</f>
        <v>170.16749766068261</v>
      </c>
      <c r="C219" s="3010">
        <f t="shared" ref="C219:AE219" si="1235">SUM(C39+C71+C109)</f>
        <v>170.16749766068261</v>
      </c>
      <c r="D219" s="3010">
        <f t="shared" si="1235"/>
        <v>0</v>
      </c>
      <c r="E219" s="3011">
        <f t="shared" si="1235"/>
        <v>107.52</v>
      </c>
      <c r="F219" s="3011">
        <f t="shared" si="1235"/>
        <v>107.52</v>
      </c>
      <c r="G219" s="3011">
        <f t="shared" si="1235"/>
        <v>0</v>
      </c>
      <c r="H219" s="3011">
        <f t="shared" si="1235"/>
        <v>0</v>
      </c>
      <c r="I219" s="3011">
        <f t="shared" si="1235"/>
        <v>0</v>
      </c>
      <c r="J219" s="3011">
        <f t="shared" si="1235"/>
        <v>0</v>
      </c>
      <c r="K219" s="3011">
        <f t="shared" si="1235"/>
        <v>40.020000000000003</v>
      </c>
      <c r="L219" s="3011">
        <f t="shared" si="1235"/>
        <v>40.020000000000003</v>
      </c>
      <c r="M219" s="3011">
        <f t="shared" si="1235"/>
        <v>0</v>
      </c>
      <c r="N219" s="3011">
        <f t="shared" si="1235"/>
        <v>147.54</v>
      </c>
      <c r="O219" s="3011">
        <f t="shared" si="1235"/>
        <v>147.54</v>
      </c>
      <c r="P219" s="3011">
        <f t="shared" si="1235"/>
        <v>0</v>
      </c>
      <c r="Q219" s="3010">
        <f t="shared" si="1235"/>
        <v>170.16749766068261</v>
      </c>
      <c r="R219" s="3010">
        <f t="shared" si="1235"/>
        <v>170.16749766068261</v>
      </c>
      <c r="S219" s="3010">
        <f t="shared" si="1235"/>
        <v>0</v>
      </c>
      <c r="T219" s="3011">
        <f t="shared" si="1235"/>
        <v>0</v>
      </c>
      <c r="U219" s="3011">
        <f t="shared" si="1235"/>
        <v>0</v>
      </c>
      <c r="V219" s="3011">
        <f t="shared" si="1235"/>
        <v>0</v>
      </c>
      <c r="W219" s="3011">
        <f t="shared" si="1235"/>
        <v>0</v>
      </c>
      <c r="X219" s="3011">
        <f t="shared" si="1235"/>
        <v>0</v>
      </c>
      <c r="Y219" s="3011">
        <f t="shared" si="1235"/>
        <v>0</v>
      </c>
      <c r="Z219" s="3011">
        <f t="shared" si="1235"/>
        <v>69.031000000000006</v>
      </c>
      <c r="AA219" s="3011">
        <f t="shared" si="1235"/>
        <v>69.031000000000006</v>
      </c>
      <c r="AB219" s="3011">
        <f t="shared" si="1235"/>
        <v>0</v>
      </c>
      <c r="AC219" s="3011">
        <f t="shared" si="1235"/>
        <v>69.031000000000006</v>
      </c>
      <c r="AD219" s="3011">
        <f t="shared" si="1235"/>
        <v>69.031000000000006</v>
      </c>
      <c r="AE219" s="3011">
        <f t="shared" si="1235"/>
        <v>0</v>
      </c>
      <c r="AF219" s="2991">
        <f t="shared" si="1171"/>
        <v>340.33499532136523</v>
      </c>
      <c r="AG219" s="2991">
        <f t="shared" si="1171"/>
        <v>340.33499532136523</v>
      </c>
      <c r="AH219" s="2991">
        <f t="shared" si="1212"/>
        <v>0</v>
      </c>
      <c r="AI219" s="3006">
        <f t="shared" si="1184"/>
        <v>216.571</v>
      </c>
      <c r="AJ219" s="3006">
        <f t="shared" si="1185"/>
        <v>216.571</v>
      </c>
      <c r="AK219" s="3006">
        <f t="shared" si="1185"/>
        <v>0</v>
      </c>
      <c r="AL219" s="3012">
        <f t="shared" si="1173"/>
        <v>-123.76399532136523</v>
      </c>
      <c r="AM219" s="3012">
        <f t="shared" si="1173"/>
        <v>-123.76399532136523</v>
      </c>
      <c r="AN219" s="3012">
        <f t="shared" si="1173"/>
        <v>0</v>
      </c>
      <c r="AO219" s="3010">
        <f t="shared" ref="AO219:BC219" si="1236">SUM(AO39+AO71+AO109)</f>
        <v>170.16749766068261</v>
      </c>
      <c r="AP219" s="3010">
        <f t="shared" si="1236"/>
        <v>170.16749766068261</v>
      </c>
      <c r="AQ219" s="3010">
        <f t="shared" si="1236"/>
        <v>0</v>
      </c>
      <c r="AR219" s="3011">
        <f t="shared" si="1236"/>
        <v>215.88000000000002</v>
      </c>
      <c r="AS219" s="3011">
        <f t="shared" si="1236"/>
        <v>215.88000000000002</v>
      </c>
      <c r="AT219" s="3011">
        <f t="shared" si="1236"/>
        <v>0</v>
      </c>
      <c r="AU219" s="3011">
        <f t="shared" si="1236"/>
        <v>44.415999999999997</v>
      </c>
      <c r="AV219" s="3011">
        <f t="shared" si="1236"/>
        <v>44.415999999999997</v>
      </c>
      <c r="AW219" s="3011">
        <f t="shared" si="1236"/>
        <v>0</v>
      </c>
      <c r="AX219" s="3011">
        <f t="shared" si="1236"/>
        <v>330.15999999999997</v>
      </c>
      <c r="AY219" s="3011">
        <f t="shared" si="1236"/>
        <v>330.15999999999997</v>
      </c>
      <c r="AZ219" s="3011">
        <f t="shared" si="1236"/>
        <v>0</v>
      </c>
      <c r="BA219" s="3011">
        <f t="shared" si="1236"/>
        <v>590.45600000000002</v>
      </c>
      <c r="BB219" s="3011">
        <f t="shared" si="1236"/>
        <v>590.45600000000002</v>
      </c>
      <c r="BC219" s="3011">
        <f t="shared" si="1236"/>
        <v>0</v>
      </c>
      <c r="BD219" s="2991">
        <f t="shared" si="1175"/>
        <v>510.50249298204784</v>
      </c>
      <c r="BE219" s="2991">
        <f t="shared" si="1175"/>
        <v>510.50249298204784</v>
      </c>
      <c r="BF219" s="2991">
        <f t="shared" si="1206"/>
        <v>0</v>
      </c>
      <c r="BG219" s="3006">
        <f t="shared" si="1186"/>
        <v>807.02700000000004</v>
      </c>
      <c r="BH219" s="3006">
        <f t="shared" si="1207"/>
        <v>807.02700000000004</v>
      </c>
      <c r="BI219" s="3006">
        <f t="shared" si="1207"/>
        <v>0</v>
      </c>
      <c r="BJ219" s="3012">
        <f t="shared" si="1178"/>
        <v>296.5245070179522</v>
      </c>
      <c r="BK219" s="3012">
        <f t="shared" si="1178"/>
        <v>296.5245070179522</v>
      </c>
      <c r="BL219" s="3012">
        <f t="shared" si="1178"/>
        <v>0</v>
      </c>
      <c r="BM219" s="3010">
        <f t="shared" ref="BM219:CA219" si="1237">SUM(BM39+BM71+BM109)</f>
        <v>170.16749766068261</v>
      </c>
      <c r="BN219" s="3010">
        <f t="shared" si="1237"/>
        <v>170.16749766068261</v>
      </c>
      <c r="BO219" s="3010">
        <f t="shared" si="1237"/>
        <v>0</v>
      </c>
      <c r="BP219" s="3011">
        <f t="shared" si="1237"/>
        <v>53.082999999999998</v>
      </c>
      <c r="BQ219" s="3011">
        <f t="shared" si="1237"/>
        <v>53.082999999999998</v>
      </c>
      <c r="BR219" s="3011">
        <f t="shared" si="1237"/>
        <v>0</v>
      </c>
      <c r="BS219" s="3011">
        <f t="shared" si="1237"/>
        <v>39.715000000000003</v>
      </c>
      <c r="BT219" s="3011">
        <f t="shared" si="1237"/>
        <v>39.715000000000003</v>
      </c>
      <c r="BU219" s="3011">
        <f t="shared" si="1237"/>
        <v>0</v>
      </c>
      <c r="BV219" s="3011">
        <f t="shared" si="1237"/>
        <v>-1.8099999999999998E-2</v>
      </c>
      <c r="BW219" s="3011">
        <f t="shared" si="1237"/>
        <v>-1.8099999999999998E-2</v>
      </c>
      <c r="BX219" s="3011">
        <f t="shared" si="1237"/>
        <v>0</v>
      </c>
      <c r="BY219" s="3011">
        <f t="shared" si="1237"/>
        <v>92.779899999999998</v>
      </c>
      <c r="BZ219" s="3011">
        <f t="shared" si="1237"/>
        <v>92.779899999999998</v>
      </c>
      <c r="CA219" s="3011">
        <f t="shared" si="1237"/>
        <v>0</v>
      </c>
      <c r="CB219" s="2991">
        <f t="shared" si="1180"/>
        <v>680.66999064273045</v>
      </c>
      <c r="CC219" s="2991">
        <f t="shared" si="1180"/>
        <v>680.66999064273045</v>
      </c>
      <c r="CD219" s="2991">
        <f t="shared" si="1209"/>
        <v>0</v>
      </c>
      <c r="CE219" s="3006">
        <f t="shared" si="1187"/>
        <v>899.80690000000004</v>
      </c>
      <c r="CF219" s="3006">
        <f t="shared" si="1210"/>
        <v>899.80690000000004</v>
      </c>
      <c r="CG219" s="3006">
        <f t="shared" si="1210"/>
        <v>0</v>
      </c>
      <c r="CH219" s="3012">
        <f t="shared" si="1183"/>
        <v>219.13690935726959</v>
      </c>
      <c r="CI219" s="3012">
        <f t="shared" si="1183"/>
        <v>219.13690935726959</v>
      </c>
      <c r="CJ219" s="3012">
        <f t="shared" si="1183"/>
        <v>0</v>
      </c>
      <c r="CK219" s="389"/>
      <c r="CL219" s="5"/>
    </row>
    <row r="220" spans="1:90" ht="18.75" customHeight="1" x14ac:dyDescent="0.3">
      <c r="A220" s="2879" t="s">
        <v>628</v>
      </c>
      <c r="B220" s="3010">
        <f>SUM(B72)</f>
        <v>341.97402990255119</v>
      </c>
      <c r="C220" s="3010">
        <f t="shared" ref="C220:AE221" si="1238">SUM(C72)</f>
        <v>341.97402990255119</v>
      </c>
      <c r="D220" s="3010">
        <f t="shared" si="1238"/>
        <v>0</v>
      </c>
      <c r="E220" s="3011">
        <f t="shared" si="1238"/>
        <v>0</v>
      </c>
      <c r="F220" s="3011">
        <f t="shared" si="1238"/>
        <v>0</v>
      </c>
      <c r="G220" s="3011">
        <f t="shared" si="1238"/>
        <v>0</v>
      </c>
      <c r="H220" s="3011">
        <f t="shared" si="1238"/>
        <v>0</v>
      </c>
      <c r="I220" s="3011">
        <f t="shared" si="1238"/>
        <v>0</v>
      </c>
      <c r="J220" s="3011">
        <f t="shared" si="1238"/>
        <v>0</v>
      </c>
      <c r="K220" s="3011">
        <f t="shared" si="1238"/>
        <v>1.5</v>
      </c>
      <c r="L220" s="3011">
        <f t="shared" si="1238"/>
        <v>1.5</v>
      </c>
      <c r="M220" s="3011">
        <f t="shared" si="1238"/>
        <v>0</v>
      </c>
      <c r="N220" s="3011">
        <f t="shared" si="1238"/>
        <v>1.5</v>
      </c>
      <c r="O220" s="3011">
        <f t="shared" si="1238"/>
        <v>1.5</v>
      </c>
      <c r="P220" s="3011">
        <f t="shared" si="1238"/>
        <v>0</v>
      </c>
      <c r="Q220" s="3010">
        <f t="shared" si="1238"/>
        <v>341.97402990255119</v>
      </c>
      <c r="R220" s="3010">
        <f t="shared" si="1238"/>
        <v>341.97402990255119</v>
      </c>
      <c r="S220" s="3010">
        <f t="shared" si="1238"/>
        <v>0</v>
      </c>
      <c r="T220" s="3011">
        <f t="shared" si="1238"/>
        <v>0</v>
      </c>
      <c r="U220" s="3011">
        <f t="shared" si="1238"/>
        <v>0</v>
      </c>
      <c r="V220" s="3011">
        <f t="shared" si="1238"/>
        <v>0</v>
      </c>
      <c r="W220" s="3011">
        <f t="shared" si="1238"/>
        <v>0.66</v>
      </c>
      <c r="X220" s="3011">
        <f t="shared" si="1238"/>
        <v>0.66</v>
      </c>
      <c r="Y220" s="3011">
        <f t="shared" si="1238"/>
        <v>0</v>
      </c>
      <c r="Z220" s="3011">
        <f t="shared" si="1238"/>
        <v>0</v>
      </c>
      <c r="AA220" s="3011">
        <f t="shared" si="1238"/>
        <v>0</v>
      </c>
      <c r="AB220" s="3011">
        <f t="shared" si="1238"/>
        <v>0</v>
      </c>
      <c r="AC220" s="3011">
        <f t="shared" si="1238"/>
        <v>0.66</v>
      </c>
      <c r="AD220" s="3011">
        <f t="shared" si="1238"/>
        <v>0.66</v>
      </c>
      <c r="AE220" s="3011">
        <f t="shared" si="1238"/>
        <v>0</v>
      </c>
      <c r="AF220" s="2991">
        <f t="shared" si="1171"/>
        <v>683.94805980510239</v>
      </c>
      <c r="AG220" s="2991">
        <f t="shared" si="1171"/>
        <v>683.94805980510239</v>
      </c>
      <c r="AH220" s="2991">
        <f t="shared" si="1212"/>
        <v>0</v>
      </c>
      <c r="AI220" s="3006">
        <f t="shared" si="1184"/>
        <v>2.16</v>
      </c>
      <c r="AJ220" s="3006">
        <f t="shared" si="1185"/>
        <v>2.16</v>
      </c>
      <c r="AK220" s="3006">
        <f t="shared" si="1185"/>
        <v>0</v>
      </c>
      <c r="AL220" s="3012">
        <f t="shared" si="1173"/>
        <v>-681.78805980510242</v>
      </c>
      <c r="AM220" s="3012">
        <f t="shared" si="1173"/>
        <v>-681.78805980510242</v>
      </c>
      <c r="AN220" s="3012">
        <f t="shared" si="1173"/>
        <v>0</v>
      </c>
      <c r="AO220" s="3010">
        <f>SUM(AO72)</f>
        <v>341.97402990255119</v>
      </c>
      <c r="AP220" s="3010">
        <f t="shared" ref="AP220:BC221" si="1239">SUM(AP72)</f>
        <v>341.97402990255119</v>
      </c>
      <c r="AQ220" s="3010">
        <f t="shared" si="1239"/>
        <v>0</v>
      </c>
      <c r="AR220" s="3011">
        <f t="shared" si="1239"/>
        <v>0</v>
      </c>
      <c r="AS220" s="3011">
        <f t="shared" si="1239"/>
        <v>0</v>
      </c>
      <c r="AT220" s="3011">
        <f t="shared" si="1239"/>
        <v>0</v>
      </c>
      <c r="AU220" s="3011">
        <f t="shared" si="1239"/>
        <v>16.2</v>
      </c>
      <c r="AV220" s="3011">
        <f t="shared" si="1239"/>
        <v>16.2</v>
      </c>
      <c r="AW220" s="3011">
        <f t="shared" si="1239"/>
        <v>0</v>
      </c>
      <c r="AX220" s="3011">
        <f t="shared" si="1239"/>
        <v>0</v>
      </c>
      <c r="AY220" s="3011">
        <f t="shared" si="1239"/>
        <v>0</v>
      </c>
      <c r="AZ220" s="3011">
        <f t="shared" si="1239"/>
        <v>0</v>
      </c>
      <c r="BA220" s="3011">
        <f t="shared" si="1239"/>
        <v>16.2</v>
      </c>
      <c r="BB220" s="3011">
        <f t="shared" si="1239"/>
        <v>16.2</v>
      </c>
      <c r="BC220" s="3011">
        <f t="shared" si="1239"/>
        <v>0</v>
      </c>
      <c r="BD220" s="2991">
        <f t="shared" si="1175"/>
        <v>1025.9220897076536</v>
      </c>
      <c r="BE220" s="2991">
        <f t="shared" si="1175"/>
        <v>1025.9220897076536</v>
      </c>
      <c r="BF220" s="2991">
        <f t="shared" si="1206"/>
        <v>0</v>
      </c>
      <c r="BG220" s="3006">
        <f t="shared" si="1186"/>
        <v>18.36</v>
      </c>
      <c r="BH220" s="3006">
        <f t="shared" si="1207"/>
        <v>18.36</v>
      </c>
      <c r="BI220" s="3006">
        <f t="shared" si="1207"/>
        <v>0</v>
      </c>
      <c r="BJ220" s="3012">
        <f t="shared" si="1178"/>
        <v>-1007.5620897076536</v>
      </c>
      <c r="BK220" s="3012">
        <f t="shared" si="1178"/>
        <v>-1007.5620897076536</v>
      </c>
      <c r="BL220" s="3012">
        <f t="shared" si="1178"/>
        <v>0</v>
      </c>
      <c r="BM220" s="3010">
        <f>SUM(BM72)</f>
        <v>341.97402990255119</v>
      </c>
      <c r="BN220" s="3010">
        <f t="shared" ref="BN220:CA221" si="1240">SUM(BN72)</f>
        <v>341.97402990255119</v>
      </c>
      <c r="BO220" s="3010">
        <f t="shared" si="1240"/>
        <v>0</v>
      </c>
      <c r="BP220" s="3011">
        <f t="shared" si="1240"/>
        <v>0</v>
      </c>
      <c r="BQ220" s="3011">
        <f t="shared" si="1240"/>
        <v>0</v>
      </c>
      <c r="BR220" s="3011">
        <f t="shared" si="1240"/>
        <v>0</v>
      </c>
      <c r="BS220" s="3011">
        <f t="shared" si="1240"/>
        <v>2.0830000000000002</v>
      </c>
      <c r="BT220" s="3011">
        <f t="shared" si="1240"/>
        <v>2.0830000000000002</v>
      </c>
      <c r="BU220" s="3011">
        <f t="shared" si="1240"/>
        <v>0</v>
      </c>
      <c r="BV220" s="3011">
        <f t="shared" si="1240"/>
        <v>0.85399999999999998</v>
      </c>
      <c r="BW220" s="3011">
        <f t="shared" si="1240"/>
        <v>0.85399999999999998</v>
      </c>
      <c r="BX220" s="3011">
        <f t="shared" si="1240"/>
        <v>0</v>
      </c>
      <c r="BY220" s="3011">
        <f t="shared" si="1240"/>
        <v>2.9370000000000003</v>
      </c>
      <c r="BZ220" s="3011">
        <f t="shared" si="1240"/>
        <v>2.9370000000000003</v>
      </c>
      <c r="CA220" s="3011">
        <f t="shared" si="1240"/>
        <v>0</v>
      </c>
      <c r="CB220" s="2991">
        <f t="shared" si="1180"/>
        <v>1367.8961196102048</v>
      </c>
      <c r="CC220" s="2991">
        <f t="shared" si="1180"/>
        <v>1367.8961196102048</v>
      </c>
      <c r="CD220" s="2991">
        <f t="shared" si="1209"/>
        <v>0</v>
      </c>
      <c r="CE220" s="3006">
        <f t="shared" si="1187"/>
        <v>21.297000000000001</v>
      </c>
      <c r="CF220" s="3006">
        <f t="shared" si="1210"/>
        <v>21.297000000000001</v>
      </c>
      <c r="CG220" s="3006">
        <f t="shared" si="1210"/>
        <v>0</v>
      </c>
      <c r="CH220" s="3012">
        <f t="shared" si="1183"/>
        <v>-1346.5991196102048</v>
      </c>
      <c r="CI220" s="3012">
        <f t="shared" si="1183"/>
        <v>-1346.5991196102048</v>
      </c>
      <c r="CJ220" s="3012">
        <f t="shared" si="1183"/>
        <v>0</v>
      </c>
      <c r="CK220" s="389"/>
      <c r="CL220" s="5"/>
    </row>
    <row r="221" spans="1:90" ht="18.75" customHeight="1" x14ac:dyDescent="0.3">
      <c r="A221" s="2879" t="s">
        <v>543</v>
      </c>
      <c r="B221" s="3010">
        <f>SUM(B73)</f>
        <v>11.483943639772498</v>
      </c>
      <c r="C221" s="3010">
        <f t="shared" si="1238"/>
        <v>11.483943639772498</v>
      </c>
      <c r="D221" s="3010">
        <f t="shared" si="1238"/>
        <v>0</v>
      </c>
      <c r="E221" s="3011">
        <f t="shared" si="1238"/>
        <v>0</v>
      </c>
      <c r="F221" s="3011">
        <f t="shared" si="1238"/>
        <v>0</v>
      </c>
      <c r="G221" s="3011">
        <f t="shared" si="1238"/>
        <v>0</v>
      </c>
      <c r="H221" s="3011">
        <f t="shared" si="1238"/>
        <v>0</v>
      </c>
      <c r="I221" s="3011">
        <f t="shared" si="1238"/>
        <v>0</v>
      </c>
      <c r="J221" s="3011">
        <f t="shared" si="1238"/>
        <v>0</v>
      </c>
      <c r="K221" s="3011">
        <f t="shared" si="1238"/>
        <v>0</v>
      </c>
      <c r="L221" s="3011">
        <f t="shared" si="1238"/>
        <v>0</v>
      </c>
      <c r="M221" s="3011">
        <f t="shared" si="1238"/>
        <v>0</v>
      </c>
      <c r="N221" s="3011">
        <f t="shared" si="1238"/>
        <v>0</v>
      </c>
      <c r="O221" s="3011">
        <f t="shared" si="1238"/>
        <v>0</v>
      </c>
      <c r="P221" s="3011">
        <f t="shared" si="1238"/>
        <v>0</v>
      </c>
      <c r="Q221" s="3010">
        <f t="shared" si="1238"/>
        <v>11.483943639772498</v>
      </c>
      <c r="R221" s="3010">
        <f t="shared" si="1238"/>
        <v>11.483943639772498</v>
      </c>
      <c r="S221" s="3010">
        <f t="shared" si="1238"/>
        <v>0</v>
      </c>
      <c r="T221" s="3011">
        <f t="shared" si="1238"/>
        <v>0</v>
      </c>
      <c r="U221" s="3011">
        <f>SUM(U73)</f>
        <v>0</v>
      </c>
      <c r="V221" s="3011">
        <f t="shared" si="1238"/>
        <v>0</v>
      </c>
      <c r="W221" s="3011">
        <f t="shared" si="1238"/>
        <v>0</v>
      </c>
      <c r="X221" s="3011">
        <f t="shared" si="1238"/>
        <v>0</v>
      </c>
      <c r="Y221" s="3011">
        <f t="shared" si="1238"/>
        <v>0</v>
      </c>
      <c r="Z221" s="3011">
        <f t="shared" si="1238"/>
        <v>0</v>
      </c>
      <c r="AA221" s="3011">
        <f t="shared" si="1238"/>
        <v>0</v>
      </c>
      <c r="AB221" s="3011">
        <f t="shared" si="1238"/>
        <v>0</v>
      </c>
      <c r="AC221" s="3011">
        <f t="shared" si="1238"/>
        <v>0</v>
      </c>
      <c r="AD221" s="3011">
        <f t="shared" si="1238"/>
        <v>0</v>
      </c>
      <c r="AE221" s="3011">
        <f t="shared" si="1238"/>
        <v>0</v>
      </c>
      <c r="AF221" s="2991">
        <f t="shared" si="1171"/>
        <v>22.967887279544996</v>
      </c>
      <c r="AG221" s="2991">
        <f t="shared" si="1171"/>
        <v>22.967887279544996</v>
      </c>
      <c r="AH221" s="2991">
        <f t="shared" si="1212"/>
        <v>0</v>
      </c>
      <c r="AI221" s="3006">
        <f t="shared" si="1184"/>
        <v>0</v>
      </c>
      <c r="AJ221" s="3006">
        <f t="shared" si="1185"/>
        <v>0</v>
      </c>
      <c r="AK221" s="3006">
        <f t="shared" si="1185"/>
        <v>0</v>
      </c>
      <c r="AL221" s="3012">
        <f t="shared" si="1173"/>
        <v>-22.967887279544996</v>
      </c>
      <c r="AM221" s="3012">
        <f t="shared" si="1173"/>
        <v>-22.967887279544996</v>
      </c>
      <c r="AN221" s="3012">
        <f t="shared" si="1173"/>
        <v>0</v>
      </c>
      <c r="AO221" s="3010">
        <f>SUM(AO73)</f>
        <v>11.483943639772498</v>
      </c>
      <c r="AP221" s="3010">
        <f t="shared" si="1239"/>
        <v>11.483943639772498</v>
      </c>
      <c r="AQ221" s="3010">
        <f t="shared" si="1239"/>
        <v>0</v>
      </c>
      <c r="AR221" s="3011">
        <f t="shared" si="1239"/>
        <v>0</v>
      </c>
      <c r="AS221" s="3011">
        <f t="shared" si="1239"/>
        <v>0</v>
      </c>
      <c r="AT221" s="3011">
        <f t="shared" si="1239"/>
        <v>0</v>
      </c>
      <c r="AU221" s="3011">
        <f t="shared" si="1239"/>
        <v>0</v>
      </c>
      <c r="AV221" s="3011">
        <f t="shared" si="1239"/>
        <v>0</v>
      </c>
      <c r="AW221" s="3011">
        <f t="shared" si="1239"/>
        <v>0</v>
      </c>
      <c r="AX221" s="3011">
        <f t="shared" si="1239"/>
        <v>0</v>
      </c>
      <c r="AY221" s="3011">
        <f t="shared" si="1239"/>
        <v>0</v>
      </c>
      <c r="AZ221" s="3011">
        <f t="shared" si="1239"/>
        <v>0</v>
      </c>
      <c r="BA221" s="3011">
        <f t="shared" si="1239"/>
        <v>0</v>
      </c>
      <c r="BB221" s="3011">
        <f t="shared" si="1239"/>
        <v>0</v>
      </c>
      <c r="BC221" s="3011">
        <f t="shared" si="1239"/>
        <v>0</v>
      </c>
      <c r="BD221" s="2991">
        <f t="shared" si="1175"/>
        <v>34.451830919317494</v>
      </c>
      <c r="BE221" s="2991">
        <f t="shared" si="1175"/>
        <v>34.451830919317494</v>
      </c>
      <c r="BF221" s="2991">
        <f t="shared" si="1206"/>
        <v>0</v>
      </c>
      <c r="BG221" s="3006">
        <f t="shared" si="1186"/>
        <v>0</v>
      </c>
      <c r="BH221" s="3006">
        <f t="shared" si="1207"/>
        <v>0</v>
      </c>
      <c r="BI221" s="3006">
        <f t="shared" si="1207"/>
        <v>0</v>
      </c>
      <c r="BJ221" s="3012">
        <f t="shared" si="1178"/>
        <v>-34.451830919317494</v>
      </c>
      <c r="BK221" s="3012">
        <f t="shared" si="1178"/>
        <v>-34.451830919317494</v>
      </c>
      <c r="BL221" s="3012">
        <f t="shared" si="1178"/>
        <v>0</v>
      </c>
      <c r="BM221" s="3010">
        <f>SUM(BM73)</f>
        <v>11.483943639772498</v>
      </c>
      <c r="BN221" s="3010">
        <f t="shared" si="1240"/>
        <v>11.483943639772498</v>
      </c>
      <c r="BO221" s="3010">
        <f t="shared" si="1240"/>
        <v>0</v>
      </c>
      <c r="BP221" s="3011">
        <f t="shared" si="1240"/>
        <v>0</v>
      </c>
      <c r="BQ221" s="3011">
        <f t="shared" si="1240"/>
        <v>0</v>
      </c>
      <c r="BR221" s="3011">
        <f t="shared" si="1240"/>
        <v>0</v>
      </c>
      <c r="BS221" s="3011">
        <f t="shared" si="1240"/>
        <v>0</v>
      </c>
      <c r="BT221" s="3011">
        <f t="shared" si="1240"/>
        <v>0</v>
      </c>
      <c r="BU221" s="3011">
        <f t="shared" si="1240"/>
        <v>0</v>
      </c>
      <c r="BV221" s="3011">
        <f t="shared" si="1240"/>
        <v>0</v>
      </c>
      <c r="BW221" s="3011">
        <f t="shared" si="1240"/>
        <v>0</v>
      </c>
      <c r="BX221" s="3011">
        <f t="shared" si="1240"/>
        <v>0</v>
      </c>
      <c r="BY221" s="3011">
        <f t="shared" si="1240"/>
        <v>0</v>
      </c>
      <c r="BZ221" s="3011">
        <f t="shared" si="1240"/>
        <v>0</v>
      </c>
      <c r="CA221" s="3011">
        <f t="shared" si="1240"/>
        <v>0</v>
      </c>
      <c r="CB221" s="2991">
        <f t="shared" si="1180"/>
        <v>45.935774559089992</v>
      </c>
      <c r="CC221" s="2991">
        <f t="shared" si="1180"/>
        <v>45.935774559089992</v>
      </c>
      <c r="CD221" s="2991">
        <f t="shared" si="1209"/>
        <v>0</v>
      </c>
      <c r="CE221" s="3006">
        <f t="shared" si="1187"/>
        <v>0</v>
      </c>
      <c r="CF221" s="3006">
        <f t="shared" si="1210"/>
        <v>0</v>
      </c>
      <c r="CG221" s="3006">
        <f t="shared" si="1210"/>
        <v>0</v>
      </c>
      <c r="CH221" s="3012">
        <f t="shared" si="1183"/>
        <v>-45.935774559089992</v>
      </c>
      <c r="CI221" s="3012">
        <f t="shared" si="1183"/>
        <v>-45.935774559089992</v>
      </c>
      <c r="CJ221" s="3012">
        <f t="shared" si="1183"/>
        <v>0</v>
      </c>
      <c r="CK221" s="389"/>
      <c r="CL221" s="5"/>
    </row>
    <row r="222" spans="1:90" ht="18.75" customHeight="1" x14ac:dyDescent="0.3">
      <c r="A222" s="2879" t="s">
        <v>598</v>
      </c>
      <c r="B222" s="3010">
        <f>SUM(B74+B93+B110)</f>
        <v>0.60840432006220002</v>
      </c>
      <c r="C222" s="3010">
        <f t="shared" ref="C222:AE222" si="1241">SUM(C74+C93+C110)</f>
        <v>0.60840432006220002</v>
      </c>
      <c r="D222" s="3010">
        <f t="shared" si="1241"/>
        <v>0</v>
      </c>
      <c r="E222" s="3011">
        <f t="shared" si="1241"/>
        <v>0.34</v>
      </c>
      <c r="F222" s="3011">
        <f t="shared" si="1241"/>
        <v>0.34</v>
      </c>
      <c r="G222" s="3011">
        <f t="shared" si="1241"/>
        <v>0</v>
      </c>
      <c r="H222" s="3011">
        <f t="shared" si="1241"/>
        <v>0</v>
      </c>
      <c r="I222" s="3011">
        <f t="shared" si="1241"/>
        <v>0</v>
      </c>
      <c r="J222" s="3011">
        <f t="shared" si="1241"/>
        <v>0</v>
      </c>
      <c r="K222" s="3011">
        <f t="shared" si="1241"/>
        <v>0.16</v>
      </c>
      <c r="L222" s="3011">
        <f t="shared" si="1241"/>
        <v>0.16</v>
      </c>
      <c r="M222" s="3011">
        <f t="shared" si="1241"/>
        <v>0</v>
      </c>
      <c r="N222" s="3011">
        <f t="shared" si="1241"/>
        <v>0.5</v>
      </c>
      <c r="O222" s="3011">
        <f t="shared" si="1241"/>
        <v>0.5</v>
      </c>
      <c r="P222" s="3011">
        <f t="shared" si="1241"/>
        <v>0</v>
      </c>
      <c r="Q222" s="3010">
        <f t="shared" si="1241"/>
        <v>0.60840432006220002</v>
      </c>
      <c r="R222" s="3010">
        <f t="shared" si="1241"/>
        <v>0.60840432006220002</v>
      </c>
      <c r="S222" s="3010">
        <f t="shared" si="1241"/>
        <v>0</v>
      </c>
      <c r="T222" s="3011">
        <f t="shared" si="1241"/>
        <v>0</v>
      </c>
      <c r="U222" s="3011">
        <f t="shared" si="1241"/>
        <v>0</v>
      </c>
      <c r="V222" s="3011">
        <f t="shared" si="1241"/>
        <v>0</v>
      </c>
      <c r="W222" s="3011">
        <f t="shared" si="1241"/>
        <v>0</v>
      </c>
      <c r="X222" s="3011">
        <f t="shared" si="1241"/>
        <v>0</v>
      </c>
      <c r="Y222" s="3011">
        <f t="shared" si="1241"/>
        <v>0</v>
      </c>
      <c r="Z222" s="3011">
        <f t="shared" si="1241"/>
        <v>0</v>
      </c>
      <c r="AA222" s="3011">
        <f t="shared" si="1241"/>
        <v>0</v>
      </c>
      <c r="AB222" s="3011">
        <f t="shared" si="1241"/>
        <v>0</v>
      </c>
      <c r="AC222" s="3011">
        <f t="shared" si="1241"/>
        <v>0</v>
      </c>
      <c r="AD222" s="3011">
        <f t="shared" si="1241"/>
        <v>0</v>
      </c>
      <c r="AE222" s="3011">
        <f t="shared" si="1241"/>
        <v>0</v>
      </c>
      <c r="AF222" s="2991">
        <f t="shared" si="1171"/>
        <v>1.2168086401244</v>
      </c>
      <c r="AG222" s="2991">
        <f t="shared" si="1171"/>
        <v>1.2168086401244</v>
      </c>
      <c r="AH222" s="2991">
        <f t="shared" si="1212"/>
        <v>0</v>
      </c>
      <c r="AI222" s="3006">
        <f t="shared" si="1184"/>
        <v>0.5</v>
      </c>
      <c r="AJ222" s="3006">
        <f t="shared" si="1185"/>
        <v>0.5</v>
      </c>
      <c r="AK222" s="3006">
        <f t="shared" si="1185"/>
        <v>0</v>
      </c>
      <c r="AL222" s="3012">
        <f t="shared" si="1173"/>
        <v>-0.71680864012440004</v>
      </c>
      <c r="AM222" s="3012">
        <f t="shared" si="1173"/>
        <v>-0.71680864012440004</v>
      </c>
      <c r="AN222" s="3012">
        <f t="shared" si="1173"/>
        <v>0</v>
      </c>
      <c r="AO222" s="3010">
        <f t="shared" ref="AO222:BC222" si="1242">SUM(AO74+AO93+AO110)</f>
        <v>0.60840432006220002</v>
      </c>
      <c r="AP222" s="3010">
        <f t="shared" si="1242"/>
        <v>0.60840432006220002</v>
      </c>
      <c r="AQ222" s="3010">
        <f t="shared" si="1242"/>
        <v>0</v>
      </c>
      <c r="AR222" s="3011">
        <f t="shared" si="1242"/>
        <v>0.1</v>
      </c>
      <c r="AS222" s="3011">
        <f t="shared" si="1242"/>
        <v>0.1</v>
      </c>
      <c r="AT222" s="3011">
        <f t="shared" si="1242"/>
        <v>0</v>
      </c>
      <c r="AU222" s="3011">
        <f t="shared" si="1242"/>
        <v>0</v>
      </c>
      <c r="AV222" s="3011">
        <f t="shared" si="1242"/>
        <v>0</v>
      </c>
      <c r="AW222" s="3011">
        <f t="shared" si="1242"/>
        <v>0</v>
      </c>
      <c r="AX222" s="3011">
        <f t="shared" si="1242"/>
        <v>0</v>
      </c>
      <c r="AY222" s="3011">
        <f t="shared" si="1242"/>
        <v>0</v>
      </c>
      <c r="AZ222" s="3011">
        <f t="shared" si="1242"/>
        <v>0</v>
      </c>
      <c r="BA222" s="3011">
        <f t="shared" si="1242"/>
        <v>0.1</v>
      </c>
      <c r="BB222" s="3011">
        <f t="shared" si="1242"/>
        <v>0.1</v>
      </c>
      <c r="BC222" s="3011">
        <f t="shared" si="1242"/>
        <v>0</v>
      </c>
      <c r="BD222" s="2991">
        <f t="shared" si="1175"/>
        <v>1.8252129601866001</v>
      </c>
      <c r="BE222" s="2991">
        <f t="shared" si="1175"/>
        <v>1.8252129601866001</v>
      </c>
      <c r="BF222" s="2991">
        <f t="shared" si="1206"/>
        <v>0</v>
      </c>
      <c r="BG222" s="3006">
        <f t="shared" si="1186"/>
        <v>0.6</v>
      </c>
      <c r="BH222" s="3006">
        <f t="shared" si="1207"/>
        <v>0.6</v>
      </c>
      <c r="BI222" s="3006">
        <f t="shared" si="1207"/>
        <v>0</v>
      </c>
      <c r="BJ222" s="3012">
        <f t="shared" si="1178"/>
        <v>-1.2252129601866</v>
      </c>
      <c r="BK222" s="3012">
        <f t="shared" si="1178"/>
        <v>-1.2252129601866</v>
      </c>
      <c r="BL222" s="3012">
        <f t="shared" si="1178"/>
        <v>0</v>
      </c>
      <c r="BM222" s="3010">
        <f t="shared" ref="BM222:CA222" si="1243">SUM(BM74+BM93+BM110)</f>
        <v>0.60840432006220002</v>
      </c>
      <c r="BN222" s="3010">
        <f t="shared" si="1243"/>
        <v>0.60840432006220002</v>
      </c>
      <c r="BO222" s="3010">
        <f t="shared" si="1243"/>
        <v>0</v>
      </c>
      <c r="BP222" s="3011">
        <f t="shared" si="1243"/>
        <v>0</v>
      </c>
      <c r="BQ222" s="3011">
        <f t="shared" si="1243"/>
        <v>0</v>
      </c>
      <c r="BR222" s="3011">
        <f t="shared" si="1243"/>
        <v>0</v>
      </c>
      <c r="BS222" s="3011">
        <f t="shared" si="1243"/>
        <v>0</v>
      </c>
      <c r="BT222" s="3011">
        <f t="shared" si="1243"/>
        <v>0</v>
      </c>
      <c r="BU222" s="3011">
        <f t="shared" si="1243"/>
        <v>0</v>
      </c>
      <c r="BV222" s="3011">
        <f t="shared" si="1243"/>
        <v>-5.0000000000000001E-3</v>
      </c>
      <c r="BW222" s="3011">
        <f t="shared" si="1243"/>
        <v>-5.0000000000000001E-3</v>
      </c>
      <c r="BX222" s="3011">
        <f t="shared" si="1243"/>
        <v>0</v>
      </c>
      <c r="BY222" s="3011">
        <f t="shared" si="1243"/>
        <v>-5.0000000000000001E-3</v>
      </c>
      <c r="BZ222" s="3011">
        <f t="shared" si="1243"/>
        <v>-5.0000000000000001E-3</v>
      </c>
      <c r="CA222" s="3011">
        <f t="shared" si="1243"/>
        <v>0</v>
      </c>
      <c r="CB222" s="2991">
        <f t="shared" si="1180"/>
        <v>2.4336172802488001</v>
      </c>
      <c r="CC222" s="2991">
        <f t="shared" si="1180"/>
        <v>2.4336172802488001</v>
      </c>
      <c r="CD222" s="2991">
        <f t="shared" si="1209"/>
        <v>0</v>
      </c>
      <c r="CE222" s="3006">
        <f t="shared" si="1187"/>
        <v>0.59499999999999997</v>
      </c>
      <c r="CF222" s="3006">
        <f t="shared" si="1210"/>
        <v>0.59499999999999997</v>
      </c>
      <c r="CG222" s="3006">
        <f t="shared" si="1210"/>
        <v>0</v>
      </c>
      <c r="CH222" s="3012">
        <f t="shared" si="1183"/>
        <v>-1.8386172802488001</v>
      </c>
      <c r="CI222" s="3012">
        <f t="shared" si="1183"/>
        <v>-1.8386172802488001</v>
      </c>
      <c r="CJ222" s="3012">
        <f t="shared" si="1183"/>
        <v>0</v>
      </c>
      <c r="CK222" s="389"/>
      <c r="CL222" s="5"/>
    </row>
    <row r="223" spans="1:90" ht="18.75" customHeight="1" x14ac:dyDescent="0.3">
      <c r="A223" s="3014" t="s">
        <v>282</v>
      </c>
      <c r="B223" s="3007">
        <f>SUM(B194:B213)+B218</f>
        <v>4971.9194739826617</v>
      </c>
      <c r="C223" s="3007">
        <f t="shared" ref="C223:D223" si="1244">SUM(C194:C213)+C218</f>
        <v>4971.9194739826617</v>
      </c>
      <c r="D223" s="3007">
        <f t="shared" si="1244"/>
        <v>0</v>
      </c>
      <c r="E223" s="3013">
        <f t="shared" ref="E223:AE223" si="1245">SUM(E194:E213)+E218</f>
        <v>1393.9304899999997</v>
      </c>
      <c r="F223" s="3013">
        <f t="shared" si="1245"/>
        <v>1393.9304899999997</v>
      </c>
      <c r="G223" s="3013">
        <f t="shared" si="1245"/>
        <v>0</v>
      </c>
      <c r="H223" s="3013">
        <f t="shared" si="1245"/>
        <v>1276.3007</v>
      </c>
      <c r="I223" s="3013">
        <f t="shared" si="1245"/>
        <v>1276.3007</v>
      </c>
      <c r="J223" s="3013">
        <f t="shared" si="1245"/>
        <v>0</v>
      </c>
      <c r="K223" s="3013">
        <f t="shared" si="1245"/>
        <v>1535.7264000000002</v>
      </c>
      <c r="L223" s="3013">
        <f t="shared" si="1245"/>
        <v>1535.7264000000002</v>
      </c>
      <c r="M223" s="3013">
        <f t="shared" si="1245"/>
        <v>0</v>
      </c>
      <c r="N223" s="3013">
        <f t="shared" si="1245"/>
        <v>4205.95759</v>
      </c>
      <c r="O223" s="3013">
        <f t="shared" si="1245"/>
        <v>4205.95759</v>
      </c>
      <c r="P223" s="3013">
        <f t="shared" si="1245"/>
        <v>0</v>
      </c>
      <c r="Q223" s="3007">
        <f t="shared" si="1245"/>
        <v>4971.9194739826617</v>
      </c>
      <c r="R223" s="3007">
        <f t="shared" si="1245"/>
        <v>4971.9194739826617</v>
      </c>
      <c r="S223" s="3007">
        <f t="shared" si="1245"/>
        <v>0</v>
      </c>
      <c r="T223" s="3013">
        <f t="shared" si="1245"/>
        <v>1255.0440000000001</v>
      </c>
      <c r="U223" s="3013">
        <f t="shared" si="1245"/>
        <v>1255.0440000000001</v>
      </c>
      <c r="V223" s="3013">
        <f t="shared" si="1245"/>
        <v>0</v>
      </c>
      <c r="W223" s="3013">
        <f t="shared" si="1245"/>
        <v>1682.2630000000001</v>
      </c>
      <c r="X223" s="3013">
        <f t="shared" si="1245"/>
        <v>1682.2630000000001</v>
      </c>
      <c r="Y223" s="3013">
        <f t="shared" si="1245"/>
        <v>0</v>
      </c>
      <c r="Z223" s="3013">
        <f t="shared" si="1245"/>
        <v>899.80400000000009</v>
      </c>
      <c r="AA223" s="3013">
        <f t="shared" si="1245"/>
        <v>899.80400000000009</v>
      </c>
      <c r="AB223" s="3013">
        <f t="shared" si="1245"/>
        <v>0</v>
      </c>
      <c r="AC223" s="3013">
        <f t="shared" si="1245"/>
        <v>3837.110999999999</v>
      </c>
      <c r="AD223" s="3013">
        <f t="shared" si="1245"/>
        <v>3837.110999999999</v>
      </c>
      <c r="AE223" s="3013">
        <f t="shared" si="1245"/>
        <v>0</v>
      </c>
      <c r="AF223" s="2981">
        <f t="shared" si="1171"/>
        <v>9943.8389479653233</v>
      </c>
      <c r="AG223" s="2981">
        <f t="shared" si="1171"/>
        <v>9943.8389479653233</v>
      </c>
      <c r="AH223" s="2981">
        <f t="shared" si="1212"/>
        <v>0</v>
      </c>
      <c r="AI223" s="3009">
        <f t="shared" si="1184"/>
        <v>8043.0685899999989</v>
      </c>
      <c r="AJ223" s="3009">
        <f t="shared" si="1185"/>
        <v>8043.0685899999989</v>
      </c>
      <c r="AK223" s="3009">
        <f t="shared" si="1185"/>
        <v>0</v>
      </c>
      <c r="AL223" s="3009">
        <f t="shared" si="1173"/>
        <v>-1900.7703579653244</v>
      </c>
      <c r="AM223" s="3009">
        <f t="shared" si="1173"/>
        <v>-1900.7703579653244</v>
      </c>
      <c r="AN223" s="3009">
        <f t="shared" si="1173"/>
        <v>0</v>
      </c>
      <c r="AO223" s="3007">
        <f t="shared" ref="AO223:BC223" si="1246">SUM(AO194:AO213)+AO218</f>
        <v>4971.9194739826617</v>
      </c>
      <c r="AP223" s="3007">
        <f t="shared" si="1246"/>
        <v>4971.9194739826617</v>
      </c>
      <c r="AQ223" s="3007">
        <f t="shared" si="1246"/>
        <v>0</v>
      </c>
      <c r="AR223" s="3013">
        <f t="shared" si="1246"/>
        <v>1307.3700000000003</v>
      </c>
      <c r="AS223" s="3013">
        <f t="shared" si="1246"/>
        <v>1307.3700000000003</v>
      </c>
      <c r="AT223" s="3013">
        <f t="shared" si="1246"/>
        <v>0</v>
      </c>
      <c r="AU223" s="3013">
        <f t="shared" si="1246"/>
        <v>1058.9480000000001</v>
      </c>
      <c r="AV223" s="3013">
        <f t="shared" si="1246"/>
        <v>1058.9480000000001</v>
      </c>
      <c r="AW223" s="3013">
        <f t="shared" si="1246"/>
        <v>0</v>
      </c>
      <c r="AX223" s="3013">
        <f t="shared" si="1246"/>
        <v>1547.665</v>
      </c>
      <c r="AY223" s="3013">
        <f t="shared" si="1246"/>
        <v>1547.665</v>
      </c>
      <c r="AZ223" s="3013">
        <f t="shared" si="1246"/>
        <v>0</v>
      </c>
      <c r="BA223" s="3013">
        <f t="shared" si="1246"/>
        <v>3913.9829999999997</v>
      </c>
      <c r="BB223" s="3013">
        <f t="shared" si="1246"/>
        <v>3913.9829999999997</v>
      </c>
      <c r="BC223" s="3013">
        <f t="shared" si="1246"/>
        <v>0</v>
      </c>
      <c r="BD223" s="2981">
        <f t="shared" si="1175"/>
        <v>14915.758421947985</v>
      </c>
      <c r="BE223" s="2981">
        <f t="shared" si="1175"/>
        <v>14915.758421947985</v>
      </c>
      <c r="BF223" s="2981">
        <f t="shared" si="1206"/>
        <v>0</v>
      </c>
      <c r="BG223" s="3009">
        <f t="shared" si="1186"/>
        <v>11957.051589999999</v>
      </c>
      <c r="BH223" s="3009">
        <f t="shared" si="1207"/>
        <v>11957.051589999999</v>
      </c>
      <c r="BI223" s="3009">
        <f t="shared" si="1207"/>
        <v>0</v>
      </c>
      <c r="BJ223" s="3009">
        <f t="shared" si="1178"/>
        <v>-2958.7068319479858</v>
      </c>
      <c r="BK223" s="3009">
        <f t="shared" si="1178"/>
        <v>-2958.7068319479858</v>
      </c>
      <c r="BL223" s="3009">
        <f t="shared" si="1178"/>
        <v>0</v>
      </c>
      <c r="BM223" s="3007">
        <f t="shared" ref="BM223:CA223" si="1247">SUM(BM194:BM213)+BM218</f>
        <v>4971.9194739826617</v>
      </c>
      <c r="BN223" s="3007">
        <f t="shared" si="1247"/>
        <v>4971.9194739826617</v>
      </c>
      <c r="BO223" s="3007">
        <f t="shared" si="1247"/>
        <v>0</v>
      </c>
      <c r="BP223" s="3013">
        <f t="shared" si="1247"/>
        <v>1067.8366700000001</v>
      </c>
      <c r="BQ223" s="3013">
        <f t="shared" si="1247"/>
        <v>1067.8366700000001</v>
      </c>
      <c r="BR223" s="3013">
        <f t="shared" si="1247"/>
        <v>0</v>
      </c>
      <c r="BS223" s="3013">
        <f t="shared" si="1247"/>
        <v>1404.7339999999997</v>
      </c>
      <c r="BT223" s="3013">
        <f t="shared" si="1247"/>
        <v>1404.7339999999997</v>
      </c>
      <c r="BU223" s="3013">
        <f t="shared" si="1247"/>
        <v>0</v>
      </c>
      <c r="BV223" s="3013">
        <f t="shared" si="1247"/>
        <v>1367.0488999999995</v>
      </c>
      <c r="BW223" s="3013">
        <f t="shared" si="1247"/>
        <v>1367.0488999999995</v>
      </c>
      <c r="BX223" s="3013">
        <f t="shared" si="1247"/>
        <v>0</v>
      </c>
      <c r="BY223" s="3013">
        <f t="shared" si="1247"/>
        <v>3839.6195700000003</v>
      </c>
      <c r="BZ223" s="3013">
        <f t="shared" si="1247"/>
        <v>3839.6195700000003</v>
      </c>
      <c r="CA223" s="3013">
        <f t="shared" si="1247"/>
        <v>0</v>
      </c>
      <c r="CB223" s="2981">
        <f t="shared" si="1180"/>
        <v>19887.677895930647</v>
      </c>
      <c r="CC223" s="2981">
        <f t="shared" si="1180"/>
        <v>19887.677895930647</v>
      </c>
      <c r="CD223" s="2981">
        <f t="shared" si="1209"/>
        <v>0</v>
      </c>
      <c r="CE223" s="3009">
        <f t="shared" si="1187"/>
        <v>15796.67116</v>
      </c>
      <c r="CF223" s="3009">
        <f t="shared" si="1210"/>
        <v>15796.67116</v>
      </c>
      <c r="CG223" s="3009">
        <f t="shared" si="1210"/>
        <v>0</v>
      </c>
      <c r="CH223" s="3009">
        <f t="shared" si="1183"/>
        <v>-4091.0067359306468</v>
      </c>
      <c r="CI223" s="3009">
        <f t="shared" si="1183"/>
        <v>-4091.0067359306468</v>
      </c>
      <c r="CJ223" s="3009">
        <f t="shared" si="1183"/>
        <v>0</v>
      </c>
      <c r="CK223" s="389"/>
      <c r="CL223" s="5"/>
    </row>
    <row r="224" spans="1:90" ht="18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</row>
    <row r="225" spans="1:90" ht="18.75" customHeight="1" x14ac:dyDescent="0.2">
      <c r="A225" s="299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</row>
    <row r="226" spans="1:90" ht="18.75" customHeight="1" x14ac:dyDescent="0.2">
      <c r="A226" s="299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</row>
    <row r="227" spans="1:90" ht="18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</row>
    <row r="228" spans="1:90" ht="18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 spans="1:90" ht="18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 spans="1:90" ht="18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</row>
    <row r="536" spans="1:90" ht="18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</row>
    <row r="537" spans="1:90" ht="18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</row>
    <row r="538" spans="1:90" ht="18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</row>
    <row r="539" spans="1:90" ht="18.75" customHeight="1" x14ac:dyDescent="0.2"/>
    <row r="540" spans="1:90" ht="18.75" customHeight="1" x14ac:dyDescent="0.2"/>
    <row r="541" spans="1:90" ht="18.75" customHeight="1" x14ac:dyDescent="0.2"/>
    <row r="542" spans="1:90" ht="18.75" customHeight="1" x14ac:dyDescent="0.2"/>
    <row r="543" spans="1:90" ht="18.75" customHeight="1" x14ac:dyDescent="0.2"/>
    <row r="544" spans="1:90" ht="18.75" customHeight="1" x14ac:dyDescent="0.2"/>
    <row r="545" ht="18.75" customHeight="1" x14ac:dyDescent="0.2"/>
    <row r="546" ht="18.75" customHeight="1" x14ac:dyDescent="0.2"/>
  </sheetData>
  <mergeCells count="475">
    <mergeCell ref="BM191:CA191"/>
    <mergeCell ref="CB191:CJ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V192:BX192"/>
    <mergeCell ref="BY192:CA192"/>
    <mergeCell ref="CB192:CD192"/>
    <mergeCell ref="CE192:CG192"/>
    <mergeCell ref="CH192:CJ192"/>
    <mergeCell ref="BD192:BF192"/>
    <mergeCell ref="BG192:BI192"/>
    <mergeCell ref="BJ192:BL192"/>
    <mergeCell ref="BM192:BO192"/>
    <mergeCell ref="BP192:BR192"/>
    <mergeCell ref="BS192:BU192"/>
    <mergeCell ref="CE184:CG184"/>
    <mergeCell ref="CH184:CJ184"/>
    <mergeCell ref="BA184:BC184"/>
    <mergeCell ref="BD184:BF184"/>
    <mergeCell ref="BG184:BI184"/>
    <mergeCell ref="BJ184:BL184"/>
    <mergeCell ref="BM184:BO184"/>
    <mergeCell ref="BP184:BR184"/>
    <mergeCell ref="A191:A193"/>
    <mergeCell ref="B191:P191"/>
    <mergeCell ref="Q191:AE191"/>
    <mergeCell ref="AF191:AN191"/>
    <mergeCell ref="AO191:BC191"/>
    <mergeCell ref="BD191:BL191"/>
    <mergeCell ref="Z192:AB192"/>
    <mergeCell ref="AC192:AE192"/>
    <mergeCell ref="AF192:AH192"/>
    <mergeCell ref="AI192:AK192"/>
    <mergeCell ref="AL192:AN192"/>
    <mergeCell ref="AO192:AQ192"/>
    <mergeCell ref="AR192:AT192"/>
    <mergeCell ref="AU192:AW192"/>
    <mergeCell ref="AX192:AZ192"/>
    <mergeCell ref="BA192:BC192"/>
    <mergeCell ref="T184:V184"/>
    <mergeCell ref="W184:Y184"/>
    <mergeCell ref="Z184:AB184"/>
    <mergeCell ref="AC184:AE184"/>
    <mergeCell ref="AF184:AH184"/>
    <mergeCell ref="BS184:BU184"/>
    <mergeCell ref="BV184:BX184"/>
    <mergeCell ref="BY184:CA184"/>
    <mergeCell ref="CB184:CD184"/>
    <mergeCell ref="B184:D184"/>
    <mergeCell ref="E184:G184"/>
    <mergeCell ref="H184:J184"/>
    <mergeCell ref="K184:M184"/>
    <mergeCell ref="N184:P184"/>
    <mergeCell ref="BD183:BF183"/>
    <mergeCell ref="BG183:BI183"/>
    <mergeCell ref="BJ183:BL183"/>
    <mergeCell ref="BM183:BO183"/>
    <mergeCell ref="AL183:AN183"/>
    <mergeCell ref="AO183:AQ183"/>
    <mergeCell ref="AR183:AT183"/>
    <mergeCell ref="AU183:AW183"/>
    <mergeCell ref="AX183:AZ183"/>
    <mergeCell ref="BA183:BC183"/>
    <mergeCell ref="T183:V183"/>
    <mergeCell ref="W183:Y183"/>
    <mergeCell ref="AI184:AK184"/>
    <mergeCell ref="AL184:AN184"/>
    <mergeCell ref="AO184:AQ184"/>
    <mergeCell ref="AR184:AT184"/>
    <mergeCell ref="AU184:AW184"/>
    <mergeCell ref="AX184:AZ184"/>
    <mergeCell ref="Q184:S184"/>
    <mergeCell ref="B183:D183"/>
    <mergeCell ref="E183:G183"/>
    <mergeCell ref="H183:J183"/>
    <mergeCell ref="K183:M183"/>
    <mergeCell ref="N183:P183"/>
    <mergeCell ref="Q183:S183"/>
    <mergeCell ref="BV183:BX183"/>
    <mergeCell ref="BY183:CA183"/>
    <mergeCell ref="CB183:CD183"/>
    <mergeCell ref="BP183:BR183"/>
    <mergeCell ref="BS183:BU183"/>
    <mergeCell ref="CE182:CG182"/>
    <mergeCell ref="CH182:CJ182"/>
    <mergeCell ref="BA182:BC182"/>
    <mergeCell ref="BD182:BF182"/>
    <mergeCell ref="BG182:BI182"/>
    <mergeCell ref="BJ182:BL182"/>
    <mergeCell ref="BM182:BO182"/>
    <mergeCell ref="BP182:BR182"/>
    <mergeCell ref="Z183:AB183"/>
    <mergeCell ref="AC183:AE183"/>
    <mergeCell ref="AF183:AH183"/>
    <mergeCell ref="AI183:AK183"/>
    <mergeCell ref="CE183:CG183"/>
    <mergeCell ref="CH183:CJ183"/>
    <mergeCell ref="T182:V182"/>
    <mergeCell ref="W182:Y182"/>
    <mergeCell ref="Z182:AB182"/>
    <mergeCell ref="AC182:AE182"/>
    <mergeCell ref="AF182:AH182"/>
    <mergeCell ref="BS182:BU182"/>
    <mergeCell ref="BV182:BX182"/>
    <mergeCell ref="BY182:CA182"/>
    <mergeCell ref="CB182:CD182"/>
    <mergeCell ref="B182:D182"/>
    <mergeCell ref="E182:G182"/>
    <mergeCell ref="H182:J182"/>
    <mergeCell ref="K182:M182"/>
    <mergeCell ref="N182:P182"/>
    <mergeCell ref="BD181:BF181"/>
    <mergeCell ref="BG181:BI181"/>
    <mergeCell ref="BJ181:BL181"/>
    <mergeCell ref="BM181:BO181"/>
    <mergeCell ref="AL181:AN181"/>
    <mergeCell ref="AO181:AQ181"/>
    <mergeCell ref="AR181:AT181"/>
    <mergeCell ref="AU181:AW181"/>
    <mergeCell ref="AX181:AZ181"/>
    <mergeCell ref="BA181:BC181"/>
    <mergeCell ref="T181:V181"/>
    <mergeCell ref="W181:Y181"/>
    <mergeCell ref="AI182:AK182"/>
    <mergeCell ref="AL182:AN182"/>
    <mergeCell ref="AO182:AQ182"/>
    <mergeCell ref="AR182:AT182"/>
    <mergeCell ref="AU182:AW182"/>
    <mergeCell ref="AX182:AZ182"/>
    <mergeCell ref="Q182:S182"/>
    <mergeCell ref="CE180:CG180"/>
    <mergeCell ref="CH180:CJ180"/>
    <mergeCell ref="B181:D181"/>
    <mergeCell ref="E181:G181"/>
    <mergeCell ref="H181:J181"/>
    <mergeCell ref="K181:M181"/>
    <mergeCell ref="N181:P181"/>
    <mergeCell ref="Q181:S181"/>
    <mergeCell ref="BG180:BI180"/>
    <mergeCell ref="BJ180:BL180"/>
    <mergeCell ref="BM180:BO180"/>
    <mergeCell ref="BP180:BR180"/>
    <mergeCell ref="BS180:BU180"/>
    <mergeCell ref="BV180:BX180"/>
    <mergeCell ref="AO180:AQ180"/>
    <mergeCell ref="AR180:AT180"/>
    <mergeCell ref="AU180:AW180"/>
    <mergeCell ref="AX180:AZ180"/>
    <mergeCell ref="BV181:BX181"/>
    <mergeCell ref="BY181:CA181"/>
    <mergeCell ref="CB181:CD181"/>
    <mergeCell ref="CE181:CG181"/>
    <mergeCell ref="CH181:CJ181"/>
    <mergeCell ref="BP181:BR181"/>
    <mergeCell ref="AI180:AK180"/>
    <mergeCell ref="AL180:AN180"/>
    <mergeCell ref="CB149:CD149"/>
    <mergeCell ref="AI149:AK149"/>
    <mergeCell ref="AL149:AN149"/>
    <mergeCell ref="AO149:AQ149"/>
    <mergeCell ref="Z181:AB181"/>
    <mergeCell ref="AC181:AE181"/>
    <mergeCell ref="AF181:AH181"/>
    <mergeCell ref="AI181:AK181"/>
    <mergeCell ref="BY180:CA180"/>
    <mergeCell ref="CB180:CD180"/>
    <mergeCell ref="BS181:BU181"/>
    <mergeCell ref="B180:D180"/>
    <mergeCell ref="E180:G180"/>
    <mergeCell ref="H180:J180"/>
    <mergeCell ref="K180:M180"/>
    <mergeCell ref="N180:P180"/>
    <mergeCell ref="Q180:S180"/>
    <mergeCell ref="T180:V180"/>
    <mergeCell ref="BJ149:BL149"/>
    <mergeCell ref="BM149:BO149"/>
    <mergeCell ref="AR149:AT149"/>
    <mergeCell ref="AU149:AW149"/>
    <mergeCell ref="AX149:AZ149"/>
    <mergeCell ref="BA149:BC149"/>
    <mergeCell ref="BD149:BF149"/>
    <mergeCell ref="BG149:BI149"/>
    <mergeCell ref="Z149:AB149"/>
    <mergeCell ref="AC149:AE149"/>
    <mergeCell ref="AF149:AH149"/>
    <mergeCell ref="BA180:BC180"/>
    <mergeCell ref="BD180:BF180"/>
    <mergeCell ref="W180:Y180"/>
    <mergeCell ref="Z180:AB180"/>
    <mergeCell ref="AC180:AE180"/>
    <mergeCell ref="AF180:AH180"/>
    <mergeCell ref="CB148:CJ148"/>
    <mergeCell ref="B149:D149"/>
    <mergeCell ref="E149:G149"/>
    <mergeCell ref="H149:J149"/>
    <mergeCell ref="K149:M149"/>
    <mergeCell ref="N149:P149"/>
    <mergeCell ref="Q149:S149"/>
    <mergeCell ref="T149:V149"/>
    <mergeCell ref="W149:Y149"/>
    <mergeCell ref="CE149:CG149"/>
    <mergeCell ref="CH149:CJ149"/>
    <mergeCell ref="BP149:BR149"/>
    <mergeCell ref="BS149:BU149"/>
    <mergeCell ref="BV149:BX149"/>
    <mergeCell ref="BY149:CA149"/>
    <mergeCell ref="A148:A150"/>
    <mergeCell ref="B148:P148"/>
    <mergeCell ref="Q148:AE148"/>
    <mergeCell ref="AF148:AN148"/>
    <mergeCell ref="AO148:BC148"/>
    <mergeCell ref="BD148:BL148"/>
    <mergeCell ref="BG141:BI141"/>
    <mergeCell ref="BJ141:BL141"/>
    <mergeCell ref="BM141:BO141"/>
    <mergeCell ref="AO141:AQ141"/>
    <mergeCell ref="AR141:AT141"/>
    <mergeCell ref="AU141:AW141"/>
    <mergeCell ref="AX141:AZ141"/>
    <mergeCell ref="BA141:BC141"/>
    <mergeCell ref="BD141:BF141"/>
    <mergeCell ref="W141:Y141"/>
    <mergeCell ref="Z141:AB141"/>
    <mergeCell ref="BM148:CA148"/>
    <mergeCell ref="AC141:AE141"/>
    <mergeCell ref="AF141:AH141"/>
    <mergeCell ref="AI141:AK141"/>
    <mergeCell ref="AL141:AN141"/>
    <mergeCell ref="BD140:BL140"/>
    <mergeCell ref="BM140:CA140"/>
    <mergeCell ref="CB140:CJ140"/>
    <mergeCell ref="B141:D141"/>
    <mergeCell ref="E141:G141"/>
    <mergeCell ref="H141:J141"/>
    <mergeCell ref="K141:M141"/>
    <mergeCell ref="N141:P141"/>
    <mergeCell ref="Q141:S141"/>
    <mergeCell ref="T141:V141"/>
    <mergeCell ref="BY141:CA141"/>
    <mergeCell ref="CB141:CD141"/>
    <mergeCell ref="CE141:CG141"/>
    <mergeCell ref="CH141:CJ141"/>
    <mergeCell ref="BP141:BR141"/>
    <mergeCell ref="BS141:BU141"/>
    <mergeCell ref="BV141:BX141"/>
    <mergeCell ref="BV131:BX131"/>
    <mergeCell ref="BY131:CA131"/>
    <mergeCell ref="CB131:CD131"/>
    <mergeCell ref="CE131:CG131"/>
    <mergeCell ref="CH131:CJ131"/>
    <mergeCell ref="A140:A142"/>
    <mergeCell ref="B140:P140"/>
    <mergeCell ref="Q140:AE140"/>
    <mergeCell ref="AF140:AN140"/>
    <mergeCell ref="AO140:BC140"/>
    <mergeCell ref="BD131:BF131"/>
    <mergeCell ref="BG131:BI131"/>
    <mergeCell ref="BJ131:BL131"/>
    <mergeCell ref="BM131:BO131"/>
    <mergeCell ref="BP131:BR131"/>
    <mergeCell ref="BS131:BU131"/>
    <mergeCell ref="AL131:AN131"/>
    <mergeCell ref="AO131:AQ131"/>
    <mergeCell ref="AR131:AT131"/>
    <mergeCell ref="AU131:AW131"/>
    <mergeCell ref="AX131:AZ131"/>
    <mergeCell ref="BA131:BC131"/>
    <mergeCell ref="T131:V131"/>
    <mergeCell ref="W131:Y131"/>
    <mergeCell ref="Z131:AB131"/>
    <mergeCell ref="AC131:AE131"/>
    <mergeCell ref="AF131:AH131"/>
    <mergeCell ref="AI131:AK131"/>
    <mergeCell ref="B131:D131"/>
    <mergeCell ref="E131:G131"/>
    <mergeCell ref="H131:J131"/>
    <mergeCell ref="K131:M131"/>
    <mergeCell ref="N131:P131"/>
    <mergeCell ref="Q131:S131"/>
    <mergeCell ref="BS130:BU130"/>
    <mergeCell ref="BV130:BX130"/>
    <mergeCell ref="BY130:CA130"/>
    <mergeCell ref="CB130:CD130"/>
    <mergeCell ref="CE130:CG130"/>
    <mergeCell ref="CH130:CJ130"/>
    <mergeCell ref="BA130:BC130"/>
    <mergeCell ref="BD130:BF130"/>
    <mergeCell ref="BG130:BI130"/>
    <mergeCell ref="BJ130:BL130"/>
    <mergeCell ref="BM130:BO130"/>
    <mergeCell ref="BP130:BR130"/>
    <mergeCell ref="AI130:AK130"/>
    <mergeCell ref="AL130:AN130"/>
    <mergeCell ref="AO130:AQ130"/>
    <mergeCell ref="AR130:AT130"/>
    <mergeCell ref="AU130:AW130"/>
    <mergeCell ref="AX130:AZ130"/>
    <mergeCell ref="Q130:S130"/>
    <mergeCell ref="T130:V130"/>
    <mergeCell ref="W130:Y130"/>
    <mergeCell ref="Z130:AB130"/>
    <mergeCell ref="AC130:AE130"/>
    <mergeCell ref="AF130:AH130"/>
    <mergeCell ref="BV129:BX129"/>
    <mergeCell ref="BY129:CA129"/>
    <mergeCell ref="CB129:CD129"/>
    <mergeCell ref="CE129:CG129"/>
    <mergeCell ref="CH129:CJ129"/>
    <mergeCell ref="B130:D130"/>
    <mergeCell ref="E130:G130"/>
    <mergeCell ref="H130:J130"/>
    <mergeCell ref="K130:M130"/>
    <mergeCell ref="N130:P130"/>
    <mergeCell ref="BD129:BF129"/>
    <mergeCell ref="BG129:BI129"/>
    <mergeCell ref="BJ129:BL129"/>
    <mergeCell ref="BM129:BO129"/>
    <mergeCell ref="BP129:BR129"/>
    <mergeCell ref="BS129:BU129"/>
    <mergeCell ref="AL129:AN129"/>
    <mergeCell ref="AO129:AQ129"/>
    <mergeCell ref="AR129:AT129"/>
    <mergeCell ref="AU129:AW129"/>
    <mergeCell ref="AX129:AZ129"/>
    <mergeCell ref="BA129:BC129"/>
    <mergeCell ref="T129:V129"/>
    <mergeCell ref="W129:Y129"/>
    <mergeCell ref="Z129:AB129"/>
    <mergeCell ref="AC129:AE129"/>
    <mergeCell ref="AF129:AH129"/>
    <mergeCell ref="AI129:AK129"/>
    <mergeCell ref="B129:D129"/>
    <mergeCell ref="E129:G129"/>
    <mergeCell ref="H129:J129"/>
    <mergeCell ref="K129:M129"/>
    <mergeCell ref="N129:P129"/>
    <mergeCell ref="Q129:S129"/>
    <mergeCell ref="BS128:BU128"/>
    <mergeCell ref="BV128:BX128"/>
    <mergeCell ref="BY128:CA128"/>
    <mergeCell ref="CB128:CD128"/>
    <mergeCell ref="CE128:CG128"/>
    <mergeCell ref="CH128:CJ128"/>
    <mergeCell ref="BA128:BC128"/>
    <mergeCell ref="BD128:BF128"/>
    <mergeCell ref="BG128:BI128"/>
    <mergeCell ref="BJ128:BL128"/>
    <mergeCell ref="BM128:BO128"/>
    <mergeCell ref="BP128:BR128"/>
    <mergeCell ref="AI128:AK128"/>
    <mergeCell ref="AL128:AN128"/>
    <mergeCell ref="AO128:AQ128"/>
    <mergeCell ref="AR128:AT128"/>
    <mergeCell ref="AU128:AW128"/>
    <mergeCell ref="AX128:AZ128"/>
    <mergeCell ref="Q128:S128"/>
    <mergeCell ref="T128:V128"/>
    <mergeCell ref="W128:Y128"/>
    <mergeCell ref="Z128:AB128"/>
    <mergeCell ref="AC128:AE128"/>
    <mergeCell ref="AF128:AH128"/>
    <mergeCell ref="BV127:BX127"/>
    <mergeCell ref="BY127:CA127"/>
    <mergeCell ref="CB127:CD127"/>
    <mergeCell ref="CE127:CG127"/>
    <mergeCell ref="CH127:CJ127"/>
    <mergeCell ref="B128:D128"/>
    <mergeCell ref="E128:G128"/>
    <mergeCell ref="H128:J128"/>
    <mergeCell ref="K128:M128"/>
    <mergeCell ref="N128:P128"/>
    <mergeCell ref="BD127:BF127"/>
    <mergeCell ref="BG127:BI127"/>
    <mergeCell ref="BJ127:BL127"/>
    <mergeCell ref="BM127:BO127"/>
    <mergeCell ref="BP127:BR127"/>
    <mergeCell ref="BS127:BU127"/>
    <mergeCell ref="AL127:AN127"/>
    <mergeCell ref="AO127:AQ127"/>
    <mergeCell ref="AR127:AT127"/>
    <mergeCell ref="AU127:AW127"/>
    <mergeCell ref="AX127:AZ127"/>
    <mergeCell ref="BA127:BC127"/>
    <mergeCell ref="T127:V127"/>
    <mergeCell ref="W127:Y127"/>
    <mergeCell ref="Z127:AB127"/>
    <mergeCell ref="AC127:AE127"/>
    <mergeCell ref="AF127:AH127"/>
    <mergeCell ref="AI127:AK127"/>
    <mergeCell ref="BY19:CA19"/>
    <mergeCell ref="CB19:CD19"/>
    <mergeCell ref="CE19:CG19"/>
    <mergeCell ref="CH19:CJ19"/>
    <mergeCell ref="B127:D127"/>
    <mergeCell ref="E127:G127"/>
    <mergeCell ref="H127:J127"/>
    <mergeCell ref="K127:M127"/>
    <mergeCell ref="N127:P127"/>
    <mergeCell ref="Q127:S127"/>
    <mergeCell ref="BG19:BI19"/>
    <mergeCell ref="BJ19:BL19"/>
    <mergeCell ref="BM19:BO19"/>
    <mergeCell ref="BP19:BR19"/>
    <mergeCell ref="BS19:BU19"/>
    <mergeCell ref="BV19:BX19"/>
    <mergeCell ref="AO19:AQ19"/>
    <mergeCell ref="AR19:AT19"/>
    <mergeCell ref="AU19:AW19"/>
    <mergeCell ref="AX19:AZ19"/>
    <mergeCell ref="CB18:CJ18"/>
    <mergeCell ref="B19:D19"/>
    <mergeCell ref="E19:G19"/>
    <mergeCell ref="H19:J19"/>
    <mergeCell ref="K19:M19"/>
    <mergeCell ref="N19:P19"/>
    <mergeCell ref="Q19:S19"/>
    <mergeCell ref="T19:V19"/>
    <mergeCell ref="BA19:BC19"/>
    <mergeCell ref="BD19:BF19"/>
    <mergeCell ref="W19:Y19"/>
    <mergeCell ref="Z19:AB19"/>
    <mergeCell ref="AC19:AE19"/>
    <mergeCell ref="AF19:AH19"/>
    <mergeCell ref="AI19:AK19"/>
    <mergeCell ref="AL19:AN19"/>
    <mergeCell ref="BD18:BL18"/>
    <mergeCell ref="A18:A20"/>
    <mergeCell ref="B18:P18"/>
    <mergeCell ref="Q18:AE18"/>
    <mergeCell ref="AF18:AN18"/>
    <mergeCell ref="AO18:BC18"/>
    <mergeCell ref="BD6:BF6"/>
    <mergeCell ref="BG6:BI6"/>
    <mergeCell ref="BJ6:BL6"/>
    <mergeCell ref="BM6:BO6"/>
    <mergeCell ref="BM18:CA18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19">
    <tabColor theme="1"/>
  </sheetPr>
  <dimension ref="A1:GM102"/>
  <sheetViews>
    <sheetView zoomScale="80" zoomScaleNormal="80" workbookViewId="0">
      <pane xSplit="1" ySplit="7" topLeftCell="EA80" activePane="bottomRight" state="frozen"/>
      <selection pane="topRight" activeCell="B1" sqref="B1"/>
      <selection pane="bottomLeft" activeCell="A8" sqref="A8"/>
      <selection pane="bottomRight" activeCell="EJ6" sqref="EJ6:EL6"/>
    </sheetView>
  </sheetViews>
  <sheetFormatPr defaultRowHeight="12.75" x14ac:dyDescent="0.2"/>
  <cols>
    <col min="1" max="1" width="54.28515625" customWidth="1"/>
    <col min="2" max="130" width="14.28515625" hidden="1" customWidth="1"/>
    <col min="131" max="132" width="16.140625" customWidth="1"/>
    <col min="133" max="139" width="14.28515625" customWidth="1"/>
    <col min="140" max="140" width="14.85546875" customWidth="1"/>
    <col min="141" max="141" width="14.42578125" customWidth="1"/>
    <col min="142" max="142" width="14.28515625" customWidth="1"/>
    <col min="143" max="181" width="14.28515625" hidden="1" customWidth="1"/>
    <col min="182" max="182" width="15.7109375" hidden="1" customWidth="1"/>
    <col min="183" max="183" width="15.42578125" hidden="1" customWidth="1"/>
    <col min="184" max="184" width="14.28515625" hidden="1" customWidth="1"/>
    <col min="185" max="185" width="15.85546875" hidden="1" customWidth="1"/>
    <col min="186" max="186" width="15.140625" hidden="1" customWidth="1"/>
    <col min="187" max="190" width="14.28515625" hidden="1" customWidth="1"/>
    <col min="191" max="192" width="14.7109375" hidden="1" customWidth="1"/>
    <col min="193" max="193" width="14.28515625" hidden="1" customWidth="1"/>
    <col min="195" max="195" width="12.140625" hidden="1" customWidth="1"/>
  </cols>
  <sheetData>
    <row r="1" spans="1:195" ht="20.25" x14ac:dyDescent="0.3">
      <c r="A1" s="2905" t="s">
        <v>3763</v>
      </c>
    </row>
    <row r="2" spans="1:195" ht="20.25" x14ac:dyDescent="0.3">
      <c r="A2" s="2905" t="s">
        <v>3962</v>
      </c>
    </row>
    <row r="3" spans="1:195" ht="20.25" x14ac:dyDescent="0.3">
      <c r="A3" s="2906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  <c r="DJ3" s="565"/>
      <c r="DK3" s="565"/>
      <c r="DL3" s="565"/>
      <c r="DM3" s="565"/>
      <c r="DN3" s="565"/>
      <c r="DO3" s="565"/>
      <c r="DP3" s="565"/>
      <c r="DQ3" s="565"/>
      <c r="DR3" s="565"/>
      <c r="DS3" s="565"/>
      <c r="DT3" s="565"/>
      <c r="DU3" s="565"/>
      <c r="DV3" s="565"/>
      <c r="DW3" s="565"/>
      <c r="DX3" s="565"/>
      <c r="DY3" s="565"/>
      <c r="DZ3" s="365"/>
      <c r="EA3" s="565"/>
      <c r="EB3" s="565"/>
      <c r="EC3" s="565"/>
      <c r="ED3" s="565"/>
      <c r="EE3" s="565"/>
      <c r="EF3" s="565"/>
      <c r="EG3" s="565"/>
      <c r="EH3" s="565"/>
      <c r="EI3" s="365"/>
      <c r="EJ3" s="565"/>
      <c r="EK3" s="565"/>
      <c r="EL3" s="365"/>
      <c r="EM3" s="565"/>
      <c r="EN3" s="565"/>
      <c r="EO3" s="565"/>
      <c r="EP3" s="565"/>
      <c r="EQ3" s="565"/>
      <c r="ER3" s="565"/>
      <c r="ES3" s="565"/>
      <c r="ET3" s="565"/>
      <c r="EU3" s="565"/>
      <c r="EV3" s="565"/>
      <c r="EW3" s="565"/>
      <c r="EX3" s="565"/>
      <c r="EY3" s="565"/>
      <c r="EZ3" s="565"/>
      <c r="FA3" s="565"/>
      <c r="FB3" s="565"/>
      <c r="FC3" s="565"/>
      <c r="FD3" s="565"/>
      <c r="FE3" s="565"/>
      <c r="FF3" s="565"/>
      <c r="FG3" s="565"/>
      <c r="FH3" s="565"/>
      <c r="FI3" s="565"/>
      <c r="FJ3" s="565"/>
      <c r="FK3" s="565"/>
      <c r="FL3" s="565"/>
      <c r="FM3" s="365"/>
      <c r="FN3" s="565"/>
      <c r="FO3" s="565"/>
      <c r="FP3" s="565"/>
      <c r="FQ3" s="565"/>
      <c r="FR3" s="565"/>
      <c r="FS3" s="565"/>
      <c r="FT3" s="565"/>
      <c r="FU3" s="565"/>
      <c r="FV3" s="365"/>
      <c r="FW3" s="565"/>
      <c r="FX3" s="565"/>
      <c r="FY3" s="365"/>
      <c r="FZ3" s="565"/>
      <c r="GA3" s="565"/>
      <c r="GB3" s="565"/>
      <c r="GC3" s="565"/>
      <c r="GD3" s="565"/>
      <c r="GE3" s="365"/>
      <c r="GF3" s="565"/>
      <c r="GG3" s="565"/>
      <c r="GH3" s="565"/>
      <c r="GI3" s="565"/>
      <c r="GJ3" s="565"/>
      <c r="GK3" s="565"/>
      <c r="GL3" s="565"/>
    </row>
    <row r="4" spans="1:195" ht="18.75" x14ac:dyDescent="0.3">
      <c r="A4" s="2907" t="s">
        <v>3715</v>
      </c>
      <c r="B4" s="2908"/>
      <c r="C4" s="2908"/>
      <c r="D4" s="2908"/>
      <c r="E4" s="2908"/>
      <c r="F4" s="2908"/>
      <c r="G4" s="2908"/>
      <c r="H4" s="2908"/>
      <c r="I4" s="2908"/>
      <c r="J4" s="2908"/>
      <c r="K4" s="2908"/>
      <c r="L4" s="2908"/>
      <c r="M4" s="2908"/>
      <c r="N4" s="2908"/>
      <c r="O4" s="2908"/>
      <c r="P4" s="2908"/>
      <c r="Q4" s="2908"/>
      <c r="R4" s="2908"/>
      <c r="S4" s="2908"/>
      <c r="T4" s="2908"/>
      <c r="U4" s="2908"/>
      <c r="V4" s="2908"/>
      <c r="W4" s="2908"/>
      <c r="X4" s="2908"/>
      <c r="Y4" s="2908"/>
      <c r="Z4" s="2908"/>
      <c r="AA4" s="2908"/>
      <c r="AB4" s="2908"/>
      <c r="AC4" s="2908"/>
      <c r="AD4" s="2908"/>
      <c r="AE4" s="2908"/>
      <c r="AF4" s="2908"/>
      <c r="AG4" s="2908"/>
      <c r="AH4" s="2908"/>
      <c r="AI4" s="2908"/>
      <c r="AJ4" s="2908"/>
      <c r="AK4" s="2908"/>
      <c r="AL4" s="2908"/>
      <c r="AM4" s="2908"/>
      <c r="AN4" s="2908"/>
      <c r="AO4" s="2908"/>
      <c r="AP4" s="2908"/>
      <c r="AQ4" s="2908"/>
      <c r="AR4" s="2908"/>
      <c r="AS4" s="2908"/>
      <c r="AT4" s="2908"/>
      <c r="AU4" s="2908"/>
      <c r="AV4" s="2908"/>
      <c r="AW4" s="2908"/>
      <c r="AX4" s="2908"/>
      <c r="AY4" s="2908"/>
      <c r="AZ4" s="2908"/>
      <c r="BA4" s="2908"/>
      <c r="BB4" s="2908"/>
      <c r="BC4" s="2908"/>
      <c r="BD4" s="2908"/>
      <c r="BE4" s="2908"/>
      <c r="BF4" s="2908"/>
      <c r="BG4" s="2908"/>
      <c r="BH4" s="2908"/>
      <c r="BI4" s="2908"/>
      <c r="BJ4" s="2908"/>
      <c r="BK4" s="2908"/>
      <c r="BL4" s="2908"/>
      <c r="BM4" s="2908"/>
      <c r="BN4" s="2908"/>
      <c r="BO4" s="2908"/>
      <c r="BP4" s="2908"/>
      <c r="BQ4" s="2908"/>
      <c r="BR4" s="2908"/>
      <c r="BS4" s="2908"/>
      <c r="BT4" s="2908"/>
      <c r="BU4" s="2908"/>
      <c r="BV4" s="2908"/>
      <c r="BW4" s="2908"/>
      <c r="BX4" s="2908"/>
      <c r="BY4" s="2908"/>
      <c r="BZ4" s="2908"/>
      <c r="CA4" s="2908"/>
      <c r="CB4" s="2908"/>
      <c r="CC4" s="2908"/>
      <c r="CD4" s="2908"/>
      <c r="CE4" s="2908"/>
      <c r="CF4" s="2908"/>
      <c r="CG4" s="2908"/>
      <c r="CH4" s="2908"/>
      <c r="CI4" s="2908"/>
      <c r="CJ4" s="2908"/>
      <c r="CK4" s="2908"/>
      <c r="CL4" s="2908"/>
      <c r="CM4" s="2908"/>
      <c r="CN4" s="2908"/>
      <c r="CO4" s="2908"/>
      <c r="CP4" s="2908"/>
      <c r="CQ4" s="2908"/>
      <c r="CR4" s="2908"/>
      <c r="CS4" s="2908"/>
      <c r="CT4" s="2908"/>
      <c r="CU4" s="2908"/>
      <c r="CV4" s="2908"/>
      <c r="CW4" s="2908"/>
      <c r="CX4" s="2908"/>
      <c r="CY4" s="2908"/>
      <c r="CZ4" s="2908"/>
      <c r="DA4" s="2908"/>
      <c r="DB4" s="2908"/>
      <c r="DC4" s="2908"/>
      <c r="DD4" s="2908"/>
      <c r="DE4" s="2908"/>
      <c r="DF4" s="2908"/>
      <c r="DG4" s="2908"/>
      <c r="DH4" s="2908"/>
      <c r="DI4" s="2908"/>
      <c r="DJ4" s="2908"/>
      <c r="DK4" s="2908"/>
      <c r="DL4" s="2908"/>
      <c r="DM4" s="2908"/>
      <c r="DN4" s="2908"/>
      <c r="DO4" s="2908"/>
      <c r="DP4" s="2908"/>
      <c r="DQ4" s="2908"/>
      <c r="DR4" s="2908"/>
      <c r="DS4" s="2908"/>
      <c r="DT4" s="2908"/>
      <c r="DU4" s="2908"/>
      <c r="DV4" s="2908"/>
      <c r="DW4" s="2908"/>
      <c r="DX4" s="2908"/>
      <c r="DY4" s="2908"/>
      <c r="DZ4" s="2908"/>
      <c r="EA4" s="2908"/>
      <c r="EB4" s="2908"/>
      <c r="EC4" s="2908"/>
      <c r="ED4" s="2908"/>
      <c r="EE4" s="2908"/>
      <c r="EF4" s="2908"/>
      <c r="EG4" s="2908"/>
      <c r="EH4" s="2908"/>
      <c r="EI4" s="2908"/>
      <c r="EJ4" s="2908"/>
      <c r="EK4" s="2908"/>
      <c r="EL4" s="2908"/>
      <c r="EM4" s="2908"/>
      <c r="EN4" s="2908"/>
      <c r="EO4" s="2908"/>
      <c r="EP4" s="2908"/>
      <c r="EQ4" s="2908"/>
      <c r="ER4" s="2908"/>
      <c r="ES4" s="2908"/>
      <c r="ET4" s="2908"/>
      <c r="EU4" s="2908"/>
      <c r="EV4" s="2908"/>
      <c r="EW4" s="2908"/>
      <c r="EX4" s="2908"/>
      <c r="EY4" s="2908"/>
      <c r="EZ4" s="2908"/>
      <c r="FA4" s="2908"/>
      <c r="FB4" s="2908"/>
      <c r="FC4" s="2908"/>
      <c r="FD4" s="2908"/>
      <c r="FE4" s="2908"/>
      <c r="FF4" s="2908"/>
      <c r="FG4" s="2908"/>
      <c r="FH4" s="2908"/>
      <c r="FI4" s="2908"/>
      <c r="FJ4" s="2908"/>
      <c r="FK4" s="2908"/>
      <c r="FL4" s="2908"/>
      <c r="FM4" s="2908"/>
      <c r="FN4" s="2908"/>
      <c r="FO4" s="2908"/>
      <c r="FP4" s="2908"/>
      <c r="FQ4" s="2908"/>
      <c r="FR4" s="2908"/>
      <c r="FS4" s="2908"/>
      <c r="FT4" s="2908"/>
      <c r="FU4" s="2908"/>
      <c r="FV4" s="2908"/>
      <c r="FW4" s="2908"/>
      <c r="FX4" s="2908"/>
      <c r="FY4" s="2908"/>
      <c r="FZ4" s="2908"/>
      <c r="GA4" s="2908"/>
      <c r="GB4" s="2908"/>
      <c r="GC4" s="2908"/>
      <c r="GD4" s="2908"/>
      <c r="GE4" s="2908"/>
      <c r="GF4" s="2908"/>
      <c r="GG4" s="2908"/>
      <c r="GH4" s="2908"/>
      <c r="GI4" s="2908"/>
      <c r="GJ4" s="2908"/>
      <c r="GK4" s="2909"/>
      <c r="GL4" s="365"/>
      <c r="GM4" s="523"/>
    </row>
    <row r="5" spans="1:195" ht="19.5" customHeight="1" x14ac:dyDescent="0.2">
      <c r="A5" s="4564" t="s">
        <v>527</v>
      </c>
      <c r="B5" s="4565" t="s">
        <v>3764</v>
      </c>
      <c r="C5" s="4566"/>
      <c r="D5" s="4566"/>
      <c r="E5" s="4567"/>
      <c r="F5" s="4567"/>
      <c r="G5" s="4567"/>
      <c r="H5" s="4567"/>
      <c r="I5" s="4568"/>
      <c r="J5" s="4569"/>
      <c r="K5" s="4565" t="s">
        <v>3765</v>
      </c>
      <c r="L5" s="4566"/>
      <c r="M5" s="4566"/>
      <c r="N5" s="4567"/>
      <c r="O5" s="4567"/>
      <c r="P5" s="4567"/>
      <c r="Q5" s="4567"/>
      <c r="R5" s="4568"/>
      <c r="S5" s="4569"/>
      <c r="T5" s="4565" t="s">
        <v>3766</v>
      </c>
      <c r="U5" s="4566"/>
      <c r="V5" s="4566"/>
      <c r="W5" s="4567"/>
      <c r="X5" s="4567"/>
      <c r="Y5" s="4567"/>
      <c r="Z5" s="4567"/>
      <c r="AA5" s="4570"/>
      <c r="AB5" s="4571"/>
      <c r="AC5" s="4572" t="s">
        <v>3716</v>
      </c>
      <c r="AD5" s="4573"/>
      <c r="AE5" s="4573"/>
      <c r="AF5" s="4574"/>
      <c r="AG5" s="4574"/>
      <c r="AH5" s="4574"/>
      <c r="AI5" s="4574"/>
      <c r="AJ5" s="4574"/>
      <c r="AK5" s="4574"/>
      <c r="AL5" s="4574"/>
      <c r="AM5" s="4574"/>
      <c r="AN5" s="4574"/>
      <c r="AO5" s="4565" t="s">
        <v>3767</v>
      </c>
      <c r="AP5" s="4566"/>
      <c r="AQ5" s="4566"/>
      <c r="AR5" s="4567"/>
      <c r="AS5" s="4567"/>
      <c r="AT5" s="4567"/>
      <c r="AU5" s="4567"/>
      <c r="AV5" s="4570"/>
      <c r="AW5" s="4571"/>
      <c r="AX5" s="4565" t="s">
        <v>3768</v>
      </c>
      <c r="AY5" s="4566"/>
      <c r="AZ5" s="4566"/>
      <c r="BA5" s="4567"/>
      <c r="BB5" s="4567"/>
      <c r="BC5" s="4567"/>
      <c r="BD5" s="4567"/>
      <c r="BE5" s="4568"/>
      <c r="BF5" s="4569"/>
      <c r="BG5" s="4565" t="s">
        <v>3769</v>
      </c>
      <c r="BH5" s="4566"/>
      <c r="BI5" s="4566"/>
      <c r="BJ5" s="4567"/>
      <c r="BK5" s="4567"/>
      <c r="BL5" s="4567"/>
      <c r="BM5" s="4567"/>
      <c r="BN5" s="4568"/>
      <c r="BO5" s="4569"/>
      <c r="BP5" s="4572" t="s">
        <v>3717</v>
      </c>
      <c r="BQ5" s="4573"/>
      <c r="BR5" s="4573"/>
      <c r="BS5" s="4574"/>
      <c r="BT5" s="4574"/>
      <c r="BU5" s="4574"/>
      <c r="BV5" s="4574"/>
      <c r="BW5" s="4574"/>
      <c r="BX5" s="4574"/>
      <c r="BY5" s="4568"/>
      <c r="BZ5" s="4568"/>
      <c r="CA5" s="4568"/>
      <c r="CB5" s="4572" t="s">
        <v>3718</v>
      </c>
      <c r="CC5" s="4573"/>
      <c r="CD5" s="4573"/>
      <c r="CE5" s="4574"/>
      <c r="CF5" s="4574"/>
      <c r="CG5" s="4574"/>
      <c r="CH5" s="4574"/>
      <c r="CI5" s="4574"/>
      <c r="CJ5" s="4574"/>
      <c r="CK5" s="4568"/>
      <c r="CL5" s="4568"/>
      <c r="CM5" s="4568"/>
      <c r="CN5" s="4565" t="s">
        <v>1360</v>
      </c>
      <c r="CO5" s="4566"/>
      <c r="CP5" s="4566"/>
      <c r="CQ5" s="4567"/>
      <c r="CR5" s="4567"/>
      <c r="CS5" s="4567"/>
      <c r="CT5" s="4567"/>
      <c r="CU5" s="4568"/>
      <c r="CV5" s="4569"/>
      <c r="CW5" s="4565" t="s">
        <v>3770</v>
      </c>
      <c r="CX5" s="4566"/>
      <c r="CY5" s="4566"/>
      <c r="CZ5" s="4567"/>
      <c r="DA5" s="4567"/>
      <c r="DB5" s="4567"/>
      <c r="DC5" s="4567"/>
      <c r="DD5" s="4568"/>
      <c r="DE5" s="4569"/>
      <c r="DF5" s="4565" t="s">
        <v>3771</v>
      </c>
      <c r="DG5" s="4566"/>
      <c r="DH5" s="4566"/>
      <c r="DI5" s="4567"/>
      <c r="DJ5" s="4567"/>
      <c r="DK5" s="4567"/>
      <c r="DL5" s="4567"/>
      <c r="DM5" s="4568"/>
      <c r="DN5" s="4569"/>
      <c r="DO5" s="4572" t="s">
        <v>3719</v>
      </c>
      <c r="DP5" s="4573"/>
      <c r="DQ5" s="4573"/>
      <c r="DR5" s="4574"/>
      <c r="DS5" s="4574"/>
      <c r="DT5" s="4574"/>
      <c r="DU5" s="4574"/>
      <c r="DV5" s="4574"/>
      <c r="DW5" s="4574"/>
      <c r="DX5" s="4568"/>
      <c r="DY5" s="4568"/>
      <c r="DZ5" s="4568"/>
      <c r="EA5" s="4572" t="s">
        <v>3720</v>
      </c>
      <c r="EB5" s="4573"/>
      <c r="EC5" s="4573"/>
      <c r="ED5" s="4574"/>
      <c r="EE5" s="4574"/>
      <c r="EF5" s="4574"/>
      <c r="EG5" s="4574"/>
      <c r="EH5" s="4574"/>
      <c r="EI5" s="4574"/>
      <c r="EJ5" s="4568"/>
      <c r="EK5" s="4568"/>
      <c r="EL5" s="4568"/>
      <c r="EM5" s="4565" t="s">
        <v>3772</v>
      </c>
      <c r="EN5" s="4566"/>
      <c r="EO5" s="4566"/>
      <c r="EP5" s="4567"/>
      <c r="EQ5" s="4567"/>
      <c r="ER5" s="4567"/>
      <c r="ES5" s="4567"/>
      <c r="ET5" s="4568"/>
      <c r="EU5" s="4569"/>
      <c r="EV5" s="4565" t="s">
        <v>3773</v>
      </c>
      <c r="EW5" s="4566"/>
      <c r="EX5" s="4566"/>
      <c r="EY5" s="4567"/>
      <c r="EZ5" s="4567"/>
      <c r="FA5" s="4567"/>
      <c r="FB5" s="4567"/>
      <c r="FC5" s="4568"/>
      <c r="FD5" s="4569"/>
      <c r="FE5" s="4565" t="s">
        <v>3774</v>
      </c>
      <c r="FF5" s="4566"/>
      <c r="FG5" s="4566"/>
      <c r="FH5" s="4567"/>
      <c r="FI5" s="4567"/>
      <c r="FJ5" s="4567"/>
      <c r="FK5" s="4567"/>
      <c r="FL5" s="4568"/>
      <c r="FM5" s="4569"/>
      <c r="FN5" s="4572" t="s">
        <v>3721</v>
      </c>
      <c r="FO5" s="4573"/>
      <c r="FP5" s="4573"/>
      <c r="FQ5" s="4574"/>
      <c r="FR5" s="4574"/>
      <c r="FS5" s="4574"/>
      <c r="FT5" s="4574"/>
      <c r="FU5" s="4574"/>
      <c r="FV5" s="4574"/>
      <c r="FW5" s="4568"/>
      <c r="FX5" s="4568"/>
      <c r="FY5" s="4568"/>
      <c r="FZ5" s="4572" t="s">
        <v>1992</v>
      </c>
      <c r="GA5" s="4573"/>
      <c r="GB5" s="4573"/>
      <c r="GC5" s="4574"/>
      <c r="GD5" s="4574"/>
      <c r="GE5" s="4574"/>
      <c r="GF5" s="4574"/>
      <c r="GG5" s="4574"/>
      <c r="GH5" s="4574"/>
      <c r="GI5" s="4568"/>
      <c r="GJ5" s="4568"/>
      <c r="GK5" s="4569"/>
      <c r="GL5" s="565"/>
    </row>
    <row r="6" spans="1:195" ht="20.25" customHeight="1" x14ac:dyDescent="0.2">
      <c r="A6" s="4564"/>
      <c r="B6" s="4575" t="s">
        <v>3573</v>
      </c>
      <c r="C6" s="4576"/>
      <c r="D6" s="4577"/>
      <c r="E6" s="4575" t="s">
        <v>1677</v>
      </c>
      <c r="F6" s="4576"/>
      <c r="G6" s="4577"/>
      <c r="H6" s="4575" t="s">
        <v>3775</v>
      </c>
      <c r="I6" s="4576"/>
      <c r="J6" s="4577"/>
      <c r="K6" s="4575" t="s">
        <v>3573</v>
      </c>
      <c r="L6" s="4576"/>
      <c r="M6" s="4577"/>
      <c r="N6" s="4575" t="s">
        <v>1677</v>
      </c>
      <c r="O6" s="4576"/>
      <c r="P6" s="4577"/>
      <c r="Q6" s="4575" t="s">
        <v>3775</v>
      </c>
      <c r="R6" s="4576"/>
      <c r="S6" s="4577"/>
      <c r="T6" s="4575" t="s">
        <v>3573</v>
      </c>
      <c r="U6" s="4576"/>
      <c r="V6" s="4577"/>
      <c r="W6" s="4575" t="s">
        <v>1677</v>
      </c>
      <c r="X6" s="4576"/>
      <c r="Y6" s="4577"/>
      <c r="Z6" s="4575" t="s">
        <v>3775</v>
      </c>
      <c r="AA6" s="4576"/>
      <c r="AB6" s="4577"/>
      <c r="AC6" s="4578" t="s">
        <v>3573</v>
      </c>
      <c r="AD6" s="4579"/>
      <c r="AE6" s="4580"/>
      <c r="AF6" s="4581" t="s">
        <v>1677</v>
      </c>
      <c r="AG6" s="4582"/>
      <c r="AH6" s="4583"/>
      <c r="AI6" s="4581" t="s">
        <v>3775</v>
      </c>
      <c r="AJ6" s="4582"/>
      <c r="AK6" s="4583"/>
      <c r="AL6" s="4578" t="s">
        <v>3776</v>
      </c>
      <c r="AM6" s="4579"/>
      <c r="AN6" s="4580"/>
      <c r="AO6" s="4575" t="s">
        <v>3573</v>
      </c>
      <c r="AP6" s="4576"/>
      <c r="AQ6" s="4577"/>
      <c r="AR6" s="4575" t="s">
        <v>1677</v>
      </c>
      <c r="AS6" s="4576"/>
      <c r="AT6" s="4577"/>
      <c r="AU6" s="4575" t="s">
        <v>3775</v>
      </c>
      <c r="AV6" s="4576"/>
      <c r="AW6" s="4577"/>
      <c r="AX6" s="4575" t="s">
        <v>3573</v>
      </c>
      <c r="AY6" s="4576"/>
      <c r="AZ6" s="4577"/>
      <c r="BA6" s="4575" t="s">
        <v>1677</v>
      </c>
      <c r="BB6" s="4576"/>
      <c r="BC6" s="4577"/>
      <c r="BD6" s="4575" t="s">
        <v>3775</v>
      </c>
      <c r="BE6" s="4576"/>
      <c r="BF6" s="4577"/>
      <c r="BG6" s="4575" t="s">
        <v>3573</v>
      </c>
      <c r="BH6" s="4576"/>
      <c r="BI6" s="4577"/>
      <c r="BJ6" s="4575" t="s">
        <v>1677</v>
      </c>
      <c r="BK6" s="4576"/>
      <c r="BL6" s="4577"/>
      <c r="BM6" s="4575" t="s">
        <v>3775</v>
      </c>
      <c r="BN6" s="4576"/>
      <c r="BO6" s="4577"/>
      <c r="BP6" s="4578" t="s">
        <v>3573</v>
      </c>
      <c r="BQ6" s="4579"/>
      <c r="BR6" s="4580"/>
      <c r="BS6" s="4581" t="s">
        <v>1677</v>
      </c>
      <c r="BT6" s="4582"/>
      <c r="BU6" s="4583"/>
      <c r="BV6" s="4581" t="s">
        <v>3775</v>
      </c>
      <c r="BW6" s="4582"/>
      <c r="BX6" s="4583"/>
      <c r="BY6" s="4578" t="s">
        <v>3776</v>
      </c>
      <c r="BZ6" s="4579"/>
      <c r="CA6" s="4580"/>
      <c r="CB6" s="4578" t="s">
        <v>3573</v>
      </c>
      <c r="CC6" s="4579"/>
      <c r="CD6" s="4580"/>
      <c r="CE6" s="4581" t="s">
        <v>1677</v>
      </c>
      <c r="CF6" s="4582"/>
      <c r="CG6" s="4583"/>
      <c r="CH6" s="4581" t="s">
        <v>3775</v>
      </c>
      <c r="CI6" s="4582"/>
      <c r="CJ6" s="4583"/>
      <c r="CK6" s="4578" t="s">
        <v>3776</v>
      </c>
      <c r="CL6" s="4579"/>
      <c r="CM6" s="4580"/>
      <c r="CN6" s="4575" t="s">
        <v>3573</v>
      </c>
      <c r="CO6" s="4576"/>
      <c r="CP6" s="4577"/>
      <c r="CQ6" s="4575" t="s">
        <v>1677</v>
      </c>
      <c r="CR6" s="4576"/>
      <c r="CS6" s="4577"/>
      <c r="CT6" s="4575" t="s">
        <v>3775</v>
      </c>
      <c r="CU6" s="4576"/>
      <c r="CV6" s="4577"/>
      <c r="CW6" s="4575" t="s">
        <v>3573</v>
      </c>
      <c r="CX6" s="4576"/>
      <c r="CY6" s="4577"/>
      <c r="CZ6" s="4575" t="s">
        <v>1677</v>
      </c>
      <c r="DA6" s="4576"/>
      <c r="DB6" s="4577"/>
      <c r="DC6" s="4575" t="s">
        <v>3775</v>
      </c>
      <c r="DD6" s="4576"/>
      <c r="DE6" s="4577"/>
      <c r="DF6" s="4575" t="s">
        <v>3573</v>
      </c>
      <c r="DG6" s="4576"/>
      <c r="DH6" s="4577"/>
      <c r="DI6" s="4575" t="s">
        <v>1677</v>
      </c>
      <c r="DJ6" s="4576"/>
      <c r="DK6" s="4577"/>
      <c r="DL6" s="4575" t="s">
        <v>3775</v>
      </c>
      <c r="DM6" s="4576"/>
      <c r="DN6" s="4577"/>
      <c r="DO6" s="4578" t="s">
        <v>3573</v>
      </c>
      <c r="DP6" s="4579"/>
      <c r="DQ6" s="4580"/>
      <c r="DR6" s="4581" t="s">
        <v>1677</v>
      </c>
      <c r="DS6" s="4582"/>
      <c r="DT6" s="4583"/>
      <c r="DU6" s="4581" t="s">
        <v>3775</v>
      </c>
      <c r="DV6" s="4582"/>
      <c r="DW6" s="4583"/>
      <c r="DX6" s="4578" t="s">
        <v>3776</v>
      </c>
      <c r="DY6" s="4579"/>
      <c r="DZ6" s="4580"/>
      <c r="EA6" s="4578" t="s">
        <v>3573</v>
      </c>
      <c r="EB6" s="4579"/>
      <c r="EC6" s="4580"/>
      <c r="ED6" s="4581" t="s">
        <v>1677</v>
      </c>
      <c r="EE6" s="4582"/>
      <c r="EF6" s="4583"/>
      <c r="EG6" s="4581" t="s">
        <v>3775</v>
      </c>
      <c r="EH6" s="4582"/>
      <c r="EI6" s="4583"/>
      <c r="EJ6" s="4578" t="s">
        <v>3776</v>
      </c>
      <c r="EK6" s="4579"/>
      <c r="EL6" s="4580"/>
      <c r="EM6" s="4575" t="s">
        <v>3573</v>
      </c>
      <c r="EN6" s="4576"/>
      <c r="EO6" s="4577"/>
      <c r="EP6" s="4575" t="s">
        <v>1677</v>
      </c>
      <c r="EQ6" s="4576"/>
      <c r="ER6" s="4577"/>
      <c r="ES6" s="4575" t="s">
        <v>3775</v>
      </c>
      <c r="ET6" s="4576"/>
      <c r="EU6" s="4577"/>
      <c r="EV6" s="4575" t="s">
        <v>3573</v>
      </c>
      <c r="EW6" s="4576"/>
      <c r="EX6" s="4577"/>
      <c r="EY6" s="4575" t="s">
        <v>1677</v>
      </c>
      <c r="EZ6" s="4576"/>
      <c r="FA6" s="4577"/>
      <c r="FB6" s="4575" t="s">
        <v>3775</v>
      </c>
      <c r="FC6" s="4576"/>
      <c r="FD6" s="4577"/>
      <c r="FE6" s="4575" t="s">
        <v>3573</v>
      </c>
      <c r="FF6" s="4576"/>
      <c r="FG6" s="4577"/>
      <c r="FH6" s="4575" t="s">
        <v>1677</v>
      </c>
      <c r="FI6" s="4576"/>
      <c r="FJ6" s="4577"/>
      <c r="FK6" s="4575" t="s">
        <v>3775</v>
      </c>
      <c r="FL6" s="4576"/>
      <c r="FM6" s="4577"/>
      <c r="FN6" s="4578" t="s">
        <v>3573</v>
      </c>
      <c r="FO6" s="4579"/>
      <c r="FP6" s="4580"/>
      <c r="FQ6" s="4581" t="s">
        <v>1677</v>
      </c>
      <c r="FR6" s="4582"/>
      <c r="FS6" s="4583"/>
      <c r="FT6" s="4581" t="s">
        <v>3775</v>
      </c>
      <c r="FU6" s="4582"/>
      <c r="FV6" s="4583"/>
      <c r="FW6" s="4578" t="s">
        <v>3776</v>
      </c>
      <c r="FX6" s="4579"/>
      <c r="FY6" s="4580"/>
      <c r="FZ6" s="4578" t="s">
        <v>3573</v>
      </c>
      <c r="GA6" s="4579"/>
      <c r="GB6" s="4580"/>
      <c r="GC6" s="4581" t="s">
        <v>1677</v>
      </c>
      <c r="GD6" s="4582"/>
      <c r="GE6" s="4583"/>
      <c r="GF6" s="4581" t="s">
        <v>3775</v>
      </c>
      <c r="GG6" s="4582"/>
      <c r="GH6" s="4583"/>
      <c r="GI6" s="4578" t="s">
        <v>3776</v>
      </c>
      <c r="GJ6" s="4579"/>
      <c r="GK6" s="4580"/>
      <c r="GL6" s="565"/>
    </row>
    <row r="7" spans="1:195" ht="25.5" customHeight="1" x14ac:dyDescent="0.2">
      <c r="A7" s="4564"/>
      <c r="B7" s="2832" t="s">
        <v>616</v>
      </c>
      <c r="C7" s="2832" t="s">
        <v>3724</v>
      </c>
      <c r="D7" s="2832" t="s">
        <v>3660</v>
      </c>
      <c r="E7" s="2832" t="s">
        <v>616</v>
      </c>
      <c r="F7" s="2832" t="s">
        <v>3724</v>
      </c>
      <c r="G7" s="2832" t="s">
        <v>3660</v>
      </c>
      <c r="H7" s="2832" t="s">
        <v>616</v>
      </c>
      <c r="I7" s="2832" t="s">
        <v>3724</v>
      </c>
      <c r="J7" s="2832" t="s">
        <v>3660</v>
      </c>
      <c r="K7" s="2832" t="s">
        <v>616</v>
      </c>
      <c r="L7" s="2832" t="s">
        <v>3724</v>
      </c>
      <c r="M7" s="2832" t="s">
        <v>3660</v>
      </c>
      <c r="N7" s="2832" t="s">
        <v>616</v>
      </c>
      <c r="O7" s="2832" t="s">
        <v>3724</v>
      </c>
      <c r="P7" s="2832" t="s">
        <v>3660</v>
      </c>
      <c r="Q7" s="2832" t="s">
        <v>616</v>
      </c>
      <c r="R7" s="2832" t="s">
        <v>3724</v>
      </c>
      <c r="S7" s="2832" t="s">
        <v>3660</v>
      </c>
      <c r="T7" s="2832" t="s">
        <v>616</v>
      </c>
      <c r="U7" s="2832" t="s">
        <v>3724</v>
      </c>
      <c r="V7" s="2832" t="s">
        <v>3660</v>
      </c>
      <c r="W7" s="2832" t="s">
        <v>616</v>
      </c>
      <c r="X7" s="2832" t="s">
        <v>3724</v>
      </c>
      <c r="Y7" s="2832" t="s">
        <v>3660</v>
      </c>
      <c r="Z7" s="2832" t="s">
        <v>616</v>
      </c>
      <c r="AA7" s="2832" t="s">
        <v>3724</v>
      </c>
      <c r="AB7" s="2832" t="s">
        <v>3660</v>
      </c>
      <c r="AC7" s="2833" t="s">
        <v>616</v>
      </c>
      <c r="AD7" s="2833" t="s">
        <v>3724</v>
      </c>
      <c r="AE7" s="2833" t="s">
        <v>3660</v>
      </c>
      <c r="AF7" s="2833" t="s">
        <v>616</v>
      </c>
      <c r="AG7" s="2833" t="s">
        <v>3724</v>
      </c>
      <c r="AH7" s="2833" t="s">
        <v>3660</v>
      </c>
      <c r="AI7" s="2833" t="s">
        <v>616</v>
      </c>
      <c r="AJ7" s="2833" t="s">
        <v>3724</v>
      </c>
      <c r="AK7" s="2833" t="s">
        <v>3660</v>
      </c>
      <c r="AL7" s="2833" t="s">
        <v>616</v>
      </c>
      <c r="AM7" s="2833" t="s">
        <v>3724</v>
      </c>
      <c r="AN7" s="2833" t="s">
        <v>3660</v>
      </c>
      <c r="AO7" s="2832" t="s">
        <v>616</v>
      </c>
      <c r="AP7" s="2832" t="s">
        <v>3724</v>
      </c>
      <c r="AQ7" s="2832" t="s">
        <v>3660</v>
      </c>
      <c r="AR7" s="2832" t="s">
        <v>616</v>
      </c>
      <c r="AS7" s="2832" t="s">
        <v>3724</v>
      </c>
      <c r="AT7" s="2832" t="s">
        <v>3660</v>
      </c>
      <c r="AU7" s="2832" t="s">
        <v>616</v>
      </c>
      <c r="AV7" s="2832" t="s">
        <v>3724</v>
      </c>
      <c r="AW7" s="2832" t="s">
        <v>3660</v>
      </c>
      <c r="AX7" s="2832" t="s">
        <v>616</v>
      </c>
      <c r="AY7" s="2832" t="s">
        <v>3724</v>
      </c>
      <c r="AZ7" s="2832" t="s">
        <v>3660</v>
      </c>
      <c r="BA7" s="2832" t="s">
        <v>616</v>
      </c>
      <c r="BB7" s="2832" t="s">
        <v>3724</v>
      </c>
      <c r="BC7" s="2832" t="s">
        <v>3660</v>
      </c>
      <c r="BD7" s="2832" t="s">
        <v>616</v>
      </c>
      <c r="BE7" s="2832" t="s">
        <v>3724</v>
      </c>
      <c r="BF7" s="2832" t="s">
        <v>3660</v>
      </c>
      <c r="BG7" s="2832" t="s">
        <v>616</v>
      </c>
      <c r="BH7" s="2832" t="s">
        <v>3724</v>
      </c>
      <c r="BI7" s="2832" t="s">
        <v>3660</v>
      </c>
      <c r="BJ7" s="2832" t="s">
        <v>616</v>
      </c>
      <c r="BK7" s="2832" t="s">
        <v>3724</v>
      </c>
      <c r="BL7" s="2832" t="s">
        <v>3660</v>
      </c>
      <c r="BM7" s="2832" t="s">
        <v>616</v>
      </c>
      <c r="BN7" s="2832" t="s">
        <v>3724</v>
      </c>
      <c r="BO7" s="2832" t="s">
        <v>3660</v>
      </c>
      <c r="BP7" s="2833" t="s">
        <v>616</v>
      </c>
      <c r="BQ7" s="2833" t="s">
        <v>3724</v>
      </c>
      <c r="BR7" s="2833" t="s">
        <v>3660</v>
      </c>
      <c r="BS7" s="2833" t="s">
        <v>616</v>
      </c>
      <c r="BT7" s="2833" t="s">
        <v>3724</v>
      </c>
      <c r="BU7" s="2833" t="s">
        <v>3660</v>
      </c>
      <c r="BV7" s="2833" t="s">
        <v>616</v>
      </c>
      <c r="BW7" s="2833" t="s">
        <v>3724</v>
      </c>
      <c r="BX7" s="2833" t="s">
        <v>3660</v>
      </c>
      <c r="BY7" s="2833" t="s">
        <v>616</v>
      </c>
      <c r="BZ7" s="2833" t="s">
        <v>3724</v>
      </c>
      <c r="CA7" s="2833" t="s">
        <v>3660</v>
      </c>
      <c r="CB7" s="2833" t="s">
        <v>616</v>
      </c>
      <c r="CC7" s="2833" t="s">
        <v>3724</v>
      </c>
      <c r="CD7" s="2833" t="s">
        <v>3660</v>
      </c>
      <c r="CE7" s="2833" t="s">
        <v>616</v>
      </c>
      <c r="CF7" s="2833" t="s">
        <v>3724</v>
      </c>
      <c r="CG7" s="2833" t="s">
        <v>3660</v>
      </c>
      <c r="CH7" s="2833" t="s">
        <v>616</v>
      </c>
      <c r="CI7" s="2833" t="s">
        <v>3724</v>
      </c>
      <c r="CJ7" s="2833" t="s">
        <v>3660</v>
      </c>
      <c r="CK7" s="2833" t="s">
        <v>616</v>
      </c>
      <c r="CL7" s="2833" t="s">
        <v>3724</v>
      </c>
      <c r="CM7" s="2833" t="s">
        <v>3660</v>
      </c>
      <c r="CN7" s="2832" t="s">
        <v>616</v>
      </c>
      <c r="CO7" s="2832" t="s">
        <v>3724</v>
      </c>
      <c r="CP7" s="2832" t="s">
        <v>3660</v>
      </c>
      <c r="CQ7" s="2832" t="s">
        <v>616</v>
      </c>
      <c r="CR7" s="2832" t="s">
        <v>3724</v>
      </c>
      <c r="CS7" s="2832" t="s">
        <v>3660</v>
      </c>
      <c r="CT7" s="2832" t="s">
        <v>616</v>
      </c>
      <c r="CU7" s="2832" t="s">
        <v>3724</v>
      </c>
      <c r="CV7" s="2832" t="s">
        <v>3660</v>
      </c>
      <c r="CW7" s="2832" t="s">
        <v>616</v>
      </c>
      <c r="CX7" s="2832" t="s">
        <v>3724</v>
      </c>
      <c r="CY7" s="2832" t="s">
        <v>3660</v>
      </c>
      <c r="CZ7" s="2832" t="s">
        <v>616</v>
      </c>
      <c r="DA7" s="2832" t="s">
        <v>3724</v>
      </c>
      <c r="DB7" s="2832" t="s">
        <v>3660</v>
      </c>
      <c r="DC7" s="2832" t="s">
        <v>616</v>
      </c>
      <c r="DD7" s="2832" t="s">
        <v>3724</v>
      </c>
      <c r="DE7" s="2832" t="s">
        <v>3660</v>
      </c>
      <c r="DF7" s="2832" t="s">
        <v>616</v>
      </c>
      <c r="DG7" s="2832" t="s">
        <v>3724</v>
      </c>
      <c r="DH7" s="2832" t="s">
        <v>3660</v>
      </c>
      <c r="DI7" s="2832" t="s">
        <v>616</v>
      </c>
      <c r="DJ7" s="2832" t="s">
        <v>3724</v>
      </c>
      <c r="DK7" s="2832" t="s">
        <v>3660</v>
      </c>
      <c r="DL7" s="2832" t="s">
        <v>616</v>
      </c>
      <c r="DM7" s="2832" t="s">
        <v>3724</v>
      </c>
      <c r="DN7" s="2832" t="s">
        <v>3660</v>
      </c>
      <c r="DO7" s="2833" t="s">
        <v>616</v>
      </c>
      <c r="DP7" s="2833" t="s">
        <v>3724</v>
      </c>
      <c r="DQ7" s="2833" t="s">
        <v>3660</v>
      </c>
      <c r="DR7" s="2833" t="s">
        <v>616</v>
      </c>
      <c r="DS7" s="2833" t="s">
        <v>3724</v>
      </c>
      <c r="DT7" s="2833" t="s">
        <v>3660</v>
      </c>
      <c r="DU7" s="2833" t="s">
        <v>616</v>
      </c>
      <c r="DV7" s="2833" t="s">
        <v>3724</v>
      </c>
      <c r="DW7" s="2833" t="s">
        <v>3660</v>
      </c>
      <c r="DX7" s="2833" t="s">
        <v>616</v>
      </c>
      <c r="DY7" s="2833" t="s">
        <v>3724</v>
      </c>
      <c r="DZ7" s="2833" t="s">
        <v>3660</v>
      </c>
      <c r="EA7" s="2833" t="s">
        <v>616</v>
      </c>
      <c r="EB7" s="2833" t="s">
        <v>3724</v>
      </c>
      <c r="EC7" s="2833" t="s">
        <v>3660</v>
      </c>
      <c r="ED7" s="2833" t="s">
        <v>616</v>
      </c>
      <c r="EE7" s="2833" t="s">
        <v>3724</v>
      </c>
      <c r="EF7" s="2833" t="s">
        <v>3660</v>
      </c>
      <c r="EG7" s="2833" t="s">
        <v>616</v>
      </c>
      <c r="EH7" s="2833" t="s">
        <v>3724</v>
      </c>
      <c r="EI7" s="2833" t="s">
        <v>3660</v>
      </c>
      <c r="EJ7" s="2833" t="s">
        <v>616</v>
      </c>
      <c r="EK7" s="2833" t="s">
        <v>3724</v>
      </c>
      <c r="EL7" s="2833" t="s">
        <v>3660</v>
      </c>
      <c r="EM7" s="2832" t="s">
        <v>616</v>
      </c>
      <c r="EN7" s="2832" t="s">
        <v>3724</v>
      </c>
      <c r="EO7" s="2832" t="s">
        <v>3660</v>
      </c>
      <c r="EP7" s="2832" t="s">
        <v>616</v>
      </c>
      <c r="EQ7" s="2832" t="s">
        <v>3724</v>
      </c>
      <c r="ER7" s="2832" t="s">
        <v>3660</v>
      </c>
      <c r="ES7" s="2832" t="s">
        <v>616</v>
      </c>
      <c r="ET7" s="2832" t="s">
        <v>3724</v>
      </c>
      <c r="EU7" s="2832" t="s">
        <v>3660</v>
      </c>
      <c r="EV7" s="2832" t="s">
        <v>616</v>
      </c>
      <c r="EW7" s="2832" t="s">
        <v>3724</v>
      </c>
      <c r="EX7" s="2832" t="s">
        <v>3660</v>
      </c>
      <c r="EY7" s="2832" t="s">
        <v>616</v>
      </c>
      <c r="EZ7" s="2832" t="s">
        <v>3724</v>
      </c>
      <c r="FA7" s="2832" t="s">
        <v>3660</v>
      </c>
      <c r="FB7" s="2832" t="s">
        <v>616</v>
      </c>
      <c r="FC7" s="2832" t="s">
        <v>3724</v>
      </c>
      <c r="FD7" s="2832" t="s">
        <v>3660</v>
      </c>
      <c r="FE7" s="2832" t="s">
        <v>616</v>
      </c>
      <c r="FF7" s="2832" t="s">
        <v>3724</v>
      </c>
      <c r="FG7" s="2832" t="s">
        <v>3660</v>
      </c>
      <c r="FH7" s="2832" t="s">
        <v>616</v>
      </c>
      <c r="FI7" s="2832" t="s">
        <v>3724</v>
      </c>
      <c r="FJ7" s="2832" t="s">
        <v>3660</v>
      </c>
      <c r="FK7" s="2832" t="s">
        <v>616</v>
      </c>
      <c r="FL7" s="2832" t="s">
        <v>3724</v>
      </c>
      <c r="FM7" s="2832" t="s">
        <v>3660</v>
      </c>
      <c r="FN7" s="2833" t="s">
        <v>616</v>
      </c>
      <c r="FO7" s="2833" t="s">
        <v>3724</v>
      </c>
      <c r="FP7" s="2833" t="s">
        <v>3660</v>
      </c>
      <c r="FQ7" s="2833" t="s">
        <v>616</v>
      </c>
      <c r="FR7" s="2833" t="s">
        <v>3724</v>
      </c>
      <c r="FS7" s="2833" t="s">
        <v>3660</v>
      </c>
      <c r="FT7" s="2833" t="s">
        <v>616</v>
      </c>
      <c r="FU7" s="2833" t="s">
        <v>3724</v>
      </c>
      <c r="FV7" s="2833" t="s">
        <v>3660</v>
      </c>
      <c r="FW7" s="2833" t="s">
        <v>616</v>
      </c>
      <c r="FX7" s="2833" t="s">
        <v>3724</v>
      </c>
      <c r="FY7" s="2833" t="s">
        <v>3660</v>
      </c>
      <c r="FZ7" s="2833" t="s">
        <v>616</v>
      </c>
      <c r="GA7" s="2833" t="s">
        <v>3724</v>
      </c>
      <c r="GB7" s="2833" t="s">
        <v>3660</v>
      </c>
      <c r="GC7" s="2833" t="s">
        <v>616</v>
      </c>
      <c r="GD7" s="2833" t="s">
        <v>3724</v>
      </c>
      <c r="GE7" s="2833" t="s">
        <v>3660</v>
      </c>
      <c r="GF7" s="2833" t="s">
        <v>616</v>
      </c>
      <c r="GG7" s="2833" t="s">
        <v>3724</v>
      </c>
      <c r="GH7" s="2833" t="s">
        <v>3660</v>
      </c>
      <c r="GI7" s="2833" t="s">
        <v>616</v>
      </c>
      <c r="GJ7" s="2833" t="s">
        <v>3724</v>
      </c>
      <c r="GK7" s="2833" t="s">
        <v>3660</v>
      </c>
      <c r="GL7" s="565"/>
    </row>
    <row r="8" spans="1:195" ht="18.75" x14ac:dyDescent="0.3">
      <c r="A8" s="2910" t="s">
        <v>3725</v>
      </c>
      <c r="B8" s="2837">
        <f>SUM(C8:D8)</f>
        <v>499.14081666666669</v>
      </c>
      <c r="C8" s="2837">
        <f>SUM(GA8/12)</f>
        <v>498.99333333333334</v>
      </c>
      <c r="D8" s="2837">
        <f>SUM(GB8/12)</f>
        <v>0.14748333333333333</v>
      </c>
      <c r="E8" s="2837">
        <f>SUM(F8:G8)</f>
        <v>489.70100000000002</v>
      </c>
      <c r="F8" s="2911">
        <f>SUM('ПОЛНАЯ СЕБЕСТОИМОСТЬ ВОДА 2021'!F8)</f>
        <v>489.65100000000001</v>
      </c>
      <c r="G8" s="2911">
        <f>SUM('ПОЛНАЯ СЕБЕСТОИМОСТЬ ВОДА 2021'!G8)</f>
        <v>0.05</v>
      </c>
      <c r="H8" s="2837">
        <f>SUM(I8:J8)</f>
        <v>560.73699999999997</v>
      </c>
      <c r="I8" s="2838">
        <v>560.649</v>
      </c>
      <c r="J8" s="2838">
        <v>8.7999999999999995E-2</v>
      </c>
      <c r="K8" s="2837">
        <f>SUM(L8:M8)</f>
        <v>499.14081666666669</v>
      </c>
      <c r="L8" s="2837">
        <f>SUM(GA8/12)</f>
        <v>498.99333333333334</v>
      </c>
      <c r="M8" s="2837">
        <f>SUM(GB8/12)</f>
        <v>0.14748333333333333</v>
      </c>
      <c r="N8" s="2837">
        <f>SUM(O8:P8)</f>
        <v>477.80900000000003</v>
      </c>
      <c r="O8" s="2911">
        <f>SUM('ПОЛНАЯ СЕБЕСТОИМОСТЬ ВОДА 2021'!I8)</f>
        <v>477.79300000000001</v>
      </c>
      <c r="P8" s="2911">
        <f>SUM('ПОЛНАЯ СЕБЕСТОИМОСТЬ ВОДА 2021'!J8)</f>
        <v>1.6E-2</v>
      </c>
      <c r="Q8" s="2837">
        <f>SUM(R8:S8)</f>
        <v>542.88599999999997</v>
      </c>
      <c r="R8" s="2838">
        <v>542.80399999999997</v>
      </c>
      <c r="S8" s="2838">
        <v>8.2000000000000003E-2</v>
      </c>
      <c r="T8" s="2837">
        <f>SUM(U8:V8)</f>
        <v>499.14081666666669</v>
      </c>
      <c r="U8" s="2837">
        <f>SUM(GA8/12)</f>
        <v>498.99333333333334</v>
      </c>
      <c r="V8" s="2837">
        <f>SUM(GB8/12)</f>
        <v>0.14748333333333333</v>
      </c>
      <c r="W8" s="2837">
        <f>SUM(X8:Y8)</f>
        <v>488.92399999999998</v>
      </c>
      <c r="X8" s="2911">
        <f>SUM('ПОЛНАЯ СЕБЕСТОИМОСТЬ ВОДА 2021'!L8)</f>
        <v>488.90199999999999</v>
      </c>
      <c r="Y8" s="2911">
        <f>SUM('ПОЛНАЯ СЕБЕСТОИМОСТЬ ВОДА 2021'!M8)</f>
        <v>2.1999999999999999E-2</v>
      </c>
      <c r="Z8" s="2837">
        <f>SUM(AA8:AB8)</f>
        <v>539.93400000000008</v>
      </c>
      <c r="AA8" s="2838">
        <v>539.85400000000004</v>
      </c>
      <c r="AB8" s="2838">
        <v>0.08</v>
      </c>
      <c r="AC8" s="2839">
        <f>SUM(AD8:AE8)</f>
        <v>1497.42245</v>
      </c>
      <c r="AD8" s="2839">
        <f>SUM(C8+L8+U8)</f>
        <v>1496.98</v>
      </c>
      <c r="AE8" s="2839">
        <f>SUM(D8+M8+V8)</f>
        <v>0.44245000000000001</v>
      </c>
      <c r="AF8" s="2839">
        <f>SUM(AG8:AH8)</f>
        <v>1456.434</v>
      </c>
      <c r="AG8" s="2839">
        <f>SUM(F8+O8+X8)</f>
        <v>1456.346</v>
      </c>
      <c r="AH8" s="2839">
        <f>SUM(G8+P8+Y8)</f>
        <v>8.7999999999999995E-2</v>
      </c>
      <c r="AI8" s="2912">
        <f t="shared" ref="AI8:AK9" si="0">SUM(H8+Q8+Z8)</f>
        <v>1643.5570000000002</v>
      </c>
      <c r="AJ8" s="2912">
        <f t="shared" si="0"/>
        <v>1643.307</v>
      </c>
      <c r="AK8" s="2912">
        <f t="shared" si="0"/>
        <v>0.25</v>
      </c>
      <c r="AL8" s="2839">
        <f>SUM(AM8:AN8)</f>
        <v>-40.988450000000014</v>
      </c>
      <c r="AM8" s="2839">
        <f>SUM(AG8-AD8)</f>
        <v>-40.634000000000015</v>
      </c>
      <c r="AN8" s="2839">
        <f>SUM(AH8-AE8)</f>
        <v>-0.35445000000000004</v>
      </c>
      <c r="AO8" s="2837">
        <f>SUM(AP8:AQ8)</f>
        <v>499.14081666666669</v>
      </c>
      <c r="AP8" s="2837">
        <f>SUM(GA8/12)</f>
        <v>498.99333333333334</v>
      </c>
      <c r="AQ8" s="2837">
        <f>SUM(GB8/12)</f>
        <v>0.14748333333333333</v>
      </c>
      <c r="AR8" s="2837">
        <f>SUM(AS8:AT8)</f>
        <v>461.238</v>
      </c>
      <c r="AS8" s="2911">
        <f>SUM('ПОЛНАЯ СЕБЕСТОИМОСТЬ ВОДА 2021'!U8)</f>
        <v>461.084</v>
      </c>
      <c r="AT8" s="2911">
        <f>SUM('ПОЛНАЯ СЕБЕСТОИМОСТЬ ВОДА 2021'!V8)</f>
        <v>0.154</v>
      </c>
      <c r="AU8" s="2837">
        <f>SUM(AV8:AW8)</f>
        <v>573.93500000000006</v>
      </c>
      <c r="AV8" s="2838">
        <v>573.83600000000001</v>
      </c>
      <c r="AW8" s="2838">
        <v>9.9000000000000005E-2</v>
      </c>
      <c r="AX8" s="2837">
        <f>SUM(AY8:AZ8)</f>
        <v>499.14081666666669</v>
      </c>
      <c r="AY8" s="2837">
        <f>SUM(GA8/12)</f>
        <v>498.99333333333334</v>
      </c>
      <c r="AZ8" s="2837">
        <f>SUM(GB8/12)</f>
        <v>0.14748333333333333</v>
      </c>
      <c r="BA8" s="2837">
        <f>SUM(BB8:BC8)</f>
        <v>535.15099999999995</v>
      </c>
      <c r="BB8" s="2911">
        <f>SUM('ПОЛНАЯ СЕБЕСТОИМОСТЬ ВОДА 2021'!X8)</f>
        <v>535.08399999999995</v>
      </c>
      <c r="BC8" s="2911">
        <f>SUM('ПОЛНАЯ СЕБЕСТОИМОСТЬ ВОДА 2021'!Y8)</f>
        <v>6.7000000000000004E-2</v>
      </c>
      <c r="BD8" s="2837">
        <f>SUM(BE8:BF8)</f>
        <v>539.41899999999998</v>
      </c>
      <c r="BE8" s="2838">
        <v>539.31899999999996</v>
      </c>
      <c r="BF8" s="2838">
        <v>0.1</v>
      </c>
      <c r="BG8" s="2837">
        <f>SUM(BH8:BI8)</f>
        <v>499.14081666666669</v>
      </c>
      <c r="BH8" s="2837">
        <f>SUM(GA8/12)</f>
        <v>498.99333333333334</v>
      </c>
      <c r="BI8" s="2837">
        <f>SUM(GB8/12)</f>
        <v>0.14748333333333333</v>
      </c>
      <c r="BJ8" s="2837">
        <f>SUM(BK8:BL8)</f>
        <v>464.96000000000004</v>
      </c>
      <c r="BK8" s="2911">
        <f>SUM('ПОЛНАЯ СЕБЕСТОИМОСТЬ ВОДА 2021'!AA8)</f>
        <v>464.85500000000002</v>
      </c>
      <c r="BL8" s="2911">
        <f>SUM('ПОЛНАЯ СЕБЕСТОИМОСТЬ ВОДА 2021'!AB8)</f>
        <v>0.105</v>
      </c>
      <c r="BM8" s="2837">
        <f>SUM(BN8:BO8)</f>
        <v>494.803</v>
      </c>
      <c r="BN8" s="2838">
        <v>494.71100000000001</v>
      </c>
      <c r="BO8" s="2838">
        <v>9.1999999999999998E-2</v>
      </c>
      <c r="BP8" s="2839">
        <f>SUM(BQ8:BR8)</f>
        <v>1497.42245</v>
      </c>
      <c r="BQ8" s="2839">
        <f>SUM(AP8+AY8+BH8)</f>
        <v>1496.98</v>
      </c>
      <c r="BR8" s="2839">
        <f>SUM(AQ8+AZ8+BI8)</f>
        <v>0.44245000000000001</v>
      </c>
      <c r="BS8" s="2839">
        <f>SUM(BT8:BU8)</f>
        <v>1461.3489999999999</v>
      </c>
      <c r="BT8" s="2839">
        <f>SUM(AS8+BB8+BK8)</f>
        <v>1461.0229999999999</v>
      </c>
      <c r="BU8" s="2839">
        <f>SUM(AT8+BC8+BL8)</f>
        <v>0.32600000000000001</v>
      </c>
      <c r="BV8" s="2912">
        <f t="shared" ref="BV8:BX9" si="1">SUM(AU8+BD8+BM8)</f>
        <v>1608.1570000000002</v>
      </c>
      <c r="BW8" s="2839">
        <f t="shared" si="1"/>
        <v>1607.866</v>
      </c>
      <c r="BX8" s="2839">
        <f t="shared" si="1"/>
        <v>0.29100000000000004</v>
      </c>
      <c r="BY8" s="2839">
        <f>SUM(BZ8:CA8)</f>
        <v>-36.073450000000108</v>
      </c>
      <c r="BZ8" s="2839">
        <f>SUM(BT8-BQ8)</f>
        <v>-35.957000000000107</v>
      </c>
      <c r="CA8" s="2839">
        <f>SUM(BU8-BR8)</f>
        <v>-0.11645</v>
      </c>
      <c r="CB8" s="2839">
        <f>SUM(CC8:CD8)</f>
        <v>2994.8449000000001</v>
      </c>
      <c r="CC8" s="2839">
        <f>SUM(AD8+BQ8)</f>
        <v>2993.96</v>
      </c>
      <c r="CD8" s="2839">
        <f>SUM(AE8+BR8)</f>
        <v>0.88490000000000002</v>
      </c>
      <c r="CE8" s="2839">
        <f>SUM(CF8:CG8)</f>
        <v>2917.7829999999999</v>
      </c>
      <c r="CF8" s="2839">
        <f t="shared" ref="CF8:CJ9" si="2">SUM(AG8+BT8)</f>
        <v>2917.3689999999997</v>
      </c>
      <c r="CG8" s="2839">
        <f t="shared" si="2"/>
        <v>0.41400000000000003</v>
      </c>
      <c r="CH8" s="2912">
        <f t="shared" si="2"/>
        <v>3251.7140000000004</v>
      </c>
      <c r="CI8" s="2912">
        <f t="shared" si="2"/>
        <v>3251.1729999999998</v>
      </c>
      <c r="CJ8" s="2912">
        <f t="shared" si="2"/>
        <v>0.54100000000000004</v>
      </c>
      <c r="CK8" s="2839">
        <f>SUM(CL8:CM8)</f>
        <v>-77.06190000000035</v>
      </c>
      <c r="CL8" s="2913">
        <f t="shared" ref="CL8:CM24" si="3">SUM(CF8-CC8)</f>
        <v>-76.591000000000349</v>
      </c>
      <c r="CM8" s="2913">
        <f t="shared" si="3"/>
        <v>-0.47089999999999999</v>
      </c>
      <c r="CN8" s="2837">
        <f>SUM(CO8:CP8)</f>
        <v>499.14081666666669</v>
      </c>
      <c r="CO8" s="2837">
        <f>SUM(GA8/12)</f>
        <v>498.99333333333334</v>
      </c>
      <c r="CP8" s="2837">
        <f>SUM(GB8/12)</f>
        <v>0.14748333333333333</v>
      </c>
      <c r="CQ8" s="2837">
        <f>SUM(CR8:CS8)</f>
        <v>441.589</v>
      </c>
      <c r="CR8" s="2911">
        <f>SUM('ПОЛНАЯ СЕБЕСТОИМОСТЬ ВОДА 2021'!AS8)</f>
        <v>441.505</v>
      </c>
      <c r="CS8" s="2911">
        <f>SUM('ПОЛНАЯ СЕБЕСТОИМОСТЬ ВОДА 2021'!AT8)</f>
        <v>8.4000000000000005E-2</v>
      </c>
      <c r="CT8" s="2837">
        <f>SUM(CU8:CV8)</f>
        <v>496.07599999999996</v>
      </c>
      <c r="CU8" s="2838">
        <v>495.98599999999999</v>
      </c>
      <c r="CV8" s="2838">
        <v>0.09</v>
      </c>
      <c r="CW8" s="2837">
        <f>SUM(CX8:CY8)</f>
        <v>499.14081666666669</v>
      </c>
      <c r="CX8" s="2837">
        <f>SUM(GA8/12)</f>
        <v>498.99333333333334</v>
      </c>
      <c r="CY8" s="2837">
        <f>SUM(GB8/12)</f>
        <v>0.14748333333333333</v>
      </c>
      <c r="CZ8" s="2837">
        <f>SUM(DA8:DB8)</f>
        <v>388.53999999999996</v>
      </c>
      <c r="DA8" s="2911">
        <f>SUM('ПОЛНАЯ СЕБЕСТОИМОСТЬ ВОДА 2021'!AV8)</f>
        <v>388.46499999999997</v>
      </c>
      <c r="DB8" s="2911">
        <f>SUM('ПОЛНАЯ СЕБЕСТОИМОСТЬ ВОДА 2021'!AW8)</f>
        <v>7.4999999999999997E-2</v>
      </c>
      <c r="DC8" s="2837">
        <f>SUM(DD8:DE8)</f>
        <v>437.24900000000002</v>
      </c>
      <c r="DD8" s="2838">
        <v>437.22</v>
      </c>
      <c r="DE8" s="2838">
        <v>2.9000000000000001E-2</v>
      </c>
      <c r="DF8" s="2837">
        <f>SUM(DG8:DH8)</f>
        <v>499.14081666666669</v>
      </c>
      <c r="DG8" s="2837">
        <f>SUM(GA8/12)</f>
        <v>498.99333333333334</v>
      </c>
      <c r="DH8" s="2837">
        <f>SUM(GB8/12)</f>
        <v>0.14748333333333333</v>
      </c>
      <c r="DI8" s="2837">
        <f>SUM(DJ8:DK8)</f>
        <v>410.49299999999999</v>
      </c>
      <c r="DJ8" s="2911">
        <f>SUM('ПОЛНАЯ СЕБЕСТОИМОСТЬ ВОДА 2021'!AY8)</f>
        <v>410.46800000000002</v>
      </c>
      <c r="DK8" s="2911">
        <f>SUM('ПОЛНАЯ СЕБЕСТОИМОСТЬ ВОДА 2021'!AZ8)</f>
        <v>2.5000000000000001E-2</v>
      </c>
      <c r="DL8" s="2837">
        <f>SUM(DM8:DN8)</f>
        <v>522.66899999999998</v>
      </c>
      <c r="DM8" s="2838">
        <v>522.60299999999995</v>
      </c>
      <c r="DN8" s="2838">
        <v>6.6000000000000003E-2</v>
      </c>
      <c r="DO8" s="2839">
        <f>SUM(DP8:DQ8)</f>
        <v>1497.42245</v>
      </c>
      <c r="DP8" s="2839">
        <f>SUM(CO8+CX8+DG8)</f>
        <v>1496.98</v>
      </c>
      <c r="DQ8" s="2839">
        <f>SUM(CP8+CY8+DH8)</f>
        <v>0.44245000000000001</v>
      </c>
      <c r="DR8" s="2839">
        <f>SUM(DS8:DT8)</f>
        <v>1240.6220000000001</v>
      </c>
      <c r="DS8" s="2839">
        <f>SUM(CR8+DA8+DJ8)</f>
        <v>1240.4380000000001</v>
      </c>
      <c r="DT8" s="2839">
        <f>SUM(CS8+DB8+DK8)</f>
        <v>0.184</v>
      </c>
      <c r="DU8" s="2912">
        <f t="shared" ref="DU8:DW9" si="4">SUM(CT8+DC8+DL8)</f>
        <v>1455.9940000000001</v>
      </c>
      <c r="DV8" s="2839">
        <f t="shared" si="4"/>
        <v>1455.809</v>
      </c>
      <c r="DW8" s="2839">
        <f t="shared" si="4"/>
        <v>0.185</v>
      </c>
      <c r="DX8" s="2839">
        <f>SUM(DY8:DZ8)</f>
        <v>-256.8004499999999</v>
      </c>
      <c r="DY8" s="2913">
        <f t="shared" ref="DY8:DZ24" si="5">SUM(DS8-DP8)</f>
        <v>-256.54199999999992</v>
      </c>
      <c r="DZ8" s="2913">
        <f t="shared" si="5"/>
        <v>-0.25845000000000001</v>
      </c>
      <c r="EA8" s="2839">
        <f>SUM(EB8:EC8)</f>
        <v>4492.2673500000001</v>
      </c>
      <c r="EB8" s="2839">
        <f>SUM(CC8+DP8)</f>
        <v>4490.9400000000005</v>
      </c>
      <c r="EC8" s="2839">
        <f>SUM(CD8+DQ8)</f>
        <v>1.32735</v>
      </c>
      <c r="ED8" s="2839">
        <f>SUM(EE8:EF8)</f>
        <v>4158.4049999999997</v>
      </c>
      <c r="EE8" s="2839">
        <f t="shared" ref="EE8:EI9" si="6">SUM(CF8+DS8)</f>
        <v>4157.8069999999998</v>
      </c>
      <c r="EF8" s="2839">
        <f t="shared" si="6"/>
        <v>0.59800000000000009</v>
      </c>
      <c r="EG8" s="2839">
        <f t="shared" si="6"/>
        <v>4707.7080000000005</v>
      </c>
      <c r="EH8" s="2839">
        <f t="shared" si="6"/>
        <v>4706.982</v>
      </c>
      <c r="EI8" s="2839">
        <f t="shared" si="6"/>
        <v>0.72599999999999998</v>
      </c>
      <c r="EJ8" s="2839">
        <f>SUM(EK8:EL8)</f>
        <v>-333.86235000000073</v>
      </c>
      <c r="EK8" s="2913">
        <f t="shared" ref="EK8:EL24" si="7">SUM(EE8-EB8)</f>
        <v>-333.13300000000072</v>
      </c>
      <c r="EL8" s="2913">
        <f t="shared" si="7"/>
        <v>-0.72934999999999994</v>
      </c>
      <c r="EM8" s="2837">
        <f>SUM(EN8:EO8)</f>
        <v>499.14081666666669</v>
      </c>
      <c r="EN8" s="2837">
        <f>SUM(GA8/12)</f>
        <v>498.99333333333334</v>
      </c>
      <c r="EO8" s="2837">
        <f>SUM(GB8/12)</f>
        <v>0.14748333333333333</v>
      </c>
      <c r="EP8" s="2837">
        <f>SUM(EQ8:ER8)</f>
        <v>449.41899999999998</v>
      </c>
      <c r="EQ8" s="2911">
        <f>SUM('ПОЛНАЯ СЕБЕСТОИМОСТЬ ВОДА 2021'!BQ8)</f>
        <v>449.392</v>
      </c>
      <c r="ER8" s="2911">
        <f>SUM('ПОЛНАЯ СЕБЕСТОИМОСТЬ ВОДА 2021'!BR8)</f>
        <v>2.7E-2</v>
      </c>
      <c r="ES8" s="2837">
        <f>SUM(ET8:EU8)</f>
        <v>510.72300000000001</v>
      </c>
      <c r="ET8" s="2838">
        <v>510.666</v>
      </c>
      <c r="EU8" s="2838">
        <v>5.7000000000000002E-2</v>
      </c>
      <c r="EV8" s="2837">
        <f>SUM(EW8:EX8)</f>
        <v>499.14081666666669</v>
      </c>
      <c r="EW8" s="2837">
        <f>SUM(GA8/12)</f>
        <v>498.99333333333334</v>
      </c>
      <c r="EX8" s="2837">
        <f>SUM(GB8/12)</f>
        <v>0.14748333333333333</v>
      </c>
      <c r="EY8" s="2837">
        <f>SUM(EZ8:FA8)</f>
        <v>527.25900000000001</v>
      </c>
      <c r="EZ8" s="2911">
        <f>SUM('ПОЛНАЯ СЕБЕСТОИМОСТЬ ВОДА 2021'!BT8)</f>
        <v>527.18799999999999</v>
      </c>
      <c r="FA8" s="2911">
        <f>SUM('ПОЛНАЯ СЕБЕСТОИМОСТЬ ВОДА 2021'!BU8)</f>
        <v>7.0999999999999994E-2</v>
      </c>
      <c r="FB8" s="2837">
        <f>SUM(FC8:FD8)</f>
        <v>513.58799999999997</v>
      </c>
      <c r="FC8" s="2838">
        <v>513.54999999999995</v>
      </c>
      <c r="FD8" s="2838">
        <v>3.7999999999999999E-2</v>
      </c>
      <c r="FE8" s="2837">
        <f>SUM(FF8:FG8)</f>
        <v>499.14081666666669</v>
      </c>
      <c r="FF8" s="2837">
        <f>SUM(GA8/12)</f>
        <v>498.99333333333334</v>
      </c>
      <c r="FG8" s="2837">
        <f>SUM(GB8/12)</f>
        <v>0.14748333333333333</v>
      </c>
      <c r="FH8" s="2837">
        <f>SUM(FI8:FJ8)</f>
        <v>452.66700000000003</v>
      </c>
      <c r="FI8" s="2911">
        <f>SUM('ПОЛНАЯ СЕБЕСТОИМОСТЬ ВОДА 2021'!BW8)</f>
        <v>452.58100000000002</v>
      </c>
      <c r="FJ8" s="2911">
        <f>SUM('ПОЛНАЯ СЕБЕСТОИМОСТЬ ВОДА 2021'!BX8)</f>
        <v>8.5999999999999993E-2</v>
      </c>
      <c r="FK8" s="2837">
        <f>SUM(FL8:FM8)</f>
        <v>491.72499999999997</v>
      </c>
      <c r="FL8" s="2838">
        <v>491.61399999999998</v>
      </c>
      <c r="FM8" s="2838">
        <v>0.111</v>
      </c>
      <c r="FN8" s="2839">
        <f>SUM(FO8:FP8)</f>
        <v>1497.42245</v>
      </c>
      <c r="FO8" s="2839">
        <f>SUM(EN8+EW8+FF8)</f>
        <v>1496.98</v>
      </c>
      <c r="FP8" s="2839">
        <f>SUM(EO8+EX8+FG8)</f>
        <v>0.44245000000000001</v>
      </c>
      <c r="FQ8" s="2839">
        <f>SUM(FR8:FS8)</f>
        <v>1429.345</v>
      </c>
      <c r="FR8" s="2839">
        <f>SUM(EQ8+EZ8+FI8)</f>
        <v>1429.1610000000001</v>
      </c>
      <c r="FS8" s="2839">
        <f>SUM(ER8+FA8+FJ8)</f>
        <v>0.184</v>
      </c>
      <c r="FT8" s="2912">
        <f t="shared" ref="FT8:FV9" si="8">SUM(ES8+FB8+FK8)</f>
        <v>1516.0359999999998</v>
      </c>
      <c r="FU8" s="2912">
        <f t="shared" si="8"/>
        <v>1515.83</v>
      </c>
      <c r="FV8" s="2912">
        <f t="shared" si="8"/>
        <v>0.20600000000000002</v>
      </c>
      <c r="FW8" s="2839">
        <f>SUM(FX8:FY8)</f>
        <v>-68.077449999999956</v>
      </c>
      <c r="FX8" s="2913">
        <f t="shared" ref="FX8:FY24" si="9">SUM(FR8-FO8)</f>
        <v>-67.81899999999996</v>
      </c>
      <c r="FY8" s="2913">
        <f t="shared" si="9"/>
        <v>-0.25845000000000001</v>
      </c>
      <c r="FZ8" s="2839">
        <f>SUM(GA8:GB8)</f>
        <v>5989.6898000000001</v>
      </c>
      <c r="GA8" s="2839">
        <f>SUM(объемы!BN39)</f>
        <v>5987.92</v>
      </c>
      <c r="GB8" s="2839">
        <f>SUM(объемы!BO39)</f>
        <v>1.7698</v>
      </c>
      <c r="GC8" s="2839">
        <f>SUM(GD8:GE8)</f>
        <v>5587.75</v>
      </c>
      <c r="GD8" s="2912">
        <f t="shared" ref="GD8:GE9" si="10">SUM(EE8+FR8)</f>
        <v>5586.9679999999998</v>
      </c>
      <c r="GE8" s="2912">
        <f t="shared" si="10"/>
        <v>0.78200000000000003</v>
      </c>
      <c r="GF8" s="2912">
        <f>SUM(EG8+FT8)</f>
        <v>6223.7440000000006</v>
      </c>
      <c r="GG8" s="2912">
        <f t="shared" ref="GG8:GH9" si="11">SUM(EH8+FU8)</f>
        <v>6222.8119999999999</v>
      </c>
      <c r="GH8" s="2912">
        <f t="shared" si="11"/>
        <v>0.93199999999999994</v>
      </c>
      <c r="GI8" s="2839">
        <f>SUM(GJ8:GK8)</f>
        <v>-401.93980000000022</v>
      </c>
      <c r="GJ8" s="2913">
        <f t="shared" ref="GJ8:GK24" si="12">SUM(GD8-GA8)</f>
        <v>-400.95200000000023</v>
      </c>
      <c r="GK8" s="2913">
        <f t="shared" si="12"/>
        <v>-0.98780000000000001</v>
      </c>
      <c r="GL8" s="565"/>
      <c r="GM8" s="4188">
        <f>SUM(B8+K8+T8+AO8+AX8+BG8+CN8+CW8+DF8+EM8+EV8+FE8)</f>
        <v>5989.689800000001</v>
      </c>
    </row>
    <row r="9" spans="1:195" ht="18.75" x14ac:dyDescent="0.3">
      <c r="A9" s="2914" t="s">
        <v>20</v>
      </c>
      <c r="B9" s="2845">
        <f>SUM(C9:D9)</f>
        <v>95.307749999999999</v>
      </c>
      <c r="C9" s="2845">
        <f>SUM(GA9/12)</f>
        <v>95.307749999999999</v>
      </c>
      <c r="D9" s="2845">
        <f>SUM(GB9/12)</f>
        <v>0</v>
      </c>
      <c r="E9" s="2845">
        <f>SUM(F9:G9)</f>
        <v>43.868200000000002</v>
      </c>
      <c r="F9" s="2915">
        <f>SUM('ПОЛНАЯ СЕБЕСТОИМОСТЬ ВОДА 2021'!F9)</f>
        <v>43.868200000000002</v>
      </c>
      <c r="G9" s="2915">
        <f>SUM('ПОЛНАЯ СЕБЕСТОИМОСТЬ ВОДА 2021'!G9)</f>
        <v>0</v>
      </c>
      <c r="H9" s="2843">
        <f>SUM(I9:J9)</f>
        <v>145.9502</v>
      </c>
      <c r="I9" s="2844">
        <v>145.9502</v>
      </c>
      <c r="J9" s="2844"/>
      <c r="K9" s="2845">
        <f>SUM(L9:M9)</f>
        <v>95.307749999999999</v>
      </c>
      <c r="L9" s="2845">
        <f>SUM(GA9/12)</f>
        <v>95.307749999999999</v>
      </c>
      <c r="M9" s="2845">
        <f>SUM(GB9/12)</f>
        <v>0</v>
      </c>
      <c r="N9" s="2845">
        <f>SUM(O9:P9)</f>
        <v>14.89424</v>
      </c>
      <c r="O9" s="2915">
        <f>SUM('ПОЛНАЯ СЕБЕСТОИМОСТЬ ВОДА 2021'!I9)</f>
        <v>14.89424</v>
      </c>
      <c r="P9" s="2915">
        <f>SUM('ПОЛНАЯ СЕБЕСТОИМОСТЬ ВОДА 2021'!J9)</f>
        <v>0</v>
      </c>
      <c r="Q9" s="2843">
        <f>SUM(R9:S9)</f>
        <v>95.593239999999994</v>
      </c>
      <c r="R9" s="2844">
        <v>95.593239999999994</v>
      </c>
      <c r="S9" s="2844"/>
      <c r="T9" s="2845">
        <f>SUM(U9:V9)</f>
        <v>95.307749999999999</v>
      </c>
      <c r="U9" s="2845">
        <f>SUM(GA9/12)</f>
        <v>95.307749999999999</v>
      </c>
      <c r="V9" s="2845">
        <f>SUM(GB9/12)</f>
        <v>0</v>
      </c>
      <c r="W9" s="2845">
        <f>SUM(X9:Y9)</f>
        <v>20.629239999999999</v>
      </c>
      <c r="X9" s="2915">
        <f>SUM('ПОЛНАЯ СЕБЕСТОИМОСТЬ ВОДА 2021'!L9)</f>
        <v>20.629239999999999</v>
      </c>
      <c r="Y9" s="2915">
        <f>SUM('ПОЛНАЯ СЕБЕСТОИМОСТЬ ВОДА 2021'!M9)</f>
        <v>0</v>
      </c>
      <c r="Z9" s="2843">
        <f>SUM(AA9:AB9)</f>
        <v>161.71600000000001</v>
      </c>
      <c r="AA9" s="2844">
        <v>161.71600000000001</v>
      </c>
      <c r="AB9" s="2844"/>
      <c r="AC9" s="2846">
        <f>SUM(AD9:AE9)</f>
        <v>285.92325</v>
      </c>
      <c r="AD9" s="2846">
        <f>SUM(C9+L9+U9)</f>
        <v>285.92325</v>
      </c>
      <c r="AE9" s="2846">
        <f>SUM(D9+M9+V9)</f>
        <v>0</v>
      </c>
      <c r="AF9" s="2846">
        <f>SUM(AG9:AH9)</f>
        <v>79.391679999999994</v>
      </c>
      <c r="AG9" s="2846">
        <f>SUM(F9+O9+X9)</f>
        <v>79.391679999999994</v>
      </c>
      <c r="AH9" s="2846">
        <f>SUM(G9+P9+Y9)</f>
        <v>0</v>
      </c>
      <c r="AI9" s="2916">
        <f t="shared" si="0"/>
        <v>403.25943999999998</v>
      </c>
      <c r="AJ9" s="2916">
        <f t="shared" si="0"/>
        <v>403.25943999999998</v>
      </c>
      <c r="AK9" s="2916">
        <f t="shared" si="0"/>
        <v>0</v>
      </c>
      <c r="AL9" s="2846">
        <f>SUM(AM9:AN9)</f>
        <v>-206.53156999999999</v>
      </c>
      <c r="AM9" s="2846">
        <f>SUM(AG9-AD9)</f>
        <v>-206.53156999999999</v>
      </c>
      <c r="AN9" s="2846">
        <f>SUM(AH9-AE9)</f>
        <v>0</v>
      </c>
      <c r="AO9" s="2845">
        <f>SUM(AP9:AQ9)</f>
        <v>95.307749999999999</v>
      </c>
      <c r="AP9" s="2845">
        <f>SUM(GA9/12)</f>
        <v>95.307749999999999</v>
      </c>
      <c r="AQ9" s="2845">
        <f>SUM(GB9/12)</f>
        <v>0</v>
      </c>
      <c r="AR9" s="2845">
        <f>SUM(AS9:AT9)</f>
        <v>56.808239999999998</v>
      </c>
      <c r="AS9" s="2915">
        <f>SUM('ПОЛНАЯ СЕБЕСТОИМОСТЬ ВОДА 2021'!U9)</f>
        <v>56.808239999999998</v>
      </c>
      <c r="AT9" s="2915">
        <f>SUM('ПОЛНАЯ СЕБЕСТОИМОСТЬ ВОДА 2021'!V9)</f>
        <v>0</v>
      </c>
      <c r="AU9" s="2843">
        <f>SUM(AV9:AW9)</f>
        <v>154.09700000000001</v>
      </c>
      <c r="AV9" s="2844">
        <v>154.09700000000001</v>
      </c>
      <c r="AW9" s="2844"/>
      <c r="AX9" s="2845">
        <f>SUM(AY9:AZ9)</f>
        <v>95.307749999999999</v>
      </c>
      <c r="AY9" s="2845">
        <f>SUM(GA9/12)</f>
        <v>95.307749999999999</v>
      </c>
      <c r="AZ9" s="2845">
        <f>SUM(GB9/12)</f>
        <v>0</v>
      </c>
      <c r="BA9" s="2845">
        <f>SUM(BB9:BC9)</f>
        <v>137.77024</v>
      </c>
      <c r="BB9" s="2915">
        <f>SUM('ПОЛНАЯ СЕБЕСТОИМОСТЬ ВОДА 2021'!X9)</f>
        <v>137.77024</v>
      </c>
      <c r="BC9" s="2915">
        <f>SUM('ПОЛНАЯ СЕБЕСТОИМОСТЬ ВОДА 2021'!Y9)</f>
        <v>0</v>
      </c>
      <c r="BD9" s="2843">
        <f>SUM(BE9:BF9)</f>
        <v>131.54</v>
      </c>
      <c r="BE9" s="2844">
        <v>131.54</v>
      </c>
      <c r="BF9" s="2844"/>
      <c r="BG9" s="2845">
        <f>SUM(BH9:BI9)</f>
        <v>95.307749999999999</v>
      </c>
      <c r="BH9" s="2845">
        <f>SUM(GA9/12)</f>
        <v>95.307749999999999</v>
      </c>
      <c r="BI9" s="2845">
        <f>SUM(GB9/12)</f>
        <v>0</v>
      </c>
      <c r="BJ9" s="2845">
        <f>SUM(BK9:BL9)</f>
        <v>62.717239999999997</v>
      </c>
      <c r="BK9" s="2915">
        <f>SUM('ПОЛНАЯ СЕБЕСТОИМОСТЬ ВОДА 2021'!AA9)</f>
        <v>62.717239999999997</v>
      </c>
      <c r="BL9" s="2915">
        <f>SUM('ПОЛНАЯ СЕБЕСТОИМОСТЬ ВОДА 2021'!AB9)</f>
        <v>0</v>
      </c>
      <c r="BM9" s="2843">
        <f>SUM(BN9:BO9)</f>
        <v>91.245999999999995</v>
      </c>
      <c r="BN9" s="2844">
        <v>91.245999999999995</v>
      </c>
      <c r="BO9" s="2844"/>
      <c r="BP9" s="2846">
        <f>SUM(BQ9:BR9)</f>
        <v>285.92325</v>
      </c>
      <c r="BQ9" s="2846">
        <f>SUM(AP9+AY9+BH9)</f>
        <v>285.92325</v>
      </c>
      <c r="BR9" s="2846">
        <f>SUM(AQ9+AZ9+BI9)</f>
        <v>0</v>
      </c>
      <c r="BS9" s="2846">
        <f>SUM(BT9:BU9)</f>
        <v>257.29572000000002</v>
      </c>
      <c r="BT9" s="2846">
        <f>SUM(AS9+BB9+BK9)</f>
        <v>257.29572000000002</v>
      </c>
      <c r="BU9" s="2846">
        <f>SUM(AT9+BC9+BL9)</f>
        <v>0</v>
      </c>
      <c r="BV9" s="2916">
        <f t="shared" si="1"/>
        <v>376.88299999999998</v>
      </c>
      <c r="BW9" s="2846">
        <f t="shared" si="1"/>
        <v>376.88299999999998</v>
      </c>
      <c r="BX9" s="2846">
        <f t="shared" si="1"/>
        <v>0</v>
      </c>
      <c r="BY9" s="2846">
        <f>SUM(BZ9:CA9)</f>
        <v>-28.627529999999979</v>
      </c>
      <c r="BZ9" s="2846">
        <f>SUM(BT9-BQ9)</f>
        <v>-28.627529999999979</v>
      </c>
      <c r="CA9" s="2846">
        <f>SUM(BU9-BR9)</f>
        <v>0</v>
      </c>
      <c r="CB9" s="2846">
        <f>SUM(CC9:CD9)</f>
        <v>571.84649999999999</v>
      </c>
      <c r="CC9" s="2846">
        <f>SUM(AD9+BQ9)</f>
        <v>571.84649999999999</v>
      </c>
      <c r="CD9" s="2846">
        <f>SUM(AE9+BR9)</f>
        <v>0</v>
      </c>
      <c r="CE9" s="2846">
        <f>SUM(CF9:CG9)</f>
        <v>336.68740000000003</v>
      </c>
      <c r="CF9" s="2846">
        <f t="shared" si="2"/>
        <v>336.68740000000003</v>
      </c>
      <c r="CG9" s="2846">
        <f t="shared" si="2"/>
        <v>0</v>
      </c>
      <c r="CH9" s="2916">
        <f t="shared" si="2"/>
        <v>780.14243999999997</v>
      </c>
      <c r="CI9" s="2916">
        <f t="shared" si="2"/>
        <v>780.14243999999997</v>
      </c>
      <c r="CJ9" s="2916">
        <f t="shared" si="2"/>
        <v>0</v>
      </c>
      <c r="CK9" s="2846">
        <f>SUM(CL9:CM9)</f>
        <v>-235.15909999999997</v>
      </c>
      <c r="CL9" s="2917">
        <f t="shared" si="3"/>
        <v>-235.15909999999997</v>
      </c>
      <c r="CM9" s="2917">
        <f t="shared" si="3"/>
        <v>0</v>
      </c>
      <c r="CN9" s="2845">
        <f>SUM(CO9:CP9)</f>
        <v>95.307749999999999</v>
      </c>
      <c r="CO9" s="2845">
        <f>SUM(GA9/12)</f>
        <v>95.307749999999999</v>
      </c>
      <c r="CP9" s="2845">
        <f>SUM(GB9/12)</f>
        <v>0</v>
      </c>
      <c r="CQ9" s="2845">
        <f>SUM(CR9:CS9)</f>
        <v>32.575200000000002</v>
      </c>
      <c r="CR9" s="2915">
        <f>SUM('ПОЛНАЯ СЕБЕСТОИМОСТЬ ВОДА 2021'!AS9)</f>
        <v>32.575200000000002</v>
      </c>
      <c r="CS9" s="2915">
        <f>SUM('ПОЛНАЯ СЕБЕСТОИМОСТЬ ВОДА 2021'!AT9)</f>
        <v>0</v>
      </c>
      <c r="CT9" s="2845">
        <f>SUM(CU9:CV9)</f>
        <v>85.7042</v>
      </c>
      <c r="CU9" s="2844">
        <v>85.7042</v>
      </c>
      <c r="CV9" s="2844">
        <v>0</v>
      </c>
      <c r="CW9" s="2845">
        <f>SUM(CX9:CY9)</f>
        <v>95.307749999999999</v>
      </c>
      <c r="CX9" s="2845">
        <f>SUM(GA9/12)</f>
        <v>95.307749999999999</v>
      </c>
      <c r="CY9" s="2845">
        <f>SUM(GB9/12)</f>
        <v>0</v>
      </c>
      <c r="CZ9" s="2845">
        <f>SUM(DA9:DB9)</f>
        <v>29.5702</v>
      </c>
      <c r="DA9" s="2915">
        <f>SUM('ПОЛНАЯ СЕБЕСТОИМОСТЬ ВОДА 2021'!AV9)</f>
        <v>29.5702</v>
      </c>
      <c r="DB9" s="2915">
        <f>SUM('ПОЛНАЯ СЕБЕСТОИМОСТЬ ВОДА 2021'!AW9)</f>
        <v>0</v>
      </c>
      <c r="DC9" s="2843">
        <f>SUM(DD9:DE9)</f>
        <v>56.456200000000003</v>
      </c>
      <c r="DD9" s="2844">
        <v>56.456200000000003</v>
      </c>
      <c r="DE9" s="2844">
        <v>0</v>
      </c>
      <c r="DF9" s="2845">
        <f>SUM(DG9:DH9)</f>
        <v>95.307749999999999</v>
      </c>
      <c r="DG9" s="2845">
        <f>SUM(GA9/12)</f>
        <v>95.307749999999999</v>
      </c>
      <c r="DH9" s="2845">
        <f>SUM(GB9/12)</f>
        <v>0</v>
      </c>
      <c r="DI9" s="2845">
        <f>SUM(DJ9:DK9)</f>
        <v>39.457999999999998</v>
      </c>
      <c r="DJ9" s="2915">
        <f>SUM('ПОЛНАЯ СЕБЕСТОИМОСТЬ ВОДА 2021'!AY9)</f>
        <v>39.457999999999998</v>
      </c>
      <c r="DK9" s="2915">
        <f>SUM('ПОЛНАЯ СЕБЕСТОИМОСТЬ ВОДА 2021'!AZ9)</f>
        <v>0</v>
      </c>
      <c r="DL9" s="2843">
        <f>SUM(DM9:DN9)</f>
        <v>64.994</v>
      </c>
      <c r="DM9" s="2844">
        <v>64.994</v>
      </c>
      <c r="DN9" s="2844"/>
      <c r="DO9" s="2846">
        <f>SUM(DP9:DQ9)</f>
        <v>285.92325</v>
      </c>
      <c r="DP9" s="2846">
        <f>SUM(CO9+CX9+DG9)</f>
        <v>285.92325</v>
      </c>
      <c r="DQ9" s="2846">
        <f>SUM(CP9+CY9+DH9)</f>
        <v>0</v>
      </c>
      <c r="DR9" s="2846">
        <f>SUM(DS9:DT9)</f>
        <v>101.60339999999999</v>
      </c>
      <c r="DS9" s="2846">
        <f>SUM(CR9+DA9+DJ9)</f>
        <v>101.60339999999999</v>
      </c>
      <c r="DT9" s="2846">
        <f>SUM(CS9+DB9+DK9)</f>
        <v>0</v>
      </c>
      <c r="DU9" s="2916">
        <f t="shared" si="4"/>
        <v>207.15440000000001</v>
      </c>
      <c r="DV9" s="2846">
        <f t="shared" si="4"/>
        <v>207.15440000000001</v>
      </c>
      <c r="DW9" s="2846">
        <f t="shared" si="4"/>
        <v>0</v>
      </c>
      <c r="DX9" s="2846">
        <f>SUM(DY9:DZ9)</f>
        <v>-184.31985</v>
      </c>
      <c r="DY9" s="2917">
        <f t="shared" si="5"/>
        <v>-184.31985</v>
      </c>
      <c r="DZ9" s="2917">
        <f t="shared" si="5"/>
        <v>0</v>
      </c>
      <c r="EA9" s="2846">
        <f>SUM(EB9:EC9)</f>
        <v>857.76974999999993</v>
      </c>
      <c r="EB9" s="2846">
        <f>SUM(CC9+DP9)</f>
        <v>857.76974999999993</v>
      </c>
      <c r="EC9" s="2846">
        <f>SUM(CD9+DQ9)</f>
        <v>0</v>
      </c>
      <c r="ED9" s="2846">
        <f>SUM(EE9:EF9)</f>
        <v>438.29079999999999</v>
      </c>
      <c r="EE9" s="2846">
        <f t="shared" si="6"/>
        <v>438.29079999999999</v>
      </c>
      <c r="EF9" s="2846">
        <f t="shared" si="6"/>
        <v>0</v>
      </c>
      <c r="EG9" s="2846">
        <f t="shared" si="6"/>
        <v>987.29683999999997</v>
      </c>
      <c r="EH9" s="2846">
        <f t="shared" si="6"/>
        <v>987.29683999999997</v>
      </c>
      <c r="EI9" s="2846">
        <f t="shared" si="6"/>
        <v>0</v>
      </c>
      <c r="EJ9" s="2846">
        <f>SUM(EK9:EL9)</f>
        <v>-419.47894999999994</v>
      </c>
      <c r="EK9" s="2917">
        <f t="shared" si="7"/>
        <v>-419.47894999999994</v>
      </c>
      <c r="EL9" s="2917">
        <f t="shared" si="7"/>
        <v>0</v>
      </c>
      <c r="EM9" s="2845">
        <f>SUM(EN9:EO9)</f>
        <v>95.307749999999999</v>
      </c>
      <c r="EN9" s="2845">
        <f>SUM(GA9/12)</f>
        <v>95.307749999999999</v>
      </c>
      <c r="EO9" s="2845">
        <f>SUM(GB9/12)</f>
        <v>0</v>
      </c>
      <c r="EP9" s="2845">
        <f>SUM(EQ9:ER9)</f>
        <v>71.697000000000003</v>
      </c>
      <c r="EQ9" s="2915">
        <f>SUM('ПОЛНАЯ СЕБЕСТОИМОСТЬ ВОДА 2021'!BQ9)</f>
        <v>71.697000000000003</v>
      </c>
      <c r="ER9" s="2915">
        <f>SUM('ПОЛНАЯ СЕБЕСТОИМОСТЬ ВОДА 2021'!BR9)</f>
        <v>0</v>
      </c>
      <c r="ES9" s="2845">
        <f>SUM(ET9:EU9)</f>
        <v>104.96299999999999</v>
      </c>
      <c r="ET9" s="2844">
        <v>104.96299999999999</v>
      </c>
      <c r="EU9" s="2844"/>
      <c r="EV9" s="2845">
        <f>SUM(EW9:EX9)</f>
        <v>95.307749999999999</v>
      </c>
      <c r="EW9" s="2845">
        <f>SUM(GA9/12)</f>
        <v>95.307749999999999</v>
      </c>
      <c r="EX9" s="2845">
        <f>SUM(GB9/12)</f>
        <v>0</v>
      </c>
      <c r="EY9" s="2845">
        <f>SUM(EZ9:FA9)</f>
        <v>150.77000000000001</v>
      </c>
      <c r="EZ9" s="2915">
        <f>SUM('ПОЛНАЯ СЕБЕСТОИМОСТЬ ВОДА 2021'!BT9)</f>
        <v>150.77000000000001</v>
      </c>
      <c r="FA9" s="2915">
        <f>SUM('ПОЛНАЯ СЕБЕСТОИМОСТЬ ВОДА 2021'!BU9)</f>
        <v>0</v>
      </c>
      <c r="FB9" s="2843">
        <f>SUM(FC9:FD9)</f>
        <v>135.57</v>
      </c>
      <c r="FC9" s="2844">
        <v>135.57</v>
      </c>
      <c r="FD9" s="2844"/>
      <c r="FE9" s="2845">
        <f>SUM(FF9:FG9)</f>
        <v>95.307749999999999</v>
      </c>
      <c r="FF9" s="2845">
        <f>SUM(GA9/12)</f>
        <v>95.307749999999999</v>
      </c>
      <c r="FG9" s="2845">
        <f>SUM(GB9/12)</f>
        <v>0</v>
      </c>
      <c r="FH9" s="2845">
        <f>SUM(FI9:FJ9)</f>
        <v>63.106699999999996</v>
      </c>
      <c r="FI9" s="2915">
        <f>SUM('ПОЛНАЯ СЕБЕСТОИМОСТЬ ВОДА 2021'!BW9)</f>
        <v>63.106699999999996</v>
      </c>
      <c r="FJ9" s="2915">
        <f>SUM('ПОЛНАЯ СЕБЕСТОИМОСТЬ ВОДА 2021'!BX9)</f>
        <v>0</v>
      </c>
      <c r="FK9" s="2843">
        <f>SUM(FL9:FM9)</f>
        <v>66.006</v>
      </c>
      <c r="FL9" s="2844">
        <v>66.006</v>
      </c>
      <c r="FM9" s="2844"/>
      <c r="FN9" s="2846">
        <f>SUM(FO9:FP9)</f>
        <v>285.92325</v>
      </c>
      <c r="FO9" s="2846">
        <f>SUM(EN9+EW9+FF9)</f>
        <v>285.92325</v>
      </c>
      <c r="FP9" s="2846">
        <f>SUM(EO9+EX9+FG9)</f>
        <v>0</v>
      </c>
      <c r="FQ9" s="2846">
        <f>SUM(FR9:FS9)</f>
        <v>285.57370000000003</v>
      </c>
      <c r="FR9" s="2846">
        <f>SUM(EQ9+EZ9+FI9)</f>
        <v>285.57370000000003</v>
      </c>
      <c r="FS9" s="2846">
        <f>SUM(ER9+FA9+FJ9)</f>
        <v>0</v>
      </c>
      <c r="FT9" s="2916">
        <f t="shared" si="8"/>
        <v>306.53899999999999</v>
      </c>
      <c r="FU9" s="2916">
        <f t="shared" si="8"/>
        <v>306.53899999999999</v>
      </c>
      <c r="FV9" s="2916">
        <f t="shared" si="8"/>
        <v>0</v>
      </c>
      <c r="FW9" s="2846">
        <f>SUM(FX9:FY9)</f>
        <v>-0.34954999999996517</v>
      </c>
      <c r="FX9" s="2917">
        <f t="shared" si="9"/>
        <v>-0.34954999999996517</v>
      </c>
      <c r="FY9" s="2917">
        <f t="shared" si="9"/>
        <v>0</v>
      </c>
      <c r="FZ9" s="2846">
        <f>SUM(GA9:GB9)</f>
        <v>1143.693</v>
      </c>
      <c r="GA9" s="2846">
        <f>SUM(объемы!BN42)</f>
        <v>1143.693</v>
      </c>
      <c r="GB9" s="2846">
        <f>SUM(объемы!BO42)</f>
        <v>0</v>
      </c>
      <c r="GC9" s="2846">
        <f>SUM(GD9:GE9)</f>
        <v>723.86450000000002</v>
      </c>
      <c r="GD9" s="2916">
        <f t="shared" si="10"/>
        <v>723.86450000000002</v>
      </c>
      <c r="GE9" s="2916">
        <f t="shared" si="10"/>
        <v>0</v>
      </c>
      <c r="GF9" s="2916">
        <f>SUM(EG9+FT9)</f>
        <v>1293.83584</v>
      </c>
      <c r="GG9" s="2916">
        <f t="shared" si="11"/>
        <v>1293.83584</v>
      </c>
      <c r="GH9" s="2916">
        <f t="shared" si="11"/>
        <v>0</v>
      </c>
      <c r="GI9" s="2846">
        <f>SUM(GJ9:GK9)</f>
        <v>-419.82849999999996</v>
      </c>
      <c r="GJ9" s="2917">
        <f t="shared" si="12"/>
        <v>-419.82849999999996</v>
      </c>
      <c r="GK9" s="2917">
        <f t="shared" si="12"/>
        <v>0</v>
      </c>
      <c r="GL9" s="565"/>
      <c r="GM9" s="4188">
        <f t="shared" ref="GM9:GM24" si="13">SUM(B9+K9+T9+AO9+AX9+BG9+CN9+CW9+DF9+EM9+EV9+FE9)</f>
        <v>1143.6929999999998</v>
      </c>
    </row>
    <row r="10" spans="1:195" ht="18.75" x14ac:dyDescent="0.3">
      <c r="A10" s="2882" t="s">
        <v>373</v>
      </c>
      <c r="B10" s="2849">
        <f t="shared" ref="B10:AK10" si="14">SUM(B9/B8)</f>
        <v>0.19094361113659006</v>
      </c>
      <c r="C10" s="2849">
        <f t="shared" si="14"/>
        <v>0.19100004676081175</v>
      </c>
      <c r="D10" s="2849">
        <f t="shared" si="14"/>
        <v>0</v>
      </c>
      <c r="E10" s="2849">
        <f t="shared" si="14"/>
        <v>8.9581601834588867E-2</v>
      </c>
      <c r="F10" s="2849">
        <f t="shared" si="14"/>
        <v>8.9590749329624575E-2</v>
      </c>
      <c r="G10" s="2849">
        <f t="shared" si="14"/>
        <v>0</v>
      </c>
      <c r="H10" s="2849">
        <f t="shared" si="14"/>
        <v>0.26028280637803464</v>
      </c>
      <c r="I10" s="2849">
        <f t="shared" si="14"/>
        <v>0.26032366061475182</v>
      </c>
      <c r="J10" s="2849">
        <f t="shared" si="14"/>
        <v>0</v>
      </c>
      <c r="K10" s="2849">
        <f t="shared" si="14"/>
        <v>0.19094361113659006</v>
      </c>
      <c r="L10" s="2849">
        <f t="shared" si="14"/>
        <v>0.19100004676081175</v>
      </c>
      <c r="M10" s="2849">
        <f t="shared" si="14"/>
        <v>0</v>
      </c>
      <c r="N10" s="2849">
        <f t="shared" si="14"/>
        <v>3.1171953646750059E-2</v>
      </c>
      <c r="O10" s="2849">
        <f t="shared" si="14"/>
        <v>3.1172997511474634E-2</v>
      </c>
      <c r="P10" s="2849">
        <f t="shared" si="14"/>
        <v>0</v>
      </c>
      <c r="Q10" s="2849">
        <f t="shared" si="14"/>
        <v>0.1760834503007998</v>
      </c>
      <c r="R10" s="2849">
        <f t="shared" si="14"/>
        <v>0.17611005077339151</v>
      </c>
      <c r="S10" s="2849">
        <f t="shared" si="14"/>
        <v>0</v>
      </c>
      <c r="T10" s="2849">
        <f t="shared" si="14"/>
        <v>0.19094361113659006</v>
      </c>
      <c r="U10" s="2849">
        <f t="shared" si="14"/>
        <v>0.19100004676081175</v>
      </c>
      <c r="V10" s="2849">
        <f t="shared" si="14"/>
        <v>0</v>
      </c>
      <c r="W10" s="2849">
        <f t="shared" si="14"/>
        <v>4.2193142492493722E-2</v>
      </c>
      <c r="X10" s="2849">
        <f t="shared" si="14"/>
        <v>4.2195041132987797E-2</v>
      </c>
      <c r="Y10" s="2849">
        <f t="shared" si="14"/>
        <v>0</v>
      </c>
      <c r="Z10" s="2849">
        <f t="shared" si="14"/>
        <v>0.29951068093507721</v>
      </c>
      <c r="AA10" s="2849">
        <f t="shared" si="14"/>
        <v>0.29955506488791411</v>
      </c>
      <c r="AB10" s="2849">
        <f t="shared" si="14"/>
        <v>0</v>
      </c>
      <c r="AC10" s="2850">
        <f t="shared" si="14"/>
        <v>0.19094361113659009</v>
      </c>
      <c r="AD10" s="2850">
        <f t="shared" si="14"/>
        <v>0.19100004676081175</v>
      </c>
      <c r="AE10" s="2850">
        <f t="shared" si="14"/>
        <v>0</v>
      </c>
      <c r="AF10" s="2850">
        <f t="shared" si="14"/>
        <v>5.4511004274824672E-2</v>
      </c>
      <c r="AG10" s="2850">
        <f t="shared" si="14"/>
        <v>5.4514298113223086E-2</v>
      </c>
      <c r="AH10" s="2850">
        <f t="shared" si="14"/>
        <v>0</v>
      </c>
      <c r="AI10" s="2918">
        <f t="shared" si="14"/>
        <v>0.24535774542653521</v>
      </c>
      <c r="AJ10" s="2918">
        <f t="shared" si="14"/>
        <v>0.24539507225369331</v>
      </c>
      <c r="AK10" s="2918">
        <f t="shared" si="14"/>
        <v>0</v>
      </c>
      <c r="AL10" s="2919">
        <f t="shared" ref="AL10:AN10" si="15">SUM(AF10-AC10)</f>
        <v>-0.13643260686176542</v>
      </c>
      <c r="AM10" s="2919">
        <f t="shared" si="15"/>
        <v>-0.13648574864758867</v>
      </c>
      <c r="AN10" s="2919">
        <f t="shared" si="15"/>
        <v>0</v>
      </c>
      <c r="AO10" s="2849">
        <f t="shared" ref="AO10:BX10" si="16">SUM(AO9/AO8)</f>
        <v>0.19094361113659006</v>
      </c>
      <c r="AP10" s="2849">
        <f t="shared" si="16"/>
        <v>0.19100004676081175</v>
      </c>
      <c r="AQ10" s="2849">
        <f t="shared" si="16"/>
        <v>0</v>
      </c>
      <c r="AR10" s="2849">
        <f t="shared" si="16"/>
        <v>0.12316470021984312</v>
      </c>
      <c r="AS10" s="2849">
        <f t="shared" si="16"/>
        <v>0.12320583668051807</v>
      </c>
      <c r="AT10" s="2849">
        <f t="shared" si="16"/>
        <v>0</v>
      </c>
      <c r="AU10" s="2849">
        <f t="shared" si="16"/>
        <v>0.26849207662888652</v>
      </c>
      <c r="AV10" s="2849">
        <f t="shared" si="16"/>
        <v>0.26853839773036198</v>
      </c>
      <c r="AW10" s="2849">
        <f t="shared" si="16"/>
        <v>0</v>
      </c>
      <c r="AX10" s="2849">
        <f t="shared" si="16"/>
        <v>0.19094361113659006</v>
      </c>
      <c r="AY10" s="2849">
        <f t="shared" si="16"/>
        <v>0.19100004676081175</v>
      </c>
      <c r="AZ10" s="2849">
        <f t="shared" si="16"/>
        <v>0</v>
      </c>
      <c r="BA10" s="2849">
        <f t="shared" si="16"/>
        <v>0.25744180614443402</v>
      </c>
      <c r="BB10" s="2849">
        <f t="shared" si="16"/>
        <v>0.25747404145891117</v>
      </c>
      <c r="BC10" s="2849">
        <f t="shared" si="16"/>
        <v>0</v>
      </c>
      <c r="BD10" s="2849">
        <f t="shared" si="16"/>
        <v>0.24385496246887856</v>
      </c>
      <c r="BE10" s="2849">
        <f t="shared" si="16"/>
        <v>0.2439001778168394</v>
      </c>
      <c r="BF10" s="2849">
        <f t="shared" si="16"/>
        <v>0</v>
      </c>
      <c r="BG10" s="2849">
        <f t="shared" si="16"/>
        <v>0.19094361113659006</v>
      </c>
      <c r="BH10" s="2849">
        <f t="shared" si="16"/>
        <v>0.19100004676081175</v>
      </c>
      <c r="BI10" s="2849">
        <f t="shared" si="16"/>
        <v>0</v>
      </c>
      <c r="BJ10" s="2849">
        <f t="shared" si="16"/>
        <v>0.13488738816242254</v>
      </c>
      <c r="BK10" s="2849">
        <f t="shared" si="16"/>
        <v>0.13491785610566734</v>
      </c>
      <c r="BL10" s="2849">
        <f t="shared" si="16"/>
        <v>0</v>
      </c>
      <c r="BM10" s="2849">
        <f t="shared" si="16"/>
        <v>0.18440874449023145</v>
      </c>
      <c r="BN10" s="2849">
        <f t="shared" si="16"/>
        <v>0.18444303846083873</v>
      </c>
      <c r="BO10" s="2849">
        <f t="shared" si="16"/>
        <v>0</v>
      </c>
      <c r="BP10" s="2850">
        <f t="shared" si="16"/>
        <v>0.19094361113659009</v>
      </c>
      <c r="BQ10" s="2850">
        <f t="shared" si="16"/>
        <v>0.19100004676081175</v>
      </c>
      <c r="BR10" s="2850">
        <f t="shared" si="16"/>
        <v>0</v>
      </c>
      <c r="BS10" s="2850">
        <f t="shared" si="16"/>
        <v>0.17606726387741739</v>
      </c>
      <c r="BT10" s="2850">
        <f t="shared" si="16"/>
        <v>0.17610654999955513</v>
      </c>
      <c r="BU10" s="2850">
        <f t="shared" si="16"/>
        <v>0</v>
      </c>
      <c r="BV10" s="2918">
        <f t="shared" si="16"/>
        <v>0.23435709324400536</v>
      </c>
      <c r="BW10" s="2850">
        <f t="shared" si="16"/>
        <v>0.23439950841674617</v>
      </c>
      <c r="BX10" s="2850">
        <f t="shared" si="16"/>
        <v>0</v>
      </c>
      <c r="BY10" s="2919">
        <f t="shared" ref="BY10:CA10" si="17">SUM(BS10-BP10)</f>
        <v>-1.4876347259172695E-2</v>
      </c>
      <c r="BZ10" s="2919">
        <f t="shared" si="17"/>
        <v>-1.4893496761256619E-2</v>
      </c>
      <c r="CA10" s="2919">
        <f t="shared" si="17"/>
        <v>0</v>
      </c>
      <c r="CB10" s="2850">
        <f t="shared" ref="CB10:CJ10" si="18">SUM(CB9/CB8)</f>
        <v>0.19094361113659009</v>
      </c>
      <c r="CC10" s="2850">
        <f t="shared" si="18"/>
        <v>0.19100004676081175</v>
      </c>
      <c r="CD10" s="2850">
        <f t="shared" si="18"/>
        <v>0</v>
      </c>
      <c r="CE10" s="2850">
        <f t="shared" si="18"/>
        <v>0.11539151472196528</v>
      </c>
      <c r="CF10" s="2850">
        <f t="shared" si="18"/>
        <v>0.11540788978014097</v>
      </c>
      <c r="CG10" s="2850">
        <f t="shared" si="18"/>
        <v>0</v>
      </c>
      <c r="CH10" s="2918">
        <f t="shared" si="18"/>
        <v>0.23991729899985051</v>
      </c>
      <c r="CI10" s="2918">
        <f t="shared" si="18"/>
        <v>0.23995722159356023</v>
      </c>
      <c r="CJ10" s="2918">
        <f t="shared" si="18"/>
        <v>0</v>
      </c>
      <c r="CK10" s="2919">
        <f t="shared" ref="CK10" si="19">SUM(CE10-CB10)</f>
        <v>-7.5552096414624806E-2</v>
      </c>
      <c r="CL10" s="2919">
        <f t="shared" si="3"/>
        <v>-7.5592156980670788E-2</v>
      </c>
      <c r="CM10" s="2919">
        <f t="shared" si="3"/>
        <v>0</v>
      </c>
      <c r="CN10" s="2849">
        <f t="shared" ref="CN10:DW10" si="20">SUM(CN9/CN8)</f>
        <v>0.19094361113659006</v>
      </c>
      <c r="CO10" s="2849">
        <f t="shared" si="20"/>
        <v>0.19100004676081175</v>
      </c>
      <c r="CP10" s="2849">
        <f t="shared" si="20"/>
        <v>0</v>
      </c>
      <c r="CQ10" s="2849">
        <f t="shared" si="20"/>
        <v>7.3768141869475917E-2</v>
      </c>
      <c r="CR10" s="2849">
        <f t="shared" si="20"/>
        <v>7.3782176872289107E-2</v>
      </c>
      <c r="CS10" s="2849">
        <f t="shared" si="20"/>
        <v>0</v>
      </c>
      <c r="CT10" s="2849">
        <f t="shared" si="20"/>
        <v>0.17276425386432726</v>
      </c>
      <c r="CU10" s="2849">
        <f t="shared" si="20"/>
        <v>0.17279560310170045</v>
      </c>
      <c r="CV10" s="2849">
        <f t="shared" si="20"/>
        <v>0</v>
      </c>
      <c r="CW10" s="2849">
        <f t="shared" si="20"/>
        <v>0.19094361113659006</v>
      </c>
      <c r="CX10" s="2849">
        <f t="shared" si="20"/>
        <v>0.19100004676081175</v>
      </c>
      <c r="CY10" s="2849">
        <f t="shared" si="20"/>
        <v>0</v>
      </c>
      <c r="CZ10" s="2849">
        <f t="shared" si="20"/>
        <v>7.610593503886344E-2</v>
      </c>
      <c r="DA10" s="2849">
        <f t="shared" si="20"/>
        <v>7.6120628628061737E-2</v>
      </c>
      <c r="DB10" s="2849">
        <f t="shared" si="20"/>
        <v>0</v>
      </c>
      <c r="DC10" s="2849">
        <f t="shared" si="20"/>
        <v>0.12911681902074104</v>
      </c>
      <c r="DD10" s="2849">
        <f t="shared" si="20"/>
        <v>0.12912538310232835</v>
      </c>
      <c r="DE10" s="2849">
        <f t="shared" si="20"/>
        <v>0</v>
      </c>
      <c r="DF10" s="2849">
        <f t="shared" si="20"/>
        <v>0.19094361113659006</v>
      </c>
      <c r="DG10" s="2849">
        <f t="shared" si="20"/>
        <v>0.19100004676081175</v>
      </c>
      <c r="DH10" s="2849">
        <f t="shared" si="20"/>
        <v>0</v>
      </c>
      <c r="DI10" s="2849">
        <f t="shared" si="20"/>
        <v>9.612344181264966E-2</v>
      </c>
      <c r="DJ10" s="2849">
        <f t="shared" si="20"/>
        <v>9.6129296315425314E-2</v>
      </c>
      <c r="DK10" s="2849">
        <f t="shared" si="20"/>
        <v>0</v>
      </c>
      <c r="DL10" s="2849">
        <f t="shared" si="20"/>
        <v>0.12435021017125562</v>
      </c>
      <c r="DM10" s="2849">
        <f t="shared" si="20"/>
        <v>0.1243659144704489</v>
      </c>
      <c r="DN10" s="2849">
        <f t="shared" si="20"/>
        <v>0</v>
      </c>
      <c r="DO10" s="2850">
        <f t="shared" si="20"/>
        <v>0.19094361113659009</v>
      </c>
      <c r="DP10" s="2850">
        <f t="shared" si="20"/>
        <v>0.19100004676081175</v>
      </c>
      <c r="DQ10" s="2850">
        <f t="shared" si="20"/>
        <v>0</v>
      </c>
      <c r="DR10" s="2850">
        <f t="shared" si="20"/>
        <v>8.1897145141711161E-2</v>
      </c>
      <c r="DS10" s="2850">
        <f t="shared" si="20"/>
        <v>8.1909293330259134E-2</v>
      </c>
      <c r="DT10" s="2850">
        <f t="shared" si="20"/>
        <v>0</v>
      </c>
      <c r="DU10" s="2918">
        <f t="shared" si="20"/>
        <v>0.14227695993252717</v>
      </c>
      <c r="DV10" s="2850">
        <f t="shared" si="20"/>
        <v>0.14229504007737279</v>
      </c>
      <c r="DW10" s="2850">
        <f t="shared" si="20"/>
        <v>0</v>
      </c>
      <c r="DX10" s="2919">
        <f t="shared" ref="DX10" si="21">SUM(DR10-DO10)</f>
        <v>-0.10904646599487892</v>
      </c>
      <c r="DY10" s="2919">
        <f t="shared" si="5"/>
        <v>-0.10909075343055262</v>
      </c>
      <c r="DZ10" s="2919">
        <f t="shared" si="5"/>
        <v>0</v>
      </c>
      <c r="EA10" s="2850">
        <f t="shared" ref="EA10:EI10" si="22">SUM(EA9/EA8)</f>
        <v>0.19094361113659006</v>
      </c>
      <c r="EB10" s="2850">
        <f t="shared" si="22"/>
        <v>0.19100004676081173</v>
      </c>
      <c r="EC10" s="2850">
        <f t="shared" si="22"/>
        <v>0</v>
      </c>
      <c r="ED10" s="2850">
        <f t="shared" si="22"/>
        <v>0.10539877669442972</v>
      </c>
      <c r="EE10" s="2850">
        <f t="shared" si="22"/>
        <v>0.10541393575988496</v>
      </c>
      <c r="EF10" s="2850">
        <f t="shared" si="22"/>
        <v>0</v>
      </c>
      <c r="EG10" s="2850">
        <f t="shared" si="22"/>
        <v>0.20971921792940426</v>
      </c>
      <c r="EH10" s="2850">
        <f t="shared" si="22"/>
        <v>0.20975156480309462</v>
      </c>
      <c r="EI10" s="2850">
        <f t="shared" si="22"/>
        <v>0</v>
      </c>
      <c r="EJ10" s="2919">
        <f t="shared" ref="EJ10" si="23">SUM(ED10-EA10)</f>
        <v>-8.5544834442160336E-2</v>
      </c>
      <c r="EK10" s="2919">
        <f t="shared" si="7"/>
        <v>-8.5586111000926765E-2</v>
      </c>
      <c r="EL10" s="2919">
        <f t="shared" si="7"/>
        <v>0</v>
      </c>
      <c r="EM10" s="2849">
        <f t="shared" ref="EM10:FV10" si="24">SUM(EM9/EM8)</f>
        <v>0.19094361113659006</v>
      </c>
      <c r="EN10" s="2849">
        <f t="shared" si="24"/>
        <v>0.19100004676081175</v>
      </c>
      <c r="EO10" s="2849">
        <f t="shared" si="24"/>
        <v>0</v>
      </c>
      <c r="EP10" s="2849">
        <f t="shared" si="24"/>
        <v>0.15953264103208811</v>
      </c>
      <c r="EQ10" s="2849">
        <f t="shared" si="24"/>
        <v>0.15954222594082673</v>
      </c>
      <c r="ER10" s="2849">
        <f t="shared" si="24"/>
        <v>0</v>
      </c>
      <c r="ES10" s="2849">
        <f t="shared" si="24"/>
        <v>0.20551845129355834</v>
      </c>
      <c r="ET10" s="2849">
        <f t="shared" si="24"/>
        <v>0.20554139104620239</v>
      </c>
      <c r="EU10" s="2849">
        <f t="shared" si="24"/>
        <v>0</v>
      </c>
      <c r="EV10" s="2849">
        <f t="shared" si="24"/>
        <v>0.19094361113659006</v>
      </c>
      <c r="EW10" s="2849">
        <f t="shared" si="24"/>
        <v>0.19100004676081175</v>
      </c>
      <c r="EX10" s="2849">
        <f t="shared" si="24"/>
        <v>0</v>
      </c>
      <c r="EY10" s="2849">
        <f t="shared" si="24"/>
        <v>0.28595054802288822</v>
      </c>
      <c r="EZ10" s="2849">
        <f t="shared" si="24"/>
        <v>0.2859890589315387</v>
      </c>
      <c r="FA10" s="2849">
        <f t="shared" si="24"/>
        <v>0</v>
      </c>
      <c r="FB10" s="2849">
        <f t="shared" si="24"/>
        <v>0.26396644781420125</v>
      </c>
      <c r="FC10" s="2849">
        <f t="shared" si="24"/>
        <v>0.26398597994353035</v>
      </c>
      <c r="FD10" s="2849">
        <f t="shared" si="24"/>
        <v>0</v>
      </c>
      <c r="FE10" s="2849">
        <f t="shared" si="24"/>
        <v>0.19094361113659006</v>
      </c>
      <c r="FF10" s="2849">
        <f t="shared" si="24"/>
        <v>0.19100004676081175</v>
      </c>
      <c r="FG10" s="2849">
        <f t="shared" si="24"/>
        <v>0</v>
      </c>
      <c r="FH10" s="2849">
        <f t="shared" si="24"/>
        <v>0.1394108693587118</v>
      </c>
      <c r="FI10" s="2849">
        <f t="shared" si="24"/>
        <v>0.13943736038410803</v>
      </c>
      <c r="FJ10" s="2849">
        <f t="shared" si="24"/>
        <v>0</v>
      </c>
      <c r="FK10" s="2849">
        <f t="shared" ref="FK10:FM10" si="25">SUM(FK9/FK8)</f>
        <v>0.13423356550917689</v>
      </c>
      <c r="FL10" s="2849">
        <f t="shared" si="25"/>
        <v>0.13426387368952064</v>
      </c>
      <c r="FM10" s="2849">
        <f t="shared" si="25"/>
        <v>0</v>
      </c>
      <c r="FN10" s="2850">
        <f t="shared" si="24"/>
        <v>0.19094361113659009</v>
      </c>
      <c r="FO10" s="2850">
        <f t="shared" si="24"/>
        <v>0.19100004676081175</v>
      </c>
      <c r="FP10" s="2850">
        <f t="shared" si="24"/>
        <v>0</v>
      </c>
      <c r="FQ10" s="2850">
        <f t="shared" si="24"/>
        <v>0.19979340187288586</v>
      </c>
      <c r="FR10" s="2850">
        <f t="shared" si="24"/>
        <v>0.1998191246472581</v>
      </c>
      <c r="FS10" s="2850">
        <f t="shared" si="24"/>
        <v>0</v>
      </c>
      <c r="FT10" s="2918">
        <f t="shared" si="24"/>
        <v>0.20219770506768969</v>
      </c>
      <c r="FU10" s="2918">
        <f t="shared" si="24"/>
        <v>0.20222518356280059</v>
      </c>
      <c r="FV10" s="2918">
        <f t="shared" si="24"/>
        <v>0</v>
      </c>
      <c r="FW10" s="2919">
        <f t="shared" ref="FW10" si="26">SUM(FQ10-FN10)</f>
        <v>8.8497907362957706E-3</v>
      </c>
      <c r="FX10" s="2919">
        <f t="shared" si="9"/>
        <v>8.8190778864463415E-3</v>
      </c>
      <c r="FY10" s="2919">
        <f t="shared" si="9"/>
        <v>0</v>
      </c>
      <c r="FZ10" s="2850">
        <f t="shared" ref="FZ10:GH10" si="27">SUM(FZ9/FZ8)</f>
        <v>0.19094361113659009</v>
      </c>
      <c r="GA10" s="2850">
        <f t="shared" si="27"/>
        <v>0.19100004676081175</v>
      </c>
      <c r="GB10" s="2850">
        <f t="shared" si="27"/>
        <v>0</v>
      </c>
      <c r="GC10" s="2850">
        <f t="shared" si="27"/>
        <v>0.12954489732003044</v>
      </c>
      <c r="GD10" s="2918">
        <f t="shared" si="27"/>
        <v>0.12956302953587706</v>
      </c>
      <c r="GE10" s="2918">
        <f t="shared" si="27"/>
        <v>0</v>
      </c>
      <c r="GF10" s="2918">
        <f t="shared" si="27"/>
        <v>0.20788705962198956</v>
      </c>
      <c r="GG10" s="2918">
        <f t="shared" si="27"/>
        <v>0.20791819518249949</v>
      </c>
      <c r="GH10" s="2918">
        <f t="shared" si="27"/>
        <v>0</v>
      </c>
      <c r="GI10" s="2919">
        <f t="shared" ref="GI10" si="28">SUM(GC10-FZ10)</f>
        <v>-6.1398713816559647E-2</v>
      </c>
      <c r="GJ10" s="2919">
        <f t="shared" si="12"/>
        <v>-6.1437017224934692E-2</v>
      </c>
      <c r="GK10" s="2919">
        <f t="shared" si="12"/>
        <v>0</v>
      </c>
      <c r="GL10" s="565"/>
      <c r="GM10" s="4188">
        <f t="shared" si="13"/>
        <v>2.2913233336390806</v>
      </c>
    </row>
    <row r="11" spans="1:195" ht="18.75" x14ac:dyDescent="0.3">
      <c r="A11" s="2910" t="s">
        <v>3726</v>
      </c>
      <c r="B11" s="2837">
        <f>SUM(C11:D11)</f>
        <v>403.8330666666667</v>
      </c>
      <c r="C11" s="2837">
        <f>SUM(C8-C9)</f>
        <v>403.68558333333334</v>
      </c>
      <c r="D11" s="2837">
        <f>SUM(D8-D9)</f>
        <v>0.14748333333333333</v>
      </c>
      <c r="E11" s="2837">
        <f>SUM(F11:G11)</f>
        <v>445.83280000000002</v>
      </c>
      <c r="F11" s="2837">
        <f>SUM(F8-F9)</f>
        <v>445.78280000000001</v>
      </c>
      <c r="G11" s="2837">
        <f>SUM(G8-G9)</f>
        <v>0.05</v>
      </c>
      <c r="H11" s="2836">
        <f>SUM(I11:J11)</f>
        <v>414.78680000000003</v>
      </c>
      <c r="I11" s="2836">
        <f>SUM(I8-I9)</f>
        <v>414.69880000000001</v>
      </c>
      <c r="J11" s="2836">
        <f>SUM(J8-J9)</f>
        <v>8.7999999999999995E-2</v>
      </c>
      <c r="K11" s="2837">
        <f>SUM(L11:M11)</f>
        <v>403.8330666666667</v>
      </c>
      <c r="L11" s="2837">
        <f>SUM(L8-L9)</f>
        <v>403.68558333333334</v>
      </c>
      <c r="M11" s="2837">
        <f>SUM(M8-M9)</f>
        <v>0.14748333333333333</v>
      </c>
      <c r="N11" s="2837">
        <f>SUM(O11:P11)</f>
        <v>462.91476</v>
      </c>
      <c r="O11" s="2837">
        <f>SUM(O8-O9)</f>
        <v>462.89875999999998</v>
      </c>
      <c r="P11" s="2837">
        <f>SUM(P8-P9)</f>
        <v>1.6E-2</v>
      </c>
      <c r="Q11" s="2836">
        <f>SUM(R11:S11)</f>
        <v>447.29275999999999</v>
      </c>
      <c r="R11" s="2836">
        <f>SUM(R8-R9)</f>
        <v>447.21075999999999</v>
      </c>
      <c r="S11" s="2836">
        <f>SUM(S8-S9)</f>
        <v>8.2000000000000003E-2</v>
      </c>
      <c r="T11" s="2837">
        <f>SUM(U11:V11)</f>
        <v>403.8330666666667</v>
      </c>
      <c r="U11" s="2837">
        <f>SUM(U8-U9)</f>
        <v>403.68558333333334</v>
      </c>
      <c r="V11" s="2837">
        <f>SUM(V8-V9)</f>
        <v>0.14748333333333333</v>
      </c>
      <c r="W11" s="2837">
        <f>SUM(X11:Y11)</f>
        <v>468.29476</v>
      </c>
      <c r="X11" s="2837">
        <f>SUM(X8-X9)</f>
        <v>468.27276000000001</v>
      </c>
      <c r="Y11" s="2837">
        <f>SUM(Y8-Y9)</f>
        <v>2.1999999999999999E-2</v>
      </c>
      <c r="Z11" s="2836">
        <f>SUM(AA11:AB11)</f>
        <v>378.21800000000002</v>
      </c>
      <c r="AA11" s="2836">
        <f>SUM(AA8-AA9)</f>
        <v>378.13800000000003</v>
      </c>
      <c r="AB11" s="2836">
        <f>SUM(AB8-AB9)</f>
        <v>0.08</v>
      </c>
      <c r="AC11" s="2839">
        <f>SUM(AD11:AE11)</f>
        <v>1211.4992</v>
      </c>
      <c r="AD11" s="2839">
        <f>SUM(AD8-AD9)</f>
        <v>1211.05675</v>
      </c>
      <c r="AE11" s="2839">
        <f>SUM(AE8-AE9)</f>
        <v>0.44245000000000001</v>
      </c>
      <c r="AF11" s="2839">
        <f>SUM(AG11:AH11)</f>
        <v>1377.04232</v>
      </c>
      <c r="AG11" s="2839">
        <f>SUM(AG8-AG9)</f>
        <v>1376.9543200000001</v>
      </c>
      <c r="AH11" s="2839">
        <f>SUM(AH8-AH9)</f>
        <v>8.7999999999999995E-2</v>
      </c>
      <c r="AI11" s="2912">
        <f t="shared" ref="AI11:GF11" si="29">SUM(AI8-AI9)</f>
        <v>1240.2975600000002</v>
      </c>
      <c r="AJ11" s="2912">
        <f t="shared" si="29"/>
        <v>1240.04756</v>
      </c>
      <c r="AK11" s="2912">
        <f t="shared" si="29"/>
        <v>0.25</v>
      </c>
      <c r="AL11" s="2839">
        <f>SUM(AM11:AN11)</f>
        <v>165.54311999999996</v>
      </c>
      <c r="AM11" s="2839">
        <f>SUM(AM8-AM9)</f>
        <v>165.89756999999997</v>
      </c>
      <c r="AN11" s="2839">
        <f>SUM(AN8-AN9)</f>
        <v>-0.35445000000000004</v>
      </c>
      <c r="AO11" s="2837">
        <f>SUM(AP11:AQ11)</f>
        <v>403.8330666666667</v>
      </c>
      <c r="AP11" s="2837">
        <f>SUM(AP8-AP9)</f>
        <v>403.68558333333334</v>
      </c>
      <c r="AQ11" s="2837">
        <f>SUM(AQ8-AQ9)</f>
        <v>0.14748333333333333</v>
      </c>
      <c r="AR11" s="2837">
        <f>SUM(AS11:AT11)</f>
        <v>404.42975999999999</v>
      </c>
      <c r="AS11" s="2837">
        <f>SUM(AS8-AS9)</f>
        <v>404.27575999999999</v>
      </c>
      <c r="AT11" s="2837">
        <f>SUM(AT8-AT9)</f>
        <v>0.154</v>
      </c>
      <c r="AU11" s="2836">
        <f>SUM(AV11:AW11)</f>
        <v>419.83800000000002</v>
      </c>
      <c r="AV11" s="2836">
        <f>SUM(AV8-AV9)</f>
        <v>419.73900000000003</v>
      </c>
      <c r="AW11" s="2837">
        <f>SUM(AW8-AW9)</f>
        <v>9.9000000000000005E-2</v>
      </c>
      <c r="AX11" s="2837">
        <f>SUM(AY11:AZ11)</f>
        <v>403.8330666666667</v>
      </c>
      <c r="AY11" s="2837">
        <f>SUM(AY8-AY9)</f>
        <v>403.68558333333334</v>
      </c>
      <c r="AZ11" s="2837">
        <f>SUM(AZ8-AZ9)</f>
        <v>0.14748333333333333</v>
      </c>
      <c r="BA11" s="2837">
        <f>SUM(BB11:BC11)</f>
        <v>397.38075999999995</v>
      </c>
      <c r="BB11" s="2837">
        <f>SUM(BB8-BB9)</f>
        <v>397.31375999999995</v>
      </c>
      <c r="BC11" s="2837">
        <f>SUM(BC8-BC9)</f>
        <v>6.7000000000000004E-2</v>
      </c>
      <c r="BD11" s="2836">
        <f>SUM(BE11:BF11)</f>
        <v>407.87900000000002</v>
      </c>
      <c r="BE11" s="2836">
        <f>SUM(BE8-BE9)</f>
        <v>407.779</v>
      </c>
      <c r="BF11" s="2836">
        <f>SUM(BF8-BF9)</f>
        <v>0.1</v>
      </c>
      <c r="BG11" s="2837">
        <f>SUM(BH11:BI11)</f>
        <v>403.8330666666667</v>
      </c>
      <c r="BH11" s="2837">
        <f>SUM(BH8-BH9)</f>
        <v>403.68558333333334</v>
      </c>
      <c r="BI11" s="2837">
        <f>SUM(BI8-BI9)</f>
        <v>0.14748333333333333</v>
      </c>
      <c r="BJ11" s="2837">
        <f>SUM(BK11:BL11)</f>
        <v>402.24276000000003</v>
      </c>
      <c r="BK11" s="2837">
        <f t="shared" ref="BK11:BL11" si="30">SUM(BK8-BK9)</f>
        <v>402.13776000000001</v>
      </c>
      <c r="BL11" s="2837">
        <f t="shared" si="30"/>
        <v>0.105</v>
      </c>
      <c r="BM11" s="2837">
        <f>SUM(BN11:BO11)</f>
        <v>403.55700000000002</v>
      </c>
      <c r="BN11" s="2836">
        <f>SUM(BN8-BN9)</f>
        <v>403.46500000000003</v>
      </c>
      <c r="BO11" s="2837">
        <f>SUM(BO8-BO9)</f>
        <v>9.1999999999999998E-2</v>
      </c>
      <c r="BP11" s="2839">
        <f>SUM(BQ11:BR11)</f>
        <v>1211.4992</v>
      </c>
      <c r="BQ11" s="2839">
        <f>SUM(BQ8-BQ9)</f>
        <v>1211.05675</v>
      </c>
      <c r="BR11" s="2839">
        <f>SUM(BR8-BR9)</f>
        <v>0.44245000000000001</v>
      </c>
      <c r="BS11" s="2839">
        <f>SUM(BT11:BU11)</f>
        <v>1204.0532799999999</v>
      </c>
      <c r="BT11" s="2839">
        <f>SUM(BT8-BT9)</f>
        <v>1203.7272799999998</v>
      </c>
      <c r="BU11" s="2839">
        <f>SUM(BU8-BU9)</f>
        <v>0.32600000000000001</v>
      </c>
      <c r="BV11" s="2912">
        <f t="shared" ref="BV11:BX11" si="31">SUM(BV8-BV9)</f>
        <v>1231.2740000000001</v>
      </c>
      <c r="BW11" s="2839">
        <f t="shared" si="31"/>
        <v>1230.9829999999999</v>
      </c>
      <c r="BX11" s="2839">
        <f t="shared" si="31"/>
        <v>0.29100000000000004</v>
      </c>
      <c r="BY11" s="2839">
        <f>SUM(BZ11:CA11)</f>
        <v>-7.4459200000001289</v>
      </c>
      <c r="BZ11" s="2839">
        <f>SUM(BZ8-BZ9)</f>
        <v>-7.3294700000001285</v>
      </c>
      <c r="CA11" s="2839">
        <f>SUM(CA8-CA9)</f>
        <v>-0.11645</v>
      </c>
      <c r="CB11" s="2839">
        <f>SUM(CC11:CD11)</f>
        <v>2422.9983999999999</v>
      </c>
      <c r="CC11" s="2839">
        <f>SUM(CC8-CC9)</f>
        <v>2422.1134999999999</v>
      </c>
      <c r="CD11" s="2839">
        <f>SUM(CD8-CD9)</f>
        <v>0.88490000000000002</v>
      </c>
      <c r="CE11" s="2839">
        <f>SUM(CF11:CG11)</f>
        <v>2581.0956000000001</v>
      </c>
      <c r="CF11" s="2839">
        <f>SUM(CF8-CF9)</f>
        <v>2580.6815999999999</v>
      </c>
      <c r="CG11" s="2839">
        <f>SUM(CG8-CG9)</f>
        <v>0.41400000000000003</v>
      </c>
      <c r="CH11" s="2912">
        <f t="shared" si="29"/>
        <v>2471.5715600000003</v>
      </c>
      <c r="CI11" s="2912">
        <f t="shared" si="29"/>
        <v>2471.0305599999997</v>
      </c>
      <c r="CJ11" s="2912">
        <f t="shared" si="29"/>
        <v>0.54100000000000004</v>
      </c>
      <c r="CK11" s="2839">
        <f>SUM(CL11:CM11)</f>
        <v>158.09719999999996</v>
      </c>
      <c r="CL11" s="2913">
        <f t="shared" si="3"/>
        <v>158.56809999999996</v>
      </c>
      <c r="CM11" s="2913">
        <f t="shared" si="3"/>
        <v>-0.47089999999999999</v>
      </c>
      <c r="CN11" s="2837">
        <f>SUM(CO11:CP11)</f>
        <v>403.8330666666667</v>
      </c>
      <c r="CO11" s="2837">
        <f>SUM(CO8-CO9)</f>
        <v>403.68558333333334</v>
      </c>
      <c r="CP11" s="2837">
        <f>SUM(CP8-CP9)</f>
        <v>0.14748333333333333</v>
      </c>
      <c r="CQ11" s="2837">
        <f>SUM(CR11:CS11)</f>
        <v>409.0138</v>
      </c>
      <c r="CR11" s="2837">
        <f t="shared" ref="CR11:CS11" si="32">SUM(CR8-CR9)</f>
        <v>408.9298</v>
      </c>
      <c r="CS11" s="2837">
        <f t="shared" si="32"/>
        <v>8.4000000000000005E-2</v>
      </c>
      <c r="CT11" s="2836">
        <f>SUM(CU11:CV11)</f>
        <v>410.37179999999995</v>
      </c>
      <c r="CU11" s="2836">
        <f>SUM(CU8-CU9)</f>
        <v>410.28179999999998</v>
      </c>
      <c r="CV11" s="2836">
        <f>SUM(CV8-CV9)</f>
        <v>0.09</v>
      </c>
      <c r="CW11" s="2837">
        <f>SUM(CX11:CY11)</f>
        <v>403.8330666666667</v>
      </c>
      <c r="CX11" s="2837">
        <f>SUM(CX8-CX9)</f>
        <v>403.68558333333334</v>
      </c>
      <c r="CY11" s="2837">
        <f>SUM(CY8-CY9)</f>
        <v>0.14748333333333333</v>
      </c>
      <c r="CZ11" s="2837">
        <f>SUM(DA11:DB11)</f>
        <v>358.96979999999996</v>
      </c>
      <c r="DA11" s="2837">
        <f t="shared" ref="DA11:DB11" si="33">SUM(DA8-DA9)</f>
        <v>358.89479999999998</v>
      </c>
      <c r="DB11" s="2837">
        <f t="shared" si="33"/>
        <v>7.4999999999999997E-2</v>
      </c>
      <c r="DC11" s="2836">
        <f>SUM(DD11:DE11)</f>
        <v>380.7928</v>
      </c>
      <c r="DD11" s="2836">
        <f>SUM(DD8-DD9)</f>
        <v>380.7638</v>
      </c>
      <c r="DE11" s="2836">
        <f>SUM(DE8-DE9)</f>
        <v>2.9000000000000001E-2</v>
      </c>
      <c r="DF11" s="2837">
        <f>SUM(DG11:DH11)</f>
        <v>403.8330666666667</v>
      </c>
      <c r="DG11" s="2837">
        <f>SUM(DG8-DG9)</f>
        <v>403.68558333333334</v>
      </c>
      <c r="DH11" s="2837">
        <f>SUM(DH8-DH9)</f>
        <v>0.14748333333333333</v>
      </c>
      <c r="DI11" s="2837">
        <f>SUM(DJ11:DK11)</f>
        <v>371.03499999999997</v>
      </c>
      <c r="DJ11" s="2837">
        <f t="shared" ref="DJ11:DK11" si="34">SUM(DJ8-DJ9)</f>
        <v>371.01</v>
      </c>
      <c r="DK11" s="2837">
        <f t="shared" si="34"/>
        <v>2.5000000000000001E-2</v>
      </c>
      <c r="DL11" s="2836">
        <f>SUM(DM11:DN11)</f>
        <v>457.6749999999999</v>
      </c>
      <c r="DM11" s="2836">
        <f>SUM(DM8-DM9)</f>
        <v>457.60899999999992</v>
      </c>
      <c r="DN11" s="2836">
        <f>SUM(DN8-DN9)</f>
        <v>6.6000000000000003E-2</v>
      </c>
      <c r="DO11" s="2839">
        <f>SUM(DP11:DQ11)</f>
        <v>1211.4992</v>
      </c>
      <c r="DP11" s="2839">
        <f>SUM(DP8-DP9)</f>
        <v>1211.05675</v>
      </c>
      <c r="DQ11" s="2839">
        <f>SUM(DQ8-DQ9)</f>
        <v>0.44245000000000001</v>
      </c>
      <c r="DR11" s="2839">
        <f>SUM(DS11:DT11)</f>
        <v>1139.0186000000001</v>
      </c>
      <c r="DS11" s="2839">
        <f>SUM(DS8-DS9)</f>
        <v>1138.8346000000001</v>
      </c>
      <c r="DT11" s="2839">
        <f>SUM(DT8-DT9)</f>
        <v>0.184</v>
      </c>
      <c r="DU11" s="2912">
        <f t="shared" ref="DU11:DW11" si="35">SUM(DU8-DU9)</f>
        <v>1248.8396000000002</v>
      </c>
      <c r="DV11" s="2839">
        <f t="shared" si="35"/>
        <v>1248.6545999999998</v>
      </c>
      <c r="DW11" s="2839">
        <f t="shared" si="35"/>
        <v>0.185</v>
      </c>
      <c r="DX11" s="2839">
        <f>SUM(DY11:DZ11)</f>
        <v>-72.480599999999825</v>
      </c>
      <c r="DY11" s="2913">
        <f t="shared" si="5"/>
        <v>-72.222149999999829</v>
      </c>
      <c r="DZ11" s="2913">
        <f t="shared" si="5"/>
        <v>-0.25845000000000001</v>
      </c>
      <c r="EA11" s="2839">
        <f>SUM(EB11:EC11)</f>
        <v>3634.4976000000006</v>
      </c>
      <c r="EB11" s="2839">
        <f>SUM(EB8-EB9)</f>
        <v>3633.1702500000006</v>
      </c>
      <c r="EC11" s="2839">
        <f>SUM(EC8-EC9)</f>
        <v>1.32735</v>
      </c>
      <c r="ED11" s="2839">
        <f>SUM(EE11:EF11)</f>
        <v>3720.1142</v>
      </c>
      <c r="EE11" s="2839">
        <f>SUM(EE8-EE9)</f>
        <v>3719.5162</v>
      </c>
      <c r="EF11" s="2839">
        <f>SUM(EF8-EF9)</f>
        <v>0.59800000000000009</v>
      </c>
      <c r="EG11" s="2839">
        <f>SUM(EG8-EG9)</f>
        <v>3720.4111600000006</v>
      </c>
      <c r="EH11" s="2839">
        <f t="shared" ref="EH11:EI11" si="36">SUM(EH8-EH9)</f>
        <v>3719.68516</v>
      </c>
      <c r="EI11" s="2839">
        <f t="shared" si="36"/>
        <v>0.72599999999999998</v>
      </c>
      <c r="EJ11" s="2839">
        <f>SUM(EK11:EL11)</f>
        <v>85.616599999999451</v>
      </c>
      <c r="EK11" s="2913">
        <f t="shared" si="7"/>
        <v>86.345949999999448</v>
      </c>
      <c r="EL11" s="2913">
        <f t="shared" si="7"/>
        <v>-0.72934999999999994</v>
      </c>
      <c r="EM11" s="2837">
        <f>SUM(EN11:EO11)</f>
        <v>403.8330666666667</v>
      </c>
      <c r="EN11" s="2837">
        <f>SUM(EN8-EN9)</f>
        <v>403.68558333333334</v>
      </c>
      <c r="EO11" s="2837">
        <f>SUM(EO8-EO9)</f>
        <v>0.14748333333333333</v>
      </c>
      <c r="EP11" s="2837">
        <f>SUM(EQ11:ER11)</f>
        <v>377.72199999999998</v>
      </c>
      <c r="EQ11" s="2837">
        <f t="shared" ref="EQ11:ER11" si="37">SUM(EQ8-EQ9)</f>
        <v>377.69499999999999</v>
      </c>
      <c r="ER11" s="2837">
        <f t="shared" si="37"/>
        <v>2.7E-2</v>
      </c>
      <c r="ES11" s="2836">
        <f>SUM(ET11:EU11)</f>
        <v>405.76</v>
      </c>
      <c r="ET11" s="2836">
        <f>SUM(ET8-ET9)</f>
        <v>405.70299999999997</v>
      </c>
      <c r="EU11" s="2836">
        <f>SUM(EU8-EU9)</f>
        <v>5.7000000000000002E-2</v>
      </c>
      <c r="EV11" s="2837">
        <f>SUM(EW11:EX11)</f>
        <v>403.8330666666667</v>
      </c>
      <c r="EW11" s="2837">
        <f>SUM(EW8-EW9)</f>
        <v>403.68558333333334</v>
      </c>
      <c r="EX11" s="2837">
        <f>SUM(EX8-EX9)</f>
        <v>0.14748333333333333</v>
      </c>
      <c r="EY11" s="2837">
        <f>SUM(EZ11:FA11)</f>
        <v>376.48900000000003</v>
      </c>
      <c r="EZ11" s="2837">
        <f t="shared" ref="EZ11:FA11" si="38">SUM(EZ8-EZ9)</f>
        <v>376.41800000000001</v>
      </c>
      <c r="FA11" s="2837">
        <f t="shared" si="38"/>
        <v>7.0999999999999994E-2</v>
      </c>
      <c r="FB11" s="2836">
        <f>SUM(FC11:FD11)</f>
        <v>378.01799999999997</v>
      </c>
      <c r="FC11" s="2836">
        <f>SUM(FC8-FC9)</f>
        <v>377.97999999999996</v>
      </c>
      <c r="FD11" s="2836">
        <f>SUM(FD8-FD9)</f>
        <v>3.7999999999999999E-2</v>
      </c>
      <c r="FE11" s="2837">
        <f>SUM(FF11:FG11)</f>
        <v>403.8330666666667</v>
      </c>
      <c r="FF11" s="2837">
        <f>SUM(FF8-FF9)</f>
        <v>403.68558333333334</v>
      </c>
      <c r="FG11" s="2837">
        <f>SUM(FG8-FG9)</f>
        <v>0.14748333333333333</v>
      </c>
      <c r="FH11" s="2837">
        <f>SUM(FI11:FJ11)</f>
        <v>389.56030000000004</v>
      </c>
      <c r="FI11" s="2837">
        <f t="shared" ref="FI11:FJ11" si="39">SUM(FI8-FI9)</f>
        <v>389.47430000000003</v>
      </c>
      <c r="FJ11" s="2837">
        <f t="shared" si="39"/>
        <v>8.5999999999999993E-2</v>
      </c>
      <c r="FK11" s="2836">
        <f>SUM(FL11:FM11)</f>
        <v>425.71899999999994</v>
      </c>
      <c r="FL11" s="2836">
        <f>SUM(FL8-FL9)</f>
        <v>425.60799999999995</v>
      </c>
      <c r="FM11" s="2836">
        <f>SUM(FM8-FM9)</f>
        <v>0.111</v>
      </c>
      <c r="FN11" s="2839">
        <f>SUM(FO11:FP11)</f>
        <v>1211.4992</v>
      </c>
      <c r="FO11" s="2839">
        <f>SUM(FO8-FO9)</f>
        <v>1211.05675</v>
      </c>
      <c r="FP11" s="2839">
        <f>SUM(FP8-FP9)</f>
        <v>0.44245000000000001</v>
      </c>
      <c r="FQ11" s="2839">
        <f>SUM(FR11:FS11)</f>
        <v>1143.7713000000001</v>
      </c>
      <c r="FR11" s="2839">
        <f>SUM(FR8-FR9)</f>
        <v>1143.5873000000001</v>
      </c>
      <c r="FS11" s="2839">
        <f>SUM(FS8-FS9)</f>
        <v>0.184</v>
      </c>
      <c r="FT11" s="2912">
        <f t="shared" ref="FT11:FV11" si="40">SUM(FT8-FT9)</f>
        <v>1209.4969999999998</v>
      </c>
      <c r="FU11" s="2912">
        <f t="shared" si="40"/>
        <v>1209.2909999999999</v>
      </c>
      <c r="FV11" s="2912">
        <f t="shared" si="40"/>
        <v>0.20600000000000002</v>
      </c>
      <c r="FW11" s="2839">
        <f>SUM(FX11:FY11)</f>
        <v>-67.727899999999821</v>
      </c>
      <c r="FX11" s="2913">
        <f t="shared" si="9"/>
        <v>-67.469449999999824</v>
      </c>
      <c r="FY11" s="2913">
        <f t="shared" si="9"/>
        <v>-0.25845000000000001</v>
      </c>
      <c r="FZ11" s="2839">
        <f>SUM(GA11:GB11)</f>
        <v>4845.9967999999999</v>
      </c>
      <c r="GA11" s="2839">
        <f>SUM(GA8-GA9)</f>
        <v>4844.2269999999999</v>
      </c>
      <c r="GB11" s="2839">
        <f>SUM(GB8-GB9)</f>
        <v>1.7698</v>
      </c>
      <c r="GC11" s="2839">
        <f>SUM(GD11:GE11)</f>
        <v>4863.8855000000003</v>
      </c>
      <c r="GD11" s="2912">
        <f t="shared" ref="GD11:GE11" si="41">SUM(GD8-GD9)</f>
        <v>4863.1035000000002</v>
      </c>
      <c r="GE11" s="2912">
        <f t="shared" si="41"/>
        <v>0.78200000000000003</v>
      </c>
      <c r="GF11" s="2912">
        <f t="shared" si="29"/>
        <v>4929.9081600000009</v>
      </c>
      <c r="GG11" s="2912">
        <f t="shared" ref="GG11:GH11" si="42">SUM(GG8-GG9)</f>
        <v>4928.9761600000002</v>
      </c>
      <c r="GH11" s="2912">
        <f t="shared" si="42"/>
        <v>0.93199999999999994</v>
      </c>
      <c r="GI11" s="2839">
        <f>SUM(GJ11:GK11)</f>
        <v>17.888700000000306</v>
      </c>
      <c r="GJ11" s="2913">
        <f t="shared" si="12"/>
        <v>18.876500000000306</v>
      </c>
      <c r="GK11" s="2913">
        <f t="shared" si="12"/>
        <v>-0.98780000000000001</v>
      </c>
      <c r="GL11" s="565"/>
      <c r="GM11" s="4188">
        <f t="shared" si="13"/>
        <v>4845.9967999999999</v>
      </c>
    </row>
    <row r="12" spans="1:195" ht="18.75" x14ac:dyDescent="0.3">
      <c r="A12" s="2914" t="s">
        <v>51</v>
      </c>
      <c r="B12" s="2845">
        <f>SUM(C12:D12)</f>
        <v>111.62975</v>
      </c>
      <c r="C12" s="2845">
        <f t="shared" ref="C12:AK12" si="43">SUM(C11-C14)</f>
        <v>111.62975</v>
      </c>
      <c r="D12" s="2845">
        <f t="shared" si="43"/>
        <v>0</v>
      </c>
      <c r="E12" s="2845">
        <f>SUM(F12:G12)</f>
        <v>141.90379999999999</v>
      </c>
      <c r="F12" s="2845">
        <f t="shared" si="43"/>
        <v>141.90379999999999</v>
      </c>
      <c r="G12" s="2845">
        <f t="shared" si="43"/>
        <v>0</v>
      </c>
      <c r="H12" s="2843">
        <f>SUM(I12:J12)</f>
        <v>110.33580000000001</v>
      </c>
      <c r="I12" s="2843">
        <f t="shared" ref="I12" si="44">SUM(I11-I14)</f>
        <v>110.33580000000001</v>
      </c>
      <c r="J12" s="2843">
        <f>SUM(J11-J14)</f>
        <v>0</v>
      </c>
      <c r="K12" s="2845">
        <f>SUM(L12:M12)</f>
        <v>111.62975</v>
      </c>
      <c r="L12" s="2845">
        <f t="shared" ref="L12:M12" si="45">SUM(L11-L14)</f>
        <v>111.62975</v>
      </c>
      <c r="M12" s="2845">
        <f t="shared" si="45"/>
        <v>0</v>
      </c>
      <c r="N12" s="2845">
        <f>SUM(O12:P12)</f>
        <v>155.48575999999997</v>
      </c>
      <c r="O12" s="2845">
        <f t="shared" ref="O12:P12" si="46">SUM(O11-O14)</f>
        <v>155.48575999999997</v>
      </c>
      <c r="P12" s="2845">
        <f t="shared" si="46"/>
        <v>0</v>
      </c>
      <c r="Q12" s="2843">
        <f>SUM(R12:S12)</f>
        <v>140.32675999999998</v>
      </c>
      <c r="R12" s="2843">
        <f t="shared" ref="R12" si="47">SUM(R11-R14)</f>
        <v>140.32675999999998</v>
      </c>
      <c r="S12" s="2843">
        <f>SUM(S11-S14)</f>
        <v>0</v>
      </c>
      <c r="T12" s="2845">
        <f>SUM(U12:V12)</f>
        <v>111.62975</v>
      </c>
      <c r="U12" s="2845">
        <f t="shared" ref="U12:V12" si="48">SUM(U11-U14)</f>
        <v>111.62975</v>
      </c>
      <c r="V12" s="2845">
        <f t="shared" si="48"/>
        <v>0</v>
      </c>
      <c r="W12" s="2845">
        <f>SUM(X12:Y12)</f>
        <v>172.76676000000003</v>
      </c>
      <c r="X12" s="2845">
        <f t="shared" ref="X12:Y12" si="49">SUM(X11-X14)</f>
        <v>172.76676000000003</v>
      </c>
      <c r="Y12" s="2845">
        <f t="shared" si="49"/>
        <v>0</v>
      </c>
      <c r="Z12" s="2843">
        <f>SUM(AA12:AB12)</f>
        <v>86.787000000000035</v>
      </c>
      <c r="AA12" s="2843">
        <f t="shared" ref="AA12" si="50">SUM(AA11-AA14)</f>
        <v>86.787000000000035</v>
      </c>
      <c r="AB12" s="2843">
        <f>SUM(AB11-AB14)</f>
        <v>0</v>
      </c>
      <c r="AC12" s="2846">
        <f>SUM(AD12:AE12)</f>
        <v>334.88924999999995</v>
      </c>
      <c r="AD12" s="2846">
        <f t="shared" ref="AD12:AH12" si="51">SUM(AD11-AD14)</f>
        <v>334.88924999999995</v>
      </c>
      <c r="AE12" s="2846">
        <f t="shared" si="51"/>
        <v>0</v>
      </c>
      <c r="AF12" s="2846">
        <f>SUM(AG12:AH12)</f>
        <v>470.15632000000005</v>
      </c>
      <c r="AG12" s="2846">
        <f t="shared" si="51"/>
        <v>470.15632000000005</v>
      </c>
      <c r="AH12" s="2846">
        <f t="shared" si="51"/>
        <v>0</v>
      </c>
      <c r="AI12" s="2916">
        <f t="shared" si="43"/>
        <v>337.44956000000025</v>
      </c>
      <c r="AJ12" s="2916">
        <f t="shared" si="43"/>
        <v>337.44956000000002</v>
      </c>
      <c r="AK12" s="2916">
        <f t="shared" si="43"/>
        <v>0</v>
      </c>
      <c r="AL12" s="2846">
        <f>SUM(AM12:AN12)</f>
        <v>135.26706999999993</v>
      </c>
      <c r="AM12" s="2846">
        <f t="shared" ref="AM12" si="52">SUM(AM11-AM14)</f>
        <v>135.26706999999993</v>
      </c>
      <c r="AN12" s="2846">
        <f>SUM(AN11-AN14)</f>
        <v>0</v>
      </c>
      <c r="AO12" s="2845">
        <f>SUM(AP12:AQ12)</f>
        <v>111.62975</v>
      </c>
      <c r="AP12" s="2845">
        <f t="shared" ref="AP12:AQ12" si="53">SUM(AP11-AP14)</f>
        <v>111.62975</v>
      </c>
      <c r="AQ12" s="2845">
        <f t="shared" si="53"/>
        <v>0</v>
      </c>
      <c r="AR12" s="2845">
        <f>SUM(AS12:AT12)</f>
        <v>94.147760000000005</v>
      </c>
      <c r="AS12" s="2845">
        <f t="shared" ref="AS12:AT12" si="54">SUM(AS11-AS14)</f>
        <v>94.147760000000005</v>
      </c>
      <c r="AT12" s="2845">
        <f t="shared" si="54"/>
        <v>0</v>
      </c>
      <c r="AU12" s="2843">
        <f>SUM(AV12:AW12)</f>
        <v>125.22800000000007</v>
      </c>
      <c r="AV12" s="2843">
        <f t="shared" ref="AV12" si="55">SUM(AV11-AV14)</f>
        <v>125.22800000000007</v>
      </c>
      <c r="AW12" s="2843">
        <f>SUM(AW11-AW14)</f>
        <v>0</v>
      </c>
      <c r="AX12" s="2845">
        <f>SUM(AY12:AZ12)</f>
        <v>111.62975</v>
      </c>
      <c r="AY12" s="2845">
        <f t="shared" ref="AY12:AZ12" si="56">SUM(AY11-AY14)</f>
        <v>111.62975</v>
      </c>
      <c r="AZ12" s="2845">
        <f t="shared" si="56"/>
        <v>0</v>
      </c>
      <c r="BA12" s="2845">
        <f>SUM(BB12:BC12)</f>
        <v>101.23140899999993</v>
      </c>
      <c r="BB12" s="2845">
        <f t="shared" ref="BB12:BC12" si="57">SUM(BB11-BB14)</f>
        <v>101.23140899999993</v>
      </c>
      <c r="BC12" s="2845">
        <f t="shared" si="57"/>
        <v>0</v>
      </c>
      <c r="BD12" s="2843">
        <f>SUM(BE12:BF12)</f>
        <v>123.803</v>
      </c>
      <c r="BE12" s="2843">
        <f t="shared" ref="BE12" si="58">SUM(BE11-BE14)</f>
        <v>123.803</v>
      </c>
      <c r="BF12" s="2843">
        <f>SUM(BF11-BF14)</f>
        <v>0</v>
      </c>
      <c r="BG12" s="2845">
        <f>SUM(BH12:BI12)</f>
        <v>111.62975</v>
      </c>
      <c r="BH12" s="2845">
        <f t="shared" ref="BH12:BI12" si="59">SUM(BH11-BH14)</f>
        <v>111.62975</v>
      </c>
      <c r="BI12" s="2845">
        <f t="shared" si="59"/>
        <v>0</v>
      </c>
      <c r="BJ12" s="2845">
        <f>SUM(BK12:BL12)</f>
        <v>105.14776000000001</v>
      </c>
      <c r="BK12" s="2845">
        <f t="shared" ref="BK12:BL12" si="60">SUM(BK11-BK14)</f>
        <v>105.14776000000001</v>
      </c>
      <c r="BL12" s="2845">
        <f t="shared" si="60"/>
        <v>0</v>
      </c>
      <c r="BM12" s="2843">
        <f>SUM(BN12:BO12)</f>
        <v>116.16899999999998</v>
      </c>
      <c r="BN12" s="2843">
        <f t="shared" ref="BN12" si="61">SUM(BN11-BN14)</f>
        <v>116.16899999999998</v>
      </c>
      <c r="BO12" s="2843">
        <f>SUM(BO11-BO14)</f>
        <v>0</v>
      </c>
      <c r="BP12" s="2846">
        <f>SUM(BQ12:BR12)</f>
        <v>334.88924999999995</v>
      </c>
      <c r="BQ12" s="2846">
        <f t="shared" ref="BQ12:BR12" si="62">SUM(BQ11-BQ14)</f>
        <v>334.88924999999995</v>
      </c>
      <c r="BR12" s="2846">
        <f t="shared" si="62"/>
        <v>0</v>
      </c>
      <c r="BS12" s="2846">
        <f>SUM(BT12:BU12)</f>
        <v>300.52692899999988</v>
      </c>
      <c r="BT12" s="2846">
        <f t="shared" ref="BT12:BX12" si="63">SUM(BT11-BT14)</f>
        <v>300.52692899999988</v>
      </c>
      <c r="BU12" s="2846">
        <f t="shared" si="63"/>
        <v>0</v>
      </c>
      <c r="BV12" s="2916">
        <f t="shared" si="63"/>
        <v>365.20000000000005</v>
      </c>
      <c r="BW12" s="2846">
        <f t="shared" si="63"/>
        <v>365.19999999999993</v>
      </c>
      <c r="BX12" s="2846">
        <f t="shared" si="63"/>
        <v>0</v>
      </c>
      <c r="BY12" s="2846">
        <f>SUM(BZ12:CA12)</f>
        <v>-34.362321000000172</v>
      </c>
      <c r="BZ12" s="2846">
        <f t="shared" ref="BZ12" si="64">SUM(BZ11-BZ14)</f>
        <v>-34.362321000000172</v>
      </c>
      <c r="CA12" s="2846">
        <f>SUM(CA11-CA14)</f>
        <v>0</v>
      </c>
      <c r="CB12" s="2846">
        <f>SUM(CC12:CD12)</f>
        <v>669.77849999999989</v>
      </c>
      <c r="CC12" s="2846">
        <f t="shared" ref="CC12:CD12" si="65">SUM(CC11-CC14)</f>
        <v>669.77849999999989</v>
      </c>
      <c r="CD12" s="2846">
        <f t="shared" si="65"/>
        <v>0</v>
      </c>
      <c r="CE12" s="2846">
        <f>SUM(CF12:CG12)</f>
        <v>770.68324899999993</v>
      </c>
      <c r="CF12" s="2846">
        <f t="shared" ref="CF12:CJ12" si="66">SUM(CF11-CF14)</f>
        <v>770.68324899999993</v>
      </c>
      <c r="CG12" s="2846">
        <f t="shared" si="66"/>
        <v>0</v>
      </c>
      <c r="CH12" s="2916">
        <f t="shared" si="66"/>
        <v>702.64956000000029</v>
      </c>
      <c r="CI12" s="2916">
        <f t="shared" si="66"/>
        <v>702.64955999999961</v>
      </c>
      <c r="CJ12" s="2916">
        <f t="shared" si="66"/>
        <v>0</v>
      </c>
      <c r="CK12" s="2846">
        <f>SUM(CL12:CM12)</f>
        <v>100.90474900000004</v>
      </c>
      <c r="CL12" s="2917">
        <f t="shared" si="3"/>
        <v>100.90474900000004</v>
      </c>
      <c r="CM12" s="2917">
        <f t="shared" si="3"/>
        <v>0</v>
      </c>
      <c r="CN12" s="2845">
        <f>SUM(CO12:CP12)</f>
        <v>111.62975</v>
      </c>
      <c r="CO12" s="2845">
        <f t="shared" ref="CO12:CP12" si="67">SUM(CO11-CO14)</f>
        <v>111.62975</v>
      </c>
      <c r="CP12" s="2845">
        <f t="shared" si="67"/>
        <v>0</v>
      </c>
      <c r="CQ12" s="2845">
        <f>SUM(CR12:CS12)</f>
        <v>137.87279999999998</v>
      </c>
      <c r="CR12" s="2845">
        <f t="shared" ref="CR12:CS12" si="68">SUM(CR11-CR14)</f>
        <v>137.87279999999998</v>
      </c>
      <c r="CS12" s="2845">
        <f t="shared" si="68"/>
        <v>0</v>
      </c>
      <c r="CT12" s="2843">
        <f>SUM(CU12:CV12)</f>
        <v>137.99839999999995</v>
      </c>
      <c r="CU12" s="2843">
        <f t="shared" ref="CU12" si="69">SUM(CU11-CU14)</f>
        <v>137.99839999999995</v>
      </c>
      <c r="CV12" s="2843">
        <f>SUM(CV11-CV14)</f>
        <v>0</v>
      </c>
      <c r="CW12" s="2845">
        <f>SUM(CX12:CY12)</f>
        <v>111.62975</v>
      </c>
      <c r="CX12" s="2845">
        <f t="shared" ref="CX12:DB12" si="70">SUM(CX11-CX14)</f>
        <v>111.62975</v>
      </c>
      <c r="CY12" s="2845">
        <f t="shared" si="70"/>
        <v>0</v>
      </c>
      <c r="CZ12" s="2845">
        <f>SUM(DA12:DB12)</f>
        <v>73.134799999999984</v>
      </c>
      <c r="DA12" s="2845">
        <f t="shared" si="70"/>
        <v>73.134799999999984</v>
      </c>
      <c r="DB12" s="2845">
        <f t="shared" si="70"/>
        <v>0</v>
      </c>
      <c r="DC12" s="2843">
        <f>SUM(DD12:DE12)</f>
        <v>98.5351</v>
      </c>
      <c r="DD12" s="2843">
        <f t="shared" ref="DD12" si="71">SUM(DD11-DD14)</f>
        <v>98.5351</v>
      </c>
      <c r="DE12" s="2843">
        <f>SUM(DE11-DE14)</f>
        <v>0</v>
      </c>
      <c r="DF12" s="2845">
        <f>SUM(DG12:DH12)</f>
        <v>111.62975</v>
      </c>
      <c r="DG12" s="2845">
        <f t="shared" ref="DG12:DK12" si="72">SUM(DG11-DG14)</f>
        <v>111.62975</v>
      </c>
      <c r="DH12" s="2845">
        <f t="shared" si="72"/>
        <v>0</v>
      </c>
      <c r="DI12" s="2845">
        <f>SUM(DJ12:DK12)</f>
        <v>75.67999999999995</v>
      </c>
      <c r="DJ12" s="2845">
        <f t="shared" si="72"/>
        <v>75.67999999999995</v>
      </c>
      <c r="DK12" s="2845">
        <f t="shared" si="72"/>
        <v>0</v>
      </c>
      <c r="DL12" s="2843">
        <f>SUM(DM12:DN12)</f>
        <v>148.18214499999993</v>
      </c>
      <c r="DM12" s="2843">
        <f t="shared" ref="DM12" si="73">SUM(DM11-DM14)</f>
        <v>148.18214499999993</v>
      </c>
      <c r="DN12" s="2843">
        <f>SUM(DN11-DN14)</f>
        <v>0</v>
      </c>
      <c r="DO12" s="2846">
        <f>SUM(DP12:DQ12)</f>
        <v>334.88924999999995</v>
      </c>
      <c r="DP12" s="2846">
        <f t="shared" ref="DP12:DQ12" si="74">SUM(DP11-DP14)</f>
        <v>334.88924999999995</v>
      </c>
      <c r="DQ12" s="2846">
        <f t="shared" si="74"/>
        <v>0</v>
      </c>
      <c r="DR12" s="2846">
        <f>SUM(DS12:DT12)</f>
        <v>286.6876000000002</v>
      </c>
      <c r="DS12" s="2846">
        <f t="shared" ref="DS12:DW12" si="75">SUM(DS11-DS14)</f>
        <v>286.6876000000002</v>
      </c>
      <c r="DT12" s="2846">
        <f t="shared" si="75"/>
        <v>0</v>
      </c>
      <c r="DU12" s="2916">
        <f t="shared" si="75"/>
        <v>384.71564500000022</v>
      </c>
      <c r="DV12" s="2846">
        <f t="shared" si="75"/>
        <v>384.71564499999977</v>
      </c>
      <c r="DW12" s="2846">
        <f t="shared" si="75"/>
        <v>0</v>
      </c>
      <c r="DX12" s="2846">
        <f>SUM(DY12:DZ12)</f>
        <v>-48.201649999999745</v>
      </c>
      <c r="DY12" s="2917">
        <f t="shared" si="5"/>
        <v>-48.201649999999745</v>
      </c>
      <c r="DZ12" s="2917">
        <f t="shared" si="5"/>
        <v>0</v>
      </c>
      <c r="EA12" s="2846">
        <f>SUM(EB12:EC12)</f>
        <v>1004.6677500000005</v>
      </c>
      <c r="EB12" s="2846">
        <f t="shared" ref="EB12:EC12" si="76">SUM(EB11-EB14)</f>
        <v>1004.6677500000005</v>
      </c>
      <c r="EC12" s="2846">
        <f t="shared" si="76"/>
        <v>0</v>
      </c>
      <c r="ED12" s="2846">
        <f>SUM(EE12:EF12)</f>
        <v>1057.3708489999999</v>
      </c>
      <c r="EE12" s="2846">
        <f t="shared" ref="EE12:EI12" si="77">SUM(EE11-EE14)</f>
        <v>1057.3708489999999</v>
      </c>
      <c r="EF12" s="2846">
        <f t="shared" si="77"/>
        <v>0</v>
      </c>
      <c r="EG12" s="2846">
        <f t="shared" si="77"/>
        <v>1087.3652050000005</v>
      </c>
      <c r="EH12" s="2846">
        <f t="shared" si="77"/>
        <v>1087.3652050000001</v>
      </c>
      <c r="EI12" s="2846">
        <f t="shared" si="77"/>
        <v>0</v>
      </c>
      <c r="EJ12" s="2846">
        <f>SUM(EK12:EL12)</f>
        <v>52.703098999999384</v>
      </c>
      <c r="EK12" s="2917">
        <f t="shared" si="7"/>
        <v>52.703098999999384</v>
      </c>
      <c r="EL12" s="2917">
        <f t="shared" si="7"/>
        <v>0</v>
      </c>
      <c r="EM12" s="2845">
        <f>SUM(EN12:EO12)</f>
        <v>111.62975</v>
      </c>
      <c r="EN12" s="2845">
        <f t="shared" ref="EN12:EO12" si="78">SUM(EN11-EN14)</f>
        <v>111.62975</v>
      </c>
      <c r="EO12" s="2845">
        <f t="shared" si="78"/>
        <v>0</v>
      </c>
      <c r="EP12" s="2845">
        <f>SUM(EQ12:ER12)</f>
        <v>75.359999999999957</v>
      </c>
      <c r="EQ12" s="2845">
        <f t="shared" ref="EQ12:ER12" si="79">SUM(EQ11-EQ14)</f>
        <v>75.359999999999957</v>
      </c>
      <c r="ER12" s="2845">
        <f t="shared" si="79"/>
        <v>0</v>
      </c>
      <c r="ES12" s="2843">
        <f>SUM(ET12:EU12)</f>
        <v>112.96740899999998</v>
      </c>
      <c r="ET12" s="2843">
        <f t="shared" ref="ET12" si="80">SUM(ET11-ET14)</f>
        <v>112.96740899999998</v>
      </c>
      <c r="EU12" s="2843">
        <f>SUM(EU11-EU14)</f>
        <v>0</v>
      </c>
      <c r="EV12" s="2845">
        <f>SUM(EW12:EX12)</f>
        <v>111.62975</v>
      </c>
      <c r="EW12" s="2845">
        <f t="shared" ref="EW12:FA12" si="81">SUM(EW11-EW14)</f>
        <v>111.62975</v>
      </c>
      <c r="EX12" s="2845">
        <f t="shared" si="81"/>
        <v>0</v>
      </c>
      <c r="EY12" s="2845">
        <f>SUM(EZ12:FA12)</f>
        <v>81.548999999999978</v>
      </c>
      <c r="EZ12" s="2845">
        <f t="shared" si="81"/>
        <v>81.548999999999978</v>
      </c>
      <c r="FA12" s="2845">
        <f t="shared" si="81"/>
        <v>0</v>
      </c>
      <c r="FB12" s="2843">
        <f>SUM(FC12:FD12)</f>
        <v>73.291999999999916</v>
      </c>
      <c r="FC12" s="2843">
        <f t="shared" ref="FC12" si="82">SUM(FC11-FC14)</f>
        <v>73.291999999999916</v>
      </c>
      <c r="FD12" s="2843">
        <f>SUM(FD11-FD14)</f>
        <v>0</v>
      </c>
      <c r="FE12" s="2845">
        <f>SUM(FF12:FG12)</f>
        <v>111.62975</v>
      </c>
      <c r="FF12" s="2845">
        <f t="shared" ref="FF12:FG12" si="83">SUM(FF11-FF14)</f>
        <v>111.62975</v>
      </c>
      <c r="FG12" s="2845">
        <f t="shared" si="83"/>
        <v>0</v>
      </c>
      <c r="FH12" s="2845">
        <f>SUM(FI12:FJ12)</f>
        <v>86.407300000000021</v>
      </c>
      <c r="FI12" s="2845">
        <f t="shared" ref="FI12:FJ12" si="84">SUM(FI11-FI14)</f>
        <v>86.407300000000021</v>
      </c>
      <c r="FJ12" s="2845">
        <f t="shared" si="84"/>
        <v>0</v>
      </c>
      <c r="FK12" s="2843">
        <f>SUM(FL12:FM12)</f>
        <v>120.91499999999991</v>
      </c>
      <c r="FL12" s="2843">
        <f t="shared" ref="FL12" si="85">SUM(FL11-FL14)</f>
        <v>120.91499999999991</v>
      </c>
      <c r="FM12" s="2843">
        <f>SUM(FM11-FM14)</f>
        <v>0</v>
      </c>
      <c r="FN12" s="2846">
        <f>SUM(FO12:FP12)</f>
        <v>334.88924999999995</v>
      </c>
      <c r="FO12" s="2846">
        <f t="shared" ref="FO12:FP12" si="86">SUM(FO11-FO14)</f>
        <v>334.88924999999995</v>
      </c>
      <c r="FP12" s="2846">
        <f t="shared" si="86"/>
        <v>0</v>
      </c>
      <c r="FQ12" s="2846">
        <f>SUM(FR12:FS12)</f>
        <v>243.31630000000007</v>
      </c>
      <c r="FR12" s="2846">
        <f t="shared" ref="FR12:FV12" si="87">SUM(FR11-FR14)</f>
        <v>243.31630000000007</v>
      </c>
      <c r="FS12" s="2846">
        <f t="shared" si="87"/>
        <v>0</v>
      </c>
      <c r="FT12" s="2916">
        <f t="shared" si="87"/>
        <v>307.17440899999986</v>
      </c>
      <c r="FU12" s="2916">
        <f t="shared" si="87"/>
        <v>307.17440899999997</v>
      </c>
      <c r="FV12" s="2916">
        <f t="shared" si="87"/>
        <v>0</v>
      </c>
      <c r="FW12" s="2846">
        <f>SUM(FX12:FY12)</f>
        <v>-91.572949999999878</v>
      </c>
      <c r="FX12" s="2917">
        <f t="shared" si="9"/>
        <v>-91.572949999999878</v>
      </c>
      <c r="FY12" s="2917">
        <f t="shared" si="9"/>
        <v>0</v>
      </c>
      <c r="FZ12" s="2846">
        <f>SUM(GA12:GB12)</f>
        <v>1339.5569999999998</v>
      </c>
      <c r="GA12" s="2846">
        <f t="shared" ref="GA12:GB12" si="88">SUM(GA11-GA14)</f>
        <v>1339.5569999999998</v>
      </c>
      <c r="GB12" s="2846">
        <f t="shared" si="88"/>
        <v>0</v>
      </c>
      <c r="GC12" s="2846">
        <f>SUM(GD12:GE12)</f>
        <v>1300.6871490000003</v>
      </c>
      <c r="GD12" s="2916">
        <f t="shared" ref="GD12:GH12" si="89">SUM(GD11-GD14)</f>
        <v>1300.6871490000003</v>
      </c>
      <c r="GE12" s="2916">
        <f t="shared" si="89"/>
        <v>0</v>
      </c>
      <c r="GF12" s="2916">
        <f t="shared" si="89"/>
        <v>1394.5396140000016</v>
      </c>
      <c r="GG12" s="2916">
        <f t="shared" si="89"/>
        <v>1394.5396140000007</v>
      </c>
      <c r="GH12" s="2916">
        <f t="shared" si="89"/>
        <v>0</v>
      </c>
      <c r="GI12" s="2846">
        <f>SUM(GJ12:GK12)</f>
        <v>-38.869850999999471</v>
      </c>
      <c r="GJ12" s="2917">
        <f t="shared" si="12"/>
        <v>-38.869850999999471</v>
      </c>
      <c r="GK12" s="2917">
        <f t="shared" si="12"/>
        <v>0</v>
      </c>
      <c r="GL12" s="565"/>
      <c r="GM12" s="4188">
        <f t="shared" si="13"/>
        <v>1339.5570000000005</v>
      </c>
    </row>
    <row r="13" spans="1:195" ht="18.75" x14ac:dyDescent="0.3">
      <c r="A13" s="2882" t="s">
        <v>111</v>
      </c>
      <c r="B13" s="2849">
        <f t="shared" ref="B13:AK13" si="90">SUM(B12/B11)</f>
        <v>0.27642548175021492</v>
      </c>
      <c r="C13" s="2849">
        <f t="shared" si="90"/>
        <v>0.27652647161249877</v>
      </c>
      <c r="D13" s="2849">
        <f t="shared" si="90"/>
        <v>0</v>
      </c>
      <c r="E13" s="2849">
        <f t="shared" si="90"/>
        <v>0.31828927795352874</v>
      </c>
      <c r="F13" s="2849">
        <f t="shared" si="90"/>
        <v>0.31832497799376736</v>
      </c>
      <c r="G13" s="2849">
        <f t="shared" si="90"/>
        <v>0</v>
      </c>
      <c r="H13" s="2849">
        <f t="shared" si="90"/>
        <v>0.26600605419458861</v>
      </c>
      <c r="I13" s="2849">
        <f t="shared" si="90"/>
        <v>0.26606250126597908</v>
      </c>
      <c r="J13" s="2849">
        <f t="shared" si="90"/>
        <v>0</v>
      </c>
      <c r="K13" s="2849">
        <f t="shared" si="90"/>
        <v>0.27642548175021492</v>
      </c>
      <c r="L13" s="2849">
        <f t="shared" si="90"/>
        <v>0.27652647161249877</v>
      </c>
      <c r="M13" s="2849">
        <f t="shared" si="90"/>
        <v>0</v>
      </c>
      <c r="N13" s="2849">
        <f t="shared" si="90"/>
        <v>0.33588421332687679</v>
      </c>
      <c r="O13" s="2849">
        <f t="shared" si="90"/>
        <v>0.33589582309531352</v>
      </c>
      <c r="P13" s="2849">
        <f t="shared" si="90"/>
        <v>0</v>
      </c>
      <c r="Q13" s="2849">
        <f t="shared" si="90"/>
        <v>0.31372463976389869</v>
      </c>
      <c r="R13" s="2849">
        <f t="shared" si="90"/>
        <v>0.31378216391752289</v>
      </c>
      <c r="S13" s="2849">
        <f t="shared" si="90"/>
        <v>0</v>
      </c>
      <c r="T13" s="2849">
        <f t="shared" si="90"/>
        <v>0.27642548175021492</v>
      </c>
      <c r="U13" s="2849">
        <f t="shared" si="90"/>
        <v>0.27652647161249877</v>
      </c>
      <c r="V13" s="2849">
        <f t="shared" si="90"/>
        <v>0</v>
      </c>
      <c r="W13" s="2849">
        <f t="shared" si="90"/>
        <v>0.36892738240333939</v>
      </c>
      <c r="X13" s="2849">
        <f t="shared" si="90"/>
        <v>0.36894471504172061</v>
      </c>
      <c r="Y13" s="2849">
        <f t="shared" si="90"/>
        <v>0</v>
      </c>
      <c r="Z13" s="2849">
        <f t="shared" si="90"/>
        <v>0.22946290234732358</v>
      </c>
      <c r="AA13" s="2849">
        <f t="shared" si="90"/>
        <v>0.22951144820145034</v>
      </c>
      <c r="AB13" s="2849">
        <f t="shared" si="90"/>
        <v>0</v>
      </c>
      <c r="AC13" s="2850">
        <f t="shared" si="90"/>
        <v>0.27642548175021492</v>
      </c>
      <c r="AD13" s="2850">
        <f t="shared" si="90"/>
        <v>0.27652647161249871</v>
      </c>
      <c r="AE13" s="2850">
        <f t="shared" si="90"/>
        <v>0</v>
      </c>
      <c r="AF13" s="2850">
        <f t="shared" si="90"/>
        <v>0.34142474285031416</v>
      </c>
      <c r="AG13" s="2850">
        <f t="shared" si="90"/>
        <v>0.34144656302033322</v>
      </c>
      <c r="AH13" s="2850">
        <f t="shared" si="90"/>
        <v>0</v>
      </c>
      <c r="AI13" s="2918">
        <f t="shared" si="90"/>
        <v>0.2720714535631274</v>
      </c>
      <c r="AJ13" s="2918">
        <f t="shared" si="90"/>
        <v>0.27212630457496328</v>
      </c>
      <c r="AK13" s="2918">
        <f t="shared" si="90"/>
        <v>0</v>
      </c>
      <c r="AL13" s="2919">
        <f t="shared" ref="AL13:AN13" si="91">SUM(AF13-AC13)</f>
        <v>6.4999261100099237E-2</v>
      </c>
      <c r="AM13" s="2919">
        <f t="shared" si="91"/>
        <v>6.4920091407834501E-2</v>
      </c>
      <c r="AN13" s="2919">
        <f t="shared" si="91"/>
        <v>0</v>
      </c>
      <c r="AO13" s="2849">
        <f t="shared" ref="AO13:BX13" si="92">SUM(AO12/AO11)</f>
        <v>0.27642548175021492</v>
      </c>
      <c r="AP13" s="2849">
        <f t="shared" si="92"/>
        <v>0.27652647161249877</v>
      </c>
      <c r="AQ13" s="2849">
        <f t="shared" si="92"/>
        <v>0</v>
      </c>
      <c r="AR13" s="2849">
        <f t="shared" si="92"/>
        <v>0.23279137519454554</v>
      </c>
      <c r="AS13" s="2849">
        <f t="shared" si="92"/>
        <v>0.23288005197244577</v>
      </c>
      <c r="AT13" s="2849">
        <f t="shared" si="92"/>
        <v>0</v>
      </c>
      <c r="AU13" s="2849">
        <f t="shared" si="92"/>
        <v>0.29827695444433344</v>
      </c>
      <c r="AV13" s="2849">
        <f t="shared" si="92"/>
        <v>0.29834730630224987</v>
      </c>
      <c r="AW13" s="2849">
        <f t="shared" si="92"/>
        <v>0</v>
      </c>
      <c r="AX13" s="2849">
        <f t="shared" si="92"/>
        <v>0.27642548175021492</v>
      </c>
      <c r="AY13" s="2849">
        <f t="shared" si="92"/>
        <v>0.27652647161249877</v>
      </c>
      <c r="AZ13" s="2849">
        <f t="shared" si="92"/>
        <v>0</v>
      </c>
      <c r="BA13" s="2849">
        <f t="shared" si="92"/>
        <v>0.25474662890070454</v>
      </c>
      <c r="BB13" s="2849">
        <f t="shared" si="92"/>
        <v>0.25478958745350261</v>
      </c>
      <c r="BC13" s="2849">
        <f t="shared" si="92"/>
        <v>0</v>
      </c>
      <c r="BD13" s="2849">
        <f t="shared" si="92"/>
        <v>0.30352874259277873</v>
      </c>
      <c r="BE13" s="2849">
        <f t="shared" si="92"/>
        <v>0.30360317721118546</v>
      </c>
      <c r="BF13" s="2849">
        <f t="shared" si="92"/>
        <v>0</v>
      </c>
      <c r="BG13" s="2849">
        <f t="shared" si="92"/>
        <v>0.27642548175021492</v>
      </c>
      <c r="BH13" s="2849">
        <f t="shared" si="92"/>
        <v>0.27652647161249877</v>
      </c>
      <c r="BI13" s="2849">
        <f t="shared" si="92"/>
        <v>0</v>
      </c>
      <c r="BJ13" s="2849">
        <f t="shared" si="92"/>
        <v>0.26140373539600814</v>
      </c>
      <c r="BK13" s="2849">
        <f t="shared" si="92"/>
        <v>0.26147198910144626</v>
      </c>
      <c r="BL13" s="2849">
        <f t="shared" si="92"/>
        <v>0</v>
      </c>
      <c r="BM13" s="2849">
        <f t="shared" si="92"/>
        <v>0.28786268110824487</v>
      </c>
      <c r="BN13" s="2849">
        <f t="shared" si="92"/>
        <v>0.28792832092003018</v>
      </c>
      <c r="BO13" s="2849">
        <f t="shared" si="92"/>
        <v>0</v>
      </c>
      <c r="BP13" s="2850">
        <f t="shared" si="92"/>
        <v>0.27642548175021492</v>
      </c>
      <c r="BQ13" s="2850">
        <f t="shared" si="92"/>
        <v>0.27652647161249871</v>
      </c>
      <c r="BR13" s="2850">
        <f t="shared" si="92"/>
        <v>0</v>
      </c>
      <c r="BS13" s="2850">
        <f t="shared" si="92"/>
        <v>0.24959603864041624</v>
      </c>
      <c r="BT13" s="2850">
        <f t="shared" si="92"/>
        <v>0.24966363560357285</v>
      </c>
      <c r="BU13" s="2850">
        <f t="shared" si="92"/>
        <v>0</v>
      </c>
      <c r="BV13" s="2918">
        <f t="shared" si="92"/>
        <v>0.29660335554880557</v>
      </c>
      <c r="BW13" s="2850">
        <f t="shared" si="92"/>
        <v>0.29667347152641421</v>
      </c>
      <c r="BX13" s="2850">
        <f t="shared" si="92"/>
        <v>0</v>
      </c>
      <c r="BY13" s="2919">
        <f t="shared" ref="BY13:CA13" si="93">SUM(BS13-BP13)</f>
        <v>-2.6829443109798679E-2</v>
      </c>
      <c r="BZ13" s="2919">
        <f t="shared" si="93"/>
        <v>-2.6862836008925861E-2</v>
      </c>
      <c r="CA13" s="2919">
        <f t="shared" si="93"/>
        <v>0</v>
      </c>
      <c r="CB13" s="2850">
        <f t="shared" ref="CB13:CJ13" si="94">SUM(CB12/CB11)</f>
        <v>0.27642548175021492</v>
      </c>
      <c r="CC13" s="2850">
        <f t="shared" si="94"/>
        <v>0.27652647161249871</v>
      </c>
      <c r="CD13" s="2850">
        <f t="shared" si="94"/>
        <v>0</v>
      </c>
      <c r="CE13" s="2850">
        <f t="shared" si="94"/>
        <v>0.29858764200752574</v>
      </c>
      <c r="CF13" s="2850">
        <f t="shared" si="94"/>
        <v>0.29863554225364336</v>
      </c>
      <c r="CG13" s="2850">
        <f t="shared" si="94"/>
        <v>0</v>
      </c>
      <c r="CH13" s="2918">
        <f t="shared" si="94"/>
        <v>0.28429262230222468</v>
      </c>
      <c r="CI13" s="2918">
        <f t="shared" si="94"/>
        <v>0.28435486447403535</v>
      </c>
      <c r="CJ13" s="2918">
        <f t="shared" si="94"/>
        <v>0</v>
      </c>
      <c r="CK13" s="2919">
        <f t="shared" ref="CK13" si="95">SUM(CE13-CB13)</f>
        <v>2.2162160257310826E-2</v>
      </c>
      <c r="CL13" s="2919">
        <f t="shared" si="3"/>
        <v>2.2109070641144646E-2</v>
      </c>
      <c r="CM13" s="2919">
        <f t="shared" si="3"/>
        <v>0</v>
      </c>
      <c r="CN13" s="2849">
        <f t="shared" ref="CN13:DW13" si="96">SUM(CN12/CN11)</f>
        <v>0.27642548175021492</v>
      </c>
      <c r="CO13" s="2849">
        <f t="shared" si="96"/>
        <v>0.27652647161249877</v>
      </c>
      <c r="CP13" s="2849">
        <f t="shared" si="96"/>
        <v>0</v>
      </c>
      <c r="CQ13" s="2849">
        <f t="shared" si="96"/>
        <v>0.33708593695371641</v>
      </c>
      <c r="CR13" s="2849">
        <f t="shared" si="96"/>
        <v>0.33715517920190696</v>
      </c>
      <c r="CS13" s="2849">
        <f t="shared" si="96"/>
        <v>0</v>
      </c>
      <c r="CT13" s="2849">
        <f t="shared" si="96"/>
        <v>0.33627651802584868</v>
      </c>
      <c r="CU13" s="2849">
        <f t="shared" si="96"/>
        <v>0.3363502841217913</v>
      </c>
      <c r="CV13" s="2849">
        <f t="shared" si="96"/>
        <v>0</v>
      </c>
      <c r="CW13" s="2849">
        <f t="shared" si="96"/>
        <v>0.27642548175021492</v>
      </c>
      <c r="CX13" s="2849">
        <f t="shared" si="96"/>
        <v>0.27652647161249877</v>
      </c>
      <c r="CY13" s="2849">
        <f t="shared" si="96"/>
        <v>0</v>
      </c>
      <c r="CZ13" s="2849">
        <f t="shared" si="96"/>
        <v>0.2037352445804633</v>
      </c>
      <c r="DA13" s="2849">
        <f t="shared" si="96"/>
        <v>0.20377782013002135</v>
      </c>
      <c r="DB13" s="2849">
        <f t="shared" si="96"/>
        <v>0</v>
      </c>
      <c r="DC13" s="2849">
        <f t="shared" si="96"/>
        <v>0.25876303333466388</v>
      </c>
      <c r="DD13" s="2849">
        <f t="shared" si="96"/>
        <v>0.2587827414265747</v>
      </c>
      <c r="DE13" s="2849">
        <f t="shared" si="96"/>
        <v>0</v>
      </c>
      <c r="DF13" s="2849">
        <f t="shared" si="96"/>
        <v>0.27642548175021492</v>
      </c>
      <c r="DG13" s="2849">
        <f t="shared" si="96"/>
        <v>0.27652647161249877</v>
      </c>
      <c r="DH13" s="2849">
        <f t="shared" si="96"/>
        <v>0</v>
      </c>
      <c r="DI13" s="2849">
        <f t="shared" si="96"/>
        <v>0.2039699758782863</v>
      </c>
      <c r="DJ13" s="2849">
        <f t="shared" si="96"/>
        <v>0.20398372011536064</v>
      </c>
      <c r="DK13" s="2849">
        <f t="shared" si="96"/>
        <v>0</v>
      </c>
      <c r="DL13" s="2849">
        <f t="shared" si="96"/>
        <v>0.32377155186540663</v>
      </c>
      <c r="DM13" s="2849">
        <f t="shared" si="96"/>
        <v>0.32381824876696036</v>
      </c>
      <c r="DN13" s="2849">
        <f t="shared" si="96"/>
        <v>0</v>
      </c>
      <c r="DO13" s="2850">
        <f t="shared" si="96"/>
        <v>0.27642548175021492</v>
      </c>
      <c r="DP13" s="2850">
        <f t="shared" si="96"/>
        <v>0.27652647161249871</v>
      </c>
      <c r="DQ13" s="2850">
        <f t="shared" si="96"/>
        <v>0</v>
      </c>
      <c r="DR13" s="2850">
        <f t="shared" si="96"/>
        <v>0.25169703111081781</v>
      </c>
      <c r="DS13" s="2850">
        <f t="shared" si="96"/>
        <v>0.25173769746721797</v>
      </c>
      <c r="DT13" s="2850">
        <f t="shared" si="96"/>
        <v>0</v>
      </c>
      <c r="DU13" s="2918">
        <f t="shared" si="96"/>
        <v>0.30805849286009201</v>
      </c>
      <c r="DV13" s="2850">
        <f t="shared" si="96"/>
        <v>0.30810413464219794</v>
      </c>
      <c r="DW13" s="2850">
        <f t="shared" si="96"/>
        <v>0</v>
      </c>
      <c r="DX13" s="2919">
        <f t="shared" ref="DX13" si="97">SUM(DR13-DO13)</f>
        <v>-2.4728450639397104E-2</v>
      </c>
      <c r="DY13" s="2919">
        <f t="shared" si="5"/>
        <v>-2.4788774145280745E-2</v>
      </c>
      <c r="DZ13" s="2919">
        <f t="shared" si="5"/>
        <v>0</v>
      </c>
      <c r="EA13" s="2850">
        <f t="shared" ref="EA13:EI13" si="98">SUM(EA12/EA11)</f>
        <v>0.27642548175021503</v>
      </c>
      <c r="EB13" s="2850">
        <f t="shared" si="98"/>
        <v>0.27652647161249888</v>
      </c>
      <c r="EC13" s="2850">
        <f t="shared" si="98"/>
        <v>0</v>
      </c>
      <c r="ED13" s="2850">
        <f t="shared" si="98"/>
        <v>0.28423074995923509</v>
      </c>
      <c r="EE13" s="2850">
        <f t="shared" si="98"/>
        <v>0.28427644675939301</v>
      </c>
      <c r="EF13" s="2850">
        <f t="shared" si="98"/>
        <v>0</v>
      </c>
      <c r="EG13" s="2850">
        <f t="shared" si="98"/>
        <v>0.29227017075177258</v>
      </c>
      <c r="EH13" s="2850">
        <f t="shared" si="98"/>
        <v>0.2923272154033596</v>
      </c>
      <c r="EI13" s="2850">
        <f t="shared" si="98"/>
        <v>0</v>
      </c>
      <c r="EJ13" s="2919">
        <f t="shared" ref="EJ13" si="99">SUM(ED13-EA13)</f>
        <v>7.8052682090200554E-3</v>
      </c>
      <c r="EK13" s="2919">
        <f t="shared" si="7"/>
        <v>7.749975146894128E-3</v>
      </c>
      <c r="EL13" s="2919">
        <f t="shared" si="7"/>
        <v>0</v>
      </c>
      <c r="EM13" s="2849">
        <f t="shared" ref="EM13:FV13" si="100">SUM(EM12/EM11)</f>
        <v>0.27642548175021492</v>
      </c>
      <c r="EN13" s="2849">
        <f t="shared" si="100"/>
        <v>0.27652647161249877</v>
      </c>
      <c r="EO13" s="2849">
        <f t="shared" si="100"/>
        <v>0</v>
      </c>
      <c r="EP13" s="2849">
        <f t="shared" si="100"/>
        <v>0.19951181027316375</v>
      </c>
      <c r="EQ13" s="2849">
        <f t="shared" si="100"/>
        <v>0.19952607262473679</v>
      </c>
      <c r="ER13" s="2849">
        <f t="shared" si="100"/>
        <v>0</v>
      </c>
      <c r="ES13" s="2849">
        <f t="shared" si="100"/>
        <v>0.27840942675473179</v>
      </c>
      <c r="ET13" s="2849">
        <f t="shared" si="100"/>
        <v>0.2784485424066373</v>
      </c>
      <c r="EU13" s="2849">
        <f t="shared" si="100"/>
        <v>0</v>
      </c>
      <c r="EV13" s="2849">
        <f t="shared" si="100"/>
        <v>0.27642548175021492</v>
      </c>
      <c r="EW13" s="2849">
        <f t="shared" si="100"/>
        <v>0.27652647161249877</v>
      </c>
      <c r="EX13" s="2849">
        <f t="shared" si="100"/>
        <v>0</v>
      </c>
      <c r="EY13" s="2849">
        <f t="shared" si="100"/>
        <v>0.2166039379636589</v>
      </c>
      <c r="EZ13" s="2849">
        <f t="shared" si="100"/>
        <v>0.21664479381963661</v>
      </c>
      <c r="FA13" s="2849">
        <f t="shared" si="100"/>
        <v>0</v>
      </c>
      <c r="FB13" s="2849">
        <f t="shared" si="100"/>
        <v>0.19388494727764266</v>
      </c>
      <c r="FC13" s="2849">
        <f t="shared" si="100"/>
        <v>0.19390443938832722</v>
      </c>
      <c r="FD13" s="2849">
        <f t="shared" si="100"/>
        <v>0</v>
      </c>
      <c r="FE13" s="2849">
        <f t="shared" si="100"/>
        <v>0.27642548175021492</v>
      </c>
      <c r="FF13" s="2849">
        <f t="shared" si="100"/>
        <v>0.27652647161249877</v>
      </c>
      <c r="FG13" s="2849">
        <f t="shared" si="100"/>
        <v>0</v>
      </c>
      <c r="FH13" s="2849">
        <f t="shared" si="100"/>
        <v>0.221807252946463</v>
      </c>
      <c r="FI13" s="2849">
        <f t="shared" si="100"/>
        <v>0.22185623030839266</v>
      </c>
      <c r="FJ13" s="2849">
        <f t="shared" si="100"/>
        <v>0</v>
      </c>
      <c r="FK13" s="2849">
        <f t="shared" ref="FK13:FM13" si="101">SUM(FK12/FK11)</f>
        <v>0.28402537824245555</v>
      </c>
      <c r="FL13" s="2849">
        <f t="shared" si="101"/>
        <v>0.28409945301780021</v>
      </c>
      <c r="FM13" s="2849">
        <f t="shared" si="101"/>
        <v>0</v>
      </c>
      <c r="FN13" s="2850">
        <f t="shared" si="100"/>
        <v>0.27642548175021492</v>
      </c>
      <c r="FO13" s="2850">
        <f t="shared" si="100"/>
        <v>0.27652647161249871</v>
      </c>
      <c r="FP13" s="2850">
        <f t="shared" si="100"/>
        <v>0</v>
      </c>
      <c r="FQ13" s="2850">
        <f t="shared" si="100"/>
        <v>0.21273160115138406</v>
      </c>
      <c r="FR13" s="2850">
        <f t="shared" si="100"/>
        <v>0.2127658290713792</v>
      </c>
      <c r="FS13" s="2850">
        <f t="shared" si="100"/>
        <v>0</v>
      </c>
      <c r="FT13" s="2918">
        <f t="shared" si="100"/>
        <v>0.25396872336186027</v>
      </c>
      <c r="FU13" s="2918">
        <f t="shared" si="100"/>
        <v>0.25401198636225686</v>
      </c>
      <c r="FV13" s="2918">
        <f t="shared" si="100"/>
        <v>0</v>
      </c>
      <c r="FW13" s="2919">
        <f t="shared" ref="FW13" si="102">SUM(FQ13-FN13)</f>
        <v>-6.3693880598830854E-2</v>
      </c>
      <c r="FX13" s="2919">
        <f t="shared" si="9"/>
        <v>-6.3760642541119517E-2</v>
      </c>
      <c r="FY13" s="2919">
        <f t="shared" si="9"/>
        <v>0</v>
      </c>
      <c r="FZ13" s="2850">
        <f t="shared" ref="FZ13:GH13" si="103">SUM(FZ12/FZ11)</f>
        <v>0.27642548175021492</v>
      </c>
      <c r="GA13" s="2850">
        <f t="shared" si="103"/>
        <v>0.27652647161249871</v>
      </c>
      <c r="GB13" s="2850">
        <f t="shared" si="103"/>
        <v>0</v>
      </c>
      <c r="GC13" s="2850">
        <f t="shared" si="103"/>
        <v>0.26741730433415839</v>
      </c>
      <c r="GD13" s="2918">
        <f t="shared" si="103"/>
        <v>0.2674603057491991</v>
      </c>
      <c r="GE13" s="2918">
        <f t="shared" si="103"/>
        <v>0</v>
      </c>
      <c r="GF13" s="2918">
        <f t="shared" si="103"/>
        <v>0.28287334545396509</v>
      </c>
      <c r="GG13" s="2918">
        <f t="shared" si="103"/>
        <v>0.28292683282120007</v>
      </c>
      <c r="GH13" s="2918">
        <f t="shared" si="103"/>
        <v>0</v>
      </c>
      <c r="GI13" s="2919">
        <f t="shared" ref="GI13" si="104">SUM(GC13-FZ13)</f>
        <v>-9.0081774160565287E-3</v>
      </c>
      <c r="GJ13" s="2919">
        <f t="shared" si="12"/>
        <v>-9.0661658632996134E-3</v>
      </c>
      <c r="GK13" s="2919">
        <f t="shared" si="12"/>
        <v>0</v>
      </c>
      <c r="GL13" s="565"/>
      <c r="GM13" s="4188">
        <f t="shared" si="13"/>
        <v>3.3171057810025792</v>
      </c>
    </row>
    <row r="14" spans="1:195" ht="18.75" x14ac:dyDescent="0.3">
      <c r="A14" s="2910" t="s">
        <v>3727</v>
      </c>
      <c r="B14" s="2837">
        <f>SUM(C14:D14)</f>
        <v>292.20331666666669</v>
      </c>
      <c r="C14" s="2837">
        <f>SUM(C15:C17)+C22</f>
        <v>292.05583333333334</v>
      </c>
      <c r="D14" s="2837">
        <f>SUM(D15:D17)+D22</f>
        <v>0.14748333333333333</v>
      </c>
      <c r="E14" s="2837">
        <f>SUM(F14:G14)</f>
        <v>303.92900000000003</v>
      </c>
      <c r="F14" s="2837">
        <f>SUM(F15:F17)+F22</f>
        <v>303.87900000000002</v>
      </c>
      <c r="G14" s="2837">
        <f>SUM(G15:G17)+G22</f>
        <v>0.05</v>
      </c>
      <c r="H14" s="2837">
        <f>SUM(I14:J14)</f>
        <v>304.45100000000002</v>
      </c>
      <c r="I14" s="2837">
        <f>SUM(I15:I17)+I22</f>
        <v>304.363</v>
      </c>
      <c r="J14" s="2837">
        <f>SUM(J15:J22)</f>
        <v>8.7999999999999995E-2</v>
      </c>
      <c r="K14" s="2837">
        <f>SUM(L14:M14)</f>
        <v>292.20331666666669</v>
      </c>
      <c r="L14" s="2837">
        <f>SUM(L15:L17)+L22</f>
        <v>292.05583333333334</v>
      </c>
      <c r="M14" s="2837">
        <f>SUM(M15:M17)+M22</f>
        <v>0.14748333333333333</v>
      </c>
      <c r="N14" s="2837">
        <f>SUM(O14:P14)</f>
        <v>307.42900000000003</v>
      </c>
      <c r="O14" s="2837">
        <f>SUM(O15:O17)+O22</f>
        <v>307.41300000000001</v>
      </c>
      <c r="P14" s="2837">
        <f>SUM(P15:P17)+P22</f>
        <v>1.6E-2</v>
      </c>
      <c r="Q14" s="2837">
        <f>SUM(R14:S14)</f>
        <v>306.96600000000001</v>
      </c>
      <c r="R14" s="2837">
        <f>SUM(R15:R17)+R22</f>
        <v>306.88400000000001</v>
      </c>
      <c r="S14" s="2837">
        <f>SUM(S15:S22)</f>
        <v>8.2000000000000003E-2</v>
      </c>
      <c r="T14" s="2837">
        <f>SUM(U14:V14)</f>
        <v>292.20331666666669</v>
      </c>
      <c r="U14" s="2837">
        <f>SUM(U15:U17)+U22</f>
        <v>292.05583333333334</v>
      </c>
      <c r="V14" s="2837">
        <f>SUM(V15:V17)+V22</f>
        <v>0.14748333333333333</v>
      </c>
      <c r="W14" s="2837">
        <f>SUM(X14:Y14)</f>
        <v>295.52799999999996</v>
      </c>
      <c r="X14" s="2837">
        <f>SUM(X15:X17)+X22</f>
        <v>295.50599999999997</v>
      </c>
      <c r="Y14" s="2837">
        <f>SUM(Y15:Y17)+Y22</f>
        <v>2.1999999999999999E-2</v>
      </c>
      <c r="Z14" s="2837">
        <f>SUM(AA14:AB14)</f>
        <v>291.43099999999998</v>
      </c>
      <c r="AA14" s="2837">
        <f>SUM(AA15:AA17)+AA22</f>
        <v>291.351</v>
      </c>
      <c r="AB14" s="2837">
        <f>SUM(AB15:AB22)</f>
        <v>0.08</v>
      </c>
      <c r="AC14" s="2839">
        <f>SUM(AD14:AE14)</f>
        <v>876.60995000000003</v>
      </c>
      <c r="AD14" s="2839">
        <f>SUM(AD15:AD17)+AD22</f>
        <v>876.16750000000002</v>
      </c>
      <c r="AE14" s="2839">
        <f>SUM(AE15:AE17)+AE22</f>
        <v>0.44245000000000001</v>
      </c>
      <c r="AF14" s="2839">
        <f>SUM(AG14:AH14)</f>
        <v>906.88599999999997</v>
      </c>
      <c r="AG14" s="2839">
        <f>SUM(AG15:AG17)+AG22</f>
        <v>906.798</v>
      </c>
      <c r="AH14" s="2839">
        <f>SUM(AH15:AH17)+AH22</f>
        <v>8.7999999999999995E-2</v>
      </c>
      <c r="AI14" s="2839">
        <f>SUM(AJ14:AK14)</f>
        <v>902.84799999999996</v>
      </c>
      <c r="AJ14" s="2839">
        <f>SUM(AJ15:AJ17)+AJ22</f>
        <v>902.59799999999996</v>
      </c>
      <c r="AK14" s="2839">
        <f>SUM(AK15:AK17)+AK22</f>
        <v>0.25</v>
      </c>
      <c r="AL14" s="2839">
        <f>SUM(AM14:AN14)</f>
        <v>30.276050000000033</v>
      </c>
      <c r="AM14" s="2839">
        <f>SUM(AM15:AM17)+AM22</f>
        <v>30.630500000000033</v>
      </c>
      <c r="AN14" s="2839">
        <f>SUM(AN15:AN17)+AN22</f>
        <v>-0.35445000000000004</v>
      </c>
      <c r="AO14" s="2837">
        <f>SUM(AP14:AQ14)</f>
        <v>292.20331666666669</v>
      </c>
      <c r="AP14" s="2837">
        <f>SUM(AP15:AP17)+AP22</f>
        <v>292.05583333333334</v>
      </c>
      <c r="AQ14" s="2837">
        <f>SUM(AQ15:AQ17)+AQ22</f>
        <v>0.14748333333333333</v>
      </c>
      <c r="AR14" s="2837">
        <f>SUM(AS14:AT14)</f>
        <v>310.28199999999998</v>
      </c>
      <c r="AS14" s="2837">
        <f>SUM(AS15:AS17)+AS22</f>
        <v>310.12799999999999</v>
      </c>
      <c r="AT14" s="2837">
        <f>SUM(AT15:AT17)+AT22</f>
        <v>0.154</v>
      </c>
      <c r="AU14" s="2837">
        <f>SUM(AV14:AW14)</f>
        <v>294.60999999999996</v>
      </c>
      <c r="AV14" s="2837">
        <f>SUM(AV15:AV17)+AV22</f>
        <v>294.51099999999997</v>
      </c>
      <c r="AW14" s="2837">
        <f>SUM(AW15:AW22)</f>
        <v>9.9000000000000005E-2</v>
      </c>
      <c r="AX14" s="2837">
        <f>SUM(AY14:AZ14)</f>
        <v>292.20331666666669</v>
      </c>
      <c r="AY14" s="2837">
        <f>SUM(AY15:AY17)+AY22</f>
        <v>292.05583333333334</v>
      </c>
      <c r="AZ14" s="2837">
        <f>SUM(AZ15:AZ17)+AZ22</f>
        <v>0.14748333333333333</v>
      </c>
      <c r="BA14" s="2837">
        <f>SUM(BB14:BC14)</f>
        <v>296.14935100000002</v>
      </c>
      <c r="BB14" s="2837">
        <f>SUM(BB15:BB17)+BB22</f>
        <v>296.08235100000002</v>
      </c>
      <c r="BC14" s="2837">
        <f>SUM(BC15:BC17)+BC22</f>
        <v>6.7000000000000004E-2</v>
      </c>
      <c r="BD14" s="2837">
        <f>SUM(BE14:BF14)</f>
        <v>284.07600000000002</v>
      </c>
      <c r="BE14" s="2837">
        <f>SUM(BE15:BE17)+BE22</f>
        <v>283.976</v>
      </c>
      <c r="BF14" s="2837">
        <f>SUM(BF15:BF22)</f>
        <v>0.1</v>
      </c>
      <c r="BG14" s="2837">
        <f>SUM(BH14:BI14)</f>
        <v>292.20331666666669</v>
      </c>
      <c r="BH14" s="2837">
        <f>SUM(BH15:BH17)+BH22</f>
        <v>292.05583333333334</v>
      </c>
      <c r="BI14" s="2837">
        <f>SUM(BI15:BI17)+BI22</f>
        <v>0.14748333333333333</v>
      </c>
      <c r="BJ14" s="2837">
        <f>SUM(BK14:BL14)</f>
        <v>297.09500000000003</v>
      </c>
      <c r="BK14" s="2837">
        <f>SUM(BK15:BK17)+BK22</f>
        <v>296.99</v>
      </c>
      <c r="BL14" s="2837">
        <f>SUM(BL15:BL17)+BL22</f>
        <v>0.105</v>
      </c>
      <c r="BM14" s="2837">
        <f>SUM(BN14:BO14)</f>
        <v>287.38800000000003</v>
      </c>
      <c r="BN14" s="2837">
        <f>SUM(BN15:BN17)+BN22</f>
        <v>287.29600000000005</v>
      </c>
      <c r="BO14" s="2837">
        <f>SUM(BO15:BO22)</f>
        <v>9.1999999999999998E-2</v>
      </c>
      <c r="BP14" s="2839">
        <f>SUM(BQ14:BR14)</f>
        <v>876.60995000000003</v>
      </c>
      <c r="BQ14" s="2839">
        <f>SUM(BQ15:BQ17)+BQ22</f>
        <v>876.16750000000002</v>
      </c>
      <c r="BR14" s="2839">
        <f>SUM(BR15:BR17)+BR22</f>
        <v>0.44245000000000001</v>
      </c>
      <c r="BS14" s="2839">
        <f>SUM(BT14:BU14)</f>
        <v>903.52635099999998</v>
      </c>
      <c r="BT14" s="2839">
        <f>SUM(BT15:BT17)+BT22</f>
        <v>903.20035099999996</v>
      </c>
      <c r="BU14" s="2839">
        <f>SUM(BU15:BU17)+BU22</f>
        <v>0.32600000000000001</v>
      </c>
      <c r="BV14" s="2839">
        <f>SUM(BW14:BX14)</f>
        <v>866.07400000000007</v>
      </c>
      <c r="BW14" s="2839">
        <f>SUM(BW15:BW17)+BW22</f>
        <v>865.78300000000002</v>
      </c>
      <c r="BX14" s="2839">
        <f>SUM(BX15:BX17)+BX22</f>
        <v>0.29100000000000004</v>
      </c>
      <c r="BY14" s="2839">
        <f>SUM(BZ14:CA14)</f>
        <v>26.916401000000043</v>
      </c>
      <c r="BZ14" s="2839">
        <f>SUM(BZ15:BZ17)+BZ22</f>
        <v>27.032851000000043</v>
      </c>
      <c r="CA14" s="2839">
        <f>SUM(CA15:CA17)+CA22</f>
        <v>-0.11645</v>
      </c>
      <c r="CB14" s="2839">
        <f>SUM(CC14:CD14)</f>
        <v>1753.2199000000001</v>
      </c>
      <c r="CC14" s="2839">
        <f>SUM(CC15:CC17)+CC22</f>
        <v>1752.335</v>
      </c>
      <c r="CD14" s="2839">
        <f>SUM(CD15:CD17)+CD22</f>
        <v>0.88490000000000002</v>
      </c>
      <c r="CE14" s="2839">
        <f>SUM(CF14:CG14)</f>
        <v>1810.4123509999999</v>
      </c>
      <c r="CF14" s="2839">
        <f>SUM(CF15:CF17)+CF22</f>
        <v>1809.998351</v>
      </c>
      <c r="CG14" s="2839">
        <f>SUM(CG15:CG17)+CG22</f>
        <v>0.41400000000000003</v>
      </c>
      <c r="CH14" s="2839">
        <f>SUM(CI14:CJ14)</f>
        <v>1768.922</v>
      </c>
      <c r="CI14" s="2839">
        <f>SUM(CI15:CI17)+CI22</f>
        <v>1768.3810000000001</v>
      </c>
      <c r="CJ14" s="2839">
        <f>SUM(CJ15:CJ17)+CJ22</f>
        <v>0.54100000000000004</v>
      </c>
      <c r="CK14" s="2839">
        <f>SUM(CL14:CM14)</f>
        <v>57.19245099999992</v>
      </c>
      <c r="CL14" s="2913">
        <f t="shared" si="3"/>
        <v>57.663350999999921</v>
      </c>
      <c r="CM14" s="2913">
        <f t="shared" si="3"/>
        <v>-0.47089999999999999</v>
      </c>
      <c r="CN14" s="2837">
        <f>SUM(CO14:CP14)</f>
        <v>292.20331666666669</v>
      </c>
      <c r="CO14" s="2837">
        <f>SUM(CO15:CO17)+CO22</f>
        <v>292.05583333333334</v>
      </c>
      <c r="CP14" s="2837">
        <f>SUM(CP15:CP17)+CP22</f>
        <v>0.14748333333333333</v>
      </c>
      <c r="CQ14" s="2837">
        <f>SUM(CR14:CS14)</f>
        <v>271.14100000000002</v>
      </c>
      <c r="CR14" s="2837">
        <f>SUM(CR15:CR17)+CR22</f>
        <v>271.05700000000002</v>
      </c>
      <c r="CS14" s="2837">
        <f>SUM(CS15:CS17)+CS22</f>
        <v>8.4000000000000005E-2</v>
      </c>
      <c r="CT14" s="2837">
        <f>SUM(CU14:CV14)</f>
        <v>272.3734</v>
      </c>
      <c r="CU14" s="2837">
        <f>SUM(CU15:CU17)+CU22</f>
        <v>272.28340000000003</v>
      </c>
      <c r="CV14" s="2837">
        <f>SUM(CV15:CV22)</f>
        <v>0.09</v>
      </c>
      <c r="CW14" s="2837">
        <f>SUM(CX14:CY14)</f>
        <v>292.20331666666669</v>
      </c>
      <c r="CX14" s="2837">
        <f>SUM(CX15:CX17)+CX22</f>
        <v>292.05583333333334</v>
      </c>
      <c r="CY14" s="2837">
        <f>SUM(CY15:CY17)+CY22</f>
        <v>0.14748333333333333</v>
      </c>
      <c r="CZ14" s="2837">
        <f>SUM(DA14:DB14)</f>
        <v>285.83499999999998</v>
      </c>
      <c r="DA14" s="2837">
        <f>SUM(DA15:DA17)+DA22</f>
        <v>285.76</v>
      </c>
      <c r="DB14" s="2837">
        <f>SUM(DB15:DB17)+DB22</f>
        <v>7.4999999999999997E-2</v>
      </c>
      <c r="DC14" s="2837">
        <f>SUM(DD14:DE14)</f>
        <v>282.2577</v>
      </c>
      <c r="DD14" s="2837">
        <f>SUM(DD15:DD17)+DD22</f>
        <v>282.2287</v>
      </c>
      <c r="DE14" s="2837">
        <f>SUM(DE15:DE22)</f>
        <v>2.9000000000000001E-2</v>
      </c>
      <c r="DF14" s="2837">
        <f>SUM(DG14:DH14)</f>
        <v>292.20331666666669</v>
      </c>
      <c r="DG14" s="2837">
        <f>SUM(DG15:DG17)+DG22</f>
        <v>292.05583333333334</v>
      </c>
      <c r="DH14" s="2837">
        <f>SUM(DH15:DH17)+DH22</f>
        <v>0.14748333333333333</v>
      </c>
      <c r="DI14" s="2837">
        <f>SUM(DJ14:DK14)</f>
        <v>295.35500000000002</v>
      </c>
      <c r="DJ14" s="2837">
        <f>SUM(DJ15:DJ17)+DJ22</f>
        <v>295.33000000000004</v>
      </c>
      <c r="DK14" s="2837">
        <f>SUM(DK15:DK17)+DK22</f>
        <v>2.5000000000000001E-2</v>
      </c>
      <c r="DL14" s="2837">
        <f>SUM(DM14:DN14)</f>
        <v>309.49285499999996</v>
      </c>
      <c r="DM14" s="2837">
        <f>SUM(DM15:DM17)+DM22</f>
        <v>309.42685499999999</v>
      </c>
      <c r="DN14" s="2837">
        <f>SUM(DN15:DN22)</f>
        <v>6.6000000000000003E-2</v>
      </c>
      <c r="DO14" s="2839">
        <f>SUM(DP14:DQ14)</f>
        <v>876.60995000000003</v>
      </c>
      <c r="DP14" s="2839">
        <f>SUM(DP15:DP17)+DP22</f>
        <v>876.16750000000002</v>
      </c>
      <c r="DQ14" s="2839">
        <f>SUM(DQ15:DQ17)+DQ22</f>
        <v>0.44245000000000001</v>
      </c>
      <c r="DR14" s="2839">
        <f>SUM(DS14:DT14)</f>
        <v>852.3309999999999</v>
      </c>
      <c r="DS14" s="2839">
        <f>SUM(DS15:DS17)+DS22</f>
        <v>852.14699999999993</v>
      </c>
      <c r="DT14" s="2839">
        <f>SUM(DT15:DT17)+DT22</f>
        <v>0.184</v>
      </c>
      <c r="DU14" s="2839">
        <f>SUM(DV14:DW14)</f>
        <v>864.12395500000002</v>
      </c>
      <c r="DV14" s="2839">
        <f>SUM(DV15:DV17)+DV22</f>
        <v>863.93895500000008</v>
      </c>
      <c r="DW14" s="2839">
        <f>SUM(DW15:DW17)+DW22</f>
        <v>0.185</v>
      </c>
      <c r="DX14" s="2839">
        <f>SUM(DY14:DZ14)</f>
        <v>-24.278950000000084</v>
      </c>
      <c r="DY14" s="2913">
        <f t="shared" si="5"/>
        <v>-24.020500000000084</v>
      </c>
      <c r="DZ14" s="2913">
        <f t="shared" si="5"/>
        <v>-0.25845000000000001</v>
      </c>
      <c r="EA14" s="2839">
        <f>SUM(EB14:EC14)</f>
        <v>2629.8298500000001</v>
      </c>
      <c r="EB14" s="2839">
        <f>SUM(EB15:EB17)+EB22</f>
        <v>2628.5025000000001</v>
      </c>
      <c r="EC14" s="2839">
        <f>SUM(EC15:EC17)+EC22</f>
        <v>1.32735</v>
      </c>
      <c r="ED14" s="2839">
        <f>SUM(EE14:EF14)</f>
        <v>2662.7433510000001</v>
      </c>
      <c r="EE14" s="2839">
        <f>SUM(EE15:EE17)+EE22</f>
        <v>2662.1453510000001</v>
      </c>
      <c r="EF14" s="2839">
        <f>SUM(EF15:EF17)+EF22</f>
        <v>0.59800000000000009</v>
      </c>
      <c r="EG14" s="2839">
        <f>SUM(EH14:EI14)</f>
        <v>2633.045955</v>
      </c>
      <c r="EH14" s="2839">
        <f>SUM(EH15:EH17)+EH22</f>
        <v>2632.3199549999999</v>
      </c>
      <c r="EI14" s="2839">
        <f>SUM(EI15:EI17)+EI22</f>
        <v>0.72599999999999998</v>
      </c>
      <c r="EJ14" s="2839">
        <f>SUM(EK14:EL14)</f>
        <v>32.913501000000068</v>
      </c>
      <c r="EK14" s="2913">
        <f t="shared" si="7"/>
        <v>33.642851000000064</v>
      </c>
      <c r="EL14" s="2913">
        <f t="shared" si="7"/>
        <v>-0.72934999999999994</v>
      </c>
      <c r="EM14" s="2837">
        <f>SUM(EN14:EO14)</f>
        <v>292.20331666666669</v>
      </c>
      <c r="EN14" s="2837">
        <f>SUM(EN15:EN17)+EN22</f>
        <v>292.05583333333334</v>
      </c>
      <c r="EO14" s="2837">
        <f>SUM(EO15:EO17)+EO22</f>
        <v>0.14748333333333333</v>
      </c>
      <c r="EP14" s="2837">
        <f>SUM(EQ14:ER14)</f>
        <v>302.36200000000002</v>
      </c>
      <c r="EQ14" s="2837">
        <f>SUM(EQ15:EQ17)+EQ22</f>
        <v>302.33500000000004</v>
      </c>
      <c r="ER14" s="2837">
        <f>SUM(ER15:ER17)+ER22</f>
        <v>2.7E-2</v>
      </c>
      <c r="ES14" s="2837">
        <f>SUM(ET14:EU14)</f>
        <v>292.79259100000002</v>
      </c>
      <c r="ET14" s="2837">
        <f>SUM(ET15:ET17)+ET22</f>
        <v>292.735591</v>
      </c>
      <c r="EU14" s="2837">
        <f>SUM(EU15:EU22)</f>
        <v>5.7000000000000002E-2</v>
      </c>
      <c r="EV14" s="2837">
        <f>SUM(EW14:EX14)</f>
        <v>292.20331666666669</v>
      </c>
      <c r="EW14" s="2837">
        <f>SUM(EW15:EW17)+EW22</f>
        <v>292.05583333333334</v>
      </c>
      <c r="EX14" s="2837">
        <f>SUM(EX15:EX17)+EX22</f>
        <v>0.14748333333333333</v>
      </c>
      <c r="EY14" s="2837">
        <f>SUM(EZ14:FA14)</f>
        <v>294.94000000000005</v>
      </c>
      <c r="EZ14" s="2837">
        <f>SUM(EZ15:EZ17)+EZ22</f>
        <v>294.86900000000003</v>
      </c>
      <c r="FA14" s="2837">
        <f>SUM(FA15:FA17)+FA22</f>
        <v>7.0999999999999994E-2</v>
      </c>
      <c r="FB14" s="2837">
        <f>SUM(FC14:FD14)</f>
        <v>304.72600000000006</v>
      </c>
      <c r="FC14" s="2837">
        <f>SUM(FC15:FC17)+FC22</f>
        <v>304.68800000000005</v>
      </c>
      <c r="FD14" s="2837">
        <f>SUM(FD15:FD22)</f>
        <v>3.7999999999999999E-2</v>
      </c>
      <c r="FE14" s="2837">
        <f>SUM(FF14:FG14)</f>
        <v>292.20331666666669</v>
      </c>
      <c r="FF14" s="2837">
        <f>SUM(FF15:FF17)+FF22</f>
        <v>292.05583333333334</v>
      </c>
      <c r="FG14" s="2837">
        <f>SUM(FG15:FG17)+FG22</f>
        <v>0.14748333333333333</v>
      </c>
      <c r="FH14" s="2837">
        <f>SUM(FI14:FJ14)</f>
        <v>303.15300000000002</v>
      </c>
      <c r="FI14" s="2837">
        <f>SUM(FI15:FI17)+FI22</f>
        <v>303.06700000000001</v>
      </c>
      <c r="FJ14" s="2837">
        <f>SUM(FJ15:FJ17)+FJ22</f>
        <v>8.5999999999999993E-2</v>
      </c>
      <c r="FK14" s="2837">
        <f>SUM(FL14:FM14)</f>
        <v>304.80400000000003</v>
      </c>
      <c r="FL14" s="2837">
        <f>SUM(FL15:FL17)+FL22</f>
        <v>304.69300000000004</v>
      </c>
      <c r="FM14" s="2837">
        <f>SUM(FM15:FM22)</f>
        <v>0.111</v>
      </c>
      <c r="FN14" s="2839">
        <f>SUM(FO14:FP14)</f>
        <v>876.60995000000003</v>
      </c>
      <c r="FO14" s="2839">
        <f>SUM(FO15:FO17)+FO22</f>
        <v>876.16750000000002</v>
      </c>
      <c r="FP14" s="2839">
        <f>SUM(FP15:FP17)+FP22</f>
        <v>0.44245000000000001</v>
      </c>
      <c r="FQ14" s="2839">
        <f>SUM(FR14:FS14)</f>
        <v>900.45500000000004</v>
      </c>
      <c r="FR14" s="2839">
        <f>SUM(FR15:FR17)+FR22</f>
        <v>900.27100000000007</v>
      </c>
      <c r="FS14" s="2839">
        <f>SUM(FS15:FS17)+FS22</f>
        <v>0.184</v>
      </c>
      <c r="FT14" s="2839">
        <f>SUM(FU14:FV14)</f>
        <v>902.32259099999999</v>
      </c>
      <c r="FU14" s="2839">
        <f>SUM(FU15:FU17)+FU22</f>
        <v>902.11659099999997</v>
      </c>
      <c r="FV14" s="2839">
        <f>SUM(FV15:FV17)+FV22</f>
        <v>0.20600000000000002</v>
      </c>
      <c r="FW14" s="2839">
        <f>SUM(FX14:FY14)</f>
        <v>23.845050000000054</v>
      </c>
      <c r="FX14" s="2913">
        <f t="shared" si="9"/>
        <v>24.103500000000054</v>
      </c>
      <c r="FY14" s="2913">
        <f t="shared" si="9"/>
        <v>-0.25845000000000001</v>
      </c>
      <c r="FZ14" s="2839">
        <f>SUM(GA14:GB14)</f>
        <v>3506.4398000000001</v>
      </c>
      <c r="GA14" s="2839">
        <f>SUM(GA15:GA17)+GA22</f>
        <v>3504.67</v>
      </c>
      <c r="GB14" s="2839">
        <f>SUM(GB15:GB17)+GB22</f>
        <v>1.7698</v>
      </c>
      <c r="GC14" s="2839">
        <f>SUM(GD14:GE14)</f>
        <v>3563.198351</v>
      </c>
      <c r="GD14" s="2839">
        <f>SUM(GD15:GD17)+GD22</f>
        <v>3562.4163509999998</v>
      </c>
      <c r="GE14" s="2839">
        <f>SUM(GE15:GE17)+GE22</f>
        <v>0.78200000000000003</v>
      </c>
      <c r="GF14" s="2839">
        <f>SUM(GG14:GH14)</f>
        <v>3535.3685459999992</v>
      </c>
      <c r="GG14" s="2839">
        <f>SUM(GG15:GG17)+GG22</f>
        <v>3534.4365459999995</v>
      </c>
      <c r="GH14" s="2839">
        <f>SUM(GH15:GH17)+GH22</f>
        <v>0.93199999999999994</v>
      </c>
      <c r="GI14" s="2839">
        <f>SUM(GJ14:GK14)</f>
        <v>56.758550999999777</v>
      </c>
      <c r="GJ14" s="2913">
        <f t="shared" si="12"/>
        <v>57.746350999999777</v>
      </c>
      <c r="GK14" s="2913">
        <f t="shared" si="12"/>
        <v>-0.98780000000000001</v>
      </c>
      <c r="GL14" s="565"/>
      <c r="GM14" s="4188">
        <f t="shared" si="13"/>
        <v>3506.4397999999997</v>
      </c>
    </row>
    <row r="15" spans="1:195" ht="18.75" x14ac:dyDescent="0.3">
      <c r="A15" s="2914" t="s">
        <v>24</v>
      </c>
      <c r="B15" s="2845">
        <f t="shared" ref="B15:B17" si="105">SUM(C15:D15)</f>
        <v>197.83500000000001</v>
      </c>
      <c r="C15" s="2845">
        <f t="shared" ref="C15:D24" si="106">SUM(GA15/12)</f>
        <v>197.83500000000001</v>
      </c>
      <c r="D15" s="2845">
        <f t="shared" si="106"/>
        <v>0</v>
      </c>
      <c r="E15" s="2845">
        <f t="shared" ref="E15:E16" si="107">SUM(F15:G15)</f>
        <v>219.27500000000001</v>
      </c>
      <c r="F15" s="2915">
        <f>SUM('ПОЛНАЯ СЕБЕСТОИМОСТЬ ВОДА 2021'!F15)</f>
        <v>219.27500000000001</v>
      </c>
      <c r="G15" s="2915">
        <f>SUM('ПОЛНАЯ СЕБЕСТОИМОСТЬ ВОДА 2021'!G15)</f>
        <v>0</v>
      </c>
      <c r="H15" s="2843">
        <f t="shared" ref="H15:H21" si="108">SUM(I15:J15)</f>
        <v>209.261</v>
      </c>
      <c r="I15" s="2844">
        <v>209.261</v>
      </c>
      <c r="J15" s="2844"/>
      <c r="K15" s="2845">
        <f t="shared" ref="K15:K17" si="109">SUM(L15:M15)</f>
        <v>197.83500000000001</v>
      </c>
      <c r="L15" s="2845">
        <f t="shared" ref="L15:M17" si="110">SUM(GA15/12)</f>
        <v>197.83500000000001</v>
      </c>
      <c r="M15" s="2845">
        <f t="shared" si="110"/>
        <v>0</v>
      </c>
      <c r="N15" s="2845">
        <f t="shared" ref="N15:N21" si="111">SUM(O15:P15)</f>
        <v>205.98400000000001</v>
      </c>
      <c r="O15" s="2915">
        <f>SUM('ПОЛНАЯ СЕБЕСТОИМОСТЬ ВОДА 2021'!I15)</f>
        <v>205.98400000000001</v>
      </c>
      <c r="P15" s="2915">
        <f>SUM('ПОЛНАЯ СЕБЕСТОИМОСТЬ ВОДА 2021'!J15)</f>
        <v>0</v>
      </c>
      <c r="Q15" s="2843">
        <f t="shared" ref="Q15:Q21" si="112">SUM(R15:S15)</f>
        <v>203.535</v>
      </c>
      <c r="R15" s="2844">
        <v>203.535</v>
      </c>
      <c r="S15" s="2844"/>
      <c r="T15" s="2845">
        <f t="shared" ref="T15:T17" si="113">SUM(U15:V15)</f>
        <v>197.83500000000001</v>
      </c>
      <c r="U15" s="2845">
        <f t="shared" ref="U15:V17" si="114">SUM(GA15/12)</f>
        <v>197.83500000000001</v>
      </c>
      <c r="V15" s="2845">
        <f t="shared" si="114"/>
        <v>0</v>
      </c>
      <c r="W15" s="2845">
        <f t="shared" ref="W15:W21" si="115">SUM(X15:Y15)</f>
        <v>195.35599999999999</v>
      </c>
      <c r="X15" s="2915">
        <f>SUM('ПОЛНАЯ СЕБЕСТОИМОСТЬ ВОДА 2021'!L15)</f>
        <v>195.35599999999999</v>
      </c>
      <c r="Y15" s="2915">
        <f>SUM('ПОЛНАЯ СЕБЕСТОИМОСТЬ ВОДА 2021'!M15)</f>
        <v>0</v>
      </c>
      <c r="Z15" s="2843">
        <f t="shared" ref="Z15:Z21" si="116">SUM(AA15:AB15)</f>
        <v>192.18</v>
      </c>
      <c r="AA15" s="2844">
        <v>192.18</v>
      </c>
      <c r="AB15" s="2844"/>
      <c r="AC15" s="2846">
        <f t="shared" ref="AC15:AC17" si="117">SUM(AD15:AE15)</f>
        <v>593.505</v>
      </c>
      <c r="AD15" s="2846">
        <f t="shared" ref="AD15:AE17" si="118">SUM(C15+L15+U15)</f>
        <v>593.505</v>
      </c>
      <c r="AE15" s="2846">
        <f t="shared" si="118"/>
        <v>0</v>
      </c>
      <c r="AF15" s="2846">
        <f t="shared" ref="AF15:AF17" si="119">SUM(AG15:AH15)</f>
        <v>620.61500000000001</v>
      </c>
      <c r="AG15" s="2846">
        <f t="shared" ref="AG15:AH17" si="120">SUM(F15+O15+X15)</f>
        <v>620.61500000000001</v>
      </c>
      <c r="AH15" s="2846">
        <f t="shared" si="120"/>
        <v>0</v>
      </c>
      <c r="AI15" s="2916">
        <f t="shared" ref="AI15:AK17" si="121">SUM(H15+Q15+Z15)</f>
        <v>604.976</v>
      </c>
      <c r="AJ15" s="2916">
        <f t="shared" si="121"/>
        <v>604.976</v>
      </c>
      <c r="AK15" s="2916">
        <f t="shared" si="121"/>
        <v>0</v>
      </c>
      <c r="AL15" s="2846">
        <f t="shared" ref="AL15:AL17" si="122">SUM(AM15:AN15)</f>
        <v>27.110000000000014</v>
      </c>
      <c r="AM15" s="2846">
        <f>SUM(AG15-AD15)</f>
        <v>27.110000000000014</v>
      </c>
      <c r="AN15" s="2846">
        <f t="shared" ref="AN15:AN17" si="123">SUM(AH15-AE15)</f>
        <v>0</v>
      </c>
      <c r="AO15" s="2845">
        <f t="shared" ref="AO15:AO17" si="124">SUM(AP15:AQ15)</f>
        <v>197.83500000000001</v>
      </c>
      <c r="AP15" s="2845">
        <f t="shared" ref="AP15:AQ17" si="125">SUM(GA15/12)</f>
        <v>197.83500000000001</v>
      </c>
      <c r="AQ15" s="2845">
        <f t="shared" si="125"/>
        <v>0</v>
      </c>
      <c r="AR15" s="2845">
        <f t="shared" ref="AR15:AR21" si="126">SUM(AS15:AT15)</f>
        <v>211.23</v>
      </c>
      <c r="AS15" s="2915">
        <f>SUM('ПОЛНАЯ СЕБЕСТОИМОСТЬ ВОДА 2021'!U15)</f>
        <v>211.23</v>
      </c>
      <c r="AT15" s="2915">
        <f>SUM('ПОЛНАЯ СЕБЕСТОИМОСТЬ ВОДА 2021'!V15)</f>
        <v>0</v>
      </c>
      <c r="AU15" s="2843">
        <f t="shared" ref="AU15:AU21" si="127">SUM(AV15:AW15)</f>
        <v>202.685</v>
      </c>
      <c r="AV15" s="2844">
        <v>202.685</v>
      </c>
      <c r="AW15" s="2844"/>
      <c r="AX15" s="2845">
        <f t="shared" ref="AX15:AX17" si="128">SUM(AY15:AZ15)</f>
        <v>197.83500000000001</v>
      </c>
      <c r="AY15" s="2845">
        <f t="shared" ref="AY15:AZ17" si="129">SUM(GA15/12)</f>
        <v>197.83500000000001</v>
      </c>
      <c r="AZ15" s="2845">
        <f t="shared" si="129"/>
        <v>0</v>
      </c>
      <c r="BA15" s="2845">
        <f t="shared" ref="BA15:BA21" si="130">SUM(BB15:BC15)</f>
        <v>205.26575500000001</v>
      </c>
      <c r="BB15" s="2915">
        <f>SUM('ПОЛНАЯ СЕБЕСТОИМОСТЬ ВОДА 2021'!X15)</f>
        <v>205.26575500000001</v>
      </c>
      <c r="BC15" s="2915">
        <f>SUM('ПОЛНАЯ СЕБЕСТОИМОСТЬ ВОДА 2021'!Y15)</f>
        <v>0</v>
      </c>
      <c r="BD15" s="2843">
        <f t="shared" ref="BD15:BD21" si="131">SUM(BE15:BF15)</f>
        <v>210.99299999999999</v>
      </c>
      <c r="BE15" s="2844">
        <v>210.99299999999999</v>
      </c>
      <c r="BF15" s="2844"/>
      <c r="BG15" s="2845">
        <f t="shared" ref="BG15:BG17" si="132">SUM(BH15:BI15)</f>
        <v>197.83500000000001</v>
      </c>
      <c r="BH15" s="2845">
        <f t="shared" ref="BH15:BI17" si="133">SUM(GA15/12)</f>
        <v>197.83500000000001</v>
      </c>
      <c r="BI15" s="2845">
        <f t="shared" si="133"/>
        <v>0</v>
      </c>
      <c r="BJ15" s="2845">
        <f t="shared" ref="BJ15:BJ21" si="134">SUM(BK15:BL15)</f>
        <v>202.67400000000001</v>
      </c>
      <c r="BK15" s="2915">
        <f>SUM('ПОЛНАЯ СЕБЕСТОИМОСТЬ ВОДА 2021'!AA15)</f>
        <v>202.67400000000001</v>
      </c>
      <c r="BL15" s="2915">
        <f>SUM('ПОЛНАЯ СЕБЕСТОИМОСТЬ ВОДА 2021'!AB15)</f>
        <v>0</v>
      </c>
      <c r="BM15" s="2843">
        <f t="shared" ref="BM15:BM21" si="135">SUM(BN15:BO15)</f>
        <v>199.12100000000001</v>
      </c>
      <c r="BN15" s="2844">
        <v>199.12100000000001</v>
      </c>
      <c r="BO15" s="2844"/>
      <c r="BP15" s="2846">
        <f t="shared" ref="BP15:BP17" si="136">SUM(BQ15:BR15)</f>
        <v>593.505</v>
      </c>
      <c r="BQ15" s="2846">
        <f t="shared" ref="BQ15:BR17" si="137">SUM(AP15+AY15+BH15)</f>
        <v>593.505</v>
      </c>
      <c r="BR15" s="2846">
        <f t="shared" si="137"/>
        <v>0</v>
      </c>
      <c r="BS15" s="2846">
        <f t="shared" ref="BS15:BS17" si="138">SUM(BT15:BU15)</f>
        <v>619.16975500000001</v>
      </c>
      <c r="BT15" s="2846">
        <f t="shared" ref="BT15:BU17" si="139">SUM(AS15+BB15+BK15)</f>
        <v>619.16975500000001</v>
      </c>
      <c r="BU15" s="2846">
        <f t="shared" si="139"/>
        <v>0</v>
      </c>
      <c r="BV15" s="2916">
        <f t="shared" ref="BV15:BX17" si="140">SUM(AU15+BD15+BM15)</f>
        <v>612.79899999999998</v>
      </c>
      <c r="BW15" s="2846">
        <f t="shared" si="140"/>
        <v>612.79899999999998</v>
      </c>
      <c r="BX15" s="2846">
        <f t="shared" si="140"/>
        <v>0</v>
      </c>
      <c r="BY15" s="2846">
        <f t="shared" ref="BY15:BY17" si="141">SUM(BZ15:CA15)</f>
        <v>25.664755000000014</v>
      </c>
      <c r="BZ15" s="2846">
        <f>SUM(BT15-BQ15)</f>
        <v>25.664755000000014</v>
      </c>
      <c r="CA15" s="2846">
        <f t="shared" ref="CA15:CA17" si="142">SUM(BU15-BR15)</f>
        <v>0</v>
      </c>
      <c r="CB15" s="2846">
        <f t="shared" ref="CB15:CB17" si="143">SUM(CC15:CD15)</f>
        <v>1187.01</v>
      </c>
      <c r="CC15" s="2846">
        <f t="shared" ref="CC15:CD17" si="144">SUM(AD15+BQ15)</f>
        <v>1187.01</v>
      </c>
      <c r="CD15" s="2846">
        <f t="shared" si="144"/>
        <v>0</v>
      </c>
      <c r="CE15" s="2846">
        <f t="shared" ref="CE15:CE17" si="145">SUM(CF15:CG15)</f>
        <v>1239.7847550000001</v>
      </c>
      <c r="CF15" s="2846">
        <f t="shared" ref="CF15:CJ17" si="146">SUM(AG15+BT15)</f>
        <v>1239.7847550000001</v>
      </c>
      <c r="CG15" s="2846">
        <f t="shared" si="146"/>
        <v>0</v>
      </c>
      <c r="CH15" s="2916">
        <f t="shared" si="146"/>
        <v>1217.7750000000001</v>
      </c>
      <c r="CI15" s="2916">
        <f t="shared" si="146"/>
        <v>1217.7750000000001</v>
      </c>
      <c r="CJ15" s="2916">
        <f t="shared" si="146"/>
        <v>0</v>
      </c>
      <c r="CK15" s="2846">
        <f t="shared" ref="CK15:CK17" si="147">SUM(CL15:CM15)</f>
        <v>52.774755000000141</v>
      </c>
      <c r="CL15" s="2917">
        <f t="shared" si="3"/>
        <v>52.774755000000141</v>
      </c>
      <c r="CM15" s="2917">
        <f t="shared" si="3"/>
        <v>0</v>
      </c>
      <c r="CN15" s="2845">
        <f t="shared" ref="CN15:CN17" si="148">SUM(CO15:CP15)</f>
        <v>197.83500000000001</v>
      </c>
      <c r="CO15" s="2845">
        <f t="shared" ref="CO15:CO17" si="149">SUM(GA15/12)</f>
        <v>197.83500000000001</v>
      </c>
      <c r="CP15" s="2845">
        <f t="shared" ref="CP15:CP17" si="150">SUM(GB15/12)</f>
        <v>0</v>
      </c>
      <c r="CQ15" s="2845">
        <f t="shared" ref="CQ15:CQ21" si="151">SUM(CR15:CS15)</f>
        <v>192.63300000000001</v>
      </c>
      <c r="CR15" s="2915">
        <f>SUM('ПОЛНАЯ СЕБЕСТОИМОСТЬ ВОДА 2021'!AS15)</f>
        <v>192.63300000000001</v>
      </c>
      <c r="CS15" s="2915">
        <f>SUM('ПОЛНАЯ СЕБЕСТОИМОСТЬ ВОДА 2021'!AT15)</f>
        <v>0</v>
      </c>
      <c r="CT15" s="2843">
        <f t="shared" ref="CT15:CT21" si="152">SUM(CU15:CV15)</f>
        <v>195.066</v>
      </c>
      <c r="CU15" s="2844">
        <v>195.066</v>
      </c>
      <c r="CV15" s="2844"/>
      <c r="CW15" s="2845">
        <f t="shared" ref="CW15:CW17" si="153">SUM(CX15:CY15)</f>
        <v>197.83500000000001</v>
      </c>
      <c r="CX15" s="2845">
        <f t="shared" ref="CX15:CX17" si="154">SUM(GA15/12)</f>
        <v>197.83500000000001</v>
      </c>
      <c r="CY15" s="2845">
        <f t="shared" ref="CY15:CY17" si="155">SUM(GB15/12)</f>
        <v>0</v>
      </c>
      <c r="CZ15" s="2845">
        <f t="shared" ref="CZ15:CZ21" si="156">SUM(DA15:DB15)</f>
        <v>199.72399999999999</v>
      </c>
      <c r="DA15" s="2915">
        <f>SUM('ПОЛНАЯ СЕБЕСТОИМОСТЬ ВОДА 2021'!AV15)</f>
        <v>199.72399999999999</v>
      </c>
      <c r="DB15" s="2915">
        <f>SUM('ПОЛНАЯ СЕБЕСТОИМОСТЬ ВОДА 2021'!AW15)</f>
        <v>0</v>
      </c>
      <c r="DC15" s="2843">
        <f t="shared" ref="DC15:DC21" si="157">SUM(DD15:DE15)</f>
        <v>196.97900000000001</v>
      </c>
      <c r="DD15" s="2844">
        <v>196.97900000000001</v>
      </c>
      <c r="DE15" s="2844"/>
      <c r="DF15" s="2845">
        <f t="shared" ref="DF15:DF17" si="158">SUM(DG15:DH15)</f>
        <v>197.83500000000001</v>
      </c>
      <c r="DG15" s="2845">
        <f t="shared" ref="DG15:DG24" si="159">SUM(GA15/12)</f>
        <v>197.83500000000001</v>
      </c>
      <c r="DH15" s="2845">
        <f t="shared" ref="DH15:DH17" si="160">SUM(GB15/12)</f>
        <v>0</v>
      </c>
      <c r="DI15" s="2845">
        <f t="shared" ref="DI15:DI21" si="161">SUM(DJ15:DK15)</f>
        <v>193.387</v>
      </c>
      <c r="DJ15" s="2915">
        <f>SUM('ПОЛНАЯ СЕБЕСТОИМОСТЬ ВОДА 2021'!AY15)</f>
        <v>193.387</v>
      </c>
      <c r="DK15" s="2915">
        <f>SUM('ПОЛНАЯ СЕБЕСТОИМОСТЬ ВОДА 2021'!AZ15)</f>
        <v>0</v>
      </c>
      <c r="DL15" s="2843">
        <f t="shared" ref="DL15:DL21" si="162">SUM(DM15:DN15)</f>
        <v>199.33727500000001</v>
      </c>
      <c r="DM15" s="2844">
        <v>199.33727500000001</v>
      </c>
      <c r="DN15" s="2844"/>
      <c r="DO15" s="2846">
        <f t="shared" ref="DO15:DO17" si="163">SUM(DP15:DQ15)</f>
        <v>593.505</v>
      </c>
      <c r="DP15" s="2846">
        <f t="shared" ref="DP15:DQ17" si="164">SUM(CO15+CX15+DG15)</f>
        <v>593.505</v>
      </c>
      <c r="DQ15" s="2846">
        <f t="shared" si="164"/>
        <v>0</v>
      </c>
      <c r="DR15" s="2846">
        <f t="shared" ref="DR15:DR17" si="165">SUM(DS15:DT15)</f>
        <v>585.74399999999991</v>
      </c>
      <c r="DS15" s="2846">
        <f t="shared" ref="DS15:DT17" si="166">SUM(CR15+DA15+DJ15)</f>
        <v>585.74399999999991</v>
      </c>
      <c r="DT15" s="2846">
        <f t="shared" si="166"/>
        <v>0</v>
      </c>
      <c r="DU15" s="2916">
        <f t="shared" ref="DU15:DW17" si="167">SUM(CT15+DC15+DL15)</f>
        <v>591.38227500000005</v>
      </c>
      <c r="DV15" s="2846">
        <f t="shared" si="167"/>
        <v>591.38227500000005</v>
      </c>
      <c r="DW15" s="2846">
        <f t="shared" si="167"/>
        <v>0</v>
      </c>
      <c r="DX15" s="2846">
        <f t="shared" ref="DX15:DX17" si="168">SUM(DY15:DZ15)</f>
        <v>-7.7610000000000809</v>
      </c>
      <c r="DY15" s="2917">
        <f t="shared" si="5"/>
        <v>-7.7610000000000809</v>
      </c>
      <c r="DZ15" s="2917">
        <f t="shared" si="5"/>
        <v>0</v>
      </c>
      <c r="EA15" s="2846">
        <f t="shared" ref="EA15:EA17" si="169">SUM(EB15:EC15)</f>
        <v>1780.5149999999999</v>
      </c>
      <c r="EB15" s="2846">
        <f t="shared" ref="EB15:EC17" si="170">SUM(CC15+DP15)</f>
        <v>1780.5149999999999</v>
      </c>
      <c r="EC15" s="2846">
        <f t="shared" si="170"/>
        <v>0</v>
      </c>
      <c r="ED15" s="2846">
        <f t="shared" ref="ED15:ED17" si="171">SUM(EE15:EF15)</f>
        <v>1825.528755</v>
      </c>
      <c r="EE15" s="2846">
        <f t="shared" ref="EE15:EI17" si="172">SUM(CF15+DS15)</f>
        <v>1825.528755</v>
      </c>
      <c r="EF15" s="2846">
        <f t="shared" si="172"/>
        <v>0</v>
      </c>
      <c r="EG15" s="2846">
        <f t="shared" si="172"/>
        <v>1809.157275</v>
      </c>
      <c r="EH15" s="2846">
        <f t="shared" si="172"/>
        <v>1809.157275</v>
      </c>
      <c r="EI15" s="2846">
        <f t="shared" si="172"/>
        <v>0</v>
      </c>
      <c r="EJ15" s="2846">
        <f t="shared" ref="EJ15:EJ17" si="173">SUM(EK15:EL15)</f>
        <v>45.013755000000174</v>
      </c>
      <c r="EK15" s="2917">
        <f t="shared" si="7"/>
        <v>45.013755000000174</v>
      </c>
      <c r="EL15" s="2917">
        <f t="shared" si="7"/>
        <v>0</v>
      </c>
      <c r="EM15" s="2845">
        <f t="shared" ref="EM15:EM17" si="174">SUM(EN15:EO15)</f>
        <v>197.83500000000001</v>
      </c>
      <c r="EN15" s="2845">
        <f t="shared" ref="EN15:EO17" si="175">SUM(GA15/12)</f>
        <v>197.83500000000001</v>
      </c>
      <c r="EO15" s="2845">
        <f t="shared" si="175"/>
        <v>0</v>
      </c>
      <c r="EP15" s="2845">
        <f t="shared" ref="EP15:EP21" si="176">SUM(EQ15:ER15)</f>
        <v>204.25700000000001</v>
      </c>
      <c r="EQ15" s="2915">
        <f>SUM('ПОЛНАЯ СЕБЕСТОИМОСТЬ ВОДА 2021'!BQ15)</f>
        <v>204.25700000000001</v>
      </c>
      <c r="ER15" s="2915">
        <f>SUM('ПОЛНАЯ СЕБЕСТОИМОСТЬ ВОДА 2021'!BR15)</f>
        <v>0</v>
      </c>
      <c r="ES15" s="2843">
        <f t="shared" ref="ES15:ES21" si="177">SUM(ET15:EU15)</f>
        <v>197.145703</v>
      </c>
      <c r="ET15" s="2844">
        <v>197.145703</v>
      </c>
      <c r="EU15" s="2844"/>
      <c r="EV15" s="2845">
        <f t="shared" ref="EV15:EV17" si="178">SUM(EW15:EX15)</f>
        <v>197.83500000000001</v>
      </c>
      <c r="EW15" s="2845">
        <f t="shared" ref="EW15:EW17" si="179">SUM(GA15/12)</f>
        <v>197.83500000000001</v>
      </c>
      <c r="EX15" s="2845">
        <f t="shared" ref="EX15:EX17" si="180">SUM(GB15/12)</f>
        <v>0</v>
      </c>
      <c r="EY15" s="2845">
        <f t="shared" ref="EY15:EY21" si="181">SUM(EZ15:FA15)</f>
        <v>205.18600000000001</v>
      </c>
      <c r="EZ15" s="2915">
        <f>SUM('ПОЛНАЯ СЕБЕСТОИМОСТЬ ВОДА 2021'!BT15)</f>
        <v>205.18600000000001</v>
      </c>
      <c r="FA15" s="2915">
        <f>SUM('ПОЛНАЯ СЕБЕСТОИМОСТЬ ВОДА 2021'!BU15)</f>
        <v>0</v>
      </c>
      <c r="FB15" s="2843">
        <f t="shared" ref="FB15:FB21" si="182">SUM(FC15:FD15)</f>
        <v>201.732</v>
      </c>
      <c r="FC15" s="2852">
        <v>201.732</v>
      </c>
      <c r="FD15" s="2844"/>
      <c r="FE15" s="2845">
        <f t="shared" ref="FE15:FE17" si="183">SUM(FF15:FG15)</f>
        <v>197.83500000000001</v>
      </c>
      <c r="FF15" s="2845">
        <f t="shared" ref="FF15:FF17" si="184">SUM(GA15/12)</f>
        <v>197.83500000000001</v>
      </c>
      <c r="FG15" s="2845">
        <f t="shared" ref="FG15:FG17" si="185">SUM(GB15/12)</f>
        <v>0</v>
      </c>
      <c r="FH15" s="2845">
        <f t="shared" ref="FH15:FH21" si="186">SUM(FI15:FJ15)</f>
        <v>201.81100000000001</v>
      </c>
      <c r="FI15" s="2915">
        <f>SUM('ПОЛНАЯ СЕБЕСТОИМОСТЬ ВОДА 2021'!BW15)</f>
        <v>201.81100000000001</v>
      </c>
      <c r="FJ15" s="2915">
        <f>SUM('ПОЛНАЯ СЕБЕСТОИМОСТЬ ВОДА 2021'!BX15)</f>
        <v>0</v>
      </c>
      <c r="FK15" s="2843">
        <f t="shared" ref="FK15" si="187">SUM(FL15:FM15)</f>
        <v>202.68</v>
      </c>
      <c r="FL15" s="2852">
        <v>202.68</v>
      </c>
      <c r="FM15" s="2844"/>
      <c r="FN15" s="2846">
        <f t="shared" ref="FN15:FN17" si="188">SUM(FO15:FP15)</f>
        <v>593.505</v>
      </c>
      <c r="FO15" s="2846">
        <f t="shared" ref="FO15:FP17" si="189">SUM(EN15+EW15+FF15)</f>
        <v>593.505</v>
      </c>
      <c r="FP15" s="2846">
        <f t="shared" si="189"/>
        <v>0</v>
      </c>
      <c r="FQ15" s="2846">
        <f t="shared" ref="FQ15:FQ17" si="190">SUM(FR15:FS15)</f>
        <v>611.25400000000002</v>
      </c>
      <c r="FR15" s="2846">
        <f t="shared" ref="FR15:FS17" si="191">SUM(EQ15+EZ15+FI15)</f>
        <v>611.25400000000002</v>
      </c>
      <c r="FS15" s="2846">
        <f t="shared" si="191"/>
        <v>0</v>
      </c>
      <c r="FT15" s="2916">
        <f t="shared" ref="FT15:FV17" si="192">SUM(ES15+FB15+FK15)</f>
        <v>601.55770299999995</v>
      </c>
      <c r="FU15" s="2916">
        <f t="shared" si="192"/>
        <v>601.55770299999995</v>
      </c>
      <c r="FV15" s="2916">
        <f t="shared" si="192"/>
        <v>0</v>
      </c>
      <c r="FW15" s="2846">
        <f t="shared" ref="FW15:FW17" si="193">SUM(FX15:FY15)</f>
        <v>17.749000000000024</v>
      </c>
      <c r="FX15" s="2917">
        <f t="shared" si="9"/>
        <v>17.749000000000024</v>
      </c>
      <c r="FY15" s="2917">
        <f t="shared" si="9"/>
        <v>0</v>
      </c>
      <c r="FZ15" s="2846">
        <f t="shared" ref="FZ15:FZ17" si="194">SUM(GA15:GB15)</f>
        <v>2374.02</v>
      </c>
      <c r="GA15" s="2846">
        <f>SUM(объемы!BN50)</f>
        <v>2374.02</v>
      </c>
      <c r="GB15" s="2846">
        <f>SUM(объемы!BO50)</f>
        <v>0</v>
      </c>
      <c r="GC15" s="2846">
        <f t="shared" ref="GC15:GC17" si="195">SUM(GD15:GE15)</f>
        <v>2436.7827550000002</v>
      </c>
      <c r="GD15" s="2916">
        <f t="shared" ref="GD15:GE17" si="196">SUM(EE15+FR15)</f>
        <v>2436.7827550000002</v>
      </c>
      <c r="GE15" s="2916">
        <f t="shared" si="196"/>
        <v>0</v>
      </c>
      <c r="GF15" s="2916">
        <f>SUM(EG15+FT15)</f>
        <v>2410.714978</v>
      </c>
      <c r="GG15" s="2916">
        <f t="shared" ref="GG15:GH17" si="197">SUM(EH15+FU15)</f>
        <v>2410.714978</v>
      </c>
      <c r="GH15" s="2916">
        <f t="shared" si="197"/>
        <v>0</v>
      </c>
      <c r="GI15" s="2846">
        <f t="shared" ref="GI15:GI17" si="198">SUM(GJ15:GK15)</f>
        <v>62.762755000000197</v>
      </c>
      <c r="GJ15" s="2917">
        <f t="shared" si="12"/>
        <v>62.762755000000197</v>
      </c>
      <c r="GK15" s="2917">
        <f t="shared" si="12"/>
        <v>0</v>
      </c>
      <c r="GL15" s="565"/>
      <c r="GM15" s="4188">
        <f t="shared" si="13"/>
        <v>2374.02</v>
      </c>
    </row>
    <row r="16" spans="1:195" ht="18.75" x14ac:dyDescent="0.3">
      <c r="A16" s="2842" t="s">
        <v>3811</v>
      </c>
      <c r="B16" s="2845">
        <f t="shared" ref="B16" si="199">SUM(C16:D16)</f>
        <v>0</v>
      </c>
      <c r="C16" s="2845">
        <f t="shared" ref="C16" si="200">SUM(GA16/12)</f>
        <v>0</v>
      </c>
      <c r="D16" s="2845">
        <f t="shared" ref="D16" si="201">SUM(GB16/12)</f>
        <v>0</v>
      </c>
      <c r="E16" s="2845">
        <f t="shared" si="107"/>
        <v>0.47</v>
      </c>
      <c r="F16" s="2915">
        <f>SUM('ПОЛНАЯ СЕБЕСТОИМОСТЬ ВОДА 2021'!F16)</f>
        <v>0.47</v>
      </c>
      <c r="G16" s="2915">
        <f>SUM('ПОЛНАЯ СЕБЕСТОИМОСТЬ ВОДА 2021'!G16)</f>
        <v>0</v>
      </c>
      <c r="H16" s="2845">
        <f>SUM(I16:J16)</f>
        <v>0.56899999999999995</v>
      </c>
      <c r="I16" s="2852">
        <v>0.56899999999999995</v>
      </c>
      <c r="J16" s="2852"/>
      <c r="K16" s="2845">
        <f t="shared" ref="K16" si="202">SUM(L16:M16)</f>
        <v>0</v>
      </c>
      <c r="L16" s="2845">
        <f t="shared" si="110"/>
        <v>0</v>
      </c>
      <c r="M16" s="2845">
        <f t="shared" si="110"/>
        <v>0</v>
      </c>
      <c r="N16" s="2845">
        <f t="shared" si="111"/>
        <v>0.48</v>
      </c>
      <c r="O16" s="2915">
        <f>SUM('ПОЛНАЯ СЕБЕСТОИМОСТЬ ВОДА 2021'!I16)</f>
        <v>0.48</v>
      </c>
      <c r="P16" s="2915">
        <f>SUM('ПОЛНАЯ СЕБЕСТОИМОСТЬ ВОДА 2021'!J16)</f>
        <v>0</v>
      </c>
      <c r="Q16" s="2845">
        <f>SUM(R16:S16)</f>
        <v>0.56100000000000005</v>
      </c>
      <c r="R16" s="2852">
        <v>0.56100000000000005</v>
      </c>
      <c r="S16" s="2852"/>
      <c r="T16" s="2845">
        <f t="shared" ref="T16" si="203">SUM(U16:V16)</f>
        <v>0</v>
      </c>
      <c r="U16" s="2845">
        <f t="shared" si="114"/>
        <v>0</v>
      </c>
      <c r="V16" s="2845">
        <f t="shared" si="114"/>
        <v>0</v>
      </c>
      <c r="W16" s="2845">
        <f t="shared" si="115"/>
        <v>0.47099999999999997</v>
      </c>
      <c r="X16" s="2915">
        <f>SUM('ПОЛНАЯ СЕБЕСТОИМОСТЬ ВОДА 2021'!L16)</f>
        <v>0.47099999999999997</v>
      </c>
      <c r="Y16" s="2915">
        <f>SUM('ПОЛНАЯ СЕБЕСТОИМОСТЬ ВОДА 2021'!M16)</f>
        <v>0</v>
      </c>
      <c r="Z16" s="2845">
        <f>SUM(AA16:AB16)</f>
        <v>0.54300000000000004</v>
      </c>
      <c r="AA16" s="2852">
        <v>0.54300000000000004</v>
      </c>
      <c r="AB16" s="2852"/>
      <c r="AC16" s="2846">
        <f t="shared" ref="AC16" si="204">SUM(AD16:AE16)</f>
        <v>0</v>
      </c>
      <c r="AD16" s="2846">
        <f t="shared" si="118"/>
        <v>0</v>
      </c>
      <c r="AE16" s="2846">
        <f t="shared" si="118"/>
        <v>0</v>
      </c>
      <c r="AF16" s="2846">
        <f t="shared" ref="AF16" si="205">SUM(AG16:AH16)</f>
        <v>1.4209999999999998</v>
      </c>
      <c r="AG16" s="2846">
        <f t="shared" si="120"/>
        <v>1.4209999999999998</v>
      </c>
      <c r="AH16" s="2846">
        <f t="shared" si="120"/>
        <v>0</v>
      </c>
      <c r="AI16" s="2916">
        <f t="shared" ref="AI16" si="206">SUM(H16+Q16+Z16)</f>
        <v>1.673</v>
      </c>
      <c r="AJ16" s="2916">
        <f t="shared" ref="AJ16" si="207">SUM(I16+R16+AA16)</f>
        <v>1.673</v>
      </c>
      <c r="AK16" s="2916">
        <f t="shared" ref="AK16" si="208">SUM(J16+S16+AB16)</f>
        <v>0</v>
      </c>
      <c r="AL16" s="2846">
        <f t="shared" ref="AL16" si="209">SUM(AM16:AN16)</f>
        <v>1.4209999999999998</v>
      </c>
      <c r="AM16" s="2846">
        <f>SUM(AG16-AD16)</f>
        <v>1.4209999999999998</v>
      </c>
      <c r="AN16" s="2846">
        <f t="shared" ref="AN16" si="210">SUM(AH16-AE16)</f>
        <v>0</v>
      </c>
      <c r="AO16" s="2845">
        <f t="shared" ref="AO16" si="211">SUM(AP16:AQ16)</f>
        <v>0</v>
      </c>
      <c r="AP16" s="2845">
        <f t="shared" si="125"/>
        <v>0</v>
      </c>
      <c r="AQ16" s="2845">
        <f t="shared" si="125"/>
        <v>0</v>
      </c>
      <c r="AR16" s="2845">
        <f t="shared" si="126"/>
        <v>0.47499999999999998</v>
      </c>
      <c r="AS16" s="2915">
        <f>SUM('ПОЛНАЯ СЕБЕСТОИМОСТЬ ВОДА 2021'!U16)</f>
        <v>0.47499999999999998</v>
      </c>
      <c r="AT16" s="2915">
        <f>SUM('ПОЛНАЯ СЕБЕСТОИМОСТЬ ВОДА 2021'!V16)</f>
        <v>0</v>
      </c>
      <c r="AU16" s="2845">
        <f>SUM(AV16:AW16)</f>
        <v>0.53400000000000003</v>
      </c>
      <c r="AV16" s="2852">
        <v>0.53400000000000003</v>
      </c>
      <c r="AW16" s="2852"/>
      <c r="AX16" s="2845">
        <f t="shared" ref="AX16" si="212">SUM(AY16:AZ16)</f>
        <v>0</v>
      </c>
      <c r="AY16" s="2845">
        <f t="shared" si="129"/>
        <v>0</v>
      </c>
      <c r="AZ16" s="2845">
        <f t="shared" si="129"/>
        <v>0</v>
      </c>
      <c r="BA16" s="2845">
        <f t="shared" si="130"/>
        <v>0.47959600000000002</v>
      </c>
      <c r="BB16" s="2915">
        <f>SUM('ПОЛНАЯ СЕБЕСТОИМОСТЬ ВОДА 2021'!X16)</f>
        <v>0.47959600000000002</v>
      </c>
      <c r="BC16" s="2915">
        <f>SUM('ПОЛНАЯ СЕБЕСТОИМОСТЬ ВОДА 2021'!Y16)</f>
        <v>0</v>
      </c>
      <c r="BD16" s="2845">
        <f>SUM(BE16:BF16)</f>
        <v>0.52</v>
      </c>
      <c r="BE16" s="2852">
        <v>0.52</v>
      </c>
      <c r="BF16" s="2852"/>
      <c r="BG16" s="2845">
        <f t="shared" ref="BG16" si="213">SUM(BH16:BI16)</f>
        <v>0</v>
      </c>
      <c r="BH16" s="2845">
        <f t="shared" si="133"/>
        <v>0</v>
      </c>
      <c r="BI16" s="2845">
        <f t="shared" si="133"/>
        <v>0</v>
      </c>
      <c r="BJ16" s="2845">
        <f t="shared" si="134"/>
        <v>0.47299999999999998</v>
      </c>
      <c r="BK16" s="2915">
        <f>SUM('ПОЛНАЯ СЕБЕСТОИМОСТЬ ВОДА 2021'!AA16)</f>
        <v>0.47299999999999998</v>
      </c>
      <c r="BL16" s="2915">
        <f>SUM('ПОЛНАЯ СЕБЕСТОИМОСТЬ ВОДА 2021'!AB16)</f>
        <v>0</v>
      </c>
      <c r="BM16" s="2845">
        <f>SUM(BN16:BO16)</f>
        <v>0.51800000000000002</v>
      </c>
      <c r="BN16" s="2852">
        <v>0.51800000000000002</v>
      </c>
      <c r="BO16" s="2852"/>
      <c r="BP16" s="2846">
        <f t="shared" ref="BP16" si="214">SUM(BQ16:BR16)</f>
        <v>0</v>
      </c>
      <c r="BQ16" s="2846">
        <f t="shared" si="137"/>
        <v>0</v>
      </c>
      <c r="BR16" s="2846">
        <f t="shared" si="137"/>
        <v>0</v>
      </c>
      <c r="BS16" s="2846">
        <f t="shared" ref="BS16" si="215">SUM(BT16:BU16)</f>
        <v>1.4275959999999999</v>
      </c>
      <c r="BT16" s="2846">
        <f t="shared" si="139"/>
        <v>1.4275959999999999</v>
      </c>
      <c r="BU16" s="2846">
        <f t="shared" si="139"/>
        <v>0</v>
      </c>
      <c r="BV16" s="2916">
        <f t="shared" ref="BV16" si="216">SUM(AU16+BD16+BM16)</f>
        <v>1.5720000000000001</v>
      </c>
      <c r="BW16" s="2846">
        <f t="shared" ref="BW16" si="217">SUM(AV16+BE16+BN16)</f>
        <v>1.5720000000000001</v>
      </c>
      <c r="BX16" s="2846">
        <f t="shared" ref="BX16" si="218">SUM(AW16+BF16+BO16)</f>
        <v>0</v>
      </c>
      <c r="BY16" s="2846">
        <f t="shared" ref="BY16" si="219">SUM(BZ16:CA16)</f>
        <v>1.4275959999999999</v>
      </c>
      <c r="BZ16" s="2846">
        <f>SUM(BT16-BQ16)</f>
        <v>1.4275959999999999</v>
      </c>
      <c r="CA16" s="2846">
        <f t="shared" ref="CA16" si="220">SUM(BU16-BR16)</f>
        <v>0</v>
      </c>
      <c r="CB16" s="2846">
        <f t="shared" ref="CB16" si="221">SUM(CC16:CD16)</f>
        <v>0</v>
      </c>
      <c r="CC16" s="2846">
        <f t="shared" si="144"/>
        <v>0</v>
      </c>
      <c r="CD16" s="2846">
        <f t="shared" si="144"/>
        <v>0</v>
      </c>
      <c r="CE16" s="2846">
        <f t="shared" ref="CE16" si="222">SUM(CF16:CG16)</f>
        <v>2.8485959999999997</v>
      </c>
      <c r="CF16" s="2846">
        <f t="shared" ref="CF16" si="223">SUM(AG16+BT16)</f>
        <v>2.8485959999999997</v>
      </c>
      <c r="CG16" s="2846">
        <f t="shared" ref="CG16" si="224">SUM(AH16+BU16)</f>
        <v>0</v>
      </c>
      <c r="CH16" s="2916">
        <f t="shared" ref="CH16" si="225">SUM(AI16+BV16)</f>
        <v>3.2450000000000001</v>
      </c>
      <c r="CI16" s="2916">
        <f t="shared" ref="CI16" si="226">SUM(AJ16+BW16)</f>
        <v>3.2450000000000001</v>
      </c>
      <c r="CJ16" s="2916">
        <f t="shared" ref="CJ16" si="227">SUM(AK16+BX16)</f>
        <v>0</v>
      </c>
      <c r="CK16" s="2846">
        <f t="shared" ref="CK16" si="228">SUM(CL16:CM16)</f>
        <v>2.8485959999999997</v>
      </c>
      <c r="CL16" s="2917">
        <f t="shared" ref="CL16" si="229">SUM(CF16-CC16)</f>
        <v>2.8485959999999997</v>
      </c>
      <c r="CM16" s="2917">
        <f t="shared" ref="CM16" si="230">SUM(CG16-CD16)</f>
        <v>0</v>
      </c>
      <c r="CN16" s="2845">
        <f t="shared" ref="CN16" si="231">SUM(CO16:CP16)</f>
        <v>0</v>
      </c>
      <c r="CO16" s="2845">
        <f t="shared" ref="CO16" si="232">SUM(GA16/12)</f>
        <v>0</v>
      </c>
      <c r="CP16" s="2845">
        <f t="shared" ref="CP16" si="233">SUM(GB16/12)</f>
        <v>0</v>
      </c>
      <c r="CQ16" s="2845">
        <f t="shared" si="151"/>
        <v>0.504</v>
      </c>
      <c r="CR16" s="2915">
        <f>SUM('ПОЛНАЯ СЕБЕСТОИМОСТЬ ВОДА 2021'!AS16)</f>
        <v>0.504</v>
      </c>
      <c r="CS16" s="2915">
        <f>SUM('ПОЛНАЯ СЕБЕСТОИМОСТЬ ВОДА 2021'!AT16)</f>
        <v>0</v>
      </c>
      <c r="CT16" s="2845">
        <f>SUM(CU16:CV16)</f>
        <v>0.52239999999999998</v>
      </c>
      <c r="CU16" s="2852">
        <v>0.52239999999999998</v>
      </c>
      <c r="CV16" s="2852"/>
      <c r="CW16" s="2845">
        <f t="shared" ref="CW16" si="234">SUM(CX16:CY16)</f>
        <v>0</v>
      </c>
      <c r="CX16" s="2845">
        <f t="shared" ref="CX16" si="235">SUM(GA16/12)</f>
        <v>0</v>
      </c>
      <c r="CY16" s="2845">
        <f t="shared" ref="CY16" si="236">SUM(GB16/12)</f>
        <v>0</v>
      </c>
      <c r="CZ16" s="2845">
        <f t="shared" si="156"/>
        <v>0.44800000000000001</v>
      </c>
      <c r="DA16" s="2915">
        <f>SUM('ПОЛНАЯ СЕБЕСТОИМОСТЬ ВОДА 2021'!AV16)</f>
        <v>0.44800000000000001</v>
      </c>
      <c r="DB16" s="2915">
        <f>SUM('ПОЛНАЯ СЕБЕСТОИМОСТЬ ВОДА 2021'!AW16)</f>
        <v>0</v>
      </c>
      <c r="DC16" s="2845">
        <f>SUM(DD16:DE16)</f>
        <v>0.51570000000000005</v>
      </c>
      <c r="DD16" s="2852">
        <v>0.51570000000000005</v>
      </c>
      <c r="DE16" s="2852"/>
      <c r="DF16" s="2845">
        <f t="shared" ref="DF16" si="237">SUM(DG16:DH16)</f>
        <v>0</v>
      </c>
      <c r="DG16" s="2845">
        <f t="shared" ref="DG16" si="238">SUM(GA16/12)</f>
        <v>0</v>
      </c>
      <c r="DH16" s="2845">
        <f t="shared" ref="DH16" si="239">SUM(GB16/12)</f>
        <v>0</v>
      </c>
      <c r="DI16" s="2845">
        <f t="shared" si="161"/>
        <v>0.45400000000000001</v>
      </c>
      <c r="DJ16" s="2915">
        <f>SUM('ПОЛНАЯ СЕБЕСТОИМОСТЬ ВОДА 2021'!AY16)</f>
        <v>0.45400000000000001</v>
      </c>
      <c r="DK16" s="2915">
        <f>SUM('ПОЛНАЯ СЕБЕСТОИМОСТЬ ВОДА 2021'!AZ16)</f>
        <v>0</v>
      </c>
      <c r="DL16" s="2845">
        <f>SUM(DM16:DN16)</f>
        <v>0.51929999999999998</v>
      </c>
      <c r="DM16" s="2852">
        <v>0.51929999999999998</v>
      </c>
      <c r="DN16" s="2852"/>
      <c r="DO16" s="2846">
        <f t="shared" ref="DO16" si="240">SUM(DP16:DQ16)</f>
        <v>0</v>
      </c>
      <c r="DP16" s="2846">
        <f t="shared" si="164"/>
        <v>0</v>
      </c>
      <c r="DQ16" s="2846">
        <f t="shared" si="164"/>
        <v>0</v>
      </c>
      <c r="DR16" s="2846">
        <f t="shared" ref="DR16" si="241">SUM(DS16:DT16)</f>
        <v>1.4059999999999999</v>
      </c>
      <c r="DS16" s="2846">
        <f t="shared" si="166"/>
        <v>1.4059999999999999</v>
      </c>
      <c r="DT16" s="2846">
        <f t="shared" si="166"/>
        <v>0</v>
      </c>
      <c r="DU16" s="2916">
        <f t="shared" ref="DU16" si="242">SUM(CT16+DC16+DL16)</f>
        <v>1.5573999999999999</v>
      </c>
      <c r="DV16" s="2846">
        <f t="shared" ref="DV16" si="243">SUM(CU16+DD16+DM16)</f>
        <v>1.5573999999999999</v>
      </c>
      <c r="DW16" s="2846">
        <f t="shared" ref="DW16" si="244">SUM(CV16+DE16+DN16)</f>
        <v>0</v>
      </c>
      <c r="DX16" s="2846">
        <f t="shared" ref="DX16" si="245">SUM(DY16:DZ16)</f>
        <v>1.4059999999999999</v>
      </c>
      <c r="DY16" s="2917">
        <f t="shared" ref="DY16" si="246">SUM(DS16-DP16)</f>
        <v>1.4059999999999999</v>
      </c>
      <c r="DZ16" s="2917">
        <f t="shared" ref="DZ16" si="247">SUM(DT16-DQ16)</f>
        <v>0</v>
      </c>
      <c r="EA16" s="2846">
        <f t="shared" ref="EA16" si="248">SUM(EB16:EC16)</f>
        <v>0</v>
      </c>
      <c r="EB16" s="2846">
        <f t="shared" ref="EB16" si="249">SUM(CC16+DP16)</f>
        <v>0</v>
      </c>
      <c r="EC16" s="2846">
        <f t="shared" ref="EC16" si="250">SUM(CD16+DQ16)</f>
        <v>0</v>
      </c>
      <c r="ED16" s="2846">
        <f t="shared" ref="ED16" si="251">SUM(EE16:EF16)</f>
        <v>4.2545959999999994</v>
      </c>
      <c r="EE16" s="2846">
        <f t="shared" ref="EE16" si="252">SUM(CF16+DS16)</f>
        <v>4.2545959999999994</v>
      </c>
      <c r="EF16" s="2846">
        <f t="shared" ref="EF16" si="253">SUM(CG16+DT16)</f>
        <v>0</v>
      </c>
      <c r="EG16" s="2846">
        <f t="shared" ref="EG16" si="254">SUM(CH16+DU16)</f>
        <v>4.8024000000000004</v>
      </c>
      <c r="EH16" s="2846">
        <f t="shared" ref="EH16" si="255">SUM(CI16+DV16)</f>
        <v>4.8024000000000004</v>
      </c>
      <c r="EI16" s="2846">
        <f t="shared" ref="EI16" si="256">SUM(CJ16+DW16)</f>
        <v>0</v>
      </c>
      <c r="EJ16" s="2846">
        <f t="shared" ref="EJ16" si="257">SUM(EK16:EL16)</f>
        <v>4.2545959999999994</v>
      </c>
      <c r="EK16" s="2917">
        <f t="shared" ref="EK16" si="258">SUM(EE16-EB16)</f>
        <v>4.2545959999999994</v>
      </c>
      <c r="EL16" s="2917">
        <f t="shared" ref="EL16" si="259">SUM(EF16-EC16)</f>
        <v>0</v>
      </c>
      <c r="EM16" s="2845">
        <f t="shared" ref="EM16" si="260">SUM(EN16:EO16)</f>
        <v>0</v>
      </c>
      <c r="EN16" s="2845">
        <f t="shared" si="175"/>
        <v>0</v>
      </c>
      <c r="EO16" s="2845">
        <f t="shared" si="175"/>
        <v>0</v>
      </c>
      <c r="EP16" s="2845">
        <f t="shared" si="176"/>
        <v>0.441</v>
      </c>
      <c r="EQ16" s="2915">
        <f>SUM('ПОЛНАЯ СЕБЕСТОИМОСТЬ ВОДА 2021'!BQ16)</f>
        <v>0.441</v>
      </c>
      <c r="ER16" s="2915">
        <f>SUM('ПОЛНАЯ СЕБЕСТОИМОСТЬ ВОДА 2021'!BR16)</f>
        <v>0</v>
      </c>
      <c r="ES16" s="2845">
        <f>SUM(ET16:EU16)</f>
        <v>0.53112499999999996</v>
      </c>
      <c r="ET16" s="2852">
        <v>0.53112499999999996</v>
      </c>
      <c r="EU16" s="2852"/>
      <c r="EV16" s="2845">
        <f t="shared" ref="EV16" si="261">SUM(EW16:EX16)</f>
        <v>0</v>
      </c>
      <c r="EW16" s="2845">
        <f t="shared" ref="EW16" si="262">SUM(GA16/12)</f>
        <v>0</v>
      </c>
      <c r="EX16" s="2845">
        <f t="shared" ref="EX16" si="263">SUM(GB16/12)</f>
        <v>0</v>
      </c>
      <c r="EY16" s="2845">
        <f t="shared" si="181"/>
        <v>0.54300000000000004</v>
      </c>
      <c r="EZ16" s="2915">
        <f>SUM('ПОЛНАЯ СЕБЕСТОИМОСТЬ ВОДА 2021'!BT16)</f>
        <v>0.54300000000000004</v>
      </c>
      <c r="FA16" s="2915">
        <f>SUM('ПОЛНАЯ СЕБЕСТОИМОСТЬ ВОДА 2021'!BU16)</f>
        <v>0</v>
      </c>
      <c r="FB16" s="2845">
        <f>SUM(FC16:FD16)</f>
        <v>0.52</v>
      </c>
      <c r="FC16" s="2852">
        <v>0.52</v>
      </c>
      <c r="FD16" s="2852"/>
      <c r="FE16" s="2845">
        <f t="shared" ref="FE16" si="264">SUM(FF16:FG16)</f>
        <v>0</v>
      </c>
      <c r="FF16" s="2845">
        <f t="shared" ref="FF16" si="265">SUM(GA16/12)</f>
        <v>0</v>
      </c>
      <c r="FG16" s="2845">
        <f t="shared" ref="FG16" si="266">SUM(GB16/12)</f>
        <v>0</v>
      </c>
      <c r="FH16" s="2845">
        <f t="shared" si="186"/>
        <v>1.246</v>
      </c>
      <c r="FI16" s="2915">
        <f>SUM('ПОЛНАЯ СЕБЕСТОИМОСТЬ ВОДА 2021'!BW16)</f>
        <v>1.246</v>
      </c>
      <c r="FJ16" s="2915">
        <f>SUM('ПОЛНАЯ СЕБЕСТОИМОСТЬ ВОДА 2021'!BX16)</f>
        <v>0</v>
      </c>
      <c r="FK16" s="2845">
        <f>SUM(FL16:FM16)</f>
        <v>0.47699999999999998</v>
      </c>
      <c r="FL16" s="2852">
        <v>0.47699999999999998</v>
      </c>
      <c r="FM16" s="2852"/>
      <c r="FN16" s="2846">
        <f t="shared" ref="FN16" si="267">SUM(FO16:FP16)</f>
        <v>0</v>
      </c>
      <c r="FO16" s="2846">
        <f t="shared" si="189"/>
        <v>0</v>
      </c>
      <c r="FP16" s="2846">
        <f t="shared" si="189"/>
        <v>0</v>
      </c>
      <c r="FQ16" s="2846">
        <f t="shared" ref="FQ16" si="268">SUM(FR16:FS16)</f>
        <v>2.23</v>
      </c>
      <c r="FR16" s="2846">
        <f t="shared" si="191"/>
        <v>2.23</v>
      </c>
      <c r="FS16" s="2846">
        <f t="shared" si="191"/>
        <v>0</v>
      </c>
      <c r="FT16" s="2916">
        <f t="shared" ref="FT16" si="269">SUM(ES16+FB16+FK16)</f>
        <v>1.5281249999999997</v>
      </c>
      <c r="FU16" s="2916">
        <f t="shared" ref="FU16" si="270">SUM(ET16+FC16+FL16)</f>
        <v>1.5281249999999997</v>
      </c>
      <c r="FV16" s="2916">
        <f t="shared" ref="FV16" si="271">SUM(EU16+FD16+FM16)</f>
        <v>0</v>
      </c>
      <c r="FW16" s="2846">
        <f t="shared" ref="FW16" si="272">SUM(FX16:FY16)</f>
        <v>2.23</v>
      </c>
      <c r="FX16" s="2917">
        <f t="shared" ref="FX16" si="273">SUM(FR16-FO16)</f>
        <v>2.23</v>
      </c>
      <c r="FY16" s="2917">
        <f t="shared" ref="FY16" si="274">SUM(FS16-FP16)</f>
        <v>0</v>
      </c>
      <c r="FZ16" s="2846">
        <f t="shared" si="194"/>
        <v>0</v>
      </c>
      <c r="GA16" s="2846">
        <v>0</v>
      </c>
      <c r="GB16" s="2846">
        <v>0</v>
      </c>
      <c r="GC16" s="2846">
        <f t="shared" ref="GC16" si="275">SUM(GD16:GE16)</f>
        <v>6.4845959999999998</v>
      </c>
      <c r="GD16" s="2916">
        <f t="shared" ref="GD16" si="276">SUM(EE16+FR16)</f>
        <v>6.4845959999999998</v>
      </c>
      <c r="GE16" s="2916">
        <f t="shared" ref="GE16" si="277">SUM(EF16+FS16)</f>
        <v>0</v>
      </c>
      <c r="GF16" s="2916">
        <f>SUM(EG16+FT16)</f>
        <v>6.3305249999999997</v>
      </c>
      <c r="GG16" s="2916">
        <f t="shared" ref="GG16" si="278">SUM(EH16+FU16)</f>
        <v>6.3305249999999997</v>
      </c>
      <c r="GH16" s="2916">
        <f t="shared" ref="GH16" si="279">SUM(EI16+FV16)</f>
        <v>0</v>
      </c>
      <c r="GI16" s="2846">
        <f t="shared" ref="GI16" si="280">SUM(GJ16:GK16)</f>
        <v>6.4845959999999998</v>
      </c>
      <c r="GJ16" s="2917">
        <f t="shared" ref="GJ16" si="281">SUM(GD16-GA16)</f>
        <v>6.4845959999999998</v>
      </c>
      <c r="GK16" s="2917">
        <f t="shared" ref="GK16" si="282">SUM(GE16-GB16)</f>
        <v>0</v>
      </c>
      <c r="GL16" s="565"/>
      <c r="GM16" s="4188">
        <f t="shared" si="13"/>
        <v>0</v>
      </c>
    </row>
    <row r="17" spans="1:195" ht="18.75" x14ac:dyDescent="0.3">
      <c r="A17" s="2842" t="s">
        <v>3678</v>
      </c>
      <c r="B17" s="2845">
        <f t="shared" si="105"/>
        <v>71.66064999999999</v>
      </c>
      <c r="C17" s="2845">
        <f t="shared" si="106"/>
        <v>71.513166666666663</v>
      </c>
      <c r="D17" s="2845">
        <f t="shared" si="106"/>
        <v>0.14748333333333333</v>
      </c>
      <c r="E17" s="2845">
        <f t="shared" ref="E17:E21" si="283">SUM(F17:G17)</f>
        <v>60.510999999999996</v>
      </c>
      <c r="F17" s="2915">
        <f>SUM('ПОЛНАЯ СЕБЕСТОИМОСТЬ ВОДА 2021'!F17)</f>
        <v>60.460999999999999</v>
      </c>
      <c r="G17" s="2915">
        <f>SUM('ПОЛНАЯ СЕБЕСТОИМОСТЬ ВОДА 2021'!G17)</f>
        <v>0.05</v>
      </c>
      <c r="H17" s="2843">
        <f t="shared" si="108"/>
        <v>62.093000000000004</v>
      </c>
      <c r="I17" s="2844">
        <v>62.005000000000003</v>
      </c>
      <c r="J17" s="2844">
        <v>8.7999999999999995E-2</v>
      </c>
      <c r="K17" s="2845">
        <f t="shared" si="109"/>
        <v>71.66064999999999</v>
      </c>
      <c r="L17" s="2845">
        <f t="shared" si="110"/>
        <v>71.513166666666663</v>
      </c>
      <c r="M17" s="2845">
        <f t="shared" si="110"/>
        <v>0.14748333333333333</v>
      </c>
      <c r="N17" s="2845">
        <f t="shared" si="111"/>
        <v>75.629000000000005</v>
      </c>
      <c r="O17" s="2915">
        <f>SUM('ПОЛНАЯ СЕБЕСТОИМОСТЬ ВОДА 2021'!I17)</f>
        <v>75.613</v>
      </c>
      <c r="P17" s="2915">
        <f>SUM('ПОЛНАЯ СЕБЕСТОИМОСТЬ ВОДА 2021'!J17)</f>
        <v>1.6E-2</v>
      </c>
      <c r="Q17" s="2843">
        <f t="shared" si="112"/>
        <v>72.768000000000001</v>
      </c>
      <c r="R17" s="2844">
        <v>72.686000000000007</v>
      </c>
      <c r="S17" s="2852">
        <v>8.2000000000000003E-2</v>
      </c>
      <c r="T17" s="2845">
        <f t="shared" si="113"/>
        <v>71.66064999999999</v>
      </c>
      <c r="U17" s="2845">
        <f t="shared" si="114"/>
        <v>71.513166666666663</v>
      </c>
      <c r="V17" s="2845">
        <f t="shared" si="114"/>
        <v>0.14748333333333333</v>
      </c>
      <c r="W17" s="2845">
        <f t="shared" si="115"/>
        <v>70.626000000000005</v>
      </c>
      <c r="X17" s="2915">
        <f>SUM('ПОЛНАЯ СЕБЕСТОИМОСТЬ ВОДА 2021'!L17)</f>
        <v>70.603999999999999</v>
      </c>
      <c r="Y17" s="2915">
        <f>SUM('ПОЛНАЯ СЕБЕСТОИМОСТЬ ВОДА 2021'!M17)</f>
        <v>2.1999999999999999E-2</v>
      </c>
      <c r="Z17" s="2843">
        <f t="shared" si="116"/>
        <v>66.591999999999999</v>
      </c>
      <c r="AA17" s="2844">
        <v>66.512</v>
      </c>
      <c r="AB17" s="2844">
        <v>0.08</v>
      </c>
      <c r="AC17" s="2846">
        <f t="shared" si="117"/>
        <v>214.98194999999998</v>
      </c>
      <c r="AD17" s="2846">
        <f t="shared" si="118"/>
        <v>214.53949999999998</v>
      </c>
      <c r="AE17" s="2846">
        <f t="shared" si="118"/>
        <v>0.44245000000000001</v>
      </c>
      <c r="AF17" s="2846">
        <f t="shared" si="119"/>
        <v>206.76599999999999</v>
      </c>
      <c r="AG17" s="2846">
        <f t="shared" si="120"/>
        <v>206.678</v>
      </c>
      <c r="AH17" s="2846">
        <f t="shared" si="120"/>
        <v>8.7999999999999995E-2</v>
      </c>
      <c r="AI17" s="2916">
        <f t="shared" si="121"/>
        <v>201.45299999999997</v>
      </c>
      <c r="AJ17" s="2916">
        <f t="shared" si="121"/>
        <v>201.203</v>
      </c>
      <c r="AK17" s="2916">
        <f t="shared" si="121"/>
        <v>0.25</v>
      </c>
      <c r="AL17" s="2846">
        <f t="shared" si="122"/>
        <v>-8.2159499999999781</v>
      </c>
      <c r="AM17" s="2846">
        <f t="shared" ref="AM17" si="284">SUM(AG17-AD17)</f>
        <v>-7.8614999999999782</v>
      </c>
      <c r="AN17" s="2846">
        <f t="shared" si="123"/>
        <v>-0.35445000000000004</v>
      </c>
      <c r="AO17" s="2845">
        <f t="shared" si="124"/>
        <v>71.66064999999999</v>
      </c>
      <c r="AP17" s="2845">
        <f t="shared" si="125"/>
        <v>71.513166666666663</v>
      </c>
      <c r="AQ17" s="2845">
        <f t="shared" si="125"/>
        <v>0.14748333333333333</v>
      </c>
      <c r="AR17" s="2845">
        <f t="shared" si="126"/>
        <v>74.539000000000001</v>
      </c>
      <c r="AS17" s="2915">
        <f>SUM('ПОЛНАЯ СЕБЕСТОИМОСТЬ ВОДА 2021'!U17)</f>
        <v>74.385000000000005</v>
      </c>
      <c r="AT17" s="2915">
        <f>SUM('ПОЛНАЯ СЕБЕСТОИМОСТЬ ВОДА 2021'!V17)</f>
        <v>0.154</v>
      </c>
      <c r="AU17" s="2843">
        <f t="shared" si="127"/>
        <v>61.796999999999997</v>
      </c>
      <c r="AV17" s="2844">
        <v>61.698</v>
      </c>
      <c r="AW17" s="2852">
        <v>9.9000000000000005E-2</v>
      </c>
      <c r="AX17" s="2845">
        <f t="shared" si="128"/>
        <v>71.66064999999999</v>
      </c>
      <c r="AY17" s="2845">
        <f t="shared" si="129"/>
        <v>71.513166666666663</v>
      </c>
      <c r="AZ17" s="2845">
        <f t="shared" si="129"/>
        <v>0.14748333333333333</v>
      </c>
      <c r="BA17" s="2845">
        <f t="shared" si="130"/>
        <v>69.024999999999991</v>
      </c>
      <c r="BB17" s="2915">
        <f>SUM('ПОЛНАЯ СЕБЕСТОИМОСТЬ ВОДА 2021'!X17)</f>
        <v>68.957999999999998</v>
      </c>
      <c r="BC17" s="2915">
        <f>SUM('ПОЛНАЯ СЕБЕСТОИМОСТЬ ВОДА 2021'!Y17)</f>
        <v>6.7000000000000004E-2</v>
      </c>
      <c r="BD17" s="2843">
        <f t="shared" si="131"/>
        <v>50.234000000000002</v>
      </c>
      <c r="BE17" s="2844">
        <v>50.134</v>
      </c>
      <c r="BF17" s="2852">
        <v>0.1</v>
      </c>
      <c r="BG17" s="2845">
        <f t="shared" si="132"/>
        <v>71.66064999999999</v>
      </c>
      <c r="BH17" s="2845">
        <f t="shared" si="133"/>
        <v>71.513166666666663</v>
      </c>
      <c r="BI17" s="2845">
        <f t="shared" si="133"/>
        <v>0.14748333333333333</v>
      </c>
      <c r="BJ17" s="2845">
        <f t="shared" si="134"/>
        <v>73.551000000000002</v>
      </c>
      <c r="BK17" s="2915">
        <f>SUM('ПОЛНАЯ СЕБЕСТОИМОСТЬ ВОДА 2021'!AA17)</f>
        <v>73.445999999999998</v>
      </c>
      <c r="BL17" s="2915">
        <f>SUM('ПОЛНАЯ СЕБЕСТОИМОСТЬ ВОДА 2021'!AB17)</f>
        <v>0.105</v>
      </c>
      <c r="BM17" s="2843">
        <f t="shared" si="135"/>
        <v>59.832000000000001</v>
      </c>
      <c r="BN17" s="2844">
        <v>59.74</v>
      </c>
      <c r="BO17" s="2852">
        <v>9.1999999999999998E-2</v>
      </c>
      <c r="BP17" s="2846">
        <f t="shared" si="136"/>
        <v>214.98194999999998</v>
      </c>
      <c r="BQ17" s="2846">
        <f t="shared" si="137"/>
        <v>214.53949999999998</v>
      </c>
      <c r="BR17" s="2846">
        <f t="shared" si="137"/>
        <v>0.44245000000000001</v>
      </c>
      <c r="BS17" s="2846">
        <f t="shared" si="138"/>
        <v>217.11500000000001</v>
      </c>
      <c r="BT17" s="2846">
        <f t="shared" si="139"/>
        <v>216.78900000000002</v>
      </c>
      <c r="BU17" s="2846">
        <f t="shared" si="139"/>
        <v>0.32600000000000001</v>
      </c>
      <c r="BV17" s="2916">
        <f t="shared" si="140"/>
        <v>171.863</v>
      </c>
      <c r="BW17" s="2846">
        <f t="shared" si="140"/>
        <v>171.572</v>
      </c>
      <c r="BX17" s="2846">
        <f t="shared" si="140"/>
        <v>0.29100000000000004</v>
      </c>
      <c r="BY17" s="2846">
        <f t="shared" si="141"/>
        <v>2.1330500000000403</v>
      </c>
      <c r="BZ17" s="2846">
        <f t="shared" ref="BZ17" si="285">SUM(BT17-BQ17)</f>
        <v>2.2495000000000402</v>
      </c>
      <c r="CA17" s="2846">
        <f t="shared" si="142"/>
        <v>-0.11645</v>
      </c>
      <c r="CB17" s="2846">
        <f t="shared" si="143"/>
        <v>429.96389999999997</v>
      </c>
      <c r="CC17" s="2846">
        <f t="shared" si="144"/>
        <v>429.07899999999995</v>
      </c>
      <c r="CD17" s="2846">
        <f t="shared" si="144"/>
        <v>0.88490000000000002</v>
      </c>
      <c r="CE17" s="2846">
        <f t="shared" si="145"/>
        <v>423.88099999999997</v>
      </c>
      <c r="CF17" s="2846">
        <f t="shared" si="146"/>
        <v>423.46699999999998</v>
      </c>
      <c r="CG17" s="2846">
        <f t="shared" si="146"/>
        <v>0.41400000000000003</v>
      </c>
      <c r="CH17" s="2916">
        <f t="shared" si="146"/>
        <v>373.31599999999997</v>
      </c>
      <c r="CI17" s="2916">
        <f t="shared" si="146"/>
        <v>372.77499999999998</v>
      </c>
      <c r="CJ17" s="2916">
        <f t="shared" si="146"/>
        <v>0.54100000000000004</v>
      </c>
      <c r="CK17" s="2846">
        <f t="shared" si="147"/>
        <v>-6.0828999999999667</v>
      </c>
      <c r="CL17" s="2917">
        <f t="shared" si="3"/>
        <v>-5.6119999999999663</v>
      </c>
      <c r="CM17" s="2917">
        <f t="shared" si="3"/>
        <v>-0.47089999999999999</v>
      </c>
      <c r="CN17" s="2845">
        <f t="shared" si="148"/>
        <v>71.66064999999999</v>
      </c>
      <c r="CO17" s="2845">
        <f t="shared" si="149"/>
        <v>71.513166666666663</v>
      </c>
      <c r="CP17" s="2845">
        <f t="shared" si="150"/>
        <v>0.14748333333333333</v>
      </c>
      <c r="CQ17" s="2845">
        <f t="shared" si="151"/>
        <v>61.969000000000001</v>
      </c>
      <c r="CR17" s="2915">
        <f>SUM('ПОЛНАЯ СЕБЕСТОИМОСТЬ ВОДА 2021'!AS17)</f>
        <v>61.884999999999998</v>
      </c>
      <c r="CS17" s="2915">
        <f>SUM('ПОЛНАЯ СЕБЕСТОИМОСТЬ ВОДА 2021'!AT17)</f>
        <v>8.4000000000000005E-2</v>
      </c>
      <c r="CT17" s="2843">
        <f t="shared" si="152"/>
        <v>58.585000000000001</v>
      </c>
      <c r="CU17" s="2844">
        <v>58.494999999999997</v>
      </c>
      <c r="CV17" s="2844">
        <v>0.09</v>
      </c>
      <c r="CW17" s="2845">
        <f t="shared" si="153"/>
        <v>71.66064999999999</v>
      </c>
      <c r="CX17" s="2845">
        <f t="shared" si="154"/>
        <v>71.513166666666663</v>
      </c>
      <c r="CY17" s="2845">
        <f t="shared" si="155"/>
        <v>0.14748333333333333</v>
      </c>
      <c r="CZ17" s="2845">
        <f t="shared" si="156"/>
        <v>66.372</v>
      </c>
      <c r="DA17" s="2915">
        <f>SUM('ПОЛНАЯ СЕБЕСТОИМОСТЬ ВОДА 2021'!AV17)</f>
        <v>66.296999999999997</v>
      </c>
      <c r="DB17" s="2915">
        <f>SUM('ПОЛНАЯ СЕБЕСТОИМОСТЬ ВОДА 2021'!AW17)</f>
        <v>7.4999999999999997E-2</v>
      </c>
      <c r="DC17" s="2843">
        <f t="shared" si="157"/>
        <v>63.494000000000007</v>
      </c>
      <c r="DD17" s="2844">
        <v>63.465000000000003</v>
      </c>
      <c r="DE17" s="2844">
        <v>2.9000000000000001E-2</v>
      </c>
      <c r="DF17" s="2845">
        <f t="shared" si="158"/>
        <v>71.66064999999999</v>
      </c>
      <c r="DG17" s="2845">
        <f t="shared" si="159"/>
        <v>71.513166666666663</v>
      </c>
      <c r="DH17" s="2845">
        <f t="shared" si="160"/>
        <v>0.14748333333333333</v>
      </c>
      <c r="DI17" s="2845">
        <f t="shared" si="161"/>
        <v>76.216000000000008</v>
      </c>
      <c r="DJ17" s="2915">
        <f>SUM('ПОЛНАЯ СЕБЕСТОИМОСТЬ ВОДА 2021'!AY17)</f>
        <v>76.191000000000003</v>
      </c>
      <c r="DK17" s="2915">
        <f>SUM('ПОЛНАЯ СЕБЕСТОИМОСТЬ ВОДА 2021'!AZ17)</f>
        <v>2.5000000000000001E-2</v>
      </c>
      <c r="DL17" s="2843">
        <f t="shared" si="162"/>
        <v>83.244280000000003</v>
      </c>
      <c r="DM17" s="2844">
        <v>83.178280000000001</v>
      </c>
      <c r="DN17" s="2844">
        <v>6.6000000000000003E-2</v>
      </c>
      <c r="DO17" s="2846">
        <f t="shared" si="163"/>
        <v>214.98194999999998</v>
      </c>
      <c r="DP17" s="2846">
        <f t="shared" si="164"/>
        <v>214.53949999999998</v>
      </c>
      <c r="DQ17" s="2846">
        <f t="shared" si="164"/>
        <v>0.44245000000000001</v>
      </c>
      <c r="DR17" s="2846">
        <f t="shared" si="165"/>
        <v>204.55699999999999</v>
      </c>
      <c r="DS17" s="2846">
        <f t="shared" si="166"/>
        <v>204.37299999999999</v>
      </c>
      <c r="DT17" s="2846">
        <f t="shared" si="166"/>
        <v>0.184</v>
      </c>
      <c r="DU17" s="2916">
        <f t="shared" si="167"/>
        <v>205.32328000000001</v>
      </c>
      <c r="DV17" s="2846">
        <f t="shared" si="167"/>
        <v>205.13828000000001</v>
      </c>
      <c r="DW17" s="2846">
        <f t="shared" si="167"/>
        <v>0.185</v>
      </c>
      <c r="DX17" s="2846">
        <f t="shared" si="168"/>
        <v>-10.424949999999985</v>
      </c>
      <c r="DY17" s="2917">
        <f t="shared" si="5"/>
        <v>-10.166499999999985</v>
      </c>
      <c r="DZ17" s="2917">
        <f t="shared" si="5"/>
        <v>-0.25845000000000001</v>
      </c>
      <c r="EA17" s="2846">
        <f t="shared" si="169"/>
        <v>644.94584999999995</v>
      </c>
      <c r="EB17" s="2846">
        <f t="shared" si="170"/>
        <v>643.61849999999993</v>
      </c>
      <c r="EC17" s="2846">
        <f t="shared" si="170"/>
        <v>1.32735</v>
      </c>
      <c r="ED17" s="2846">
        <f t="shared" si="171"/>
        <v>628.43799999999987</v>
      </c>
      <c r="EE17" s="2846">
        <f t="shared" si="172"/>
        <v>627.83999999999992</v>
      </c>
      <c r="EF17" s="2846">
        <f t="shared" si="172"/>
        <v>0.59800000000000009</v>
      </c>
      <c r="EG17" s="2846">
        <f t="shared" si="172"/>
        <v>578.63927999999999</v>
      </c>
      <c r="EH17" s="2846">
        <f t="shared" si="172"/>
        <v>577.91327999999999</v>
      </c>
      <c r="EI17" s="2846">
        <f t="shared" si="172"/>
        <v>0.72599999999999998</v>
      </c>
      <c r="EJ17" s="2846">
        <f t="shared" si="173"/>
        <v>-16.507850000000008</v>
      </c>
      <c r="EK17" s="2917">
        <f t="shared" si="7"/>
        <v>-15.778500000000008</v>
      </c>
      <c r="EL17" s="2917">
        <f t="shared" si="7"/>
        <v>-0.72934999999999994</v>
      </c>
      <c r="EM17" s="2845">
        <f t="shared" si="174"/>
        <v>71.66064999999999</v>
      </c>
      <c r="EN17" s="2845">
        <f t="shared" si="175"/>
        <v>71.513166666666663</v>
      </c>
      <c r="EO17" s="2845">
        <f t="shared" si="175"/>
        <v>0.14748333333333333</v>
      </c>
      <c r="EP17" s="2845">
        <f t="shared" si="176"/>
        <v>73.271000000000001</v>
      </c>
      <c r="EQ17" s="2915">
        <f>SUM('ПОЛНАЯ СЕБЕСТОИМОСТЬ ВОДА 2021'!BQ17)</f>
        <v>73.244</v>
      </c>
      <c r="ER17" s="2915">
        <f>SUM('ПОЛНАЯ СЕБЕСТОИМОСТЬ ВОДА 2021'!BR17)</f>
        <v>2.7E-2</v>
      </c>
      <c r="ES17" s="2843">
        <f t="shared" si="177"/>
        <v>72.245762999999997</v>
      </c>
      <c r="ET17" s="2844">
        <v>72.188762999999994</v>
      </c>
      <c r="EU17" s="2844">
        <v>5.7000000000000002E-2</v>
      </c>
      <c r="EV17" s="2845">
        <f t="shared" si="178"/>
        <v>71.66064999999999</v>
      </c>
      <c r="EW17" s="2845">
        <f t="shared" si="179"/>
        <v>71.513166666666663</v>
      </c>
      <c r="EX17" s="2845">
        <f t="shared" si="180"/>
        <v>0.14748333333333333</v>
      </c>
      <c r="EY17" s="2845">
        <f t="shared" si="181"/>
        <v>63.855999999999995</v>
      </c>
      <c r="EZ17" s="2915">
        <f>SUM('ПОЛНАЯ СЕБЕСТОИМОСТЬ ВОДА 2021'!BT17)</f>
        <v>63.784999999999997</v>
      </c>
      <c r="FA17" s="2915">
        <f>SUM('ПОЛНАЯ СЕБЕСТОИМОСТЬ ВОДА 2021'!BU17)</f>
        <v>7.0999999999999994E-2</v>
      </c>
      <c r="FB17" s="2843">
        <f t="shared" si="182"/>
        <v>78.745999999999995</v>
      </c>
      <c r="FC17" s="2852">
        <v>78.707999999999998</v>
      </c>
      <c r="FD17" s="2852">
        <v>3.7999999999999999E-2</v>
      </c>
      <c r="FE17" s="2845">
        <f t="shared" si="183"/>
        <v>71.66064999999999</v>
      </c>
      <c r="FF17" s="2845">
        <f t="shared" si="184"/>
        <v>71.513166666666663</v>
      </c>
      <c r="FG17" s="2845">
        <f t="shared" si="185"/>
        <v>0.14748333333333333</v>
      </c>
      <c r="FH17" s="2845">
        <f t="shared" si="186"/>
        <v>76.539999999999992</v>
      </c>
      <c r="FI17" s="2915">
        <f>SUM('ПОЛНАЯ СЕБЕСТОИМОСТЬ ВОДА 2021'!BW17)</f>
        <v>76.453999999999994</v>
      </c>
      <c r="FJ17" s="2915">
        <f>SUM('ПОЛНАЯ СЕБЕСТОИМОСТЬ ВОДА 2021'!BX17)</f>
        <v>8.5999999999999993E-2</v>
      </c>
      <c r="FK17" s="2843">
        <f t="shared" ref="FK17:FK21" si="286">SUM(FL17:FM17)</f>
        <v>75.466999999999999</v>
      </c>
      <c r="FL17" s="2852">
        <v>75.355999999999995</v>
      </c>
      <c r="FM17" s="2852">
        <v>0.111</v>
      </c>
      <c r="FN17" s="2846">
        <f t="shared" si="188"/>
        <v>214.98194999999998</v>
      </c>
      <c r="FO17" s="2846">
        <f t="shared" si="189"/>
        <v>214.53949999999998</v>
      </c>
      <c r="FP17" s="2846">
        <f t="shared" si="189"/>
        <v>0.44245000000000001</v>
      </c>
      <c r="FQ17" s="2846">
        <f t="shared" si="190"/>
        <v>213.667</v>
      </c>
      <c r="FR17" s="2846">
        <f t="shared" si="191"/>
        <v>213.483</v>
      </c>
      <c r="FS17" s="2846">
        <f t="shared" si="191"/>
        <v>0.184</v>
      </c>
      <c r="FT17" s="2916">
        <f t="shared" si="192"/>
        <v>226.45876299999998</v>
      </c>
      <c r="FU17" s="2916">
        <f t="shared" si="192"/>
        <v>226.25276299999999</v>
      </c>
      <c r="FV17" s="2916">
        <f t="shared" si="192"/>
        <v>0.20600000000000002</v>
      </c>
      <c r="FW17" s="2846">
        <f t="shared" si="193"/>
        <v>-1.3149499999999714</v>
      </c>
      <c r="FX17" s="2917">
        <f t="shared" si="9"/>
        <v>-1.0564999999999714</v>
      </c>
      <c r="FY17" s="2917">
        <f t="shared" si="9"/>
        <v>-0.25845000000000001</v>
      </c>
      <c r="FZ17" s="2846">
        <f t="shared" si="194"/>
        <v>859.92780000000005</v>
      </c>
      <c r="GA17" s="2846">
        <f>SUM(объемы!BN52)</f>
        <v>858.15800000000002</v>
      </c>
      <c r="GB17" s="2916">
        <f>SUM(объемы!BO51)</f>
        <v>1.7698</v>
      </c>
      <c r="GC17" s="2846">
        <f t="shared" si="195"/>
        <v>842.1049999999999</v>
      </c>
      <c r="GD17" s="2916">
        <f t="shared" si="196"/>
        <v>841.32299999999987</v>
      </c>
      <c r="GE17" s="2916">
        <f t="shared" si="196"/>
        <v>0.78200000000000003</v>
      </c>
      <c r="GF17" s="2916">
        <f>SUM(EG17+FT17)</f>
        <v>805.09804299999996</v>
      </c>
      <c r="GG17" s="2916">
        <f t="shared" si="197"/>
        <v>804.16604299999995</v>
      </c>
      <c r="GH17" s="2916">
        <f t="shared" si="197"/>
        <v>0.93199999999999994</v>
      </c>
      <c r="GI17" s="2846">
        <f t="shared" si="198"/>
        <v>-17.82280000000015</v>
      </c>
      <c r="GJ17" s="2917">
        <f t="shared" si="12"/>
        <v>-16.83500000000015</v>
      </c>
      <c r="GK17" s="2917">
        <f t="shared" si="12"/>
        <v>-0.98780000000000001</v>
      </c>
      <c r="GL17" s="565"/>
      <c r="GM17" s="4188">
        <f t="shared" si="13"/>
        <v>859.92780000000005</v>
      </c>
    </row>
    <row r="18" spans="1:195" ht="18.75" x14ac:dyDescent="0.3">
      <c r="A18" s="3053" t="s">
        <v>3679</v>
      </c>
      <c r="B18" s="2853">
        <f t="shared" ref="B18:B21" si="287">SUM(C18:D18)</f>
        <v>24.026999999999997</v>
      </c>
      <c r="C18" s="2853">
        <f t="shared" ref="C18:C21" si="288">SUM(GA18/12)</f>
        <v>24.026999999999997</v>
      </c>
      <c r="D18" s="2853">
        <f t="shared" ref="D18:D21" si="289">SUM(GB18/12)</f>
        <v>0</v>
      </c>
      <c r="E18" s="2853">
        <f t="shared" si="283"/>
        <v>15.18</v>
      </c>
      <c r="F18" s="2920">
        <f>SUM('ПОЛНАЯ СЕБЕСТОИМОСТЬ ВОДА 2021'!F18)</f>
        <v>15.18</v>
      </c>
      <c r="G18" s="2920">
        <f>SUM('ПОЛНАЯ СЕБЕСТОИМОСТЬ ВОДА 2021'!G18)</f>
        <v>0</v>
      </c>
      <c r="H18" s="2853">
        <f t="shared" si="108"/>
        <v>19.428000000000001</v>
      </c>
      <c r="I18" s="2853">
        <f>SUM(I19:I21)</f>
        <v>19.428000000000001</v>
      </c>
      <c r="J18" s="2853">
        <f>SUM(J19:J21)</f>
        <v>0</v>
      </c>
      <c r="K18" s="2853">
        <f t="shared" ref="K18:K21" si="290">SUM(L18:M18)</f>
        <v>24.026999999999997</v>
      </c>
      <c r="L18" s="2853">
        <f t="shared" ref="L18:L21" si="291">SUM(GA18/12)</f>
        <v>24.026999999999997</v>
      </c>
      <c r="M18" s="2853">
        <f t="shared" ref="M18:M21" si="292">SUM(GB18/12)</f>
        <v>0</v>
      </c>
      <c r="N18" s="2853">
        <f t="shared" si="111"/>
        <v>31.128</v>
      </c>
      <c r="O18" s="2920">
        <f>SUM('ПОЛНАЯ СЕБЕСТОИМОСТЬ ВОДА 2021'!I18)</f>
        <v>31.128</v>
      </c>
      <c r="P18" s="2920">
        <f>SUM('ПОЛНАЯ СЕБЕСТОИМОСТЬ ВОДА 2021'!J18)</f>
        <v>0</v>
      </c>
      <c r="Q18" s="2853">
        <f t="shared" si="112"/>
        <v>27.563000000000002</v>
      </c>
      <c r="R18" s="2853">
        <f>SUM(R19:R21)</f>
        <v>27.563000000000002</v>
      </c>
      <c r="S18" s="2853">
        <f>SUM(S19:S21)</f>
        <v>0</v>
      </c>
      <c r="T18" s="2853">
        <f t="shared" ref="T18:T21" si="293">SUM(U18:V18)</f>
        <v>24.026999999999997</v>
      </c>
      <c r="U18" s="2853">
        <f t="shared" ref="U18:U21" si="294">SUM(GA18/12)</f>
        <v>24.026999999999997</v>
      </c>
      <c r="V18" s="2853">
        <f t="shared" ref="V18:V21" si="295">SUM(GB18/12)</f>
        <v>0</v>
      </c>
      <c r="W18" s="2853">
        <f t="shared" si="115"/>
        <v>22.718</v>
      </c>
      <c r="X18" s="2920">
        <f>SUM('ПОЛНАЯ СЕБЕСТОИМОСТЬ ВОДА 2021'!L18)</f>
        <v>22.718</v>
      </c>
      <c r="Y18" s="2920">
        <f>SUM('ПОЛНАЯ СЕБЕСТОИМОСТЬ ВОДА 2021'!M18)</f>
        <v>0</v>
      </c>
      <c r="Z18" s="2853">
        <f t="shared" si="116"/>
        <v>25.281000000000002</v>
      </c>
      <c r="AA18" s="2853">
        <f>SUM(AA19:AA21)</f>
        <v>25.281000000000002</v>
      </c>
      <c r="AB18" s="2853">
        <f>SUM(AB19:AB21)</f>
        <v>0</v>
      </c>
      <c r="AC18" s="2856">
        <f t="shared" ref="AC18:AC21" si="296">SUM(AD18:AE18)</f>
        <v>72.080999999999989</v>
      </c>
      <c r="AD18" s="2856">
        <f t="shared" ref="AD18:AD21" si="297">SUM(C18+L18+U18)</f>
        <v>72.080999999999989</v>
      </c>
      <c r="AE18" s="2856">
        <f t="shared" ref="AE18:AE21" si="298">SUM(D18+M18+V18)</f>
        <v>0</v>
      </c>
      <c r="AF18" s="2856">
        <f t="shared" ref="AF18:AF21" si="299">SUM(AG18:AH18)</f>
        <v>69.025999999999996</v>
      </c>
      <c r="AG18" s="2856">
        <f t="shared" ref="AG18:AG21" si="300">SUM(F18+O18+X18)</f>
        <v>69.025999999999996</v>
      </c>
      <c r="AH18" s="2856">
        <f t="shared" ref="AH18:AH21" si="301">SUM(G18+P18+Y18)</f>
        <v>0</v>
      </c>
      <c r="AI18" s="2921">
        <f t="shared" ref="AI18:AI21" si="302">SUM(H18+Q18+Z18)</f>
        <v>72.272000000000006</v>
      </c>
      <c r="AJ18" s="2921">
        <f t="shared" ref="AJ18:AJ21" si="303">SUM(I18+R18+AA18)</f>
        <v>72.272000000000006</v>
      </c>
      <c r="AK18" s="2921">
        <f t="shared" ref="AK18:AK21" si="304">SUM(J18+S18+AB18)</f>
        <v>0</v>
      </c>
      <c r="AL18" s="2856">
        <f t="shared" ref="AL18:AL21" si="305">SUM(AM18:AN18)</f>
        <v>-3.0549999999999926</v>
      </c>
      <c r="AM18" s="2856">
        <f t="shared" ref="AM18:AM21" si="306">SUM(AG18-AD18)</f>
        <v>-3.0549999999999926</v>
      </c>
      <c r="AN18" s="2856">
        <f t="shared" ref="AN18:AN21" si="307">SUM(AH18-AE18)</f>
        <v>0</v>
      </c>
      <c r="AO18" s="2853">
        <f t="shared" ref="AO18:AO21" si="308">SUM(AP18:AQ18)</f>
        <v>24.026999999999997</v>
      </c>
      <c r="AP18" s="2853">
        <f t="shared" ref="AP18:AP21" si="309">SUM(GA18/12)</f>
        <v>24.026999999999997</v>
      </c>
      <c r="AQ18" s="2853">
        <f t="shared" ref="AQ18:AQ21" si="310">SUM(GB18/12)</f>
        <v>0</v>
      </c>
      <c r="AR18" s="2853">
        <f t="shared" si="126"/>
        <v>26.269000000000002</v>
      </c>
      <c r="AS18" s="2920">
        <f>SUM('ПОЛНАЯ СЕБЕСТОИМОСТЬ ВОДА 2021'!U18)</f>
        <v>26.269000000000002</v>
      </c>
      <c r="AT18" s="2920">
        <f>SUM('ПОЛНАЯ СЕБЕСТОИМОСТЬ ВОДА 2021'!V18)</f>
        <v>0</v>
      </c>
      <c r="AU18" s="2853">
        <f t="shared" si="127"/>
        <v>20.478999999999999</v>
      </c>
      <c r="AV18" s="2853">
        <f>SUM(AV19:AV21)</f>
        <v>20.478999999999999</v>
      </c>
      <c r="AW18" s="2853">
        <f>SUM(AW19:AW21)</f>
        <v>0</v>
      </c>
      <c r="AX18" s="2853">
        <f t="shared" ref="AX18:AX21" si="311">SUM(AY18:AZ18)</f>
        <v>24.026999999999997</v>
      </c>
      <c r="AY18" s="2853">
        <f t="shared" ref="AY18:AY21" si="312">SUM(GA18/12)</f>
        <v>24.026999999999997</v>
      </c>
      <c r="AZ18" s="2853">
        <f t="shared" ref="AZ18:AZ21" si="313">SUM(GB18/12)</f>
        <v>0</v>
      </c>
      <c r="BA18" s="2853">
        <f t="shared" si="130"/>
        <v>23.625</v>
      </c>
      <c r="BB18" s="2920">
        <f>SUM('ПОЛНАЯ СЕБЕСТОИМОСТЬ ВОДА 2021'!X18)</f>
        <v>23.625</v>
      </c>
      <c r="BC18" s="2920">
        <f>SUM('ПОЛНАЯ СЕБЕСТОИМОСТЬ ВОДА 2021'!Y18)</f>
        <v>0</v>
      </c>
      <c r="BD18" s="2853">
        <f t="shared" si="131"/>
        <v>15.762</v>
      </c>
      <c r="BE18" s="2853">
        <f>SUM(BE19:BE21)</f>
        <v>15.762</v>
      </c>
      <c r="BF18" s="2853">
        <f>SUM(BF19:BF21)</f>
        <v>0</v>
      </c>
      <c r="BG18" s="2853">
        <f t="shared" ref="BG18:BG21" si="314">SUM(BH18:BI18)</f>
        <v>24.026999999999997</v>
      </c>
      <c r="BH18" s="2853">
        <f t="shared" ref="BH18:BH21" si="315">SUM(GA18/12)</f>
        <v>24.026999999999997</v>
      </c>
      <c r="BI18" s="2853">
        <f t="shared" ref="BI18:BI21" si="316">SUM(GB18/12)</f>
        <v>0</v>
      </c>
      <c r="BJ18" s="2853">
        <f t="shared" si="134"/>
        <v>25.256</v>
      </c>
      <c r="BK18" s="2920">
        <f>SUM('ПОЛНАЯ СЕБЕСТОИМОСТЬ ВОДА 2021'!AA18)</f>
        <v>25.256</v>
      </c>
      <c r="BL18" s="2920">
        <f>SUM('ПОЛНАЯ СЕБЕСТОИМОСТЬ ВОДА 2021'!AB18)</f>
        <v>0</v>
      </c>
      <c r="BM18" s="2853">
        <f t="shared" si="135"/>
        <v>15.747</v>
      </c>
      <c r="BN18" s="2853">
        <f>SUM(BN19:BN21)</f>
        <v>15.747</v>
      </c>
      <c r="BO18" s="2853">
        <f>SUM(BO19:BO21)</f>
        <v>0</v>
      </c>
      <c r="BP18" s="2856">
        <f t="shared" ref="BP18:BP21" si="317">SUM(BQ18:BR18)</f>
        <v>72.080999999999989</v>
      </c>
      <c r="BQ18" s="2856">
        <f t="shared" ref="BQ18:BQ21" si="318">SUM(AP18+AY18+BH18)</f>
        <v>72.080999999999989</v>
      </c>
      <c r="BR18" s="2856">
        <f t="shared" ref="BR18:BR21" si="319">SUM(AQ18+AZ18+BI18)</f>
        <v>0</v>
      </c>
      <c r="BS18" s="2856">
        <f t="shared" ref="BS18:BS21" si="320">SUM(BT18:BU18)</f>
        <v>75.150000000000006</v>
      </c>
      <c r="BT18" s="2856">
        <f t="shared" ref="BT18:BT21" si="321">SUM(AS18+BB18+BK18)</f>
        <v>75.150000000000006</v>
      </c>
      <c r="BU18" s="2856">
        <f t="shared" ref="BU18:BU21" si="322">SUM(AT18+BC18+BL18)</f>
        <v>0</v>
      </c>
      <c r="BV18" s="2921">
        <f t="shared" ref="BV18:BV21" si="323">SUM(AU18+BD18+BM18)</f>
        <v>51.988</v>
      </c>
      <c r="BW18" s="2856">
        <f t="shared" ref="BW18:BW21" si="324">SUM(AV18+BE18+BN18)</f>
        <v>51.988</v>
      </c>
      <c r="BX18" s="2856">
        <f t="shared" ref="BX18:BX21" si="325">SUM(AW18+BF18+BO18)</f>
        <v>0</v>
      </c>
      <c r="BY18" s="2856">
        <f t="shared" ref="BY18:BY21" si="326">SUM(BZ18:CA18)</f>
        <v>3.0690000000000168</v>
      </c>
      <c r="BZ18" s="2856">
        <f t="shared" ref="BZ18:BZ21" si="327">SUM(BT18-BQ18)</f>
        <v>3.0690000000000168</v>
      </c>
      <c r="CA18" s="2856">
        <f t="shared" ref="CA18:CA21" si="328">SUM(BU18-BR18)</f>
        <v>0</v>
      </c>
      <c r="CB18" s="2856">
        <f t="shared" ref="CB18:CB21" si="329">SUM(CC18:CD18)</f>
        <v>144.16199999999998</v>
      </c>
      <c r="CC18" s="2856">
        <f t="shared" ref="CC18:CC21" si="330">SUM(AD18+BQ18)</f>
        <v>144.16199999999998</v>
      </c>
      <c r="CD18" s="2856">
        <f t="shared" ref="CD18:CD21" si="331">SUM(AE18+BR18)</f>
        <v>0</v>
      </c>
      <c r="CE18" s="2856">
        <f t="shared" ref="CE18:CE21" si="332">SUM(CF18:CG18)</f>
        <v>144.17599999999999</v>
      </c>
      <c r="CF18" s="2856">
        <f t="shared" ref="CF18:CF21" si="333">SUM(AG18+BT18)</f>
        <v>144.17599999999999</v>
      </c>
      <c r="CG18" s="2856">
        <f t="shared" ref="CG18:CG21" si="334">SUM(AH18+BU18)</f>
        <v>0</v>
      </c>
      <c r="CH18" s="2921">
        <f t="shared" ref="CH18:CH21" si="335">SUM(AI18+BV18)</f>
        <v>124.26</v>
      </c>
      <c r="CI18" s="2921">
        <f t="shared" ref="CI18:CI21" si="336">SUM(AJ18+BW18)</f>
        <v>124.26</v>
      </c>
      <c r="CJ18" s="2921">
        <f t="shared" ref="CJ18:CJ21" si="337">SUM(AK18+BX18)</f>
        <v>0</v>
      </c>
      <c r="CK18" s="2856">
        <f t="shared" ref="CK18:CK21" si="338">SUM(CL18:CM18)</f>
        <v>1.4000000000010004E-2</v>
      </c>
      <c r="CL18" s="2922">
        <f t="shared" ref="CL18:CL21" si="339">SUM(CF18-CC18)</f>
        <v>1.4000000000010004E-2</v>
      </c>
      <c r="CM18" s="2922">
        <f t="shared" ref="CM18:CM21" si="340">SUM(CG18-CD18)</f>
        <v>0</v>
      </c>
      <c r="CN18" s="2853">
        <f t="shared" ref="CN18:CN21" si="341">SUM(CO18:CP18)</f>
        <v>24.026999999999997</v>
      </c>
      <c r="CO18" s="2853">
        <f t="shared" ref="CO18:CO21" si="342">SUM(GA18/12)</f>
        <v>24.026999999999997</v>
      </c>
      <c r="CP18" s="2853">
        <f t="shared" ref="CP18:CP21" si="343">SUM(GB18/12)</f>
        <v>0</v>
      </c>
      <c r="CQ18" s="2853">
        <f t="shared" si="151"/>
        <v>17.791</v>
      </c>
      <c r="CR18" s="2920">
        <f>SUM('ПОЛНАЯ СЕБЕСТОИМОСТЬ ВОДА 2021'!AS18)</f>
        <v>17.791</v>
      </c>
      <c r="CS18" s="2920">
        <f>SUM('ПОЛНАЯ СЕБЕСТОИМОСТЬ ВОДА 2021'!AT18)</f>
        <v>0</v>
      </c>
      <c r="CT18" s="2853">
        <f t="shared" si="152"/>
        <v>18.714000000000002</v>
      </c>
      <c r="CU18" s="2853">
        <f>SUM(CU19:CU21)</f>
        <v>18.714000000000002</v>
      </c>
      <c r="CV18" s="2853">
        <f>SUM(CV19:CV21)</f>
        <v>0</v>
      </c>
      <c r="CW18" s="2853">
        <f t="shared" ref="CW18:CW21" si="344">SUM(CX18:CY18)</f>
        <v>24.026999999999997</v>
      </c>
      <c r="CX18" s="2853">
        <f t="shared" ref="CX18:CX21" si="345">SUM(GA18/12)</f>
        <v>24.026999999999997</v>
      </c>
      <c r="CY18" s="2853">
        <f t="shared" ref="CY18:CY21" si="346">SUM(GB18/12)</f>
        <v>0</v>
      </c>
      <c r="CZ18" s="2853">
        <f t="shared" si="156"/>
        <v>23.838000000000001</v>
      </c>
      <c r="DA18" s="2920">
        <f>SUM('ПОЛНАЯ СЕБЕСТОИМОСТЬ ВОДА 2021'!AV18)</f>
        <v>23.838000000000001</v>
      </c>
      <c r="DB18" s="2920">
        <f>SUM('ПОЛНАЯ СЕБЕСТОИМОСТЬ ВОДА 2021'!AW18)</f>
        <v>0</v>
      </c>
      <c r="DC18" s="2853">
        <f t="shared" si="157"/>
        <v>17.834699999999998</v>
      </c>
      <c r="DD18" s="2853">
        <f>SUM(DD19:DD21)</f>
        <v>17.834699999999998</v>
      </c>
      <c r="DE18" s="2853">
        <f>SUM(DE19:DE21)</f>
        <v>0</v>
      </c>
      <c r="DF18" s="2853">
        <f t="shared" ref="DF18:DF21" si="347">SUM(DG18:DH18)</f>
        <v>24.026999999999997</v>
      </c>
      <c r="DG18" s="2853">
        <f t="shared" ref="DG18:DG21" si="348">SUM(GA18/12)</f>
        <v>24.026999999999997</v>
      </c>
      <c r="DH18" s="2853">
        <f t="shared" ref="DH18:DH21" si="349">SUM(GB18/12)</f>
        <v>0</v>
      </c>
      <c r="DI18" s="2853">
        <f t="shared" si="161"/>
        <v>23.367999999999999</v>
      </c>
      <c r="DJ18" s="2920">
        <f>SUM('ПОЛНАЯ СЕБЕСТОИМОСТЬ ВОДА 2021'!AY18)</f>
        <v>23.367999999999999</v>
      </c>
      <c r="DK18" s="2920">
        <f>SUM('ПОЛНАЯ СЕБЕСТОИМОСТЬ ВОДА 2021'!AZ18)</f>
        <v>0</v>
      </c>
      <c r="DL18" s="2853">
        <f t="shared" si="162"/>
        <v>26.177999999999997</v>
      </c>
      <c r="DM18" s="2853">
        <f>SUM(DM19:DM21)</f>
        <v>26.177999999999997</v>
      </c>
      <c r="DN18" s="2853">
        <f>SUM(DN19:DN21)</f>
        <v>0</v>
      </c>
      <c r="DO18" s="2856">
        <f t="shared" ref="DO18:DO21" si="350">SUM(DP18:DQ18)</f>
        <v>72.080999999999989</v>
      </c>
      <c r="DP18" s="2856">
        <f t="shared" ref="DP18:DP21" si="351">SUM(CO18+CX18+DG18)</f>
        <v>72.080999999999989</v>
      </c>
      <c r="DQ18" s="2856">
        <f t="shared" ref="DQ18:DQ21" si="352">SUM(CP18+CY18+DH18)</f>
        <v>0</v>
      </c>
      <c r="DR18" s="2856">
        <f t="shared" ref="DR18:DR21" si="353">SUM(DS18:DT18)</f>
        <v>64.997</v>
      </c>
      <c r="DS18" s="2856">
        <f t="shared" ref="DS18:DS21" si="354">SUM(CR18+DA18+DJ18)</f>
        <v>64.997</v>
      </c>
      <c r="DT18" s="2856">
        <f t="shared" ref="DT18:DT21" si="355">SUM(CS18+DB18+DK18)</f>
        <v>0</v>
      </c>
      <c r="DU18" s="2921">
        <f t="shared" ref="DU18:DU21" si="356">SUM(CT18+DC18+DL18)</f>
        <v>62.726699999999994</v>
      </c>
      <c r="DV18" s="2856">
        <f t="shared" ref="DV18:DV21" si="357">SUM(CU18+DD18+DM18)</f>
        <v>62.726699999999994</v>
      </c>
      <c r="DW18" s="2856">
        <f t="shared" ref="DW18:DW21" si="358">SUM(CV18+DE18+DN18)</f>
        <v>0</v>
      </c>
      <c r="DX18" s="2856">
        <f t="shared" ref="DX18:DX21" si="359">SUM(DY18:DZ18)</f>
        <v>-7.083999999999989</v>
      </c>
      <c r="DY18" s="2922">
        <f t="shared" ref="DY18:DY21" si="360">SUM(DS18-DP18)</f>
        <v>-7.083999999999989</v>
      </c>
      <c r="DZ18" s="2922">
        <f t="shared" ref="DZ18:DZ21" si="361">SUM(DT18-DQ18)</f>
        <v>0</v>
      </c>
      <c r="EA18" s="2856">
        <f t="shared" ref="EA18:EA21" si="362">SUM(EB18:EC18)</f>
        <v>216.24299999999997</v>
      </c>
      <c r="EB18" s="2856">
        <f t="shared" ref="EB18:EB21" si="363">SUM(CC18+DP18)</f>
        <v>216.24299999999997</v>
      </c>
      <c r="EC18" s="2856">
        <f t="shared" ref="EC18:EC21" si="364">SUM(CD18+DQ18)</f>
        <v>0</v>
      </c>
      <c r="ED18" s="2856">
        <f t="shared" ref="ED18:ED21" si="365">SUM(EE18:EF18)</f>
        <v>209.173</v>
      </c>
      <c r="EE18" s="2856">
        <f t="shared" ref="EE18:EE21" si="366">SUM(CF18+DS18)</f>
        <v>209.173</v>
      </c>
      <c r="EF18" s="2856">
        <f t="shared" ref="EF18:EF21" si="367">SUM(CG18+DT18)</f>
        <v>0</v>
      </c>
      <c r="EG18" s="2856">
        <f t="shared" ref="EG18:EG21" si="368">SUM(CH18+DU18)</f>
        <v>186.98669999999998</v>
      </c>
      <c r="EH18" s="2856">
        <f t="shared" ref="EH18:EH21" si="369">SUM(CI18+DV18)</f>
        <v>186.98669999999998</v>
      </c>
      <c r="EI18" s="2856">
        <f t="shared" ref="EI18:EI21" si="370">SUM(CJ18+DW18)</f>
        <v>0</v>
      </c>
      <c r="EJ18" s="2856">
        <f t="shared" ref="EJ18:EJ21" si="371">SUM(EK18:EL18)</f>
        <v>-7.0699999999999648</v>
      </c>
      <c r="EK18" s="2922">
        <f t="shared" ref="EK18:EK21" si="372">SUM(EE18-EB18)</f>
        <v>-7.0699999999999648</v>
      </c>
      <c r="EL18" s="2922">
        <f t="shared" ref="EL18:EL21" si="373">SUM(EF18-EC18)</f>
        <v>0</v>
      </c>
      <c r="EM18" s="2853">
        <f t="shared" ref="EM18:EM21" si="374">SUM(EN18:EO18)</f>
        <v>24.026999999999997</v>
      </c>
      <c r="EN18" s="2853">
        <f t="shared" ref="EN18:EN21" si="375">SUM(GA18/12)</f>
        <v>24.026999999999997</v>
      </c>
      <c r="EO18" s="2853">
        <f t="shared" ref="EO18:EO21" si="376">SUM(GB18/12)</f>
        <v>0</v>
      </c>
      <c r="EP18" s="2853">
        <f t="shared" si="176"/>
        <v>27.381999999999998</v>
      </c>
      <c r="EQ18" s="2920">
        <f>SUM('ПОЛНАЯ СЕБЕСТОИМОСТЬ ВОДА 2021'!BQ18)</f>
        <v>27.381999999999998</v>
      </c>
      <c r="ER18" s="2920">
        <f>SUM('ПОЛНАЯ СЕБЕСТОИМОСТЬ ВОДА 2021'!BR18)</f>
        <v>0</v>
      </c>
      <c r="ES18" s="2853">
        <f t="shared" si="177"/>
        <v>25.703381999999998</v>
      </c>
      <c r="ET18" s="2853">
        <f>SUM(ET19:ET21)</f>
        <v>25.703381999999998</v>
      </c>
      <c r="EU18" s="2853">
        <f>SUM(EU19:EU21)</f>
        <v>0</v>
      </c>
      <c r="EV18" s="2853">
        <f t="shared" ref="EV18:EV21" si="377">SUM(EW18:EX18)</f>
        <v>24.026999999999997</v>
      </c>
      <c r="EW18" s="2853">
        <f t="shared" ref="EW18:EW21" si="378">SUM(GA18/12)</f>
        <v>24.026999999999997</v>
      </c>
      <c r="EX18" s="2853">
        <f t="shared" ref="EX18:EX21" si="379">SUM(GB18/12)</f>
        <v>0</v>
      </c>
      <c r="EY18" s="2853">
        <f t="shared" si="181"/>
        <v>21.622</v>
      </c>
      <c r="EZ18" s="2920">
        <f>SUM('ПОЛНАЯ СЕБЕСТОИМОСТЬ ВОДА 2021'!BT18)</f>
        <v>21.622</v>
      </c>
      <c r="FA18" s="2920">
        <f>SUM('ПОЛНАЯ СЕБЕСТОИМОСТЬ ВОДА 2021'!BU18)</f>
        <v>0</v>
      </c>
      <c r="FB18" s="2853">
        <f t="shared" si="182"/>
        <v>27.507999999999999</v>
      </c>
      <c r="FC18" s="2853">
        <f>SUM(FC19:FC21)</f>
        <v>27.507999999999999</v>
      </c>
      <c r="FD18" s="2853">
        <f>SUM(FD19:FD21)</f>
        <v>0</v>
      </c>
      <c r="FE18" s="2853">
        <f t="shared" ref="FE18:FE21" si="380">SUM(FF18:FG18)</f>
        <v>24.026999999999997</v>
      </c>
      <c r="FF18" s="2853">
        <f t="shared" ref="FF18:FF21" si="381">SUM(GA18/12)</f>
        <v>24.026999999999997</v>
      </c>
      <c r="FG18" s="2853">
        <f t="shared" ref="FG18:FG21" si="382">SUM(GB18/12)</f>
        <v>0</v>
      </c>
      <c r="FH18" s="2853">
        <f t="shared" si="186"/>
        <v>30.513000000000002</v>
      </c>
      <c r="FI18" s="2920">
        <f>SUM('ПОЛНАЯ СЕБЕСТОИМОСТЬ ВОДА 2021'!BW18)</f>
        <v>30.513000000000002</v>
      </c>
      <c r="FJ18" s="2920">
        <f>SUM('ПОЛНАЯ СЕБЕСТОИМОСТЬ ВОДА 2021'!BX18)</f>
        <v>0</v>
      </c>
      <c r="FK18" s="2853">
        <f t="shared" si="286"/>
        <v>28.190999999999999</v>
      </c>
      <c r="FL18" s="2853">
        <f>SUM(FL19:FL21)</f>
        <v>28.190999999999999</v>
      </c>
      <c r="FM18" s="2853">
        <f>SUM(FM19:FM21)</f>
        <v>0</v>
      </c>
      <c r="FN18" s="2856">
        <f t="shared" ref="FN18:FN21" si="383">SUM(FO18:FP18)</f>
        <v>72.080999999999989</v>
      </c>
      <c r="FO18" s="2856">
        <f t="shared" ref="FO18:FO21" si="384">SUM(EN18+EW18+FF18)</f>
        <v>72.080999999999989</v>
      </c>
      <c r="FP18" s="2856">
        <f t="shared" ref="FP18:FP21" si="385">SUM(EO18+EX18+FG18)</f>
        <v>0</v>
      </c>
      <c r="FQ18" s="2856">
        <f t="shared" ref="FQ18:FQ21" si="386">SUM(FR18:FS18)</f>
        <v>79.516999999999996</v>
      </c>
      <c r="FR18" s="2856">
        <f t="shared" ref="FR18:FR21" si="387">SUM(EQ18+EZ18+FI18)</f>
        <v>79.516999999999996</v>
      </c>
      <c r="FS18" s="2856">
        <f t="shared" ref="FS18:FS21" si="388">SUM(ER18+FA18+FJ18)</f>
        <v>0</v>
      </c>
      <c r="FT18" s="2921">
        <f t="shared" ref="FT18:FT21" si="389">SUM(ES18+FB18+FK18)</f>
        <v>81.402382000000003</v>
      </c>
      <c r="FU18" s="2921">
        <f t="shared" ref="FU18:FU21" si="390">SUM(ET18+FC18+FL18)</f>
        <v>81.402382000000003</v>
      </c>
      <c r="FV18" s="2921">
        <f t="shared" ref="FV18:FV21" si="391">SUM(EU18+FD18+FM18)</f>
        <v>0</v>
      </c>
      <c r="FW18" s="2856">
        <f t="shared" ref="FW18:FW21" si="392">SUM(FX18:FY18)</f>
        <v>7.436000000000007</v>
      </c>
      <c r="FX18" s="2922">
        <f t="shared" ref="FX18:FX21" si="393">SUM(FR18-FO18)</f>
        <v>7.436000000000007</v>
      </c>
      <c r="FY18" s="2922">
        <f t="shared" ref="FY18:FY21" si="394">SUM(FS18-FP18)</f>
        <v>0</v>
      </c>
      <c r="FZ18" s="2856">
        <f t="shared" ref="FZ18:FZ21" si="395">SUM(GA18:GB18)</f>
        <v>288.32399999999996</v>
      </c>
      <c r="GA18" s="2856">
        <f>SUM(объемы!BN53)</f>
        <v>288.32399999999996</v>
      </c>
      <c r="GB18" s="2921">
        <f>SUM(объемы!BO52)</f>
        <v>0</v>
      </c>
      <c r="GC18" s="2856">
        <f>SUM(GD18:GE18)</f>
        <v>288.69</v>
      </c>
      <c r="GD18" s="2921">
        <f t="shared" ref="GD18:GD21" si="396">SUM(EE18+FR18)</f>
        <v>288.69</v>
      </c>
      <c r="GE18" s="2921">
        <f t="shared" ref="GE18:GE21" si="397">SUM(EF18+FS18)</f>
        <v>0</v>
      </c>
      <c r="GF18" s="2921">
        <f t="shared" ref="GF18:GF21" si="398">SUM(EG18+FT18)</f>
        <v>268.38908199999997</v>
      </c>
      <c r="GG18" s="2921">
        <f t="shared" ref="GG18:GG21" si="399">SUM(EH18+FU18)</f>
        <v>268.38908199999997</v>
      </c>
      <c r="GH18" s="2921">
        <f t="shared" ref="GH18:GH21" si="400">SUM(EI18+FV18)</f>
        <v>0</v>
      </c>
      <c r="GI18" s="2856">
        <f t="shared" ref="GI18:GI21" si="401">SUM(GJ18:GK18)</f>
        <v>0.36600000000004229</v>
      </c>
      <c r="GJ18" s="2922">
        <f t="shared" ref="GJ18:GJ21" si="402">SUM(GD18-GA18)</f>
        <v>0.36600000000004229</v>
      </c>
      <c r="GK18" s="2922">
        <f t="shared" ref="GK18:GK21" si="403">SUM(GE18-GB18)</f>
        <v>0</v>
      </c>
      <c r="GL18" s="565"/>
      <c r="GM18" s="4188">
        <f t="shared" si="13"/>
        <v>288.3239999999999</v>
      </c>
    </row>
    <row r="19" spans="1:195" ht="18.75" x14ac:dyDescent="0.3">
      <c r="A19" s="3054" t="s">
        <v>3681</v>
      </c>
      <c r="B19" s="2853">
        <f t="shared" si="287"/>
        <v>9.2023333333333337</v>
      </c>
      <c r="C19" s="2853">
        <f t="shared" si="288"/>
        <v>9.2023333333333337</v>
      </c>
      <c r="D19" s="2853">
        <f t="shared" si="289"/>
        <v>0</v>
      </c>
      <c r="E19" s="2853">
        <f t="shared" si="283"/>
        <v>1.8420000000000001</v>
      </c>
      <c r="F19" s="2920">
        <f>SUM('ПОЛНАЯ СЕБЕСТОИМОСТЬ ВОДА 2021'!F19)</f>
        <v>1.8420000000000001</v>
      </c>
      <c r="G19" s="2920">
        <f>SUM('ПОЛНАЯ СЕБЕСТОИМОСТЬ ВОДА 2021'!G19)</f>
        <v>0</v>
      </c>
      <c r="H19" s="2853">
        <f t="shared" si="108"/>
        <v>3.9780000000000002</v>
      </c>
      <c r="I19" s="3051">
        <v>3.9780000000000002</v>
      </c>
      <c r="J19" s="3051"/>
      <c r="K19" s="2853">
        <f t="shared" si="290"/>
        <v>9.2023333333333337</v>
      </c>
      <c r="L19" s="2853">
        <f t="shared" si="291"/>
        <v>9.2023333333333337</v>
      </c>
      <c r="M19" s="2853">
        <f t="shared" si="292"/>
        <v>0</v>
      </c>
      <c r="N19" s="2853">
        <f t="shared" si="111"/>
        <v>15.492000000000001</v>
      </c>
      <c r="O19" s="2920">
        <f>SUM('ПОЛНАЯ СЕБЕСТОИМОСТЬ ВОДА 2021'!I19)</f>
        <v>15.492000000000001</v>
      </c>
      <c r="P19" s="2920">
        <f>SUM('ПОЛНАЯ СЕБЕСТОИМОСТЬ ВОДА 2021'!J19)</f>
        <v>0</v>
      </c>
      <c r="Q19" s="2853">
        <f t="shared" si="112"/>
        <v>10.115</v>
      </c>
      <c r="R19" s="3051">
        <v>10.115</v>
      </c>
      <c r="S19" s="3051"/>
      <c r="T19" s="2853">
        <f t="shared" si="293"/>
        <v>9.2023333333333337</v>
      </c>
      <c r="U19" s="2853">
        <f t="shared" si="294"/>
        <v>9.2023333333333337</v>
      </c>
      <c r="V19" s="2853">
        <f t="shared" si="295"/>
        <v>0</v>
      </c>
      <c r="W19" s="2853">
        <f t="shared" si="115"/>
        <v>8.593</v>
      </c>
      <c r="X19" s="2920">
        <f>SUM('ПОЛНАЯ СЕБЕСТОИМОСТЬ ВОДА 2021'!L19)</f>
        <v>8.593</v>
      </c>
      <c r="Y19" s="2920">
        <f>SUM('ПОЛНАЯ СЕБЕСТОИМОСТЬ ВОДА 2021'!M19)</f>
        <v>0</v>
      </c>
      <c r="Z19" s="2853">
        <f t="shared" si="116"/>
        <v>9.52</v>
      </c>
      <c r="AA19" s="3051">
        <v>9.52</v>
      </c>
      <c r="AB19" s="3051"/>
      <c r="AC19" s="2856">
        <f t="shared" si="296"/>
        <v>27.606999999999999</v>
      </c>
      <c r="AD19" s="2856">
        <f t="shared" si="297"/>
        <v>27.606999999999999</v>
      </c>
      <c r="AE19" s="2856">
        <f t="shared" si="298"/>
        <v>0</v>
      </c>
      <c r="AF19" s="2856">
        <f t="shared" si="299"/>
        <v>25.927</v>
      </c>
      <c r="AG19" s="2856">
        <f t="shared" si="300"/>
        <v>25.927</v>
      </c>
      <c r="AH19" s="2856">
        <f t="shared" si="301"/>
        <v>0</v>
      </c>
      <c r="AI19" s="2921">
        <f t="shared" si="302"/>
        <v>23.613</v>
      </c>
      <c r="AJ19" s="2921">
        <f t="shared" si="303"/>
        <v>23.613</v>
      </c>
      <c r="AK19" s="2921">
        <f t="shared" si="304"/>
        <v>0</v>
      </c>
      <c r="AL19" s="2856">
        <f t="shared" si="305"/>
        <v>-1.6799999999999997</v>
      </c>
      <c r="AM19" s="2856">
        <f t="shared" si="306"/>
        <v>-1.6799999999999997</v>
      </c>
      <c r="AN19" s="2856">
        <f t="shared" si="307"/>
        <v>0</v>
      </c>
      <c r="AO19" s="2853">
        <f t="shared" si="308"/>
        <v>9.2023333333333337</v>
      </c>
      <c r="AP19" s="2853">
        <f t="shared" si="309"/>
        <v>9.2023333333333337</v>
      </c>
      <c r="AQ19" s="2853">
        <f t="shared" si="310"/>
        <v>0</v>
      </c>
      <c r="AR19" s="2853">
        <f t="shared" si="126"/>
        <v>9.5</v>
      </c>
      <c r="AS19" s="2920">
        <f>SUM('ПОЛНАЯ СЕБЕСТОИМОСТЬ ВОДА 2021'!U19)</f>
        <v>9.5</v>
      </c>
      <c r="AT19" s="2920">
        <f>SUM('ПОЛНАЯ СЕБЕСТОИМОСТЬ ВОДА 2021'!V19)</f>
        <v>0</v>
      </c>
      <c r="AU19" s="2853">
        <f t="shared" si="127"/>
        <v>9.1259999999999994</v>
      </c>
      <c r="AV19" s="3051">
        <v>9.1259999999999994</v>
      </c>
      <c r="AW19" s="3051"/>
      <c r="AX19" s="2853">
        <f t="shared" si="311"/>
        <v>9.2023333333333337</v>
      </c>
      <c r="AY19" s="2853">
        <f t="shared" si="312"/>
        <v>9.2023333333333337</v>
      </c>
      <c r="AZ19" s="2853">
        <f t="shared" si="313"/>
        <v>0</v>
      </c>
      <c r="BA19" s="2853">
        <f t="shared" si="130"/>
        <v>7.9059999999999997</v>
      </c>
      <c r="BB19" s="2920">
        <f>SUM('ПОЛНАЯ СЕБЕСТОИМОСТЬ ВОДА 2021'!X19)</f>
        <v>7.9059999999999997</v>
      </c>
      <c r="BC19" s="2920">
        <f>SUM('ПОЛНАЯ СЕБЕСТОИМОСТЬ ВОДА 2021'!Y19)</f>
        <v>0</v>
      </c>
      <c r="BD19" s="2853">
        <f t="shared" si="131"/>
        <v>7.5540000000000003</v>
      </c>
      <c r="BE19" s="3051">
        <v>7.5540000000000003</v>
      </c>
      <c r="BF19" s="3051"/>
      <c r="BG19" s="2853">
        <f t="shared" si="314"/>
        <v>9.2023333333333337</v>
      </c>
      <c r="BH19" s="2853">
        <f t="shared" si="315"/>
        <v>9.2023333333333337</v>
      </c>
      <c r="BI19" s="2853">
        <f t="shared" si="316"/>
        <v>0</v>
      </c>
      <c r="BJ19" s="2853">
        <f t="shared" si="134"/>
        <v>7.88</v>
      </c>
      <c r="BK19" s="2920">
        <f>SUM('ПОЛНАЯ СЕБЕСТОИМОСТЬ ВОДА 2021'!AA19)</f>
        <v>7.88</v>
      </c>
      <c r="BL19" s="2920">
        <f>SUM('ПОЛНАЯ СЕБЕСТОИМОСТЬ ВОДА 2021'!AB19)</f>
        <v>0</v>
      </c>
      <c r="BM19" s="2853">
        <f t="shared" si="135"/>
        <v>7.032</v>
      </c>
      <c r="BN19" s="3051">
        <v>7.032</v>
      </c>
      <c r="BO19" s="3051"/>
      <c r="BP19" s="2856">
        <f t="shared" si="317"/>
        <v>27.606999999999999</v>
      </c>
      <c r="BQ19" s="2856">
        <f t="shared" si="318"/>
        <v>27.606999999999999</v>
      </c>
      <c r="BR19" s="2856">
        <f t="shared" si="319"/>
        <v>0</v>
      </c>
      <c r="BS19" s="2856">
        <f t="shared" si="320"/>
        <v>25.285999999999998</v>
      </c>
      <c r="BT19" s="2856">
        <f t="shared" si="321"/>
        <v>25.285999999999998</v>
      </c>
      <c r="BU19" s="2856">
        <f t="shared" si="322"/>
        <v>0</v>
      </c>
      <c r="BV19" s="2921">
        <f t="shared" si="323"/>
        <v>23.712</v>
      </c>
      <c r="BW19" s="2856">
        <f t="shared" si="324"/>
        <v>23.712</v>
      </c>
      <c r="BX19" s="2856">
        <f t="shared" si="325"/>
        <v>0</v>
      </c>
      <c r="BY19" s="2856">
        <f t="shared" si="326"/>
        <v>-2.3210000000000015</v>
      </c>
      <c r="BZ19" s="2856">
        <f t="shared" si="327"/>
        <v>-2.3210000000000015</v>
      </c>
      <c r="CA19" s="2856">
        <f t="shared" si="328"/>
        <v>0</v>
      </c>
      <c r="CB19" s="2856">
        <f t="shared" si="329"/>
        <v>55.213999999999999</v>
      </c>
      <c r="CC19" s="2856">
        <f t="shared" si="330"/>
        <v>55.213999999999999</v>
      </c>
      <c r="CD19" s="2856">
        <f t="shared" si="331"/>
        <v>0</v>
      </c>
      <c r="CE19" s="2856">
        <f t="shared" si="332"/>
        <v>51.212999999999994</v>
      </c>
      <c r="CF19" s="2856">
        <f t="shared" si="333"/>
        <v>51.212999999999994</v>
      </c>
      <c r="CG19" s="2856">
        <f t="shared" si="334"/>
        <v>0</v>
      </c>
      <c r="CH19" s="2921">
        <f t="shared" si="335"/>
        <v>47.325000000000003</v>
      </c>
      <c r="CI19" s="2921">
        <f t="shared" si="336"/>
        <v>47.325000000000003</v>
      </c>
      <c r="CJ19" s="2921">
        <f t="shared" si="337"/>
        <v>0</v>
      </c>
      <c r="CK19" s="2856">
        <f t="shared" si="338"/>
        <v>-4.0010000000000048</v>
      </c>
      <c r="CL19" s="2922">
        <f t="shared" si="339"/>
        <v>-4.0010000000000048</v>
      </c>
      <c r="CM19" s="2922">
        <f t="shared" si="340"/>
        <v>0</v>
      </c>
      <c r="CN19" s="2853">
        <f t="shared" si="341"/>
        <v>9.2023333333333337</v>
      </c>
      <c r="CO19" s="2853">
        <f t="shared" si="342"/>
        <v>9.2023333333333337</v>
      </c>
      <c r="CP19" s="2853">
        <f t="shared" si="343"/>
        <v>0</v>
      </c>
      <c r="CQ19" s="2853">
        <f t="shared" si="151"/>
        <v>7.2140000000000004</v>
      </c>
      <c r="CR19" s="2920">
        <f>SUM('ПОЛНАЯ СЕБЕСТОИМОСТЬ ВОДА 2021'!AS19)</f>
        <v>7.2140000000000004</v>
      </c>
      <c r="CS19" s="2920">
        <f>SUM('ПОЛНАЯ СЕБЕСТОИМОСТЬ ВОДА 2021'!AT19)</f>
        <v>0</v>
      </c>
      <c r="CT19" s="2853">
        <f t="shared" si="152"/>
        <v>8.2929999999999993</v>
      </c>
      <c r="CU19" s="3051">
        <v>8.2929999999999993</v>
      </c>
      <c r="CV19" s="3051"/>
      <c r="CW19" s="2853">
        <f t="shared" si="344"/>
        <v>9.2023333333333337</v>
      </c>
      <c r="CX19" s="2853">
        <f t="shared" si="345"/>
        <v>9.2023333333333337</v>
      </c>
      <c r="CY19" s="2853">
        <f t="shared" si="346"/>
        <v>0</v>
      </c>
      <c r="CZ19" s="2853">
        <f t="shared" si="156"/>
        <v>6.7480000000000002</v>
      </c>
      <c r="DA19" s="2920">
        <f>SUM('ПОЛНАЯ СЕБЕСТОИМОСТЬ ВОДА 2021'!AV19)</f>
        <v>6.7480000000000002</v>
      </c>
      <c r="DB19" s="2920">
        <f>SUM('ПОЛНАЯ СЕБЕСТОИМОСТЬ ВОДА 2021'!AW19)</f>
        <v>0</v>
      </c>
      <c r="DC19" s="2853">
        <f t="shared" si="157"/>
        <v>7.2409999999999997</v>
      </c>
      <c r="DD19" s="3051">
        <f>7.571-0.33</f>
        <v>7.2409999999999997</v>
      </c>
      <c r="DE19" s="3051"/>
      <c r="DF19" s="2853">
        <f t="shared" si="347"/>
        <v>9.2023333333333337</v>
      </c>
      <c r="DG19" s="2853">
        <f t="shared" si="348"/>
        <v>9.2023333333333337</v>
      </c>
      <c r="DH19" s="2853">
        <f t="shared" si="349"/>
        <v>0</v>
      </c>
      <c r="DI19" s="2853">
        <f t="shared" si="161"/>
        <v>8.2460000000000004</v>
      </c>
      <c r="DJ19" s="2920">
        <f>SUM('ПОЛНАЯ СЕБЕСТОИМОСТЬ ВОДА 2021'!AY19)</f>
        <v>8.2460000000000004</v>
      </c>
      <c r="DK19" s="2920">
        <f>SUM('ПОЛНАЯ СЕБЕСТОИМОСТЬ ВОДА 2021'!AZ19)</f>
        <v>0</v>
      </c>
      <c r="DL19" s="2853">
        <f t="shared" si="162"/>
        <v>15.244999999999999</v>
      </c>
      <c r="DM19" s="3051">
        <v>15.244999999999999</v>
      </c>
      <c r="DN19" s="3051"/>
      <c r="DO19" s="2856">
        <f t="shared" si="350"/>
        <v>27.606999999999999</v>
      </c>
      <c r="DP19" s="2856">
        <f t="shared" si="351"/>
        <v>27.606999999999999</v>
      </c>
      <c r="DQ19" s="2856">
        <f t="shared" si="352"/>
        <v>0</v>
      </c>
      <c r="DR19" s="2856">
        <f t="shared" si="353"/>
        <v>22.207999999999998</v>
      </c>
      <c r="DS19" s="2856">
        <f t="shared" si="354"/>
        <v>22.207999999999998</v>
      </c>
      <c r="DT19" s="2856">
        <f t="shared" si="355"/>
        <v>0</v>
      </c>
      <c r="DU19" s="2921">
        <f t="shared" si="356"/>
        <v>30.778999999999996</v>
      </c>
      <c r="DV19" s="2856">
        <f t="shared" si="357"/>
        <v>30.778999999999996</v>
      </c>
      <c r="DW19" s="2856">
        <f t="shared" si="358"/>
        <v>0</v>
      </c>
      <c r="DX19" s="2856">
        <f t="shared" si="359"/>
        <v>-5.3990000000000009</v>
      </c>
      <c r="DY19" s="2922">
        <f t="shared" si="360"/>
        <v>-5.3990000000000009</v>
      </c>
      <c r="DZ19" s="2922">
        <f t="shared" si="361"/>
        <v>0</v>
      </c>
      <c r="EA19" s="2856">
        <f t="shared" si="362"/>
        <v>82.820999999999998</v>
      </c>
      <c r="EB19" s="2856">
        <f t="shared" si="363"/>
        <v>82.820999999999998</v>
      </c>
      <c r="EC19" s="2856">
        <f t="shared" si="364"/>
        <v>0</v>
      </c>
      <c r="ED19" s="2856">
        <f t="shared" si="365"/>
        <v>73.420999999999992</v>
      </c>
      <c r="EE19" s="2856">
        <f t="shared" si="366"/>
        <v>73.420999999999992</v>
      </c>
      <c r="EF19" s="2856">
        <f t="shared" si="367"/>
        <v>0</v>
      </c>
      <c r="EG19" s="2856">
        <f t="shared" si="368"/>
        <v>78.103999999999999</v>
      </c>
      <c r="EH19" s="2856">
        <f t="shared" si="369"/>
        <v>78.103999999999999</v>
      </c>
      <c r="EI19" s="2856">
        <f t="shared" si="370"/>
        <v>0</v>
      </c>
      <c r="EJ19" s="2856">
        <f t="shared" si="371"/>
        <v>-9.4000000000000057</v>
      </c>
      <c r="EK19" s="2922">
        <f t="shared" si="372"/>
        <v>-9.4000000000000057</v>
      </c>
      <c r="EL19" s="2922">
        <f t="shared" si="373"/>
        <v>0</v>
      </c>
      <c r="EM19" s="2853">
        <f t="shared" si="374"/>
        <v>9.2023333333333337</v>
      </c>
      <c r="EN19" s="2853">
        <f t="shared" si="375"/>
        <v>9.2023333333333337</v>
      </c>
      <c r="EO19" s="2853">
        <f t="shared" si="376"/>
        <v>0</v>
      </c>
      <c r="EP19" s="2853">
        <f t="shared" si="176"/>
        <v>9.5169999999999995</v>
      </c>
      <c r="EQ19" s="2920">
        <f>SUM('ПОЛНАЯ СЕБЕСТОИМОСТЬ ВОДА 2021'!BQ19)</f>
        <v>9.5169999999999995</v>
      </c>
      <c r="ER19" s="2920">
        <f>SUM('ПОЛНАЯ СЕБЕСТОИМОСТЬ ВОДА 2021'!BR19)</f>
        <v>0</v>
      </c>
      <c r="ES19" s="2853">
        <f t="shared" si="177"/>
        <v>10.48887</v>
      </c>
      <c r="ET19" s="3051">
        <v>10.48887</v>
      </c>
      <c r="EU19" s="3051"/>
      <c r="EV19" s="2853">
        <f t="shared" si="377"/>
        <v>9.2023333333333337</v>
      </c>
      <c r="EW19" s="2853">
        <f t="shared" si="378"/>
        <v>9.2023333333333337</v>
      </c>
      <c r="EX19" s="2853">
        <f t="shared" si="379"/>
        <v>0</v>
      </c>
      <c r="EY19" s="2853">
        <f t="shared" si="181"/>
        <v>9.6020000000000003</v>
      </c>
      <c r="EZ19" s="2920">
        <f>SUM('ПОЛНАЯ СЕБЕСТОИМОСТЬ ВОДА 2021'!BT19)</f>
        <v>9.6020000000000003</v>
      </c>
      <c r="FA19" s="2920">
        <f>SUM('ПОЛНАЯ СЕБЕСТОИМОСТЬ ВОДА 2021'!BU19)</f>
        <v>0</v>
      </c>
      <c r="FB19" s="2853">
        <f t="shared" si="182"/>
        <v>10.218999999999999</v>
      </c>
      <c r="FC19" s="3051">
        <v>10.218999999999999</v>
      </c>
      <c r="FD19" s="3051"/>
      <c r="FE19" s="2853">
        <f t="shared" si="380"/>
        <v>9.2023333333333337</v>
      </c>
      <c r="FF19" s="2853">
        <f t="shared" si="381"/>
        <v>9.2023333333333337</v>
      </c>
      <c r="FG19" s="2853">
        <f t="shared" si="382"/>
        <v>0</v>
      </c>
      <c r="FH19" s="2853">
        <f t="shared" si="186"/>
        <v>12.736000000000001</v>
      </c>
      <c r="FI19" s="2920">
        <f>SUM('ПОЛНАЯ СЕБЕСТОИМОСТЬ ВОДА 2021'!BW19)</f>
        <v>12.736000000000001</v>
      </c>
      <c r="FJ19" s="2920">
        <f>SUM('ПОЛНАЯ СЕБЕСТОИМОСТЬ ВОДА 2021'!BX19)</f>
        <v>0</v>
      </c>
      <c r="FK19" s="2853">
        <f t="shared" si="286"/>
        <v>11.170999999999999</v>
      </c>
      <c r="FL19" s="3051">
        <v>11.170999999999999</v>
      </c>
      <c r="FM19" s="3051"/>
      <c r="FN19" s="2856">
        <f t="shared" si="383"/>
        <v>27.606999999999999</v>
      </c>
      <c r="FO19" s="2856">
        <f t="shared" si="384"/>
        <v>27.606999999999999</v>
      </c>
      <c r="FP19" s="2856">
        <f t="shared" si="385"/>
        <v>0</v>
      </c>
      <c r="FQ19" s="2856">
        <f t="shared" si="386"/>
        <v>31.855</v>
      </c>
      <c r="FR19" s="2856">
        <f t="shared" si="387"/>
        <v>31.855</v>
      </c>
      <c r="FS19" s="2856">
        <f t="shared" si="388"/>
        <v>0</v>
      </c>
      <c r="FT19" s="2921">
        <f t="shared" si="389"/>
        <v>31.878869999999999</v>
      </c>
      <c r="FU19" s="2921">
        <f t="shared" si="390"/>
        <v>31.878869999999999</v>
      </c>
      <c r="FV19" s="2921">
        <f t="shared" si="391"/>
        <v>0</v>
      </c>
      <c r="FW19" s="2856">
        <f t="shared" si="392"/>
        <v>4.2480000000000011</v>
      </c>
      <c r="FX19" s="2922">
        <f t="shared" si="393"/>
        <v>4.2480000000000011</v>
      </c>
      <c r="FY19" s="2922">
        <f t="shared" si="394"/>
        <v>0</v>
      </c>
      <c r="FZ19" s="2856">
        <f t="shared" si="395"/>
        <v>110.428</v>
      </c>
      <c r="GA19" s="2856">
        <f>SUM(объемы!BN54)</f>
        <v>110.428</v>
      </c>
      <c r="GB19" s="2921">
        <f>SUM(объемы!BO53)</f>
        <v>0</v>
      </c>
      <c r="GC19" s="2856">
        <f t="shared" ref="GC19:GC21" si="404">SUM(GD19:GE19)</f>
        <v>105.276</v>
      </c>
      <c r="GD19" s="2921">
        <f t="shared" si="396"/>
        <v>105.276</v>
      </c>
      <c r="GE19" s="2921">
        <f t="shared" si="397"/>
        <v>0</v>
      </c>
      <c r="GF19" s="2921">
        <f t="shared" si="398"/>
        <v>109.98286999999999</v>
      </c>
      <c r="GG19" s="2921">
        <f t="shared" si="399"/>
        <v>109.98286999999999</v>
      </c>
      <c r="GH19" s="2921">
        <f t="shared" si="400"/>
        <v>0</v>
      </c>
      <c r="GI19" s="2856">
        <f t="shared" si="401"/>
        <v>-5.152000000000001</v>
      </c>
      <c r="GJ19" s="2922">
        <f t="shared" si="402"/>
        <v>-5.152000000000001</v>
      </c>
      <c r="GK19" s="2922">
        <f t="shared" si="403"/>
        <v>0</v>
      </c>
      <c r="GL19" s="565"/>
      <c r="GM19" s="4188">
        <f t="shared" si="13"/>
        <v>110.42799999999998</v>
      </c>
    </row>
    <row r="20" spans="1:195" ht="18.75" x14ac:dyDescent="0.3">
      <c r="A20" s="3054" t="s">
        <v>3680</v>
      </c>
      <c r="B20" s="2853">
        <f t="shared" si="287"/>
        <v>7.0880000000000001</v>
      </c>
      <c r="C20" s="2853">
        <f t="shared" si="288"/>
        <v>7.0880000000000001</v>
      </c>
      <c r="D20" s="2853">
        <f t="shared" si="289"/>
        <v>0</v>
      </c>
      <c r="E20" s="2853">
        <f t="shared" si="283"/>
        <v>7.6959999999999997</v>
      </c>
      <c r="F20" s="2920">
        <f>SUM('ПОЛНАЯ СЕБЕСТОИМОСТЬ ВОДА 2021'!F20)</f>
        <v>7.6959999999999997</v>
      </c>
      <c r="G20" s="2920">
        <f>SUM('ПОЛНАЯ СЕБЕСТОИМОСТЬ ВОДА 2021'!G20)</f>
        <v>0</v>
      </c>
      <c r="H20" s="2853">
        <f t="shared" si="108"/>
        <v>7.2679999999999998</v>
      </c>
      <c r="I20" s="3051">
        <v>7.2679999999999998</v>
      </c>
      <c r="J20" s="3051"/>
      <c r="K20" s="2853">
        <f t="shared" si="290"/>
        <v>7.0880000000000001</v>
      </c>
      <c r="L20" s="2853">
        <f t="shared" si="291"/>
        <v>7.0880000000000001</v>
      </c>
      <c r="M20" s="2853">
        <f t="shared" si="292"/>
        <v>0</v>
      </c>
      <c r="N20" s="2853">
        <f t="shared" si="111"/>
        <v>8.0289999999999999</v>
      </c>
      <c r="O20" s="2920">
        <f>SUM('ПОЛНАЯ СЕБЕСТОИМОСТЬ ВОДА 2021'!I20)</f>
        <v>8.0289999999999999</v>
      </c>
      <c r="P20" s="2920">
        <f>SUM('ПОЛНАЯ СЕБЕСТОИМОСТЬ ВОДА 2021'!J20)</f>
        <v>0</v>
      </c>
      <c r="Q20" s="2853">
        <f t="shared" si="112"/>
        <v>7.5919999999999996</v>
      </c>
      <c r="R20" s="3051">
        <v>7.5919999999999996</v>
      </c>
      <c r="S20" s="3051"/>
      <c r="T20" s="2853">
        <f t="shared" si="293"/>
        <v>7.0880000000000001</v>
      </c>
      <c r="U20" s="2853">
        <f t="shared" si="294"/>
        <v>7.0880000000000001</v>
      </c>
      <c r="V20" s="2853">
        <f t="shared" si="295"/>
        <v>0</v>
      </c>
      <c r="W20" s="2853">
        <f t="shared" si="115"/>
        <v>7.4649999999999999</v>
      </c>
      <c r="X20" s="2920">
        <f>SUM('ПОЛНАЯ СЕБЕСТОИМОСТЬ ВОДА 2021'!L20)</f>
        <v>7.4649999999999999</v>
      </c>
      <c r="Y20" s="2920">
        <f>SUM('ПОЛНАЯ СЕБЕСТОИМОСТЬ ВОДА 2021'!M20)</f>
        <v>0</v>
      </c>
      <c r="Z20" s="2853">
        <f t="shared" si="116"/>
        <v>7.2110000000000003</v>
      </c>
      <c r="AA20" s="3051">
        <v>7.2110000000000003</v>
      </c>
      <c r="AB20" s="3051"/>
      <c r="AC20" s="2856">
        <f t="shared" si="296"/>
        <v>21.263999999999999</v>
      </c>
      <c r="AD20" s="2856">
        <f t="shared" si="297"/>
        <v>21.263999999999999</v>
      </c>
      <c r="AE20" s="2856">
        <f t="shared" si="298"/>
        <v>0</v>
      </c>
      <c r="AF20" s="2856">
        <f t="shared" si="299"/>
        <v>23.189999999999998</v>
      </c>
      <c r="AG20" s="2856">
        <f t="shared" si="300"/>
        <v>23.189999999999998</v>
      </c>
      <c r="AH20" s="2856">
        <f t="shared" si="301"/>
        <v>0</v>
      </c>
      <c r="AI20" s="2921">
        <f t="shared" si="302"/>
        <v>22.070999999999998</v>
      </c>
      <c r="AJ20" s="2921">
        <f t="shared" si="303"/>
        <v>22.070999999999998</v>
      </c>
      <c r="AK20" s="2921">
        <f t="shared" si="304"/>
        <v>0</v>
      </c>
      <c r="AL20" s="2856">
        <f t="shared" si="305"/>
        <v>1.9259999999999984</v>
      </c>
      <c r="AM20" s="2856">
        <f t="shared" si="306"/>
        <v>1.9259999999999984</v>
      </c>
      <c r="AN20" s="2856">
        <f t="shared" si="307"/>
        <v>0</v>
      </c>
      <c r="AO20" s="2853">
        <f t="shared" si="308"/>
        <v>7.0880000000000001</v>
      </c>
      <c r="AP20" s="2853">
        <f t="shared" si="309"/>
        <v>7.0880000000000001</v>
      </c>
      <c r="AQ20" s="2853">
        <f t="shared" si="310"/>
        <v>0</v>
      </c>
      <c r="AR20" s="2853">
        <f t="shared" si="126"/>
        <v>8.673</v>
      </c>
      <c r="AS20" s="2920">
        <f>SUM('ПОЛНАЯ СЕБЕСТОИМОСТЬ ВОДА 2021'!U20)</f>
        <v>8.673</v>
      </c>
      <c r="AT20" s="2920">
        <f>SUM('ПОЛНАЯ СЕБЕСТОИМОСТЬ ВОДА 2021'!V20)</f>
        <v>0</v>
      </c>
      <c r="AU20" s="2853">
        <f t="shared" si="127"/>
        <v>6.7439999999999998</v>
      </c>
      <c r="AV20" s="3051">
        <v>6.7439999999999998</v>
      </c>
      <c r="AW20" s="3051"/>
      <c r="AX20" s="2853">
        <f t="shared" si="311"/>
        <v>7.0880000000000001</v>
      </c>
      <c r="AY20" s="2853">
        <f t="shared" si="312"/>
        <v>7.0880000000000001</v>
      </c>
      <c r="AZ20" s="2853">
        <f t="shared" si="313"/>
        <v>0</v>
      </c>
      <c r="BA20" s="2853">
        <f t="shared" si="130"/>
        <v>8.6310000000000002</v>
      </c>
      <c r="BB20" s="2920">
        <f>SUM('ПОЛНАЯ СЕБЕСТОИМОСТЬ ВОДА 2021'!X20)</f>
        <v>8.6310000000000002</v>
      </c>
      <c r="BC20" s="2920">
        <f>SUM('ПОЛНАЯ СЕБЕСТОИМОСТЬ ВОДА 2021'!Y20)</f>
        <v>0</v>
      </c>
      <c r="BD20" s="2853">
        <f t="shared" si="131"/>
        <v>6.1</v>
      </c>
      <c r="BE20" s="3051">
        <v>6.1</v>
      </c>
      <c r="BF20" s="3051"/>
      <c r="BG20" s="2853">
        <f t="shared" si="314"/>
        <v>7.0880000000000001</v>
      </c>
      <c r="BH20" s="2853">
        <f t="shared" si="315"/>
        <v>7.0880000000000001</v>
      </c>
      <c r="BI20" s="2853">
        <f t="shared" si="316"/>
        <v>0</v>
      </c>
      <c r="BJ20" s="2853">
        <f t="shared" si="134"/>
        <v>10.673999999999999</v>
      </c>
      <c r="BK20" s="2920">
        <f>SUM('ПОЛНАЯ СЕБЕСТОИМОСТЬ ВОДА 2021'!AA20)</f>
        <v>10.673999999999999</v>
      </c>
      <c r="BL20" s="2920">
        <f>SUM('ПОЛНАЯ СЕБЕСТОИМОСТЬ ВОДА 2021'!AB20)</f>
        <v>0</v>
      </c>
      <c r="BM20" s="2853">
        <f t="shared" si="135"/>
        <v>5.7960000000000003</v>
      </c>
      <c r="BN20" s="3051">
        <v>5.7960000000000003</v>
      </c>
      <c r="BO20" s="3051"/>
      <c r="BP20" s="2856">
        <f t="shared" si="317"/>
        <v>21.263999999999999</v>
      </c>
      <c r="BQ20" s="2856">
        <f t="shared" si="318"/>
        <v>21.263999999999999</v>
      </c>
      <c r="BR20" s="2856">
        <f t="shared" si="319"/>
        <v>0</v>
      </c>
      <c r="BS20" s="2856">
        <f t="shared" si="320"/>
        <v>27.978000000000002</v>
      </c>
      <c r="BT20" s="2856">
        <f t="shared" si="321"/>
        <v>27.978000000000002</v>
      </c>
      <c r="BU20" s="2856">
        <f t="shared" si="322"/>
        <v>0</v>
      </c>
      <c r="BV20" s="2921">
        <f t="shared" si="323"/>
        <v>18.64</v>
      </c>
      <c r="BW20" s="2856">
        <f t="shared" si="324"/>
        <v>18.64</v>
      </c>
      <c r="BX20" s="2856">
        <f t="shared" si="325"/>
        <v>0</v>
      </c>
      <c r="BY20" s="2856">
        <f t="shared" si="326"/>
        <v>6.7140000000000022</v>
      </c>
      <c r="BZ20" s="2856">
        <f t="shared" si="327"/>
        <v>6.7140000000000022</v>
      </c>
      <c r="CA20" s="2856">
        <f t="shared" si="328"/>
        <v>0</v>
      </c>
      <c r="CB20" s="2856">
        <f t="shared" si="329"/>
        <v>42.527999999999999</v>
      </c>
      <c r="CC20" s="2856">
        <f t="shared" si="330"/>
        <v>42.527999999999999</v>
      </c>
      <c r="CD20" s="2856">
        <f t="shared" si="331"/>
        <v>0</v>
      </c>
      <c r="CE20" s="2856">
        <f t="shared" si="332"/>
        <v>51.167999999999999</v>
      </c>
      <c r="CF20" s="2856">
        <f t="shared" si="333"/>
        <v>51.167999999999999</v>
      </c>
      <c r="CG20" s="2856">
        <f t="shared" si="334"/>
        <v>0</v>
      </c>
      <c r="CH20" s="2921">
        <f t="shared" si="335"/>
        <v>40.710999999999999</v>
      </c>
      <c r="CI20" s="2921">
        <f t="shared" si="336"/>
        <v>40.710999999999999</v>
      </c>
      <c r="CJ20" s="2921">
        <f t="shared" si="337"/>
        <v>0</v>
      </c>
      <c r="CK20" s="2856">
        <f t="shared" si="338"/>
        <v>8.64</v>
      </c>
      <c r="CL20" s="2922">
        <f t="shared" si="339"/>
        <v>8.64</v>
      </c>
      <c r="CM20" s="2922">
        <f t="shared" si="340"/>
        <v>0</v>
      </c>
      <c r="CN20" s="2853">
        <f t="shared" si="341"/>
        <v>7.0880000000000001</v>
      </c>
      <c r="CO20" s="2853">
        <f t="shared" si="342"/>
        <v>7.0880000000000001</v>
      </c>
      <c r="CP20" s="2853">
        <f t="shared" si="343"/>
        <v>0</v>
      </c>
      <c r="CQ20" s="2853">
        <f t="shared" si="151"/>
        <v>6.4980000000000002</v>
      </c>
      <c r="CR20" s="2920">
        <f>SUM('ПОЛНАЯ СЕБЕСТОИМОСТЬ ВОДА 2021'!AS20)</f>
        <v>6.4980000000000002</v>
      </c>
      <c r="CS20" s="2920">
        <f>SUM('ПОЛНАЯ СЕБЕСТОИМОСТЬ ВОДА 2021'!AT20)</f>
        <v>0</v>
      </c>
      <c r="CT20" s="2853">
        <f t="shared" si="152"/>
        <v>7.74</v>
      </c>
      <c r="CU20" s="3051">
        <v>7.74</v>
      </c>
      <c r="CV20" s="3051"/>
      <c r="CW20" s="2853">
        <f t="shared" si="344"/>
        <v>7.0880000000000001</v>
      </c>
      <c r="CX20" s="2853">
        <f t="shared" si="345"/>
        <v>7.0880000000000001</v>
      </c>
      <c r="CY20" s="2853">
        <f t="shared" si="346"/>
        <v>0</v>
      </c>
      <c r="CZ20" s="2853">
        <f t="shared" si="156"/>
        <v>13.285</v>
      </c>
      <c r="DA20" s="2920">
        <f>SUM('ПОЛНАЯ СЕБЕСТОИМОСТЬ ВОДА 2021'!AV20)</f>
        <v>13.285</v>
      </c>
      <c r="DB20" s="2920">
        <f>SUM('ПОЛНАЯ СЕБЕСТОИМОСТЬ ВОДА 2021'!AW20)</f>
        <v>0</v>
      </c>
      <c r="DC20" s="2853">
        <f t="shared" si="157"/>
        <v>6.9989999999999997</v>
      </c>
      <c r="DD20" s="3051">
        <v>6.9989999999999997</v>
      </c>
      <c r="DE20" s="3051"/>
      <c r="DF20" s="2853">
        <f t="shared" si="347"/>
        <v>7.0880000000000001</v>
      </c>
      <c r="DG20" s="2853">
        <f t="shared" si="348"/>
        <v>7.0880000000000001</v>
      </c>
      <c r="DH20" s="2853">
        <f t="shared" si="349"/>
        <v>0</v>
      </c>
      <c r="DI20" s="2853">
        <f t="shared" si="161"/>
        <v>10.419</v>
      </c>
      <c r="DJ20" s="2920">
        <f>SUM('ПОЛНАЯ СЕБЕСТОИМОСТЬ ВОДА 2021'!AY20)</f>
        <v>10.419</v>
      </c>
      <c r="DK20" s="2920">
        <f>SUM('ПОЛНАЯ СЕБЕСТОИМОСТЬ ВОДА 2021'!AZ20)</f>
        <v>0</v>
      </c>
      <c r="DL20" s="2853">
        <f t="shared" si="162"/>
        <v>5.9080000000000004</v>
      </c>
      <c r="DM20" s="3051">
        <v>5.9080000000000004</v>
      </c>
      <c r="DN20" s="3051"/>
      <c r="DO20" s="2856">
        <f t="shared" si="350"/>
        <v>21.263999999999999</v>
      </c>
      <c r="DP20" s="2856">
        <f t="shared" si="351"/>
        <v>21.263999999999999</v>
      </c>
      <c r="DQ20" s="2856">
        <f t="shared" si="352"/>
        <v>0</v>
      </c>
      <c r="DR20" s="2856">
        <f t="shared" si="353"/>
        <v>30.202000000000002</v>
      </c>
      <c r="DS20" s="2856">
        <f t="shared" si="354"/>
        <v>30.202000000000002</v>
      </c>
      <c r="DT20" s="2856">
        <f t="shared" si="355"/>
        <v>0</v>
      </c>
      <c r="DU20" s="2921">
        <f t="shared" si="356"/>
        <v>20.647000000000002</v>
      </c>
      <c r="DV20" s="2856">
        <f t="shared" si="357"/>
        <v>20.647000000000002</v>
      </c>
      <c r="DW20" s="2856">
        <f t="shared" si="358"/>
        <v>0</v>
      </c>
      <c r="DX20" s="2856">
        <f t="shared" si="359"/>
        <v>8.9380000000000024</v>
      </c>
      <c r="DY20" s="2922">
        <f t="shared" si="360"/>
        <v>8.9380000000000024</v>
      </c>
      <c r="DZ20" s="2922">
        <f t="shared" si="361"/>
        <v>0</v>
      </c>
      <c r="EA20" s="2856">
        <f t="shared" si="362"/>
        <v>63.792000000000002</v>
      </c>
      <c r="EB20" s="2856">
        <f t="shared" si="363"/>
        <v>63.792000000000002</v>
      </c>
      <c r="EC20" s="2856">
        <f t="shared" si="364"/>
        <v>0</v>
      </c>
      <c r="ED20" s="2856">
        <f t="shared" si="365"/>
        <v>81.37</v>
      </c>
      <c r="EE20" s="2856">
        <f t="shared" si="366"/>
        <v>81.37</v>
      </c>
      <c r="EF20" s="2856">
        <f t="shared" si="367"/>
        <v>0</v>
      </c>
      <c r="EG20" s="2856">
        <f t="shared" si="368"/>
        <v>61.358000000000004</v>
      </c>
      <c r="EH20" s="2856">
        <f t="shared" si="369"/>
        <v>61.358000000000004</v>
      </c>
      <c r="EI20" s="2856">
        <f t="shared" si="370"/>
        <v>0</v>
      </c>
      <c r="EJ20" s="2856">
        <f t="shared" si="371"/>
        <v>17.578000000000003</v>
      </c>
      <c r="EK20" s="2922">
        <f t="shared" si="372"/>
        <v>17.578000000000003</v>
      </c>
      <c r="EL20" s="2922">
        <f t="shared" si="373"/>
        <v>0</v>
      </c>
      <c r="EM20" s="2853">
        <f t="shared" si="374"/>
        <v>7.0880000000000001</v>
      </c>
      <c r="EN20" s="2853">
        <f t="shared" si="375"/>
        <v>7.0880000000000001</v>
      </c>
      <c r="EO20" s="2853">
        <f t="shared" si="376"/>
        <v>0</v>
      </c>
      <c r="EP20" s="2853">
        <f t="shared" si="176"/>
        <v>10.544</v>
      </c>
      <c r="EQ20" s="2920">
        <f>SUM('ПОЛНАЯ СЕБЕСТОИМОСТЬ ВОДА 2021'!BQ20)</f>
        <v>10.544</v>
      </c>
      <c r="ER20" s="2920">
        <f>SUM('ПОЛНАЯ СЕБЕСТОИМОСТЬ ВОДА 2021'!BR20)</f>
        <v>0</v>
      </c>
      <c r="ES20" s="2853">
        <f t="shared" si="177"/>
        <v>6.115812</v>
      </c>
      <c r="ET20" s="3051">
        <v>6.115812</v>
      </c>
      <c r="EU20" s="3051"/>
      <c r="EV20" s="2853">
        <f t="shared" si="377"/>
        <v>7.0880000000000001</v>
      </c>
      <c r="EW20" s="2853">
        <f t="shared" si="378"/>
        <v>7.0880000000000001</v>
      </c>
      <c r="EX20" s="2853">
        <f t="shared" si="379"/>
        <v>0</v>
      </c>
      <c r="EY20" s="2853">
        <f t="shared" si="181"/>
        <v>4.0220000000000002</v>
      </c>
      <c r="EZ20" s="2920">
        <f>SUM('ПОЛНАЯ СЕБЕСТОИМОСТЬ ВОДА 2021'!BT20)</f>
        <v>4.0220000000000002</v>
      </c>
      <c r="FA20" s="2920">
        <f>SUM('ПОЛНАЯ СЕБЕСТОИМОСТЬ ВОДА 2021'!BU20)</f>
        <v>0</v>
      </c>
      <c r="FB20" s="2853">
        <f t="shared" si="182"/>
        <v>7.4779999999999998</v>
      </c>
      <c r="FC20" s="3051">
        <v>7.4779999999999998</v>
      </c>
      <c r="FD20" s="3051"/>
      <c r="FE20" s="2853">
        <f t="shared" si="380"/>
        <v>7.0880000000000001</v>
      </c>
      <c r="FF20" s="2853">
        <f t="shared" si="381"/>
        <v>7.0880000000000001</v>
      </c>
      <c r="FG20" s="2853">
        <f t="shared" si="382"/>
        <v>0</v>
      </c>
      <c r="FH20" s="2853">
        <f t="shared" si="186"/>
        <v>9.5069999999999997</v>
      </c>
      <c r="FI20" s="2920">
        <f>SUM('ПОЛНАЯ СЕБЕСТОИМОСТЬ ВОДА 2021'!BW20)</f>
        <v>9.5069999999999997</v>
      </c>
      <c r="FJ20" s="2920">
        <f>SUM('ПОЛНАЯ СЕБЕСТОИМОСТЬ ВОДА 2021'!BX20)</f>
        <v>0</v>
      </c>
      <c r="FK20" s="2853">
        <f t="shared" si="286"/>
        <v>6.2990000000000004</v>
      </c>
      <c r="FL20" s="3051">
        <v>6.2990000000000004</v>
      </c>
      <c r="FM20" s="3051"/>
      <c r="FN20" s="2856">
        <f t="shared" si="383"/>
        <v>21.263999999999999</v>
      </c>
      <c r="FO20" s="2856">
        <f t="shared" si="384"/>
        <v>21.263999999999999</v>
      </c>
      <c r="FP20" s="2856">
        <f t="shared" si="385"/>
        <v>0</v>
      </c>
      <c r="FQ20" s="2856">
        <f t="shared" si="386"/>
        <v>24.073</v>
      </c>
      <c r="FR20" s="2856">
        <f t="shared" si="387"/>
        <v>24.073</v>
      </c>
      <c r="FS20" s="2856">
        <f t="shared" si="388"/>
        <v>0</v>
      </c>
      <c r="FT20" s="2921">
        <f t="shared" si="389"/>
        <v>19.892811999999999</v>
      </c>
      <c r="FU20" s="2921">
        <f t="shared" si="390"/>
        <v>19.892811999999999</v>
      </c>
      <c r="FV20" s="2921">
        <f t="shared" si="391"/>
        <v>0</v>
      </c>
      <c r="FW20" s="2856">
        <f t="shared" si="392"/>
        <v>2.8090000000000011</v>
      </c>
      <c r="FX20" s="2922">
        <f t="shared" si="393"/>
        <v>2.8090000000000011</v>
      </c>
      <c r="FY20" s="2922">
        <f t="shared" si="394"/>
        <v>0</v>
      </c>
      <c r="FZ20" s="2856">
        <f t="shared" si="395"/>
        <v>85.055999999999997</v>
      </c>
      <c r="GA20" s="2856">
        <f>SUM(объемы!BN55)</f>
        <v>85.055999999999997</v>
      </c>
      <c r="GB20" s="2921">
        <f>SUM(объемы!BO54)</f>
        <v>0</v>
      </c>
      <c r="GC20" s="2856">
        <f t="shared" si="404"/>
        <v>105.44300000000001</v>
      </c>
      <c r="GD20" s="2921">
        <f t="shared" si="396"/>
        <v>105.44300000000001</v>
      </c>
      <c r="GE20" s="2921">
        <f t="shared" si="397"/>
        <v>0</v>
      </c>
      <c r="GF20" s="2921">
        <f t="shared" si="398"/>
        <v>81.250811999999996</v>
      </c>
      <c r="GG20" s="2921">
        <f t="shared" si="399"/>
        <v>81.250811999999996</v>
      </c>
      <c r="GH20" s="2921">
        <f t="shared" si="400"/>
        <v>0</v>
      </c>
      <c r="GI20" s="2856">
        <f t="shared" si="401"/>
        <v>20.387000000000015</v>
      </c>
      <c r="GJ20" s="2922">
        <f t="shared" si="402"/>
        <v>20.387000000000015</v>
      </c>
      <c r="GK20" s="2922">
        <f t="shared" si="403"/>
        <v>0</v>
      </c>
      <c r="GL20" s="565"/>
      <c r="GM20" s="4188">
        <f t="shared" si="13"/>
        <v>85.055999999999983</v>
      </c>
    </row>
    <row r="21" spans="1:195" ht="18.75" x14ac:dyDescent="0.3">
      <c r="A21" s="3054" t="s">
        <v>3682</v>
      </c>
      <c r="B21" s="2853">
        <f t="shared" si="287"/>
        <v>7.7366666666666672</v>
      </c>
      <c r="C21" s="2853">
        <f t="shared" si="288"/>
        <v>7.7366666666666672</v>
      </c>
      <c r="D21" s="2853">
        <f t="shared" si="289"/>
        <v>0</v>
      </c>
      <c r="E21" s="2853">
        <f t="shared" si="283"/>
        <v>5.6420000000000003</v>
      </c>
      <c r="F21" s="2920">
        <f>SUM('ПОЛНАЯ СЕБЕСТОИМОСТЬ ВОДА 2021'!F21)</f>
        <v>5.6420000000000003</v>
      </c>
      <c r="G21" s="2920">
        <f>SUM('ПОЛНАЯ СЕБЕСТОИМОСТЬ ВОДА 2021'!G21)</f>
        <v>0</v>
      </c>
      <c r="H21" s="2853">
        <f t="shared" si="108"/>
        <v>8.1820000000000004</v>
      </c>
      <c r="I21" s="3051">
        <v>8.1820000000000004</v>
      </c>
      <c r="J21" s="3051"/>
      <c r="K21" s="2853">
        <f t="shared" si="290"/>
        <v>7.7366666666666672</v>
      </c>
      <c r="L21" s="2853">
        <f t="shared" si="291"/>
        <v>7.7366666666666672</v>
      </c>
      <c r="M21" s="2853">
        <f t="shared" si="292"/>
        <v>0</v>
      </c>
      <c r="N21" s="2853">
        <f t="shared" si="111"/>
        <v>7.6070000000000002</v>
      </c>
      <c r="O21" s="2920">
        <f>SUM('ПОЛНАЯ СЕБЕСТОИМОСТЬ ВОДА 2021'!I21)</f>
        <v>7.6070000000000002</v>
      </c>
      <c r="P21" s="2920">
        <f>SUM('ПОЛНАЯ СЕБЕСТОИМОСТЬ ВОДА 2021'!J21)</f>
        <v>0</v>
      </c>
      <c r="Q21" s="2853">
        <f t="shared" si="112"/>
        <v>9.8559999999999999</v>
      </c>
      <c r="R21" s="3051">
        <v>9.8559999999999999</v>
      </c>
      <c r="S21" s="3051"/>
      <c r="T21" s="2853">
        <f t="shared" si="293"/>
        <v>7.7366666666666672</v>
      </c>
      <c r="U21" s="2853">
        <f t="shared" si="294"/>
        <v>7.7366666666666672</v>
      </c>
      <c r="V21" s="2853">
        <f t="shared" si="295"/>
        <v>0</v>
      </c>
      <c r="W21" s="2853">
        <f t="shared" si="115"/>
        <v>6.66</v>
      </c>
      <c r="X21" s="2920">
        <f>SUM('ПОЛНАЯ СЕБЕСТОИМОСТЬ ВОДА 2021'!L21)</f>
        <v>6.66</v>
      </c>
      <c r="Y21" s="2920">
        <f>SUM('ПОЛНАЯ СЕБЕСТОИМОСТЬ ВОДА 2021'!M21)</f>
        <v>0</v>
      </c>
      <c r="Z21" s="2853">
        <f t="shared" si="116"/>
        <v>8.5500000000000007</v>
      </c>
      <c r="AA21" s="3051">
        <v>8.5500000000000007</v>
      </c>
      <c r="AB21" s="3051"/>
      <c r="AC21" s="2856">
        <f t="shared" si="296"/>
        <v>23.21</v>
      </c>
      <c r="AD21" s="2856">
        <f t="shared" si="297"/>
        <v>23.21</v>
      </c>
      <c r="AE21" s="2856">
        <f t="shared" si="298"/>
        <v>0</v>
      </c>
      <c r="AF21" s="2856">
        <f t="shared" si="299"/>
        <v>19.908999999999999</v>
      </c>
      <c r="AG21" s="2856">
        <f t="shared" si="300"/>
        <v>19.908999999999999</v>
      </c>
      <c r="AH21" s="2856">
        <f t="shared" si="301"/>
        <v>0</v>
      </c>
      <c r="AI21" s="2921">
        <f t="shared" si="302"/>
        <v>26.588000000000001</v>
      </c>
      <c r="AJ21" s="2921">
        <f t="shared" si="303"/>
        <v>26.588000000000001</v>
      </c>
      <c r="AK21" s="2921">
        <f t="shared" si="304"/>
        <v>0</v>
      </c>
      <c r="AL21" s="2856">
        <f t="shared" si="305"/>
        <v>-3.3010000000000019</v>
      </c>
      <c r="AM21" s="2856">
        <f t="shared" si="306"/>
        <v>-3.3010000000000019</v>
      </c>
      <c r="AN21" s="2856">
        <f t="shared" si="307"/>
        <v>0</v>
      </c>
      <c r="AO21" s="2853">
        <f t="shared" si="308"/>
        <v>7.7366666666666672</v>
      </c>
      <c r="AP21" s="2853">
        <f t="shared" si="309"/>
        <v>7.7366666666666672</v>
      </c>
      <c r="AQ21" s="2853">
        <f t="shared" si="310"/>
        <v>0</v>
      </c>
      <c r="AR21" s="2853">
        <f t="shared" si="126"/>
        <v>8.0960000000000001</v>
      </c>
      <c r="AS21" s="2920">
        <f>SUM('ПОЛНАЯ СЕБЕСТОИМОСТЬ ВОДА 2021'!U21)</f>
        <v>8.0960000000000001</v>
      </c>
      <c r="AT21" s="2920">
        <f>SUM('ПОЛНАЯ СЕБЕСТОИМОСТЬ ВОДА 2021'!V21)</f>
        <v>0</v>
      </c>
      <c r="AU21" s="2853">
        <f t="shared" si="127"/>
        <v>4.609</v>
      </c>
      <c r="AV21" s="3051">
        <v>4.609</v>
      </c>
      <c r="AW21" s="3051"/>
      <c r="AX21" s="2853">
        <f t="shared" si="311"/>
        <v>7.7366666666666672</v>
      </c>
      <c r="AY21" s="2853">
        <f t="shared" si="312"/>
        <v>7.7366666666666672</v>
      </c>
      <c r="AZ21" s="2853">
        <f t="shared" si="313"/>
        <v>0</v>
      </c>
      <c r="BA21" s="2853">
        <f t="shared" si="130"/>
        <v>7.0880000000000001</v>
      </c>
      <c r="BB21" s="2920">
        <f>SUM('ПОЛНАЯ СЕБЕСТОИМОСТЬ ВОДА 2021'!X21)</f>
        <v>7.0880000000000001</v>
      </c>
      <c r="BC21" s="2920">
        <f>SUM('ПОЛНАЯ СЕБЕСТОИМОСТЬ ВОДА 2021'!Y21)</f>
        <v>0</v>
      </c>
      <c r="BD21" s="2853">
        <f t="shared" si="131"/>
        <v>2.1080000000000001</v>
      </c>
      <c r="BE21" s="3051">
        <v>2.1080000000000001</v>
      </c>
      <c r="BF21" s="3051"/>
      <c r="BG21" s="2853">
        <f t="shared" si="314"/>
        <v>7.7366666666666672</v>
      </c>
      <c r="BH21" s="2853">
        <f t="shared" si="315"/>
        <v>7.7366666666666672</v>
      </c>
      <c r="BI21" s="2853">
        <f t="shared" si="316"/>
        <v>0</v>
      </c>
      <c r="BJ21" s="2853">
        <f t="shared" si="134"/>
        <v>6.702</v>
      </c>
      <c r="BK21" s="2920">
        <f>SUM('ПОЛНАЯ СЕБЕСТОИМОСТЬ ВОДА 2021'!AA21)</f>
        <v>6.702</v>
      </c>
      <c r="BL21" s="2920">
        <f>SUM('ПОЛНАЯ СЕБЕСТОИМОСТЬ ВОДА 2021'!AB21)</f>
        <v>0</v>
      </c>
      <c r="BM21" s="2853">
        <f t="shared" si="135"/>
        <v>2.919</v>
      </c>
      <c r="BN21" s="3051">
        <v>2.919</v>
      </c>
      <c r="BO21" s="3051"/>
      <c r="BP21" s="2856">
        <f t="shared" si="317"/>
        <v>23.21</v>
      </c>
      <c r="BQ21" s="2856">
        <f t="shared" si="318"/>
        <v>23.21</v>
      </c>
      <c r="BR21" s="2856">
        <f t="shared" si="319"/>
        <v>0</v>
      </c>
      <c r="BS21" s="2856">
        <f t="shared" si="320"/>
        <v>21.886000000000003</v>
      </c>
      <c r="BT21" s="2856">
        <f t="shared" si="321"/>
        <v>21.886000000000003</v>
      </c>
      <c r="BU21" s="2856">
        <f t="shared" si="322"/>
        <v>0</v>
      </c>
      <c r="BV21" s="2921">
        <f t="shared" si="323"/>
        <v>9.636000000000001</v>
      </c>
      <c r="BW21" s="2856">
        <f t="shared" si="324"/>
        <v>9.636000000000001</v>
      </c>
      <c r="BX21" s="2856">
        <f t="shared" si="325"/>
        <v>0</v>
      </c>
      <c r="BY21" s="2856">
        <f t="shared" si="326"/>
        <v>-1.3239999999999981</v>
      </c>
      <c r="BZ21" s="2856">
        <f t="shared" si="327"/>
        <v>-1.3239999999999981</v>
      </c>
      <c r="CA21" s="2856">
        <f t="shared" si="328"/>
        <v>0</v>
      </c>
      <c r="CB21" s="2856">
        <f t="shared" si="329"/>
        <v>46.42</v>
      </c>
      <c r="CC21" s="2856">
        <f t="shared" si="330"/>
        <v>46.42</v>
      </c>
      <c r="CD21" s="2856">
        <f t="shared" si="331"/>
        <v>0</v>
      </c>
      <c r="CE21" s="2856">
        <f t="shared" si="332"/>
        <v>41.795000000000002</v>
      </c>
      <c r="CF21" s="2856">
        <f t="shared" si="333"/>
        <v>41.795000000000002</v>
      </c>
      <c r="CG21" s="2856">
        <f t="shared" si="334"/>
        <v>0</v>
      </c>
      <c r="CH21" s="2921">
        <f t="shared" si="335"/>
        <v>36.224000000000004</v>
      </c>
      <c r="CI21" s="2921">
        <f t="shared" si="336"/>
        <v>36.224000000000004</v>
      </c>
      <c r="CJ21" s="2921">
        <f t="shared" si="337"/>
        <v>0</v>
      </c>
      <c r="CK21" s="2856">
        <f t="shared" si="338"/>
        <v>-4.625</v>
      </c>
      <c r="CL21" s="2922">
        <f t="shared" si="339"/>
        <v>-4.625</v>
      </c>
      <c r="CM21" s="2922">
        <f t="shared" si="340"/>
        <v>0</v>
      </c>
      <c r="CN21" s="2853">
        <f t="shared" si="341"/>
        <v>7.7366666666666672</v>
      </c>
      <c r="CO21" s="2853">
        <f t="shared" si="342"/>
        <v>7.7366666666666672</v>
      </c>
      <c r="CP21" s="2853">
        <f t="shared" si="343"/>
        <v>0</v>
      </c>
      <c r="CQ21" s="2853">
        <f t="shared" si="151"/>
        <v>4.0789999999999997</v>
      </c>
      <c r="CR21" s="2920">
        <f>SUM('ПОЛНАЯ СЕБЕСТОИМОСТЬ ВОДА 2021'!AS21)</f>
        <v>4.0789999999999997</v>
      </c>
      <c r="CS21" s="2920">
        <f>SUM('ПОЛНАЯ СЕБЕСТОИМОСТЬ ВОДА 2021'!AT21)</f>
        <v>0</v>
      </c>
      <c r="CT21" s="2853">
        <f t="shared" si="152"/>
        <v>2.681</v>
      </c>
      <c r="CU21" s="3051">
        <v>2.681</v>
      </c>
      <c r="CV21" s="3051"/>
      <c r="CW21" s="2853">
        <f t="shared" si="344"/>
        <v>7.7366666666666672</v>
      </c>
      <c r="CX21" s="2853">
        <f t="shared" si="345"/>
        <v>7.7366666666666672</v>
      </c>
      <c r="CY21" s="2853">
        <f t="shared" si="346"/>
        <v>0</v>
      </c>
      <c r="CZ21" s="2853">
        <f t="shared" si="156"/>
        <v>3.8050000000000002</v>
      </c>
      <c r="DA21" s="2920">
        <f>SUM('ПОЛНАЯ СЕБЕСТОИМОСТЬ ВОДА 2021'!AV21)</f>
        <v>3.8050000000000002</v>
      </c>
      <c r="DB21" s="2920">
        <f>SUM('ПОЛНАЯ СЕБЕСТОИМОСТЬ ВОДА 2021'!AW21)</f>
        <v>0</v>
      </c>
      <c r="DC21" s="2853">
        <f t="shared" si="157"/>
        <v>3.5947</v>
      </c>
      <c r="DD21" s="3051">
        <v>3.5947</v>
      </c>
      <c r="DE21" s="3051"/>
      <c r="DF21" s="2853">
        <f t="shared" si="347"/>
        <v>7.7366666666666672</v>
      </c>
      <c r="DG21" s="2853">
        <f t="shared" si="348"/>
        <v>7.7366666666666672</v>
      </c>
      <c r="DH21" s="2853">
        <f t="shared" si="349"/>
        <v>0</v>
      </c>
      <c r="DI21" s="2853">
        <f t="shared" si="161"/>
        <v>4.7030000000000003</v>
      </c>
      <c r="DJ21" s="2920">
        <f>SUM('ПОЛНАЯ СЕБЕСТОИМОСТЬ ВОДА 2021'!AY21)</f>
        <v>4.7030000000000003</v>
      </c>
      <c r="DK21" s="2920">
        <f>SUM('ПОЛНАЯ СЕБЕСТОИМОСТЬ ВОДА 2021'!AZ21)</f>
        <v>0</v>
      </c>
      <c r="DL21" s="2853">
        <f t="shared" si="162"/>
        <v>5.0250000000000004</v>
      </c>
      <c r="DM21" s="3051">
        <v>5.0250000000000004</v>
      </c>
      <c r="DN21" s="3051"/>
      <c r="DO21" s="2856">
        <f t="shared" si="350"/>
        <v>23.21</v>
      </c>
      <c r="DP21" s="2856">
        <f t="shared" si="351"/>
        <v>23.21</v>
      </c>
      <c r="DQ21" s="2856">
        <f t="shared" si="352"/>
        <v>0</v>
      </c>
      <c r="DR21" s="2856">
        <f t="shared" si="353"/>
        <v>12.587</v>
      </c>
      <c r="DS21" s="2856">
        <f t="shared" si="354"/>
        <v>12.587</v>
      </c>
      <c r="DT21" s="2856">
        <f t="shared" si="355"/>
        <v>0</v>
      </c>
      <c r="DU21" s="2921">
        <f t="shared" si="356"/>
        <v>11.300700000000001</v>
      </c>
      <c r="DV21" s="2856">
        <f t="shared" si="357"/>
        <v>11.300700000000001</v>
      </c>
      <c r="DW21" s="2856">
        <f t="shared" si="358"/>
        <v>0</v>
      </c>
      <c r="DX21" s="2856">
        <f t="shared" si="359"/>
        <v>-10.623000000000001</v>
      </c>
      <c r="DY21" s="2922">
        <f t="shared" si="360"/>
        <v>-10.623000000000001</v>
      </c>
      <c r="DZ21" s="2922">
        <f t="shared" si="361"/>
        <v>0</v>
      </c>
      <c r="EA21" s="2856">
        <f t="shared" si="362"/>
        <v>69.63</v>
      </c>
      <c r="EB21" s="2856">
        <f t="shared" si="363"/>
        <v>69.63</v>
      </c>
      <c r="EC21" s="2856">
        <f t="shared" si="364"/>
        <v>0</v>
      </c>
      <c r="ED21" s="2856">
        <f t="shared" si="365"/>
        <v>54.382000000000005</v>
      </c>
      <c r="EE21" s="2856">
        <f t="shared" si="366"/>
        <v>54.382000000000005</v>
      </c>
      <c r="EF21" s="2856">
        <f t="shared" si="367"/>
        <v>0</v>
      </c>
      <c r="EG21" s="2856">
        <f t="shared" si="368"/>
        <v>47.524700000000003</v>
      </c>
      <c r="EH21" s="2856">
        <f t="shared" si="369"/>
        <v>47.524700000000003</v>
      </c>
      <c r="EI21" s="2856">
        <f t="shared" si="370"/>
        <v>0</v>
      </c>
      <c r="EJ21" s="2856">
        <f t="shared" si="371"/>
        <v>-15.24799999999999</v>
      </c>
      <c r="EK21" s="2922">
        <f t="shared" si="372"/>
        <v>-15.24799999999999</v>
      </c>
      <c r="EL21" s="2922">
        <f t="shared" si="373"/>
        <v>0</v>
      </c>
      <c r="EM21" s="2853">
        <f t="shared" si="374"/>
        <v>7.7366666666666672</v>
      </c>
      <c r="EN21" s="2853">
        <f t="shared" si="375"/>
        <v>7.7366666666666672</v>
      </c>
      <c r="EO21" s="2853">
        <f t="shared" si="376"/>
        <v>0</v>
      </c>
      <c r="EP21" s="2853">
        <f t="shared" si="176"/>
        <v>7.3209999999999997</v>
      </c>
      <c r="EQ21" s="2920">
        <f>SUM('ПОЛНАЯ СЕБЕСТОИМОСТЬ ВОДА 2021'!BQ21)</f>
        <v>7.3209999999999997</v>
      </c>
      <c r="ER21" s="2920">
        <f>SUM('ПОЛНАЯ СЕБЕСТОИМОСТЬ ВОДА 2021'!BR21)</f>
        <v>0</v>
      </c>
      <c r="ES21" s="2853">
        <f t="shared" si="177"/>
        <v>9.0986999999999991</v>
      </c>
      <c r="ET21" s="3051">
        <v>9.0986999999999991</v>
      </c>
      <c r="EU21" s="3051"/>
      <c r="EV21" s="2853">
        <f t="shared" si="377"/>
        <v>7.7366666666666672</v>
      </c>
      <c r="EW21" s="2853">
        <f t="shared" si="378"/>
        <v>7.7366666666666672</v>
      </c>
      <c r="EX21" s="2853">
        <f t="shared" si="379"/>
        <v>0</v>
      </c>
      <c r="EY21" s="2853">
        <f t="shared" si="181"/>
        <v>7.9980000000000002</v>
      </c>
      <c r="EZ21" s="2920">
        <f>SUM('ПОЛНАЯ СЕБЕСТОИМОСТЬ ВОДА 2021'!BT21)</f>
        <v>7.9980000000000002</v>
      </c>
      <c r="FA21" s="2920">
        <f>SUM('ПОЛНАЯ СЕБЕСТОИМОСТЬ ВОДА 2021'!BU21)</f>
        <v>0</v>
      </c>
      <c r="FB21" s="2853">
        <f t="shared" si="182"/>
        <v>9.8109999999999999</v>
      </c>
      <c r="FC21" s="3051">
        <v>9.8109999999999999</v>
      </c>
      <c r="FD21" s="3051"/>
      <c r="FE21" s="2853">
        <f t="shared" si="380"/>
        <v>7.7366666666666672</v>
      </c>
      <c r="FF21" s="2853">
        <f t="shared" si="381"/>
        <v>7.7366666666666672</v>
      </c>
      <c r="FG21" s="2853">
        <f t="shared" si="382"/>
        <v>0</v>
      </c>
      <c r="FH21" s="2853">
        <f t="shared" si="186"/>
        <v>8.27</v>
      </c>
      <c r="FI21" s="2920">
        <f>SUM('ПОЛНАЯ СЕБЕСТОИМОСТЬ ВОДА 2021'!BW21)</f>
        <v>8.27</v>
      </c>
      <c r="FJ21" s="2920">
        <f>SUM('ПОЛНАЯ СЕБЕСТОИМОСТЬ ВОДА 2021'!BX21)</f>
        <v>0</v>
      </c>
      <c r="FK21" s="2853">
        <f t="shared" si="286"/>
        <v>10.721</v>
      </c>
      <c r="FL21" s="3051">
        <v>10.721</v>
      </c>
      <c r="FM21" s="3051"/>
      <c r="FN21" s="2856">
        <f t="shared" si="383"/>
        <v>23.21</v>
      </c>
      <c r="FO21" s="2856">
        <f t="shared" si="384"/>
        <v>23.21</v>
      </c>
      <c r="FP21" s="2856">
        <f t="shared" si="385"/>
        <v>0</v>
      </c>
      <c r="FQ21" s="2856">
        <f t="shared" si="386"/>
        <v>23.588999999999999</v>
      </c>
      <c r="FR21" s="2856">
        <f t="shared" si="387"/>
        <v>23.588999999999999</v>
      </c>
      <c r="FS21" s="2856">
        <f t="shared" si="388"/>
        <v>0</v>
      </c>
      <c r="FT21" s="2921">
        <f t="shared" si="389"/>
        <v>29.630700000000001</v>
      </c>
      <c r="FU21" s="2921">
        <f t="shared" si="390"/>
        <v>29.630700000000001</v>
      </c>
      <c r="FV21" s="2921">
        <f t="shared" si="391"/>
        <v>0</v>
      </c>
      <c r="FW21" s="2856">
        <f t="shared" si="392"/>
        <v>0.37899999999999778</v>
      </c>
      <c r="FX21" s="2922">
        <f t="shared" si="393"/>
        <v>0.37899999999999778</v>
      </c>
      <c r="FY21" s="2922">
        <f t="shared" si="394"/>
        <v>0</v>
      </c>
      <c r="FZ21" s="2856">
        <f t="shared" si="395"/>
        <v>92.84</v>
      </c>
      <c r="GA21" s="2856">
        <f>SUM(объемы!BN56)</f>
        <v>92.84</v>
      </c>
      <c r="GB21" s="2921">
        <f>SUM(объемы!BO55)</f>
        <v>0</v>
      </c>
      <c r="GC21" s="2856">
        <f t="shared" si="404"/>
        <v>77.971000000000004</v>
      </c>
      <c r="GD21" s="2921">
        <f t="shared" si="396"/>
        <v>77.971000000000004</v>
      </c>
      <c r="GE21" s="2921">
        <f t="shared" si="397"/>
        <v>0</v>
      </c>
      <c r="GF21" s="2921">
        <f t="shared" si="398"/>
        <v>77.1554</v>
      </c>
      <c r="GG21" s="2921">
        <f t="shared" si="399"/>
        <v>77.1554</v>
      </c>
      <c r="GH21" s="2921">
        <f t="shared" si="400"/>
        <v>0</v>
      </c>
      <c r="GI21" s="2856">
        <f t="shared" si="401"/>
        <v>-14.869</v>
      </c>
      <c r="GJ21" s="2922">
        <f t="shared" si="402"/>
        <v>-14.869</v>
      </c>
      <c r="GK21" s="2922">
        <f t="shared" si="403"/>
        <v>0</v>
      </c>
      <c r="GL21" s="565"/>
      <c r="GM21" s="4188">
        <f t="shared" si="13"/>
        <v>92.839999999999989</v>
      </c>
    </row>
    <row r="22" spans="1:195" ht="18.75" x14ac:dyDescent="0.3">
      <c r="A22" s="2914" t="s">
        <v>3728</v>
      </c>
      <c r="B22" s="2837">
        <f>SUM(C22:D22)</f>
        <v>22.707666666666668</v>
      </c>
      <c r="C22" s="2837">
        <f>SUM(C23:C24)</f>
        <v>22.707666666666668</v>
      </c>
      <c r="D22" s="2837">
        <f>SUM(D23:D24)</f>
        <v>0</v>
      </c>
      <c r="E22" s="2837">
        <f>SUM(F22:G22)</f>
        <v>23.672999999999998</v>
      </c>
      <c r="F22" s="2837">
        <f t="shared" ref="F22:AX22" si="405">SUM(F23:F24)</f>
        <v>23.672999999999998</v>
      </c>
      <c r="G22" s="2837">
        <f t="shared" si="405"/>
        <v>0</v>
      </c>
      <c r="H22" s="2843">
        <f>SUM(I22:J22)</f>
        <v>32.527999999999999</v>
      </c>
      <c r="I22" s="2843">
        <f>SUM(I23:I24)</f>
        <v>32.527999999999999</v>
      </c>
      <c r="J22" s="2843">
        <f>SUM(J23:J24)</f>
        <v>0</v>
      </c>
      <c r="K22" s="2837">
        <f>SUM(L22:M22)</f>
        <v>22.707666666666668</v>
      </c>
      <c r="L22" s="2837">
        <f>SUM(L23:L24)</f>
        <v>22.707666666666668</v>
      </c>
      <c r="M22" s="2837">
        <f>SUM(M23:M24)</f>
        <v>0</v>
      </c>
      <c r="N22" s="2837">
        <f>SUM(O22:P22)</f>
        <v>25.335999999999999</v>
      </c>
      <c r="O22" s="2837">
        <f t="shared" ref="O22:P22" si="406">SUM(O23:O24)</f>
        <v>25.335999999999999</v>
      </c>
      <c r="P22" s="2837">
        <f t="shared" si="406"/>
        <v>0</v>
      </c>
      <c r="Q22" s="2843">
        <f>SUM(R22:S22)</f>
        <v>30.102</v>
      </c>
      <c r="R22" s="2845">
        <f>SUM(R23:R24)</f>
        <v>30.102</v>
      </c>
      <c r="S22" s="2843">
        <f>SUM(S23:S24)</f>
        <v>0</v>
      </c>
      <c r="T22" s="2837">
        <f>SUM(U22:V22)</f>
        <v>22.707666666666668</v>
      </c>
      <c r="U22" s="2837">
        <f>SUM(U23:U24)</f>
        <v>22.707666666666668</v>
      </c>
      <c r="V22" s="2837">
        <f>SUM(V23:V24)</f>
        <v>0</v>
      </c>
      <c r="W22" s="2837">
        <f>SUM(X22:Y22)</f>
        <v>29.074999999999999</v>
      </c>
      <c r="X22" s="2837">
        <f t="shared" ref="X22:Y22" si="407">SUM(X23:X24)</f>
        <v>29.074999999999999</v>
      </c>
      <c r="Y22" s="2837">
        <f t="shared" si="407"/>
        <v>0</v>
      </c>
      <c r="Z22" s="2843">
        <f>SUM(AA22:AB22)</f>
        <v>32.116</v>
      </c>
      <c r="AA22" s="2843">
        <f>SUM(AA23:AA24)</f>
        <v>32.116</v>
      </c>
      <c r="AB22" s="2843">
        <f>SUM(AB23:AB24)</f>
        <v>0</v>
      </c>
      <c r="AC22" s="2839">
        <f>SUM(AD22:AE22)</f>
        <v>68.123000000000005</v>
      </c>
      <c r="AD22" s="2839">
        <f>SUM(AD23:AD24)</f>
        <v>68.123000000000005</v>
      </c>
      <c r="AE22" s="2839">
        <f>SUM(AE23:AE24)</f>
        <v>0</v>
      </c>
      <c r="AF22" s="2839">
        <f>SUM(AG22:AH22)</f>
        <v>78.084000000000003</v>
      </c>
      <c r="AG22" s="2839">
        <f>SUM(AG23:AG24)</f>
        <v>78.084000000000003</v>
      </c>
      <c r="AH22" s="2839">
        <f>SUM(AH23:AH24)</f>
        <v>0</v>
      </c>
      <c r="AI22" s="2912">
        <f t="shared" si="405"/>
        <v>94.745999999999995</v>
      </c>
      <c r="AJ22" s="2912">
        <f t="shared" si="405"/>
        <v>94.745999999999995</v>
      </c>
      <c r="AK22" s="2912">
        <f t="shared" si="405"/>
        <v>0</v>
      </c>
      <c r="AL22" s="2839">
        <f>SUM(AM22:AN22)</f>
        <v>9.9609999999999967</v>
      </c>
      <c r="AM22" s="2839">
        <f>SUM(AM23:AM24)</f>
        <v>9.9609999999999967</v>
      </c>
      <c r="AN22" s="2839">
        <f>SUM(AN23:AN24)</f>
        <v>0</v>
      </c>
      <c r="AO22" s="2837">
        <f>SUM(AP22:AQ22)</f>
        <v>22.707666666666668</v>
      </c>
      <c r="AP22" s="2837">
        <f>SUM(AP23:AP24)</f>
        <v>22.707666666666668</v>
      </c>
      <c r="AQ22" s="2837">
        <f>SUM(AQ23:AQ24)</f>
        <v>0</v>
      </c>
      <c r="AR22" s="2837">
        <f>SUM(AS22:AT22)</f>
        <v>24.038</v>
      </c>
      <c r="AS22" s="2837">
        <f t="shared" ref="AS22:AT22" si="408">SUM(AS23:AS24)</f>
        <v>24.038</v>
      </c>
      <c r="AT22" s="2837">
        <f t="shared" si="408"/>
        <v>0</v>
      </c>
      <c r="AU22" s="2843">
        <f>SUM(AV22:AW22)</f>
        <v>29.594000000000001</v>
      </c>
      <c r="AV22" s="2843">
        <f>SUM(AV23:AV24)</f>
        <v>29.594000000000001</v>
      </c>
      <c r="AW22" s="2843">
        <f>SUM(AW23:AW24)</f>
        <v>0</v>
      </c>
      <c r="AX22" s="2911">
        <f t="shared" si="405"/>
        <v>22.707666666666668</v>
      </c>
      <c r="AY22" s="2837">
        <f>SUM(AY23:AY24)</f>
        <v>22.707666666666668</v>
      </c>
      <c r="AZ22" s="2837">
        <f>SUM(AZ23:AZ24)</f>
        <v>0</v>
      </c>
      <c r="BA22" s="2837">
        <f>SUM(BB22:BC22)</f>
        <v>21.379000000000001</v>
      </c>
      <c r="BB22" s="2837">
        <f>SUM(BB23:BB24)</f>
        <v>21.379000000000001</v>
      </c>
      <c r="BC22" s="2837">
        <f>SUM(BC23:BC24)</f>
        <v>0</v>
      </c>
      <c r="BD22" s="2843">
        <f>SUM(BE22:BF22)</f>
        <v>22.329000000000001</v>
      </c>
      <c r="BE22" s="2843">
        <f>SUM(BE23:BE24)</f>
        <v>22.329000000000001</v>
      </c>
      <c r="BF22" s="2843">
        <f>SUM(BF23:BF24)</f>
        <v>0</v>
      </c>
      <c r="BG22" s="2837">
        <f>SUM(BH22:BI22)</f>
        <v>22.707666666666668</v>
      </c>
      <c r="BH22" s="2837">
        <f>SUM(BH23:BH24)</f>
        <v>22.707666666666668</v>
      </c>
      <c r="BI22" s="2837">
        <f>SUM(BI23:BI24)</f>
        <v>0</v>
      </c>
      <c r="BJ22" s="2837">
        <f>SUM(BK22:BL22)</f>
        <v>20.396999999999998</v>
      </c>
      <c r="BK22" s="2837">
        <f t="shared" ref="BK22:BL22" si="409">SUM(BK23:BK24)</f>
        <v>20.396999999999998</v>
      </c>
      <c r="BL22" s="2837">
        <f t="shared" si="409"/>
        <v>0</v>
      </c>
      <c r="BM22" s="2843">
        <f>SUM(BN22:BO22)</f>
        <v>27.917000000000002</v>
      </c>
      <c r="BN22" s="2843">
        <f>SUM(BN23:BN24)</f>
        <v>27.917000000000002</v>
      </c>
      <c r="BO22" s="2843">
        <f>SUM(BO23:BO24)</f>
        <v>0</v>
      </c>
      <c r="BP22" s="2839">
        <f>SUM(BQ22:BR22)</f>
        <v>68.123000000000005</v>
      </c>
      <c r="BQ22" s="2839">
        <f>SUM(BQ23:BQ24)</f>
        <v>68.123000000000005</v>
      </c>
      <c r="BR22" s="2839">
        <f>SUM(BR23:BR24)</f>
        <v>0</v>
      </c>
      <c r="BS22" s="2839">
        <f>SUM(BT22:BU22)</f>
        <v>65.813999999999993</v>
      </c>
      <c r="BT22" s="2839">
        <f>SUM(BT23:BT24)</f>
        <v>65.813999999999993</v>
      </c>
      <c r="BU22" s="2839">
        <f>SUM(BU23:BU24)</f>
        <v>0</v>
      </c>
      <c r="BV22" s="2912">
        <f t="shared" ref="BV22:BX22" si="410">SUM(BV23:BV24)</f>
        <v>79.84</v>
      </c>
      <c r="BW22" s="2839">
        <f t="shared" si="410"/>
        <v>79.84</v>
      </c>
      <c r="BX22" s="2839">
        <f t="shared" si="410"/>
        <v>0</v>
      </c>
      <c r="BY22" s="2839">
        <f>SUM(BZ22:CA22)</f>
        <v>-2.3090000000000135</v>
      </c>
      <c r="BZ22" s="2839">
        <f>SUM(BZ23:BZ24)</f>
        <v>-2.3090000000000135</v>
      </c>
      <c r="CA22" s="2839">
        <f>SUM(CA23:CA24)</f>
        <v>0</v>
      </c>
      <c r="CB22" s="2839">
        <f>SUM(CC22:CD22)</f>
        <v>136.24600000000001</v>
      </c>
      <c r="CC22" s="2839">
        <f>SUM(CC23:CC24)</f>
        <v>136.24600000000001</v>
      </c>
      <c r="CD22" s="2839">
        <f>SUM(CD23:CD24)</f>
        <v>0</v>
      </c>
      <c r="CE22" s="2839">
        <f>SUM(CF22:CG22)</f>
        <v>143.898</v>
      </c>
      <c r="CF22" s="2839">
        <f>SUM(CF23:CF24)</f>
        <v>143.898</v>
      </c>
      <c r="CG22" s="2839">
        <f>SUM(CG23:CG24)</f>
        <v>0</v>
      </c>
      <c r="CH22" s="2912">
        <f t="shared" ref="CH22:GH22" si="411">SUM(CH23:CH24)</f>
        <v>174.58600000000001</v>
      </c>
      <c r="CI22" s="2912">
        <f t="shared" si="411"/>
        <v>174.58600000000001</v>
      </c>
      <c r="CJ22" s="2912">
        <f t="shared" si="411"/>
        <v>0</v>
      </c>
      <c r="CK22" s="2839">
        <f>SUM(CL22:CM22)</f>
        <v>7.6519999999999868</v>
      </c>
      <c r="CL22" s="2913">
        <f t="shared" si="3"/>
        <v>7.6519999999999868</v>
      </c>
      <c r="CM22" s="2913">
        <f t="shared" si="3"/>
        <v>0</v>
      </c>
      <c r="CN22" s="2837">
        <f>SUM(CO22:CP22)</f>
        <v>22.707666666666668</v>
      </c>
      <c r="CO22" s="2837">
        <f>SUM(CO23:CO24)</f>
        <v>22.707666666666668</v>
      </c>
      <c r="CP22" s="2837">
        <f>SUM(CP23:CP24)</f>
        <v>0</v>
      </c>
      <c r="CQ22" s="2837">
        <f>SUM(CR22:CS22)</f>
        <v>16.035</v>
      </c>
      <c r="CR22" s="2837">
        <f t="shared" ref="CR22:CS22" si="412">SUM(CR23:CR24)</f>
        <v>16.035</v>
      </c>
      <c r="CS22" s="2837">
        <f t="shared" si="412"/>
        <v>0</v>
      </c>
      <c r="CT22" s="2843">
        <f>SUM(CU22:CV22)</f>
        <v>18.2</v>
      </c>
      <c r="CU22" s="2843">
        <f>SUM(CU23:CU24)</f>
        <v>18.2</v>
      </c>
      <c r="CV22" s="2843">
        <f>SUM(CV23:CV24)</f>
        <v>0</v>
      </c>
      <c r="CW22" s="2837">
        <f>SUM(CX22:CY22)</f>
        <v>22.707666666666668</v>
      </c>
      <c r="CX22" s="2837">
        <f>SUM(CX23:CX24)</f>
        <v>22.707666666666668</v>
      </c>
      <c r="CY22" s="2837">
        <f>SUM(CY23:CY24)</f>
        <v>0</v>
      </c>
      <c r="CZ22" s="2837">
        <f>SUM(DA22:DB22)</f>
        <v>19.291</v>
      </c>
      <c r="DA22" s="2837">
        <f t="shared" ref="DA22:DB22" si="413">SUM(DA23:DA24)</f>
        <v>19.291</v>
      </c>
      <c r="DB22" s="2837">
        <f t="shared" si="413"/>
        <v>0</v>
      </c>
      <c r="DC22" s="2843">
        <f>SUM(DD22:DE22)</f>
        <v>21.268999999999998</v>
      </c>
      <c r="DD22" s="2843">
        <f>SUM(DD23:DD24)</f>
        <v>21.268999999999998</v>
      </c>
      <c r="DE22" s="2843">
        <f>SUM(DE23:DE24)</f>
        <v>0</v>
      </c>
      <c r="DF22" s="2837">
        <f>SUM(DG22:DH22)</f>
        <v>22.707666666666668</v>
      </c>
      <c r="DG22" s="2837">
        <f>SUM(DG23:DG24)</f>
        <v>22.707666666666668</v>
      </c>
      <c r="DH22" s="2837">
        <f>SUM(DH23:DH24)</f>
        <v>0</v>
      </c>
      <c r="DI22" s="2837">
        <f>SUM(DJ22:DK22)</f>
        <v>25.297999999999998</v>
      </c>
      <c r="DJ22" s="2837">
        <f t="shared" ref="DJ22:DK22" si="414">SUM(DJ23:DJ24)</f>
        <v>25.297999999999998</v>
      </c>
      <c r="DK22" s="2837">
        <f t="shared" si="414"/>
        <v>0</v>
      </c>
      <c r="DL22" s="2843">
        <f>SUM(DM22:DN22)</f>
        <v>26.391999999999999</v>
      </c>
      <c r="DM22" s="2843">
        <f>SUM(DM23:DM24)</f>
        <v>26.391999999999999</v>
      </c>
      <c r="DN22" s="2843">
        <f>SUM(DN23:DN24)</f>
        <v>0</v>
      </c>
      <c r="DO22" s="2839">
        <f>SUM(DP22:DQ22)</f>
        <v>68.123000000000005</v>
      </c>
      <c r="DP22" s="2839">
        <f>SUM(DP23:DP24)</f>
        <v>68.123000000000005</v>
      </c>
      <c r="DQ22" s="2839">
        <f>SUM(DQ23:DQ24)</f>
        <v>0</v>
      </c>
      <c r="DR22" s="2839">
        <f>SUM(DS22:DT22)</f>
        <v>60.623999999999995</v>
      </c>
      <c r="DS22" s="2839">
        <f>SUM(DS23:DS24)</f>
        <v>60.623999999999995</v>
      </c>
      <c r="DT22" s="2839">
        <f>SUM(DT23:DT24)</f>
        <v>0</v>
      </c>
      <c r="DU22" s="2912">
        <f t="shared" ref="DU22:DW22" si="415">SUM(DU23:DU24)</f>
        <v>65.86099999999999</v>
      </c>
      <c r="DV22" s="2839">
        <f t="shared" si="415"/>
        <v>65.86099999999999</v>
      </c>
      <c r="DW22" s="2839">
        <f t="shared" si="415"/>
        <v>0</v>
      </c>
      <c r="DX22" s="2839">
        <f>SUM(DY22:DZ22)</f>
        <v>-7.4990000000000094</v>
      </c>
      <c r="DY22" s="2913">
        <f t="shared" si="5"/>
        <v>-7.4990000000000094</v>
      </c>
      <c r="DZ22" s="2913">
        <f t="shared" si="5"/>
        <v>0</v>
      </c>
      <c r="EA22" s="2839">
        <f>SUM(EB22:EC22)</f>
        <v>204.36900000000003</v>
      </c>
      <c r="EB22" s="2839">
        <f>SUM(EB23:EB24)</f>
        <v>204.36900000000003</v>
      </c>
      <c r="EC22" s="2839">
        <f>SUM(EC23:EC24)</f>
        <v>0</v>
      </c>
      <c r="ED22" s="2839">
        <f>SUM(EE22:EF22)</f>
        <v>204.52199999999999</v>
      </c>
      <c r="EE22" s="2839">
        <f>SUM(EE23:EE24)</f>
        <v>204.52199999999999</v>
      </c>
      <c r="EF22" s="2839">
        <f>SUM(EF23:EF24)</f>
        <v>0</v>
      </c>
      <c r="EG22" s="2839">
        <f>SUM(EG23:EG24)</f>
        <v>240.447</v>
      </c>
      <c r="EH22" s="2839">
        <f t="shared" ref="EH22:EI22" si="416">SUM(EH23:EH24)</f>
        <v>240.447</v>
      </c>
      <c r="EI22" s="2839">
        <f t="shared" si="416"/>
        <v>0</v>
      </c>
      <c r="EJ22" s="2839">
        <f>SUM(EK22:EL22)</f>
        <v>0.15299999999996317</v>
      </c>
      <c r="EK22" s="2913">
        <f t="shared" si="7"/>
        <v>0.15299999999996317</v>
      </c>
      <c r="EL22" s="2913">
        <f t="shared" si="7"/>
        <v>0</v>
      </c>
      <c r="EM22" s="2837">
        <f>SUM(EN22:EO22)</f>
        <v>22.707666666666668</v>
      </c>
      <c r="EN22" s="2837">
        <f>SUM(EN23:EN24)</f>
        <v>22.707666666666668</v>
      </c>
      <c r="EO22" s="2837">
        <f>SUM(EO23:EO24)</f>
        <v>0</v>
      </c>
      <c r="EP22" s="2837">
        <f>SUM(EQ22:ER22)</f>
        <v>24.393000000000001</v>
      </c>
      <c r="EQ22" s="2837">
        <f t="shared" ref="EQ22:ER22" si="417">SUM(EQ23:EQ24)</f>
        <v>24.393000000000001</v>
      </c>
      <c r="ER22" s="2837">
        <f t="shared" si="417"/>
        <v>0</v>
      </c>
      <c r="ES22" s="2843">
        <f>SUM(ET22:EU22)</f>
        <v>22.87</v>
      </c>
      <c r="ET22" s="2843">
        <f>SUM(ET23:ET24)</f>
        <v>22.87</v>
      </c>
      <c r="EU22" s="2843">
        <f>SUM(EU23:EU24)</f>
        <v>0</v>
      </c>
      <c r="EV22" s="2837">
        <f>SUM(EW22:EX22)</f>
        <v>22.707666666666668</v>
      </c>
      <c r="EW22" s="2837">
        <f>SUM(EW23:EW24)</f>
        <v>22.707666666666668</v>
      </c>
      <c r="EX22" s="2837">
        <f>SUM(EX23:EX24)</f>
        <v>0</v>
      </c>
      <c r="EY22" s="2837">
        <f>SUM(EZ22:FA22)</f>
        <v>25.355</v>
      </c>
      <c r="EZ22" s="2837">
        <f t="shared" ref="EZ22:FA22" si="418">SUM(EZ23:EZ24)</f>
        <v>25.355</v>
      </c>
      <c r="FA22" s="2837">
        <f t="shared" si="418"/>
        <v>0</v>
      </c>
      <c r="FB22" s="2843">
        <f>SUM(FC22:FD22)</f>
        <v>23.728000000000002</v>
      </c>
      <c r="FC22" s="2845">
        <f>SUM(FC23:FC24)</f>
        <v>23.728000000000002</v>
      </c>
      <c r="FD22" s="2843">
        <f>SUM(FD23:FD24)</f>
        <v>0</v>
      </c>
      <c r="FE22" s="2837">
        <f>SUM(FF22:FG22)</f>
        <v>22.707666666666668</v>
      </c>
      <c r="FF22" s="2837">
        <f>SUM(FF23:FF24)</f>
        <v>22.707666666666668</v>
      </c>
      <c r="FG22" s="2837">
        <f>SUM(FG23:FG24)</f>
        <v>0</v>
      </c>
      <c r="FH22" s="2837">
        <f>SUM(FI22:FJ22)</f>
        <v>23.556000000000001</v>
      </c>
      <c r="FI22" s="2837">
        <f t="shared" ref="FI22:FJ22" si="419">SUM(FI23:FI24)</f>
        <v>23.556000000000001</v>
      </c>
      <c r="FJ22" s="2837">
        <f t="shared" si="419"/>
        <v>0</v>
      </c>
      <c r="FK22" s="2843">
        <f>SUM(FL22:FM22)</f>
        <v>26.18</v>
      </c>
      <c r="FL22" s="2845">
        <f>SUM(FL23:FL24)</f>
        <v>26.18</v>
      </c>
      <c r="FM22" s="2843">
        <f>SUM(FM23:FM24)</f>
        <v>0</v>
      </c>
      <c r="FN22" s="2839">
        <f>SUM(FO22:FP22)</f>
        <v>68.123000000000005</v>
      </c>
      <c r="FO22" s="2839">
        <f>SUM(FO23:FO24)</f>
        <v>68.123000000000005</v>
      </c>
      <c r="FP22" s="2839">
        <f>SUM(FP23:FP24)</f>
        <v>0</v>
      </c>
      <c r="FQ22" s="2839">
        <f>SUM(FR22:FS22)</f>
        <v>73.304000000000002</v>
      </c>
      <c r="FR22" s="2839">
        <f>SUM(FR23:FR24)</f>
        <v>73.304000000000002</v>
      </c>
      <c r="FS22" s="2839">
        <f>SUM(FS23:FS24)</f>
        <v>0</v>
      </c>
      <c r="FT22" s="2912">
        <f t="shared" ref="FT22:FV22" si="420">SUM(FT23:FT24)</f>
        <v>72.777999999999992</v>
      </c>
      <c r="FU22" s="2912">
        <f t="shared" si="420"/>
        <v>72.777999999999992</v>
      </c>
      <c r="FV22" s="2912">
        <f t="shared" si="420"/>
        <v>0</v>
      </c>
      <c r="FW22" s="2839">
        <f>SUM(FX22:FY22)</f>
        <v>5.1809999999999974</v>
      </c>
      <c r="FX22" s="2913">
        <f t="shared" si="9"/>
        <v>5.1809999999999974</v>
      </c>
      <c r="FY22" s="2913">
        <f t="shared" si="9"/>
        <v>0</v>
      </c>
      <c r="FZ22" s="2839">
        <f>SUM(GA22:GB22)</f>
        <v>272.49200000000002</v>
      </c>
      <c r="GA22" s="2839">
        <f>SUM(GA23:GA24)</f>
        <v>272.49200000000002</v>
      </c>
      <c r="GB22" s="2839">
        <f>SUM(GB23:GB24)</f>
        <v>0</v>
      </c>
      <c r="GC22" s="2839">
        <f>SUM(GD22:GE22)</f>
        <v>277.82600000000002</v>
      </c>
      <c r="GD22" s="2912">
        <f t="shared" ref="GD22:GE22" si="421">SUM(GD23:GD24)</f>
        <v>277.82600000000002</v>
      </c>
      <c r="GE22" s="2912">
        <f t="shared" si="421"/>
        <v>0</v>
      </c>
      <c r="GF22" s="2912">
        <f t="shared" si="411"/>
        <v>313.22500000000002</v>
      </c>
      <c r="GG22" s="2912">
        <f t="shared" si="411"/>
        <v>313.22500000000002</v>
      </c>
      <c r="GH22" s="2912">
        <f t="shared" si="411"/>
        <v>0</v>
      </c>
      <c r="GI22" s="2839">
        <f>SUM(GJ22:GK22)</f>
        <v>5.3340000000000032</v>
      </c>
      <c r="GJ22" s="2913">
        <f t="shared" si="12"/>
        <v>5.3340000000000032</v>
      </c>
      <c r="GK22" s="2913">
        <f t="shared" si="12"/>
        <v>0</v>
      </c>
      <c r="GL22" s="565"/>
      <c r="GM22" s="4188">
        <f t="shared" si="13"/>
        <v>272.49200000000008</v>
      </c>
    </row>
    <row r="23" spans="1:195" ht="18.75" x14ac:dyDescent="0.3">
      <c r="A23" s="2882" t="s">
        <v>639</v>
      </c>
      <c r="B23" s="2853">
        <f>SUM(C23:D23)</f>
        <v>19.761916666666668</v>
      </c>
      <c r="C23" s="2853">
        <f t="shared" si="106"/>
        <v>19.761916666666668</v>
      </c>
      <c r="D23" s="2853">
        <f t="shared" si="106"/>
        <v>0</v>
      </c>
      <c r="E23" s="2845">
        <f t="shared" ref="E23:E24" si="422">SUM(F23:G23)</f>
        <v>23.672999999999998</v>
      </c>
      <c r="F23" s="2915">
        <f>SUM('ПОЛНАЯ СЕБЕСТОИМОСТЬ ВОДА 2021'!F23)</f>
        <v>23.672999999999998</v>
      </c>
      <c r="G23" s="2915">
        <f>SUM('ПОЛНАЯ СЕБЕСТОИМОСТЬ ВОДА 2021'!G23)</f>
        <v>0</v>
      </c>
      <c r="H23" s="2854">
        <f>SUM(I23:J23)</f>
        <v>32.527999999999999</v>
      </c>
      <c r="I23" s="2855">
        <v>32.527999999999999</v>
      </c>
      <c r="J23" s="2855"/>
      <c r="K23" s="2853">
        <f>SUM(L23:M23)</f>
        <v>19.761916666666668</v>
      </c>
      <c r="L23" s="2853">
        <f>SUM(GA23/12)</f>
        <v>19.761916666666668</v>
      </c>
      <c r="M23" s="2853">
        <f>SUM(GB23/12)</f>
        <v>0</v>
      </c>
      <c r="N23" s="2845">
        <f t="shared" ref="N23:N24" si="423">SUM(O23:P23)</f>
        <v>25.335999999999999</v>
      </c>
      <c r="O23" s="2915">
        <f>SUM('ПОЛНАЯ СЕБЕСТОИМОСТЬ ВОДА 2021'!I23)</f>
        <v>25.335999999999999</v>
      </c>
      <c r="P23" s="2915">
        <f>SUM('ПОЛНАЯ СЕБЕСТОИМОСТЬ ВОДА 2021'!J23)</f>
        <v>0</v>
      </c>
      <c r="Q23" s="2854">
        <f>SUM(R23:S23)</f>
        <v>30.102</v>
      </c>
      <c r="R23" s="3051">
        <v>30.102</v>
      </c>
      <c r="S23" s="2855"/>
      <c r="T23" s="2853">
        <f>SUM(U23:V23)</f>
        <v>19.761916666666668</v>
      </c>
      <c r="U23" s="2853">
        <f>SUM(GA23/12)</f>
        <v>19.761916666666668</v>
      </c>
      <c r="V23" s="2853">
        <f>SUM(GB23/12)</f>
        <v>0</v>
      </c>
      <c r="W23" s="2845">
        <f t="shared" ref="W23:W24" si="424">SUM(X23:Y23)</f>
        <v>29.074999999999999</v>
      </c>
      <c r="X23" s="2915">
        <f>SUM('ПОЛНАЯ СЕБЕСТОИМОСТЬ ВОДА 2021'!L23)</f>
        <v>29.074999999999999</v>
      </c>
      <c r="Y23" s="2915">
        <f>SUM('ПОЛНАЯ СЕБЕСТОИМОСТЬ ВОДА 2021'!M23)</f>
        <v>0</v>
      </c>
      <c r="Z23" s="2854">
        <f>SUM(AA23:AB23)</f>
        <v>32.116</v>
      </c>
      <c r="AA23" s="3051">
        <v>32.116</v>
      </c>
      <c r="AB23" s="2855"/>
      <c r="AC23" s="2856">
        <f>SUM(AD23:AE23)</f>
        <v>59.285750000000007</v>
      </c>
      <c r="AD23" s="2846">
        <f t="shared" ref="AD23:AE24" si="425">SUM(C23+L23+U23)</f>
        <v>59.285750000000007</v>
      </c>
      <c r="AE23" s="2846">
        <f t="shared" si="425"/>
        <v>0</v>
      </c>
      <c r="AF23" s="2856">
        <f>SUM(AG23:AH23)</f>
        <v>78.084000000000003</v>
      </c>
      <c r="AG23" s="2846">
        <f t="shared" ref="AG23:AK24" si="426">SUM(F23+O23+X23)</f>
        <v>78.084000000000003</v>
      </c>
      <c r="AH23" s="2846">
        <f t="shared" si="426"/>
        <v>0</v>
      </c>
      <c r="AI23" s="2921">
        <f t="shared" si="426"/>
        <v>94.745999999999995</v>
      </c>
      <c r="AJ23" s="2921">
        <f t="shared" si="426"/>
        <v>94.745999999999995</v>
      </c>
      <c r="AK23" s="2921">
        <f t="shared" si="426"/>
        <v>0</v>
      </c>
      <c r="AL23" s="2856">
        <f>SUM(AM23:AN23)</f>
        <v>18.798249999999996</v>
      </c>
      <c r="AM23" s="2846">
        <f t="shared" ref="AM23:AN24" si="427">SUM(AG23-AD23)</f>
        <v>18.798249999999996</v>
      </c>
      <c r="AN23" s="2846">
        <f t="shared" si="427"/>
        <v>0</v>
      </c>
      <c r="AO23" s="2853">
        <f>SUM(AP23:AQ23)</f>
        <v>19.761916666666668</v>
      </c>
      <c r="AP23" s="2853">
        <f>SUM(GA23/12)</f>
        <v>19.761916666666668</v>
      </c>
      <c r="AQ23" s="2853">
        <f>SUM(GB23/12)</f>
        <v>0</v>
      </c>
      <c r="AR23" s="2845">
        <f t="shared" ref="AR23:AR24" si="428">SUM(AS23:AT23)</f>
        <v>24.038</v>
      </c>
      <c r="AS23" s="2915">
        <f>SUM('ПОЛНАЯ СЕБЕСТОИМОСТЬ ВОДА 2021'!U23)</f>
        <v>24.038</v>
      </c>
      <c r="AT23" s="2915">
        <f>SUM('ПОЛНАЯ СЕБЕСТОИМОСТЬ ВОДА 2021'!V23)</f>
        <v>0</v>
      </c>
      <c r="AU23" s="2854">
        <f>SUM(AV23:AW23)</f>
        <v>29.594000000000001</v>
      </c>
      <c r="AV23" s="2855">
        <v>29.594000000000001</v>
      </c>
      <c r="AW23" s="2855"/>
      <c r="AX23" s="2853">
        <f>SUM(AY23:AZ23)</f>
        <v>19.761916666666668</v>
      </c>
      <c r="AY23" s="2853">
        <f>SUM(GA23/12)</f>
        <v>19.761916666666668</v>
      </c>
      <c r="AZ23" s="2853">
        <f>SUM(GB23/12)</f>
        <v>0</v>
      </c>
      <c r="BA23" s="2845">
        <f t="shared" ref="BA23:BA24" si="429">SUM(BB23:BC23)</f>
        <v>21.379000000000001</v>
      </c>
      <c r="BB23" s="2915">
        <f>SUM('ПОЛНАЯ СЕБЕСТОИМОСТЬ ВОДА 2021'!X23)</f>
        <v>21.379000000000001</v>
      </c>
      <c r="BC23" s="2915">
        <f>SUM('ПОЛНАЯ СЕБЕСТОИМОСТЬ ВОДА 2021'!Y23)</f>
        <v>0</v>
      </c>
      <c r="BD23" s="2854">
        <f>SUM(BE23:BF23)</f>
        <v>22.329000000000001</v>
      </c>
      <c r="BE23" s="2855">
        <v>22.329000000000001</v>
      </c>
      <c r="BF23" s="2855"/>
      <c r="BG23" s="2853">
        <f>SUM(BH23:BI23)</f>
        <v>19.761916666666668</v>
      </c>
      <c r="BH23" s="2853">
        <f>SUM(GA23/12)</f>
        <v>19.761916666666668</v>
      </c>
      <c r="BI23" s="2853">
        <f>SUM(GB23/12)</f>
        <v>0</v>
      </c>
      <c r="BJ23" s="2845">
        <f t="shared" ref="BJ23:BJ24" si="430">SUM(BK23:BL23)</f>
        <v>20.396999999999998</v>
      </c>
      <c r="BK23" s="2915">
        <f>SUM('ПОЛНАЯ СЕБЕСТОИМОСТЬ ВОДА 2021'!AA23)</f>
        <v>20.396999999999998</v>
      </c>
      <c r="BL23" s="2915">
        <f>SUM('ПОЛНАЯ СЕБЕСТОИМОСТЬ ВОДА 2021'!AB23)</f>
        <v>0</v>
      </c>
      <c r="BM23" s="2854">
        <f>SUM(BN23:BO23)</f>
        <v>27.917000000000002</v>
      </c>
      <c r="BN23" s="2855">
        <v>27.917000000000002</v>
      </c>
      <c r="BO23" s="2855"/>
      <c r="BP23" s="2856">
        <f>SUM(BQ23:BR23)</f>
        <v>59.285750000000007</v>
      </c>
      <c r="BQ23" s="2846">
        <f t="shared" ref="BQ23:BR24" si="431">SUM(AP23+AY23+BH23)</f>
        <v>59.285750000000007</v>
      </c>
      <c r="BR23" s="2846">
        <f t="shared" si="431"/>
        <v>0</v>
      </c>
      <c r="BS23" s="2856">
        <f>SUM(BT23:BU23)</f>
        <v>65.813999999999993</v>
      </c>
      <c r="BT23" s="2846">
        <f t="shared" ref="BT23:BX24" si="432">SUM(AS23+BB23+BK23)</f>
        <v>65.813999999999993</v>
      </c>
      <c r="BU23" s="2846">
        <f t="shared" si="432"/>
        <v>0</v>
      </c>
      <c r="BV23" s="2921">
        <f t="shared" si="432"/>
        <v>79.84</v>
      </c>
      <c r="BW23" s="2846">
        <f t="shared" si="432"/>
        <v>79.84</v>
      </c>
      <c r="BX23" s="2846">
        <f t="shared" si="432"/>
        <v>0</v>
      </c>
      <c r="BY23" s="2856">
        <f>SUM(BZ23:CA23)</f>
        <v>6.5282499999999857</v>
      </c>
      <c r="BZ23" s="2846">
        <f t="shared" ref="BZ23:CA24" si="433">SUM(BT23-BQ23)</f>
        <v>6.5282499999999857</v>
      </c>
      <c r="CA23" s="2846">
        <f t="shared" si="433"/>
        <v>0</v>
      </c>
      <c r="CB23" s="2856">
        <f>SUM(CC23:CD23)</f>
        <v>118.57150000000001</v>
      </c>
      <c r="CC23" s="2846">
        <f t="shared" ref="CC23:CD24" si="434">SUM(AD23+BQ23)</f>
        <v>118.57150000000001</v>
      </c>
      <c r="CD23" s="2846">
        <f t="shared" si="434"/>
        <v>0</v>
      </c>
      <c r="CE23" s="2856">
        <f>SUM(CF23:CG23)</f>
        <v>143.898</v>
      </c>
      <c r="CF23" s="2846">
        <f t="shared" ref="CF23:CG24" si="435">SUM(AG23+BT23)</f>
        <v>143.898</v>
      </c>
      <c r="CG23" s="2846">
        <f t="shared" si="435"/>
        <v>0</v>
      </c>
      <c r="CH23" s="2921">
        <f>SUM(AI23+BV23)</f>
        <v>174.58600000000001</v>
      </c>
      <c r="CI23" s="2921">
        <f t="shared" ref="CI23:CJ24" si="436">SUM(AJ23+BW23)</f>
        <v>174.58600000000001</v>
      </c>
      <c r="CJ23" s="2921">
        <f t="shared" si="436"/>
        <v>0</v>
      </c>
      <c r="CK23" s="2856">
        <f>SUM(CL23:CM23)</f>
        <v>25.326499999999982</v>
      </c>
      <c r="CL23" s="2922">
        <f t="shared" si="3"/>
        <v>25.326499999999982</v>
      </c>
      <c r="CM23" s="2922">
        <f t="shared" si="3"/>
        <v>0</v>
      </c>
      <c r="CN23" s="2853">
        <f>SUM(CO23:CP23)</f>
        <v>19.761916666666668</v>
      </c>
      <c r="CO23" s="2845">
        <f t="shared" ref="CO23:CO24" si="437">SUM(GA23/12)</f>
        <v>19.761916666666668</v>
      </c>
      <c r="CP23" s="2845">
        <f t="shared" ref="CP23:CP24" si="438">SUM(GB23/12)</f>
        <v>0</v>
      </c>
      <c r="CQ23" s="2845">
        <f t="shared" ref="CQ23:CQ24" si="439">SUM(CR23:CS23)</f>
        <v>16.035</v>
      </c>
      <c r="CR23" s="2915">
        <f>SUM('ПОЛНАЯ СЕБЕСТОИМОСТЬ ВОДА 2021'!AS23)</f>
        <v>16.035</v>
      </c>
      <c r="CS23" s="2915">
        <f>SUM('ПОЛНАЯ СЕБЕСТОИМОСТЬ ВОДА 2021'!AT23)</f>
        <v>0</v>
      </c>
      <c r="CT23" s="2854">
        <f>SUM(CU23:CV23)</f>
        <v>18.2</v>
      </c>
      <c r="CU23" s="2855">
        <v>18.2</v>
      </c>
      <c r="CV23" s="2855"/>
      <c r="CW23" s="2853">
        <f>SUM(CX23:CY23)</f>
        <v>19.761916666666668</v>
      </c>
      <c r="CX23" s="2845">
        <f t="shared" ref="CX23:CX24" si="440">SUM(GA23/12)</f>
        <v>19.761916666666668</v>
      </c>
      <c r="CY23" s="2845">
        <f t="shared" ref="CY23:CY24" si="441">SUM(GB23/12)</f>
        <v>0</v>
      </c>
      <c r="CZ23" s="2845">
        <f t="shared" ref="CZ23:CZ24" si="442">SUM(DA23:DB23)</f>
        <v>19.291</v>
      </c>
      <c r="DA23" s="2915">
        <f>SUM('ПОЛНАЯ СЕБЕСТОИМОСТЬ ВОДА 2021'!AV23)</f>
        <v>19.291</v>
      </c>
      <c r="DB23" s="2915">
        <f>SUM('ПОЛНАЯ СЕБЕСТОИМОСТЬ ВОДА 2021'!AW23)</f>
        <v>0</v>
      </c>
      <c r="DC23" s="2854">
        <f>SUM(DD23:DE23)</f>
        <v>21.268999999999998</v>
      </c>
      <c r="DD23" s="2855">
        <v>21.268999999999998</v>
      </c>
      <c r="DE23" s="2855"/>
      <c r="DF23" s="2853">
        <f>SUM(DG23:DH23)</f>
        <v>19.761916666666668</v>
      </c>
      <c r="DG23" s="2845">
        <f t="shared" si="159"/>
        <v>19.761916666666668</v>
      </c>
      <c r="DH23" s="2845">
        <f t="shared" ref="DH23:DH24" si="443">SUM(GS23/12)</f>
        <v>0</v>
      </c>
      <c r="DI23" s="2845">
        <f t="shared" ref="DI23:DI24" si="444">SUM(DJ23:DK23)</f>
        <v>25.297999999999998</v>
      </c>
      <c r="DJ23" s="2915">
        <f>SUM('ПОЛНАЯ СЕБЕСТОИМОСТЬ ВОДА 2021'!AY23)</f>
        <v>25.297999999999998</v>
      </c>
      <c r="DK23" s="2915">
        <f>SUM('ПОЛНАЯ СЕБЕСТОИМОСТЬ ВОДА 2021'!AZ23)</f>
        <v>0</v>
      </c>
      <c r="DL23" s="2854">
        <f>SUM(DM23:DN23)</f>
        <v>26.391999999999999</v>
      </c>
      <c r="DM23" s="2855">
        <v>26.391999999999999</v>
      </c>
      <c r="DN23" s="2855"/>
      <c r="DO23" s="2856">
        <f>SUM(DP23:DQ23)</f>
        <v>59.285750000000007</v>
      </c>
      <c r="DP23" s="2846">
        <f t="shared" ref="DP23:DQ24" si="445">SUM(CO23+CX23+DG23)</f>
        <v>59.285750000000007</v>
      </c>
      <c r="DQ23" s="2846">
        <f t="shared" si="445"/>
        <v>0</v>
      </c>
      <c r="DR23" s="2856">
        <f>SUM(DS23:DT23)</f>
        <v>60.623999999999995</v>
      </c>
      <c r="DS23" s="2846">
        <f t="shared" ref="DS23:DW24" si="446">SUM(CR23+DA23+DJ23)</f>
        <v>60.623999999999995</v>
      </c>
      <c r="DT23" s="2846">
        <f t="shared" si="446"/>
        <v>0</v>
      </c>
      <c r="DU23" s="2921">
        <f t="shared" si="446"/>
        <v>65.86099999999999</v>
      </c>
      <c r="DV23" s="2846">
        <f t="shared" si="446"/>
        <v>65.86099999999999</v>
      </c>
      <c r="DW23" s="2846">
        <f t="shared" si="446"/>
        <v>0</v>
      </c>
      <c r="DX23" s="2856">
        <f>SUM(DY23:DZ23)</f>
        <v>1.3382499999999879</v>
      </c>
      <c r="DY23" s="2922">
        <f t="shared" si="5"/>
        <v>1.3382499999999879</v>
      </c>
      <c r="DZ23" s="2922">
        <f t="shared" si="5"/>
        <v>0</v>
      </c>
      <c r="EA23" s="2856">
        <f>SUM(EB23:EC23)</f>
        <v>177.85725000000002</v>
      </c>
      <c r="EB23" s="2846">
        <f t="shared" ref="EB23:EC24" si="447">SUM(CC23+DP23)</f>
        <v>177.85725000000002</v>
      </c>
      <c r="EC23" s="2846">
        <f t="shared" si="447"/>
        <v>0</v>
      </c>
      <c r="ED23" s="2856">
        <f>SUM(EE23:EF23)</f>
        <v>204.52199999999999</v>
      </c>
      <c r="EE23" s="2846">
        <f t="shared" ref="EE23:EI24" si="448">SUM(CF23+DS23)</f>
        <v>204.52199999999999</v>
      </c>
      <c r="EF23" s="2846">
        <f t="shared" si="448"/>
        <v>0</v>
      </c>
      <c r="EG23" s="2846">
        <f t="shared" si="448"/>
        <v>240.447</v>
      </c>
      <c r="EH23" s="2846">
        <f t="shared" si="448"/>
        <v>240.447</v>
      </c>
      <c r="EI23" s="2846">
        <f t="shared" si="448"/>
        <v>0</v>
      </c>
      <c r="EJ23" s="2856">
        <f>SUM(EK23:EL23)</f>
        <v>26.66474999999997</v>
      </c>
      <c r="EK23" s="2922">
        <f t="shared" si="7"/>
        <v>26.66474999999997</v>
      </c>
      <c r="EL23" s="2922">
        <f t="shared" si="7"/>
        <v>0</v>
      </c>
      <c r="EM23" s="2853">
        <f>SUM(EN23:EO23)</f>
        <v>19.761916666666668</v>
      </c>
      <c r="EN23" s="2845">
        <f t="shared" ref="EN23:EN24" si="449">SUM(GA23/12)</f>
        <v>19.761916666666668</v>
      </c>
      <c r="EO23" s="2845">
        <f t="shared" ref="EO23:EO24" si="450">SUM(GB23/12)</f>
        <v>0</v>
      </c>
      <c r="EP23" s="2845">
        <f t="shared" ref="EP23:EP24" si="451">SUM(EQ23:ER23)</f>
        <v>24.393000000000001</v>
      </c>
      <c r="EQ23" s="2915">
        <f>SUM('ПОЛНАЯ СЕБЕСТОИМОСТЬ ВОДА 2021'!BQ23)</f>
        <v>24.393000000000001</v>
      </c>
      <c r="ER23" s="2915">
        <f>SUM('ПОЛНАЯ СЕБЕСТОИМОСТЬ ВОДА 2021'!BR23)</f>
        <v>0</v>
      </c>
      <c r="ES23" s="2854">
        <f>SUM(ET23:EU23)</f>
        <v>22.87</v>
      </c>
      <c r="ET23" s="2855">
        <v>22.87</v>
      </c>
      <c r="EU23" s="2855"/>
      <c r="EV23" s="2853">
        <f>SUM(EW23:EX23)</f>
        <v>19.761916666666668</v>
      </c>
      <c r="EW23" s="2845">
        <f t="shared" ref="EW23:EW24" si="452">SUM(GA23/12)</f>
        <v>19.761916666666668</v>
      </c>
      <c r="EX23" s="2845">
        <f t="shared" ref="EX23:EX24" si="453">SUM(GB23/12)</f>
        <v>0</v>
      </c>
      <c r="EY23" s="2845">
        <f t="shared" ref="EY23:EY24" si="454">SUM(EZ23:FA23)</f>
        <v>25.355</v>
      </c>
      <c r="EZ23" s="2915">
        <f>SUM('ПОЛНАЯ СЕБЕСТОИМОСТЬ ВОДА 2021'!BT23)</f>
        <v>25.355</v>
      </c>
      <c r="FA23" s="2915">
        <f>SUM('ПОЛНАЯ СЕБЕСТОИМОСТЬ ВОДА 2021'!BU23)</f>
        <v>0</v>
      </c>
      <c r="FB23" s="2854">
        <f>SUM(FC23:FD23)</f>
        <v>23.728000000000002</v>
      </c>
      <c r="FC23" s="3051">
        <v>23.728000000000002</v>
      </c>
      <c r="FD23" s="2855"/>
      <c r="FE23" s="2853">
        <f>SUM(FF23:FG23)</f>
        <v>19.761916666666668</v>
      </c>
      <c r="FF23" s="2845">
        <f t="shared" ref="FF23:FF24" si="455">SUM(GA23/12)</f>
        <v>19.761916666666668</v>
      </c>
      <c r="FG23" s="2845">
        <f t="shared" ref="FG23:FG24" si="456">SUM(GB23/12)</f>
        <v>0</v>
      </c>
      <c r="FH23" s="2845">
        <f t="shared" ref="FH23:FH24" si="457">SUM(FI23:FJ23)</f>
        <v>23.556000000000001</v>
      </c>
      <c r="FI23" s="2915">
        <f>SUM('ПОЛНАЯ СЕБЕСТОИМОСТЬ ВОДА 2021'!BW23)</f>
        <v>23.556000000000001</v>
      </c>
      <c r="FJ23" s="2915">
        <f>SUM('ПОЛНАЯ СЕБЕСТОИМОСТЬ ВОДА 2021'!BX23)</f>
        <v>0</v>
      </c>
      <c r="FK23" s="2854">
        <f>SUM(FL23:FM23)</f>
        <v>26.18</v>
      </c>
      <c r="FL23" s="3051">
        <v>26.18</v>
      </c>
      <c r="FM23" s="2855"/>
      <c r="FN23" s="2856">
        <f>SUM(FO23:FP23)</f>
        <v>59.285750000000007</v>
      </c>
      <c r="FO23" s="2846">
        <f t="shared" ref="FO23:FP24" si="458">SUM(EN23+EW23+FF23)</f>
        <v>59.285750000000007</v>
      </c>
      <c r="FP23" s="2846">
        <f t="shared" si="458"/>
        <v>0</v>
      </c>
      <c r="FQ23" s="2856">
        <f>SUM(FR23:FS23)</f>
        <v>73.304000000000002</v>
      </c>
      <c r="FR23" s="2846">
        <f t="shared" ref="FR23:FV24" si="459">SUM(EQ23+EZ23+FI23)</f>
        <v>73.304000000000002</v>
      </c>
      <c r="FS23" s="2846">
        <f t="shared" si="459"/>
        <v>0</v>
      </c>
      <c r="FT23" s="2921">
        <f t="shared" si="459"/>
        <v>72.777999999999992</v>
      </c>
      <c r="FU23" s="2921">
        <f t="shared" si="459"/>
        <v>72.777999999999992</v>
      </c>
      <c r="FV23" s="2921">
        <f t="shared" si="459"/>
        <v>0</v>
      </c>
      <c r="FW23" s="2856">
        <f>SUM(FX23:FY23)</f>
        <v>14.018249999999995</v>
      </c>
      <c r="FX23" s="2922">
        <f t="shared" si="9"/>
        <v>14.018249999999995</v>
      </c>
      <c r="FY23" s="2922">
        <f t="shared" si="9"/>
        <v>0</v>
      </c>
      <c r="FZ23" s="2856">
        <f>SUM(GA23:GB23)</f>
        <v>237.143</v>
      </c>
      <c r="GA23" s="2856">
        <f>SUM(объемы!BN58)</f>
        <v>237.143</v>
      </c>
      <c r="GB23" s="2856">
        <f>SUM(объемы!BO58)</f>
        <v>0</v>
      </c>
      <c r="GC23" s="2856">
        <f>SUM(GD23:GE23)</f>
        <v>277.82600000000002</v>
      </c>
      <c r="GD23" s="2921">
        <f t="shared" ref="GD23:GE24" si="460">SUM(EE23+FR23)</f>
        <v>277.82600000000002</v>
      </c>
      <c r="GE23" s="2921">
        <f t="shared" si="460"/>
        <v>0</v>
      </c>
      <c r="GF23" s="2921">
        <f>SUM(EG23+FT23)</f>
        <v>313.22500000000002</v>
      </c>
      <c r="GG23" s="2921">
        <f t="shared" ref="GG23:GH24" si="461">SUM(EH23+FU23)</f>
        <v>313.22500000000002</v>
      </c>
      <c r="GH23" s="2921">
        <f t="shared" si="461"/>
        <v>0</v>
      </c>
      <c r="GI23" s="2856">
        <f>SUM(GJ23:GK23)</f>
        <v>40.683000000000021</v>
      </c>
      <c r="GJ23" s="2922">
        <f t="shared" si="12"/>
        <v>40.683000000000021</v>
      </c>
      <c r="GK23" s="2922">
        <f t="shared" si="12"/>
        <v>0</v>
      </c>
      <c r="GL23" s="565"/>
      <c r="GM23" s="4188">
        <f t="shared" si="13"/>
        <v>237.14300000000006</v>
      </c>
    </row>
    <row r="24" spans="1:195" ht="18.75" x14ac:dyDescent="0.3">
      <c r="A24" s="2882" t="s">
        <v>640</v>
      </c>
      <c r="B24" s="2853">
        <f>SUM(C24:D24)</f>
        <v>2.9457499999999999</v>
      </c>
      <c r="C24" s="2853">
        <f t="shared" si="106"/>
        <v>2.9457499999999999</v>
      </c>
      <c r="D24" s="2853">
        <f t="shared" si="106"/>
        <v>0</v>
      </c>
      <c r="E24" s="2845">
        <f t="shared" si="422"/>
        <v>0</v>
      </c>
      <c r="F24" s="2915">
        <f>SUM('ПОЛНАЯ СЕБЕСТОИМОСТЬ ВОДА 2021'!F24)</f>
        <v>0</v>
      </c>
      <c r="G24" s="2915">
        <f>SUM('ПОЛНАЯ СЕБЕСТОИМОСТЬ ВОДА 2021'!G24)</f>
        <v>0</v>
      </c>
      <c r="H24" s="2854">
        <f>SUM(I24:J24)</f>
        <v>0</v>
      </c>
      <c r="I24" s="2855">
        <v>0</v>
      </c>
      <c r="J24" s="2855"/>
      <c r="K24" s="2853">
        <f>SUM(L24:M24)</f>
        <v>2.9457499999999999</v>
      </c>
      <c r="L24" s="2853">
        <f>SUM(GA24/12)</f>
        <v>2.9457499999999999</v>
      </c>
      <c r="M24" s="2853">
        <f>SUM(GB24/12)</f>
        <v>0</v>
      </c>
      <c r="N24" s="2845">
        <f t="shared" si="423"/>
        <v>0</v>
      </c>
      <c r="O24" s="2915">
        <f>SUM('ПОЛНАЯ СЕБЕСТОИМОСТЬ ВОДА 2021'!I24)</f>
        <v>0</v>
      </c>
      <c r="P24" s="2915">
        <f>SUM('ПОЛНАЯ СЕБЕСТОИМОСТЬ ВОДА 2021'!J24)</f>
        <v>0</v>
      </c>
      <c r="Q24" s="2854">
        <f>SUM(R24:S24)</f>
        <v>0</v>
      </c>
      <c r="R24" s="2855">
        <v>0</v>
      </c>
      <c r="S24" s="2855"/>
      <c r="T24" s="2853">
        <f>SUM(U24:V24)</f>
        <v>2.9457499999999999</v>
      </c>
      <c r="U24" s="2853">
        <f>SUM(GA24/12)</f>
        <v>2.9457499999999999</v>
      </c>
      <c r="V24" s="2853">
        <f>SUM(GB24/12)</f>
        <v>0</v>
      </c>
      <c r="W24" s="2845">
        <f t="shared" si="424"/>
        <v>0</v>
      </c>
      <c r="X24" s="2915">
        <f>SUM('ПОЛНАЯ СЕБЕСТОИМОСТЬ ВОДА 2021'!L24)</f>
        <v>0</v>
      </c>
      <c r="Y24" s="2915">
        <f>SUM('ПОЛНАЯ СЕБЕСТОИМОСТЬ ВОДА 2021'!M24)</f>
        <v>0</v>
      </c>
      <c r="Z24" s="2854">
        <f>SUM(AA24:AB24)</f>
        <v>0</v>
      </c>
      <c r="AA24" s="2855">
        <v>0</v>
      </c>
      <c r="AB24" s="2855"/>
      <c r="AC24" s="2856">
        <f>SUM(AD24:AE24)</f>
        <v>8.8372499999999992</v>
      </c>
      <c r="AD24" s="2846">
        <f t="shared" si="425"/>
        <v>8.8372499999999992</v>
      </c>
      <c r="AE24" s="2846">
        <f t="shared" si="425"/>
        <v>0</v>
      </c>
      <c r="AF24" s="2856">
        <f>SUM(AG24:AH24)</f>
        <v>0</v>
      </c>
      <c r="AG24" s="2846">
        <f t="shared" si="426"/>
        <v>0</v>
      </c>
      <c r="AH24" s="2846">
        <f t="shared" si="426"/>
        <v>0</v>
      </c>
      <c r="AI24" s="2921">
        <f t="shared" si="426"/>
        <v>0</v>
      </c>
      <c r="AJ24" s="2921">
        <f t="shared" si="426"/>
        <v>0</v>
      </c>
      <c r="AK24" s="2921">
        <f t="shared" si="426"/>
        <v>0</v>
      </c>
      <c r="AL24" s="2856">
        <f>SUM(AM24:AN24)</f>
        <v>-8.8372499999999992</v>
      </c>
      <c r="AM24" s="2846">
        <f t="shared" si="427"/>
        <v>-8.8372499999999992</v>
      </c>
      <c r="AN24" s="2846">
        <f t="shared" si="427"/>
        <v>0</v>
      </c>
      <c r="AO24" s="2853">
        <f>SUM(AP24:AQ24)</f>
        <v>2.9457499999999999</v>
      </c>
      <c r="AP24" s="2853">
        <f>SUM(GA24/12)</f>
        <v>2.9457499999999999</v>
      </c>
      <c r="AQ24" s="2853">
        <f>SUM(GB24/12)</f>
        <v>0</v>
      </c>
      <c r="AR24" s="2845">
        <f t="shared" si="428"/>
        <v>0</v>
      </c>
      <c r="AS24" s="2915">
        <f>SUM('ПОЛНАЯ СЕБЕСТОИМОСТЬ ВОДА 2021'!U24)</f>
        <v>0</v>
      </c>
      <c r="AT24" s="2915">
        <f>SUM('ПОЛНАЯ СЕБЕСТОИМОСТЬ ВОДА 2021'!V24)</f>
        <v>0</v>
      </c>
      <c r="AU24" s="2854">
        <f>SUM(AV24:AW24)</f>
        <v>0</v>
      </c>
      <c r="AV24" s="2855">
        <v>0</v>
      </c>
      <c r="AW24" s="2855"/>
      <c r="AX24" s="2853">
        <f>SUM(AY24:AZ24)</f>
        <v>2.9457499999999999</v>
      </c>
      <c r="AY24" s="2853">
        <f>SUM(GA24/12)</f>
        <v>2.9457499999999999</v>
      </c>
      <c r="AZ24" s="2853">
        <f>SUM(GB24/12)</f>
        <v>0</v>
      </c>
      <c r="BA24" s="2845">
        <f t="shared" si="429"/>
        <v>0</v>
      </c>
      <c r="BB24" s="2915">
        <f>SUM('ПОЛНАЯ СЕБЕСТОИМОСТЬ ВОДА 2021'!X24)</f>
        <v>0</v>
      </c>
      <c r="BC24" s="2915">
        <f>SUM('ПОЛНАЯ СЕБЕСТОИМОСТЬ ВОДА 2021'!Y24)</f>
        <v>0</v>
      </c>
      <c r="BD24" s="2854">
        <f>SUM(BE24:BF24)</f>
        <v>0</v>
      </c>
      <c r="BE24" s="2855">
        <v>0</v>
      </c>
      <c r="BF24" s="2855"/>
      <c r="BG24" s="2853">
        <f>SUM(BH24:BI24)</f>
        <v>2.9457499999999999</v>
      </c>
      <c r="BH24" s="2853">
        <f>SUM(GA24/12)</f>
        <v>2.9457499999999999</v>
      </c>
      <c r="BI24" s="2853">
        <f>SUM(GB24/12)</f>
        <v>0</v>
      </c>
      <c r="BJ24" s="2845">
        <f t="shared" si="430"/>
        <v>0</v>
      </c>
      <c r="BK24" s="2915">
        <f>SUM('ПОЛНАЯ СЕБЕСТОИМОСТЬ ВОДА 2021'!AA24)</f>
        <v>0</v>
      </c>
      <c r="BL24" s="2915">
        <f>SUM('ПОЛНАЯ СЕБЕСТОИМОСТЬ ВОДА 2021'!AB24)</f>
        <v>0</v>
      </c>
      <c r="BM24" s="2854">
        <f>SUM(BN24:BO24)</f>
        <v>0</v>
      </c>
      <c r="BN24" s="2855">
        <v>0</v>
      </c>
      <c r="BO24" s="2855"/>
      <c r="BP24" s="2856">
        <f>SUM(BQ24:BR24)</f>
        <v>8.8372499999999992</v>
      </c>
      <c r="BQ24" s="2846">
        <f t="shared" si="431"/>
        <v>8.8372499999999992</v>
      </c>
      <c r="BR24" s="2846">
        <f t="shared" si="431"/>
        <v>0</v>
      </c>
      <c r="BS24" s="2856">
        <f>SUM(BT24:BU24)</f>
        <v>0</v>
      </c>
      <c r="BT24" s="2846">
        <f t="shared" si="432"/>
        <v>0</v>
      </c>
      <c r="BU24" s="2846">
        <f t="shared" si="432"/>
        <v>0</v>
      </c>
      <c r="BV24" s="2921">
        <f t="shared" si="432"/>
        <v>0</v>
      </c>
      <c r="BW24" s="2846">
        <f t="shared" si="432"/>
        <v>0</v>
      </c>
      <c r="BX24" s="2846">
        <f t="shared" si="432"/>
        <v>0</v>
      </c>
      <c r="BY24" s="2856">
        <f>SUM(BZ24:CA24)</f>
        <v>-8.8372499999999992</v>
      </c>
      <c r="BZ24" s="2846">
        <f t="shared" si="433"/>
        <v>-8.8372499999999992</v>
      </c>
      <c r="CA24" s="2846">
        <f t="shared" si="433"/>
        <v>0</v>
      </c>
      <c r="CB24" s="2856">
        <f>SUM(CC24:CD24)</f>
        <v>17.674499999999998</v>
      </c>
      <c r="CC24" s="2846">
        <f t="shared" si="434"/>
        <v>17.674499999999998</v>
      </c>
      <c r="CD24" s="2846">
        <f t="shared" si="434"/>
        <v>0</v>
      </c>
      <c r="CE24" s="2856">
        <f>SUM(CF24:CG24)</f>
        <v>0</v>
      </c>
      <c r="CF24" s="2846">
        <f t="shared" si="435"/>
        <v>0</v>
      </c>
      <c r="CG24" s="2846">
        <f t="shared" si="435"/>
        <v>0</v>
      </c>
      <c r="CH24" s="2921">
        <f>SUM(AI24+BV24)</f>
        <v>0</v>
      </c>
      <c r="CI24" s="2921">
        <f t="shared" si="436"/>
        <v>0</v>
      </c>
      <c r="CJ24" s="2921">
        <f t="shared" si="436"/>
        <v>0</v>
      </c>
      <c r="CK24" s="2856">
        <f>SUM(CL24:CM24)</f>
        <v>-17.674499999999998</v>
      </c>
      <c r="CL24" s="2922">
        <f t="shared" si="3"/>
        <v>-17.674499999999998</v>
      </c>
      <c r="CM24" s="2922">
        <f t="shared" si="3"/>
        <v>0</v>
      </c>
      <c r="CN24" s="2853">
        <f>SUM(CO24:CP24)</f>
        <v>2.9457499999999999</v>
      </c>
      <c r="CO24" s="2845">
        <f t="shared" si="437"/>
        <v>2.9457499999999999</v>
      </c>
      <c r="CP24" s="2845">
        <f t="shared" si="438"/>
        <v>0</v>
      </c>
      <c r="CQ24" s="2845">
        <f t="shared" si="439"/>
        <v>0</v>
      </c>
      <c r="CR24" s="2915">
        <f>SUM('ПОЛНАЯ СЕБЕСТОИМОСТЬ ВОДА 2021'!AS24)</f>
        <v>0</v>
      </c>
      <c r="CS24" s="2915">
        <f>SUM('ПОЛНАЯ СЕБЕСТОИМОСТЬ ВОДА 2021'!AT24)</f>
        <v>0</v>
      </c>
      <c r="CT24" s="2854">
        <f>SUM(CU24:CV24)</f>
        <v>0</v>
      </c>
      <c r="CU24" s="2855">
        <v>0</v>
      </c>
      <c r="CV24" s="2855"/>
      <c r="CW24" s="2853">
        <f>SUM(CX24:CY24)</f>
        <v>2.9457499999999999</v>
      </c>
      <c r="CX24" s="2845">
        <f t="shared" si="440"/>
        <v>2.9457499999999999</v>
      </c>
      <c r="CY24" s="2845">
        <f t="shared" si="441"/>
        <v>0</v>
      </c>
      <c r="CZ24" s="2845">
        <f t="shared" si="442"/>
        <v>0</v>
      </c>
      <c r="DA24" s="2915">
        <f>SUM('ПОЛНАЯ СЕБЕСТОИМОСТЬ ВОДА 2021'!AV24)</f>
        <v>0</v>
      </c>
      <c r="DB24" s="2915">
        <f>SUM('ПОЛНАЯ СЕБЕСТОИМОСТЬ ВОДА 2021'!AW24)</f>
        <v>0</v>
      </c>
      <c r="DC24" s="2854">
        <f>SUM(DD24:DE24)</f>
        <v>0</v>
      </c>
      <c r="DD24" s="2855">
        <v>0</v>
      </c>
      <c r="DE24" s="2855"/>
      <c r="DF24" s="2853">
        <f>SUM(DG24:DH24)</f>
        <v>2.9457499999999999</v>
      </c>
      <c r="DG24" s="2845">
        <f t="shared" si="159"/>
        <v>2.9457499999999999</v>
      </c>
      <c r="DH24" s="2845">
        <f t="shared" si="443"/>
        <v>0</v>
      </c>
      <c r="DI24" s="2845">
        <f t="shared" si="444"/>
        <v>0</v>
      </c>
      <c r="DJ24" s="2915">
        <f>SUM('ПОЛНАЯ СЕБЕСТОИМОСТЬ ВОДА 2021'!AY24)</f>
        <v>0</v>
      </c>
      <c r="DK24" s="2915">
        <f>SUM('ПОЛНАЯ СЕБЕСТОИМОСТЬ ВОДА 2021'!AZ24)</f>
        <v>0</v>
      </c>
      <c r="DL24" s="2854">
        <f>SUM(DM24:DN24)</f>
        <v>0</v>
      </c>
      <c r="DM24" s="2855">
        <v>0</v>
      </c>
      <c r="DN24" s="2855"/>
      <c r="DO24" s="2856">
        <f>SUM(DP24:DQ24)</f>
        <v>8.8372499999999992</v>
      </c>
      <c r="DP24" s="2846">
        <f t="shared" si="445"/>
        <v>8.8372499999999992</v>
      </c>
      <c r="DQ24" s="2846">
        <f t="shared" si="445"/>
        <v>0</v>
      </c>
      <c r="DR24" s="2856">
        <f>SUM(DS24:DT24)</f>
        <v>0</v>
      </c>
      <c r="DS24" s="2846">
        <f t="shared" si="446"/>
        <v>0</v>
      </c>
      <c r="DT24" s="2846">
        <f t="shared" si="446"/>
        <v>0</v>
      </c>
      <c r="DU24" s="2921">
        <f t="shared" si="446"/>
        <v>0</v>
      </c>
      <c r="DV24" s="2846">
        <f t="shared" si="446"/>
        <v>0</v>
      </c>
      <c r="DW24" s="2846">
        <f t="shared" si="446"/>
        <v>0</v>
      </c>
      <c r="DX24" s="2856">
        <f>SUM(DY24:DZ24)</f>
        <v>-8.8372499999999992</v>
      </c>
      <c r="DY24" s="2922">
        <f t="shared" si="5"/>
        <v>-8.8372499999999992</v>
      </c>
      <c r="DZ24" s="2922">
        <f t="shared" si="5"/>
        <v>0</v>
      </c>
      <c r="EA24" s="2856">
        <f>SUM(EB24:EC24)</f>
        <v>26.511749999999999</v>
      </c>
      <c r="EB24" s="2846">
        <f t="shared" si="447"/>
        <v>26.511749999999999</v>
      </c>
      <c r="EC24" s="2846">
        <f t="shared" si="447"/>
        <v>0</v>
      </c>
      <c r="ED24" s="2856">
        <f>SUM(EE24:EF24)</f>
        <v>0</v>
      </c>
      <c r="EE24" s="2846">
        <f t="shared" si="448"/>
        <v>0</v>
      </c>
      <c r="EF24" s="2846">
        <f t="shared" si="448"/>
        <v>0</v>
      </c>
      <c r="EG24" s="2846">
        <f t="shared" si="448"/>
        <v>0</v>
      </c>
      <c r="EH24" s="2846">
        <f t="shared" si="448"/>
        <v>0</v>
      </c>
      <c r="EI24" s="2846">
        <f t="shared" si="448"/>
        <v>0</v>
      </c>
      <c r="EJ24" s="2856">
        <f>SUM(EK24:EL24)</f>
        <v>-26.511749999999999</v>
      </c>
      <c r="EK24" s="2922">
        <f t="shared" si="7"/>
        <v>-26.511749999999999</v>
      </c>
      <c r="EL24" s="2922">
        <f t="shared" si="7"/>
        <v>0</v>
      </c>
      <c r="EM24" s="2853">
        <f>SUM(EN24:EO24)</f>
        <v>2.9457499999999999</v>
      </c>
      <c r="EN24" s="2845">
        <f t="shared" si="449"/>
        <v>2.9457499999999999</v>
      </c>
      <c r="EO24" s="2845">
        <f t="shared" si="450"/>
        <v>0</v>
      </c>
      <c r="EP24" s="2845">
        <f t="shared" si="451"/>
        <v>0</v>
      </c>
      <c r="EQ24" s="2915">
        <f>SUM('ПОЛНАЯ СЕБЕСТОИМОСТЬ ВОДА 2021'!BQ24)</f>
        <v>0</v>
      </c>
      <c r="ER24" s="2915">
        <f>SUM('ПОЛНАЯ СЕБЕСТОИМОСТЬ ВОДА 2021'!BR24)</f>
        <v>0</v>
      </c>
      <c r="ES24" s="2854">
        <f>SUM(ET24:EU24)</f>
        <v>0</v>
      </c>
      <c r="ET24" s="2855"/>
      <c r="EU24" s="2855"/>
      <c r="EV24" s="2853">
        <f>SUM(EW24:EX24)</f>
        <v>2.9457499999999999</v>
      </c>
      <c r="EW24" s="2845">
        <f t="shared" si="452"/>
        <v>2.9457499999999999</v>
      </c>
      <c r="EX24" s="2845">
        <f t="shared" si="453"/>
        <v>0</v>
      </c>
      <c r="EY24" s="2845">
        <f t="shared" si="454"/>
        <v>0</v>
      </c>
      <c r="EZ24" s="2915">
        <f>SUM('ПОЛНАЯ СЕБЕСТОИМОСТЬ ВОДА 2021'!BT24)</f>
        <v>0</v>
      </c>
      <c r="FA24" s="2915">
        <f>SUM('ПОЛНАЯ СЕБЕСТОИМОСТЬ ВОДА 2021'!BU24)</f>
        <v>0</v>
      </c>
      <c r="FB24" s="2854">
        <f>SUM(FC24:FD24)</f>
        <v>0</v>
      </c>
      <c r="FC24" s="3051">
        <v>0</v>
      </c>
      <c r="FD24" s="2855"/>
      <c r="FE24" s="2853">
        <f>SUM(FF24:FG24)</f>
        <v>2.9457499999999999</v>
      </c>
      <c r="FF24" s="2845">
        <f t="shared" si="455"/>
        <v>2.9457499999999999</v>
      </c>
      <c r="FG24" s="2845">
        <f t="shared" si="456"/>
        <v>0</v>
      </c>
      <c r="FH24" s="2845">
        <f t="shared" si="457"/>
        <v>0</v>
      </c>
      <c r="FI24" s="2915">
        <f>SUM('ПОЛНАЯ СЕБЕСТОИМОСТЬ ВОДА 2021'!BW24)</f>
        <v>0</v>
      </c>
      <c r="FJ24" s="2915">
        <f>SUM('ПОЛНАЯ СЕБЕСТОИМОСТЬ ВОДА 2021'!BX24)</f>
        <v>0</v>
      </c>
      <c r="FK24" s="2854">
        <f>SUM(FL24:FM24)</f>
        <v>0</v>
      </c>
      <c r="FL24" s="3051">
        <v>0</v>
      </c>
      <c r="FM24" s="2855"/>
      <c r="FN24" s="2856">
        <f>SUM(FO24:FP24)</f>
        <v>8.8372499999999992</v>
      </c>
      <c r="FO24" s="2846">
        <f t="shared" si="458"/>
        <v>8.8372499999999992</v>
      </c>
      <c r="FP24" s="2846">
        <f t="shared" si="458"/>
        <v>0</v>
      </c>
      <c r="FQ24" s="2856">
        <f>SUM(FR24:FS24)</f>
        <v>0</v>
      </c>
      <c r="FR24" s="2846">
        <f t="shared" si="459"/>
        <v>0</v>
      </c>
      <c r="FS24" s="2846">
        <f t="shared" si="459"/>
        <v>0</v>
      </c>
      <c r="FT24" s="2921">
        <f t="shared" si="459"/>
        <v>0</v>
      </c>
      <c r="FU24" s="2921">
        <f t="shared" si="459"/>
        <v>0</v>
      </c>
      <c r="FV24" s="2921">
        <f t="shared" si="459"/>
        <v>0</v>
      </c>
      <c r="FW24" s="2856">
        <f>SUM(FX24:FY24)</f>
        <v>-8.8372499999999992</v>
      </c>
      <c r="FX24" s="2922">
        <f t="shared" si="9"/>
        <v>-8.8372499999999992</v>
      </c>
      <c r="FY24" s="2922">
        <f t="shared" si="9"/>
        <v>0</v>
      </c>
      <c r="FZ24" s="2856">
        <f>SUM(GA24:GB24)</f>
        <v>35.348999999999997</v>
      </c>
      <c r="GA24" s="2856">
        <f>SUM(объемы!BN59)</f>
        <v>35.348999999999997</v>
      </c>
      <c r="GB24" s="2856">
        <f>SUM(объемы!BO59)</f>
        <v>0</v>
      </c>
      <c r="GC24" s="2856">
        <f>SUM(GD24:GE24)</f>
        <v>0</v>
      </c>
      <c r="GD24" s="2921">
        <f t="shared" si="460"/>
        <v>0</v>
      </c>
      <c r="GE24" s="2921">
        <f t="shared" si="460"/>
        <v>0</v>
      </c>
      <c r="GF24" s="2923">
        <f>SUM(EG24+FT24)</f>
        <v>0</v>
      </c>
      <c r="GG24" s="2923">
        <f t="shared" si="461"/>
        <v>0</v>
      </c>
      <c r="GH24" s="2923">
        <f t="shared" si="461"/>
        <v>0</v>
      </c>
      <c r="GI24" s="2856">
        <f>SUM(GJ24:GK24)</f>
        <v>-35.348999999999997</v>
      </c>
      <c r="GJ24" s="2922">
        <f t="shared" si="12"/>
        <v>-35.348999999999997</v>
      </c>
      <c r="GK24" s="2922">
        <f t="shared" si="12"/>
        <v>0</v>
      </c>
      <c r="GL24" s="565"/>
      <c r="GM24" s="4188">
        <f t="shared" si="13"/>
        <v>35.348999999999997</v>
      </c>
    </row>
    <row r="25" spans="1:195" ht="18.75" x14ac:dyDescent="0.3">
      <c r="A25" s="2907" t="s">
        <v>3777</v>
      </c>
      <c r="B25" s="2908"/>
      <c r="C25" s="2908"/>
      <c r="D25" s="2908"/>
      <c r="E25" s="2908"/>
      <c r="F25" s="2908"/>
      <c r="G25" s="2908"/>
      <c r="H25" s="2908"/>
      <c r="I25" s="2908"/>
      <c r="J25" s="2908"/>
      <c r="K25" s="2908"/>
      <c r="L25" s="2908"/>
      <c r="M25" s="2908"/>
      <c r="N25" s="2908"/>
      <c r="O25" s="2908"/>
      <c r="P25" s="2908"/>
      <c r="Q25" s="2908"/>
      <c r="R25" s="2908"/>
      <c r="S25" s="2908"/>
      <c r="T25" s="2908"/>
      <c r="U25" s="2908"/>
      <c r="V25" s="2908"/>
      <c r="W25" s="2908"/>
      <c r="X25" s="2908"/>
      <c r="Y25" s="2908"/>
      <c r="Z25" s="2908"/>
      <c r="AA25" s="2908"/>
      <c r="AB25" s="2908"/>
      <c r="AC25" s="2908"/>
      <c r="AD25" s="2908"/>
      <c r="AE25" s="2908"/>
      <c r="AF25" s="2908"/>
      <c r="AG25" s="2908"/>
      <c r="AH25" s="2908"/>
      <c r="AI25" s="2908"/>
      <c r="AJ25" s="2908"/>
      <c r="AK25" s="2908"/>
      <c r="AL25" s="2908"/>
      <c r="AM25" s="2908"/>
      <c r="AN25" s="2908"/>
      <c r="AO25" s="2908"/>
      <c r="AP25" s="2908"/>
      <c r="AQ25" s="2908"/>
      <c r="AR25" s="2908"/>
      <c r="AS25" s="2908"/>
      <c r="AT25" s="2908"/>
      <c r="AU25" s="2908"/>
      <c r="AV25" s="2908"/>
      <c r="AW25" s="2908"/>
      <c r="AX25" s="2908"/>
      <c r="AY25" s="2908"/>
      <c r="AZ25" s="2908"/>
      <c r="BA25" s="2908"/>
      <c r="BB25" s="2908"/>
      <c r="BC25" s="2908"/>
      <c r="BD25" s="2908"/>
      <c r="BE25" s="2908"/>
      <c r="BF25" s="2908"/>
      <c r="BG25" s="2908"/>
      <c r="BH25" s="2908"/>
      <c r="BI25" s="2908"/>
      <c r="BJ25" s="2908"/>
      <c r="BK25" s="2908"/>
      <c r="BL25" s="2908"/>
      <c r="BM25" s="2908"/>
      <c r="BN25" s="2908"/>
      <c r="BO25" s="2908"/>
      <c r="BP25" s="2908"/>
      <c r="BQ25" s="2908"/>
      <c r="BR25" s="2908"/>
      <c r="BS25" s="2908"/>
      <c r="BT25" s="2908"/>
      <c r="BU25" s="2908"/>
      <c r="BV25" s="2908"/>
      <c r="BW25" s="2908"/>
      <c r="BX25" s="2908"/>
      <c r="BY25" s="2908"/>
      <c r="BZ25" s="2908"/>
      <c r="CA25" s="2908"/>
      <c r="CB25" s="2908"/>
      <c r="CC25" s="2908"/>
      <c r="CD25" s="2908"/>
      <c r="CE25" s="2908"/>
      <c r="CF25" s="2908"/>
      <c r="CG25" s="2908"/>
      <c r="CH25" s="2908"/>
      <c r="CI25" s="2908"/>
      <c r="CJ25" s="2908"/>
      <c r="CK25" s="2908"/>
      <c r="CL25" s="2908"/>
      <c r="CM25" s="2908"/>
      <c r="CN25" s="2908"/>
      <c r="CO25" s="2908"/>
      <c r="CP25" s="2908"/>
      <c r="CQ25" s="2908"/>
      <c r="CR25" s="2908"/>
      <c r="CS25" s="2908"/>
      <c r="CT25" s="2908"/>
      <c r="CU25" s="2908"/>
      <c r="CV25" s="2908"/>
      <c r="CW25" s="2908"/>
      <c r="CX25" s="2908"/>
      <c r="CY25" s="2908"/>
      <c r="CZ25" s="2908"/>
      <c r="DA25" s="2908"/>
      <c r="DB25" s="2908"/>
      <c r="DC25" s="2908"/>
      <c r="DD25" s="2908"/>
      <c r="DE25" s="2908"/>
      <c r="DF25" s="2908"/>
      <c r="DG25" s="2908"/>
      <c r="DH25" s="2908"/>
      <c r="DI25" s="2908"/>
      <c r="DJ25" s="2908"/>
      <c r="DK25" s="2908"/>
      <c r="DL25" s="2908"/>
      <c r="DM25" s="2908"/>
      <c r="DN25" s="2908"/>
      <c r="DO25" s="2908"/>
      <c r="DP25" s="2908"/>
      <c r="DQ25" s="2908"/>
      <c r="DR25" s="2908"/>
      <c r="DS25" s="2908"/>
      <c r="DT25" s="2908"/>
      <c r="DU25" s="2908"/>
      <c r="DV25" s="2908"/>
      <c r="DW25" s="2908"/>
      <c r="DX25" s="2908"/>
      <c r="DY25" s="2908"/>
      <c r="DZ25" s="2908"/>
      <c r="EA25" s="2908"/>
      <c r="EB25" s="2908"/>
      <c r="EC25" s="2908"/>
      <c r="ED25" s="2908"/>
      <c r="EE25" s="2908"/>
      <c r="EF25" s="2908"/>
      <c r="EG25" s="2908"/>
      <c r="EH25" s="2908"/>
      <c r="EI25" s="2908"/>
      <c r="EJ25" s="2908"/>
      <c r="EK25" s="2908"/>
      <c r="EL25" s="2908"/>
      <c r="EM25" s="2908"/>
      <c r="EN25" s="2908"/>
      <c r="EO25" s="2908"/>
      <c r="EP25" s="2908"/>
      <c r="EQ25" s="2908"/>
      <c r="ER25" s="2908"/>
      <c r="ES25" s="2908"/>
      <c r="ET25" s="2908"/>
      <c r="EU25" s="2908"/>
      <c r="EV25" s="2908"/>
      <c r="EW25" s="2908"/>
      <c r="EX25" s="2908"/>
      <c r="EY25" s="2908"/>
      <c r="EZ25" s="2908"/>
      <c r="FA25" s="2908"/>
      <c r="FB25" s="2908"/>
      <c r="FC25" s="2908"/>
      <c r="FD25" s="2908"/>
      <c r="FE25" s="2908"/>
      <c r="FF25" s="2908"/>
      <c r="FG25" s="2908"/>
      <c r="FH25" s="2908"/>
      <c r="FI25" s="2908"/>
      <c r="FJ25" s="2908"/>
      <c r="FK25" s="2908"/>
      <c r="FL25" s="2908"/>
      <c r="FM25" s="2908"/>
      <c r="FN25" s="2908"/>
      <c r="FO25" s="2908"/>
      <c r="FP25" s="2908"/>
      <c r="FQ25" s="2908"/>
      <c r="FR25" s="2908"/>
      <c r="FS25" s="2908"/>
      <c r="FT25" s="2908"/>
      <c r="FU25" s="2908"/>
      <c r="FV25" s="2908"/>
      <c r="FW25" s="2908"/>
      <c r="FX25" s="2908"/>
      <c r="FY25" s="2908"/>
      <c r="FZ25" s="2908"/>
      <c r="GA25" s="2908"/>
      <c r="GB25" s="2908"/>
      <c r="GC25" s="2908"/>
      <c r="GD25" s="2908"/>
      <c r="GE25" s="2908"/>
      <c r="GF25" s="2908"/>
      <c r="GG25" s="2908"/>
      <c r="GH25" s="2908"/>
      <c r="GI25" s="2908"/>
      <c r="GJ25" s="2908"/>
      <c r="GK25" s="2909"/>
      <c r="GL25" s="565"/>
    </row>
    <row r="26" spans="1:195" ht="20.25" customHeight="1" x14ac:dyDescent="0.2">
      <c r="A26" s="4564" t="s">
        <v>527</v>
      </c>
      <c r="B26" s="4565" t="s">
        <v>3764</v>
      </c>
      <c r="C26" s="4566"/>
      <c r="D26" s="4566"/>
      <c r="E26" s="4567"/>
      <c r="F26" s="4567"/>
      <c r="G26" s="4567"/>
      <c r="H26" s="4567"/>
      <c r="I26" s="4568"/>
      <c r="J26" s="4569"/>
      <c r="K26" s="4565" t="s">
        <v>3765</v>
      </c>
      <c r="L26" s="4566"/>
      <c r="M26" s="4566"/>
      <c r="N26" s="4567"/>
      <c r="O26" s="4567"/>
      <c r="P26" s="4567"/>
      <c r="Q26" s="4567"/>
      <c r="R26" s="4568"/>
      <c r="S26" s="4569"/>
      <c r="T26" s="4565" t="s">
        <v>3766</v>
      </c>
      <c r="U26" s="4566"/>
      <c r="V26" s="4566"/>
      <c r="W26" s="4567"/>
      <c r="X26" s="4567"/>
      <c r="Y26" s="4567"/>
      <c r="Z26" s="4567"/>
      <c r="AA26" s="4570"/>
      <c r="AB26" s="4571"/>
      <c r="AC26" s="4572" t="s">
        <v>3716</v>
      </c>
      <c r="AD26" s="4573"/>
      <c r="AE26" s="4573"/>
      <c r="AF26" s="4574"/>
      <c r="AG26" s="4574"/>
      <c r="AH26" s="4574"/>
      <c r="AI26" s="4574"/>
      <c r="AJ26" s="4574"/>
      <c r="AK26" s="4574"/>
      <c r="AL26" s="4574"/>
      <c r="AM26" s="4574"/>
      <c r="AN26" s="4574"/>
      <c r="AO26" s="4565" t="s">
        <v>3767</v>
      </c>
      <c r="AP26" s="4566"/>
      <c r="AQ26" s="4566"/>
      <c r="AR26" s="4567"/>
      <c r="AS26" s="4567"/>
      <c r="AT26" s="4567"/>
      <c r="AU26" s="4567"/>
      <c r="AV26" s="4570"/>
      <c r="AW26" s="4571"/>
      <c r="AX26" s="4565" t="s">
        <v>3768</v>
      </c>
      <c r="AY26" s="4566"/>
      <c r="AZ26" s="4566"/>
      <c r="BA26" s="4567"/>
      <c r="BB26" s="4567"/>
      <c r="BC26" s="4567"/>
      <c r="BD26" s="4567"/>
      <c r="BE26" s="4568"/>
      <c r="BF26" s="4569"/>
      <c r="BG26" s="4565" t="s">
        <v>3769</v>
      </c>
      <c r="BH26" s="4566"/>
      <c r="BI26" s="4566"/>
      <c r="BJ26" s="4567"/>
      <c r="BK26" s="4567"/>
      <c r="BL26" s="4567"/>
      <c r="BM26" s="4567"/>
      <c r="BN26" s="4568"/>
      <c r="BO26" s="4569"/>
      <c r="BP26" s="4572" t="s">
        <v>3717</v>
      </c>
      <c r="BQ26" s="4573"/>
      <c r="BR26" s="4573"/>
      <c r="BS26" s="4574"/>
      <c r="BT26" s="4574"/>
      <c r="BU26" s="4574"/>
      <c r="BV26" s="4574"/>
      <c r="BW26" s="4574"/>
      <c r="BX26" s="4574"/>
      <c r="BY26" s="4568"/>
      <c r="BZ26" s="4568"/>
      <c r="CA26" s="4568"/>
      <c r="CB26" s="4572" t="s">
        <v>3718</v>
      </c>
      <c r="CC26" s="4573"/>
      <c r="CD26" s="4573"/>
      <c r="CE26" s="4574"/>
      <c r="CF26" s="4574"/>
      <c r="CG26" s="4574"/>
      <c r="CH26" s="4574"/>
      <c r="CI26" s="4574"/>
      <c r="CJ26" s="4574"/>
      <c r="CK26" s="4568"/>
      <c r="CL26" s="4568"/>
      <c r="CM26" s="4568"/>
      <c r="CN26" s="4565" t="s">
        <v>1360</v>
      </c>
      <c r="CO26" s="4566"/>
      <c r="CP26" s="4566"/>
      <c r="CQ26" s="4567"/>
      <c r="CR26" s="4567"/>
      <c r="CS26" s="4567"/>
      <c r="CT26" s="4567"/>
      <c r="CU26" s="4568"/>
      <c r="CV26" s="4569"/>
      <c r="CW26" s="4565" t="s">
        <v>3770</v>
      </c>
      <c r="CX26" s="4566"/>
      <c r="CY26" s="4566"/>
      <c r="CZ26" s="4567"/>
      <c r="DA26" s="4567"/>
      <c r="DB26" s="4567"/>
      <c r="DC26" s="4567"/>
      <c r="DD26" s="4568"/>
      <c r="DE26" s="4569"/>
      <c r="DF26" s="4565" t="s">
        <v>3771</v>
      </c>
      <c r="DG26" s="4566"/>
      <c r="DH26" s="4566"/>
      <c r="DI26" s="4567"/>
      <c r="DJ26" s="4567"/>
      <c r="DK26" s="4567"/>
      <c r="DL26" s="4567"/>
      <c r="DM26" s="4568"/>
      <c r="DN26" s="4569"/>
      <c r="DO26" s="4572" t="s">
        <v>3719</v>
      </c>
      <c r="DP26" s="4573"/>
      <c r="DQ26" s="4573"/>
      <c r="DR26" s="4574"/>
      <c r="DS26" s="4574"/>
      <c r="DT26" s="4574"/>
      <c r="DU26" s="4574"/>
      <c r="DV26" s="4574"/>
      <c r="DW26" s="4574"/>
      <c r="DX26" s="4568"/>
      <c r="DY26" s="4568"/>
      <c r="DZ26" s="4568"/>
      <c r="EA26" s="4572" t="s">
        <v>3720</v>
      </c>
      <c r="EB26" s="4573"/>
      <c r="EC26" s="4573"/>
      <c r="ED26" s="4574"/>
      <c r="EE26" s="4574"/>
      <c r="EF26" s="4574"/>
      <c r="EG26" s="4574"/>
      <c r="EH26" s="4574"/>
      <c r="EI26" s="4574"/>
      <c r="EJ26" s="4568"/>
      <c r="EK26" s="4568"/>
      <c r="EL26" s="4568"/>
      <c r="EM26" s="4565" t="s">
        <v>3772</v>
      </c>
      <c r="EN26" s="4566"/>
      <c r="EO26" s="4566"/>
      <c r="EP26" s="4567"/>
      <c r="EQ26" s="4567"/>
      <c r="ER26" s="4567"/>
      <c r="ES26" s="4567"/>
      <c r="ET26" s="4568"/>
      <c r="EU26" s="4569"/>
      <c r="EV26" s="4565" t="s">
        <v>3773</v>
      </c>
      <c r="EW26" s="4566"/>
      <c r="EX26" s="4566"/>
      <c r="EY26" s="4567"/>
      <c r="EZ26" s="4567"/>
      <c r="FA26" s="4567"/>
      <c r="FB26" s="4567"/>
      <c r="FC26" s="4568"/>
      <c r="FD26" s="4569"/>
      <c r="FE26" s="4565" t="s">
        <v>3774</v>
      </c>
      <c r="FF26" s="4566"/>
      <c r="FG26" s="4566"/>
      <c r="FH26" s="4567"/>
      <c r="FI26" s="4567"/>
      <c r="FJ26" s="4567"/>
      <c r="FK26" s="4567"/>
      <c r="FL26" s="4568"/>
      <c r="FM26" s="4569"/>
      <c r="FN26" s="4572" t="s">
        <v>3721</v>
      </c>
      <c r="FO26" s="4573"/>
      <c r="FP26" s="4573"/>
      <c r="FQ26" s="4574"/>
      <c r="FR26" s="4574"/>
      <c r="FS26" s="4574"/>
      <c r="FT26" s="4574"/>
      <c r="FU26" s="4574"/>
      <c r="FV26" s="4574"/>
      <c r="FW26" s="4568"/>
      <c r="FX26" s="4568"/>
      <c r="FY26" s="4568"/>
      <c r="FZ26" s="4572" t="s">
        <v>1992</v>
      </c>
      <c r="GA26" s="4573"/>
      <c r="GB26" s="4573"/>
      <c r="GC26" s="4574"/>
      <c r="GD26" s="4574"/>
      <c r="GE26" s="4574"/>
      <c r="GF26" s="4574"/>
      <c r="GG26" s="4574"/>
      <c r="GH26" s="4574"/>
      <c r="GI26" s="4568"/>
      <c r="GJ26" s="4568"/>
      <c r="GK26" s="4569"/>
      <c r="GL26" s="565"/>
    </row>
    <row r="27" spans="1:195" ht="20.25" customHeight="1" x14ac:dyDescent="0.2">
      <c r="A27" s="4564"/>
      <c r="B27" s="4575" t="s">
        <v>3573</v>
      </c>
      <c r="C27" s="4576"/>
      <c r="D27" s="4577"/>
      <c r="E27" s="4575" t="s">
        <v>1677</v>
      </c>
      <c r="F27" s="4576"/>
      <c r="G27" s="4577"/>
      <c r="H27" s="4575" t="s">
        <v>3775</v>
      </c>
      <c r="I27" s="4576"/>
      <c r="J27" s="4577"/>
      <c r="K27" s="4575" t="s">
        <v>3573</v>
      </c>
      <c r="L27" s="4576"/>
      <c r="M27" s="4577"/>
      <c r="N27" s="4575" t="s">
        <v>1677</v>
      </c>
      <c r="O27" s="4576"/>
      <c r="P27" s="4577"/>
      <c r="Q27" s="4575" t="s">
        <v>3775</v>
      </c>
      <c r="R27" s="4576"/>
      <c r="S27" s="4577"/>
      <c r="T27" s="4575" t="s">
        <v>3573</v>
      </c>
      <c r="U27" s="4576"/>
      <c r="V27" s="4577"/>
      <c r="W27" s="4575" t="s">
        <v>1677</v>
      </c>
      <c r="X27" s="4576"/>
      <c r="Y27" s="4577"/>
      <c r="Z27" s="4575" t="s">
        <v>3775</v>
      </c>
      <c r="AA27" s="4576"/>
      <c r="AB27" s="4577"/>
      <c r="AC27" s="4578" t="s">
        <v>3573</v>
      </c>
      <c r="AD27" s="4579"/>
      <c r="AE27" s="4580"/>
      <c r="AF27" s="4581" t="s">
        <v>1677</v>
      </c>
      <c r="AG27" s="4582"/>
      <c r="AH27" s="4583"/>
      <c r="AI27" s="4581" t="s">
        <v>3775</v>
      </c>
      <c r="AJ27" s="4582"/>
      <c r="AK27" s="4583"/>
      <c r="AL27" s="4578" t="s">
        <v>3776</v>
      </c>
      <c r="AM27" s="4579"/>
      <c r="AN27" s="4580"/>
      <c r="AO27" s="4575" t="s">
        <v>3573</v>
      </c>
      <c r="AP27" s="4576"/>
      <c r="AQ27" s="4577"/>
      <c r="AR27" s="4575" t="s">
        <v>1677</v>
      </c>
      <c r="AS27" s="4576"/>
      <c r="AT27" s="4577"/>
      <c r="AU27" s="4575" t="s">
        <v>3775</v>
      </c>
      <c r="AV27" s="4576"/>
      <c r="AW27" s="4577"/>
      <c r="AX27" s="4575" t="s">
        <v>3573</v>
      </c>
      <c r="AY27" s="4576"/>
      <c r="AZ27" s="4577"/>
      <c r="BA27" s="4575" t="s">
        <v>1677</v>
      </c>
      <c r="BB27" s="4576"/>
      <c r="BC27" s="4577"/>
      <c r="BD27" s="4575" t="s">
        <v>3775</v>
      </c>
      <c r="BE27" s="4576"/>
      <c r="BF27" s="4577"/>
      <c r="BG27" s="4575" t="s">
        <v>3573</v>
      </c>
      <c r="BH27" s="4576"/>
      <c r="BI27" s="4577"/>
      <c r="BJ27" s="4575" t="s">
        <v>1677</v>
      </c>
      <c r="BK27" s="4576"/>
      <c r="BL27" s="4577"/>
      <c r="BM27" s="4575" t="s">
        <v>3775</v>
      </c>
      <c r="BN27" s="4576"/>
      <c r="BO27" s="4577"/>
      <c r="BP27" s="4578" t="s">
        <v>3573</v>
      </c>
      <c r="BQ27" s="4579"/>
      <c r="BR27" s="4580"/>
      <c r="BS27" s="4581" t="s">
        <v>1677</v>
      </c>
      <c r="BT27" s="4582"/>
      <c r="BU27" s="4583"/>
      <c r="BV27" s="4581" t="s">
        <v>3775</v>
      </c>
      <c r="BW27" s="4582"/>
      <c r="BX27" s="4583"/>
      <c r="BY27" s="4578" t="s">
        <v>3776</v>
      </c>
      <c r="BZ27" s="4579"/>
      <c r="CA27" s="4580"/>
      <c r="CB27" s="4578" t="s">
        <v>3573</v>
      </c>
      <c r="CC27" s="4579"/>
      <c r="CD27" s="4580"/>
      <c r="CE27" s="4581" t="s">
        <v>1677</v>
      </c>
      <c r="CF27" s="4582"/>
      <c r="CG27" s="4583"/>
      <c r="CH27" s="4581" t="s">
        <v>3775</v>
      </c>
      <c r="CI27" s="4582"/>
      <c r="CJ27" s="4583"/>
      <c r="CK27" s="4578" t="s">
        <v>3776</v>
      </c>
      <c r="CL27" s="4579"/>
      <c r="CM27" s="4580"/>
      <c r="CN27" s="4575" t="s">
        <v>3573</v>
      </c>
      <c r="CO27" s="4576"/>
      <c r="CP27" s="4577"/>
      <c r="CQ27" s="4575" t="s">
        <v>1677</v>
      </c>
      <c r="CR27" s="4576"/>
      <c r="CS27" s="4577"/>
      <c r="CT27" s="4575" t="s">
        <v>3775</v>
      </c>
      <c r="CU27" s="4576"/>
      <c r="CV27" s="4577"/>
      <c r="CW27" s="4575" t="s">
        <v>3573</v>
      </c>
      <c r="CX27" s="4576"/>
      <c r="CY27" s="4577"/>
      <c r="CZ27" s="4575" t="s">
        <v>1677</v>
      </c>
      <c r="DA27" s="4576"/>
      <c r="DB27" s="4577"/>
      <c r="DC27" s="4575" t="s">
        <v>3775</v>
      </c>
      <c r="DD27" s="4576"/>
      <c r="DE27" s="4577"/>
      <c r="DF27" s="4575" t="s">
        <v>3573</v>
      </c>
      <c r="DG27" s="4576"/>
      <c r="DH27" s="4577"/>
      <c r="DI27" s="4575" t="s">
        <v>1677</v>
      </c>
      <c r="DJ27" s="4576"/>
      <c r="DK27" s="4577"/>
      <c r="DL27" s="4575" t="s">
        <v>3775</v>
      </c>
      <c r="DM27" s="4576"/>
      <c r="DN27" s="4577"/>
      <c r="DO27" s="4578" t="s">
        <v>3573</v>
      </c>
      <c r="DP27" s="4579"/>
      <c r="DQ27" s="4580"/>
      <c r="DR27" s="4581" t="s">
        <v>1677</v>
      </c>
      <c r="DS27" s="4582"/>
      <c r="DT27" s="4583"/>
      <c r="DU27" s="4581" t="s">
        <v>3775</v>
      </c>
      <c r="DV27" s="4582"/>
      <c r="DW27" s="4583"/>
      <c r="DX27" s="4578" t="s">
        <v>3776</v>
      </c>
      <c r="DY27" s="4579"/>
      <c r="DZ27" s="4580"/>
      <c r="EA27" s="4578" t="s">
        <v>3573</v>
      </c>
      <c r="EB27" s="4579"/>
      <c r="EC27" s="4580"/>
      <c r="ED27" s="4581" t="s">
        <v>1677</v>
      </c>
      <c r="EE27" s="4582"/>
      <c r="EF27" s="4583"/>
      <c r="EG27" s="4581" t="s">
        <v>3775</v>
      </c>
      <c r="EH27" s="4582"/>
      <c r="EI27" s="4583"/>
      <c r="EJ27" s="4578" t="s">
        <v>3776</v>
      </c>
      <c r="EK27" s="4579"/>
      <c r="EL27" s="4580"/>
      <c r="EM27" s="4575" t="s">
        <v>3573</v>
      </c>
      <c r="EN27" s="4576"/>
      <c r="EO27" s="4577"/>
      <c r="EP27" s="4575" t="s">
        <v>1677</v>
      </c>
      <c r="EQ27" s="4576"/>
      <c r="ER27" s="4577"/>
      <c r="ES27" s="4575" t="s">
        <v>3775</v>
      </c>
      <c r="ET27" s="4576"/>
      <c r="EU27" s="4577"/>
      <c r="EV27" s="4575" t="s">
        <v>3573</v>
      </c>
      <c r="EW27" s="4576"/>
      <c r="EX27" s="4577"/>
      <c r="EY27" s="4575" t="s">
        <v>1677</v>
      </c>
      <c r="EZ27" s="4576"/>
      <c r="FA27" s="4577"/>
      <c r="FB27" s="4575" t="s">
        <v>3775</v>
      </c>
      <c r="FC27" s="4576"/>
      <c r="FD27" s="4577"/>
      <c r="FE27" s="4575" t="s">
        <v>3573</v>
      </c>
      <c r="FF27" s="4576"/>
      <c r="FG27" s="4577"/>
      <c r="FH27" s="4575" t="s">
        <v>1677</v>
      </c>
      <c r="FI27" s="4576"/>
      <c r="FJ27" s="4577"/>
      <c r="FK27" s="4575" t="s">
        <v>3775</v>
      </c>
      <c r="FL27" s="4576"/>
      <c r="FM27" s="4577"/>
      <c r="FN27" s="4578" t="s">
        <v>3573</v>
      </c>
      <c r="FO27" s="4579"/>
      <c r="FP27" s="4580"/>
      <c r="FQ27" s="4581" t="s">
        <v>1677</v>
      </c>
      <c r="FR27" s="4582"/>
      <c r="FS27" s="4583"/>
      <c r="FT27" s="4581" t="s">
        <v>3775</v>
      </c>
      <c r="FU27" s="4582"/>
      <c r="FV27" s="4583"/>
      <c r="FW27" s="4578" t="s">
        <v>3776</v>
      </c>
      <c r="FX27" s="4579"/>
      <c r="FY27" s="4580"/>
      <c r="FZ27" s="4578" t="s">
        <v>3573</v>
      </c>
      <c r="GA27" s="4579"/>
      <c r="GB27" s="4580"/>
      <c r="GC27" s="4581" t="s">
        <v>1677</v>
      </c>
      <c r="GD27" s="4582"/>
      <c r="GE27" s="4583"/>
      <c r="GF27" s="4581" t="s">
        <v>3775</v>
      </c>
      <c r="GG27" s="4582"/>
      <c r="GH27" s="4583"/>
      <c r="GI27" s="4578" t="s">
        <v>3776</v>
      </c>
      <c r="GJ27" s="4579"/>
      <c r="GK27" s="4580"/>
      <c r="GL27" s="565"/>
    </row>
    <row r="28" spans="1:195" ht="25.5" customHeight="1" x14ac:dyDescent="0.2">
      <c r="A28" s="4564"/>
      <c r="B28" s="2832" t="s">
        <v>616</v>
      </c>
      <c r="C28" s="2832" t="s">
        <v>3724</v>
      </c>
      <c r="D28" s="2832" t="s">
        <v>3660</v>
      </c>
      <c r="E28" s="2832" t="s">
        <v>616</v>
      </c>
      <c r="F28" s="2832" t="s">
        <v>3724</v>
      </c>
      <c r="G28" s="2832" t="s">
        <v>3660</v>
      </c>
      <c r="H28" s="2832" t="s">
        <v>616</v>
      </c>
      <c r="I28" s="2832" t="s">
        <v>3724</v>
      </c>
      <c r="J28" s="2832" t="s">
        <v>3660</v>
      </c>
      <c r="K28" s="2832" t="s">
        <v>616</v>
      </c>
      <c r="L28" s="2832" t="s">
        <v>3724</v>
      </c>
      <c r="M28" s="2832" t="s">
        <v>3660</v>
      </c>
      <c r="N28" s="2832" t="s">
        <v>616</v>
      </c>
      <c r="O28" s="2832" t="s">
        <v>3724</v>
      </c>
      <c r="P28" s="2832" t="s">
        <v>3660</v>
      </c>
      <c r="Q28" s="2832" t="s">
        <v>616</v>
      </c>
      <c r="R28" s="2832" t="s">
        <v>3724</v>
      </c>
      <c r="S28" s="2832" t="s">
        <v>3660</v>
      </c>
      <c r="T28" s="2832" t="s">
        <v>616</v>
      </c>
      <c r="U28" s="2832" t="s">
        <v>3724</v>
      </c>
      <c r="V28" s="2832" t="s">
        <v>3660</v>
      </c>
      <c r="W28" s="2832" t="s">
        <v>616</v>
      </c>
      <c r="X28" s="2832" t="s">
        <v>3724</v>
      </c>
      <c r="Y28" s="2832" t="s">
        <v>3660</v>
      </c>
      <c r="Z28" s="2832" t="s">
        <v>616</v>
      </c>
      <c r="AA28" s="2832" t="s">
        <v>3724</v>
      </c>
      <c r="AB28" s="2832" t="s">
        <v>3660</v>
      </c>
      <c r="AC28" s="2833" t="s">
        <v>616</v>
      </c>
      <c r="AD28" s="2833" t="s">
        <v>3724</v>
      </c>
      <c r="AE28" s="2833" t="s">
        <v>3660</v>
      </c>
      <c r="AF28" s="2833" t="s">
        <v>616</v>
      </c>
      <c r="AG28" s="2833" t="s">
        <v>3724</v>
      </c>
      <c r="AH28" s="2833" t="s">
        <v>3660</v>
      </c>
      <c r="AI28" s="2833" t="s">
        <v>616</v>
      </c>
      <c r="AJ28" s="2833" t="s">
        <v>3724</v>
      </c>
      <c r="AK28" s="2833" t="s">
        <v>3660</v>
      </c>
      <c r="AL28" s="2833" t="s">
        <v>616</v>
      </c>
      <c r="AM28" s="2833" t="s">
        <v>3724</v>
      </c>
      <c r="AN28" s="2833" t="s">
        <v>3660</v>
      </c>
      <c r="AO28" s="2832" t="s">
        <v>616</v>
      </c>
      <c r="AP28" s="2832" t="s">
        <v>3724</v>
      </c>
      <c r="AQ28" s="2832" t="s">
        <v>3660</v>
      </c>
      <c r="AR28" s="2832" t="s">
        <v>616</v>
      </c>
      <c r="AS28" s="2832" t="s">
        <v>3724</v>
      </c>
      <c r="AT28" s="2832" t="s">
        <v>3660</v>
      </c>
      <c r="AU28" s="2832" t="s">
        <v>616</v>
      </c>
      <c r="AV28" s="2832" t="s">
        <v>3724</v>
      </c>
      <c r="AW28" s="2832" t="s">
        <v>3660</v>
      </c>
      <c r="AX28" s="2832" t="s">
        <v>616</v>
      </c>
      <c r="AY28" s="2832" t="s">
        <v>3724</v>
      </c>
      <c r="AZ28" s="2832" t="s">
        <v>3660</v>
      </c>
      <c r="BA28" s="2832" t="s">
        <v>616</v>
      </c>
      <c r="BB28" s="2832" t="s">
        <v>3724</v>
      </c>
      <c r="BC28" s="2832" t="s">
        <v>3660</v>
      </c>
      <c r="BD28" s="2832" t="s">
        <v>616</v>
      </c>
      <c r="BE28" s="2832" t="s">
        <v>3724</v>
      </c>
      <c r="BF28" s="2832" t="s">
        <v>3660</v>
      </c>
      <c r="BG28" s="2832" t="s">
        <v>616</v>
      </c>
      <c r="BH28" s="2832" t="s">
        <v>3724</v>
      </c>
      <c r="BI28" s="2832" t="s">
        <v>3660</v>
      </c>
      <c r="BJ28" s="2832" t="s">
        <v>616</v>
      </c>
      <c r="BK28" s="2832" t="s">
        <v>3724</v>
      </c>
      <c r="BL28" s="2832" t="s">
        <v>3660</v>
      </c>
      <c r="BM28" s="2832" t="s">
        <v>616</v>
      </c>
      <c r="BN28" s="2832" t="s">
        <v>3724</v>
      </c>
      <c r="BO28" s="2832" t="s">
        <v>3660</v>
      </c>
      <c r="BP28" s="2833" t="s">
        <v>616</v>
      </c>
      <c r="BQ28" s="2833" t="s">
        <v>3724</v>
      </c>
      <c r="BR28" s="2833" t="s">
        <v>3660</v>
      </c>
      <c r="BS28" s="2833" t="s">
        <v>616</v>
      </c>
      <c r="BT28" s="2833" t="s">
        <v>3724</v>
      </c>
      <c r="BU28" s="2833" t="s">
        <v>3660</v>
      </c>
      <c r="BV28" s="2833" t="s">
        <v>616</v>
      </c>
      <c r="BW28" s="2833" t="s">
        <v>3724</v>
      </c>
      <c r="BX28" s="2833" t="s">
        <v>3660</v>
      </c>
      <c r="BY28" s="2833" t="s">
        <v>616</v>
      </c>
      <c r="BZ28" s="2833" t="s">
        <v>3724</v>
      </c>
      <c r="CA28" s="2833" t="s">
        <v>3660</v>
      </c>
      <c r="CB28" s="2833" t="s">
        <v>616</v>
      </c>
      <c r="CC28" s="2833" t="s">
        <v>3724</v>
      </c>
      <c r="CD28" s="2833" t="s">
        <v>3660</v>
      </c>
      <c r="CE28" s="2833" t="s">
        <v>616</v>
      </c>
      <c r="CF28" s="2833" t="s">
        <v>3724</v>
      </c>
      <c r="CG28" s="2833" t="s">
        <v>3660</v>
      </c>
      <c r="CH28" s="2833" t="s">
        <v>616</v>
      </c>
      <c r="CI28" s="2833" t="s">
        <v>3724</v>
      </c>
      <c r="CJ28" s="2833" t="s">
        <v>3660</v>
      </c>
      <c r="CK28" s="2833" t="s">
        <v>616</v>
      </c>
      <c r="CL28" s="2833" t="s">
        <v>3724</v>
      </c>
      <c r="CM28" s="2833" t="s">
        <v>3660</v>
      </c>
      <c r="CN28" s="2832" t="s">
        <v>616</v>
      </c>
      <c r="CO28" s="2832" t="s">
        <v>3724</v>
      </c>
      <c r="CP28" s="2832" t="s">
        <v>3660</v>
      </c>
      <c r="CQ28" s="2832" t="s">
        <v>616</v>
      </c>
      <c r="CR28" s="2832" t="s">
        <v>3724</v>
      </c>
      <c r="CS28" s="2832" t="s">
        <v>3660</v>
      </c>
      <c r="CT28" s="2832" t="s">
        <v>616</v>
      </c>
      <c r="CU28" s="2832" t="s">
        <v>3724</v>
      </c>
      <c r="CV28" s="2832" t="s">
        <v>3660</v>
      </c>
      <c r="CW28" s="2832" t="s">
        <v>616</v>
      </c>
      <c r="CX28" s="2832" t="s">
        <v>3724</v>
      </c>
      <c r="CY28" s="2832" t="s">
        <v>3660</v>
      </c>
      <c r="CZ28" s="2832" t="s">
        <v>616</v>
      </c>
      <c r="DA28" s="2832" t="s">
        <v>3724</v>
      </c>
      <c r="DB28" s="2832" t="s">
        <v>3660</v>
      </c>
      <c r="DC28" s="2832" t="s">
        <v>616</v>
      </c>
      <c r="DD28" s="2832" t="s">
        <v>3724</v>
      </c>
      <c r="DE28" s="2832" t="s">
        <v>3660</v>
      </c>
      <c r="DF28" s="2832" t="s">
        <v>616</v>
      </c>
      <c r="DG28" s="2832" t="s">
        <v>3724</v>
      </c>
      <c r="DH28" s="2832" t="s">
        <v>3660</v>
      </c>
      <c r="DI28" s="2832" t="s">
        <v>616</v>
      </c>
      <c r="DJ28" s="2832" t="s">
        <v>3724</v>
      </c>
      <c r="DK28" s="2832" t="s">
        <v>3660</v>
      </c>
      <c r="DL28" s="2832" t="s">
        <v>616</v>
      </c>
      <c r="DM28" s="2832" t="s">
        <v>3724</v>
      </c>
      <c r="DN28" s="2832" t="s">
        <v>3660</v>
      </c>
      <c r="DO28" s="2833" t="s">
        <v>616</v>
      </c>
      <c r="DP28" s="2833" t="s">
        <v>3724</v>
      </c>
      <c r="DQ28" s="2833" t="s">
        <v>3660</v>
      </c>
      <c r="DR28" s="2833" t="s">
        <v>616</v>
      </c>
      <c r="DS28" s="2833" t="s">
        <v>3724</v>
      </c>
      <c r="DT28" s="2833" t="s">
        <v>3660</v>
      </c>
      <c r="DU28" s="2833" t="s">
        <v>616</v>
      </c>
      <c r="DV28" s="2833" t="s">
        <v>3724</v>
      </c>
      <c r="DW28" s="2833" t="s">
        <v>3660</v>
      </c>
      <c r="DX28" s="2833" t="s">
        <v>616</v>
      </c>
      <c r="DY28" s="2833" t="s">
        <v>3724</v>
      </c>
      <c r="DZ28" s="2833" t="s">
        <v>3660</v>
      </c>
      <c r="EA28" s="2833" t="s">
        <v>616</v>
      </c>
      <c r="EB28" s="2833" t="s">
        <v>3724</v>
      </c>
      <c r="EC28" s="2833" t="s">
        <v>3660</v>
      </c>
      <c r="ED28" s="2833" t="s">
        <v>616</v>
      </c>
      <c r="EE28" s="2833" t="s">
        <v>3724</v>
      </c>
      <c r="EF28" s="2833" t="s">
        <v>3660</v>
      </c>
      <c r="EG28" s="2833" t="s">
        <v>616</v>
      </c>
      <c r="EH28" s="2833" t="s">
        <v>3724</v>
      </c>
      <c r="EI28" s="2833" t="s">
        <v>3660</v>
      </c>
      <c r="EJ28" s="2833" t="s">
        <v>616</v>
      </c>
      <c r="EK28" s="2833" t="s">
        <v>3724</v>
      </c>
      <c r="EL28" s="2833" t="s">
        <v>3660</v>
      </c>
      <c r="EM28" s="2832" t="s">
        <v>616</v>
      </c>
      <c r="EN28" s="2832" t="s">
        <v>3724</v>
      </c>
      <c r="EO28" s="2832" t="s">
        <v>3660</v>
      </c>
      <c r="EP28" s="2832" t="s">
        <v>616</v>
      </c>
      <c r="EQ28" s="2832" t="s">
        <v>3724</v>
      </c>
      <c r="ER28" s="2832" t="s">
        <v>3660</v>
      </c>
      <c r="ES28" s="2832" t="s">
        <v>616</v>
      </c>
      <c r="ET28" s="2832" t="s">
        <v>3724</v>
      </c>
      <c r="EU28" s="2832" t="s">
        <v>3660</v>
      </c>
      <c r="EV28" s="2832" t="s">
        <v>616</v>
      </c>
      <c r="EW28" s="2832" t="s">
        <v>3724</v>
      </c>
      <c r="EX28" s="2832" t="s">
        <v>3660</v>
      </c>
      <c r="EY28" s="2832" t="s">
        <v>616</v>
      </c>
      <c r="EZ28" s="2832" t="s">
        <v>3724</v>
      </c>
      <c r="FA28" s="2832" t="s">
        <v>3660</v>
      </c>
      <c r="FB28" s="2832" t="s">
        <v>616</v>
      </c>
      <c r="FC28" s="2832" t="s">
        <v>3724</v>
      </c>
      <c r="FD28" s="2832" t="s">
        <v>3660</v>
      </c>
      <c r="FE28" s="2832" t="s">
        <v>616</v>
      </c>
      <c r="FF28" s="2832" t="s">
        <v>3724</v>
      </c>
      <c r="FG28" s="2832" t="s">
        <v>3660</v>
      </c>
      <c r="FH28" s="2832" t="s">
        <v>616</v>
      </c>
      <c r="FI28" s="2832" t="s">
        <v>3724</v>
      </c>
      <c r="FJ28" s="2832" t="s">
        <v>3660</v>
      </c>
      <c r="FK28" s="2832" t="s">
        <v>616</v>
      </c>
      <c r="FL28" s="2832" t="s">
        <v>3724</v>
      </c>
      <c r="FM28" s="2832" t="s">
        <v>3660</v>
      </c>
      <c r="FN28" s="2833" t="s">
        <v>616</v>
      </c>
      <c r="FO28" s="2833" t="s">
        <v>3724</v>
      </c>
      <c r="FP28" s="2833" t="s">
        <v>3660</v>
      </c>
      <c r="FQ28" s="2833" t="s">
        <v>616</v>
      </c>
      <c r="FR28" s="2833" t="s">
        <v>3724</v>
      </c>
      <c r="FS28" s="2833" t="s">
        <v>3660</v>
      </c>
      <c r="FT28" s="2833" t="s">
        <v>616</v>
      </c>
      <c r="FU28" s="2833" t="s">
        <v>3724</v>
      </c>
      <c r="FV28" s="2833" t="s">
        <v>3660</v>
      </c>
      <c r="FW28" s="2833" t="s">
        <v>616</v>
      </c>
      <c r="FX28" s="2833" t="s">
        <v>3724</v>
      </c>
      <c r="FY28" s="2833" t="s">
        <v>3660</v>
      </c>
      <c r="FZ28" s="2833" t="s">
        <v>616</v>
      </c>
      <c r="GA28" s="2833" t="s">
        <v>3724</v>
      </c>
      <c r="GB28" s="2833" t="s">
        <v>3660</v>
      </c>
      <c r="GC28" s="2833" t="s">
        <v>616</v>
      </c>
      <c r="GD28" s="2833" t="s">
        <v>3724</v>
      </c>
      <c r="GE28" s="2833" t="s">
        <v>3660</v>
      </c>
      <c r="GF28" s="2833" t="s">
        <v>616</v>
      </c>
      <c r="GG28" s="2833" t="s">
        <v>3724</v>
      </c>
      <c r="GH28" s="2833" t="s">
        <v>3660</v>
      </c>
      <c r="GI28" s="2833" t="s">
        <v>616</v>
      </c>
      <c r="GJ28" s="2833" t="s">
        <v>3724</v>
      </c>
      <c r="GK28" s="2833" t="s">
        <v>3660</v>
      </c>
      <c r="GL28" s="565"/>
    </row>
    <row r="29" spans="1:195" ht="18.75" x14ac:dyDescent="0.3">
      <c r="A29" s="2868" t="s">
        <v>3778</v>
      </c>
      <c r="B29" s="2843">
        <f t="shared" ref="B29:B37" si="462">SUM(C29:D29)</f>
        <v>6376.2220499999994</v>
      </c>
      <c r="C29" s="2924">
        <f>SUM(C15*C39)</f>
        <v>6376.2220499999994</v>
      </c>
      <c r="D29" s="2924"/>
      <c r="E29" s="2843">
        <f t="shared" ref="E29:E37" si="463">SUM(F29:G29)</f>
        <v>7067.9210000000003</v>
      </c>
      <c r="F29" s="2925">
        <v>7067.9210000000003</v>
      </c>
      <c r="G29" s="2925"/>
      <c r="H29" s="2866">
        <f>SUM(I29:J29)</f>
        <v>6485.01</v>
      </c>
      <c r="I29" s="2866">
        <v>6485.01</v>
      </c>
      <c r="J29" s="2866"/>
      <c r="K29" s="2843">
        <f t="shared" ref="K29:K37" si="464">SUM(L29:M29)</f>
        <v>6376.2220499999994</v>
      </c>
      <c r="L29" s="2924">
        <f>SUM(L15*L39)</f>
        <v>6376.2220499999994</v>
      </c>
      <c r="M29" s="2924"/>
      <c r="N29" s="2843">
        <f t="shared" ref="N29:N37" si="465">SUM(O29:P29)</f>
        <v>6639.509</v>
      </c>
      <c r="O29" s="2925">
        <v>6639.509</v>
      </c>
      <c r="P29" s="2925"/>
      <c r="Q29" s="2866">
        <f>SUM(R29:S29)</f>
        <v>6307.8980000000001</v>
      </c>
      <c r="R29" s="2866">
        <v>6307.8980000000001</v>
      </c>
      <c r="S29" s="2866"/>
      <c r="T29" s="2843">
        <f t="shared" ref="T29:T37" si="466">SUM(U29:V29)</f>
        <v>6376.2220499999994</v>
      </c>
      <c r="U29" s="2924">
        <f>SUM(U15*U39)</f>
        <v>6376.2220499999994</v>
      </c>
      <c r="V29" s="2924"/>
      <c r="W29" s="2843">
        <f t="shared" ref="W29:W37" si="467">SUM(X29:Y29)</f>
        <v>6296.9409999999998</v>
      </c>
      <c r="X29" s="2925">
        <v>6296.9409999999998</v>
      </c>
      <c r="Y29" s="2925"/>
      <c r="Z29" s="2866">
        <f>SUM(AA29:AB29)</f>
        <v>5955.98</v>
      </c>
      <c r="AA29" s="2866">
        <v>5955.98</v>
      </c>
      <c r="AB29" s="2866"/>
      <c r="AC29" s="2926">
        <f t="shared" ref="AC29:AK37" si="468">SUM(B29+K29+T29)</f>
        <v>19128.666149999997</v>
      </c>
      <c r="AD29" s="2926">
        <f t="shared" si="468"/>
        <v>19128.666149999997</v>
      </c>
      <c r="AE29" s="2926">
        <f t="shared" si="468"/>
        <v>0</v>
      </c>
      <c r="AF29" s="2926">
        <f t="shared" si="468"/>
        <v>20004.370999999999</v>
      </c>
      <c r="AG29" s="2926">
        <f t="shared" si="468"/>
        <v>20004.370999999999</v>
      </c>
      <c r="AH29" s="2926">
        <f t="shared" si="468"/>
        <v>0</v>
      </c>
      <c r="AI29" s="2926">
        <f t="shared" si="468"/>
        <v>18748.887999999999</v>
      </c>
      <c r="AJ29" s="2926">
        <f t="shared" si="468"/>
        <v>18748.887999999999</v>
      </c>
      <c r="AK29" s="2926">
        <f t="shared" si="468"/>
        <v>0</v>
      </c>
      <c r="AL29" s="2927">
        <f t="shared" ref="AL29:AN43" si="469">SUM(AF29-AC29)</f>
        <v>875.7048500000019</v>
      </c>
      <c r="AM29" s="2927">
        <f t="shared" si="469"/>
        <v>875.7048500000019</v>
      </c>
      <c r="AN29" s="2927">
        <f t="shared" si="469"/>
        <v>0</v>
      </c>
      <c r="AO29" s="2843">
        <f t="shared" ref="AO29:AO37" si="470">SUM(AP29:AQ29)</f>
        <v>6376.2220499999994</v>
      </c>
      <c r="AP29" s="2924">
        <f>SUM(AP15*AP39)</f>
        <v>6376.2220499999994</v>
      </c>
      <c r="AQ29" s="2924"/>
      <c r="AR29" s="2843">
        <f t="shared" ref="AR29:AR37" si="471">SUM(AS29:AT29)</f>
        <v>6808.6270000000004</v>
      </c>
      <c r="AS29" s="2925">
        <v>6808.6270000000004</v>
      </c>
      <c r="AT29" s="2925"/>
      <c r="AU29" s="2866">
        <f>SUM(AV29:AW29)</f>
        <v>6281.8549999999996</v>
      </c>
      <c r="AV29" s="2866">
        <v>6281.8549999999996</v>
      </c>
      <c r="AW29" s="2866"/>
      <c r="AX29" s="2843">
        <f t="shared" ref="AX29:AX37" si="472">SUM(AY29:AZ29)</f>
        <v>6376.2220499999994</v>
      </c>
      <c r="AY29" s="2924">
        <f>SUM(AY15*AY39)</f>
        <v>6376.2220499999994</v>
      </c>
      <c r="AZ29" s="2924"/>
      <c r="BA29" s="2843">
        <f t="shared" ref="BA29:BA36" si="473">SUM(BB29:BC29)</f>
        <v>6616.3779999999997</v>
      </c>
      <c r="BB29" s="2925">
        <v>6616.3779999999997</v>
      </c>
      <c r="BC29" s="2925"/>
      <c r="BD29" s="2866">
        <f>SUM(BE29:BF29)</f>
        <v>6539.0050000000001</v>
      </c>
      <c r="BE29" s="2866">
        <v>6539.0050000000001</v>
      </c>
      <c r="BF29" s="2866"/>
      <c r="BG29" s="2843">
        <f t="shared" ref="BG29:BG37" si="474">SUM(BH29:BI29)</f>
        <v>6376.2220499999994</v>
      </c>
      <c r="BH29" s="2924">
        <f>SUM(BH15*BH39)</f>
        <v>6376.2220499999994</v>
      </c>
      <c r="BI29" s="2924"/>
      <c r="BJ29" s="2843">
        <f t="shared" ref="BJ29:BJ37" si="475">SUM(BK29:BL29)</f>
        <v>6532.8789999999999</v>
      </c>
      <c r="BK29" s="2925">
        <v>6532.8789999999999</v>
      </c>
      <c r="BL29" s="2925"/>
      <c r="BM29" s="2866">
        <f>SUM(BN29:BO29)</f>
        <v>6171.08</v>
      </c>
      <c r="BN29" s="2866">
        <v>6171.08</v>
      </c>
      <c r="BO29" s="2866"/>
      <c r="BP29" s="2926">
        <f t="shared" ref="BP29:BX37" si="476">SUM(AO29+AX29+BG29)</f>
        <v>19128.666149999997</v>
      </c>
      <c r="BQ29" s="2926">
        <f t="shared" si="476"/>
        <v>19128.666149999997</v>
      </c>
      <c r="BR29" s="2926">
        <f t="shared" si="476"/>
        <v>0</v>
      </c>
      <c r="BS29" s="2926">
        <f t="shared" si="476"/>
        <v>19957.884000000002</v>
      </c>
      <c r="BT29" s="2926">
        <f t="shared" si="476"/>
        <v>19957.884000000002</v>
      </c>
      <c r="BU29" s="2926">
        <f t="shared" si="476"/>
        <v>0</v>
      </c>
      <c r="BV29" s="2926">
        <f t="shared" si="476"/>
        <v>18991.940000000002</v>
      </c>
      <c r="BW29" s="2926">
        <f t="shared" si="476"/>
        <v>18991.940000000002</v>
      </c>
      <c r="BX29" s="2926">
        <f t="shared" si="476"/>
        <v>0</v>
      </c>
      <c r="BY29" s="2927">
        <f t="shared" ref="BY29:CA43" si="477">SUM(BS29-BP29)</f>
        <v>829.21785000000455</v>
      </c>
      <c r="BZ29" s="2927">
        <f t="shared" si="477"/>
        <v>829.21785000000455</v>
      </c>
      <c r="CA29" s="2927">
        <f t="shared" si="477"/>
        <v>0</v>
      </c>
      <c r="CB29" s="2926">
        <f t="shared" ref="CB29:CJ37" si="478">SUM(AC29+BP29)</f>
        <v>38257.332299999995</v>
      </c>
      <c r="CC29" s="2926">
        <f t="shared" si="478"/>
        <v>38257.332299999995</v>
      </c>
      <c r="CD29" s="2926">
        <f t="shared" si="478"/>
        <v>0</v>
      </c>
      <c r="CE29" s="2926">
        <f t="shared" si="478"/>
        <v>39962.255000000005</v>
      </c>
      <c r="CF29" s="2926">
        <f t="shared" si="478"/>
        <v>39962.255000000005</v>
      </c>
      <c r="CG29" s="2926">
        <f t="shared" si="478"/>
        <v>0</v>
      </c>
      <c r="CH29" s="2926">
        <f t="shared" si="478"/>
        <v>37740.828000000001</v>
      </c>
      <c r="CI29" s="2926">
        <f t="shared" si="478"/>
        <v>37740.828000000001</v>
      </c>
      <c r="CJ29" s="2926">
        <f t="shared" si="478"/>
        <v>0</v>
      </c>
      <c r="CK29" s="2927">
        <f t="shared" ref="CK29:CM43" si="479">SUM(CE29-CB29)</f>
        <v>1704.9227000000101</v>
      </c>
      <c r="CL29" s="2927">
        <f t="shared" si="479"/>
        <v>1704.9227000000101</v>
      </c>
      <c r="CM29" s="2927">
        <f t="shared" si="479"/>
        <v>0</v>
      </c>
      <c r="CN29" s="2843">
        <f t="shared" ref="CN29:CN37" si="480">SUM(CO29:CP29)</f>
        <v>6611.6457000000009</v>
      </c>
      <c r="CO29" s="2924">
        <f>SUM(CO15*CO39)</f>
        <v>6611.6457000000009</v>
      </c>
      <c r="CP29" s="2924"/>
      <c r="CQ29" s="2843">
        <f t="shared" ref="CQ29:CQ37" si="481">SUM(CR29:CS29)</f>
        <v>6437.16</v>
      </c>
      <c r="CR29" s="2925">
        <v>6437.16</v>
      </c>
      <c r="CS29" s="2925"/>
      <c r="CT29" s="2866">
        <f>SUM(CU29:CV29)</f>
        <v>6287.62</v>
      </c>
      <c r="CU29" s="2866">
        <v>6287.62</v>
      </c>
      <c r="CV29" s="2866"/>
      <c r="CW29" s="2843">
        <f t="shared" ref="CW29:CW37" si="482">SUM(CX29:CY29)</f>
        <v>6611.6457000000009</v>
      </c>
      <c r="CX29" s="2924">
        <f>SUM(CX15*CX39)</f>
        <v>6611.6457000000009</v>
      </c>
      <c r="CY29" s="2924"/>
      <c r="CZ29" s="2843">
        <f t="shared" ref="CZ29:CZ37" si="483">SUM(DA29:DB29)</f>
        <v>6674.1459999999997</v>
      </c>
      <c r="DA29" s="2925">
        <v>6674.1459999999997</v>
      </c>
      <c r="DB29" s="2925"/>
      <c r="DC29" s="2866">
        <f>SUM(DD29:DE29)</f>
        <v>6349.29</v>
      </c>
      <c r="DD29" s="2866">
        <v>6349.29</v>
      </c>
      <c r="DE29" s="2866"/>
      <c r="DF29" s="2843">
        <f t="shared" ref="DF29:DF37" si="484">SUM(DG29:DH29)</f>
        <v>6611.6457000000009</v>
      </c>
      <c r="DG29" s="2924">
        <f>SUM(DG15*DG39)</f>
        <v>6611.6457000000009</v>
      </c>
      <c r="DH29" s="2924"/>
      <c r="DI29" s="2843">
        <f t="shared" ref="DI29:DI37" si="485">SUM(DJ29:DK29)</f>
        <v>6462.3850000000002</v>
      </c>
      <c r="DJ29" s="2925">
        <v>6462.3850000000002</v>
      </c>
      <c r="DK29" s="2925"/>
      <c r="DL29" s="2866">
        <f>SUM(DM29:DN29)</f>
        <v>6425.2889999999998</v>
      </c>
      <c r="DM29" s="2866">
        <v>6425.2889999999998</v>
      </c>
      <c r="DN29" s="2866"/>
      <c r="DO29" s="2926">
        <f t="shared" ref="DO29:DW37" si="486">SUM(CN29+CW29+DF29)</f>
        <v>19834.937100000003</v>
      </c>
      <c r="DP29" s="2926">
        <f t="shared" si="486"/>
        <v>19834.937100000003</v>
      </c>
      <c r="DQ29" s="2926">
        <f t="shared" si="486"/>
        <v>0</v>
      </c>
      <c r="DR29" s="2926">
        <f t="shared" si="486"/>
        <v>19573.690999999999</v>
      </c>
      <c r="DS29" s="2926">
        <f t="shared" si="486"/>
        <v>19573.690999999999</v>
      </c>
      <c r="DT29" s="2926">
        <f t="shared" si="486"/>
        <v>0</v>
      </c>
      <c r="DU29" s="2926">
        <f t="shared" si="486"/>
        <v>19062.199000000001</v>
      </c>
      <c r="DV29" s="2926">
        <f t="shared" si="486"/>
        <v>19062.199000000001</v>
      </c>
      <c r="DW29" s="2926">
        <f t="shared" si="486"/>
        <v>0</v>
      </c>
      <c r="DX29" s="2927">
        <f t="shared" ref="DX29:DZ43" si="487">SUM(DR29-DO29)</f>
        <v>-261.24610000000393</v>
      </c>
      <c r="DY29" s="2927">
        <f t="shared" si="487"/>
        <v>-261.24610000000393</v>
      </c>
      <c r="DZ29" s="2927">
        <f t="shared" si="487"/>
        <v>0</v>
      </c>
      <c r="EA29" s="2926">
        <f t="shared" ref="EA29:EI37" si="488">SUM(CB29+DO29)</f>
        <v>58092.269399999997</v>
      </c>
      <c r="EB29" s="2926">
        <f t="shared" si="488"/>
        <v>58092.269399999997</v>
      </c>
      <c r="EC29" s="2926">
        <f t="shared" si="488"/>
        <v>0</v>
      </c>
      <c r="ED29" s="2926">
        <f t="shared" si="488"/>
        <v>59535.946000000004</v>
      </c>
      <c r="EE29" s="2926">
        <f t="shared" si="488"/>
        <v>59535.946000000004</v>
      </c>
      <c r="EF29" s="2926">
        <f t="shared" si="488"/>
        <v>0</v>
      </c>
      <c r="EG29" s="2926">
        <f t="shared" si="488"/>
        <v>56803.027000000002</v>
      </c>
      <c r="EH29" s="2926">
        <f t="shared" si="488"/>
        <v>56803.027000000002</v>
      </c>
      <c r="EI29" s="2926">
        <f t="shared" si="488"/>
        <v>0</v>
      </c>
      <c r="EJ29" s="2927">
        <f t="shared" ref="EJ29:EL43" si="489">SUM(ED29-EA29)</f>
        <v>1443.6766000000061</v>
      </c>
      <c r="EK29" s="2927">
        <f t="shared" si="489"/>
        <v>1443.6766000000061</v>
      </c>
      <c r="EL29" s="2927">
        <f t="shared" si="489"/>
        <v>0</v>
      </c>
      <c r="EM29" s="2843">
        <f t="shared" ref="EM29:EM37" si="490">SUM(EN29:EO29)</f>
        <v>6611.6457000000009</v>
      </c>
      <c r="EN29" s="2924">
        <f>SUM(EN15*EN39)</f>
        <v>6611.6457000000009</v>
      </c>
      <c r="EO29" s="2924"/>
      <c r="EP29" s="2843">
        <f t="shared" ref="EP29:EP37" si="491">SUM(EQ29:ER29)</f>
        <v>6825.5929999999998</v>
      </c>
      <c r="EQ29" s="2925">
        <v>6825.5929999999998</v>
      </c>
      <c r="ER29" s="2925"/>
      <c r="ES29" s="2866">
        <f>SUM(ET29:EU29)</f>
        <v>6354.65</v>
      </c>
      <c r="ET29" s="2866">
        <v>6354.65</v>
      </c>
      <c r="EU29" s="2866"/>
      <c r="EV29" s="2843">
        <f t="shared" ref="EV29:EV37" si="492">SUM(EW29:EX29)</f>
        <v>6611.6457000000009</v>
      </c>
      <c r="EW29" s="2924">
        <f>SUM(EW15*EW39)</f>
        <v>6611.6457000000009</v>
      </c>
      <c r="EX29" s="2924"/>
      <c r="EY29" s="2843">
        <f t="shared" ref="EY29:EY37" si="493">SUM(EZ29:FA29)</f>
        <v>6856.6629999999996</v>
      </c>
      <c r="EZ29" s="2925">
        <v>6856.6629999999996</v>
      </c>
      <c r="FA29" s="2925"/>
      <c r="FB29" s="2866">
        <f>SUM(FC29:FD29)</f>
        <v>6502.4750000000004</v>
      </c>
      <c r="FC29" s="2866">
        <v>6502.4750000000004</v>
      </c>
      <c r="FD29" s="2866"/>
      <c r="FE29" s="2843">
        <f t="shared" ref="FE29:FE37" si="494">SUM(FF29:FG29)</f>
        <v>6611.6457000000009</v>
      </c>
      <c r="FF29" s="2924">
        <f>SUM(FF15*FF39)</f>
        <v>6611.6457000000009</v>
      </c>
      <c r="FG29" s="2924"/>
      <c r="FH29" s="2843">
        <f t="shared" ref="FH29:FH36" si="495">SUM(FI29:FJ29)</f>
        <v>6743.8819999999996</v>
      </c>
      <c r="FI29" s="2925">
        <v>6743.8819999999996</v>
      </c>
      <c r="FJ29" s="2925"/>
      <c r="FK29" s="2866">
        <f>SUM(FL29:FM29)</f>
        <v>6533.0450000000001</v>
      </c>
      <c r="FL29" s="2866">
        <v>6533.0450000000001</v>
      </c>
      <c r="FM29" s="2866"/>
      <c r="FN29" s="2926">
        <f t="shared" ref="FN29:FV37" si="496">SUM(EM29+EV29+FE29)</f>
        <v>19834.937100000003</v>
      </c>
      <c r="FO29" s="2926">
        <f t="shared" si="496"/>
        <v>19834.937100000003</v>
      </c>
      <c r="FP29" s="2926">
        <f t="shared" si="496"/>
        <v>0</v>
      </c>
      <c r="FQ29" s="2926">
        <f t="shared" si="496"/>
        <v>20426.137999999999</v>
      </c>
      <c r="FR29" s="2926">
        <f t="shared" si="496"/>
        <v>20426.137999999999</v>
      </c>
      <c r="FS29" s="2926">
        <f t="shared" si="496"/>
        <v>0</v>
      </c>
      <c r="FT29" s="2926">
        <f t="shared" si="496"/>
        <v>19390.169999999998</v>
      </c>
      <c r="FU29" s="2926">
        <f t="shared" si="496"/>
        <v>19390.169999999998</v>
      </c>
      <c r="FV29" s="2926">
        <f t="shared" si="496"/>
        <v>0</v>
      </c>
      <c r="FW29" s="2927">
        <f t="shared" ref="FW29:FY43" si="497">SUM(FQ29-FN29)</f>
        <v>591.20089999999618</v>
      </c>
      <c r="FX29" s="2927">
        <f t="shared" si="497"/>
        <v>591.20089999999618</v>
      </c>
      <c r="FY29" s="2927">
        <f t="shared" si="497"/>
        <v>0</v>
      </c>
      <c r="FZ29" s="2926">
        <f t="shared" ref="FZ29:GA37" si="498">SUM(EA29+FN29)</f>
        <v>77927.2065</v>
      </c>
      <c r="GA29" s="2926">
        <f>SUM(EB29+FO29)</f>
        <v>77927.2065</v>
      </c>
      <c r="GB29" s="2926">
        <f t="shared" ref="GB29:GH37" si="499">SUM(EC29+FP29)</f>
        <v>0</v>
      </c>
      <c r="GC29" s="2926">
        <f t="shared" si="499"/>
        <v>79962.084000000003</v>
      </c>
      <c r="GD29" s="2926">
        <f t="shared" si="499"/>
        <v>79962.084000000003</v>
      </c>
      <c r="GE29" s="2926">
        <f t="shared" si="499"/>
        <v>0</v>
      </c>
      <c r="GF29" s="2926">
        <f t="shared" si="499"/>
        <v>76193.197</v>
      </c>
      <c r="GG29" s="2926">
        <f t="shared" si="499"/>
        <v>76193.197</v>
      </c>
      <c r="GH29" s="2926">
        <f t="shared" si="499"/>
        <v>0</v>
      </c>
      <c r="GI29" s="2927">
        <f t="shared" ref="GI29:GK43" si="500">SUM(GC29-FZ29)</f>
        <v>2034.8775000000023</v>
      </c>
      <c r="GJ29" s="2927">
        <f t="shared" si="500"/>
        <v>2034.8775000000023</v>
      </c>
      <c r="GK29" s="2927">
        <f t="shared" si="500"/>
        <v>0</v>
      </c>
      <c r="GL29" s="565"/>
      <c r="GM29" s="4188">
        <f t="shared" ref="GM29:GM37" si="501">SUM(B29+K29+T29+AO29+AX29+BG29+CN29+CW29+DF29+EM29+EV29+FE29)</f>
        <v>77927.2065</v>
      </c>
    </row>
    <row r="30" spans="1:195" ht="18.75" x14ac:dyDescent="0.3">
      <c r="A30" s="2842" t="s">
        <v>3813</v>
      </c>
      <c r="B30" s="2843">
        <f t="shared" ref="B30" si="502">SUM(C30:D30)</f>
        <v>0</v>
      </c>
      <c r="C30" s="2924">
        <f>SUM(C16*C40)</f>
        <v>0</v>
      </c>
      <c r="D30" s="2924"/>
      <c r="E30" s="2843">
        <f t="shared" si="463"/>
        <v>15.166</v>
      </c>
      <c r="F30" s="2925">
        <v>15.166</v>
      </c>
      <c r="G30" s="2925"/>
      <c r="H30" s="2866">
        <f>SUM(I30:J30)</f>
        <v>17.649999999999999</v>
      </c>
      <c r="I30" s="2866">
        <v>17.649999999999999</v>
      </c>
      <c r="J30" s="2866"/>
      <c r="K30" s="2843">
        <f t="shared" ref="K30" si="503">SUM(L30:M30)</f>
        <v>0</v>
      </c>
      <c r="L30" s="2924">
        <f>SUM(L16*L40)</f>
        <v>0</v>
      </c>
      <c r="M30" s="2924"/>
      <c r="N30" s="2843">
        <f t="shared" si="465"/>
        <v>15.478999999999999</v>
      </c>
      <c r="O30" s="2925">
        <v>15.478999999999999</v>
      </c>
      <c r="P30" s="2925"/>
      <c r="Q30" s="2866">
        <f>SUM(R30:S30)</f>
        <v>17.38</v>
      </c>
      <c r="R30" s="2866">
        <v>17.38</v>
      </c>
      <c r="S30" s="2866"/>
      <c r="T30" s="2843">
        <f t="shared" ref="T30" si="504">SUM(U30:V30)</f>
        <v>0</v>
      </c>
      <c r="U30" s="2924">
        <f>SUM(U16*U40)</f>
        <v>0</v>
      </c>
      <c r="V30" s="2924"/>
      <c r="W30" s="2843">
        <f t="shared" si="467"/>
        <v>15.180999999999999</v>
      </c>
      <c r="X30" s="2925">
        <v>15.180999999999999</v>
      </c>
      <c r="Y30" s="2925"/>
      <c r="Z30" s="2866">
        <f>SUM(AA30:AB30)</f>
        <v>16.829999999999998</v>
      </c>
      <c r="AA30" s="2866">
        <v>16.829999999999998</v>
      </c>
      <c r="AB30" s="2866"/>
      <c r="AC30" s="2926">
        <f t="shared" ref="AC30" si="505">SUM(B30+K30+T30)</f>
        <v>0</v>
      </c>
      <c r="AD30" s="2926">
        <f t="shared" ref="AD30" si="506">SUM(C30+L30+U30)</f>
        <v>0</v>
      </c>
      <c r="AE30" s="2926">
        <f t="shared" ref="AE30" si="507">SUM(D30+M30+V30)</f>
        <v>0</v>
      </c>
      <c r="AF30" s="2926">
        <f t="shared" ref="AF30" si="508">SUM(E30+N30+W30)</f>
        <v>45.826000000000001</v>
      </c>
      <c r="AG30" s="2926">
        <f t="shared" ref="AG30" si="509">SUM(F30+O30+X30)</f>
        <v>45.826000000000001</v>
      </c>
      <c r="AH30" s="2926">
        <f t="shared" ref="AH30" si="510">SUM(G30+P30+Y30)</f>
        <v>0</v>
      </c>
      <c r="AI30" s="2926">
        <f t="shared" ref="AI30" si="511">SUM(H30+Q30+Z30)</f>
        <v>51.86</v>
      </c>
      <c r="AJ30" s="2926">
        <f t="shared" ref="AJ30" si="512">SUM(I30+R30+AA30)</f>
        <v>51.86</v>
      </c>
      <c r="AK30" s="2926">
        <f t="shared" ref="AK30" si="513">SUM(J30+S30+AB30)</f>
        <v>0</v>
      </c>
      <c r="AL30" s="2927">
        <f t="shared" ref="AL30" si="514">SUM(AF30-AC30)</f>
        <v>45.826000000000001</v>
      </c>
      <c r="AM30" s="2927">
        <f t="shared" ref="AM30" si="515">SUM(AG30-AD30)</f>
        <v>45.826000000000001</v>
      </c>
      <c r="AN30" s="2927">
        <f t="shared" ref="AN30" si="516">SUM(AH30-AE30)</f>
        <v>0</v>
      </c>
      <c r="AO30" s="2843">
        <f t="shared" ref="AO30" si="517">SUM(AP30:AQ30)</f>
        <v>0</v>
      </c>
      <c r="AP30" s="2924">
        <f>SUM(AP16*AP40)</f>
        <v>0</v>
      </c>
      <c r="AQ30" s="2924"/>
      <c r="AR30" s="2843">
        <f t="shared" si="471"/>
        <v>15.307</v>
      </c>
      <c r="AS30" s="2925">
        <v>15.307</v>
      </c>
      <c r="AT30" s="2925"/>
      <c r="AU30" s="2866">
        <f>SUM(AV30:AW30)</f>
        <v>16.54</v>
      </c>
      <c r="AV30" s="2866">
        <v>16.54</v>
      </c>
      <c r="AW30" s="2866"/>
      <c r="AX30" s="2843">
        <f t="shared" ref="AX30" si="518">SUM(AY30:AZ30)</f>
        <v>0</v>
      </c>
      <c r="AY30" s="2924">
        <f>SUM(AY16*AY40)</f>
        <v>0</v>
      </c>
      <c r="AZ30" s="2924"/>
      <c r="BA30" s="2843">
        <f t="shared" si="473"/>
        <v>15.459</v>
      </c>
      <c r="BB30" s="2925">
        <v>15.459</v>
      </c>
      <c r="BC30" s="2925"/>
      <c r="BD30" s="2866">
        <f>SUM(BE30:BF30)</f>
        <v>16.12</v>
      </c>
      <c r="BE30" s="2866">
        <v>16.12</v>
      </c>
      <c r="BF30" s="2866"/>
      <c r="BG30" s="2843">
        <f t="shared" ref="BG30" si="519">SUM(BH30:BI30)</f>
        <v>0</v>
      </c>
      <c r="BH30" s="2924">
        <f>SUM(BH16*BH40)</f>
        <v>0</v>
      </c>
      <c r="BI30" s="2924"/>
      <c r="BJ30" s="2843">
        <f t="shared" si="475"/>
        <v>15.247999999999999</v>
      </c>
      <c r="BK30" s="2925">
        <v>15.247999999999999</v>
      </c>
      <c r="BL30" s="2925"/>
      <c r="BM30" s="2866">
        <f>SUM(BN30:BO30)</f>
        <v>16.05</v>
      </c>
      <c r="BN30" s="2866">
        <v>16.05</v>
      </c>
      <c r="BO30" s="2866"/>
      <c r="BP30" s="2926">
        <f t="shared" ref="BP30" si="520">SUM(AO30+AX30+BG30)</f>
        <v>0</v>
      </c>
      <c r="BQ30" s="2926">
        <f t="shared" ref="BQ30" si="521">SUM(AP30+AY30+BH30)</f>
        <v>0</v>
      </c>
      <c r="BR30" s="2926">
        <f t="shared" ref="BR30" si="522">SUM(AQ30+AZ30+BI30)</f>
        <v>0</v>
      </c>
      <c r="BS30" s="2926">
        <f t="shared" ref="BS30" si="523">SUM(AR30+BA30+BJ30)</f>
        <v>46.013999999999996</v>
      </c>
      <c r="BT30" s="2926">
        <f t="shared" ref="BT30" si="524">SUM(AS30+BB30+BK30)</f>
        <v>46.013999999999996</v>
      </c>
      <c r="BU30" s="2926">
        <f t="shared" ref="BU30" si="525">SUM(AT30+BC30+BL30)</f>
        <v>0</v>
      </c>
      <c r="BV30" s="2926">
        <f t="shared" ref="BV30" si="526">SUM(AU30+BD30+BM30)</f>
        <v>48.709999999999994</v>
      </c>
      <c r="BW30" s="2926">
        <f t="shared" ref="BW30" si="527">SUM(AV30+BE30+BN30)</f>
        <v>48.709999999999994</v>
      </c>
      <c r="BX30" s="2926">
        <f t="shared" ref="BX30" si="528">SUM(AW30+BF30+BO30)</f>
        <v>0</v>
      </c>
      <c r="BY30" s="2927">
        <f t="shared" ref="BY30" si="529">SUM(BS30-BP30)</f>
        <v>46.013999999999996</v>
      </c>
      <c r="BZ30" s="2927">
        <f t="shared" ref="BZ30" si="530">SUM(BT30-BQ30)</f>
        <v>46.013999999999996</v>
      </c>
      <c r="CA30" s="2927">
        <f t="shared" ref="CA30" si="531">SUM(BU30-BR30)</f>
        <v>0</v>
      </c>
      <c r="CB30" s="2926">
        <f t="shared" ref="CB30" si="532">SUM(AC30+BP30)</f>
        <v>0</v>
      </c>
      <c r="CC30" s="2926">
        <f t="shared" ref="CC30" si="533">SUM(AD30+BQ30)</f>
        <v>0</v>
      </c>
      <c r="CD30" s="2926">
        <f t="shared" ref="CD30" si="534">SUM(AE30+BR30)</f>
        <v>0</v>
      </c>
      <c r="CE30" s="2926">
        <f t="shared" ref="CE30" si="535">SUM(AF30+BS30)</f>
        <v>91.84</v>
      </c>
      <c r="CF30" s="2926">
        <f t="shared" ref="CF30" si="536">SUM(AG30+BT30)</f>
        <v>91.84</v>
      </c>
      <c r="CG30" s="2926">
        <f t="shared" ref="CG30" si="537">SUM(AH30+BU30)</f>
        <v>0</v>
      </c>
      <c r="CH30" s="2926">
        <f t="shared" ref="CH30" si="538">SUM(AI30+BV30)</f>
        <v>100.57</v>
      </c>
      <c r="CI30" s="2926">
        <f t="shared" ref="CI30" si="539">SUM(AJ30+BW30)</f>
        <v>100.57</v>
      </c>
      <c r="CJ30" s="2926">
        <f t="shared" ref="CJ30" si="540">SUM(AK30+BX30)</f>
        <v>0</v>
      </c>
      <c r="CK30" s="2927">
        <f t="shared" ref="CK30" si="541">SUM(CE30-CB30)</f>
        <v>91.84</v>
      </c>
      <c r="CL30" s="2927">
        <f t="shared" ref="CL30" si="542">SUM(CF30-CC30)</f>
        <v>91.84</v>
      </c>
      <c r="CM30" s="2927">
        <f t="shared" ref="CM30" si="543">SUM(CG30-CD30)</f>
        <v>0</v>
      </c>
      <c r="CN30" s="2843">
        <f t="shared" ref="CN30" si="544">SUM(CO30:CP30)</f>
        <v>0</v>
      </c>
      <c r="CO30" s="2924">
        <f>SUM(CO16*CO40)</f>
        <v>0</v>
      </c>
      <c r="CP30" s="2924"/>
      <c r="CQ30" s="2843">
        <f t="shared" si="481"/>
        <v>16.831</v>
      </c>
      <c r="CR30" s="2925">
        <v>16.831</v>
      </c>
      <c r="CS30" s="2925"/>
      <c r="CT30" s="2866">
        <f>SUM(CU30:CV30)</f>
        <v>16.84</v>
      </c>
      <c r="CU30" s="2866">
        <v>16.84</v>
      </c>
      <c r="CV30" s="2866"/>
      <c r="CW30" s="2843">
        <f t="shared" ref="CW30" si="545">SUM(CX30:CY30)</f>
        <v>0</v>
      </c>
      <c r="CX30" s="2924">
        <f>SUM(CX16*CX40)</f>
        <v>0</v>
      </c>
      <c r="CY30" s="2924"/>
      <c r="CZ30" s="2843">
        <f t="shared" si="483"/>
        <v>14.961</v>
      </c>
      <c r="DA30" s="2925">
        <v>14.961</v>
      </c>
      <c r="DB30" s="2925"/>
      <c r="DC30" s="2866">
        <f>SUM(DD30:DE30)</f>
        <v>16.62</v>
      </c>
      <c r="DD30" s="2866">
        <v>16.62</v>
      </c>
      <c r="DE30" s="2866"/>
      <c r="DF30" s="2843">
        <f t="shared" ref="DF30" si="546">SUM(DG30:DH30)</f>
        <v>0</v>
      </c>
      <c r="DG30" s="2924">
        <f>SUM(DG16*DG40)</f>
        <v>0</v>
      </c>
      <c r="DH30" s="2924"/>
      <c r="DI30" s="2843">
        <f t="shared" si="485"/>
        <v>15.169</v>
      </c>
      <c r="DJ30" s="2925">
        <v>15.169</v>
      </c>
      <c r="DK30" s="2925"/>
      <c r="DL30" s="2866">
        <f>SUM(DM30:DN30)</f>
        <v>16.739999999999998</v>
      </c>
      <c r="DM30" s="2866">
        <v>16.739999999999998</v>
      </c>
      <c r="DN30" s="2866"/>
      <c r="DO30" s="2926">
        <f t="shared" ref="DO30" si="547">SUM(CN30+CW30+DF30)</f>
        <v>0</v>
      </c>
      <c r="DP30" s="2926">
        <f t="shared" ref="DP30" si="548">SUM(CO30+CX30+DG30)</f>
        <v>0</v>
      </c>
      <c r="DQ30" s="2926">
        <f t="shared" ref="DQ30" si="549">SUM(CP30+CY30+DH30)</f>
        <v>0</v>
      </c>
      <c r="DR30" s="2926">
        <f t="shared" ref="DR30" si="550">SUM(CQ30+CZ30+DI30)</f>
        <v>46.960999999999999</v>
      </c>
      <c r="DS30" s="2926">
        <f t="shared" ref="DS30" si="551">SUM(CR30+DA30+DJ30)</f>
        <v>46.960999999999999</v>
      </c>
      <c r="DT30" s="2926">
        <f t="shared" ref="DT30" si="552">SUM(CS30+DB30+DK30)</f>
        <v>0</v>
      </c>
      <c r="DU30" s="2926">
        <f t="shared" ref="DU30" si="553">SUM(CT30+DC30+DL30)</f>
        <v>50.2</v>
      </c>
      <c r="DV30" s="2926">
        <f t="shared" ref="DV30" si="554">SUM(CU30+DD30+DM30)</f>
        <v>50.2</v>
      </c>
      <c r="DW30" s="2926">
        <f t="shared" ref="DW30" si="555">SUM(CV30+DE30+DN30)</f>
        <v>0</v>
      </c>
      <c r="DX30" s="2927">
        <f t="shared" ref="DX30" si="556">SUM(DR30-DO30)</f>
        <v>46.960999999999999</v>
      </c>
      <c r="DY30" s="2927">
        <f t="shared" ref="DY30" si="557">SUM(DS30-DP30)</f>
        <v>46.960999999999999</v>
      </c>
      <c r="DZ30" s="2927">
        <f t="shared" ref="DZ30" si="558">SUM(DT30-DQ30)</f>
        <v>0</v>
      </c>
      <c r="EA30" s="2926">
        <f t="shared" ref="EA30" si="559">SUM(CB30+DO30)</f>
        <v>0</v>
      </c>
      <c r="EB30" s="2926">
        <f t="shared" ref="EB30" si="560">SUM(CC30+DP30)</f>
        <v>0</v>
      </c>
      <c r="EC30" s="2926">
        <f t="shared" ref="EC30" si="561">SUM(CD30+DQ30)</f>
        <v>0</v>
      </c>
      <c r="ED30" s="2926">
        <f t="shared" ref="ED30" si="562">SUM(CE30+DR30)</f>
        <v>138.80099999999999</v>
      </c>
      <c r="EE30" s="2926">
        <f t="shared" ref="EE30" si="563">SUM(CF30+DS30)</f>
        <v>138.80099999999999</v>
      </c>
      <c r="EF30" s="2926">
        <f t="shared" ref="EF30" si="564">SUM(CG30+DT30)</f>
        <v>0</v>
      </c>
      <c r="EG30" s="2926">
        <f t="shared" ref="EG30" si="565">SUM(CH30+DU30)</f>
        <v>150.76999999999998</v>
      </c>
      <c r="EH30" s="2926">
        <f t="shared" ref="EH30" si="566">SUM(CI30+DV30)</f>
        <v>150.76999999999998</v>
      </c>
      <c r="EI30" s="2926">
        <f t="shared" ref="EI30" si="567">SUM(CJ30+DW30)</f>
        <v>0</v>
      </c>
      <c r="EJ30" s="2927">
        <f t="shared" ref="EJ30" si="568">SUM(ED30-EA30)</f>
        <v>138.80099999999999</v>
      </c>
      <c r="EK30" s="2927">
        <f t="shared" ref="EK30" si="569">SUM(EE30-EB30)</f>
        <v>138.80099999999999</v>
      </c>
      <c r="EL30" s="2927">
        <f t="shared" ref="EL30" si="570">SUM(EF30-EC30)</f>
        <v>0</v>
      </c>
      <c r="EM30" s="2843">
        <f t="shared" ref="EM30" si="571">SUM(EN30:EO30)</f>
        <v>0</v>
      </c>
      <c r="EN30" s="2924">
        <f>SUM(EN16*EN40)</f>
        <v>0</v>
      </c>
      <c r="EO30" s="2924"/>
      <c r="EP30" s="2843">
        <f t="shared" si="491"/>
        <v>14.744999999999999</v>
      </c>
      <c r="EQ30" s="2925">
        <v>14.744999999999999</v>
      </c>
      <c r="ER30" s="2925"/>
      <c r="ES30" s="2866">
        <f>SUM(ET30:EU30)</f>
        <v>17.114999999999998</v>
      </c>
      <c r="ET30" s="2866">
        <v>17.114999999999998</v>
      </c>
      <c r="EU30" s="2866"/>
      <c r="EV30" s="2843">
        <f t="shared" ref="EV30" si="572">SUM(EW30:EX30)</f>
        <v>0</v>
      </c>
      <c r="EW30" s="2924">
        <f>SUM(EW16*EW40)</f>
        <v>0</v>
      </c>
      <c r="EX30" s="2924"/>
      <c r="EY30" s="2843">
        <f t="shared" si="493"/>
        <v>18.145</v>
      </c>
      <c r="EZ30" s="2925">
        <v>18.145</v>
      </c>
      <c r="FA30" s="2925"/>
      <c r="FB30" s="2866">
        <f>SUM(FC30:FD30)</f>
        <v>16.75</v>
      </c>
      <c r="FC30" s="2866">
        <v>16.75</v>
      </c>
      <c r="FD30" s="2866"/>
      <c r="FE30" s="2843">
        <f t="shared" ref="FE30" si="573">SUM(FF30:FG30)</f>
        <v>0</v>
      </c>
      <c r="FF30" s="2924">
        <f>SUM(FF16*FF40)</f>
        <v>0</v>
      </c>
      <c r="FG30" s="2924"/>
      <c r="FH30" s="2843">
        <f t="shared" ref="FH30" si="574">SUM(FI30:FJ30)</f>
        <v>41.643999999999998</v>
      </c>
      <c r="FI30" s="2925">
        <v>41.643999999999998</v>
      </c>
      <c r="FJ30" s="2925"/>
      <c r="FK30" s="2866">
        <f>SUM(FL30:FM30)</f>
        <v>15.375</v>
      </c>
      <c r="FL30" s="2866">
        <v>15.375</v>
      </c>
      <c r="FM30" s="2866"/>
      <c r="FN30" s="2926">
        <f t="shared" ref="FN30" si="575">SUM(EM30+EV30+FE30)</f>
        <v>0</v>
      </c>
      <c r="FO30" s="2926">
        <f t="shared" ref="FO30" si="576">SUM(EN30+EW30+FF30)</f>
        <v>0</v>
      </c>
      <c r="FP30" s="2926">
        <f t="shared" ref="FP30" si="577">SUM(EO30+EX30+FG30)</f>
        <v>0</v>
      </c>
      <c r="FQ30" s="2926">
        <f t="shared" ref="FQ30" si="578">SUM(EP30+EY30+FH30)</f>
        <v>74.533999999999992</v>
      </c>
      <c r="FR30" s="2926">
        <f t="shared" ref="FR30" si="579">SUM(EQ30+EZ30+FI30)</f>
        <v>74.533999999999992</v>
      </c>
      <c r="FS30" s="2926">
        <f t="shared" ref="FS30" si="580">SUM(ER30+FA30+FJ30)</f>
        <v>0</v>
      </c>
      <c r="FT30" s="2926">
        <f t="shared" ref="FT30" si="581">SUM(ES30+FB30+FK30)</f>
        <v>49.239999999999995</v>
      </c>
      <c r="FU30" s="2926">
        <f t="shared" ref="FU30" si="582">SUM(ET30+FC30+FL30)</f>
        <v>49.239999999999995</v>
      </c>
      <c r="FV30" s="2926">
        <f t="shared" ref="FV30" si="583">SUM(EU30+FD30+FM30)</f>
        <v>0</v>
      </c>
      <c r="FW30" s="2927">
        <f t="shared" ref="FW30" si="584">SUM(FQ30-FN30)</f>
        <v>74.533999999999992</v>
      </c>
      <c r="FX30" s="2927">
        <f t="shared" ref="FX30" si="585">SUM(FR30-FO30)</f>
        <v>74.533999999999992</v>
      </c>
      <c r="FY30" s="2927">
        <f t="shared" ref="FY30" si="586">SUM(FS30-FP30)</f>
        <v>0</v>
      </c>
      <c r="FZ30" s="2926">
        <f t="shared" ref="FZ30" si="587">SUM(EA30+FN30)</f>
        <v>0</v>
      </c>
      <c r="GA30" s="2926">
        <f>SUM(EB30+FO30)</f>
        <v>0</v>
      </c>
      <c r="GB30" s="2926">
        <f t="shared" ref="GB30" si="588">SUM(EC30+FP30)</f>
        <v>0</v>
      </c>
      <c r="GC30" s="2926">
        <f t="shared" ref="GC30" si="589">SUM(ED30+FQ30)</f>
        <v>213.33499999999998</v>
      </c>
      <c r="GD30" s="2926">
        <f t="shared" ref="GD30" si="590">SUM(EE30+FR30)</f>
        <v>213.33499999999998</v>
      </c>
      <c r="GE30" s="2926">
        <f t="shared" ref="GE30" si="591">SUM(EF30+FS30)</f>
        <v>0</v>
      </c>
      <c r="GF30" s="2926">
        <f t="shared" ref="GF30" si="592">SUM(EG30+FT30)</f>
        <v>200.01</v>
      </c>
      <c r="GG30" s="2926">
        <f t="shared" ref="GG30" si="593">SUM(EH30+FU30)</f>
        <v>200.01</v>
      </c>
      <c r="GH30" s="2926">
        <f t="shared" ref="GH30" si="594">SUM(EI30+FV30)</f>
        <v>0</v>
      </c>
      <c r="GI30" s="2927">
        <f t="shared" ref="GI30" si="595">SUM(GC30-FZ30)</f>
        <v>213.33499999999998</v>
      </c>
      <c r="GJ30" s="2927">
        <f t="shared" ref="GJ30" si="596">SUM(GD30-GA30)</f>
        <v>213.33499999999998</v>
      </c>
      <c r="GK30" s="2927">
        <f t="shared" ref="GK30" si="597">SUM(GE30-GB30)</f>
        <v>0</v>
      </c>
      <c r="GL30" s="565"/>
      <c r="GM30" s="4188">
        <f t="shared" si="501"/>
        <v>0</v>
      </c>
    </row>
    <row r="31" spans="1:195" ht="18.75" x14ac:dyDescent="0.3">
      <c r="A31" s="2868" t="s">
        <v>3779</v>
      </c>
      <c r="B31" s="2843">
        <f t="shared" si="462"/>
        <v>1458.9010841996028</v>
      </c>
      <c r="C31" s="2924">
        <f>SUM(C15*C41)</f>
        <v>1458.9010841996028</v>
      </c>
      <c r="D31" s="2924"/>
      <c r="E31" s="2843">
        <f t="shared" si="463"/>
        <v>1613.0944440000001</v>
      </c>
      <c r="F31" s="2925">
        <v>1613.0944440000001</v>
      </c>
      <c r="G31" s="2925"/>
      <c r="H31" s="2866">
        <f t="shared" ref="H31:H36" si="598">SUM(I31:J31)</f>
        <v>1488.3</v>
      </c>
      <c r="I31" s="2866">
        <v>1488.3</v>
      </c>
      <c r="J31" s="2866"/>
      <c r="K31" s="2843">
        <f t="shared" si="464"/>
        <v>1458.9010841996028</v>
      </c>
      <c r="L31" s="2924">
        <f>SUM(L15*L41)</f>
        <v>1458.9010841996028</v>
      </c>
      <c r="M31" s="2924"/>
      <c r="N31" s="2843">
        <f t="shared" si="465"/>
        <v>1514.7929999999999</v>
      </c>
      <c r="O31" s="2925">
        <v>1514.7929999999999</v>
      </c>
      <c r="P31" s="2925"/>
      <c r="Q31" s="2866">
        <f t="shared" ref="Q31:Q33" si="599">SUM(R31:S31)</f>
        <v>1446.31</v>
      </c>
      <c r="R31" s="2866">
        <v>1446.31</v>
      </c>
      <c r="S31" s="2866"/>
      <c r="T31" s="2843">
        <f t="shared" si="466"/>
        <v>1458.9010841996028</v>
      </c>
      <c r="U31" s="2924">
        <f>SUM(U15*U41)</f>
        <v>1458.9010841996028</v>
      </c>
      <c r="V31" s="2924"/>
      <c r="W31" s="2843">
        <f t="shared" si="467"/>
        <v>1437.7190000000001</v>
      </c>
      <c r="X31" s="2925">
        <v>1437.7190000000001</v>
      </c>
      <c r="Y31" s="2925"/>
      <c r="Z31" s="2866">
        <f t="shared" ref="Z31:Z33" si="600">SUM(AA31:AB31)</f>
        <v>1367.16</v>
      </c>
      <c r="AA31" s="2866">
        <v>1367.16</v>
      </c>
      <c r="AB31" s="2866"/>
      <c r="AC31" s="2926">
        <f t="shared" si="468"/>
        <v>4376.7032525988088</v>
      </c>
      <c r="AD31" s="2926">
        <f t="shared" si="468"/>
        <v>4376.7032525988088</v>
      </c>
      <c r="AE31" s="2926">
        <f t="shared" si="468"/>
        <v>0</v>
      </c>
      <c r="AF31" s="2926">
        <f t="shared" si="468"/>
        <v>4565.606444</v>
      </c>
      <c r="AG31" s="2926">
        <f t="shared" si="468"/>
        <v>4565.606444</v>
      </c>
      <c r="AH31" s="2926">
        <f t="shared" si="468"/>
        <v>0</v>
      </c>
      <c r="AI31" s="2926">
        <f t="shared" si="468"/>
        <v>4301.7699999999995</v>
      </c>
      <c r="AJ31" s="2926">
        <f t="shared" si="468"/>
        <v>4301.7699999999995</v>
      </c>
      <c r="AK31" s="2926">
        <f t="shared" si="468"/>
        <v>0</v>
      </c>
      <c r="AL31" s="2927">
        <f t="shared" si="469"/>
        <v>188.90319140119118</v>
      </c>
      <c r="AM31" s="2927">
        <f t="shared" si="469"/>
        <v>188.90319140119118</v>
      </c>
      <c r="AN31" s="2927">
        <f t="shared" si="469"/>
        <v>0</v>
      </c>
      <c r="AO31" s="2843">
        <f t="shared" si="470"/>
        <v>1458.9010841996028</v>
      </c>
      <c r="AP31" s="2924">
        <f>SUM(AP15*AP41)</f>
        <v>1458.9010841996028</v>
      </c>
      <c r="AQ31" s="2924"/>
      <c r="AR31" s="2843">
        <f t="shared" si="471"/>
        <v>1553.8779999999999</v>
      </c>
      <c r="AS31" s="2925">
        <v>1553.8779999999999</v>
      </c>
      <c r="AT31" s="2925"/>
      <c r="AU31" s="2866">
        <f t="shared" ref="AU31:AU33" si="601">SUM(AV31:AW31)</f>
        <v>1441.66</v>
      </c>
      <c r="AV31" s="2866">
        <v>1441.66</v>
      </c>
      <c r="AW31" s="2866"/>
      <c r="AX31" s="2843">
        <f t="shared" si="472"/>
        <v>1458.9010841996028</v>
      </c>
      <c r="AY31" s="2924">
        <f>SUM(AY15*AY41)</f>
        <v>1458.9010841996028</v>
      </c>
      <c r="AZ31" s="2924"/>
      <c r="BA31" s="2843">
        <f t="shared" si="473"/>
        <v>1510.5429999999999</v>
      </c>
      <c r="BB31" s="2925">
        <v>1510.5429999999999</v>
      </c>
      <c r="BC31" s="2925"/>
      <c r="BD31" s="2866">
        <f t="shared" ref="BD31:BD33" si="602">SUM(BE31:BF31)</f>
        <v>1501.25</v>
      </c>
      <c r="BE31" s="2866">
        <v>1501.25</v>
      </c>
      <c r="BF31" s="2866"/>
      <c r="BG31" s="2843">
        <f t="shared" si="474"/>
        <v>1458.9010841996028</v>
      </c>
      <c r="BH31" s="2924">
        <f>SUM(BH15*BH41)</f>
        <v>1458.9010841996028</v>
      </c>
      <c r="BI31" s="2924"/>
      <c r="BJ31" s="2843">
        <f t="shared" si="475"/>
        <v>1492.366</v>
      </c>
      <c r="BK31" s="2925">
        <v>1492.366</v>
      </c>
      <c r="BL31" s="2925"/>
      <c r="BM31" s="2866">
        <f t="shared" ref="BM31:BM33" si="603">SUM(BN31:BO31)</f>
        <v>1416.02</v>
      </c>
      <c r="BN31" s="2866">
        <v>1416.02</v>
      </c>
      <c r="BO31" s="2866"/>
      <c r="BP31" s="2926">
        <f t="shared" si="476"/>
        <v>4376.7032525988088</v>
      </c>
      <c r="BQ31" s="2926">
        <f t="shared" si="476"/>
        <v>4376.7032525988088</v>
      </c>
      <c r="BR31" s="2926">
        <f t="shared" si="476"/>
        <v>0</v>
      </c>
      <c r="BS31" s="2926">
        <f t="shared" si="476"/>
        <v>4556.7870000000003</v>
      </c>
      <c r="BT31" s="2926">
        <f t="shared" si="476"/>
        <v>4556.7870000000003</v>
      </c>
      <c r="BU31" s="2926">
        <f t="shared" si="476"/>
        <v>0</v>
      </c>
      <c r="BV31" s="2926">
        <f t="shared" si="476"/>
        <v>4358.93</v>
      </c>
      <c r="BW31" s="2926">
        <f t="shared" si="476"/>
        <v>4358.93</v>
      </c>
      <c r="BX31" s="2926">
        <f t="shared" si="476"/>
        <v>0</v>
      </c>
      <c r="BY31" s="2927">
        <f t="shared" si="477"/>
        <v>180.08374740119143</v>
      </c>
      <c r="BZ31" s="2927">
        <f t="shared" si="477"/>
        <v>180.08374740119143</v>
      </c>
      <c r="CA31" s="2927">
        <f t="shared" si="477"/>
        <v>0</v>
      </c>
      <c r="CB31" s="2926">
        <f t="shared" si="478"/>
        <v>8753.4065051976177</v>
      </c>
      <c r="CC31" s="2926">
        <f t="shared" si="478"/>
        <v>8753.4065051976177</v>
      </c>
      <c r="CD31" s="2926">
        <f t="shared" si="478"/>
        <v>0</v>
      </c>
      <c r="CE31" s="2926">
        <f t="shared" si="478"/>
        <v>9122.3934440000012</v>
      </c>
      <c r="CF31" s="2926">
        <f t="shared" si="478"/>
        <v>9122.3934440000012</v>
      </c>
      <c r="CG31" s="2926">
        <f t="shared" si="478"/>
        <v>0</v>
      </c>
      <c r="CH31" s="2926">
        <f t="shared" si="478"/>
        <v>8660.7000000000007</v>
      </c>
      <c r="CI31" s="2926">
        <f t="shared" si="478"/>
        <v>8660.7000000000007</v>
      </c>
      <c r="CJ31" s="2926">
        <f t="shared" si="478"/>
        <v>0</v>
      </c>
      <c r="CK31" s="2927">
        <f t="shared" si="479"/>
        <v>368.98693880238352</v>
      </c>
      <c r="CL31" s="2927">
        <f t="shared" si="479"/>
        <v>368.98693880238352</v>
      </c>
      <c r="CM31" s="2927">
        <f t="shared" si="479"/>
        <v>0</v>
      </c>
      <c r="CN31" s="2843">
        <f t="shared" si="480"/>
        <v>1700.43817357534</v>
      </c>
      <c r="CO31" s="2924">
        <f>SUM(CO15*CO41)</f>
        <v>1700.43817357534</v>
      </c>
      <c r="CP31" s="2924"/>
      <c r="CQ31" s="2843">
        <f t="shared" si="481"/>
        <v>1653.827</v>
      </c>
      <c r="CR31" s="2925">
        <v>1653.827</v>
      </c>
      <c r="CS31" s="2925"/>
      <c r="CT31" s="2866">
        <f t="shared" ref="CT31:CT33" si="604">SUM(CU31:CV31)</f>
        <v>1436.76</v>
      </c>
      <c r="CU31" s="2866">
        <v>1436.76</v>
      </c>
      <c r="CV31" s="2866"/>
      <c r="CW31" s="2843">
        <f t="shared" si="482"/>
        <v>1700.43817357534</v>
      </c>
      <c r="CX31" s="2924">
        <f>SUM(CX15*CX41)</f>
        <v>1700.43817357534</v>
      </c>
      <c r="CY31" s="2924"/>
      <c r="CZ31" s="2843">
        <f t="shared" si="483"/>
        <v>1714.778</v>
      </c>
      <c r="DA31" s="2925">
        <v>1714.778</v>
      </c>
      <c r="DB31" s="2925"/>
      <c r="DC31" s="2866">
        <f t="shared" ref="DC31:DC33" si="605">SUM(DD31:DE31)</f>
        <v>1450.37</v>
      </c>
      <c r="DD31" s="2866">
        <v>1450.37</v>
      </c>
      <c r="DE31" s="2866"/>
      <c r="DF31" s="2843">
        <f t="shared" si="484"/>
        <v>1700.43817357534</v>
      </c>
      <c r="DG31" s="2924">
        <f>SUM(DG15*DG41)</f>
        <v>1700.43817357534</v>
      </c>
      <c r="DH31" s="2924"/>
      <c r="DI31" s="2843">
        <f t="shared" si="485"/>
        <v>1660.5640000000001</v>
      </c>
      <c r="DJ31" s="2925">
        <v>1660.5640000000001</v>
      </c>
      <c r="DK31" s="2925"/>
      <c r="DL31" s="2866">
        <f t="shared" ref="DL31:DL33" si="606">SUM(DM31:DN31)</f>
        <v>1467.44</v>
      </c>
      <c r="DM31" s="2866">
        <v>1467.44</v>
      </c>
      <c r="DN31" s="2866"/>
      <c r="DO31" s="2926">
        <f t="shared" si="486"/>
        <v>5101.3145207260204</v>
      </c>
      <c r="DP31" s="2926">
        <f t="shared" si="486"/>
        <v>5101.3145207260204</v>
      </c>
      <c r="DQ31" s="2926">
        <f t="shared" si="486"/>
        <v>0</v>
      </c>
      <c r="DR31" s="2926">
        <f t="shared" si="486"/>
        <v>5029.1689999999999</v>
      </c>
      <c r="DS31" s="2926">
        <f t="shared" si="486"/>
        <v>5029.1689999999999</v>
      </c>
      <c r="DT31" s="2926">
        <f t="shared" si="486"/>
        <v>0</v>
      </c>
      <c r="DU31" s="2926">
        <f t="shared" si="486"/>
        <v>4354.57</v>
      </c>
      <c r="DV31" s="2926">
        <f t="shared" si="486"/>
        <v>4354.57</v>
      </c>
      <c r="DW31" s="2926">
        <f t="shared" si="486"/>
        <v>0</v>
      </c>
      <c r="DX31" s="2927">
        <f t="shared" si="487"/>
        <v>-72.14552072602055</v>
      </c>
      <c r="DY31" s="2927">
        <f t="shared" si="487"/>
        <v>-72.14552072602055</v>
      </c>
      <c r="DZ31" s="2927">
        <f t="shared" si="487"/>
        <v>0</v>
      </c>
      <c r="EA31" s="2926">
        <f t="shared" si="488"/>
        <v>13854.721025923638</v>
      </c>
      <c r="EB31" s="2926">
        <f t="shared" si="488"/>
        <v>13854.721025923638</v>
      </c>
      <c r="EC31" s="2926">
        <f t="shared" si="488"/>
        <v>0</v>
      </c>
      <c r="ED31" s="2926">
        <f t="shared" si="488"/>
        <v>14151.562444000001</v>
      </c>
      <c r="EE31" s="2926">
        <f t="shared" si="488"/>
        <v>14151.562444000001</v>
      </c>
      <c r="EF31" s="2926">
        <f t="shared" si="488"/>
        <v>0</v>
      </c>
      <c r="EG31" s="2926">
        <f t="shared" si="488"/>
        <v>13015.27</v>
      </c>
      <c r="EH31" s="2926">
        <f t="shared" si="488"/>
        <v>13015.27</v>
      </c>
      <c r="EI31" s="2926">
        <f t="shared" si="488"/>
        <v>0</v>
      </c>
      <c r="EJ31" s="2927">
        <f t="shared" si="489"/>
        <v>296.84141807636297</v>
      </c>
      <c r="EK31" s="2927">
        <f t="shared" si="489"/>
        <v>296.84141807636297</v>
      </c>
      <c r="EL31" s="2927">
        <f t="shared" si="489"/>
        <v>0</v>
      </c>
      <c r="EM31" s="2843">
        <f t="shared" si="490"/>
        <v>1700.43817357534</v>
      </c>
      <c r="EN31" s="2924">
        <f>SUM(EN15*EN41)</f>
        <v>1700.43817357534</v>
      </c>
      <c r="EO31" s="2924"/>
      <c r="EP31" s="2843">
        <f t="shared" si="491"/>
        <v>1753.0830000000001</v>
      </c>
      <c r="EQ31" s="2925">
        <v>1753.0830000000001</v>
      </c>
      <c r="ER31" s="2925"/>
      <c r="ES31" s="2866">
        <f t="shared" ref="ES31:ES33" si="607">SUM(ET31:EU31)</f>
        <v>1452</v>
      </c>
      <c r="ET31" s="2866">
        <v>1452</v>
      </c>
      <c r="EU31" s="2866"/>
      <c r="EV31" s="2843">
        <f t="shared" si="492"/>
        <v>1700.43817357534</v>
      </c>
      <c r="EW31" s="2924">
        <f>SUM(EW15*EW41)</f>
        <v>1700.43817357534</v>
      </c>
      <c r="EX31" s="2924"/>
      <c r="EY31" s="2843">
        <f t="shared" si="493"/>
        <v>1759.8910000000001</v>
      </c>
      <c r="EZ31" s="2925">
        <v>1759.8910000000001</v>
      </c>
      <c r="FA31" s="2925"/>
      <c r="FB31" s="2866">
        <f t="shared" ref="FB31:FB33" si="608">SUM(FC31:FD31)</f>
        <v>1484.499</v>
      </c>
      <c r="FC31" s="2866">
        <v>1484.499</v>
      </c>
      <c r="FD31" s="2866"/>
      <c r="FE31" s="2843">
        <f t="shared" si="494"/>
        <v>1700.43817357534</v>
      </c>
      <c r="FF31" s="2924">
        <f>SUM(FF15*FF41)</f>
        <v>1700.43817357534</v>
      </c>
      <c r="FG31" s="2924"/>
      <c r="FH31" s="2843">
        <f t="shared" si="495"/>
        <v>1732.2929999999999</v>
      </c>
      <c r="FI31" s="2925">
        <v>1732.2929999999999</v>
      </c>
      <c r="FJ31" s="2925"/>
      <c r="FK31" s="2866">
        <f t="shared" ref="FK31:FK33" si="609">SUM(FL31:FM31)</f>
        <v>1492.095</v>
      </c>
      <c r="FL31" s="2866">
        <v>1492.095</v>
      </c>
      <c r="FM31" s="2866"/>
      <c r="FN31" s="2926">
        <f t="shared" si="496"/>
        <v>5101.3145207260204</v>
      </c>
      <c r="FO31" s="2926">
        <f t="shared" si="496"/>
        <v>5101.3145207260204</v>
      </c>
      <c r="FP31" s="2926">
        <f t="shared" si="496"/>
        <v>0</v>
      </c>
      <c r="FQ31" s="2926">
        <f t="shared" si="496"/>
        <v>5245.2669999999998</v>
      </c>
      <c r="FR31" s="2926">
        <f t="shared" si="496"/>
        <v>5245.2669999999998</v>
      </c>
      <c r="FS31" s="2926">
        <f t="shared" si="496"/>
        <v>0</v>
      </c>
      <c r="FT31" s="2926">
        <f t="shared" si="496"/>
        <v>4428.5940000000001</v>
      </c>
      <c r="FU31" s="2926">
        <f t="shared" si="496"/>
        <v>4428.5940000000001</v>
      </c>
      <c r="FV31" s="2926">
        <f t="shared" si="496"/>
        <v>0</v>
      </c>
      <c r="FW31" s="2927">
        <f t="shared" si="497"/>
        <v>143.95247927397941</v>
      </c>
      <c r="FX31" s="2927">
        <f t="shared" si="497"/>
        <v>143.95247927397941</v>
      </c>
      <c r="FY31" s="2927">
        <f t="shared" si="497"/>
        <v>0</v>
      </c>
      <c r="FZ31" s="2926">
        <f t="shared" si="498"/>
        <v>18956.035546649658</v>
      </c>
      <c r="GA31" s="2926">
        <f t="shared" si="498"/>
        <v>18956.035546649658</v>
      </c>
      <c r="GB31" s="2926">
        <f t="shared" si="499"/>
        <v>0</v>
      </c>
      <c r="GC31" s="2926">
        <f t="shared" si="499"/>
        <v>19396.829444000003</v>
      </c>
      <c r="GD31" s="2926">
        <f t="shared" si="499"/>
        <v>19396.829444000003</v>
      </c>
      <c r="GE31" s="2926">
        <f t="shared" si="499"/>
        <v>0</v>
      </c>
      <c r="GF31" s="2926">
        <f t="shared" si="499"/>
        <v>17443.864000000001</v>
      </c>
      <c r="GG31" s="2926">
        <f t="shared" si="499"/>
        <v>17443.864000000001</v>
      </c>
      <c r="GH31" s="2926">
        <f t="shared" si="499"/>
        <v>0</v>
      </c>
      <c r="GI31" s="2927">
        <f t="shared" si="500"/>
        <v>440.7938973503442</v>
      </c>
      <c r="GJ31" s="2927">
        <f t="shared" si="500"/>
        <v>440.7938973503442</v>
      </c>
      <c r="GK31" s="2927">
        <f t="shared" si="500"/>
        <v>0</v>
      </c>
      <c r="GL31" s="565"/>
      <c r="GM31" s="4188">
        <f t="shared" si="501"/>
        <v>18956.035546649655</v>
      </c>
    </row>
    <row r="32" spans="1:195" ht="18.75" x14ac:dyDescent="0.3">
      <c r="A32" s="2868" t="s">
        <v>3780</v>
      </c>
      <c r="B32" s="2843">
        <f t="shared" si="462"/>
        <v>2832.2312358777353</v>
      </c>
      <c r="C32" s="2924">
        <f>SUM(C17*C42)</f>
        <v>2832.2312358777353</v>
      </c>
      <c r="D32" s="2924"/>
      <c r="E32" s="2843">
        <f t="shared" si="463"/>
        <v>2394.2370000000001</v>
      </c>
      <c r="F32" s="2925">
        <v>2394.2370000000001</v>
      </c>
      <c r="G32" s="2925"/>
      <c r="H32" s="2866">
        <f t="shared" si="598"/>
        <v>2360.9140000000002</v>
      </c>
      <c r="I32" s="2866">
        <v>2360.9140000000002</v>
      </c>
      <c r="J32" s="2866"/>
      <c r="K32" s="2843">
        <f t="shared" si="464"/>
        <v>2832.2312358777353</v>
      </c>
      <c r="L32" s="2924">
        <f>SUM(L17*L42)</f>
        <v>2832.2312358777353</v>
      </c>
      <c r="M32" s="2924"/>
      <c r="N32" s="2843">
        <f t="shared" si="465"/>
        <v>2994.2620000000002</v>
      </c>
      <c r="O32" s="2925">
        <v>2994.2620000000002</v>
      </c>
      <c r="P32" s="2925"/>
      <c r="Q32" s="2866">
        <f t="shared" si="599"/>
        <v>2770.0450000000001</v>
      </c>
      <c r="R32" s="2866">
        <v>2770.0450000000001</v>
      </c>
      <c r="S32" s="2866"/>
      <c r="T32" s="2843">
        <f t="shared" si="466"/>
        <v>2832.2312358777353</v>
      </c>
      <c r="U32" s="2924">
        <f>SUM(U17*U42)</f>
        <v>2832.2312358777353</v>
      </c>
      <c r="V32" s="2924"/>
      <c r="W32" s="2843">
        <f t="shared" si="467"/>
        <v>2795.86</v>
      </c>
      <c r="X32" s="2925">
        <v>2795.86</v>
      </c>
      <c r="Y32" s="2925"/>
      <c r="Z32" s="2866">
        <f t="shared" si="600"/>
        <v>2534.7750000000001</v>
      </c>
      <c r="AA32" s="2866">
        <v>2534.7750000000001</v>
      </c>
      <c r="AB32" s="2866"/>
      <c r="AC32" s="2926">
        <f t="shared" si="468"/>
        <v>8496.6937076332069</v>
      </c>
      <c r="AD32" s="2926">
        <f t="shared" si="468"/>
        <v>8496.6937076332069</v>
      </c>
      <c r="AE32" s="2926">
        <f t="shared" si="468"/>
        <v>0</v>
      </c>
      <c r="AF32" s="2926">
        <f t="shared" si="468"/>
        <v>8184.3590000000004</v>
      </c>
      <c r="AG32" s="2926">
        <f t="shared" si="468"/>
        <v>8184.3590000000004</v>
      </c>
      <c r="AH32" s="2926">
        <f t="shared" si="468"/>
        <v>0</v>
      </c>
      <c r="AI32" s="2926">
        <f t="shared" si="468"/>
        <v>7665.7340000000004</v>
      </c>
      <c r="AJ32" s="2926">
        <f t="shared" si="468"/>
        <v>7665.7340000000004</v>
      </c>
      <c r="AK32" s="2926">
        <f t="shared" si="468"/>
        <v>0</v>
      </c>
      <c r="AL32" s="2927">
        <f t="shared" si="469"/>
        <v>-312.33470763320656</v>
      </c>
      <c r="AM32" s="2927">
        <f t="shared" si="469"/>
        <v>-312.33470763320656</v>
      </c>
      <c r="AN32" s="2927">
        <f t="shared" si="469"/>
        <v>0</v>
      </c>
      <c r="AO32" s="2843">
        <f t="shared" si="470"/>
        <v>2832.2312358777353</v>
      </c>
      <c r="AP32" s="2924">
        <f>SUM(AP17*AP42)</f>
        <v>2832.2312358777353</v>
      </c>
      <c r="AQ32" s="2924"/>
      <c r="AR32" s="2845">
        <f t="shared" si="471"/>
        <v>2945.6619999999998</v>
      </c>
      <c r="AS32" s="2928">
        <v>2945.6619999999998</v>
      </c>
      <c r="AT32" s="2928"/>
      <c r="AU32" s="2866">
        <f t="shared" si="601"/>
        <v>2351.2950000000001</v>
      </c>
      <c r="AV32" s="2866">
        <v>2351.2950000000001</v>
      </c>
      <c r="AW32" s="2866"/>
      <c r="AX32" s="2843">
        <f t="shared" si="472"/>
        <v>2832.2312358777353</v>
      </c>
      <c r="AY32" s="2924">
        <f>SUM(AY17*AY42)</f>
        <v>2832.2312358777353</v>
      </c>
      <c r="AZ32" s="2924"/>
      <c r="BA32" s="2843">
        <f t="shared" si="473"/>
        <v>2730.7220000000002</v>
      </c>
      <c r="BB32" s="2925">
        <v>2730.7220000000002</v>
      </c>
      <c r="BC32" s="2925"/>
      <c r="BD32" s="2866">
        <f t="shared" si="602"/>
        <v>1910.625</v>
      </c>
      <c r="BE32" s="2866">
        <v>1910.625</v>
      </c>
      <c r="BF32" s="2866"/>
      <c r="BG32" s="2843">
        <f t="shared" si="474"/>
        <v>2832.2312358777353</v>
      </c>
      <c r="BH32" s="2924">
        <f>SUM(BH17*BH42)</f>
        <v>2832.2312358777353</v>
      </c>
      <c r="BI32" s="2924"/>
      <c r="BJ32" s="2843">
        <f t="shared" si="475"/>
        <v>2908.4450000000002</v>
      </c>
      <c r="BK32" s="2925">
        <v>2908.4450000000002</v>
      </c>
      <c r="BL32" s="2925"/>
      <c r="BM32" s="2866">
        <f t="shared" si="603"/>
        <v>2276.6999999999998</v>
      </c>
      <c r="BN32" s="2866">
        <v>2276.6999999999998</v>
      </c>
      <c r="BO32" s="2866"/>
      <c r="BP32" s="2926">
        <f t="shared" si="476"/>
        <v>8496.6937076332069</v>
      </c>
      <c r="BQ32" s="2926">
        <f t="shared" si="476"/>
        <v>8496.6937076332069</v>
      </c>
      <c r="BR32" s="2926">
        <f t="shared" si="476"/>
        <v>0</v>
      </c>
      <c r="BS32" s="2926">
        <f t="shared" si="476"/>
        <v>8584.8289999999997</v>
      </c>
      <c r="BT32" s="2926">
        <f t="shared" si="476"/>
        <v>8584.8289999999997</v>
      </c>
      <c r="BU32" s="2926">
        <f t="shared" si="476"/>
        <v>0</v>
      </c>
      <c r="BV32" s="2926">
        <f t="shared" si="476"/>
        <v>6538.62</v>
      </c>
      <c r="BW32" s="2926">
        <f t="shared" si="476"/>
        <v>6538.62</v>
      </c>
      <c r="BX32" s="2926">
        <f t="shared" si="476"/>
        <v>0</v>
      </c>
      <c r="BY32" s="2927">
        <f t="shared" si="477"/>
        <v>88.135292366792783</v>
      </c>
      <c r="BZ32" s="2927">
        <f t="shared" si="477"/>
        <v>88.135292366792783</v>
      </c>
      <c r="CA32" s="2927">
        <f t="shared" si="477"/>
        <v>0</v>
      </c>
      <c r="CB32" s="2926">
        <f t="shared" si="478"/>
        <v>16993.387415266414</v>
      </c>
      <c r="CC32" s="2926">
        <f t="shared" si="478"/>
        <v>16993.387415266414</v>
      </c>
      <c r="CD32" s="2926">
        <f t="shared" si="478"/>
        <v>0</v>
      </c>
      <c r="CE32" s="2926">
        <f t="shared" si="478"/>
        <v>16769.188000000002</v>
      </c>
      <c r="CF32" s="2926">
        <f t="shared" si="478"/>
        <v>16769.188000000002</v>
      </c>
      <c r="CG32" s="2926">
        <f t="shared" si="478"/>
        <v>0</v>
      </c>
      <c r="CH32" s="2926">
        <f t="shared" si="478"/>
        <v>14204.353999999999</v>
      </c>
      <c r="CI32" s="2926">
        <f t="shared" si="478"/>
        <v>14204.353999999999</v>
      </c>
      <c r="CJ32" s="2926">
        <f t="shared" si="478"/>
        <v>0</v>
      </c>
      <c r="CK32" s="2927">
        <f t="shared" si="479"/>
        <v>-224.19941526641196</v>
      </c>
      <c r="CL32" s="2927">
        <f t="shared" si="479"/>
        <v>-224.19941526641196</v>
      </c>
      <c r="CM32" s="2927">
        <f t="shared" si="479"/>
        <v>0</v>
      </c>
      <c r="CN32" s="2843">
        <f t="shared" si="480"/>
        <v>3004.6424515293329</v>
      </c>
      <c r="CO32" s="2924">
        <f>SUM(CO17*CO42)</f>
        <v>3004.6424515293329</v>
      </c>
      <c r="CP32" s="2924"/>
      <c r="CQ32" s="2843">
        <f t="shared" si="481"/>
        <v>2600.1089999999999</v>
      </c>
      <c r="CR32" s="2925">
        <v>2600.1089999999999</v>
      </c>
      <c r="CS32" s="2925"/>
      <c r="CT32" s="2866">
        <f t="shared" si="604"/>
        <v>2316.41</v>
      </c>
      <c r="CU32" s="2866">
        <v>2316.41</v>
      </c>
      <c r="CV32" s="2866"/>
      <c r="CW32" s="2843">
        <f t="shared" si="482"/>
        <v>3004.6424515293329</v>
      </c>
      <c r="CX32" s="2924">
        <f>SUM(CX17*CX42)</f>
        <v>3004.6424515293329</v>
      </c>
      <c r="CY32" s="2924"/>
      <c r="CZ32" s="2843">
        <f t="shared" si="483"/>
        <v>2785.4520000000002</v>
      </c>
      <c r="DA32" s="2925">
        <v>2785.4520000000002</v>
      </c>
      <c r="DB32" s="2925"/>
      <c r="DC32" s="2866">
        <f t="shared" si="605"/>
        <v>2514.15</v>
      </c>
      <c r="DD32" s="2866">
        <v>2514.15</v>
      </c>
      <c r="DE32" s="2866"/>
      <c r="DF32" s="2843">
        <f t="shared" si="484"/>
        <v>3004.6424515293329</v>
      </c>
      <c r="DG32" s="2924">
        <f>SUM(DG17*DG42)</f>
        <v>3004.6424515293329</v>
      </c>
      <c r="DH32" s="2924"/>
      <c r="DI32" s="2843">
        <f t="shared" si="485"/>
        <v>3201.3789999999999</v>
      </c>
      <c r="DJ32" s="2925">
        <v>3201.3789999999999</v>
      </c>
      <c r="DK32" s="2925"/>
      <c r="DL32" s="2866">
        <f t="shared" si="606"/>
        <v>3294.105</v>
      </c>
      <c r="DM32" s="2866">
        <v>3294.105</v>
      </c>
      <c r="DN32" s="2866"/>
      <c r="DO32" s="2926">
        <f t="shared" si="486"/>
        <v>9013.9273545879987</v>
      </c>
      <c r="DP32" s="2926">
        <f t="shared" si="486"/>
        <v>9013.9273545879987</v>
      </c>
      <c r="DQ32" s="2926">
        <f t="shared" si="486"/>
        <v>0</v>
      </c>
      <c r="DR32" s="2926">
        <f t="shared" si="486"/>
        <v>8586.9399999999987</v>
      </c>
      <c r="DS32" s="2926">
        <f t="shared" si="486"/>
        <v>8586.9399999999987</v>
      </c>
      <c r="DT32" s="2926">
        <f t="shared" si="486"/>
        <v>0</v>
      </c>
      <c r="DU32" s="2926">
        <f t="shared" si="486"/>
        <v>8124.6649999999991</v>
      </c>
      <c r="DV32" s="2926">
        <f t="shared" si="486"/>
        <v>8124.6649999999991</v>
      </c>
      <c r="DW32" s="2926">
        <f t="shared" si="486"/>
        <v>0</v>
      </c>
      <c r="DX32" s="2927">
        <f t="shared" si="487"/>
        <v>-426.98735458800002</v>
      </c>
      <c r="DY32" s="2927">
        <f t="shared" si="487"/>
        <v>-426.98735458800002</v>
      </c>
      <c r="DZ32" s="2927">
        <f t="shared" si="487"/>
        <v>0</v>
      </c>
      <c r="EA32" s="2926">
        <f t="shared" si="488"/>
        <v>26007.314769854413</v>
      </c>
      <c r="EB32" s="2926">
        <f t="shared" si="488"/>
        <v>26007.314769854413</v>
      </c>
      <c r="EC32" s="2926">
        <f t="shared" si="488"/>
        <v>0</v>
      </c>
      <c r="ED32" s="2926">
        <f t="shared" si="488"/>
        <v>25356.128000000001</v>
      </c>
      <c r="EE32" s="2926">
        <f t="shared" si="488"/>
        <v>25356.128000000001</v>
      </c>
      <c r="EF32" s="2926">
        <f t="shared" si="488"/>
        <v>0</v>
      </c>
      <c r="EG32" s="2926">
        <f t="shared" si="488"/>
        <v>22329.019</v>
      </c>
      <c r="EH32" s="2926">
        <f t="shared" si="488"/>
        <v>22329.019</v>
      </c>
      <c r="EI32" s="2926">
        <f t="shared" si="488"/>
        <v>0</v>
      </c>
      <c r="EJ32" s="2927">
        <f t="shared" si="489"/>
        <v>-651.18676985441198</v>
      </c>
      <c r="EK32" s="2927">
        <f t="shared" si="489"/>
        <v>-651.18676985441198</v>
      </c>
      <c r="EL32" s="2927">
        <f t="shared" si="489"/>
        <v>0</v>
      </c>
      <c r="EM32" s="2843">
        <f t="shared" si="490"/>
        <v>3004.6424515293329</v>
      </c>
      <c r="EN32" s="2924">
        <f>SUM(EN17*EN42)</f>
        <v>3004.6424515293329</v>
      </c>
      <c r="EO32" s="2924"/>
      <c r="EP32" s="2843">
        <f t="shared" si="491"/>
        <v>3077.3229999999999</v>
      </c>
      <c r="EQ32" s="2925">
        <v>3077.3229999999999</v>
      </c>
      <c r="ER32" s="2925"/>
      <c r="ES32" s="2866">
        <f t="shared" si="607"/>
        <v>2858.6840000000002</v>
      </c>
      <c r="ET32" s="2866">
        <v>2858.6840000000002</v>
      </c>
      <c r="EU32" s="2866"/>
      <c r="EV32" s="2843">
        <f t="shared" si="492"/>
        <v>3004.6424515293329</v>
      </c>
      <c r="EW32" s="2924">
        <f>SUM(EW17*EW42)</f>
        <v>3004.6424515293329</v>
      </c>
      <c r="EX32" s="2924"/>
      <c r="EY32" s="2843">
        <f t="shared" si="493"/>
        <v>2896.8090000000002</v>
      </c>
      <c r="EZ32" s="2925">
        <v>2896.8090000000002</v>
      </c>
      <c r="FA32" s="2925"/>
      <c r="FB32" s="2866">
        <f t="shared" si="608"/>
        <v>3116.8490000000002</v>
      </c>
      <c r="FC32" s="2866">
        <v>3116.8490000000002</v>
      </c>
      <c r="FD32" s="2866"/>
      <c r="FE32" s="2843">
        <f t="shared" si="494"/>
        <v>3004.6424515293329</v>
      </c>
      <c r="FF32" s="2924">
        <f>SUM(FF17*FF42)</f>
        <v>3004.6424515293329</v>
      </c>
      <c r="FG32" s="2924"/>
      <c r="FH32" s="2843">
        <f t="shared" si="495"/>
        <v>3212.192</v>
      </c>
      <c r="FI32" s="2925">
        <v>3212.192</v>
      </c>
      <c r="FJ32" s="2925"/>
      <c r="FK32" s="2866">
        <f t="shared" si="609"/>
        <v>2984.1129999999998</v>
      </c>
      <c r="FL32" s="2866">
        <v>2984.1129999999998</v>
      </c>
      <c r="FM32" s="2866"/>
      <c r="FN32" s="2926">
        <f t="shared" si="496"/>
        <v>9013.9273545879987</v>
      </c>
      <c r="FO32" s="2926">
        <f t="shared" si="496"/>
        <v>9013.9273545879987</v>
      </c>
      <c r="FP32" s="2926">
        <f t="shared" si="496"/>
        <v>0</v>
      </c>
      <c r="FQ32" s="2926">
        <f t="shared" si="496"/>
        <v>9186.3240000000005</v>
      </c>
      <c r="FR32" s="2926">
        <f t="shared" si="496"/>
        <v>9186.3240000000005</v>
      </c>
      <c r="FS32" s="2926">
        <f t="shared" si="496"/>
        <v>0</v>
      </c>
      <c r="FT32" s="2926">
        <f t="shared" si="496"/>
        <v>8959.6460000000006</v>
      </c>
      <c r="FU32" s="2926">
        <f t="shared" si="496"/>
        <v>8959.6460000000006</v>
      </c>
      <c r="FV32" s="2926">
        <f t="shared" si="496"/>
        <v>0</v>
      </c>
      <c r="FW32" s="2927">
        <f t="shared" si="497"/>
        <v>172.39664541200182</v>
      </c>
      <c r="FX32" s="2927">
        <f t="shared" si="497"/>
        <v>172.39664541200182</v>
      </c>
      <c r="FY32" s="2927">
        <f t="shared" si="497"/>
        <v>0</v>
      </c>
      <c r="FZ32" s="2926">
        <f t="shared" si="498"/>
        <v>35021.242124442411</v>
      </c>
      <c r="GA32" s="2926">
        <f t="shared" si="498"/>
        <v>35021.242124442411</v>
      </c>
      <c r="GB32" s="2926">
        <f t="shared" si="499"/>
        <v>0</v>
      </c>
      <c r="GC32" s="2926">
        <f t="shared" si="499"/>
        <v>34542.452000000005</v>
      </c>
      <c r="GD32" s="2926">
        <f t="shared" si="499"/>
        <v>34542.452000000005</v>
      </c>
      <c r="GE32" s="2926">
        <f t="shared" si="499"/>
        <v>0</v>
      </c>
      <c r="GF32" s="2926">
        <f t="shared" si="499"/>
        <v>31288.665000000001</v>
      </c>
      <c r="GG32" s="2926">
        <f t="shared" si="499"/>
        <v>31288.665000000001</v>
      </c>
      <c r="GH32" s="2926">
        <f t="shared" si="499"/>
        <v>0</v>
      </c>
      <c r="GI32" s="2927">
        <f t="shared" si="500"/>
        <v>-478.79012444240652</v>
      </c>
      <c r="GJ32" s="2927">
        <f t="shared" si="500"/>
        <v>-478.79012444240652</v>
      </c>
      <c r="GK32" s="2927">
        <f t="shared" si="500"/>
        <v>0</v>
      </c>
      <c r="GL32" s="565"/>
      <c r="GM32" s="4188">
        <f t="shared" si="501"/>
        <v>35021.242124442404</v>
      </c>
    </row>
    <row r="33" spans="1:195" ht="18.75" x14ac:dyDescent="0.3">
      <c r="A33" s="2868" t="s">
        <v>1696</v>
      </c>
      <c r="B33" s="2843">
        <f t="shared" si="462"/>
        <v>2.5428689797365074</v>
      </c>
      <c r="C33" s="2924"/>
      <c r="D33" s="2924">
        <f>SUM(D17*D43)</f>
        <v>2.5428689797365074</v>
      </c>
      <c r="E33" s="2843">
        <f t="shared" si="463"/>
        <v>0.86199999999999999</v>
      </c>
      <c r="F33" s="2925"/>
      <c r="G33" s="2925">
        <v>0.86199999999999999</v>
      </c>
      <c r="H33" s="2866">
        <f t="shared" si="598"/>
        <v>1.52</v>
      </c>
      <c r="I33" s="2866">
        <v>0</v>
      </c>
      <c r="J33" s="2866">
        <v>1.52</v>
      </c>
      <c r="K33" s="2843">
        <f t="shared" si="464"/>
        <v>2.5428689797365074</v>
      </c>
      <c r="L33" s="2924"/>
      <c r="M33" s="2924">
        <f>SUM(M17*M43)</f>
        <v>2.5428689797365074</v>
      </c>
      <c r="N33" s="2843">
        <f t="shared" si="465"/>
        <v>0.27583999999999997</v>
      </c>
      <c r="O33" s="2925"/>
      <c r="P33" s="2925">
        <v>0.27583999999999997</v>
      </c>
      <c r="Q33" s="2866">
        <f t="shared" si="599"/>
        <v>1.41368</v>
      </c>
      <c r="R33" s="2866">
        <v>0</v>
      </c>
      <c r="S33" s="2866">
        <v>1.41368</v>
      </c>
      <c r="T33" s="2843">
        <f t="shared" si="466"/>
        <v>2.5428689797365074</v>
      </c>
      <c r="U33" s="2924"/>
      <c r="V33" s="2924">
        <f>SUM(V17*V43)</f>
        <v>2.5428689797365074</v>
      </c>
      <c r="W33" s="2843">
        <f t="shared" si="467"/>
        <v>0.379</v>
      </c>
      <c r="X33" s="2925"/>
      <c r="Y33" s="2925">
        <v>0.379</v>
      </c>
      <c r="Z33" s="2866">
        <f t="shared" si="600"/>
        <v>1.3792</v>
      </c>
      <c r="AA33" s="2866">
        <v>0</v>
      </c>
      <c r="AB33" s="2866">
        <v>1.3792</v>
      </c>
      <c r="AC33" s="2926">
        <f t="shared" si="468"/>
        <v>7.6286069392095222</v>
      </c>
      <c r="AD33" s="2926">
        <f t="shared" si="468"/>
        <v>0</v>
      </c>
      <c r="AE33" s="2926">
        <f t="shared" si="468"/>
        <v>7.6286069392095222</v>
      </c>
      <c r="AF33" s="2926">
        <f t="shared" si="468"/>
        <v>1.51684</v>
      </c>
      <c r="AG33" s="2926">
        <f t="shared" si="468"/>
        <v>0</v>
      </c>
      <c r="AH33" s="2926">
        <f t="shared" si="468"/>
        <v>1.51684</v>
      </c>
      <c r="AI33" s="2926">
        <f t="shared" si="468"/>
        <v>4.3128799999999998</v>
      </c>
      <c r="AJ33" s="2926">
        <f t="shared" si="468"/>
        <v>0</v>
      </c>
      <c r="AK33" s="2926">
        <f t="shared" si="468"/>
        <v>4.3128799999999998</v>
      </c>
      <c r="AL33" s="2927">
        <f t="shared" si="469"/>
        <v>-6.111766939209522</v>
      </c>
      <c r="AM33" s="2927">
        <f t="shared" si="469"/>
        <v>0</v>
      </c>
      <c r="AN33" s="2927">
        <f t="shared" si="469"/>
        <v>-6.111766939209522</v>
      </c>
      <c r="AO33" s="2843">
        <f t="shared" si="470"/>
        <v>2.5428689797365074</v>
      </c>
      <c r="AP33" s="2924"/>
      <c r="AQ33" s="2924">
        <f>SUM(AQ17*AQ43)</f>
        <v>2.5428689797365074</v>
      </c>
      <c r="AR33" s="2845">
        <f t="shared" si="471"/>
        <v>2.6549999999999998</v>
      </c>
      <c r="AS33" s="2928"/>
      <c r="AT33" s="2928">
        <v>2.6549999999999998</v>
      </c>
      <c r="AU33" s="2866">
        <f t="shared" si="601"/>
        <v>1.7070000000000001</v>
      </c>
      <c r="AV33" s="2866">
        <v>0</v>
      </c>
      <c r="AW33" s="2866">
        <v>1.7070000000000001</v>
      </c>
      <c r="AX33" s="2843">
        <f t="shared" si="472"/>
        <v>2.5428689797365074</v>
      </c>
      <c r="AY33" s="2924"/>
      <c r="AZ33" s="2924">
        <f>SUM(AZ17*AZ43)</f>
        <v>2.5428689797365074</v>
      </c>
      <c r="BA33" s="2843">
        <f t="shared" si="473"/>
        <v>1.155</v>
      </c>
      <c r="BB33" s="2925"/>
      <c r="BC33" s="2925">
        <v>1.155</v>
      </c>
      <c r="BD33" s="2866">
        <f t="shared" si="602"/>
        <v>1.724</v>
      </c>
      <c r="BE33" s="2866">
        <v>0</v>
      </c>
      <c r="BF33" s="2866">
        <v>1.724</v>
      </c>
      <c r="BG33" s="2843">
        <f t="shared" si="474"/>
        <v>2.5428689797365074</v>
      </c>
      <c r="BH33" s="2924"/>
      <c r="BI33" s="2924">
        <f>SUM(BI17*BI43)</f>
        <v>2.5428689797365074</v>
      </c>
      <c r="BJ33" s="2843">
        <f t="shared" si="475"/>
        <v>1.81</v>
      </c>
      <c r="BK33" s="2925"/>
      <c r="BL33" s="2925">
        <v>1.81</v>
      </c>
      <c r="BM33" s="2866">
        <f t="shared" si="603"/>
        <v>1.5860000000000001</v>
      </c>
      <c r="BN33" s="2866"/>
      <c r="BO33" s="2866">
        <v>1.5860000000000001</v>
      </c>
      <c r="BP33" s="2926">
        <f t="shared" si="476"/>
        <v>7.6286069392095222</v>
      </c>
      <c r="BQ33" s="2926">
        <f t="shared" si="476"/>
        <v>0</v>
      </c>
      <c r="BR33" s="2926">
        <f t="shared" si="476"/>
        <v>7.6286069392095222</v>
      </c>
      <c r="BS33" s="2926">
        <f t="shared" si="476"/>
        <v>5.6199999999999992</v>
      </c>
      <c r="BT33" s="2926">
        <f t="shared" si="476"/>
        <v>0</v>
      </c>
      <c r="BU33" s="2926">
        <f t="shared" si="476"/>
        <v>5.6199999999999992</v>
      </c>
      <c r="BV33" s="2926">
        <f t="shared" si="476"/>
        <v>5.0170000000000003</v>
      </c>
      <c r="BW33" s="2926">
        <f t="shared" si="476"/>
        <v>0</v>
      </c>
      <c r="BX33" s="2926">
        <f t="shared" si="476"/>
        <v>5.0170000000000003</v>
      </c>
      <c r="BY33" s="2927">
        <f t="shared" si="477"/>
        <v>-2.0086069392095229</v>
      </c>
      <c r="BZ33" s="2927">
        <f t="shared" si="477"/>
        <v>0</v>
      </c>
      <c r="CA33" s="2927">
        <f t="shared" si="477"/>
        <v>-2.0086069392095229</v>
      </c>
      <c r="CB33" s="2926">
        <f t="shared" si="478"/>
        <v>15.257213878419044</v>
      </c>
      <c r="CC33" s="2926">
        <f t="shared" si="478"/>
        <v>0</v>
      </c>
      <c r="CD33" s="2926">
        <f t="shared" si="478"/>
        <v>15.257213878419044</v>
      </c>
      <c r="CE33" s="2926">
        <f t="shared" si="478"/>
        <v>7.1368399999999994</v>
      </c>
      <c r="CF33" s="2926">
        <f t="shared" si="478"/>
        <v>0</v>
      </c>
      <c r="CG33" s="2926">
        <f t="shared" si="478"/>
        <v>7.1368399999999994</v>
      </c>
      <c r="CH33" s="2926">
        <f t="shared" si="478"/>
        <v>9.3298799999999993</v>
      </c>
      <c r="CI33" s="2926">
        <f t="shared" si="478"/>
        <v>0</v>
      </c>
      <c r="CJ33" s="2926">
        <f t="shared" si="478"/>
        <v>9.3298799999999993</v>
      </c>
      <c r="CK33" s="2927">
        <f t="shared" si="479"/>
        <v>-8.1203738784190449</v>
      </c>
      <c r="CL33" s="2927">
        <f t="shared" si="479"/>
        <v>0</v>
      </c>
      <c r="CM33" s="2927">
        <f t="shared" si="479"/>
        <v>-8.1203738784190449</v>
      </c>
      <c r="CN33" s="2843">
        <f t="shared" si="480"/>
        <v>3.0868336246705601</v>
      </c>
      <c r="CO33" s="2924"/>
      <c r="CP33" s="2924">
        <f>SUM(CP17*CP43)</f>
        <v>3.0868336246705601</v>
      </c>
      <c r="CQ33" s="2843">
        <f t="shared" si="481"/>
        <v>1.758</v>
      </c>
      <c r="CR33" s="2925"/>
      <c r="CS33" s="2925">
        <v>1.758</v>
      </c>
      <c r="CT33" s="2866">
        <f t="shared" si="604"/>
        <v>1.5516000000000001</v>
      </c>
      <c r="CU33" s="2866">
        <v>0</v>
      </c>
      <c r="CV33" s="2866">
        <v>1.5516000000000001</v>
      </c>
      <c r="CW33" s="2843">
        <f t="shared" si="482"/>
        <v>3.0868336246705601</v>
      </c>
      <c r="CX33" s="2924"/>
      <c r="CY33" s="2924">
        <f>SUM(CY17*CY43)</f>
        <v>3.0868336246705601</v>
      </c>
      <c r="CZ33" s="2843">
        <f t="shared" si="483"/>
        <v>1.57</v>
      </c>
      <c r="DA33" s="2925">
        <v>0</v>
      </c>
      <c r="DB33" s="2925">
        <v>1.57</v>
      </c>
      <c r="DC33" s="2866">
        <f t="shared" si="605"/>
        <v>0.5</v>
      </c>
      <c r="DD33" s="2866">
        <v>0</v>
      </c>
      <c r="DE33" s="2866">
        <v>0.5</v>
      </c>
      <c r="DF33" s="2843">
        <f t="shared" si="484"/>
        <v>3.0868336246705601</v>
      </c>
      <c r="DG33" s="2924"/>
      <c r="DH33" s="2924">
        <f>SUM(DH17*DH43)</f>
        <v>3.0868336246705601</v>
      </c>
      <c r="DI33" s="2843">
        <f t="shared" si="485"/>
        <v>0.52300000000000002</v>
      </c>
      <c r="DJ33" s="2925"/>
      <c r="DK33" s="2925">
        <v>0.52300000000000002</v>
      </c>
      <c r="DL33" s="2866">
        <f t="shared" si="606"/>
        <v>1.13784</v>
      </c>
      <c r="DM33" s="2866">
        <v>0</v>
      </c>
      <c r="DN33" s="2866">
        <v>1.13784</v>
      </c>
      <c r="DO33" s="2926">
        <f t="shared" si="486"/>
        <v>9.2605008740116794</v>
      </c>
      <c r="DP33" s="2926">
        <f t="shared" si="486"/>
        <v>0</v>
      </c>
      <c r="DQ33" s="2926">
        <f t="shared" si="486"/>
        <v>9.2605008740116794</v>
      </c>
      <c r="DR33" s="2926">
        <f t="shared" si="486"/>
        <v>3.8510000000000004</v>
      </c>
      <c r="DS33" s="2926">
        <f t="shared" si="486"/>
        <v>0</v>
      </c>
      <c r="DT33" s="2926">
        <f t="shared" si="486"/>
        <v>3.8510000000000004</v>
      </c>
      <c r="DU33" s="2926">
        <f t="shared" si="486"/>
        <v>3.1894400000000003</v>
      </c>
      <c r="DV33" s="2926">
        <f t="shared" si="486"/>
        <v>0</v>
      </c>
      <c r="DW33" s="2926">
        <f t="shared" si="486"/>
        <v>3.1894400000000003</v>
      </c>
      <c r="DX33" s="2927">
        <f t="shared" si="487"/>
        <v>-5.4095008740116786</v>
      </c>
      <c r="DY33" s="2927">
        <f t="shared" si="487"/>
        <v>0</v>
      </c>
      <c r="DZ33" s="2927">
        <f t="shared" si="487"/>
        <v>-5.4095008740116786</v>
      </c>
      <c r="EA33" s="2926">
        <f t="shared" si="488"/>
        <v>24.517714752430724</v>
      </c>
      <c r="EB33" s="2926">
        <f t="shared" si="488"/>
        <v>0</v>
      </c>
      <c r="EC33" s="2926">
        <f t="shared" si="488"/>
        <v>24.517714752430724</v>
      </c>
      <c r="ED33" s="2926">
        <f t="shared" si="488"/>
        <v>10.98784</v>
      </c>
      <c r="EE33" s="2926">
        <f t="shared" si="488"/>
        <v>0</v>
      </c>
      <c r="EF33" s="2926">
        <f t="shared" si="488"/>
        <v>10.98784</v>
      </c>
      <c r="EG33" s="2926">
        <f t="shared" si="488"/>
        <v>12.51932</v>
      </c>
      <c r="EH33" s="2926">
        <f t="shared" si="488"/>
        <v>0</v>
      </c>
      <c r="EI33" s="2926">
        <f t="shared" si="488"/>
        <v>12.51932</v>
      </c>
      <c r="EJ33" s="2927">
        <f t="shared" si="489"/>
        <v>-13.529874752430723</v>
      </c>
      <c r="EK33" s="2927">
        <f t="shared" si="489"/>
        <v>0</v>
      </c>
      <c r="EL33" s="2927">
        <f t="shared" si="489"/>
        <v>-13.529874752430723</v>
      </c>
      <c r="EM33" s="2843">
        <f t="shared" si="490"/>
        <v>3.0868336246705601</v>
      </c>
      <c r="EN33" s="2924"/>
      <c r="EO33" s="2924">
        <f>SUM(EO17*EO43)</f>
        <v>3.0868336246705601</v>
      </c>
      <c r="EP33" s="2843">
        <f t="shared" si="491"/>
        <v>0.56499999999999995</v>
      </c>
      <c r="EQ33" s="2925">
        <v>0</v>
      </c>
      <c r="ER33" s="2925">
        <v>0.56499999999999995</v>
      </c>
      <c r="ES33" s="2866">
        <f t="shared" si="607"/>
        <v>0.98268</v>
      </c>
      <c r="ET33" s="2866">
        <v>0</v>
      </c>
      <c r="EU33" s="2866">
        <v>0.98268</v>
      </c>
      <c r="EV33" s="2843">
        <f t="shared" si="492"/>
        <v>3.0868336246705601</v>
      </c>
      <c r="EW33" s="2924"/>
      <c r="EX33" s="2924">
        <f>SUM(EX17*EX43)</f>
        <v>3.0868336246705601</v>
      </c>
      <c r="EY33" s="2843">
        <f t="shared" si="493"/>
        <v>1.486</v>
      </c>
      <c r="EZ33" s="2925">
        <v>0</v>
      </c>
      <c r="FA33" s="2925">
        <v>1.486</v>
      </c>
      <c r="FB33" s="2866">
        <f t="shared" si="608"/>
        <v>0.65500000000000003</v>
      </c>
      <c r="FC33" s="2866">
        <v>0</v>
      </c>
      <c r="FD33" s="2866">
        <v>0.65500000000000003</v>
      </c>
      <c r="FE33" s="2843">
        <f t="shared" si="494"/>
        <v>3.0868336246705601</v>
      </c>
      <c r="FF33" s="2924"/>
      <c r="FG33" s="2924">
        <f>SUM(FG17*FG43)</f>
        <v>3.0868336246705601</v>
      </c>
      <c r="FH33" s="2843">
        <f t="shared" si="495"/>
        <v>1.8</v>
      </c>
      <c r="FI33" s="2925"/>
      <c r="FJ33" s="2925">
        <v>1.8</v>
      </c>
      <c r="FK33" s="2866">
        <f t="shared" si="609"/>
        <v>1.91</v>
      </c>
      <c r="FL33" s="2866">
        <v>0</v>
      </c>
      <c r="FM33" s="2866">
        <v>1.91</v>
      </c>
      <c r="FN33" s="2926">
        <f t="shared" si="496"/>
        <v>9.2605008740116794</v>
      </c>
      <c r="FO33" s="2926">
        <f t="shared" si="496"/>
        <v>0</v>
      </c>
      <c r="FP33" s="2926">
        <f t="shared" si="496"/>
        <v>9.2605008740116794</v>
      </c>
      <c r="FQ33" s="2926">
        <f t="shared" si="496"/>
        <v>3.851</v>
      </c>
      <c r="FR33" s="2926">
        <f t="shared" si="496"/>
        <v>0</v>
      </c>
      <c r="FS33" s="2926">
        <f t="shared" si="496"/>
        <v>3.851</v>
      </c>
      <c r="FT33" s="2926">
        <f t="shared" si="496"/>
        <v>3.5476799999999997</v>
      </c>
      <c r="FU33" s="2926">
        <f t="shared" si="496"/>
        <v>0</v>
      </c>
      <c r="FV33" s="2926">
        <f t="shared" si="496"/>
        <v>3.5476799999999997</v>
      </c>
      <c r="FW33" s="2927">
        <f t="shared" si="497"/>
        <v>-5.4095008740116794</v>
      </c>
      <c r="FX33" s="2927">
        <f t="shared" si="497"/>
        <v>0</v>
      </c>
      <c r="FY33" s="2927">
        <f t="shared" si="497"/>
        <v>-5.4095008740116794</v>
      </c>
      <c r="FZ33" s="2926">
        <f t="shared" si="498"/>
        <v>33.778215626442403</v>
      </c>
      <c r="GA33" s="2926">
        <f t="shared" si="498"/>
        <v>0</v>
      </c>
      <c r="GB33" s="2926">
        <f t="shared" si="499"/>
        <v>33.778215626442403</v>
      </c>
      <c r="GC33" s="2926">
        <f t="shared" si="499"/>
        <v>14.838840000000001</v>
      </c>
      <c r="GD33" s="2926">
        <f t="shared" si="499"/>
        <v>0</v>
      </c>
      <c r="GE33" s="2926">
        <f t="shared" si="499"/>
        <v>14.838840000000001</v>
      </c>
      <c r="GF33" s="2926">
        <f t="shared" si="499"/>
        <v>16.067</v>
      </c>
      <c r="GG33" s="2926">
        <f t="shared" si="499"/>
        <v>0</v>
      </c>
      <c r="GH33" s="2926">
        <f t="shared" si="499"/>
        <v>16.067</v>
      </c>
      <c r="GI33" s="2927">
        <f t="shared" si="500"/>
        <v>-18.939375626442402</v>
      </c>
      <c r="GJ33" s="2927">
        <f t="shared" si="500"/>
        <v>0</v>
      </c>
      <c r="GK33" s="2927">
        <f t="shared" si="500"/>
        <v>-18.939375626442402</v>
      </c>
      <c r="GL33" s="565"/>
      <c r="GM33" s="4188">
        <f t="shared" si="501"/>
        <v>33.77821562644241</v>
      </c>
    </row>
    <row r="34" spans="1:195" ht="18.75" x14ac:dyDescent="0.3">
      <c r="A34" s="2868" t="s">
        <v>3781</v>
      </c>
      <c r="B34" s="2843">
        <f t="shared" si="462"/>
        <v>899.32198257989319</v>
      </c>
      <c r="C34" s="2924">
        <f>SUM(C35:C36)</f>
        <v>899.32198257989319</v>
      </c>
      <c r="D34" s="2924"/>
      <c r="E34" s="2843">
        <f t="shared" si="463"/>
        <v>937.45100000000002</v>
      </c>
      <c r="F34" s="2924">
        <f>SUM(F35:F36)</f>
        <v>937.45100000000002</v>
      </c>
      <c r="G34" s="2924"/>
      <c r="H34" s="2924">
        <f>SUM(H35:H36)</f>
        <v>1239.6410000000001</v>
      </c>
      <c r="I34" s="2924">
        <f>SUM(I35:I36)</f>
        <v>1239.6410000000001</v>
      </c>
      <c r="J34" s="2924"/>
      <c r="K34" s="2843">
        <f t="shared" si="464"/>
        <v>899.32198257989319</v>
      </c>
      <c r="L34" s="2924">
        <f>SUM(L35:L36)</f>
        <v>899.32198257989319</v>
      </c>
      <c r="M34" s="2924"/>
      <c r="N34" s="2843">
        <f t="shared" si="465"/>
        <v>1003.306</v>
      </c>
      <c r="O34" s="2924">
        <f>SUM(O35:O36)</f>
        <v>1003.306</v>
      </c>
      <c r="P34" s="2924"/>
      <c r="Q34" s="2924">
        <f>SUM(Q35:Q36)</f>
        <v>1147.1849999999999</v>
      </c>
      <c r="R34" s="2924">
        <f>SUM(R35:R36)</f>
        <v>1147.1849999999999</v>
      </c>
      <c r="S34" s="2924"/>
      <c r="T34" s="2843">
        <f t="shared" si="466"/>
        <v>899.32198257989319</v>
      </c>
      <c r="U34" s="2924">
        <f>SUM(U35:U36)</f>
        <v>899.32198257989319</v>
      </c>
      <c r="V34" s="2924"/>
      <c r="W34" s="2843">
        <f t="shared" si="467"/>
        <v>1151.3699999999999</v>
      </c>
      <c r="X34" s="2924">
        <f>SUM(X35:X36)</f>
        <v>1151.3699999999999</v>
      </c>
      <c r="Y34" s="2924"/>
      <c r="Z34" s="2924">
        <f>SUM(Z35:Z36)</f>
        <v>1223.9390000000001</v>
      </c>
      <c r="AA34" s="2924">
        <f>SUM(AA35:AA36)</f>
        <v>1223.9390000000001</v>
      </c>
      <c r="AB34" s="2924"/>
      <c r="AC34" s="2926">
        <f t="shared" si="468"/>
        <v>2697.9659477396795</v>
      </c>
      <c r="AD34" s="2926">
        <f t="shared" si="468"/>
        <v>2697.9659477396795</v>
      </c>
      <c r="AE34" s="2926">
        <f t="shared" si="468"/>
        <v>0</v>
      </c>
      <c r="AF34" s="2926">
        <f t="shared" si="468"/>
        <v>3092.127</v>
      </c>
      <c r="AG34" s="2926">
        <f t="shared" si="468"/>
        <v>3092.127</v>
      </c>
      <c r="AH34" s="2926">
        <f t="shared" si="468"/>
        <v>0</v>
      </c>
      <c r="AI34" s="2926">
        <f t="shared" si="468"/>
        <v>3610.7650000000003</v>
      </c>
      <c r="AJ34" s="2926">
        <f t="shared" si="468"/>
        <v>3610.7650000000003</v>
      </c>
      <c r="AK34" s="2926">
        <f t="shared" si="468"/>
        <v>0</v>
      </c>
      <c r="AL34" s="2927">
        <f t="shared" si="469"/>
        <v>394.1610522603205</v>
      </c>
      <c r="AM34" s="2927">
        <f t="shared" si="469"/>
        <v>394.1610522603205</v>
      </c>
      <c r="AN34" s="2927">
        <f t="shared" si="469"/>
        <v>0</v>
      </c>
      <c r="AO34" s="2843">
        <f t="shared" si="470"/>
        <v>899.32198257989319</v>
      </c>
      <c r="AP34" s="2924">
        <f>SUM(AP35:AP36)</f>
        <v>899.32198257989319</v>
      </c>
      <c r="AQ34" s="2924"/>
      <c r="AR34" s="2845">
        <f t="shared" si="471"/>
        <v>951.90499999999997</v>
      </c>
      <c r="AS34" s="2915">
        <f>SUM(AS35:AS36)</f>
        <v>951.90499999999997</v>
      </c>
      <c r="AT34" s="2915"/>
      <c r="AU34" s="2924">
        <f>SUM(AU35:AU36)</f>
        <v>1127.83</v>
      </c>
      <c r="AV34" s="2924">
        <f>SUM(AV35:AV36)</f>
        <v>1127.83</v>
      </c>
      <c r="AW34" s="2924"/>
      <c r="AX34" s="2843">
        <f t="shared" si="472"/>
        <v>899.32198257989319</v>
      </c>
      <c r="AY34" s="2924">
        <f>SUM(AY35:AY36)</f>
        <v>899.32198257989319</v>
      </c>
      <c r="AZ34" s="2924"/>
      <c r="BA34" s="2843">
        <f t="shared" si="473"/>
        <v>846.60799999999995</v>
      </c>
      <c r="BB34" s="2924">
        <f>SUM(BB35:BB36)</f>
        <v>846.60799999999995</v>
      </c>
      <c r="BC34" s="2924"/>
      <c r="BD34" s="2924">
        <f>SUM(BD35:BD36)</f>
        <v>850.96</v>
      </c>
      <c r="BE34" s="2924">
        <f>SUM(BE35:BE36)</f>
        <v>850.96</v>
      </c>
      <c r="BF34" s="2924"/>
      <c r="BG34" s="2843">
        <f t="shared" si="474"/>
        <v>899.32198257989319</v>
      </c>
      <c r="BH34" s="2924">
        <f>SUM(BH35:BH36)</f>
        <v>899.32198257989319</v>
      </c>
      <c r="BI34" s="2924"/>
      <c r="BJ34" s="2843">
        <f t="shared" si="475"/>
        <v>807.721</v>
      </c>
      <c r="BK34" s="2924">
        <f>SUM(BK35:BK36)</f>
        <v>807.721</v>
      </c>
      <c r="BL34" s="2924"/>
      <c r="BM34" s="2924">
        <f>SUM(BM35:BM36)</f>
        <v>1063.92</v>
      </c>
      <c r="BN34" s="2924">
        <f>SUM(BN35:BN36)</f>
        <v>1063.92</v>
      </c>
      <c r="BO34" s="2924"/>
      <c r="BP34" s="2926">
        <f t="shared" si="476"/>
        <v>2697.9659477396795</v>
      </c>
      <c r="BQ34" s="2926">
        <f t="shared" si="476"/>
        <v>2697.9659477396795</v>
      </c>
      <c r="BR34" s="2926">
        <f t="shared" si="476"/>
        <v>0</v>
      </c>
      <c r="BS34" s="2926">
        <f t="shared" si="476"/>
        <v>2606.2339999999999</v>
      </c>
      <c r="BT34" s="2926">
        <f t="shared" si="476"/>
        <v>2606.2339999999999</v>
      </c>
      <c r="BU34" s="2926">
        <f t="shared" si="476"/>
        <v>0</v>
      </c>
      <c r="BV34" s="2926">
        <f t="shared" si="476"/>
        <v>3042.71</v>
      </c>
      <c r="BW34" s="2926">
        <f t="shared" si="476"/>
        <v>3042.71</v>
      </c>
      <c r="BX34" s="2926">
        <f t="shared" si="476"/>
        <v>0</v>
      </c>
      <c r="BY34" s="2927">
        <f t="shared" si="477"/>
        <v>-91.731947739679526</v>
      </c>
      <c r="BZ34" s="2927">
        <f t="shared" si="477"/>
        <v>-91.731947739679526</v>
      </c>
      <c r="CA34" s="2927">
        <f t="shared" si="477"/>
        <v>0</v>
      </c>
      <c r="CB34" s="2926">
        <f t="shared" si="478"/>
        <v>5395.9318954793589</v>
      </c>
      <c r="CC34" s="2926">
        <f t="shared" si="478"/>
        <v>5395.9318954793589</v>
      </c>
      <c r="CD34" s="2926">
        <f t="shared" si="478"/>
        <v>0</v>
      </c>
      <c r="CE34" s="2926">
        <f t="shared" si="478"/>
        <v>5698.3609999999999</v>
      </c>
      <c r="CF34" s="2926">
        <f t="shared" si="478"/>
        <v>5698.3609999999999</v>
      </c>
      <c r="CG34" s="2926">
        <f t="shared" si="478"/>
        <v>0</v>
      </c>
      <c r="CH34" s="2926">
        <f t="shared" si="478"/>
        <v>6653.4750000000004</v>
      </c>
      <c r="CI34" s="2926">
        <f t="shared" si="478"/>
        <v>6653.4750000000004</v>
      </c>
      <c r="CJ34" s="2926">
        <f t="shared" si="478"/>
        <v>0</v>
      </c>
      <c r="CK34" s="2927">
        <f t="shared" si="479"/>
        <v>302.42910452064098</v>
      </c>
      <c r="CL34" s="2927">
        <f t="shared" si="479"/>
        <v>302.42910452064098</v>
      </c>
      <c r="CM34" s="2927">
        <f t="shared" si="479"/>
        <v>0</v>
      </c>
      <c r="CN34" s="2843">
        <f t="shared" si="480"/>
        <v>954.06793492821953</v>
      </c>
      <c r="CO34" s="2924">
        <f>SUM(CO35:CO36)</f>
        <v>954.06793492821953</v>
      </c>
      <c r="CP34" s="2924"/>
      <c r="CQ34" s="2843">
        <f t="shared" si="481"/>
        <v>673.79100000000005</v>
      </c>
      <c r="CR34" s="2924">
        <f>SUM(CR35:CR36)</f>
        <v>673.79100000000005</v>
      </c>
      <c r="CS34" s="2924"/>
      <c r="CT34" s="2924">
        <f>SUM(CT35:CT36)</f>
        <v>720.72</v>
      </c>
      <c r="CU34" s="2924">
        <f>SUM(CU35:CU36)</f>
        <v>720.72</v>
      </c>
      <c r="CV34" s="2924"/>
      <c r="CW34" s="2843">
        <f t="shared" si="482"/>
        <v>954.06793492821953</v>
      </c>
      <c r="CX34" s="2924">
        <f>SUM(CX35:CX36)</f>
        <v>954.06793492821953</v>
      </c>
      <c r="CY34" s="2924"/>
      <c r="CZ34" s="2843">
        <f t="shared" si="483"/>
        <v>810.60799999999995</v>
      </c>
      <c r="DA34" s="2924">
        <f>SUM(DA35:DA36)</f>
        <v>810.60799999999995</v>
      </c>
      <c r="DB34" s="2924"/>
      <c r="DC34" s="2924">
        <f>SUM(DC35:DC36)</f>
        <v>842.25</v>
      </c>
      <c r="DD34" s="2924">
        <f>SUM(DD35:DD36)</f>
        <v>842.25</v>
      </c>
      <c r="DE34" s="2924"/>
      <c r="DF34" s="2843">
        <f t="shared" si="484"/>
        <v>954.06793492821953</v>
      </c>
      <c r="DG34" s="2924">
        <f>SUM(DG35:DG36)</f>
        <v>954.06793492821953</v>
      </c>
      <c r="DH34" s="2924"/>
      <c r="DI34" s="2843">
        <f t="shared" si="485"/>
        <v>1063.0219999999999</v>
      </c>
      <c r="DJ34" s="2924">
        <f>SUM(DJ35:DJ36)</f>
        <v>1063.0219999999999</v>
      </c>
      <c r="DK34" s="2924"/>
      <c r="DL34" s="2924">
        <f>SUM(DL35:DL36)</f>
        <v>1045.1199999999999</v>
      </c>
      <c r="DM34" s="2924">
        <f>SUM(DM35:DM36)</f>
        <v>1045.1199999999999</v>
      </c>
      <c r="DN34" s="2924"/>
      <c r="DO34" s="2926">
        <f t="shared" si="486"/>
        <v>2862.2038047846586</v>
      </c>
      <c r="DP34" s="2926">
        <f t="shared" si="486"/>
        <v>2862.2038047846586</v>
      </c>
      <c r="DQ34" s="2926">
        <f t="shared" si="486"/>
        <v>0</v>
      </c>
      <c r="DR34" s="2926">
        <f t="shared" si="486"/>
        <v>2547.4209999999998</v>
      </c>
      <c r="DS34" s="2926">
        <f t="shared" si="486"/>
        <v>2547.4209999999998</v>
      </c>
      <c r="DT34" s="2926">
        <f t="shared" si="486"/>
        <v>0</v>
      </c>
      <c r="DU34" s="2926">
        <f t="shared" si="486"/>
        <v>2608.09</v>
      </c>
      <c r="DV34" s="2926">
        <f t="shared" si="486"/>
        <v>2608.09</v>
      </c>
      <c r="DW34" s="2926">
        <f t="shared" si="486"/>
        <v>0</v>
      </c>
      <c r="DX34" s="2927">
        <f t="shared" si="487"/>
        <v>-314.78280478465877</v>
      </c>
      <c r="DY34" s="2927">
        <f t="shared" si="487"/>
        <v>-314.78280478465877</v>
      </c>
      <c r="DZ34" s="2927">
        <f t="shared" si="487"/>
        <v>0</v>
      </c>
      <c r="EA34" s="2926">
        <f t="shared" si="488"/>
        <v>8258.1357002640179</v>
      </c>
      <c r="EB34" s="2926">
        <f t="shared" si="488"/>
        <v>8258.1357002640179</v>
      </c>
      <c r="EC34" s="2926">
        <f t="shared" si="488"/>
        <v>0</v>
      </c>
      <c r="ED34" s="2926">
        <f t="shared" si="488"/>
        <v>8245.7819999999992</v>
      </c>
      <c r="EE34" s="2926">
        <f t="shared" si="488"/>
        <v>8245.7819999999992</v>
      </c>
      <c r="EF34" s="2926">
        <f t="shared" si="488"/>
        <v>0</v>
      </c>
      <c r="EG34" s="2926">
        <f t="shared" si="488"/>
        <v>9261.5650000000005</v>
      </c>
      <c r="EH34" s="2926">
        <f t="shared" si="488"/>
        <v>9261.5650000000005</v>
      </c>
      <c r="EI34" s="2926">
        <f t="shared" si="488"/>
        <v>0</v>
      </c>
      <c r="EJ34" s="2927">
        <f t="shared" si="489"/>
        <v>-12.353700264018698</v>
      </c>
      <c r="EK34" s="2927">
        <f t="shared" si="489"/>
        <v>-12.353700264018698</v>
      </c>
      <c r="EL34" s="2927">
        <f t="shared" si="489"/>
        <v>0</v>
      </c>
      <c r="EM34" s="2843">
        <f t="shared" si="490"/>
        <v>954.06793492821953</v>
      </c>
      <c r="EN34" s="2924">
        <f>SUM(EN35:EN36)</f>
        <v>954.06793492821953</v>
      </c>
      <c r="EO34" s="2924"/>
      <c r="EP34" s="2843">
        <f t="shared" si="491"/>
        <v>1024.9939999999999</v>
      </c>
      <c r="EQ34" s="2924">
        <f>SUM(EQ35:EQ36)</f>
        <v>1024.9939999999999</v>
      </c>
      <c r="ER34" s="2924"/>
      <c r="ES34" s="2924">
        <f>SUM(ES35:ES36)</f>
        <v>905.65</v>
      </c>
      <c r="ET34" s="2924">
        <f>SUM(ET35:ET36)</f>
        <v>905.65</v>
      </c>
      <c r="EU34" s="2924"/>
      <c r="EV34" s="2843">
        <f t="shared" si="492"/>
        <v>954.06793492821953</v>
      </c>
      <c r="EW34" s="2924">
        <f>SUM(EW35:EW36)</f>
        <v>954.06793492821953</v>
      </c>
      <c r="EX34" s="2924"/>
      <c r="EY34" s="2843">
        <f t="shared" si="493"/>
        <v>1065.4169999999999</v>
      </c>
      <c r="EZ34" s="2924">
        <f>SUM(EZ35:EZ36)</f>
        <v>1065.4169999999999</v>
      </c>
      <c r="FA34" s="2924"/>
      <c r="FB34" s="2924">
        <f>SUM(FB35:FB36)</f>
        <v>939.62900000000002</v>
      </c>
      <c r="FC34" s="2924">
        <f>SUM(FC35:FC36)</f>
        <v>939.62900000000002</v>
      </c>
      <c r="FD34" s="2924"/>
      <c r="FE34" s="2843">
        <f t="shared" si="494"/>
        <v>954.06793492821953</v>
      </c>
      <c r="FF34" s="2924">
        <f>SUM(FF35:FF36)</f>
        <v>954.06793492821953</v>
      </c>
      <c r="FG34" s="2924"/>
      <c r="FH34" s="2843">
        <f t="shared" si="495"/>
        <v>989.82299999999998</v>
      </c>
      <c r="FI34" s="2924">
        <f>SUM(FI35:FI36)</f>
        <v>989.82299999999998</v>
      </c>
      <c r="FJ34" s="2924"/>
      <c r="FK34" s="2924">
        <f>SUM(FK35:FK36)</f>
        <v>1036.74</v>
      </c>
      <c r="FL34" s="2924">
        <f>SUM(FL35:FL36)</f>
        <v>1036.74</v>
      </c>
      <c r="FM34" s="2924"/>
      <c r="FN34" s="2926">
        <f t="shared" si="496"/>
        <v>2862.2038047846586</v>
      </c>
      <c r="FO34" s="2926">
        <f t="shared" si="496"/>
        <v>2862.2038047846586</v>
      </c>
      <c r="FP34" s="2926">
        <f t="shared" si="496"/>
        <v>0</v>
      </c>
      <c r="FQ34" s="2926">
        <f t="shared" si="496"/>
        <v>3080.2339999999999</v>
      </c>
      <c r="FR34" s="2926">
        <f t="shared" si="496"/>
        <v>3080.2339999999999</v>
      </c>
      <c r="FS34" s="2926">
        <f t="shared" si="496"/>
        <v>0</v>
      </c>
      <c r="FT34" s="2926">
        <f t="shared" si="496"/>
        <v>2882.0190000000002</v>
      </c>
      <c r="FU34" s="2926">
        <f t="shared" si="496"/>
        <v>2882.0190000000002</v>
      </c>
      <c r="FV34" s="2926">
        <f t="shared" si="496"/>
        <v>0</v>
      </c>
      <c r="FW34" s="2927">
        <f t="shared" si="497"/>
        <v>218.03019521534134</v>
      </c>
      <c r="FX34" s="2927">
        <f t="shared" si="497"/>
        <v>218.03019521534134</v>
      </c>
      <c r="FY34" s="2927">
        <f t="shared" si="497"/>
        <v>0</v>
      </c>
      <c r="FZ34" s="2926">
        <f t="shared" si="498"/>
        <v>11120.339505048676</v>
      </c>
      <c r="GA34" s="2926">
        <f t="shared" si="498"/>
        <v>11120.339505048676</v>
      </c>
      <c r="GB34" s="2926">
        <f t="shared" si="499"/>
        <v>0</v>
      </c>
      <c r="GC34" s="2926">
        <f t="shared" si="499"/>
        <v>11326.016</v>
      </c>
      <c r="GD34" s="2926">
        <f t="shared" si="499"/>
        <v>11326.016</v>
      </c>
      <c r="GE34" s="2926">
        <f t="shared" si="499"/>
        <v>0</v>
      </c>
      <c r="GF34" s="2926">
        <f t="shared" si="499"/>
        <v>12143.584000000001</v>
      </c>
      <c r="GG34" s="2926">
        <f t="shared" si="499"/>
        <v>12143.584000000001</v>
      </c>
      <c r="GH34" s="2926">
        <f t="shared" si="499"/>
        <v>0</v>
      </c>
      <c r="GI34" s="2927">
        <f t="shared" si="500"/>
        <v>205.67649495132355</v>
      </c>
      <c r="GJ34" s="2927">
        <f t="shared" si="500"/>
        <v>205.67649495132355</v>
      </c>
      <c r="GK34" s="2927">
        <f t="shared" si="500"/>
        <v>0</v>
      </c>
      <c r="GL34" s="565"/>
      <c r="GM34" s="4188">
        <f t="shared" si="501"/>
        <v>11120.339505048678</v>
      </c>
    </row>
    <row r="35" spans="1:195" ht="18.75" x14ac:dyDescent="0.3">
      <c r="A35" s="2929" t="s">
        <v>639</v>
      </c>
      <c r="B35" s="2854">
        <f t="shared" si="462"/>
        <v>782.65751990863441</v>
      </c>
      <c r="C35" s="2930">
        <f>SUM(C23*C42)</f>
        <v>782.65751990863441</v>
      </c>
      <c r="D35" s="2930"/>
      <c r="E35" s="2854">
        <f t="shared" si="463"/>
        <v>937.45100000000002</v>
      </c>
      <c r="F35" s="2931">
        <v>937.45100000000002</v>
      </c>
      <c r="G35" s="2931"/>
      <c r="H35" s="2876">
        <f t="shared" si="598"/>
        <v>1239.6410000000001</v>
      </c>
      <c r="I35" s="2876">
        <v>1239.6410000000001</v>
      </c>
      <c r="J35" s="2876"/>
      <c r="K35" s="2854">
        <f t="shared" si="464"/>
        <v>782.65751990863441</v>
      </c>
      <c r="L35" s="2930">
        <f>SUM(L23*L42)</f>
        <v>782.65751990863441</v>
      </c>
      <c r="M35" s="2930"/>
      <c r="N35" s="2854">
        <f t="shared" si="465"/>
        <v>1003.306</v>
      </c>
      <c r="O35" s="2931">
        <v>1003.306</v>
      </c>
      <c r="P35" s="2931"/>
      <c r="Q35" s="2876">
        <f t="shared" ref="Q35:Q36" si="610">SUM(R35:S35)</f>
        <v>1147.1849999999999</v>
      </c>
      <c r="R35" s="2876">
        <v>1147.1849999999999</v>
      </c>
      <c r="S35" s="2876"/>
      <c r="T35" s="2854">
        <f t="shared" si="466"/>
        <v>782.65751990863441</v>
      </c>
      <c r="U35" s="2930">
        <f>SUM(U23*U42)</f>
        <v>782.65751990863441</v>
      </c>
      <c r="V35" s="2930"/>
      <c r="W35" s="2854">
        <f t="shared" si="467"/>
        <v>1151.3699999999999</v>
      </c>
      <c r="X35" s="2931">
        <v>1151.3699999999999</v>
      </c>
      <c r="Y35" s="2931"/>
      <c r="Z35" s="2876">
        <f t="shared" ref="Z35:Z36" si="611">SUM(AA35:AB35)</f>
        <v>1223.9390000000001</v>
      </c>
      <c r="AA35" s="2876">
        <v>1223.9390000000001</v>
      </c>
      <c r="AB35" s="2876"/>
      <c r="AC35" s="2932">
        <f t="shared" si="468"/>
        <v>2347.972559725903</v>
      </c>
      <c r="AD35" s="2932">
        <f t="shared" si="468"/>
        <v>2347.972559725903</v>
      </c>
      <c r="AE35" s="2932">
        <f t="shared" si="468"/>
        <v>0</v>
      </c>
      <c r="AF35" s="2932">
        <f>SUM(E35+N35+W35)</f>
        <v>3092.127</v>
      </c>
      <c r="AG35" s="2932">
        <f t="shared" si="468"/>
        <v>3092.127</v>
      </c>
      <c r="AH35" s="2932">
        <f t="shared" si="468"/>
        <v>0</v>
      </c>
      <c r="AI35" s="2932">
        <f t="shared" si="468"/>
        <v>3610.7650000000003</v>
      </c>
      <c r="AJ35" s="2932">
        <f t="shared" si="468"/>
        <v>3610.7650000000003</v>
      </c>
      <c r="AK35" s="2932">
        <f t="shared" si="468"/>
        <v>0</v>
      </c>
      <c r="AL35" s="2933">
        <f t="shared" si="469"/>
        <v>744.15444027409694</v>
      </c>
      <c r="AM35" s="2933">
        <f t="shared" si="469"/>
        <v>744.15444027409694</v>
      </c>
      <c r="AN35" s="2933">
        <f t="shared" si="469"/>
        <v>0</v>
      </c>
      <c r="AO35" s="2854">
        <f t="shared" si="470"/>
        <v>782.65751990863441</v>
      </c>
      <c r="AP35" s="2930">
        <f>SUM(AP23*AP42)</f>
        <v>782.65751990863441</v>
      </c>
      <c r="AQ35" s="2930"/>
      <c r="AR35" s="2853">
        <f t="shared" si="471"/>
        <v>951.90499999999997</v>
      </c>
      <c r="AS35" s="2934">
        <v>951.90499999999997</v>
      </c>
      <c r="AT35" s="2934"/>
      <c r="AU35" s="2876">
        <f t="shared" ref="AU35:AU36" si="612">SUM(AV35:AW35)</f>
        <v>1127.83</v>
      </c>
      <c r="AV35" s="2876">
        <v>1127.83</v>
      </c>
      <c r="AW35" s="2876"/>
      <c r="AX35" s="2854">
        <f t="shared" si="472"/>
        <v>782.65751990863441</v>
      </c>
      <c r="AY35" s="2930">
        <f>SUM(AY23*AY42)</f>
        <v>782.65751990863441</v>
      </c>
      <c r="AZ35" s="2930"/>
      <c r="BA35" s="2854">
        <f t="shared" si="473"/>
        <v>846.60799999999995</v>
      </c>
      <c r="BB35" s="2931">
        <v>846.60799999999995</v>
      </c>
      <c r="BC35" s="2931"/>
      <c r="BD35" s="2876">
        <f t="shared" ref="BD35:BD36" si="613">SUM(BE35:BF35)</f>
        <v>850.96</v>
      </c>
      <c r="BE35" s="2876">
        <v>850.96</v>
      </c>
      <c r="BF35" s="2876"/>
      <c r="BG35" s="2854">
        <f t="shared" si="474"/>
        <v>782.65751990863441</v>
      </c>
      <c r="BH35" s="2930">
        <f>SUM(BH23*BH42)</f>
        <v>782.65751990863441</v>
      </c>
      <c r="BI35" s="2930"/>
      <c r="BJ35" s="2854">
        <f t="shared" si="475"/>
        <v>807.721</v>
      </c>
      <c r="BK35" s="2931">
        <v>807.721</v>
      </c>
      <c r="BL35" s="2931"/>
      <c r="BM35" s="2876">
        <f t="shared" ref="BM35:BM36" si="614">SUM(BN35:BO35)</f>
        <v>1063.92</v>
      </c>
      <c r="BN35" s="2876">
        <v>1063.92</v>
      </c>
      <c r="BO35" s="2876"/>
      <c r="BP35" s="2932">
        <f t="shared" si="476"/>
        <v>2347.972559725903</v>
      </c>
      <c r="BQ35" s="2932">
        <f t="shared" si="476"/>
        <v>2347.972559725903</v>
      </c>
      <c r="BR35" s="2932">
        <f t="shared" si="476"/>
        <v>0</v>
      </c>
      <c r="BS35" s="2932">
        <f t="shared" si="476"/>
        <v>2606.2339999999999</v>
      </c>
      <c r="BT35" s="2932">
        <f t="shared" si="476"/>
        <v>2606.2339999999999</v>
      </c>
      <c r="BU35" s="2932">
        <f t="shared" si="476"/>
        <v>0</v>
      </c>
      <c r="BV35" s="2932">
        <f t="shared" si="476"/>
        <v>3042.71</v>
      </c>
      <c r="BW35" s="2932">
        <f t="shared" si="476"/>
        <v>3042.71</v>
      </c>
      <c r="BX35" s="2932">
        <f t="shared" si="476"/>
        <v>0</v>
      </c>
      <c r="BY35" s="2933">
        <f t="shared" si="477"/>
        <v>258.26144027409691</v>
      </c>
      <c r="BZ35" s="2933">
        <f t="shared" si="477"/>
        <v>258.26144027409691</v>
      </c>
      <c r="CA35" s="2933">
        <f t="shared" si="477"/>
        <v>0</v>
      </c>
      <c r="CB35" s="2932">
        <f t="shared" si="478"/>
        <v>4695.945119451806</v>
      </c>
      <c r="CC35" s="2932">
        <f t="shared" si="478"/>
        <v>4695.945119451806</v>
      </c>
      <c r="CD35" s="2932">
        <f t="shared" si="478"/>
        <v>0</v>
      </c>
      <c r="CE35" s="2932">
        <f t="shared" si="478"/>
        <v>5698.3609999999999</v>
      </c>
      <c r="CF35" s="2932">
        <f t="shared" si="478"/>
        <v>5698.3609999999999</v>
      </c>
      <c r="CG35" s="2932">
        <f t="shared" si="478"/>
        <v>0</v>
      </c>
      <c r="CH35" s="2932">
        <f t="shared" si="478"/>
        <v>6653.4750000000004</v>
      </c>
      <c r="CI35" s="2932">
        <f t="shared" si="478"/>
        <v>6653.4750000000004</v>
      </c>
      <c r="CJ35" s="2932">
        <f t="shared" si="478"/>
        <v>0</v>
      </c>
      <c r="CK35" s="2933">
        <f t="shared" si="479"/>
        <v>1002.4158805481939</v>
      </c>
      <c r="CL35" s="2933">
        <f t="shared" si="479"/>
        <v>1002.4158805481939</v>
      </c>
      <c r="CM35" s="2933">
        <f t="shared" si="479"/>
        <v>0</v>
      </c>
      <c r="CN35" s="2854">
        <f t="shared" si="480"/>
        <v>830.3015585510135</v>
      </c>
      <c r="CO35" s="2930">
        <f>SUM(CO23*CO42)</f>
        <v>830.3015585510135</v>
      </c>
      <c r="CP35" s="2930"/>
      <c r="CQ35" s="2854">
        <f t="shared" si="481"/>
        <v>673.79100000000005</v>
      </c>
      <c r="CR35" s="2931">
        <v>673.79100000000005</v>
      </c>
      <c r="CS35" s="2931"/>
      <c r="CT35" s="2876">
        <f t="shared" ref="CT35:CT36" si="615">SUM(CU35:CV35)</f>
        <v>720.72</v>
      </c>
      <c r="CU35" s="2876">
        <v>720.72</v>
      </c>
      <c r="CV35" s="2876"/>
      <c r="CW35" s="2854">
        <f t="shared" si="482"/>
        <v>830.3015585510135</v>
      </c>
      <c r="CX35" s="2930">
        <f>SUM(CX23*CX42)</f>
        <v>830.3015585510135</v>
      </c>
      <c r="CY35" s="2930"/>
      <c r="CZ35" s="2854">
        <f t="shared" si="483"/>
        <v>810.60799999999995</v>
      </c>
      <c r="DA35" s="2931">
        <v>810.60799999999995</v>
      </c>
      <c r="DB35" s="2931"/>
      <c r="DC35" s="2876">
        <f t="shared" ref="DC35:DC36" si="616">SUM(DD35:DE35)</f>
        <v>842.25</v>
      </c>
      <c r="DD35" s="2876">
        <v>842.25</v>
      </c>
      <c r="DE35" s="2876"/>
      <c r="DF35" s="2854">
        <f t="shared" si="484"/>
        <v>830.3015585510135</v>
      </c>
      <c r="DG35" s="2930">
        <f>SUM(DG23*DG42)</f>
        <v>830.3015585510135</v>
      </c>
      <c r="DH35" s="2930"/>
      <c r="DI35" s="2854">
        <f t="shared" si="485"/>
        <v>1063.0219999999999</v>
      </c>
      <c r="DJ35" s="2931">
        <v>1063.0219999999999</v>
      </c>
      <c r="DK35" s="2931"/>
      <c r="DL35" s="2876">
        <f t="shared" ref="DL35:DL36" si="617">SUM(DM35:DN35)</f>
        <v>1045.1199999999999</v>
      </c>
      <c r="DM35" s="2876">
        <v>1045.1199999999999</v>
      </c>
      <c r="DN35" s="2876"/>
      <c r="DO35" s="2932">
        <f t="shared" si="486"/>
        <v>2490.9046756530406</v>
      </c>
      <c r="DP35" s="2932">
        <f t="shared" si="486"/>
        <v>2490.9046756530406</v>
      </c>
      <c r="DQ35" s="2932">
        <f t="shared" si="486"/>
        <v>0</v>
      </c>
      <c r="DR35" s="2932">
        <f t="shared" si="486"/>
        <v>2547.4209999999998</v>
      </c>
      <c r="DS35" s="2932">
        <f t="shared" si="486"/>
        <v>2547.4209999999998</v>
      </c>
      <c r="DT35" s="2932">
        <f t="shared" si="486"/>
        <v>0</v>
      </c>
      <c r="DU35" s="2932">
        <f t="shared" si="486"/>
        <v>2608.09</v>
      </c>
      <c r="DV35" s="2932">
        <f t="shared" si="486"/>
        <v>2608.09</v>
      </c>
      <c r="DW35" s="2932">
        <f t="shared" si="486"/>
        <v>0</v>
      </c>
      <c r="DX35" s="2933">
        <f t="shared" si="487"/>
        <v>56.516324346959209</v>
      </c>
      <c r="DY35" s="2933">
        <f t="shared" si="487"/>
        <v>56.516324346959209</v>
      </c>
      <c r="DZ35" s="2933">
        <f t="shared" si="487"/>
        <v>0</v>
      </c>
      <c r="EA35" s="2932">
        <f t="shared" si="488"/>
        <v>7186.8497951048466</v>
      </c>
      <c r="EB35" s="2932">
        <f t="shared" si="488"/>
        <v>7186.8497951048466</v>
      </c>
      <c r="EC35" s="2932">
        <f t="shared" si="488"/>
        <v>0</v>
      </c>
      <c r="ED35" s="2932">
        <f t="shared" si="488"/>
        <v>8245.7819999999992</v>
      </c>
      <c r="EE35" s="2932">
        <f t="shared" si="488"/>
        <v>8245.7819999999992</v>
      </c>
      <c r="EF35" s="2932">
        <f t="shared" si="488"/>
        <v>0</v>
      </c>
      <c r="EG35" s="2932">
        <f t="shared" si="488"/>
        <v>9261.5650000000005</v>
      </c>
      <c r="EH35" s="2932">
        <f t="shared" si="488"/>
        <v>9261.5650000000005</v>
      </c>
      <c r="EI35" s="2932">
        <f t="shared" si="488"/>
        <v>0</v>
      </c>
      <c r="EJ35" s="2933">
        <f t="shared" si="489"/>
        <v>1058.9322048951526</v>
      </c>
      <c r="EK35" s="2933">
        <f t="shared" si="489"/>
        <v>1058.9322048951526</v>
      </c>
      <c r="EL35" s="2933">
        <f t="shared" si="489"/>
        <v>0</v>
      </c>
      <c r="EM35" s="2854">
        <f t="shared" si="490"/>
        <v>830.3015585510135</v>
      </c>
      <c r="EN35" s="2930">
        <f>SUM(EN23*EN42)</f>
        <v>830.3015585510135</v>
      </c>
      <c r="EO35" s="2930"/>
      <c r="EP35" s="2854">
        <f t="shared" si="491"/>
        <v>1024.9939999999999</v>
      </c>
      <c r="EQ35" s="2931">
        <v>1024.9939999999999</v>
      </c>
      <c r="ER35" s="2931"/>
      <c r="ES35" s="2876">
        <f t="shared" ref="ES35:ES36" si="618">SUM(ET35:EU35)</f>
        <v>905.65</v>
      </c>
      <c r="ET35" s="2876">
        <v>905.65</v>
      </c>
      <c r="EU35" s="2876"/>
      <c r="EV35" s="2854">
        <f t="shared" si="492"/>
        <v>830.3015585510135</v>
      </c>
      <c r="EW35" s="2930">
        <f>SUM(EW23*EW42)</f>
        <v>830.3015585510135</v>
      </c>
      <c r="EX35" s="2930"/>
      <c r="EY35" s="2854">
        <f t="shared" si="493"/>
        <v>1065.4169999999999</v>
      </c>
      <c r="EZ35" s="2931">
        <v>1065.4169999999999</v>
      </c>
      <c r="FA35" s="2931"/>
      <c r="FB35" s="2876">
        <f t="shared" ref="FB35:FB36" si="619">SUM(FC35:FD35)</f>
        <v>939.62900000000002</v>
      </c>
      <c r="FC35" s="2876">
        <v>939.62900000000002</v>
      </c>
      <c r="FD35" s="2876"/>
      <c r="FE35" s="2854">
        <f t="shared" si="494"/>
        <v>830.3015585510135</v>
      </c>
      <c r="FF35" s="2930">
        <f>SUM(FF23*FF42)</f>
        <v>830.3015585510135</v>
      </c>
      <c r="FG35" s="2930"/>
      <c r="FH35" s="2854">
        <f t="shared" si="495"/>
        <v>989.82299999999998</v>
      </c>
      <c r="FI35" s="2931">
        <v>989.82299999999998</v>
      </c>
      <c r="FJ35" s="2931"/>
      <c r="FK35" s="2876">
        <f t="shared" ref="FK35:FK36" si="620">SUM(FL35:FM35)</f>
        <v>1036.74</v>
      </c>
      <c r="FL35" s="2876">
        <v>1036.74</v>
      </c>
      <c r="FM35" s="2876"/>
      <c r="FN35" s="2932">
        <f t="shared" si="496"/>
        <v>2490.9046756530406</v>
      </c>
      <c r="FO35" s="2932">
        <f t="shared" si="496"/>
        <v>2490.9046756530406</v>
      </c>
      <c r="FP35" s="2932">
        <f t="shared" si="496"/>
        <v>0</v>
      </c>
      <c r="FQ35" s="2932">
        <f t="shared" si="496"/>
        <v>3080.2339999999999</v>
      </c>
      <c r="FR35" s="2932">
        <f t="shared" si="496"/>
        <v>3080.2339999999999</v>
      </c>
      <c r="FS35" s="2932">
        <f t="shared" si="496"/>
        <v>0</v>
      </c>
      <c r="FT35" s="2932">
        <f t="shared" si="496"/>
        <v>2882.0190000000002</v>
      </c>
      <c r="FU35" s="2932">
        <f t="shared" si="496"/>
        <v>2882.0190000000002</v>
      </c>
      <c r="FV35" s="2932">
        <f t="shared" si="496"/>
        <v>0</v>
      </c>
      <c r="FW35" s="2933">
        <f t="shared" si="497"/>
        <v>589.32932434695931</v>
      </c>
      <c r="FX35" s="2933">
        <f t="shared" si="497"/>
        <v>589.32932434695931</v>
      </c>
      <c r="FY35" s="2933">
        <f t="shared" si="497"/>
        <v>0</v>
      </c>
      <c r="FZ35" s="2932">
        <f t="shared" si="498"/>
        <v>9677.7544707578872</v>
      </c>
      <c r="GA35" s="2932">
        <f t="shared" si="498"/>
        <v>9677.7544707578872</v>
      </c>
      <c r="GB35" s="2932">
        <f t="shared" si="499"/>
        <v>0</v>
      </c>
      <c r="GC35" s="2932">
        <f t="shared" si="499"/>
        <v>11326.016</v>
      </c>
      <c r="GD35" s="2932">
        <f t="shared" si="499"/>
        <v>11326.016</v>
      </c>
      <c r="GE35" s="2932">
        <f t="shared" si="499"/>
        <v>0</v>
      </c>
      <c r="GF35" s="2932">
        <f t="shared" si="499"/>
        <v>12143.584000000001</v>
      </c>
      <c r="GG35" s="2932">
        <f t="shared" si="499"/>
        <v>12143.584000000001</v>
      </c>
      <c r="GH35" s="2932">
        <f t="shared" si="499"/>
        <v>0</v>
      </c>
      <c r="GI35" s="2933">
        <f t="shared" si="500"/>
        <v>1648.2615292421124</v>
      </c>
      <c r="GJ35" s="2933">
        <f t="shared" si="500"/>
        <v>1648.2615292421124</v>
      </c>
      <c r="GK35" s="2933">
        <f t="shared" si="500"/>
        <v>0</v>
      </c>
      <c r="GL35" s="565"/>
      <c r="GM35" s="4188">
        <f t="shared" si="501"/>
        <v>9677.7544707578891</v>
      </c>
    </row>
    <row r="36" spans="1:195" ht="18.75" x14ac:dyDescent="0.3">
      <c r="A36" s="2929" t="s">
        <v>640</v>
      </c>
      <c r="B36" s="2854">
        <f t="shared" si="462"/>
        <v>116.66446267125876</v>
      </c>
      <c r="C36" s="2930">
        <f>SUM(C24*C42)</f>
        <v>116.66446267125876</v>
      </c>
      <c r="D36" s="2930"/>
      <c r="E36" s="2854">
        <f t="shared" si="463"/>
        <v>0</v>
      </c>
      <c r="F36" s="2931"/>
      <c r="G36" s="2931"/>
      <c r="H36" s="2876">
        <f t="shared" si="598"/>
        <v>0</v>
      </c>
      <c r="I36" s="2876">
        <v>0</v>
      </c>
      <c r="J36" s="2876"/>
      <c r="K36" s="2854">
        <f t="shared" si="464"/>
        <v>116.66446267125876</v>
      </c>
      <c r="L36" s="2930">
        <f>SUM(L24*L42)</f>
        <v>116.66446267125876</v>
      </c>
      <c r="M36" s="2930"/>
      <c r="N36" s="2854">
        <f t="shared" si="465"/>
        <v>0</v>
      </c>
      <c r="O36" s="2931"/>
      <c r="P36" s="2931"/>
      <c r="Q36" s="2876">
        <f t="shared" si="610"/>
        <v>0</v>
      </c>
      <c r="R36" s="2876">
        <v>0</v>
      </c>
      <c r="S36" s="2876"/>
      <c r="T36" s="2854">
        <f t="shared" si="466"/>
        <v>116.66446267125876</v>
      </c>
      <c r="U36" s="2930">
        <f>SUM(U24*U42)</f>
        <v>116.66446267125876</v>
      </c>
      <c r="V36" s="2930"/>
      <c r="W36" s="2854">
        <f t="shared" si="467"/>
        <v>0</v>
      </c>
      <c r="X36" s="2931"/>
      <c r="Y36" s="2931"/>
      <c r="Z36" s="2876">
        <f t="shared" si="611"/>
        <v>0</v>
      </c>
      <c r="AA36" s="2876">
        <v>0</v>
      </c>
      <c r="AB36" s="2876"/>
      <c r="AC36" s="2932">
        <f t="shared" si="468"/>
        <v>349.99338801377627</v>
      </c>
      <c r="AD36" s="2932">
        <f t="shared" si="468"/>
        <v>349.99338801377627</v>
      </c>
      <c r="AE36" s="2932">
        <f t="shared" si="468"/>
        <v>0</v>
      </c>
      <c r="AF36" s="2932">
        <f t="shared" si="468"/>
        <v>0</v>
      </c>
      <c r="AG36" s="2932">
        <f t="shared" si="468"/>
        <v>0</v>
      </c>
      <c r="AH36" s="2932">
        <f t="shared" si="468"/>
        <v>0</v>
      </c>
      <c r="AI36" s="2932">
        <f t="shared" si="468"/>
        <v>0</v>
      </c>
      <c r="AJ36" s="2932">
        <f t="shared" si="468"/>
        <v>0</v>
      </c>
      <c r="AK36" s="2932">
        <f t="shared" si="468"/>
        <v>0</v>
      </c>
      <c r="AL36" s="2933">
        <f t="shared" si="469"/>
        <v>-349.99338801377627</v>
      </c>
      <c r="AM36" s="2933">
        <f t="shared" si="469"/>
        <v>-349.99338801377627</v>
      </c>
      <c r="AN36" s="2933">
        <f t="shared" si="469"/>
        <v>0</v>
      </c>
      <c r="AO36" s="2854">
        <f t="shared" si="470"/>
        <v>116.66446267125876</v>
      </c>
      <c r="AP36" s="2930">
        <f>SUM(AP24*AP42)</f>
        <v>116.66446267125876</v>
      </c>
      <c r="AQ36" s="2930"/>
      <c r="AR36" s="2853">
        <f t="shared" si="471"/>
        <v>0</v>
      </c>
      <c r="AS36" s="2934"/>
      <c r="AT36" s="2934"/>
      <c r="AU36" s="2876">
        <f t="shared" si="612"/>
        <v>0</v>
      </c>
      <c r="AV36" s="2876">
        <v>0</v>
      </c>
      <c r="AW36" s="2876"/>
      <c r="AX36" s="2854">
        <f t="shared" si="472"/>
        <v>116.66446267125876</v>
      </c>
      <c r="AY36" s="2930">
        <f>SUM(AY24*AY42)</f>
        <v>116.66446267125876</v>
      </c>
      <c r="AZ36" s="2930"/>
      <c r="BA36" s="2854">
        <f t="shared" si="473"/>
        <v>0</v>
      </c>
      <c r="BB36" s="2931"/>
      <c r="BC36" s="2931"/>
      <c r="BD36" s="2876">
        <f t="shared" si="613"/>
        <v>0</v>
      </c>
      <c r="BE36" s="2876">
        <v>0</v>
      </c>
      <c r="BF36" s="2876"/>
      <c r="BG36" s="2854">
        <f t="shared" si="474"/>
        <v>116.66446267125876</v>
      </c>
      <c r="BH36" s="2930">
        <f>SUM(BH24*BH42)</f>
        <v>116.66446267125876</v>
      </c>
      <c r="BI36" s="2930"/>
      <c r="BJ36" s="2854">
        <f t="shared" si="475"/>
        <v>0</v>
      </c>
      <c r="BK36" s="2931">
        <v>0</v>
      </c>
      <c r="BL36" s="2931"/>
      <c r="BM36" s="2876">
        <f t="shared" si="614"/>
        <v>0</v>
      </c>
      <c r="BN36" s="2876">
        <v>0</v>
      </c>
      <c r="BO36" s="2876"/>
      <c r="BP36" s="2932">
        <f t="shared" si="476"/>
        <v>349.99338801377627</v>
      </c>
      <c r="BQ36" s="2932">
        <f t="shared" si="476"/>
        <v>349.99338801377627</v>
      </c>
      <c r="BR36" s="2932">
        <f t="shared" si="476"/>
        <v>0</v>
      </c>
      <c r="BS36" s="2932">
        <f t="shared" si="476"/>
        <v>0</v>
      </c>
      <c r="BT36" s="2932">
        <f t="shared" si="476"/>
        <v>0</v>
      </c>
      <c r="BU36" s="2932">
        <f t="shared" si="476"/>
        <v>0</v>
      </c>
      <c r="BV36" s="2932">
        <f t="shared" si="476"/>
        <v>0</v>
      </c>
      <c r="BW36" s="2932">
        <f t="shared" si="476"/>
        <v>0</v>
      </c>
      <c r="BX36" s="2932">
        <f t="shared" si="476"/>
        <v>0</v>
      </c>
      <c r="BY36" s="2933">
        <f t="shared" si="477"/>
        <v>-349.99338801377627</v>
      </c>
      <c r="BZ36" s="2933">
        <f t="shared" si="477"/>
        <v>-349.99338801377627</v>
      </c>
      <c r="CA36" s="2933">
        <f t="shared" si="477"/>
        <v>0</v>
      </c>
      <c r="CB36" s="2932">
        <f t="shared" si="478"/>
        <v>699.98677602755254</v>
      </c>
      <c r="CC36" s="2932">
        <f t="shared" si="478"/>
        <v>699.98677602755254</v>
      </c>
      <c r="CD36" s="2932">
        <f t="shared" si="478"/>
        <v>0</v>
      </c>
      <c r="CE36" s="2932">
        <f t="shared" si="478"/>
        <v>0</v>
      </c>
      <c r="CF36" s="2932">
        <f t="shared" si="478"/>
        <v>0</v>
      </c>
      <c r="CG36" s="2932">
        <f t="shared" si="478"/>
        <v>0</v>
      </c>
      <c r="CH36" s="2932">
        <f t="shared" si="478"/>
        <v>0</v>
      </c>
      <c r="CI36" s="2932">
        <f t="shared" si="478"/>
        <v>0</v>
      </c>
      <c r="CJ36" s="2932">
        <f t="shared" si="478"/>
        <v>0</v>
      </c>
      <c r="CK36" s="2933">
        <f t="shared" si="479"/>
        <v>-699.98677602755254</v>
      </c>
      <c r="CL36" s="2933">
        <f t="shared" si="479"/>
        <v>-699.98677602755254</v>
      </c>
      <c r="CM36" s="2933">
        <f t="shared" si="479"/>
        <v>0</v>
      </c>
      <c r="CN36" s="2854">
        <f t="shared" si="480"/>
        <v>123.76637637720604</v>
      </c>
      <c r="CO36" s="2930">
        <f>SUM(CO24*CO42)</f>
        <v>123.76637637720604</v>
      </c>
      <c r="CP36" s="2930"/>
      <c r="CQ36" s="2854">
        <f t="shared" si="481"/>
        <v>0</v>
      </c>
      <c r="CR36" s="2931">
        <v>0</v>
      </c>
      <c r="CS36" s="2931"/>
      <c r="CT36" s="2876">
        <f t="shared" si="615"/>
        <v>0</v>
      </c>
      <c r="CU36" s="2876">
        <v>0</v>
      </c>
      <c r="CV36" s="2876"/>
      <c r="CW36" s="2854">
        <f t="shared" si="482"/>
        <v>123.76637637720604</v>
      </c>
      <c r="CX36" s="2930">
        <f>SUM(CX24*CX42)</f>
        <v>123.76637637720604</v>
      </c>
      <c r="CY36" s="2930"/>
      <c r="CZ36" s="2854">
        <f t="shared" si="483"/>
        <v>0</v>
      </c>
      <c r="DA36" s="2931">
        <v>0</v>
      </c>
      <c r="DB36" s="2931"/>
      <c r="DC36" s="2876">
        <f t="shared" si="616"/>
        <v>0</v>
      </c>
      <c r="DD36" s="2876">
        <v>0</v>
      </c>
      <c r="DE36" s="2876"/>
      <c r="DF36" s="2854">
        <f t="shared" si="484"/>
        <v>123.76637637720604</v>
      </c>
      <c r="DG36" s="2930">
        <f>SUM(DG24*DG42)</f>
        <v>123.76637637720604</v>
      </c>
      <c r="DH36" s="2930"/>
      <c r="DI36" s="2854">
        <f t="shared" si="485"/>
        <v>0</v>
      </c>
      <c r="DJ36" s="2931">
        <v>0</v>
      </c>
      <c r="DK36" s="2931"/>
      <c r="DL36" s="2876">
        <f t="shared" si="617"/>
        <v>0</v>
      </c>
      <c r="DM36" s="2876">
        <v>0</v>
      </c>
      <c r="DN36" s="2876"/>
      <c r="DO36" s="2932">
        <f t="shared" si="486"/>
        <v>371.29912913161814</v>
      </c>
      <c r="DP36" s="2932">
        <f t="shared" si="486"/>
        <v>371.29912913161814</v>
      </c>
      <c r="DQ36" s="2932">
        <f t="shared" si="486"/>
        <v>0</v>
      </c>
      <c r="DR36" s="2932">
        <f t="shared" si="486"/>
        <v>0</v>
      </c>
      <c r="DS36" s="2932">
        <f t="shared" si="486"/>
        <v>0</v>
      </c>
      <c r="DT36" s="2932">
        <f t="shared" si="486"/>
        <v>0</v>
      </c>
      <c r="DU36" s="2932">
        <f t="shared" si="486"/>
        <v>0</v>
      </c>
      <c r="DV36" s="2932">
        <f t="shared" si="486"/>
        <v>0</v>
      </c>
      <c r="DW36" s="2932">
        <f t="shared" si="486"/>
        <v>0</v>
      </c>
      <c r="DX36" s="2933">
        <f t="shared" si="487"/>
        <v>-371.29912913161814</v>
      </c>
      <c r="DY36" s="2933">
        <f t="shared" si="487"/>
        <v>-371.29912913161814</v>
      </c>
      <c r="DZ36" s="2933">
        <f t="shared" si="487"/>
        <v>0</v>
      </c>
      <c r="EA36" s="2932">
        <f t="shared" si="488"/>
        <v>1071.2859051591706</v>
      </c>
      <c r="EB36" s="2932">
        <f t="shared" si="488"/>
        <v>1071.2859051591706</v>
      </c>
      <c r="EC36" s="2932">
        <f t="shared" si="488"/>
        <v>0</v>
      </c>
      <c r="ED36" s="2932">
        <f t="shared" si="488"/>
        <v>0</v>
      </c>
      <c r="EE36" s="2932">
        <f t="shared" si="488"/>
        <v>0</v>
      </c>
      <c r="EF36" s="2932">
        <f t="shared" si="488"/>
        <v>0</v>
      </c>
      <c r="EG36" s="2932">
        <f t="shared" si="488"/>
        <v>0</v>
      </c>
      <c r="EH36" s="2932">
        <f t="shared" si="488"/>
        <v>0</v>
      </c>
      <c r="EI36" s="2932">
        <f t="shared" si="488"/>
        <v>0</v>
      </c>
      <c r="EJ36" s="2933">
        <f t="shared" si="489"/>
        <v>-1071.2859051591706</v>
      </c>
      <c r="EK36" s="2933">
        <f t="shared" si="489"/>
        <v>-1071.2859051591706</v>
      </c>
      <c r="EL36" s="2933">
        <f t="shared" si="489"/>
        <v>0</v>
      </c>
      <c r="EM36" s="2854">
        <f t="shared" si="490"/>
        <v>123.76637637720604</v>
      </c>
      <c r="EN36" s="2930">
        <f>SUM(EN24*EN42)</f>
        <v>123.76637637720604</v>
      </c>
      <c r="EO36" s="2930"/>
      <c r="EP36" s="2854">
        <f t="shared" si="491"/>
        <v>0</v>
      </c>
      <c r="EQ36" s="2931">
        <v>0</v>
      </c>
      <c r="ER36" s="2931"/>
      <c r="ES36" s="2876">
        <f t="shared" si="618"/>
        <v>0</v>
      </c>
      <c r="ET36" s="2876">
        <v>0</v>
      </c>
      <c r="EU36" s="2876"/>
      <c r="EV36" s="2854">
        <f t="shared" si="492"/>
        <v>123.76637637720604</v>
      </c>
      <c r="EW36" s="2930">
        <f>SUM(EW24*EW42)</f>
        <v>123.76637637720604</v>
      </c>
      <c r="EX36" s="2930"/>
      <c r="EY36" s="2854">
        <f t="shared" si="493"/>
        <v>0</v>
      </c>
      <c r="EZ36" s="2931">
        <v>0</v>
      </c>
      <c r="FA36" s="2931"/>
      <c r="FB36" s="2876">
        <f t="shared" si="619"/>
        <v>0</v>
      </c>
      <c r="FC36" s="2876">
        <v>0</v>
      </c>
      <c r="FD36" s="2876"/>
      <c r="FE36" s="2854">
        <f t="shared" si="494"/>
        <v>123.76637637720604</v>
      </c>
      <c r="FF36" s="2930">
        <f>SUM(FF24*FF42)</f>
        <v>123.76637637720604</v>
      </c>
      <c r="FG36" s="2930"/>
      <c r="FH36" s="2854">
        <f t="shared" si="495"/>
        <v>0</v>
      </c>
      <c r="FI36" s="2931">
        <v>0</v>
      </c>
      <c r="FJ36" s="2931"/>
      <c r="FK36" s="2876">
        <f t="shared" si="620"/>
        <v>0</v>
      </c>
      <c r="FL36" s="2876">
        <v>0</v>
      </c>
      <c r="FM36" s="2876"/>
      <c r="FN36" s="2932">
        <f t="shared" si="496"/>
        <v>371.29912913161814</v>
      </c>
      <c r="FO36" s="2932">
        <f t="shared" si="496"/>
        <v>371.29912913161814</v>
      </c>
      <c r="FP36" s="2932">
        <f t="shared" si="496"/>
        <v>0</v>
      </c>
      <c r="FQ36" s="2932">
        <f t="shared" si="496"/>
        <v>0</v>
      </c>
      <c r="FR36" s="2932">
        <f t="shared" si="496"/>
        <v>0</v>
      </c>
      <c r="FS36" s="2932">
        <f t="shared" si="496"/>
        <v>0</v>
      </c>
      <c r="FT36" s="2932">
        <f t="shared" si="496"/>
        <v>0</v>
      </c>
      <c r="FU36" s="2932">
        <f t="shared" si="496"/>
        <v>0</v>
      </c>
      <c r="FV36" s="2932">
        <f t="shared" si="496"/>
        <v>0</v>
      </c>
      <c r="FW36" s="2933">
        <f t="shared" si="497"/>
        <v>-371.29912913161814</v>
      </c>
      <c r="FX36" s="2933">
        <f t="shared" si="497"/>
        <v>-371.29912913161814</v>
      </c>
      <c r="FY36" s="2933">
        <f t="shared" si="497"/>
        <v>0</v>
      </c>
      <c r="FZ36" s="2932">
        <f t="shared" si="498"/>
        <v>1442.5850342907888</v>
      </c>
      <c r="GA36" s="2932">
        <f t="shared" si="498"/>
        <v>1442.5850342907888</v>
      </c>
      <c r="GB36" s="2932">
        <f t="shared" si="499"/>
        <v>0</v>
      </c>
      <c r="GC36" s="2932">
        <f t="shared" si="499"/>
        <v>0</v>
      </c>
      <c r="GD36" s="2932">
        <f t="shared" si="499"/>
        <v>0</v>
      </c>
      <c r="GE36" s="2932">
        <f t="shared" si="499"/>
        <v>0</v>
      </c>
      <c r="GF36" s="2932">
        <f t="shared" si="499"/>
        <v>0</v>
      </c>
      <c r="GG36" s="2932">
        <f t="shared" si="499"/>
        <v>0</v>
      </c>
      <c r="GH36" s="2932">
        <f t="shared" si="499"/>
        <v>0</v>
      </c>
      <c r="GI36" s="2933">
        <f t="shared" si="500"/>
        <v>-1442.5850342907888</v>
      </c>
      <c r="GJ36" s="2933">
        <f t="shared" si="500"/>
        <v>-1442.5850342907888</v>
      </c>
      <c r="GK36" s="2933">
        <f t="shared" si="500"/>
        <v>0</v>
      </c>
      <c r="GL36" s="565"/>
      <c r="GM36" s="4191">
        <f t="shared" si="501"/>
        <v>1442.5850342907891</v>
      </c>
    </row>
    <row r="37" spans="1:195" ht="18.75" x14ac:dyDescent="0.3">
      <c r="A37" s="2935" t="s">
        <v>3782</v>
      </c>
      <c r="B37" s="2836">
        <f t="shared" si="462"/>
        <v>11569.219221636968</v>
      </c>
      <c r="C37" s="2936">
        <f>SUM(C29:C34)</f>
        <v>11566.67635265723</v>
      </c>
      <c r="D37" s="2936">
        <f>SUM(D29:D34)</f>
        <v>2.5428689797365074</v>
      </c>
      <c r="E37" s="2836">
        <f t="shared" si="463"/>
        <v>12028.731443999999</v>
      </c>
      <c r="F37" s="2936">
        <f>SUM(F29:F34)</f>
        <v>12027.869444</v>
      </c>
      <c r="G37" s="2936">
        <f>SUM(G29:G34)</f>
        <v>0.86199999999999999</v>
      </c>
      <c r="H37" s="2836">
        <f t="shared" ref="H37" si="621">SUM(I37:J37)</f>
        <v>11593.035</v>
      </c>
      <c r="I37" s="2936">
        <f>SUM(I29:I34)</f>
        <v>11591.514999999999</v>
      </c>
      <c r="J37" s="2936">
        <f>SUM(J29:J34)</f>
        <v>1.52</v>
      </c>
      <c r="K37" s="2836">
        <f t="shared" si="464"/>
        <v>11569.219221636968</v>
      </c>
      <c r="L37" s="2936">
        <f>SUM(L29:L34)</f>
        <v>11566.67635265723</v>
      </c>
      <c r="M37" s="2936">
        <f>SUM(M29:M34)</f>
        <v>2.5428689797365074</v>
      </c>
      <c r="N37" s="2836">
        <f t="shared" si="465"/>
        <v>12167.62484</v>
      </c>
      <c r="O37" s="2936">
        <f>SUM(O29:O34)</f>
        <v>12167.349</v>
      </c>
      <c r="P37" s="2936">
        <f>SUM(P29:P34)</f>
        <v>0.27583999999999997</v>
      </c>
      <c r="Q37" s="2836">
        <f t="shared" ref="Q37" si="622">SUM(R37:S37)</f>
        <v>11690.231679999999</v>
      </c>
      <c r="R37" s="2936">
        <f>SUM(R29:R34)</f>
        <v>11688.817999999999</v>
      </c>
      <c r="S37" s="2936">
        <f>SUM(S29:S34)</f>
        <v>1.41368</v>
      </c>
      <c r="T37" s="2836">
        <f t="shared" si="466"/>
        <v>11569.219221636968</v>
      </c>
      <c r="U37" s="2936">
        <f>SUM(U29:U34)</f>
        <v>11566.67635265723</v>
      </c>
      <c r="V37" s="2936">
        <f>SUM(V29:V34)</f>
        <v>2.5428689797365074</v>
      </c>
      <c r="W37" s="2836">
        <f t="shared" si="467"/>
        <v>11697.45</v>
      </c>
      <c r="X37" s="2936">
        <f>SUM(X29:X34)</f>
        <v>11697.071</v>
      </c>
      <c r="Y37" s="2936">
        <f>SUM(Y29:Y34)</f>
        <v>0.379</v>
      </c>
      <c r="Z37" s="2836">
        <f t="shared" ref="Z37" si="623">SUM(AA37:AB37)</f>
        <v>11100.063199999999</v>
      </c>
      <c r="AA37" s="2936">
        <f>SUM(AA29:AA34)</f>
        <v>11098.683999999999</v>
      </c>
      <c r="AB37" s="2936">
        <f>SUM(AB29:AB34)</f>
        <v>1.3792</v>
      </c>
      <c r="AC37" s="2937">
        <f t="shared" si="468"/>
        <v>34707.657664910905</v>
      </c>
      <c r="AD37" s="2937">
        <f t="shared" si="468"/>
        <v>34700.029057971689</v>
      </c>
      <c r="AE37" s="2937">
        <f t="shared" si="468"/>
        <v>7.6286069392095222</v>
      </c>
      <c r="AF37" s="2937">
        <f t="shared" si="468"/>
        <v>35893.806284000006</v>
      </c>
      <c r="AG37" s="2937">
        <f t="shared" si="468"/>
        <v>35892.289443999995</v>
      </c>
      <c r="AH37" s="2937">
        <f t="shared" si="468"/>
        <v>1.51684</v>
      </c>
      <c r="AI37" s="2937">
        <f t="shared" si="468"/>
        <v>34383.329879999998</v>
      </c>
      <c r="AJ37" s="2937">
        <f t="shared" si="468"/>
        <v>34379.017</v>
      </c>
      <c r="AK37" s="2937">
        <f t="shared" si="468"/>
        <v>4.3128799999999998</v>
      </c>
      <c r="AL37" s="2938">
        <f t="shared" si="469"/>
        <v>1186.148619089101</v>
      </c>
      <c r="AM37" s="2938">
        <f t="shared" si="469"/>
        <v>1192.2603860283052</v>
      </c>
      <c r="AN37" s="2938">
        <f t="shared" si="469"/>
        <v>-6.111766939209522</v>
      </c>
      <c r="AO37" s="2836">
        <f t="shared" si="470"/>
        <v>11569.219221636968</v>
      </c>
      <c r="AP37" s="2936">
        <f>SUM(AP29:AP34)</f>
        <v>11566.67635265723</v>
      </c>
      <c r="AQ37" s="2936">
        <f>SUM(AQ29:AQ34)</f>
        <v>2.5428689797365074</v>
      </c>
      <c r="AR37" s="2837">
        <f t="shared" si="471"/>
        <v>12278.034000000001</v>
      </c>
      <c r="AS37" s="2911">
        <f>SUM(AS29:AS34)</f>
        <v>12275.379000000001</v>
      </c>
      <c r="AT37" s="2911">
        <f>SUM(AT29:AT34)</f>
        <v>2.6549999999999998</v>
      </c>
      <c r="AU37" s="2836">
        <f>SUM(AV37:AW37)</f>
        <v>11220.886999999999</v>
      </c>
      <c r="AV37" s="2936">
        <f>SUM(AV29:AV34)</f>
        <v>11219.179999999998</v>
      </c>
      <c r="AW37" s="2936">
        <f>SUM(AW29:AW34)</f>
        <v>1.7070000000000001</v>
      </c>
      <c r="AX37" s="2836">
        <f t="shared" si="472"/>
        <v>11569.219221636968</v>
      </c>
      <c r="AY37" s="2936">
        <f>SUM(AY29:AY34)</f>
        <v>11566.67635265723</v>
      </c>
      <c r="AZ37" s="2936">
        <f>SUM(AZ29:AZ34)</f>
        <v>2.5428689797365074</v>
      </c>
      <c r="BA37" s="2836">
        <f>SUM(BB37:BC37)</f>
        <v>11720.865</v>
      </c>
      <c r="BB37" s="2936">
        <f>SUM(BB29:BB34)</f>
        <v>11719.71</v>
      </c>
      <c r="BC37" s="2936">
        <f>SUM(BC29:BC34)</f>
        <v>1.155</v>
      </c>
      <c r="BD37" s="2836">
        <f t="shared" ref="BD37" si="624">SUM(BE37:BF37)</f>
        <v>10819.683999999999</v>
      </c>
      <c r="BE37" s="2936">
        <f>SUM(BE29:BE34)</f>
        <v>10817.96</v>
      </c>
      <c r="BF37" s="2936">
        <f>SUM(BF29:BF34)</f>
        <v>1.724</v>
      </c>
      <c r="BG37" s="2836">
        <f t="shared" si="474"/>
        <v>11569.219221636968</v>
      </c>
      <c r="BH37" s="2936">
        <f>SUM(BH29:BH34)</f>
        <v>11566.67635265723</v>
      </c>
      <c r="BI37" s="2936">
        <f>SUM(BI29:BI34)</f>
        <v>2.5428689797365074</v>
      </c>
      <c r="BJ37" s="2836">
        <f t="shared" si="475"/>
        <v>11758.468999999999</v>
      </c>
      <c r="BK37" s="2936">
        <f>SUM(BK29:BK34)</f>
        <v>11756.659</v>
      </c>
      <c r="BL37" s="2936">
        <f>SUM(BL29:BL34)</f>
        <v>1.81</v>
      </c>
      <c r="BM37" s="2836">
        <f t="shared" ref="BM37" si="625">SUM(BN37:BO37)</f>
        <v>10945.355999999998</v>
      </c>
      <c r="BN37" s="2936">
        <f>SUM(BN29:BN34)</f>
        <v>10943.769999999999</v>
      </c>
      <c r="BO37" s="2936">
        <f>SUM(BO29:BO34)</f>
        <v>1.5860000000000001</v>
      </c>
      <c r="BP37" s="2937">
        <f t="shared" si="476"/>
        <v>34707.657664910905</v>
      </c>
      <c r="BQ37" s="2937">
        <f t="shared" si="476"/>
        <v>34700.029057971689</v>
      </c>
      <c r="BR37" s="2937">
        <f t="shared" si="476"/>
        <v>7.6286069392095222</v>
      </c>
      <c r="BS37" s="2937">
        <f t="shared" si="476"/>
        <v>35757.368000000002</v>
      </c>
      <c r="BT37" s="2937">
        <f t="shared" si="476"/>
        <v>35751.748</v>
      </c>
      <c r="BU37" s="2937">
        <f t="shared" si="476"/>
        <v>5.6199999999999992</v>
      </c>
      <c r="BV37" s="2937">
        <f t="shared" si="476"/>
        <v>32985.926999999996</v>
      </c>
      <c r="BW37" s="2937">
        <f t="shared" si="476"/>
        <v>32980.909999999996</v>
      </c>
      <c r="BX37" s="2937">
        <f t="shared" si="476"/>
        <v>5.0170000000000003</v>
      </c>
      <c r="BY37" s="2938">
        <f t="shared" si="477"/>
        <v>1049.7103350890975</v>
      </c>
      <c r="BZ37" s="2938">
        <f t="shared" si="477"/>
        <v>1051.7189420283103</v>
      </c>
      <c r="CA37" s="2938">
        <f t="shared" si="477"/>
        <v>-2.0086069392095229</v>
      </c>
      <c r="CB37" s="2937">
        <f t="shared" si="478"/>
        <v>69415.315329821809</v>
      </c>
      <c r="CC37" s="2937">
        <f t="shared" si="478"/>
        <v>69400.058115943379</v>
      </c>
      <c r="CD37" s="2937">
        <f t="shared" si="478"/>
        <v>15.257213878419044</v>
      </c>
      <c r="CE37" s="2937">
        <f t="shared" si="478"/>
        <v>71651.174284000008</v>
      </c>
      <c r="CF37" s="2937">
        <f t="shared" si="478"/>
        <v>71644.037443999987</v>
      </c>
      <c r="CG37" s="2937">
        <f t="shared" si="478"/>
        <v>7.1368399999999994</v>
      </c>
      <c r="CH37" s="2937">
        <f t="shared" si="478"/>
        <v>67369.256880000001</v>
      </c>
      <c r="CI37" s="2937">
        <f t="shared" si="478"/>
        <v>67359.926999999996</v>
      </c>
      <c r="CJ37" s="2937">
        <f t="shared" si="478"/>
        <v>9.3298799999999993</v>
      </c>
      <c r="CK37" s="2938">
        <f t="shared" si="479"/>
        <v>2235.8589541781985</v>
      </c>
      <c r="CL37" s="2938">
        <f t="shared" si="479"/>
        <v>2243.9793280566082</v>
      </c>
      <c r="CM37" s="2938">
        <f t="shared" si="479"/>
        <v>-8.1203738784190449</v>
      </c>
      <c r="CN37" s="2836">
        <f t="shared" si="480"/>
        <v>12273.881093657565</v>
      </c>
      <c r="CO37" s="2936">
        <f>SUM(CO29:CO34)</f>
        <v>12270.794260032893</v>
      </c>
      <c r="CP37" s="2936">
        <f>SUM(CP29:CP34)</f>
        <v>3.0868336246705601</v>
      </c>
      <c r="CQ37" s="2836">
        <f t="shared" si="481"/>
        <v>11383.475999999999</v>
      </c>
      <c r="CR37" s="2936">
        <f>SUM(CR29:CR34)</f>
        <v>11381.717999999999</v>
      </c>
      <c r="CS37" s="2936">
        <f>SUM(CS29:CS34)</f>
        <v>1.758</v>
      </c>
      <c r="CT37" s="2836">
        <f t="shared" ref="CT37" si="626">SUM(CU37:CV37)</f>
        <v>10779.901600000001</v>
      </c>
      <c r="CU37" s="2936">
        <f>SUM(CU29:CU34)</f>
        <v>10778.35</v>
      </c>
      <c r="CV37" s="2936">
        <f>SUM(CV29:CV34)</f>
        <v>1.5516000000000001</v>
      </c>
      <c r="CW37" s="2836">
        <f t="shared" si="482"/>
        <v>12273.881093657565</v>
      </c>
      <c r="CX37" s="2936">
        <f>SUM(CX29:CX34)</f>
        <v>12270.794260032893</v>
      </c>
      <c r="CY37" s="2936">
        <f>SUM(CY29:CY34)</f>
        <v>3.0868336246705601</v>
      </c>
      <c r="CZ37" s="2836">
        <f t="shared" si="483"/>
        <v>12001.514999999999</v>
      </c>
      <c r="DA37" s="2936">
        <f>SUM(DA29:DA34)</f>
        <v>11999.945</v>
      </c>
      <c r="DB37" s="2936">
        <f>SUM(DB29:DB34)</f>
        <v>1.57</v>
      </c>
      <c r="DC37" s="2836">
        <f t="shared" ref="DC37" si="627">SUM(DD37:DE37)</f>
        <v>11173.18</v>
      </c>
      <c r="DD37" s="2936">
        <f>SUM(DD29:DD34)</f>
        <v>11172.68</v>
      </c>
      <c r="DE37" s="2936">
        <f>SUM(DE29:DE34)</f>
        <v>0.5</v>
      </c>
      <c r="DF37" s="2836">
        <f t="shared" si="484"/>
        <v>12273.881093657565</v>
      </c>
      <c r="DG37" s="2936">
        <f>SUM(DG29:DG34)</f>
        <v>12270.794260032893</v>
      </c>
      <c r="DH37" s="2936">
        <f>SUM(DH29:DH34)</f>
        <v>3.0868336246705601</v>
      </c>
      <c r="DI37" s="2836">
        <f t="shared" si="485"/>
        <v>12403.041999999999</v>
      </c>
      <c r="DJ37" s="2936">
        <f>SUM(DJ29:DJ34)</f>
        <v>12402.519</v>
      </c>
      <c r="DK37" s="2936">
        <f>SUM(DK29:DK34)</f>
        <v>0.52300000000000002</v>
      </c>
      <c r="DL37" s="2836">
        <f t="shared" ref="DL37" si="628">SUM(DM37:DN37)</f>
        <v>12249.831839999999</v>
      </c>
      <c r="DM37" s="2936">
        <f>SUM(DM29:DM34)</f>
        <v>12248.694</v>
      </c>
      <c r="DN37" s="2936">
        <f>SUM(DN29:DN34)</f>
        <v>1.13784</v>
      </c>
      <c r="DO37" s="2937">
        <f t="shared" si="486"/>
        <v>36821.643280972698</v>
      </c>
      <c r="DP37" s="2937">
        <f t="shared" si="486"/>
        <v>36812.382780098676</v>
      </c>
      <c r="DQ37" s="2937">
        <f t="shared" si="486"/>
        <v>9.2605008740116794</v>
      </c>
      <c r="DR37" s="2937">
        <f t="shared" si="486"/>
        <v>35788.032999999996</v>
      </c>
      <c r="DS37" s="2937">
        <f t="shared" si="486"/>
        <v>35784.182000000001</v>
      </c>
      <c r="DT37" s="2937">
        <f t="shared" si="486"/>
        <v>3.8510000000000004</v>
      </c>
      <c r="DU37" s="2937">
        <f t="shared" si="486"/>
        <v>34202.913440000004</v>
      </c>
      <c r="DV37" s="2937">
        <f t="shared" si="486"/>
        <v>34199.724000000002</v>
      </c>
      <c r="DW37" s="2937">
        <f t="shared" si="486"/>
        <v>3.1894400000000003</v>
      </c>
      <c r="DX37" s="2938">
        <f t="shared" si="487"/>
        <v>-1033.6102809727017</v>
      </c>
      <c r="DY37" s="2938">
        <f t="shared" si="487"/>
        <v>-1028.2007800986758</v>
      </c>
      <c r="DZ37" s="2938">
        <f t="shared" si="487"/>
        <v>-5.4095008740116786</v>
      </c>
      <c r="EA37" s="2937">
        <f t="shared" si="488"/>
        <v>106236.95861079451</v>
      </c>
      <c r="EB37" s="2937">
        <f t="shared" si="488"/>
        <v>106212.44089604206</v>
      </c>
      <c r="EC37" s="2937">
        <f t="shared" si="488"/>
        <v>24.517714752430724</v>
      </c>
      <c r="ED37" s="2937">
        <f t="shared" si="488"/>
        <v>107439.207284</v>
      </c>
      <c r="EE37" s="2937">
        <f t="shared" si="488"/>
        <v>107428.21944399999</v>
      </c>
      <c r="EF37" s="2912">
        <f t="shared" si="488"/>
        <v>10.98784</v>
      </c>
      <c r="EG37" s="2937">
        <f t="shared" si="488"/>
        <v>101572.17032</v>
      </c>
      <c r="EH37" s="2937">
        <f t="shared" si="488"/>
        <v>101559.651</v>
      </c>
      <c r="EI37" s="2937">
        <f t="shared" si="488"/>
        <v>12.51932</v>
      </c>
      <c r="EJ37" s="2938">
        <f t="shared" si="489"/>
        <v>1202.2486732054967</v>
      </c>
      <c r="EK37" s="2938">
        <f t="shared" si="489"/>
        <v>1215.7785479579325</v>
      </c>
      <c r="EL37" s="2938">
        <f t="shared" si="489"/>
        <v>-13.529874752430723</v>
      </c>
      <c r="EM37" s="2836">
        <f t="shared" si="490"/>
        <v>12273.881093657565</v>
      </c>
      <c r="EN37" s="2936">
        <f>SUM(EN29:EN34)</f>
        <v>12270.794260032893</v>
      </c>
      <c r="EO37" s="2936">
        <f>SUM(EO29:EO34)</f>
        <v>3.0868336246705601</v>
      </c>
      <c r="EP37" s="2836">
        <f t="shared" si="491"/>
        <v>12696.303000000002</v>
      </c>
      <c r="EQ37" s="2936">
        <f>SUM(EQ29:EQ34)</f>
        <v>12695.738000000001</v>
      </c>
      <c r="ER37" s="2936">
        <f>SUM(ER29:ER34)</f>
        <v>0.56499999999999995</v>
      </c>
      <c r="ES37" s="2836">
        <f t="shared" ref="ES37" si="629">SUM(ET37:EU37)</f>
        <v>11589.081679999999</v>
      </c>
      <c r="ET37" s="2936">
        <f>SUM(ET29:ET34)</f>
        <v>11588.099</v>
      </c>
      <c r="EU37" s="2936">
        <f>SUM(EU29:EU34)</f>
        <v>0.98268</v>
      </c>
      <c r="EV37" s="2836">
        <f t="shared" si="492"/>
        <v>12273.881093657565</v>
      </c>
      <c r="EW37" s="2936">
        <f>SUM(EW29:EW34)</f>
        <v>12270.794260032893</v>
      </c>
      <c r="EX37" s="2936">
        <f>SUM(EX29:EX34)</f>
        <v>3.0868336246705601</v>
      </c>
      <c r="EY37" s="2836">
        <f t="shared" si="493"/>
        <v>12598.411000000002</v>
      </c>
      <c r="EZ37" s="2936">
        <f>SUM(EZ29:EZ34)</f>
        <v>12596.925000000001</v>
      </c>
      <c r="FA37" s="2936">
        <f>SUM(FA29:FA34)</f>
        <v>1.486</v>
      </c>
      <c r="FB37" s="2836">
        <f t="shared" ref="FB37" si="630">SUM(FC37:FD37)</f>
        <v>12060.857000000002</v>
      </c>
      <c r="FC37" s="2936">
        <f>SUM(FC29:FC34)</f>
        <v>12060.202000000001</v>
      </c>
      <c r="FD37" s="2936">
        <f>SUM(FD29:FD34)</f>
        <v>0.65500000000000003</v>
      </c>
      <c r="FE37" s="2836">
        <f t="shared" si="494"/>
        <v>12273.881093657565</v>
      </c>
      <c r="FF37" s="2936">
        <f>SUM(FF29:FF34)</f>
        <v>12270.794260032893</v>
      </c>
      <c r="FG37" s="2936">
        <f>SUM(FG29:FG34)</f>
        <v>3.0868336246705601</v>
      </c>
      <c r="FH37" s="2836">
        <f t="shared" ref="FH37" si="631">SUM(FI37:FJ37)</f>
        <v>12721.633999999998</v>
      </c>
      <c r="FI37" s="2936">
        <f>SUM(FI29:FI34)</f>
        <v>12719.833999999999</v>
      </c>
      <c r="FJ37" s="2936">
        <f>SUM(FJ29:FJ34)</f>
        <v>1.8</v>
      </c>
      <c r="FK37" s="2836">
        <f t="shared" ref="FK37" si="632">SUM(FL37:FM37)</f>
        <v>12063.278</v>
      </c>
      <c r="FL37" s="2936">
        <f>SUM(FL29:FL34)</f>
        <v>12061.368</v>
      </c>
      <c r="FM37" s="2936">
        <f>SUM(FM29:FM34)</f>
        <v>1.91</v>
      </c>
      <c r="FN37" s="2937">
        <f t="shared" si="496"/>
        <v>36821.643280972698</v>
      </c>
      <c r="FO37" s="2937">
        <f t="shared" si="496"/>
        <v>36812.382780098676</v>
      </c>
      <c r="FP37" s="2937">
        <f t="shared" si="496"/>
        <v>9.2605008740116794</v>
      </c>
      <c r="FQ37" s="2937">
        <f t="shared" si="496"/>
        <v>38016.347999999998</v>
      </c>
      <c r="FR37" s="2937">
        <f t="shared" si="496"/>
        <v>38012.497000000003</v>
      </c>
      <c r="FS37" s="2937">
        <f t="shared" si="496"/>
        <v>3.851</v>
      </c>
      <c r="FT37" s="2937">
        <f t="shared" si="496"/>
        <v>35713.216679999998</v>
      </c>
      <c r="FU37" s="2937">
        <f t="shared" si="496"/>
        <v>35709.669000000002</v>
      </c>
      <c r="FV37" s="2937">
        <f t="shared" si="496"/>
        <v>3.5476799999999997</v>
      </c>
      <c r="FW37" s="2938">
        <f t="shared" si="497"/>
        <v>1194.7047190273006</v>
      </c>
      <c r="FX37" s="2938">
        <f t="shared" si="497"/>
        <v>1200.1142199013266</v>
      </c>
      <c r="FY37" s="2938">
        <f t="shared" si="497"/>
        <v>-5.4095008740116794</v>
      </c>
      <c r="FZ37" s="2937">
        <f t="shared" si="498"/>
        <v>143058.6018917672</v>
      </c>
      <c r="GA37" s="2937">
        <f t="shared" si="498"/>
        <v>143024.82367614075</v>
      </c>
      <c r="GB37" s="2937">
        <f t="shared" si="499"/>
        <v>33.778215626442403</v>
      </c>
      <c r="GC37" s="2937">
        <f t="shared" si="499"/>
        <v>145455.555284</v>
      </c>
      <c r="GD37" s="2937">
        <f t="shared" si="499"/>
        <v>145440.71644399999</v>
      </c>
      <c r="GE37" s="2937">
        <f t="shared" si="499"/>
        <v>14.838840000000001</v>
      </c>
      <c r="GF37" s="2937">
        <f t="shared" si="499"/>
        <v>137285.38699999999</v>
      </c>
      <c r="GG37" s="2937">
        <f t="shared" si="499"/>
        <v>137269.32</v>
      </c>
      <c r="GH37" s="2937">
        <f t="shared" si="499"/>
        <v>16.067</v>
      </c>
      <c r="GI37" s="2938">
        <f t="shared" si="500"/>
        <v>2396.9533922327973</v>
      </c>
      <c r="GJ37" s="2938">
        <f t="shared" si="500"/>
        <v>2415.8927678592445</v>
      </c>
      <c r="GK37" s="2938">
        <f t="shared" si="500"/>
        <v>-18.939375626442402</v>
      </c>
      <c r="GL37" s="565"/>
      <c r="GM37" s="4191">
        <f t="shared" si="501"/>
        <v>143058.60189176718</v>
      </c>
    </row>
    <row r="38" spans="1:195" ht="18.75" x14ac:dyDescent="0.3">
      <c r="A38" s="2935" t="s">
        <v>3783</v>
      </c>
      <c r="B38" s="2936">
        <f t="shared" ref="B38:AK38" si="633">SUM(B37/B14)</f>
        <v>39.593045532863165</v>
      </c>
      <c r="C38" s="2936">
        <f t="shared" si="633"/>
        <v>39.604332571079951</v>
      </c>
      <c r="D38" s="2936">
        <f t="shared" si="633"/>
        <v>17.241737912101982</v>
      </c>
      <c r="E38" s="2936">
        <f t="shared" si="633"/>
        <v>39.577438954492656</v>
      </c>
      <c r="F38" s="2936">
        <f t="shared" si="633"/>
        <v>39.581114338272798</v>
      </c>
      <c r="G38" s="2936">
        <f t="shared" si="633"/>
        <v>17.239999999999998</v>
      </c>
      <c r="H38" s="2936">
        <f t="shared" si="633"/>
        <v>38.078492105461962</v>
      </c>
      <c r="I38" s="2936">
        <f t="shared" si="633"/>
        <v>38.084507643833184</v>
      </c>
      <c r="J38" s="2936">
        <f t="shared" si="633"/>
        <v>17.272727272727273</v>
      </c>
      <c r="K38" s="2936">
        <f t="shared" si="633"/>
        <v>39.593045532863165</v>
      </c>
      <c r="L38" s="2936">
        <f t="shared" si="633"/>
        <v>39.604332571079951</v>
      </c>
      <c r="M38" s="2936">
        <f t="shared" si="633"/>
        <v>17.241737912101982</v>
      </c>
      <c r="N38" s="2936">
        <f t="shared" si="633"/>
        <v>39.578650159874307</v>
      </c>
      <c r="O38" s="2936">
        <f t="shared" si="633"/>
        <v>39.579812825091977</v>
      </c>
      <c r="P38" s="2936">
        <f t="shared" si="633"/>
        <v>17.239999999999998</v>
      </c>
      <c r="Q38" s="2936">
        <f t="shared" si="633"/>
        <v>38.083148231400216</v>
      </c>
      <c r="R38" s="2936">
        <f t="shared" si="633"/>
        <v>38.08871756103283</v>
      </c>
      <c r="S38" s="2936">
        <f t="shared" si="633"/>
        <v>17.239999999999998</v>
      </c>
      <c r="T38" s="2936">
        <f t="shared" si="633"/>
        <v>39.593045532863165</v>
      </c>
      <c r="U38" s="2936">
        <f t="shared" si="633"/>
        <v>39.604332571079951</v>
      </c>
      <c r="V38" s="2936">
        <f t="shared" si="633"/>
        <v>17.241737912101982</v>
      </c>
      <c r="W38" s="2936">
        <f t="shared" si="633"/>
        <v>39.58152865379931</v>
      </c>
      <c r="X38" s="2936">
        <f t="shared" si="633"/>
        <v>39.583192896252534</v>
      </c>
      <c r="Y38" s="2936">
        <f t="shared" si="633"/>
        <v>17.22727272727273</v>
      </c>
      <c r="Z38" s="2936">
        <f t="shared" si="633"/>
        <v>38.08813475573978</v>
      </c>
      <c r="AA38" s="2936">
        <f t="shared" si="633"/>
        <v>38.093859296861858</v>
      </c>
      <c r="AB38" s="2936">
        <f t="shared" si="633"/>
        <v>17.239999999999998</v>
      </c>
      <c r="AC38" s="2937">
        <f t="shared" si="633"/>
        <v>39.593045532863165</v>
      </c>
      <c r="AD38" s="2937">
        <f t="shared" si="633"/>
        <v>39.604332571079944</v>
      </c>
      <c r="AE38" s="2937">
        <f t="shared" si="633"/>
        <v>17.241737912101982</v>
      </c>
      <c r="AF38" s="2937">
        <f t="shared" si="633"/>
        <v>39.579182261055976</v>
      </c>
      <c r="AG38" s="2937">
        <f t="shared" si="633"/>
        <v>39.581350470556835</v>
      </c>
      <c r="AH38" s="2937">
        <f t="shared" si="633"/>
        <v>17.236818181818183</v>
      </c>
      <c r="AI38" s="2937">
        <f t="shared" si="633"/>
        <v>38.083187734812505</v>
      </c>
      <c r="AJ38" s="2937">
        <f t="shared" si="633"/>
        <v>38.08895765335177</v>
      </c>
      <c r="AK38" s="2937">
        <f t="shared" si="633"/>
        <v>17.251519999999999</v>
      </c>
      <c r="AL38" s="2938">
        <f t="shared" si="469"/>
        <v>-1.3863271807188937E-2</v>
      </c>
      <c r="AM38" s="2938">
        <f t="shared" si="469"/>
        <v>-2.2982100523108784E-2</v>
      </c>
      <c r="AN38" s="2938">
        <f t="shared" si="469"/>
        <v>-4.9197302837988843E-3</v>
      </c>
      <c r="AO38" s="2936">
        <f t="shared" ref="AO38:BX38" si="634">SUM(AO37/AO14)</f>
        <v>39.593045532863165</v>
      </c>
      <c r="AP38" s="2936">
        <f t="shared" si="634"/>
        <v>39.604332571079951</v>
      </c>
      <c r="AQ38" s="2936">
        <f t="shared" si="634"/>
        <v>17.241737912101982</v>
      </c>
      <c r="AR38" s="2911">
        <f t="shared" si="634"/>
        <v>39.570564841015596</v>
      </c>
      <c r="AS38" s="2911">
        <f t="shared" si="634"/>
        <v>39.58165338182944</v>
      </c>
      <c r="AT38" s="2911">
        <f t="shared" si="634"/>
        <v>17.240259740259738</v>
      </c>
      <c r="AU38" s="2936">
        <f t="shared" si="634"/>
        <v>38.087257730559045</v>
      </c>
      <c r="AV38" s="2936">
        <f t="shared" si="634"/>
        <v>38.094264730349629</v>
      </c>
      <c r="AW38" s="2936">
        <f t="shared" si="634"/>
        <v>17.242424242424242</v>
      </c>
      <c r="AX38" s="2936">
        <f t="shared" si="634"/>
        <v>39.593045532863165</v>
      </c>
      <c r="AY38" s="2936">
        <f t="shared" si="634"/>
        <v>39.604332571079951</v>
      </c>
      <c r="AZ38" s="2936">
        <f t="shared" si="634"/>
        <v>17.241737912101982</v>
      </c>
      <c r="BA38" s="2936">
        <f t="shared" si="634"/>
        <v>39.577547478738182</v>
      </c>
      <c r="BB38" s="2936">
        <f t="shared" si="634"/>
        <v>39.582602476700806</v>
      </c>
      <c r="BC38" s="2936">
        <f t="shared" si="634"/>
        <v>17.238805970149254</v>
      </c>
      <c r="BD38" s="2936">
        <f t="shared" si="634"/>
        <v>38.087286500795557</v>
      </c>
      <c r="BE38" s="2936">
        <f t="shared" si="634"/>
        <v>38.09462771501817</v>
      </c>
      <c r="BF38" s="2936">
        <f t="shared" si="634"/>
        <v>17.239999999999998</v>
      </c>
      <c r="BG38" s="2936">
        <f t="shared" si="634"/>
        <v>39.593045532863165</v>
      </c>
      <c r="BH38" s="2936">
        <f t="shared" si="634"/>
        <v>39.604332571079951</v>
      </c>
      <c r="BI38" s="2936">
        <f t="shared" si="634"/>
        <v>17.241737912101982</v>
      </c>
      <c r="BJ38" s="2936">
        <f t="shared" si="634"/>
        <v>39.578145037782519</v>
      </c>
      <c r="BK38" s="2936">
        <f t="shared" si="634"/>
        <v>39.586043301121251</v>
      </c>
      <c r="BL38" s="2936">
        <f t="shared" si="634"/>
        <v>17.238095238095241</v>
      </c>
      <c r="BM38" s="2936">
        <f t="shared" si="634"/>
        <v>38.085640319011219</v>
      </c>
      <c r="BN38" s="2936">
        <f t="shared" si="634"/>
        <v>38.092315938961896</v>
      </c>
      <c r="BO38" s="2936">
        <f t="shared" si="634"/>
        <v>17.239130434782609</v>
      </c>
      <c r="BP38" s="2937">
        <f t="shared" si="634"/>
        <v>39.593045532863165</v>
      </c>
      <c r="BQ38" s="2937">
        <f t="shared" si="634"/>
        <v>39.604332571079944</v>
      </c>
      <c r="BR38" s="2937">
        <f t="shared" si="634"/>
        <v>17.241737912101982</v>
      </c>
      <c r="BS38" s="2937">
        <f t="shared" si="634"/>
        <v>39.57534604322791</v>
      </c>
      <c r="BT38" s="2937">
        <f t="shared" si="634"/>
        <v>39.583408000690646</v>
      </c>
      <c r="BU38" s="2937">
        <f t="shared" si="634"/>
        <v>17.239263803680977</v>
      </c>
      <c r="BV38" s="2937">
        <f t="shared" si="634"/>
        <v>38.086730464140473</v>
      </c>
      <c r="BW38" s="2937">
        <f t="shared" si="634"/>
        <v>38.093737114265345</v>
      </c>
      <c r="BX38" s="2937">
        <f t="shared" si="634"/>
        <v>17.240549828178693</v>
      </c>
      <c r="BY38" s="2938">
        <f t="shared" si="477"/>
        <v>-1.7699489635255361E-2</v>
      </c>
      <c r="BZ38" s="2938">
        <f t="shared" si="477"/>
        <v>-2.0924570389297514E-2</v>
      </c>
      <c r="CA38" s="2938">
        <f t="shared" si="477"/>
        <v>-2.474108421004928E-3</v>
      </c>
      <c r="CB38" s="2937">
        <f t="shared" ref="CB38:CJ38" si="635">SUM(CB37/CB14)</f>
        <v>39.593045532863165</v>
      </c>
      <c r="CC38" s="2937">
        <f t="shared" si="635"/>
        <v>39.604332571079944</v>
      </c>
      <c r="CD38" s="2937">
        <f t="shared" si="635"/>
        <v>17.241737912101982</v>
      </c>
      <c r="CE38" s="2937">
        <f t="shared" si="635"/>
        <v>39.57726771164743</v>
      </c>
      <c r="CF38" s="2937">
        <f t="shared" si="635"/>
        <v>39.582377190795569</v>
      </c>
      <c r="CG38" s="2937">
        <f t="shared" si="635"/>
        <v>17.238743961352654</v>
      </c>
      <c r="CH38" s="2937">
        <f t="shared" si="635"/>
        <v>38.084922274696112</v>
      </c>
      <c r="CI38" s="2937">
        <f t="shared" si="635"/>
        <v>38.09129763325889</v>
      </c>
      <c r="CJ38" s="2937">
        <f t="shared" si="635"/>
        <v>17.245619223659887</v>
      </c>
      <c r="CK38" s="2938">
        <f t="shared" si="479"/>
        <v>-1.5777821215735344E-2</v>
      </c>
      <c r="CL38" s="2938">
        <f t="shared" si="479"/>
        <v>-2.1955380284374826E-2</v>
      </c>
      <c r="CM38" s="2938">
        <f t="shared" si="479"/>
        <v>-2.9939507493281781E-3</v>
      </c>
      <c r="CN38" s="2936">
        <f t="shared" ref="CN38:DW38" si="636">SUM(CN37/CN14)</f>
        <v>42.004591986404776</v>
      </c>
      <c r="CO38" s="2936">
        <f t="shared" si="636"/>
        <v>42.015234278946295</v>
      </c>
      <c r="CP38" s="2936">
        <f t="shared" si="636"/>
        <v>20.930050568452209</v>
      </c>
      <c r="CQ38" s="2936">
        <f t="shared" si="636"/>
        <v>41.983602627415252</v>
      </c>
      <c r="CR38" s="2936">
        <f t="shared" si="636"/>
        <v>41.990127537750354</v>
      </c>
      <c r="CS38" s="2936">
        <f t="shared" si="636"/>
        <v>20.928571428571427</v>
      </c>
      <c r="CT38" s="2936">
        <f t="shared" si="636"/>
        <v>39.577659198732334</v>
      </c>
      <c r="CU38" s="2936">
        <f t="shared" si="636"/>
        <v>39.585042643069684</v>
      </c>
      <c r="CV38" s="2936">
        <f t="shared" si="636"/>
        <v>17.240000000000002</v>
      </c>
      <c r="CW38" s="2936">
        <f t="shared" si="636"/>
        <v>42.004591986404776</v>
      </c>
      <c r="CX38" s="2936">
        <f t="shared" si="636"/>
        <v>42.015234278946295</v>
      </c>
      <c r="CY38" s="2936">
        <f t="shared" si="636"/>
        <v>20.930050568452209</v>
      </c>
      <c r="CZ38" s="2936">
        <f t="shared" si="636"/>
        <v>41.987562754736125</v>
      </c>
      <c r="DA38" s="2936">
        <f t="shared" si="636"/>
        <v>41.993088605823068</v>
      </c>
      <c r="DB38" s="2936">
        <f t="shared" si="636"/>
        <v>20.933333333333334</v>
      </c>
      <c r="DC38" s="2936">
        <f t="shared" si="636"/>
        <v>39.585031692669503</v>
      </c>
      <c r="DD38" s="2936">
        <f t="shared" si="636"/>
        <v>39.587327582205496</v>
      </c>
      <c r="DE38" s="2936">
        <f t="shared" si="636"/>
        <v>17.241379310344826</v>
      </c>
      <c r="DF38" s="2936">
        <f t="shared" si="636"/>
        <v>42.004591986404776</v>
      </c>
      <c r="DG38" s="2936">
        <f t="shared" si="636"/>
        <v>42.015234278946295</v>
      </c>
      <c r="DH38" s="2936">
        <f t="shared" si="636"/>
        <v>20.930050568452209</v>
      </c>
      <c r="DI38" s="2936">
        <f t="shared" si="636"/>
        <v>41.993675407560389</v>
      </c>
      <c r="DJ38" s="2936">
        <f t="shared" si="636"/>
        <v>41.995459316696575</v>
      </c>
      <c r="DK38" s="2936">
        <f t="shared" si="636"/>
        <v>20.919999999999998</v>
      </c>
      <c r="DL38" s="2936">
        <f t="shared" si="636"/>
        <v>39.580338098596819</v>
      </c>
      <c r="DM38" s="2936">
        <f t="shared" si="636"/>
        <v>39.585103238695943</v>
      </c>
      <c r="DN38" s="2936">
        <f t="shared" si="636"/>
        <v>17.239999999999998</v>
      </c>
      <c r="DO38" s="2937">
        <f t="shared" si="636"/>
        <v>42.004591986404783</v>
      </c>
      <c r="DP38" s="2937">
        <f t="shared" si="636"/>
        <v>42.015234278946295</v>
      </c>
      <c r="DQ38" s="2937">
        <f t="shared" si="636"/>
        <v>20.930050568452206</v>
      </c>
      <c r="DR38" s="2937">
        <f t="shared" si="636"/>
        <v>41.988421165016874</v>
      </c>
      <c r="DS38" s="2937">
        <f t="shared" si="636"/>
        <v>41.992968349357568</v>
      </c>
      <c r="DT38" s="2937">
        <f t="shared" si="636"/>
        <v>20.929347826086961</v>
      </c>
      <c r="DU38" s="2937">
        <f t="shared" si="636"/>
        <v>39.581026821551319</v>
      </c>
      <c r="DV38" s="2937">
        <f t="shared" si="636"/>
        <v>39.585810782198145</v>
      </c>
      <c r="DW38" s="2937">
        <f t="shared" si="636"/>
        <v>17.240216216216218</v>
      </c>
      <c r="DX38" s="2938">
        <f t="shared" si="487"/>
        <v>-1.6170821387909484E-2</v>
      </c>
      <c r="DY38" s="2938">
        <f t="shared" si="487"/>
        <v>-2.2265929588726863E-2</v>
      </c>
      <c r="DZ38" s="2938">
        <f t="shared" si="487"/>
        <v>-7.0274236524525691E-4</v>
      </c>
      <c r="EA38" s="2937">
        <f t="shared" ref="EA38:EI38" si="637">SUM(EA37/EA14)</f>
        <v>40.396894350710369</v>
      </c>
      <c r="EB38" s="2937">
        <f t="shared" si="637"/>
        <v>40.407966473702061</v>
      </c>
      <c r="EC38" s="2937">
        <f t="shared" si="637"/>
        <v>18.471175464218724</v>
      </c>
      <c r="ED38" s="2937">
        <f t="shared" si="637"/>
        <v>40.349066027580513</v>
      </c>
      <c r="EE38" s="2937">
        <f t="shared" si="637"/>
        <v>40.354002234944076</v>
      </c>
      <c r="EF38" s="2937">
        <f t="shared" si="637"/>
        <v>18.374314381270899</v>
      </c>
      <c r="EG38" s="2937">
        <f t="shared" si="637"/>
        <v>38.575920077323531</v>
      </c>
      <c r="EH38" s="2937">
        <f t="shared" si="637"/>
        <v>38.5818034039103</v>
      </c>
      <c r="EI38" s="2937">
        <f t="shared" si="637"/>
        <v>17.244242424242426</v>
      </c>
      <c r="EJ38" s="2938">
        <f t="shared" si="489"/>
        <v>-4.7828323129856187E-2</v>
      </c>
      <c r="EK38" s="2938">
        <f t="shared" si="489"/>
        <v>-5.3964238757984617E-2</v>
      </c>
      <c r="EL38" s="2938">
        <f t="shared" si="489"/>
        <v>-9.6861082947825139E-2</v>
      </c>
      <c r="EM38" s="2936">
        <f t="shared" ref="EM38:FV38" si="638">SUM(EM37/EM14)</f>
        <v>42.004591986404776</v>
      </c>
      <c r="EN38" s="2936">
        <f t="shared" si="638"/>
        <v>42.015234278946295</v>
      </c>
      <c r="EO38" s="2936">
        <f t="shared" si="638"/>
        <v>20.930050568452209</v>
      </c>
      <c r="EP38" s="2936">
        <f t="shared" si="638"/>
        <v>41.990405540378752</v>
      </c>
      <c r="EQ38" s="2936">
        <f t="shared" si="638"/>
        <v>41.992286701837365</v>
      </c>
      <c r="ER38" s="2936">
        <f t="shared" si="638"/>
        <v>20.925925925925924</v>
      </c>
      <c r="ES38" s="2936">
        <f t="shared" si="638"/>
        <v>39.581198555669729</v>
      </c>
      <c r="ET38" s="2936">
        <f t="shared" si="638"/>
        <v>39.58554872133741</v>
      </c>
      <c r="EU38" s="2936">
        <f t="shared" si="638"/>
        <v>17.239999999999998</v>
      </c>
      <c r="EV38" s="2936">
        <f t="shared" si="638"/>
        <v>42.004591986404776</v>
      </c>
      <c r="EW38" s="2936">
        <f t="shared" si="638"/>
        <v>42.015234278946295</v>
      </c>
      <c r="EX38" s="2936">
        <f t="shared" si="638"/>
        <v>20.930050568452209</v>
      </c>
      <c r="EY38" s="2936">
        <f t="shared" si="638"/>
        <v>42.715165796433169</v>
      </c>
      <c r="EZ38" s="2936">
        <f t="shared" si="638"/>
        <v>42.720411436943188</v>
      </c>
      <c r="FA38" s="2936">
        <f t="shared" si="638"/>
        <v>20.929577464788736</v>
      </c>
      <c r="FB38" s="2936">
        <f t="shared" si="638"/>
        <v>39.579349973418744</v>
      </c>
      <c r="FC38" s="2936">
        <f t="shared" si="638"/>
        <v>39.582136480596546</v>
      </c>
      <c r="FD38" s="2936">
        <f t="shared" si="638"/>
        <v>17.236842105263158</v>
      </c>
      <c r="FE38" s="2936">
        <f t="shared" si="638"/>
        <v>42.004591986404776</v>
      </c>
      <c r="FF38" s="2936">
        <f t="shared" si="638"/>
        <v>42.015234278946295</v>
      </c>
      <c r="FG38" s="2936">
        <f t="shared" si="638"/>
        <v>20.930050568452209</v>
      </c>
      <c r="FH38" s="2936">
        <f t="shared" si="638"/>
        <v>41.964400814110355</v>
      </c>
      <c r="FI38" s="2936">
        <f t="shared" si="638"/>
        <v>41.97036958824286</v>
      </c>
      <c r="FJ38" s="2936">
        <f t="shared" si="638"/>
        <v>20.930232558139537</v>
      </c>
      <c r="FK38" s="2936">
        <f t="shared" si="638"/>
        <v>39.577164341675307</v>
      </c>
      <c r="FL38" s="2936">
        <f t="shared" si="638"/>
        <v>39.585313742028859</v>
      </c>
      <c r="FM38" s="2936">
        <f t="shared" si="638"/>
        <v>17.207207207207205</v>
      </c>
      <c r="FN38" s="2937">
        <f t="shared" si="638"/>
        <v>42.004591986404783</v>
      </c>
      <c r="FO38" s="2937">
        <f t="shared" si="638"/>
        <v>42.015234278946295</v>
      </c>
      <c r="FP38" s="2937">
        <f t="shared" si="638"/>
        <v>20.930050568452206</v>
      </c>
      <c r="FQ38" s="2937">
        <f t="shared" si="638"/>
        <v>42.219042595132457</v>
      </c>
      <c r="FR38" s="2937">
        <f t="shared" si="638"/>
        <v>42.223393844742304</v>
      </c>
      <c r="FS38" s="2937">
        <f t="shared" si="638"/>
        <v>20.929347826086957</v>
      </c>
      <c r="FT38" s="2937">
        <f t="shared" si="638"/>
        <v>39.579211510620375</v>
      </c>
      <c r="FU38" s="2937">
        <f t="shared" si="638"/>
        <v>39.584316879058491</v>
      </c>
      <c r="FV38" s="2937">
        <f t="shared" si="638"/>
        <v>17.221747572815531</v>
      </c>
      <c r="FW38" s="2938">
        <f t="shared" si="497"/>
        <v>0.21445060872767385</v>
      </c>
      <c r="FX38" s="2938">
        <f t="shared" si="497"/>
        <v>0.20815956579600936</v>
      </c>
      <c r="FY38" s="2938">
        <f t="shared" si="497"/>
        <v>-7.0274236524880962E-4</v>
      </c>
      <c r="FZ38" s="2937">
        <f t="shared" ref="FZ38:GH38" si="639">SUM(FZ37/FZ14)</f>
        <v>40.798818759633974</v>
      </c>
      <c r="GA38" s="2937">
        <f t="shared" si="639"/>
        <v>40.809783425013123</v>
      </c>
      <c r="GB38" s="2937">
        <f t="shared" si="639"/>
        <v>19.085894240277096</v>
      </c>
      <c r="GC38" s="2937">
        <f t="shared" si="639"/>
        <v>40.821627357112568</v>
      </c>
      <c r="GD38" s="2937">
        <f t="shared" si="639"/>
        <v>40.826422886581902</v>
      </c>
      <c r="GE38" s="2937">
        <f t="shared" si="639"/>
        <v>18.975498721227623</v>
      </c>
      <c r="GF38" s="2937">
        <f t="shared" si="639"/>
        <v>38.83198744734208</v>
      </c>
      <c r="GG38" s="2937">
        <f t="shared" si="639"/>
        <v>38.837681257950649</v>
      </c>
      <c r="GH38" s="2937">
        <f t="shared" si="639"/>
        <v>17.239270386266096</v>
      </c>
      <c r="GI38" s="2938">
        <f t="shared" si="500"/>
        <v>2.2808597478594095E-2</v>
      </c>
      <c r="GJ38" s="2938">
        <f t="shared" si="500"/>
        <v>1.6639461568779268E-2</v>
      </c>
      <c r="GK38" s="2938">
        <f t="shared" si="500"/>
        <v>-0.11039551904947231</v>
      </c>
      <c r="GL38" s="565"/>
      <c r="GM38" s="4192">
        <f t="shared" ref="GM38" si="640">SUM(GM37/GM14)</f>
        <v>40.798818759633974</v>
      </c>
    </row>
    <row r="39" spans="1:195" ht="19.5" x14ac:dyDescent="0.35">
      <c r="A39" s="2939" t="s">
        <v>255</v>
      </c>
      <c r="B39" s="2930">
        <f>SUM(C39)</f>
        <v>32.229999999999997</v>
      </c>
      <c r="C39" s="2930">
        <f>SUM('вода 2019-2021 коррект'!BE46)</f>
        <v>32.229999999999997</v>
      </c>
      <c r="D39" s="2930"/>
      <c r="E39" s="2930">
        <f>SUM(E29/E15)</f>
        <v>32.233136472466079</v>
      </c>
      <c r="F39" s="2930">
        <f>SUM(F29/F15)</f>
        <v>32.233136472466079</v>
      </c>
      <c r="G39" s="2931"/>
      <c r="H39" s="2930">
        <f>SUM(H29/H15)</f>
        <v>30.990055480954407</v>
      </c>
      <c r="I39" s="2930">
        <f>SUM(I29/I15)</f>
        <v>30.990055480954407</v>
      </c>
      <c r="J39" s="2931"/>
      <c r="K39" s="2930">
        <f>SUM(L39)</f>
        <v>32.229999999999997</v>
      </c>
      <c r="L39" s="2930">
        <f>SUM(C39)</f>
        <v>32.229999999999997</v>
      </c>
      <c r="M39" s="2930"/>
      <c r="N39" s="2930">
        <f>SUM(N29/N15)</f>
        <v>32.233129757651078</v>
      </c>
      <c r="O39" s="2930">
        <f>SUM(O29/O15)</f>
        <v>32.233129757651078</v>
      </c>
      <c r="P39" s="2931"/>
      <c r="Q39" s="2930">
        <f>SUM(Q29/Q15)</f>
        <v>30.991711499250744</v>
      </c>
      <c r="R39" s="2930">
        <f>SUM(R29/R15)</f>
        <v>30.991711499250744</v>
      </c>
      <c r="S39" s="2931"/>
      <c r="T39" s="2930">
        <f>SUM(U39)</f>
        <v>32.229999999999997</v>
      </c>
      <c r="U39" s="2930">
        <f>SUM(C39)</f>
        <v>32.229999999999997</v>
      </c>
      <c r="V39" s="2930"/>
      <c r="W39" s="2930">
        <f>SUM(W29/W15)</f>
        <v>32.233158950838472</v>
      </c>
      <c r="X39" s="2930">
        <f>SUM(X29/X15)</f>
        <v>32.233158950838472</v>
      </c>
      <c r="Y39" s="2931"/>
      <c r="Z39" s="2930">
        <f>SUM(Z29/Z15)</f>
        <v>30.991674471849304</v>
      </c>
      <c r="AA39" s="2930">
        <f>SUM(AA29/AA15)</f>
        <v>30.991674471849304</v>
      </c>
      <c r="AB39" s="2931"/>
      <c r="AC39" s="2940">
        <f>SUM(AC29/AC15)</f>
        <v>32.229999999999997</v>
      </c>
      <c r="AD39" s="2940">
        <f>SUM(AD29/AD15)</f>
        <v>32.229999999999997</v>
      </c>
      <c r="AE39" s="2940"/>
      <c r="AF39" s="2940">
        <f>SUM(AF29/AF15)</f>
        <v>32.233141319497591</v>
      </c>
      <c r="AG39" s="2940">
        <f>SUM(AG29/AG15)</f>
        <v>32.233141319497591</v>
      </c>
      <c r="AH39" s="2940"/>
      <c r="AI39" s="2940">
        <f>SUM(AI29/AI15)</f>
        <v>30.991126920737351</v>
      </c>
      <c r="AJ39" s="2940">
        <f>SUM(AJ29/AJ15)</f>
        <v>30.991126920737351</v>
      </c>
      <c r="AK39" s="2940"/>
      <c r="AL39" s="2941">
        <f t="shared" si="469"/>
        <v>3.1413194975939973E-3</v>
      </c>
      <c r="AM39" s="2941">
        <f t="shared" si="469"/>
        <v>3.1413194975939973E-3</v>
      </c>
      <c r="AN39" s="2941">
        <f t="shared" si="469"/>
        <v>0</v>
      </c>
      <c r="AO39" s="2930">
        <f>SUM(AP39)</f>
        <v>32.229999999999997</v>
      </c>
      <c r="AP39" s="2930">
        <f>SUM(C39)</f>
        <v>32.229999999999997</v>
      </c>
      <c r="AQ39" s="2930"/>
      <c r="AR39" s="2920">
        <f>SUM(AR29/AR15)</f>
        <v>32.233238649813003</v>
      </c>
      <c r="AS39" s="2920">
        <f>SUM(AS29/AS15)</f>
        <v>32.233238649813003</v>
      </c>
      <c r="AT39" s="2934"/>
      <c r="AU39" s="2930">
        <f>SUM(AU29/AU15)</f>
        <v>30.993191405382735</v>
      </c>
      <c r="AV39" s="2930">
        <f>SUM(AV29/AV15)</f>
        <v>30.993191405382735</v>
      </c>
      <c r="AW39" s="2931"/>
      <c r="AX39" s="2930">
        <f>SUM(AY39)</f>
        <v>32.229999999999997</v>
      </c>
      <c r="AY39" s="2930">
        <f>SUM(C39)</f>
        <v>32.229999999999997</v>
      </c>
      <c r="AZ39" s="2930"/>
      <c r="BA39" s="2930">
        <f>SUM(BA29/BA15)</f>
        <v>32.233228577265599</v>
      </c>
      <c r="BB39" s="2930">
        <f>SUM(BB29/BB15)</f>
        <v>32.233228577265599</v>
      </c>
      <c r="BC39" s="2931"/>
      <c r="BD39" s="2930">
        <f>SUM(BD29/BD15)</f>
        <v>30.991573180152898</v>
      </c>
      <c r="BE39" s="2930">
        <f>SUM(BE29/BE15)</f>
        <v>30.991573180152898</v>
      </c>
      <c r="BF39" s="2931"/>
      <c r="BG39" s="2930">
        <f>SUM(BH39)</f>
        <v>32.229999999999997</v>
      </c>
      <c r="BH39" s="2930">
        <f>SUM(C39)</f>
        <v>32.229999999999997</v>
      </c>
      <c r="BI39" s="2930"/>
      <c r="BJ39" s="2930">
        <f>SUM(BJ29/BJ15)</f>
        <v>32.233433987585975</v>
      </c>
      <c r="BK39" s="2930">
        <f>SUM(BK29/BK15)</f>
        <v>32.233433987585975</v>
      </c>
      <c r="BL39" s="2931"/>
      <c r="BM39" s="2930">
        <f>SUM(BM29/BM15)</f>
        <v>30.991608117677188</v>
      </c>
      <c r="BN39" s="2930">
        <f>SUM(BN29/BN15)</f>
        <v>30.991608117677188</v>
      </c>
      <c r="BO39" s="2931"/>
      <c r="BP39" s="2940">
        <f>SUM(BP29/BP15)</f>
        <v>32.229999999999997</v>
      </c>
      <c r="BQ39" s="2940">
        <f>SUM(BQ29/BQ15)</f>
        <v>32.229999999999997</v>
      </c>
      <c r="BR39" s="2940"/>
      <c r="BS39" s="2940">
        <f>SUM(BS29/BS15)</f>
        <v>32.233299250865379</v>
      </c>
      <c r="BT39" s="2940">
        <f>SUM(BT29/BT15)</f>
        <v>32.233299250865379</v>
      </c>
      <c r="BU39" s="2940"/>
      <c r="BV39" s="2940">
        <f>SUM(BV29/BV15)</f>
        <v>30.9921197652085</v>
      </c>
      <c r="BW39" s="2940">
        <f>SUM(BW29/BW15)</f>
        <v>30.9921197652085</v>
      </c>
      <c r="BX39" s="2940"/>
      <c r="BY39" s="2941">
        <f t="shared" si="477"/>
        <v>3.2992508653819641E-3</v>
      </c>
      <c r="BZ39" s="2941">
        <f t="shared" si="477"/>
        <v>3.2992508653819641E-3</v>
      </c>
      <c r="CA39" s="2941">
        <f t="shared" si="477"/>
        <v>0</v>
      </c>
      <c r="CB39" s="2940">
        <f>SUM(CB29/CB15)</f>
        <v>32.229999999999997</v>
      </c>
      <c r="CC39" s="2940">
        <f>SUM(CC29/CC15)</f>
        <v>32.229999999999997</v>
      </c>
      <c r="CD39" s="2940"/>
      <c r="CE39" s="2940">
        <f>SUM(CE29/CE15)</f>
        <v>32.233220193129412</v>
      </c>
      <c r="CF39" s="2940">
        <f>SUM(CF29/CF15)</f>
        <v>32.233220193129412</v>
      </c>
      <c r="CG39" s="2940"/>
      <c r="CH39" s="2940">
        <f>SUM(CH29/CH15)</f>
        <v>30.991626531994825</v>
      </c>
      <c r="CI39" s="2940">
        <f>SUM(CI29/CI15)</f>
        <v>30.991626531994825</v>
      </c>
      <c r="CJ39" s="2940"/>
      <c r="CK39" s="2941">
        <f t="shared" si="479"/>
        <v>3.2201931294153496E-3</v>
      </c>
      <c r="CL39" s="2941">
        <f t="shared" si="479"/>
        <v>3.2201931294153496E-3</v>
      </c>
      <c r="CM39" s="2941">
        <f t="shared" si="479"/>
        <v>0</v>
      </c>
      <c r="CN39" s="2930">
        <f>SUM(CO39)</f>
        <v>33.42</v>
      </c>
      <c r="CO39" s="2930">
        <f>SUM('вода 2019-2021 коррект'!BE47)</f>
        <v>33.42</v>
      </c>
      <c r="CP39" s="2930"/>
      <c r="CQ39" s="2930">
        <f>SUM(CQ29/CQ15)</f>
        <v>33.41670430300104</v>
      </c>
      <c r="CR39" s="2930">
        <f>SUM(CR29/CR15)</f>
        <v>33.41670430300104</v>
      </c>
      <c r="CS39" s="2931"/>
      <c r="CT39" s="2930">
        <f>SUM(CT29/CT15)</f>
        <v>32.233295397455223</v>
      </c>
      <c r="CU39" s="2930">
        <f>SUM(CU29/CU15)</f>
        <v>32.233295397455223</v>
      </c>
      <c r="CV39" s="2931"/>
      <c r="CW39" s="2930">
        <f>SUM(CX39)</f>
        <v>33.42</v>
      </c>
      <c r="CX39" s="2930">
        <f>SUM(CO39)</f>
        <v>33.42</v>
      </c>
      <c r="CY39" s="2930"/>
      <c r="CZ39" s="2930">
        <f>SUM(CZ29/CZ15)</f>
        <v>33.41684524644009</v>
      </c>
      <c r="DA39" s="2930">
        <f>SUM(DA29/DA15)</f>
        <v>33.41684524644009</v>
      </c>
      <c r="DB39" s="2931"/>
      <c r="DC39" s="2930">
        <f>SUM(DC29/DC15)</f>
        <v>32.233334517892764</v>
      </c>
      <c r="DD39" s="2930">
        <f>SUM(DD29/DD15)</f>
        <v>32.233334517892764</v>
      </c>
      <c r="DE39" s="2931"/>
      <c r="DF39" s="2930">
        <f>SUM(DG39)</f>
        <v>33.42</v>
      </c>
      <c r="DG39" s="2930">
        <f>SUM(CO39)</f>
        <v>33.42</v>
      </c>
      <c r="DH39" s="2930"/>
      <c r="DI39" s="2930">
        <f>SUM(DI29/DI15)</f>
        <v>33.416853252803961</v>
      </c>
      <c r="DJ39" s="2930">
        <f>SUM(DJ29/DJ15)</f>
        <v>33.416853252803961</v>
      </c>
      <c r="DK39" s="2931"/>
      <c r="DL39" s="2930">
        <f>SUM(DL29/DL15)</f>
        <v>32.233253916007428</v>
      </c>
      <c r="DM39" s="2930">
        <f>SUM(DM29/DM15)</f>
        <v>32.233253916007428</v>
      </c>
      <c r="DN39" s="2931"/>
      <c r="DO39" s="2940">
        <f>SUM(DO29/DO15)</f>
        <v>33.42</v>
      </c>
      <c r="DP39" s="2940">
        <f>SUM(DP29/DP15)</f>
        <v>33.42</v>
      </c>
      <c r="DQ39" s="2940"/>
      <c r="DR39" s="2940">
        <f>SUM(DR29/DR15)</f>
        <v>33.416801537873205</v>
      </c>
      <c r="DS39" s="2940">
        <f>SUM(DS29/DS15)</f>
        <v>33.416801537873205</v>
      </c>
      <c r="DT39" s="2940"/>
      <c r="DU39" s="2940">
        <f>SUM(DU29/DU15)</f>
        <v>32.233294445627408</v>
      </c>
      <c r="DV39" s="2940">
        <f>SUM(DV29/DV15)</f>
        <v>32.233294445627408</v>
      </c>
      <c r="DW39" s="2940"/>
      <c r="DX39" s="2938">
        <f t="shared" si="487"/>
        <v>-3.1984621267966418E-3</v>
      </c>
      <c r="DY39" s="2938">
        <f t="shared" si="487"/>
        <v>-3.1984621267966418E-3</v>
      </c>
      <c r="DZ39" s="2938">
        <f t="shared" si="487"/>
        <v>0</v>
      </c>
      <c r="EA39" s="2940">
        <f>SUM(EA29/EA15)</f>
        <v>32.626666666666665</v>
      </c>
      <c r="EB39" s="2940">
        <f>SUM(EB29/EB15)</f>
        <v>32.626666666666665</v>
      </c>
      <c r="EC39" s="2940"/>
      <c r="ED39" s="2940">
        <f>SUM(ED29/ED15)</f>
        <v>32.612987243797207</v>
      </c>
      <c r="EE39" s="2940">
        <f>SUM(EE29/EE15)</f>
        <v>32.612987243797207</v>
      </c>
      <c r="EF39" s="2940"/>
      <c r="EG39" s="2940">
        <f>SUM(EG29/EG15)</f>
        <v>31.397506333439143</v>
      </c>
      <c r="EH39" s="2940">
        <f>SUM(EH29/EH15)</f>
        <v>31.397506333439143</v>
      </c>
      <c r="EI39" s="2940"/>
      <c r="EJ39" s="2938">
        <f t="shared" si="489"/>
        <v>-1.3679422869458335E-2</v>
      </c>
      <c r="EK39" s="2938">
        <f t="shared" si="489"/>
        <v>-1.3679422869458335E-2</v>
      </c>
      <c r="EL39" s="2938">
        <f t="shared" si="489"/>
        <v>0</v>
      </c>
      <c r="EM39" s="2930">
        <f>SUM(EN39)</f>
        <v>33.42</v>
      </c>
      <c r="EN39" s="2930">
        <f>SUM(CO39)</f>
        <v>33.42</v>
      </c>
      <c r="EO39" s="2930"/>
      <c r="EP39" s="2930">
        <f>SUM(EP29/EP15)</f>
        <v>33.416690737649134</v>
      </c>
      <c r="EQ39" s="2930">
        <f>SUM(EQ29/EQ15)</f>
        <v>33.416690737649134</v>
      </c>
      <c r="ER39" s="2931"/>
      <c r="ES39" s="2930">
        <f>SUM(ES29/ES15)</f>
        <v>32.233266580504676</v>
      </c>
      <c r="ET39" s="2930">
        <f>SUM(ET29/ET15)</f>
        <v>32.233266580504676</v>
      </c>
      <c r="EU39" s="2931"/>
      <c r="EV39" s="2930">
        <f>SUM(EW39)</f>
        <v>33.42</v>
      </c>
      <c r="EW39" s="2930">
        <f>SUM(CO39)</f>
        <v>33.42</v>
      </c>
      <c r="EX39" s="2930"/>
      <c r="EY39" s="2930">
        <f>SUM(EY29/EY15)</f>
        <v>33.416816936828049</v>
      </c>
      <c r="EZ39" s="2930">
        <f>SUM(EZ29/EZ15)</f>
        <v>33.416816936828049</v>
      </c>
      <c r="FA39" s="2931"/>
      <c r="FB39" s="2930">
        <f>SUM(FB29/FB15)</f>
        <v>32.233235183312516</v>
      </c>
      <c r="FC39" s="2930">
        <f>SUM(FC29/FC15)</f>
        <v>32.233235183312516</v>
      </c>
      <c r="FD39" s="2931"/>
      <c r="FE39" s="2930">
        <f>SUM(FF39)</f>
        <v>33.42</v>
      </c>
      <c r="FF39" s="2930">
        <f>SUM(CO39)</f>
        <v>33.42</v>
      </c>
      <c r="FG39" s="2930"/>
      <c r="FH39" s="2930">
        <f>SUM(FH29/FH15)</f>
        <v>33.416820688664146</v>
      </c>
      <c r="FI39" s="2930">
        <f>SUM(FI29/FI15)</f>
        <v>33.416820688664146</v>
      </c>
      <c r="FJ39" s="2931"/>
      <c r="FK39" s="2930">
        <f>SUM(FK29/FK15)</f>
        <v>32.233298796131834</v>
      </c>
      <c r="FL39" s="2930">
        <f>SUM(FL29/FL15)</f>
        <v>32.233298796131834</v>
      </c>
      <c r="FM39" s="2931"/>
      <c r="FN39" s="2940">
        <f>SUM(FN29/FN15)</f>
        <v>33.42</v>
      </c>
      <c r="FO39" s="2940">
        <f>SUM(FO29/FO15)</f>
        <v>33.42</v>
      </c>
      <c r="FP39" s="2940"/>
      <c r="FQ39" s="2940">
        <f>SUM(FQ29/FQ15)</f>
        <v>33.416776004737798</v>
      </c>
      <c r="FR39" s="2940">
        <f>SUM(FR29/FR15)</f>
        <v>33.416776004737798</v>
      </c>
      <c r="FS39" s="2940"/>
      <c r="FT39" s="2940">
        <f>SUM(FT29/FT15)</f>
        <v>32.233266905735228</v>
      </c>
      <c r="FU39" s="2940">
        <f>SUM(FU29/FU15)</f>
        <v>32.233266905735228</v>
      </c>
      <c r="FV39" s="2940"/>
      <c r="FW39" s="2938">
        <f t="shared" si="497"/>
        <v>-3.2239952622035162E-3</v>
      </c>
      <c r="FX39" s="2938">
        <f t="shared" si="497"/>
        <v>-3.2239952622035162E-3</v>
      </c>
      <c r="FY39" s="2938">
        <f t="shared" si="497"/>
        <v>0</v>
      </c>
      <c r="FZ39" s="2940">
        <f>SUM(FZ29/FZ15)</f>
        <v>32.825000000000003</v>
      </c>
      <c r="GA39" s="2940">
        <f>SUM(GA29/GA15)</f>
        <v>32.825000000000003</v>
      </c>
      <c r="GB39" s="2940"/>
      <c r="GC39" s="2940">
        <f>SUM(GC29/GC15)</f>
        <v>32.814613381487099</v>
      </c>
      <c r="GD39" s="2940">
        <f>SUM(GD29/GD15)</f>
        <v>32.814613381487099</v>
      </c>
      <c r="GE39" s="2940"/>
      <c r="GF39" s="2940">
        <f>SUM(GF29/GF15)</f>
        <v>31.606057827380372</v>
      </c>
      <c r="GG39" s="2940">
        <f>SUM(GG29/GG15)</f>
        <v>31.606057827380372</v>
      </c>
      <c r="GH39" s="2940"/>
      <c r="GI39" s="2938">
        <f t="shared" si="500"/>
        <v>-1.0386618512903567E-2</v>
      </c>
      <c r="GJ39" s="2938">
        <f t="shared" si="500"/>
        <v>-1.0386618512903567E-2</v>
      </c>
      <c r="GK39" s="2938">
        <f t="shared" si="500"/>
        <v>0</v>
      </c>
      <c r="GL39" s="565"/>
      <c r="GM39" s="4193">
        <f>SUM(GM29/GM15)</f>
        <v>32.825000000000003</v>
      </c>
    </row>
    <row r="40" spans="1:195" ht="19.5" x14ac:dyDescent="0.35">
      <c r="A40" s="2848" t="s">
        <v>3812</v>
      </c>
      <c r="B40" s="2930">
        <f>SUM(C40)</f>
        <v>32.229999999999997</v>
      </c>
      <c r="C40" s="2930">
        <f>SUM(C39)</f>
        <v>32.229999999999997</v>
      </c>
      <c r="D40" s="2930"/>
      <c r="E40" s="2930">
        <f>SUM(E30/E16)</f>
        <v>32.268085106382983</v>
      </c>
      <c r="F40" s="2930">
        <f>SUM(F30/F16)</f>
        <v>32.268085106382983</v>
      </c>
      <c r="G40" s="2931"/>
      <c r="H40" s="2930">
        <f>SUM(H30/H16)</f>
        <v>31.019332161687171</v>
      </c>
      <c r="I40" s="2930">
        <f>SUM(I30/I16)</f>
        <v>31.019332161687171</v>
      </c>
      <c r="J40" s="2931"/>
      <c r="K40" s="2930">
        <f>SUM(L40)</f>
        <v>32.229999999999997</v>
      </c>
      <c r="L40" s="2930">
        <f>SUM(L39)</f>
        <v>32.229999999999997</v>
      </c>
      <c r="M40" s="2930"/>
      <c r="N40" s="2930">
        <f>SUM(N30/N16)</f>
        <v>32.247916666666669</v>
      </c>
      <c r="O40" s="2930">
        <f>SUM(O30/O16)</f>
        <v>32.247916666666669</v>
      </c>
      <c r="P40" s="2931"/>
      <c r="Q40" s="2930">
        <f>SUM(Q30/Q16)</f>
        <v>30.980392156862742</v>
      </c>
      <c r="R40" s="2930">
        <f>SUM(R30/R16)</f>
        <v>30.980392156862742</v>
      </c>
      <c r="S40" s="2931"/>
      <c r="T40" s="2930">
        <f>SUM(U40)</f>
        <v>32.229999999999997</v>
      </c>
      <c r="U40" s="2930">
        <f>SUM(U39)</f>
        <v>32.229999999999997</v>
      </c>
      <c r="V40" s="2930"/>
      <c r="W40" s="2930">
        <f>SUM(W30/W16)</f>
        <v>32.231422505307854</v>
      </c>
      <c r="X40" s="2930">
        <f>SUM(X30/X16)</f>
        <v>32.231422505307854</v>
      </c>
      <c r="Y40" s="2931"/>
      <c r="Z40" s="2930">
        <f>SUM(Z30/Z16)</f>
        <v>30.99447513812154</v>
      </c>
      <c r="AA40" s="2930">
        <f>SUM(AA30/AA16)</f>
        <v>30.99447513812154</v>
      </c>
      <c r="AB40" s="2931"/>
      <c r="AC40" s="2940" t="e">
        <f>SUM(AC30/AC16)</f>
        <v>#DIV/0!</v>
      </c>
      <c r="AD40" s="2940" t="e">
        <f>SUM(AD30/AD16)</f>
        <v>#DIV/0!</v>
      </c>
      <c r="AE40" s="2940"/>
      <c r="AF40" s="2940">
        <f>SUM(AF30/AF16)</f>
        <v>32.249120337790295</v>
      </c>
      <c r="AG40" s="2940">
        <f>SUM(AG30/AG16)</f>
        <v>32.249120337790295</v>
      </c>
      <c r="AH40" s="2940"/>
      <c r="AI40" s="2940">
        <f>SUM(AI30/AI16)</f>
        <v>30.998206814106396</v>
      </c>
      <c r="AJ40" s="2940">
        <f>SUM(AJ30/AJ16)</f>
        <v>30.998206814106396</v>
      </c>
      <c r="AK40" s="2940"/>
      <c r="AL40" s="2941" t="e">
        <f t="shared" ref="AL40" si="641">SUM(AF40-AC40)</f>
        <v>#DIV/0!</v>
      </c>
      <c r="AM40" s="2941" t="e">
        <f t="shared" ref="AM40" si="642">SUM(AG40-AD40)</f>
        <v>#DIV/0!</v>
      </c>
      <c r="AN40" s="2941">
        <f t="shared" ref="AN40" si="643">SUM(AH40-AE40)</f>
        <v>0</v>
      </c>
      <c r="AO40" s="2930">
        <f>SUM(AP40)</f>
        <v>32.229999999999997</v>
      </c>
      <c r="AP40" s="2930">
        <f>SUM(AP39)</f>
        <v>32.229999999999997</v>
      </c>
      <c r="AQ40" s="2930"/>
      <c r="AR40" s="2920">
        <f>SUM(AR30/AR16)</f>
        <v>32.225263157894737</v>
      </c>
      <c r="AS40" s="2920">
        <f>SUM(AS30/AS16)</f>
        <v>32.225263157894737</v>
      </c>
      <c r="AT40" s="2934"/>
      <c r="AU40" s="2930">
        <f>SUM(AU30/AU16)</f>
        <v>30.973782771535578</v>
      </c>
      <c r="AV40" s="2930">
        <f>SUM(AV30/AV16)</f>
        <v>30.973782771535578</v>
      </c>
      <c r="AW40" s="2931"/>
      <c r="AX40" s="2930">
        <f>SUM(AY40)</f>
        <v>32.229999999999997</v>
      </c>
      <c r="AY40" s="2930">
        <f>SUM(AY39)</f>
        <v>32.229999999999997</v>
      </c>
      <c r="AZ40" s="2930"/>
      <c r="BA40" s="2930">
        <f>SUM(BA30/BA16)</f>
        <v>32.233379761299091</v>
      </c>
      <c r="BB40" s="2930">
        <f>SUM(BB30/BB16)</f>
        <v>32.233379761299091</v>
      </c>
      <c r="BC40" s="2931"/>
      <c r="BD40" s="2930">
        <f>SUM(BD30/BD16)</f>
        <v>31</v>
      </c>
      <c r="BE40" s="2930">
        <f>SUM(BE30/BE16)</f>
        <v>31</v>
      </c>
      <c r="BF40" s="2931"/>
      <c r="BG40" s="2930">
        <f>SUM(BH40)</f>
        <v>32.229999999999997</v>
      </c>
      <c r="BH40" s="2930">
        <f>SUM(BH39)</f>
        <v>32.229999999999997</v>
      </c>
      <c r="BI40" s="2930"/>
      <c r="BJ40" s="2930">
        <f>SUM(BJ30/BJ16)</f>
        <v>32.236786469344608</v>
      </c>
      <c r="BK40" s="2930">
        <f>SUM(BK30/BK16)</f>
        <v>32.236786469344608</v>
      </c>
      <c r="BL40" s="2931"/>
      <c r="BM40" s="2930">
        <f>SUM(BM30/BM16)</f>
        <v>30.984555984555985</v>
      </c>
      <c r="BN40" s="2930">
        <f>SUM(BN30/BN16)</f>
        <v>30.984555984555985</v>
      </c>
      <c r="BO40" s="2931"/>
      <c r="BP40" s="2940" t="e">
        <f>SUM(BP30/BP16)</f>
        <v>#DIV/0!</v>
      </c>
      <c r="BQ40" s="2940" t="e">
        <f>SUM(BQ30/BQ16)</f>
        <v>#DIV/0!</v>
      </c>
      <c r="BR40" s="2940"/>
      <c r="BS40" s="2940">
        <f>SUM(BS30/BS16)</f>
        <v>32.231807878419382</v>
      </c>
      <c r="BT40" s="2940">
        <f>SUM(BT30/BT16)</f>
        <v>32.231807878419382</v>
      </c>
      <c r="BU40" s="2940"/>
      <c r="BV40" s="2940">
        <f>SUM(BV30/BV16)</f>
        <v>30.986005089058519</v>
      </c>
      <c r="BW40" s="2940">
        <f>SUM(BW30/BW16)</f>
        <v>30.986005089058519</v>
      </c>
      <c r="BX40" s="2940"/>
      <c r="BY40" s="2941" t="e">
        <f t="shared" ref="BY40" si="644">SUM(BS40-BP40)</f>
        <v>#DIV/0!</v>
      </c>
      <c r="BZ40" s="2941" t="e">
        <f t="shared" ref="BZ40" si="645">SUM(BT40-BQ40)</f>
        <v>#DIV/0!</v>
      </c>
      <c r="CA40" s="2941">
        <f t="shared" ref="CA40" si="646">SUM(BU40-BR40)</f>
        <v>0</v>
      </c>
      <c r="CB40" s="2940" t="e">
        <f>SUM(CB30/CB16)</f>
        <v>#DIV/0!</v>
      </c>
      <c r="CC40" s="2940" t="e">
        <f>SUM(CC30/CC16)</f>
        <v>#DIV/0!</v>
      </c>
      <c r="CD40" s="2940"/>
      <c r="CE40" s="2940">
        <f>SUM(CE30/CE16)</f>
        <v>32.240444064374174</v>
      </c>
      <c r="CF40" s="2940">
        <f>SUM(CF30/CF16)</f>
        <v>32.240444064374174</v>
      </c>
      <c r="CG40" s="2940"/>
      <c r="CH40" s="2940">
        <f>SUM(CH30/CH16)</f>
        <v>30.992295839753464</v>
      </c>
      <c r="CI40" s="2940">
        <f>SUM(CI30/CI16)</f>
        <v>30.992295839753464</v>
      </c>
      <c r="CJ40" s="2940"/>
      <c r="CK40" s="2941" t="e">
        <f t="shared" ref="CK40" si="647">SUM(CE40-CB40)</f>
        <v>#DIV/0!</v>
      </c>
      <c r="CL40" s="2941" t="e">
        <f t="shared" ref="CL40" si="648">SUM(CF40-CC40)</f>
        <v>#DIV/0!</v>
      </c>
      <c r="CM40" s="2941">
        <f t="shared" ref="CM40" si="649">SUM(CG40-CD40)</f>
        <v>0</v>
      </c>
      <c r="CN40" s="2930">
        <f>SUM(CO40)</f>
        <v>33.42</v>
      </c>
      <c r="CO40" s="2930">
        <f>SUM(CO39)</f>
        <v>33.42</v>
      </c>
      <c r="CP40" s="2930"/>
      <c r="CQ40" s="2930">
        <f>SUM(CQ30/CQ16)</f>
        <v>33.394841269841265</v>
      </c>
      <c r="CR40" s="2930">
        <f>SUM(CR30/CR16)</f>
        <v>33.394841269841265</v>
      </c>
      <c r="CS40" s="2931"/>
      <c r="CT40" s="2930">
        <f>SUM(CT30/CT16)</f>
        <v>32.235834609494638</v>
      </c>
      <c r="CU40" s="2930">
        <f>SUM(CU30/CU16)</f>
        <v>32.235834609494638</v>
      </c>
      <c r="CV40" s="2931"/>
      <c r="CW40" s="2930">
        <f>SUM(CX40)</f>
        <v>33.42</v>
      </c>
      <c r="CX40" s="2930">
        <f>SUM(CX39)</f>
        <v>33.42</v>
      </c>
      <c r="CY40" s="2930"/>
      <c r="CZ40" s="2930">
        <f>SUM(CZ30/CZ16)</f>
        <v>33.395089285714285</v>
      </c>
      <c r="DA40" s="2930">
        <f>SUM(DA30/DA16)</f>
        <v>33.395089285714285</v>
      </c>
      <c r="DB40" s="2931"/>
      <c r="DC40" s="2930">
        <f>SUM(DC30/DC16)</f>
        <v>32.228039557882489</v>
      </c>
      <c r="DD40" s="2930">
        <f>SUM(DD30/DD16)</f>
        <v>32.228039557882489</v>
      </c>
      <c r="DE40" s="2931"/>
      <c r="DF40" s="2930">
        <f>SUM(DG40)</f>
        <v>33.42</v>
      </c>
      <c r="DG40" s="2930">
        <f>SUM(DG39)</f>
        <v>33.42</v>
      </c>
      <c r="DH40" s="2930"/>
      <c r="DI40" s="2930">
        <f>SUM(DI30/DI16)</f>
        <v>33.41189427312775</v>
      </c>
      <c r="DJ40" s="2930">
        <f>SUM(DJ30/DJ16)</f>
        <v>33.41189427312775</v>
      </c>
      <c r="DK40" s="2931"/>
      <c r="DL40" s="2930">
        <f>SUM(DL30/DL16)</f>
        <v>32.235701906412473</v>
      </c>
      <c r="DM40" s="2930">
        <f>SUM(DM30/DM16)</f>
        <v>32.235701906412473</v>
      </c>
      <c r="DN40" s="2931"/>
      <c r="DO40" s="2940" t="e">
        <f>SUM(DO30/DO16)</f>
        <v>#DIV/0!</v>
      </c>
      <c r="DP40" s="2940" t="e">
        <f>SUM(DP30/DP16)</f>
        <v>#DIV/0!</v>
      </c>
      <c r="DQ40" s="2940"/>
      <c r="DR40" s="2940">
        <f>SUM(DR30/DR16)</f>
        <v>33.400426742532005</v>
      </c>
      <c r="DS40" s="2940">
        <f>SUM(DS30/DS16)</f>
        <v>33.400426742532005</v>
      </c>
      <c r="DT40" s="2940"/>
      <c r="DU40" s="2940">
        <f>SUM(DU30/DU16)</f>
        <v>32.23320919481187</v>
      </c>
      <c r="DV40" s="2940">
        <f>SUM(DV30/DV16)</f>
        <v>32.23320919481187</v>
      </c>
      <c r="DW40" s="2940"/>
      <c r="DX40" s="2938" t="e">
        <f t="shared" ref="DX40" si="650">SUM(DR40-DO40)</f>
        <v>#DIV/0!</v>
      </c>
      <c r="DY40" s="2938" t="e">
        <f t="shared" ref="DY40" si="651">SUM(DS40-DP40)</f>
        <v>#DIV/0!</v>
      </c>
      <c r="DZ40" s="2938">
        <f t="shared" ref="DZ40" si="652">SUM(DT40-DQ40)</f>
        <v>0</v>
      </c>
      <c r="EA40" s="2940" t="e">
        <f>SUM(EA30/EA16)</f>
        <v>#DIV/0!</v>
      </c>
      <c r="EB40" s="2940" t="e">
        <f>SUM(EB30/EB16)</f>
        <v>#DIV/0!</v>
      </c>
      <c r="EC40" s="2940"/>
      <c r="ED40" s="2940">
        <f>SUM(ED30/ED16)</f>
        <v>32.623779085017709</v>
      </c>
      <c r="EE40" s="2940">
        <f>SUM(EE30/EE16)</f>
        <v>32.623779085017709</v>
      </c>
      <c r="EF40" s="2940"/>
      <c r="EG40" s="2940">
        <f>SUM(EG30/EG16)</f>
        <v>31.394719307013155</v>
      </c>
      <c r="EH40" s="2940">
        <f>SUM(EH30/EH16)</f>
        <v>31.394719307013155</v>
      </c>
      <c r="EI40" s="2940"/>
      <c r="EJ40" s="2938" t="e">
        <f t="shared" ref="EJ40" si="653">SUM(ED40-EA40)</f>
        <v>#DIV/0!</v>
      </c>
      <c r="EK40" s="2938" t="e">
        <f t="shared" ref="EK40" si="654">SUM(EE40-EB40)</f>
        <v>#DIV/0!</v>
      </c>
      <c r="EL40" s="2938">
        <f t="shared" ref="EL40" si="655">SUM(EF40-EC40)</f>
        <v>0</v>
      </c>
      <c r="EM40" s="2930">
        <f>SUM(EN40)</f>
        <v>33.42</v>
      </c>
      <c r="EN40" s="2930">
        <f>SUM(EN39)</f>
        <v>33.42</v>
      </c>
      <c r="EO40" s="2930"/>
      <c r="EP40" s="2930">
        <f>SUM(EP30/EP16)</f>
        <v>33.435374149659864</v>
      </c>
      <c r="EQ40" s="2930">
        <f>SUM(EQ30/EQ16)</f>
        <v>33.435374149659864</v>
      </c>
      <c r="ER40" s="2931"/>
      <c r="ES40" s="2930">
        <f>SUM(ES30/ES16)</f>
        <v>32.224052718286657</v>
      </c>
      <c r="ET40" s="2930">
        <f>SUM(ET30/ET16)</f>
        <v>32.224052718286657</v>
      </c>
      <c r="EU40" s="2931"/>
      <c r="EV40" s="2930">
        <f>SUM(EW40)</f>
        <v>33.42</v>
      </c>
      <c r="EW40" s="2930">
        <f>SUM(EW39)</f>
        <v>33.42</v>
      </c>
      <c r="EX40" s="2930"/>
      <c r="EY40" s="2930">
        <f>SUM(EY30/EY16)</f>
        <v>33.416206261510126</v>
      </c>
      <c r="EZ40" s="2930">
        <f>SUM(EZ30/EZ16)</f>
        <v>33.416206261510126</v>
      </c>
      <c r="FA40" s="2931"/>
      <c r="FB40" s="2930">
        <f>SUM(FB30/FB16)</f>
        <v>32.21153846153846</v>
      </c>
      <c r="FC40" s="2930">
        <f>SUM(FC30/FC16)</f>
        <v>32.21153846153846</v>
      </c>
      <c r="FD40" s="2931"/>
      <c r="FE40" s="2930">
        <f>SUM(FF40)</f>
        <v>33.42</v>
      </c>
      <c r="FF40" s="2930">
        <f>SUM(FF39)</f>
        <v>33.42</v>
      </c>
      <c r="FG40" s="2930"/>
      <c r="FH40" s="2930">
        <f>SUM(FH30/FH16)</f>
        <v>33.422150882825036</v>
      </c>
      <c r="FI40" s="2930">
        <f>SUM(FI30/FI16)</f>
        <v>33.422150882825036</v>
      </c>
      <c r="FJ40" s="2931"/>
      <c r="FK40" s="2930">
        <f>SUM(FK30/FK16)</f>
        <v>32.232704402515722</v>
      </c>
      <c r="FL40" s="2930">
        <f>SUM(FL30/FL16)</f>
        <v>32.232704402515722</v>
      </c>
      <c r="FM40" s="2931"/>
      <c r="FN40" s="2940" t="e">
        <f>SUM(FN30/FN16)</f>
        <v>#DIV/0!</v>
      </c>
      <c r="FO40" s="2940" t="e">
        <f>SUM(FO30/FO16)</f>
        <v>#DIV/0!</v>
      </c>
      <c r="FP40" s="2940"/>
      <c r="FQ40" s="2940">
        <f>SUM(FQ30/FQ16)</f>
        <v>33.423318385650219</v>
      </c>
      <c r="FR40" s="2940">
        <f>SUM(FR30/FR16)</f>
        <v>33.423318385650219</v>
      </c>
      <c r="FS40" s="2940"/>
      <c r="FT40" s="2940">
        <f>SUM(FT30/FT16)</f>
        <v>32.222494887525563</v>
      </c>
      <c r="FU40" s="2940">
        <f>SUM(FU30/FU16)</f>
        <v>32.222494887525563</v>
      </c>
      <c r="FV40" s="2940"/>
      <c r="FW40" s="2938" t="e">
        <f t="shared" ref="FW40" si="656">SUM(FQ40-FN40)</f>
        <v>#DIV/0!</v>
      </c>
      <c r="FX40" s="2938" t="e">
        <f t="shared" ref="FX40" si="657">SUM(FR40-FO40)</f>
        <v>#DIV/0!</v>
      </c>
      <c r="FY40" s="2938">
        <f t="shared" ref="FY40" si="658">SUM(FS40-FP40)</f>
        <v>0</v>
      </c>
      <c r="FZ40" s="2940" t="e">
        <f>SUM(FZ30/FZ16)</f>
        <v>#DIV/0!</v>
      </c>
      <c r="GA40" s="2940" t="e">
        <f>SUM(GA30/GA16)</f>
        <v>#DIV/0!</v>
      </c>
      <c r="GB40" s="2940"/>
      <c r="GC40" s="2940">
        <f>SUM(GC30/GC16)</f>
        <v>32.898734169407007</v>
      </c>
      <c r="GD40" s="2940">
        <f>SUM(GD30/GD16)</f>
        <v>32.898734169407007</v>
      </c>
      <c r="GE40" s="2940"/>
      <c r="GF40" s="2940">
        <f>SUM(GF30/GF16)</f>
        <v>31.594535998199202</v>
      </c>
      <c r="GG40" s="2940">
        <f>SUM(GG30/GG16)</f>
        <v>31.594535998199202</v>
      </c>
      <c r="GH40" s="2940"/>
      <c r="GI40" s="2938" t="e">
        <f t="shared" ref="GI40" si="659">SUM(GC40-FZ40)</f>
        <v>#DIV/0!</v>
      </c>
      <c r="GJ40" s="2938" t="e">
        <f t="shared" ref="GJ40" si="660">SUM(GD40-GA40)</f>
        <v>#DIV/0!</v>
      </c>
      <c r="GK40" s="2938">
        <f t="shared" ref="GK40" si="661">SUM(GE40-GB40)</f>
        <v>0</v>
      </c>
      <c r="GL40" s="565"/>
      <c r="GM40" s="3055"/>
    </row>
    <row r="41" spans="1:195" ht="19.5" x14ac:dyDescent="0.35">
      <c r="A41" s="2939" t="s">
        <v>3784</v>
      </c>
      <c r="B41" s="2930">
        <f>SUM(C41)</f>
        <v>7.3743325710799539</v>
      </c>
      <c r="C41" s="2930">
        <f>SUM(C42-C39)</f>
        <v>7.3743325710799539</v>
      </c>
      <c r="D41" s="2930"/>
      <c r="E41" s="2930">
        <f>SUM(E31/E15)</f>
        <v>7.3564904526279786</v>
      </c>
      <c r="F41" s="2930">
        <f>SUM(F31/F15)</f>
        <v>7.3564904526279786</v>
      </c>
      <c r="G41" s="2931"/>
      <c r="H41" s="2930">
        <f>SUM(H31/H15)</f>
        <v>7.1121709253038068</v>
      </c>
      <c r="I41" s="2930">
        <f>SUM(I31/I15)</f>
        <v>7.1121709253038068</v>
      </c>
      <c r="J41" s="2931"/>
      <c r="K41" s="2930">
        <f>SUM(L41)</f>
        <v>7.3743325710799539</v>
      </c>
      <c r="L41" s="2930">
        <f t="shared" ref="L41:L42" si="662">SUM(C41)</f>
        <v>7.3743325710799539</v>
      </c>
      <c r="M41" s="2930"/>
      <c r="N41" s="2930">
        <f>SUM(N31/N15)</f>
        <v>7.3539352571073477</v>
      </c>
      <c r="O41" s="2930">
        <f>SUM(O31/O15)</f>
        <v>7.3539352571073477</v>
      </c>
      <c r="P41" s="2931"/>
      <c r="Q41" s="2930">
        <f>SUM(Q31/Q15)</f>
        <v>7.1059522932173822</v>
      </c>
      <c r="R41" s="2930">
        <f>SUM(R31/R15)</f>
        <v>7.1059522932173822</v>
      </c>
      <c r="S41" s="2931"/>
      <c r="T41" s="2930">
        <f>SUM(U41)</f>
        <v>7.3743325710799539</v>
      </c>
      <c r="U41" s="2930">
        <f t="shared" ref="U41:U42" si="663">SUM(C41)</f>
        <v>7.3743325710799539</v>
      </c>
      <c r="V41" s="2930"/>
      <c r="W41" s="2930">
        <f>SUM(W31/W15)</f>
        <v>7.3594821761297329</v>
      </c>
      <c r="X41" s="2930">
        <f>SUM(X31/X15)</f>
        <v>7.3594821761297329</v>
      </c>
      <c r="Y41" s="2931"/>
      <c r="Z41" s="2930">
        <f>SUM(Z31/Z15)</f>
        <v>7.1139556665625978</v>
      </c>
      <c r="AA41" s="2930">
        <f>SUM(AA31/AA15)</f>
        <v>7.1139556665625978</v>
      </c>
      <c r="AB41" s="2931"/>
      <c r="AC41" s="2940">
        <f>SUM(AC31/AC15)</f>
        <v>7.3743325710799557</v>
      </c>
      <c r="AD41" s="2940">
        <f>SUM(AD31/AD15)</f>
        <v>7.3743325710799557</v>
      </c>
      <c r="AE41" s="2940"/>
      <c r="AF41" s="2940">
        <f>SUM(AF31/AF15)</f>
        <v>7.3565841044770108</v>
      </c>
      <c r="AG41" s="2940">
        <f>SUM(AG31/AG15)</f>
        <v>7.3565841044770108</v>
      </c>
      <c r="AH41" s="2940"/>
      <c r="AI41" s="2940">
        <f>SUM(AI31/AI15)</f>
        <v>7.1106457115654171</v>
      </c>
      <c r="AJ41" s="2940">
        <f>SUM(AJ31/AJ15)</f>
        <v>7.1106457115654171</v>
      </c>
      <c r="AK41" s="2940"/>
      <c r="AL41" s="2941">
        <f t="shared" si="469"/>
        <v>-1.7748466602944823E-2</v>
      </c>
      <c r="AM41" s="2941">
        <f t="shared" si="469"/>
        <v>-1.7748466602944823E-2</v>
      </c>
      <c r="AN41" s="2941">
        <f t="shared" si="469"/>
        <v>0</v>
      </c>
      <c r="AO41" s="2930">
        <f>SUM(AP41)</f>
        <v>7.3743325710799539</v>
      </c>
      <c r="AP41" s="2930">
        <f>SUM(C41)</f>
        <v>7.3743325710799539</v>
      </c>
      <c r="AQ41" s="2930"/>
      <c r="AR41" s="2920">
        <f>SUM(AR31/AR15)</f>
        <v>7.3563319604222883</v>
      </c>
      <c r="AS41" s="2920">
        <f>SUM(AS31/AS15)</f>
        <v>7.3563319604222883</v>
      </c>
      <c r="AT41" s="2934"/>
      <c r="AU41" s="2930">
        <f>SUM(AU31/AU15)</f>
        <v>7.1128105187853077</v>
      </c>
      <c r="AV41" s="2930">
        <f>SUM(AV31/AV15)</f>
        <v>7.1128105187853077</v>
      </c>
      <c r="AW41" s="2931"/>
      <c r="AX41" s="2930">
        <f>SUM(AY41)</f>
        <v>7.3743325710799539</v>
      </c>
      <c r="AY41" s="2930">
        <f>SUM(C41)</f>
        <v>7.3743325710799539</v>
      </c>
      <c r="AZ41" s="2930"/>
      <c r="BA41" s="2930">
        <f>SUM(BA31/BA15)</f>
        <v>7.3589625312804845</v>
      </c>
      <c r="BB41" s="2930">
        <f>SUM(BB31/BB15)</f>
        <v>7.3589625312804845</v>
      </c>
      <c r="BC41" s="2931"/>
      <c r="BD41" s="2930">
        <f>SUM(BD31/BD15)</f>
        <v>7.1151649580791778</v>
      </c>
      <c r="BE41" s="2930">
        <f>SUM(BE31/BE15)</f>
        <v>7.1151649580791778</v>
      </c>
      <c r="BF41" s="2931"/>
      <c r="BG41" s="2930">
        <f>SUM(BH41)</f>
        <v>7.3743325710799539</v>
      </c>
      <c r="BH41" s="2930">
        <f>SUM(C41)</f>
        <v>7.3743325710799539</v>
      </c>
      <c r="BI41" s="2930"/>
      <c r="BJ41" s="2930">
        <f>SUM(BJ31/BJ15)</f>
        <v>7.3633815881662175</v>
      </c>
      <c r="BK41" s="2930">
        <f>SUM(BK31/BK15)</f>
        <v>7.3633815881662175</v>
      </c>
      <c r="BL41" s="2931"/>
      <c r="BM41" s="2930">
        <f>SUM(BM31/BM15)</f>
        <v>7.1113544025994244</v>
      </c>
      <c r="BN41" s="2930">
        <f>SUM(BN31/BN15)</f>
        <v>7.1113544025994244</v>
      </c>
      <c r="BO41" s="2931"/>
      <c r="BP41" s="2940">
        <f>SUM(BP31/BP15)</f>
        <v>7.3743325710799557</v>
      </c>
      <c r="BQ41" s="2940">
        <f>SUM(BQ31/BQ15)</f>
        <v>7.3743325710799557</v>
      </c>
      <c r="BR41" s="2940"/>
      <c r="BS41" s="2940">
        <f>SUM(BS31/BS15)</f>
        <v>7.3595116092193491</v>
      </c>
      <c r="BT41" s="2940">
        <f>SUM(BT31/BT15)</f>
        <v>7.3595116092193491</v>
      </c>
      <c r="BU41" s="2940"/>
      <c r="BV41" s="2940">
        <f>SUM(BV31/BV15)</f>
        <v>7.1131480305940453</v>
      </c>
      <c r="BW41" s="2940">
        <f>SUM(BW31/BW15)</f>
        <v>7.1131480305940453</v>
      </c>
      <c r="BX41" s="2940"/>
      <c r="BY41" s="2941">
        <f t="shared" si="477"/>
        <v>-1.4820961860606552E-2</v>
      </c>
      <c r="BZ41" s="2941">
        <f t="shared" si="477"/>
        <v>-1.4820961860606552E-2</v>
      </c>
      <c r="CA41" s="2941">
        <f t="shared" si="477"/>
        <v>0</v>
      </c>
      <c r="CB41" s="2940">
        <f>SUM(CB31/CB15)</f>
        <v>7.3743325710799557</v>
      </c>
      <c r="CC41" s="2940">
        <f>SUM(CC31/CC15)</f>
        <v>7.3743325710799557</v>
      </c>
      <c r="CD41" s="2940"/>
      <c r="CE41" s="2940">
        <f>SUM(CE31/CE15)</f>
        <v>7.3580461505190877</v>
      </c>
      <c r="CF41" s="2940">
        <f>SUM(CF31/CF15)</f>
        <v>7.3580461505190877</v>
      </c>
      <c r="CG41" s="2940"/>
      <c r="CH41" s="2940">
        <f>SUM(CH31/CH15)</f>
        <v>7.1119049085422184</v>
      </c>
      <c r="CI41" s="2940">
        <f>SUM(CI31/CI15)</f>
        <v>7.1119049085422184</v>
      </c>
      <c r="CJ41" s="2940"/>
      <c r="CK41" s="2941">
        <f t="shared" si="479"/>
        <v>-1.6286420560867931E-2</v>
      </c>
      <c r="CL41" s="2941">
        <f t="shared" si="479"/>
        <v>-1.6286420560867931E-2</v>
      </c>
      <c r="CM41" s="2941">
        <f t="shared" si="479"/>
        <v>0</v>
      </c>
      <c r="CN41" s="2930">
        <f>SUM(CO41)</f>
        <v>8.5952342789462932</v>
      </c>
      <c r="CO41" s="2930">
        <f>SUM(CO42-CO39)</f>
        <v>8.5952342789462932</v>
      </c>
      <c r="CP41" s="2930"/>
      <c r="CQ41" s="2930">
        <f>SUM(CQ31/CQ15)</f>
        <v>8.5853773756313814</v>
      </c>
      <c r="CR41" s="2930">
        <f>SUM(CR31/CR15)</f>
        <v>8.5853773756313814</v>
      </c>
      <c r="CS41" s="2931"/>
      <c r="CT41" s="2930">
        <f>SUM(CT31/CT15)</f>
        <v>7.3655070591492109</v>
      </c>
      <c r="CU41" s="2930">
        <f>SUM(CU31/CU15)</f>
        <v>7.3655070591492109</v>
      </c>
      <c r="CV41" s="2931"/>
      <c r="CW41" s="2930">
        <f>SUM(CX41)</f>
        <v>8.5952342789462932</v>
      </c>
      <c r="CX41" s="2930">
        <f t="shared" ref="CX41:CX42" si="664">SUM(CO41)</f>
        <v>8.5952342789462932</v>
      </c>
      <c r="CY41" s="2930"/>
      <c r="CZ41" s="2930">
        <f>SUM(CZ31/CZ15)</f>
        <v>8.5857383188800558</v>
      </c>
      <c r="DA41" s="2930">
        <f>SUM(DA31/DA15)</f>
        <v>8.5857383188800558</v>
      </c>
      <c r="DB41" s="2931"/>
      <c r="DC41" s="2930">
        <f>SUM(DC31/DC15)</f>
        <v>7.3630691596566118</v>
      </c>
      <c r="DD41" s="2930">
        <f>SUM(DD31/DD15)</f>
        <v>7.3630691596566118</v>
      </c>
      <c r="DE41" s="2931"/>
      <c r="DF41" s="2930">
        <f>SUM(DG41)</f>
        <v>8.5952342789462932</v>
      </c>
      <c r="DG41" s="2930">
        <f t="shared" ref="DG41:DG42" si="665">SUM(CO41)</f>
        <v>8.5952342789462932</v>
      </c>
      <c r="DH41" s="2930"/>
      <c r="DI41" s="2930">
        <f>SUM(DI31/DI15)</f>
        <v>8.5867405771846101</v>
      </c>
      <c r="DJ41" s="2930">
        <f>SUM(DJ31/DJ15)</f>
        <v>8.5867405771846101</v>
      </c>
      <c r="DK41" s="2931"/>
      <c r="DL41" s="2930">
        <f>SUM(DL31/DL15)</f>
        <v>7.3615935604617855</v>
      </c>
      <c r="DM41" s="2930">
        <f>SUM(DM31/DM15)</f>
        <v>7.3615935604617855</v>
      </c>
      <c r="DN41" s="2931"/>
      <c r="DO41" s="2940">
        <f>SUM(DO31/DO15)</f>
        <v>8.595234278946295</v>
      </c>
      <c r="DP41" s="2940">
        <f>SUM(DP31/DP15)</f>
        <v>8.595234278946295</v>
      </c>
      <c r="DQ41" s="2940"/>
      <c r="DR41" s="2940">
        <f>SUM(DR31/DR15)</f>
        <v>8.585950517632277</v>
      </c>
      <c r="DS41" s="2940">
        <f>SUM(DS31/DS15)</f>
        <v>8.585950517632277</v>
      </c>
      <c r="DT41" s="2940"/>
      <c r="DU41" s="2940">
        <f>SUM(DU31/DU15)</f>
        <v>7.3633759145047071</v>
      </c>
      <c r="DV41" s="2940">
        <f>SUM(DV31/DV15)</f>
        <v>7.3633759145047071</v>
      </c>
      <c r="DW41" s="2940"/>
      <c r="DX41" s="2938">
        <f t="shared" si="487"/>
        <v>-9.2837613140179798E-3</v>
      </c>
      <c r="DY41" s="2938">
        <f t="shared" si="487"/>
        <v>-9.2837613140179798E-3</v>
      </c>
      <c r="DZ41" s="2938">
        <f t="shared" si="487"/>
        <v>0</v>
      </c>
      <c r="EA41" s="2940">
        <f>SUM(EA31/EA15)</f>
        <v>7.7812998070354018</v>
      </c>
      <c r="EB41" s="2940">
        <f>SUM(EB31/EB15)</f>
        <v>7.7812998070354018</v>
      </c>
      <c r="EC41" s="2940"/>
      <c r="ED41" s="2940">
        <f>SUM(ED31/ED15)</f>
        <v>7.7520348037464908</v>
      </c>
      <c r="EE41" s="2940">
        <f>SUM(EE31/EE15)</f>
        <v>7.7520348037464908</v>
      </c>
      <c r="EF41" s="2940"/>
      <c r="EG41" s="2940">
        <f>SUM(EG31/EG15)</f>
        <v>7.1941064383139386</v>
      </c>
      <c r="EH41" s="2940">
        <f>SUM(EH31/EH15)</f>
        <v>7.1941064383139386</v>
      </c>
      <c r="EI41" s="2940"/>
      <c r="EJ41" s="2938">
        <f t="shared" si="489"/>
        <v>-2.9265003288911018E-2</v>
      </c>
      <c r="EK41" s="2938">
        <f t="shared" si="489"/>
        <v>-2.9265003288911018E-2</v>
      </c>
      <c r="EL41" s="2938">
        <f t="shared" si="489"/>
        <v>0</v>
      </c>
      <c r="EM41" s="2930">
        <f>SUM(EN41)</f>
        <v>8.5952342789462932</v>
      </c>
      <c r="EN41" s="2930">
        <f t="shared" ref="EN41:EN42" si="666">SUM(CO41)</f>
        <v>8.5952342789462932</v>
      </c>
      <c r="EO41" s="2930"/>
      <c r="EP41" s="2930">
        <f>SUM(EP31/EP15)</f>
        <v>8.5827315587715471</v>
      </c>
      <c r="EQ41" s="2930">
        <f>SUM(EQ31/EQ15)</f>
        <v>8.5827315587715471</v>
      </c>
      <c r="ER41" s="2931"/>
      <c r="ES41" s="2930">
        <f>SUM(ES31/ES15)</f>
        <v>7.3651110721900945</v>
      </c>
      <c r="ET41" s="2930">
        <f>SUM(ET31/ET15)</f>
        <v>7.3651110721900945</v>
      </c>
      <c r="EU41" s="2931"/>
      <c r="EV41" s="2930">
        <f>SUM(EW41)</f>
        <v>8.5952342789462932</v>
      </c>
      <c r="EW41" s="2930">
        <f t="shared" ref="EW41:EW42" si="667">SUM(CO41)</f>
        <v>8.5952342789462932</v>
      </c>
      <c r="EX41" s="2930"/>
      <c r="EY41" s="2930">
        <f>SUM(EY31/EY15)</f>
        <v>8.5770520405875637</v>
      </c>
      <c r="EZ41" s="2930">
        <f>SUM(EZ31/EZ15)</f>
        <v>8.5770520405875637</v>
      </c>
      <c r="FA41" s="2931"/>
      <c r="FB41" s="2930">
        <f>SUM(FB31/FB15)</f>
        <v>7.35876806852656</v>
      </c>
      <c r="FC41" s="2930">
        <f>SUM(FC31/FC15)</f>
        <v>7.35876806852656</v>
      </c>
      <c r="FD41" s="2931"/>
      <c r="FE41" s="2930">
        <f>SUM(FF41)</f>
        <v>8.5952342789462932</v>
      </c>
      <c r="FF41" s="2930">
        <f t="shared" ref="FF41:FF42" si="668">SUM(CO41)</f>
        <v>8.5952342789462932</v>
      </c>
      <c r="FG41" s="2930"/>
      <c r="FH41" s="2930">
        <f>SUM(FH31/FH15)</f>
        <v>8.5837392411711946</v>
      </c>
      <c r="FI41" s="2930">
        <f>SUM(FI31/FI15)</f>
        <v>8.5837392411711946</v>
      </c>
      <c r="FJ41" s="2931"/>
      <c r="FK41" s="2930">
        <f>SUM(FK31/FK15)</f>
        <v>7.3618265245707519</v>
      </c>
      <c r="FL41" s="2930">
        <f>SUM(FL31/FL15)</f>
        <v>7.3618265245707519</v>
      </c>
      <c r="FM41" s="2931"/>
      <c r="FN41" s="2940">
        <f>SUM(FN31/FN15)</f>
        <v>8.595234278946295</v>
      </c>
      <c r="FO41" s="2940">
        <f>SUM(FO31/FO15)</f>
        <v>8.595234278946295</v>
      </c>
      <c r="FP41" s="2940"/>
      <c r="FQ41" s="2940">
        <f>SUM(FQ31/FQ15)</f>
        <v>8.5811577511149206</v>
      </c>
      <c r="FR41" s="2940">
        <f>SUM(FR31/FR15)</f>
        <v>8.5811577511149206</v>
      </c>
      <c r="FS41" s="2940"/>
      <c r="FT41" s="2940">
        <f>SUM(FT31/FT15)</f>
        <v>7.3618773027331681</v>
      </c>
      <c r="FU41" s="2940">
        <f>SUM(FU31/FU15)</f>
        <v>7.3618773027331681</v>
      </c>
      <c r="FV41" s="2940"/>
      <c r="FW41" s="2938">
        <f t="shared" si="497"/>
        <v>-1.4076527831374364E-2</v>
      </c>
      <c r="FX41" s="2938">
        <f t="shared" si="497"/>
        <v>-1.4076527831374364E-2</v>
      </c>
      <c r="FY41" s="2938">
        <f t="shared" si="497"/>
        <v>0</v>
      </c>
      <c r="FZ41" s="2940">
        <f>SUM(FZ31/FZ15)</f>
        <v>7.9847834250131244</v>
      </c>
      <c r="GA41" s="2940">
        <f>SUM(GA31/GA15)</f>
        <v>7.9847834250131244</v>
      </c>
      <c r="GB41" s="2940"/>
      <c r="GC41" s="2940">
        <f>SUM(GC31/GC15)</f>
        <v>7.960015887423662</v>
      </c>
      <c r="GD41" s="2940">
        <f>SUM(GD31/GD15)</f>
        <v>7.960015887423662</v>
      </c>
      <c r="GE41" s="2940"/>
      <c r="GF41" s="2940">
        <f>SUM(GF31/GF15)</f>
        <v>7.2359711368583044</v>
      </c>
      <c r="GG41" s="2940">
        <f>SUM(GG31/GG15)</f>
        <v>7.2359711368583044</v>
      </c>
      <c r="GH41" s="2940"/>
      <c r="GI41" s="2938">
        <f t="shared" si="500"/>
        <v>-2.4767537589462485E-2</v>
      </c>
      <c r="GJ41" s="2938">
        <f t="shared" si="500"/>
        <v>-2.4767537589462485E-2</v>
      </c>
      <c r="GK41" s="2938">
        <f t="shared" si="500"/>
        <v>0</v>
      </c>
      <c r="GL41" s="565"/>
      <c r="GM41" s="3055"/>
    </row>
    <row r="42" spans="1:195" ht="19.5" x14ac:dyDescent="0.35">
      <c r="A42" s="2939" t="s">
        <v>256</v>
      </c>
      <c r="B42" s="2930">
        <f>SUM(C42)</f>
        <v>39.604332571079951</v>
      </c>
      <c r="C42" s="2930">
        <f>SUM('вода 2019-2021 коррект'!BE39)</f>
        <v>39.604332571079951</v>
      </c>
      <c r="D42" s="2930"/>
      <c r="E42" s="2930">
        <f>SUM(E32+E34)/(E17+E22-G17)</f>
        <v>39.599781301257522</v>
      </c>
      <c r="F42" s="2930">
        <f>SUM(F32+F34)/(F17+F22)</f>
        <v>39.599781301257522</v>
      </c>
      <c r="G42" s="2931"/>
      <c r="H42" s="2930">
        <f>SUM(H32+H34)/(H17+H22-J17)</f>
        <v>38.087810605820188</v>
      </c>
      <c r="I42" s="2930">
        <f>SUM(I32+I34)/(I17+I22)</f>
        <v>38.087810605820195</v>
      </c>
      <c r="J42" s="2931"/>
      <c r="K42" s="2930">
        <f>SUM(L42)</f>
        <v>39.604332571079951</v>
      </c>
      <c r="L42" s="2930">
        <f t="shared" si="662"/>
        <v>39.604332571079951</v>
      </c>
      <c r="M42" s="2930"/>
      <c r="N42" s="2930">
        <f>SUM(N32+N34)/(N17+N22-P17)</f>
        <v>39.599877165697535</v>
      </c>
      <c r="O42" s="2930">
        <f>SUM(O32+O34)/(O17+O22)</f>
        <v>39.599877165697535</v>
      </c>
      <c r="P42" s="2931"/>
      <c r="Q42" s="2930">
        <f>SUM(Q32+Q34)/(Q17+Q22-S17)</f>
        <v>38.109798809199511</v>
      </c>
      <c r="R42" s="2930">
        <f>SUM(R32+R34)/(R17+R22)</f>
        <v>38.109798809199511</v>
      </c>
      <c r="S42" s="2931"/>
      <c r="T42" s="2930">
        <f>SUM(U42)</f>
        <v>39.604332571079951</v>
      </c>
      <c r="U42" s="2930">
        <f t="shared" si="663"/>
        <v>39.604332571079951</v>
      </c>
      <c r="V42" s="2930"/>
      <c r="W42" s="2930">
        <f>SUM(W32+W34)/(W17+W22-Y17)</f>
        <v>39.599414119323029</v>
      </c>
      <c r="X42" s="2930">
        <f>SUM(X32+X34)/(X17+X22)</f>
        <v>39.599414119323029</v>
      </c>
      <c r="Y42" s="2931"/>
      <c r="Z42" s="2930">
        <f>SUM(Z32+Z34)/(Z17+Z22-AB17)</f>
        <v>38.110009327979881</v>
      </c>
      <c r="AA42" s="2930">
        <f>SUM(AA32+AA34)/(AA17+AA22)</f>
        <v>38.110009327979881</v>
      </c>
      <c r="AB42" s="2931"/>
      <c r="AC42" s="2932">
        <f>SUM(AC32+AC34)/(AC17+AC22-AE17)</f>
        <v>39.604332571079958</v>
      </c>
      <c r="AD42" s="2932">
        <f>SUM(AD32+AD34)/(AD17+AD22)</f>
        <v>39.604332571079958</v>
      </c>
      <c r="AE42" s="2940"/>
      <c r="AF42" s="2932">
        <f>SUM(AF32+AF34)/(AF17+AF22-AH17)</f>
        <v>39.599686755957606</v>
      </c>
      <c r="AG42" s="2932">
        <f>SUM(AG32+AG34)/(AG17+AG22)</f>
        <v>39.599686755957606</v>
      </c>
      <c r="AH42" s="2940"/>
      <c r="AI42" s="2932">
        <f>SUM(AI32+AI34)/(AI17+AI22-AK17)</f>
        <v>38.102845422691075</v>
      </c>
      <c r="AJ42" s="2932">
        <f>SUM(AJ32+AJ34)/(AJ17+AJ22)</f>
        <v>38.102845422691068</v>
      </c>
      <c r="AK42" s="2940"/>
      <c r="AL42" s="2941">
        <f t="shared" si="469"/>
        <v>-4.6458151223518485E-3</v>
      </c>
      <c r="AM42" s="2941">
        <f t="shared" si="469"/>
        <v>-4.6458151223518485E-3</v>
      </c>
      <c r="AN42" s="2941">
        <f t="shared" si="469"/>
        <v>0</v>
      </c>
      <c r="AO42" s="2930">
        <f>SUM(AP42)</f>
        <v>39.604332571079951</v>
      </c>
      <c r="AP42" s="2930">
        <f>SUM(C42)</f>
        <v>39.604332571079951</v>
      </c>
      <c r="AQ42" s="2930"/>
      <c r="AR42" s="2920">
        <f>SUM(AR32+AR34)/(AR17+AR22-AT17)</f>
        <v>39.600164595673775</v>
      </c>
      <c r="AS42" s="2920">
        <f>SUM(AS32+AS34)/(AS17+AS22)</f>
        <v>39.600164595673775</v>
      </c>
      <c r="AT42" s="2934"/>
      <c r="AU42" s="2930">
        <f>SUM(AU32+AU34)/(AU17+AU22-AW17)</f>
        <v>38.10985628532621</v>
      </c>
      <c r="AV42" s="2930">
        <f>SUM(AV32+AV34)/(AV17+AV22)</f>
        <v>38.109856285326202</v>
      </c>
      <c r="AW42" s="2931"/>
      <c r="AX42" s="2930">
        <f>SUM(AY42)</f>
        <v>39.604332571079951</v>
      </c>
      <c r="AY42" s="2930">
        <f>SUM(C42)</f>
        <v>39.604332571079951</v>
      </c>
      <c r="AZ42" s="2930"/>
      <c r="BA42" s="2930">
        <f>SUM(BA32+BA34)/(BA17+BA22-BC17)</f>
        <v>39.599831741147035</v>
      </c>
      <c r="BB42" s="2930">
        <f>SUM(BB32+BB34)/(BB17+BB22)</f>
        <v>39.599831741147035</v>
      </c>
      <c r="BC42" s="2931"/>
      <c r="BD42" s="2930">
        <f>SUM(BD32+BD34)/(BD17+BD22-BF17)</f>
        <v>38.110276968935864</v>
      </c>
      <c r="BE42" s="2930">
        <f>SUM(BE32+BE34)/(BE17+BE22)</f>
        <v>38.110276968935871</v>
      </c>
      <c r="BF42" s="2931"/>
      <c r="BG42" s="2930">
        <f>SUM(BH42)</f>
        <v>39.604332571079951</v>
      </c>
      <c r="BH42" s="2930">
        <f>SUM(C42)</f>
        <v>39.604332571079951</v>
      </c>
      <c r="BI42" s="2930"/>
      <c r="BJ42" s="2930">
        <f>SUM(BJ32+BJ34)/(BJ17+BJ22-BL17)</f>
        <v>39.599820977590234</v>
      </c>
      <c r="BK42" s="2930">
        <f>SUM(BK32+BK34)/(BK17+BK22)</f>
        <v>39.599820977590234</v>
      </c>
      <c r="BL42" s="2931"/>
      <c r="BM42" s="2930">
        <f>SUM(BM32+BM34)/(BM17+BM22-BO17)</f>
        <v>38.110133817036861</v>
      </c>
      <c r="BN42" s="2930">
        <f>SUM(BN32+BN34)/(BN17+BN22)</f>
        <v>38.110133817036854</v>
      </c>
      <c r="BO42" s="2931"/>
      <c r="BP42" s="2932">
        <f>SUM(BP32+BP34)/(BP17+BP22-BR17)</f>
        <v>39.604332571079958</v>
      </c>
      <c r="BQ42" s="2932">
        <f>SUM(BQ32+BQ34)/(BQ17+BQ22)</f>
        <v>39.604332571079958</v>
      </c>
      <c r="BR42" s="2940"/>
      <c r="BS42" s="2932">
        <f>SUM(BS32+BS34)/(BS17+BS22-BU17)</f>
        <v>39.599944091180923</v>
      </c>
      <c r="BT42" s="2932">
        <f>SUM(BT32+BT34)/(BT17+BT22)</f>
        <v>39.599944091180916</v>
      </c>
      <c r="BU42" s="2940"/>
      <c r="BV42" s="2932">
        <f>SUM(BV32+BV34)/(BV17+BV22-BX17)</f>
        <v>38.110074300351613</v>
      </c>
      <c r="BW42" s="2932">
        <f>SUM(BW32+BW34)/(BW17+BW22)</f>
        <v>38.110074300351613</v>
      </c>
      <c r="BX42" s="2940"/>
      <c r="BY42" s="2941">
        <f t="shared" si="477"/>
        <v>-4.3884798990347917E-3</v>
      </c>
      <c r="BZ42" s="2941">
        <f t="shared" si="477"/>
        <v>-4.3884798990418972E-3</v>
      </c>
      <c r="CA42" s="2941">
        <f t="shared" si="477"/>
        <v>0</v>
      </c>
      <c r="CB42" s="2932">
        <f>SUM(CB32+CB34)/(CB17+CB22-CD17)</f>
        <v>39.604332571079958</v>
      </c>
      <c r="CC42" s="2932">
        <f>SUM(CC32+CC34)/(CC17+CC22)</f>
        <v>39.604332571079958</v>
      </c>
      <c r="CD42" s="2940"/>
      <c r="CE42" s="2932">
        <f>SUM(CE32+CE34)/(CE17+CE22-CG17)</f>
        <v>39.599814933949048</v>
      </c>
      <c r="CF42" s="2932">
        <f>SUM(CF32+CF34)/(CF17+CF22)</f>
        <v>39.599814933949048</v>
      </c>
      <c r="CG42" s="2940"/>
      <c r="CH42" s="2932">
        <f>SUM(CH32+CH34)/(CH17+CH22-CJ17)</f>
        <v>38.106165766285869</v>
      </c>
      <c r="CI42" s="2932">
        <f>SUM(CI32+CI34)/(CI17+CI22)</f>
        <v>38.106165766285869</v>
      </c>
      <c r="CJ42" s="2940"/>
      <c r="CK42" s="2941">
        <f t="shared" si="479"/>
        <v>-4.5176371309096908E-3</v>
      </c>
      <c r="CL42" s="2941">
        <f t="shared" si="479"/>
        <v>-4.5176371309096908E-3</v>
      </c>
      <c r="CM42" s="2941">
        <f t="shared" si="479"/>
        <v>0</v>
      </c>
      <c r="CN42" s="2930">
        <f>SUM(CO42)</f>
        <v>42.015234278946295</v>
      </c>
      <c r="CO42" s="2930">
        <f>SUM('вода 2019-2021 коррект'!BE40)</f>
        <v>42.015234278946295</v>
      </c>
      <c r="CP42" s="2930"/>
      <c r="CQ42" s="2930">
        <f>SUM(CQ32+CQ34)/(CQ17+CQ22-CS17)</f>
        <v>42.016170431211499</v>
      </c>
      <c r="CR42" s="2930">
        <f>SUM(CR32+CR34)/(CR17+CR22)</f>
        <v>42.016170431211499</v>
      </c>
      <c r="CS42" s="2931"/>
      <c r="CT42" s="2930">
        <f>SUM(CT32+CT34)/(CT17+CT22-CV17)</f>
        <v>39.600104309277015</v>
      </c>
      <c r="CU42" s="2930">
        <f>SUM(CU32+CU34)/(CU17+CU22)</f>
        <v>39.600104309277015</v>
      </c>
      <c r="CV42" s="2931"/>
      <c r="CW42" s="2930">
        <f>SUM(CX42)</f>
        <v>42.015234278946295</v>
      </c>
      <c r="CX42" s="2930">
        <f t="shared" si="664"/>
        <v>42.015234278946295</v>
      </c>
      <c r="CY42" s="2930"/>
      <c r="CZ42" s="2930">
        <f>SUM(CZ32+CZ34)/(CZ17+CZ22-DB17)</f>
        <v>42.015936813572004</v>
      </c>
      <c r="DA42" s="2930">
        <f>SUM(DA32+DA34)/(DA17+DA22)</f>
        <v>42.015936813572004</v>
      </c>
      <c r="DB42" s="2931"/>
      <c r="DC42" s="2930">
        <f>SUM(DC32+DC34)/(DC17+DC22-DE17)</f>
        <v>39.611018009299684</v>
      </c>
      <c r="DD42" s="2930">
        <f>SUM(DD32+DD34)/(DD17+DD22)</f>
        <v>39.611018009299684</v>
      </c>
      <c r="DE42" s="2931"/>
      <c r="DF42" s="2930">
        <f>SUM(DG42)</f>
        <v>42.015234278946295</v>
      </c>
      <c r="DG42" s="2930">
        <f t="shared" si="665"/>
        <v>42.015234278946295</v>
      </c>
      <c r="DH42" s="2930"/>
      <c r="DI42" s="2930">
        <f>SUM(DI32+DI34)/(DI17+DI22-DK17)</f>
        <v>42.018356669195676</v>
      </c>
      <c r="DJ42" s="2930">
        <f>SUM(DJ32+DJ34)/(DJ17+DJ22)</f>
        <v>42.018356669195676</v>
      </c>
      <c r="DK42" s="2931"/>
      <c r="DL42" s="2930">
        <f>SUM(DL32+DL34)/(DL17+DL22-DN17)</f>
        <v>39.602207824968602</v>
      </c>
      <c r="DM42" s="2930">
        <f>SUM(DM32+DM34)/(DM17+DM22)</f>
        <v>39.602207824968602</v>
      </c>
      <c r="DN42" s="2931"/>
      <c r="DO42" s="2932">
        <f>SUM(DO32+DO34)/(DO17+DO22-DQ17)</f>
        <v>42.015234278946302</v>
      </c>
      <c r="DP42" s="2932">
        <f>SUM(DP32+DP34)/(DP17+DP22)</f>
        <v>42.015234278946302</v>
      </c>
      <c r="DQ42" s="2940"/>
      <c r="DR42" s="2932">
        <f>SUM(DR32+DR34)/(DR17+DR22-DT17)</f>
        <v>42.016932267157742</v>
      </c>
      <c r="DS42" s="2932">
        <f>SUM(DS32+DS34)/(DS17+DS22)</f>
        <v>42.016932267157742</v>
      </c>
      <c r="DT42" s="2940"/>
      <c r="DU42" s="2932">
        <f>SUM(DU32+DU34)/(DU17+DU22-DW17)</f>
        <v>39.604367214554955</v>
      </c>
      <c r="DV42" s="2932">
        <f>SUM(DV32+DV34)/(DV17+DV22)</f>
        <v>39.604367214554955</v>
      </c>
      <c r="DW42" s="2940"/>
      <c r="DX42" s="2938">
        <f t="shared" si="487"/>
        <v>1.6979882114398492E-3</v>
      </c>
      <c r="DY42" s="2938">
        <f t="shared" si="487"/>
        <v>1.6979882114398492E-3</v>
      </c>
      <c r="DZ42" s="2938">
        <f t="shared" si="487"/>
        <v>0</v>
      </c>
      <c r="EA42" s="2932">
        <f>SUM(EA32+EA34)/(EA17+EA22-EC17)</f>
        <v>40.407966473702075</v>
      </c>
      <c r="EB42" s="2932">
        <f>SUM(EB32+EB34)/(EB17+EB22)</f>
        <v>40.407966473702075</v>
      </c>
      <c r="EC42" s="2940"/>
      <c r="ED42" s="2932">
        <f>SUM(ED32+ED34)/(ED17+ED22-EF17)</f>
        <v>40.369346510292409</v>
      </c>
      <c r="EE42" s="2932">
        <f>SUM(EE32+EE34)/(EE17+EE22)</f>
        <v>40.369346510292409</v>
      </c>
      <c r="EF42" s="2940"/>
      <c r="EG42" s="2932">
        <f>SUM(EG32+EG34)/(EG17+EG22-EI17)</f>
        <v>38.602293845444215</v>
      </c>
      <c r="EH42" s="2932">
        <f>SUM(EH32+EH34)/(EH17+EH22)</f>
        <v>38.602293845444215</v>
      </c>
      <c r="EI42" s="2940"/>
      <c r="EJ42" s="2938">
        <f t="shared" si="489"/>
        <v>-3.8619963409665559E-2</v>
      </c>
      <c r="EK42" s="2938">
        <f t="shared" si="489"/>
        <v>-3.8619963409665559E-2</v>
      </c>
      <c r="EL42" s="2938">
        <f t="shared" si="489"/>
        <v>0</v>
      </c>
      <c r="EM42" s="2930">
        <f>SUM(EN42)</f>
        <v>42.015234278946295</v>
      </c>
      <c r="EN42" s="2930">
        <f t="shared" si="666"/>
        <v>42.015234278946295</v>
      </c>
      <c r="EO42" s="2930"/>
      <c r="EP42" s="2930">
        <f>SUM(EP32+EP34)/(EP17+EP22-ER17)</f>
        <v>42.016008275551279</v>
      </c>
      <c r="EQ42" s="2930">
        <f>SUM(EQ32+EQ34)/(EQ17+EQ22)</f>
        <v>42.016008275551279</v>
      </c>
      <c r="ER42" s="2931"/>
      <c r="ES42" s="2930">
        <f>SUM(ES32+ES34)/(ES17+ES22-EU17)</f>
        <v>39.600073482967588</v>
      </c>
      <c r="ET42" s="2930">
        <f>SUM(ET32+ET34)/(ET17+ET22)</f>
        <v>39.600073482967588</v>
      </c>
      <c r="EU42" s="2931"/>
      <c r="EV42" s="2930">
        <f>SUM(EW42)</f>
        <v>42.015234278946295</v>
      </c>
      <c r="EW42" s="2930">
        <f t="shared" si="667"/>
        <v>42.015234278946295</v>
      </c>
      <c r="EX42" s="2930"/>
      <c r="EY42" s="2930">
        <f>SUM(EY32+EY34)/(EY17+EY22-FA17)</f>
        <v>44.449472739510881</v>
      </c>
      <c r="EZ42" s="2930">
        <f>SUM(EZ32+EZ34)/(EZ17+EZ22)</f>
        <v>44.449472739510881</v>
      </c>
      <c r="FA42" s="2931"/>
      <c r="FB42" s="2930">
        <f>SUM(FB32+FB34)/(FB17+FB22-FD17)</f>
        <v>39.600121051192943</v>
      </c>
      <c r="FC42" s="2930">
        <f>SUM(FC32+FC34)/(FC17+FC22)</f>
        <v>39.600121051192936</v>
      </c>
      <c r="FD42" s="2931"/>
      <c r="FE42" s="2930">
        <f>SUM(FF42)</f>
        <v>42.015234278946295</v>
      </c>
      <c r="FF42" s="2930">
        <f t="shared" si="668"/>
        <v>42.015234278946295</v>
      </c>
      <c r="FG42" s="2930"/>
      <c r="FH42" s="2930">
        <f>SUM(FH32+FH34)/(FH17+FH22-FJ17)</f>
        <v>42.015948405159492</v>
      </c>
      <c r="FI42" s="2930">
        <f>SUM(FI32+FI34)/(FI17+FI22)</f>
        <v>42.015948405159492</v>
      </c>
      <c r="FJ42" s="2931"/>
      <c r="FK42" s="2930">
        <f>SUM(FK32+FK34)/(FK17+FK22-FM17)</f>
        <v>39.600269855026795</v>
      </c>
      <c r="FL42" s="2930">
        <f>SUM(FL32+FL34)/(FL17+FL22)</f>
        <v>39.600269855026788</v>
      </c>
      <c r="FM42" s="2931"/>
      <c r="FN42" s="2932">
        <f>SUM(FN32+FN34)/(FN17+FN22-FP17)</f>
        <v>42.015234278946302</v>
      </c>
      <c r="FO42" s="2932">
        <f>SUM(FO32+FO34)/(FO17+FO22)</f>
        <v>42.015234278946302</v>
      </c>
      <c r="FP42" s="2940"/>
      <c r="FQ42" s="2932">
        <f>SUM(FQ32+FQ34)/(FQ17+FQ22-FS17)</f>
        <v>42.772364158765917</v>
      </c>
      <c r="FR42" s="2932">
        <f>SUM(FR32+FR34)/(FR17+FR22)</f>
        <v>42.77236415876591</v>
      </c>
      <c r="FS42" s="2940"/>
      <c r="FT42" s="2932">
        <f>SUM(FT32+FT34)/(FT17+FT22-FV17)</f>
        <v>39.600156456143615</v>
      </c>
      <c r="FU42" s="2932">
        <f>SUM(FU32+FU34)/(FU17+FU22)</f>
        <v>39.600156456143615</v>
      </c>
      <c r="FV42" s="2940"/>
      <c r="FW42" s="2938">
        <f t="shared" si="497"/>
        <v>0.75712987981961533</v>
      </c>
      <c r="FX42" s="2938">
        <f t="shared" si="497"/>
        <v>0.75712987981960822</v>
      </c>
      <c r="FY42" s="2938">
        <f t="shared" si="497"/>
        <v>0</v>
      </c>
      <c r="FZ42" s="2932">
        <f>SUM(FZ32+FZ34)/(FZ17+FZ22-GB17)</f>
        <v>40.809783425013123</v>
      </c>
      <c r="GA42" s="2932">
        <f>SUM(GA32+GA34)/(GA17+GA22)</f>
        <v>40.809783425013123</v>
      </c>
      <c r="GB42" s="2940"/>
      <c r="GC42" s="2932">
        <f>SUM(GC32+GC34)/(GC17+GC22-GE17)</f>
        <v>40.985130666247301</v>
      </c>
      <c r="GD42" s="2932">
        <f>SUM(GD32+GD34)/(GD17+GD22)</f>
        <v>40.985130666247315</v>
      </c>
      <c r="GE42" s="2940"/>
      <c r="GF42" s="2932">
        <f>SUM(GF32+GF34)/(GF17+GF22-GH17)</f>
        <v>38.869336990022759</v>
      </c>
      <c r="GG42" s="2932">
        <f>SUM(GG32+GG34)/(GG17+GG22)</f>
        <v>38.869336990022752</v>
      </c>
      <c r="GH42" s="2940"/>
      <c r="GI42" s="2938">
        <f t="shared" si="500"/>
        <v>0.17534724123417789</v>
      </c>
      <c r="GJ42" s="2938">
        <f t="shared" si="500"/>
        <v>0.1753472412341921</v>
      </c>
      <c r="GK42" s="2938">
        <f t="shared" si="500"/>
        <v>0</v>
      </c>
      <c r="GL42" s="565"/>
      <c r="GM42" s="3056"/>
    </row>
    <row r="43" spans="1:195" ht="19.5" x14ac:dyDescent="0.35">
      <c r="A43" s="2929" t="s">
        <v>25</v>
      </c>
      <c r="B43" s="2930">
        <f>SUM(D43)</f>
        <v>17.241737912101982</v>
      </c>
      <c r="C43" s="2930"/>
      <c r="D43" s="2930">
        <f>SUM('тех вода 2019-2021'!AN38)</f>
        <v>17.241737912101982</v>
      </c>
      <c r="E43" s="2930">
        <f>SUM(E33/G17)</f>
        <v>17.239999999999998</v>
      </c>
      <c r="F43" s="2931"/>
      <c r="G43" s="2930">
        <f>SUM(G33/G17)</f>
        <v>17.239999999999998</v>
      </c>
      <c r="H43" s="2930">
        <f>SUM(H33/J17)</f>
        <v>17.272727272727273</v>
      </c>
      <c r="I43" s="2931"/>
      <c r="J43" s="2930">
        <f>SUM(J33/J17)</f>
        <v>17.272727272727273</v>
      </c>
      <c r="K43" s="2930">
        <f>SUM(M43)</f>
        <v>17.241737912101982</v>
      </c>
      <c r="L43" s="2930"/>
      <c r="M43" s="2930">
        <f>SUM(D43)</f>
        <v>17.241737912101982</v>
      </c>
      <c r="N43" s="2930">
        <f>SUM(N33/P17)</f>
        <v>17.239999999999998</v>
      </c>
      <c r="O43" s="2931"/>
      <c r="P43" s="2930">
        <f>SUM(P33/P17)</f>
        <v>17.239999999999998</v>
      </c>
      <c r="Q43" s="2930">
        <f>SUM(Q33/S17)</f>
        <v>17.239999999999998</v>
      </c>
      <c r="R43" s="2931"/>
      <c r="S43" s="2930">
        <f>SUM(S33/S17)</f>
        <v>17.239999999999998</v>
      </c>
      <c r="T43" s="2930">
        <f>SUM(V43)</f>
        <v>17.241737912101982</v>
      </c>
      <c r="U43" s="2930"/>
      <c r="V43" s="2930">
        <f>SUM(D43)</f>
        <v>17.241737912101982</v>
      </c>
      <c r="W43" s="2930">
        <f>SUM(W33/Y17)</f>
        <v>17.22727272727273</v>
      </c>
      <c r="X43" s="2931"/>
      <c r="Y43" s="2930">
        <f>SUM(Y33/Y17)</f>
        <v>17.22727272727273</v>
      </c>
      <c r="Z43" s="2930">
        <f>SUM(Z33/AB17)</f>
        <v>17.239999999999998</v>
      </c>
      <c r="AA43" s="2931"/>
      <c r="AB43" s="2930">
        <f>SUM(AB33/AB17)</f>
        <v>17.239999999999998</v>
      </c>
      <c r="AC43" s="2932">
        <f>SUM(AC33/AE17)</f>
        <v>17.241737912101982</v>
      </c>
      <c r="AD43" s="2940"/>
      <c r="AE43" s="2932">
        <f>SUM(AE33/AE17)</f>
        <v>17.241737912101982</v>
      </c>
      <c r="AF43" s="2932">
        <f>SUM(AF33/AH17)</f>
        <v>17.236818181818183</v>
      </c>
      <c r="AG43" s="2940"/>
      <c r="AH43" s="2932">
        <f>SUM(AH33/AH17)</f>
        <v>17.236818181818183</v>
      </c>
      <c r="AI43" s="2932">
        <f>SUM(AI33/AK17)</f>
        <v>17.251519999999999</v>
      </c>
      <c r="AJ43" s="2940"/>
      <c r="AK43" s="2932">
        <f>SUM(AK33/AK17)</f>
        <v>17.251519999999999</v>
      </c>
      <c r="AL43" s="2941">
        <f t="shared" si="469"/>
        <v>-4.9197302837988843E-3</v>
      </c>
      <c r="AM43" s="2941"/>
      <c r="AN43" s="2941">
        <f t="shared" si="469"/>
        <v>-4.9197302837988843E-3</v>
      </c>
      <c r="AO43" s="2930">
        <f>SUM(AQ43)</f>
        <v>17.241737912101982</v>
      </c>
      <c r="AP43" s="2930"/>
      <c r="AQ43" s="2930">
        <f>SUM(D43)</f>
        <v>17.241737912101982</v>
      </c>
      <c r="AR43" s="2920">
        <f>SUM(AR33/AT17)</f>
        <v>17.240259740259738</v>
      </c>
      <c r="AS43" s="2934"/>
      <c r="AT43" s="2920">
        <f>SUM(AT33/AT17)</f>
        <v>17.240259740259738</v>
      </c>
      <c r="AU43" s="2930">
        <f>SUM(AU33/AW17)</f>
        <v>17.242424242424242</v>
      </c>
      <c r="AV43" s="2931"/>
      <c r="AW43" s="2930">
        <f>SUM(AW33/AW17)</f>
        <v>17.242424242424242</v>
      </c>
      <c r="AX43" s="2930">
        <f>SUM(AZ43)</f>
        <v>17.241737912101982</v>
      </c>
      <c r="AY43" s="2930"/>
      <c r="AZ43" s="2930">
        <f>SUM(D43)</f>
        <v>17.241737912101982</v>
      </c>
      <c r="BA43" s="2930">
        <f>SUM(BA33/BC17)</f>
        <v>17.238805970149254</v>
      </c>
      <c r="BB43" s="2931"/>
      <c r="BC43" s="2930">
        <f>SUM(BC33/BC17)</f>
        <v>17.238805970149254</v>
      </c>
      <c r="BD43" s="2930">
        <f>SUM(BD33/BF17)</f>
        <v>17.239999999999998</v>
      </c>
      <c r="BE43" s="2931"/>
      <c r="BF43" s="2930">
        <f>SUM(BF33/BF17)</f>
        <v>17.239999999999998</v>
      </c>
      <c r="BG43" s="2930">
        <f>SUM(BI43)</f>
        <v>17.241737912101982</v>
      </c>
      <c r="BH43" s="2930"/>
      <c r="BI43" s="2930">
        <f>SUM(D43)</f>
        <v>17.241737912101982</v>
      </c>
      <c r="BJ43" s="2930">
        <f>SUM(BJ33/BL17)</f>
        <v>17.238095238095241</v>
      </c>
      <c r="BK43" s="2931"/>
      <c r="BL43" s="2930">
        <f>SUM(BL33/BL17)</f>
        <v>17.238095238095241</v>
      </c>
      <c r="BM43" s="2930">
        <f>SUM(BM33/BO17)</f>
        <v>17.239130434782609</v>
      </c>
      <c r="BN43" s="2931"/>
      <c r="BO43" s="2930">
        <f>SUM(BO33/BO17)</f>
        <v>17.239130434782609</v>
      </c>
      <c r="BP43" s="2932">
        <f>SUM(BP33/BR17)</f>
        <v>17.241737912101982</v>
      </c>
      <c r="BQ43" s="2940"/>
      <c r="BR43" s="2932">
        <f>SUM(BR33/BR17)</f>
        <v>17.241737912101982</v>
      </c>
      <c r="BS43" s="2932">
        <f>SUM(BS33/BU17)</f>
        <v>17.239263803680977</v>
      </c>
      <c r="BT43" s="2940"/>
      <c r="BU43" s="2932">
        <f>SUM(BU33/BU17)</f>
        <v>17.239263803680977</v>
      </c>
      <c r="BV43" s="2932">
        <f>SUM(BV33/BX17)</f>
        <v>17.240549828178693</v>
      </c>
      <c r="BW43" s="2940"/>
      <c r="BX43" s="2932">
        <f>SUM(BX33/BX17)</f>
        <v>17.240549828178693</v>
      </c>
      <c r="BY43" s="2941">
        <f t="shared" si="477"/>
        <v>-2.474108421004928E-3</v>
      </c>
      <c r="BZ43" s="2941"/>
      <c r="CA43" s="2941">
        <f t="shared" si="477"/>
        <v>-2.474108421004928E-3</v>
      </c>
      <c r="CB43" s="2932">
        <f>SUM(CB33/CD17)</f>
        <v>17.241737912101982</v>
      </c>
      <c r="CC43" s="2940"/>
      <c r="CD43" s="2932">
        <f>SUM(CD33/CD17)</f>
        <v>17.241737912101982</v>
      </c>
      <c r="CE43" s="2932">
        <f>SUM(CE33/CG17)</f>
        <v>17.238743961352654</v>
      </c>
      <c r="CF43" s="2940"/>
      <c r="CG43" s="2932">
        <f>SUM(CG33/CG17)</f>
        <v>17.238743961352654</v>
      </c>
      <c r="CH43" s="2932">
        <f>SUM(CH33/CJ17)</f>
        <v>17.245619223659887</v>
      </c>
      <c r="CI43" s="2940"/>
      <c r="CJ43" s="2932">
        <f>SUM(CJ33/CJ17)</f>
        <v>17.245619223659887</v>
      </c>
      <c r="CK43" s="2941">
        <f t="shared" si="479"/>
        <v>-2.9939507493281781E-3</v>
      </c>
      <c r="CL43" s="2941"/>
      <c r="CM43" s="2941">
        <f t="shared" si="479"/>
        <v>-2.9939507493281781E-3</v>
      </c>
      <c r="CN43" s="2930">
        <f>SUM(CP43)</f>
        <v>20.930050568452209</v>
      </c>
      <c r="CO43" s="2930"/>
      <c r="CP43" s="2930">
        <f>SUM('тех вода 2019-2021'!AN39)</f>
        <v>20.930050568452209</v>
      </c>
      <c r="CQ43" s="2930">
        <f>SUM(CQ33/CS17)</f>
        <v>20.928571428571427</v>
      </c>
      <c r="CR43" s="2931"/>
      <c r="CS43" s="2930">
        <f>SUM(CS33/CS17)</f>
        <v>20.928571428571427</v>
      </c>
      <c r="CT43" s="2930">
        <f>SUM(CT33/CV17)</f>
        <v>17.240000000000002</v>
      </c>
      <c r="CU43" s="2931"/>
      <c r="CV43" s="2930">
        <f>SUM(CV33/CV17)</f>
        <v>17.240000000000002</v>
      </c>
      <c r="CW43" s="2930">
        <f>SUM(CY43)</f>
        <v>20.930050568452209</v>
      </c>
      <c r="CX43" s="2930"/>
      <c r="CY43" s="2930">
        <f>SUM(CP43)</f>
        <v>20.930050568452209</v>
      </c>
      <c r="CZ43" s="2930">
        <f>SUM(CZ33/DB17)</f>
        <v>20.933333333333334</v>
      </c>
      <c r="DA43" s="2931"/>
      <c r="DB43" s="2930">
        <f>SUM(DB33/DB17)</f>
        <v>20.933333333333334</v>
      </c>
      <c r="DC43" s="2930">
        <f>SUM(DC33/DE17)</f>
        <v>17.241379310344826</v>
      </c>
      <c r="DD43" s="2931"/>
      <c r="DE43" s="2930">
        <f>SUM(DE33/DE17)</f>
        <v>17.241379310344826</v>
      </c>
      <c r="DF43" s="2930">
        <f>SUM(DH43)</f>
        <v>20.930050568452209</v>
      </c>
      <c r="DG43" s="2930"/>
      <c r="DH43" s="2930">
        <f>SUM(CP43)</f>
        <v>20.930050568452209</v>
      </c>
      <c r="DI43" s="2930">
        <f>SUM(DI33/DK17)</f>
        <v>20.919999999999998</v>
      </c>
      <c r="DJ43" s="2931"/>
      <c r="DK43" s="2930">
        <f>SUM(DK33/DK17)</f>
        <v>20.919999999999998</v>
      </c>
      <c r="DL43" s="2930">
        <f>SUM(DL33/DN17)</f>
        <v>17.239999999999998</v>
      </c>
      <c r="DM43" s="2931"/>
      <c r="DN43" s="2930">
        <f>SUM(DN33/DN17)</f>
        <v>17.239999999999998</v>
      </c>
      <c r="DO43" s="2932">
        <f>SUM(DO33/DQ17)</f>
        <v>20.930050568452206</v>
      </c>
      <c r="DP43" s="2940"/>
      <c r="DQ43" s="2932">
        <f>SUM(DQ33/DQ17)</f>
        <v>20.930050568452206</v>
      </c>
      <c r="DR43" s="2932">
        <f>SUM(DR33/DT17)</f>
        <v>20.929347826086961</v>
      </c>
      <c r="DS43" s="2940"/>
      <c r="DT43" s="2932">
        <f>SUM(DT33/DT17)</f>
        <v>20.929347826086961</v>
      </c>
      <c r="DU43" s="2932">
        <f>SUM(DU33/DW17)</f>
        <v>17.240216216216218</v>
      </c>
      <c r="DV43" s="2940"/>
      <c r="DW43" s="2932">
        <f>SUM(DW33/DW17)</f>
        <v>17.240216216216218</v>
      </c>
      <c r="DX43" s="2938">
        <f t="shared" si="487"/>
        <v>-7.0274236524525691E-4</v>
      </c>
      <c r="DY43" s="2938"/>
      <c r="DZ43" s="2938">
        <f t="shared" si="487"/>
        <v>-7.0274236524525691E-4</v>
      </c>
      <c r="EA43" s="2932">
        <f>SUM(EA33/EC17)</f>
        <v>18.471175464218724</v>
      </c>
      <c r="EB43" s="2940"/>
      <c r="EC43" s="2932">
        <f>SUM(EC33/EC17)</f>
        <v>18.471175464218724</v>
      </c>
      <c r="ED43" s="2932">
        <f>SUM(ED33/EF17)</f>
        <v>18.374314381270899</v>
      </c>
      <c r="EE43" s="2940"/>
      <c r="EF43" s="2932">
        <f>SUM(EF33/EF17)</f>
        <v>18.374314381270899</v>
      </c>
      <c r="EG43" s="2932">
        <f>SUM(EG33/EI17)</f>
        <v>17.244242424242426</v>
      </c>
      <c r="EH43" s="2940"/>
      <c r="EI43" s="2932">
        <f>SUM(EI33/EI17)</f>
        <v>17.244242424242426</v>
      </c>
      <c r="EJ43" s="2938">
        <f t="shared" si="489"/>
        <v>-9.6861082947825139E-2</v>
      </c>
      <c r="EK43" s="2938"/>
      <c r="EL43" s="2938">
        <f t="shared" si="489"/>
        <v>-9.6861082947825139E-2</v>
      </c>
      <c r="EM43" s="2930">
        <f>SUM(EO43)</f>
        <v>20.930050568452209</v>
      </c>
      <c r="EN43" s="2930"/>
      <c r="EO43" s="2930">
        <f>SUM(CP43)</f>
        <v>20.930050568452209</v>
      </c>
      <c r="EP43" s="2930">
        <f>SUM(EP33/ER17)</f>
        <v>20.925925925925924</v>
      </c>
      <c r="EQ43" s="2931"/>
      <c r="ER43" s="2930">
        <f>SUM(ER33/ER17)</f>
        <v>20.925925925925924</v>
      </c>
      <c r="ES43" s="2930">
        <f>SUM(ES33/EU17)</f>
        <v>17.239999999999998</v>
      </c>
      <c r="ET43" s="2931"/>
      <c r="EU43" s="2930">
        <f>SUM(EU33/EU17)</f>
        <v>17.239999999999998</v>
      </c>
      <c r="EV43" s="2930">
        <f>SUM(EX43)</f>
        <v>20.930050568452209</v>
      </c>
      <c r="EW43" s="2930"/>
      <c r="EX43" s="2930">
        <f>SUM(CP43)</f>
        <v>20.930050568452209</v>
      </c>
      <c r="EY43" s="2930">
        <f>SUM(EY33/FA17)</f>
        <v>20.929577464788736</v>
      </c>
      <c r="EZ43" s="2931"/>
      <c r="FA43" s="2930">
        <f>SUM(FA33/FA17)</f>
        <v>20.929577464788736</v>
      </c>
      <c r="FB43" s="2930">
        <f>SUM(FB33/FD17)</f>
        <v>17.236842105263158</v>
      </c>
      <c r="FC43" s="2931"/>
      <c r="FD43" s="2930">
        <f>SUM(FD33/FD17)</f>
        <v>17.236842105263158</v>
      </c>
      <c r="FE43" s="2930">
        <f>SUM(FG43)</f>
        <v>20.930050568452209</v>
      </c>
      <c r="FF43" s="2930"/>
      <c r="FG43" s="2930">
        <f>SUM(CP43)</f>
        <v>20.930050568452209</v>
      </c>
      <c r="FH43" s="2930">
        <f>SUM(FH33/FJ17)</f>
        <v>20.930232558139537</v>
      </c>
      <c r="FI43" s="2931"/>
      <c r="FJ43" s="2930">
        <f>SUM(FJ33/FJ17)</f>
        <v>20.930232558139537</v>
      </c>
      <c r="FK43" s="2930">
        <f>SUM(FK33/FM17)</f>
        <v>17.207207207207205</v>
      </c>
      <c r="FL43" s="2931"/>
      <c r="FM43" s="2930">
        <f>SUM(FM33/FM17)</f>
        <v>17.207207207207205</v>
      </c>
      <c r="FN43" s="2932">
        <f>SUM(FN33/FP17)</f>
        <v>20.930050568452206</v>
      </c>
      <c r="FO43" s="2940"/>
      <c r="FP43" s="2932">
        <f>SUM(FP33/FP17)</f>
        <v>20.930050568452206</v>
      </c>
      <c r="FQ43" s="2932">
        <f>SUM(FQ33/FS17)</f>
        <v>20.929347826086957</v>
      </c>
      <c r="FR43" s="2940"/>
      <c r="FS43" s="2932">
        <f>SUM(FS33/FS17)</f>
        <v>20.929347826086957</v>
      </c>
      <c r="FT43" s="2932">
        <f>SUM(FT33/FV17)</f>
        <v>17.221747572815531</v>
      </c>
      <c r="FU43" s="2940"/>
      <c r="FV43" s="2932">
        <f>SUM(FV33/FV17)</f>
        <v>17.221747572815531</v>
      </c>
      <c r="FW43" s="2938">
        <f t="shared" si="497"/>
        <v>-7.0274236524880962E-4</v>
      </c>
      <c r="FX43" s="2938">
        <f t="shared" si="497"/>
        <v>0</v>
      </c>
      <c r="FY43" s="2938">
        <f t="shared" si="497"/>
        <v>-7.0274236524880962E-4</v>
      </c>
      <c r="FZ43" s="2932">
        <f>SUM(FZ33/GB17)</f>
        <v>19.085894240277096</v>
      </c>
      <c r="GA43" s="2940"/>
      <c r="GB43" s="2932">
        <f>SUM(GB33/GB17)</f>
        <v>19.085894240277096</v>
      </c>
      <c r="GC43" s="2932">
        <f>SUM(GC33/GE17)</f>
        <v>18.975498721227623</v>
      </c>
      <c r="GD43" s="2940"/>
      <c r="GE43" s="2932">
        <f>SUM(GE33/GE17)</f>
        <v>18.975498721227623</v>
      </c>
      <c r="GF43" s="2932">
        <f>SUM(GF33/GH17)</f>
        <v>17.239270386266096</v>
      </c>
      <c r="GG43" s="2940"/>
      <c r="GH43" s="2932">
        <f>SUM(GH33/GH17)</f>
        <v>17.239270386266096</v>
      </c>
      <c r="GI43" s="2938">
        <f t="shared" si="500"/>
        <v>-0.11039551904947231</v>
      </c>
      <c r="GJ43" s="2938">
        <f t="shared" si="500"/>
        <v>0</v>
      </c>
      <c r="GK43" s="2938">
        <f t="shared" si="500"/>
        <v>-0.11039551904947231</v>
      </c>
      <c r="GL43" s="565"/>
      <c r="GM43" s="3056"/>
    </row>
    <row r="44" spans="1:195" ht="18" customHeight="1" x14ac:dyDescent="0.3">
      <c r="A44" s="2907" t="s">
        <v>3729</v>
      </c>
      <c r="B44" s="2942"/>
      <c r="C44" s="2942"/>
      <c r="D44" s="2942"/>
      <c r="E44" s="2942"/>
      <c r="F44" s="2942"/>
      <c r="G44" s="2942"/>
      <c r="H44" s="2942"/>
      <c r="I44" s="2942"/>
      <c r="J44" s="2942"/>
      <c r="K44" s="2942"/>
      <c r="L44" s="2942"/>
      <c r="M44" s="2942"/>
      <c r="N44" s="2942"/>
      <c r="O44" s="2942"/>
      <c r="P44" s="2942"/>
      <c r="Q44" s="2942"/>
      <c r="R44" s="2942"/>
      <c r="S44" s="2942"/>
      <c r="T44" s="2942"/>
      <c r="U44" s="2942"/>
      <c r="V44" s="2942"/>
      <c r="W44" s="2942"/>
      <c r="X44" s="2942"/>
      <c r="Y44" s="2942"/>
      <c r="Z44" s="2942"/>
      <c r="AA44" s="2942"/>
      <c r="AB44" s="2942"/>
      <c r="AC44" s="2942"/>
      <c r="AD44" s="2942"/>
      <c r="AE44" s="2942"/>
      <c r="AF44" s="2942"/>
      <c r="AG44" s="2942"/>
      <c r="AH44" s="2942"/>
      <c r="AI44" s="2942"/>
      <c r="AJ44" s="2942"/>
      <c r="AK44" s="2942"/>
      <c r="AL44" s="2942"/>
      <c r="AM44" s="2942"/>
      <c r="AN44" s="2942"/>
      <c r="AO44" s="2943"/>
      <c r="AP44" s="2943"/>
      <c r="AQ44" s="2943"/>
      <c r="AR44" s="2943"/>
      <c r="AS44" s="2943"/>
      <c r="AT44" s="2943"/>
      <c r="AU44" s="2943"/>
      <c r="AV44" s="2943"/>
      <c r="AW44" s="2943"/>
      <c r="AX44" s="2942"/>
      <c r="AY44" s="2942"/>
      <c r="AZ44" s="2942"/>
      <c r="BA44" s="2942"/>
      <c r="BB44" s="2942"/>
      <c r="BC44" s="2942"/>
      <c r="BD44" s="2942"/>
      <c r="BE44" s="2942"/>
      <c r="BF44" s="2942"/>
      <c r="BG44" s="2942"/>
      <c r="BH44" s="2942"/>
      <c r="BI44" s="2942"/>
      <c r="BJ44" s="2942"/>
      <c r="BK44" s="2942"/>
      <c r="BL44" s="2942"/>
      <c r="BM44" s="2942"/>
      <c r="BN44" s="2942"/>
      <c r="BO44" s="2942"/>
      <c r="BP44" s="2908"/>
      <c r="BQ44" s="2908"/>
      <c r="BR44" s="2908"/>
      <c r="BS44" s="2908"/>
      <c r="BT44" s="2908"/>
      <c r="BU44" s="2908"/>
      <c r="BV44" s="2908"/>
      <c r="BW44" s="2908"/>
      <c r="BX44" s="2908"/>
      <c r="BY44" s="2908"/>
      <c r="BZ44" s="2908"/>
      <c r="CA44" s="2908"/>
      <c r="CB44" s="2908"/>
      <c r="CC44" s="2908"/>
      <c r="CD44" s="2908"/>
      <c r="CE44" s="2908"/>
      <c r="CF44" s="2908"/>
      <c r="CG44" s="2908"/>
      <c r="CH44" s="2908"/>
      <c r="CI44" s="2908"/>
      <c r="CJ44" s="2908"/>
      <c r="CK44" s="2908"/>
      <c r="CL44" s="2908"/>
      <c r="CM44" s="2908"/>
      <c r="CN44" s="2908"/>
      <c r="CO44" s="2908"/>
      <c r="CP44" s="2908"/>
      <c r="CQ44" s="2908"/>
      <c r="CR44" s="2908"/>
      <c r="CS44" s="2908"/>
      <c r="CT44" s="2908"/>
      <c r="CU44" s="2908"/>
      <c r="CV44" s="2908"/>
      <c r="CW44" s="2908"/>
      <c r="CX44" s="2908"/>
      <c r="CY44" s="2908"/>
      <c r="CZ44" s="2908"/>
      <c r="DA44" s="2908"/>
      <c r="DB44" s="2908"/>
      <c r="DC44" s="2908"/>
      <c r="DD44" s="2908"/>
      <c r="DE44" s="2908"/>
      <c r="DF44" s="2908"/>
      <c r="DG44" s="2908"/>
      <c r="DH44" s="2908"/>
      <c r="DI44" s="2908"/>
      <c r="DJ44" s="2908"/>
      <c r="DK44" s="2908"/>
      <c r="DL44" s="2908"/>
      <c r="DM44" s="2908"/>
      <c r="DN44" s="2908"/>
      <c r="DO44" s="2908"/>
      <c r="DP44" s="2908"/>
      <c r="DQ44" s="2908"/>
      <c r="DR44" s="2908"/>
      <c r="DS44" s="2908"/>
      <c r="DT44" s="2908"/>
      <c r="DU44" s="2908"/>
      <c r="DV44" s="2908"/>
      <c r="DW44" s="2908"/>
      <c r="DX44" s="2908"/>
      <c r="DY44" s="2908"/>
      <c r="DZ44" s="2908"/>
      <c r="EA44" s="2908"/>
      <c r="EB44" s="2908"/>
      <c r="EC44" s="2908"/>
      <c r="ED44" s="2908"/>
      <c r="EE44" s="2908"/>
      <c r="EF44" s="2908"/>
      <c r="EG44" s="2908"/>
      <c r="EH44" s="2908"/>
      <c r="EI44" s="2908"/>
      <c r="EJ44" s="2908"/>
      <c r="EK44" s="2908"/>
      <c r="EL44" s="2908"/>
      <c r="EM44" s="2908"/>
      <c r="EN44" s="2908"/>
      <c r="EO44" s="2908"/>
      <c r="EP44" s="2908"/>
      <c r="EQ44" s="2908"/>
      <c r="ER44" s="2908"/>
      <c r="ES44" s="2908"/>
      <c r="ET44" s="2908"/>
      <c r="EU44" s="2908"/>
      <c r="EV44" s="2908"/>
      <c r="EW44" s="2908"/>
      <c r="EX44" s="2908"/>
      <c r="EY44" s="2908"/>
      <c r="EZ44" s="2908"/>
      <c r="FA44" s="2908"/>
      <c r="FB44" s="2908"/>
      <c r="FC44" s="2908"/>
      <c r="FD44" s="2908"/>
      <c r="FE44" s="2908"/>
      <c r="FF44" s="2908"/>
      <c r="FG44" s="2908"/>
      <c r="FH44" s="2908"/>
      <c r="FI44" s="2908"/>
      <c r="FJ44" s="2908"/>
      <c r="FK44" s="2908"/>
      <c r="FL44" s="2908"/>
      <c r="FM44" s="2908"/>
      <c r="FN44" s="2908"/>
      <c r="FO44" s="2908"/>
      <c r="FP44" s="2908"/>
      <c r="FQ44" s="2908"/>
      <c r="FR44" s="2908"/>
      <c r="FS44" s="2908"/>
      <c r="FT44" s="2908"/>
      <c r="FU44" s="2908"/>
      <c r="FV44" s="2908"/>
      <c r="FW44" s="2908"/>
      <c r="FX44" s="2908"/>
      <c r="FY44" s="2908"/>
      <c r="FZ44" s="2908"/>
      <c r="GA44" s="2908"/>
      <c r="GB44" s="2908"/>
      <c r="GC44" s="2908"/>
      <c r="GD44" s="2908"/>
      <c r="GE44" s="2908"/>
      <c r="GF44" s="2908"/>
      <c r="GG44" s="2908"/>
      <c r="GH44" s="2908"/>
      <c r="GI44" s="2908"/>
      <c r="GJ44" s="2908"/>
      <c r="GK44" s="2909"/>
      <c r="GL44" s="565"/>
    </row>
    <row r="45" spans="1:195" ht="20.25" customHeight="1" x14ac:dyDescent="0.2">
      <c r="A45" s="4564" t="s">
        <v>527</v>
      </c>
      <c r="B45" s="4565" t="s">
        <v>3764</v>
      </c>
      <c r="C45" s="4566"/>
      <c r="D45" s="4566"/>
      <c r="E45" s="4567"/>
      <c r="F45" s="4567"/>
      <c r="G45" s="4567"/>
      <c r="H45" s="4567"/>
      <c r="I45" s="4568"/>
      <c r="J45" s="4569"/>
      <c r="K45" s="4565" t="s">
        <v>3765</v>
      </c>
      <c r="L45" s="4566"/>
      <c r="M45" s="4566"/>
      <c r="N45" s="4567"/>
      <c r="O45" s="4567"/>
      <c r="P45" s="4567"/>
      <c r="Q45" s="4567"/>
      <c r="R45" s="4568"/>
      <c r="S45" s="4569"/>
      <c r="T45" s="4565" t="s">
        <v>3766</v>
      </c>
      <c r="U45" s="4566"/>
      <c r="V45" s="4566"/>
      <c r="W45" s="4567"/>
      <c r="X45" s="4567"/>
      <c r="Y45" s="4567"/>
      <c r="Z45" s="4567"/>
      <c r="AA45" s="4570"/>
      <c r="AB45" s="4571"/>
      <c r="AC45" s="4572" t="s">
        <v>3716</v>
      </c>
      <c r="AD45" s="4573"/>
      <c r="AE45" s="4573"/>
      <c r="AF45" s="4574"/>
      <c r="AG45" s="4574"/>
      <c r="AH45" s="4574"/>
      <c r="AI45" s="4574"/>
      <c r="AJ45" s="4574"/>
      <c r="AK45" s="4574"/>
      <c r="AL45" s="4574"/>
      <c r="AM45" s="4574"/>
      <c r="AN45" s="4574"/>
      <c r="AO45" s="4658" t="s">
        <v>3767</v>
      </c>
      <c r="AP45" s="4659"/>
      <c r="AQ45" s="4659"/>
      <c r="AR45" s="4660"/>
      <c r="AS45" s="4660"/>
      <c r="AT45" s="4660"/>
      <c r="AU45" s="4660"/>
      <c r="AV45" s="4661"/>
      <c r="AW45" s="4662"/>
      <c r="AX45" s="4565" t="s">
        <v>3768</v>
      </c>
      <c r="AY45" s="4566"/>
      <c r="AZ45" s="4566"/>
      <c r="BA45" s="4567"/>
      <c r="BB45" s="4567"/>
      <c r="BC45" s="4567"/>
      <c r="BD45" s="4567"/>
      <c r="BE45" s="4568"/>
      <c r="BF45" s="4569"/>
      <c r="BG45" s="4565" t="s">
        <v>3769</v>
      </c>
      <c r="BH45" s="4566"/>
      <c r="BI45" s="4566"/>
      <c r="BJ45" s="4567"/>
      <c r="BK45" s="4567"/>
      <c r="BL45" s="4567"/>
      <c r="BM45" s="4567"/>
      <c r="BN45" s="4568"/>
      <c r="BO45" s="4569"/>
      <c r="BP45" s="4572" t="s">
        <v>3717</v>
      </c>
      <c r="BQ45" s="4573"/>
      <c r="BR45" s="4573"/>
      <c r="BS45" s="4574"/>
      <c r="BT45" s="4574"/>
      <c r="BU45" s="4574"/>
      <c r="BV45" s="4574"/>
      <c r="BW45" s="4574"/>
      <c r="BX45" s="4574"/>
      <c r="BY45" s="4568"/>
      <c r="BZ45" s="4568"/>
      <c r="CA45" s="4568"/>
      <c r="CB45" s="4572" t="s">
        <v>3718</v>
      </c>
      <c r="CC45" s="4573"/>
      <c r="CD45" s="4573"/>
      <c r="CE45" s="4574"/>
      <c r="CF45" s="4574"/>
      <c r="CG45" s="4574"/>
      <c r="CH45" s="4574"/>
      <c r="CI45" s="4574"/>
      <c r="CJ45" s="4574"/>
      <c r="CK45" s="4568"/>
      <c r="CL45" s="4568"/>
      <c r="CM45" s="4568"/>
      <c r="CN45" s="4565" t="s">
        <v>1360</v>
      </c>
      <c r="CO45" s="4566"/>
      <c r="CP45" s="4566"/>
      <c r="CQ45" s="4567"/>
      <c r="CR45" s="4567"/>
      <c r="CS45" s="4567"/>
      <c r="CT45" s="4567"/>
      <c r="CU45" s="4568"/>
      <c r="CV45" s="4569"/>
      <c r="CW45" s="4565" t="s">
        <v>3770</v>
      </c>
      <c r="CX45" s="4566"/>
      <c r="CY45" s="4566"/>
      <c r="CZ45" s="4567"/>
      <c r="DA45" s="4567"/>
      <c r="DB45" s="4567"/>
      <c r="DC45" s="4567"/>
      <c r="DD45" s="4568"/>
      <c r="DE45" s="4569"/>
      <c r="DF45" s="4565" t="s">
        <v>3771</v>
      </c>
      <c r="DG45" s="4566"/>
      <c r="DH45" s="4566"/>
      <c r="DI45" s="4567"/>
      <c r="DJ45" s="4567"/>
      <c r="DK45" s="4567"/>
      <c r="DL45" s="4567"/>
      <c r="DM45" s="4568"/>
      <c r="DN45" s="4569"/>
      <c r="DO45" s="4572" t="s">
        <v>3719</v>
      </c>
      <c r="DP45" s="4573"/>
      <c r="DQ45" s="4573"/>
      <c r="DR45" s="4574"/>
      <c r="DS45" s="4574"/>
      <c r="DT45" s="4574"/>
      <c r="DU45" s="4574"/>
      <c r="DV45" s="4574"/>
      <c r="DW45" s="4574"/>
      <c r="DX45" s="4568"/>
      <c r="DY45" s="4568"/>
      <c r="DZ45" s="4568"/>
      <c r="EA45" s="4572" t="s">
        <v>3720</v>
      </c>
      <c r="EB45" s="4573"/>
      <c r="EC45" s="4573"/>
      <c r="ED45" s="4574"/>
      <c r="EE45" s="4574"/>
      <c r="EF45" s="4574"/>
      <c r="EG45" s="4574"/>
      <c r="EH45" s="4574"/>
      <c r="EI45" s="4574"/>
      <c r="EJ45" s="4568"/>
      <c r="EK45" s="4568"/>
      <c r="EL45" s="4568"/>
      <c r="EM45" s="4565" t="s">
        <v>3772</v>
      </c>
      <c r="EN45" s="4566"/>
      <c r="EO45" s="4566"/>
      <c r="EP45" s="4567"/>
      <c r="EQ45" s="4567"/>
      <c r="ER45" s="4567"/>
      <c r="ES45" s="4567"/>
      <c r="ET45" s="4568"/>
      <c r="EU45" s="4569"/>
      <c r="EV45" s="4565" t="s">
        <v>3773</v>
      </c>
      <c r="EW45" s="4566"/>
      <c r="EX45" s="4566"/>
      <c r="EY45" s="4567"/>
      <c r="EZ45" s="4567"/>
      <c r="FA45" s="4567"/>
      <c r="FB45" s="4567"/>
      <c r="FC45" s="4568"/>
      <c r="FD45" s="4569"/>
      <c r="FE45" s="4565" t="s">
        <v>3774</v>
      </c>
      <c r="FF45" s="4566"/>
      <c r="FG45" s="4566"/>
      <c r="FH45" s="4567"/>
      <c r="FI45" s="4567"/>
      <c r="FJ45" s="4567"/>
      <c r="FK45" s="4567"/>
      <c r="FL45" s="4568"/>
      <c r="FM45" s="4569"/>
      <c r="FN45" s="4572" t="s">
        <v>3721</v>
      </c>
      <c r="FO45" s="4573"/>
      <c r="FP45" s="4573"/>
      <c r="FQ45" s="4574"/>
      <c r="FR45" s="4574"/>
      <c r="FS45" s="4574"/>
      <c r="FT45" s="4574"/>
      <c r="FU45" s="4574"/>
      <c r="FV45" s="4574"/>
      <c r="FW45" s="4568"/>
      <c r="FX45" s="4568"/>
      <c r="FY45" s="4568"/>
      <c r="FZ45" s="4572" t="s">
        <v>1992</v>
      </c>
      <c r="GA45" s="4573"/>
      <c r="GB45" s="4573"/>
      <c r="GC45" s="4574"/>
      <c r="GD45" s="4574"/>
      <c r="GE45" s="4574"/>
      <c r="GF45" s="4574"/>
      <c r="GG45" s="4574"/>
      <c r="GH45" s="4574"/>
      <c r="GI45" s="4568"/>
      <c r="GJ45" s="4568"/>
      <c r="GK45" s="4569"/>
      <c r="GL45" s="565"/>
    </row>
    <row r="46" spans="1:195" ht="20.25" customHeight="1" x14ac:dyDescent="0.3">
      <c r="A46" s="4564"/>
      <c r="B46" s="4575" t="s">
        <v>3573</v>
      </c>
      <c r="C46" s="4576"/>
      <c r="D46" s="4577"/>
      <c r="E46" s="4575" t="s">
        <v>1677</v>
      </c>
      <c r="F46" s="4576"/>
      <c r="G46" s="4577"/>
      <c r="H46" s="4575" t="s">
        <v>3775</v>
      </c>
      <c r="I46" s="4576"/>
      <c r="J46" s="4577"/>
      <c r="K46" s="4575" t="s">
        <v>3573</v>
      </c>
      <c r="L46" s="4576"/>
      <c r="M46" s="4577"/>
      <c r="N46" s="4575" t="s">
        <v>1677</v>
      </c>
      <c r="O46" s="4576"/>
      <c r="P46" s="4577"/>
      <c r="Q46" s="4575" t="s">
        <v>3775</v>
      </c>
      <c r="R46" s="4576"/>
      <c r="S46" s="4577"/>
      <c r="T46" s="4575" t="s">
        <v>3573</v>
      </c>
      <c r="U46" s="4576"/>
      <c r="V46" s="4577"/>
      <c r="W46" s="4575" t="s">
        <v>1677</v>
      </c>
      <c r="X46" s="4576"/>
      <c r="Y46" s="4577"/>
      <c r="Z46" s="4575" t="s">
        <v>3775</v>
      </c>
      <c r="AA46" s="4576"/>
      <c r="AB46" s="4577"/>
      <c r="AC46" s="4578" t="s">
        <v>3573</v>
      </c>
      <c r="AD46" s="4579"/>
      <c r="AE46" s="4580"/>
      <c r="AF46" s="4581" t="s">
        <v>1677</v>
      </c>
      <c r="AG46" s="4582"/>
      <c r="AH46" s="4583"/>
      <c r="AI46" s="4581" t="s">
        <v>3775</v>
      </c>
      <c r="AJ46" s="4582"/>
      <c r="AK46" s="4583"/>
      <c r="AL46" s="4578" t="s">
        <v>3776</v>
      </c>
      <c r="AM46" s="4579"/>
      <c r="AN46" s="4580"/>
      <c r="AO46" s="4663" t="s">
        <v>3573</v>
      </c>
      <c r="AP46" s="4664"/>
      <c r="AQ46" s="4665"/>
      <c r="AR46" s="4663" t="s">
        <v>1677</v>
      </c>
      <c r="AS46" s="4664"/>
      <c r="AT46" s="4665"/>
      <c r="AU46" s="4663" t="s">
        <v>3775</v>
      </c>
      <c r="AV46" s="4664"/>
      <c r="AW46" s="4665"/>
      <c r="AX46" s="4575" t="s">
        <v>3573</v>
      </c>
      <c r="AY46" s="4576"/>
      <c r="AZ46" s="4577"/>
      <c r="BA46" s="4575" t="s">
        <v>1677</v>
      </c>
      <c r="BB46" s="4576"/>
      <c r="BC46" s="4577"/>
      <c r="BD46" s="4575" t="s">
        <v>3775</v>
      </c>
      <c r="BE46" s="4576"/>
      <c r="BF46" s="4577"/>
      <c r="BG46" s="4575" t="s">
        <v>3573</v>
      </c>
      <c r="BH46" s="4576"/>
      <c r="BI46" s="4577"/>
      <c r="BJ46" s="4575" t="s">
        <v>1677</v>
      </c>
      <c r="BK46" s="4576"/>
      <c r="BL46" s="4577"/>
      <c r="BM46" s="4575" t="s">
        <v>3775</v>
      </c>
      <c r="BN46" s="4576"/>
      <c r="BO46" s="4577"/>
      <c r="BP46" s="4578" t="s">
        <v>3573</v>
      </c>
      <c r="BQ46" s="4579"/>
      <c r="BR46" s="4580"/>
      <c r="BS46" s="4581" t="s">
        <v>1677</v>
      </c>
      <c r="BT46" s="4582"/>
      <c r="BU46" s="4583"/>
      <c r="BV46" s="4581" t="s">
        <v>3775</v>
      </c>
      <c r="BW46" s="4582"/>
      <c r="BX46" s="4583"/>
      <c r="BY46" s="4578" t="s">
        <v>3776</v>
      </c>
      <c r="BZ46" s="4579"/>
      <c r="CA46" s="4580"/>
      <c r="CB46" s="4578" t="s">
        <v>3573</v>
      </c>
      <c r="CC46" s="4579"/>
      <c r="CD46" s="4580"/>
      <c r="CE46" s="4581" t="s">
        <v>1677</v>
      </c>
      <c r="CF46" s="4582"/>
      <c r="CG46" s="4583"/>
      <c r="CH46" s="4581" t="s">
        <v>3775</v>
      </c>
      <c r="CI46" s="4582"/>
      <c r="CJ46" s="4583"/>
      <c r="CK46" s="4578" t="s">
        <v>3776</v>
      </c>
      <c r="CL46" s="4579"/>
      <c r="CM46" s="4580"/>
      <c r="CN46" s="4575" t="s">
        <v>3573</v>
      </c>
      <c r="CO46" s="4576"/>
      <c r="CP46" s="4577"/>
      <c r="CQ46" s="4575" t="s">
        <v>1677</v>
      </c>
      <c r="CR46" s="4576"/>
      <c r="CS46" s="4577"/>
      <c r="CT46" s="4575" t="s">
        <v>3775</v>
      </c>
      <c r="CU46" s="4576"/>
      <c r="CV46" s="4577"/>
      <c r="CW46" s="4575" t="s">
        <v>3573</v>
      </c>
      <c r="CX46" s="4576"/>
      <c r="CY46" s="4577"/>
      <c r="CZ46" s="4575" t="s">
        <v>1677</v>
      </c>
      <c r="DA46" s="4576"/>
      <c r="DB46" s="4577"/>
      <c r="DC46" s="4575" t="s">
        <v>3775</v>
      </c>
      <c r="DD46" s="4576"/>
      <c r="DE46" s="4577"/>
      <c r="DF46" s="4575" t="s">
        <v>3573</v>
      </c>
      <c r="DG46" s="4576"/>
      <c r="DH46" s="4577"/>
      <c r="DI46" s="4575" t="s">
        <v>1677</v>
      </c>
      <c r="DJ46" s="4576"/>
      <c r="DK46" s="4577"/>
      <c r="DL46" s="4575" t="s">
        <v>3775</v>
      </c>
      <c r="DM46" s="4576"/>
      <c r="DN46" s="4577"/>
      <c r="DO46" s="4578" t="s">
        <v>3573</v>
      </c>
      <c r="DP46" s="4579"/>
      <c r="DQ46" s="4580"/>
      <c r="DR46" s="4581" t="s">
        <v>1677</v>
      </c>
      <c r="DS46" s="4582"/>
      <c r="DT46" s="4583"/>
      <c r="DU46" s="4581" t="s">
        <v>3775</v>
      </c>
      <c r="DV46" s="4582"/>
      <c r="DW46" s="4583"/>
      <c r="DX46" s="4578" t="s">
        <v>3776</v>
      </c>
      <c r="DY46" s="4579"/>
      <c r="DZ46" s="4580"/>
      <c r="EA46" s="4578" t="s">
        <v>3573</v>
      </c>
      <c r="EB46" s="4579"/>
      <c r="EC46" s="4580"/>
      <c r="ED46" s="4581" t="s">
        <v>1677</v>
      </c>
      <c r="EE46" s="4582"/>
      <c r="EF46" s="4583"/>
      <c r="EG46" s="4581" t="s">
        <v>3775</v>
      </c>
      <c r="EH46" s="4582"/>
      <c r="EI46" s="4583"/>
      <c r="EJ46" s="4578" t="s">
        <v>3776</v>
      </c>
      <c r="EK46" s="4579"/>
      <c r="EL46" s="4580"/>
      <c r="EM46" s="4575" t="s">
        <v>3573</v>
      </c>
      <c r="EN46" s="4576"/>
      <c r="EO46" s="4577"/>
      <c r="EP46" s="4575" t="s">
        <v>1677</v>
      </c>
      <c r="EQ46" s="4576"/>
      <c r="ER46" s="4577"/>
      <c r="ES46" s="4575" t="s">
        <v>3775</v>
      </c>
      <c r="ET46" s="4576"/>
      <c r="EU46" s="4577"/>
      <c r="EV46" s="4575" t="s">
        <v>3573</v>
      </c>
      <c r="EW46" s="4576"/>
      <c r="EX46" s="4577"/>
      <c r="EY46" s="4575" t="s">
        <v>1677</v>
      </c>
      <c r="EZ46" s="4576"/>
      <c r="FA46" s="4577"/>
      <c r="FB46" s="4575" t="s">
        <v>3775</v>
      </c>
      <c r="FC46" s="4576"/>
      <c r="FD46" s="4577"/>
      <c r="FE46" s="4575" t="s">
        <v>3573</v>
      </c>
      <c r="FF46" s="4576"/>
      <c r="FG46" s="4577"/>
      <c r="FH46" s="4575" t="s">
        <v>1677</v>
      </c>
      <c r="FI46" s="4576"/>
      <c r="FJ46" s="4577"/>
      <c r="FK46" s="4575" t="s">
        <v>3775</v>
      </c>
      <c r="FL46" s="4576"/>
      <c r="FM46" s="4577"/>
      <c r="FN46" s="4578" t="s">
        <v>3573</v>
      </c>
      <c r="FO46" s="4579"/>
      <c r="FP46" s="4580"/>
      <c r="FQ46" s="4581" t="s">
        <v>1677</v>
      </c>
      <c r="FR46" s="4582"/>
      <c r="FS46" s="4583"/>
      <c r="FT46" s="4581" t="s">
        <v>3775</v>
      </c>
      <c r="FU46" s="4582"/>
      <c r="FV46" s="4583"/>
      <c r="FW46" s="4578" t="s">
        <v>3776</v>
      </c>
      <c r="FX46" s="4579"/>
      <c r="FY46" s="4580"/>
      <c r="FZ46" s="4578" t="s">
        <v>3573</v>
      </c>
      <c r="GA46" s="4579"/>
      <c r="GB46" s="4580"/>
      <c r="GC46" s="4581" t="s">
        <v>1677</v>
      </c>
      <c r="GD46" s="4582"/>
      <c r="GE46" s="4583"/>
      <c r="GF46" s="4581" t="s">
        <v>3775</v>
      </c>
      <c r="GG46" s="4582"/>
      <c r="GH46" s="4583"/>
      <c r="GI46" s="4578" t="s">
        <v>3776</v>
      </c>
      <c r="GJ46" s="4579"/>
      <c r="GK46" s="4580"/>
      <c r="GL46" s="389"/>
    </row>
    <row r="47" spans="1:195" ht="25.5" customHeight="1" x14ac:dyDescent="0.3">
      <c r="A47" s="4564"/>
      <c r="B47" s="2832" t="s">
        <v>616</v>
      </c>
      <c r="C47" s="2832" t="s">
        <v>3724</v>
      </c>
      <c r="D47" s="2832" t="s">
        <v>3660</v>
      </c>
      <c r="E47" s="2832" t="s">
        <v>616</v>
      </c>
      <c r="F47" s="2832" t="s">
        <v>3724</v>
      </c>
      <c r="G47" s="2832" t="s">
        <v>3660</v>
      </c>
      <c r="H47" s="2832" t="s">
        <v>616</v>
      </c>
      <c r="I47" s="2832" t="s">
        <v>3724</v>
      </c>
      <c r="J47" s="2832" t="s">
        <v>3660</v>
      </c>
      <c r="K47" s="2832" t="s">
        <v>616</v>
      </c>
      <c r="L47" s="2832" t="s">
        <v>3724</v>
      </c>
      <c r="M47" s="2832" t="s">
        <v>3660</v>
      </c>
      <c r="N47" s="2832" t="s">
        <v>616</v>
      </c>
      <c r="O47" s="2832" t="s">
        <v>3724</v>
      </c>
      <c r="P47" s="2832" t="s">
        <v>3660</v>
      </c>
      <c r="Q47" s="2832" t="s">
        <v>616</v>
      </c>
      <c r="R47" s="2832" t="s">
        <v>3724</v>
      </c>
      <c r="S47" s="2832" t="s">
        <v>3660</v>
      </c>
      <c r="T47" s="2832" t="s">
        <v>616</v>
      </c>
      <c r="U47" s="2832" t="s">
        <v>3724</v>
      </c>
      <c r="V47" s="2832" t="s">
        <v>3660</v>
      </c>
      <c r="W47" s="2832" t="s">
        <v>616</v>
      </c>
      <c r="X47" s="2832" t="s">
        <v>3724</v>
      </c>
      <c r="Y47" s="2832" t="s">
        <v>3660</v>
      </c>
      <c r="Z47" s="2832" t="s">
        <v>616</v>
      </c>
      <c r="AA47" s="2832" t="s">
        <v>3724</v>
      </c>
      <c r="AB47" s="2832" t="s">
        <v>3660</v>
      </c>
      <c r="AC47" s="2833" t="s">
        <v>616</v>
      </c>
      <c r="AD47" s="2833" t="s">
        <v>3724</v>
      </c>
      <c r="AE47" s="2833" t="s">
        <v>3660</v>
      </c>
      <c r="AF47" s="2833" t="s">
        <v>616</v>
      </c>
      <c r="AG47" s="2833" t="s">
        <v>3724</v>
      </c>
      <c r="AH47" s="2833" t="s">
        <v>3660</v>
      </c>
      <c r="AI47" s="2833" t="s">
        <v>616</v>
      </c>
      <c r="AJ47" s="2833" t="s">
        <v>3724</v>
      </c>
      <c r="AK47" s="2833" t="s">
        <v>3660</v>
      </c>
      <c r="AL47" s="2833" t="s">
        <v>616</v>
      </c>
      <c r="AM47" s="2833" t="s">
        <v>3724</v>
      </c>
      <c r="AN47" s="2833" t="s">
        <v>3660</v>
      </c>
      <c r="AO47" s="2944" t="s">
        <v>616</v>
      </c>
      <c r="AP47" s="2944" t="s">
        <v>3724</v>
      </c>
      <c r="AQ47" s="2944" t="s">
        <v>3660</v>
      </c>
      <c r="AR47" s="2944" t="s">
        <v>616</v>
      </c>
      <c r="AS47" s="2944" t="s">
        <v>3724</v>
      </c>
      <c r="AT47" s="2944" t="s">
        <v>3660</v>
      </c>
      <c r="AU47" s="2944" t="s">
        <v>616</v>
      </c>
      <c r="AV47" s="2944" t="s">
        <v>3724</v>
      </c>
      <c r="AW47" s="2944" t="s">
        <v>3660</v>
      </c>
      <c r="AX47" s="2832" t="s">
        <v>616</v>
      </c>
      <c r="AY47" s="2832" t="s">
        <v>3724</v>
      </c>
      <c r="AZ47" s="2832" t="s">
        <v>3660</v>
      </c>
      <c r="BA47" s="2832" t="s">
        <v>616</v>
      </c>
      <c r="BB47" s="2832" t="s">
        <v>3724</v>
      </c>
      <c r="BC47" s="2832" t="s">
        <v>3660</v>
      </c>
      <c r="BD47" s="2832" t="s">
        <v>616</v>
      </c>
      <c r="BE47" s="2832" t="s">
        <v>3724</v>
      </c>
      <c r="BF47" s="2832" t="s">
        <v>3660</v>
      </c>
      <c r="BG47" s="2832" t="s">
        <v>616</v>
      </c>
      <c r="BH47" s="2832" t="s">
        <v>3724</v>
      </c>
      <c r="BI47" s="2832" t="s">
        <v>3660</v>
      </c>
      <c r="BJ47" s="2832" t="s">
        <v>616</v>
      </c>
      <c r="BK47" s="2832" t="s">
        <v>3724</v>
      </c>
      <c r="BL47" s="2832" t="s">
        <v>3660</v>
      </c>
      <c r="BM47" s="2832" t="s">
        <v>616</v>
      </c>
      <c r="BN47" s="2832" t="s">
        <v>3724</v>
      </c>
      <c r="BO47" s="2832" t="s">
        <v>3660</v>
      </c>
      <c r="BP47" s="2833" t="s">
        <v>616</v>
      </c>
      <c r="BQ47" s="2833" t="s">
        <v>3724</v>
      </c>
      <c r="BR47" s="2833" t="s">
        <v>3660</v>
      </c>
      <c r="BS47" s="2833" t="s">
        <v>616</v>
      </c>
      <c r="BT47" s="2833" t="s">
        <v>3724</v>
      </c>
      <c r="BU47" s="2833" t="s">
        <v>3660</v>
      </c>
      <c r="BV47" s="2833" t="s">
        <v>616</v>
      </c>
      <c r="BW47" s="2833" t="s">
        <v>3724</v>
      </c>
      <c r="BX47" s="2833" t="s">
        <v>3660</v>
      </c>
      <c r="BY47" s="2833" t="s">
        <v>616</v>
      </c>
      <c r="BZ47" s="2833" t="s">
        <v>3724</v>
      </c>
      <c r="CA47" s="2833" t="s">
        <v>3660</v>
      </c>
      <c r="CB47" s="2833" t="s">
        <v>616</v>
      </c>
      <c r="CC47" s="2833" t="s">
        <v>3724</v>
      </c>
      <c r="CD47" s="2833" t="s">
        <v>3660</v>
      </c>
      <c r="CE47" s="2833" t="s">
        <v>616</v>
      </c>
      <c r="CF47" s="2833" t="s">
        <v>3724</v>
      </c>
      <c r="CG47" s="2833" t="s">
        <v>3660</v>
      </c>
      <c r="CH47" s="2833" t="s">
        <v>616</v>
      </c>
      <c r="CI47" s="2833" t="s">
        <v>3724</v>
      </c>
      <c r="CJ47" s="2833" t="s">
        <v>3660</v>
      </c>
      <c r="CK47" s="2833" t="s">
        <v>616</v>
      </c>
      <c r="CL47" s="2833" t="s">
        <v>3724</v>
      </c>
      <c r="CM47" s="2833" t="s">
        <v>3660</v>
      </c>
      <c r="CN47" s="2832" t="s">
        <v>616</v>
      </c>
      <c r="CO47" s="2832" t="s">
        <v>3724</v>
      </c>
      <c r="CP47" s="2832" t="s">
        <v>3660</v>
      </c>
      <c r="CQ47" s="2832" t="s">
        <v>616</v>
      </c>
      <c r="CR47" s="2832" t="s">
        <v>3724</v>
      </c>
      <c r="CS47" s="2832" t="s">
        <v>3660</v>
      </c>
      <c r="CT47" s="2832" t="s">
        <v>616</v>
      </c>
      <c r="CU47" s="2832" t="s">
        <v>3724</v>
      </c>
      <c r="CV47" s="2832" t="s">
        <v>3660</v>
      </c>
      <c r="CW47" s="2832" t="s">
        <v>616</v>
      </c>
      <c r="CX47" s="2832" t="s">
        <v>3724</v>
      </c>
      <c r="CY47" s="2832" t="s">
        <v>3660</v>
      </c>
      <c r="CZ47" s="2832" t="s">
        <v>616</v>
      </c>
      <c r="DA47" s="2832" t="s">
        <v>3724</v>
      </c>
      <c r="DB47" s="2832" t="s">
        <v>3660</v>
      </c>
      <c r="DC47" s="2832" t="s">
        <v>616</v>
      </c>
      <c r="DD47" s="2832" t="s">
        <v>3724</v>
      </c>
      <c r="DE47" s="2832" t="s">
        <v>3660</v>
      </c>
      <c r="DF47" s="2832" t="s">
        <v>616</v>
      </c>
      <c r="DG47" s="2832" t="s">
        <v>3724</v>
      </c>
      <c r="DH47" s="2832" t="s">
        <v>3660</v>
      </c>
      <c r="DI47" s="2832" t="s">
        <v>616</v>
      </c>
      <c r="DJ47" s="2832" t="s">
        <v>3724</v>
      </c>
      <c r="DK47" s="2832" t="s">
        <v>3660</v>
      </c>
      <c r="DL47" s="2832" t="s">
        <v>616</v>
      </c>
      <c r="DM47" s="2832" t="s">
        <v>3724</v>
      </c>
      <c r="DN47" s="2832" t="s">
        <v>3660</v>
      </c>
      <c r="DO47" s="2833" t="s">
        <v>616</v>
      </c>
      <c r="DP47" s="2833" t="s">
        <v>3724</v>
      </c>
      <c r="DQ47" s="2833" t="s">
        <v>3660</v>
      </c>
      <c r="DR47" s="2833" t="s">
        <v>616</v>
      </c>
      <c r="DS47" s="2833" t="s">
        <v>3724</v>
      </c>
      <c r="DT47" s="2833" t="s">
        <v>3660</v>
      </c>
      <c r="DU47" s="2833" t="s">
        <v>616</v>
      </c>
      <c r="DV47" s="2833" t="s">
        <v>3724</v>
      </c>
      <c r="DW47" s="2833" t="s">
        <v>3660</v>
      </c>
      <c r="DX47" s="2833" t="s">
        <v>616</v>
      </c>
      <c r="DY47" s="2833" t="s">
        <v>3724</v>
      </c>
      <c r="DZ47" s="2833" t="s">
        <v>3660</v>
      </c>
      <c r="EA47" s="2833" t="s">
        <v>616</v>
      </c>
      <c r="EB47" s="2833" t="s">
        <v>3724</v>
      </c>
      <c r="EC47" s="2833" t="s">
        <v>3660</v>
      </c>
      <c r="ED47" s="2833" t="s">
        <v>616</v>
      </c>
      <c r="EE47" s="2833" t="s">
        <v>3724</v>
      </c>
      <c r="EF47" s="2833" t="s">
        <v>3660</v>
      </c>
      <c r="EG47" s="2833" t="s">
        <v>616</v>
      </c>
      <c r="EH47" s="2833" t="s">
        <v>3724</v>
      </c>
      <c r="EI47" s="2833" t="s">
        <v>3660</v>
      </c>
      <c r="EJ47" s="2833" t="s">
        <v>616</v>
      </c>
      <c r="EK47" s="2833" t="s">
        <v>3724</v>
      </c>
      <c r="EL47" s="2833" t="s">
        <v>3660</v>
      </c>
      <c r="EM47" s="2832" t="s">
        <v>616</v>
      </c>
      <c r="EN47" s="2832" t="s">
        <v>3724</v>
      </c>
      <c r="EO47" s="2832" t="s">
        <v>3660</v>
      </c>
      <c r="EP47" s="2832" t="s">
        <v>616</v>
      </c>
      <c r="EQ47" s="2832" t="s">
        <v>3724</v>
      </c>
      <c r="ER47" s="2832" t="s">
        <v>3660</v>
      </c>
      <c r="ES47" s="2832" t="s">
        <v>616</v>
      </c>
      <c r="ET47" s="2832" t="s">
        <v>3724</v>
      </c>
      <c r="EU47" s="2832" t="s">
        <v>3660</v>
      </c>
      <c r="EV47" s="2832" t="s">
        <v>616</v>
      </c>
      <c r="EW47" s="2832" t="s">
        <v>3724</v>
      </c>
      <c r="EX47" s="2832" t="s">
        <v>3660</v>
      </c>
      <c r="EY47" s="2832" t="s">
        <v>616</v>
      </c>
      <c r="EZ47" s="2832" t="s">
        <v>3724</v>
      </c>
      <c r="FA47" s="2832" t="s">
        <v>3660</v>
      </c>
      <c r="FB47" s="2832" t="s">
        <v>616</v>
      </c>
      <c r="FC47" s="2832" t="s">
        <v>3724</v>
      </c>
      <c r="FD47" s="2832" t="s">
        <v>3660</v>
      </c>
      <c r="FE47" s="2832" t="s">
        <v>616</v>
      </c>
      <c r="FF47" s="2832" t="s">
        <v>3724</v>
      </c>
      <c r="FG47" s="2832" t="s">
        <v>3660</v>
      </c>
      <c r="FH47" s="2832" t="s">
        <v>616</v>
      </c>
      <c r="FI47" s="2832" t="s">
        <v>3724</v>
      </c>
      <c r="FJ47" s="2832" t="s">
        <v>3660</v>
      </c>
      <c r="FK47" s="2832" t="s">
        <v>616</v>
      </c>
      <c r="FL47" s="2832" t="s">
        <v>3724</v>
      </c>
      <c r="FM47" s="2832" t="s">
        <v>3660</v>
      </c>
      <c r="FN47" s="2833" t="s">
        <v>616</v>
      </c>
      <c r="FO47" s="2833" t="s">
        <v>3724</v>
      </c>
      <c r="FP47" s="2833" t="s">
        <v>3660</v>
      </c>
      <c r="FQ47" s="2833" t="s">
        <v>616</v>
      </c>
      <c r="FR47" s="2833" t="s">
        <v>3724</v>
      </c>
      <c r="FS47" s="2833" t="s">
        <v>3660</v>
      </c>
      <c r="FT47" s="2833" t="s">
        <v>616</v>
      </c>
      <c r="FU47" s="2833" t="s">
        <v>3724</v>
      </c>
      <c r="FV47" s="2833" t="s">
        <v>3660</v>
      </c>
      <c r="FW47" s="2833" t="s">
        <v>616</v>
      </c>
      <c r="FX47" s="2833" t="s">
        <v>3724</v>
      </c>
      <c r="FY47" s="2833" t="s">
        <v>3660</v>
      </c>
      <c r="FZ47" s="2833" t="s">
        <v>616</v>
      </c>
      <c r="GA47" s="2833" t="s">
        <v>3724</v>
      </c>
      <c r="GB47" s="2833" t="s">
        <v>3660</v>
      </c>
      <c r="GC47" s="2833" t="s">
        <v>616</v>
      </c>
      <c r="GD47" s="2833" t="s">
        <v>3724</v>
      </c>
      <c r="GE47" s="2833" t="s">
        <v>3660</v>
      </c>
      <c r="GF47" s="2833" t="s">
        <v>616</v>
      </c>
      <c r="GG47" s="2833" t="s">
        <v>3724</v>
      </c>
      <c r="GH47" s="2833" t="s">
        <v>3660</v>
      </c>
      <c r="GI47" s="2833" t="s">
        <v>616</v>
      </c>
      <c r="GJ47" s="2833" t="s">
        <v>3724</v>
      </c>
      <c r="GK47" s="2833" t="s">
        <v>3660</v>
      </c>
      <c r="GL47" s="389"/>
    </row>
    <row r="48" spans="1:195" ht="18.75" x14ac:dyDescent="0.3">
      <c r="A48" s="2945" t="s">
        <v>1</v>
      </c>
      <c r="B48" s="2946">
        <f>SUM(C48:D48)</f>
        <v>1016.8834504155635</v>
      </c>
      <c r="C48" s="2946">
        <f>SUM('ПОЛНАЯ СЕБЕСТОИМОСТЬ ВОДА 2021'!C196)/3</f>
        <v>1016.7640019324168</v>
      </c>
      <c r="D48" s="2946">
        <f>SUM('ПОЛНАЯ СЕБЕСТОИМОСТЬ ВОДА 2021'!D196)/3</f>
        <v>0.11944848314675192</v>
      </c>
      <c r="E48" s="2865">
        <f>SUM(F48:G48)</f>
        <v>1008.80898</v>
      </c>
      <c r="F48" s="2865">
        <f>SUM('ПОЛНАЯ СЕБЕСТОИМОСТЬ ВОДА 2021'!F196)</f>
        <v>1008.77</v>
      </c>
      <c r="G48" s="2865">
        <f>SUM('ПОЛНАЯ СЕБЕСТОИМОСТЬ ВОДА 2021'!G196)</f>
        <v>3.8980000000000001E-2</v>
      </c>
      <c r="H48" s="2947">
        <f>SUM(I48:J48)</f>
        <v>1373.365</v>
      </c>
      <c r="I48" s="2947">
        <v>1373.3</v>
      </c>
      <c r="J48" s="2947">
        <v>6.5000000000000002E-2</v>
      </c>
      <c r="K48" s="2946">
        <f>SUM(L48:M48)</f>
        <v>1016.8834504155635</v>
      </c>
      <c r="L48" s="2946">
        <f>SUM(C48)</f>
        <v>1016.7640019324168</v>
      </c>
      <c r="M48" s="2946">
        <f>SUM(D48)</f>
        <v>0.11944848314675192</v>
      </c>
      <c r="N48" s="2865">
        <f>SUM(O48:P48)</f>
        <v>862.71555000000001</v>
      </c>
      <c r="O48" s="2865">
        <f>SUM('ПОЛНАЯ СЕБЕСТОИМОСТЬ ВОДА 2021'!I196)</f>
        <v>862.70299999999997</v>
      </c>
      <c r="P48" s="2865">
        <f>SUM('ПОЛНАЯ СЕБЕСТОИМОСТЬ ВОДА 2021'!J196)</f>
        <v>1.255E-2</v>
      </c>
      <c r="Q48" s="2947">
        <f>SUM(R48:S48)</f>
        <v>1114.8699999999999</v>
      </c>
      <c r="R48" s="2947">
        <v>1114.81</v>
      </c>
      <c r="S48" s="2947">
        <v>0.06</v>
      </c>
      <c r="T48" s="2946">
        <f>SUM(U48:V48)</f>
        <v>1016.8834504155635</v>
      </c>
      <c r="U48" s="2946">
        <f t="shared" ref="U48:V48" si="669">SUM(L48)</f>
        <v>1016.7640019324168</v>
      </c>
      <c r="V48" s="2946">
        <f t="shared" si="669"/>
        <v>0.11944848314675192</v>
      </c>
      <c r="W48" s="2865">
        <f>SUM(X48:Y48)</f>
        <v>899.51700000000005</v>
      </c>
      <c r="X48" s="2865">
        <f>SUM('ПОЛНАЯ СЕБЕСТОИМОСТЬ ВОДА 2021'!L196)</f>
        <v>899.5</v>
      </c>
      <c r="Y48" s="2865">
        <f>SUM('ПОЛНАЯ СЕБЕСТОИМОСТЬ ВОДА 2021'!M196)</f>
        <v>1.7000000000000001E-2</v>
      </c>
      <c r="Z48" s="2947">
        <f>SUM(AA48:AB48)</f>
        <v>1218.6599999999999</v>
      </c>
      <c r="AA48" s="2947">
        <v>1218.5999999999999</v>
      </c>
      <c r="AB48" s="2947">
        <v>0.06</v>
      </c>
      <c r="AC48" s="2916">
        <f t="shared" ref="AC48:AK54" si="670">SUM(B48+K48+T48)</f>
        <v>3050.6503512466907</v>
      </c>
      <c r="AD48" s="2916">
        <f t="shared" si="670"/>
        <v>3050.2920057972506</v>
      </c>
      <c r="AE48" s="2916">
        <f t="shared" si="670"/>
        <v>0.35834544944025576</v>
      </c>
      <c r="AF48" s="2926">
        <f t="shared" si="670"/>
        <v>2771.0415300000004</v>
      </c>
      <c r="AG48" s="2926">
        <f t="shared" si="670"/>
        <v>2770.973</v>
      </c>
      <c r="AH48" s="2926">
        <f t="shared" si="670"/>
        <v>6.8530000000000008E-2</v>
      </c>
      <c r="AI48" s="2926">
        <f t="shared" si="670"/>
        <v>3706.8949999999995</v>
      </c>
      <c r="AJ48" s="2926">
        <f t="shared" si="670"/>
        <v>3706.7099999999996</v>
      </c>
      <c r="AK48" s="2926">
        <f t="shared" si="670"/>
        <v>0.185</v>
      </c>
      <c r="AL48" s="2927">
        <f t="shared" ref="AL48:AN63" si="671">SUM(AF48-AC48)</f>
        <v>-279.60882124669024</v>
      </c>
      <c r="AM48" s="2927">
        <f t="shared" si="671"/>
        <v>-279.31900579725061</v>
      </c>
      <c r="AN48" s="2927">
        <f t="shared" si="671"/>
        <v>-0.28981544944025572</v>
      </c>
      <c r="AO48" s="2946">
        <f>SUM(AP48:AQ48)</f>
        <v>1016.8834504155635</v>
      </c>
      <c r="AP48" s="2946">
        <f>SUM('ПОЛНАЯ СЕБЕСТОИМОСТЬ ВОДА 2021'!R196)/3</f>
        <v>1016.7640019324168</v>
      </c>
      <c r="AQ48" s="2946">
        <f>SUM('ПОЛНАЯ СЕБЕСТОИМОСТЬ ВОДА 2021'!S196)/3</f>
        <v>0.11944848314675192</v>
      </c>
      <c r="AR48" s="2946">
        <f>SUM(AS48:AT48)</f>
        <v>1047.6199999999999</v>
      </c>
      <c r="AS48" s="2946">
        <f>SUM('ПОЛНАЯ СЕБЕСТОИМОСТЬ ВОДА 2021'!U196)</f>
        <v>1047.5</v>
      </c>
      <c r="AT48" s="2946">
        <f>SUM('ПОЛНАЯ СЕБЕСТОИМОСТЬ ВОДА 2021'!V196)</f>
        <v>0.12</v>
      </c>
      <c r="AU48" s="2947">
        <f>SUM(AV48:AW48)</f>
        <v>1243.3699999999999</v>
      </c>
      <c r="AV48" s="2947">
        <v>1243.3</v>
      </c>
      <c r="AW48" s="2947">
        <v>7.0000000000000007E-2</v>
      </c>
      <c r="AX48" s="2946">
        <f>SUM(AY48:AZ48)</f>
        <v>1016.8834504155635</v>
      </c>
      <c r="AY48" s="2946">
        <f>SUM(AP48)</f>
        <v>1016.7640019324168</v>
      </c>
      <c r="AZ48" s="2946">
        <f>SUM(AQ48)</f>
        <v>0.11944848314675192</v>
      </c>
      <c r="BA48" s="2946">
        <f>SUM(BB48:BC48)</f>
        <v>1206.3619999999999</v>
      </c>
      <c r="BB48" s="2946">
        <f>SUM('ПОЛНАЯ СЕБЕСТОИМОСТЬ ВОДА 2021'!X196)</f>
        <v>1206.31</v>
      </c>
      <c r="BC48" s="2946">
        <f>SUM('ПОЛНАЯ СЕБЕСТОИМОСТЬ ВОДА 2021'!Y196)</f>
        <v>5.1999999999999998E-2</v>
      </c>
      <c r="BD48" s="2947">
        <f>SUM(BE48:BF48)</f>
        <v>1078.9309999999998</v>
      </c>
      <c r="BE48" s="2947">
        <v>1078.8599999999999</v>
      </c>
      <c r="BF48" s="2947">
        <v>7.0999999999999994E-2</v>
      </c>
      <c r="BG48" s="2946">
        <f>SUM(BH48:BI48)</f>
        <v>1016.8834504155635</v>
      </c>
      <c r="BH48" s="2946">
        <f>SUM(AY48)</f>
        <v>1016.7640019324168</v>
      </c>
      <c r="BI48" s="2946">
        <f>SUM(AZ48)</f>
        <v>0.11944848314675192</v>
      </c>
      <c r="BJ48" s="2865">
        <f>SUM(BK48:BL48)</f>
        <v>950.30200000000002</v>
      </c>
      <c r="BK48" s="2865">
        <f>SUM('ПОЛНАЯ СЕБЕСТОИМОСТЬ ВОДА 2021'!AA196)</f>
        <v>950.21900000000005</v>
      </c>
      <c r="BL48" s="2865">
        <f>SUM('ПОЛНАЯ СЕБЕСТОИМОСТЬ ВОДА 2021'!AB196)</f>
        <v>8.3000000000000004E-2</v>
      </c>
      <c r="BM48" s="2947">
        <f>SUM(BN48:BO48)</f>
        <v>907.69</v>
      </c>
      <c r="BN48" s="2947">
        <v>907.62</v>
      </c>
      <c r="BO48" s="2947">
        <v>7.0000000000000007E-2</v>
      </c>
      <c r="BP48" s="2916">
        <f t="shared" ref="BP48:BX54" si="672">SUM(AO48+AX48+BG48)</f>
        <v>3050.6503512466907</v>
      </c>
      <c r="BQ48" s="2916">
        <f t="shared" si="672"/>
        <v>3050.2920057972506</v>
      </c>
      <c r="BR48" s="2916">
        <f t="shared" si="672"/>
        <v>0.35834544944025576</v>
      </c>
      <c r="BS48" s="2926">
        <f t="shared" si="672"/>
        <v>3204.2840000000001</v>
      </c>
      <c r="BT48" s="2926">
        <f t="shared" si="672"/>
        <v>3204.029</v>
      </c>
      <c r="BU48" s="2926">
        <f t="shared" si="672"/>
        <v>0.255</v>
      </c>
      <c r="BV48" s="2926">
        <f t="shared" si="672"/>
        <v>3229.9909999999995</v>
      </c>
      <c r="BW48" s="2926">
        <f t="shared" si="672"/>
        <v>3229.7799999999997</v>
      </c>
      <c r="BX48" s="2926">
        <f t="shared" si="672"/>
        <v>0.21100000000000002</v>
      </c>
      <c r="BY48" s="2927">
        <f t="shared" ref="BY48:CA78" si="673">SUM(BS48-BP48)</f>
        <v>153.63364875330944</v>
      </c>
      <c r="BZ48" s="2927">
        <f t="shared" si="673"/>
        <v>153.73699420274943</v>
      </c>
      <c r="CA48" s="2927">
        <f t="shared" si="673"/>
        <v>-0.10334544944025575</v>
      </c>
      <c r="CB48" s="2916">
        <f t="shared" ref="CB48:CJ54" si="674">SUM(AC48+BP48)</f>
        <v>6101.3007024933813</v>
      </c>
      <c r="CC48" s="2916">
        <f t="shared" si="674"/>
        <v>6100.5840115945011</v>
      </c>
      <c r="CD48" s="2916">
        <f t="shared" si="674"/>
        <v>0.71669089888051152</v>
      </c>
      <c r="CE48" s="2926">
        <f t="shared" si="674"/>
        <v>5975.3255300000001</v>
      </c>
      <c r="CF48" s="2926">
        <f t="shared" si="674"/>
        <v>5975.0020000000004</v>
      </c>
      <c r="CG48" s="2926">
        <f t="shared" si="674"/>
        <v>0.32352999999999998</v>
      </c>
      <c r="CH48" s="2926">
        <f t="shared" si="674"/>
        <v>6936.8859999999986</v>
      </c>
      <c r="CI48" s="2926">
        <f t="shared" si="674"/>
        <v>6936.49</v>
      </c>
      <c r="CJ48" s="2926">
        <f t="shared" si="674"/>
        <v>0.39600000000000002</v>
      </c>
      <c r="CK48" s="2927">
        <f t="shared" ref="CK48:CM78" si="675">SUM(CE48-CB48)</f>
        <v>-125.97517249338125</v>
      </c>
      <c r="CL48" s="2927">
        <f t="shared" si="675"/>
        <v>-125.58201159450073</v>
      </c>
      <c r="CM48" s="2927">
        <f t="shared" si="675"/>
        <v>-0.39316089888051153</v>
      </c>
      <c r="CN48" s="2946">
        <f>SUM(CO48:CP48)</f>
        <v>1056.1959360147557</v>
      </c>
      <c r="CO48" s="2946">
        <f>SUM('ПОЛНАЯ СЕБЕСТОИМОСТЬ ВОДА 2021'!AP196)/3</f>
        <v>1056.0694400711034</v>
      </c>
      <c r="CP48" s="2946">
        <f>SUM('ПОЛНАЯ СЕБЕСТОИМОСТЬ ВОДА 2021'!AQ196)/3</f>
        <v>0.12649594365241029</v>
      </c>
      <c r="CQ48" s="2865">
        <f>SUM(CR48:CS48)</f>
        <v>911.09799999999996</v>
      </c>
      <c r="CR48" s="2865">
        <f>SUM('ПОЛНАЯ СЕБЕСТОИМОСТЬ ВОДА 2021'!AS196)</f>
        <v>911.03</v>
      </c>
      <c r="CS48" s="2865">
        <f>SUM('ПОЛНАЯ СЕБЕСТОИМОСТЬ ВОДА 2021'!AT196)</f>
        <v>6.8000000000000005E-2</v>
      </c>
      <c r="CT48" s="2947">
        <f>SUM(CU48:CV48)</f>
        <v>848.91500000000008</v>
      </c>
      <c r="CU48" s="2947">
        <v>848.85</v>
      </c>
      <c r="CV48" s="2947">
        <v>6.5000000000000002E-2</v>
      </c>
      <c r="CW48" s="2946">
        <f>SUM(CX48:CY48)</f>
        <v>1056.1959360147557</v>
      </c>
      <c r="CX48" s="2946">
        <f>SUM(CO48)</f>
        <v>1056.0694400711034</v>
      </c>
      <c r="CY48" s="2946">
        <f>SUM(CP48)</f>
        <v>0.12649594365241029</v>
      </c>
      <c r="CZ48" s="2865">
        <f>SUM(DA48:DB48)</f>
        <v>863.84799999999996</v>
      </c>
      <c r="DA48" s="2865">
        <f>SUM('ПОЛНАЯ СЕБЕСТОИМОСТЬ ВОДА 2021'!AV196)</f>
        <v>863.78800000000001</v>
      </c>
      <c r="DB48" s="2865">
        <f>SUM('ПОЛНАЯ СЕБЕСТОИМОСТЬ ВОДА 2021'!AW196)</f>
        <v>0.06</v>
      </c>
      <c r="DC48" s="2947">
        <f>SUM(DD48:DE48)</f>
        <v>903.46</v>
      </c>
      <c r="DD48" s="2947">
        <v>903.44</v>
      </c>
      <c r="DE48" s="2947">
        <v>0.02</v>
      </c>
      <c r="DF48" s="2946">
        <f>SUM(DG48:DH48)</f>
        <v>1056.1959360147557</v>
      </c>
      <c r="DG48" s="2946">
        <f>SUM(CX48)</f>
        <v>1056.0694400711034</v>
      </c>
      <c r="DH48" s="2946">
        <f>SUM(CY48)</f>
        <v>0.12649594365241029</v>
      </c>
      <c r="DI48" s="2865">
        <f>SUM(DJ48:DK48)</f>
        <v>916.80499999999995</v>
      </c>
      <c r="DJ48" s="2865">
        <f>SUM('ПОЛНАЯ СЕБЕСТОИМОСТЬ ВОДА 2021'!AY196)</f>
        <v>916.78499999999997</v>
      </c>
      <c r="DK48" s="2865">
        <f>SUM('ПОЛНАЯ СЕБЕСТОИМОСТЬ ВОДА 2021'!AZ196)</f>
        <v>0.02</v>
      </c>
      <c r="DL48" s="2947">
        <f>SUM(DM48:DN48)</f>
        <v>957.59999999999991</v>
      </c>
      <c r="DM48" s="2947">
        <v>957.55</v>
      </c>
      <c r="DN48" s="2947">
        <v>0.05</v>
      </c>
      <c r="DO48" s="2916">
        <f t="shared" ref="DO48:DW54" si="676">SUM(CN48+CW48+DF48)</f>
        <v>3168.5878080442671</v>
      </c>
      <c r="DP48" s="2916">
        <f t="shared" si="676"/>
        <v>3168.2083202133099</v>
      </c>
      <c r="DQ48" s="2916">
        <f t="shared" si="676"/>
        <v>0.37948783095723088</v>
      </c>
      <c r="DR48" s="2926">
        <f t="shared" si="676"/>
        <v>2691.7509999999997</v>
      </c>
      <c r="DS48" s="2926">
        <f t="shared" si="676"/>
        <v>2691.6030000000001</v>
      </c>
      <c r="DT48" s="2926">
        <f t="shared" si="676"/>
        <v>0.14799999999999999</v>
      </c>
      <c r="DU48" s="2926">
        <f t="shared" si="676"/>
        <v>2709.9749999999999</v>
      </c>
      <c r="DV48" s="2926">
        <f t="shared" si="676"/>
        <v>2709.84</v>
      </c>
      <c r="DW48" s="2926">
        <f t="shared" si="676"/>
        <v>0.13500000000000001</v>
      </c>
      <c r="DX48" s="2927">
        <f t="shared" ref="DX48:DZ78" si="677">SUM(DR48-DO48)</f>
        <v>-476.8368080442674</v>
      </c>
      <c r="DY48" s="2927">
        <f t="shared" si="677"/>
        <v>-476.60532021330982</v>
      </c>
      <c r="DZ48" s="2927">
        <f t="shared" si="677"/>
        <v>-0.23148783095723088</v>
      </c>
      <c r="EA48" s="2916">
        <f t="shared" ref="EA48:EI54" si="678">SUM(CB48+DO48)</f>
        <v>9269.8885105376485</v>
      </c>
      <c r="EB48" s="2916">
        <f t="shared" si="678"/>
        <v>9268.7923318078101</v>
      </c>
      <c r="EC48" s="2916">
        <f t="shared" si="678"/>
        <v>1.0961787298377423</v>
      </c>
      <c r="ED48" s="2926">
        <f t="shared" si="678"/>
        <v>8667.0765300000003</v>
      </c>
      <c r="EE48" s="2926">
        <f t="shared" si="678"/>
        <v>8666.6049999999996</v>
      </c>
      <c r="EF48" s="2926">
        <f t="shared" si="678"/>
        <v>0.47153</v>
      </c>
      <c r="EG48" s="2926">
        <f t="shared" si="678"/>
        <v>9646.860999999999</v>
      </c>
      <c r="EH48" s="2926">
        <f t="shared" si="678"/>
        <v>9646.33</v>
      </c>
      <c r="EI48" s="2926">
        <f t="shared" si="678"/>
        <v>0.53100000000000003</v>
      </c>
      <c r="EJ48" s="2927">
        <f t="shared" ref="EJ48:EL78" si="679">SUM(ED48-EA48)</f>
        <v>-602.8119805376482</v>
      </c>
      <c r="EK48" s="2927">
        <f t="shared" si="679"/>
        <v>-602.18733180781055</v>
      </c>
      <c r="EL48" s="2927">
        <f t="shared" si="679"/>
        <v>-0.62464872983774233</v>
      </c>
      <c r="EM48" s="2946">
        <f>SUM(EN48:EO48)</f>
        <v>1056.1959360147557</v>
      </c>
      <c r="EN48" s="2946">
        <f>SUM('ПОЛНАЯ СЕБЕСТОИМОСТЬ ВОДА 2021'!BN196)/3</f>
        <v>1056.0694400711034</v>
      </c>
      <c r="EO48" s="2946">
        <f>SUM('ПОЛНАЯ СЕБЕСТОИМОСТЬ ВОДА 2021'!BO196)/3</f>
        <v>0.12649594365241029</v>
      </c>
      <c r="EP48" s="2865">
        <f>SUM(EQ48:ER48)</f>
        <v>1019.06673</v>
      </c>
      <c r="EQ48" s="2865">
        <f>SUM('ПОЛНАЯ СЕБЕСТОИМОСТЬ ВОДА 2021'!BQ196)</f>
        <v>1019.045</v>
      </c>
      <c r="ER48" s="2865">
        <f>SUM('ПОЛНАЯ СЕБЕСТОИМОСТЬ ВОДА 2021'!BR196)</f>
        <v>2.1729999999999999E-2</v>
      </c>
      <c r="ES48" s="2947">
        <f>SUM(ET48:EU48)</f>
        <v>1050.9199999999998</v>
      </c>
      <c r="ET48" s="2947">
        <v>1050.8699999999999</v>
      </c>
      <c r="EU48" s="2947">
        <v>0.05</v>
      </c>
      <c r="EV48" s="2946">
        <f>SUM(EW48:EX48)</f>
        <v>1056.1959360147557</v>
      </c>
      <c r="EW48" s="2946">
        <f>SUM(EN48)</f>
        <v>1056.0694400711034</v>
      </c>
      <c r="EX48" s="2946">
        <f>SUM(EO48)</f>
        <v>0.12649594365241029</v>
      </c>
      <c r="EY48" s="2865">
        <f>SUM(EZ48:FA48)</f>
        <v>1356.03</v>
      </c>
      <c r="EZ48" s="2865">
        <f>SUM('ПОЛНАЯ СЕБЕСТОИМОСТЬ ВОДА 2021'!BT196)</f>
        <v>1355.973</v>
      </c>
      <c r="FA48" s="2865">
        <f>SUM('ПОЛНАЯ СЕБЕСТОИМОСТЬ ВОДА 2021'!BU196)</f>
        <v>5.7000000000000002E-2</v>
      </c>
      <c r="FB48" s="2947">
        <f>SUM(FC48:FD48)</f>
        <v>1272.875</v>
      </c>
      <c r="FC48" s="2947">
        <v>1272.845</v>
      </c>
      <c r="FD48" s="2947">
        <v>0.03</v>
      </c>
      <c r="FE48" s="2946">
        <f>SUM(FF48:FG48)</f>
        <v>1056.1959360147557</v>
      </c>
      <c r="FF48" s="2946">
        <f>SUM(EW48)</f>
        <v>1056.0694400711034</v>
      </c>
      <c r="FG48" s="2946">
        <f>SUM(EX48)</f>
        <v>0.12649594365241029</v>
      </c>
      <c r="FH48" s="2865">
        <f>SUM(FI48:FJ48)</f>
        <v>1006.3580000000001</v>
      </c>
      <c r="FI48" s="2865">
        <f>SUM('ПОЛНАЯ СЕБЕСТОИМОСТЬ ВОДА 2021'!BW196)</f>
        <v>1006.287</v>
      </c>
      <c r="FJ48" s="2865">
        <f>SUM('ПОЛНАЯ СЕБЕСТОИМОСТЬ ВОДА 2021'!BX196)</f>
        <v>7.0999999999999994E-2</v>
      </c>
      <c r="FK48" s="2947">
        <f>SUM(FL48:FM48)</f>
        <v>1031.3699999999999</v>
      </c>
      <c r="FL48" s="2947">
        <v>1031.28</v>
      </c>
      <c r="FM48" s="2947">
        <v>0.09</v>
      </c>
      <c r="FN48" s="2916">
        <f t="shared" ref="FN48:FV54" si="680">SUM(EM48+EV48+FE48)</f>
        <v>3168.5878080442671</v>
      </c>
      <c r="FO48" s="2916">
        <f t="shared" si="680"/>
        <v>3168.2083202133099</v>
      </c>
      <c r="FP48" s="2916">
        <f t="shared" si="680"/>
        <v>0.37948783095723088</v>
      </c>
      <c r="FQ48" s="2926">
        <f t="shared" si="680"/>
        <v>3381.4547300000004</v>
      </c>
      <c r="FR48" s="2926">
        <f t="shared" si="680"/>
        <v>3381.3050000000003</v>
      </c>
      <c r="FS48" s="2926">
        <f t="shared" si="680"/>
        <v>0.14972999999999997</v>
      </c>
      <c r="FT48" s="2926">
        <f t="shared" si="680"/>
        <v>3355.165</v>
      </c>
      <c r="FU48" s="2926">
        <f t="shared" si="680"/>
        <v>3354.9949999999999</v>
      </c>
      <c r="FV48" s="2926">
        <f t="shared" si="680"/>
        <v>0.16999999999999998</v>
      </c>
      <c r="FW48" s="2927">
        <f t="shared" ref="FW48:FY78" si="681">SUM(FQ48-FN48)</f>
        <v>212.86692195573323</v>
      </c>
      <c r="FX48" s="2927">
        <f t="shared" si="681"/>
        <v>213.0966797866904</v>
      </c>
      <c r="FY48" s="2927">
        <f t="shared" si="681"/>
        <v>-0.2297578309572309</v>
      </c>
      <c r="FZ48" s="2916">
        <f t="shared" ref="FZ48:GH54" si="682">SUM(EA48+FN48)</f>
        <v>12438.476318581916</v>
      </c>
      <c r="GA48" s="2916">
        <f t="shared" si="682"/>
        <v>12437.000652021121</v>
      </c>
      <c r="GB48" s="2916">
        <f t="shared" si="682"/>
        <v>1.4756665607949733</v>
      </c>
      <c r="GC48" s="2926">
        <f t="shared" si="682"/>
        <v>12048.53126</v>
      </c>
      <c r="GD48" s="2926">
        <f t="shared" si="682"/>
        <v>12047.91</v>
      </c>
      <c r="GE48" s="2926">
        <f t="shared" si="682"/>
        <v>0.62125999999999992</v>
      </c>
      <c r="GF48" s="2926">
        <f t="shared" si="682"/>
        <v>13002.025999999998</v>
      </c>
      <c r="GG48" s="2926">
        <f t="shared" si="682"/>
        <v>13001.325000000001</v>
      </c>
      <c r="GH48" s="2926">
        <f t="shared" si="682"/>
        <v>0.70100000000000007</v>
      </c>
      <c r="GI48" s="2927">
        <f t="shared" ref="GI48:GK84" si="683">SUM(GC48-FZ48)</f>
        <v>-389.94505858191587</v>
      </c>
      <c r="GJ48" s="2927">
        <f t="shared" si="683"/>
        <v>-389.09065202112106</v>
      </c>
      <c r="GK48" s="2927">
        <f t="shared" si="683"/>
        <v>-0.85440656079497335</v>
      </c>
      <c r="GL48" s="389"/>
      <c r="GM48" s="4191">
        <f t="shared" ref="GM48:GM77" si="684">SUM(B48+K48+T48+AO48+AX48+BG48+CN48+CW48+DF48+EM48+EV48+FE48)</f>
        <v>12438.476318581916</v>
      </c>
    </row>
    <row r="49" spans="1:195" ht="18.75" x14ac:dyDescent="0.3">
      <c r="A49" s="2945" t="s">
        <v>2</v>
      </c>
      <c r="B49" s="2946">
        <f t="shared" ref="B49:B54" si="685">SUM(C49:D49)</f>
        <v>511.8925000000001</v>
      </c>
      <c r="C49" s="2946">
        <f>SUM('ПОЛНАЯ СЕБЕСТОИМОСТЬ ВОДА 2021'!C197)/3</f>
        <v>511.8925000000001</v>
      </c>
      <c r="D49" s="2946">
        <f>SUM('ПОЛНАЯ СЕБЕСТОИМОСТЬ ВОДА 2021'!D197)/3</f>
        <v>0</v>
      </c>
      <c r="E49" s="2865">
        <f t="shared" ref="E49:E54" si="686">SUM(F49:G49)</f>
        <v>1302.04</v>
      </c>
      <c r="F49" s="2865">
        <f>SUM('ПОЛНАЯ СЕБЕСТОИМОСТЬ ВОДА 2021'!F197)</f>
        <v>1302.04</v>
      </c>
      <c r="G49" s="2865">
        <f>SUM('ПОЛНАЯ СЕБЕСТОИМОСТЬ ВОДА 2021'!G197)</f>
        <v>0</v>
      </c>
      <c r="H49" s="2947">
        <f t="shared" ref="H49:H54" si="687">SUM(I49:J49)</f>
        <v>1291.53</v>
      </c>
      <c r="I49" s="2947">
        <v>1291.53</v>
      </c>
      <c r="J49" s="2947">
        <v>0</v>
      </c>
      <c r="K49" s="2946">
        <f t="shared" ref="K49:K54" si="688">SUM(L49:M49)</f>
        <v>511.8925000000001</v>
      </c>
      <c r="L49" s="2946">
        <f t="shared" ref="L49:L54" si="689">SUM(C49)</f>
        <v>511.8925000000001</v>
      </c>
      <c r="M49" s="2946">
        <f t="shared" ref="M49:M54" si="690">SUM(D49)</f>
        <v>0</v>
      </c>
      <c r="N49" s="2865">
        <f t="shared" ref="N49:N54" si="691">SUM(O49:P49)</f>
        <v>1301.954</v>
      </c>
      <c r="O49" s="2865">
        <f>SUM('ПОЛНАЯ СЕБЕСТОИМОСТЬ ВОДА 2021'!I197)</f>
        <v>1301.954</v>
      </c>
      <c r="P49" s="2865">
        <f>SUM('ПОЛНАЯ СЕБЕСТОИМОСТЬ ВОДА 2021'!J197)</f>
        <v>0</v>
      </c>
      <c r="Q49" s="2947">
        <f t="shared" ref="Q49:Q54" si="692">SUM(R49:S49)</f>
        <v>1292.76</v>
      </c>
      <c r="R49" s="2947">
        <v>1292.76</v>
      </c>
      <c r="S49" s="2947">
        <v>0</v>
      </c>
      <c r="T49" s="2946">
        <f t="shared" ref="T49:T54" si="693">SUM(U49:V49)</f>
        <v>511.8925000000001</v>
      </c>
      <c r="U49" s="2946">
        <f t="shared" ref="U49:U54" si="694">SUM(L49)</f>
        <v>511.8925000000001</v>
      </c>
      <c r="V49" s="2946">
        <f t="shared" ref="V49:V54" si="695">SUM(M49)</f>
        <v>0</v>
      </c>
      <c r="W49" s="2865">
        <f t="shared" ref="W49:W54" si="696">SUM(X49:Y49)</f>
        <v>1308.9000000000001</v>
      </c>
      <c r="X49" s="2865">
        <f>SUM('ПОЛНАЯ СЕБЕСТОИМОСТЬ ВОДА 2021'!L197)</f>
        <v>1308.9000000000001</v>
      </c>
      <c r="Y49" s="2865">
        <f>SUM('ПОЛНАЯ СЕБЕСТОИМОСТЬ ВОДА 2021'!M197)</f>
        <v>0</v>
      </c>
      <c r="Z49" s="2947">
        <f t="shared" ref="Z49:Z54" si="697">SUM(AA49:AB49)</f>
        <v>1297.5</v>
      </c>
      <c r="AA49" s="2947">
        <v>1297.5</v>
      </c>
      <c r="AB49" s="2947">
        <v>0</v>
      </c>
      <c r="AC49" s="2916">
        <f t="shared" si="670"/>
        <v>1535.6775000000002</v>
      </c>
      <c r="AD49" s="2916">
        <f t="shared" si="670"/>
        <v>1535.6775000000002</v>
      </c>
      <c r="AE49" s="2916">
        <f t="shared" si="670"/>
        <v>0</v>
      </c>
      <c r="AF49" s="2926">
        <f t="shared" si="670"/>
        <v>3912.8939999999998</v>
      </c>
      <c r="AG49" s="2926">
        <f t="shared" si="670"/>
        <v>3912.8939999999998</v>
      </c>
      <c r="AH49" s="2926">
        <f t="shared" si="670"/>
        <v>0</v>
      </c>
      <c r="AI49" s="2926">
        <f t="shared" si="670"/>
        <v>3881.79</v>
      </c>
      <c r="AJ49" s="2926">
        <f t="shared" si="670"/>
        <v>3881.79</v>
      </c>
      <c r="AK49" s="2926">
        <f t="shared" si="670"/>
        <v>0</v>
      </c>
      <c r="AL49" s="2927">
        <f t="shared" si="671"/>
        <v>2377.2164999999995</v>
      </c>
      <c r="AM49" s="2927">
        <f t="shared" si="671"/>
        <v>2377.2164999999995</v>
      </c>
      <c r="AN49" s="2927">
        <f t="shared" si="671"/>
        <v>0</v>
      </c>
      <c r="AO49" s="2946">
        <f t="shared" ref="AO49:AO54" si="698">SUM(AP49:AQ49)</f>
        <v>511.8925000000001</v>
      </c>
      <c r="AP49" s="2946">
        <f>SUM('ПОЛНАЯ СЕБЕСТОИМОСТЬ ВОДА 2021'!R197)/3</f>
        <v>511.8925000000001</v>
      </c>
      <c r="AQ49" s="2946">
        <f>SUM('ПОЛНАЯ СЕБЕСТОИМОСТЬ ВОДА 2021'!S197)/3</f>
        <v>0</v>
      </c>
      <c r="AR49" s="2946">
        <f t="shared" ref="AR49:AR54" si="699">SUM(AS49:AT49)</f>
        <v>1308.83</v>
      </c>
      <c r="AS49" s="2946">
        <f>SUM('ПОЛНАЯ СЕБЕСТОИМОСТЬ ВОДА 2021'!U197)</f>
        <v>1308.83</v>
      </c>
      <c r="AT49" s="2946">
        <f>SUM('ПОЛНАЯ СЕБЕСТОИМОСТЬ ВОДА 2021'!V197)</f>
        <v>0</v>
      </c>
      <c r="AU49" s="2947">
        <f t="shared" ref="AU49:AU54" si="700">SUM(AV49:AW49)</f>
        <v>1297.82</v>
      </c>
      <c r="AV49" s="2947">
        <v>1297.82</v>
      </c>
      <c r="AW49" s="2947">
        <v>0</v>
      </c>
      <c r="AX49" s="2946">
        <f t="shared" ref="AX49:AX54" si="701">SUM(AY49:AZ49)</f>
        <v>511.8925000000001</v>
      </c>
      <c r="AY49" s="2946">
        <f t="shared" ref="AY49:AY54" si="702">SUM(AP49)</f>
        <v>511.8925000000001</v>
      </c>
      <c r="AZ49" s="2946">
        <f t="shared" ref="AZ49:AZ54" si="703">SUM(AQ49)</f>
        <v>0</v>
      </c>
      <c r="BA49" s="2946">
        <f t="shared" ref="BA49:BA54" si="704">SUM(BB49:BC49)</f>
        <v>969.56999999999994</v>
      </c>
      <c r="BB49" s="2946">
        <f>SUM('ПОЛНАЯ СЕБЕСТОИМОСТЬ ВОДА 2021'!X197)</f>
        <v>969.56999999999994</v>
      </c>
      <c r="BC49" s="2946">
        <f>SUM('ПОЛНАЯ СЕБЕСТОИМОСТЬ ВОДА 2021'!Y197)</f>
        <v>0</v>
      </c>
      <c r="BD49" s="2947">
        <f t="shared" ref="BD49:BD54" si="705">SUM(BE49:BF49)</f>
        <v>1296.72</v>
      </c>
      <c r="BE49" s="2947">
        <v>1296.72</v>
      </c>
      <c r="BF49" s="2947">
        <v>0</v>
      </c>
      <c r="BG49" s="2946">
        <f t="shared" ref="BG49:BG54" si="706">SUM(BH49:BI49)</f>
        <v>511.8925000000001</v>
      </c>
      <c r="BH49" s="2946">
        <f t="shared" ref="BH49:BH54" si="707">SUM(AY49)</f>
        <v>511.8925000000001</v>
      </c>
      <c r="BI49" s="2946">
        <f t="shared" ref="BI49:BI54" si="708">SUM(AZ49)</f>
        <v>0</v>
      </c>
      <c r="BJ49" s="2865">
        <f t="shared" ref="BJ49:BJ54" si="709">SUM(BK49:BL49)</f>
        <v>1239.7149999999999</v>
      </c>
      <c r="BK49" s="2865">
        <f>SUM('ПОЛНАЯ СЕБЕСТОИМОСТЬ ВОДА 2021'!AA197)</f>
        <v>1239.7149999999999</v>
      </c>
      <c r="BL49" s="2865">
        <f>SUM('ПОЛНАЯ СЕБЕСТОИМОСТЬ ВОДА 2021'!AB197)</f>
        <v>0</v>
      </c>
      <c r="BM49" s="2947">
        <f t="shared" ref="BM49:BM54" si="710">SUM(BN49:BO49)</f>
        <v>1303.29</v>
      </c>
      <c r="BN49" s="2947">
        <v>1303.29</v>
      </c>
      <c r="BO49" s="2947">
        <v>0</v>
      </c>
      <c r="BP49" s="2916">
        <f t="shared" si="672"/>
        <v>1535.6775000000002</v>
      </c>
      <c r="BQ49" s="2916">
        <f t="shared" si="672"/>
        <v>1535.6775000000002</v>
      </c>
      <c r="BR49" s="2916">
        <f t="shared" si="672"/>
        <v>0</v>
      </c>
      <c r="BS49" s="2926">
        <f t="shared" si="672"/>
        <v>3518.1149999999998</v>
      </c>
      <c r="BT49" s="2926">
        <f t="shared" si="672"/>
        <v>3518.1149999999998</v>
      </c>
      <c r="BU49" s="2926">
        <f t="shared" si="672"/>
        <v>0</v>
      </c>
      <c r="BV49" s="2926">
        <f t="shared" si="672"/>
        <v>3897.83</v>
      </c>
      <c r="BW49" s="2926">
        <f t="shared" si="672"/>
        <v>3897.83</v>
      </c>
      <c r="BX49" s="2926">
        <f t="shared" si="672"/>
        <v>0</v>
      </c>
      <c r="BY49" s="2927">
        <f t="shared" si="673"/>
        <v>1982.4374999999995</v>
      </c>
      <c r="BZ49" s="2927">
        <f t="shared" si="673"/>
        <v>1982.4374999999995</v>
      </c>
      <c r="CA49" s="2927">
        <f t="shared" si="673"/>
        <v>0</v>
      </c>
      <c r="CB49" s="2916">
        <f t="shared" si="674"/>
        <v>3071.3550000000005</v>
      </c>
      <c r="CC49" s="2916">
        <f t="shared" si="674"/>
        <v>3071.3550000000005</v>
      </c>
      <c r="CD49" s="2916">
        <f t="shared" si="674"/>
        <v>0</v>
      </c>
      <c r="CE49" s="2926">
        <f t="shared" si="674"/>
        <v>7431.009</v>
      </c>
      <c r="CF49" s="2926">
        <f t="shared" si="674"/>
        <v>7431.009</v>
      </c>
      <c r="CG49" s="2926">
        <f t="shared" si="674"/>
        <v>0</v>
      </c>
      <c r="CH49" s="2926">
        <f t="shared" si="674"/>
        <v>7779.62</v>
      </c>
      <c r="CI49" s="2926">
        <f t="shared" si="674"/>
        <v>7779.62</v>
      </c>
      <c r="CJ49" s="2926">
        <f t="shared" si="674"/>
        <v>0</v>
      </c>
      <c r="CK49" s="2927">
        <f t="shared" si="675"/>
        <v>4359.6539999999995</v>
      </c>
      <c r="CL49" s="2927">
        <f t="shared" si="675"/>
        <v>4359.6539999999995</v>
      </c>
      <c r="CM49" s="2927">
        <f t="shared" si="675"/>
        <v>0</v>
      </c>
      <c r="CN49" s="2946">
        <f t="shared" ref="CN49:CN54" si="711">SUM(CO49:CP49)</f>
        <v>511.8925000000001</v>
      </c>
      <c r="CO49" s="2946">
        <f>SUM('ПОЛНАЯ СЕБЕСТОИМОСТЬ ВОДА 2021'!AP197)/3</f>
        <v>511.8925000000001</v>
      </c>
      <c r="CP49" s="2946">
        <f>SUM('ПОЛНАЯ СЕБЕСТОИМОСТЬ ВОДА 2021'!AQ197)/3</f>
        <v>0</v>
      </c>
      <c r="CQ49" s="2865">
        <f t="shared" ref="CQ49:CQ54" si="712">SUM(CR49:CS49)</f>
        <v>1148.8869999999999</v>
      </c>
      <c r="CR49" s="2865">
        <f>SUM('ПОЛНАЯ СЕБЕСТОИМОСТЬ ВОДА 2021'!AS197)</f>
        <v>1148.8869999999999</v>
      </c>
      <c r="CS49" s="2865">
        <f>SUM('ПОЛНАЯ СЕБЕСТОИМОСТЬ ВОДА 2021'!AT197)</f>
        <v>0</v>
      </c>
      <c r="CT49" s="2947">
        <f t="shared" ref="CT49:CT54" si="713">SUM(CU49:CV49)</f>
        <v>1303.53</v>
      </c>
      <c r="CU49" s="2947">
        <v>1303.53</v>
      </c>
      <c r="CV49" s="2947">
        <v>0</v>
      </c>
      <c r="CW49" s="2946">
        <f t="shared" ref="CW49:CW54" si="714">SUM(CX49:CY49)</f>
        <v>511.8925000000001</v>
      </c>
      <c r="CX49" s="2946">
        <f t="shared" ref="CX49:CX54" si="715">SUM(CO49)</f>
        <v>511.8925000000001</v>
      </c>
      <c r="CY49" s="2946">
        <f t="shared" ref="CY49:CY54" si="716">SUM(CP49)</f>
        <v>0</v>
      </c>
      <c r="CZ49" s="2865">
        <f t="shared" ref="CZ49:CZ54" si="717">SUM(DA49:DB49)</f>
        <v>1136.181</v>
      </c>
      <c r="DA49" s="2865">
        <f>SUM('ПОЛНАЯ СЕБЕСТОИМОСТЬ ВОДА 2021'!AV197)</f>
        <v>1136.181</v>
      </c>
      <c r="DB49" s="2865">
        <f>SUM('ПОЛНАЯ СЕБЕСТОИМОСТЬ ВОДА 2021'!AW197)</f>
        <v>0</v>
      </c>
      <c r="DC49" s="2947">
        <f t="shared" ref="DC49:DC54" si="718">SUM(DD49:DE49)</f>
        <v>1304.73</v>
      </c>
      <c r="DD49" s="2947">
        <v>1304.73</v>
      </c>
      <c r="DE49" s="2947">
        <v>0</v>
      </c>
      <c r="DF49" s="2946">
        <f t="shared" ref="DF49:DF54" si="719">SUM(DG49:DH49)</f>
        <v>511.8925000000001</v>
      </c>
      <c r="DG49" s="2946">
        <f t="shared" ref="DG49:DG54" si="720">SUM(CX49)</f>
        <v>511.8925000000001</v>
      </c>
      <c r="DH49" s="2946">
        <f t="shared" ref="DH49:DH54" si="721">SUM(CY49)</f>
        <v>0</v>
      </c>
      <c r="DI49" s="2865">
        <f t="shared" ref="DI49:DI54" si="722">SUM(DJ49:DK49)</f>
        <v>1184.981</v>
      </c>
      <c r="DJ49" s="2865">
        <f>SUM('ПОЛНАЯ СЕБЕСТОИМОСТЬ ВОДА 2021'!AY197)</f>
        <v>1184.981</v>
      </c>
      <c r="DK49" s="2865">
        <f>SUM('ПОЛНАЯ СЕБЕСТОИМОСТЬ ВОДА 2021'!AZ197)</f>
        <v>0</v>
      </c>
      <c r="DL49" s="2947">
        <f t="shared" ref="DL49:DL54" si="723">SUM(DM49:DN49)</f>
        <v>1302.82</v>
      </c>
      <c r="DM49" s="2947">
        <v>1302.82</v>
      </c>
      <c r="DN49" s="2947">
        <v>0</v>
      </c>
      <c r="DO49" s="2916">
        <f t="shared" si="676"/>
        <v>1535.6775000000002</v>
      </c>
      <c r="DP49" s="2916">
        <f t="shared" si="676"/>
        <v>1535.6775000000002</v>
      </c>
      <c r="DQ49" s="2916">
        <f t="shared" si="676"/>
        <v>0</v>
      </c>
      <c r="DR49" s="2926">
        <f t="shared" si="676"/>
        <v>3470.049</v>
      </c>
      <c r="DS49" s="2926">
        <f t="shared" si="676"/>
        <v>3470.049</v>
      </c>
      <c r="DT49" s="2926">
        <f t="shared" si="676"/>
        <v>0</v>
      </c>
      <c r="DU49" s="2926">
        <f t="shared" si="676"/>
        <v>3911.08</v>
      </c>
      <c r="DV49" s="2926">
        <f t="shared" si="676"/>
        <v>3911.08</v>
      </c>
      <c r="DW49" s="2926">
        <f t="shared" si="676"/>
        <v>0</v>
      </c>
      <c r="DX49" s="2927">
        <f t="shared" si="677"/>
        <v>1934.3714999999997</v>
      </c>
      <c r="DY49" s="2927">
        <f t="shared" si="677"/>
        <v>1934.3714999999997</v>
      </c>
      <c r="DZ49" s="2927">
        <f t="shared" si="677"/>
        <v>0</v>
      </c>
      <c r="EA49" s="2916">
        <f t="shared" si="678"/>
        <v>4607.0325000000012</v>
      </c>
      <c r="EB49" s="2916">
        <f t="shared" si="678"/>
        <v>4607.0325000000012</v>
      </c>
      <c r="EC49" s="2916">
        <f t="shared" si="678"/>
        <v>0</v>
      </c>
      <c r="ED49" s="2926">
        <f t="shared" si="678"/>
        <v>10901.058000000001</v>
      </c>
      <c r="EE49" s="2926">
        <f t="shared" si="678"/>
        <v>10901.058000000001</v>
      </c>
      <c r="EF49" s="2926">
        <f t="shared" si="678"/>
        <v>0</v>
      </c>
      <c r="EG49" s="2926">
        <f t="shared" si="678"/>
        <v>11690.7</v>
      </c>
      <c r="EH49" s="2926">
        <f t="shared" si="678"/>
        <v>11690.7</v>
      </c>
      <c r="EI49" s="2926">
        <f t="shared" si="678"/>
        <v>0</v>
      </c>
      <c r="EJ49" s="2927">
        <f t="shared" si="679"/>
        <v>6294.0254999999997</v>
      </c>
      <c r="EK49" s="2927">
        <f t="shared" si="679"/>
        <v>6294.0254999999997</v>
      </c>
      <c r="EL49" s="2927">
        <f t="shared" si="679"/>
        <v>0</v>
      </c>
      <c r="EM49" s="2946">
        <f t="shared" ref="EM49:EM54" si="724">SUM(EN49:EO49)</f>
        <v>511.8925000000001</v>
      </c>
      <c r="EN49" s="2946">
        <f>SUM('ПОЛНАЯ СЕБЕСТОИМОСТЬ ВОДА 2021'!BN197)/3</f>
        <v>511.8925000000001</v>
      </c>
      <c r="EO49" s="2946">
        <f>SUM('ПОЛНАЯ СЕБЕСТОИМОСТЬ ВОДА 2021'!BO197)/3</f>
        <v>0</v>
      </c>
      <c r="EP49" s="2865">
        <f t="shared" ref="EP49:EP54" si="725">SUM(EQ49:ER49)</f>
        <v>1185.2329999999999</v>
      </c>
      <c r="EQ49" s="2865">
        <f>SUM('ПОЛНАЯ СЕБЕСТОИМОСТЬ ВОДА 2021'!BQ197)</f>
        <v>1185.2329999999999</v>
      </c>
      <c r="ER49" s="2865">
        <f>SUM('ПОЛНАЯ СЕБЕСТОИМОСТЬ ВОДА 2021'!BR197)</f>
        <v>0</v>
      </c>
      <c r="ES49" s="2947">
        <f t="shared" ref="ES49:ES54" si="726">SUM(ET49:EU49)</f>
        <v>1302.5</v>
      </c>
      <c r="ET49" s="2947">
        <v>1302.5</v>
      </c>
      <c r="EU49" s="2947">
        <v>0</v>
      </c>
      <c r="EV49" s="2946">
        <f t="shared" ref="EV49:EV54" si="727">SUM(EW49:EX49)</f>
        <v>511.8925000000001</v>
      </c>
      <c r="EW49" s="2946">
        <f t="shared" ref="EW49:EW54" si="728">SUM(EN49)</f>
        <v>511.8925000000001</v>
      </c>
      <c r="EX49" s="2946">
        <f t="shared" ref="EX49:EX54" si="729">SUM(EO49)</f>
        <v>0</v>
      </c>
      <c r="EY49" s="2865">
        <f t="shared" ref="EY49:EY54" si="730">SUM(EZ49:FA49)</f>
        <v>1185.72</v>
      </c>
      <c r="EZ49" s="2865">
        <f>SUM('ПОЛНАЯ СЕБЕСТОИМОСТЬ ВОДА 2021'!BT197)</f>
        <v>1185.72</v>
      </c>
      <c r="FA49" s="2865">
        <f>SUM('ПОЛНАЯ СЕБЕСТОИМОСТЬ ВОДА 2021'!BU197)</f>
        <v>0</v>
      </c>
      <c r="FB49" s="2947">
        <f t="shared" ref="FB49:FB54" si="731">SUM(FC49:FD49)</f>
        <v>1302.855</v>
      </c>
      <c r="FC49" s="2947">
        <v>1302.855</v>
      </c>
      <c r="FD49" s="2947">
        <v>0</v>
      </c>
      <c r="FE49" s="2946">
        <f t="shared" ref="FE49:FE54" si="732">SUM(FF49:FG49)</f>
        <v>511.8925000000001</v>
      </c>
      <c r="FF49" s="2946">
        <f t="shared" ref="FF49:FF54" si="733">SUM(EW49)</f>
        <v>511.8925000000001</v>
      </c>
      <c r="FG49" s="2946">
        <f t="shared" ref="FG49:FG54" si="734">SUM(EX49)</f>
        <v>0</v>
      </c>
      <c r="FH49" s="2865">
        <f t="shared" ref="FH49:FH75" si="735">SUM(FI49:FJ49)</f>
        <v>1194.134</v>
      </c>
      <c r="FI49" s="2865">
        <f>SUM('ПОЛНАЯ СЕБЕСТОИМОСТЬ ВОДА 2021'!BW197)</f>
        <v>1194.134</v>
      </c>
      <c r="FJ49" s="2865">
        <f>SUM('ПОЛНАЯ СЕБЕСТОИМОСТЬ ВОДА 2021'!BX197)</f>
        <v>0</v>
      </c>
      <c r="FK49" s="2947">
        <f t="shared" ref="FK49:FK54" si="736">SUM(FL49:FM49)</f>
        <v>1301.44</v>
      </c>
      <c r="FL49" s="2947">
        <v>1301.44</v>
      </c>
      <c r="FM49" s="2947">
        <v>0</v>
      </c>
      <c r="FN49" s="2916">
        <f t="shared" si="680"/>
        <v>1535.6775000000002</v>
      </c>
      <c r="FO49" s="2916">
        <f t="shared" si="680"/>
        <v>1535.6775000000002</v>
      </c>
      <c r="FP49" s="2916">
        <f t="shared" si="680"/>
        <v>0</v>
      </c>
      <c r="FQ49" s="2926">
        <f t="shared" si="680"/>
        <v>3565.087</v>
      </c>
      <c r="FR49" s="2926">
        <f t="shared" si="680"/>
        <v>3565.087</v>
      </c>
      <c r="FS49" s="2926">
        <f t="shared" si="680"/>
        <v>0</v>
      </c>
      <c r="FT49" s="2926">
        <f t="shared" si="680"/>
        <v>3906.7950000000001</v>
      </c>
      <c r="FU49" s="2926">
        <f t="shared" si="680"/>
        <v>3906.7950000000001</v>
      </c>
      <c r="FV49" s="2926">
        <f t="shared" si="680"/>
        <v>0</v>
      </c>
      <c r="FW49" s="2927">
        <f t="shared" si="681"/>
        <v>2029.4094999999998</v>
      </c>
      <c r="FX49" s="2927">
        <f t="shared" si="681"/>
        <v>2029.4094999999998</v>
      </c>
      <c r="FY49" s="2927">
        <f t="shared" si="681"/>
        <v>0</v>
      </c>
      <c r="FZ49" s="2916">
        <f t="shared" si="682"/>
        <v>6142.7100000000009</v>
      </c>
      <c r="GA49" s="2916">
        <f t="shared" si="682"/>
        <v>6142.7100000000009</v>
      </c>
      <c r="GB49" s="2916">
        <f t="shared" si="682"/>
        <v>0</v>
      </c>
      <c r="GC49" s="2926">
        <f t="shared" si="682"/>
        <v>14466.145</v>
      </c>
      <c r="GD49" s="2926">
        <f t="shared" si="682"/>
        <v>14466.145</v>
      </c>
      <c r="GE49" s="2926">
        <f t="shared" si="682"/>
        <v>0</v>
      </c>
      <c r="GF49" s="2926">
        <f t="shared" si="682"/>
        <v>15597.495000000001</v>
      </c>
      <c r="GG49" s="2926">
        <f t="shared" si="682"/>
        <v>15597.495000000001</v>
      </c>
      <c r="GH49" s="2926">
        <f t="shared" si="682"/>
        <v>0</v>
      </c>
      <c r="GI49" s="2927">
        <f t="shared" si="683"/>
        <v>8323.4349999999995</v>
      </c>
      <c r="GJ49" s="2927">
        <f t="shared" si="683"/>
        <v>8323.4349999999995</v>
      </c>
      <c r="GK49" s="2927">
        <f t="shared" si="683"/>
        <v>0</v>
      </c>
      <c r="GL49" s="389"/>
      <c r="GM49" s="4191">
        <f t="shared" si="684"/>
        <v>6142.71</v>
      </c>
    </row>
    <row r="50" spans="1:195" ht="18.75" x14ac:dyDescent="0.3">
      <c r="A50" s="2868" t="s">
        <v>3730</v>
      </c>
      <c r="B50" s="2946">
        <f t="shared" si="685"/>
        <v>0</v>
      </c>
      <c r="C50" s="2946">
        <f>SUM('ПОЛНАЯ СЕБЕСТОИМОСТЬ ВОДА 2021'!C198)/3</f>
        <v>0</v>
      </c>
      <c r="D50" s="2946">
        <f>SUM('ПОЛНАЯ СЕБЕСТОИМОСТЬ ВОДА 2021'!D198)/3</f>
        <v>0</v>
      </c>
      <c r="E50" s="2865">
        <f t="shared" si="686"/>
        <v>0</v>
      </c>
      <c r="F50" s="2865">
        <f>SUM('ПОЛНАЯ СЕБЕСТОИМОСТЬ ВОДА 2021'!F198)</f>
        <v>0</v>
      </c>
      <c r="G50" s="2865">
        <f>SUM('ПОЛНАЯ СЕБЕСТОИМОСТЬ ВОДА 2021'!G198)</f>
        <v>0</v>
      </c>
      <c r="H50" s="2947">
        <f t="shared" si="687"/>
        <v>0</v>
      </c>
      <c r="I50" s="2947">
        <v>0</v>
      </c>
      <c r="J50" s="2947">
        <v>0</v>
      </c>
      <c r="K50" s="2946">
        <f t="shared" si="688"/>
        <v>0</v>
      </c>
      <c r="L50" s="2946">
        <f t="shared" si="689"/>
        <v>0</v>
      </c>
      <c r="M50" s="2946">
        <f t="shared" si="690"/>
        <v>0</v>
      </c>
      <c r="N50" s="2865">
        <f t="shared" si="691"/>
        <v>0</v>
      </c>
      <c r="O50" s="2865">
        <f>SUM('ПОЛНАЯ СЕБЕСТОИМОСТЬ ВОДА 2021'!I198)</f>
        <v>0</v>
      </c>
      <c r="P50" s="2865">
        <f>SUM('ПОЛНАЯ СЕБЕСТОИМОСТЬ ВОДА 2021'!J198)</f>
        <v>0</v>
      </c>
      <c r="Q50" s="2947">
        <f t="shared" si="692"/>
        <v>0</v>
      </c>
      <c r="R50" s="2947">
        <v>0</v>
      </c>
      <c r="S50" s="2947">
        <v>0</v>
      </c>
      <c r="T50" s="2946">
        <f t="shared" si="693"/>
        <v>0</v>
      </c>
      <c r="U50" s="2946">
        <f t="shared" si="694"/>
        <v>0</v>
      </c>
      <c r="V50" s="2946">
        <f t="shared" si="695"/>
        <v>0</v>
      </c>
      <c r="W50" s="2865">
        <f t="shared" si="696"/>
        <v>0</v>
      </c>
      <c r="X50" s="2865">
        <f>SUM('ПОЛНАЯ СЕБЕСТОИМОСТЬ ВОДА 2021'!L198)</f>
        <v>0</v>
      </c>
      <c r="Y50" s="2865">
        <f>SUM('ПОЛНАЯ СЕБЕСТОИМОСТЬ ВОДА 2021'!M198)</f>
        <v>0</v>
      </c>
      <c r="Z50" s="2947">
        <f t="shared" si="697"/>
        <v>0</v>
      </c>
      <c r="AA50" s="2947">
        <v>0</v>
      </c>
      <c r="AB50" s="2947">
        <v>0</v>
      </c>
      <c r="AC50" s="2916">
        <f t="shared" si="670"/>
        <v>0</v>
      </c>
      <c r="AD50" s="2916">
        <f t="shared" si="670"/>
        <v>0</v>
      </c>
      <c r="AE50" s="2916">
        <f t="shared" si="670"/>
        <v>0</v>
      </c>
      <c r="AF50" s="2926">
        <f t="shared" si="670"/>
        <v>0</v>
      </c>
      <c r="AG50" s="2926">
        <f t="shared" si="670"/>
        <v>0</v>
      </c>
      <c r="AH50" s="2926">
        <f t="shared" si="670"/>
        <v>0</v>
      </c>
      <c r="AI50" s="2926">
        <f t="shared" si="670"/>
        <v>0</v>
      </c>
      <c r="AJ50" s="2926">
        <f t="shared" si="670"/>
        <v>0</v>
      </c>
      <c r="AK50" s="2926">
        <f t="shared" si="670"/>
        <v>0</v>
      </c>
      <c r="AL50" s="2927">
        <f t="shared" si="671"/>
        <v>0</v>
      </c>
      <c r="AM50" s="2927">
        <f t="shared" si="671"/>
        <v>0</v>
      </c>
      <c r="AN50" s="2927">
        <f t="shared" si="671"/>
        <v>0</v>
      </c>
      <c r="AO50" s="2946">
        <f t="shared" si="698"/>
        <v>0</v>
      </c>
      <c r="AP50" s="2946">
        <f>SUM('ПОЛНАЯ СЕБЕСТОИМОСТЬ ВОДА 2021'!R198)/3</f>
        <v>0</v>
      </c>
      <c r="AQ50" s="2946">
        <f>SUM('ПОЛНАЯ СЕБЕСТОИМОСТЬ ВОДА 2021'!S198)/3</f>
        <v>0</v>
      </c>
      <c r="AR50" s="2946">
        <f t="shared" si="699"/>
        <v>0</v>
      </c>
      <c r="AS50" s="2946">
        <f>SUM('ПОЛНАЯ СЕБЕСТОИМОСТЬ ВОДА 2021'!U198)</f>
        <v>0</v>
      </c>
      <c r="AT50" s="2946">
        <f>SUM('ПОЛНАЯ СЕБЕСТОИМОСТЬ ВОДА 2021'!V198)</f>
        <v>0</v>
      </c>
      <c r="AU50" s="2947">
        <f t="shared" si="700"/>
        <v>0</v>
      </c>
      <c r="AV50" s="2947">
        <v>0</v>
      </c>
      <c r="AW50" s="2947">
        <v>0</v>
      </c>
      <c r="AX50" s="2946">
        <f t="shared" si="701"/>
        <v>0</v>
      </c>
      <c r="AY50" s="2946">
        <f t="shared" si="702"/>
        <v>0</v>
      </c>
      <c r="AZ50" s="2946">
        <f t="shared" si="703"/>
        <v>0</v>
      </c>
      <c r="BA50" s="2946">
        <f t="shared" si="704"/>
        <v>0</v>
      </c>
      <c r="BB50" s="2946">
        <f>SUM('ПОЛНАЯ СЕБЕСТОИМОСТЬ ВОДА 2021'!X198)</f>
        <v>0</v>
      </c>
      <c r="BC50" s="2946">
        <f>SUM('ПОЛНАЯ СЕБЕСТОИМОСТЬ ВОДА 2021'!Y198)</f>
        <v>0</v>
      </c>
      <c r="BD50" s="2947">
        <f t="shared" si="705"/>
        <v>0</v>
      </c>
      <c r="BE50" s="2947">
        <v>0</v>
      </c>
      <c r="BF50" s="2947">
        <v>0</v>
      </c>
      <c r="BG50" s="2946">
        <f t="shared" si="706"/>
        <v>0</v>
      </c>
      <c r="BH50" s="2946">
        <f t="shared" si="707"/>
        <v>0</v>
      </c>
      <c r="BI50" s="2946">
        <f t="shared" si="708"/>
        <v>0</v>
      </c>
      <c r="BJ50" s="2865">
        <f t="shared" si="709"/>
        <v>0</v>
      </c>
      <c r="BK50" s="2865">
        <f>SUM('ПОЛНАЯ СЕБЕСТОИМОСТЬ ВОДА 2021'!AA198)</f>
        <v>0</v>
      </c>
      <c r="BL50" s="2865">
        <f>SUM('ПОЛНАЯ СЕБЕСТОИМОСТЬ ВОДА 2021'!AB198)</f>
        <v>0</v>
      </c>
      <c r="BM50" s="2947">
        <f t="shared" si="710"/>
        <v>0</v>
      </c>
      <c r="BN50" s="2947">
        <v>0</v>
      </c>
      <c r="BO50" s="2947">
        <v>0</v>
      </c>
      <c r="BP50" s="2916">
        <f t="shared" si="672"/>
        <v>0</v>
      </c>
      <c r="BQ50" s="2916">
        <f t="shared" si="672"/>
        <v>0</v>
      </c>
      <c r="BR50" s="2916">
        <f t="shared" si="672"/>
        <v>0</v>
      </c>
      <c r="BS50" s="2926">
        <f t="shared" si="672"/>
        <v>0</v>
      </c>
      <c r="BT50" s="2926">
        <f t="shared" si="672"/>
        <v>0</v>
      </c>
      <c r="BU50" s="2926">
        <f t="shared" si="672"/>
        <v>0</v>
      </c>
      <c r="BV50" s="2926">
        <f t="shared" si="672"/>
        <v>0</v>
      </c>
      <c r="BW50" s="2926">
        <f t="shared" si="672"/>
        <v>0</v>
      </c>
      <c r="BX50" s="2926">
        <f t="shared" si="672"/>
        <v>0</v>
      </c>
      <c r="BY50" s="2927">
        <f t="shared" si="673"/>
        <v>0</v>
      </c>
      <c r="BZ50" s="2927">
        <f t="shared" si="673"/>
        <v>0</v>
      </c>
      <c r="CA50" s="2927">
        <f t="shared" si="673"/>
        <v>0</v>
      </c>
      <c r="CB50" s="2916">
        <f t="shared" si="674"/>
        <v>0</v>
      </c>
      <c r="CC50" s="2916">
        <f t="shared" si="674"/>
        <v>0</v>
      </c>
      <c r="CD50" s="2916">
        <f t="shared" si="674"/>
        <v>0</v>
      </c>
      <c r="CE50" s="2926">
        <f t="shared" si="674"/>
        <v>0</v>
      </c>
      <c r="CF50" s="2926">
        <f t="shared" si="674"/>
        <v>0</v>
      </c>
      <c r="CG50" s="2926">
        <f t="shared" si="674"/>
        <v>0</v>
      </c>
      <c r="CH50" s="2926">
        <f t="shared" si="674"/>
        <v>0</v>
      </c>
      <c r="CI50" s="2926">
        <f t="shared" si="674"/>
        <v>0</v>
      </c>
      <c r="CJ50" s="2926">
        <f t="shared" si="674"/>
        <v>0</v>
      </c>
      <c r="CK50" s="2927">
        <f t="shared" si="675"/>
        <v>0</v>
      </c>
      <c r="CL50" s="2927">
        <f t="shared" si="675"/>
        <v>0</v>
      </c>
      <c r="CM50" s="2927">
        <f t="shared" si="675"/>
        <v>0</v>
      </c>
      <c r="CN50" s="2946">
        <f t="shared" si="711"/>
        <v>0</v>
      </c>
      <c r="CO50" s="2946">
        <f>SUM('ПОЛНАЯ СЕБЕСТОИМОСТЬ ВОДА 2021'!AP198)/3</f>
        <v>0</v>
      </c>
      <c r="CP50" s="2946">
        <f>SUM('ПОЛНАЯ СЕБЕСТОИМОСТЬ ВОДА 2021'!AQ198)/3</f>
        <v>0</v>
      </c>
      <c r="CQ50" s="2865">
        <f t="shared" si="712"/>
        <v>0</v>
      </c>
      <c r="CR50" s="2865">
        <f>SUM('ПОЛНАЯ СЕБЕСТОИМОСТЬ ВОДА 2021'!AS198)</f>
        <v>0</v>
      </c>
      <c r="CS50" s="2865">
        <f>SUM('ПОЛНАЯ СЕБЕСТОИМОСТЬ ВОДА 2021'!AT198)</f>
        <v>0</v>
      </c>
      <c r="CT50" s="2947">
        <f t="shared" si="713"/>
        <v>0</v>
      </c>
      <c r="CU50" s="2947">
        <v>0</v>
      </c>
      <c r="CV50" s="2947">
        <v>0</v>
      </c>
      <c r="CW50" s="2946">
        <f t="shared" si="714"/>
        <v>0</v>
      </c>
      <c r="CX50" s="2946">
        <f t="shared" si="715"/>
        <v>0</v>
      </c>
      <c r="CY50" s="2946">
        <f t="shared" si="716"/>
        <v>0</v>
      </c>
      <c r="CZ50" s="2865">
        <f t="shared" si="717"/>
        <v>0</v>
      </c>
      <c r="DA50" s="2865">
        <f>SUM('ПОЛНАЯ СЕБЕСТОИМОСТЬ ВОДА 2021'!AV198)</f>
        <v>0</v>
      </c>
      <c r="DB50" s="2865">
        <f>SUM('ПОЛНАЯ СЕБЕСТОИМОСТЬ ВОДА 2021'!AW198)</f>
        <v>0</v>
      </c>
      <c r="DC50" s="2947">
        <f t="shared" si="718"/>
        <v>0</v>
      </c>
      <c r="DD50" s="2947">
        <v>0</v>
      </c>
      <c r="DE50" s="2947">
        <v>0</v>
      </c>
      <c r="DF50" s="2946">
        <f t="shared" si="719"/>
        <v>0</v>
      </c>
      <c r="DG50" s="2946">
        <f t="shared" si="720"/>
        <v>0</v>
      </c>
      <c r="DH50" s="2946">
        <f t="shared" si="721"/>
        <v>0</v>
      </c>
      <c r="DI50" s="2865">
        <f t="shared" si="722"/>
        <v>0</v>
      </c>
      <c r="DJ50" s="2865">
        <f>SUM('ПОЛНАЯ СЕБЕСТОИМОСТЬ ВОДА 2021'!AY198)</f>
        <v>0</v>
      </c>
      <c r="DK50" s="2865">
        <f>SUM('ПОЛНАЯ СЕБЕСТОИМОСТЬ ВОДА 2021'!AZ198)</f>
        <v>0</v>
      </c>
      <c r="DL50" s="2947">
        <f t="shared" si="723"/>
        <v>0</v>
      </c>
      <c r="DM50" s="2947">
        <v>0</v>
      </c>
      <c r="DN50" s="2947">
        <v>0</v>
      </c>
      <c r="DO50" s="2916">
        <f t="shared" si="676"/>
        <v>0</v>
      </c>
      <c r="DP50" s="2916">
        <f t="shared" si="676"/>
        <v>0</v>
      </c>
      <c r="DQ50" s="2916">
        <f t="shared" si="676"/>
        <v>0</v>
      </c>
      <c r="DR50" s="2926">
        <f t="shared" si="676"/>
        <v>0</v>
      </c>
      <c r="DS50" s="2926">
        <f t="shared" si="676"/>
        <v>0</v>
      </c>
      <c r="DT50" s="2926">
        <f t="shared" si="676"/>
        <v>0</v>
      </c>
      <c r="DU50" s="2926">
        <f t="shared" si="676"/>
        <v>0</v>
      </c>
      <c r="DV50" s="2926">
        <f t="shared" si="676"/>
        <v>0</v>
      </c>
      <c r="DW50" s="2926">
        <f t="shared" si="676"/>
        <v>0</v>
      </c>
      <c r="DX50" s="2927">
        <f t="shared" si="677"/>
        <v>0</v>
      </c>
      <c r="DY50" s="2927">
        <f t="shared" si="677"/>
        <v>0</v>
      </c>
      <c r="DZ50" s="2927">
        <f t="shared" si="677"/>
        <v>0</v>
      </c>
      <c r="EA50" s="2916">
        <f t="shared" si="678"/>
        <v>0</v>
      </c>
      <c r="EB50" s="2916">
        <f t="shared" si="678"/>
        <v>0</v>
      </c>
      <c r="EC50" s="2916">
        <f t="shared" si="678"/>
        <v>0</v>
      </c>
      <c r="ED50" s="2926">
        <f t="shared" si="678"/>
        <v>0</v>
      </c>
      <c r="EE50" s="2926">
        <f t="shared" si="678"/>
        <v>0</v>
      </c>
      <c r="EF50" s="2926">
        <f t="shared" si="678"/>
        <v>0</v>
      </c>
      <c r="EG50" s="2926">
        <f t="shared" si="678"/>
        <v>0</v>
      </c>
      <c r="EH50" s="2926">
        <f t="shared" si="678"/>
        <v>0</v>
      </c>
      <c r="EI50" s="2926">
        <f t="shared" si="678"/>
        <v>0</v>
      </c>
      <c r="EJ50" s="2927">
        <f t="shared" si="679"/>
        <v>0</v>
      </c>
      <c r="EK50" s="2927">
        <f t="shared" si="679"/>
        <v>0</v>
      </c>
      <c r="EL50" s="2927">
        <f t="shared" si="679"/>
        <v>0</v>
      </c>
      <c r="EM50" s="2946">
        <f t="shared" si="724"/>
        <v>0</v>
      </c>
      <c r="EN50" s="2946">
        <f>SUM('ПОЛНАЯ СЕБЕСТОИМОСТЬ ВОДА 2021'!BN198)/3</f>
        <v>0</v>
      </c>
      <c r="EO50" s="2946">
        <f>SUM('ПОЛНАЯ СЕБЕСТОИМОСТЬ ВОДА 2021'!BO198)/3</f>
        <v>0</v>
      </c>
      <c r="EP50" s="2865">
        <f t="shared" si="725"/>
        <v>0</v>
      </c>
      <c r="EQ50" s="2865">
        <f>SUM('ПОЛНАЯ СЕБЕСТОИМОСТЬ ВОДА 2021'!BQ198)</f>
        <v>0</v>
      </c>
      <c r="ER50" s="2865">
        <f>SUM('ПОЛНАЯ СЕБЕСТОИМОСТЬ ВОДА 2021'!BR198)</f>
        <v>0</v>
      </c>
      <c r="ES50" s="2947">
        <f t="shared" si="726"/>
        <v>0</v>
      </c>
      <c r="ET50" s="2947">
        <v>0</v>
      </c>
      <c r="EU50" s="2947">
        <v>0</v>
      </c>
      <c r="EV50" s="2946">
        <f t="shared" si="727"/>
        <v>0</v>
      </c>
      <c r="EW50" s="2946">
        <f t="shared" si="728"/>
        <v>0</v>
      </c>
      <c r="EX50" s="2946">
        <f t="shared" si="729"/>
        <v>0</v>
      </c>
      <c r="EY50" s="2865">
        <f t="shared" si="730"/>
        <v>0</v>
      </c>
      <c r="EZ50" s="2865">
        <f>SUM('ПОЛНАЯ СЕБЕСТОИМОСТЬ ВОДА 2021'!BT198)</f>
        <v>0</v>
      </c>
      <c r="FA50" s="2865">
        <f>SUM('ПОЛНАЯ СЕБЕСТОИМОСТЬ ВОДА 2021'!BU198)</f>
        <v>0</v>
      </c>
      <c r="FB50" s="2947">
        <f t="shared" si="731"/>
        <v>0</v>
      </c>
      <c r="FC50" s="2947">
        <v>0</v>
      </c>
      <c r="FD50" s="2947">
        <v>0</v>
      </c>
      <c r="FE50" s="2946">
        <f t="shared" si="732"/>
        <v>0</v>
      </c>
      <c r="FF50" s="2946">
        <f t="shared" si="733"/>
        <v>0</v>
      </c>
      <c r="FG50" s="2946">
        <f t="shared" si="734"/>
        <v>0</v>
      </c>
      <c r="FH50" s="2865">
        <f t="shared" si="735"/>
        <v>0</v>
      </c>
      <c r="FI50" s="2865">
        <f>SUM('ПОЛНАЯ СЕБЕСТОИМОСТЬ ВОДА 2021'!BW198)</f>
        <v>0</v>
      </c>
      <c r="FJ50" s="2865">
        <f>SUM('ПОЛНАЯ СЕБЕСТОИМОСТЬ ВОДА 2021'!BX198)</f>
        <v>0</v>
      </c>
      <c r="FK50" s="2947">
        <f t="shared" si="736"/>
        <v>0</v>
      </c>
      <c r="FL50" s="2947">
        <v>0</v>
      </c>
      <c r="FM50" s="2947">
        <v>0</v>
      </c>
      <c r="FN50" s="2916">
        <f t="shared" si="680"/>
        <v>0</v>
      </c>
      <c r="FO50" s="2916">
        <f t="shared" si="680"/>
        <v>0</v>
      </c>
      <c r="FP50" s="2916">
        <f t="shared" si="680"/>
        <v>0</v>
      </c>
      <c r="FQ50" s="2926">
        <f t="shared" si="680"/>
        <v>0</v>
      </c>
      <c r="FR50" s="2926">
        <f t="shared" si="680"/>
        <v>0</v>
      </c>
      <c r="FS50" s="2926">
        <f t="shared" si="680"/>
        <v>0</v>
      </c>
      <c r="FT50" s="2926">
        <f t="shared" si="680"/>
        <v>0</v>
      </c>
      <c r="FU50" s="2926">
        <f t="shared" si="680"/>
        <v>0</v>
      </c>
      <c r="FV50" s="2926">
        <f t="shared" si="680"/>
        <v>0</v>
      </c>
      <c r="FW50" s="2927">
        <f t="shared" si="681"/>
        <v>0</v>
      </c>
      <c r="FX50" s="2927">
        <f t="shared" si="681"/>
        <v>0</v>
      </c>
      <c r="FY50" s="2927">
        <f t="shared" si="681"/>
        <v>0</v>
      </c>
      <c r="FZ50" s="2916">
        <f t="shared" si="682"/>
        <v>0</v>
      </c>
      <c r="GA50" s="2916">
        <f t="shared" si="682"/>
        <v>0</v>
      </c>
      <c r="GB50" s="2916">
        <f t="shared" si="682"/>
        <v>0</v>
      </c>
      <c r="GC50" s="2926">
        <f t="shared" si="682"/>
        <v>0</v>
      </c>
      <c r="GD50" s="2926">
        <f t="shared" si="682"/>
        <v>0</v>
      </c>
      <c r="GE50" s="2926">
        <f t="shared" si="682"/>
        <v>0</v>
      </c>
      <c r="GF50" s="2926">
        <f t="shared" si="682"/>
        <v>0</v>
      </c>
      <c r="GG50" s="2926">
        <f t="shared" si="682"/>
        <v>0</v>
      </c>
      <c r="GH50" s="2926">
        <f t="shared" si="682"/>
        <v>0</v>
      </c>
      <c r="GI50" s="2927">
        <f t="shared" si="683"/>
        <v>0</v>
      </c>
      <c r="GJ50" s="2927">
        <f t="shared" si="683"/>
        <v>0</v>
      </c>
      <c r="GK50" s="2927">
        <f t="shared" si="683"/>
        <v>0</v>
      </c>
      <c r="GL50" s="389"/>
      <c r="GM50" s="4191">
        <f t="shared" si="684"/>
        <v>0</v>
      </c>
    </row>
    <row r="51" spans="1:195" ht="18.75" x14ac:dyDescent="0.3">
      <c r="A51" s="2945" t="s">
        <v>3</v>
      </c>
      <c r="B51" s="2946">
        <f t="shared" si="685"/>
        <v>142.51952386494904</v>
      </c>
      <c r="C51" s="2946">
        <f>SUM('ПОЛНАЯ СЕБЕСТОИМОСТЬ ВОДА 2021'!C199)/3</f>
        <v>142.51952386494904</v>
      </c>
      <c r="D51" s="2946">
        <f>SUM('ПОЛНАЯ СЕБЕСТОИМОСТЬ ВОДА 2021'!D199)/3</f>
        <v>0</v>
      </c>
      <c r="E51" s="2865">
        <f t="shared" si="686"/>
        <v>169.02</v>
      </c>
      <c r="F51" s="2865">
        <f>SUM('ПОЛНАЯ СЕБЕСТОИМОСТЬ ВОДА 2021'!F199)</f>
        <v>169.02</v>
      </c>
      <c r="G51" s="2865">
        <f>SUM('ПОЛНАЯ СЕБЕСТОИМОСТЬ ВОДА 2021'!G199)</f>
        <v>0</v>
      </c>
      <c r="H51" s="2947">
        <f t="shared" si="687"/>
        <v>364.63</v>
      </c>
      <c r="I51" s="2947">
        <v>364.63</v>
      </c>
      <c r="J51" s="2947">
        <v>0</v>
      </c>
      <c r="K51" s="2946">
        <f t="shared" si="688"/>
        <v>142.51952386494904</v>
      </c>
      <c r="L51" s="2946">
        <f t="shared" si="689"/>
        <v>142.51952386494904</v>
      </c>
      <c r="M51" s="2946">
        <f t="shared" si="690"/>
        <v>0</v>
      </c>
      <c r="N51" s="2865">
        <f t="shared" si="691"/>
        <v>117.43299999999999</v>
      </c>
      <c r="O51" s="2865">
        <f>SUM('ПОЛНАЯ СЕБЕСТОИМОСТЬ ВОДА 2021'!I199)</f>
        <v>117.43299999999999</v>
      </c>
      <c r="P51" s="2865">
        <f>SUM('ПОЛНАЯ СЕБЕСТОИМОСТЬ ВОДА 2021'!J199)</f>
        <v>0</v>
      </c>
      <c r="Q51" s="2947">
        <f t="shared" si="692"/>
        <v>115.82</v>
      </c>
      <c r="R51" s="2947">
        <v>115.82</v>
      </c>
      <c r="S51" s="2947">
        <v>0</v>
      </c>
      <c r="T51" s="2946">
        <f t="shared" si="693"/>
        <v>142.51952386494904</v>
      </c>
      <c r="U51" s="2946">
        <f t="shared" si="694"/>
        <v>142.51952386494904</v>
      </c>
      <c r="V51" s="2946">
        <f t="shared" si="695"/>
        <v>0</v>
      </c>
      <c r="W51" s="2865">
        <f t="shared" si="696"/>
        <v>331.48</v>
      </c>
      <c r="X51" s="2865">
        <f>SUM('ПОЛНАЯ СЕБЕСТОИМОСТЬ ВОДА 2021'!L199)</f>
        <v>331.48</v>
      </c>
      <c r="Y51" s="2865">
        <f>SUM('ПОЛНАЯ СЕБЕСТОИМОСТЬ ВОДА 2021'!M199)</f>
        <v>0</v>
      </c>
      <c r="Z51" s="2947">
        <f t="shared" si="697"/>
        <v>1843.11</v>
      </c>
      <c r="AA51" s="2947">
        <v>1843.11</v>
      </c>
      <c r="AB51" s="2947">
        <v>0</v>
      </c>
      <c r="AC51" s="2916">
        <f t="shared" si="670"/>
        <v>427.55857159484708</v>
      </c>
      <c r="AD51" s="2916">
        <f t="shared" si="670"/>
        <v>427.55857159484708</v>
      </c>
      <c r="AE51" s="2916">
        <f t="shared" si="670"/>
        <v>0</v>
      </c>
      <c r="AF51" s="2926">
        <f t="shared" si="670"/>
        <v>617.93299999999999</v>
      </c>
      <c r="AG51" s="2926">
        <f t="shared" si="670"/>
        <v>617.93299999999999</v>
      </c>
      <c r="AH51" s="2926">
        <f t="shared" si="670"/>
        <v>0</v>
      </c>
      <c r="AI51" s="2926">
        <f t="shared" si="670"/>
        <v>2323.56</v>
      </c>
      <c r="AJ51" s="2926">
        <f t="shared" si="670"/>
        <v>2323.56</v>
      </c>
      <c r="AK51" s="2926">
        <f t="shared" si="670"/>
        <v>0</v>
      </c>
      <c r="AL51" s="2927">
        <f t="shared" si="671"/>
        <v>190.37442840515291</v>
      </c>
      <c r="AM51" s="2927">
        <f t="shared" si="671"/>
        <v>190.37442840515291</v>
      </c>
      <c r="AN51" s="2927">
        <f t="shared" si="671"/>
        <v>0</v>
      </c>
      <c r="AO51" s="2946">
        <f t="shared" si="698"/>
        <v>142.51952386494904</v>
      </c>
      <c r="AP51" s="2946">
        <f>SUM('ПОЛНАЯ СЕБЕСТОИМОСТЬ ВОДА 2021'!R199)/3</f>
        <v>142.51952386494904</v>
      </c>
      <c r="AQ51" s="2946">
        <f>SUM('ПОЛНАЯ СЕБЕСТОИМОСТЬ ВОДА 2021'!S199)/3</f>
        <v>0</v>
      </c>
      <c r="AR51" s="2946">
        <f t="shared" si="699"/>
        <v>217.79499999999999</v>
      </c>
      <c r="AS51" s="2946">
        <f>SUM('ПОЛНАЯ СЕБЕСТОИМОСТЬ ВОДА 2021'!U199)</f>
        <v>217.79499999999999</v>
      </c>
      <c r="AT51" s="2946">
        <f>SUM('ПОЛНАЯ СЕБЕСТОИМОСТЬ ВОДА 2021'!V199)</f>
        <v>0</v>
      </c>
      <c r="AU51" s="2947">
        <f t="shared" si="700"/>
        <v>143.44</v>
      </c>
      <c r="AV51" s="2947">
        <v>143.44</v>
      </c>
      <c r="AW51" s="2947">
        <v>0</v>
      </c>
      <c r="AX51" s="2946">
        <f t="shared" si="701"/>
        <v>142.51952386494904</v>
      </c>
      <c r="AY51" s="2946">
        <f t="shared" si="702"/>
        <v>142.51952386494904</v>
      </c>
      <c r="AZ51" s="2946">
        <f t="shared" si="703"/>
        <v>0</v>
      </c>
      <c r="BA51" s="2946">
        <f t="shared" si="704"/>
        <v>392.57</v>
      </c>
      <c r="BB51" s="2946">
        <f>SUM('ПОЛНАЯ СЕБЕСТОИМОСТЬ ВОДА 2021'!X199)</f>
        <v>392.57</v>
      </c>
      <c r="BC51" s="2946">
        <f>SUM('ПОЛНАЯ СЕБЕСТОИМОСТЬ ВОДА 2021'!Y199)</f>
        <v>0</v>
      </c>
      <c r="BD51" s="2947">
        <f t="shared" si="705"/>
        <v>90.36</v>
      </c>
      <c r="BE51" s="2947">
        <v>90.36</v>
      </c>
      <c r="BF51" s="2947">
        <v>0</v>
      </c>
      <c r="BG51" s="2946">
        <f t="shared" si="706"/>
        <v>142.51952386494904</v>
      </c>
      <c r="BH51" s="2946">
        <f t="shared" si="707"/>
        <v>142.51952386494904</v>
      </c>
      <c r="BI51" s="2946">
        <f t="shared" si="708"/>
        <v>0</v>
      </c>
      <c r="BJ51" s="2865">
        <f t="shared" si="709"/>
        <v>273.23599999999999</v>
      </c>
      <c r="BK51" s="2865">
        <f>SUM('ПОЛНАЯ СЕБЕСТОИМОСТЬ ВОДА 2021'!AA199)</f>
        <v>273.23599999999999</v>
      </c>
      <c r="BL51" s="2865">
        <f>SUM('ПОЛНАЯ СЕБЕСТОИМОСТЬ ВОДА 2021'!AB199)</f>
        <v>0</v>
      </c>
      <c r="BM51" s="2947">
        <f t="shared" si="710"/>
        <v>195.685</v>
      </c>
      <c r="BN51" s="2947">
        <v>195.685</v>
      </c>
      <c r="BO51" s="2947">
        <v>0</v>
      </c>
      <c r="BP51" s="2916">
        <f t="shared" si="672"/>
        <v>427.55857159484708</v>
      </c>
      <c r="BQ51" s="2916">
        <f t="shared" si="672"/>
        <v>427.55857159484708</v>
      </c>
      <c r="BR51" s="2916">
        <f t="shared" si="672"/>
        <v>0</v>
      </c>
      <c r="BS51" s="2926">
        <f t="shared" si="672"/>
        <v>883.601</v>
      </c>
      <c r="BT51" s="2926">
        <f t="shared" si="672"/>
        <v>883.601</v>
      </c>
      <c r="BU51" s="2926">
        <f t="shared" si="672"/>
        <v>0</v>
      </c>
      <c r="BV51" s="2926">
        <f t="shared" si="672"/>
        <v>429.48500000000001</v>
      </c>
      <c r="BW51" s="2926">
        <f t="shared" si="672"/>
        <v>429.48500000000001</v>
      </c>
      <c r="BX51" s="2926">
        <f t="shared" si="672"/>
        <v>0</v>
      </c>
      <c r="BY51" s="2927">
        <f t="shared" si="673"/>
        <v>456.04242840515292</v>
      </c>
      <c r="BZ51" s="2927">
        <f t="shared" si="673"/>
        <v>456.04242840515292</v>
      </c>
      <c r="CA51" s="2927">
        <f t="shared" si="673"/>
        <v>0</v>
      </c>
      <c r="CB51" s="2916">
        <f t="shared" si="674"/>
        <v>855.11714318969416</v>
      </c>
      <c r="CC51" s="2916">
        <f t="shared" si="674"/>
        <v>855.11714318969416</v>
      </c>
      <c r="CD51" s="2916">
        <f t="shared" si="674"/>
        <v>0</v>
      </c>
      <c r="CE51" s="2926">
        <f t="shared" si="674"/>
        <v>1501.5340000000001</v>
      </c>
      <c r="CF51" s="2926">
        <f t="shared" si="674"/>
        <v>1501.5340000000001</v>
      </c>
      <c r="CG51" s="2926">
        <f t="shared" si="674"/>
        <v>0</v>
      </c>
      <c r="CH51" s="2926">
        <f t="shared" si="674"/>
        <v>2753.0450000000001</v>
      </c>
      <c r="CI51" s="2926">
        <f t="shared" si="674"/>
        <v>2753.0450000000001</v>
      </c>
      <c r="CJ51" s="2926">
        <f t="shared" si="674"/>
        <v>0</v>
      </c>
      <c r="CK51" s="2927">
        <f t="shared" si="675"/>
        <v>646.41685681030594</v>
      </c>
      <c r="CL51" s="2927">
        <f t="shared" si="675"/>
        <v>646.41685681030594</v>
      </c>
      <c r="CM51" s="2927">
        <f t="shared" si="675"/>
        <v>0</v>
      </c>
      <c r="CN51" s="2946">
        <f t="shared" si="711"/>
        <v>142.51952386494904</v>
      </c>
      <c r="CO51" s="2946">
        <f>SUM('ПОЛНАЯ СЕБЕСТОИМОСТЬ ВОДА 2021'!AP199)/3</f>
        <v>142.51952386494904</v>
      </c>
      <c r="CP51" s="2946">
        <f>SUM('ПОЛНАЯ СЕБЕСТОИМОСТЬ ВОДА 2021'!AQ199)/3</f>
        <v>0</v>
      </c>
      <c r="CQ51" s="2865">
        <f t="shared" si="712"/>
        <v>258.54999999999995</v>
      </c>
      <c r="CR51" s="2865">
        <f>SUM('ПОЛНАЯ СЕБЕСТОИМОСТЬ ВОДА 2021'!AS199)</f>
        <v>258.54999999999995</v>
      </c>
      <c r="CS51" s="2865">
        <f>SUM('ПОЛНАЯ СЕБЕСТОИМОСТЬ ВОДА 2021'!AT199)</f>
        <v>0</v>
      </c>
      <c r="CT51" s="2947">
        <f t="shared" si="713"/>
        <v>181.7</v>
      </c>
      <c r="CU51" s="2947">
        <v>181.7</v>
      </c>
      <c r="CV51" s="2947">
        <v>0</v>
      </c>
      <c r="CW51" s="2946">
        <f t="shared" si="714"/>
        <v>142.51952386494904</v>
      </c>
      <c r="CX51" s="2946">
        <f t="shared" si="715"/>
        <v>142.51952386494904</v>
      </c>
      <c r="CY51" s="2946">
        <f t="shared" si="716"/>
        <v>0</v>
      </c>
      <c r="CZ51" s="2865">
        <f t="shared" si="717"/>
        <v>404.92199999999997</v>
      </c>
      <c r="DA51" s="2865">
        <f>SUM('ПОЛНАЯ СЕБЕСТОИМОСТЬ ВОДА 2021'!AV199)</f>
        <v>404.92199999999997</v>
      </c>
      <c r="DB51" s="2865">
        <f>SUM('ПОЛНАЯ СЕБЕСТОИМОСТЬ ВОДА 2021'!AW199)</f>
        <v>0</v>
      </c>
      <c r="DC51" s="2947">
        <f t="shared" si="718"/>
        <v>177.13</v>
      </c>
      <c r="DD51" s="2947">
        <v>177.13</v>
      </c>
      <c r="DE51" s="2947">
        <v>0</v>
      </c>
      <c r="DF51" s="2946">
        <f t="shared" si="719"/>
        <v>142.51952386494904</v>
      </c>
      <c r="DG51" s="2946">
        <f t="shared" si="720"/>
        <v>142.51952386494904</v>
      </c>
      <c r="DH51" s="2946">
        <f t="shared" si="721"/>
        <v>0</v>
      </c>
      <c r="DI51" s="2865">
        <f t="shared" si="722"/>
        <v>320.65999999999997</v>
      </c>
      <c r="DJ51" s="2865">
        <f>SUM('ПОЛНАЯ СЕБЕСТОИМОСТЬ ВОДА 2021'!AY199)</f>
        <v>320.65999999999997</v>
      </c>
      <c r="DK51" s="2865">
        <f>SUM('ПОЛНАЯ СЕБЕСТОИМОСТЬ ВОДА 2021'!AZ199)</f>
        <v>0</v>
      </c>
      <c r="DL51" s="2947">
        <f t="shared" si="723"/>
        <v>195.4</v>
      </c>
      <c r="DM51" s="2947">
        <v>195.4</v>
      </c>
      <c r="DN51" s="2947">
        <v>0</v>
      </c>
      <c r="DO51" s="2916">
        <f t="shared" si="676"/>
        <v>427.55857159484708</v>
      </c>
      <c r="DP51" s="2916">
        <f t="shared" si="676"/>
        <v>427.55857159484708</v>
      </c>
      <c r="DQ51" s="2916">
        <f t="shared" si="676"/>
        <v>0</v>
      </c>
      <c r="DR51" s="2926">
        <f t="shared" si="676"/>
        <v>984.13199999999995</v>
      </c>
      <c r="DS51" s="2926">
        <f t="shared" si="676"/>
        <v>984.13199999999995</v>
      </c>
      <c r="DT51" s="2926">
        <f t="shared" si="676"/>
        <v>0</v>
      </c>
      <c r="DU51" s="2926">
        <f t="shared" si="676"/>
        <v>554.23</v>
      </c>
      <c r="DV51" s="2926">
        <f t="shared" si="676"/>
        <v>554.23</v>
      </c>
      <c r="DW51" s="2926">
        <f t="shared" si="676"/>
        <v>0</v>
      </c>
      <c r="DX51" s="2927">
        <f t="shared" si="677"/>
        <v>556.57342840515287</v>
      </c>
      <c r="DY51" s="2927">
        <f t="shared" si="677"/>
        <v>556.57342840515287</v>
      </c>
      <c r="DZ51" s="2927">
        <f t="shared" si="677"/>
        <v>0</v>
      </c>
      <c r="EA51" s="2916">
        <f t="shared" si="678"/>
        <v>1282.6757147845412</v>
      </c>
      <c r="EB51" s="2916">
        <f t="shared" si="678"/>
        <v>1282.6757147845412</v>
      </c>
      <c r="EC51" s="2916">
        <f t="shared" si="678"/>
        <v>0</v>
      </c>
      <c r="ED51" s="2926">
        <f t="shared" si="678"/>
        <v>2485.6660000000002</v>
      </c>
      <c r="EE51" s="2926">
        <f t="shared" si="678"/>
        <v>2485.6660000000002</v>
      </c>
      <c r="EF51" s="2926">
        <f t="shared" si="678"/>
        <v>0</v>
      </c>
      <c r="EG51" s="2926">
        <f t="shared" si="678"/>
        <v>3307.2750000000001</v>
      </c>
      <c r="EH51" s="2926">
        <f t="shared" si="678"/>
        <v>3307.2750000000001</v>
      </c>
      <c r="EI51" s="2926">
        <f t="shared" si="678"/>
        <v>0</v>
      </c>
      <c r="EJ51" s="2927">
        <f t="shared" si="679"/>
        <v>1202.9902852154589</v>
      </c>
      <c r="EK51" s="2927">
        <f t="shared" si="679"/>
        <v>1202.9902852154589</v>
      </c>
      <c r="EL51" s="2927">
        <f t="shared" si="679"/>
        <v>0</v>
      </c>
      <c r="EM51" s="2946">
        <f t="shared" si="724"/>
        <v>142.51952386494904</v>
      </c>
      <c r="EN51" s="2946">
        <f>SUM('ПОЛНАЯ СЕБЕСТОИМОСТЬ ВОДА 2021'!BN199)/3</f>
        <v>142.51952386494904</v>
      </c>
      <c r="EO51" s="2946">
        <f>SUM('ПОЛНАЯ СЕБЕСТОИМОСТЬ ВОДА 2021'!BO199)/3</f>
        <v>0</v>
      </c>
      <c r="EP51" s="2865">
        <f t="shared" si="725"/>
        <v>422.51499999999999</v>
      </c>
      <c r="EQ51" s="2865">
        <f>SUM('ПОЛНАЯ СЕБЕСТОИМОСТЬ ВОДА 2021'!BQ199)</f>
        <v>422.51499999999999</v>
      </c>
      <c r="ER51" s="2865">
        <f>SUM('ПОЛНАЯ СЕБЕСТОИМОСТЬ ВОДА 2021'!BR199)</f>
        <v>0</v>
      </c>
      <c r="ES51" s="2947">
        <f t="shared" si="726"/>
        <v>232.404</v>
      </c>
      <c r="ET51" s="2947">
        <v>232.404</v>
      </c>
      <c r="EU51" s="2947">
        <v>0</v>
      </c>
      <c r="EV51" s="2946">
        <f t="shared" si="727"/>
        <v>142.51952386494904</v>
      </c>
      <c r="EW51" s="2946">
        <f t="shared" si="728"/>
        <v>142.51952386494904</v>
      </c>
      <c r="EX51" s="2946">
        <f t="shared" si="729"/>
        <v>0</v>
      </c>
      <c r="EY51" s="2865">
        <f t="shared" si="730"/>
        <v>278.464</v>
      </c>
      <c r="EZ51" s="2865">
        <f>SUM('ПОЛНАЯ СЕБЕСТОИМОСТЬ ВОДА 2021'!BT199)</f>
        <v>278.464</v>
      </c>
      <c r="FA51" s="2865">
        <f>SUM('ПОЛНАЯ СЕБЕСТОИМОСТЬ ВОДА 2021'!BU199)</f>
        <v>0</v>
      </c>
      <c r="FB51" s="2947">
        <f t="shared" si="731"/>
        <v>660.24400000000003</v>
      </c>
      <c r="FC51" s="2947">
        <v>660.24400000000003</v>
      </c>
      <c r="FD51" s="2947">
        <v>0</v>
      </c>
      <c r="FE51" s="2946">
        <f t="shared" si="732"/>
        <v>142.51952386494904</v>
      </c>
      <c r="FF51" s="2946">
        <f t="shared" si="733"/>
        <v>142.51952386494904</v>
      </c>
      <c r="FG51" s="2946">
        <f t="shared" si="734"/>
        <v>0</v>
      </c>
      <c r="FH51" s="2865">
        <f t="shared" si="735"/>
        <v>146.798</v>
      </c>
      <c r="FI51" s="2865">
        <f>SUM('ПОЛНАЯ СЕБЕСТОИМОСТЬ ВОДА 2021'!BW199)</f>
        <v>146.798</v>
      </c>
      <c r="FJ51" s="2865">
        <f>SUM('ПОЛНАЯ СЕБЕСТОИМОСТЬ ВОДА 2021'!BX199)</f>
        <v>0</v>
      </c>
      <c r="FK51" s="2947">
        <f t="shared" si="736"/>
        <v>277.44200000000001</v>
      </c>
      <c r="FL51" s="2947">
        <v>277.44200000000001</v>
      </c>
      <c r="FM51" s="2947">
        <v>0</v>
      </c>
      <c r="FN51" s="2916">
        <f t="shared" si="680"/>
        <v>427.55857159484708</v>
      </c>
      <c r="FO51" s="2916">
        <f t="shared" si="680"/>
        <v>427.55857159484708</v>
      </c>
      <c r="FP51" s="2916">
        <f t="shared" si="680"/>
        <v>0</v>
      </c>
      <c r="FQ51" s="2926">
        <f t="shared" si="680"/>
        <v>847.77700000000004</v>
      </c>
      <c r="FR51" s="2926">
        <f t="shared" si="680"/>
        <v>847.77700000000004</v>
      </c>
      <c r="FS51" s="2926">
        <f t="shared" si="680"/>
        <v>0</v>
      </c>
      <c r="FT51" s="2926">
        <f t="shared" si="680"/>
        <v>1170.0900000000001</v>
      </c>
      <c r="FU51" s="2926">
        <f t="shared" si="680"/>
        <v>1170.0900000000001</v>
      </c>
      <c r="FV51" s="2926">
        <f t="shared" si="680"/>
        <v>0</v>
      </c>
      <c r="FW51" s="2927">
        <f t="shared" si="681"/>
        <v>420.21842840515296</v>
      </c>
      <c r="FX51" s="2927">
        <f t="shared" si="681"/>
        <v>420.21842840515296</v>
      </c>
      <c r="FY51" s="2927">
        <f t="shared" si="681"/>
        <v>0</v>
      </c>
      <c r="FZ51" s="2916">
        <f t="shared" si="682"/>
        <v>1710.2342863793883</v>
      </c>
      <c r="GA51" s="2916">
        <f t="shared" si="682"/>
        <v>1710.2342863793883</v>
      </c>
      <c r="GB51" s="2916">
        <f t="shared" si="682"/>
        <v>0</v>
      </c>
      <c r="GC51" s="2926">
        <f t="shared" si="682"/>
        <v>3333.4430000000002</v>
      </c>
      <c r="GD51" s="2926">
        <f t="shared" si="682"/>
        <v>3333.4430000000002</v>
      </c>
      <c r="GE51" s="2926">
        <f t="shared" si="682"/>
        <v>0</v>
      </c>
      <c r="GF51" s="2926">
        <f t="shared" si="682"/>
        <v>4477.3649999999998</v>
      </c>
      <c r="GG51" s="2926">
        <f t="shared" si="682"/>
        <v>4477.3649999999998</v>
      </c>
      <c r="GH51" s="2926">
        <f t="shared" si="682"/>
        <v>0</v>
      </c>
      <c r="GI51" s="2927">
        <f t="shared" si="683"/>
        <v>1623.2087136206119</v>
      </c>
      <c r="GJ51" s="2927">
        <f t="shared" si="683"/>
        <v>1623.2087136206119</v>
      </c>
      <c r="GK51" s="2927">
        <f t="shared" si="683"/>
        <v>0</v>
      </c>
      <c r="GL51" s="389"/>
      <c r="GM51" s="4191">
        <f t="shared" si="684"/>
        <v>1710.2342863793881</v>
      </c>
    </row>
    <row r="52" spans="1:195" ht="18.75" x14ac:dyDescent="0.3">
      <c r="A52" s="2945" t="s">
        <v>8</v>
      </c>
      <c r="B52" s="2946">
        <f t="shared" si="685"/>
        <v>1046.2894160780297</v>
      </c>
      <c r="C52" s="2946">
        <f>SUM('ПОЛНАЯ СЕБЕСТОИМОСТЬ ВОДА 2021'!C200)/3</f>
        <v>1046.2894160780297</v>
      </c>
      <c r="D52" s="2946">
        <f>SUM('ПОЛНАЯ СЕБЕСТОИМОСТЬ ВОДА 2021'!D200)/3</f>
        <v>0</v>
      </c>
      <c r="E52" s="2865">
        <f t="shared" si="686"/>
        <v>95.14</v>
      </c>
      <c r="F52" s="2865">
        <f>SUM('ПОЛНАЯ СЕБЕСТОИМОСТЬ ВОДА 2021'!F200)</f>
        <v>95.14</v>
      </c>
      <c r="G52" s="2865">
        <f>SUM('ПОЛНАЯ СЕБЕСТОИМОСТЬ ВОДА 2021'!G200)</f>
        <v>0</v>
      </c>
      <c r="H52" s="2947">
        <f t="shared" si="687"/>
        <v>2396.02</v>
      </c>
      <c r="I52" s="2947">
        <v>2396.02</v>
      </c>
      <c r="J52" s="2947">
        <v>0</v>
      </c>
      <c r="K52" s="2946">
        <f t="shared" si="688"/>
        <v>1046.2894160780297</v>
      </c>
      <c r="L52" s="2946">
        <f t="shared" si="689"/>
        <v>1046.2894160780297</v>
      </c>
      <c r="M52" s="2946">
        <f t="shared" si="690"/>
        <v>0</v>
      </c>
      <c r="N52" s="2865">
        <f t="shared" si="691"/>
        <v>0</v>
      </c>
      <c r="O52" s="2865">
        <f>SUM('ПОЛНАЯ СЕБЕСТОИМОСТЬ ВОДА 2021'!I200)</f>
        <v>0</v>
      </c>
      <c r="P52" s="2865">
        <f>SUM('ПОЛНАЯ СЕБЕСТОИМОСТЬ ВОДА 2021'!J200)</f>
        <v>0</v>
      </c>
      <c r="Q52" s="2947">
        <f t="shared" si="692"/>
        <v>1827.23</v>
      </c>
      <c r="R52" s="2947">
        <v>1827.23</v>
      </c>
      <c r="S52" s="2947">
        <v>0</v>
      </c>
      <c r="T52" s="2946">
        <f t="shared" si="693"/>
        <v>1046.2894160780297</v>
      </c>
      <c r="U52" s="2946">
        <f t="shared" si="694"/>
        <v>1046.2894160780297</v>
      </c>
      <c r="V52" s="2946">
        <f t="shared" si="695"/>
        <v>0</v>
      </c>
      <c r="W52" s="2865">
        <f t="shared" si="696"/>
        <v>1577.43</v>
      </c>
      <c r="X52" s="2865">
        <f>SUM('ПОЛНАЯ СЕБЕСТОИМОСТЬ ВОДА 2021'!L200)</f>
        <v>1577.43</v>
      </c>
      <c r="Y52" s="2865">
        <f>SUM('ПОЛНАЯ СЕБЕСТОИМОСТЬ ВОДА 2021'!M200)</f>
        <v>0</v>
      </c>
      <c r="Z52" s="2947">
        <f t="shared" si="697"/>
        <v>792.18</v>
      </c>
      <c r="AA52" s="2947">
        <v>792.18</v>
      </c>
      <c r="AB52" s="2947">
        <v>0</v>
      </c>
      <c r="AC52" s="2916">
        <f t="shared" si="670"/>
        <v>3138.8682482340892</v>
      </c>
      <c r="AD52" s="2916">
        <f t="shared" si="670"/>
        <v>3138.8682482340892</v>
      </c>
      <c r="AE52" s="2916">
        <f t="shared" si="670"/>
        <v>0</v>
      </c>
      <c r="AF52" s="2926">
        <f t="shared" si="670"/>
        <v>1672.5700000000002</v>
      </c>
      <c r="AG52" s="2926">
        <f t="shared" si="670"/>
        <v>1672.5700000000002</v>
      </c>
      <c r="AH52" s="2926">
        <f t="shared" si="670"/>
        <v>0</v>
      </c>
      <c r="AI52" s="2926">
        <f t="shared" si="670"/>
        <v>5015.43</v>
      </c>
      <c r="AJ52" s="2926">
        <f t="shared" si="670"/>
        <v>5015.43</v>
      </c>
      <c r="AK52" s="2926">
        <f t="shared" si="670"/>
        <v>0</v>
      </c>
      <c r="AL52" s="2927">
        <f t="shared" si="671"/>
        <v>-1466.298248234089</v>
      </c>
      <c r="AM52" s="2927">
        <f t="shared" si="671"/>
        <v>-1466.298248234089</v>
      </c>
      <c r="AN52" s="2927">
        <f t="shared" si="671"/>
        <v>0</v>
      </c>
      <c r="AO52" s="2946">
        <f t="shared" si="698"/>
        <v>1046.2894160780297</v>
      </c>
      <c r="AP52" s="2946">
        <f>SUM('ПОЛНАЯ СЕБЕСТОИМОСТЬ ВОДА 2021'!R200)/3</f>
        <v>1046.2894160780297</v>
      </c>
      <c r="AQ52" s="2946">
        <f>SUM('ПОЛНАЯ СЕБЕСТОИМОСТЬ ВОДА 2021'!S200)/3</f>
        <v>0</v>
      </c>
      <c r="AR52" s="2946">
        <f t="shared" si="699"/>
        <v>1825.97</v>
      </c>
      <c r="AS52" s="2946">
        <f>SUM('ПОЛНАЯ СЕБЕСТОИМОСТЬ ВОДА 2021'!U200)</f>
        <v>1825.97</v>
      </c>
      <c r="AT52" s="2946">
        <f>SUM('ПОЛНАЯ СЕБЕСТОИМОСТЬ ВОДА 2021'!V200)</f>
        <v>0</v>
      </c>
      <c r="AU52" s="2947">
        <f t="shared" si="700"/>
        <v>1793.22</v>
      </c>
      <c r="AV52" s="2947">
        <v>1793.22</v>
      </c>
      <c r="AW52" s="2947">
        <v>0</v>
      </c>
      <c r="AX52" s="2946">
        <f t="shared" si="701"/>
        <v>1046.2894160780297</v>
      </c>
      <c r="AY52" s="2946">
        <f t="shared" si="702"/>
        <v>1046.2894160780297</v>
      </c>
      <c r="AZ52" s="2946">
        <f t="shared" si="703"/>
        <v>0</v>
      </c>
      <c r="BA52" s="2946">
        <f t="shared" si="704"/>
        <v>1548.5</v>
      </c>
      <c r="BB52" s="2946">
        <f>SUM('ПОЛНАЯ СЕБЕСТОИМОСТЬ ВОДА 2021'!X200)</f>
        <v>1548.5</v>
      </c>
      <c r="BC52" s="2946">
        <f>SUM('ПОЛНАЯ СЕБЕСТОИМОСТЬ ВОДА 2021'!Y200)</f>
        <v>0</v>
      </c>
      <c r="BD52" s="2947">
        <f t="shared" si="705"/>
        <v>2862.22</v>
      </c>
      <c r="BE52" s="2947">
        <v>2862.22</v>
      </c>
      <c r="BF52" s="2947">
        <v>0</v>
      </c>
      <c r="BG52" s="2946">
        <f t="shared" si="706"/>
        <v>1046.2894160780297</v>
      </c>
      <c r="BH52" s="2946">
        <f t="shared" si="707"/>
        <v>1046.2894160780297</v>
      </c>
      <c r="BI52" s="2946">
        <f t="shared" si="708"/>
        <v>0</v>
      </c>
      <c r="BJ52" s="2865">
        <f t="shared" si="709"/>
        <v>180.28</v>
      </c>
      <c r="BK52" s="2865">
        <f>SUM('ПОЛНАЯ СЕБЕСТОИМОСТЬ ВОДА 2021'!AA200)</f>
        <v>180.28</v>
      </c>
      <c r="BL52" s="2865">
        <f>SUM('ПОЛНАЯ СЕБЕСТОИМОСТЬ ВОДА 2021'!AB200)</f>
        <v>0</v>
      </c>
      <c r="BM52" s="2947">
        <f t="shared" si="710"/>
        <v>0</v>
      </c>
      <c r="BN52" s="2947">
        <v>0</v>
      </c>
      <c r="BO52" s="2947">
        <v>0</v>
      </c>
      <c r="BP52" s="2916">
        <f t="shared" si="672"/>
        <v>3138.8682482340892</v>
      </c>
      <c r="BQ52" s="2916">
        <f t="shared" si="672"/>
        <v>3138.8682482340892</v>
      </c>
      <c r="BR52" s="2916">
        <f t="shared" si="672"/>
        <v>0</v>
      </c>
      <c r="BS52" s="2926">
        <f t="shared" si="672"/>
        <v>3554.7500000000005</v>
      </c>
      <c r="BT52" s="2926">
        <f t="shared" si="672"/>
        <v>3554.7500000000005</v>
      </c>
      <c r="BU52" s="2926">
        <f t="shared" si="672"/>
        <v>0</v>
      </c>
      <c r="BV52" s="2926">
        <f t="shared" si="672"/>
        <v>4655.4399999999996</v>
      </c>
      <c r="BW52" s="2926">
        <f t="shared" si="672"/>
        <v>4655.4399999999996</v>
      </c>
      <c r="BX52" s="2926">
        <f t="shared" si="672"/>
        <v>0</v>
      </c>
      <c r="BY52" s="2927">
        <f t="shared" si="673"/>
        <v>415.8817517659113</v>
      </c>
      <c r="BZ52" s="2927">
        <f t="shared" si="673"/>
        <v>415.8817517659113</v>
      </c>
      <c r="CA52" s="2927">
        <f t="shared" si="673"/>
        <v>0</v>
      </c>
      <c r="CB52" s="2916">
        <f t="shared" si="674"/>
        <v>6277.7364964681783</v>
      </c>
      <c r="CC52" s="2916">
        <f t="shared" si="674"/>
        <v>6277.7364964681783</v>
      </c>
      <c r="CD52" s="2916">
        <f t="shared" si="674"/>
        <v>0</v>
      </c>
      <c r="CE52" s="2926">
        <f t="shared" si="674"/>
        <v>5227.3200000000006</v>
      </c>
      <c r="CF52" s="2926">
        <f t="shared" si="674"/>
        <v>5227.3200000000006</v>
      </c>
      <c r="CG52" s="2926">
        <f t="shared" si="674"/>
        <v>0</v>
      </c>
      <c r="CH52" s="2926">
        <f t="shared" si="674"/>
        <v>9670.869999999999</v>
      </c>
      <c r="CI52" s="2926">
        <f t="shared" si="674"/>
        <v>9670.869999999999</v>
      </c>
      <c r="CJ52" s="2926">
        <f t="shared" si="674"/>
        <v>0</v>
      </c>
      <c r="CK52" s="2927">
        <f t="shared" si="675"/>
        <v>-1050.4164964681777</v>
      </c>
      <c r="CL52" s="2927">
        <f t="shared" si="675"/>
        <v>-1050.4164964681777</v>
      </c>
      <c r="CM52" s="2927">
        <f t="shared" si="675"/>
        <v>0</v>
      </c>
      <c r="CN52" s="2946">
        <f t="shared" si="711"/>
        <v>1046.2894160780297</v>
      </c>
      <c r="CO52" s="2946">
        <f>SUM('ПОЛНАЯ СЕБЕСТОИМОСТЬ ВОДА 2021'!AP200)/3</f>
        <v>1046.2894160780297</v>
      </c>
      <c r="CP52" s="2946">
        <f>SUM('ПОЛНАЯ СЕБЕСТОИМОСТЬ ВОДА 2021'!AQ200)/3</f>
        <v>0</v>
      </c>
      <c r="CQ52" s="2865">
        <f t="shared" si="712"/>
        <v>1354.56</v>
      </c>
      <c r="CR52" s="2865">
        <f>SUM('ПОЛНАЯ СЕБЕСТОИМОСТЬ ВОДА 2021'!AS200)</f>
        <v>1354.56</v>
      </c>
      <c r="CS52" s="2865">
        <f>SUM('ПОЛНАЯ СЕБЕСТОИМОСТЬ ВОДА 2021'!AT200)</f>
        <v>0</v>
      </c>
      <c r="CT52" s="2947">
        <f t="shared" si="713"/>
        <v>1102.25</v>
      </c>
      <c r="CU52" s="2947">
        <v>1102.25</v>
      </c>
      <c r="CV52" s="2947">
        <v>0</v>
      </c>
      <c r="CW52" s="2946">
        <f t="shared" si="714"/>
        <v>1046.2894160780297</v>
      </c>
      <c r="CX52" s="2946">
        <f t="shared" si="715"/>
        <v>1046.2894160780297</v>
      </c>
      <c r="CY52" s="2946">
        <f t="shared" si="716"/>
        <v>0</v>
      </c>
      <c r="CZ52" s="2865">
        <f t="shared" si="717"/>
        <v>0</v>
      </c>
      <c r="DA52" s="2865">
        <f>SUM('ПОЛНАЯ СЕБЕСТОИМОСТЬ ВОДА 2021'!AV200)</f>
        <v>0</v>
      </c>
      <c r="DB52" s="2865">
        <f>SUM('ПОЛНАЯ СЕБЕСТОИМОСТЬ ВОДА 2021'!AW200)</f>
        <v>0</v>
      </c>
      <c r="DC52" s="2947">
        <f t="shared" si="718"/>
        <v>125.92</v>
      </c>
      <c r="DD52" s="2947">
        <v>125.92</v>
      </c>
      <c r="DE52" s="2947">
        <v>0</v>
      </c>
      <c r="DF52" s="2946">
        <f t="shared" si="719"/>
        <v>1046.2894160780297</v>
      </c>
      <c r="DG52" s="2946">
        <f t="shared" si="720"/>
        <v>1046.2894160780297</v>
      </c>
      <c r="DH52" s="2946">
        <f t="shared" si="721"/>
        <v>0</v>
      </c>
      <c r="DI52" s="2865">
        <f t="shared" si="722"/>
        <v>2032.1210000000001</v>
      </c>
      <c r="DJ52" s="2865">
        <f>SUM('ПОЛНАЯ СЕБЕСТОИМОСТЬ ВОДА 2021'!AY200)</f>
        <v>2032.1210000000001</v>
      </c>
      <c r="DK52" s="2865">
        <f>SUM('ПОЛНАЯ СЕБЕСТОИМОСТЬ ВОДА 2021'!AZ200)</f>
        <v>0</v>
      </c>
      <c r="DL52" s="2947">
        <f t="shared" si="723"/>
        <v>1269.46</v>
      </c>
      <c r="DM52" s="2947">
        <v>1269.46</v>
      </c>
      <c r="DN52" s="2947">
        <v>0</v>
      </c>
      <c r="DO52" s="2916">
        <f t="shared" si="676"/>
        <v>3138.8682482340892</v>
      </c>
      <c r="DP52" s="2916">
        <f t="shared" si="676"/>
        <v>3138.8682482340892</v>
      </c>
      <c r="DQ52" s="2916">
        <f t="shared" si="676"/>
        <v>0</v>
      </c>
      <c r="DR52" s="2926">
        <f t="shared" si="676"/>
        <v>3386.681</v>
      </c>
      <c r="DS52" s="2926">
        <f t="shared" si="676"/>
        <v>3386.681</v>
      </c>
      <c r="DT52" s="2926">
        <f t="shared" si="676"/>
        <v>0</v>
      </c>
      <c r="DU52" s="2926">
        <f t="shared" si="676"/>
        <v>2497.63</v>
      </c>
      <c r="DV52" s="2926">
        <f t="shared" si="676"/>
        <v>2497.63</v>
      </c>
      <c r="DW52" s="2926">
        <f t="shared" si="676"/>
        <v>0</v>
      </c>
      <c r="DX52" s="2927">
        <f t="shared" si="677"/>
        <v>247.81275176591089</v>
      </c>
      <c r="DY52" s="2927">
        <f t="shared" si="677"/>
        <v>247.81275176591089</v>
      </c>
      <c r="DZ52" s="2927">
        <f t="shared" si="677"/>
        <v>0</v>
      </c>
      <c r="EA52" s="2916">
        <f t="shared" si="678"/>
        <v>9416.6047447022684</v>
      </c>
      <c r="EB52" s="2916">
        <f t="shared" si="678"/>
        <v>9416.6047447022684</v>
      </c>
      <c r="EC52" s="2916">
        <f t="shared" si="678"/>
        <v>0</v>
      </c>
      <c r="ED52" s="2926">
        <f t="shared" si="678"/>
        <v>8614.0010000000002</v>
      </c>
      <c r="EE52" s="2926">
        <f t="shared" si="678"/>
        <v>8614.0010000000002</v>
      </c>
      <c r="EF52" s="2926">
        <f t="shared" si="678"/>
        <v>0</v>
      </c>
      <c r="EG52" s="2926">
        <f t="shared" si="678"/>
        <v>12168.5</v>
      </c>
      <c r="EH52" s="2926">
        <f t="shared" si="678"/>
        <v>12168.5</v>
      </c>
      <c r="EI52" s="2926">
        <f t="shared" si="678"/>
        <v>0</v>
      </c>
      <c r="EJ52" s="2927">
        <f t="shared" si="679"/>
        <v>-802.60374470226816</v>
      </c>
      <c r="EK52" s="2927">
        <f t="shared" si="679"/>
        <v>-802.60374470226816</v>
      </c>
      <c r="EL52" s="2927">
        <f t="shared" si="679"/>
        <v>0</v>
      </c>
      <c r="EM52" s="2946">
        <f t="shared" si="724"/>
        <v>1046.2894160780297</v>
      </c>
      <c r="EN52" s="2946">
        <f>SUM('ПОЛНАЯ СЕБЕСТОИМОСТЬ ВОДА 2021'!BN200)/3</f>
        <v>1046.2894160780297</v>
      </c>
      <c r="EO52" s="2946">
        <f>SUM('ПОЛНАЯ СЕБЕСТОИМОСТЬ ВОДА 2021'!BO200)/3</f>
        <v>0</v>
      </c>
      <c r="EP52" s="2865">
        <f t="shared" si="725"/>
        <v>45.954999999999998</v>
      </c>
      <c r="EQ52" s="2865">
        <f>SUM('ПОЛНАЯ СЕБЕСТОИМОСТЬ ВОДА 2021'!BQ200)</f>
        <v>45.954999999999998</v>
      </c>
      <c r="ER52" s="2865">
        <f>SUM('ПОЛНАЯ СЕБЕСТОИМОСТЬ ВОДА 2021'!BR200)</f>
        <v>0</v>
      </c>
      <c r="ES52" s="2947">
        <f t="shared" si="726"/>
        <v>254.20500000000001</v>
      </c>
      <c r="ET52" s="2947">
        <v>254.20500000000001</v>
      </c>
      <c r="EU52" s="2947">
        <v>0</v>
      </c>
      <c r="EV52" s="2946">
        <f t="shared" si="727"/>
        <v>1046.2894160780297</v>
      </c>
      <c r="EW52" s="2946">
        <f t="shared" si="728"/>
        <v>1046.2894160780297</v>
      </c>
      <c r="EX52" s="2946">
        <f t="shared" si="729"/>
        <v>0</v>
      </c>
      <c r="EY52" s="2865">
        <f t="shared" si="730"/>
        <v>1109.3520000000001</v>
      </c>
      <c r="EZ52" s="2865">
        <f>SUM('ПОЛНАЯ СЕБЕСТОИМОСТЬ ВОДА 2021'!BT200)</f>
        <v>1109.3520000000001</v>
      </c>
      <c r="FA52" s="2865">
        <f>SUM('ПОЛНАЯ СЕБЕСТОИМОСТЬ ВОДА 2021'!BU200)</f>
        <v>0</v>
      </c>
      <c r="FB52" s="2947">
        <f t="shared" si="731"/>
        <v>1380.405</v>
      </c>
      <c r="FC52" s="2947">
        <v>1380.405</v>
      </c>
      <c r="FD52" s="2947">
        <v>0</v>
      </c>
      <c r="FE52" s="2946">
        <f t="shared" si="732"/>
        <v>1046.2894160780297</v>
      </c>
      <c r="FF52" s="2946">
        <f t="shared" si="733"/>
        <v>1046.2894160780297</v>
      </c>
      <c r="FG52" s="2946">
        <f t="shared" si="734"/>
        <v>0</v>
      </c>
      <c r="FH52" s="2865">
        <f t="shared" si="735"/>
        <v>1200.6030000000001</v>
      </c>
      <c r="FI52" s="2865">
        <f>SUM('ПОЛНАЯ СЕБЕСТОИМОСТЬ ВОДА 2021'!BW200)</f>
        <v>1200.6030000000001</v>
      </c>
      <c r="FJ52" s="2865">
        <f>SUM('ПОЛНАЯ СЕБЕСТОИМОСТЬ ВОДА 2021'!BX200)</f>
        <v>0</v>
      </c>
      <c r="FK52" s="2947">
        <f t="shared" si="736"/>
        <v>-4.5250000000000004</v>
      </c>
      <c r="FL52" s="2947">
        <v>-4.5250000000000004</v>
      </c>
      <c r="FM52" s="2947">
        <v>0</v>
      </c>
      <c r="FN52" s="2916">
        <f t="shared" si="680"/>
        <v>3138.8682482340892</v>
      </c>
      <c r="FO52" s="2916">
        <f t="shared" si="680"/>
        <v>3138.8682482340892</v>
      </c>
      <c r="FP52" s="2916">
        <f t="shared" si="680"/>
        <v>0</v>
      </c>
      <c r="FQ52" s="2926">
        <f t="shared" si="680"/>
        <v>2355.91</v>
      </c>
      <c r="FR52" s="2926">
        <f t="shared" si="680"/>
        <v>2355.91</v>
      </c>
      <c r="FS52" s="2926">
        <f t="shared" si="680"/>
        <v>0</v>
      </c>
      <c r="FT52" s="2926">
        <f t="shared" si="680"/>
        <v>1630.0849999999998</v>
      </c>
      <c r="FU52" s="2926">
        <f t="shared" si="680"/>
        <v>1630.0849999999998</v>
      </c>
      <c r="FV52" s="2926">
        <f t="shared" si="680"/>
        <v>0</v>
      </c>
      <c r="FW52" s="2927">
        <f t="shared" si="681"/>
        <v>-782.9582482340893</v>
      </c>
      <c r="FX52" s="2927">
        <f t="shared" si="681"/>
        <v>-782.9582482340893</v>
      </c>
      <c r="FY52" s="2927">
        <f t="shared" si="681"/>
        <v>0</v>
      </c>
      <c r="FZ52" s="2916">
        <f t="shared" si="682"/>
        <v>12555.472992936357</v>
      </c>
      <c r="GA52" s="2916">
        <f t="shared" si="682"/>
        <v>12555.472992936357</v>
      </c>
      <c r="GB52" s="2916">
        <f t="shared" si="682"/>
        <v>0</v>
      </c>
      <c r="GC52" s="2926">
        <f t="shared" si="682"/>
        <v>10969.911</v>
      </c>
      <c r="GD52" s="2926">
        <f t="shared" si="682"/>
        <v>10969.911</v>
      </c>
      <c r="GE52" s="2926">
        <f t="shared" si="682"/>
        <v>0</v>
      </c>
      <c r="GF52" s="2926">
        <f t="shared" si="682"/>
        <v>13798.584999999999</v>
      </c>
      <c r="GG52" s="2926">
        <f t="shared" si="682"/>
        <v>13798.584999999999</v>
      </c>
      <c r="GH52" s="2926">
        <f t="shared" si="682"/>
        <v>0</v>
      </c>
      <c r="GI52" s="2927">
        <f t="shared" si="683"/>
        <v>-1585.5619929363565</v>
      </c>
      <c r="GJ52" s="2927">
        <f t="shared" si="683"/>
        <v>-1585.5619929363565</v>
      </c>
      <c r="GK52" s="2927">
        <f t="shared" si="683"/>
        <v>0</v>
      </c>
      <c r="GL52" s="389"/>
      <c r="GM52" s="4191">
        <f t="shared" si="684"/>
        <v>12555.47299293636</v>
      </c>
    </row>
    <row r="53" spans="1:195" ht="18.75" x14ac:dyDescent="0.3">
      <c r="A53" s="2945" t="s">
        <v>4</v>
      </c>
      <c r="B53" s="2946">
        <f t="shared" si="685"/>
        <v>4746.2816801921144</v>
      </c>
      <c r="C53" s="2946">
        <f>SUM('ПОЛНАЯ СЕБЕСТОИМОСТЬ ВОДА 2021'!C201)/3</f>
        <v>4744.9050968587808</v>
      </c>
      <c r="D53" s="2946">
        <f>SUM('ПОЛНАЯ СЕБЕСТОИМОСТЬ ВОДА 2021'!D201)/3</f>
        <v>1.3765833333333333</v>
      </c>
      <c r="E53" s="2865">
        <f t="shared" si="686"/>
        <v>3421.7709999999993</v>
      </c>
      <c r="F53" s="2865">
        <f>SUM('ПОЛНАЯ СЕБЕСТОИМОСТЬ ВОДА 2021'!F201)</f>
        <v>3420.9799999999991</v>
      </c>
      <c r="G53" s="2865">
        <f>SUM('ПОЛНАЯ СЕБЕСТОИМОСТЬ ВОДА 2021'!G201)</f>
        <v>0.79100000000000004</v>
      </c>
      <c r="H53" s="2947">
        <f t="shared" si="687"/>
        <v>3468.3399999999997</v>
      </c>
      <c r="I53" s="2947">
        <v>3467.22</v>
      </c>
      <c r="J53" s="2947">
        <v>1.1200000000000001</v>
      </c>
      <c r="K53" s="2946">
        <f t="shared" si="688"/>
        <v>4746.2816801921144</v>
      </c>
      <c r="L53" s="2946">
        <f t="shared" si="689"/>
        <v>4744.9050968587808</v>
      </c>
      <c r="M53" s="2946">
        <f t="shared" si="690"/>
        <v>1.3765833333333333</v>
      </c>
      <c r="N53" s="2865">
        <f t="shared" si="691"/>
        <v>3674.1729999999998</v>
      </c>
      <c r="O53" s="2865">
        <f>SUM('ПОЛНАЯ СЕБЕСТОИМОСТЬ ВОДА 2021'!I201)</f>
        <v>3673.1779999999999</v>
      </c>
      <c r="P53" s="2865">
        <f>SUM('ПОЛНАЯ СЕБЕСТОИМОСТЬ ВОДА 2021'!J201)</f>
        <v>0.995</v>
      </c>
      <c r="Q53" s="2947">
        <f t="shared" si="692"/>
        <v>3340.3300000000004</v>
      </c>
      <c r="R53" s="2947">
        <v>3339.55</v>
      </c>
      <c r="S53" s="2947">
        <v>0.78</v>
      </c>
      <c r="T53" s="2946">
        <f t="shared" si="693"/>
        <v>4746.2816801921144</v>
      </c>
      <c r="U53" s="2946">
        <f t="shared" si="694"/>
        <v>4744.9050968587808</v>
      </c>
      <c r="V53" s="2946">
        <f t="shared" si="695"/>
        <v>1.3765833333333333</v>
      </c>
      <c r="W53" s="2865">
        <f t="shared" si="696"/>
        <v>4281.0949999999993</v>
      </c>
      <c r="X53" s="2865">
        <f>SUM('ПОЛНАЯ СЕБЕСТОИМОСТЬ ВОДА 2021'!L201)</f>
        <v>4279.9349999999995</v>
      </c>
      <c r="Y53" s="2865">
        <f>SUM('ПОЛНАЯ СЕБЕСТОИМОСТЬ ВОДА 2021'!M201)</f>
        <v>1.1599999999999999</v>
      </c>
      <c r="Z53" s="2947">
        <f t="shared" si="697"/>
        <v>3675.98</v>
      </c>
      <c r="AA53" s="2947">
        <v>3674.9</v>
      </c>
      <c r="AB53" s="2947">
        <v>1.08</v>
      </c>
      <c r="AC53" s="2916">
        <f t="shared" si="670"/>
        <v>14238.845040576343</v>
      </c>
      <c r="AD53" s="2916">
        <f t="shared" si="670"/>
        <v>14234.715290576343</v>
      </c>
      <c r="AE53" s="2916">
        <f t="shared" si="670"/>
        <v>4.1297499999999996</v>
      </c>
      <c r="AF53" s="2926">
        <f t="shared" si="670"/>
        <v>11377.038999999999</v>
      </c>
      <c r="AG53" s="2926">
        <f t="shared" si="670"/>
        <v>11374.092999999999</v>
      </c>
      <c r="AH53" s="2926">
        <f t="shared" si="670"/>
        <v>2.9459999999999997</v>
      </c>
      <c r="AI53" s="2926">
        <f t="shared" si="670"/>
        <v>10484.65</v>
      </c>
      <c r="AJ53" s="2926">
        <f t="shared" si="670"/>
        <v>10481.67</v>
      </c>
      <c r="AK53" s="2926">
        <f t="shared" si="670"/>
        <v>2.9800000000000004</v>
      </c>
      <c r="AL53" s="2927">
        <f t="shared" si="671"/>
        <v>-2861.8060405763445</v>
      </c>
      <c r="AM53" s="2927">
        <f t="shared" si="671"/>
        <v>-2860.6222905763443</v>
      </c>
      <c r="AN53" s="2927">
        <f t="shared" si="671"/>
        <v>-1.1837499999999999</v>
      </c>
      <c r="AO53" s="2946">
        <f t="shared" si="698"/>
        <v>4746.2816801921144</v>
      </c>
      <c r="AP53" s="2946">
        <f>SUM('ПОЛНАЯ СЕБЕСТОИМОСТЬ ВОДА 2021'!R201)/3</f>
        <v>4744.9050968587808</v>
      </c>
      <c r="AQ53" s="2946">
        <f>SUM('ПОЛНАЯ СЕБЕСТОИМОСТЬ ВОДА 2021'!S201)/3</f>
        <v>1.3765833333333333</v>
      </c>
      <c r="AR53" s="2946">
        <f t="shared" si="699"/>
        <v>4103.8500000000013</v>
      </c>
      <c r="AS53" s="2946">
        <f>SUM('ПОЛНАЯ СЕБЕСТОИМОСТЬ ВОДА 2021'!U201)</f>
        <v>4102.670000000001</v>
      </c>
      <c r="AT53" s="2946">
        <f>SUM('ПОЛНАЯ СЕБЕСТОИМОСТЬ ВОДА 2021'!V201)</f>
        <v>1.18</v>
      </c>
      <c r="AU53" s="2947">
        <f t="shared" si="700"/>
        <v>3662.31</v>
      </c>
      <c r="AV53" s="2947">
        <v>3660.54</v>
      </c>
      <c r="AW53" s="2947">
        <v>1.77</v>
      </c>
      <c r="AX53" s="2946">
        <f t="shared" si="701"/>
        <v>4746.2816801921144</v>
      </c>
      <c r="AY53" s="2946">
        <f t="shared" si="702"/>
        <v>4744.9050968587808</v>
      </c>
      <c r="AZ53" s="2946">
        <f t="shared" si="703"/>
        <v>1.3765833333333333</v>
      </c>
      <c r="BA53" s="2946">
        <f t="shared" si="704"/>
        <v>4436.3600000000006</v>
      </c>
      <c r="BB53" s="2946">
        <f>SUM('ПОЛНАЯ СЕБЕСТОИМОСТЬ ВОДА 2021'!X201)</f>
        <v>4435.420000000001</v>
      </c>
      <c r="BC53" s="2946">
        <f>SUM('ПОЛНАЯ СЕБЕСТОИМОСТЬ ВОДА 2021'!Y201)</f>
        <v>0.94</v>
      </c>
      <c r="BD53" s="2947">
        <f t="shared" si="705"/>
        <v>3584.3199999999997</v>
      </c>
      <c r="BE53" s="2947">
        <v>3583.7</v>
      </c>
      <c r="BF53" s="2947">
        <v>0.62</v>
      </c>
      <c r="BG53" s="2946">
        <f t="shared" si="706"/>
        <v>4746.2816801921144</v>
      </c>
      <c r="BH53" s="2946">
        <f t="shared" si="707"/>
        <v>4744.9050968587808</v>
      </c>
      <c r="BI53" s="2946">
        <f t="shared" si="708"/>
        <v>1.3765833333333333</v>
      </c>
      <c r="BJ53" s="2865">
        <f t="shared" si="709"/>
        <v>4163.759</v>
      </c>
      <c r="BK53" s="2865">
        <f>SUM('ПОЛНАЯ СЕБЕСТОИМОСТЬ ВОДА 2021'!AA201)</f>
        <v>4163.1120000000001</v>
      </c>
      <c r="BL53" s="2865">
        <f>SUM('ПОЛНАЯ СЕБЕСТОИМОСТЬ ВОДА 2021'!AB201)</f>
        <v>0.64700000000000002</v>
      </c>
      <c r="BM53" s="2947">
        <f t="shared" si="710"/>
        <v>4031.63</v>
      </c>
      <c r="BN53" s="2947">
        <v>4030.55</v>
      </c>
      <c r="BO53" s="2947">
        <v>1.08</v>
      </c>
      <c r="BP53" s="2916">
        <f t="shared" si="672"/>
        <v>14238.845040576343</v>
      </c>
      <c r="BQ53" s="2916">
        <f t="shared" si="672"/>
        <v>14234.715290576343</v>
      </c>
      <c r="BR53" s="2916">
        <f t="shared" si="672"/>
        <v>4.1297499999999996</v>
      </c>
      <c r="BS53" s="2926">
        <f t="shared" si="672"/>
        <v>12703.969000000003</v>
      </c>
      <c r="BT53" s="2926">
        <f t="shared" si="672"/>
        <v>12701.202000000001</v>
      </c>
      <c r="BU53" s="2926">
        <f t="shared" si="672"/>
        <v>2.7670000000000003</v>
      </c>
      <c r="BV53" s="2926">
        <f t="shared" si="672"/>
        <v>11278.259999999998</v>
      </c>
      <c r="BW53" s="2926">
        <f t="shared" si="672"/>
        <v>11274.79</v>
      </c>
      <c r="BX53" s="2926">
        <f t="shared" si="672"/>
        <v>3.47</v>
      </c>
      <c r="BY53" s="2927">
        <f t="shared" si="673"/>
        <v>-1534.8760405763405</v>
      </c>
      <c r="BZ53" s="2927">
        <f t="shared" si="673"/>
        <v>-1533.5132905763421</v>
      </c>
      <c r="CA53" s="2927">
        <f t="shared" si="673"/>
        <v>-1.3627499999999992</v>
      </c>
      <c r="CB53" s="2916">
        <f t="shared" si="674"/>
        <v>28477.690081152687</v>
      </c>
      <c r="CC53" s="2916">
        <f t="shared" si="674"/>
        <v>28469.430581152686</v>
      </c>
      <c r="CD53" s="2916">
        <f t="shared" si="674"/>
        <v>8.2594999999999992</v>
      </c>
      <c r="CE53" s="2926">
        <f t="shared" si="674"/>
        <v>24081.008000000002</v>
      </c>
      <c r="CF53" s="2926">
        <f t="shared" si="674"/>
        <v>24075.294999999998</v>
      </c>
      <c r="CG53" s="2926">
        <f t="shared" si="674"/>
        <v>5.7130000000000001</v>
      </c>
      <c r="CH53" s="2926">
        <f t="shared" si="674"/>
        <v>21762.909999999996</v>
      </c>
      <c r="CI53" s="2926">
        <f t="shared" si="674"/>
        <v>21756.46</v>
      </c>
      <c r="CJ53" s="2926">
        <f t="shared" si="674"/>
        <v>6.4500000000000011</v>
      </c>
      <c r="CK53" s="2927">
        <f t="shared" si="675"/>
        <v>-4396.682081152685</v>
      </c>
      <c r="CL53" s="2927">
        <f t="shared" si="675"/>
        <v>-4394.1355811526882</v>
      </c>
      <c r="CM53" s="2927">
        <f t="shared" si="675"/>
        <v>-2.5464999999999991</v>
      </c>
      <c r="CN53" s="2946">
        <f t="shared" si="711"/>
        <v>4746.2816801921144</v>
      </c>
      <c r="CO53" s="2946">
        <f>SUM('ПОЛНАЯ СЕБЕСТОИМОСТЬ ВОДА 2021'!AP201)/3</f>
        <v>4744.9050968587808</v>
      </c>
      <c r="CP53" s="2946">
        <f>SUM('ПОЛНАЯ СЕБЕСТОИМОСТЬ ВОДА 2021'!AQ201)/3</f>
        <v>1.3765833333333333</v>
      </c>
      <c r="CQ53" s="2865">
        <f t="shared" si="712"/>
        <v>4336.1180000000004</v>
      </c>
      <c r="CR53" s="2865">
        <f>SUM('ПОЛНАЯ СЕБЕСТОИМОСТЬ ВОДА 2021'!AS201)</f>
        <v>4335.4680000000008</v>
      </c>
      <c r="CS53" s="2865">
        <f>SUM('ПОЛНАЯ СЕБЕСТОИМОСТЬ ВОДА 2021'!AT201)</f>
        <v>0.65</v>
      </c>
      <c r="CT53" s="2947">
        <f t="shared" si="713"/>
        <v>3945.75</v>
      </c>
      <c r="CU53" s="2947">
        <v>3944.56</v>
      </c>
      <c r="CV53" s="2947">
        <v>1.19</v>
      </c>
      <c r="CW53" s="2946">
        <f t="shared" si="714"/>
        <v>4746.2816801921144</v>
      </c>
      <c r="CX53" s="2946">
        <f t="shared" si="715"/>
        <v>4744.9050968587808</v>
      </c>
      <c r="CY53" s="2946">
        <f t="shared" si="716"/>
        <v>1.3765833333333333</v>
      </c>
      <c r="CZ53" s="2865">
        <f t="shared" si="717"/>
        <v>4027.4160000000002</v>
      </c>
      <c r="DA53" s="2865">
        <f>SUM('ПОЛНАЯ СЕБЕСТОИМОСТЬ ВОДА 2021'!AV201)</f>
        <v>4026.23</v>
      </c>
      <c r="DB53" s="2865">
        <f>SUM('ПОЛНАЯ СЕБЕСТОИМОСТЬ ВОДА 2021'!AW201)</f>
        <v>1.1859999999999999</v>
      </c>
      <c r="DC53" s="2947">
        <f t="shared" si="718"/>
        <v>3518.44</v>
      </c>
      <c r="DD53" s="2947">
        <v>3517.36</v>
      </c>
      <c r="DE53" s="2947">
        <v>1.08</v>
      </c>
      <c r="DF53" s="2946">
        <f t="shared" si="719"/>
        <v>4746.2816801921144</v>
      </c>
      <c r="DG53" s="2946">
        <f t="shared" si="720"/>
        <v>4744.9050968587808</v>
      </c>
      <c r="DH53" s="2946">
        <f t="shared" si="721"/>
        <v>1.3765833333333333</v>
      </c>
      <c r="DI53" s="2865">
        <f t="shared" si="722"/>
        <v>4090.3759999999997</v>
      </c>
      <c r="DJ53" s="2865">
        <f>SUM('ПОЛНАЯ СЕБЕСТОИМОСТЬ ВОДА 2021'!AY201)</f>
        <v>4088.7649999999999</v>
      </c>
      <c r="DK53" s="2865">
        <f>SUM('ПОЛНАЯ СЕБЕСТОИМОСТЬ ВОДА 2021'!AZ201)</f>
        <v>1.611</v>
      </c>
      <c r="DL53" s="2947">
        <f t="shared" si="723"/>
        <v>3492.4900000000002</v>
      </c>
      <c r="DM53" s="2947">
        <v>3490.4</v>
      </c>
      <c r="DN53" s="2947">
        <v>2.09</v>
      </c>
      <c r="DO53" s="2916">
        <f t="shared" si="676"/>
        <v>14238.845040576343</v>
      </c>
      <c r="DP53" s="2916">
        <f t="shared" si="676"/>
        <v>14234.715290576343</v>
      </c>
      <c r="DQ53" s="2916">
        <f t="shared" si="676"/>
        <v>4.1297499999999996</v>
      </c>
      <c r="DR53" s="2926">
        <f t="shared" si="676"/>
        <v>12453.91</v>
      </c>
      <c r="DS53" s="2926">
        <f t="shared" si="676"/>
        <v>12450.463</v>
      </c>
      <c r="DT53" s="2926">
        <f t="shared" si="676"/>
        <v>3.4470000000000001</v>
      </c>
      <c r="DU53" s="2926">
        <f t="shared" si="676"/>
        <v>10956.68</v>
      </c>
      <c r="DV53" s="2926">
        <f t="shared" si="676"/>
        <v>10952.32</v>
      </c>
      <c r="DW53" s="2926">
        <f t="shared" si="676"/>
        <v>4.3599999999999994</v>
      </c>
      <c r="DX53" s="2927">
        <f t="shared" si="677"/>
        <v>-1784.9350405763435</v>
      </c>
      <c r="DY53" s="2927">
        <f t="shared" si="677"/>
        <v>-1784.2522905763435</v>
      </c>
      <c r="DZ53" s="2927">
        <f t="shared" si="677"/>
        <v>-0.68274999999999952</v>
      </c>
      <c r="EA53" s="2916">
        <f t="shared" si="678"/>
        <v>42716.53512172903</v>
      </c>
      <c r="EB53" s="2916">
        <f t="shared" si="678"/>
        <v>42704.14587172903</v>
      </c>
      <c r="EC53" s="2916">
        <f t="shared" si="678"/>
        <v>12.389249999999999</v>
      </c>
      <c r="ED53" s="2926">
        <f t="shared" si="678"/>
        <v>36534.918000000005</v>
      </c>
      <c r="EE53" s="2926">
        <f t="shared" si="678"/>
        <v>36525.758000000002</v>
      </c>
      <c r="EF53" s="2926">
        <f t="shared" si="678"/>
        <v>9.16</v>
      </c>
      <c r="EG53" s="2926">
        <f t="shared" si="678"/>
        <v>32719.589999999997</v>
      </c>
      <c r="EH53" s="2926">
        <f t="shared" si="678"/>
        <v>32708.78</v>
      </c>
      <c r="EI53" s="2926">
        <f t="shared" si="678"/>
        <v>10.81</v>
      </c>
      <c r="EJ53" s="2927">
        <f t="shared" si="679"/>
        <v>-6181.6171217290248</v>
      </c>
      <c r="EK53" s="2927">
        <f t="shared" si="679"/>
        <v>-6178.3878717290281</v>
      </c>
      <c r="EL53" s="2927">
        <f t="shared" si="679"/>
        <v>-3.2292499999999986</v>
      </c>
      <c r="EM53" s="2946">
        <f t="shared" si="724"/>
        <v>4746.2816801921144</v>
      </c>
      <c r="EN53" s="2946">
        <f>SUM('ПОЛНАЯ СЕБЕСТОИМОСТЬ ВОДА 2021'!BN201)/3</f>
        <v>4744.9050968587808</v>
      </c>
      <c r="EO53" s="2946">
        <f>SUM('ПОЛНАЯ СЕБЕСТОИМОСТЬ ВОДА 2021'!BO201)/3</f>
        <v>1.3765833333333333</v>
      </c>
      <c r="EP53" s="2865">
        <f t="shared" si="725"/>
        <v>3731.7527899999995</v>
      </c>
      <c r="EQ53" s="2865">
        <f>SUM('ПОЛНАЯ СЕБЕСТОИМОСТЬ ВОДА 2021'!BQ201)</f>
        <v>3731.0249999999996</v>
      </c>
      <c r="ER53" s="2865">
        <f>SUM('ПОЛНАЯ СЕБЕСТОИМОСТЬ ВОДА 2021'!BR201)</f>
        <v>0.72779000000000005</v>
      </c>
      <c r="ES53" s="2947">
        <f t="shared" si="726"/>
        <v>3430.3599999999997</v>
      </c>
      <c r="ET53" s="2947">
        <v>3429.74</v>
      </c>
      <c r="EU53" s="2947">
        <v>0.62</v>
      </c>
      <c r="EV53" s="2946">
        <f t="shared" si="727"/>
        <v>4746.2816801921144</v>
      </c>
      <c r="EW53" s="2946">
        <f t="shared" si="728"/>
        <v>4744.9050968587808</v>
      </c>
      <c r="EX53" s="2946">
        <f t="shared" si="729"/>
        <v>1.3765833333333333</v>
      </c>
      <c r="EY53" s="2865">
        <f t="shared" si="730"/>
        <v>3999.4340000000002</v>
      </c>
      <c r="EZ53" s="2865">
        <f>SUM('ПОЛНАЯ СЕБЕСТОИМОСТЬ ВОДА 2021'!BT201)</f>
        <v>3998.328</v>
      </c>
      <c r="FA53" s="2865">
        <f>SUM('ПОЛНАЯ СЕБЕСТОИМОСТЬ ВОДА 2021'!BU201)</f>
        <v>1.1060000000000001</v>
      </c>
      <c r="FB53" s="2947">
        <f t="shared" si="731"/>
        <v>3287.19</v>
      </c>
      <c r="FC53" s="2947">
        <v>3286.14</v>
      </c>
      <c r="FD53" s="2947">
        <v>1.05</v>
      </c>
      <c r="FE53" s="2946">
        <f t="shared" si="732"/>
        <v>4746.2816801921144</v>
      </c>
      <c r="FF53" s="2946">
        <f t="shared" si="733"/>
        <v>4744.9050968587808</v>
      </c>
      <c r="FG53" s="2946">
        <f t="shared" si="734"/>
        <v>1.3765833333333333</v>
      </c>
      <c r="FH53" s="2865">
        <f t="shared" si="735"/>
        <v>4675.4379999999992</v>
      </c>
      <c r="FI53" s="2865">
        <f>SUM('ПОЛНАЯ СЕБЕСТОИМОСТЬ ВОДА 2021'!BW201)</f>
        <v>4674.3419999999996</v>
      </c>
      <c r="FJ53" s="2865">
        <f>SUM('ПОЛНАЯ СЕБЕСТОИМОСТЬ ВОДА 2021'!BX201)</f>
        <v>1.0960000000000001</v>
      </c>
      <c r="FK53" s="2947">
        <f t="shared" si="736"/>
        <v>3650.55</v>
      </c>
      <c r="FL53" s="2947">
        <v>3650.4</v>
      </c>
      <c r="FM53" s="2947">
        <v>0.15</v>
      </c>
      <c r="FN53" s="2916">
        <f t="shared" si="680"/>
        <v>14238.845040576343</v>
      </c>
      <c r="FO53" s="2916">
        <f t="shared" si="680"/>
        <v>14234.715290576343</v>
      </c>
      <c r="FP53" s="2916">
        <f t="shared" si="680"/>
        <v>4.1297499999999996</v>
      </c>
      <c r="FQ53" s="2926">
        <f t="shared" si="680"/>
        <v>12406.624789999998</v>
      </c>
      <c r="FR53" s="2926">
        <f t="shared" si="680"/>
        <v>12403.695</v>
      </c>
      <c r="FS53" s="2926">
        <f t="shared" si="680"/>
        <v>2.9297900000000001</v>
      </c>
      <c r="FT53" s="2926">
        <f t="shared" si="680"/>
        <v>10368.099999999999</v>
      </c>
      <c r="FU53" s="2926">
        <f t="shared" si="680"/>
        <v>10366.279999999999</v>
      </c>
      <c r="FV53" s="2926">
        <f t="shared" si="680"/>
        <v>1.8199999999999998</v>
      </c>
      <c r="FW53" s="2927">
        <f t="shared" si="681"/>
        <v>-1832.2202505763453</v>
      </c>
      <c r="FX53" s="2927">
        <f t="shared" si="681"/>
        <v>-1831.0202905763435</v>
      </c>
      <c r="FY53" s="2927">
        <f t="shared" si="681"/>
        <v>-1.1999599999999995</v>
      </c>
      <c r="FZ53" s="2916">
        <f t="shared" si="682"/>
        <v>56955.380162305373</v>
      </c>
      <c r="GA53" s="2916">
        <f t="shared" si="682"/>
        <v>56938.861162305373</v>
      </c>
      <c r="GB53" s="2916">
        <f t="shared" si="682"/>
        <v>16.518999999999998</v>
      </c>
      <c r="GC53" s="2926">
        <f t="shared" si="682"/>
        <v>48941.542790000007</v>
      </c>
      <c r="GD53" s="2926">
        <f t="shared" si="682"/>
        <v>48929.453000000001</v>
      </c>
      <c r="GE53" s="2926">
        <f t="shared" si="682"/>
        <v>12.089790000000001</v>
      </c>
      <c r="GF53" s="2926">
        <f t="shared" si="682"/>
        <v>43087.689999999995</v>
      </c>
      <c r="GG53" s="2926">
        <f t="shared" si="682"/>
        <v>43075.06</v>
      </c>
      <c r="GH53" s="2926">
        <f t="shared" si="682"/>
        <v>12.63</v>
      </c>
      <c r="GI53" s="2927">
        <f t="shared" si="683"/>
        <v>-8013.8373723053664</v>
      </c>
      <c r="GJ53" s="2927">
        <f t="shared" si="683"/>
        <v>-8009.4081623053717</v>
      </c>
      <c r="GK53" s="2927">
        <f t="shared" si="683"/>
        <v>-4.4292099999999976</v>
      </c>
      <c r="GL53" s="389"/>
      <c r="GM53" s="4191">
        <f t="shared" si="684"/>
        <v>56955.380162305373</v>
      </c>
    </row>
    <row r="54" spans="1:195" ht="18.75" x14ac:dyDescent="0.3">
      <c r="A54" s="2945" t="s">
        <v>5</v>
      </c>
      <c r="B54" s="2946">
        <f t="shared" si="685"/>
        <v>1421.58655732732</v>
      </c>
      <c r="C54" s="2946">
        <f>SUM('ПОЛНАЯ СЕБЕСТОИМОСТЬ ВОДА 2021'!C202)/3</f>
        <v>1421.1722048543804</v>
      </c>
      <c r="D54" s="2946">
        <f>SUM('ПОЛНАЯ СЕБЕСТОИМОСТЬ ВОДА 2021'!D202)/3</f>
        <v>0.41435247293946859</v>
      </c>
      <c r="E54" s="2865">
        <f t="shared" si="686"/>
        <v>1033.2190000000001</v>
      </c>
      <c r="F54" s="2865">
        <f>SUM('ПОЛНАЯ СЕБЕСТОИМОСТЬ ВОДА 2021'!F202)</f>
        <v>1032.98</v>
      </c>
      <c r="G54" s="2865">
        <f>SUM('ПОЛНАЯ СЕБЕСТОИМОСТЬ ВОДА 2021'!G202)</f>
        <v>0.23899999999999999</v>
      </c>
      <c r="H54" s="2947">
        <f t="shared" si="687"/>
        <v>1048.9079999999999</v>
      </c>
      <c r="I54" s="2947">
        <v>1048.57</v>
      </c>
      <c r="J54" s="2947">
        <v>0.33800000000000002</v>
      </c>
      <c r="K54" s="2946">
        <f t="shared" si="688"/>
        <v>1421.58655732732</v>
      </c>
      <c r="L54" s="2946">
        <f t="shared" si="689"/>
        <v>1421.1722048543804</v>
      </c>
      <c r="M54" s="2946">
        <f t="shared" si="690"/>
        <v>0.41435247293946859</v>
      </c>
      <c r="N54" s="2865">
        <f t="shared" si="691"/>
        <v>1109.8874900000001</v>
      </c>
      <c r="O54" s="2865">
        <f>SUM('ПОЛНАЯ СЕБЕСТОИМОСТЬ ВОДА 2021'!I202)</f>
        <v>1109.587</v>
      </c>
      <c r="P54" s="2865">
        <f>SUM('ПОЛНАЯ СЕБЕСТОИМОСТЬ ВОДА 2021'!J202)</f>
        <v>0.30048999999999998</v>
      </c>
      <c r="Q54" s="2947">
        <f t="shared" si="692"/>
        <v>1005.3149000000001</v>
      </c>
      <c r="R54" s="2947">
        <v>1005.08</v>
      </c>
      <c r="S54" s="2947">
        <v>0.2349</v>
      </c>
      <c r="T54" s="2946">
        <f t="shared" si="693"/>
        <v>1421.58655732732</v>
      </c>
      <c r="U54" s="2946">
        <f t="shared" si="694"/>
        <v>1421.1722048543804</v>
      </c>
      <c r="V54" s="2946">
        <f t="shared" si="695"/>
        <v>0.41435247293946859</v>
      </c>
      <c r="W54" s="2865">
        <f t="shared" si="696"/>
        <v>1295.9299999999998</v>
      </c>
      <c r="X54" s="2865">
        <f>SUM('ПОЛНАЯ СЕБЕСТОИМОСТЬ ВОДА 2021'!L202)</f>
        <v>1295.58</v>
      </c>
      <c r="Y54" s="2865">
        <f>SUM('ПОЛНАЯ СЕБЕСТОИМОСТЬ ВОДА 2021'!M202)</f>
        <v>0.35</v>
      </c>
      <c r="Z54" s="2947">
        <f t="shared" si="697"/>
        <v>1110.1199999999999</v>
      </c>
      <c r="AA54" s="2947">
        <v>1109.79</v>
      </c>
      <c r="AB54" s="2947">
        <v>0.33</v>
      </c>
      <c r="AC54" s="2916">
        <f t="shared" si="670"/>
        <v>4264.7596719819594</v>
      </c>
      <c r="AD54" s="2916">
        <f t="shared" si="670"/>
        <v>4263.516614563141</v>
      </c>
      <c r="AE54" s="2916">
        <f t="shared" si="670"/>
        <v>1.2430574188184058</v>
      </c>
      <c r="AF54" s="2926">
        <f t="shared" si="670"/>
        <v>3439.03649</v>
      </c>
      <c r="AG54" s="2926">
        <f t="shared" si="670"/>
        <v>3438.1469999999999</v>
      </c>
      <c r="AH54" s="2926">
        <f t="shared" si="670"/>
        <v>0.88949</v>
      </c>
      <c r="AI54" s="2926">
        <f t="shared" si="670"/>
        <v>3164.3428999999996</v>
      </c>
      <c r="AJ54" s="2926">
        <f t="shared" si="670"/>
        <v>3163.44</v>
      </c>
      <c r="AK54" s="2926">
        <f t="shared" si="670"/>
        <v>0.90290000000000004</v>
      </c>
      <c r="AL54" s="2927">
        <f t="shared" si="671"/>
        <v>-825.72318198195944</v>
      </c>
      <c r="AM54" s="2927">
        <f t="shared" si="671"/>
        <v>-825.36961456314111</v>
      </c>
      <c r="AN54" s="2927">
        <f t="shared" si="671"/>
        <v>-0.35356741881840581</v>
      </c>
      <c r="AO54" s="2946">
        <f t="shared" si="698"/>
        <v>1421.58655732732</v>
      </c>
      <c r="AP54" s="2946">
        <f>SUM('ПОЛНАЯ СЕБЕСТОИМОСТЬ ВОДА 2021'!R202)/3</f>
        <v>1421.1722048543804</v>
      </c>
      <c r="AQ54" s="2946">
        <f>SUM('ПОЛНАЯ СЕБЕСТОИМОСТЬ ВОДА 2021'!S202)/3</f>
        <v>0.41435247293946859</v>
      </c>
      <c r="AR54" s="2946">
        <f t="shared" si="699"/>
        <v>1235.6399999999999</v>
      </c>
      <c r="AS54" s="2946">
        <f>SUM('ПОЛНАЯ СЕБЕСТОИМОСТЬ ВОДА 2021'!U202)</f>
        <v>1235.28</v>
      </c>
      <c r="AT54" s="2946">
        <f>SUM('ПОЛНАЯ СЕБЕСТОИМОСТЬ ВОДА 2021'!V202)</f>
        <v>0.36</v>
      </c>
      <c r="AU54" s="2947">
        <f t="shared" si="700"/>
        <v>1106.79</v>
      </c>
      <c r="AV54" s="2947">
        <v>1106.25</v>
      </c>
      <c r="AW54" s="2947">
        <v>0.54</v>
      </c>
      <c r="AX54" s="2946">
        <f t="shared" si="701"/>
        <v>1421.58655732732</v>
      </c>
      <c r="AY54" s="2946">
        <f t="shared" si="702"/>
        <v>1421.1722048543804</v>
      </c>
      <c r="AZ54" s="2946">
        <f t="shared" si="703"/>
        <v>0.41435247293946859</v>
      </c>
      <c r="BA54" s="2946">
        <f t="shared" si="704"/>
        <v>1331.8299999999997</v>
      </c>
      <c r="BB54" s="2946">
        <f>SUM('ПОЛНАЯ СЕБЕСТОИМОСТЬ ВОДА 2021'!X202)</f>
        <v>1331.5499999999997</v>
      </c>
      <c r="BC54" s="2946">
        <f>SUM('ПОЛНАЯ СЕБЕСТОИМОСТЬ ВОДА 2021'!Y202)</f>
        <v>0.28000000000000003</v>
      </c>
      <c r="BD54" s="2947">
        <f t="shared" si="705"/>
        <v>1085.7569999999998</v>
      </c>
      <c r="BE54" s="2947">
        <v>1085.57</v>
      </c>
      <c r="BF54" s="2947">
        <v>0.187</v>
      </c>
      <c r="BG54" s="2946">
        <f t="shared" si="706"/>
        <v>1421.58655732732</v>
      </c>
      <c r="BH54" s="2946">
        <f t="shared" si="707"/>
        <v>1421.1722048543804</v>
      </c>
      <c r="BI54" s="2946">
        <f t="shared" si="708"/>
        <v>0.41435247293946859</v>
      </c>
      <c r="BJ54" s="2865">
        <f t="shared" si="709"/>
        <v>1255.0229999999999</v>
      </c>
      <c r="BK54" s="2865">
        <f>SUM('ПОЛНАЯ СЕБЕСТОИМОСТЬ ВОДА 2021'!AA202)</f>
        <v>1254.827</v>
      </c>
      <c r="BL54" s="2865">
        <f>SUM('ПОЛНАЯ СЕБЕСТОИМОСТЬ ВОДА 2021'!AB202)</f>
        <v>0.19600000000000001</v>
      </c>
      <c r="BM54" s="2947">
        <f t="shared" si="710"/>
        <v>1222.71</v>
      </c>
      <c r="BN54" s="2947">
        <v>1222.3900000000001</v>
      </c>
      <c r="BO54" s="2947">
        <v>0.32</v>
      </c>
      <c r="BP54" s="2916">
        <f t="shared" si="672"/>
        <v>4264.7596719819594</v>
      </c>
      <c r="BQ54" s="2916">
        <f t="shared" si="672"/>
        <v>4263.516614563141</v>
      </c>
      <c r="BR54" s="2916">
        <f t="shared" si="672"/>
        <v>1.2430574188184058</v>
      </c>
      <c r="BS54" s="2926">
        <f t="shared" si="672"/>
        <v>3822.4929999999995</v>
      </c>
      <c r="BT54" s="2926">
        <f t="shared" si="672"/>
        <v>3821.6570000000002</v>
      </c>
      <c r="BU54" s="2926">
        <f t="shared" si="672"/>
        <v>0.83600000000000008</v>
      </c>
      <c r="BV54" s="2926">
        <f t="shared" si="672"/>
        <v>3415.2569999999996</v>
      </c>
      <c r="BW54" s="2926">
        <f t="shared" si="672"/>
        <v>3414.21</v>
      </c>
      <c r="BX54" s="2926">
        <f t="shared" si="672"/>
        <v>1.0470000000000002</v>
      </c>
      <c r="BY54" s="2927">
        <f t="shared" si="673"/>
        <v>-442.26667198195992</v>
      </c>
      <c r="BZ54" s="2927">
        <f t="shared" si="673"/>
        <v>-441.85961456314089</v>
      </c>
      <c r="CA54" s="2927">
        <f t="shared" si="673"/>
        <v>-0.40705741881840574</v>
      </c>
      <c r="CB54" s="2916">
        <f t="shared" si="674"/>
        <v>8529.5193439639188</v>
      </c>
      <c r="CC54" s="2916">
        <f t="shared" si="674"/>
        <v>8527.0332291262821</v>
      </c>
      <c r="CD54" s="2916">
        <f t="shared" si="674"/>
        <v>2.4861148376368116</v>
      </c>
      <c r="CE54" s="2926">
        <f t="shared" si="674"/>
        <v>7261.529489999999</v>
      </c>
      <c r="CF54" s="2926">
        <f t="shared" si="674"/>
        <v>7259.8040000000001</v>
      </c>
      <c r="CG54" s="2926">
        <f t="shared" si="674"/>
        <v>1.7254900000000002</v>
      </c>
      <c r="CH54" s="2926">
        <f t="shared" si="674"/>
        <v>6579.5998999999993</v>
      </c>
      <c r="CI54" s="2926">
        <f t="shared" si="674"/>
        <v>6577.65</v>
      </c>
      <c r="CJ54" s="2926">
        <f t="shared" si="674"/>
        <v>1.9499000000000002</v>
      </c>
      <c r="CK54" s="2927">
        <f t="shared" si="675"/>
        <v>-1267.9898539639198</v>
      </c>
      <c r="CL54" s="2927">
        <f t="shared" si="675"/>
        <v>-1267.229229126282</v>
      </c>
      <c r="CM54" s="2927">
        <f t="shared" si="675"/>
        <v>-0.76062483763681144</v>
      </c>
      <c r="CN54" s="2946">
        <f t="shared" si="711"/>
        <v>1421.58655732732</v>
      </c>
      <c r="CO54" s="2946">
        <f>SUM('ПОЛНАЯ СЕБЕСТОИМОСТЬ ВОДА 2021'!AP202)/3</f>
        <v>1421.1722048543804</v>
      </c>
      <c r="CP54" s="2946">
        <f>SUM('ПОЛНАЯ СЕБЕСТОИМОСТЬ ВОДА 2021'!AQ202)/3</f>
        <v>0.41435247293946859</v>
      </c>
      <c r="CQ54" s="2865">
        <f t="shared" si="712"/>
        <v>1295.434</v>
      </c>
      <c r="CR54" s="2865">
        <f>SUM('ПОЛНАЯ СЕБЕСТОИМОСТЬ ВОДА 2021'!AS202)</f>
        <v>1295.239</v>
      </c>
      <c r="CS54" s="2865">
        <f>SUM('ПОЛНАЯ СЕБЕСТОИМОСТЬ ВОДА 2021'!AT202)</f>
        <v>0.19500000000000001</v>
      </c>
      <c r="CT54" s="2947">
        <f t="shared" si="713"/>
        <v>1191.371165</v>
      </c>
      <c r="CU54" s="2947">
        <v>1191.01</v>
      </c>
      <c r="CV54" s="2947">
        <v>0.36116500000000001</v>
      </c>
      <c r="CW54" s="2946">
        <f t="shared" si="714"/>
        <v>1421.58655732732</v>
      </c>
      <c r="CX54" s="2946">
        <f t="shared" si="715"/>
        <v>1421.1722048543804</v>
      </c>
      <c r="CY54" s="2946">
        <f t="shared" si="716"/>
        <v>0.41435247293946859</v>
      </c>
      <c r="CZ54" s="2865">
        <f t="shared" si="717"/>
        <v>1216.4679999999998</v>
      </c>
      <c r="DA54" s="2865">
        <f>SUM('ПОЛНАЯ СЕБЕСТОИМОСТЬ ВОДА 2021'!AV202)</f>
        <v>1216.1099999999999</v>
      </c>
      <c r="DB54" s="2865">
        <f>SUM('ПОЛНАЯ СЕБЕСТОИМОСТЬ ВОДА 2021'!AW202)</f>
        <v>0.35799999999999998</v>
      </c>
      <c r="DC54" s="2947">
        <f t="shared" si="718"/>
        <v>1065.4268079999999</v>
      </c>
      <c r="DD54" s="2947">
        <v>1065.0999999999999</v>
      </c>
      <c r="DE54" s="2947">
        <v>0.32680799999999999</v>
      </c>
      <c r="DF54" s="2946">
        <f t="shared" si="719"/>
        <v>1421.58655732732</v>
      </c>
      <c r="DG54" s="2946">
        <f t="shared" si="720"/>
        <v>1421.1722048543804</v>
      </c>
      <c r="DH54" s="2946">
        <f t="shared" si="721"/>
        <v>0.41435247293946859</v>
      </c>
      <c r="DI54" s="2865">
        <f t="shared" si="722"/>
        <v>1252.8150000000003</v>
      </c>
      <c r="DJ54" s="2865">
        <f>SUM('ПОЛНАЯ СЕБЕСТОИМОСТЬ ВОДА 2021'!AY202)</f>
        <v>1252.3280000000002</v>
      </c>
      <c r="DK54" s="2865">
        <f>SUM('ПОЛНАЯ СЕБЕСТОИМОСТЬ ВОДА 2021'!AZ202)</f>
        <v>0.48699999999999999</v>
      </c>
      <c r="DL54" s="2947">
        <f t="shared" si="723"/>
        <v>1051.3500000000001</v>
      </c>
      <c r="DM54" s="2947">
        <v>1050.72</v>
      </c>
      <c r="DN54" s="2947">
        <v>0.63</v>
      </c>
      <c r="DO54" s="2916">
        <f t="shared" si="676"/>
        <v>4264.7596719819594</v>
      </c>
      <c r="DP54" s="2916">
        <f t="shared" si="676"/>
        <v>4263.516614563141</v>
      </c>
      <c r="DQ54" s="2916">
        <f t="shared" si="676"/>
        <v>1.2430574188184058</v>
      </c>
      <c r="DR54" s="2926">
        <f t="shared" si="676"/>
        <v>3764.7170000000006</v>
      </c>
      <c r="DS54" s="2926">
        <f t="shared" si="676"/>
        <v>3763.6770000000006</v>
      </c>
      <c r="DT54" s="2926">
        <f t="shared" si="676"/>
        <v>1.04</v>
      </c>
      <c r="DU54" s="2926">
        <f t="shared" si="676"/>
        <v>3308.1479730000001</v>
      </c>
      <c r="DV54" s="2926">
        <f t="shared" si="676"/>
        <v>3306.83</v>
      </c>
      <c r="DW54" s="2926">
        <f t="shared" si="676"/>
        <v>1.3179729999999998</v>
      </c>
      <c r="DX54" s="2927">
        <f t="shared" si="677"/>
        <v>-500.04267198195885</v>
      </c>
      <c r="DY54" s="2927">
        <f t="shared" si="677"/>
        <v>-499.83961456314046</v>
      </c>
      <c r="DZ54" s="2927">
        <f t="shared" si="677"/>
        <v>-0.20305741881840578</v>
      </c>
      <c r="EA54" s="2916">
        <f t="shared" si="678"/>
        <v>12794.279015945878</v>
      </c>
      <c r="EB54" s="2916">
        <f t="shared" si="678"/>
        <v>12790.549843689423</v>
      </c>
      <c r="EC54" s="2916">
        <f t="shared" si="678"/>
        <v>3.7291722564552172</v>
      </c>
      <c r="ED54" s="2926">
        <f t="shared" si="678"/>
        <v>11026.24649</v>
      </c>
      <c r="EE54" s="2926">
        <f t="shared" si="678"/>
        <v>11023.481</v>
      </c>
      <c r="EF54" s="2926">
        <f t="shared" si="678"/>
        <v>2.7654900000000002</v>
      </c>
      <c r="EG54" s="2926">
        <f t="shared" si="678"/>
        <v>9887.7478730000003</v>
      </c>
      <c r="EH54" s="2926">
        <f t="shared" si="678"/>
        <v>9884.48</v>
      </c>
      <c r="EI54" s="2926">
        <f t="shared" si="678"/>
        <v>3.2678729999999998</v>
      </c>
      <c r="EJ54" s="2927">
        <f t="shared" si="679"/>
        <v>-1768.0325259458787</v>
      </c>
      <c r="EK54" s="2927">
        <f t="shared" si="679"/>
        <v>-1767.0688436894234</v>
      </c>
      <c r="EL54" s="2927">
        <f t="shared" si="679"/>
        <v>-0.96368225645521699</v>
      </c>
      <c r="EM54" s="2946">
        <f t="shared" si="724"/>
        <v>1421.58655732732</v>
      </c>
      <c r="EN54" s="2946">
        <f>SUM('ПОЛНАЯ СЕБЕСТОИМОСТЬ ВОДА 2021'!BN202)/3</f>
        <v>1421.1722048543804</v>
      </c>
      <c r="EO54" s="2946">
        <f>SUM('ПОЛНАЯ СЕБЕСТОИМОСТЬ ВОДА 2021'!BO202)/3</f>
        <v>0.41435247293946859</v>
      </c>
      <c r="EP54" s="2865">
        <f t="shared" si="725"/>
        <v>1121.4687900000001</v>
      </c>
      <c r="EQ54" s="2865">
        <f>SUM('ПОЛНАЯ СЕБЕСТОИМОСТЬ ВОДА 2021'!BQ202)</f>
        <v>1121.249</v>
      </c>
      <c r="ER54" s="2865">
        <f>SUM('ПОЛНАЯ СЕБЕСТОИМОСТЬ ВОДА 2021'!BR202)</f>
        <v>0.21979000000000001</v>
      </c>
      <c r="ES54" s="2947">
        <f t="shared" si="726"/>
        <v>1036.247116</v>
      </c>
      <c r="ET54" s="2947">
        <v>1036.06</v>
      </c>
      <c r="EU54" s="2947">
        <v>0.187116</v>
      </c>
      <c r="EV54" s="2946">
        <f t="shared" si="727"/>
        <v>1421.58655732732</v>
      </c>
      <c r="EW54" s="2946">
        <f t="shared" si="728"/>
        <v>1421.1722048543804</v>
      </c>
      <c r="EX54" s="2946">
        <f t="shared" si="729"/>
        <v>0.41435247293946859</v>
      </c>
      <c r="EY54" s="2865">
        <f t="shared" si="730"/>
        <v>1252.5059000000001</v>
      </c>
      <c r="EZ54" s="2865">
        <f>SUM('ПОЛНАЯ СЕБЕСТОИМОСТЬ ВОДА 2021'!BT202)</f>
        <v>1252.172</v>
      </c>
      <c r="FA54" s="2865">
        <f>SUM('ПОЛНАЯ СЕБЕСТОИМОСТЬ ВОДА 2021'!BU202)</f>
        <v>0.33389999999999997</v>
      </c>
      <c r="FB54" s="2947">
        <f t="shared" si="731"/>
        <v>986.97157499999992</v>
      </c>
      <c r="FC54" s="2947">
        <v>986.65499999999997</v>
      </c>
      <c r="FD54" s="2947">
        <v>0.316575</v>
      </c>
      <c r="FE54" s="2946">
        <f t="shared" si="732"/>
        <v>1421.58655732732</v>
      </c>
      <c r="FF54" s="2946">
        <f t="shared" si="733"/>
        <v>1421.1722048543804</v>
      </c>
      <c r="FG54" s="2946">
        <f t="shared" si="734"/>
        <v>0.41435247293946859</v>
      </c>
      <c r="FH54" s="2865">
        <f t="shared" si="735"/>
        <v>1223.7601</v>
      </c>
      <c r="FI54" s="2865">
        <f>SUM('ПОЛНАЯ СЕБЕСТОИМОСТЬ ВОДА 2021'!BW202)</f>
        <v>1223.4280999999999</v>
      </c>
      <c r="FJ54" s="2865">
        <f>SUM('ПОЛНАЯ СЕБЕСТОИМОСТЬ ВОДА 2021'!BX202)</f>
        <v>0.33200000000000002</v>
      </c>
      <c r="FK54" s="2947">
        <f t="shared" si="736"/>
        <v>1105.1099999999999</v>
      </c>
      <c r="FL54" s="2947">
        <v>1105.06</v>
      </c>
      <c r="FM54" s="2947">
        <v>0.05</v>
      </c>
      <c r="FN54" s="2916">
        <f t="shared" si="680"/>
        <v>4264.7596719819594</v>
      </c>
      <c r="FO54" s="2916">
        <f t="shared" si="680"/>
        <v>4263.516614563141</v>
      </c>
      <c r="FP54" s="2916">
        <f t="shared" si="680"/>
        <v>1.2430574188184058</v>
      </c>
      <c r="FQ54" s="2926">
        <f t="shared" si="680"/>
        <v>3597.73479</v>
      </c>
      <c r="FR54" s="2926">
        <f t="shared" si="680"/>
        <v>3596.8491000000004</v>
      </c>
      <c r="FS54" s="2926">
        <f t="shared" si="680"/>
        <v>0.88569000000000009</v>
      </c>
      <c r="FT54" s="2926">
        <f t="shared" si="680"/>
        <v>3128.3286909999997</v>
      </c>
      <c r="FU54" s="2926">
        <f t="shared" si="680"/>
        <v>3127.7749999999996</v>
      </c>
      <c r="FV54" s="2926">
        <f t="shared" si="680"/>
        <v>0.55369100000000004</v>
      </c>
      <c r="FW54" s="2927">
        <f t="shared" si="681"/>
        <v>-667.02488198195942</v>
      </c>
      <c r="FX54" s="2927">
        <f t="shared" si="681"/>
        <v>-666.66751456314068</v>
      </c>
      <c r="FY54" s="2927">
        <f t="shared" si="681"/>
        <v>-0.35736741881840572</v>
      </c>
      <c r="FZ54" s="2916">
        <f t="shared" si="682"/>
        <v>17059.038687927838</v>
      </c>
      <c r="GA54" s="2916">
        <f t="shared" si="682"/>
        <v>17054.066458252564</v>
      </c>
      <c r="GB54" s="2916">
        <f t="shared" si="682"/>
        <v>4.9722296752736233</v>
      </c>
      <c r="GC54" s="2926">
        <f t="shared" si="682"/>
        <v>14623.98128</v>
      </c>
      <c r="GD54" s="2926">
        <f t="shared" si="682"/>
        <v>14620.330099999999</v>
      </c>
      <c r="GE54" s="2926">
        <f t="shared" si="682"/>
        <v>3.6511800000000001</v>
      </c>
      <c r="GF54" s="2926">
        <f t="shared" si="682"/>
        <v>13016.076563999999</v>
      </c>
      <c r="GG54" s="2926">
        <f t="shared" si="682"/>
        <v>13012.254999999999</v>
      </c>
      <c r="GH54" s="2926">
        <f t="shared" si="682"/>
        <v>3.821564</v>
      </c>
      <c r="GI54" s="2927">
        <f t="shared" si="683"/>
        <v>-2435.0574079278376</v>
      </c>
      <c r="GJ54" s="2927">
        <f t="shared" si="683"/>
        <v>-2433.736358252565</v>
      </c>
      <c r="GK54" s="2927">
        <f t="shared" si="683"/>
        <v>-1.3210496752736232</v>
      </c>
      <c r="GL54" s="389"/>
      <c r="GM54" s="4191">
        <f t="shared" si="684"/>
        <v>17059.038687927841</v>
      </c>
    </row>
    <row r="55" spans="1:195" ht="18.75" x14ac:dyDescent="0.3">
      <c r="A55" s="2949" t="s">
        <v>310</v>
      </c>
      <c r="B55" s="2877">
        <f>SUM(B54/B53)</f>
        <v>0.29951584274066484</v>
      </c>
      <c r="C55" s="2877">
        <f t="shared" ref="C55:BL55" si="737">SUM(C54/C53)</f>
        <v>0.29951541197214332</v>
      </c>
      <c r="D55" s="2877">
        <f t="shared" si="737"/>
        <v>0.30100064624212258</v>
      </c>
      <c r="E55" s="2877">
        <f>SUM(E54/E53)</f>
        <v>0.30195445574820767</v>
      </c>
      <c r="F55" s="2877">
        <f t="shared" si="737"/>
        <v>0.30195441072441237</v>
      </c>
      <c r="G55" s="2877">
        <f t="shared" si="737"/>
        <v>0.30214917825537291</v>
      </c>
      <c r="H55" s="2877">
        <f t="shared" si="737"/>
        <v>0.30242363782097487</v>
      </c>
      <c r="I55" s="2877">
        <f t="shared" si="737"/>
        <v>0.3024238438864566</v>
      </c>
      <c r="J55" s="2877">
        <f t="shared" si="737"/>
        <v>0.30178571428571427</v>
      </c>
      <c r="K55" s="2877">
        <f>SUM(K54/K53)</f>
        <v>0.29951584274066484</v>
      </c>
      <c r="L55" s="2877">
        <f t="shared" si="737"/>
        <v>0.29951541197214332</v>
      </c>
      <c r="M55" s="2877">
        <f t="shared" si="737"/>
        <v>0.30100064624212258</v>
      </c>
      <c r="N55" s="2877">
        <f>SUM(N54/N53)</f>
        <v>0.30207817922563801</v>
      </c>
      <c r="O55" s="2877">
        <f t="shared" si="737"/>
        <v>0.30207820040302974</v>
      </c>
      <c r="P55" s="2877">
        <f t="shared" si="737"/>
        <v>0.30199999999999999</v>
      </c>
      <c r="Q55" s="2877">
        <f t="shared" ref="Q55:S55" si="738">SUM(Q54/Q53)</f>
        <v>0.30096274918945132</v>
      </c>
      <c r="R55" s="2877">
        <f t="shared" si="738"/>
        <v>0.30096270455600305</v>
      </c>
      <c r="S55" s="2877">
        <f t="shared" si="738"/>
        <v>0.30115384615384616</v>
      </c>
      <c r="T55" s="2877">
        <f>SUM(T54/T53)</f>
        <v>0.29951584274066484</v>
      </c>
      <c r="U55" s="2877">
        <f t="shared" si="737"/>
        <v>0.29951541197214332</v>
      </c>
      <c r="V55" s="2877">
        <f t="shared" si="737"/>
        <v>0.30100064624212258</v>
      </c>
      <c r="W55" s="2877">
        <f>SUM(W54/W53)</f>
        <v>0.30270993752766523</v>
      </c>
      <c r="X55" s="2877">
        <f t="shared" si="737"/>
        <v>0.30271020471105287</v>
      </c>
      <c r="Y55" s="2877">
        <f t="shared" si="737"/>
        <v>0.30172413793103448</v>
      </c>
      <c r="Z55" s="2877">
        <f t="shared" si="737"/>
        <v>0.30199293793763837</v>
      </c>
      <c r="AA55" s="2877">
        <f t="shared" si="737"/>
        <v>0.30199189093580775</v>
      </c>
      <c r="AB55" s="2877">
        <f t="shared" si="737"/>
        <v>0.30555555555555552</v>
      </c>
      <c r="AC55" s="2950">
        <f t="shared" si="737"/>
        <v>0.29951584274066484</v>
      </c>
      <c r="AD55" s="2950">
        <f t="shared" si="737"/>
        <v>0.29951541197214332</v>
      </c>
      <c r="AE55" s="2950">
        <f t="shared" si="737"/>
        <v>0.30100064624212264</v>
      </c>
      <c r="AF55" s="2950">
        <f t="shared" si="737"/>
        <v>0.30227869395543078</v>
      </c>
      <c r="AG55" s="2950">
        <f t="shared" si="737"/>
        <v>0.30227878389951623</v>
      </c>
      <c r="AH55" s="2950">
        <f t="shared" si="737"/>
        <v>0.30193143245078075</v>
      </c>
      <c r="AI55" s="2950">
        <f t="shared" si="737"/>
        <v>0.30180720386469739</v>
      </c>
      <c r="AJ55" s="2950">
        <f t="shared" si="737"/>
        <v>0.30180686856197536</v>
      </c>
      <c r="AK55" s="2950">
        <f t="shared" si="737"/>
        <v>0.30298657718120803</v>
      </c>
      <c r="AL55" s="2933">
        <f t="shared" si="671"/>
        <v>2.7628512147659379E-3</v>
      </c>
      <c r="AM55" s="2933">
        <f t="shared" si="671"/>
        <v>2.7633719273729151E-3</v>
      </c>
      <c r="AN55" s="2933">
        <f t="shared" si="671"/>
        <v>9.3078620865810757E-4</v>
      </c>
      <c r="AO55" s="2877">
        <f>SUM(AO54/AO53)</f>
        <v>0.29951584274066484</v>
      </c>
      <c r="AP55" s="2877">
        <f t="shared" si="737"/>
        <v>0.29951541197214332</v>
      </c>
      <c r="AQ55" s="2877">
        <f t="shared" si="737"/>
        <v>0.30100064624212258</v>
      </c>
      <c r="AR55" s="2877">
        <f>SUM(AR54/AR53)</f>
        <v>0.30109287620161546</v>
      </c>
      <c r="AS55" s="2877">
        <f t="shared" si="737"/>
        <v>0.30109172806976914</v>
      </c>
      <c r="AT55" s="2877">
        <f t="shared" si="737"/>
        <v>0.30508474576271188</v>
      </c>
      <c r="AU55" s="2877">
        <f t="shared" ref="AU55:AW55" si="739">SUM(AU54/AU53)</f>
        <v>0.30221089967807202</v>
      </c>
      <c r="AV55" s="2877">
        <f t="shared" si="739"/>
        <v>0.30220951007228442</v>
      </c>
      <c r="AW55" s="2877">
        <f t="shared" si="739"/>
        <v>0.30508474576271188</v>
      </c>
      <c r="AX55" s="2877">
        <f>SUM(AX54/AX53)</f>
        <v>0.29951584274066484</v>
      </c>
      <c r="AY55" s="2877">
        <f t="shared" si="737"/>
        <v>0.29951541197214332</v>
      </c>
      <c r="AZ55" s="2877">
        <f t="shared" si="737"/>
        <v>0.30100064624212258</v>
      </c>
      <c r="BA55" s="2877">
        <f>SUM(BA54/BA53)</f>
        <v>0.30020782803920321</v>
      </c>
      <c r="BB55" s="2877">
        <f t="shared" si="737"/>
        <v>0.30020832299985106</v>
      </c>
      <c r="BC55" s="2877">
        <f t="shared" si="737"/>
        <v>0.29787234042553196</v>
      </c>
      <c r="BD55" s="2877">
        <f t="shared" si="737"/>
        <v>0.30291854521917683</v>
      </c>
      <c r="BE55" s="2877">
        <f t="shared" si="737"/>
        <v>0.30291877110249182</v>
      </c>
      <c r="BF55" s="2877">
        <f t="shared" si="737"/>
        <v>0.30161290322580647</v>
      </c>
      <c r="BG55" s="2877">
        <f>SUM(BG54/BG53)</f>
        <v>0.29951584274066484</v>
      </c>
      <c r="BH55" s="2877">
        <f t="shared" si="737"/>
        <v>0.29951541197214332</v>
      </c>
      <c r="BI55" s="2877">
        <f t="shared" si="737"/>
        <v>0.30100064624212258</v>
      </c>
      <c r="BJ55" s="2877">
        <f>SUM(BJ54/BJ53)</f>
        <v>0.30141586004377291</v>
      </c>
      <c r="BK55" s="2877">
        <f t="shared" si="737"/>
        <v>0.30141562369688829</v>
      </c>
      <c r="BL55" s="2877">
        <f t="shared" si="737"/>
        <v>0.30293663060278209</v>
      </c>
      <c r="BM55" s="2877">
        <f t="shared" ref="BM55:BO55" si="740">SUM(BM54/BM53)</f>
        <v>0.30327931878669423</v>
      </c>
      <c r="BN55" s="2877">
        <f t="shared" si="740"/>
        <v>0.30328118991204678</v>
      </c>
      <c r="BO55" s="2877">
        <f t="shared" si="740"/>
        <v>0.29629629629629628</v>
      </c>
      <c r="BP55" s="2950">
        <f t="shared" ref="BP55:DW55" si="741">SUM(BP54/BP53)</f>
        <v>0.29951584274066484</v>
      </c>
      <c r="BQ55" s="2950">
        <f t="shared" si="741"/>
        <v>0.29951541197214332</v>
      </c>
      <c r="BR55" s="2950">
        <f t="shared" si="741"/>
        <v>0.30100064624212264</v>
      </c>
      <c r="BS55" s="2950">
        <f t="shared" si="741"/>
        <v>0.30088966684348795</v>
      </c>
      <c r="BT55" s="2950">
        <f t="shared" si="741"/>
        <v>0.3008893961374679</v>
      </c>
      <c r="BU55" s="2950">
        <f t="shared" si="741"/>
        <v>0.30213227322009395</v>
      </c>
      <c r="BV55" s="2950">
        <f t="shared" si="741"/>
        <v>0.30281772188263084</v>
      </c>
      <c r="BW55" s="2950">
        <f t="shared" si="741"/>
        <v>0.30281805692168101</v>
      </c>
      <c r="BX55" s="2950">
        <f t="shared" si="741"/>
        <v>0.30172910662824209</v>
      </c>
      <c r="BY55" s="2933">
        <f t="shared" si="673"/>
        <v>1.3738241028231069E-3</v>
      </c>
      <c r="BZ55" s="2933">
        <f t="shared" si="673"/>
        <v>1.3739841653245821E-3</v>
      </c>
      <c r="CA55" s="2933">
        <f t="shared" si="673"/>
        <v>1.1316269779713117E-3</v>
      </c>
      <c r="CB55" s="2950">
        <f t="shared" si="741"/>
        <v>0.29951584274066484</v>
      </c>
      <c r="CC55" s="2950">
        <f t="shared" si="741"/>
        <v>0.29951541197214332</v>
      </c>
      <c r="CD55" s="2950">
        <f t="shared" si="741"/>
        <v>0.30100064624212264</v>
      </c>
      <c r="CE55" s="2950">
        <f t="shared" si="741"/>
        <v>0.30154591078579429</v>
      </c>
      <c r="CF55" s="2950">
        <f t="shared" si="741"/>
        <v>0.30154579621973482</v>
      </c>
      <c r="CG55" s="2950">
        <f t="shared" si="741"/>
        <v>0.3020287064589533</v>
      </c>
      <c r="CH55" s="2950">
        <f t="shared" si="741"/>
        <v>0.30233088773514205</v>
      </c>
      <c r="CI55" s="2950">
        <f t="shared" si="741"/>
        <v>0.30233089390461498</v>
      </c>
      <c r="CJ55" s="2950">
        <f t="shared" si="741"/>
        <v>0.30231007751937983</v>
      </c>
      <c r="CK55" s="2933">
        <f t="shared" si="675"/>
        <v>2.0300680451294517E-3</v>
      </c>
      <c r="CL55" s="2933">
        <f t="shared" si="675"/>
        <v>2.030384247591499E-3</v>
      </c>
      <c r="CM55" s="2933">
        <f t="shared" si="675"/>
        <v>1.0280602168306618E-3</v>
      </c>
      <c r="CN55" s="2877">
        <f>SUM(CN54/CN53)</f>
        <v>0.29951584274066484</v>
      </c>
      <c r="CO55" s="2877">
        <f t="shared" si="741"/>
        <v>0.29951541197214332</v>
      </c>
      <c r="CP55" s="2877">
        <f t="shared" si="741"/>
        <v>0.30100064624212258</v>
      </c>
      <c r="CQ55" s="2877">
        <f>SUM(CQ54/CQ53)</f>
        <v>0.29875432356776266</v>
      </c>
      <c r="CR55" s="2877">
        <f t="shared" si="741"/>
        <v>0.29875413680829838</v>
      </c>
      <c r="CS55" s="2877">
        <f t="shared" si="741"/>
        <v>0.3</v>
      </c>
      <c r="CT55" s="2877">
        <f t="shared" si="741"/>
        <v>0.30193782297408606</v>
      </c>
      <c r="CU55" s="2877">
        <f t="shared" si="741"/>
        <v>0.30193735169448555</v>
      </c>
      <c r="CV55" s="2877">
        <f t="shared" si="741"/>
        <v>0.30350000000000005</v>
      </c>
      <c r="CW55" s="2877">
        <f>SUM(CW54/CW53)</f>
        <v>0.29951584274066484</v>
      </c>
      <c r="CX55" s="2877">
        <f t="shared" si="741"/>
        <v>0.29951541197214332</v>
      </c>
      <c r="CY55" s="2877">
        <f t="shared" si="741"/>
        <v>0.30100064624212258</v>
      </c>
      <c r="CZ55" s="2877">
        <f>SUM(CZ54/CZ53)</f>
        <v>0.30204677142862812</v>
      </c>
      <c r="DA55" s="2877">
        <f t="shared" si="741"/>
        <v>0.30204682792587606</v>
      </c>
      <c r="DB55" s="2877">
        <f t="shared" si="741"/>
        <v>0.30185497470489037</v>
      </c>
      <c r="DC55" s="2877">
        <f t="shared" ref="DC55:DE55" si="742">SUM(DC54/DC53)</f>
        <v>0.30281227134752897</v>
      </c>
      <c r="DD55" s="2877">
        <f t="shared" si="742"/>
        <v>0.30281233652512107</v>
      </c>
      <c r="DE55" s="2877">
        <f t="shared" si="742"/>
        <v>0.30259999999999998</v>
      </c>
      <c r="DF55" s="2877">
        <f>SUM(DF54/DF53)</f>
        <v>0.29951584274066484</v>
      </c>
      <c r="DG55" s="2877">
        <f t="shared" si="741"/>
        <v>0.29951541197214332</v>
      </c>
      <c r="DH55" s="2877">
        <f t="shared" si="741"/>
        <v>0.30100064624212258</v>
      </c>
      <c r="DI55" s="2877">
        <f>SUM(DI54/DI53)</f>
        <v>0.3062835788201379</v>
      </c>
      <c r="DJ55" s="2877">
        <f t="shared" si="741"/>
        <v>0.30628514967233389</v>
      </c>
      <c r="DK55" s="2877">
        <f t="shared" si="741"/>
        <v>0.30229671011793918</v>
      </c>
      <c r="DL55" s="2877">
        <f t="shared" si="741"/>
        <v>0.30103164218079365</v>
      </c>
      <c r="DM55" s="2877">
        <f t="shared" si="741"/>
        <v>0.30103140041256016</v>
      </c>
      <c r="DN55" s="2877">
        <f t="shared" si="741"/>
        <v>0.30143540669856461</v>
      </c>
      <c r="DO55" s="2950">
        <f t="shared" si="741"/>
        <v>0.29951584274066484</v>
      </c>
      <c r="DP55" s="2950">
        <f t="shared" si="741"/>
        <v>0.29951541197214332</v>
      </c>
      <c r="DQ55" s="2950">
        <f t="shared" si="741"/>
        <v>0.30100064624212264</v>
      </c>
      <c r="DR55" s="2950">
        <f t="shared" si="741"/>
        <v>0.30229197095530647</v>
      </c>
      <c r="DS55" s="2950">
        <f t="shared" si="741"/>
        <v>0.30229213162594842</v>
      </c>
      <c r="DT55" s="2950">
        <f t="shared" si="741"/>
        <v>0.3017116333043226</v>
      </c>
      <c r="DU55" s="2950">
        <f t="shared" si="741"/>
        <v>0.30192977918493558</v>
      </c>
      <c r="DV55" s="2950">
        <f t="shared" si="741"/>
        <v>0.30192963682580493</v>
      </c>
      <c r="DW55" s="2950">
        <f t="shared" si="741"/>
        <v>0.30228738532110094</v>
      </c>
      <c r="DX55" s="2933">
        <f t="shared" si="677"/>
        <v>2.7761282146416266E-3</v>
      </c>
      <c r="DY55" s="2933">
        <f t="shared" si="677"/>
        <v>2.7767196538051042E-3</v>
      </c>
      <c r="DZ55" s="2933">
        <f t="shared" si="677"/>
        <v>7.1098706219996366E-4</v>
      </c>
      <c r="EA55" s="2950">
        <f t="shared" ref="EA55:GH55" si="743">SUM(EA54/EA53)</f>
        <v>0.29951584274066484</v>
      </c>
      <c r="EB55" s="2950">
        <f t="shared" si="743"/>
        <v>0.29951541197214332</v>
      </c>
      <c r="EC55" s="2950">
        <f t="shared" si="743"/>
        <v>0.30100064624212264</v>
      </c>
      <c r="ED55" s="2950">
        <f t="shared" si="743"/>
        <v>0.30180022547197172</v>
      </c>
      <c r="EE55" s="2950">
        <f t="shared" si="743"/>
        <v>0.30180019809582048</v>
      </c>
      <c r="EF55" s="2950">
        <f t="shared" si="743"/>
        <v>0.30190938864628825</v>
      </c>
      <c r="EG55" s="2950">
        <f t="shared" si="743"/>
        <v>0.30219657009760825</v>
      </c>
      <c r="EH55" s="2950">
        <f t="shared" si="743"/>
        <v>0.30219653560909332</v>
      </c>
      <c r="EI55" s="2950">
        <f>SUM(EI54/EI53)</f>
        <v>0.30230092506938017</v>
      </c>
      <c r="EJ55" s="2933">
        <f t="shared" si="679"/>
        <v>2.2843827313068776E-3</v>
      </c>
      <c r="EK55" s="2933">
        <f t="shared" si="679"/>
        <v>2.2847861236771627E-3</v>
      </c>
      <c r="EL55" s="2933">
        <f t="shared" si="679"/>
        <v>9.0874240416560781E-4</v>
      </c>
      <c r="EM55" s="2877">
        <f>SUM(EM54/EM53)</f>
        <v>0.29951584274066484</v>
      </c>
      <c r="EN55" s="2877">
        <f t="shared" si="743"/>
        <v>0.29951541197214332</v>
      </c>
      <c r="EO55" s="2877">
        <f t="shared" si="743"/>
        <v>0.30100064624212258</v>
      </c>
      <c r="EP55" s="2877">
        <f>SUM(EP54/EP53)</f>
        <v>0.30052065426338176</v>
      </c>
      <c r="EQ55" s="2877">
        <f>SUM(EQ54/EQ53)</f>
        <v>0.30052036638725288</v>
      </c>
      <c r="ER55" s="2877">
        <f>SUM(ER54/ER53)</f>
        <v>0.30199645502136607</v>
      </c>
      <c r="ES55" s="2877">
        <f t="shared" ref="ES55:EU55" si="744">SUM(ES54/ES53)</f>
        <v>0.30208115649669426</v>
      </c>
      <c r="ET55" s="2877">
        <f t="shared" si="744"/>
        <v>0.3020812073218378</v>
      </c>
      <c r="EU55" s="2877">
        <f t="shared" si="744"/>
        <v>0.30180000000000001</v>
      </c>
      <c r="EV55" s="2877">
        <f>SUM(EV54/EV53)</f>
        <v>0.29951584274066484</v>
      </c>
      <c r="EW55" s="2877">
        <f t="shared" si="743"/>
        <v>0.29951541197214332</v>
      </c>
      <c r="EX55" s="2877">
        <f t="shared" si="743"/>
        <v>0.30100064624212258</v>
      </c>
      <c r="EY55" s="2877">
        <f>SUM(EY54/EY53)</f>
        <v>0.31317078866659631</v>
      </c>
      <c r="EZ55" s="2877">
        <f t="shared" si="743"/>
        <v>0.31317390669299766</v>
      </c>
      <c r="FA55" s="2877">
        <f t="shared" si="743"/>
        <v>0.30189873417721513</v>
      </c>
      <c r="FB55" s="2877">
        <f t="shared" si="743"/>
        <v>0.30024780283463987</v>
      </c>
      <c r="FC55" s="2877">
        <f t="shared" si="743"/>
        <v>0.30024740272782047</v>
      </c>
      <c r="FD55" s="2877">
        <f t="shared" si="743"/>
        <v>0.30149999999999999</v>
      </c>
      <c r="FE55" s="2877">
        <f>SUM(FE54/FE53)</f>
        <v>0.29951584274066484</v>
      </c>
      <c r="FF55" s="2877">
        <f t="shared" si="743"/>
        <v>0.29951541197214332</v>
      </c>
      <c r="FG55" s="2877">
        <f t="shared" si="743"/>
        <v>0.30100064624212258</v>
      </c>
      <c r="FH55" s="2877">
        <f t="shared" si="743"/>
        <v>0.26174234371196886</v>
      </c>
      <c r="FI55" s="2877">
        <f t="shared" si="743"/>
        <v>0.26173268879341732</v>
      </c>
      <c r="FJ55" s="2877">
        <f t="shared" si="743"/>
        <v>0.3029197080291971</v>
      </c>
      <c r="FK55" s="2877">
        <f t="shared" si="743"/>
        <v>0.30272424703126921</v>
      </c>
      <c r="FL55" s="2877">
        <f t="shared" si="743"/>
        <v>0.3027229892614508</v>
      </c>
      <c r="FM55" s="2877">
        <f t="shared" si="743"/>
        <v>0.33333333333333337</v>
      </c>
      <c r="FN55" s="2950">
        <f t="shared" si="743"/>
        <v>0.29951584274066484</v>
      </c>
      <c r="FO55" s="2950">
        <f t="shared" si="743"/>
        <v>0.29951541197214332</v>
      </c>
      <c r="FP55" s="2950">
        <f t="shared" si="743"/>
        <v>0.30100064624212264</v>
      </c>
      <c r="FQ55" s="2950">
        <f t="shared" si="743"/>
        <v>0.28998497584128202</v>
      </c>
      <c r="FR55" s="2950">
        <f t="shared" si="743"/>
        <v>0.28998206582796499</v>
      </c>
      <c r="FS55" s="2950">
        <f t="shared" si="743"/>
        <v>0.30230494335771507</v>
      </c>
      <c r="FT55" s="2950">
        <f t="shared" si="743"/>
        <v>0.30172632314503139</v>
      </c>
      <c r="FU55" s="2950">
        <f t="shared" si="743"/>
        <v>0.30172588430951119</v>
      </c>
      <c r="FV55" s="2950">
        <f t="shared" si="743"/>
        <v>0.30422582417582422</v>
      </c>
      <c r="FW55" s="2933">
        <f t="shared" si="681"/>
        <v>-9.5308668993828172E-3</v>
      </c>
      <c r="FX55" s="2933">
        <f t="shared" si="681"/>
        <v>-9.533346144178334E-3</v>
      </c>
      <c r="FY55" s="2933">
        <f t="shared" si="681"/>
        <v>1.3042971155924343E-3</v>
      </c>
      <c r="FZ55" s="2950">
        <f t="shared" si="743"/>
        <v>0.29951584274066484</v>
      </c>
      <c r="GA55" s="2950">
        <f t="shared" si="743"/>
        <v>0.29951541197214332</v>
      </c>
      <c r="GB55" s="2950">
        <f t="shared" si="743"/>
        <v>0.30100064624212264</v>
      </c>
      <c r="GC55" s="2950">
        <f t="shared" si="743"/>
        <v>0.29880507328404138</v>
      </c>
      <c r="GD55" s="2950">
        <f t="shared" si="743"/>
        <v>0.29880428256575847</v>
      </c>
      <c r="GE55" s="2950">
        <f t="shared" si="743"/>
        <v>0.30200524574868542</v>
      </c>
      <c r="GF55" s="2950">
        <f t="shared" si="743"/>
        <v>0.30208341556486318</v>
      </c>
      <c r="GG55" s="2950">
        <f t="shared" si="743"/>
        <v>0.30208327045859018</v>
      </c>
      <c r="GH55" s="2950">
        <f t="shared" si="743"/>
        <v>0.30257830562153598</v>
      </c>
      <c r="GI55" s="2933">
        <f t="shared" si="683"/>
        <v>-7.1076945662346125E-4</v>
      </c>
      <c r="GJ55" s="2927">
        <f t="shared" si="683"/>
        <v>-7.1112940638484723E-4</v>
      </c>
      <c r="GK55" s="2927">
        <f t="shared" si="683"/>
        <v>1.0045995065627866E-3</v>
      </c>
      <c r="GL55" s="389"/>
      <c r="GM55" s="4191">
        <f t="shared" si="684"/>
        <v>3.5941901128879779</v>
      </c>
    </row>
    <row r="56" spans="1:195" ht="18.75" x14ac:dyDescent="0.3">
      <c r="A56" s="2945" t="s">
        <v>3756</v>
      </c>
      <c r="B56" s="2946">
        <f t="shared" ref="B56:B80" si="745">SUM(C56:D56)</f>
        <v>1618.8660796762758</v>
      </c>
      <c r="C56" s="2946">
        <f>SUM('ПОЛНАЯ СЕБЕСТОИМОСТЬ ВОДА 2021'!C204)/3</f>
        <v>1618.8660796762758</v>
      </c>
      <c r="D56" s="2946">
        <f>SUM('ПОЛНАЯ СЕБЕСТОИМОСТЬ ВОДА 2021'!D204)/3</f>
        <v>0</v>
      </c>
      <c r="E56" s="2865">
        <f t="shared" ref="E56:E75" si="746">SUM(F56:G56)</f>
        <v>2003.16779</v>
      </c>
      <c r="F56" s="2865">
        <f>SUM('ПОЛНАЯ СЕБЕСТОИМОСТЬ ВОДА 2021'!F204)</f>
        <v>2003.16779</v>
      </c>
      <c r="G56" s="2865">
        <f>SUM('ПОЛНАЯ СЕБЕСТОИМОСТЬ ВОДА 2021'!G204)</f>
        <v>0</v>
      </c>
      <c r="H56" s="2952">
        <f>SUM(H57:H60)</f>
        <v>1656.7399999999998</v>
      </c>
      <c r="I56" s="2952">
        <f t="shared" ref="I56:J56" si="747">SUM(I57:I60)</f>
        <v>1656.7399999999998</v>
      </c>
      <c r="J56" s="2952">
        <f t="shared" si="747"/>
        <v>0</v>
      </c>
      <c r="K56" s="2946">
        <f t="shared" ref="K56:K77" si="748">SUM(L56:M56)</f>
        <v>1618.8660796762758</v>
      </c>
      <c r="L56" s="2946">
        <f t="shared" ref="L56:L75" si="749">SUM(C56)</f>
        <v>1618.8660796762758</v>
      </c>
      <c r="M56" s="2946">
        <f t="shared" ref="M56:M75" si="750">SUM(D56)</f>
        <v>0</v>
      </c>
      <c r="N56" s="2865">
        <f t="shared" ref="N56:N77" si="751">SUM(O56:P56)</f>
        <v>1814.5847899999997</v>
      </c>
      <c r="O56" s="2865">
        <f>SUM('ПОЛНАЯ СЕБЕСТОИМОСТЬ ВОДА 2021'!I204)</f>
        <v>1814.5847899999997</v>
      </c>
      <c r="P56" s="2865">
        <f>SUM('ПОЛНАЯ СЕБЕСТОИМОСТЬ ВОДА 2021'!J204)</f>
        <v>0</v>
      </c>
      <c r="Q56" s="2952">
        <f>SUM(Q57:Q60)</f>
        <v>1821.1799999999998</v>
      </c>
      <c r="R56" s="2952">
        <f t="shared" ref="R56:S56" si="752">SUM(R57:R60)</f>
        <v>1821.1799999999998</v>
      </c>
      <c r="S56" s="2952">
        <f t="shared" si="752"/>
        <v>0</v>
      </c>
      <c r="T56" s="2946">
        <f t="shared" ref="T56:T77" si="753">SUM(U56:V56)</f>
        <v>1618.8660796762758</v>
      </c>
      <c r="U56" s="2946">
        <f t="shared" ref="U56:U75" si="754">SUM(L56)</f>
        <v>1618.8660796762758</v>
      </c>
      <c r="V56" s="2946">
        <f t="shared" ref="V56:V75" si="755">SUM(M56)</f>
        <v>0</v>
      </c>
      <c r="W56" s="2865">
        <f t="shared" ref="W56:W77" si="756">SUM(X56:Y56)</f>
        <v>2243.6584300000004</v>
      </c>
      <c r="X56" s="2865">
        <f>SUM('ПОЛНАЯ СЕБЕСТОИМОСТЬ ВОДА 2021'!L204)</f>
        <v>2243.6584300000004</v>
      </c>
      <c r="Y56" s="2865">
        <f>SUM('ПОЛНАЯ СЕБЕСТОИМОСТЬ ВОДА 2021'!M204)</f>
        <v>0</v>
      </c>
      <c r="Z56" s="2952">
        <f>SUM(Z57:Z60)</f>
        <v>1762.2</v>
      </c>
      <c r="AA56" s="2952">
        <f t="shared" ref="AA56:AB56" si="757">SUM(AA57:AA60)</f>
        <v>1762.2</v>
      </c>
      <c r="AB56" s="2952">
        <f t="shared" si="757"/>
        <v>0</v>
      </c>
      <c r="AC56" s="2916">
        <f t="shared" ref="AC56:AK75" si="758">SUM(B56+K56+T56)</f>
        <v>4856.5982390288273</v>
      </c>
      <c r="AD56" s="2916">
        <f t="shared" si="758"/>
        <v>4856.5982390288273</v>
      </c>
      <c r="AE56" s="2916">
        <f t="shared" si="758"/>
        <v>0</v>
      </c>
      <c r="AF56" s="2926">
        <f t="shared" si="758"/>
        <v>6061.4110099999998</v>
      </c>
      <c r="AG56" s="2926">
        <f t="shared" si="758"/>
        <v>6061.4110099999998</v>
      </c>
      <c r="AH56" s="2926">
        <f t="shared" si="758"/>
        <v>0</v>
      </c>
      <c r="AI56" s="2926">
        <f t="shared" si="758"/>
        <v>5240.12</v>
      </c>
      <c r="AJ56" s="2926">
        <f t="shared" si="758"/>
        <v>5240.12</v>
      </c>
      <c r="AK56" s="2926">
        <f t="shared" si="758"/>
        <v>0</v>
      </c>
      <c r="AL56" s="2927">
        <f t="shared" si="671"/>
        <v>1204.8127709711725</v>
      </c>
      <c r="AM56" s="2927">
        <f t="shared" si="671"/>
        <v>1204.8127709711725</v>
      </c>
      <c r="AN56" s="2927">
        <f t="shared" si="671"/>
        <v>0</v>
      </c>
      <c r="AO56" s="2946">
        <f t="shared" ref="AO56:AO77" si="759">SUM(AP56:AQ56)</f>
        <v>1618.8660796762758</v>
      </c>
      <c r="AP56" s="2946">
        <f>SUM('ПОЛНАЯ СЕБЕСТОИМОСТЬ ВОДА 2021'!R204)/3</f>
        <v>1618.8660796762758</v>
      </c>
      <c r="AQ56" s="2946">
        <f>SUM('ПОЛНАЯ СЕБЕСТОИМОСТЬ ВОДА 2021'!S204)/3</f>
        <v>0</v>
      </c>
      <c r="AR56" s="2946">
        <f t="shared" ref="AR56:AR77" si="760">SUM(AS56:AT56)</f>
        <v>1660.37</v>
      </c>
      <c r="AS56" s="2946">
        <f>SUM('ПОЛНАЯ СЕБЕСТОИМОСТЬ ВОДА 2021'!U204)</f>
        <v>1660.37</v>
      </c>
      <c r="AT56" s="2946">
        <f>SUM('ПОЛНАЯ СЕБЕСТОИМОСТЬ ВОДА 2021'!V204)</f>
        <v>0</v>
      </c>
      <c r="AU56" s="2952">
        <f>SUM(AU57:AU60)</f>
        <v>1323.925</v>
      </c>
      <c r="AV56" s="2952">
        <f t="shared" ref="AV56:AW56" si="761">SUM(AV57:AV60)</f>
        <v>1323.925</v>
      </c>
      <c r="AW56" s="2952">
        <f t="shared" si="761"/>
        <v>0</v>
      </c>
      <c r="AX56" s="2946">
        <f t="shared" ref="AX56:AX77" si="762">SUM(AY56:AZ56)</f>
        <v>1618.8660796762758</v>
      </c>
      <c r="AY56" s="2946">
        <f t="shared" ref="AY56:AY75" si="763">SUM(AP56)</f>
        <v>1618.8660796762758</v>
      </c>
      <c r="AZ56" s="2946">
        <f t="shared" ref="AZ56:AZ75" si="764">SUM(AQ56)</f>
        <v>0</v>
      </c>
      <c r="BA56" s="2946">
        <f t="shared" ref="BA56:BA77" si="765">SUM(BB56:BC56)</f>
        <v>1476.2850000000001</v>
      </c>
      <c r="BB56" s="2946">
        <f>SUM('ПОЛНАЯ СЕБЕСТОИМОСТЬ ВОДА 2021'!X204)</f>
        <v>1476.2850000000001</v>
      </c>
      <c r="BC56" s="2946">
        <f>SUM('ПОЛНАЯ СЕБЕСТОИМОСТЬ ВОДА 2021'!Y204)</f>
        <v>0</v>
      </c>
      <c r="BD56" s="2952">
        <f>SUM(BD57:BD60)</f>
        <v>1395.3679999999999</v>
      </c>
      <c r="BE56" s="2952">
        <f t="shared" ref="BE56:BF56" si="766">SUM(BE57:BE60)</f>
        <v>1395.3679999999999</v>
      </c>
      <c r="BF56" s="2952">
        <f t="shared" si="766"/>
        <v>0</v>
      </c>
      <c r="BG56" s="2946">
        <f t="shared" ref="BG56:BG77" si="767">SUM(BH56:BI56)</f>
        <v>1618.8660796762758</v>
      </c>
      <c r="BH56" s="2946">
        <f t="shared" ref="BH56:BH75" si="768">SUM(AY56)</f>
        <v>1618.8660796762758</v>
      </c>
      <c r="BI56" s="2946">
        <f t="shared" ref="BI56:BI75" si="769">SUM(AZ56)</f>
        <v>0</v>
      </c>
      <c r="BJ56" s="2865">
        <f t="shared" ref="BJ56:BJ77" si="770">SUM(BK56:BL56)</f>
        <v>1342.886</v>
      </c>
      <c r="BK56" s="2865">
        <f>SUM('ПОЛНАЯ СЕБЕСТОИМОСТЬ ВОДА 2021'!AA204)</f>
        <v>1342.886</v>
      </c>
      <c r="BL56" s="2865">
        <f>SUM('ПОЛНАЯ СЕБЕСТОИМОСТЬ ВОДА 2021'!AB204)</f>
        <v>0</v>
      </c>
      <c r="BM56" s="2952">
        <f>SUM(BM57:BM60)</f>
        <v>1353.2400000000002</v>
      </c>
      <c r="BN56" s="2952">
        <f t="shared" ref="BN56:BO56" si="771">SUM(BN57:BN60)</f>
        <v>1353.2400000000002</v>
      </c>
      <c r="BO56" s="2952">
        <f t="shared" si="771"/>
        <v>0</v>
      </c>
      <c r="BP56" s="2916">
        <f t="shared" ref="BP56:BX72" si="772">SUM(AO56+AX56+BG56)</f>
        <v>4856.5982390288273</v>
      </c>
      <c r="BQ56" s="2916">
        <f t="shared" si="772"/>
        <v>4856.5982390288273</v>
      </c>
      <c r="BR56" s="2916">
        <f t="shared" si="772"/>
        <v>0</v>
      </c>
      <c r="BS56" s="2953">
        <f t="shared" si="772"/>
        <v>4479.5409999999993</v>
      </c>
      <c r="BT56" s="2953">
        <f t="shared" si="772"/>
        <v>4479.5409999999993</v>
      </c>
      <c r="BU56" s="2953">
        <f t="shared" si="772"/>
        <v>0</v>
      </c>
      <c r="BV56" s="2953">
        <f t="shared" si="772"/>
        <v>4072.5329999999999</v>
      </c>
      <c r="BW56" s="2953">
        <f t="shared" si="772"/>
        <v>4072.5329999999999</v>
      </c>
      <c r="BX56" s="2953">
        <f t="shared" si="772"/>
        <v>0</v>
      </c>
      <c r="BY56" s="2954">
        <f t="shared" si="673"/>
        <v>-377.05723902882801</v>
      </c>
      <c r="BZ56" s="2954">
        <f t="shared" si="673"/>
        <v>-377.05723902882801</v>
      </c>
      <c r="CA56" s="2954">
        <f t="shared" si="673"/>
        <v>0</v>
      </c>
      <c r="CB56" s="2916">
        <f t="shared" ref="CB56:CJ72" si="773">SUM(AC56+BP56)</f>
        <v>9713.1964780576545</v>
      </c>
      <c r="CC56" s="2916">
        <f t="shared" si="773"/>
        <v>9713.1964780576545</v>
      </c>
      <c r="CD56" s="2916">
        <f t="shared" si="773"/>
        <v>0</v>
      </c>
      <c r="CE56" s="2953">
        <f t="shared" si="773"/>
        <v>10540.952009999999</v>
      </c>
      <c r="CF56" s="2953">
        <f t="shared" si="773"/>
        <v>10540.952009999999</v>
      </c>
      <c r="CG56" s="2953">
        <f t="shared" si="773"/>
        <v>0</v>
      </c>
      <c r="CH56" s="2953">
        <f t="shared" si="773"/>
        <v>9312.6530000000002</v>
      </c>
      <c r="CI56" s="2953">
        <f t="shared" si="773"/>
        <v>9312.6530000000002</v>
      </c>
      <c r="CJ56" s="2953">
        <f t="shared" si="773"/>
        <v>0</v>
      </c>
      <c r="CK56" s="2954">
        <f t="shared" si="675"/>
        <v>827.75553194234453</v>
      </c>
      <c r="CL56" s="2954">
        <f t="shared" si="675"/>
        <v>827.75553194234453</v>
      </c>
      <c r="CM56" s="2954">
        <f t="shared" si="675"/>
        <v>0</v>
      </c>
      <c r="CN56" s="2946">
        <f t="shared" ref="CN56:CN77" si="774">SUM(CO56:CP56)</f>
        <v>1618.8660796762758</v>
      </c>
      <c r="CO56" s="2946">
        <f>SUM('ПОЛНАЯ СЕБЕСТОИМОСТЬ ВОДА 2021'!AP204)/3</f>
        <v>1618.8660796762758</v>
      </c>
      <c r="CP56" s="2946">
        <f>SUM('ПОЛНАЯ СЕБЕСТОИМОСТЬ ВОДА 2021'!AQ204)/3</f>
        <v>0</v>
      </c>
      <c r="CQ56" s="2865">
        <f t="shared" ref="CQ56:CQ77" si="775">SUM(CR56:CS56)</f>
        <v>1685.1020000000001</v>
      </c>
      <c r="CR56" s="2865">
        <f>SUM('ПОЛНАЯ СЕБЕСТОИМОСТЬ ВОДА 2021'!AS204)</f>
        <v>1685.1020000000001</v>
      </c>
      <c r="CS56" s="2865">
        <f>SUM('ПОЛНАЯ СЕБЕСТОИМОСТЬ ВОДА 2021'!AT204)</f>
        <v>0</v>
      </c>
      <c r="CT56" s="2952">
        <f>SUM(CT57:CT60)</f>
        <v>1457.51</v>
      </c>
      <c r="CU56" s="2952">
        <f t="shared" ref="CU56:CV56" si="776">SUM(CU57:CU60)</f>
        <v>1457.51</v>
      </c>
      <c r="CV56" s="2952">
        <f t="shared" si="776"/>
        <v>0</v>
      </c>
      <c r="CW56" s="2946">
        <f t="shared" ref="CW56:CW77" si="777">SUM(CX56:CY56)</f>
        <v>1618.8660796762758</v>
      </c>
      <c r="CX56" s="2946">
        <f t="shared" ref="CX56:CX75" si="778">SUM(CO56)</f>
        <v>1618.8660796762758</v>
      </c>
      <c r="CY56" s="2946">
        <f t="shared" ref="CY56:CY75" si="779">SUM(CP56)</f>
        <v>0</v>
      </c>
      <c r="CZ56" s="2865">
        <f t="shared" ref="CZ56:CZ75" si="780">SUM(DA56:DB56)</f>
        <v>1330.8639999999998</v>
      </c>
      <c r="DA56" s="2946">
        <f>SUM('ПОЛНАЯ СЕБЕСТОИМОСТЬ ВОДА 2021'!AV204)</f>
        <v>1330.8639999999998</v>
      </c>
      <c r="DB56" s="2865">
        <f>SUM('ПОЛНАЯ СЕБЕСТОИМОСТЬ ВОДА 2021'!AW204)</f>
        <v>0</v>
      </c>
      <c r="DC56" s="2952">
        <f>SUM(DC57:DC60)</f>
        <v>1291.3</v>
      </c>
      <c r="DD56" s="2952">
        <f t="shared" ref="DD56:DE56" si="781">SUM(DD57:DD60)</f>
        <v>1291.3</v>
      </c>
      <c r="DE56" s="2952">
        <f t="shared" si="781"/>
        <v>0</v>
      </c>
      <c r="DF56" s="2946">
        <f t="shared" ref="DF56:DF77" si="782">SUM(DG56:DH56)</f>
        <v>1618.8660796762758</v>
      </c>
      <c r="DG56" s="2946">
        <f t="shared" ref="DG56:DG75" si="783">SUM(CX56)</f>
        <v>1618.8660796762758</v>
      </c>
      <c r="DH56" s="2946">
        <f t="shared" ref="DH56:DH75" si="784">SUM(CY56)</f>
        <v>0</v>
      </c>
      <c r="DI56" s="2865">
        <f t="shared" ref="DI56:DI77" si="785">SUM(DJ56:DK56)</f>
        <v>1745.9119999999998</v>
      </c>
      <c r="DJ56" s="2865">
        <f>SUM('ПОЛНАЯ СЕБЕСТОИМОСТЬ ВОДА 2021'!AY204)</f>
        <v>1745.9119999999998</v>
      </c>
      <c r="DK56" s="2865">
        <f>SUM('ПОЛНАЯ СЕБЕСТОИМОСТЬ ВОДА 2021'!AZ204)</f>
        <v>0</v>
      </c>
      <c r="DL56" s="2952">
        <f>SUM(DL57:DL60)</f>
        <v>1427.23</v>
      </c>
      <c r="DM56" s="2952">
        <f t="shared" ref="DM56:DN56" si="786">SUM(DM57:DM60)</f>
        <v>1427.23</v>
      </c>
      <c r="DN56" s="2952">
        <f t="shared" si="786"/>
        <v>0</v>
      </c>
      <c r="DO56" s="2916">
        <f t="shared" ref="DO56:DW72" si="787">SUM(CN56+CW56+DF56)</f>
        <v>4856.5982390288273</v>
      </c>
      <c r="DP56" s="2916">
        <f t="shared" si="787"/>
        <v>4856.5982390288273</v>
      </c>
      <c r="DQ56" s="2916">
        <f t="shared" si="787"/>
        <v>0</v>
      </c>
      <c r="DR56" s="2953">
        <f t="shared" si="787"/>
        <v>4761.8779999999997</v>
      </c>
      <c r="DS56" s="2953">
        <f t="shared" si="787"/>
        <v>4761.8779999999997</v>
      </c>
      <c r="DT56" s="2953">
        <f t="shared" si="787"/>
        <v>0</v>
      </c>
      <c r="DU56" s="2953">
        <f t="shared" si="787"/>
        <v>4176.04</v>
      </c>
      <c r="DV56" s="2953">
        <f t="shared" si="787"/>
        <v>4176.04</v>
      </c>
      <c r="DW56" s="2953">
        <f t="shared" si="787"/>
        <v>0</v>
      </c>
      <c r="DX56" s="2954">
        <f t="shared" si="677"/>
        <v>-94.720239028827564</v>
      </c>
      <c r="DY56" s="2954">
        <f t="shared" si="677"/>
        <v>-94.720239028827564</v>
      </c>
      <c r="DZ56" s="2954">
        <f t="shared" si="677"/>
        <v>0</v>
      </c>
      <c r="EA56" s="2916">
        <f t="shared" ref="EA56:EI72" si="788">SUM(CB56+DO56)</f>
        <v>14569.794717086483</v>
      </c>
      <c r="EB56" s="2916">
        <f t="shared" si="788"/>
        <v>14569.794717086483</v>
      </c>
      <c r="EC56" s="2916">
        <f t="shared" si="788"/>
        <v>0</v>
      </c>
      <c r="ED56" s="2953">
        <f t="shared" si="788"/>
        <v>15302.830009999998</v>
      </c>
      <c r="EE56" s="2953">
        <f t="shared" si="788"/>
        <v>15302.830009999998</v>
      </c>
      <c r="EF56" s="2953">
        <f t="shared" si="788"/>
        <v>0</v>
      </c>
      <c r="EG56" s="2953">
        <f t="shared" si="788"/>
        <v>13488.692999999999</v>
      </c>
      <c r="EH56" s="2953">
        <f t="shared" si="788"/>
        <v>13488.692999999999</v>
      </c>
      <c r="EI56" s="2953">
        <f t="shared" si="788"/>
        <v>0</v>
      </c>
      <c r="EJ56" s="2954">
        <f t="shared" si="679"/>
        <v>733.03529291351515</v>
      </c>
      <c r="EK56" s="2954">
        <f t="shared" si="679"/>
        <v>733.03529291351515</v>
      </c>
      <c r="EL56" s="2954">
        <f t="shared" si="679"/>
        <v>0</v>
      </c>
      <c r="EM56" s="2946">
        <f t="shared" ref="EM56:EM75" si="789">SUM(EN56:EO56)</f>
        <v>1618.8660796762758</v>
      </c>
      <c r="EN56" s="2946">
        <f>SUM('ПОЛНАЯ СЕБЕСТОИМОСТЬ ВОДА 2021'!BN204)/3</f>
        <v>1618.8660796762758</v>
      </c>
      <c r="EO56" s="2946">
        <f>SUM('ПОЛНАЯ СЕБЕСТОИМОСТЬ ВОДА 2021'!BO204)/3</f>
        <v>0</v>
      </c>
      <c r="EP56" s="2865">
        <f t="shared" ref="EP56:EP75" si="790">SUM(EQ56:ER56)</f>
        <v>2011.3810000000001</v>
      </c>
      <c r="EQ56" s="2865">
        <f>SUM('ПОЛНАЯ СЕБЕСТОИМОСТЬ ВОДА 2021'!BQ204)</f>
        <v>2011.3810000000001</v>
      </c>
      <c r="ER56" s="2865">
        <f>SUM('ПОЛНАЯ СЕБЕСТОИМОСТЬ ВОДА 2021'!BR204)</f>
        <v>0</v>
      </c>
      <c r="ES56" s="2952">
        <f>SUM(ES57:ES60)</f>
        <v>1595.27</v>
      </c>
      <c r="ET56" s="2952">
        <f t="shared" ref="ET56:EU56" si="791">SUM(ET57:ET60)</f>
        <v>1595.27</v>
      </c>
      <c r="EU56" s="2952">
        <f t="shared" si="791"/>
        <v>0</v>
      </c>
      <c r="EV56" s="2946">
        <f t="shared" ref="EV56:EV75" si="792">SUM(EW56:EX56)</f>
        <v>1618.8660796762758</v>
      </c>
      <c r="EW56" s="2946">
        <f t="shared" ref="EW56:EW75" si="793">SUM(EN56)</f>
        <v>1618.8660796762758</v>
      </c>
      <c r="EX56" s="2946">
        <f t="shared" ref="EX56:EX75" si="794">SUM(EO56)</f>
        <v>0</v>
      </c>
      <c r="EY56" s="2865">
        <f t="shared" ref="EY56:EY75" si="795">SUM(EZ56:FA56)</f>
        <v>1776.6764000000001</v>
      </c>
      <c r="EZ56" s="2865">
        <f>SUM('ПОЛНАЯ СЕБЕСТОИМОСТЬ ВОДА 2021'!BT204)</f>
        <v>1776.6764000000001</v>
      </c>
      <c r="FA56" s="2865">
        <f>SUM('ПОЛНАЯ СЕБЕСТОИМОСТЬ ВОДА 2021'!BU204)</f>
        <v>0</v>
      </c>
      <c r="FB56" s="2952">
        <f>SUM(FB57:FB60)</f>
        <v>1645.175</v>
      </c>
      <c r="FC56" s="2952">
        <f t="shared" ref="FC56:FD56" si="796">SUM(FC57:FC60)</f>
        <v>1645.175</v>
      </c>
      <c r="FD56" s="2952">
        <f t="shared" si="796"/>
        <v>0</v>
      </c>
      <c r="FE56" s="2946">
        <f t="shared" ref="FE56:FE75" si="797">SUM(FF56:FG56)</f>
        <v>1618.8660796762758</v>
      </c>
      <c r="FF56" s="2946">
        <f t="shared" ref="FF56:FF75" si="798">SUM(EW56)</f>
        <v>1618.8660796762758</v>
      </c>
      <c r="FG56" s="2946">
        <f t="shared" ref="FG56:FG75" si="799">SUM(EX56)</f>
        <v>0</v>
      </c>
      <c r="FH56" s="2865">
        <f t="shared" si="735"/>
        <v>2165.3099400000006</v>
      </c>
      <c r="FI56" s="2865">
        <f>SUM('ПОЛНАЯ СЕБЕСТОИМОСТЬ ВОДА 2021'!BW204)</f>
        <v>2165.3099400000006</v>
      </c>
      <c r="FJ56" s="2865">
        <f>SUM('ПОЛНАЯ СЕБЕСТОИМОСТЬ ВОДА 2021'!BX204)</f>
        <v>0</v>
      </c>
      <c r="FK56" s="2952">
        <f>SUM(FK57:FK60)</f>
        <v>1162.8955100000001</v>
      </c>
      <c r="FL56" s="2952">
        <f t="shared" ref="FL56:FM56" si="800">SUM(FL57:FL60)</f>
        <v>1162.8955100000001</v>
      </c>
      <c r="FM56" s="2952">
        <f t="shared" si="800"/>
        <v>0</v>
      </c>
      <c r="FN56" s="2916">
        <f t="shared" ref="FN56:FV75" si="801">SUM(EM56+EV56+FE56)</f>
        <v>4856.5982390288273</v>
      </c>
      <c r="FO56" s="2916">
        <f t="shared" si="801"/>
        <v>4856.5982390288273</v>
      </c>
      <c r="FP56" s="2916">
        <f t="shared" si="801"/>
        <v>0</v>
      </c>
      <c r="FQ56" s="2926">
        <f t="shared" si="801"/>
        <v>5953.3673400000007</v>
      </c>
      <c r="FR56" s="2926">
        <f t="shared" si="801"/>
        <v>5953.3673400000007</v>
      </c>
      <c r="FS56" s="2926">
        <f t="shared" si="801"/>
        <v>0</v>
      </c>
      <c r="FT56" s="2926">
        <f t="shared" si="801"/>
        <v>4403.34051</v>
      </c>
      <c r="FU56" s="2926">
        <f t="shared" si="801"/>
        <v>4403.34051</v>
      </c>
      <c r="FV56" s="2926">
        <f t="shared" si="801"/>
        <v>0</v>
      </c>
      <c r="FW56" s="2927">
        <f t="shared" si="681"/>
        <v>1096.7691009711734</v>
      </c>
      <c r="FX56" s="2927">
        <f t="shared" si="681"/>
        <v>1096.7691009711734</v>
      </c>
      <c r="FY56" s="2927">
        <f t="shared" si="681"/>
        <v>0</v>
      </c>
      <c r="FZ56" s="2916">
        <f t="shared" ref="FZ56:GH75" si="802">SUM(EA56+FN56)</f>
        <v>19426.392956115309</v>
      </c>
      <c r="GA56" s="2916">
        <f t="shared" si="802"/>
        <v>19426.392956115309</v>
      </c>
      <c r="GB56" s="2916">
        <f t="shared" si="802"/>
        <v>0</v>
      </c>
      <c r="GC56" s="2926">
        <f t="shared" si="802"/>
        <v>21256.197349999999</v>
      </c>
      <c r="GD56" s="2926">
        <f t="shared" si="802"/>
        <v>21256.197349999999</v>
      </c>
      <c r="GE56" s="2926">
        <f t="shared" si="802"/>
        <v>0</v>
      </c>
      <c r="GF56" s="2926">
        <f t="shared" si="802"/>
        <v>17892.033510000001</v>
      </c>
      <c r="GG56" s="2926">
        <f t="shared" si="802"/>
        <v>17892.033510000001</v>
      </c>
      <c r="GH56" s="2926">
        <f t="shared" si="802"/>
        <v>0</v>
      </c>
      <c r="GI56" s="2927">
        <f t="shared" si="683"/>
        <v>1829.8043938846895</v>
      </c>
      <c r="GJ56" s="2927">
        <f t="shared" si="683"/>
        <v>1829.8043938846895</v>
      </c>
      <c r="GK56" s="2927">
        <f t="shared" si="683"/>
        <v>0</v>
      </c>
      <c r="GL56" s="389"/>
      <c r="GM56" s="4191">
        <f t="shared" si="684"/>
        <v>19426.392956115309</v>
      </c>
    </row>
    <row r="57" spans="1:195" ht="18.75" x14ac:dyDescent="0.3">
      <c r="A57" s="2949" t="s">
        <v>3757</v>
      </c>
      <c r="B57" s="2951">
        <f t="shared" si="745"/>
        <v>614.52436196733117</v>
      </c>
      <c r="C57" s="2951">
        <f>SUM('ПОЛНАЯ СЕБЕСТОИМОСТЬ ВОДА 2021'!C205)/3</f>
        <v>614.52436196733117</v>
      </c>
      <c r="D57" s="2951">
        <f>SUM('ПОЛНАЯ СЕБЕСТОИМОСТЬ ВОДА 2021'!D205)/3</f>
        <v>0</v>
      </c>
      <c r="E57" s="2875">
        <f t="shared" si="746"/>
        <v>873.82999999999993</v>
      </c>
      <c r="F57" s="2875">
        <f>SUM('ПОЛНАЯ СЕБЕСТОИМОСТЬ ВОДА 2021'!F205)</f>
        <v>873.82999999999993</v>
      </c>
      <c r="G57" s="2875">
        <f>SUM('ПОЛНАЯ СЕБЕСТОИМОСТЬ ВОДА 2021'!G205)</f>
        <v>0</v>
      </c>
      <c r="H57" s="2955">
        <f t="shared" ref="H57:H75" si="803">SUM(I57:J57)</f>
        <v>716.7</v>
      </c>
      <c r="I57" s="2955">
        <v>716.7</v>
      </c>
      <c r="J57" s="2955">
        <v>0</v>
      </c>
      <c r="K57" s="2951">
        <f t="shared" si="748"/>
        <v>614.52436196733117</v>
      </c>
      <c r="L57" s="2951">
        <f t="shared" si="749"/>
        <v>614.52436196733117</v>
      </c>
      <c r="M57" s="2951">
        <f t="shared" si="750"/>
        <v>0</v>
      </c>
      <c r="N57" s="2875">
        <f t="shared" si="751"/>
        <v>678.50599999999997</v>
      </c>
      <c r="O57" s="2875">
        <f>SUM('ПОЛНАЯ СЕБЕСТОИМОСТЬ ВОДА 2021'!I205)</f>
        <v>678.50599999999997</v>
      </c>
      <c r="P57" s="2875">
        <f>SUM('ПОЛНАЯ СЕБЕСТОИМОСТЬ ВОДА 2021'!J205)</f>
        <v>0</v>
      </c>
      <c r="Q57" s="2955">
        <f t="shared" ref="Q57:Q60" si="804">SUM(R57:S57)</f>
        <v>731.32</v>
      </c>
      <c r="R57" s="2955">
        <v>731.32</v>
      </c>
      <c r="S57" s="2955">
        <v>0</v>
      </c>
      <c r="T57" s="2951">
        <f t="shared" si="753"/>
        <v>614.52436196733117</v>
      </c>
      <c r="U57" s="2951">
        <f t="shared" si="754"/>
        <v>614.52436196733117</v>
      </c>
      <c r="V57" s="2951">
        <f t="shared" si="755"/>
        <v>0</v>
      </c>
      <c r="W57" s="2875">
        <f t="shared" si="756"/>
        <v>747.46</v>
      </c>
      <c r="X57" s="2875">
        <f>SUM('ПОЛНАЯ СЕБЕСТОИМОСТЬ ВОДА 2021'!L205)</f>
        <v>747.46</v>
      </c>
      <c r="Y57" s="2875">
        <f>SUM('ПОЛНАЯ СЕБЕСТОИМОСТЬ ВОДА 2021'!M205)</f>
        <v>0</v>
      </c>
      <c r="Z57" s="2955">
        <f t="shared" ref="Z57:Z60" si="805">SUM(AA57:AB57)</f>
        <v>814.83</v>
      </c>
      <c r="AA57" s="2955">
        <v>814.83</v>
      </c>
      <c r="AB57" s="2955">
        <v>0</v>
      </c>
      <c r="AC57" s="2921">
        <f t="shared" si="758"/>
        <v>1843.5730859019936</v>
      </c>
      <c r="AD57" s="2921">
        <f t="shared" si="758"/>
        <v>1843.5730859019936</v>
      </c>
      <c r="AE57" s="2921">
        <f t="shared" si="758"/>
        <v>0</v>
      </c>
      <c r="AF57" s="2932">
        <f t="shared" si="758"/>
        <v>2299.7959999999998</v>
      </c>
      <c r="AG57" s="2932">
        <f t="shared" si="758"/>
        <v>2299.7959999999998</v>
      </c>
      <c r="AH57" s="2932">
        <f t="shared" si="758"/>
        <v>0</v>
      </c>
      <c r="AI57" s="2932">
        <f t="shared" si="758"/>
        <v>2262.85</v>
      </c>
      <c r="AJ57" s="2932">
        <f t="shared" si="758"/>
        <v>2262.85</v>
      </c>
      <c r="AK57" s="2932">
        <f t="shared" si="758"/>
        <v>0</v>
      </c>
      <c r="AL57" s="2933">
        <f t="shared" si="671"/>
        <v>456.22291409800619</v>
      </c>
      <c r="AM57" s="2933">
        <f t="shared" si="671"/>
        <v>456.22291409800619</v>
      </c>
      <c r="AN57" s="2933">
        <f t="shared" si="671"/>
        <v>0</v>
      </c>
      <c r="AO57" s="2951">
        <f t="shared" si="759"/>
        <v>614.52436196733117</v>
      </c>
      <c r="AP57" s="2951">
        <f>SUM('ПОЛНАЯ СЕБЕСТОИМОСТЬ ВОДА 2021'!R205)/3</f>
        <v>614.52436196733117</v>
      </c>
      <c r="AQ57" s="2951">
        <f>SUM('ПОЛНАЯ СЕБЕСТОИМОСТЬ ВОДА 2021'!S205)/3</f>
        <v>0</v>
      </c>
      <c r="AR57" s="2951">
        <f t="shared" si="760"/>
        <v>654.1</v>
      </c>
      <c r="AS57" s="2951">
        <f>SUM('ПОЛНАЯ СЕБЕСТОИМОСТЬ ВОДА 2021'!U205)</f>
        <v>654.1</v>
      </c>
      <c r="AT57" s="2951">
        <f>SUM('ПОЛНАЯ СЕБЕСТОИМОСТЬ ВОДА 2021'!V205)</f>
        <v>0</v>
      </c>
      <c r="AU57" s="2955">
        <f t="shared" ref="AU57:AU60" si="806">SUM(AV57:AW57)</f>
        <v>546.85</v>
      </c>
      <c r="AV57" s="2955">
        <v>546.85</v>
      </c>
      <c r="AW57" s="2955">
        <v>0</v>
      </c>
      <c r="AX57" s="2951">
        <f t="shared" si="762"/>
        <v>614.52436196733117</v>
      </c>
      <c r="AY57" s="2951">
        <f t="shared" si="763"/>
        <v>614.52436196733117</v>
      </c>
      <c r="AZ57" s="2951">
        <f t="shared" si="764"/>
        <v>0</v>
      </c>
      <c r="BA57" s="2951">
        <f t="shared" si="765"/>
        <v>700.14</v>
      </c>
      <c r="BB57" s="2951">
        <f>SUM('ПОЛНАЯ СЕБЕСТОИМОСТЬ ВОДА 2021'!X205)</f>
        <v>700.14</v>
      </c>
      <c r="BC57" s="2951">
        <f>SUM('ПОЛНАЯ СЕБЕСТОИМОСТЬ ВОДА 2021'!Y205)</f>
        <v>0</v>
      </c>
      <c r="BD57" s="2955">
        <f t="shared" ref="BD57:BD60" si="807">SUM(BE57:BF57)</f>
        <v>712.46</v>
      </c>
      <c r="BE57" s="2955">
        <v>712.46</v>
      </c>
      <c r="BF57" s="2955">
        <v>0</v>
      </c>
      <c r="BG57" s="2951">
        <f t="shared" si="767"/>
        <v>614.52436196733117</v>
      </c>
      <c r="BH57" s="2951">
        <f t="shared" si="768"/>
        <v>614.52436196733117</v>
      </c>
      <c r="BI57" s="2951">
        <f t="shared" si="769"/>
        <v>0</v>
      </c>
      <c r="BJ57" s="2875">
        <f t="shared" si="770"/>
        <v>586.76</v>
      </c>
      <c r="BK57" s="2875">
        <f>SUM('ПОЛНАЯ СЕБЕСТОИМОСТЬ ВОДА 2021'!AA205)</f>
        <v>586.76</v>
      </c>
      <c r="BL57" s="2875">
        <f>SUM('ПОЛНАЯ СЕБЕСТОИМОСТЬ ВОДА 2021'!AB205)</f>
        <v>0</v>
      </c>
      <c r="BM57" s="2955">
        <f t="shared" ref="BM57:BM60" si="808">SUM(BN57:BO57)</f>
        <v>705.22</v>
      </c>
      <c r="BN57" s="2955">
        <v>705.22</v>
      </c>
      <c r="BO57" s="2955">
        <v>0</v>
      </c>
      <c r="BP57" s="2921">
        <f t="shared" si="772"/>
        <v>1843.5730859019936</v>
      </c>
      <c r="BQ57" s="2921">
        <f t="shared" si="772"/>
        <v>1843.5730859019936</v>
      </c>
      <c r="BR57" s="2921">
        <f t="shared" si="772"/>
        <v>0</v>
      </c>
      <c r="BS57" s="2957">
        <f t="shared" si="772"/>
        <v>1941</v>
      </c>
      <c r="BT57" s="2957">
        <f t="shared" si="772"/>
        <v>1941</v>
      </c>
      <c r="BU57" s="2957">
        <f t="shared" si="772"/>
        <v>0</v>
      </c>
      <c r="BV57" s="2957">
        <f t="shared" si="772"/>
        <v>1964.53</v>
      </c>
      <c r="BW57" s="2957">
        <f t="shared" si="772"/>
        <v>1964.53</v>
      </c>
      <c r="BX57" s="2957">
        <f t="shared" si="772"/>
        <v>0</v>
      </c>
      <c r="BY57" s="2919">
        <f t="shared" si="673"/>
        <v>97.426914098006364</v>
      </c>
      <c r="BZ57" s="2919">
        <f t="shared" si="673"/>
        <v>97.426914098006364</v>
      </c>
      <c r="CA57" s="2919">
        <f t="shared" si="673"/>
        <v>0</v>
      </c>
      <c r="CB57" s="2921">
        <f t="shared" si="773"/>
        <v>3687.1461718039873</v>
      </c>
      <c r="CC57" s="2921">
        <f t="shared" si="773"/>
        <v>3687.1461718039873</v>
      </c>
      <c r="CD57" s="2921">
        <f t="shared" si="773"/>
        <v>0</v>
      </c>
      <c r="CE57" s="2957">
        <f t="shared" si="773"/>
        <v>4240.7960000000003</v>
      </c>
      <c r="CF57" s="2957">
        <f t="shared" si="773"/>
        <v>4240.7960000000003</v>
      </c>
      <c r="CG57" s="2957">
        <f t="shared" si="773"/>
        <v>0</v>
      </c>
      <c r="CH57" s="2957">
        <f t="shared" si="773"/>
        <v>4227.38</v>
      </c>
      <c r="CI57" s="2957">
        <f t="shared" si="773"/>
        <v>4227.38</v>
      </c>
      <c r="CJ57" s="2957">
        <f t="shared" si="773"/>
        <v>0</v>
      </c>
      <c r="CK57" s="2919">
        <f t="shared" si="675"/>
        <v>553.649828196013</v>
      </c>
      <c r="CL57" s="2919">
        <f t="shared" si="675"/>
        <v>553.649828196013</v>
      </c>
      <c r="CM57" s="2919">
        <f t="shared" si="675"/>
        <v>0</v>
      </c>
      <c r="CN57" s="2951">
        <f t="shared" si="774"/>
        <v>614.52436196733117</v>
      </c>
      <c r="CO57" s="2951">
        <f>SUM('ПОЛНАЯ СЕБЕСТОИМОСТЬ ВОДА 2021'!AP205)/3</f>
        <v>614.52436196733117</v>
      </c>
      <c r="CP57" s="2951">
        <f>SUM('ПОЛНАЯ СЕБЕСТОИМОСТЬ ВОДА 2021'!AQ205)/3</f>
        <v>0</v>
      </c>
      <c r="CQ57" s="2875">
        <f t="shared" si="775"/>
        <v>744.13</v>
      </c>
      <c r="CR57" s="2875">
        <f>SUM('ПОЛНАЯ СЕБЕСТОИМОСТЬ ВОДА 2021'!AS205)</f>
        <v>744.13</v>
      </c>
      <c r="CS57" s="2875">
        <f>SUM('ПОЛНАЯ СЕБЕСТОИМОСТЬ ВОДА 2021'!AT205)</f>
        <v>0</v>
      </c>
      <c r="CT57" s="2955">
        <f t="shared" ref="CT57:CT60" si="809">SUM(CU57:CV57)</f>
        <v>764.53</v>
      </c>
      <c r="CU57" s="2955">
        <v>764.53</v>
      </c>
      <c r="CV57" s="2955">
        <v>0</v>
      </c>
      <c r="CW57" s="2951">
        <f t="shared" si="777"/>
        <v>614.52436196733117</v>
      </c>
      <c r="CX57" s="2951">
        <f t="shared" si="778"/>
        <v>614.52436196733117</v>
      </c>
      <c r="CY57" s="2951">
        <f t="shared" si="779"/>
        <v>0</v>
      </c>
      <c r="CZ57" s="2875">
        <f t="shared" si="780"/>
        <v>601.28899999999999</v>
      </c>
      <c r="DA57" s="2875">
        <f>SUM('ПОЛНАЯ СЕБЕСТОИМОСТЬ ВОДА 2021'!AV205)</f>
        <v>601.28899999999999</v>
      </c>
      <c r="DB57" s="2875">
        <f>SUM('ПОЛНАЯ СЕБЕСТОИМОСТЬ ВОДА 2021'!AW205)</f>
        <v>0</v>
      </c>
      <c r="DC57" s="2955">
        <f t="shared" ref="DC57:DC60" si="810">SUM(DD57:DE57)</f>
        <v>570.78</v>
      </c>
      <c r="DD57" s="2955">
        <v>570.78</v>
      </c>
      <c r="DE57" s="2955">
        <v>0</v>
      </c>
      <c r="DF57" s="2951">
        <f t="shared" si="782"/>
        <v>614.52436196733117</v>
      </c>
      <c r="DG57" s="2951">
        <f t="shared" si="783"/>
        <v>614.52436196733117</v>
      </c>
      <c r="DH57" s="2951">
        <f t="shared" si="784"/>
        <v>0</v>
      </c>
      <c r="DI57" s="2875">
        <f t="shared" si="785"/>
        <v>663.62599999999998</v>
      </c>
      <c r="DJ57" s="2875">
        <f>SUM('ПОЛНАЯ СЕБЕСТОИМОСТЬ ВОДА 2021'!AY205)</f>
        <v>663.62599999999998</v>
      </c>
      <c r="DK57" s="2875">
        <f>SUM('ПОЛНАЯ СЕБЕСТОИМОСТЬ ВОДА 2021'!AZ205)</f>
        <v>0</v>
      </c>
      <c r="DL57" s="2955">
        <f t="shared" ref="DL57:DL60" si="811">SUM(DM57:DN57)</f>
        <v>559.94000000000005</v>
      </c>
      <c r="DM57" s="2955">
        <v>559.94000000000005</v>
      </c>
      <c r="DN57" s="2955">
        <v>0</v>
      </c>
      <c r="DO57" s="2921">
        <f t="shared" si="787"/>
        <v>1843.5730859019936</v>
      </c>
      <c r="DP57" s="2921">
        <f t="shared" si="787"/>
        <v>1843.5730859019936</v>
      </c>
      <c r="DQ57" s="2921">
        <f t="shared" si="787"/>
        <v>0</v>
      </c>
      <c r="DR57" s="2957">
        <f t="shared" si="787"/>
        <v>2009.0449999999998</v>
      </c>
      <c r="DS57" s="2957">
        <f t="shared" si="787"/>
        <v>2009.0449999999998</v>
      </c>
      <c r="DT57" s="2957">
        <f t="shared" si="787"/>
        <v>0</v>
      </c>
      <c r="DU57" s="2957">
        <f t="shared" si="787"/>
        <v>1895.25</v>
      </c>
      <c r="DV57" s="2957">
        <f t="shared" si="787"/>
        <v>1895.25</v>
      </c>
      <c r="DW57" s="2957">
        <f t="shared" si="787"/>
        <v>0</v>
      </c>
      <c r="DX57" s="2919">
        <f t="shared" si="677"/>
        <v>165.47191409800621</v>
      </c>
      <c r="DY57" s="2919">
        <f t="shared" si="677"/>
        <v>165.47191409800621</v>
      </c>
      <c r="DZ57" s="2919">
        <f t="shared" si="677"/>
        <v>0</v>
      </c>
      <c r="EA57" s="2921">
        <f t="shared" si="788"/>
        <v>5530.7192577059814</v>
      </c>
      <c r="EB57" s="2921">
        <f t="shared" si="788"/>
        <v>5530.7192577059814</v>
      </c>
      <c r="EC57" s="2921">
        <f t="shared" si="788"/>
        <v>0</v>
      </c>
      <c r="ED57" s="2957">
        <f t="shared" si="788"/>
        <v>6249.8410000000003</v>
      </c>
      <c r="EE57" s="2957">
        <f t="shared" si="788"/>
        <v>6249.8410000000003</v>
      </c>
      <c r="EF57" s="2957">
        <f t="shared" si="788"/>
        <v>0</v>
      </c>
      <c r="EG57" s="2957">
        <f t="shared" si="788"/>
        <v>6122.63</v>
      </c>
      <c r="EH57" s="2957">
        <f t="shared" si="788"/>
        <v>6122.63</v>
      </c>
      <c r="EI57" s="2957">
        <f t="shared" si="788"/>
        <v>0</v>
      </c>
      <c r="EJ57" s="2919">
        <f t="shared" si="679"/>
        <v>719.12174229401899</v>
      </c>
      <c r="EK57" s="2919">
        <f t="shared" si="679"/>
        <v>719.12174229401899</v>
      </c>
      <c r="EL57" s="2919">
        <f t="shared" si="679"/>
        <v>0</v>
      </c>
      <c r="EM57" s="2951">
        <f t="shared" si="789"/>
        <v>614.52436196733117</v>
      </c>
      <c r="EN57" s="2951">
        <f>SUM('ПОЛНАЯ СЕБЕСТОИМОСТЬ ВОДА 2021'!BN205)/3</f>
        <v>614.52436196733117</v>
      </c>
      <c r="EO57" s="2951">
        <f>SUM('ПОЛНАЯ СЕБЕСТОИМОСТЬ ВОДА 2021'!BO205)/3</f>
        <v>0</v>
      </c>
      <c r="EP57" s="2875">
        <f t="shared" si="790"/>
        <v>677.49299999999994</v>
      </c>
      <c r="EQ57" s="2875">
        <f>SUM('ПОЛНАЯ СЕБЕСТОИМОСТЬ ВОДА 2021'!BQ205)</f>
        <v>677.49299999999994</v>
      </c>
      <c r="ER57" s="2875">
        <f>SUM('ПОЛНАЯ СЕБЕСТОИМОСТЬ ВОДА 2021'!BR205)</f>
        <v>0</v>
      </c>
      <c r="ES57" s="2955">
        <f t="shared" ref="ES57:ES60" si="812">SUM(ET57:EU57)</f>
        <v>653.35</v>
      </c>
      <c r="ET57" s="2955">
        <v>653.35</v>
      </c>
      <c r="EU57" s="2955">
        <v>0</v>
      </c>
      <c r="EV57" s="2951">
        <f t="shared" si="792"/>
        <v>614.52436196733117</v>
      </c>
      <c r="EW57" s="2951">
        <f t="shared" si="793"/>
        <v>614.52436196733117</v>
      </c>
      <c r="EX57" s="2951">
        <f t="shared" si="794"/>
        <v>0</v>
      </c>
      <c r="EY57" s="2875">
        <f t="shared" si="795"/>
        <v>687.63640000000009</v>
      </c>
      <c r="EZ57" s="2875">
        <f>SUM('ПОЛНАЯ СЕБЕСТОИМОСТЬ ВОДА 2021'!BT205)</f>
        <v>687.63640000000009</v>
      </c>
      <c r="FA57" s="2875">
        <f>SUM('ПОЛНАЯ СЕБЕСТОИМОСТЬ ВОДА 2021'!BU205)</f>
        <v>0</v>
      </c>
      <c r="FB57" s="2955">
        <f t="shared" ref="FB57:FB60" si="813">SUM(FC57:FD57)</f>
        <v>696.8</v>
      </c>
      <c r="FC57" s="2955">
        <v>696.8</v>
      </c>
      <c r="FD57" s="2955">
        <v>0</v>
      </c>
      <c r="FE57" s="2951">
        <f t="shared" si="797"/>
        <v>614.52436196733117</v>
      </c>
      <c r="FF57" s="2951">
        <f t="shared" si="798"/>
        <v>614.52436196733117</v>
      </c>
      <c r="FG57" s="2951">
        <f t="shared" si="799"/>
        <v>0</v>
      </c>
      <c r="FH57" s="2875">
        <f t="shared" si="735"/>
        <v>713.95399999999995</v>
      </c>
      <c r="FI57" s="2875">
        <f>SUM('ПОЛНАЯ СЕБЕСТОИМОСТЬ ВОДА 2021'!BW205)</f>
        <v>713.95399999999995</v>
      </c>
      <c r="FJ57" s="2875">
        <f>SUM('ПОЛНАЯ СЕБЕСТОИМОСТЬ ВОДА 2021'!BX205)</f>
        <v>0</v>
      </c>
      <c r="FK57" s="2955">
        <f t="shared" ref="FK57:FK60" si="814">SUM(FL57:FM57)</f>
        <v>697.75</v>
      </c>
      <c r="FL57" s="2955">
        <v>697.75</v>
      </c>
      <c r="FM57" s="2955">
        <v>0</v>
      </c>
      <c r="FN57" s="2921">
        <f t="shared" si="801"/>
        <v>1843.5730859019936</v>
      </c>
      <c r="FO57" s="2921">
        <f t="shared" si="801"/>
        <v>1843.5730859019936</v>
      </c>
      <c r="FP57" s="2921">
        <f t="shared" si="801"/>
        <v>0</v>
      </c>
      <c r="FQ57" s="2932">
        <f t="shared" si="801"/>
        <v>2079.0834</v>
      </c>
      <c r="FR57" s="2932">
        <f t="shared" si="801"/>
        <v>2079.0834</v>
      </c>
      <c r="FS57" s="2932">
        <f t="shared" si="801"/>
        <v>0</v>
      </c>
      <c r="FT57" s="2932">
        <f t="shared" si="801"/>
        <v>2047.9</v>
      </c>
      <c r="FU57" s="2932">
        <f t="shared" si="801"/>
        <v>2047.9</v>
      </c>
      <c r="FV57" s="2932">
        <f t="shared" si="801"/>
        <v>0</v>
      </c>
      <c r="FW57" s="2933">
        <f t="shared" si="681"/>
        <v>235.51031409800635</v>
      </c>
      <c r="FX57" s="2933">
        <f t="shared" si="681"/>
        <v>235.51031409800635</v>
      </c>
      <c r="FY57" s="2933">
        <f t="shared" si="681"/>
        <v>0</v>
      </c>
      <c r="FZ57" s="2921">
        <f t="shared" si="802"/>
        <v>7374.2923436079745</v>
      </c>
      <c r="GA57" s="2921">
        <f t="shared" si="802"/>
        <v>7374.2923436079745</v>
      </c>
      <c r="GB57" s="2921">
        <f t="shared" si="802"/>
        <v>0</v>
      </c>
      <c r="GC57" s="2932">
        <f t="shared" si="802"/>
        <v>8328.9243999999999</v>
      </c>
      <c r="GD57" s="2932">
        <f t="shared" si="802"/>
        <v>8328.9243999999999</v>
      </c>
      <c r="GE57" s="2932">
        <f t="shared" si="802"/>
        <v>0</v>
      </c>
      <c r="GF57" s="2932">
        <f t="shared" si="802"/>
        <v>8170.5300000000007</v>
      </c>
      <c r="GG57" s="2932">
        <f t="shared" si="802"/>
        <v>8170.5300000000007</v>
      </c>
      <c r="GH57" s="2932">
        <f t="shared" si="802"/>
        <v>0</v>
      </c>
      <c r="GI57" s="2933">
        <f t="shared" si="683"/>
        <v>954.63205639202533</v>
      </c>
      <c r="GJ57" s="2933">
        <f t="shared" si="683"/>
        <v>954.63205639202533</v>
      </c>
      <c r="GK57" s="2933">
        <f t="shared" si="683"/>
        <v>0</v>
      </c>
      <c r="GL57" s="389"/>
      <c r="GM57" s="4191">
        <f t="shared" si="684"/>
        <v>7374.2923436079736</v>
      </c>
    </row>
    <row r="58" spans="1:195" ht="18.75" x14ac:dyDescent="0.3">
      <c r="A58" s="2879" t="s">
        <v>3758</v>
      </c>
      <c r="B58" s="2951">
        <f t="shared" si="745"/>
        <v>184.92747531849361</v>
      </c>
      <c r="C58" s="2951">
        <f>SUM('ПОЛНАЯ СЕБЕСТОИМОСТЬ ВОДА 2021'!C206)/3</f>
        <v>184.92747531849361</v>
      </c>
      <c r="D58" s="2951">
        <f>SUM('ПОЛНАЯ СЕБЕСТОИМОСТЬ ВОДА 2021'!D206)/3</f>
        <v>0</v>
      </c>
      <c r="E58" s="2875">
        <f t="shared" si="746"/>
        <v>263.89999999999998</v>
      </c>
      <c r="F58" s="2875">
        <f>SUM('ПОЛНАЯ СЕБЕСТОИМОСТЬ ВОДА 2021'!F206)</f>
        <v>263.89999999999998</v>
      </c>
      <c r="G58" s="2875">
        <f>SUM('ПОЛНАЯ СЕБЕСТОИМОСТЬ ВОДА 2021'!G206)</f>
        <v>0</v>
      </c>
      <c r="H58" s="2955">
        <f t="shared" si="803"/>
        <v>214.54</v>
      </c>
      <c r="I58" s="2955">
        <v>214.54</v>
      </c>
      <c r="J58" s="2955">
        <v>0</v>
      </c>
      <c r="K58" s="2951">
        <f t="shared" si="748"/>
        <v>184.92747531849361</v>
      </c>
      <c r="L58" s="2951">
        <f t="shared" si="749"/>
        <v>184.92747531849361</v>
      </c>
      <c r="M58" s="2951">
        <f t="shared" si="750"/>
        <v>0</v>
      </c>
      <c r="N58" s="2875">
        <f t="shared" si="751"/>
        <v>203.57499999999999</v>
      </c>
      <c r="O58" s="2875">
        <f>SUM('ПОЛНАЯ СЕБЕСТОИМОСТЬ ВОДА 2021'!I206)</f>
        <v>203.57499999999999</v>
      </c>
      <c r="P58" s="2875">
        <f>SUM('ПОЛНАЯ СЕБЕСТОИМОСТЬ ВОДА 2021'!J206)</f>
        <v>0</v>
      </c>
      <c r="Q58" s="2955">
        <f t="shared" si="804"/>
        <v>220.72</v>
      </c>
      <c r="R58" s="2955">
        <v>220.72</v>
      </c>
      <c r="S58" s="2955">
        <v>0</v>
      </c>
      <c r="T58" s="2951">
        <f t="shared" si="753"/>
        <v>184.92747531849361</v>
      </c>
      <c r="U58" s="2951">
        <f t="shared" si="754"/>
        <v>184.92747531849361</v>
      </c>
      <c r="V58" s="2951">
        <f t="shared" si="755"/>
        <v>0</v>
      </c>
      <c r="W58" s="2875">
        <f t="shared" si="756"/>
        <v>222.73000000000002</v>
      </c>
      <c r="X58" s="2875">
        <f>SUM('ПОЛНАЯ СЕБЕСТОИМОСТЬ ВОДА 2021'!L206)</f>
        <v>222.73000000000002</v>
      </c>
      <c r="Y58" s="2875">
        <f>SUM('ПОЛНАЯ СЕБЕСТОИМОСТЬ ВОДА 2021'!M206)</f>
        <v>0</v>
      </c>
      <c r="Z58" s="2955">
        <f t="shared" si="805"/>
        <v>245.72</v>
      </c>
      <c r="AA58" s="2955">
        <v>245.72</v>
      </c>
      <c r="AB58" s="2955">
        <v>0</v>
      </c>
      <c r="AC58" s="2921">
        <f t="shared" si="758"/>
        <v>554.78242595548079</v>
      </c>
      <c r="AD58" s="2921">
        <f t="shared" si="758"/>
        <v>554.78242595548079</v>
      </c>
      <c r="AE58" s="2921">
        <f t="shared" si="758"/>
        <v>0</v>
      </c>
      <c r="AF58" s="2932">
        <f t="shared" si="758"/>
        <v>690.20499999999993</v>
      </c>
      <c r="AG58" s="2932">
        <f t="shared" si="758"/>
        <v>690.20499999999993</v>
      </c>
      <c r="AH58" s="2932">
        <f t="shared" si="758"/>
        <v>0</v>
      </c>
      <c r="AI58" s="2932">
        <f t="shared" si="758"/>
        <v>680.98</v>
      </c>
      <c r="AJ58" s="2932">
        <f t="shared" si="758"/>
        <v>680.98</v>
      </c>
      <c r="AK58" s="2932">
        <f t="shared" si="758"/>
        <v>0</v>
      </c>
      <c r="AL58" s="2933">
        <f t="shared" si="671"/>
        <v>135.42257404451914</v>
      </c>
      <c r="AM58" s="2933">
        <f t="shared" si="671"/>
        <v>135.42257404451914</v>
      </c>
      <c r="AN58" s="2933">
        <f t="shared" si="671"/>
        <v>0</v>
      </c>
      <c r="AO58" s="2951">
        <f t="shared" si="759"/>
        <v>184.92747531849361</v>
      </c>
      <c r="AP58" s="2951">
        <f>SUM('ПОЛНАЯ СЕБЕСТОИМОСТЬ ВОДА 2021'!R206)/3</f>
        <v>184.92747531849361</v>
      </c>
      <c r="AQ58" s="2951">
        <f>SUM('ПОЛНАЯ СЕБЕСТОИМОСТЬ ВОДА 2021'!S206)/3</f>
        <v>0</v>
      </c>
      <c r="AR58" s="2951">
        <f t="shared" si="760"/>
        <v>197.4</v>
      </c>
      <c r="AS58" s="2951">
        <f>SUM('ПОЛНАЯ СЕБЕСТОИМОСТЬ ВОДА 2021'!U206)</f>
        <v>197.4</v>
      </c>
      <c r="AT58" s="2951">
        <f>SUM('ПОЛНАЯ СЕБЕСТОИМОСТЬ ВОДА 2021'!V206)</f>
        <v>0</v>
      </c>
      <c r="AU58" s="2955">
        <f t="shared" si="806"/>
        <v>161.86000000000001</v>
      </c>
      <c r="AV58" s="2955">
        <v>161.86000000000001</v>
      </c>
      <c r="AW58" s="2955">
        <v>0</v>
      </c>
      <c r="AX58" s="2951">
        <f t="shared" si="762"/>
        <v>184.92747531849361</v>
      </c>
      <c r="AY58" s="2951">
        <f t="shared" si="763"/>
        <v>184.92747531849361</v>
      </c>
      <c r="AZ58" s="2951">
        <f t="shared" si="764"/>
        <v>0</v>
      </c>
      <c r="BA58" s="2951">
        <f t="shared" si="765"/>
        <v>211.44</v>
      </c>
      <c r="BB58" s="2951">
        <f>SUM('ПОЛНАЯ СЕБЕСТОИМОСТЬ ВОДА 2021'!X206)</f>
        <v>211.44</v>
      </c>
      <c r="BC58" s="2951">
        <f>SUM('ПОЛНАЯ СЕБЕСТОИМОСТЬ ВОДА 2021'!Y206)</f>
        <v>0</v>
      </c>
      <c r="BD58" s="2955">
        <f t="shared" si="807"/>
        <v>215.16</v>
      </c>
      <c r="BE58" s="2955">
        <v>215.16</v>
      </c>
      <c r="BF58" s="2955">
        <v>0</v>
      </c>
      <c r="BG58" s="2951">
        <f t="shared" si="767"/>
        <v>184.92747531849361</v>
      </c>
      <c r="BH58" s="2951">
        <f t="shared" si="768"/>
        <v>184.92747531849361</v>
      </c>
      <c r="BI58" s="2951">
        <f t="shared" si="769"/>
        <v>0</v>
      </c>
      <c r="BJ58" s="2875">
        <f t="shared" si="770"/>
        <v>175.99</v>
      </c>
      <c r="BK58" s="2875">
        <f>SUM('ПОЛНАЯ СЕБЕСТОИМОСТЬ ВОДА 2021'!AA206)</f>
        <v>175.99</v>
      </c>
      <c r="BL58" s="2875">
        <f>SUM('ПОЛНАЯ СЕБЕСТОИМОСТЬ ВОДА 2021'!AB206)</f>
        <v>0</v>
      </c>
      <c r="BM58" s="2955">
        <f t="shared" si="808"/>
        <v>212.84</v>
      </c>
      <c r="BN58" s="2955">
        <v>212.84</v>
      </c>
      <c r="BO58" s="2955">
        <v>0</v>
      </c>
      <c r="BP58" s="2921">
        <f t="shared" si="772"/>
        <v>554.78242595548079</v>
      </c>
      <c r="BQ58" s="2921">
        <f t="shared" si="772"/>
        <v>554.78242595548079</v>
      </c>
      <c r="BR58" s="2921">
        <f t="shared" si="772"/>
        <v>0</v>
      </c>
      <c r="BS58" s="2957">
        <f t="shared" si="772"/>
        <v>584.83000000000004</v>
      </c>
      <c r="BT58" s="2957">
        <f t="shared" si="772"/>
        <v>584.83000000000004</v>
      </c>
      <c r="BU58" s="2957">
        <f t="shared" si="772"/>
        <v>0</v>
      </c>
      <c r="BV58" s="2957">
        <f t="shared" si="772"/>
        <v>589.86</v>
      </c>
      <c r="BW58" s="2957">
        <f t="shared" si="772"/>
        <v>589.86</v>
      </c>
      <c r="BX58" s="2957">
        <f t="shared" si="772"/>
        <v>0</v>
      </c>
      <c r="BY58" s="2919">
        <f t="shared" si="673"/>
        <v>30.047574044519251</v>
      </c>
      <c r="BZ58" s="2919">
        <f t="shared" si="673"/>
        <v>30.047574044519251</v>
      </c>
      <c r="CA58" s="2919">
        <f t="shared" si="673"/>
        <v>0</v>
      </c>
      <c r="CB58" s="2921">
        <f t="shared" si="773"/>
        <v>1109.5648519109616</v>
      </c>
      <c r="CC58" s="2921">
        <f t="shared" si="773"/>
        <v>1109.5648519109616</v>
      </c>
      <c r="CD58" s="2921">
        <f t="shared" si="773"/>
        <v>0</v>
      </c>
      <c r="CE58" s="2957">
        <f t="shared" si="773"/>
        <v>1275.0349999999999</v>
      </c>
      <c r="CF58" s="2957">
        <f t="shared" si="773"/>
        <v>1275.0349999999999</v>
      </c>
      <c r="CG58" s="2957">
        <f t="shared" si="773"/>
        <v>0</v>
      </c>
      <c r="CH58" s="2957">
        <f t="shared" si="773"/>
        <v>1270.8400000000001</v>
      </c>
      <c r="CI58" s="2957">
        <f t="shared" si="773"/>
        <v>1270.8400000000001</v>
      </c>
      <c r="CJ58" s="2957">
        <f t="shared" si="773"/>
        <v>0</v>
      </c>
      <c r="CK58" s="2919">
        <f t="shared" si="675"/>
        <v>165.47014808903828</v>
      </c>
      <c r="CL58" s="2919">
        <f t="shared" si="675"/>
        <v>165.47014808903828</v>
      </c>
      <c r="CM58" s="2919">
        <f t="shared" si="675"/>
        <v>0</v>
      </c>
      <c r="CN58" s="2951">
        <f t="shared" si="774"/>
        <v>184.92747531849361</v>
      </c>
      <c r="CO58" s="2951">
        <f>SUM('ПОЛНАЯ СЕБЕСТОИМОСТЬ ВОДА 2021'!AP206)/3</f>
        <v>184.92747531849361</v>
      </c>
      <c r="CP58" s="2951">
        <f>SUM('ПОЛНАЯ СЕБЕСТОИМОСТЬ ВОДА 2021'!AQ206)/3</f>
        <v>0</v>
      </c>
      <c r="CQ58" s="2875">
        <f t="shared" si="775"/>
        <v>223.01999999999998</v>
      </c>
      <c r="CR58" s="2875">
        <f>SUM('ПОЛНАЯ СЕБЕСТОИМОСТЬ ВОДА 2021'!AS206)</f>
        <v>223.01999999999998</v>
      </c>
      <c r="CS58" s="2875">
        <f>SUM('ПОЛНАЯ СЕБЕСТОИМОСТЬ ВОДА 2021'!AT206)</f>
        <v>0</v>
      </c>
      <c r="CT58" s="2955">
        <f t="shared" si="809"/>
        <v>230.74</v>
      </c>
      <c r="CU58" s="2955">
        <v>230.74</v>
      </c>
      <c r="CV58" s="2955">
        <v>0</v>
      </c>
      <c r="CW58" s="2951">
        <f t="shared" si="777"/>
        <v>184.92747531849361</v>
      </c>
      <c r="CX58" s="2951">
        <f t="shared" si="778"/>
        <v>184.92747531849361</v>
      </c>
      <c r="CY58" s="2951">
        <f t="shared" si="779"/>
        <v>0</v>
      </c>
      <c r="CZ58" s="2875">
        <f t="shared" si="780"/>
        <v>181.541</v>
      </c>
      <c r="DA58" s="2875">
        <f>SUM('ПОЛНАЯ СЕБЕСТОИМОСТЬ ВОДА 2021'!AV206)</f>
        <v>181.541</v>
      </c>
      <c r="DB58" s="2875">
        <f>SUM('ПОЛНАЯ СЕБЕСТОИМОСТЬ ВОДА 2021'!AW206)</f>
        <v>0</v>
      </c>
      <c r="DC58" s="2955">
        <f t="shared" si="810"/>
        <v>172.23</v>
      </c>
      <c r="DD58" s="2955">
        <v>172.23</v>
      </c>
      <c r="DE58" s="2955">
        <v>0</v>
      </c>
      <c r="DF58" s="2951">
        <f t="shared" si="782"/>
        <v>184.92747531849361</v>
      </c>
      <c r="DG58" s="2951">
        <f t="shared" si="783"/>
        <v>184.92747531849361</v>
      </c>
      <c r="DH58" s="2951">
        <f t="shared" si="784"/>
        <v>0</v>
      </c>
      <c r="DI58" s="2875">
        <f t="shared" si="785"/>
        <v>199.077</v>
      </c>
      <c r="DJ58" s="2875">
        <f>SUM('ПОЛНАЯ СЕБЕСТОИМОСТЬ ВОДА 2021'!AY206)</f>
        <v>199.077</v>
      </c>
      <c r="DK58" s="2875">
        <f>SUM('ПОЛНАЯ СЕБЕСТОИМОСТЬ ВОДА 2021'!AZ206)</f>
        <v>0</v>
      </c>
      <c r="DL58" s="2955">
        <f t="shared" si="811"/>
        <v>167.86</v>
      </c>
      <c r="DM58" s="2955">
        <v>167.86</v>
      </c>
      <c r="DN58" s="2955">
        <v>0</v>
      </c>
      <c r="DO58" s="2921">
        <f t="shared" si="787"/>
        <v>554.78242595548079</v>
      </c>
      <c r="DP58" s="2921">
        <f t="shared" si="787"/>
        <v>554.78242595548079</v>
      </c>
      <c r="DQ58" s="2921">
        <f t="shared" si="787"/>
        <v>0</v>
      </c>
      <c r="DR58" s="2957">
        <f t="shared" si="787"/>
        <v>603.63799999999992</v>
      </c>
      <c r="DS58" s="2957">
        <f t="shared" si="787"/>
        <v>603.63799999999992</v>
      </c>
      <c r="DT58" s="2957">
        <f t="shared" si="787"/>
        <v>0</v>
      </c>
      <c r="DU58" s="2957">
        <f t="shared" si="787"/>
        <v>570.83000000000004</v>
      </c>
      <c r="DV58" s="2957">
        <f t="shared" si="787"/>
        <v>570.83000000000004</v>
      </c>
      <c r="DW58" s="2957">
        <f t="shared" si="787"/>
        <v>0</v>
      </c>
      <c r="DX58" s="2919">
        <f t="shared" si="677"/>
        <v>48.85557404451913</v>
      </c>
      <c r="DY58" s="2919">
        <f t="shared" si="677"/>
        <v>48.85557404451913</v>
      </c>
      <c r="DZ58" s="2919">
        <f t="shared" si="677"/>
        <v>0</v>
      </c>
      <c r="EA58" s="2921">
        <f t="shared" si="788"/>
        <v>1664.3472778664423</v>
      </c>
      <c r="EB58" s="2921">
        <f t="shared" si="788"/>
        <v>1664.3472778664423</v>
      </c>
      <c r="EC58" s="2921">
        <f t="shared" si="788"/>
        <v>0</v>
      </c>
      <c r="ED58" s="2957">
        <f t="shared" si="788"/>
        <v>1878.6729999999998</v>
      </c>
      <c r="EE58" s="2957">
        <f t="shared" si="788"/>
        <v>1878.6729999999998</v>
      </c>
      <c r="EF58" s="2957">
        <f t="shared" si="788"/>
        <v>0</v>
      </c>
      <c r="EG58" s="2957">
        <f t="shared" si="788"/>
        <v>1841.67</v>
      </c>
      <c r="EH58" s="2957">
        <f t="shared" si="788"/>
        <v>1841.67</v>
      </c>
      <c r="EI58" s="2957">
        <f t="shared" si="788"/>
        <v>0</v>
      </c>
      <c r="EJ58" s="2919">
        <f t="shared" si="679"/>
        <v>214.32572213355752</v>
      </c>
      <c r="EK58" s="2919">
        <f t="shared" si="679"/>
        <v>214.32572213355752</v>
      </c>
      <c r="EL58" s="2919">
        <f t="shared" si="679"/>
        <v>0</v>
      </c>
      <c r="EM58" s="2951">
        <f t="shared" si="789"/>
        <v>184.92747531849361</v>
      </c>
      <c r="EN58" s="2951">
        <f>SUM('ПОЛНАЯ СЕБЕСТОИМОСТЬ ВОДА 2021'!BN206)/3</f>
        <v>184.92747531849361</v>
      </c>
      <c r="EO58" s="2951">
        <f>SUM('ПОЛНАЯ СЕБЕСТОИМОСТЬ ВОДА 2021'!BO206)/3</f>
        <v>0</v>
      </c>
      <c r="EP58" s="2875">
        <f t="shared" si="790"/>
        <v>202.89999999999998</v>
      </c>
      <c r="EQ58" s="2875">
        <f>SUM('ПОЛНАЯ СЕБЕСТОИМОСТЬ ВОДА 2021'!BQ206)</f>
        <v>202.89999999999998</v>
      </c>
      <c r="ER58" s="2875">
        <f>SUM('ПОЛНАЯ СЕБЕСТОИМОСТЬ ВОДА 2021'!BR206)</f>
        <v>0</v>
      </c>
      <c r="ES58" s="2955">
        <f t="shared" si="812"/>
        <v>195.39</v>
      </c>
      <c r="ET58" s="2955">
        <v>195.39</v>
      </c>
      <c r="EU58" s="2955">
        <v>0</v>
      </c>
      <c r="EV58" s="2951">
        <f t="shared" si="792"/>
        <v>184.92747531849361</v>
      </c>
      <c r="EW58" s="2951">
        <f t="shared" si="793"/>
        <v>184.92747531849361</v>
      </c>
      <c r="EX58" s="2951">
        <f t="shared" si="794"/>
        <v>0</v>
      </c>
      <c r="EY58" s="2875">
        <f t="shared" si="795"/>
        <v>214.46800000000002</v>
      </c>
      <c r="EZ58" s="2875">
        <f>SUM('ПОЛНАЯ СЕБЕСТОИМОСТЬ ВОДА 2021'!BT206)</f>
        <v>214.46800000000002</v>
      </c>
      <c r="FA58" s="2875">
        <f>SUM('ПОЛНАЯ СЕБЕСТОИМОСТЬ ВОДА 2021'!BU206)</f>
        <v>0</v>
      </c>
      <c r="FB58" s="2955">
        <f t="shared" si="813"/>
        <v>210.29</v>
      </c>
      <c r="FC58" s="2955">
        <v>210.29</v>
      </c>
      <c r="FD58" s="2955">
        <v>0</v>
      </c>
      <c r="FE58" s="2951">
        <f t="shared" si="797"/>
        <v>184.92747531849361</v>
      </c>
      <c r="FF58" s="2951">
        <f t="shared" si="798"/>
        <v>184.92747531849361</v>
      </c>
      <c r="FG58" s="2951">
        <f t="shared" si="799"/>
        <v>0</v>
      </c>
      <c r="FH58" s="2875">
        <f t="shared" si="735"/>
        <v>205.99199999999999</v>
      </c>
      <c r="FI58" s="2875">
        <f>SUM('ПОЛНАЯ СЕБЕСТОИМОСТЬ ВОДА 2021'!BW206)</f>
        <v>205.99199999999999</v>
      </c>
      <c r="FJ58" s="2875">
        <f>SUM('ПОЛНАЯ СЕБЕСТОИМОСТЬ ВОДА 2021'!BX206)</f>
        <v>0</v>
      </c>
      <c r="FK58" s="2955">
        <f t="shared" si="814"/>
        <v>210.43</v>
      </c>
      <c r="FL58" s="2955">
        <v>210.43</v>
      </c>
      <c r="FM58" s="2955">
        <v>0</v>
      </c>
      <c r="FN58" s="2921">
        <f t="shared" si="801"/>
        <v>554.78242595548079</v>
      </c>
      <c r="FO58" s="2921">
        <f t="shared" si="801"/>
        <v>554.78242595548079</v>
      </c>
      <c r="FP58" s="2921">
        <f t="shared" si="801"/>
        <v>0</v>
      </c>
      <c r="FQ58" s="2932">
        <f t="shared" si="801"/>
        <v>623.36</v>
      </c>
      <c r="FR58" s="2932">
        <f t="shared" si="801"/>
        <v>623.36</v>
      </c>
      <c r="FS58" s="2932">
        <f t="shared" si="801"/>
        <v>0</v>
      </c>
      <c r="FT58" s="2932">
        <f t="shared" si="801"/>
        <v>616.1099999999999</v>
      </c>
      <c r="FU58" s="2932">
        <f t="shared" si="801"/>
        <v>616.1099999999999</v>
      </c>
      <c r="FV58" s="2932">
        <f t="shared" si="801"/>
        <v>0</v>
      </c>
      <c r="FW58" s="2933">
        <f t="shared" si="681"/>
        <v>68.577574044519224</v>
      </c>
      <c r="FX58" s="2933">
        <f t="shared" si="681"/>
        <v>68.577574044519224</v>
      </c>
      <c r="FY58" s="2933">
        <f t="shared" si="681"/>
        <v>0</v>
      </c>
      <c r="FZ58" s="2921">
        <f t="shared" si="802"/>
        <v>2219.1297038219232</v>
      </c>
      <c r="GA58" s="2921">
        <f t="shared" si="802"/>
        <v>2219.1297038219232</v>
      </c>
      <c r="GB58" s="2921">
        <f t="shared" si="802"/>
        <v>0</v>
      </c>
      <c r="GC58" s="2932">
        <f t="shared" si="802"/>
        <v>2502.0329999999999</v>
      </c>
      <c r="GD58" s="2932">
        <f t="shared" si="802"/>
        <v>2502.0329999999999</v>
      </c>
      <c r="GE58" s="2932">
        <f t="shared" si="802"/>
        <v>0</v>
      </c>
      <c r="GF58" s="2932">
        <f t="shared" si="802"/>
        <v>2457.7799999999997</v>
      </c>
      <c r="GG58" s="2932">
        <f t="shared" si="802"/>
        <v>2457.7799999999997</v>
      </c>
      <c r="GH58" s="2932">
        <f t="shared" si="802"/>
        <v>0</v>
      </c>
      <c r="GI58" s="2933">
        <f t="shared" si="683"/>
        <v>282.90329617807674</v>
      </c>
      <c r="GJ58" s="2933">
        <f t="shared" si="683"/>
        <v>282.90329617807674</v>
      </c>
      <c r="GK58" s="2933">
        <f t="shared" si="683"/>
        <v>0</v>
      </c>
      <c r="GL58" s="389"/>
      <c r="GM58" s="4191">
        <f t="shared" si="684"/>
        <v>2219.1297038219232</v>
      </c>
    </row>
    <row r="59" spans="1:195" ht="18.75" x14ac:dyDescent="0.3">
      <c r="A59" s="2879" t="s">
        <v>31</v>
      </c>
      <c r="B59" s="2951">
        <f t="shared" si="745"/>
        <v>130.0068792804</v>
      </c>
      <c r="C59" s="2951">
        <f>SUM('ПОЛНАЯ СЕБЕСТОИМОСТЬ ВОДА 2021'!C207)/3</f>
        <v>130.0068792804</v>
      </c>
      <c r="D59" s="2951">
        <f>SUM('ПОЛНАЯ СЕБЕСТОИМОСТЬ ВОДА 2021'!D207)/3</f>
        <v>0</v>
      </c>
      <c r="E59" s="2875">
        <f t="shared" si="746"/>
        <v>167.14999999999998</v>
      </c>
      <c r="F59" s="2875">
        <f>SUM('ПОЛНАЯ СЕБЕСТОИМОСТЬ ВОДА 2021'!F207)</f>
        <v>167.14999999999998</v>
      </c>
      <c r="G59" s="2875">
        <f>SUM('ПОЛНАЯ СЕБЕСТОИМОСТЬ ВОДА 2021'!G207)</f>
        <v>0</v>
      </c>
      <c r="H59" s="2955">
        <f t="shared" si="803"/>
        <v>106.84</v>
      </c>
      <c r="I59" s="2955">
        <v>106.84</v>
      </c>
      <c r="J59" s="2955">
        <v>0</v>
      </c>
      <c r="K59" s="2951">
        <f t="shared" si="748"/>
        <v>130.0068792804</v>
      </c>
      <c r="L59" s="2951">
        <f t="shared" si="749"/>
        <v>130.0068792804</v>
      </c>
      <c r="M59" s="2951">
        <f t="shared" si="750"/>
        <v>0</v>
      </c>
      <c r="N59" s="2875">
        <f t="shared" si="751"/>
        <v>217.94490999999999</v>
      </c>
      <c r="O59" s="2875">
        <f>SUM('ПОЛНАЯ СЕБЕСТОИМОСТЬ ВОДА 2021'!I207)</f>
        <v>217.94490999999999</v>
      </c>
      <c r="P59" s="2875">
        <f>SUM('ПОЛНАЯ СЕБЕСТОИМОСТЬ ВОДА 2021'!J207)</f>
        <v>0</v>
      </c>
      <c r="Q59" s="2955">
        <f t="shared" si="804"/>
        <v>191.72</v>
      </c>
      <c r="R59" s="2955">
        <v>191.72</v>
      </c>
      <c r="S59" s="2955">
        <v>0</v>
      </c>
      <c r="T59" s="2951">
        <f t="shared" si="753"/>
        <v>130.0068792804</v>
      </c>
      <c r="U59" s="2951">
        <f t="shared" si="754"/>
        <v>130.0068792804</v>
      </c>
      <c r="V59" s="2951">
        <f t="shared" si="755"/>
        <v>0</v>
      </c>
      <c r="W59" s="2875">
        <f t="shared" si="756"/>
        <v>329.55</v>
      </c>
      <c r="X59" s="2875">
        <f>SUM('ПОЛНАЯ СЕБЕСТОИМОСТЬ ВОДА 2021'!L207)</f>
        <v>329.55</v>
      </c>
      <c r="Y59" s="2875">
        <f>SUM('ПОЛНАЯ СЕБЕСТОИМОСТЬ ВОДА 2021'!M207)</f>
        <v>0</v>
      </c>
      <c r="Z59" s="2955">
        <f t="shared" si="805"/>
        <v>138.71</v>
      </c>
      <c r="AA59" s="2955">
        <v>138.71</v>
      </c>
      <c r="AB59" s="2955">
        <v>0</v>
      </c>
      <c r="AC59" s="2921">
        <f t="shared" si="758"/>
        <v>390.02063784120003</v>
      </c>
      <c r="AD59" s="2921">
        <f t="shared" si="758"/>
        <v>390.02063784120003</v>
      </c>
      <c r="AE59" s="2921">
        <f t="shared" si="758"/>
        <v>0</v>
      </c>
      <c r="AF59" s="2932">
        <f t="shared" si="758"/>
        <v>714.64490999999998</v>
      </c>
      <c r="AG59" s="2932">
        <f t="shared" si="758"/>
        <v>714.64490999999998</v>
      </c>
      <c r="AH59" s="2932">
        <f t="shared" si="758"/>
        <v>0</v>
      </c>
      <c r="AI59" s="2932">
        <f t="shared" si="758"/>
        <v>437.27</v>
      </c>
      <c r="AJ59" s="2932">
        <f t="shared" si="758"/>
        <v>437.27</v>
      </c>
      <c r="AK59" s="2932">
        <f t="shared" si="758"/>
        <v>0</v>
      </c>
      <c r="AL59" s="2933">
        <f t="shared" si="671"/>
        <v>324.62427215879995</v>
      </c>
      <c r="AM59" s="2933">
        <f t="shared" si="671"/>
        <v>324.62427215879995</v>
      </c>
      <c r="AN59" s="2933">
        <f t="shared" si="671"/>
        <v>0</v>
      </c>
      <c r="AO59" s="2951">
        <f t="shared" si="759"/>
        <v>130.0068792804</v>
      </c>
      <c r="AP59" s="2951">
        <f>SUM('ПОЛНАЯ СЕБЕСТОИМОСТЬ ВОДА 2021'!R207)/3</f>
        <v>130.0068792804</v>
      </c>
      <c r="AQ59" s="2951">
        <f>SUM('ПОЛНАЯ СЕБЕСТОИМОСТЬ ВОДА 2021'!S207)/3</f>
        <v>0</v>
      </c>
      <c r="AR59" s="2951">
        <f t="shared" si="760"/>
        <v>195.9</v>
      </c>
      <c r="AS59" s="2951">
        <f>SUM('ПОЛНАЯ СЕБЕСТОИМОСТЬ ВОДА 2021'!U207)</f>
        <v>195.9</v>
      </c>
      <c r="AT59" s="2951">
        <f>SUM('ПОЛНАЯ СЕБЕСТОИМОСТЬ ВОДА 2021'!V207)</f>
        <v>0</v>
      </c>
      <c r="AU59" s="2955">
        <f t="shared" si="806"/>
        <v>134.5</v>
      </c>
      <c r="AV59" s="2955">
        <v>134.5</v>
      </c>
      <c r="AW59" s="2955">
        <v>0</v>
      </c>
      <c r="AX59" s="2951">
        <f t="shared" si="762"/>
        <v>130.0068792804</v>
      </c>
      <c r="AY59" s="2951">
        <f t="shared" si="763"/>
        <v>130.0068792804</v>
      </c>
      <c r="AZ59" s="2951">
        <f t="shared" si="764"/>
        <v>0</v>
      </c>
      <c r="BA59" s="2951">
        <f t="shared" si="765"/>
        <v>159.32000000000002</v>
      </c>
      <c r="BB59" s="2951">
        <f>SUM('ПОЛНАЯ СЕБЕСТОИМОСТЬ ВОДА 2021'!X207)</f>
        <v>159.32000000000002</v>
      </c>
      <c r="BC59" s="2951">
        <f>SUM('ПОЛНАЯ СЕБЕСТОИМОСТЬ ВОДА 2021'!Y207)</f>
        <v>0</v>
      </c>
      <c r="BD59" s="2955">
        <f t="shared" si="807"/>
        <v>117.91</v>
      </c>
      <c r="BE59" s="2955">
        <v>117.91</v>
      </c>
      <c r="BF59" s="2955">
        <v>0</v>
      </c>
      <c r="BG59" s="2951">
        <f t="shared" si="767"/>
        <v>130.0068792804</v>
      </c>
      <c r="BH59" s="2951">
        <f t="shared" si="768"/>
        <v>130.0068792804</v>
      </c>
      <c r="BI59" s="2951">
        <f t="shared" si="769"/>
        <v>0</v>
      </c>
      <c r="BJ59" s="2875">
        <f t="shared" si="770"/>
        <v>170.47</v>
      </c>
      <c r="BK59" s="2875">
        <f>SUM('ПОЛНАЯ СЕБЕСТОИМОСТЬ ВОДА 2021'!AA207)</f>
        <v>170.47</v>
      </c>
      <c r="BL59" s="2875">
        <f>SUM('ПОЛНАЯ СЕБЕСТОИМОСТЬ ВОДА 2021'!AB207)</f>
        <v>0</v>
      </c>
      <c r="BM59" s="2955">
        <f t="shared" si="808"/>
        <v>136.05000000000001</v>
      </c>
      <c r="BN59" s="2955">
        <v>136.05000000000001</v>
      </c>
      <c r="BO59" s="2955">
        <v>0</v>
      </c>
      <c r="BP59" s="2921">
        <f t="shared" si="772"/>
        <v>390.02063784120003</v>
      </c>
      <c r="BQ59" s="2921">
        <f t="shared" si="772"/>
        <v>390.02063784120003</v>
      </c>
      <c r="BR59" s="2921">
        <f t="shared" si="772"/>
        <v>0</v>
      </c>
      <c r="BS59" s="2957">
        <f t="shared" si="772"/>
        <v>525.69000000000005</v>
      </c>
      <c r="BT59" s="2957">
        <f t="shared" si="772"/>
        <v>525.69000000000005</v>
      </c>
      <c r="BU59" s="2957">
        <f t="shared" si="772"/>
        <v>0</v>
      </c>
      <c r="BV59" s="2957">
        <f t="shared" si="772"/>
        <v>388.46000000000004</v>
      </c>
      <c r="BW59" s="2957">
        <f t="shared" si="772"/>
        <v>388.46000000000004</v>
      </c>
      <c r="BX59" s="2957">
        <f t="shared" si="772"/>
        <v>0</v>
      </c>
      <c r="BY59" s="2919">
        <f t="shared" si="673"/>
        <v>135.66936215880003</v>
      </c>
      <c r="BZ59" s="2919">
        <f t="shared" si="673"/>
        <v>135.66936215880003</v>
      </c>
      <c r="CA59" s="2919">
        <f t="shared" si="673"/>
        <v>0</v>
      </c>
      <c r="CB59" s="2921">
        <f t="shared" si="773"/>
        <v>780.04127568240006</v>
      </c>
      <c r="CC59" s="2921">
        <f t="shared" si="773"/>
        <v>780.04127568240006</v>
      </c>
      <c r="CD59" s="2921">
        <f t="shared" si="773"/>
        <v>0</v>
      </c>
      <c r="CE59" s="2957">
        <f t="shared" si="773"/>
        <v>1240.33491</v>
      </c>
      <c r="CF59" s="2957">
        <f t="shared" si="773"/>
        <v>1240.33491</v>
      </c>
      <c r="CG59" s="2957">
        <f t="shared" si="773"/>
        <v>0</v>
      </c>
      <c r="CH59" s="2957">
        <f t="shared" si="773"/>
        <v>825.73</v>
      </c>
      <c r="CI59" s="2957">
        <f t="shared" si="773"/>
        <v>825.73</v>
      </c>
      <c r="CJ59" s="2957">
        <f t="shared" si="773"/>
        <v>0</v>
      </c>
      <c r="CK59" s="2919">
        <f t="shared" si="675"/>
        <v>460.29363431759998</v>
      </c>
      <c r="CL59" s="2919">
        <f t="shared" si="675"/>
        <v>460.29363431759998</v>
      </c>
      <c r="CM59" s="2919">
        <f t="shared" si="675"/>
        <v>0</v>
      </c>
      <c r="CN59" s="2951">
        <f t="shared" si="774"/>
        <v>130.0068792804</v>
      </c>
      <c r="CO59" s="2951">
        <f>SUM('ПОЛНАЯ СЕБЕСТОИМОСТЬ ВОДА 2021'!AP207)/3</f>
        <v>130.0068792804</v>
      </c>
      <c r="CP59" s="2951">
        <f>SUM('ПОЛНАЯ СЕБЕСТОИМОСТЬ ВОДА 2021'!AQ207)/3</f>
        <v>0</v>
      </c>
      <c r="CQ59" s="2875">
        <f t="shared" si="775"/>
        <v>156.49699999999999</v>
      </c>
      <c r="CR59" s="2875">
        <f>SUM('ПОЛНАЯ СЕБЕСТОИМОСТЬ ВОДА 2021'!AS207)</f>
        <v>156.49699999999999</v>
      </c>
      <c r="CS59" s="2875">
        <f>SUM('ПОЛНАЯ СЕБЕСТОИМОСТЬ ВОДА 2021'!AT207)</f>
        <v>0</v>
      </c>
      <c r="CT59" s="2955">
        <f t="shared" si="809"/>
        <v>177.28</v>
      </c>
      <c r="CU59" s="2955">
        <v>177.28</v>
      </c>
      <c r="CV59" s="2955">
        <v>0</v>
      </c>
      <c r="CW59" s="2951">
        <f t="shared" si="777"/>
        <v>130.0068792804</v>
      </c>
      <c r="CX59" s="2951">
        <f t="shared" si="778"/>
        <v>130.0068792804</v>
      </c>
      <c r="CY59" s="2951">
        <f t="shared" si="779"/>
        <v>0</v>
      </c>
      <c r="CZ59" s="2875">
        <f t="shared" si="780"/>
        <v>168.511</v>
      </c>
      <c r="DA59" s="2875">
        <f>SUM('ПОЛНАЯ СЕБЕСТОИМОСТЬ ВОДА 2021'!AV207)</f>
        <v>168.511</v>
      </c>
      <c r="DB59" s="2875">
        <f>SUM('ПОЛНАЯ СЕБЕСТОИМОСТЬ ВОДА 2021'!AW207)</f>
        <v>0</v>
      </c>
      <c r="DC59" s="2955">
        <f t="shared" si="810"/>
        <v>190.38</v>
      </c>
      <c r="DD59" s="2955">
        <v>190.38</v>
      </c>
      <c r="DE59" s="2955">
        <v>0</v>
      </c>
      <c r="DF59" s="2951">
        <f t="shared" si="782"/>
        <v>130.0068792804</v>
      </c>
      <c r="DG59" s="2951">
        <f t="shared" si="783"/>
        <v>130.0068792804</v>
      </c>
      <c r="DH59" s="2951">
        <f t="shared" si="784"/>
        <v>0</v>
      </c>
      <c r="DI59" s="2875">
        <f t="shared" si="785"/>
        <v>167.02500000000001</v>
      </c>
      <c r="DJ59" s="2875">
        <f>SUM('ПОЛНАЯ СЕБЕСТОИМОСТЬ ВОДА 2021'!AY207)</f>
        <v>167.02500000000001</v>
      </c>
      <c r="DK59" s="2875">
        <f>SUM('ПОЛНАЯ СЕБЕСТОИМОСТЬ ВОДА 2021'!AZ207)</f>
        <v>0</v>
      </c>
      <c r="DL59" s="2955">
        <f t="shared" si="811"/>
        <v>197.8</v>
      </c>
      <c r="DM59" s="2955">
        <v>197.8</v>
      </c>
      <c r="DN59" s="2955">
        <v>0</v>
      </c>
      <c r="DO59" s="2921">
        <f t="shared" si="787"/>
        <v>390.02063784120003</v>
      </c>
      <c r="DP59" s="2921">
        <f t="shared" si="787"/>
        <v>390.02063784120003</v>
      </c>
      <c r="DQ59" s="2921">
        <f t="shared" si="787"/>
        <v>0</v>
      </c>
      <c r="DR59" s="2957">
        <f t="shared" si="787"/>
        <v>492.03300000000002</v>
      </c>
      <c r="DS59" s="2957">
        <f t="shared" si="787"/>
        <v>492.03300000000002</v>
      </c>
      <c r="DT59" s="2957">
        <f t="shared" si="787"/>
        <v>0</v>
      </c>
      <c r="DU59" s="2957">
        <f t="shared" si="787"/>
        <v>565.46</v>
      </c>
      <c r="DV59" s="2957">
        <f t="shared" si="787"/>
        <v>565.46</v>
      </c>
      <c r="DW59" s="2957">
        <f t="shared" si="787"/>
        <v>0</v>
      </c>
      <c r="DX59" s="2919">
        <f t="shared" si="677"/>
        <v>102.01236215879999</v>
      </c>
      <c r="DY59" s="2919">
        <f t="shared" si="677"/>
        <v>102.01236215879999</v>
      </c>
      <c r="DZ59" s="2919">
        <f t="shared" si="677"/>
        <v>0</v>
      </c>
      <c r="EA59" s="2921">
        <f t="shared" si="788"/>
        <v>1170.0619135236002</v>
      </c>
      <c r="EB59" s="2921">
        <f t="shared" si="788"/>
        <v>1170.0619135236002</v>
      </c>
      <c r="EC59" s="2921">
        <f t="shared" si="788"/>
        <v>0</v>
      </c>
      <c r="ED59" s="2957">
        <f t="shared" si="788"/>
        <v>1732.3679099999999</v>
      </c>
      <c r="EE59" s="2957">
        <f t="shared" si="788"/>
        <v>1732.3679099999999</v>
      </c>
      <c r="EF59" s="2957">
        <f t="shared" si="788"/>
        <v>0</v>
      </c>
      <c r="EG59" s="2957">
        <f t="shared" si="788"/>
        <v>1391.19</v>
      </c>
      <c r="EH59" s="2957">
        <f t="shared" si="788"/>
        <v>1391.19</v>
      </c>
      <c r="EI59" s="2957">
        <f t="shared" si="788"/>
        <v>0</v>
      </c>
      <c r="EJ59" s="2919">
        <f t="shared" si="679"/>
        <v>562.30599647639974</v>
      </c>
      <c r="EK59" s="2919">
        <f t="shared" si="679"/>
        <v>562.30599647639974</v>
      </c>
      <c r="EL59" s="2919">
        <f t="shared" si="679"/>
        <v>0</v>
      </c>
      <c r="EM59" s="2951">
        <f t="shared" si="789"/>
        <v>130.0068792804</v>
      </c>
      <c r="EN59" s="2951">
        <f>SUM('ПОЛНАЯ СЕБЕСТОИМОСТЬ ВОДА 2021'!BN207)/3</f>
        <v>130.0068792804</v>
      </c>
      <c r="EO59" s="2951">
        <f>SUM('ПОЛНАЯ СЕБЕСТОИМОСТЬ ВОДА 2021'!BO207)/3</f>
        <v>0</v>
      </c>
      <c r="EP59" s="2875">
        <f t="shared" si="790"/>
        <v>193.96800000000002</v>
      </c>
      <c r="EQ59" s="2875">
        <f>SUM('ПОЛНАЯ СЕБЕСТОИМОСТЬ ВОДА 2021'!BQ207)</f>
        <v>193.96800000000002</v>
      </c>
      <c r="ER59" s="2875">
        <f>SUM('ПОЛНАЯ СЕБЕСТОИМОСТЬ ВОДА 2021'!BR207)</f>
        <v>0</v>
      </c>
      <c r="ES59" s="2955">
        <f t="shared" si="812"/>
        <v>151.845</v>
      </c>
      <c r="ET59" s="2955">
        <v>151.845</v>
      </c>
      <c r="EU59" s="2955">
        <v>0</v>
      </c>
      <c r="EV59" s="2951">
        <f t="shared" si="792"/>
        <v>130.0068792804</v>
      </c>
      <c r="EW59" s="2951">
        <f t="shared" si="793"/>
        <v>130.0068792804</v>
      </c>
      <c r="EX59" s="2951">
        <f t="shared" si="794"/>
        <v>0</v>
      </c>
      <c r="EY59" s="2875">
        <f t="shared" si="795"/>
        <v>190.40699999999998</v>
      </c>
      <c r="EZ59" s="2875">
        <f>SUM('ПОЛНАЯ СЕБЕСТОИМОСТЬ ВОДА 2021'!BT207)</f>
        <v>190.40699999999998</v>
      </c>
      <c r="FA59" s="2875">
        <f>SUM('ПОЛНАЯ СЕБЕСТОИМОСТЬ ВОДА 2021'!BU207)</f>
        <v>0</v>
      </c>
      <c r="FB59" s="2955">
        <f t="shared" si="813"/>
        <v>158.33500000000001</v>
      </c>
      <c r="FC59" s="2955">
        <v>158.33500000000001</v>
      </c>
      <c r="FD59" s="2955">
        <v>0</v>
      </c>
      <c r="FE59" s="2951">
        <f t="shared" si="797"/>
        <v>130.0068792804</v>
      </c>
      <c r="FF59" s="2951">
        <f t="shared" si="798"/>
        <v>130.0068792804</v>
      </c>
      <c r="FG59" s="2951">
        <f t="shared" si="799"/>
        <v>0</v>
      </c>
      <c r="FH59" s="2875">
        <f t="shared" si="735"/>
        <v>211.96899999999999</v>
      </c>
      <c r="FI59" s="2875">
        <f>SUM('ПОЛНАЯ СЕБЕСТОИМОСТЬ ВОДА 2021'!BW207)</f>
        <v>211.96899999999999</v>
      </c>
      <c r="FJ59" s="2875">
        <f>SUM('ПОЛНАЯ СЕБЕСТОИМОСТЬ ВОДА 2021'!BX207)</f>
        <v>0</v>
      </c>
      <c r="FK59" s="2955">
        <f t="shared" si="814"/>
        <v>-476.21</v>
      </c>
      <c r="FL59" s="2955">
        <v>-476.21</v>
      </c>
      <c r="FM59" s="2955">
        <v>0</v>
      </c>
      <c r="FN59" s="2921">
        <f t="shared" si="801"/>
        <v>390.02063784120003</v>
      </c>
      <c r="FO59" s="2921">
        <f t="shared" si="801"/>
        <v>390.02063784120003</v>
      </c>
      <c r="FP59" s="2921">
        <f t="shared" si="801"/>
        <v>0</v>
      </c>
      <c r="FQ59" s="2932">
        <f t="shared" si="801"/>
        <v>596.34400000000005</v>
      </c>
      <c r="FR59" s="2932">
        <f t="shared" si="801"/>
        <v>596.34400000000005</v>
      </c>
      <c r="FS59" s="2932">
        <f t="shared" si="801"/>
        <v>0</v>
      </c>
      <c r="FT59" s="2932">
        <f t="shared" si="801"/>
        <v>-166.02999999999997</v>
      </c>
      <c r="FU59" s="2932">
        <f t="shared" si="801"/>
        <v>-166.02999999999997</v>
      </c>
      <c r="FV59" s="2932">
        <f t="shared" si="801"/>
        <v>0</v>
      </c>
      <c r="FW59" s="2933">
        <f t="shared" si="681"/>
        <v>206.32336215880002</v>
      </c>
      <c r="FX59" s="2933">
        <f t="shared" si="681"/>
        <v>206.32336215880002</v>
      </c>
      <c r="FY59" s="2933">
        <f t="shared" si="681"/>
        <v>0</v>
      </c>
      <c r="FZ59" s="2921">
        <f t="shared" si="802"/>
        <v>1560.0825513648001</v>
      </c>
      <c r="GA59" s="2921">
        <f t="shared" si="802"/>
        <v>1560.0825513648001</v>
      </c>
      <c r="GB59" s="2921">
        <f t="shared" si="802"/>
        <v>0</v>
      </c>
      <c r="GC59" s="2932">
        <f t="shared" si="802"/>
        <v>2328.71191</v>
      </c>
      <c r="GD59" s="2932">
        <f t="shared" si="802"/>
        <v>2328.71191</v>
      </c>
      <c r="GE59" s="2932">
        <f t="shared" si="802"/>
        <v>0</v>
      </c>
      <c r="GF59" s="2932">
        <f t="shared" si="802"/>
        <v>1225.1600000000001</v>
      </c>
      <c r="GG59" s="2932">
        <f t="shared" si="802"/>
        <v>1225.1600000000001</v>
      </c>
      <c r="GH59" s="2932">
        <f t="shared" si="802"/>
        <v>0</v>
      </c>
      <c r="GI59" s="2933">
        <f t="shared" si="683"/>
        <v>768.62935863519988</v>
      </c>
      <c r="GJ59" s="2933">
        <f t="shared" si="683"/>
        <v>768.62935863519988</v>
      </c>
      <c r="GK59" s="2933">
        <f t="shared" si="683"/>
        <v>0</v>
      </c>
      <c r="GL59" s="389"/>
      <c r="GM59" s="4191">
        <f t="shared" si="684"/>
        <v>1560.0825513647999</v>
      </c>
    </row>
    <row r="60" spans="1:195" ht="18.75" x14ac:dyDescent="0.3">
      <c r="A60" s="2879" t="s">
        <v>289</v>
      </c>
      <c r="B60" s="2951">
        <f t="shared" si="745"/>
        <v>689.40736311005094</v>
      </c>
      <c r="C60" s="2951">
        <f>SUM('ПОЛНАЯ СЕБЕСТОИМОСТЬ ВОДА 2021'!C208)/3</f>
        <v>689.40736311005094</v>
      </c>
      <c r="D60" s="2951">
        <f>SUM('ПОЛНАЯ СЕБЕСТОИМОСТЬ ВОДА 2021'!D208)/3</f>
        <v>0</v>
      </c>
      <c r="E60" s="2875">
        <f t="shared" si="746"/>
        <v>698.28778999999986</v>
      </c>
      <c r="F60" s="2875">
        <f>SUM('ПОЛНАЯ СЕБЕСТОИМОСТЬ ВОДА 2021'!F208)</f>
        <v>698.28778999999986</v>
      </c>
      <c r="G60" s="2875">
        <f>SUM('ПОЛНАЯ СЕБЕСТОИМОСТЬ ВОДА 2021'!G208)</f>
        <v>0</v>
      </c>
      <c r="H60" s="2955">
        <f t="shared" si="803"/>
        <v>618.66</v>
      </c>
      <c r="I60" s="2955">
        <v>618.66</v>
      </c>
      <c r="J60" s="2955">
        <v>0</v>
      </c>
      <c r="K60" s="2951">
        <f t="shared" si="748"/>
        <v>689.40736311005094</v>
      </c>
      <c r="L60" s="2951">
        <f t="shared" si="749"/>
        <v>689.40736311005094</v>
      </c>
      <c r="M60" s="2951">
        <f t="shared" si="750"/>
        <v>0</v>
      </c>
      <c r="N60" s="2875">
        <f t="shared" si="751"/>
        <v>714.55887999999982</v>
      </c>
      <c r="O60" s="2875">
        <f>SUM('ПОЛНАЯ СЕБЕСТОИМОСТЬ ВОДА 2021'!I208)</f>
        <v>714.55887999999982</v>
      </c>
      <c r="P60" s="2875">
        <f>SUM('ПОЛНАЯ СЕБЕСТОИМОСТЬ ВОДА 2021'!J208)</f>
        <v>0</v>
      </c>
      <c r="Q60" s="2955">
        <f t="shared" si="804"/>
        <v>677.42</v>
      </c>
      <c r="R60" s="2955">
        <v>677.42</v>
      </c>
      <c r="S60" s="2955">
        <v>0</v>
      </c>
      <c r="T60" s="2951">
        <f t="shared" si="753"/>
        <v>689.40736311005094</v>
      </c>
      <c r="U60" s="2951">
        <f t="shared" si="754"/>
        <v>689.40736311005094</v>
      </c>
      <c r="V60" s="2951">
        <f t="shared" si="755"/>
        <v>0</v>
      </c>
      <c r="W60" s="2875">
        <f t="shared" si="756"/>
        <v>943.9184300000004</v>
      </c>
      <c r="X60" s="2875">
        <f>SUM('ПОЛНАЯ СЕБЕСТОИМОСТЬ ВОДА 2021'!L208)</f>
        <v>943.9184300000004</v>
      </c>
      <c r="Y60" s="2875">
        <f>SUM('ПОЛНАЯ СЕБЕСТОИМОСТЬ ВОДА 2021'!M208)</f>
        <v>0</v>
      </c>
      <c r="Z60" s="2955">
        <f t="shared" si="805"/>
        <v>562.94000000000005</v>
      </c>
      <c r="AA60" s="2955">
        <v>562.94000000000005</v>
      </c>
      <c r="AB60" s="2955">
        <v>0</v>
      </c>
      <c r="AC60" s="2921">
        <f t="shared" si="758"/>
        <v>2068.2220893301528</v>
      </c>
      <c r="AD60" s="2921">
        <f t="shared" si="758"/>
        <v>2068.2220893301528</v>
      </c>
      <c r="AE60" s="2921">
        <f t="shared" si="758"/>
        <v>0</v>
      </c>
      <c r="AF60" s="2932">
        <f t="shared" si="758"/>
        <v>2356.7651000000001</v>
      </c>
      <c r="AG60" s="2932">
        <f t="shared" si="758"/>
        <v>2356.7651000000001</v>
      </c>
      <c r="AH60" s="2932">
        <f t="shared" si="758"/>
        <v>0</v>
      </c>
      <c r="AI60" s="2932">
        <f t="shared" si="758"/>
        <v>1859.02</v>
      </c>
      <c r="AJ60" s="2932">
        <f t="shared" si="758"/>
        <v>1859.02</v>
      </c>
      <c r="AK60" s="2932">
        <f t="shared" si="758"/>
        <v>0</v>
      </c>
      <c r="AL60" s="2933">
        <f t="shared" si="671"/>
        <v>288.54301066984726</v>
      </c>
      <c r="AM60" s="2933">
        <f t="shared" si="671"/>
        <v>288.54301066984726</v>
      </c>
      <c r="AN60" s="2933">
        <f t="shared" si="671"/>
        <v>0</v>
      </c>
      <c r="AO60" s="2951">
        <f t="shared" si="759"/>
        <v>689.40736311005094</v>
      </c>
      <c r="AP60" s="2951">
        <f>SUM('ПОЛНАЯ СЕБЕСТОИМОСТЬ ВОДА 2021'!R208)/3</f>
        <v>689.40736311005094</v>
      </c>
      <c r="AQ60" s="2951">
        <f>SUM('ПОЛНАЯ СЕБЕСТОИМОСТЬ ВОДА 2021'!S208)/3</f>
        <v>0</v>
      </c>
      <c r="AR60" s="2951">
        <f t="shared" si="760"/>
        <v>612.9699999999998</v>
      </c>
      <c r="AS60" s="2951">
        <f>SUM('ПОЛНАЯ СЕБЕСТОИМОСТЬ ВОДА 2021'!U208)</f>
        <v>612.9699999999998</v>
      </c>
      <c r="AT60" s="2951">
        <f>SUM('ПОЛНАЯ СЕБЕСТОИМОСТЬ ВОДА 2021'!V208)</f>
        <v>0</v>
      </c>
      <c r="AU60" s="2955">
        <f t="shared" si="806"/>
        <v>480.71499999999997</v>
      </c>
      <c r="AV60" s="2955">
        <v>480.71499999999997</v>
      </c>
      <c r="AW60" s="2955">
        <v>0</v>
      </c>
      <c r="AX60" s="2951">
        <f t="shared" si="762"/>
        <v>689.40736311005094</v>
      </c>
      <c r="AY60" s="2951">
        <f t="shared" si="763"/>
        <v>689.40736311005094</v>
      </c>
      <c r="AZ60" s="2951">
        <f t="shared" si="764"/>
        <v>0</v>
      </c>
      <c r="BA60" s="2951">
        <f t="shared" si="765"/>
        <v>405.38500000000022</v>
      </c>
      <c r="BB60" s="2951">
        <f>SUM('ПОЛНАЯ СЕБЕСТОИМОСТЬ ВОДА 2021'!X208)</f>
        <v>405.38500000000022</v>
      </c>
      <c r="BC60" s="2951">
        <f>SUM('ПОЛНАЯ СЕБЕСТОИМОСТЬ ВОДА 2021'!Y208)</f>
        <v>0</v>
      </c>
      <c r="BD60" s="2955">
        <f t="shared" si="807"/>
        <v>349.83800000000002</v>
      </c>
      <c r="BE60" s="2955">
        <v>349.83800000000002</v>
      </c>
      <c r="BF60" s="2955">
        <v>0</v>
      </c>
      <c r="BG60" s="2951">
        <f t="shared" si="767"/>
        <v>689.40736311005094</v>
      </c>
      <c r="BH60" s="2951">
        <f t="shared" si="768"/>
        <v>689.40736311005094</v>
      </c>
      <c r="BI60" s="2951">
        <f t="shared" si="769"/>
        <v>0</v>
      </c>
      <c r="BJ60" s="2875">
        <f t="shared" si="770"/>
        <v>409.66599999999994</v>
      </c>
      <c r="BK60" s="2875">
        <f>SUM('ПОЛНАЯ СЕБЕСТОИМОСТЬ ВОДА 2021'!AA208)</f>
        <v>409.66599999999994</v>
      </c>
      <c r="BL60" s="2875">
        <f>SUM('ПОЛНАЯ СЕБЕСТОИМОСТЬ ВОДА 2021'!AB208)</f>
        <v>0</v>
      </c>
      <c r="BM60" s="2955">
        <f t="shared" si="808"/>
        <v>299.13</v>
      </c>
      <c r="BN60" s="2955">
        <v>299.13</v>
      </c>
      <c r="BO60" s="2955">
        <v>0</v>
      </c>
      <c r="BP60" s="2921">
        <f t="shared" si="772"/>
        <v>2068.2220893301528</v>
      </c>
      <c r="BQ60" s="2921">
        <f t="shared" si="772"/>
        <v>2068.2220893301528</v>
      </c>
      <c r="BR60" s="2921">
        <f t="shared" si="772"/>
        <v>0</v>
      </c>
      <c r="BS60" s="2957">
        <f t="shared" si="772"/>
        <v>1428.021</v>
      </c>
      <c r="BT60" s="2957">
        <f t="shared" si="772"/>
        <v>1428.021</v>
      </c>
      <c r="BU60" s="2957">
        <f t="shared" si="772"/>
        <v>0</v>
      </c>
      <c r="BV60" s="2957">
        <f t="shared" si="772"/>
        <v>1129.683</v>
      </c>
      <c r="BW60" s="2957">
        <f t="shared" si="772"/>
        <v>1129.683</v>
      </c>
      <c r="BX60" s="2957">
        <f t="shared" si="772"/>
        <v>0</v>
      </c>
      <c r="BY60" s="2919">
        <f t="shared" si="673"/>
        <v>-640.20108933015285</v>
      </c>
      <c r="BZ60" s="2919">
        <f t="shared" si="673"/>
        <v>-640.20108933015285</v>
      </c>
      <c r="CA60" s="2919">
        <f t="shared" si="673"/>
        <v>0</v>
      </c>
      <c r="CB60" s="2921">
        <f t="shared" si="773"/>
        <v>4136.4441786603056</v>
      </c>
      <c r="CC60" s="2921">
        <f t="shared" si="773"/>
        <v>4136.4441786603056</v>
      </c>
      <c r="CD60" s="2921">
        <f t="shared" si="773"/>
        <v>0</v>
      </c>
      <c r="CE60" s="2957">
        <f t="shared" si="773"/>
        <v>3784.7861000000003</v>
      </c>
      <c r="CF60" s="2957">
        <f t="shared" si="773"/>
        <v>3784.7861000000003</v>
      </c>
      <c r="CG60" s="2957">
        <f t="shared" si="773"/>
        <v>0</v>
      </c>
      <c r="CH60" s="2957">
        <f t="shared" si="773"/>
        <v>2988.703</v>
      </c>
      <c r="CI60" s="2957">
        <f t="shared" si="773"/>
        <v>2988.703</v>
      </c>
      <c r="CJ60" s="2957">
        <f t="shared" si="773"/>
        <v>0</v>
      </c>
      <c r="CK60" s="2919">
        <f t="shared" si="675"/>
        <v>-351.65807866030536</v>
      </c>
      <c r="CL60" s="2919">
        <f t="shared" si="675"/>
        <v>-351.65807866030536</v>
      </c>
      <c r="CM60" s="2919">
        <f t="shared" si="675"/>
        <v>0</v>
      </c>
      <c r="CN60" s="2951">
        <f t="shared" si="774"/>
        <v>689.40736311005094</v>
      </c>
      <c r="CO60" s="2951">
        <f>SUM('ПОЛНАЯ СЕБЕСТОИМОСТЬ ВОДА 2021'!AP208)/3</f>
        <v>689.40736311005094</v>
      </c>
      <c r="CP60" s="2951">
        <f>SUM('ПОЛНАЯ СЕБЕСТОИМОСТЬ ВОДА 2021'!AQ208)/3</f>
        <v>0</v>
      </c>
      <c r="CQ60" s="2875">
        <f t="shared" si="775"/>
        <v>561.45500000000015</v>
      </c>
      <c r="CR60" s="2875">
        <f>SUM('ПОЛНАЯ СЕБЕСТОИМОСТЬ ВОДА 2021'!AS208)</f>
        <v>561.45500000000015</v>
      </c>
      <c r="CS60" s="2875">
        <f>SUM('ПОЛНАЯ СЕБЕСТОИМОСТЬ ВОДА 2021'!AT208)</f>
        <v>0</v>
      </c>
      <c r="CT60" s="2955">
        <f t="shared" si="809"/>
        <v>284.95999999999998</v>
      </c>
      <c r="CU60" s="2955">
        <v>284.95999999999998</v>
      </c>
      <c r="CV60" s="2955">
        <v>0</v>
      </c>
      <c r="CW60" s="2951">
        <f t="shared" si="777"/>
        <v>689.40736311005094</v>
      </c>
      <c r="CX60" s="2951">
        <f t="shared" si="778"/>
        <v>689.40736311005094</v>
      </c>
      <c r="CY60" s="2951">
        <f t="shared" si="779"/>
        <v>0</v>
      </c>
      <c r="CZ60" s="2875">
        <f t="shared" si="780"/>
        <v>379.52299999999991</v>
      </c>
      <c r="DA60" s="2875">
        <f>SUM('ПОЛНАЯ СЕБЕСТОИМОСТЬ ВОДА 2021'!AV208)</f>
        <v>379.52299999999991</v>
      </c>
      <c r="DB60" s="2875">
        <f>SUM('ПОЛНАЯ СЕБЕСТОИМОСТЬ ВОДА 2021'!AW208)</f>
        <v>0</v>
      </c>
      <c r="DC60" s="2955">
        <f t="shared" si="810"/>
        <v>357.91</v>
      </c>
      <c r="DD60" s="2955">
        <v>357.91</v>
      </c>
      <c r="DE60" s="2955">
        <v>0</v>
      </c>
      <c r="DF60" s="2951">
        <f t="shared" si="782"/>
        <v>689.40736311005094</v>
      </c>
      <c r="DG60" s="2951">
        <f t="shared" si="783"/>
        <v>689.40736311005094</v>
      </c>
      <c r="DH60" s="2951">
        <f t="shared" si="784"/>
        <v>0</v>
      </c>
      <c r="DI60" s="2875">
        <f t="shared" si="785"/>
        <v>716.18399999999974</v>
      </c>
      <c r="DJ60" s="2875">
        <f>SUM('ПОЛНАЯ СЕБЕСТОИМОСТЬ ВОДА 2021'!AY208)</f>
        <v>716.18399999999974</v>
      </c>
      <c r="DK60" s="2875">
        <f>SUM('ПОЛНАЯ СЕБЕСТОИМОСТЬ ВОДА 2021'!AZ208)</f>
        <v>0</v>
      </c>
      <c r="DL60" s="2955">
        <f t="shared" si="811"/>
        <v>501.63</v>
      </c>
      <c r="DM60" s="2955">
        <v>501.63</v>
      </c>
      <c r="DN60" s="2955">
        <v>0</v>
      </c>
      <c r="DO60" s="2921">
        <f t="shared" si="787"/>
        <v>2068.2220893301528</v>
      </c>
      <c r="DP60" s="2921">
        <f t="shared" si="787"/>
        <v>2068.2220893301528</v>
      </c>
      <c r="DQ60" s="2921">
        <f t="shared" si="787"/>
        <v>0</v>
      </c>
      <c r="DR60" s="2957">
        <f t="shared" si="787"/>
        <v>1657.1619999999998</v>
      </c>
      <c r="DS60" s="2957">
        <f t="shared" si="787"/>
        <v>1657.1619999999998</v>
      </c>
      <c r="DT60" s="2957">
        <f t="shared" si="787"/>
        <v>0</v>
      </c>
      <c r="DU60" s="2957">
        <f t="shared" si="787"/>
        <v>1144.5</v>
      </c>
      <c r="DV60" s="2957">
        <f t="shared" si="787"/>
        <v>1144.5</v>
      </c>
      <c r="DW60" s="2957">
        <f t="shared" si="787"/>
        <v>0</v>
      </c>
      <c r="DX60" s="2919">
        <f t="shared" si="677"/>
        <v>-411.060089330153</v>
      </c>
      <c r="DY60" s="2919">
        <f t="shared" si="677"/>
        <v>-411.060089330153</v>
      </c>
      <c r="DZ60" s="2919">
        <f t="shared" si="677"/>
        <v>0</v>
      </c>
      <c r="EA60" s="2921">
        <f t="shared" si="788"/>
        <v>6204.6662679904584</v>
      </c>
      <c r="EB60" s="2921">
        <f t="shared" si="788"/>
        <v>6204.6662679904584</v>
      </c>
      <c r="EC60" s="2921">
        <f t="shared" si="788"/>
        <v>0</v>
      </c>
      <c r="ED60" s="2957">
        <f t="shared" si="788"/>
        <v>5441.9480999999996</v>
      </c>
      <c r="EE60" s="2957">
        <f t="shared" si="788"/>
        <v>5441.9480999999996</v>
      </c>
      <c r="EF60" s="2957">
        <f t="shared" si="788"/>
        <v>0</v>
      </c>
      <c r="EG60" s="2957">
        <f t="shared" si="788"/>
        <v>4133.2029999999995</v>
      </c>
      <c r="EH60" s="2957">
        <f t="shared" si="788"/>
        <v>4133.2029999999995</v>
      </c>
      <c r="EI60" s="2957">
        <f t="shared" si="788"/>
        <v>0</v>
      </c>
      <c r="EJ60" s="2919">
        <f t="shared" si="679"/>
        <v>-762.71816799045882</v>
      </c>
      <c r="EK60" s="2919">
        <f t="shared" si="679"/>
        <v>-762.71816799045882</v>
      </c>
      <c r="EL60" s="2919">
        <f t="shared" si="679"/>
        <v>0</v>
      </c>
      <c r="EM60" s="2951">
        <f t="shared" si="789"/>
        <v>689.40736311005094</v>
      </c>
      <c r="EN60" s="2951">
        <f>SUM('ПОЛНАЯ СЕБЕСТОИМОСТЬ ВОДА 2021'!BN208)/3</f>
        <v>689.40736311005094</v>
      </c>
      <c r="EO60" s="2951">
        <f>SUM('ПОЛНАЯ СЕБЕСТОИМОСТЬ ВОДА 2021'!BO208)/3</f>
        <v>0</v>
      </c>
      <c r="EP60" s="2875">
        <f t="shared" si="790"/>
        <v>937.02000000000021</v>
      </c>
      <c r="EQ60" s="2875">
        <f>SUM('ПОЛНАЯ СЕБЕСТОИМОСТЬ ВОДА 2021'!BQ208)</f>
        <v>937.02000000000021</v>
      </c>
      <c r="ER60" s="2875">
        <f>SUM('ПОЛНАЯ СЕБЕСТОИМОСТЬ ВОДА 2021'!BR208)</f>
        <v>0</v>
      </c>
      <c r="ES60" s="2955">
        <f t="shared" si="812"/>
        <v>594.68499999999995</v>
      </c>
      <c r="ET60" s="2955">
        <v>594.68499999999995</v>
      </c>
      <c r="EU60" s="2955">
        <v>0</v>
      </c>
      <c r="EV60" s="2951">
        <f t="shared" si="792"/>
        <v>689.40736311005094</v>
      </c>
      <c r="EW60" s="2951">
        <f t="shared" si="793"/>
        <v>689.40736311005094</v>
      </c>
      <c r="EX60" s="2951">
        <f t="shared" si="794"/>
        <v>0</v>
      </c>
      <c r="EY60" s="2875">
        <f t="shared" si="795"/>
        <v>684.16499999999996</v>
      </c>
      <c r="EZ60" s="2875">
        <f>SUM('ПОЛНАЯ СЕБЕСТОИМОСТЬ ВОДА 2021'!BT208)</f>
        <v>684.16499999999996</v>
      </c>
      <c r="FA60" s="2875">
        <f>SUM('ПОЛНАЯ СЕБЕСТОИМОСТЬ ВОДА 2021'!BU208)</f>
        <v>0</v>
      </c>
      <c r="FB60" s="2955">
        <f t="shared" si="813"/>
        <v>579.75</v>
      </c>
      <c r="FC60" s="2955">
        <v>579.75</v>
      </c>
      <c r="FD60" s="2955">
        <v>0</v>
      </c>
      <c r="FE60" s="2951">
        <f t="shared" si="797"/>
        <v>689.40736311005094</v>
      </c>
      <c r="FF60" s="2951">
        <f t="shared" si="798"/>
        <v>689.40736311005094</v>
      </c>
      <c r="FG60" s="2951">
        <f t="shared" si="799"/>
        <v>0</v>
      </c>
      <c r="FH60" s="2875">
        <f t="shared" si="735"/>
        <v>1033.3949400000006</v>
      </c>
      <c r="FI60" s="2875">
        <f>SUM('ПОЛНАЯ СЕБЕСТОИМОСТЬ ВОДА 2021'!BW208)</f>
        <v>1033.3949400000006</v>
      </c>
      <c r="FJ60" s="2875">
        <f>SUM('ПОЛНАЯ СЕБЕСТОИМОСТЬ ВОДА 2021'!BX208)</f>
        <v>0</v>
      </c>
      <c r="FK60" s="2955">
        <f t="shared" si="814"/>
        <v>730.92551000000003</v>
      </c>
      <c r="FL60" s="2955">
        <v>730.92551000000003</v>
      </c>
      <c r="FM60" s="2955">
        <v>0</v>
      </c>
      <c r="FN60" s="2921">
        <f t="shared" si="801"/>
        <v>2068.2220893301528</v>
      </c>
      <c r="FO60" s="2921">
        <f t="shared" si="801"/>
        <v>2068.2220893301528</v>
      </c>
      <c r="FP60" s="2921">
        <f t="shared" si="801"/>
        <v>0</v>
      </c>
      <c r="FQ60" s="2932">
        <f t="shared" si="801"/>
        <v>2654.5799400000005</v>
      </c>
      <c r="FR60" s="2932">
        <f t="shared" si="801"/>
        <v>2654.5799400000005</v>
      </c>
      <c r="FS60" s="2932">
        <f t="shared" si="801"/>
        <v>0</v>
      </c>
      <c r="FT60" s="2932">
        <f t="shared" si="801"/>
        <v>1905.36051</v>
      </c>
      <c r="FU60" s="2932">
        <f t="shared" si="801"/>
        <v>1905.36051</v>
      </c>
      <c r="FV60" s="2932">
        <f t="shared" si="801"/>
        <v>0</v>
      </c>
      <c r="FW60" s="2933">
        <f t="shared" si="681"/>
        <v>586.35785066984772</v>
      </c>
      <c r="FX60" s="2933">
        <f t="shared" si="681"/>
        <v>586.35785066984772</v>
      </c>
      <c r="FY60" s="2933">
        <f t="shared" si="681"/>
        <v>0</v>
      </c>
      <c r="FZ60" s="2921">
        <f t="shared" si="802"/>
        <v>8272.8883573206112</v>
      </c>
      <c r="GA60" s="2921">
        <f t="shared" si="802"/>
        <v>8272.8883573206112</v>
      </c>
      <c r="GB60" s="2921">
        <f t="shared" si="802"/>
        <v>0</v>
      </c>
      <c r="GC60" s="2932">
        <f t="shared" si="802"/>
        <v>8096.5280400000001</v>
      </c>
      <c r="GD60" s="2932">
        <f t="shared" si="802"/>
        <v>8096.5280400000001</v>
      </c>
      <c r="GE60" s="2932">
        <f t="shared" si="802"/>
        <v>0</v>
      </c>
      <c r="GF60" s="2932">
        <f t="shared" si="802"/>
        <v>6038.56351</v>
      </c>
      <c r="GG60" s="2932">
        <f t="shared" si="802"/>
        <v>6038.56351</v>
      </c>
      <c r="GH60" s="2932">
        <f t="shared" si="802"/>
        <v>0</v>
      </c>
      <c r="GI60" s="2933">
        <f t="shared" si="683"/>
        <v>-176.3603173206111</v>
      </c>
      <c r="GJ60" s="2933">
        <f t="shared" si="683"/>
        <v>-176.3603173206111</v>
      </c>
      <c r="GK60" s="2933">
        <f t="shared" si="683"/>
        <v>0</v>
      </c>
      <c r="GL60" s="389"/>
      <c r="GM60" s="4191">
        <f t="shared" si="684"/>
        <v>8272.8883573206112</v>
      </c>
    </row>
    <row r="61" spans="1:195" ht="18.75" x14ac:dyDescent="0.3">
      <c r="A61" s="2945" t="s">
        <v>3741</v>
      </c>
      <c r="B61" s="2946">
        <f t="shared" si="745"/>
        <v>422.5721933333333</v>
      </c>
      <c r="C61" s="2946">
        <f>SUM('ПОЛНАЯ СЕБЕСТОИМОСТЬ ВОДА 2021'!C209)/3</f>
        <v>422.51102666666662</v>
      </c>
      <c r="D61" s="2946">
        <f>SUM('ПОЛНАЯ СЕБЕСТОИМОСТЬ ВОДА 2021'!D209)/3</f>
        <v>6.1166666666666668E-2</v>
      </c>
      <c r="E61" s="2865">
        <f t="shared" si="746"/>
        <v>0</v>
      </c>
      <c r="F61" s="2865">
        <f>SUM('ПОЛНАЯ СЕБЕСТОИМОСТЬ ВОДА 2021'!F209)</f>
        <v>0</v>
      </c>
      <c r="G61" s="2865">
        <f>SUM('ПОЛНАЯ СЕБЕСТОИМОСТЬ ВОДА 2021'!G209)</f>
        <v>0</v>
      </c>
      <c r="H61" s="2952">
        <f>SUM(H62:H65)</f>
        <v>0</v>
      </c>
      <c r="I61" s="2952">
        <f t="shared" ref="I61:J61" si="815">SUM(I62:I65)</f>
        <v>0</v>
      </c>
      <c r="J61" s="2952">
        <f t="shared" si="815"/>
        <v>0</v>
      </c>
      <c r="K61" s="2946">
        <f t="shared" si="748"/>
        <v>422.5721933333333</v>
      </c>
      <c r="L61" s="2946">
        <f t="shared" si="749"/>
        <v>422.51102666666662</v>
      </c>
      <c r="M61" s="2946">
        <f t="shared" si="750"/>
        <v>6.1166666666666668E-2</v>
      </c>
      <c r="N61" s="2865">
        <f t="shared" si="751"/>
        <v>0</v>
      </c>
      <c r="O61" s="2865">
        <f>SUM('ПОЛНАЯ СЕБЕСТОИМОСТЬ ВОДА 2021'!I209)</f>
        <v>0</v>
      </c>
      <c r="P61" s="2865">
        <f>SUM('ПОЛНАЯ СЕБЕСТОИМОСТЬ ВОДА 2021'!J209)</f>
        <v>0</v>
      </c>
      <c r="Q61" s="2952">
        <f>SUM(Q62:Q65)</f>
        <v>0</v>
      </c>
      <c r="R61" s="2952">
        <f t="shared" ref="R61:S61" si="816">SUM(R62:R65)</f>
        <v>0</v>
      </c>
      <c r="S61" s="2952">
        <f t="shared" si="816"/>
        <v>0</v>
      </c>
      <c r="T61" s="2946">
        <f t="shared" si="753"/>
        <v>422.5721933333333</v>
      </c>
      <c r="U61" s="2946">
        <f t="shared" si="754"/>
        <v>422.51102666666662</v>
      </c>
      <c r="V61" s="2946">
        <f t="shared" si="755"/>
        <v>6.1166666666666668E-2</v>
      </c>
      <c r="W61" s="2865">
        <f t="shared" si="756"/>
        <v>796.16</v>
      </c>
      <c r="X61" s="2865">
        <f>SUM('ПОЛНАЯ СЕБЕСТОИМОСТЬ ВОДА 2021'!L209)</f>
        <v>796.16</v>
      </c>
      <c r="Y61" s="2865">
        <f>SUM('ПОЛНАЯ СЕБЕСТОИМОСТЬ ВОДА 2021'!M209)</f>
        <v>0</v>
      </c>
      <c r="Z61" s="2952">
        <f>SUM(Z62:Z65)</f>
        <v>893.28</v>
      </c>
      <c r="AA61" s="2952">
        <f t="shared" ref="AA61:AB61" si="817">SUM(AA62:AA65)</f>
        <v>893.28</v>
      </c>
      <c r="AB61" s="2952">
        <f t="shared" si="817"/>
        <v>0</v>
      </c>
      <c r="AC61" s="2916">
        <f>SUM(B61+K61+T61)</f>
        <v>1267.7165799999998</v>
      </c>
      <c r="AD61" s="2916">
        <f t="shared" si="758"/>
        <v>1267.5330799999999</v>
      </c>
      <c r="AE61" s="2916">
        <f t="shared" si="758"/>
        <v>0.1835</v>
      </c>
      <c r="AF61" s="2926">
        <f t="shared" si="758"/>
        <v>796.16</v>
      </c>
      <c r="AG61" s="2926">
        <f t="shared" si="758"/>
        <v>796.16</v>
      </c>
      <c r="AH61" s="2926">
        <f t="shared" si="758"/>
        <v>0</v>
      </c>
      <c r="AI61" s="2926">
        <f t="shared" si="758"/>
        <v>893.28</v>
      </c>
      <c r="AJ61" s="2926">
        <f t="shared" si="758"/>
        <v>893.28</v>
      </c>
      <c r="AK61" s="2926">
        <f t="shared" si="758"/>
        <v>0</v>
      </c>
      <c r="AL61" s="2927">
        <f t="shared" si="671"/>
        <v>-471.55657999999983</v>
      </c>
      <c r="AM61" s="2927">
        <f t="shared" si="671"/>
        <v>-471.37307999999996</v>
      </c>
      <c r="AN61" s="2927">
        <f t="shared" si="671"/>
        <v>-0.1835</v>
      </c>
      <c r="AO61" s="2946">
        <f t="shared" si="759"/>
        <v>422.5721933333333</v>
      </c>
      <c r="AP61" s="2946">
        <f>SUM('ПОЛНАЯ СЕБЕСТОИМОСТЬ ВОДА 2021'!R209)/3</f>
        <v>422.51102666666662</v>
      </c>
      <c r="AQ61" s="2946">
        <f>SUM('ПОЛНАЯ СЕБЕСТОИМОСТЬ ВОДА 2021'!S209)/3</f>
        <v>6.1166666666666668E-2</v>
      </c>
      <c r="AR61" s="2946">
        <f t="shared" si="760"/>
        <v>0</v>
      </c>
      <c r="AS61" s="2946">
        <f>SUM('ПОЛНАЯ СЕБЕСТОИМОСТЬ ВОДА 2021'!U209)</f>
        <v>0</v>
      </c>
      <c r="AT61" s="2946">
        <f>SUM('ПОЛНАЯ СЕБЕСТОИМОСТЬ ВОДА 2021'!V209)</f>
        <v>0</v>
      </c>
      <c r="AU61" s="2952">
        <f>SUM(AU62:AU65)</f>
        <v>-852.36</v>
      </c>
      <c r="AV61" s="2952">
        <f t="shared" ref="AV61:AW61" si="818">SUM(AV62:AV65)</f>
        <v>-852.36</v>
      </c>
      <c r="AW61" s="2952">
        <f t="shared" si="818"/>
        <v>0</v>
      </c>
      <c r="AX61" s="2946">
        <f t="shared" si="762"/>
        <v>422.5721933333333</v>
      </c>
      <c r="AY61" s="2946">
        <f t="shared" si="763"/>
        <v>422.51102666666662</v>
      </c>
      <c r="AZ61" s="2946">
        <f t="shared" si="764"/>
        <v>6.1166666666666668E-2</v>
      </c>
      <c r="BA61" s="2946">
        <f t="shared" si="765"/>
        <v>0</v>
      </c>
      <c r="BB61" s="2946">
        <f>SUM('ПОЛНАЯ СЕБЕСТОИМОСТЬ ВОДА 2021'!X209)</f>
        <v>0</v>
      </c>
      <c r="BC61" s="2946">
        <f>SUM('ПОЛНАЯ СЕБЕСТОИМОСТЬ ВОДА 2021'!Y209)</f>
        <v>0</v>
      </c>
      <c r="BD61" s="2952">
        <f>SUM(BD62:BD65)</f>
        <v>0</v>
      </c>
      <c r="BE61" s="2952">
        <f t="shared" ref="BE61:BF61" si="819">SUM(BE62:BE65)</f>
        <v>0</v>
      </c>
      <c r="BF61" s="2952">
        <f t="shared" si="819"/>
        <v>0</v>
      </c>
      <c r="BG61" s="2946">
        <f t="shared" si="767"/>
        <v>422.5721933333333</v>
      </c>
      <c r="BH61" s="2946">
        <f t="shared" si="768"/>
        <v>422.51102666666662</v>
      </c>
      <c r="BI61" s="2946">
        <f t="shared" si="769"/>
        <v>6.1166666666666668E-2</v>
      </c>
      <c r="BJ61" s="2865">
        <f t="shared" si="770"/>
        <v>341.55600000000004</v>
      </c>
      <c r="BK61" s="2946">
        <f>SUM('ПОЛНАЯ СЕБЕСТОИМОСТЬ ВОДА 2021'!AA209)</f>
        <v>341.55600000000004</v>
      </c>
      <c r="BL61" s="2865">
        <f>SUM('ПОЛНАЯ СЕБЕСТОИМОСТЬ ВОДА 2021'!AB209)</f>
        <v>0</v>
      </c>
      <c r="BM61" s="2952">
        <f>SUM(BM62:BM65)</f>
        <v>893.274</v>
      </c>
      <c r="BN61" s="2952">
        <f t="shared" ref="BN61:BO61" si="820">SUM(BN62:BN65)</f>
        <v>893.274</v>
      </c>
      <c r="BO61" s="2952">
        <f t="shared" si="820"/>
        <v>0</v>
      </c>
      <c r="BP61" s="2916">
        <f t="shared" si="772"/>
        <v>1267.7165799999998</v>
      </c>
      <c r="BQ61" s="2916">
        <f t="shared" si="772"/>
        <v>1267.5330799999999</v>
      </c>
      <c r="BR61" s="2916">
        <f t="shared" si="772"/>
        <v>0.1835</v>
      </c>
      <c r="BS61" s="2953">
        <f t="shared" si="772"/>
        <v>341.55600000000004</v>
      </c>
      <c r="BT61" s="2953">
        <f t="shared" si="772"/>
        <v>341.55600000000004</v>
      </c>
      <c r="BU61" s="2953">
        <f t="shared" si="772"/>
        <v>0</v>
      </c>
      <c r="BV61" s="2953">
        <f t="shared" si="772"/>
        <v>40.913999999999987</v>
      </c>
      <c r="BW61" s="2953">
        <f t="shared" si="772"/>
        <v>40.913999999999987</v>
      </c>
      <c r="BX61" s="2953">
        <f t="shared" si="772"/>
        <v>0</v>
      </c>
      <c r="BY61" s="2954">
        <f t="shared" si="673"/>
        <v>-926.16057999999975</v>
      </c>
      <c r="BZ61" s="2954">
        <f t="shared" si="673"/>
        <v>-925.97707999999989</v>
      </c>
      <c r="CA61" s="2954">
        <f t="shared" si="673"/>
        <v>-0.1835</v>
      </c>
      <c r="CB61" s="2916">
        <f t="shared" si="773"/>
        <v>2535.4331599999996</v>
      </c>
      <c r="CC61" s="2916">
        <f t="shared" si="773"/>
        <v>2535.0661599999999</v>
      </c>
      <c r="CD61" s="2916">
        <f t="shared" si="773"/>
        <v>0.36699999999999999</v>
      </c>
      <c r="CE61" s="2953">
        <f t="shared" si="773"/>
        <v>1137.7159999999999</v>
      </c>
      <c r="CF61" s="2953">
        <f t="shared" si="773"/>
        <v>1137.7159999999999</v>
      </c>
      <c r="CG61" s="2953">
        <f t="shared" si="773"/>
        <v>0</v>
      </c>
      <c r="CH61" s="2953">
        <f t="shared" si="773"/>
        <v>934.19399999999996</v>
      </c>
      <c r="CI61" s="2953">
        <f t="shared" si="773"/>
        <v>934.19399999999996</v>
      </c>
      <c r="CJ61" s="2953">
        <f t="shared" si="773"/>
        <v>0</v>
      </c>
      <c r="CK61" s="2954">
        <f t="shared" si="675"/>
        <v>-1397.7171599999997</v>
      </c>
      <c r="CL61" s="2954">
        <f t="shared" si="675"/>
        <v>-1397.35016</v>
      </c>
      <c r="CM61" s="2954">
        <f t="shared" si="675"/>
        <v>-0.36699999999999999</v>
      </c>
      <c r="CN61" s="2946">
        <f t="shared" si="774"/>
        <v>422.5721933333333</v>
      </c>
      <c r="CO61" s="2946">
        <f>SUM('ПОЛНАЯ СЕБЕСТОИМОСТЬ ВОДА 2021'!AP209)/3</f>
        <v>422.51102666666662</v>
      </c>
      <c r="CP61" s="2946">
        <f>SUM('ПОЛНАЯ СЕБЕСТОИМОСТЬ ВОДА 2021'!AQ209)/3</f>
        <v>6.1166666666666668E-2</v>
      </c>
      <c r="CQ61" s="2865">
        <f t="shared" si="775"/>
        <v>369.16</v>
      </c>
      <c r="CR61" s="2865">
        <f>SUM('ПОЛНАЯ СЕБЕСТОИМОСТЬ ВОДА 2021'!AS209)</f>
        <v>369.16</v>
      </c>
      <c r="CS61" s="2865">
        <f>SUM('ПОЛНАЯ СЕБЕСТОИМОСТЬ ВОДА 2021'!AT209)</f>
        <v>0</v>
      </c>
      <c r="CT61" s="2952">
        <f>SUM(CT62:CT65)</f>
        <v>0</v>
      </c>
      <c r="CU61" s="2952">
        <f t="shared" ref="CU61:CV61" si="821">SUM(CU62:CU65)</f>
        <v>0</v>
      </c>
      <c r="CV61" s="2952">
        <f t="shared" si="821"/>
        <v>0</v>
      </c>
      <c r="CW61" s="2946">
        <f t="shared" si="777"/>
        <v>422.5721933333333</v>
      </c>
      <c r="CX61" s="2946">
        <f t="shared" si="778"/>
        <v>422.51102666666662</v>
      </c>
      <c r="CY61" s="2946">
        <f t="shared" si="779"/>
        <v>6.1166666666666668E-2</v>
      </c>
      <c r="CZ61" s="2865">
        <f t="shared" si="780"/>
        <v>-314.90199999999999</v>
      </c>
      <c r="DA61" s="2865">
        <f>SUM('ПОЛНАЯ СЕБЕСТОИМОСТЬ ВОДА 2021'!AV209)</f>
        <v>-314.90199999999999</v>
      </c>
      <c r="DB61" s="2865">
        <f>SUM('ПОЛНАЯ СЕБЕСТОИМОСТЬ ВОДА 2021'!AW209)</f>
        <v>0</v>
      </c>
      <c r="DC61" s="2952">
        <f>SUM(DC62:DC65)</f>
        <v>0</v>
      </c>
      <c r="DD61" s="2952">
        <f t="shared" ref="DD61:DE61" si="822">SUM(DD62:DD65)</f>
        <v>0</v>
      </c>
      <c r="DE61" s="2952">
        <f t="shared" si="822"/>
        <v>0</v>
      </c>
      <c r="DF61" s="2946">
        <f t="shared" si="782"/>
        <v>422.5721933333333</v>
      </c>
      <c r="DG61" s="2946">
        <f t="shared" si="783"/>
        <v>422.51102666666662</v>
      </c>
      <c r="DH61" s="2946">
        <f t="shared" si="784"/>
        <v>6.1166666666666668E-2</v>
      </c>
      <c r="DI61" s="2865">
        <f t="shared" si="785"/>
        <v>580.31299999999999</v>
      </c>
      <c r="DJ61" s="2865">
        <f>SUM('ПОЛНАЯ СЕБЕСТОИМОСТЬ ВОДА 2021'!AY209)</f>
        <v>580.31299999999999</v>
      </c>
      <c r="DK61" s="2865">
        <f>SUM('ПОЛНАЯ СЕБЕСТОИМОСТЬ ВОДА 2021'!AZ209)</f>
        <v>0</v>
      </c>
      <c r="DL61" s="2952">
        <f>SUM(DL62:DL65)</f>
        <v>893.28</v>
      </c>
      <c r="DM61" s="2952">
        <f t="shared" ref="DM61:DN61" si="823">SUM(DM62:DM65)</f>
        <v>893.28</v>
      </c>
      <c r="DN61" s="2952">
        <f t="shared" si="823"/>
        <v>0</v>
      </c>
      <c r="DO61" s="2916">
        <f t="shared" si="787"/>
        <v>1267.7165799999998</v>
      </c>
      <c r="DP61" s="2916">
        <f t="shared" si="787"/>
        <v>1267.5330799999999</v>
      </c>
      <c r="DQ61" s="2916">
        <f t="shared" si="787"/>
        <v>0.1835</v>
      </c>
      <c r="DR61" s="2953">
        <f t="shared" si="787"/>
        <v>634.57100000000003</v>
      </c>
      <c r="DS61" s="2953">
        <f t="shared" si="787"/>
        <v>634.57100000000003</v>
      </c>
      <c r="DT61" s="2953">
        <f t="shared" si="787"/>
        <v>0</v>
      </c>
      <c r="DU61" s="2953">
        <f t="shared" si="787"/>
        <v>893.28</v>
      </c>
      <c r="DV61" s="2953">
        <f t="shared" si="787"/>
        <v>893.28</v>
      </c>
      <c r="DW61" s="2953">
        <f t="shared" si="787"/>
        <v>0</v>
      </c>
      <c r="DX61" s="2954">
        <f t="shared" si="677"/>
        <v>-633.14557999999977</v>
      </c>
      <c r="DY61" s="2954">
        <f t="shared" si="677"/>
        <v>-632.9620799999999</v>
      </c>
      <c r="DZ61" s="2954">
        <f t="shared" si="677"/>
        <v>-0.1835</v>
      </c>
      <c r="EA61" s="2916">
        <f t="shared" si="788"/>
        <v>3803.1497399999994</v>
      </c>
      <c r="EB61" s="2916">
        <f t="shared" si="788"/>
        <v>3802.5992399999996</v>
      </c>
      <c r="EC61" s="2916">
        <f t="shared" si="788"/>
        <v>0.55049999999999999</v>
      </c>
      <c r="ED61" s="2953">
        <f t="shared" si="788"/>
        <v>1772.2869999999998</v>
      </c>
      <c r="EE61" s="2953">
        <f t="shared" si="788"/>
        <v>1772.2869999999998</v>
      </c>
      <c r="EF61" s="2953">
        <f t="shared" si="788"/>
        <v>0</v>
      </c>
      <c r="EG61" s="2953">
        <f t="shared" si="788"/>
        <v>1827.4739999999999</v>
      </c>
      <c r="EH61" s="2953">
        <f t="shared" si="788"/>
        <v>1827.4739999999999</v>
      </c>
      <c r="EI61" s="2953">
        <f t="shared" si="788"/>
        <v>0</v>
      </c>
      <c r="EJ61" s="2954">
        <f t="shared" si="679"/>
        <v>-2030.8627399999996</v>
      </c>
      <c r="EK61" s="2954">
        <f t="shared" si="679"/>
        <v>-2030.3122399999997</v>
      </c>
      <c r="EL61" s="2954">
        <f t="shared" si="679"/>
        <v>-0.55049999999999999</v>
      </c>
      <c r="EM61" s="2946">
        <f t="shared" si="789"/>
        <v>422.5721933333333</v>
      </c>
      <c r="EN61" s="2946">
        <f>SUM('ПОЛНАЯ СЕБЕСТОИМОСТЬ ВОДА 2021'!BN209)/3</f>
        <v>422.51102666666662</v>
      </c>
      <c r="EO61" s="2946">
        <f>SUM('ПОЛНАЯ СЕБЕСТОИМОСТЬ ВОДА 2021'!BO209)/3</f>
        <v>6.1166666666666668E-2</v>
      </c>
      <c r="EP61" s="2865">
        <f t="shared" si="790"/>
        <v>0</v>
      </c>
      <c r="EQ61" s="2865">
        <f>SUM('ПОЛНАЯ СЕБЕСТОИМОСТЬ ВОДА 2021'!BQ209)</f>
        <v>0</v>
      </c>
      <c r="ER61" s="2865">
        <f>SUM('ПОЛНАЯ СЕБЕСТОИМОСТЬ ВОДА 2021'!BR209)</f>
        <v>0</v>
      </c>
      <c r="ES61" s="2952">
        <f>SUM(ES62:ES65)</f>
        <v>-183.48</v>
      </c>
      <c r="ET61" s="2952">
        <f t="shared" ref="ET61:EU61" si="824">SUM(ET62:ET65)</f>
        <v>-183.48</v>
      </c>
      <c r="EU61" s="2952">
        <f t="shared" si="824"/>
        <v>0</v>
      </c>
      <c r="EV61" s="2946">
        <f t="shared" si="792"/>
        <v>422.5721933333333</v>
      </c>
      <c r="EW61" s="2946">
        <f t="shared" si="793"/>
        <v>422.51102666666662</v>
      </c>
      <c r="EX61" s="2946">
        <f t="shared" si="794"/>
        <v>6.1166666666666668E-2</v>
      </c>
      <c r="EY61" s="2865">
        <f t="shared" si="795"/>
        <v>0</v>
      </c>
      <c r="EZ61" s="2865">
        <f>SUM('ПОЛНАЯ СЕБЕСТОИМОСТЬ ВОДА 2021'!BT209)</f>
        <v>0</v>
      </c>
      <c r="FA61" s="2865">
        <f>SUM('ПОЛНАЯ СЕБЕСТОИМОСТЬ ВОДА 2021'!BU209)</f>
        <v>0</v>
      </c>
      <c r="FB61" s="2952">
        <f>SUM(FB62:FB65)</f>
        <v>0</v>
      </c>
      <c r="FC61" s="2952">
        <f t="shared" ref="FC61:FD61" si="825">SUM(FC62:FC65)</f>
        <v>0</v>
      </c>
      <c r="FD61" s="2952">
        <f t="shared" si="825"/>
        <v>0</v>
      </c>
      <c r="FE61" s="2946">
        <f t="shared" si="797"/>
        <v>422.5721933333333</v>
      </c>
      <c r="FF61" s="2946">
        <f t="shared" si="798"/>
        <v>422.51102666666662</v>
      </c>
      <c r="FG61" s="2946">
        <f t="shared" si="799"/>
        <v>6.1166666666666668E-2</v>
      </c>
      <c r="FH61" s="2865">
        <f t="shared" si="735"/>
        <v>696.13600000000008</v>
      </c>
      <c r="FI61" s="2865">
        <f>SUM('ПОЛНАЯ СЕБЕСТОИМОСТЬ ВОДА 2021'!BW209)</f>
        <v>696.13600000000008</v>
      </c>
      <c r="FJ61" s="2865">
        <f>SUM('ПОЛНАЯ СЕБЕСТОИМОСТЬ ВОДА 2021'!BX209)</f>
        <v>0</v>
      </c>
      <c r="FK61" s="2952">
        <f>SUM(FK62:FK65)</f>
        <v>1321.3240000000001</v>
      </c>
      <c r="FL61" s="2952">
        <f t="shared" ref="FL61:FM61" si="826">SUM(FL62:FL65)</f>
        <v>1321.3240000000001</v>
      </c>
      <c r="FM61" s="2952">
        <f t="shared" si="826"/>
        <v>0</v>
      </c>
      <c r="FN61" s="2916">
        <f t="shared" si="801"/>
        <v>1267.7165799999998</v>
      </c>
      <c r="FO61" s="2916">
        <f t="shared" si="801"/>
        <v>1267.5330799999999</v>
      </c>
      <c r="FP61" s="2916">
        <f t="shared" si="801"/>
        <v>0.1835</v>
      </c>
      <c r="FQ61" s="2926">
        <f t="shared" si="801"/>
        <v>696.13600000000008</v>
      </c>
      <c r="FR61" s="2926">
        <f t="shared" si="801"/>
        <v>696.13600000000008</v>
      </c>
      <c r="FS61" s="2926">
        <f t="shared" si="801"/>
        <v>0</v>
      </c>
      <c r="FT61" s="2926">
        <f t="shared" si="801"/>
        <v>1137.8440000000001</v>
      </c>
      <c r="FU61" s="2926">
        <f t="shared" si="801"/>
        <v>1137.8440000000001</v>
      </c>
      <c r="FV61" s="2926">
        <f t="shared" si="801"/>
        <v>0</v>
      </c>
      <c r="FW61" s="2927">
        <f t="shared" si="681"/>
        <v>-571.58057999999971</v>
      </c>
      <c r="FX61" s="2927">
        <f t="shared" si="681"/>
        <v>-571.39707999999985</v>
      </c>
      <c r="FY61" s="2927">
        <f t="shared" si="681"/>
        <v>-0.1835</v>
      </c>
      <c r="FZ61" s="2916">
        <f t="shared" si="802"/>
        <v>5070.8663199999992</v>
      </c>
      <c r="GA61" s="2916">
        <f t="shared" si="802"/>
        <v>5070.1323199999997</v>
      </c>
      <c r="GB61" s="2916">
        <f t="shared" si="802"/>
        <v>0.73399999999999999</v>
      </c>
      <c r="GC61" s="2926">
        <f t="shared" si="802"/>
        <v>2468.4229999999998</v>
      </c>
      <c r="GD61" s="2926">
        <f t="shared" si="802"/>
        <v>2468.4229999999998</v>
      </c>
      <c r="GE61" s="2926">
        <f t="shared" si="802"/>
        <v>0</v>
      </c>
      <c r="GF61" s="2926">
        <f t="shared" si="802"/>
        <v>2965.3180000000002</v>
      </c>
      <c r="GG61" s="2926">
        <f t="shared" si="802"/>
        <v>2965.3180000000002</v>
      </c>
      <c r="GH61" s="2926">
        <f t="shared" si="802"/>
        <v>0</v>
      </c>
      <c r="GI61" s="2927">
        <f t="shared" si="683"/>
        <v>-2602.4433199999994</v>
      </c>
      <c r="GJ61" s="2927">
        <f t="shared" si="683"/>
        <v>-2601.7093199999999</v>
      </c>
      <c r="GK61" s="2927">
        <f t="shared" si="683"/>
        <v>-0.73399999999999999</v>
      </c>
      <c r="GL61" s="389"/>
      <c r="GM61" s="4191">
        <f t="shared" si="684"/>
        <v>5070.8663200000001</v>
      </c>
    </row>
    <row r="62" spans="1:195" ht="18.75" x14ac:dyDescent="0.3">
      <c r="A62" s="2949" t="s">
        <v>3785</v>
      </c>
      <c r="B62" s="2951">
        <f t="shared" si="745"/>
        <v>205.74866666666668</v>
      </c>
      <c r="C62" s="2951">
        <f>SUM('ПОЛНАЯ СЕБЕСТОИМОСТЬ ВОДА 2021'!C210)/3</f>
        <v>205.6875</v>
      </c>
      <c r="D62" s="2951">
        <f>SUM('ПОЛНАЯ СЕБЕСТОИМОСТЬ ВОДА 2021'!D210)/3</f>
        <v>6.1166666666666668E-2</v>
      </c>
      <c r="E62" s="2875">
        <f t="shared" si="746"/>
        <v>0</v>
      </c>
      <c r="F62" s="2875">
        <f>SUM('ПОЛНАЯ СЕБЕСТОИМОСТЬ ВОДА 2021'!F210)</f>
        <v>0</v>
      </c>
      <c r="G62" s="2875">
        <f>SUM('ПОЛНАЯ СЕБЕСТОИМОСТЬ ВОДА 2021'!G210)</f>
        <v>0</v>
      </c>
      <c r="H62" s="2955">
        <f t="shared" si="803"/>
        <v>0</v>
      </c>
      <c r="I62" s="2955">
        <v>0</v>
      </c>
      <c r="J62" s="2955">
        <v>0</v>
      </c>
      <c r="K62" s="2951">
        <f t="shared" si="748"/>
        <v>205.74866666666668</v>
      </c>
      <c r="L62" s="2951">
        <f t="shared" si="749"/>
        <v>205.6875</v>
      </c>
      <c r="M62" s="2951">
        <f t="shared" si="750"/>
        <v>6.1166666666666668E-2</v>
      </c>
      <c r="N62" s="2875">
        <f t="shared" si="751"/>
        <v>0</v>
      </c>
      <c r="O62" s="2875">
        <f>SUM('ПОЛНАЯ СЕБЕСТОИМОСТЬ ВОДА 2021'!I210)</f>
        <v>0</v>
      </c>
      <c r="P62" s="2875">
        <f>SUM('ПОЛНАЯ СЕБЕСТОИМОСТЬ ВОДА 2021'!J210)</f>
        <v>0</v>
      </c>
      <c r="Q62" s="2955">
        <f t="shared" ref="Q62:Q66" si="827">SUM(R62:S62)</f>
        <v>0</v>
      </c>
      <c r="R62" s="2955">
        <v>0</v>
      </c>
      <c r="S62" s="2955">
        <v>0</v>
      </c>
      <c r="T62" s="2951">
        <f t="shared" si="753"/>
        <v>205.74866666666668</v>
      </c>
      <c r="U62" s="2951">
        <f t="shared" si="754"/>
        <v>205.6875</v>
      </c>
      <c r="V62" s="2951">
        <f t="shared" si="755"/>
        <v>6.1166666666666668E-2</v>
      </c>
      <c r="W62" s="2875">
        <f t="shared" si="756"/>
        <v>773.54</v>
      </c>
      <c r="X62" s="2875">
        <f>SUM('ПОЛНАЯ СЕБЕСТОИМОСТЬ ВОДА 2021'!L210)</f>
        <v>773.54</v>
      </c>
      <c r="Y62" s="2875">
        <f>SUM('ПОЛНАЯ СЕБЕСТОИМОСТЬ ВОДА 2021'!M210)</f>
        <v>0</v>
      </c>
      <c r="Z62" s="2955">
        <f t="shared" ref="Z62:Z66" si="828">SUM(AA62:AB62)</f>
        <v>875.35</v>
      </c>
      <c r="AA62" s="2955">
        <v>875.35</v>
      </c>
      <c r="AB62" s="2955">
        <v>0</v>
      </c>
      <c r="AC62" s="2921">
        <f t="shared" si="758"/>
        <v>617.24600000000009</v>
      </c>
      <c r="AD62" s="2921">
        <f t="shared" si="758"/>
        <v>617.0625</v>
      </c>
      <c r="AE62" s="2921">
        <f t="shared" si="758"/>
        <v>0.1835</v>
      </c>
      <c r="AF62" s="2932">
        <f t="shared" si="758"/>
        <v>773.54</v>
      </c>
      <c r="AG62" s="2932">
        <f t="shared" si="758"/>
        <v>773.54</v>
      </c>
      <c r="AH62" s="2932">
        <f t="shared" si="758"/>
        <v>0</v>
      </c>
      <c r="AI62" s="2932">
        <f t="shared" si="758"/>
        <v>875.35</v>
      </c>
      <c r="AJ62" s="2932">
        <f t="shared" si="758"/>
        <v>875.35</v>
      </c>
      <c r="AK62" s="2932">
        <f t="shared" si="758"/>
        <v>0</v>
      </c>
      <c r="AL62" s="2933">
        <f t="shared" si="671"/>
        <v>156.29399999999987</v>
      </c>
      <c r="AM62" s="2933">
        <f t="shared" si="671"/>
        <v>156.47749999999996</v>
      </c>
      <c r="AN62" s="2933">
        <f t="shared" si="671"/>
        <v>-0.1835</v>
      </c>
      <c r="AO62" s="2951">
        <f t="shared" si="759"/>
        <v>205.74866666666668</v>
      </c>
      <c r="AP62" s="2951">
        <f>SUM('ПОЛНАЯ СЕБЕСТОИМОСТЬ ВОДА 2021'!R210)/3</f>
        <v>205.6875</v>
      </c>
      <c r="AQ62" s="2951">
        <f>SUM('ПОЛНАЯ СЕБЕСТОИМОСТЬ ВОДА 2021'!S210)/3</f>
        <v>6.1166666666666668E-2</v>
      </c>
      <c r="AR62" s="2951">
        <f t="shared" si="760"/>
        <v>0</v>
      </c>
      <c r="AS62" s="2951">
        <f>SUM('ПОЛНАЯ СЕБЕСТОИМОСТЬ ВОДА 2021'!U210)</f>
        <v>0</v>
      </c>
      <c r="AT62" s="2951">
        <f>SUM('ПОЛНАЯ СЕБЕСТОИМОСТЬ ВОДА 2021'!V210)</f>
        <v>0</v>
      </c>
      <c r="AU62" s="2955">
        <f t="shared" ref="AU62:AU66" si="829">SUM(AV62:AW62)</f>
        <v>-852.36</v>
      </c>
      <c r="AV62" s="2955">
        <v>-852.36</v>
      </c>
      <c r="AW62" s="2955">
        <v>0</v>
      </c>
      <c r="AX62" s="2951">
        <f t="shared" si="762"/>
        <v>205.74866666666668</v>
      </c>
      <c r="AY62" s="2951">
        <f t="shared" si="763"/>
        <v>205.6875</v>
      </c>
      <c r="AZ62" s="2951">
        <f t="shared" si="764"/>
        <v>6.1166666666666668E-2</v>
      </c>
      <c r="BA62" s="2951">
        <f t="shared" si="765"/>
        <v>0</v>
      </c>
      <c r="BB62" s="2951">
        <f>SUM('ПОЛНАЯ СЕБЕСТОИМОСТЬ ВОДА 2021'!X210)</f>
        <v>0</v>
      </c>
      <c r="BC62" s="2951">
        <f>SUM('ПОЛНАЯ СЕБЕСТОИМОСТЬ ВОДА 2021'!Y210)</f>
        <v>0</v>
      </c>
      <c r="BD62" s="2955">
        <f t="shared" ref="BD62:BD66" si="830">SUM(BE62:BF62)</f>
        <v>0</v>
      </c>
      <c r="BE62" s="2955">
        <v>0</v>
      </c>
      <c r="BF62" s="2955">
        <v>0</v>
      </c>
      <c r="BG62" s="2951">
        <f t="shared" si="767"/>
        <v>205.74866666666668</v>
      </c>
      <c r="BH62" s="2951">
        <f t="shared" si="768"/>
        <v>205.6875</v>
      </c>
      <c r="BI62" s="2951">
        <f t="shared" si="769"/>
        <v>6.1166666666666668E-2</v>
      </c>
      <c r="BJ62" s="2875">
        <f t="shared" si="770"/>
        <v>318.95800000000003</v>
      </c>
      <c r="BK62" s="2875">
        <f>SUM('ПОЛНАЯ СЕБЕСТОИМОСТЬ ВОДА 2021'!AA210)</f>
        <v>318.95800000000003</v>
      </c>
      <c r="BL62" s="2875">
        <f>SUM('ПОЛНАЯ СЕБЕСТОИМОСТЬ ВОДА 2021'!AB210)</f>
        <v>0</v>
      </c>
      <c r="BM62" s="2955">
        <f t="shared" ref="BM62:BM66" si="831">SUM(BN62:BO62)</f>
        <v>875.34500000000003</v>
      </c>
      <c r="BN62" s="2955">
        <v>875.34500000000003</v>
      </c>
      <c r="BO62" s="2955">
        <v>0</v>
      </c>
      <c r="BP62" s="2921">
        <f t="shared" si="772"/>
        <v>617.24600000000009</v>
      </c>
      <c r="BQ62" s="2921">
        <f t="shared" si="772"/>
        <v>617.0625</v>
      </c>
      <c r="BR62" s="2921">
        <f t="shared" si="772"/>
        <v>0.1835</v>
      </c>
      <c r="BS62" s="2957">
        <f t="shared" si="772"/>
        <v>318.95800000000003</v>
      </c>
      <c r="BT62" s="2957">
        <f t="shared" si="772"/>
        <v>318.95800000000003</v>
      </c>
      <c r="BU62" s="2957">
        <f t="shared" si="772"/>
        <v>0</v>
      </c>
      <c r="BV62" s="2957">
        <f t="shared" si="772"/>
        <v>22.985000000000014</v>
      </c>
      <c r="BW62" s="2957">
        <f t="shared" si="772"/>
        <v>22.985000000000014</v>
      </c>
      <c r="BX62" s="2957">
        <f t="shared" si="772"/>
        <v>0</v>
      </c>
      <c r="BY62" s="2919">
        <f t="shared" si="673"/>
        <v>-298.28800000000007</v>
      </c>
      <c r="BZ62" s="2919">
        <f t="shared" si="673"/>
        <v>-298.10449999999997</v>
      </c>
      <c r="CA62" s="2919">
        <f t="shared" si="673"/>
        <v>-0.1835</v>
      </c>
      <c r="CB62" s="2921">
        <f t="shared" si="773"/>
        <v>1234.4920000000002</v>
      </c>
      <c r="CC62" s="2921">
        <f t="shared" si="773"/>
        <v>1234.125</v>
      </c>
      <c r="CD62" s="2921">
        <f t="shared" si="773"/>
        <v>0.36699999999999999</v>
      </c>
      <c r="CE62" s="2957">
        <f t="shared" si="773"/>
        <v>1092.498</v>
      </c>
      <c r="CF62" s="2957">
        <f t="shared" si="773"/>
        <v>1092.498</v>
      </c>
      <c r="CG62" s="2957">
        <f t="shared" si="773"/>
        <v>0</v>
      </c>
      <c r="CH62" s="2957">
        <f t="shared" si="773"/>
        <v>898.33500000000004</v>
      </c>
      <c r="CI62" s="2957">
        <f t="shared" si="773"/>
        <v>898.33500000000004</v>
      </c>
      <c r="CJ62" s="2957">
        <f t="shared" si="773"/>
        <v>0</v>
      </c>
      <c r="CK62" s="2919">
        <f t="shared" si="675"/>
        <v>-141.99400000000014</v>
      </c>
      <c r="CL62" s="2919">
        <f t="shared" si="675"/>
        <v>-141.62699999999995</v>
      </c>
      <c r="CM62" s="2919">
        <f t="shared" si="675"/>
        <v>-0.36699999999999999</v>
      </c>
      <c r="CN62" s="2951">
        <f t="shared" si="774"/>
        <v>205.74866666666668</v>
      </c>
      <c r="CO62" s="2951">
        <f>SUM('ПОЛНАЯ СЕБЕСТОИМОСТЬ ВОДА 2021'!AP210)/3</f>
        <v>205.6875</v>
      </c>
      <c r="CP62" s="2951">
        <f>SUM('ПОЛНАЯ СЕБЕСТОИМОСТЬ ВОДА 2021'!AQ210)/3</f>
        <v>6.1166666666666668E-2</v>
      </c>
      <c r="CQ62" s="2875">
        <f t="shared" si="775"/>
        <v>369.16</v>
      </c>
      <c r="CR62" s="2875">
        <f>SUM('ПОЛНАЯ СЕБЕСТОИМОСТЬ ВОДА 2021'!AS210)</f>
        <v>369.16</v>
      </c>
      <c r="CS62" s="2875">
        <f>SUM('ПОЛНАЯ СЕБЕСТОИМОСТЬ ВОДА 2021'!AT210)</f>
        <v>0</v>
      </c>
      <c r="CT62" s="2955">
        <f t="shared" ref="CT62:CT66" si="832">SUM(CU62:CV62)</f>
        <v>0</v>
      </c>
      <c r="CU62" s="2955">
        <v>0</v>
      </c>
      <c r="CV62" s="2955">
        <v>0</v>
      </c>
      <c r="CW62" s="2951">
        <f t="shared" si="777"/>
        <v>205.74866666666668</v>
      </c>
      <c r="CX62" s="2951">
        <f t="shared" si="778"/>
        <v>205.6875</v>
      </c>
      <c r="CY62" s="2951">
        <f t="shared" si="779"/>
        <v>6.1166666666666668E-2</v>
      </c>
      <c r="CZ62" s="2875">
        <f t="shared" si="780"/>
        <v>-314.90199999999999</v>
      </c>
      <c r="DA62" s="2875">
        <f>SUM('ПОЛНАЯ СЕБЕСТОИМОСТЬ ВОДА 2021'!AV210)</f>
        <v>-314.90199999999999</v>
      </c>
      <c r="DB62" s="2875">
        <f>SUM('ПОЛНАЯ СЕБЕСТОИМОСТЬ ВОДА 2021'!AW210)</f>
        <v>0</v>
      </c>
      <c r="DC62" s="2955">
        <f t="shared" ref="DC62:DC66" si="833">SUM(DD62:DE62)</f>
        <v>0</v>
      </c>
      <c r="DD62" s="2955">
        <v>0</v>
      </c>
      <c r="DE62" s="2955">
        <v>0</v>
      </c>
      <c r="DF62" s="2951">
        <f t="shared" si="782"/>
        <v>205.74866666666668</v>
      </c>
      <c r="DG62" s="2951">
        <f t="shared" si="783"/>
        <v>205.6875</v>
      </c>
      <c r="DH62" s="2951">
        <f t="shared" si="784"/>
        <v>6.1166666666666668E-2</v>
      </c>
      <c r="DI62" s="2875">
        <f t="shared" si="785"/>
        <v>557.49199999999996</v>
      </c>
      <c r="DJ62" s="2875">
        <f>SUM('ПОЛНАЯ СЕБЕСТОИМОСТЬ ВОДА 2021'!AY210)</f>
        <v>557.49199999999996</v>
      </c>
      <c r="DK62" s="2875">
        <f>SUM('ПОЛНАЯ СЕБЕСТОИМОСТЬ ВОДА 2021'!AZ210)</f>
        <v>0</v>
      </c>
      <c r="DL62" s="2955">
        <f t="shared" ref="DL62:DL66" si="834">SUM(DM62:DN62)</f>
        <v>875.35</v>
      </c>
      <c r="DM62" s="2955">
        <v>875.35</v>
      </c>
      <c r="DN62" s="2955">
        <v>0</v>
      </c>
      <c r="DO62" s="2921">
        <f t="shared" si="787"/>
        <v>617.24600000000009</v>
      </c>
      <c r="DP62" s="2921">
        <f t="shared" si="787"/>
        <v>617.0625</v>
      </c>
      <c r="DQ62" s="2921">
        <f t="shared" si="787"/>
        <v>0.1835</v>
      </c>
      <c r="DR62" s="2957">
        <f t="shared" si="787"/>
        <v>611.75</v>
      </c>
      <c r="DS62" s="2957">
        <f t="shared" si="787"/>
        <v>611.75</v>
      </c>
      <c r="DT62" s="2957">
        <f t="shared" si="787"/>
        <v>0</v>
      </c>
      <c r="DU62" s="2957">
        <f t="shared" si="787"/>
        <v>875.35</v>
      </c>
      <c r="DV62" s="2957">
        <f t="shared" si="787"/>
        <v>875.35</v>
      </c>
      <c r="DW62" s="2957">
        <f t="shared" si="787"/>
        <v>0</v>
      </c>
      <c r="DX62" s="2919">
        <f t="shared" si="677"/>
        <v>-5.4960000000000946</v>
      </c>
      <c r="DY62" s="2919">
        <f t="shared" si="677"/>
        <v>-5.3125</v>
      </c>
      <c r="DZ62" s="2919">
        <f t="shared" si="677"/>
        <v>-0.1835</v>
      </c>
      <c r="EA62" s="2921">
        <f t="shared" si="788"/>
        <v>1851.7380000000003</v>
      </c>
      <c r="EB62" s="2921">
        <f t="shared" si="788"/>
        <v>1851.1875</v>
      </c>
      <c r="EC62" s="2921">
        <f t="shared" si="788"/>
        <v>0.55049999999999999</v>
      </c>
      <c r="ED62" s="2957">
        <f t="shared" si="788"/>
        <v>1704.248</v>
      </c>
      <c r="EE62" s="2957">
        <f t="shared" si="788"/>
        <v>1704.248</v>
      </c>
      <c r="EF62" s="2957">
        <f t="shared" si="788"/>
        <v>0</v>
      </c>
      <c r="EG62" s="2957">
        <f t="shared" si="788"/>
        <v>1773.6849999999999</v>
      </c>
      <c r="EH62" s="2957">
        <f t="shared" si="788"/>
        <v>1773.6849999999999</v>
      </c>
      <c r="EI62" s="2957">
        <f t="shared" si="788"/>
        <v>0</v>
      </c>
      <c r="EJ62" s="2919">
        <f t="shared" si="679"/>
        <v>-147.49000000000024</v>
      </c>
      <c r="EK62" s="2919">
        <f t="shared" si="679"/>
        <v>-146.93949999999995</v>
      </c>
      <c r="EL62" s="2919">
        <f t="shared" si="679"/>
        <v>-0.55049999999999999</v>
      </c>
      <c r="EM62" s="2951">
        <f t="shared" si="789"/>
        <v>205.74866666666668</v>
      </c>
      <c r="EN62" s="2951">
        <f>SUM('ПОЛНАЯ СЕБЕСТОИМОСТЬ ВОДА 2021'!BN210)/3</f>
        <v>205.6875</v>
      </c>
      <c r="EO62" s="2951">
        <f>SUM('ПОЛНАЯ СЕБЕСТОИМОСТЬ ВОДА 2021'!BO210)/3</f>
        <v>6.1166666666666668E-2</v>
      </c>
      <c r="EP62" s="2875">
        <f t="shared" si="790"/>
        <v>0</v>
      </c>
      <c r="EQ62" s="2875">
        <f>SUM('ПОЛНАЯ СЕБЕСТОИМОСТЬ ВОДА 2021'!BQ210)</f>
        <v>0</v>
      </c>
      <c r="ER62" s="2875">
        <f>SUM('ПОЛНАЯ СЕБЕСТОИМОСТЬ ВОДА 2021'!BR210)</f>
        <v>0</v>
      </c>
      <c r="ES62" s="2955">
        <f t="shared" ref="ES62:ES66" si="835">SUM(ET62:EU62)</f>
        <v>-183.48</v>
      </c>
      <c r="ET62" s="2955">
        <v>-183.48</v>
      </c>
      <c r="EU62" s="2955">
        <v>0</v>
      </c>
      <c r="EV62" s="2951">
        <f t="shared" si="792"/>
        <v>205.74866666666668</v>
      </c>
      <c r="EW62" s="2951">
        <f t="shared" si="793"/>
        <v>205.6875</v>
      </c>
      <c r="EX62" s="2951">
        <f t="shared" si="794"/>
        <v>6.1166666666666668E-2</v>
      </c>
      <c r="EY62" s="2875">
        <f t="shared" si="795"/>
        <v>0</v>
      </c>
      <c r="EZ62" s="2875">
        <f>SUM('ПОЛНАЯ СЕБЕСТОИМОСТЬ ВОДА 2021'!BT210)</f>
        <v>0</v>
      </c>
      <c r="FA62" s="2875">
        <f>SUM('ПОЛНАЯ СЕБЕСТОИМОСТЬ ВОДА 2021'!BU210)</f>
        <v>0</v>
      </c>
      <c r="FB62" s="2955">
        <f t="shared" ref="FB62:FB66" si="836">SUM(FC62:FD62)</f>
        <v>0</v>
      </c>
      <c r="FC62" s="2955">
        <v>0</v>
      </c>
      <c r="FD62" s="2955">
        <v>0</v>
      </c>
      <c r="FE62" s="2951">
        <f t="shared" si="797"/>
        <v>205.74866666666668</v>
      </c>
      <c r="FF62" s="2951">
        <f t="shared" si="798"/>
        <v>205.6875</v>
      </c>
      <c r="FG62" s="2951">
        <f t="shared" si="799"/>
        <v>6.1166666666666668E-2</v>
      </c>
      <c r="FH62" s="2875">
        <f t="shared" si="735"/>
        <v>673.78700000000003</v>
      </c>
      <c r="FI62" s="2875">
        <f>SUM('ПОЛНАЯ СЕБЕСТОИМОСТЬ ВОДА 2021'!BW210)</f>
        <v>673.78700000000003</v>
      </c>
      <c r="FJ62" s="2875">
        <f>SUM('ПОЛНАЯ СЕБЕСТОИМОСТЬ ВОДА 2021'!BX210)</f>
        <v>0</v>
      </c>
      <c r="FK62" s="2955">
        <f t="shared" ref="FK62:FK66" si="837">SUM(FL62:FM62)</f>
        <v>1303.72</v>
      </c>
      <c r="FL62" s="2955">
        <v>1303.72</v>
      </c>
      <c r="FM62" s="2955">
        <v>0</v>
      </c>
      <c r="FN62" s="2921">
        <f t="shared" si="801"/>
        <v>617.24600000000009</v>
      </c>
      <c r="FO62" s="2921">
        <f t="shared" si="801"/>
        <v>617.0625</v>
      </c>
      <c r="FP62" s="2921">
        <f t="shared" si="801"/>
        <v>0.1835</v>
      </c>
      <c r="FQ62" s="2932">
        <f t="shared" si="801"/>
        <v>673.78700000000003</v>
      </c>
      <c r="FR62" s="2932">
        <f t="shared" si="801"/>
        <v>673.78700000000003</v>
      </c>
      <c r="FS62" s="2932">
        <f t="shared" si="801"/>
        <v>0</v>
      </c>
      <c r="FT62" s="2932">
        <f t="shared" si="801"/>
        <v>1120.24</v>
      </c>
      <c r="FU62" s="2932">
        <f t="shared" si="801"/>
        <v>1120.24</v>
      </c>
      <c r="FV62" s="2932">
        <f t="shared" si="801"/>
        <v>0</v>
      </c>
      <c r="FW62" s="2933">
        <f t="shared" si="681"/>
        <v>56.54099999999994</v>
      </c>
      <c r="FX62" s="2933">
        <f t="shared" si="681"/>
        <v>56.724500000000035</v>
      </c>
      <c r="FY62" s="2933">
        <f t="shared" si="681"/>
        <v>-0.1835</v>
      </c>
      <c r="FZ62" s="2921">
        <f t="shared" si="802"/>
        <v>2468.9840000000004</v>
      </c>
      <c r="GA62" s="2921">
        <f t="shared" si="802"/>
        <v>2468.25</v>
      </c>
      <c r="GB62" s="2921">
        <f t="shared" si="802"/>
        <v>0.73399999999999999</v>
      </c>
      <c r="GC62" s="2932">
        <f t="shared" si="802"/>
        <v>2378.0349999999999</v>
      </c>
      <c r="GD62" s="2932">
        <f t="shared" si="802"/>
        <v>2378.0349999999999</v>
      </c>
      <c r="GE62" s="2932">
        <f t="shared" si="802"/>
        <v>0</v>
      </c>
      <c r="GF62" s="2932">
        <f t="shared" si="802"/>
        <v>2893.9250000000002</v>
      </c>
      <c r="GG62" s="2932">
        <f t="shared" si="802"/>
        <v>2893.9250000000002</v>
      </c>
      <c r="GH62" s="2932">
        <f t="shared" si="802"/>
        <v>0</v>
      </c>
      <c r="GI62" s="2933">
        <f t="shared" si="683"/>
        <v>-90.949000000000524</v>
      </c>
      <c r="GJ62" s="2933">
        <f t="shared" si="683"/>
        <v>-90.215000000000146</v>
      </c>
      <c r="GK62" s="2933">
        <f t="shared" si="683"/>
        <v>-0.73399999999999999</v>
      </c>
      <c r="GL62" s="389"/>
      <c r="GM62" s="4191">
        <f t="shared" si="684"/>
        <v>2468.9840000000004</v>
      </c>
    </row>
    <row r="63" spans="1:195" ht="18.75" x14ac:dyDescent="0.3">
      <c r="A63" s="2949" t="s">
        <v>524</v>
      </c>
      <c r="B63" s="2951">
        <f t="shared" si="745"/>
        <v>6.5966666666666667</v>
      </c>
      <c r="C63" s="2951">
        <f>SUM('ПОЛНАЯ СЕБЕСТОИМОСТЬ ВОДА 2021'!C211)/3</f>
        <v>6.5966666666666667</v>
      </c>
      <c r="D63" s="2951">
        <f>SUM('ПОЛНАЯ СЕБЕСТОИМОСТЬ ВОДА 2021'!D211)/3</f>
        <v>0</v>
      </c>
      <c r="E63" s="2875">
        <f t="shared" si="746"/>
        <v>0</v>
      </c>
      <c r="F63" s="2875">
        <f>SUM('ПОЛНАЯ СЕБЕСТОИМОСТЬ ВОДА 2021'!F211)</f>
        <v>0</v>
      </c>
      <c r="G63" s="2875">
        <f>SUM('ПОЛНАЯ СЕБЕСТОИМОСТЬ ВОДА 2021'!G211)</f>
        <v>0</v>
      </c>
      <c r="H63" s="2955">
        <f t="shared" si="803"/>
        <v>0</v>
      </c>
      <c r="I63" s="2955">
        <v>0</v>
      </c>
      <c r="J63" s="2955">
        <v>0</v>
      </c>
      <c r="K63" s="2951">
        <f t="shared" si="748"/>
        <v>6.5966666666666667</v>
      </c>
      <c r="L63" s="2951">
        <f t="shared" si="749"/>
        <v>6.5966666666666667</v>
      </c>
      <c r="M63" s="2951">
        <f t="shared" si="750"/>
        <v>0</v>
      </c>
      <c r="N63" s="2875">
        <f t="shared" si="751"/>
        <v>0</v>
      </c>
      <c r="O63" s="2875">
        <f>SUM('ПОЛНАЯ СЕБЕСТОИМОСТЬ ВОДА 2021'!I211)</f>
        <v>0</v>
      </c>
      <c r="P63" s="2875">
        <f>SUM('ПОЛНАЯ СЕБЕСТОИМОСТЬ ВОДА 2021'!J211)</f>
        <v>0</v>
      </c>
      <c r="Q63" s="2955">
        <f t="shared" si="827"/>
        <v>0</v>
      </c>
      <c r="R63" s="2955">
        <v>0</v>
      </c>
      <c r="S63" s="2955">
        <v>0</v>
      </c>
      <c r="T63" s="2951">
        <f t="shared" si="753"/>
        <v>6.5966666666666667</v>
      </c>
      <c r="U63" s="2951">
        <f t="shared" si="754"/>
        <v>6.5966666666666667</v>
      </c>
      <c r="V63" s="2951">
        <f t="shared" si="755"/>
        <v>0</v>
      </c>
      <c r="W63" s="2875">
        <f t="shared" si="756"/>
        <v>22.62</v>
      </c>
      <c r="X63" s="2875">
        <f>SUM('ПОЛНАЯ СЕБЕСТОИМОСТЬ ВОДА 2021'!L211)</f>
        <v>22.62</v>
      </c>
      <c r="Y63" s="2875">
        <f>SUM('ПОЛНАЯ СЕБЕСТОИМОСТЬ ВОДА 2021'!M211)</f>
        <v>0</v>
      </c>
      <c r="Z63" s="2955">
        <f t="shared" si="828"/>
        <v>17.93</v>
      </c>
      <c r="AA63" s="2955">
        <v>17.93</v>
      </c>
      <c r="AB63" s="2955">
        <v>0</v>
      </c>
      <c r="AC63" s="2921">
        <f t="shared" si="758"/>
        <v>19.79</v>
      </c>
      <c r="AD63" s="2921">
        <f t="shared" si="758"/>
        <v>19.79</v>
      </c>
      <c r="AE63" s="2921">
        <f t="shared" si="758"/>
        <v>0</v>
      </c>
      <c r="AF63" s="2932">
        <f t="shared" si="758"/>
        <v>22.62</v>
      </c>
      <c r="AG63" s="2932">
        <f t="shared" si="758"/>
        <v>22.62</v>
      </c>
      <c r="AH63" s="2932">
        <f t="shared" si="758"/>
        <v>0</v>
      </c>
      <c r="AI63" s="2932">
        <f t="shared" si="758"/>
        <v>17.93</v>
      </c>
      <c r="AJ63" s="2932">
        <f t="shared" si="758"/>
        <v>17.93</v>
      </c>
      <c r="AK63" s="2932">
        <f t="shared" si="758"/>
        <v>0</v>
      </c>
      <c r="AL63" s="2933">
        <f t="shared" si="671"/>
        <v>2.8300000000000018</v>
      </c>
      <c r="AM63" s="2933">
        <f t="shared" si="671"/>
        <v>2.8300000000000018</v>
      </c>
      <c r="AN63" s="2933">
        <f t="shared" si="671"/>
        <v>0</v>
      </c>
      <c r="AO63" s="2951">
        <f t="shared" si="759"/>
        <v>6.5966666666666667</v>
      </c>
      <c r="AP63" s="2951">
        <f>SUM('ПОЛНАЯ СЕБЕСТОИМОСТЬ ВОДА 2021'!R211)/3</f>
        <v>6.5966666666666667</v>
      </c>
      <c r="AQ63" s="2951">
        <f>SUM('ПОЛНАЯ СЕБЕСТОИМОСТЬ ВОДА 2021'!S211)/3</f>
        <v>0</v>
      </c>
      <c r="AR63" s="2951">
        <f t="shared" si="760"/>
        <v>0</v>
      </c>
      <c r="AS63" s="2951">
        <f>SUM('ПОЛНАЯ СЕБЕСТОИМОСТЬ ВОДА 2021'!U211)</f>
        <v>0</v>
      </c>
      <c r="AT63" s="2951">
        <f>SUM('ПОЛНАЯ СЕБЕСТОИМОСТЬ ВОДА 2021'!V211)</f>
        <v>0</v>
      </c>
      <c r="AU63" s="2955">
        <f t="shared" si="829"/>
        <v>0</v>
      </c>
      <c r="AV63" s="2955">
        <v>0</v>
      </c>
      <c r="AW63" s="2955">
        <v>0</v>
      </c>
      <c r="AX63" s="2951">
        <f t="shared" si="762"/>
        <v>6.5966666666666667</v>
      </c>
      <c r="AY63" s="2951">
        <f t="shared" si="763"/>
        <v>6.5966666666666667</v>
      </c>
      <c r="AZ63" s="2951">
        <f t="shared" si="764"/>
        <v>0</v>
      </c>
      <c r="BA63" s="2951">
        <f t="shared" si="765"/>
        <v>0</v>
      </c>
      <c r="BB63" s="2951">
        <f>SUM('ПОЛНАЯ СЕБЕСТОИМОСТЬ ВОДА 2021'!X211)</f>
        <v>0</v>
      </c>
      <c r="BC63" s="2951">
        <f>SUM('ПОЛНАЯ СЕБЕСТОИМОСТЬ ВОДА 2021'!Y211)</f>
        <v>0</v>
      </c>
      <c r="BD63" s="2955">
        <f t="shared" si="830"/>
        <v>0</v>
      </c>
      <c r="BE63" s="2955">
        <v>0</v>
      </c>
      <c r="BF63" s="2955">
        <v>0</v>
      </c>
      <c r="BG63" s="2951">
        <f t="shared" si="767"/>
        <v>6.5966666666666667</v>
      </c>
      <c r="BH63" s="2951">
        <f t="shared" si="768"/>
        <v>6.5966666666666667</v>
      </c>
      <c r="BI63" s="2951">
        <f t="shared" si="769"/>
        <v>0</v>
      </c>
      <c r="BJ63" s="2875">
        <f t="shared" si="770"/>
        <v>22.597999999999999</v>
      </c>
      <c r="BK63" s="2875">
        <f>SUM('ПОЛНАЯ СЕБЕСТОИМОСТЬ ВОДА 2021'!AA211)</f>
        <v>22.597999999999999</v>
      </c>
      <c r="BL63" s="2875">
        <f>SUM('ПОЛНАЯ СЕБЕСТОИМОСТЬ ВОДА 2021'!AB211)</f>
        <v>0</v>
      </c>
      <c r="BM63" s="2955">
        <f t="shared" si="831"/>
        <v>17.928999999999998</v>
      </c>
      <c r="BN63" s="2955">
        <v>17.928999999999998</v>
      </c>
      <c r="BO63" s="2955">
        <v>0</v>
      </c>
      <c r="BP63" s="2921">
        <f t="shared" si="772"/>
        <v>19.79</v>
      </c>
      <c r="BQ63" s="2921">
        <f t="shared" si="772"/>
        <v>19.79</v>
      </c>
      <c r="BR63" s="2921">
        <f t="shared" si="772"/>
        <v>0</v>
      </c>
      <c r="BS63" s="2957">
        <f t="shared" si="772"/>
        <v>22.597999999999999</v>
      </c>
      <c r="BT63" s="2957">
        <f t="shared" si="772"/>
        <v>22.597999999999999</v>
      </c>
      <c r="BU63" s="2957">
        <f t="shared" si="772"/>
        <v>0</v>
      </c>
      <c r="BV63" s="2957">
        <f t="shared" si="772"/>
        <v>17.928999999999998</v>
      </c>
      <c r="BW63" s="2957">
        <f t="shared" si="772"/>
        <v>17.928999999999998</v>
      </c>
      <c r="BX63" s="2957">
        <f t="shared" si="772"/>
        <v>0</v>
      </c>
      <c r="BY63" s="2919">
        <f t="shared" si="673"/>
        <v>2.8079999999999998</v>
      </c>
      <c r="BZ63" s="2919">
        <f t="shared" si="673"/>
        <v>2.8079999999999998</v>
      </c>
      <c r="CA63" s="2919">
        <f t="shared" si="673"/>
        <v>0</v>
      </c>
      <c r="CB63" s="2921">
        <f t="shared" si="773"/>
        <v>39.58</v>
      </c>
      <c r="CC63" s="2921">
        <f t="shared" si="773"/>
        <v>39.58</v>
      </c>
      <c r="CD63" s="2921">
        <f t="shared" si="773"/>
        <v>0</v>
      </c>
      <c r="CE63" s="2957">
        <f t="shared" si="773"/>
        <v>45.218000000000004</v>
      </c>
      <c r="CF63" s="2957">
        <f t="shared" si="773"/>
        <v>45.218000000000004</v>
      </c>
      <c r="CG63" s="2957">
        <f t="shared" si="773"/>
        <v>0</v>
      </c>
      <c r="CH63" s="2957">
        <f t="shared" si="773"/>
        <v>35.858999999999995</v>
      </c>
      <c r="CI63" s="2957">
        <f t="shared" si="773"/>
        <v>35.858999999999995</v>
      </c>
      <c r="CJ63" s="2957">
        <f t="shared" si="773"/>
        <v>0</v>
      </c>
      <c r="CK63" s="2919">
        <f t="shared" si="675"/>
        <v>5.6380000000000052</v>
      </c>
      <c r="CL63" s="2919">
        <f t="shared" si="675"/>
        <v>5.6380000000000052</v>
      </c>
      <c r="CM63" s="2919">
        <f t="shared" si="675"/>
        <v>0</v>
      </c>
      <c r="CN63" s="2951">
        <f t="shared" si="774"/>
        <v>6.5966666666666667</v>
      </c>
      <c r="CO63" s="2951">
        <f>SUM('ПОЛНАЯ СЕБЕСТОИМОСТЬ ВОДА 2021'!AP211)/3</f>
        <v>6.5966666666666667</v>
      </c>
      <c r="CP63" s="2951">
        <f>SUM('ПОЛНАЯ СЕБЕСТОИМОСТЬ ВОДА 2021'!AQ211)/3</f>
        <v>0</v>
      </c>
      <c r="CQ63" s="2875">
        <f t="shared" si="775"/>
        <v>0</v>
      </c>
      <c r="CR63" s="2875">
        <f>SUM('ПОЛНАЯ СЕБЕСТОИМОСТЬ ВОДА 2021'!AS211)</f>
        <v>0</v>
      </c>
      <c r="CS63" s="2875">
        <f>SUM('ПОЛНАЯ СЕБЕСТОИМОСТЬ ВОДА 2021'!AT211)</f>
        <v>0</v>
      </c>
      <c r="CT63" s="2955">
        <f t="shared" si="832"/>
        <v>0</v>
      </c>
      <c r="CU63" s="2955">
        <v>0</v>
      </c>
      <c r="CV63" s="2955">
        <v>0</v>
      </c>
      <c r="CW63" s="2951">
        <f t="shared" si="777"/>
        <v>6.5966666666666667</v>
      </c>
      <c r="CX63" s="2951">
        <f t="shared" si="778"/>
        <v>6.5966666666666667</v>
      </c>
      <c r="CY63" s="2951">
        <f t="shared" si="779"/>
        <v>0</v>
      </c>
      <c r="CZ63" s="2875">
        <f t="shared" si="780"/>
        <v>0</v>
      </c>
      <c r="DA63" s="2875">
        <f>SUM('ПОЛНАЯ СЕБЕСТОИМОСТЬ ВОДА 2021'!AV211)</f>
        <v>0</v>
      </c>
      <c r="DB63" s="2875">
        <f>SUM('ПОЛНАЯ СЕБЕСТОИМОСТЬ ВОДА 2021'!AW211)</f>
        <v>0</v>
      </c>
      <c r="DC63" s="2955">
        <f t="shared" si="833"/>
        <v>0</v>
      </c>
      <c r="DD63" s="2955">
        <v>0</v>
      </c>
      <c r="DE63" s="2955">
        <v>0</v>
      </c>
      <c r="DF63" s="2951">
        <f t="shared" si="782"/>
        <v>6.5966666666666667</v>
      </c>
      <c r="DG63" s="2951">
        <f t="shared" si="783"/>
        <v>6.5966666666666667</v>
      </c>
      <c r="DH63" s="2951">
        <f t="shared" si="784"/>
        <v>0</v>
      </c>
      <c r="DI63" s="2875">
        <f t="shared" si="785"/>
        <v>22.821000000000002</v>
      </c>
      <c r="DJ63" s="2875">
        <f>SUM('ПОЛНАЯ СЕБЕСТОИМОСТЬ ВОДА 2021'!AY211)</f>
        <v>22.821000000000002</v>
      </c>
      <c r="DK63" s="2875">
        <f>SUM('ПОЛНАЯ СЕБЕСТОИМОСТЬ ВОДА 2021'!AZ211)</f>
        <v>0</v>
      </c>
      <c r="DL63" s="2955">
        <f t="shared" si="834"/>
        <v>17.93</v>
      </c>
      <c r="DM63" s="2955">
        <v>17.93</v>
      </c>
      <c r="DN63" s="2955">
        <v>0</v>
      </c>
      <c r="DO63" s="2921">
        <f t="shared" si="787"/>
        <v>19.79</v>
      </c>
      <c r="DP63" s="2921">
        <f t="shared" si="787"/>
        <v>19.79</v>
      </c>
      <c r="DQ63" s="2921">
        <f t="shared" si="787"/>
        <v>0</v>
      </c>
      <c r="DR63" s="2957">
        <f t="shared" si="787"/>
        <v>22.821000000000002</v>
      </c>
      <c r="DS63" s="2957">
        <f t="shared" si="787"/>
        <v>22.821000000000002</v>
      </c>
      <c r="DT63" s="2957">
        <f t="shared" si="787"/>
        <v>0</v>
      </c>
      <c r="DU63" s="2957">
        <f t="shared" si="787"/>
        <v>17.93</v>
      </c>
      <c r="DV63" s="2957">
        <f t="shared" si="787"/>
        <v>17.93</v>
      </c>
      <c r="DW63" s="2957">
        <f t="shared" si="787"/>
        <v>0</v>
      </c>
      <c r="DX63" s="2919">
        <f t="shared" si="677"/>
        <v>3.0310000000000024</v>
      </c>
      <c r="DY63" s="2919">
        <f t="shared" si="677"/>
        <v>3.0310000000000024</v>
      </c>
      <c r="DZ63" s="2919">
        <f t="shared" si="677"/>
        <v>0</v>
      </c>
      <c r="EA63" s="2921">
        <f t="shared" si="788"/>
        <v>59.37</v>
      </c>
      <c r="EB63" s="2921">
        <f t="shared" si="788"/>
        <v>59.37</v>
      </c>
      <c r="EC63" s="2921">
        <f t="shared" si="788"/>
        <v>0</v>
      </c>
      <c r="ED63" s="2957">
        <f t="shared" si="788"/>
        <v>68.039000000000001</v>
      </c>
      <c r="EE63" s="2957">
        <f t="shared" si="788"/>
        <v>68.039000000000001</v>
      </c>
      <c r="EF63" s="2957">
        <f t="shared" si="788"/>
        <v>0</v>
      </c>
      <c r="EG63" s="2957">
        <f t="shared" si="788"/>
        <v>53.788999999999994</v>
      </c>
      <c r="EH63" s="2957">
        <f t="shared" si="788"/>
        <v>53.788999999999994</v>
      </c>
      <c r="EI63" s="2957">
        <f t="shared" si="788"/>
        <v>0</v>
      </c>
      <c r="EJ63" s="2919">
        <f t="shared" si="679"/>
        <v>8.669000000000004</v>
      </c>
      <c r="EK63" s="2919">
        <f t="shared" si="679"/>
        <v>8.669000000000004</v>
      </c>
      <c r="EL63" s="2919">
        <f t="shared" si="679"/>
        <v>0</v>
      </c>
      <c r="EM63" s="2951">
        <f t="shared" si="789"/>
        <v>6.5966666666666667</v>
      </c>
      <c r="EN63" s="2951">
        <f>SUM('ПОЛНАЯ СЕБЕСТОИМОСТЬ ВОДА 2021'!BN211)/3</f>
        <v>6.5966666666666667</v>
      </c>
      <c r="EO63" s="2951">
        <f>SUM('ПОЛНАЯ СЕБЕСТОИМОСТЬ ВОДА 2021'!BO211)/3</f>
        <v>0</v>
      </c>
      <c r="EP63" s="2875">
        <f t="shared" si="790"/>
        <v>0</v>
      </c>
      <c r="EQ63" s="2875">
        <f>SUM('ПОЛНАЯ СЕБЕСТОИМОСТЬ ВОДА 2021'!BQ211)</f>
        <v>0</v>
      </c>
      <c r="ER63" s="2875">
        <f>SUM('ПОЛНАЯ СЕБЕСТОИМОСТЬ ВОДА 2021'!BR211)</f>
        <v>0</v>
      </c>
      <c r="ES63" s="2955">
        <f t="shared" si="835"/>
        <v>0</v>
      </c>
      <c r="ET63" s="2955">
        <v>0</v>
      </c>
      <c r="EU63" s="2955">
        <v>0</v>
      </c>
      <c r="EV63" s="2951">
        <f t="shared" si="792"/>
        <v>6.5966666666666667</v>
      </c>
      <c r="EW63" s="2951">
        <f t="shared" si="793"/>
        <v>6.5966666666666667</v>
      </c>
      <c r="EX63" s="2951">
        <f t="shared" si="794"/>
        <v>0</v>
      </c>
      <c r="EY63" s="2875">
        <f t="shared" si="795"/>
        <v>0</v>
      </c>
      <c r="EZ63" s="2875">
        <f>SUM('ПОЛНАЯ СЕБЕСТОИМОСТЬ ВОДА 2021'!BT211)</f>
        <v>0</v>
      </c>
      <c r="FA63" s="2875">
        <f>SUM('ПОЛНАЯ СЕБЕСТОИМОСТЬ ВОДА 2021'!BU211)</f>
        <v>0</v>
      </c>
      <c r="FB63" s="2955">
        <f t="shared" si="836"/>
        <v>0</v>
      </c>
      <c r="FC63" s="2955">
        <v>0</v>
      </c>
      <c r="FD63" s="2955">
        <v>0</v>
      </c>
      <c r="FE63" s="2951">
        <f t="shared" si="797"/>
        <v>6.5966666666666667</v>
      </c>
      <c r="FF63" s="2951">
        <f t="shared" si="798"/>
        <v>6.5966666666666667</v>
      </c>
      <c r="FG63" s="2951">
        <f t="shared" si="799"/>
        <v>0</v>
      </c>
      <c r="FH63" s="2875">
        <f t="shared" si="735"/>
        <v>22.349</v>
      </c>
      <c r="FI63" s="2875">
        <f>SUM('ПОЛНАЯ СЕБЕСТОИМОСТЬ ВОДА 2021'!BW211)</f>
        <v>22.349</v>
      </c>
      <c r="FJ63" s="2875">
        <f>SUM('ПОЛНАЯ СЕБЕСТОИМОСТЬ ВОДА 2021'!BX211)</f>
        <v>0</v>
      </c>
      <c r="FK63" s="2955">
        <f t="shared" si="837"/>
        <v>17.603999999999999</v>
      </c>
      <c r="FL63" s="2955">
        <v>17.603999999999999</v>
      </c>
      <c r="FM63" s="2955">
        <v>0</v>
      </c>
      <c r="FN63" s="2921">
        <f t="shared" si="801"/>
        <v>19.79</v>
      </c>
      <c r="FO63" s="2921">
        <f t="shared" si="801"/>
        <v>19.79</v>
      </c>
      <c r="FP63" s="2921">
        <f t="shared" si="801"/>
        <v>0</v>
      </c>
      <c r="FQ63" s="2932">
        <f t="shared" si="801"/>
        <v>22.349</v>
      </c>
      <c r="FR63" s="2932">
        <f t="shared" si="801"/>
        <v>22.349</v>
      </c>
      <c r="FS63" s="2932">
        <f t="shared" si="801"/>
        <v>0</v>
      </c>
      <c r="FT63" s="2932">
        <f t="shared" si="801"/>
        <v>17.603999999999999</v>
      </c>
      <c r="FU63" s="2932">
        <f t="shared" si="801"/>
        <v>17.603999999999999</v>
      </c>
      <c r="FV63" s="2932">
        <f t="shared" si="801"/>
        <v>0</v>
      </c>
      <c r="FW63" s="2933">
        <f t="shared" si="681"/>
        <v>2.5590000000000011</v>
      </c>
      <c r="FX63" s="2933">
        <f t="shared" si="681"/>
        <v>2.5590000000000011</v>
      </c>
      <c r="FY63" s="2933">
        <f t="shared" si="681"/>
        <v>0</v>
      </c>
      <c r="FZ63" s="2921">
        <f t="shared" si="802"/>
        <v>79.16</v>
      </c>
      <c r="GA63" s="2921">
        <f t="shared" si="802"/>
        <v>79.16</v>
      </c>
      <c r="GB63" s="2921">
        <f t="shared" si="802"/>
        <v>0</v>
      </c>
      <c r="GC63" s="2932">
        <f t="shared" si="802"/>
        <v>90.388000000000005</v>
      </c>
      <c r="GD63" s="2932">
        <f t="shared" si="802"/>
        <v>90.388000000000005</v>
      </c>
      <c r="GE63" s="2932">
        <f t="shared" si="802"/>
        <v>0</v>
      </c>
      <c r="GF63" s="2932">
        <f t="shared" si="802"/>
        <v>71.393000000000001</v>
      </c>
      <c r="GG63" s="2932">
        <f t="shared" si="802"/>
        <v>71.393000000000001</v>
      </c>
      <c r="GH63" s="2932">
        <f t="shared" si="802"/>
        <v>0</v>
      </c>
      <c r="GI63" s="2933">
        <f t="shared" si="683"/>
        <v>11.228000000000009</v>
      </c>
      <c r="GJ63" s="2933">
        <f t="shared" si="683"/>
        <v>11.228000000000009</v>
      </c>
      <c r="GK63" s="2933">
        <f t="shared" si="683"/>
        <v>0</v>
      </c>
      <c r="GL63" s="389"/>
      <c r="GM63" s="4191">
        <f t="shared" si="684"/>
        <v>79.159999999999982</v>
      </c>
    </row>
    <row r="64" spans="1:195" ht="18.75" x14ac:dyDescent="0.3">
      <c r="A64" s="2949" t="s">
        <v>525</v>
      </c>
      <c r="B64" s="2951">
        <f t="shared" si="745"/>
        <v>0</v>
      </c>
      <c r="C64" s="2951">
        <f>SUM('ПОЛНАЯ СЕБЕСТОИМОСТЬ ВОДА 2021'!C212)/3</f>
        <v>0</v>
      </c>
      <c r="D64" s="2951">
        <f>SUM('ПОЛНАЯ СЕБЕСТОИМОСТЬ ВОДА 2021'!D212)/3</f>
        <v>0</v>
      </c>
      <c r="E64" s="2875">
        <f t="shared" si="746"/>
        <v>0</v>
      </c>
      <c r="F64" s="2875">
        <f>SUM('ПОЛНАЯ СЕБЕСТОИМОСТЬ ВОДА 2021'!F212)</f>
        <v>0</v>
      </c>
      <c r="G64" s="2875">
        <f>SUM('ПОЛНАЯ СЕБЕСТОИМОСТЬ ВОДА 2021'!G212)</f>
        <v>0</v>
      </c>
      <c r="H64" s="2955">
        <f t="shared" si="803"/>
        <v>0</v>
      </c>
      <c r="I64" s="2955">
        <v>0</v>
      </c>
      <c r="J64" s="2955">
        <v>0</v>
      </c>
      <c r="K64" s="2951">
        <f t="shared" si="748"/>
        <v>0</v>
      </c>
      <c r="L64" s="2951">
        <f t="shared" si="749"/>
        <v>0</v>
      </c>
      <c r="M64" s="2951">
        <f t="shared" si="750"/>
        <v>0</v>
      </c>
      <c r="N64" s="2875">
        <f t="shared" si="751"/>
        <v>0</v>
      </c>
      <c r="O64" s="2875">
        <f>SUM('ПОЛНАЯ СЕБЕСТОИМОСТЬ ВОДА 2021'!I212)</f>
        <v>0</v>
      </c>
      <c r="P64" s="2875">
        <f>SUM('ПОЛНАЯ СЕБЕСТОИМОСТЬ ВОДА 2021'!J212)</f>
        <v>0</v>
      </c>
      <c r="Q64" s="2955">
        <f t="shared" si="827"/>
        <v>0</v>
      </c>
      <c r="R64" s="2955">
        <v>0</v>
      </c>
      <c r="S64" s="2955">
        <v>0</v>
      </c>
      <c r="T64" s="2951">
        <f t="shared" si="753"/>
        <v>0</v>
      </c>
      <c r="U64" s="2951">
        <f t="shared" si="754"/>
        <v>0</v>
      </c>
      <c r="V64" s="2951">
        <f t="shared" si="755"/>
        <v>0</v>
      </c>
      <c r="W64" s="2875">
        <f t="shared" si="756"/>
        <v>0</v>
      </c>
      <c r="X64" s="2875">
        <f>SUM('ПОЛНАЯ СЕБЕСТОИМОСТЬ ВОДА 2021'!L212)</f>
        <v>0</v>
      </c>
      <c r="Y64" s="2875">
        <f>SUM('ПОЛНАЯ СЕБЕСТОИМОСТЬ ВОДА 2021'!M212)</f>
        <v>0</v>
      </c>
      <c r="Z64" s="2955">
        <f t="shared" si="828"/>
        <v>0</v>
      </c>
      <c r="AA64" s="2955">
        <v>0</v>
      </c>
      <c r="AB64" s="2955">
        <v>0</v>
      </c>
      <c r="AC64" s="2921">
        <f t="shared" si="758"/>
        <v>0</v>
      </c>
      <c r="AD64" s="2921">
        <f t="shared" si="758"/>
        <v>0</v>
      </c>
      <c r="AE64" s="2921">
        <f t="shared" si="758"/>
        <v>0</v>
      </c>
      <c r="AF64" s="2932">
        <f t="shared" si="758"/>
        <v>0</v>
      </c>
      <c r="AG64" s="2932">
        <f t="shared" si="758"/>
        <v>0</v>
      </c>
      <c r="AH64" s="2932">
        <f t="shared" si="758"/>
        <v>0</v>
      </c>
      <c r="AI64" s="2932">
        <f t="shared" si="758"/>
        <v>0</v>
      </c>
      <c r="AJ64" s="2932">
        <f t="shared" si="758"/>
        <v>0</v>
      </c>
      <c r="AK64" s="2932">
        <f t="shared" si="758"/>
        <v>0</v>
      </c>
      <c r="AL64" s="2933">
        <f t="shared" ref="AL64:AN84" si="838">SUM(AF64-AC64)</f>
        <v>0</v>
      </c>
      <c r="AM64" s="2933">
        <f t="shared" si="838"/>
        <v>0</v>
      </c>
      <c r="AN64" s="2933">
        <f t="shared" si="838"/>
        <v>0</v>
      </c>
      <c r="AO64" s="2951">
        <f t="shared" si="759"/>
        <v>0</v>
      </c>
      <c r="AP64" s="2951">
        <f>SUM('ПОЛНАЯ СЕБЕСТОИМОСТЬ ВОДА 2021'!R212)/3</f>
        <v>0</v>
      </c>
      <c r="AQ64" s="2951">
        <f>SUM('ПОЛНАЯ СЕБЕСТОИМОСТЬ ВОДА 2021'!S212)/3</f>
        <v>0</v>
      </c>
      <c r="AR64" s="2951">
        <f t="shared" si="760"/>
        <v>0</v>
      </c>
      <c r="AS64" s="2951">
        <f>SUM('ПОЛНАЯ СЕБЕСТОИМОСТЬ ВОДА 2021'!U212)</f>
        <v>0</v>
      </c>
      <c r="AT64" s="2951">
        <f>SUM('ПОЛНАЯ СЕБЕСТОИМОСТЬ ВОДА 2021'!V212)</f>
        <v>0</v>
      </c>
      <c r="AU64" s="2955">
        <f t="shared" si="829"/>
        <v>0</v>
      </c>
      <c r="AV64" s="2955">
        <v>0</v>
      </c>
      <c r="AW64" s="2955">
        <v>0</v>
      </c>
      <c r="AX64" s="2951">
        <f t="shared" si="762"/>
        <v>0</v>
      </c>
      <c r="AY64" s="2951">
        <f t="shared" si="763"/>
        <v>0</v>
      </c>
      <c r="AZ64" s="2951">
        <f t="shared" si="764"/>
        <v>0</v>
      </c>
      <c r="BA64" s="2951">
        <f t="shared" si="765"/>
        <v>0</v>
      </c>
      <c r="BB64" s="2951">
        <f>SUM('ПОЛНАЯ СЕБЕСТОИМОСТЬ ВОДА 2021'!X212)</f>
        <v>0</v>
      </c>
      <c r="BC64" s="2951">
        <f>SUM('ПОЛНАЯ СЕБЕСТОИМОСТЬ ВОДА 2021'!Y212)</f>
        <v>0</v>
      </c>
      <c r="BD64" s="2955">
        <f t="shared" si="830"/>
        <v>0</v>
      </c>
      <c r="BE64" s="2955">
        <v>0</v>
      </c>
      <c r="BF64" s="2955">
        <v>0</v>
      </c>
      <c r="BG64" s="2951">
        <f t="shared" si="767"/>
        <v>0</v>
      </c>
      <c r="BH64" s="2951">
        <f t="shared" si="768"/>
        <v>0</v>
      </c>
      <c r="BI64" s="2951">
        <f t="shared" si="769"/>
        <v>0</v>
      </c>
      <c r="BJ64" s="2875">
        <f t="shared" si="770"/>
        <v>0</v>
      </c>
      <c r="BK64" s="2875">
        <f>SUM('ПОЛНАЯ СЕБЕСТОИМОСТЬ ВОДА 2021'!AA212)</f>
        <v>0</v>
      </c>
      <c r="BL64" s="2875">
        <f>SUM('ПОЛНАЯ СЕБЕСТОИМОСТЬ ВОДА 2021'!AB212)</f>
        <v>0</v>
      </c>
      <c r="BM64" s="2955">
        <f t="shared" si="831"/>
        <v>0</v>
      </c>
      <c r="BN64" s="2955">
        <v>0</v>
      </c>
      <c r="BO64" s="2955">
        <v>0</v>
      </c>
      <c r="BP64" s="2921">
        <f t="shared" si="772"/>
        <v>0</v>
      </c>
      <c r="BQ64" s="2921">
        <f t="shared" si="772"/>
        <v>0</v>
      </c>
      <c r="BR64" s="2921">
        <f t="shared" si="772"/>
        <v>0</v>
      </c>
      <c r="BS64" s="2957">
        <f t="shared" si="772"/>
        <v>0</v>
      </c>
      <c r="BT64" s="2957">
        <f t="shared" si="772"/>
        <v>0</v>
      </c>
      <c r="BU64" s="2957">
        <f t="shared" si="772"/>
        <v>0</v>
      </c>
      <c r="BV64" s="2957">
        <f t="shared" si="772"/>
        <v>0</v>
      </c>
      <c r="BW64" s="2957">
        <f t="shared" si="772"/>
        <v>0</v>
      </c>
      <c r="BX64" s="2957">
        <f t="shared" si="772"/>
        <v>0</v>
      </c>
      <c r="BY64" s="2919">
        <f t="shared" si="673"/>
        <v>0</v>
      </c>
      <c r="BZ64" s="2919">
        <f t="shared" si="673"/>
        <v>0</v>
      </c>
      <c r="CA64" s="2919">
        <f t="shared" si="673"/>
        <v>0</v>
      </c>
      <c r="CB64" s="2921">
        <f t="shared" si="773"/>
        <v>0</v>
      </c>
      <c r="CC64" s="2921">
        <f t="shared" si="773"/>
        <v>0</v>
      </c>
      <c r="CD64" s="2921">
        <f t="shared" si="773"/>
        <v>0</v>
      </c>
      <c r="CE64" s="2957">
        <f t="shared" si="773"/>
        <v>0</v>
      </c>
      <c r="CF64" s="2957">
        <f t="shared" si="773"/>
        <v>0</v>
      </c>
      <c r="CG64" s="2957">
        <f t="shared" si="773"/>
        <v>0</v>
      </c>
      <c r="CH64" s="2957">
        <f t="shared" si="773"/>
        <v>0</v>
      </c>
      <c r="CI64" s="2957">
        <f t="shared" si="773"/>
        <v>0</v>
      </c>
      <c r="CJ64" s="2957">
        <f t="shared" si="773"/>
        <v>0</v>
      </c>
      <c r="CK64" s="2919">
        <f t="shared" si="675"/>
        <v>0</v>
      </c>
      <c r="CL64" s="2919">
        <f t="shared" si="675"/>
        <v>0</v>
      </c>
      <c r="CM64" s="2919">
        <f t="shared" si="675"/>
        <v>0</v>
      </c>
      <c r="CN64" s="2951">
        <f t="shared" si="774"/>
        <v>0</v>
      </c>
      <c r="CO64" s="2951">
        <f>SUM('ПОЛНАЯ СЕБЕСТОИМОСТЬ ВОДА 2021'!AP212)/3</f>
        <v>0</v>
      </c>
      <c r="CP64" s="2951">
        <f>SUM('ПОЛНАЯ СЕБЕСТОИМОСТЬ ВОДА 2021'!AQ212)/3</f>
        <v>0</v>
      </c>
      <c r="CQ64" s="2875">
        <f t="shared" si="775"/>
        <v>0</v>
      </c>
      <c r="CR64" s="2875">
        <f>SUM('ПОЛНАЯ СЕБЕСТОИМОСТЬ ВОДА 2021'!AS212)</f>
        <v>0</v>
      </c>
      <c r="CS64" s="2875">
        <f>SUM('ПОЛНАЯ СЕБЕСТОИМОСТЬ ВОДА 2021'!AT212)</f>
        <v>0</v>
      </c>
      <c r="CT64" s="2955">
        <f t="shared" si="832"/>
        <v>0</v>
      </c>
      <c r="CU64" s="2955">
        <v>0</v>
      </c>
      <c r="CV64" s="2955">
        <v>0</v>
      </c>
      <c r="CW64" s="2951">
        <f t="shared" si="777"/>
        <v>0</v>
      </c>
      <c r="CX64" s="2951">
        <f t="shared" si="778"/>
        <v>0</v>
      </c>
      <c r="CY64" s="2951">
        <f t="shared" si="779"/>
        <v>0</v>
      </c>
      <c r="CZ64" s="2875">
        <f t="shared" si="780"/>
        <v>0</v>
      </c>
      <c r="DA64" s="2875">
        <f>SUM('ПОЛНАЯ СЕБЕСТОИМОСТЬ ВОДА 2021'!AV212)</f>
        <v>0</v>
      </c>
      <c r="DB64" s="2875">
        <f>SUM('ПОЛНАЯ СЕБЕСТОИМОСТЬ ВОДА 2021'!AW212)</f>
        <v>0</v>
      </c>
      <c r="DC64" s="2955">
        <f t="shared" si="833"/>
        <v>0</v>
      </c>
      <c r="DD64" s="2955">
        <v>0</v>
      </c>
      <c r="DE64" s="2955">
        <v>0</v>
      </c>
      <c r="DF64" s="2951">
        <f t="shared" si="782"/>
        <v>0</v>
      </c>
      <c r="DG64" s="2951">
        <f t="shared" si="783"/>
        <v>0</v>
      </c>
      <c r="DH64" s="2951">
        <f t="shared" si="784"/>
        <v>0</v>
      </c>
      <c r="DI64" s="2875">
        <f t="shared" si="785"/>
        <v>0</v>
      </c>
      <c r="DJ64" s="2875">
        <f>SUM('ПОЛНАЯ СЕБЕСТОИМОСТЬ ВОДА 2021'!AY212)</f>
        <v>0</v>
      </c>
      <c r="DK64" s="2875">
        <f>SUM('ПОЛНАЯ СЕБЕСТОИМОСТЬ ВОДА 2021'!AZ212)</f>
        <v>0</v>
      </c>
      <c r="DL64" s="2955">
        <f t="shared" si="834"/>
        <v>0</v>
      </c>
      <c r="DM64" s="2955">
        <v>0</v>
      </c>
      <c r="DN64" s="2955">
        <v>0</v>
      </c>
      <c r="DO64" s="2921">
        <f t="shared" si="787"/>
        <v>0</v>
      </c>
      <c r="DP64" s="2921">
        <f t="shared" si="787"/>
        <v>0</v>
      </c>
      <c r="DQ64" s="2921">
        <f t="shared" si="787"/>
        <v>0</v>
      </c>
      <c r="DR64" s="2957">
        <f t="shared" si="787"/>
        <v>0</v>
      </c>
      <c r="DS64" s="2957">
        <f t="shared" si="787"/>
        <v>0</v>
      </c>
      <c r="DT64" s="2957">
        <f t="shared" si="787"/>
        <v>0</v>
      </c>
      <c r="DU64" s="2957">
        <f t="shared" si="787"/>
        <v>0</v>
      </c>
      <c r="DV64" s="2957">
        <f t="shared" si="787"/>
        <v>0</v>
      </c>
      <c r="DW64" s="2957">
        <f t="shared" si="787"/>
        <v>0</v>
      </c>
      <c r="DX64" s="2919">
        <f t="shared" si="677"/>
        <v>0</v>
      </c>
      <c r="DY64" s="2919">
        <f t="shared" si="677"/>
        <v>0</v>
      </c>
      <c r="DZ64" s="2919">
        <f t="shared" si="677"/>
        <v>0</v>
      </c>
      <c r="EA64" s="2921">
        <f t="shared" si="788"/>
        <v>0</v>
      </c>
      <c r="EB64" s="2921">
        <f t="shared" si="788"/>
        <v>0</v>
      </c>
      <c r="EC64" s="2921">
        <f t="shared" si="788"/>
        <v>0</v>
      </c>
      <c r="ED64" s="2957">
        <f t="shared" si="788"/>
        <v>0</v>
      </c>
      <c r="EE64" s="2957">
        <f t="shared" si="788"/>
        <v>0</v>
      </c>
      <c r="EF64" s="2957">
        <f t="shared" si="788"/>
        <v>0</v>
      </c>
      <c r="EG64" s="2957">
        <f t="shared" si="788"/>
        <v>0</v>
      </c>
      <c r="EH64" s="2957">
        <f t="shared" si="788"/>
        <v>0</v>
      </c>
      <c r="EI64" s="2957">
        <f t="shared" si="788"/>
        <v>0</v>
      </c>
      <c r="EJ64" s="2919">
        <f t="shared" si="679"/>
        <v>0</v>
      </c>
      <c r="EK64" s="2919">
        <f t="shared" si="679"/>
        <v>0</v>
      </c>
      <c r="EL64" s="2919">
        <f t="shared" si="679"/>
        <v>0</v>
      </c>
      <c r="EM64" s="2951">
        <f t="shared" si="789"/>
        <v>0</v>
      </c>
      <c r="EN64" s="2951">
        <f>SUM('ПОЛНАЯ СЕБЕСТОИМОСТЬ ВОДА 2021'!BN212)/3</f>
        <v>0</v>
      </c>
      <c r="EO64" s="2951">
        <f>SUM('ПОЛНАЯ СЕБЕСТОИМОСТЬ ВОДА 2021'!BO212)/3</f>
        <v>0</v>
      </c>
      <c r="EP64" s="2875">
        <f t="shared" si="790"/>
        <v>0</v>
      </c>
      <c r="EQ64" s="2875">
        <f>SUM('ПОЛНАЯ СЕБЕСТОИМОСТЬ ВОДА 2021'!BQ212)</f>
        <v>0</v>
      </c>
      <c r="ER64" s="2875">
        <f>SUM('ПОЛНАЯ СЕБЕСТОИМОСТЬ ВОДА 2021'!BR212)</f>
        <v>0</v>
      </c>
      <c r="ES64" s="2955">
        <f t="shared" si="835"/>
        <v>0</v>
      </c>
      <c r="ET64" s="2955">
        <v>0</v>
      </c>
      <c r="EU64" s="2955">
        <v>0</v>
      </c>
      <c r="EV64" s="2951">
        <f t="shared" si="792"/>
        <v>0</v>
      </c>
      <c r="EW64" s="2951">
        <f t="shared" si="793"/>
        <v>0</v>
      </c>
      <c r="EX64" s="2951">
        <f t="shared" si="794"/>
        <v>0</v>
      </c>
      <c r="EY64" s="2875">
        <f t="shared" si="795"/>
        <v>0</v>
      </c>
      <c r="EZ64" s="2875">
        <f>SUM('ПОЛНАЯ СЕБЕСТОИМОСТЬ ВОДА 2021'!BT212)</f>
        <v>0</v>
      </c>
      <c r="FA64" s="2875">
        <f>SUM('ПОЛНАЯ СЕБЕСТОИМОСТЬ ВОДА 2021'!BU212)</f>
        <v>0</v>
      </c>
      <c r="FB64" s="2955">
        <f t="shared" si="836"/>
        <v>0</v>
      </c>
      <c r="FC64" s="2955">
        <v>0</v>
      </c>
      <c r="FD64" s="2955">
        <v>0</v>
      </c>
      <c r="FE64" s="2951">
        <f t="shared" si="797"/>
        <v>0</v>
      </c>
      <c r="FF64" s="2951">
        <f t="shared" si="798"/>
        <v>0</v>
      </c>
      <c r="FG64" s="2951">
        <f t="shared" si="799"/>
        <v>0</v>
      </c>
      <c r="FH64" s="2875">
        <f t="shared" si="735"/>
        <v>0</v>
      </c>
      <c r="FI64" s="2875">
        <f>SUM('ПОЛНАЯ СЕБЕСТОИМОСТЬ ВОДА 2021'!BW212)</f>
        <v>0</v>
      </c>
      <c r="FJ64" s="2875">
        <f>SUM('ПОЛНАЯ СЕБЕСТОИМОСТЬ ВОДА 2021'!BX212)</f>
        <v>0</v>
      </c>
      <c r="FK64" s="2955">
        <f t="shared" si="837"/>
        <v>0</v>
      </c>
      <c r="FL64" s="2955">
        <v>0</v>
      </c>
      <c r="FM64" s="2955">
        <v>0</v>
      </c>
      <c r="FN64" s="2921">
        <f t="shared" si="801"/>
        <v>0</v>
      </c>
      <c r="FO64" s="2921">
        <f t="shared" si="801"/>
        <v>0</v>
      </c>
      <c r="FP64" s="2921">
        <f t="shared" si="801"/>
        <v>0</v>
      </c>
      <c r="FQ64" s="2932">
        <f t="shared" si="801"/>
        <v>0</v>
      </c>
      <c r="FR64" s="2932">
        <f t="shared" si="801"/>
        <v>0</v>
      </c>
      <c r="FS64" s="2932">
        <f t="shared" si="801"/>
        <v>0</v>
      </c>
      <c r="FT64" s="2932">
        <f t="shared" si="801"/>
        <v>0</v>
      </c>
      <c r="FU64" s="2932">
        <f t="shared" si="801"/>
        <v>0</v>
      </c>
      <c r="FV64" s="2932">
        <f t="shared" si="801"/>
        <v>0</v>
      </c>
      <c r="FW64" s="2933">
        <f t="shared" si="681"/>
        <v>0</v>
      </c>
      <c r="FX64" s="2933">
        <f t="shared" si="681"/>
        <v>0</v>
      </c>
      <c r="FY64" s="2933">
        <f t="shared" si="681"/>
        <v>0</v>
      </c>
      <c r="FZ64" s="2921">
        <f t="shared" si="802"/>
        <v>0</v>
      </c>
      <c r="GA64" s="2921">
        <f t="shared" si="802"/>
        <v>0</v>
      </c>
      <c r="GB64" s="2921">
        <f t="shared" si="802"/>
        <v>0</v>
      </c>
      <c r="GC64" s="2932">
        <f t="shared" si="802"/>
        <v>0</v>
      </c>
      <c r="GD64" s="2932">
        <f t="shared" si="802"/>
        <v>0</v>
      </c>
      <c r="GE64" s="2932">
        <f t="shared" si="802"/>
        <v>0</v>
      </c>
      <c r="GF64" s="2932">
        <f t="shared" si="802"/>
        <v>0</v>
      </c>
      <c r="GG64" s="2932">
        <f t="shared" si="802"/>
        <v>0</v>
      </c>
      <c r="GH64" s="2932">
        <f t="shared" si="802"/>
        <v>0</v>
      </c>
      <c r="GI64" s="2933">
        <f t="shared" si="683"/>
        <v>0</v>
      </c>
      <c r="GJ64" s="2933">
        <f t="shared" si="683"/>
        <v>0</v>
      </c>
      <c r="GK64" s="2933">
        <f t="shared" si="683"/>
        <v>0</v>
      </c>
      <c r="GL64" s="389"/>
      <c r="GM64" s="4191">
        <f t="shared" si="684"/>
        <v>0</v>
      </c>
    </row>
    <row r="65" spans="1:195" ht="18.75" x14ac:dyDescent="0.3">
      <c r="A65" s="2949" t="s">
        <v>526</v>
      </c>
      <c r="B65" s="2951">
        <f t="shared" si="745"/>
        <v>210.22685999999999</v>
      </c>
      <c r="C65" s="2951">
        <f>SUM('ПОЛНАЯ СЕБЕСТОИМОСТЬ ВОДА 2021'!C213)/3</f>
        <v>210.22685999999999</v>
      </c>
      <c r="D65" s="2951">
        <f>SUM('ПОЛНАЯ СЕБЕСТОИМОСТЬ ВОДА 2021'!D213)/3</f>
        <v>0</v>
      </c>
      <c r="E65" s="2875">
        <f t="shared" si="746"/>
        <v>0</v>
      </c>
      <c r="F65" s="2875">
        <f>SUM('ПОЛНАЯ СЕБЕСТОИМОСТЬ ВОДА 2021'!F213)</f>
        <v>0</v>
      </c>
      <c r="G65" s="2875">
        <f>SUM('ПОЛНАЯ СЕБЕСТОИМОСТЬ ВОДА 2021'!G213)</f>
        <v>0</v>
      </c>
      <c r="H65" s="2955">
        <f t="shared" si="803"/>
        <v>0</v>
      </c>
      <c r="I65" s="2955">
        <v>0</v>
      </c>
      <c r="J65" s="2955">
        <v>0</v>
      </c>
      <c r="K65" s="2951">
        <f t="shared" si="748"/>
        <v>210.22685999999999</v>
      </c>
      <c r="L65" s="2951">
        <f t="shared" si="749"/>
        <v>210.22685999999999</v>
      </c>
      <c r="M65" s="2951">
        <f t="shared" si="750"/>
        <v>0</v>
      </c>
      <c r="N65" s="2875">
        <f t="shared" si="751"/>
        <v>0</v>
      </c>
      <c r="O65" s="2875">
        <f>SUM('ПОЛНАЯ СЕБЕСТОИМОСТЬ ВОДА 2021'!I213)</f>
        <v>0</v>
      </c>
      <c r="P65" s="2875">
        <f>SUM('ПОЛНАЯ СЕБЕСТОИМОСТЬ ВОДА 2021'!J213)</f>
        <v>0</v>
      </c>
      <c r="Q65" s="2955">
        <f t="shared" si="827"/>
        <v>0</v>
      </c>
      <c r="R65" s="2955">
        <v>0</v>
      </c>
      <c r="S65" s="2955">
        <v>0</v>
      </c>
      <c r="T65" s="2951">
        <f t="shared" si="753"/>
        <v>210.22685999999999</v>
      </c>
      <c r="U65" s="2951">
        <f t="shared" si="754"/>
        <v>210.22685999999999</v>
      </c>
      <c r="V65" s="2951">
        <f t="shared" si="755"/>
        <v>0</v>
      </c>
      <c r="W65" s="2875">
        <f t="shared" si="756"/>
        <v>0</v>
      </c>
      <c r="X65" s="2875">
        <f>SUM('ПОЛНАЯ СЕБЕСТОИМОСТЬ ВОДА 2021'!L213)</f>
        <v>0</v>
      </c>
      <c r="Y65" s="2875">
        <f>SUM('ПОЛНАЯ СЕБЕСТОИМОСТЬ ВОДА 2021'!M213)</f>
        <v>0</v>
      </c>
      <c r="Z65" s="2955">
        <f t="shared" si="828"/>
        <v>0</v>
      </c>
      <c r="AA65" s="2955">
        <v>0</v>
      </c>
      <c r="AB65" s="2955">
        <v>0</v>
      </c>
      <c r="AC65" s="2921">
        <f t="shared" si="758"/>
        <v>630.68057999999996</v>
      </c>
      <c r="AD65" s="2921">
        <f t="shared" si="758"/>
        <v>630.68057999999996</v>
      </c>
      <c r="AE65" s="2921">
        <f t="shared" si="758"/>
        <v>0</v>
      </c>
      <c r="AF65" s="2932">
        <f t="shared" si="758"/>
        <v>0</v>
      </c>
      <c r="AG65" s="2932">
        <f t="shared" si="758"/>
        <v>0</v>
      </c>
      <c r="AH65" s="2932">
        <f t="shared" si="758"/>
        <v>0</v>
      </c>
      <c r="AI65" s="2932">
        <f t="shared" si="758"/>
        <v>0</v>
      </c>
      <c r="AJ65" s="2932">
        <f t="shared" si="758"/>
        <v>0</v>
      </c>
      <c r="AK65" s="2932">
        <f t="shared" si="758"/>
        <v>0</v>
      </c>
      <c r="AL65" s="2933">
        <f t="shared" si="838"/>
        <v>-630.68057999999996</v>
      </c>
      <c r="AM65" s="2933">
        <f t="shared" si="838"/>
        <v>-630.68057999999996</v>
      </c>
      <c r="AN65" s="2933">
        <f t="shared" si="838"/>
        <v>0</v>
      </c>
      <c r="AO65" s="2951">
        <f t="shared" si="759"/>
        <v>210.22685999999999</v>
      </c>
      <c r="AP65" s="2951">
        <f>SUM('ПОЛНАЯ СЕБЕСТОИМОСТЬ ВОДА 2021'!R213)/3</f>
        <v>210.22685999999999</v>
      </c>
      <c r="AQ65" s="2951">
        <f>SUM('ПОЛНАЯ СЕБЕСТОИМОСТЬ ВОДА 2021'!S213)/3</f>
        <v>0</v>
      </c>
      <c r="AR65" s="2951">
        <f t="shared" si="760"/>
        <v>0</v>
      </c>
      <c r="AS65" s="2951">
        <f>SUM('ПОЛНАЯ СЕБЕСТОИМОСТЬ ВОДА 2021'!U213)</f>
        <v>0</v>
      </c>
      <c r="AT65" s="2951">
        <f>SUM('ПОЛНАЯ СЕБЕСТОИМОСТЬ ВОДА 2021'!V213)</f>
        <v>0</v>
      </c>
      <c r="AU65" s="2955">
        <f t="shared" si="829"/>
        <v>0</v>
      </c>
      <c r="AV65" s="2955">
        <v>0</v>
      </c>
      <c r="AW65" s="2955">
        <v>0</v>
      </c>
      <c r="AX65" s="2951">
        <f t="shared" si="762"/>
        <v>210.22685999999999</v>
      </c>
      <c r="AY65" s="2951">
        <f t="shared" si="763"/>
        <v>210.22685999999999</v>
      </c>
      <c r="AZ65" s="2951">
        <f t="shared" si="764"/>
        <v>0</v>
      </c>
      <c r="BA65" s="2951">
        <f t="shared" si="765"/>
        <v>0</v>
      </c>
      <c r="BB65" s="2951">
        <f>SUM('ПОЛНАЯ СЕБЕСТОИМОСТЬ ВОДА 2021'!X213)</f>
        <v>0</v>
      </c>
      <c r="BC65" s="2951">
        <f>SUM('ПОЛНАЯ СЕБЕСТОИМОСТЬ ВОДА 2021'!Y213)</f>
        <v>0</v>
      </c>
      <c r="BD65" s="2955">
        <f t="shared" si="830"/>
        <v>0</v>
      </c>
      <c r="BE65" s="2955">
        <v>0</v>
      </c>
      <c r="BF65" s="2955">
        <v>0</v>
      </c>
      <c r="BG65" s="2951">
        <f t="shared" si="767"/>
        <v>210.22685999999999</v>
      </c>
      <c r="BH65" s="2951">
        <f t="shared" si="768"/>
        <v>210.22685999999999</v>
      </c>
      <c r="BI65" s="2951">
        <f t="shared" si="769"/>
        <v>0</v>
      </c>
      <c r="BJ65" s="2875">
        <f t="shared" si="770"/>
        <v>0</v>
      </c>
      <c r="BK65" s="2875">
        <f>SUM('ПОЛНАЯ СЕБЕСТОИМОСТЬ ВОДА 2021'!AA213)</f>
        <v>0</v>
      </c>
      <c r="BL65" s="2875">
        <f>SUM('ПОЛНАЯ СЕБЕСТОИМОСТЬ ВОДА 2021'!AB213)</f>
        <v>0</v>
      </c>
      <c r="BM65" s="2955">
        <f t="shared" si="831"/>
        <v>0</v>
      </c>
      <c r="BN65" s="2955">
        <v>0</v>
      </c>
      <c r="BO65" s="2955">
        <v>0</v>
      </c>
      <c r="BP65" s="2921">
        <f t="shared" si="772"/>
        <v>630.68057999999996</v>
      </c>
      <c r="BQ65" s="2921">
        <f t="shared" si="772"/>
        <v>630.68057999999996</v>
      </c>
      <c r="BR65" s="2921">
        <f t="shared" si="772"/>
        <v>0</v>
      </c>
      <c r="BS65" s="2957">
        <f t="shared" si="772"/>
        <v>0</v>
      </c>
      <c r="BT65" s="2957">
        <f t="shared" si="772"/>
        <v>0</v>
      </c>
      <c r="BU65" s="2957">
        <f t="shared" si="772"/>
        <v>0</v>
      </c>
      <c r="BV65" s="2957">
        <f t="shared" si="772"/>
        <v>0</v>
      </c>
      <c r="BW65" s="2957">
        <f t="shared" si="772"/>
        <v>0</v>
      </c>
      <c r="BX65" s="2957">
        <f t="shared" si="772"/>
        <v>0</v>
      </c>
      <c r="BY65" s="2919">
        <f t="shared" si="673"/>
        <v>-630.68057999999996</v>
      </c>
      <c r="BZ65" s="2919">
        <f t="shared" si="673"/>
        <v>-630.68057999999996</v>
      </c>
      <c r="CA65" s="2919">
        <f t="shared" si="673"/>
        <v>0</v>
      </c>
      <c r="CB65" s="2921">
        <f t="shared" si="773"/>
        <v>1261.3611599999999</v>
      </c>
      <c r="CC65" s="2921">
        <f t="shared" si="773"/>
        <v>1261.3611599999999</v>
      </c>
      <c r="CD65" s="2921">
        <f t="shared" si="773"/>
        <v>0</v>
      </c>
      <c r="CE65" s="2957">
        <f t="shared" si="773"/>
        <v>0</v>
      </c>
      <c r="CF65" s="2957">
        <f t="shared" si="773"/>
        <v>0</v>
      </c>
      <c r="CG65" s="2957">
        <f t="shared" si="773"/>
        <v>0</v>
      </c>
      <c r="CH65" s="2957">
        <f t="shared" si="773"/>
        <v>0</v>
      </c>
      <c r="CI65" s="2957">
        <f t="shared" si="773"/>
        <v>0</v>
      </c>
      <c r="CJ65" s="2957">
        <f t="shared" si="773"/>
        <v>0</v>
      </c>
      <c r="CK65" s="2919">
        <f t="shared" si="675"/>
        <v>-1261.3611599999999</v>
      </c>
      <c r="CL65" s="2919">
        <f t="shared" si="675"/>
        <v>-1261.3611599999999</v>
      </c>
      <c r="CM65" s="2919">
        <f t="shared" si="675"/>
        <v>0</v>
      </c>
      <c r="CN65" s="2951">
        <f t="shared" si="774"/>
        <v>210.22685999999999</v>
      </c>
      <c r="CO65" s="2951">
        <f>SUM('ПОЛНАЯ СЕБЕСТОИМОСТЬ ВОДА 2021'!AP213)/3</f>
        <v>210.22685999999999</v>
      </c>
      <c r="CP65" s="2951">
        <f>SUM('ПОЛНАЯ СЕБЕСТОИМОСТЬ ВОДА 2021'!AQ213)/3</f>
        <v>0</v>
      </c>
      <c r="CQ65" s="2875">
        <f t="shared" si="775"/>
        <v>0</v>
      </c>
      <c r="CR65" s="2875">
        <f>SUM('ПОЛНАЯ СЕБЕСТОИМОСТЬ ВОДА 2021'!AS213)</f>
        <v>0</v>
      </c>
      <c r="CS65" s="2875">
        <f>SUM('ПОЛНАЯ СЕБЕСТОИМОСТЬ ВОДА 2021'!AT213)</f>
        <v>0</v>
      </c>
      <c r="CT65" s="2955">
        <f t="shared" si="832"/>
        <v>0</v>
      </c>
      <c r="CU65" s="2955">
        <v>0</v>
      </c>
      <c r="CV65" s="2955">
        <v>0</v>
      </c>
      <c r="CW65" s="2951">
        <f t="shared" si="777"/>
        <v>210.22685999999999</v>
      </c>
      <c r="CX65" s="2951">
        <f t="shared" si="778"/>
        <v>210.22685999999999</v>
      </c>
      <c r="CY65" s="2951">
        <f t="shared" si="779"/>
        <v>0</v>
      </c>
      <c r="CZ65" s="2875">
        <f t="shared" si="780"/>
        <v>0</v>
      </c>
      <c r="DA65" s="2875">
        <f>SUM('ПОЛНАЯ СЕБЕСТОИМОСТЬ ВОДА 2021'!AV213)</f>
        <v>0</v>
      </c>
      <c r="DB65" s="2875">
        <f>SUM('ПОЛНАЯ СЕБЕСТОИМОСТЬ ВОДА 2021'!AW213)</f>
        <v>0</v>
      </c>
      <c r="DC65" s="2955">
        <f t="shared" si="833"/>
        <v>0</v>
      </c>
      <c r="DD65" s="2955">
        <v>0</v>
      </c>
      <c r="DE65" s="2955">
        <v>0</v>
      </c>
      <c r="DF65" s="2951">
        <f t="shared" si="782"/>
        <v>210.22685999999999</v>
      </c>
      <c r="DG65" s="2951">
        <f t="shared" si="783"/>
        <v>210.22685999999999</v>
      </c>
      <c r="DH65" s="2951">
        <f t="shared" si="784"/>
        <v>0</v>
      </c>
      <c r="DI65" s="2875">
        <f t="shared" si="785"/>
        <v>0</v>
      </c>
      <c r="DJ65" s="2875">
        <f>SUM('ПОЛНАЯ СЕБЕСТОИМОСТЬ ВОДА 2021'!AY213)</f>
        <v>0</v>
      </c>
      <c r="DK65" s="2875">
        <f>SUM('ПОЛНАЯ СЕБЕСТОИМОСТЬ ВОДА 2021'!AZ213)</f>
        <v>0</v>
      </c>
      <c r="DL65" s="2955">
        <f t="shared" si="834"/>
        <v>0</v>
      </c>
      <c r="DM65" s="2955">
        <v>0</v>
      </c>
      <c r="DN65" s="2955">
        <v>0</v>
      </c>
      <c r="DO65" s="2921">
        <f t="shared" si="787"/>
        <v>630.68057999999996</v>
      </c>
      <c r="DP65" s="2921">
        <f t="shared" si="787"/>
        <v>630.68057999999996</v>
      </c>
      <c r="DQ65" s="2921">
        <f t="shared" si="787"/>
        <v>0</v>
      </c>
      <c r="DR65" s="2957">
        <f t="shared" si="787"/>
        <v>0</v>
      </c>
      <c r="DS65" s="2957">
        <f t="shared" si="787"/>
        <v>0</v>
      </c>
      <c r="DT65" s="2957">
        <f t="shared" si="787"/>
        <v>0</v>
      </c>
      <c r="DU65" s="2957">
        <f t="shared" si="787"/>
        <v>0</v>
      </c>
      <c r="DV65" s="2957">
        <f t="shared" si="787"/>
        <v>0</v>
      </c>
      <c r="DW65" s="2957">
        <f t="shared" si="787"/>
        <v>0</v>
      </c>
      <c r="DX65" s="2919">
        <f t="shared" si="677"/>
        <v>-630.68057999999996</v>
      </c>
      <c r="DY65" s="2919">
        <f t="shared" si="677"/>
        <v>-630.68057999999996</v>
      </c>
      <c r="DZ65" s="2919">
        <f t="shared" si="677"/>
        <v>0</v>
      </c>
      <c r="EA65" s="2921">
        <f t="shared" si="788"/>
        <v>1892.0417399999999</v>
      </c>
      <c r="EB65" s="2921">
        <f t="shared" si="788"/>
        <v>1892.0417399999999</v>
      </c>
      <c r="EC65" s="2921">
        <f t="shared" si="788"/>
        <v>0</v>
      </c>
      <c r="ED65" s="2957">
        <f t="shared" si="788"/>
        <v>0</v>
      </c>
      <c r="EE65" s="2957">
        <f t="shared" si="788"/>
        <v>0</v>
      </c>
      <c r="EF65" s="2957">
        <f t="shared" si="788"/>
        <v>0</v>
      </c>
      <c r="EG65" s="2957">
        <f t="shared" si="788"/>
        <v>0</v>
      </c>
      <c r="EH65" s="2957">
        <f t="shared" si="788"/>
        <v>0</v>
      </c>
      <c r="EI65" s="2957">
        <f t="shared" si="788"/>
        <v>0</v>
      </c>
      <c r="EJ65" s="2919">
        <f t="shared" si="679"/>
        <v>-1892.0417399999999</v>
      </c>
      <c r="EK65" s="2919">
        <f t="shared" si="679"/>
        <v>-1892.0417399999999</v>
      </c>
      <c r="EL65" s="2919">
        <f t="shared" si="679"/>
        <v>0</v>
      </c>
      <c r="EM65" s="2951">
        <f t="shared" si="789"/>
        <v>210.22685999999999</v>
      </c>
      <c r="EN65" s="2951">
        <f>SUM('ПОЛНАЯ СЕБЕСТОИМОСТЬ ВОДА 2021'!BN213)/3</f>
        <v>210.22685999999999</v>
      </c>
      <c r="EO65" s="2951">
        <f>SUM('ПОЛНАЯ СЕБЕСТОИМОСТЬ ВОДА 2021'!BO213)/3</f>
        <v>0</v>
      </c>
      <c r="EP65" s="2875">
        <f t="shared" si="790"/>
        <v>0</v>
      </c>
      <c r="EQ65" s="2875">
        <f>SUM('ПОЛНАЯ СЕБЕСТОИМОСТЬ ВОДА 2021'!BQ213)</f>
        <v>0</v>
      </c>
      <c r="ER65" s="2875">
        <f>SUM('ПОЛНАЯ СЕБЕСТОИМОСТЬ ВОДА 2021'!BR213)</f>
        <v>0</v>
      </c>
      <c r="ES65" s="2955">
        <f t="shared" si="835"/>
        <v>0</v>
      </c>
      <c r="ET65" s="2955">
        <v>0</v>
      </c>
      <c r="EU65" s="2955">
        <v>0</v>
      </c>
      <c r="EV65" s="2951">
        <f t="shared" si="792"/>
        <v>210.22685999999999</v>
      </c>
      <c r="EW65" s="2951">
        <f t="shared" si="793"/>
        <v>210.22685999999999</v>
      </c>
      <c r="EX65" s="2951">
        <f t="shared" si="794"/>
        <v>0</v>
      </c>
      <c r="EY65" s="2875">
        <f t="shared" si="795"/>
        <v>0</v>
      </c>
      <c r="EZ65" s="2875">
        <f>SUM('ПОЛНАЯ СЕБЕСТОИМОСТЬ ВОДА 2021'!BT213)</f>
        <v>0</v>
      </c>
      <c r="FA65" s="2875">
        <f>SUM('ПОЛНАЯ СЕБЕСТОИМОСТЬ ВОДА 2021'!BU213)</f>
        <v>0</v>
      </c>
      <c r="FB65" s="2955">
        <f t="shared" si="836"/>
        <v>0</v>
      </c>
      <c r="FC65" s="2955">
        <v>0</v>
      </c>
      <c r="FD65" s="2955">
        <v>0</v>
      </c>
      <c r="FE65" s="2951">
        <f t="shared" si="797"/>
        <v>210.22685999999999</v>
      </c>
      <c r="FF65" s="2951">
        <f t="shared" si="798"/>
        <v>210.22685999999999</v>
      </c>
      <c r="FG65" s="2951">
        <f t="shared" si="799"/>
        <v>0</v>
      </c>
      <c r="FH65" s="2875">
        <f t="shared" si="735"/>
        <v>0</v>
      </c>
      <c r="FI65" s="2875">
        <f>SUM('ПОЛНАЯ СЕБЕСТОИМОСТЬ ВОДА 2021'!BW213)</f>
        <v>0</v>
      </c>
      <c r="FJ65" s="2875">
        <f>SUM('ПОЛНАЯ СЕБЕСТОИМОСТЬ ВОДА 2021'!BX213)</f>
        <v>0</v>
      </c>
      <c r="FK65" s="2955">
        <f t="shared" si="837"/>
        <v>0</v>
      </c>
      <c r="FL65" s="2955">
        <v>0</v>
      </c>
      <c r="FM65" s="2955">
        <v>0</v>
      </c>
      <c r="FN65" s="2921">
        <f t="shared" si="801"/>
        <v>630.68057999999996</v>
      </c>
      <c r="FO65" s="2921">
        <f t="shared" si="801"/>
        <v>630.68057999999996</v>
      </c>
      <c r="FP65" s="2921">
        <f t="shared" si="801"/>
        <v>0</v>
      </c>
      <c r="FQ65" s="2932">
        <f t="shared" si="801"/>
        <v>0</v>
      </c>
      <c r="FR65" s="2932">
        <f t="shared" si="801"/>
        <v>0</v>
      </c>
      <c r="FS65" s="2932">
        <f t="shared" si="801"/>
        <v>0</v>
      </c>
      <c r="FT65" s="2932">
        <f t="shared" si="801"/>
        <v>0</v>
      </c>
      <c r="FU65" s="2932">
        <f t="shared" si="801"/>
        <v>0</v>
      </c>
      <c r="FV65" s="2932">
        <f t="shared" si="801"/>
        <v>0</v>
      </c>
      <c r="FW65" s="2933">
        <f t="shared" si="681"/>
        <v>-630.68057999999996</v>
      </c>
      <c r="FX65" s="2933">
        <f t="shared" si="681"/>
        <v>-630.68057999999996</v>
      </c>
      <c r="FY65" s="2933">
        <f t="shared" si="681"/>
        <v>0</v>
      </c>
      <c r="FZ65" s="2921">
        <f t="shared" si="802"/>
        <v>2522.7223199999999</v>
      </c>
      <c r="GA65" s="2921">
        <f t="shared" si="802"/>
        <v>2522.7223199999999</v>
      </c>
      <c r="GB65" s="2921">
        <f t="shared" si="802"/>
        <v>0</v>
      </c>
      <c r="GC65" s="2932">
        <f t="shared" si="802"/>
        <v>0</v>
      </c>
      <c r="GD65" s="2932">
        <f t="shared" si="802"/>
        <v>0</v>
      </c>
      <c r="GE65" s="2932">
        <f t="shared" si="802"/>
        <v>0</v>
      </c>
      <c r="GF65" s="2932">
        <f t="shared" si="802"/>
        <v>0</v>
      </c>
      <c r="GG65" s="2932">
        <f t="shared" si="802"/>
        <v>0</v>
      </c>
      <c r="GH65" s="2932">
        <f t="shared" si="802"/>
        <v>0</v>
      </c>
      <c r="GI65" s="2933">
        <f t="shared" si="683"/>
        <v>-2522.7223199999999</v>
      </c>
      <c r="GJ65" s="2933">
        <f t="shared" si="683"/>
        <v>-2522.7223199999999</v>
      </c>
      <c r="GK65" s="2933">
        <f t="shared" si="683"/>
        <v>0</v>
      </c>
      <c r="GL65" s="389"/>
      <c r="GM65" s="4191">
        <f t="shared" si="684"/>
        <v>2522.7223199999999</v>
      </c>
    </row>
    <row r="66" spans="1:195" ht="18.75" x14ac:dyDescent="0.3">
      <c r="A66" s="2869" t="s">
        <v>3743</v>
      </c>
      <c r="B66" s="2951">
        <f t="shared" ref="B66" si="839">SUM(C66:D66)</f>
        <v>0</v>
      </c>
      <c r="C66" s="2951">
        <f>SUM('ПОЛНАЯ СЕБЕСТОИМОСТЬ ВОДА 2021'!C214)/3</f>
        <v>0</v>
      </c>
      <c r="D66" s="2951">
        <f>SUM('ПОЛНАЯ СЕБЕСТОИМОСТЬ ВОДА 2021'!D214)/3</f>
        <v>0</v>
      </c>
      <c r="E66" s="2875">
        <f t="shared" si="746"/>
        <v>0</v>
      </c>
      <c r="F66" s="2875">
        <f>SUM('ПОЛНАЯ СЕБЕСТОИМОСТЬ ВОДА 2021'!F214)</f>
        <v>0</v>
      </c>
      <c r="G66" s="2875">
        <f>SUM('ПОЛНАЯ СЕБЕСТОИМОСТЬ ВОДА 2021'!G214)</f>
        <v>0</v>
      </c>
      <c r="H66" s="2955">
        <f t="shared" si="803"/>
        <v>0</v>
      </c>
      <c r="I66" s="2955">
        <v>0</v>
      </c>
      <c r="J66" s="2955">
        <v>0</v>
      </c>
      <c r="K66" s="2951">
        <f t="shared" ref="K66" si="840">SUM(L66:M66)</f>
        <v>0</v>
      </c>
      <c r="L66" s="2951">
        <f t="shared" si="749"/>
        <v>0</v>
      </c>
      <c r="M66" s="2951">
        <f t="shared" si="750"/>
        <v>0</v>
      </c>
      <c r="N66" s="2875">
        <f t="shared" si="751"/>
        <v>0</v>
      </c>
      <c r="O66" s="2875">
        <f>SUM('ПОЛНАЯ СЕБЕСТОИМОСТЬ ВОДА 2021'!I214)</f>
        <v>0</v>
      </c>
      <c r="P66" s="2875">
        <f>SUM('ПОЛНАЯ СЕБЕСТОИМОСТЬ ВОДА 2021'!J214)</f>
        <v>0</v>
      </c>
      <c r="Q66" s="2955">
        <f t="shared" si="827"/>
        <v>0</v>
      </c>
      <c r="R66" s="2955">
        <v>0</v>
      </c>
      <c r="S66" s="2955">
        <v>0</v>
      </c>
      <c r="T66" s="2951">
        <f t="shared" ref="T66" si="841">SUM(U66:V66)</f>
        <v>0</v>
      </c>
      <c r="U66" s="2951">
        <f t="shared" si="754"/>
        <v>0</v>
      </c>
      <c r="V66" s="2951">
        <f t="shared" si="755"/>
        <v>0</v>
      </c>
      <c r="W66" s="2875">
        <f t="shared" si="756"/>
        <v>0</v>
      </c>
      <c r="X66" s="2875">
        <f>SUM('ПОЛНАЯ СЕБЕСТОИМОСТЬ ВОДА 2021'!L214)</f>
        <v>0</v>
      </c>
      <c r="Y66" s="2875">
        <f>SUM('ПОЛНАЯ СЕБЕСТОИМОСТЬ ВОДА 2021'!M214)</f>
        <v>0</v>
      </c>
      <c r="Z66" s="2955">
        <f t="shared" si="828"/>
        <v>0</v>
      </c>
      <c r="AA66" s="2955">
        <v>0</v>
      </c>
      <c r="AB66" s="2955">
        <v>0</v>
      </c>
      <c r="AC66" s="2921">
        <f t="shared" si="758"/>
        <v>0</v>
      </c>
      <c r="AD66" s="2921">
        <f t="shared" si="758"/>
        <v>0</v>
      </c>
      <c r="AE66" s="2921">
        <f t="shared" si="758"/>
        <v>0</v>
      </c>
      <c r="AF66" s="2932">
        <f t="shared" si="758"/>
        <v>0</v>
      </c>
      <c r="AG66" s="2932">
        <f t="shared" si="758"/>
        <v>0</v>
      </c>
      <c r="AH66" s="2932">
        <f t="shared" si="758"/>
        <v>0</v>
      </c>
      <c r="AI66" s="2932">
        <f t="shared" si="758"/>
        <v>0</v>
      </c>
      <c r="AJ66" s="2932">
        <f t="shared" si="758"/>
        <v>0</v>
      </c>
      <c r="AK66" s="2932">
        <f t="shared" si="758"/>
        <v>0</v>
      </c>
      <c r="AL66" s="2933">
        <f t="shared" si="838"/>
        <v>0</v>
      </c>
      <c r="AM66" s="2933">
        <f t="shared" si="838"/>
        <v>0</v>
      </c>
      <c r="AN66" s="2933">
        <f t="shared" si="838"/>
        <v>0</v>
      </c>
      <c r="AO66" s="2951">
        <f t="shared" si="759"/>
        <v>0</v>
      </c>
      <c r="AP66" s="2951">
        <f>SUM('ПОЛНАЯ СЕБЕСТОИМОСТЬ ВОДА 2021'!R214)/3</f>
        <v>0</v>
      </c>
      <c r="AQ66" s="2951">
        <f>SUM('ПОЛНАЯ СЕБЕСТОИМОСТЬ ВОДА 2021'!S214)/3</f>
        <v>0</v>
      </c>
      <c r="AR66" s="2951">
        <f t="shared" si="760"/>
        <v>0</v>
      </c>
      <c r="AS66" s="2951">
        <f>SUM('ПОЛНАЯ СЕБЕСТОИМОСТЬ ВОДА 2021'!U214)</f>
        <v>0</v>
      </c>
      <c r="AT66" s="2951">
        <f>SUM('ПОЛНАЯ СЕБЕСТОИМОСТЬ ВОДА 2021'!V214)</f>
        <v>0</v>
      </c>
      <c r="AU66" s="2955">
        <f t="shared" si="829"/>
        <v>0</v>
      </c>
      <c r="AV66" s="2955">
        <v>0</v>
      </c>
      <c r="AW66" s="2955">
        <v>0</v>
      </c>
      <c r="AX66" s="2951">
        <f t="shared" ref="AX66" si="842">SUM(AY66:AZ66)</f>
        <v>0</v>
      </c>
      <c r="AY66" s="2951">
        <f t="shared" si="763"/>
        <v>0</v>
      </c>
      <c r="AZ66" s="2951">
        <f t="shared" si="764"/>
        <v>0</v>
      </c>
      <c r="BA66" s="2951">
        <f t="shared" si="765"/>
        <v>0</v>
      </c>
      <c r="BB66" s="2951">
        <f>SUM('ПОЛНАЯ СЕБЕСТОИМОСТЬ ВОДА 2021'!X214)</f>
        <v>0</v>
      </c>
      <c r="BC66" s="2951">
        <f>SUM('ПОЛНАЯ СЕБЕСТОИМОСТЬ ВОДА 2021'!Y214)</f>
        <v>0</v>
      </c>
      <c r="BD66" s="2955">
        <f t="shared" si="830"/>
        <v>0</v>
      </c>
      <c r="BE66" s="2955">
        <v>0</v>
      </c>
      <c r="BF66" s="2955">
        <v>0</v>
      </c>
      <c r="BG66" s="2951">
        <f t="shared" ref="BG66" si="843">SUM(BH66:BI66)</f>
        <v>0</v>
      </c>
      <c r="BH66" s="2951">
        <f t="shared" si="768"/>
        <v>0</v>
      </c>
      <c r="BI66" s="2951">
        <f t="shared" si="769"/>
        <v>0</v>
      </c>
      <c r="BJ66" s="2875">
        <f t="shared" si="770"/>
        <v>0</v>
      </c>
      <c r="BK66" s="2875">
        <f>SUM('ПОЛНАЯ СЕБЕСТОИМОСТЬ ВОДА 2021'!AA214)</f>
        <v>0</v>
      </c>
      <c r="BL66" s="2875">
        <f>SUM('ПОЛНАЯ СЕБЕСТОИМОСТЬ ВОДА 2021'!AB214)</f>
        <v>0</v>
      </c>
      <c r="BM66" s="2955">
        <f t="shared" si="831"/>
        <v>0</v>
      </c>
      <c r="BN66" s="2955">
        <v>0</v>
      </c>
      <c r="BO66" s="2955">
        <v>0</v>
      </c>
      <c r="BP66" s="2921">
        <f t="shared" si="772"/>
        <v>0</v>
      </c>
      <c r="BQ66" s="2921">
        <f t="shared" si="772"/>
        <v>0</v>
      </c>
      <c r="BR66" s="2921">
        <f t="shared" si="772"/>
        <v>0</v>
      </c>
      <c r="BS66" s="2957">
        <f t="shared" si="772"/>
        <v>0</v>
      </c>
      <c r="BT66" s="2957">
        <f t="shared" si="772"/>
        <v>0</v>
      </c>
      <c r="BU66" s="2957">
        <f t="shared" si="772"/>
        <v>0</v>
      </c>
      <c r="BV66" s="2957">
        <f t="shared" si="772"/>
        <v>0</v>
      </c>
      <c r="BW66" s="2957">
        <f t="shared" si="772"/>
        <v>0</v>
      </c>
      <c r="BX66" s="2957">
        <f t="shared" si="772"/>
        <v>0</v>
      </c>
      <c r="BY66" s="2919">
        <f t="shared" si="673"/>
        <v>0</v>
      </c>
      <c r="BZ66" s="2919">
        <f t="shared" si="673"/>
        <v>0</v>
      </c>
      <c r="CA66" s="2919">
        <f t="shared" si="673"/>
        <v>0</v>
      </c>
      <c r="CB66" s="2921">
        <f t="shared" si="773"/>
        <v>0</v>
      </c>
      <c r="CC66" s="2921">
        <f t="shared" si="773"/>
        <v>0</v>
      </c>
      <c r="CD66" s="2921">
        <f t="shared" si="773"/>
        <v>0</v>
      </c>
      <c r="CE66" s="2957">
        <f t="shared" si="773"/>
        <v>0</v>
      </c>
      <c r="CF66" s="2957">
        <f t="shared" si="773"/>
        <v>0</v>
      </c>
      <c r="CG66" s="2957">
        <f t="shared" si="773"/>
        <v>0</v>
      </c>
      <c r="CH66" s="2957">
        <f t="shared" si="773"/>
        <v>0</v>
      </c>
      <c r="CI66" s="2957">
        <f t="shared" si="773"/>
        <v>0</v>
      </c>
      <c r="CJ66" s="2957">
        <f t="shared" si="773"/>
        <v>0</v>
      </c>
      <c r="CK66" s="2919">
        <f t="shared" si="675"/>
        <v>0</v>
      </c>
      <c r="CL66" s="2919">
        <f t="shared" si="675"/>
        <v>0</v>
      </c>
      <c r="CM66" s="2919">
        <f t="shared" si="675"/>
        <v>0</v>
      </c>
      <c r="CN66" s="2951">
        <f t="shared" si="774"/>
        <v>0</v>
      </c>
      <c r="CO66" s="2951">
        <f>SUM('ПОЛНАЯ СЕБЕСТОИМОСТЬ ВОДА 2021'!AP214)/3</f>
        <v>0</v>
      </c>
      <c r="CP66" s="2951">
        <f>SUM('ПОЛНАЯ СЕБЕСТОИМОСТЬ ВОДА 2021'!AQ214)/3</f>
        <v>0</v>
      </c>
      <c r="CQ66" s="2875">
        <f t="shared" si="775"/>
        <v>0</v>
      </c>
      <c r="CR66" s="2875">
        <f>SUM('ПОЛНАЯ СЕБЕСТОИМОСТЬ ВОДА 2021'!AS214)</f>
        <v>0</v>
      </c>
      <c r="CS66" s="2875">
        <f>SUM('ПОЛНАЯ СЕБЕСТОИМОСТЬ ВОДА 2021'!AT214)</f>
        <v>0</v>
      </c>
      <c r="CT66" s="2955">
        <f t="shared" si="832"/>
        <v>0</v>
      </c>
      <c r="CU66" s="2955">
        <v>0</v>
      </c>
      <c r="CV66" s="2955">
        <v>0</v>
      </c>
      <c r="CW66" s="2951">
        <f t="shared" ref="CW66" si="844">SUM(CX66:CY66)</f>
        <v>0</v>
      </c>
      <c r="CX66" s="2951">
        <f t="shared" si="778"/>
        <v>0</v>
      </c>
      <c r="CY66" s="2951">
        <f t="shared" si="779"/>
        <v>0</v>
      </c>
      <c r="CZ66" s="2875">
        <f t="shared" si="780"/>
        <v>0</v>
      </c>
      <c r="DA66" s="2875">
        <f>SUM('ПОЛНАЯ СЕБЕСТОИМОСТЬ ВОДА 2021'!AV214)</f>
        <v>0</v>
      </c>
      <c r="DB66" s="2875">
        <f>SUM('ПОЛНАЯ СЕБЕСТОИМОСТЬ ВОДА 2021'!AW214)</f>
        <v>0</v>
      </c>
      <c r="DC66" s="2955">
        <f t="shared" si="833"/>
        <v>0</v>
      </c>
      <c r="DD66" s="2955">
        <v>0</v>
      </c>
      <c r="DE66" s="2955">
        <v>0</v>
      </c>
      <c r="DF66" s="2951">
        <f t="shared" ref="DF66" si="845">SUM(DG66:DH66)</f>
        <v>0</v>
      </c>
      <c r="DG66" s="2951">
        <f t="shared" si="783"/>
        <v>0</v>
      </c>
      <c r="DH66" s="2951">
        <f t="shared" si="784"/>
        <v>0</v>
      </c>
      <c r="DI66" s="2875">
        <f t="shared" si="785"/>
        <v>0</v>
      </c>
      <c r="DJ66" s="2875">
        <f>SUM('ПОЛНАЯ СЕБЕСТОИМОСТЬ ВОДА 2021'!AY214)</f>
        <v>0</v>
      </c>
      <c r="DK66" s="2875">
        <f>SUM('ПОЛНАЯ СЕБЕСТОИМОСТЬ ВОДА 2021'!AZ214)</f>
        <v>0</v>
      </c>
      <c r="DL66" s="2955">
        <f t="shared" si="834"/>
        <v>0</v>
      </c>
      <c r="DM66" s="2955">
        <v>0</v>
      </c>
      <c r="DN66" s="2955">
        <v>0</v>
      </c>
      <c r="DO66" s="2921">
        <f t="shared" si="787"/>
        <v>0</v>
      </c>
      <c r="DP66" s="2921">
        <f t="shared" si="787"/>
        <v>0</v>
      </c>
      <c r="DQ66" s="2921">
        <f t="shared" si="787"/>
        <v>0</v>
      </c>
      <c r="DR66" s="2957">
        <f t="shared" si="787"/>
        <v>0</v>
      </c>
      <c r="DS66" s="2957">
        <f t="shared" si="787"/>
        <v>0</v>
      </c>
      <c r="DT66" s="2957">
        <f t="shared" si="787"/>
        <v>0</v>
      </c>
      <c r="DU66" s="2957">
        <f t="shared" si="787"/>
        <v>0</v>
      </c>
      <c r="DV66" s="2957">
        <f t="shared" si="787"/>
        <v>0</v>
      </c>
      <c r="DW66" s="2957">
        <f t="shared" si="787"/>
        <v>0</v>
      </c>
      <c r="DX66" s="2919">
        <f t="shared" si="677"/>
        <v>0</v>
      </c>
      <c r="DY66" s="2919">
        <f t="shared" si="677"/>
        <v>0</v>
      </c>
      <c r="DZ66" s="2919">
        <f t="shared" si="677"/>
        <v>0</v>
      </c>
      <c r="EA66" s="2921">
        <f t="shared" si="788"/>
        <v>0</v>
      </c>
      <c r="EB66" s="2921">
        <f t="shared" si="788"/>
        <v>0</v>
      </c>
      <c r="EC66" s="2921">
        <f t="shared" si="788"/>
        <v>0</v>
      </c>
      <c r="ED66" s="2957">
        <f t="shared" si="788"/>
        <v>0</v>
      </c>
      <c r="EE66" s="2957">
        <f t="shared" si="788"/>
        <v>0</v>
      </c>
      <c r="EF66" s="2957">
        <f t="shared" si="788"/>
        <v>0</v>
      </c>
      <c r="EG66" s="2957">
        <f t="shared" si="788"/>
        <v>0</v>
      </c>
      <c r="EH66" s="2957">
        <f t="shared" si="788"/>
        <v>0</v>
      </c>
      <c r="EI66" s="2957">
        <f t="shared" si="788"/>
        <v>0</v>
      </c>
      <c r="EJ66" s="2919">
        <f t="shared" si="679"/>
        <v>0</v>
      </c>
      <c r="EK66" s="2919">
        <f t="shared" si="679"/>
        <v>0</v>
      </c>
      <c r="EL66" s="2919">
        <f t="shared" si="679"/>
        <v>0</v>
      </c>
      <c r="EM66" s="2951">
        <f t="shared" si="789"/>
        <v>0</v>
      </c>
      <c r="EN66" s="2951">
        <f>SUM('ПОЛНАЯ СЕБЕСТОИМОСТЬ ВОДА 2021'!BN214)/3</f>
        <v>0</v>
      </c>
      <c r="EO66" s="2951">
        <f>SUM('ПОЛНАЯ СЕБЕСТОИМОСТЬ ВОДА 2021'!BO214)/3</f>
        <v>0</v>
      </c>
      <c r="EP66" s="2875">
        <f t="shared" si="790"/>
        <v>0</v>
      </c>
      <c r="EQ66" s="2875">
        <f>SUM('ПОЛНАЯ СЕБЕСТОИМОСТЬ ВОДА 2021'!BQ214)</f>
        <v>0</v>
      </c>
      <c r="ER66" s="2875">
        <f>SUM('ПОЛНАЯ СЕБЕСТОИМОСТЬ ВОДА 2021'!BR214)</f>
        <v>0</v>
      </c>
      <c r="ES66" s="2955">
        <f t="shared" si="835"/>
        <v>0</v>
      </c>
      <c r="ET66" s="2955">
        <v>0</v>
      </c>
      <c r="EU66" s="2955">
        <v>0</v>
      </c>
      <c r="EV66" s="2951">
        <f t="shared" ref="EV66" si="846">SUM(EW66:EX66)</f>
        <v>0</v>
      </c>
      <c r="EW66" s="2951">
        <f t="shared" si="793"/>
        <v>0</v>
      </c>
      <c r="EX66" s="2951">
        <f t="shared" si="794"/>
        <v>0</v>
      </c>
      <c r="EY66" s="2875">
        <f t="shared" si="795"/>
        <v>0</v>
      </c>
      <c r="EZ66" s="2875">
        <f>SUM('ПОЛНАЯ СЕБЕСТОИМОСТЬ ВОДА 2021'!BT214)</f>
        <v>0</v>
      </c>
      <c r="FA66" s="2875">
        <f>SUM('ПОЛНАЯ СЕБЕСТОИМОСТЬ ВОДА 2021'!BU214)</f>
        <v>0</v>
      </c>
      <c r="FB66" s="2955">
        <f t="shared" si="836"/>
        <v>0</v>
      </c>
      <c r="FC66" s="2955">
        <v>0</v>
      </c>
      <c r="FD66" s="2955">
        <v>0</v>
      </c>
      <c r="FE66" s="2951">
        <f t="shared" ref="FE66" si="847">SUM(FF66:FG66)</f>
        <v>0</v>
      </c>
      <c r="FF66" s="2951">
        <f t="shared" si="798"/>
        <v>0</v>
      </c>
      <c r="FG66" s="2951">
        <f t="shared" si="799"/>
        <v>0</v>
      </c>
      <c r="FH66" s="2875">
        <f t="shared" si="735"/>
        <v>0</v>
      </c>
      <c r="FI66" s="2875">
        <f>SUM('ПОЛНАЯ СЕБЕСТОИМОСТЬ ВОДА 2021'!BW214)</f>
        <v>0</v>
      </c>
      <c r="FJ66" s="2875">
        <f>SUM('ПОЛНАЯ СЕБЕСТОИМОСТЬ ВОДА 2021'!BX214)</f>
        <v>0</v>
      </c>
      <c r="FK66" s="2955">
        <f t="shared" si="837"/>
        <v>0</v>
      </c>
      <c r="FL66" s="2955">
        <v>0</v>
      </c>
      <c r="FM66" s="2955">
        <v>0</v>
      </c>
      <c r="FN66" s="2921">
        <f t="shared" si="801"/>
        <v>0</v>
      </c>
      <c r="FO66" s="2921">
        <f t="shared" si="801"/>
        <v>0</v>
      </c>
      <c r="FP66" s="2921">
        <f t="shared" si="801"/>
        <v>0</v>
      </c>
      <c r="FQ66" s="2932">
        <f t="shared" si="801"/>
        <v>0</v>
      </c>
      <c r="FR66" s="2932">
        <f t="shared" si="801"/>
        <v>0</v>
      </c>
      <c r="FS66" s="2932">
        <f t="shared" si="801"/>
        <v>0</v>
      </c>
      <c r="FT66" s="2932">
        <f t="shared" si="801"/>
        <v>0</v>
      </c>
      <c r="FU66" s="2932">
        <f t="shared" si="801"/>
        <v>0</v>
      </c>
      <c r="FV66" s="2932">
        <f t="shared" si="801"/>
        <v>0</v>
      </c>
      <c r="FW66" s="2933">
        <f t="shared" si="681"/>
        <v>0</v>
      </c>
      <c r="FX66" s="2933">
        <f t="shared" si="681"/>
        <v>0</v>
      </c>
      <c r="FY66" s="2933">
        <f t="shared" si="681"/>
        <v>0</v>
      </c>
      <c r="FZ66" s="2921">
        <f t="shared" si="802"/>
        <v>0</v>
      </c>
      <c r="GA66" s="2921">
        <f t="shared" si="802"/>
        <v>0</v>
      </c>
      <c r="GB66" s="2921">
        <f t="shared" si="802"/>
        <v>0</v>
      </c>
      <c r="GC66" s="2932">
        <f t="shared" si="802"/>
        <v>0</v>
      </c>
      <c r="GD66" s="2932">
        <f t="shared" si="802"/>
        <v>0</v>
      </c>
      <c r="GE66" s="2932">
        <f t="shared" si="802"/>
        <v>0</v>
      </c>
      <c r="GF66" s="2932">
        <f t="shared" si="802"/>
        <v>0</v>
      </c>
      <c r="GG66" s="2932">
        <f t="shared" si="802"/>
        <v>0</v>
      </c>
      <c r="GH66" s="2932">
        <f t="shared" si="802"/>
        <v>0</v>
      </c>
      <c r="GI66" s="2933">
        <f t="shared" si="683"/>
        <v>0</v>
      </c>
      <c r="GJ66" s="2933">
        <f t="shared" si="683"/>
        <v>0</v>
      </c>
      <c r="GK66" s="2933">
        <f t="shared" si="683"/>
        <v>0</v>
      </c>
      <c r="GL66" s="389"/>
      <c r="GM66" s="4191">
        <f t="shared" si="684"/>
        <v>0</v>
      </c>
    </row>
    <row r="67" spans="1:195" ht="18.75" x14ac:dyDescent="0.3">
      <c r="A67" s="2945" t="s">
        <v>3759</v>
      </c>
      <c r="B67" s="2946">
        <f t="shared" si="745"/>
        <v>1251.2875728709537</v>
      </c>
      <c r="C67" s="2946">
        <f>SUM('ПОЛНАЯ СЕБЕСТОИМОСТЬ ВОДА 2021'!C215)/3</f>
        <v>1250.8515693745837</v>
      </c>
      <c r="D67" s="2946">
        <f>SUM('ПОЛНАЯ СЕБЕСТОИМОСТЬ ВОДА 2021'!D215)/3</f>
        <v>0.43600349636999997</v>
      </c>
      <c r="E67" s="2865">
        <f t="shared" si="746"/>
        <v>1252.13339</v>
      </c>
      <c r="F67" s="2865">
        <f>SUM('ПОЛНАЯ СЕБЕСТОИМОСТЬ ВОДА 2021'!F215)</f>
        <v>1251.9029399999999</v>
      </c>
      <c r="G67" s="2865">
        <f>SUM('ПОЛНАЯ СЕБЕСТОИМОСТЬ ВОДА 2021'!G215)</f>
        <v>0.23044999999999999</v>
      </c>
      <c r="H67" s="2952">
        <f>SUM(H68:H73)</f>
        <v>1141.6520000000003</v>
      </c>
      <c r="I67" s="2952">
        <f t="shared" ref="I67:J67" si="848">SUM(I68:I73)</f>
        <v>1141.3460000000002</v>
      </c>
      <c r="J67" s="2952">
        <f t="shared" si="848"/>
        <v>0.30599999999999999</v>
      </c>
      <c r="K67" s="2946">
        <f t="shared" si="748"/>
        <v>1251.2875728709537</v>
      </c>
      <c r="L67" s="2946">
        <f t="shared" si="749"/>
        <v>1250.8515693745837</v>
      </c>
      <c r="M67" s="2946">
        <f t="shared" si="750"/>
        <v>0.43600349636999997</v>
      </c>
      <c r="N67" s="2865">
        <f t="shared" si="751"/>
        <v>1267.5971200000001</v>
      </c>
      <c r="O67" s="2865">
        <f>SUM('ПОЛНАЯ СЕБЕСТОИМОСТЬ ВОДА 2021'!I215)</f>
        <v>1267.3070000000002</v>
      </c>
      <c r="P67" s="2865">
        <f>SUM('ПОЛНАЯ СЕБЕСТОИМОСТЬ ВОДА 2021'!J215)</f>
        <v>0.29011999999999999</v>
      </c>
      <c r="Q67" s="2952">
        <f>SUM(Q68:Q73)</f>
        <v>1175.4549999999999</v>
      </c>
      <c r="R67" s="2952">
        <f t="shared" ref="R67:S67" si="849">SUM(R68:R73)</f>
        <v>1175.24</v>
      </c>
      <c r="S67" s="2952">
        <f t="shared" si="849"/>
        <v>0.21500000000000002</v>
      </c>
      <c r="T67" s="2946">
        <f t="shared" si="753"/>
        <v>1251.2875728709537</v>
      </c>
      <c r="U67" s="2946">
        <f t="shared" si="754"/>
        <v>1250.8515693745837</v>
      </c>
      <c r="V67" s="2946">
        <f t="shared" si="755"/>
        <v>0.43600349636999997</v>
      </c>
      <c r="W67" s="2865">
        <f t="shared" si="756"/>
        <v>1448.3210200000001</v>
      </c>
      <c r="X67" s="2865">
        <f>SUM('ПОЛНАЯ СЕБЕСТОИМОСТЬ ВОДА 2021'!L215)</f>
        <v>1447.9870000000001</v>
      </c>
      <c r="Y67" s="2865">
        <f>SUM('ПОЛНАЯ СЕБЕСТОИМОСТЬ ВОДА 2021'!M215)</f>
        <v>0.33401999999999998</v>
      </c>
      <c r="Z67" s="2952">
        <f>SUM(Z68:Z73)</f>
        <v>1090.3473999999999</v>
      </c>
      <c r="AA67" s="2952">
        <f t="shared" ref="AA67:AB67" si="850">SUM(AA68:AA73)</f>
        <v>1090.0840000000001</v>
      </c>
      <c r="AB67" s="2952">
        <f t="shared" si="850"/>
        <v>0.26339999999999997</v>
      </c>
      <c r="AC67" s="2916">
        <f t="shared" si="758"/>
        <v>3753.862718612861</v>
      </c>
      <c r="AD67" s="2916">
        <f t="shared" si="758"/>
        <v>3752.554708123751</v>
      </c>
      <c r="AE67" s="2916">
        <f t="shared" si="758"/>
        <v>1.30801048911</v>
      </c>
      <c r="AF67" s="2926">
        <f t="shared" si="758"/>
        <v>3968.0515300000006</v>
      </c>
      <c r="AG67" s="2926">
        <f t="shared" si="758"/>
        <v>3967.1969400000003</v>
      </c>
      <c r="AH67" s="2926">
        <f t="shared" si="758"/>
        <v>0.85458999999999996</v>
      </c>
      <c r="AI67" s="2926">
        <f t="shared" si="758"/>
        <v>3407.4543999999996</v>
      </c>
      <c r="AJ67" s="2926">
        <f t="shared" si="758"/>
        <v>3406.67</v>
      </c>
      <c r="AK67" s="2926">
        <f t="shared" si="758"/>
        <v>0.78439999999999999</v>
      </c>
      <c r="AL67" s="2927">
        <f t="shared" si="838"/>
        <v>214.18881138713959</v>
      </c>
      <c r="AM67" s="2927">
        <f t="shared" si="838"/>
        <v>214.6422318762493</v>
      </c>
      <c r="AN67" s="2927">
        <f t="shared" si="838"/>
        <v>-0.45342048910999999</v>
      </c>
      <c r="AO67" s="2946">
        <f t="shared" si="759"/>
        <v>1251.2875728709537</v>
      </c>
      <c r="AP67" s="2946">
        <f>SUM('ПОЛНАЯ СЕБЕСТОИМОСТЬ ВОДА 2021'!R215)/3</f>
        <v>1250.8515693745837</v>
      </c>
      <c r="AQ67" s="2946">
        <f>SUM('ПОЛНАЯ СЕБЕСТОИМОСТЬ ВОДА 2021'!S215)/3</f>
        <v>0.43600349636999997</v>
      </c>
      <c r="AR67" s="2946">
        <f t="shared" si="760"/>
        <v>1446.67634</v>
      </c>
      <c r="AS67" s="2946">
        <f>SUM('ПОЛНАЯ СЕБЕСТОИМОСТЬ ВОДА 2021'!U215)</f>
        <v>1446.32</v>
      </c>
      <c r="AT67" s="2946">
        <f>SUM('ПОЛНАЯ СЕБЕСТОИМОСТЬ ВОДА 2021'!V215)</f>
        <v>0.35634000000000005</v>
      </c>
      <c r="AU67" s="2952">
        <f>SUM(AU68:AU73)</f>
        <v>1113.4269999999999</v>
      </c>
      <c r="AV67" s="2952">
        <f t="shared" ref="AV67:AW67" si="851">SUM(AV68:AV73)</f>
        <v>1112.96</v>
      </c>
      <c r="AW67" s="2952">
        <f t="shared" si="851"/>
        <v>0.46700000000000003</v>
      </c>
      <c r="AX67" s="2946">
        <f t="shared" si="762"/>
        <v>1251.2875728709537</v>
      </c>
      <c r="AY67" s="2946">
        <f t="shared" si="763"/>
        <v>1250.8515693745837</v>
      </c>
      <c r="AZ67" s="2946">
        <f t="shared" si="764"/>
        <v>0.43600349636999997</v>
      </c>
      <c r="BA67" s="2946">
        <f t="shared" si="765"/>
        <v>1961.8807599999998</v>
      </c>
      <c r="BB67" s="2946">
        <f>SUM('ПОЛНАЯ СЕБЕСТОИМОСТЬ ВОДА 2021'!X215)</f>
        <v>1961.5239999999999</v>
      </c>
      <c r="BC67" s="2946">
        <f>SUM('ПОЛНАЯ СЕБЕСТОИМОСТЬ ВОДА 2021'!Y215)</f>
        <v>0.35676000000000002</v>
      </c>
      <c r="BD67" s="2952">
        <f>SUM(BD68:BD73)</f>
        <v>1082.998</v>
      </c>
      <c r="BE67" s="2952">
        <f t="shared" ref="BE67:BF67" si="852">SUM(BE68:BE73)</f>
        <v>1082.8420000000001</v>
      </c>
      <c r="BF67" s="2952">
        <f t="shared" si="852"/>
        <v>0.15600000000000003</v>
      </c>
      <c r="BG67" s="2946">
        <f t="shared" si="767"/>
        <v>1251.2875728709537</v>
      </c>
      <c r="BH67" s="2946">
        <f t="shared" si="768"/>
        <v>1250.8515693745837</v>
      </c>
      <c r="BI67" s="2946">
        <f t="shared" si="769"/>
        <v>0.43600349636999997</v>
      </c>
      <c r="BJ67" s="2865">
        <f t="shared" si="770"/>
        <v>1396.4252000000001</v>
      </c>
      <c r="BK67" s="2865">
        <f>SUM('ПОЛНАЯ СЕБЕСТОИМОСТЬ ВОДА 2021'!AA215)</f>
        <v>1396.2350000000001</v>
      </c>
      <c r="BL67" s="2865">
        <f>SUM('ПОЛНАЯ СЕБЕСТОИМОСТЬ ВОДА 2021'!AB215)</f>
        <v>0.19020000000000001</v>
      </c>
      <c r="BM67" s="2952">
        <f>SUM(BM68:BM73)</f>
        <v>1162.0084999999999</v>
      </c>
      <c r="BN67" s="2952">
        <f t="shared" ref="BN67:BO67" si="853">SUM(BN68:BN73)</f>
        <v>1161.7439999999999</v>
      </c>
      <c r="BO67" s="2952">
        <f t="shared" si="853"/>
        <v>0.26449999999999996</v>
      </c>
      <c r="BP67" s="2916">
        <f t="shared" si="772"/>
        <v>3753.862718612861</v>
      </c>
      <c r="BQ67" s="2916">
        <f t="shared" si="772"/>
        <v>3752.554708123751</v>
      </c>
      <c r="BR67" s="2916">
        <f t="shared" si="772"/>
        <v>1.30801048911</v>
      </c>
      <c r="BS67" s="2953">
        <f t="shared" si="772"/>
        <v>4804.9822999999997</v>
      </c>
      <c r="BT67" s="2953">
        <f t="shared" si="772"/>
        <v>4804.0789999999997</v>
      </c>
      <c r="BU67" s="2953">
        <f t="shared" si="772"/>
        <v>0.9033000000000001</v>
      </c>
      <c r="BV67" s="2953">
        <f t="shared" si="772"/>
        <v>3358.4335000000001</v>
      </c>
      <c r="BW67" s="2953">
        <f t="shared" si="772"/>
        <v>3357.5460000000003</v>
      </c>
      <c r="BX67" s="2953">
        <f t="shared" si="772"/>
        <v>0.88749999999999996</v>
      </c>
      <c r="BY67" s="2954">
        <f t="shared" si="673"/>
        <v>1051.1195813871386</v>
      </c>
      <c r="BZ67" s="2954">
        <f t="shared" si="673"/>
        <v>1051.5242918762488</v>
      </c>
      <c r="CA67" s="2954">
        <f t="shared" si="673"/>
        <v>-0.40471048910999985</v>
      </c>
      <c r="CB67" s="2916">
        <f t="shared" si="773"/>
        <v>7507.7254372257221</v>
      </c>
      <c r="CC67" s="2916">
        <f t="shared" si="773"/>
        <v>7505.1094162475019</v>
      </c>
      <c r="CD67" s="2916">
        <f t="shared" si="773"/>
        <v>2.6160209782199999</v>
      </c>
      <c r="CE67" s="2953">
        <f t="shared" si="773"/>
        <v>8773.0338300000003</v>
      </c>
      <c r="CF67" s="2953">
        <f t="shared" si="773"/>
        <v>8771.2759399999995</v>
      </c>
      <c r="CG67" s="2953">
        <f t="shared" si="773"/>
        <v>1.7578900000000002</v>
      </c>
      <c r="CH67" s="2953">
        <f t="shared" si="773"/>
        <v>6765.8878999999997</v>
      </c>
      <c r="CI67" s="2953">
        <f t="shared" si="773"/>
        <v>6764.2160000000003</v>
      </c>
      <c r="CJ67" s="2953">
        <f t="shared" si="773"/>
        <v>1.6718999999999999</v>
      </c>
      <c r="CK67" s="2954">
        <f t="shared" si="675"/>
        <v>1265.3083927742782</v>
      </c>
      <c r="CL67" s="2954">
        <f t="shared" si="675"/>
        <v>1266.1665237524976</v>
      </c>
      <c r="CM67" s="2954">
        <f t="shared" si="675"/>
        <v>-0.85813097821999973</v>
      </c>
      <c r="CN67" s="2946">
        <f t="shared" si="774"/>
        <v>1251.2875728709537</v>
      </c>
      <c r="CO67" s="2946">
        <f>SUM('ПОЛНАЯ СЕБЕСТОИМОСТЬ ВОДА 2021'!AP215)/3</f>
        <v>1250.8515693745837</v>
      </c>
      <c r="CP67" s="2946">
        <f>SUM('ПОЛНАЯ СЕБЕСТОИМОСТЬ ВОДА 2021'!AQ215)/3</f>
        <v>0.43600349636999997</v>
      </c>
      <c r="CQ67" s="2865">
        <f t="shared" si="775"/>
        <v>1308.31349</v>
      </c>
      <c r="CR67" s="2865">
        <f>SUM('ПОЛНАЯ СЕБЕСТОИМОСТЬ ВОДА 2021'!AS215)</f>
        <v>1308.1469999999999</v>
      </c>
      <c r="CS67" s="2865">
        <f>SUM('ПОЛНАЯ СЕБЕСТОИМОСТЬ ВОДА 2021'!AT215)</f>
        <v>0.16649000000000003</v>
      </c>
      <c r="CT67" s="2952">
        <f>SUM(CT68:CT73)</f>
        <v>1290.3049999999998</v>
      </c>
      <c r="CU67" s="2952">
        <f t="shared" ref="CU67:CV67" si="854">SUM(CU68:CU73)</f>
        <v>1289.98</v>
      </c>
      <c r="CV67" s="2952">
        <f t="shared" si="854"/>
        <v>0.32500000000000001</v>
      </c>
      <c r="CW67" s="2946">
        <f t="shared" si="777"/>
        <v>1251.2875728709537</v>
      </c>
      <c r="CX67" s="2946">
        <f t="shared" si="778"/>
        <v>1250.8515693745837</v>
      </c>
      <c r="CY67" s="2946">
        <f t="shared" si="779"/>
        <v>0.43600349636999997</v>
      </c>
      <c r="CZ67" s="2865">
        <f t="shared" si="780"/>
        <v>1046.6428000000001</v>
      </c>
      <c r="DA67" s="2865">
        <f>SUM('ПОЛНАЯ СЕБЕСТОИМОСТЬ ВОДА 2021'!AV215)</f>
        <v>1046.375</v>
      </c>
      <c r="DB67" s="2865">
        <f>SUM('ПОЛНАЯ СЕБЕСТОИМОСТЬ ВОДА 2021'!AW215)</f>
        <v>0.26779999999999998</v>
      </c>
      <c r="DC67" s="2952">
        <f>SUM(DC68:DC73)</f>
        <v>1043.4237999999998</v>
      </c>
      <c r="DD67" s="2952">
        <f t="shared" ref="DD67:DE67" si="855">SUM(DD68:DD73)</f>
        <v>1043.1489999999999</v>
      </c>
      <c r="DE67" s="2952">
        <f t="shared" si="855"/>
        <v>0.27479999999999999</v>
      </c>
      <c r="DF67" s="2946">
        <f t="shared" si="782"/>
        <v>1251.2875728709537</v>
      </c>
      <c r="DG67" s="2946">
        <f t="shared" si="783"/>
        <v>1250.8515693745837</v>
      </c>
      <c r="DH67" s="2946">
        <f t="shared" si="784"/>
        <v>0.43600349636999997</v>
      </c>
      <c r="DI67" s="2865">
        <f t="shared" si="785"/>
        <v>1552.96739</v>
      </c>
      <c r="DJ67" s="2865">
        <f>SUM('ПОЛНАЯ СЕБЕСТОИМОСТЬ ВОДА 2021'!AY215)</f>
        <v>1552.4416200000001</v>
      </c>
      <c r="DK67" s="2865">
        <f>SUM('ПОЛНАЯ СЕБЕСТОИМОСТЬ ВОДА 2021'!AZ215)</f>
        <v>0.52576999999999996</v>
      </c>
      <c r="DL67" s="2952">
        <f>SUM(DL68:DL73)</f>
        <v>1153.634</v>
      </c>
      <c r="DM67" s="2952">
        <f t="shared" ref="DM67:DN67" si="856">SUM(DM68:DM73)</f>
        <v>1153.0450000000001</v>
      </c>
      <c r="DN67" s="2952">
        <f t="shared" si="856"/>
        <v>0.58899999999999997</v>
      </c>
      <c r="DO67" s="2916">
        <f t="shared" si="787"/>
        <v>3753.862718612861</v>
      </c>
      <c r="DP67" s="2916">
        <f t="shared" si="787"/>
        <v>3752.554708123751</v>
      </c>
      <c r="DQ67" s="2916">
        <f t="shared" si="787"/>
        <v>1.30801048911</v>
      </c>
      <c r="DR67" s="2953">
        <f t="shared" si="787"/>
        <v>3907.9236799999999</v>
      </c>
      <c r="DS67" s="2953">
        <f t="shared" si="787"/>
        <v>3906.96362</v>
      </c>
      <c r="DT67" s="2953">
        <f t="shared" si="787"/>
        <v>0.96005999999999991</v>
      </c>
      <c r="DU67" s="2953">
        <f t="shared" si="787"/>
        <v>3487.3627999999999</v>
      </c>
      <c r="DV67" s="2953">
        <f t="shared" si="787"/>
        <v>3486.174</v>
      </c>
      <c r="DW67" s="2953">
        <f t="shared" si="787"/>
        <v>1.1888000000000001</v>
      </c>
      <c r="DX67" s="2954">
        <f t="shared" si="677"/>
        <v>154.06096138713883</v>
      </c>
      <c r="DY67" s="2954">
        <f t="shared" si="677"/>
        <v>154.40891187624902</v>
      </c>
      <c r="DZ67" s="2954">
        <f t="shared" si="677"/>
        <v>-0.34795048911000004</v>
      </c>
      <c r="EA67" s="2916">
        <f t="shared" si="788"/>
        <v>11261.588155838583</v>
      </c>
      <c r="EB67" s="2916">
        <f t="shared" si="788"/>
        <v>11257.664124371253</v>
      </c>
      <c r="EC67" s="2916">
        <f t="shared" si="788"/>
        <v>3.9240314673299999</v>
      </c>
      <c r="ED67" s="2953">
        <f t="shared" si="788"/>
        <v>12680.95751</v>
      </c>
      <c r="EE67" s="2953">
        <f t="shared" si="788"/>
        <v>12678.23956</v>
      </c>
      <c r="EF67" s="2953">
        <f t="shared" si="788"/>
        <v>2.7179500000000001</v>
      </c>
      <c r="EG67" s="2953">
        <f t="shared" si="788"/>
        <v>10253.250700000001</v>
      </c>
      <c r="EH67" s="2953">
        <f t="shared" si="788"/>
        <v>10250.39</v>
      </c>
      <c r="EI67" s="2953">
        <f t="shared" si="788"/>
        <v>2.8607</v>
      </c>
      <c r="EJ67" s="2954">
        <f t="shared" si="679"/>
        <v>1419.3693541614175</v>
      </c>
      <c r="EK67" s="2954">
        <f t="shared" si="679"/>
        <v>1420.5754356287471</v>
      </c>
      <c r="EL67" s="2954">
        <f t="shared" si="679"/>
        <v>-1.2060814673299998</v>
      </c>
      <c r="EM67" s="2946">
        <f t="shared" si="789"/>
        <v>1251.2875728709537</v>
      </c>
      <c r="EN67" s="2946">
        <f>SUM('ПОЛНАЯ СЕБЕСТОИМОСТЬ ВОДА 2021'!BN215)/3</f>
        <v>1250.8515693745837</v>
      </c>
      <c r="EO67" s="2946">
        <f>SUM('ПОЛНАЯ СЕБЕСТОИМОСТЬ ВОДА 2021'!BO215)/3</f>
        <v>0.43600349636999997</v>
      </c>
      <c r="EP67" s="2865">
        <f t="shared" si="790"/>
        <v>1161.1300600000002</v>
      </c>
      <c r="EQ67" s="2865">
        <f>SUM('ПОЛНАЯ СЕБЕСТОИМОСТЬ ВОДА 2021'!BQ215)</f>
        <v>1160.9380000000001</v>
      </c>
      <c r="ER67" s="2865">
        <f>SUM('ПОЛНАЯ СЕБЕСТОИМОСТЬ ВОДА 2021'!BR215)</f>
        <v>0.19205999999999998</v>
      </c>
      <c r="ES67" s="2952">
        <f>SUM(ES68:ES73)</f>
        <v>1224.5398</v>
      </c>
      <c r="ET67" s="2952">
        <f t="shared" ref="ET67:EU67" si="857">SUM(ET68:ET73)</f>
        <v>1224.3599999999999</v>
      </c>
      <c r="EU67" s="2952">
        <f t="shared" si="857"/>
        <v>0.17980000000000002</v>
      </c>
      <c r="EV67" s="2946">
        <f t="shared" si="792"/>
        <v>1251.2875728709537</v>
      </c>
      <c r="EW67" s="2946">
        <f t="shared" si="793"/>
        <v>1250.8515693745837</v>
      </c>
      <c r="EX67" s="2946">
        <f t="shared" si="794"/>
        <v>0.43600349636999997</v>
      </c>
      <c r="EY67" s="2865">
        <f t="shared" si="795"/>
        <v>1265.5212999999999</v>
      </c>
      <c r="EZ67" s="2865">
        <f>SUM('ПОЛНАЯ СЕБЕСТОИМОСТЬ ВОДА 2021'!BT215)</f>
        <v>1265.223</v>
      </c>
      <c r="FA67" s="2865">
        <f>SUM('ПОЛНАЯ СЕБЕСТОИМОСТЬ ВОДА 2021'!BU215)</f>
        <v>0.29830000000000001</v>
      </c>
      <c r="FB67" s="2952">
        <f>SUM(FB68:FB73)</f>
        <v>1149.0059999999999</v>
      </c>
      <c r="FC67" s="2952">
        <f t="shared" ref="FC67:FD67" si="858">SUM(FC68:FC73)</f>
        <v>1148.7090000000001</v>
      </c>
      <c r="FD67" s="2952">
        <f t="shared" si="858"/>
        <v>0.29699999999999999</v>
      </c>
      <c r="FE67" s="2946">
        <f t="shared" si="797"/>
        <v>1251.2875728709537</v>
      </c>
      <c r="FF67" s="2946">
        <f t="shared" si="798"/>
        <v>1250.8515693745837</v>
      </c>
      <c r="FG67" s="2946">
        <f t="shared" si="799"/>
        <v>0.43600349636999997</v>
      </c>
      <c r="FH67" s="2865">
        <f t="shared" si="735"/>
        <v>1234.3949500000001</v>
      </c>
      <c r="FI67" s="2865">
        <f>SUM('ПОЛНАЯ СЕБЕСТОИМОСТЬ ВОДА 2021'!BW215)</f>
        <v>1234.1390000000001</v>
      </c>
      <c r="FJ67" s="2865">
        <f>SUM('ПОЛНАЯ СЕБЕСТОИМОСТЬ ВОДА 2021'!BX215)</f>
        <v>0.25595000000000001</v>
      </c>
      <c r="FK67" s="2952">
        <f>SUM(FK68:FK73)</f>
        <v>1320.8588000000002</v>
      </c>
      <c r="FL67" s="2952">
        <f t="shared" ref="FL67:FM67" si="859">SUM(FL68:FL73)</f>
        <v>1320.7850000000003</v>
      </c>
      <c r="FM67" s="2952">
        <f t="shared" si="859"/>
        <v>7.3800000000000004E-2</v>
      </c>
      <c r="FN67" s="2916">
        <f t="shared" si="801"/>
        <v>3753.862718612861</v>
      </c>
      <c r="FO67" s="2916">
        <f t="shared" si="801"/>
        <v>3752.554708123751</v>
      </c>
      <c r="FP67" s="2916">
        <f t="shared" si="801"/>
        <v>1.30801048911</v>
      </c>
      <c r="FQ67" s="2926">
        <f t="shared" si="801"/>
        <v>3661.0463099999997</v>
      </c>
      <c r="FR67" s="2926">
        <f t="shared" si="801"/>
        <v>3660.3</v>
      </c>
      <c r="FS67" s="2926">
        <f t="shared" si="801"/>
        <v>0.74631000000000003</v>
      </c>
      <c r="FT67" s="2926">
        <f t="shared" si="801"/>
        <v>3694.4045999999998</v>
      </c>
      <c r="FU67" s="2926">
        <f t="shared" si="801"/>
        <v>3693.8540000000003</v>
      </c>
      <c r="FV67" s="2926">
        <f t="shared" si="801"/>
        <v>0.55059999999999998</v>
      </c>
      <c r="FW67" s="2927">
        <f t="shared" si="681"/>
        <v>-92.816408612861323</v>
      </c>
      <c r="FX67" s="2927">
        <f t="shared" si="681"/>
        <v>-92.254708123750788</v>
      </c>
      <c r="FY67" s="2927">
        <f t="shared" si="681"/>
        <v>-0.56170048910999992</v>
      </c>
      <c r="FZ67" s="2916">
        <f t="shared" si="802"/>
        <v>15015.450874451444</v>
      </c>
      <c r="GA67" s="2916">
        <f t="shared" si="802"/>
        <v>15010.218832495004</v>
      </c>
      <c r="GB67" s="2916">
        <f t="shared" si="802"/>
        <v>5.2320419564399998</v>
      </c>
      <c r="GC67" s="2926">
        <f t="shared" si="802"/>
        <v>16342.00382</v>
      </c>
      <c r="GD67" s="2926">
        <f t="shared" si="802"/>
        <v>16338.539560000001</v>
      </c>
      <c r="GE67" s="2926">
        <f t="shared" si="802"/>
        <v>3.4642600000000003</v>
      </c>
      <c r="GF67" s="2926">
        <f t="shared" si="802"/>
        <v>13947.6553</v>
      </c>
      <c r="GG67" s="2926">
        <f t="shared" si="802"/>
        <v>13944.243999999999</v>
      </c>
      <c r="GH67" s="2926">
        <f t="shared" si="802"/>
        <v>3.4112999999999998</v>
      </c>
      <c r="GI67" s="2927">
        <f t="shared" si="683"/>
        <v>1326.5529455485557</v>
      </c>
      <c r="GJ67" s="2927">
        <f t="shared" si="683"/>
        <v>1328.3207275049972</v>
      </c>
      <c r="GK67" s="2927">
        <f t="shared" si="683"/>
        <v>-1.7677819564399995</v>
      </c>
      <c r="GL67" s="389"/>
      <c r="GM67" s="4191">
        <f t="shared" si="684"/>
        <v>15015.450874451441</v>
      </c>
    </row>
    <row r="68" spans="1:195" ht="18.75" x14ac:dyDescent="0.3">
      <c r="A68" s="2879" t="s">
        <v>3745</v>
      </c>
      <c r="B68" s="2951">
        <f t="shared" si="745"/>
        <v>841.13586729376323</v>
      </c>
      <c r="C68" s="2951">
        <f>SUM('ПОЛНАЯ СЕБЕСТОИМОСТЬ ВОДА 2021'!C216)/3</f>
        <v>840.86247801650404</v>
      </c>
      <c r="D68" s="2951">
        <f>SUM('ПОЛНАЯ СЕБЕСТОИМОСТЬ ВОДА 2021'!D216)/3</f>
        <v>0.27338927725916667</v>
      </c>
      <c r="E68" s="2875">
        <f t="shared" si="746"/>
        <v>800.31600000000003</v>
      </c>
      <c r="F68" s="2875">
        <f>SUM('ПОЛНАЯ СЕБЕСТОИМОСТЬ ВОДА 2021'!F216)</f>
        <v>800.16899999999998</v>
      </c>
      <c r="G68" s="2875">
        <f>SUM('ПОЛНАЯ СЕБЕСТОИМОСТЬ ВОДА 2021'!G216)</f>
        <v>0.14699999999999999</v>
      </c>
      <c r="H68" s="2955">
        <f t="shared" si="803"/>
        <v>700.38100000000009</v>
      </c>
      <c r="I68" s="2955">
        <v>700.19</v>
      </c>
      <c r="J68" s="2955">
        <v>0.191</v>
      </c>
      <c r="K68" s="2951">
        <f t="shared" si="748"/>
        <v>841.13586729376323</v>
      </c>
      <c r="L68" s="2951">
        <f t="shared" si="749"/>
        <v>840.86247801650404</v>
      </c>
      <c r="M68" s="2951">
        <f t="shared" si="750"/>
        <v>0.27338927725916667</v>
      </c>
      <c r="N68" s="2875">
        <f t="shared" si="751"/>
        <v>801.99800000000005</v>
      </c>
      <c r="O68" s="2875">
        <f>SUM('ПОЛНАЯ СЕБЕСТОИМОСТЬ ВОДА 2021'!I216)</f>
        <v>801.81500000000005</v>
      </c>
      <c r="P68" s="2875">
        <f>SUM('ПОЛНАЯ СЕБЕСТОИМОСТЬ ВОДА 2021'!J216)</f>
        <v>0.183</v>
      </c>
      <c r="Q68" s="2955">
        <f t="shared" ref="Q68:Q75" si="860">SUM(R68:S68)</f>
        <v>723.19999999999993</v>
      </c>
      <c r="R68" s="2955">
        <v>723.06</v>
      </c>
      <c r="S68" s="2955">
        <v>0.14000000000000001</v>
      </c>
      <c r="T68" s="2951">
        <f t="shared" si="753"/>
        <v>841.13586729376323</v>
      </c>
      <c r="U68" s="2951">
        <f t="shared" si="754"/>
        <v>840.86247801650404</v>
      </c>
      <c r="V68" s="2951">
        <f t="shared" si="755"/>
        <v>0.27338927725916667</v>
      </c>
      <c r="W68" s="2875">
        <f t="shared" si="756"/>
        <v>792.17899999999997</v>
      </c>
      <c r="X68" s="2875">
        <f>SUM('ПОЛНАЯ СЕБЕСТОИМОСТЬ ВОДА 2021'!L216)</f>
        <v>791.99599999999998</v>
      </c>
      <c r="Y68" s="2875">
        <f>SUM('ПОЛНАЯ СЕБЕСТОИМОСТЬ ВОДА 2021'!M216)</f>
        <v>0.183</v>
      </c>
      <c r="Z68" s="2955">
        <f t="shared" ref="Z68:Z75" si="861">SUM(AA68:AB68)</f>
        <v>726.75</v>
      </c>
      <c r="AA68" s="2955">
        <v>726.57</v>
      </c>
      <c r="AB68" s="2955">
        <v>0.18</v>
      </c>
      <c r="AC68" s="2921">
        <f t="shared" si="758"/>
        <v>2523.4076018812898</v>
      </c>
      <c r="AD68" s="2921">
        <f t="shared" si="758"/>
        <v>2522.587434049512</v>
      </c>
      <c r="AE68" s="2921">
        <f t="shared" si="758"/>
        <v>0.82016783177750008</v>
      </c>
      <c r="AF68" s="2932">
        <f t="shared" si="758"/>
        <v>2394.4929999999999</v>
      </c>
      <c r="AG68" s="2932">
        <f t="shared" si="758"/>
        <v>2393.98</v>
      </c>
      <c r="AH68" s="2932">
        <f t="shared" si="758"/>
        <v>0.5129999999999999</v>
      </c>
      <c r="AI68" s="2932">
        <f t="shared" si="758"/>
        <v>2150.3310000000001</v>
      </c>
      <c r="AJ68" s="2932">
        <f t="shared" si="758"/>
        <v>2149.8200000000002</v>
      </c>
      <c r="AK68" s="2932">
        <f t="shared" si="758"/>
        <v>0.51100000000000001</v>
      </c>
      <c r="AL68" s="2933">
        <f t="shared" si="838"/>
        <v>-128.91460188128985</v>
      </c>
      <c r="AM68" s="2933">
        <f t="shared" si="838"/>
        <v>-128.60743404951199</v>
      </c>
      <c r="AN68" s="2933">
        <f t="shared" si="838"/>
        <v>-0.30716783177750018</v>
      </c>
      <c r="AO68" s="2951">
        <f t="shared" si="759"/>
        <v>841.13586729376323</v>
      </c>
      <c r="AP68" s="2951">
        <f>SUM('ПОЛНАЯ СЕБЕСТОИМОСТЬ ВОДА 2021'!R216)/3</f>
        <v>840.86247801650404</v>
      </c>
      <c r="AQ68" s="2951">
        <f>SUM('ПОЛНАЯ СЕБЕСТОИМОСТЬ ВОДА 2021'!S216)/3</f>
        <v>0.27338927725916667</v>
      </c>
      <c r="AR68" s="2951">
        <f t="shared" si="760"/>
        <v>927.88</v>
      </c>
      <c r="AS68" s="2951">
        <f>SUM('ПОЛНАЯ СЕБЕСТОИМОСТЬ ВОДА 2021'!U216)</f>
        <v>927.65</v>
      </c>
      <c r="AT68" s="2951">
        <f>SUM('ПОЛНАЯ СЕБЕСТОИМОСТЬ ВОДА 2021'!V216)</f>
        <v>0.23</v>
      </c>
      <c r="AU68" s="2955">
        <f t="shared" ref="AU68:AU75" si="862">SUM(AV68:AW68)</f>
        <v>770.58399999999995</v>
      </c>
      <c r="AV68" s="2955">
        <v>770.26</v>
      </c>
      <c r="AW68" s="2955">
        <v>0.32400000000000001</v>
      </c>
      <c r="AX68" s="2951">
        <f t="shared" si="762"/>
        <v>841.13586729376323</v>
      </c>
      <c r="AY68" s="2951">
        <f t="shared" si="763"/>
        <v>840.86247801650404</v>
      </c>
      <c r="AZ68" s="2951">
        <f t="shared" si="764"/>
        <v>0.27338927725916667</v>
      </c>
      <c r="BA68" s="2951">
        <f t="shared" si="765"/>
        <v>1359.126</v>
      </c>
      <c r="BB68" s="2951">
        <f>SUM('ПОЛНАЯ СЕБЕСТОИМОСТЬ ВОДА 2021'!X216)</f>
        <v>1358.8789999999999</v>
      </c>
      <c r="BC68" s="2951">
        <f>SUM('ПОЛНАЯ СЕБЕСТОИМОСТЬ ВОДА 2021'!Y216)</f>
        <v>0.247</v>
      </c>
      <c r="BD68" s="2955">
        <f t="shared" ref="BD68:BD75" si="863">SUM(BE68:BF68)</f>
        <v>736.00599999999997</v>
      </c>
      <c r="BE68" s="2955">
        <v>735.9</v>
      </c>
      <c r="BF68" s="2956">
        <v>0.106</v>
      </c>
      <c r="BG68" s="2951">
        <f t="shared" si="767"/>
        <v>841.13586729376323</v>
      </c>
      <c r="BH68" s="2951">
        <f t="shared" si="768"/>
        <v>840.86247801650404</v>
      </c>
      <c r="BI68" s="2951">
        <f t="shared" si="769"/>
        <v>0.27338927725916667</v>
      </c>
      <c r="BJ68" s="2875">
        <f t="shared" si="770"/>
        <v>910.14200000000005</v>
      </c>
      <c r="BK68" s="2875">
        <f>SUM('ПОЛНАЯ СЕБЕСТОИМОСТЬ ВОДА 2021'!AA216)</f>
        <v>910.01800000000003</v>
      </c>
      <c r="BL68" s="2875">
        <f>SUM('ПОЛНАЯ СЕБЕСТОИМОСТЬ ВОДА 2021'!AB216)</f>
        <v>0.124</v>
      </c>
      <c r="BM68" s="2955">
        <f t="shared" ref="BM68:BM75" si="864">SUM(BN68:BO68)</f>
        <v>774.15</v>
      </c>
      <c r="BN68" s="2955">
        <v>773.97</v>
      </c>
      <c r="BO68" s="2955">
        <v>0.18</v>
      </c>
      <c r="BP68" s="2921">
        <f t="shared" si="772"/>
        <v>2523.4076018812898</v>
      </c>
      <c r="BQ68" s="2921">
        <f t="shared" si="772"/>
        <v>2522.587434049512</v>
      </c>
      <c r="BR68" s="2921">
        <f t="shared" si="772"/>
        <v>0.82016783177750008</v>
      </c>
      <c r="BS68" s="2957">
        <f t="shared" si="772"/>
        <v>3197.1480000000001</v>
      </c>
      <c r="BT68" s="2957">
        <f t="shared" si="772"/>
        <v>3196.547</v>
      </c>
      <c r="BU68" s="2957">
        <f t="shared" si="772"/>
        <v>0.60099999999999998</v>
      </c>
      <c r="BV68" s="2957">
        <f t="shared" si="772"/>
        <v>2280.7399999999998</v>
      </c>
      <c r="BW68" s="2957">
        <f t="shared" si="772"/>
        <v>2280.13</v>
      </c>
      <c r="BX68" s="2957">
        <f t="shared" si="772"/>
        <v>0.61</v>
      </c>
      <c r="BY68" s="2919">
        <f t="shared" si="673"/>
        <v>673.74039811871035</v>
      </c>
      <c r="BZ68" s="2919">
        <f t="shared" si="673"/>
        <v>673.95956595048801</v>
      </c>
      <c r="CA68" s="2919">
        <f t="shared" si="673"/>
        <v>-0.2191678317775001</v>
      </c>
      <c r="CB68" s="2921">
        <f t="shared" si="773"/>
        <v>5046.8152037625796</v>
      </c>
      <c r="CC68" s="2921">
        <f t="shared" si="773"/>
        <v>5045.174868099024</v>
      </c>
      <c r="CD68" s="2921">
        <f t="shared" si="773"/>
        <v>1.6403356635550002</v>
      </c>
      <c r="CE68" s="2957">
        <f t="shared" si="773"/>
        <v>5591.6409999999996</v>
      </c>
      <c r="CF68" s="2957">
        <f t="shared" si="773"/>
        <v>5590.527</v>
      </c>
      <c r="CG68" s="2957">
        <f t="shared" si="773"/>
        <v>1.1139999999999999</v>
      </c>
      <c r="CH68" s="2957">
        <f t="shared" si="773"/>
        <v>4431.0709999999999</v>
      </c>
      <c r="CI68" s="2957">
        <f t="shared" si="773"/>
        <v>4429.9500000000007</v>
      </c>
      <c r="CJ68" s="2957">
        <f t="shared" si="773"/>
        <v>1.121</v>
      </c>
      <c r="CK68" s="2919">
        <f t="shared" si="675"/>
        <v>544.82579623742004</v>
      </c>
      <c r="CL68" s="2919">
        <f t="shared" si="675"/>
        <v>545.35213190097602</v>
      </c>
      <c r="CM68" s="2919">
        <f t="shared" si="675"/>
        <v>-0.52633566355500028</v>
      </c>
      <c r="CN68" s="2951">
        <f t="shared" si="774"/>
        <v>841.13586729376323</v>
      </c>
      <c r="CO68" s="2951">
        <f>SUM('ПОЛНАЯ СЕБЕСТОИМОСТЬ ВОДА 2021'!AP216)/3</f>
        <v>840.86247801650404</v>
      </c>
      <c r="CP68" s="2951">
        <f>SUM('ПОЛНАЯ СЕБЕСТОИМОСТЬ ВОДА 2021'!AQ216)/3</f>
        <v>0.27338927725916667</v>
      </c>
      <c r="CQ68" s="2875">
        <f t="shared" si="775"/>
        <v>861.60799999999995</v>
      </c>
      <c r="CR68" s="2875">
        <f>SUM('ПОЛНАЯ СЕБЕСТОИМОСТЬ ВОДА 2021'!AS216)</f>
        <v>861.49699999999996</v>
      </c>
      <c r="CS68" s="2875">
        <f>SUM('ПОЛНАЯ СЕБЕСТОИМОСТЬ ВОДА 2021'!AT216)</f>
        <v>0.111</v>
      </c>
      <c r="CT68" s="2955">
        <f t="shared" ref="CT68:CT75" si="865">SUM(CU68:CV68)</f>
        <v>830.04100000000005</v>
      </c>
      <c r="CU68" s="2955">
        <v>829.83</v>
      </c>
      <c r="CV68" s="2955">
        <v>0.21099999999999999</v>
      </c>
      <c r="CW68" s="2951">
        <f t="shared" si="777"/>
        <v>841.13586729376323</v>
      </c>
      <c r="CX68" s="2951">
        <f t="shared" si="778"/>
        <v>840.86247801650404</v>
      </c>
      <c r="CY68" s="2951">
        <f t="shared" si="779"/>
        <v>0.27338927725916667</v>
      </c>
      <c r="CZ68" s="2875">
        <f t="shared" si="780"/>
        <v>728.18799999999999</v>
      </c>
      <c r="DA68" s="2875">
        <f>SUM('ПОЛНАЯ СЕБЕСТОИМОСТЬ ВОДА 2021'!AV216)</f>
        <v>728.00099999999998</v>
      </c>
      <c r="DB68" s="2875">
        <f>SUM('ПОЛНАЯ СЕБЕСТОИМОСТЬ ВОДА 2021'!AW216)</f>
        <v>0.187</v>
      </c>
      <c r="DC68" s="2955">
        <f t="shared" ref="DC68:DC75" si="866">SUM(DD68:DE68)</f>
        <v>671.96999999999991</v>
      </c>
      <c r="DD68" s="2955">
        <v>671.79</v>
      </c>
      <c r="DE68" s="2955">
        <v>0.18</v>
      </c>
      <c r="DF68" s="2951">
        <f t="shared" si="782"/>
        <v>841.13586729376323</v>
      </c>
      <c r="DG68" s="2951">
        <f t="shared" si="783"/>
        <v>840.86247801650404</v>
      </c>
      <c r="DH68" s="2951">
        <f t="shared" si="784"/>
        <v>0.27338927725916667</v>
      </c>
      <c r="DI68" s="2875">
        <f t="shared" si="785"/>
        <v>911.76095999999995</v>
      </c>
      <c r="DJ68" s="2875">
        <f>SUM('ПОЛНАЯ СЕБЕСТОИМОСТЬ ВОДА 2021'!AY216)</f>
        <v>911.452</v>
      </c>
      <c r="DK68" s="2875">
        <f>SUM('ПОЛНАЯ СЕБЕСТОИМОСТЬ ВОДА 2021'!AZ216)</f>
        <v>0.30896000000000001</v>
      </c>
      <c r="DL68" s="2955">
        <f t="shared" ref="DL68:DL75" si="867">SUM(DM68:DN68)</f>
        <v>732.97500000000002</v>
      </c>
      <c r="DM68" s="2955">
        <v>732.6</v>
      </c>
      <c r="DN68" s="2955">
        <v>0.375</v>
      </c>
      <c r="DO68" s="2921">
        <f t="shared" si="787"/>
        <v>2523.4076018812898</v>
      </c>
      <c r="DP68" s="2921">
        <f t="shared" si="787"/>
        <v>2522.587434049512</v>
      </c>
      <c r="DQ68" s="2921">
        <f t="shared" si="787"/>
        <v>0.82016783177750008</v>
      </c>
      <c r="DR68" s="2957">
        <f t="shared" si="787"/>
        <v>2501.5569599999999</v>
      </c>
      <c r="DS68" s="2957">
        <f t="shared" si="787"/>
        <v>2500.9499999999998</v>
      </c>
      <c r="DT68" s="2957">
        <f t="shared" si="787"/>
        <v>0.60695999999999994</v>
      </c>
      <c r="DU68" s="2957">
        <f t="shared" si="787"/>
        <v>2234.9859999999999</v>
      </c>
      <c r="DV68" s="2957">
        <f t="shared" si="787"/>
        <v>2234.2199999999998</v>
      </c>
      <c r="DW68" s="2957">
        <f t="shared" si="787"/>
        <v>0.76600000000000001</v>
      </c>
      <c r="DX68" s="2919">
        <f t="shared" si="677"/>
        <v>-21.850641881289903</v>
      </c>
      <c r="DY68" s="2919">
        <f t="shared" si="677"/>
        <v>-21.637434049512194</v>
      </c>
      <c r="DZ68" s="2919">
        <f t="shared" si="677"/>
        <v>-0.21320783177750013</v>
      </c>
      <c r="EA68" s="2921">
        <f t="shared" si="788"/>
        <v>7570.2228056438689</v>
      </c>
      <c r="EB68" s="2921">
        <f t="shared" si="788"/>
        <v>7567.762302148536</v>
      </c>
      <c r="EC68" s="2921">
        <f t="shared" si="788"/>
        <v>2.4605034953325005</v>
      </c>
      <c r="ED68" s="2957">
        <f t="shared" si="788"/>
        <v>8093.1979599999995</v>
      </c>
      <c r="EE68" s="2957">
        <f t="shared" si="788"/>
        <v>8091.4769999999999</v>
      </c>
      <c r="EF68" s="2957">
        <f t="shared" si="788"/>
        <v>1.7209599999999998</v>
      </c>
      <c r="EG68" s="2957">
        <f t="shared" si="788"/>
        <v>6666.0569999999998</v>
      </c>
      <c r="EH68" s="2957">
        <f t="shared" si="788"/>
        <v>6664.17</v>
      </c>
      <c r="EI68" s="2957">
        <f t="shared" si="788"/>
        <v>1.887</v>
      </c>
      <c r="EJ68" s="2919">
        <f t="shared" si="679"/>
        <v>522.97515435613059</v>
      </c>
      <c r="EK68" s="2919">
        <f t="shared" si="679"/>
        <v>523.71469785146382</v>
      </c>
      <c r="EL68" s="2919">
        <f t="shared" si="679"/>
        <v>-0.73954349533250063</v>
      </c>
      <c r="EM68" s="2951">
        <f t="shared" si="789"/>
        <v>841.13586729376323</v>
      </c>
      <c r="EN68" s="2951">
        <f>SUM('ПОЛНАЯ СЕБЕСТОИМОСТЬ ВОДА 2021'!BN216)/3</f>
        <v>840.86247801650404</v>
      </c>
      <c r="EO68" s="2951">
        <f>SUM('ПОЛНАЯ СЕБЕСТОИМОСТЬ ВОДА 2021'!BO216)/3</f>
        <v>0.27338927725916667</v>
      </c>
      <c r="EP68" s="2875">
        <f t="shared" si="790"/>
        <v>742.67400000000009</v>
      </c>
      <c r="EQ68" s="2875">
        <f>SUM('ПОЛНАЯ СЕБЕСТОИМОСТЬ ВОДА 2021'!BQ216)</f>
        <v>742.55100000000004</v>
      </c>
      <c r="ER68" s="2875">
        <f>SUM('ПОЛНАЯ СЕБЕСТОИМОСТЬ ВОДА 2021'!BR216)</f>
        <v>0.123</v>
      </c>
      <c r="ES68" s="2955">
        <f t="shared" ref="ES68:ES75" si="868">SUM(ET68:EU68)</f>
        <v>775.54</v>
      </c>
      <c r="ET68" s="2955">
        <v>775.42499999999995</v>
      </c>
      <c r="EU68" s="4221">
        <v>0.115</v>
      </c>
      <c r="EV68" s="2951">
        <f t="shared" si="792"/>
        <v>841.13586729376323</v>
      </c>
      <c r="EW68" s="2951">
        <f t="shared" si="793"/>
        <v>840.86247801650404</v>
      </c>
      <c r="EX68" s="2951">
        <f t="shared" si="794"/>
        <v>0.27338927725916667</v>
      </c>
      <c r="EY68" s="2875">
        <f t="shared" si="795"/>
        <v>778.29099999999994</v>
      </c>
      <c r="EZ68" s="2875">
        <f>SUM('ПОЛНАЯ СЕБЕСТОИМОСТЬ ВОДА 2021'!BT216)</f>
        <v>778.10699999999997</v>
      </c>
      <c r="FA68" s="2951">
        <f>SUM('ПОЛНАЯ СЕБЕСТОИМОСТЬ ВОДА 2021'!BU216)</f>
        <v>0.184</v>
      </c>
      <c r="FB68" s="2955">
        <f t="shared" ref="FB68:FB75" si="869">SUM(FC68:FD68)</f>
        <v>695.7589999999999</v>
      </c>
      <c r="FC68" s="2955">
        <v>695.58399999999995</v>
      </c>
      <c r="FD68" s="2955">
        <v>0.17499999999999999</v>
      </c>
      <c r="FE68" s="2951">
        <f t="shared" si="797"/>
        <v>841.13586729376323</v>
      </c>
      <c r="FF68" s="2951">
        <f t="shared" si="798"/>
        <v>840.86247801650404</v>
      </c>
      <c r="FG68" s="2951">
        <f t="shared" si="799"/>
        <v>0.27338927725916667</v>
      </c>
      <c r="FH68" s="2875">
        <f t="shared" si="735"/>
        <v>807.09399999999994</v>
      </c>
      <c r="FI68" s="2875">
        <f>SUM('ПОЛНАЯ СЕБЕСТОИМОСТЬ ВОДА 2021'!BW216)</f>
        <v>806.93</v>
      </c>
      <c r="FJ68" s="2875">
        <f>SUM('ПОЛНАЯ СЕБЕСТОИМОСТЬ ВОДА 2021'!BX216)</f>
        <v>0.16400000000000001</v>
      </c>
      <c r="FK68" s="2955">
        <f t="shared" ref="FK68:FK75" si="870">SUM(FL68:FM68)</f>
        <v>793.47900000000004</v>
      </c>
      <c r="FL68" s="2955">
        <v>793.45</v>
      </c>
      <c r="FM68" s="4221">
        <v>2.9000000000000001E-2</v>
      </c>
      <c r="FN68" s="2921">
        <f t="shared" si="801"/>
        <v>2523.4076018812898</v>
      </c>
      <c r="FO68" s="2921">
        <f t="shared" si="801"/>
        <v>2522.587434049512</v>
      </c>
      <c r="FP68" s="2921">
        <f t="shared" si="801"/>
        <v>0.82016783177750008</v>
      </c>
      <c r="FQ68" s="2932">
        <f t="shared" si="801"/>
        <v>2328.0590000000002</v>
      </c>
      <c r="FR68" s="2932">
        <f t="shared" si="801"/>
        <v>2327.5879999999997</v>
      </c>
      <c r="FS68" s="2932">
        <f t="shared" si="801"/>
        <v>0.47099999999999997</v>
      </c>
      <c r="FT68" s="2932">
        <f t="shared" si="801"/>
        <v>2264.7780000000002</v>
      </c>
      <c r="FU68" s="2932">
        <f t="shared" si="801"/>
        <v>2264.4589999999998</v>
      </c>
      <c r="FV68" s="2932">
        <f t="shared" si="801"/>
        <v>0.31900000000000001</v>
      </c>
      <c r="FW68" s="2933">
        <f t="shared" si="681"/>
        <v>-195.3486018812896</v>
      </c>
      <c r="FX68" s="2933">
        <f t="shared" si="681"/>
        <v>-194.99943404951227</v>
      </c>
      <c r="FY68" s="2933">
        <f t="shared" si="681"/>
        <v>-0.3491678317775001</v>
      </c>
      <c r="FZ68" s="2921">
        <f t="shared" si="802"/>
        <v>10093.630407525159</v>
      </c>
      <c r="GA68" s="2921">
        <f t="shared" si="802"/>
        <v>10090.349736198048</v>
      </c>
      <c r="GB68" s="2921">
        <f t="shared" si="802"/>
        <v>3.2806713271100003</v>
      </c>
      <c r="GC68" s="2932">
        <f t="shared" si="802"/>
        <v>10421.256959999999</v>
      </c>
      <c r="GD68" s="2932">
        <f t="shared" si="802"/>
        <v>10419.064999999999</v>
      </c>
      <c r="GE68" s="2932">
        <f t="shared" si="802"/>
        <v>2.1919599999999999</v>
      </c>
      <c r="GF68" s="2932">
        <f t="shared" si="802"/>
        <v>8930.8349999999991</v>
      </c>
      <c r="GG68" s="2932">
        <f t="shared" si="802"/>
        <v>8928.6290000000008</v>
      </c>
      <c r="GH68" s="2932">
        <f t="shared" si="802"/>
        <v>2.206</v>
      </c>
      <c r="GI68" s="2933">
        <f t="shared" si="683"/>
        <v>327.62655247483963</v>
      </c>
      <c r="GJ68" s="2933">
        <f t="shared" si="683"/>
        <v>328.71526380195064</v>
      </c>
      <c r="GK68" s="2933">
        <f t="shared" si="683"/>
        <v>-1.0887113271100004</v>
      </c>
      <c r="GL68" s="389"/>
      <c r="GM68" s="4191">
        <f t="shared" si="684"/>
        <v>10093.630407525161</v>
      </c>
    </row>
    <row r="69" spans="1:195" ht="18.75" x14ac:dyDescent="0.3">
      <c r="A69" s="2879" t="s">
        <v>3746</v>
      </c>
      <c r="B69" s="2951">
        <f t="shared" si="745"/>
        <v>252.34074340495121</v>
      </c>
      <c r="C69" s="2951">
        <f>SUM('ПОЛНАЯ СЕБЕСТОИМОСТЬ ВОДА 2021'!C217)/3</f>
        <v>252.25874340495122</v>
      </c>
      <c r="D69" s="2951">
        <f>SUM('ПОЛНАЯ СЕБЕСТОИМОСТЬ ВОДА 2021'!D217)/3</f>
        <v>8.2000000000000003E-2</v>
      </c>
      <c r="E69" s="2875">
        <f t="shared" si="746"/>
        <v>239.46300000000002</v>
      </c>
      <c r="F69" s="2875">
        <f>SUM('ПОЛНАЯ СЕБЕСТОИМОСТЬ ВОДА 2021'!F217)</f>
        <v>239.41900000000001</v>
      </c>
      <c r="G69" s="2875">
        <f>SUM('ПОЛНАЯ СЕБЕСТОИМОСТЬ ВОДА 2021'!G217)</f>
        <v>4.3999999999999997E-2</v>
      </c>
      <c r="H69" s="2955">
        <f t="shared" si="803"/>
        <v>211.48500000000001</v>
      </c>
      <c r="I69" s="2955">
        <v>211.43</v>
      </c>
      <c r="J69" s="2955">
        <v>5.5E-2</v>
      </c>
      <c r="K69" s="2951">
        <f t="shared" si="748"/>
        <v>252.34074340495121</v>
      </c>
      <c r="L69" s="2951">
        <f t="shared" si="749"/>
        <v>252.25874340495122</v>
      </c>
      <c r="M69" s="2951">
        <f t="shared" si="750"/>
        <v>8.2000000000000003E-2</v>
      </c>
      <c r="N69" s="2875">
        <f t="shared" si="751"/>
        <v>240.91510000000002</v>
      </c>
      <c r="O69" s="2875">
        <f>SUM('ПОЛНАЯ СЕБЕСТОИМОСТЬ ВОДА 2021'!I217)</f>
        <v>240.86</v>
      </c>
      <c r="P69" s="2875">
        <f>SUM('ПОЛНАЯ СЕБЕСТОИМОСТЬ ВОДА 2021'!J217)</f>
        <v>5.5100000000000003E-2</v>
      </c>
      <c r="Q69" s="2955">
        <f t="shared" si="860"/>
        <v>216.88</v>
      </c>
      <c r="R69" s="2955">
        <v>216.84</v>
      </c>
      <c r="S69" s="2955">
        <v>0.04</v>
      </c>
      <c r="T69" s="2951">
        <f t="shared" si="753"/>
        <v>252.34074340495121</v>
      </c>
      <c r="U69" s="2951">
        <f t="shared" si="754"/>
        <v>252.25874340495122</v>
      </c>
      <c r="V69" s="2951">
        <f t="shared" si="755"/>
        <v>8.2000000000000003E-2</v>
      </c>
      <c r="W69" s="2875">
        <f t="shared" si="756"/>
        <v>236.13400000000001</v>
      </c>
      <c r="X69" s="2875">
        <f>SUM('ПОЛНАЯ СЕБЕСТОИМОСТЬ ВОДА 2021'!L217)</f>
        <v>236.08</v>
      </c>
      <c r="Y69" s="2875">
        <f>SUM('ПОЛНАЯ СЕБЕСТОИМОСТЬ ВОДА 2021'!M217)</f>
        <v>5.3999999999999999E-2</v>
      </c>
      <c r="Z69" s="2955">
        <f t="shared" si="861"/>
        <v>217.8434</v>
      </c>
      <c r="AA69" s="2955">
        <v>217.79</v>
      </c>
      <c r="AB69" s="2955">
        <v>5.3400000000000003E-2</v>
      </c>
      <c r="AC69" s="2921">
        <f t="shared" si="758"/>
        <v>757.02223021485361</v>
      </c>
      <c r="AD69" s="2921">
        <f t="shared" si="758"/>
        <v>756.77623021485363</v>
      </c>
      <c r="AE69" s="2921">
        <f t="shared" si="758"/>
        <v>0.246</v>
      </c>
      <c r="AF69" s="2932">
        <f t="shared" si="758"/>
        <v>716.51210000000003</v>
      </c>
      <c r="AG69" s="2932">
        <f t="shared" si="758"/>
        <v>716.35900000000004</v>
      </c>
      <c r="AH69" s="2932">
        <f t="shared" si="758"/>
        <v>0.15309999999999999</v>
      </c>
      <c r="AI69" s="2932">
        <f t="shared" si="758"/>
        <v>646.20839999999998</v>
      </c>
      <c r="AJ69" s="2932">
        <f t="shared" si="758"/>
        <v>646.05999999999995</v>
      </c>
      <c r="AK69" s="2932">
        <f t="shared" si="758"/>
        <v>0.1484</v>
      </c>
      <c r="AL69" s="2933">
        <f t="shared" si="838"/>
        <v>-40.510130214853575</v>
      </c>
      <c r="AM69" s="2933">
        <f t="shared" si="838"/>
        <v>-40.417230214853589</v>
      </c>
      <c r="AN69" s="2933">
        <f t="shared" si="838"/>
        <v>-9.290000000000001E-2</v>
      </c>
      <c r="AO69" s="2951">
        <f t="shared" si="759"/>
        <v>252.34074340495121</v>
      </c>
      <c r="AP69" s="2951">
        <f>SUM('ПОЛНАЯ СЕБЕСТОИМОСТЬ ВОДА 2021'!R217)/3</f>
        <v>252.25874340495122</v>
      </c>
      <c r="AQ69" s="2951">
        <f>SUM('ПОЛНАЯ СЕБЕСТОИМОСТЬ ВОДА 2021'!S217)/3</f>
        <v>8.2000000000000003E-2</v>
      </c>
      <c r="AR69" s="2951">
        <f t="shared" si="760"/>
        <v>278.709</v>
      </c>
      <c r="AS69" s="2951">
        <f>SUM('ПОЛНАЯ СЕБЕСТОИМОСТЬ ВОДА 2021'!U217)</f>
        <v>278.64</v>
      </c>
      <c r="AT69" s="2951">
        <f>SUM('ПОЛНАЯ СЕБЕСТОИМОСТЬ ВОДА 2021'!V217)</f>
        <v>6.9000000000000006E-2</v>
      </c>
      <c r="AU69" s="2955">
        <f t="shared" si="862"/>
        <v>230.447</v>
      </c>
      <c r="AV69" s="2955">
        <v>230.35</v>
      </c>
      <c r="AW69" s="2955">
        <v>9.7000000000000003E-2</v>
      </c>
      <c r="AX69" s="2951">
        <f t="shared" si="762"/>
        <v>252.34074340495121</v>
      </c>
      <c r="AY69" s="2951">
        <f t="shared" si="763"/>
        <v>252.25874340495122</v>
      </c>
      <c r="AZ69" s="2951">
        <f t="shared" si="764"/>
        <v>8.2000000000000003E-2</v>
      </c>
      <c r="BA69" s="2951">
        <f t="shared" si="765"/>
        <v>390.53347000000002</v>
      </c>
      <c r="BB69" s="2951">
        <f>SUM('ПОЛНАЯ СЕБЕСТОИМОСТЬ ВОДА 2021'!X217)</f>
        <v>390.46100000000001</v>
      </c>
      <c r="BC69" s="2951">
        <f>SUM('ПОЛНАЯ СЕБЕСТОИМОСТЬ ВОДА 2021'!Y217)</f>
        <v>7.2470000000000007E-2</v>
      </c>
      <c r="BD69" s="2955">
        <f t="shared" si="863"/>
        <v>222.24200000000002</v>
      </c>
      <c r="BE69" s="2955">
        <v>222.21</v>
      </c>
      <c r="BF69" s="2956">
        <v>3.2000000000000001E-2</v>
      </c>
      <c r="BG69" s="2951">
        <f t="shared" si="767"/>
        <v>252.34074340495121</v>
      </c>
      <c r="BH69" s="2951">
        <f t="shared" si="768"/>
        <v>252.25874340495122</v>
      </c>
      <c r="BI69" s="2951">
        <f t="shared" si="769"/>
        <v>8.2000000000000003E-2</v>
      </c>
      <c r="BJ69" s="2875">
        <f t="shared" si="770"/>
        <v>273.38</v>
      </c>
      <c r="BK69" s="2875">
        <f>SUM('ПОЛНАЯ СЕБЕСТОИМОСТЬ ВОДА 2021'!AA217)</f>
        <v>273.34300000000002</v>
      </c>
      <c r="BL69" s="2875">
        <f>SUM('ПОЛНАЯ СЕБЕСТОИМОСТЬ ВОДА 2021'!AB217)</f>
        <v>3.6999999999999998E-2</v>
      </c>
      <c r="BM69" s="2955">
        <f t="shared" si="864"/>
        <v>233.309</v>
      </c>
      <c r="BN69" s="2955">
        <v>233.26</v>
      </c>
      <c r="BO69" s="2955">
        <v>4.9000000000000002E-2</v>
      </c>
      <c r="BP69" s="2921">
        <f t="shared" si="772"/>
        <v>757.02223021485361</v>
      </c>
      <c r="BQ69" s="2921">
        <f t="shared" si="772"/>
        <v>756.77623021485363</v>
      </c>
      <c r="BR69" s="2921">
        <f t="shared" si="772"/>
        <v>0.246</v>
      </c>
      <c r="BS69" s="2957">
        <f t="shared" si="772"/>
        <v>942.62247000000002</v>
      </c>
      <c r="BT69" s="2957">
        <f t="shared" si="772"/>
        <v>942.44399999999996</v>
      </c>
      <c r="BU69" s="2957">
        <f t="shared" si="772"/>
        <v>0.17847000000000002</v>
      </c>
      <c r="BV69" s="2957">
        <f t="shared" si="772"/>
        <v>685.99800000000005</v>
      </c>
      <c r="BW69" s="2957">
        <f t="shared" si="772"/>
        <v>685.81999999999994</v>
      </c>
      <c r="BX69" s="2957">
        <f t="shared" si="772"/>
        <v>0.17799999999999999</v>
      </c>
      <c r="BY69" s="2919">
        <f t="shared" si="673"/>
        <v>185.60023978514641</v>
      </c>
      <c r="BZ69" s="2919">
        <f t="shared" si="673"/>
        <v>185.66776978514633</v>
      </c>
      <c r="CA69" s="2919">
        <f t="shared" si="673"/>
        <v>-6.7529999999999979E-2</v>
      </c>
      <c r="CB69" s="2921">
        <f t="shared" si="773"/>
        <v>1514.0444604297072</v>
      </c>
      <c r="CC69" s="2921">
        <f t="shared" si="773"/>
        <v>1513.5524604297073</v>
      </c>
      <c r="CD69" s="2921">
        <f t="shared" si="773"/>
        <v>0.49199999999999999</v>
      </c>
      <c r="CE69" s="2957">
        <f t="shared" si="773"/>
        <v>1659.1345700000002</v>
      </c>
      <c r="CF69" s="2957">
        <f t="shared" si="773"/>
        <v>1658.8029999999999</v>
      </c>
      <c r="CG69" s="2957">
        <f t="shared" si="773"/>
        <v>0.33157000000000003</v>
      </c>
      <c r="CH69" s="2957">
        <f t="shared" si="773"/>
        <v>1332.2064</v>
      </c>
      <c r="CI69" s="2957">
        <f t="shared" si="773"/>
        <v>1331.8799999999999</v>
      </c>
      <c r="CJ69" s="2957">
        <f t="shared" si="773"/>
        <v>0.32640000000000002</v>
      </c>
      <c r="CK69" s="2919">
        <f t="shared" si="675"/>
        <v>145.09010957029295</v>
      </c>
      <c r="CL69" s="2919">
        <f t="shared" si="675"/>
        <v>145.25053957029263</v>
      </c>
      <c r="CM69" s="2919">
        <f t="shared" si="675"/>
        <v>-0.16042999999999996</v>
      </c>
      <c r="CN69" s="2951">
        <f t="shared" si="774"/>
        <v>252.34074340495121</v>
      </c>
      <c r="CO69" s="2951">
        <f>SUM('ПОЛНАЯ СЕБЕСТОИМОСТЬ ВОДА 2021'!AP217)/3</f>
        <v>252.25874340495122</v>
      </c>
      <c r="CP69" s="2951">
        <f>SUM('ПОЛНАЯ СЕБЕСТОИМОСТЬ ВОДА 2021'!AQ217)/3</f>
        <v>8.2000000000000003E-2</v>
      </c>
      <c r="CQ69" s="2875">
        <f t="shared" si="775"/>
        <v>257.95300000000003</v>
      </c>
      <c r="CR69" s="2875">
        <f>SUM('ПОЛНАЯ СЕБЕСТОИМОСТЬ ВОДА 2021'!AS217)</f>
        <v>257.92</v>
      </c>
      <c r="CS69" s="2875">
        <f>SUM('ПОЛНАЯ СЕБЕСТОИМОСТЬ ВОДА 2021'!AT217)</f>
        <v>3.3000000000000002E-2</v>
      </c>
      <c r="CT69" s="2955">
        <f t="shared" si="865"/>
        <v>248.67000000000002</v>
      </c>
      <c r="CU69" s="2955">
        <v>248.61</v>
      </c>
      <c r="CV69" s="2955">
        <v>0.06</v>
      </c>
      <c r="CW69" s="2951">
        <f t="shared" si="777"/>
        <v>252.34074340495121</v>
      </c>
      <c r="CX69" s="2951">
        <f t="shared" si="778"/>
        <v>252.25874340495122</v>
      </c>
      <c r="CY69" s="2951">
        <f t="shared" si="779"/>
        <v>8.2000000000000003E-2</v>
      </c>
      <c r="CZ69" s="2875">
        <f t="shared" si="780"/>
        <v>219.18</v>
      </c>
      <c r="DA69" s="2875">
        <f>SUM('ПОЛНАЯ СЕБЕСТОИМОСТЬ ВОДА 2021'!AV217)</f>
        <v>219.124</v>
      </c>
      <c r="DB69" s="2875">
        <f>SUM('ПОЛНАЯ СЕБЕСТОИМОСТЬ ВОДА 2021'!AW217)</f>
        <v>5.6000000000000001E-2</v>
      </c>
      <c r="DC69" s="2955">
        <f t="shared" si="866"/>
        <v>199.38040000000001</v>
      </c>
      <c r="DD69" s="2955">
        <v>199.33</v>
      </c>
      <c r="DE69" s="2955">
        <v>5.04E-2</v>
      </c>
      <c r="DF69" s="2951">
        <f t="shared" si="782"/>
        <v>252.34074340495121</v>
      </c>
      <c r="DG69" s="2951">
        <f t="shared" si="783"/>
        <v>252.25874340495122</v>
      </c>
      <c r="DH69" s="2951">
        <f t="shared" si="784"/>
        <v>8.2000000000000003E-2</v>
      </c>
      <c r="DI69" s="2875">
        <f t="shared" si="785"/>
        <v>274.71208000000001</v>
      </c>
      <c r="DJ69" s="2875">
        <f>SUM('ПОЛНАЯ СЕБЕСТОИМОСТЬ ВОДА 2021'!AY217)</f>
        <v>274.61900000000003</v>
      </c>
      <c r="DK69" s="2875">
        <f>SUM('ПОЛНАЯ СЕБЕСТОИМОСТЬ ВОДА 2021'!AZ217)</f>
        <v>9.3079999999999996E-2</v>
      </c>
      <c r="DL69" s="2955">
        <f t="shared" si="867"/>
        <v>218.02</v>
      </c>
      <c r="DM69" s="2955">
        <v>217.91</v>
      </c>
      <c r="DN69" s="2955">
        <v>0.11</v>
      </c>
      <c r="DO69" s="2921">
        <f t="shared" si="787"/>
        <v>757.02223021485361</v>
      </c>
      <c r="DP69" s="2921">
        <f t="shared" si="787"/>
        <v>756.77623021485363</v>
      </c>
      <c r="DQ69" s="2921">
        <f t="shared" si="787"/>
        <v>0.246</v>
      </c>
      <c r="DR69" s="2957">
        <f t="shared" si="787"/>
        <v>751.84508000000005</v>
      </c>
      <c r="DS69" s="2957">
        <f t="shared" si="787"/>
        <v>751.66300000000001</v>
      </c>
      <c r="DT69" s="2957">
        <f t="shared" si="787"/>
        <v>0.18207999999999999</v>
      </c>
      <c r="DU69" s="2957">
        <f t="shared" si="787"/>
        <v>666.07040000000006</v>
      </c>
      <c r="DV69" s="2957">
        <f t="shared" si="787"/>
        <v>665.85</v>
      </c>
      <c r="DW69" s="2957">
        <f t="shared" si="787"/>
        <v>0.22039999999999998</v>
      </c>
      <c r="DX69" s="2919">
        <f t="shared" si="677"/>
        <v>-5.1771502148535546</v>
      </c>
      <c r="DY69" s="2919">
        <f t="shared" si="677"/>
        <v>-5.1132302148536155</v>
      </c>
      <c r="DZ69" s="2919">
        <f t="shared" si="677"/>
        <v>-6.3920000000000005E-2</v>
      </c>
      <c r="EA69" s="2921">
        <f t="shared" si="788"/>
        <v>2271.0666906445608</v>
      </c>
      <c r="EB69" s="2921">
        <f t="shared" si="788"/>
        <v>2270.328690644561</v>
      </c>
      <c r="EC69" s="2921">
        <f t="shared" si="788"/>
        <v>0.73799999999999999</v>
      </c>
      <c r="ED69" s="2957">
        <f t="shared" si="788"/>
        <v>2410.9796500000002</v>
      </c>
      <c r="EE69" s="2957">
        <f t="shared" si="788"/>
        <v>2410.4659999999999</v>
      </c>
      <c r="EF69" s="2957">
        <f t="shared" si="788"/>
        <v>0.51365000000000005</v>
      </c>
      <c r="EG69" s="2957">
        <f t="shared" si="788"/>
        <v>1998.2768000000001</v>
      </c>
      <c r="EH69" s="2957">
        <f t="shared" si="788"/>
        <v>1997.73</v>
      </c>
      <c r="EI69" s="2957">
        <f t="shared" si="788"/>
        <v>0.54679999999999995</v>
      </c>
      <c r="EJ69" s="2919">
        <f t="shared" si="679"/>
        <v>139.9129593554394</v>
      </c>
      <c r="EK69" s="2919">
        <f t="shared" si="679"/>
        <v>140.1373093554389</v>
      </c>
      <c r="EL69" s="2919">
        <f t="shared" si="679"/>
        <v>-0.22434999999999994</v>
      </c>
      <c r="EM69" s="2951">
        <f t="shared" si="789"/>
        <v>252.34074340495121</v>
      </c>
      <c r="EN69" s="2951">
        <f>SUM('ПОЛНАЯ СЕБЕСТОИМОСТЬ ВОДА 2021'!BN217)/3</f>
        <v>252.25874340495122</v>
      </c>
      <c r="EO69" s="2951">
        <f>SUM('ПОЛНАЯ СЕБЕСТОИМОСТЬ ВОДА 2021'!BO217)/3</f>
        <v>8.2000000000000003E-2</v>
      </c>
      <c r="EP69" s="2875">
        <f t="shared" si="790"/>
        <v>222.47272000000001</v>
      </c>
      <c r="EQ69" s="2875">
        <f>SUM('ПОЛНАЯ СЕБЕСТОИМОСТЬ ВОДА 2021'!BQ217)</f>
        <v>222.43600000000001</v>
      </c>
      <c r="ER69" s="2875">
        <f>SUM('ПОЛНАЯ СЕБЕСТОИМОСТЬ ВОДА 2021'!BR217)</f>
        <v>3.6720000000000003E-2</v>
      </c>
      <c r="ES69" s="2955">
        <f t="shared" si="868"/>
        <v>205.87539999999998</v>
      </c>
      <c r="ET69" s="2955">
        <v>205.845</v>
      </c>
      <c r="EU69" s="4221">
        <v>3.04E-2</v>
      </c>
      <c r="EV69" s="2951">
        <f t="shared" si="792"/>
        <v>252.34074340495121</v>
      </c>
      <c r="EW69" s="2951">
        <f t="shared" si="793"/>
        <v>252.25874340495122</v>
      </c>
      <c r="EX69" s="2951">
        <f t="shared" si="794"/>
        <v>8.2000000000000003E-2</v>
      </c>
      <c r="EY69" s="2875">
        <f t="shared" si="795"/>
        <v>251.26499999999999</v>
      </c>
      <c r="EZ69" s="2875">
        <f>SUM('ПОЛНАЯ СЕБЕСТОИМОСТЬ ВОДА 2021'!BT217)</f>
        <v>251.20599999999999</v>
      </c>
      <c r="FA69" s="2875">
        <f>SUM('ПОЛНАЯ СЕБЕСТОИМОСТЬ ВОДА 2021'!BU217)</f>
        <v>5.8999999999999997E-2</v>
      </c>
      <c r="FB69" s="2955">
        <f t="shared" si="869"/>
        <v>202.024</v>
      </c>
      <c r="FC69" s="2955">
        <v>201.97</v>
      </c>
      <c r="FD69" s="2955">
        <v>5.3999999999999999E-2</v>
      </c>
      <c r="FE69" s="2951">
        <f t="shared" si="797"/>
        <v>252.34074340495121</v>
      </c>
      <c r="FF69" s="2951">
        <f t="shared" si="798"/>
        <v>252.25874340495122</v>
      </c>
      <c r="FG69" s="2951">
        <f t="shared" si="799"/>
        <v>8.2000000000000003E-2</v>
      </c>
      <c r="FH69" s="2875">
        <f t="shared" si="735"/>
        <v>212.42998</v>
      </c>
      <c r="FI69" s="2875">
        <f>SUM('ПОЛНАЯ СЕБЕСТОИМОСТЬ ВОДА 2021'!BW217)</f>
        <v>212.387</v>
      </c>
      <c r="FJ69" s="2875">
        <f>SUM('ПОЛНАЯ СЕБЕСТОИМОСТЬ ВОДА 2021'!BX217)</f>
        <v>4.2979999999999997E-2</v>
      </c>
      <c r="FK69" s="2955">
        <f t="shared" si="870"/>
        <v>235.19490000000002</v>
      </c>
      <c r="FL69" s="2955">
        <v>235.18</v>
      </c>
      <c r="FM69" s="4221">
        <v>1.49E-2</v>
      </c>
      <c r="FN69" s="2921">
        <f t="shared" si="801"/>
        <v>757.02223021485361</v>
      </c>
      <c r="FO69" s="2921">
        <f t="shared" si="801"/>
        <v>756.77623021485363</v>
      </c>
      <c r="FP69" s="2921">
        <f t="shared" si="801"/>
        <v>0.246</v>
      </c>
      <c r="FQ69" s="2932">
        <f t="shared" si="801"/>
        <v>686.16769999999997</v>
      </c>
      <c r="FR69" s="2932">
        <f t="shared" si="801"/>
        <v>686.029</v>
      </c>
      <c r="FS69" s="2932">
        <f t="shared" si="801"/>
        <v>0.13869999999999999</v>
      </c>
      <c r="FT69" s="2932">
        <f t="shared" si="801"/>
        <v>643.09429999999998</v>
      </c>
      <c r="FU69" s="2932">
        <f t="shared" si="801"/>
        <v>642.995</v>
      </c>
      <c r="FV69" s="2932">
        <f t="shared" si="801"/>
        <v>9.9299999999999999E-2</v>
      </c>
      <c r="FW69" s="2933">
        <f t="shared" si="681"/>
        <v>-70.854530214853639</v>
      </c>
      <c r="FX69" s="2933">
        <f t="shared" si="681"/>
        <v>-70.74723021485363</v>
      </c>
      <c r="FY69" s="2933">
        <f t="shared" si="681"/>
        <v>-0.10730000000000001</v>
      </c>
      <c r="FZ69" s="2921">
        <f t="shared" si="802"/>
        <v>3028.0889208594144</v>
      </c>
      <c r="GA69" s="2921">
        <f t="shared" si="802"/>
        <v>3027.1049208594145</v>
      </c>
      <c r="GB69" s="2921">
        <f t="shared" si="802"/>
        <v>0.98399999999999999</v>
      </c>
      <c r="GC69" s="2932">
        <f t="shared" si="802"/>
        <v>3097.1473500000002</v>
      </c>
      <c r="GD69" s="2932">
        <f t="shared" si="802"/>
        <v>3096.4949999999999</v>
      </c>
      <c r="GE69" s="2932">
        <f t="shared" si="802"/>
        <v>0.65234999999999999</v>
      </c>
      <c r="GF69" s="2932">
        <f t="shared" si="802"/>
        <v>2641.3711000000003</v>
      </c>
      <c r="GG69" s="2932">
        <f t="shared" si="802"/>
        <v>2640.7249999999999</v>
      </c>
      <c r="GH69" s="2932">
        <f t="shared" si="802"/>
        <v>0.6460999999999999</v>
      </c>
      <c r="GI69" s="2933">
        <f t="shared" si="683"/>
        <v>69.058429140585758</v>
      </c>
      <c r="GJ69" s="2933">
        <f t="shared" si="683"/>
        <v>69.390079140585385</v>
      </c>
      <c r="GK69" s="2933">
        <f t="shared" si="683"/>
        <v>-0.33165</v>
      </c>
      <c r="GL69" s="389"/>
      <c r="GM69" s="4191">
        <f t="shared" si="684"/>
        <v>3028.0889208594149</v>
      </c>
    </row>
    <row r="70" spans="1:195" ht="18.75" x14ac:dyDescent="0.3">
      <c r="A70" s="2879" t="s">
        <v>274</v>
      </c>
      <c r="B70" s="2951">
        <f t="shared" si="745"/>
        <v>1.3608919099535475</v>
      </c>
      <c r="C70" s="2951">
        <f>SUM('ПОЛНАЯ СЕБЕСТОИМОСТЬ ВОДА 2021'!C218)/3</f>
        <v>1.3588592759218807</v>
      </c>
      <c r="D70" s="2951">
        <f>SUM('ПОЛНАЯ СЕБЕСТОИМОСТЬ ВОДА 2021'!D218)/3</f>
        <v>2.0326340316666664E-3</v>
      </c>
      <c r="E70" s="2875">
        <f t="shared" si="746"/>
        <v>0.25105</v>
      </c>
      <c r="F70" s="2875">
        <f>SUM('ПОЛНАЯ СЕБЕСТОИМОСТЬ ВОДА 2021'!F218)</f>
        <v>0.251</v>
      </c>
      <c r="G70" s="2875">
        <f>SUM('ПОЛНАЯ СЕБЕСТОИМОСТЬ ВОДА 2021'!G218)</f>
        <v>5.0000000000000002E-5</v>
      </c>
      <c r="H70" s="2955">
        <f t="shared" si="803"/>
        <v>0.45</v>
      </c>
      <c r="I70" s="2955">
        <v>0.45</v>
      </c>
      <c r="J70" s="2955">
        <v>0</v>
      </c>
      <c r="K70" s="2951">
        <f t="shared" si="748"/>
        <v>1.3608919099535475</v>
      </c>
      <c r="L70" s="2951">
        <f t="shared" si="749"/>
        <v>1.3588592759218807</v>
      </c>
      <c r="M70" s="2951">
        <f t="shared" si="750"/>
        <v>2.0326340316666664E-3</v>
      </c>
      <c r="N70" s="2875">
        <f t="shared" si="751"/>
        <v>0.15003</v>
      </c>
      <c r="O70" s="2875">
        <f>SUM('ПОЛНАЯ СЕБЕСТОИМОСТЬ ВОДА 2021'!I218)</f>
        <v>0.15</v>
      </c>
      <c r="P70" s="2875">
        <f>SUM('ПОЛНАЯ СЕБЕСТОИМОСТЬ ВОДА 2021'!J218)</f>
        <v>3.0000000000000001E-5</v>
      </c>
      <c r="Q70" s="2955">
        <f t="shared" si="860"/>
        <v>0.35</v>
      </c>
      <c r="R70" s="2955">
        <v>0.35</v>
      </c>
      <c r="S70" s="2955">
        <v>0</v>
      </c>
      <c r="T70" s="2951">
        <f t="shared" si="753"/>
        <v>1.3608919099535475</v>
      </c>
      <c r="U70" s="2951">
        <f t="shared" si="754"/>
        <v>1.3588592759218807</v>
      </c>
      <c r="V70" s="2951">
        <f t="shared" si="755"/>
        <v>2.0326340316666664E-3</v>
      </c>
      <c r="W70" s="2875">
        <f t="shared" si="756"/>
        <v>6.8465999999999996</v>
      </c>
      <c r="X70" s="2875">
        <f>SUM('ПОЛНАЯ СЕБЕСТОИМОСТЬ ВОДА 2021'!L218)</f>
        <v>6.8449999999999998</v>
      </c>
      <c r="Y70" s="2875">
        <f>SUM('ПОЛНАЯ СЕБЕСТОИМОСТЬ ВОДА 2021'!M218)</f>
        <v>1.6000000000000001E-3</v>
      </c>
      <c r="Z70" s="2955">
        <f t="shared" si="861"/>
        <v>0.05</v>
      </c>
      <c r="AA70" s="2955">
        <v>0.05</v>
      </c>
      <c r="AB70" s="2955">
        <v>0</v>
      </c>
      <c r="AC70" s="2921">
        <f t="shared" si="758"/>
        <v>4.0826757298606422</v>
      </c>
      <c r="AD70" s="2921">
        <f t="shared" si="758"/>
        <v>4.0765778277656421</v>
      </c>
      <c r="AE70" s="2921">
        <f t="shared" si="758"/>
        <v>6.0979020949999997E-3</v>
      </c>
      <c r="AF70" s="2932">
        <f t="shared" si="758"/>
        <v>7.2476799999999999</v>
      </c>
      <c r="AG70" s="2932">
        <f t="shared" si="758"/>
        <v>7.2459999999999996</v>
      </c>
      <c r="AH70" s="2932">
        <f t="shared" si="758"/>
        <v>1.6800000000000001E-3</v>
      </c>
      <c r="AI70" s="2932">
        <f t="shared" si="758"/>
        <v>0.85000000000000009</v>
      </c>
      <c r="AJ70" s="2932">
        <f t="shared" si="758"/>
        <v>0.85000000000000009</v>
      </c>
      <c r="AK70" s="2932">
        <f t="shared" si="758"/>
        <v>0</v>
      </c>
      <c r="AL70" s="2933">
        <f t="shared" si="838"/>
        <v>3.1650042701393577</v>
      </c>
      <c r="AM70" s="2933">
        <f t="shared" si="838"/>
        <v>3.1694221722343574</v>
      </c>
      <c r="AN70" s="2933">
        <f t="shared" si="838"/>
        <v>-4.4179020949999996E-3</v>
      </c>
      <c r="AO70" s="2951">
        <f t="shared" si="759"/>
        <v>1.3608919099535475</v>
      </c>
      <c r="AP70" s="2951">
        <f>SUM('ПОЛНАЯ СЕБЕСТОИМОСТЬ ВОДА 2021'!R218)/3</f>
        <v>1.3588592759218807</v>
      </c>
      <c r="AQ70" s="2951">
        <f>SUM('ПОЛНАЯ СЕБЕСТОИМОСТЬ ВОДА 2021'!S218)/3</f>
        <v>2.0326340316666664E-3</v>
      </c>
      <c r="AR70" s="2951">
        <f t="shared" si="760"/>
        <v>6.83169</v>
      </c>
      <c r="AS70" s="2951">
        <f>SUM('ПОЛНАЯ СЕБЕСТОИМОСТЬ ВОДА 2021'!U218)</f>
        <v>6.83</v>
      </c>
      <c r="AT70" s="2951">
        <f>SUM('ПОЛНАЯ СЕБЕСТОИМОСТЬ ВОДА 2021'!V218)</f>
        <v>1.6900000000000001E-3</v>
      </c>
      <c r="AU70" s="2955">
        <f t="shared" si="862"/>
        <v>0.16</v>
      </c>
      <c r="AV70" s="2955">
        <v>0.16</v>
      </c>
      <c r="AW70" s="2956">
        <v>0</v>
      </c>
      <c r="AX70" s="2951">
        <f t="shared" si="762"/>
        <v>1.3608919099535475</v>
      </c>
      <c r="AY70" s="2951">
        <f t="shared" si="763"/>
        <v>1.3588592759218807</v>
      </c>
      <c r="AZ70" s="2951">
        <f t="shared" si="764"/>
        <v>2.0326340316666664E-3</v>
      </c>
      <c r="BA70" s="2951">
        <f t="shared" si="765"/>
        <v>5.7260399999999994</v>
      </c>
      <c r="BB70" s="2951">
        <f>SUM('ПОЛНАЯ СЕБЕСТОИМОСТЬ ВОДА 2021'!X218)</f>
        <v>5.7249999999999996</v>
      </c>
      <c r="BC70" s="2951">
        <f>SUM('ПОЛНАЯ СЕБЕСТОИМОСТЬ ВОДА 2021'!Y218)</f>
        <v>1.0399999999999999E-3</v>
      </c>
      <c r="BD70" s="2955">
        <f t="shared" si="863"/>
        <v>3.2000000000000001E-2</v>
      </c>
      <c r="BE70" s="2955">
        <v>3.2000000000000001E-2</v>
      </c>
      <c r="BF70" s="2956">
        <v>0</v>
      </c>
      <c r="BG70" s="2951">
        <f t="shared" si="767"/>
        <v>1.3608919099535475</v>
      </c>
      <c r="BH70" s="2951">
        <f t="shared" si="768"/>
        <v>1.3588592759218807</v>
      </c>
      <c r="BI70" s="2951">
        <f t="shared" si="769"/>
        <v>2.0326340316666664E-3</v>
      </c>
      <c r="BJ70" s="2875">
        <f t="shared" si="770"/>
        <v>6.31</v>
      </c>
      <c r="BK70" s="2875">
        <f>SUM('ПОЛНАЯ СЕБЕСТОИМОСТЬ ВОДА 2021'!AA218)</f>
        <v>6.31</v>
      </c>
      <c r="BL70" s="2875">
        <f>SUM('ПОЛНАЯ СЕБЕСТОИМОСТЬ ВОДА 2021'!AB218)</f>
        <v>0</v>
      </c>
      <c r="BM70" s="2955">
        <f t="shared" si="864"/>
        <v>0.03</v>
      </c>
      <c r="BN70" s="2955">
        <v>0.03</v>
      </c>
      <c r="BO70" s="2955">
        <v>0</v>
      </c>
      <c r="BP70" s="2921">
        <f t="shared" si="772"/>
        <v>4.0826757298606422</v>
      </c>
      <c r="BQ70" s="2921">
        <f t="shared" si="772"/>
        <v>4.0765778277656421</v>
      </c>
      <c r="BR70" s="2921">
        <f t="shared" si="772"/>
        <v>6.0979020949999997E-3</v>
      </c>
      <c r="BS70" s="2957">
        <f t="shared" si="772"/>
        <v>18.867729999999998</v>
      </c>
      <c r="BT70" s="2957">
        <f t="shared" si="772"/>
        <v>18.864999999999998</v>
      </c>
      <c r="BU70" s="2957">
        <f t="shared" si="772"/>
        <v>2.7299999999999998E-3</v>
      </c>
      <c r="BV70" s="2957">
        <f t="shared" si="772"/>
        <v>0.222</v>
      </c>
      <c r="BW70" s="2957">
        <f t="shared" si="772"/>
        <v>0.222</v>
      </c>
      <c r="BX70" s="2957">
        <f t="shared" si="772"/>
        <v>0</v>
      </c>
      <c r="BY70" s="2919"/>
      <c r="BZ70" s="2919"/>
      <c r="CA70" s="2919"/>
      <c r="CB70" s="2921">
        <f t="shared" si="773"/>
        <v>8.1653514597212844</v>
      </c>
      <c r="CC70" s="2921">
        <f t="shared" si="773"/>
        <v>8.1531556555312843</v>
      </c>
      <c r="CD70" s="2921">
        <f t="shared" si="773"/>
        <v>1.2195804189999999E-2</v>
      </c>
      <c r="CE70" s="2957">
        <f t="shared" si="773"/>
        <v>26.115409999999997</v>
      </c>
      <c r="CF70" s="2957">
        <f t="shared" si="773"/>
        <v>26.110999999999997</v>
      </c>
      <c r="CG70" s="2957">
        <f t="shared" si="773"/>
        <v>4.4099999999999999E-3</v>
      </c>
      <c r="CH70" s="2957">
        <f t="shared" si="773"/>
        <v>1.0720000000000001</v>
      </c>
      <c r="CI70" s="2957">
        <f t="shared" si="773"/>
        <v>1.0720000000000001</v>
      </c>
      <c r="CJ70" s="2957">
        <f t="shared" si="773"/>
        <v>0</v>
      </c>
      <c r="CK70" s="2919">
        <f t="shared" si="675"/>
        <v>17.950058540278711</v>
      </c>
      <c r="CL70" s="2919">
        <f t="shared" si="675"/>
        <v>17.957844344468711</v>
      </c>
      <c r="CM70" s="2919">
        <f t="shared" si="675"/>
        <v>-7.7858041899999996E-3</v>
      </c>
      <c r="CN70" s="2951">
        <f t="shared" si="774"/>
        <v>1.3608919099535475</v>
      </c>
      <c r="CO70" s="2951">
        <f>SUM('ПОЛНАЯ СЕБЕСТОИМОСТЬ ВОДА 2021'!AP218)/3</f>
        <v>1.3588592759218807</v>
      </c>
      <c r="CP70" s="2951">
        <f>SUM('ПОЛНАЯ СЕБЕСТОИМОСТЬ ВОДА 2021'!AQ218)/3</f>
        <v>2.0326340316666664E-3</v>
      </c>
      <c r="CQ70" s="2875">
        <f t="shared" si="775"/>
        <v>5.9307599999999994</v>
      </c>
      <c r="CR70" s="2875">
        <f>SUM('ПОЛНАЯ СЕБЕСТОИМОСТЬ ВОДА 2021'!AS218)</f>
        <v>5.93</v>
      </c>
      <c r="CS70" s="2875">
        <f>SUM('ПОЛНАЯ СЕБЕСТОИМОСТЬ ВОДА 2021'!AT218)</f>
        <v>7.6000000000000004E-4</v>
      </c>
      <c r="CT70" s="2955">
        <f t="shared" si="865"/>
        <v>0.1</v>
      </c>
      <c r="CU70" s="2955">
        <v>0.1</v>
      </c>
      <c r="CV70" s="2955">
        <v>0</v>
      </c>
      <c r="CW70" s="2951">
        <f t="shared" si="777"/>
        <v>1.3608919099535475</v>
      </c>
      <c r="CX70" s="2951">
        <f t="shared" si="778"/>
        <v>1.3588592759218807</v>
      </c>
      <c r="CY70" s="2951">
        <f t="shared" si="779"/>
        <v>2.0326340316666664E-3</v>
      </c>
      <c r="CZ70" s="2875">
        <f t="shared" si="780"/>
        <v>6.1246</v>
      </c>
      <c r="DA70" s="2875">
        <f>SUM('ПОЛНАЯ СЕБЕСТОИМОСТЬ ВОДА 2021'!AV218)</f>
        <v>6.1230000000000002</v>
      </c>
      <c r="DB70" s="2875">
        <f>SUM('ПОЛНАЯ СЕБЕСТОИМОСТЬ ВОДА 2021'!AW218)</f>
        <v>1.6000000000000001E-3</v>
      </c>
      <c r="DC70" s="2955">
        <f t="shared" si="866"/>
        <v>0.05</v>
      </c>
      <c r="DD70" s="2955">
        <v>0.05</v>
      </c>
      <c r="DE70" s="2955">
        <v>0</v>
      </c>
      <c r="DF70" s="2951">
        <f t="shared" si="782"/>
        <v>1.3608919099535475</v>
      </c>
      <c r="DG70" s="2951">
        <f t="shared" si="783"/>
        <v>1.3588592759218807</v>
      </c>
      <c r="DH70" s="2951">
        <f t="shared" si="784"/>
        <v>2.0326340316666664E-3</v>
      </c>
      <c r="DI70" s="2875">
        <f t="shared" si="785"/>
        <v>6.8653300000000002</v>
      </c>
      <c r="DJ70" s="2875">
        <f>SUM('ПОЛНАЯ СЕБЕСТОИМОСТЬ ВОДА 2021'!AY218)</f>
        <v>6.8630000000000004</v>
      </c>
      <c r="DK70" s="2875">
        <f>SUM('ПОЛНАЯ СЕБЕСТОИМОСТЬ ВОДА 2021'!AZ218)</f>
        <v>2.33E-3</v>
      </c>
      <c r="DL70" s="2955">
        <f t="shared" si="867"/>
        <v>0.19</v>
      </c>
      <c r="DM70" s="2955">
        <v>0.19</v>
      </c>
      <c r="DN70" s="2955">
        <v>0</v>
      </c>
      <c r="DO70" s="2921">
        <f t="shared" si="787"/>
        <v>4.0826757298606422</v>
      </c>
      <c r="DP70" s="2921">
        <f t="shared" si="787"/>
        <v>4.0765778277656421</v>
      </c>
      <c r="DQ70" s="2921">
        <f t="shared" si="787"/>
        <v>6.0979020949999997E-3</v>
      </c>
      <c r="DR70" s="2957">
        <f t="shared" si="787"/>
        <v>18.92069</v>
      </c>
      <c r="DS70" s="2957">
        <f t="shared" si="787"/>
        <v>18.916</v>
      </c>
      <c r="DT70" s="2957">
        <f t="shared" si="787"/>
        <v>4.6899999999999997E-3</v>
      </c>
      <c r="DU70" s="2957">
        <f t="shared" si="787"/>
        <v>0.34</v>
      </c>
      <c r="DV70" s="2957">
        <f t="shared" si="787"/>
        <v>0.34</v>
      </c>
      <c r="DW70" s="2957">
        <f t="shared" si="787"/>
        <v>0</v>
      </c>
      <c r="DX70" s="2919">
        <f t="shared" si="677"/>
        <v>14.838014270139357</v>
      </c>
      <c r="DY70" s="2919">
        <f t="shared" si="677"/>
        <v>14.839422172234357</v>
      </c>
      <c r="DZ70" s="2919">
        <f t="shared" si="677"/>
        <v>-1.407902095E-3</v>
      </c>
      <c r="EA70" s="2921">
        <f t="shared" si="788"/>
        <v>12.248027189581926</v>
      </c>
      <c r="EB70" s="2921">
        <f t="shared" si="788"/>
        <v>12.229733483296926</v>
      </c>
      <c r="EC70" s="2921">
        <f t="shared" si="788"/>
        <v>1.8293706284999999E-2</v>
      </c>
      <c r="ED70" s="2957">
        <f t="shared" si="788"/>
        <v>45.036099999999998</v>
      </c>
      <c r="EE70" s="2957">
        <f t="shared" si="788"/>
        <v>45.027000000000001</v>
      </c>
      <c r="EF70" s="2957">
        <f t="shared" si="788"/>
        <v>9.1000000000000004E-3</v>
      </c>
      <c r="EG70" s="2957">
        <f t="shared" si="788"/>
        <v>1.4120000000000001</v>
      </c>
      <c r="EH70" s="2957">
        <f t="shared" si="788"/>
        <v>1.4120000000000001</v>
      </c>
      <c r="EI70" s="2957">
        <f t="shared" si="788"/>
        <v>0</v>
      </c>
      <c r="EJ70" s="2919">
        <f t="shared" si="679"/>
        <v>32.788072810418072</v>
      </c>
      <c r="EK70" s="2919">
        <f t="shared" si="679"/>
        <v>32.797266516703075</v>
      </c>
      <c r="EL70" s="2919">
        <f t="shared" si="679"/>
        <v>-9.1937062849999987E-3</v>
      </c>
      <c r="EM70" s="2951">
        <f t="shared" si="789"/>
        <v>1.3608919099535475</v>
      </c>
      <c r="EN70" s="2951">
        <f>SUM('ПОЛНАЯ СЕБЕСТОИМОСТЬ ВОДА 2021'!BN218)/3</f>
        <v>1.3588592759218807</v>
      </c>
      <c r="EO70" s="2951">
        <f>SUM('ПОЛНАЯ СЕБЕСТОИМОСТЬ ВОДА 2021'!BO218)/3</f>
        <v>2.0326340316666664E-3</v>
      </c>
      <c r="EP70" s="2875">
        <f t="shared" si="790"/>
        <v>7.12418</v>
      </c>
      <c r="EQ70" s="2875">
        <f>SUM('ПОЛНАЯ СЕБЕСТОИМОСТЬ ВОДА 2021'!BQ218)</f>
        <v>7.1230000000000002</v>
      </c>
      <c r="ER70" s="2875">
        <f>SUM('ПОЛНАЯ СЕБЕСТОИМОСТЬ ВОДА 2021'!BR218)</f>
        <v>1.1800000000000001E-3</v>
      </c>
      <c r="ES70" s="2955">
        <f t="shared" si="868"/>
        <v>0.22</v>
      </c>
      <c r="ET70" s="2955">
        <v>0.22</v>
      </c>
      <c r="EU70" s="4221">
        <v>0</v>
      </c>
      <c r="EV70" s="2951">
        <f t="shared" si="792"/>
        <v>1.3608919099535475</v>
      </c>
      <c r="EW70" s="2951">
        <f t="shared" si="793"/>
        <v>1.3588592759218807</v>
      </c>
      <c r="EX70" s="2951">
        <f t="shared" si="794"/>
        <v>2.0326340316666664E-3</v>
      </c>
      <c r="EY70" s="2875">
        <f t="shared" si="795"/>
        <v>7.93187</v>
      </c>
      <c r="EZ70" s="2875">
        <f>SUM('ПОЛНАЯ СЕБЕСТОИМОСТЬ ВОДА 2021'!BT218)</f>
        <v>7.93</v>
      </c>
      <c r="FA70" s="2875">
        <f>SUM('ПОЛНАЯ СЕБЕСТОИМОСТЬ ВОДА 2021'!BU218)</f>
        <v>1.8699999999999999E-3</v>
      </c>
      <c r="FB70" s="2955">
        <f t="shared" si="869"/>
        <v>0.1</v>
      </c>
      <c r="FC70" s="2955">
        <v>0.1</v>
      </c>
      <c r="FD70" s="2955">
        <v>0</v>
      </c>
      <c r="FE70" s="2951">
        <f t="shared" si="797"/>
        <v>1.3608919099535475</v>
      </c>
      <c r="FF70" s="2951">
        <f t="shared" si="798"/>
        <v>1.3588592759218807</v>
      </c>
      <c r="FG70" s="2951">
        <f t="shared" si="799"/>
        <v>2.0326340316666664E-3</v>
      </c>
      <c r="FH70" s="2875">
        <f t="shared" si="735"/>
        <v>8.8697700000000008</v>
      </c>
      <c r="FI70" s="2875">
        <f>SUM('ПОЛНАЯ СЕБЕСТОИМОСТЬ ВОДА 2021'!BW218)</f>
        <v>8.8670000000000009</v>
      </c>
      <c r="FJ70" s="2875">
        <f>SUM('ПОЛНАЯ СЕБЕСТОИМОСТЬ ВОДА 2021'!BX218)</f>
        <v>2.7699999999999999E-3</v>
      </c>
      <c r="FK70" s="2955">
        <f t="shared" si="870"/>
        <v>0.17</v>
      </c>
      <c r="FL70" s="2955">
        <v>0.17</v>
      </c>
      <c r="FM70" s="4221">
        <v>0</v>
      </c>
      <c r="FN70" s="2921">
        <f t="shared" si="801"/>
        <v>4.0826757298606422</v>
      </c>
      <c r="FO70" s="2921">
        <f t="shared" si="801"/>
        <v>4.0765778277656421</v>
      </c>
      <c r="FP70" s="2921">
        <f t="shared" si="801"/>
        <v>6.0979020949999997E-3</v>
      </c>
      <c r="FQ70" s="2932">
        <f t="shared" si="801"/>
        <v>23.925820000000002</v>
      </c>
      <c r="FR70" s="2932">
        <f t="shared" si="801"/>
        <v>23.92</v>
      </c>
      <c r="FS70" s="2932">
        <f t="shared" si="801"/>
        <v>5.8199999999999997E-3</v>
      </c>
      <c r="FT70" s="2932">
        <f t="shared" si="801"/>
        <v>0.49</v>
      </c>
      <c r="FU70" s="2932">
        <f t="shared" si="801"/>
        <v>0.49</v>
      </c>
      <c r="FV70" s="2932">
        <f t="shared" si="801"/>
        <v>0</v>
      </c>
      <c r="FW70" s="2933">
        <f t="shared" si="681"/>
        <v>19.843144270139359</v>
      </c>
      <c r="FX70" s="2933">
        <f t="shared" si="681"/>
        <v>19.843422172234359</v>
      </c>
      <c r="FY70" s="2933">
        <f t="shared" si="681"/>
        <v>-2.7790209500000006E-4</v>
      </c>
      <c r="FZ70" s="2921">
        <f t="shared" si="802"/>
        <v>16.330702919442569</v>
      </c>
      <c r="GA70" s="2921">
        <f t="shared" si="802"/>
        <v>16.306311311062569</v>
      </c>
      <c r="GB70" s="2921">
        <f t="shared" si="802"/>
        <v>2.4391608379999999E-2</v>
      </c>
      <c r="GC70" s="2932">
        <f t="shared" si="802"/>
        <v>68.961919999999992</v>
      </c>
      <c r="GD70" s="2932">
        <f t="shared" si="802"/>
        <v>68.947000000000003</v>
      </c>
      <c r="GE70" s="2932">
        <f t="shared" si="802"/>
        <v>1.4919999999999999E-2</v>
      </c>
      <c r="GF70" s="2932">
        <f t="shared" si="802"/>
        <v>1.9020000000000001</v>
      </c>
      <c r="GG70" s="2932">
        <f t="shared" si="802"/>
        <v>1.9020000000000001</v>
      </c>
      <c r="GH70" s="2932">
        <f t="shared" si="802"/>
        <v>0</v>
      </c>
      <c r="GI70" s="2933">
        <f t="shared" si="683"/>
        <v>52.63121708055742</v>
      </c>
      <c r="GJ70" s="2933">
        <f t="shared" si="683"/>
        <v>52.640688688937431</v>
      </c>
      <c r="GK70" s="2933">
        <f t="shared" si="683"/>
        <v>-9.4716083799999996E-3</v>
      </c>
      <c r="GL70" s="389"/>
      <c r="GM70" s="4191">
        <f t="shared" si="684"/>
        <v>16.330702919442569</v>
      </c>
    </row>
    <row r="71" spans="1:195" ht="18.75" x14ac:dyDescent="0.3">
      <c r="A71" s="2879" t="s">
        <v>1546</v>
      </c>
      <c r="B71" s="2951">
        <f t="shared" si="745"/>
        <v>5.6435663179391362</v>
      </c>
      <c r="C71" s="2951">
        <f>SUM('ПОЛНАЯ СЕБЕСТОИМОСТЬ ВОДА 2021'!C219)/3</f>
        <v>5.6415336839074692</v>
      </c>
      <c r="D71" s="2951">
        <f>SUM('ПОЛНАЯ СЕБЕСТОИМОСТЬ ВОДА 2021'!D219)/3</f>
        <v>2.0326340316666664E-3</v>
      </c>
      <c r="E71" s="2875">
        <f t="shared" si="746"/>
        <v>12.820359999999999</v>
      </c>
      <c r="F71" s="2875">
        <f>SUM('ПОЛНАЯ СЕБЕСТОИМОСТЬ ВОДА 2021'!F219)</f>
        <v>12.818</v>
      </c>
      <c r="G71" s="2875">
        <f>SUM('ПОЛНАЯ СЕБЕСТОИМОСТЬ ВОДА 2021'!G219)</f>
        <v>2.3600000000000001E-3</v>
      </c>
      <c r="H71" s="2955">
        <f t="shared" si="803"/>
        <v>9.07</v>
      </c>
      <c r="I71" s="2955">
        <v>9.07</v>
      </c>
      <c r="J71" s="2955">
        <v>0</v>
      </c>
      <c r="K71" s="2951">
        <f t="shared" si="748"/>
        <v>5.6435663179391362</v>
      </c>
      <c r="L71" s="2951">
        <f t="shared" si="749"/>
        <v>5.6415336839074692</v>
      </c>
      <c r="M71" s="2951">
        <f t="shared" si="750"/>
        <v>2.0326340316666664E-3</v>
      </c>
      <c r="N71" s="2875">
        <f t="shared" si="751"/>
        <v>14.0092</v>
      </c>
      <c r="O71" s="2875">
        <f>SUM('ПОЛНАЯ СЕБЕСТОИМОСТЬ ВОДА 2021'!I219)</f>
        <v>14.006</v>
      </c>
      <c r="P71" s="2875">
        <f>SUM('ПОЛНАЯ СЕБЕСТОИМОСТЬ ВОДА 2021'!J219)</f>
        <v>3.2000000000000002E-3</v>
      </c>
      <c r="Q71" s="2955">
        <f t="shared" si="860"/>
        <v>9.89</v>
      </c>
      <c r="R71" s="2955">
        <v>9.89</v>
      </c>
      <c r="S71" s="2955">
        <v>0</v>
      </c>
      <c r="T71" s="2951">
        <f t="shared" si="753"/>
        <v>5.6435663179391362</v>
      </c>
      <c r="U71" s="2951">
        <f t="shared" si="754"/>
        <v>5.6415336839074692</v>
      </c>
      <c r="V71" s="2951">
        <f t="shared" si="755"/>
        <v>2.0326340316666664E-3</v>
      </c>
      <c r="W71" s="2875">
        <f t="shared" si="756"/>
        <v>10.22236</v>
      </c>
      <c r="X71" s="2875">
        <f>SUM('ПОЛНАЯ СЕБЕСТОИМОСТЬ ВОДА 2021'!L219)</f>
        <v>10.220000000000001</v>
      </c>
      <c r="Y71" s="2875">
        <f>SUM('ПОЛНАЯ СЕБЕСТОИМОСТЬ ВОДА 2021'!M219)</f>
        <v>2.3600000000000001E-3</v>
      </c>
      <c r="Z71" s="2955">
        <f t="shared" si="861"/>
        <v>7.64</v>
      </c>
      <c r="AA71" s="2955">
        <v>7.64</v>
      </c>
      <c r="AB71" s="2955">
        <v>0</v>
      </c>
      <c r="AC71" s="2921">
        <f t="shared" si="758"/>
        <v>16.930698953817409</v>
      </c>
      <c r="AD71" s="2921">
        <f t="shared" si="758"/>
        <v>16.924601051722409</v>
      </c>
      <c r="AE71" s="2921">
        <f t="shared" si="758"/>
        <v>6.0979020949999997E-3</v>
      </c>
      <c r="AF71" s="2932">
        <f t="shared" si="758"/>
        <v>37.051920000000003</v>
      </c>
      <c r="AG71" s="2932">
        <f t="shared" si="758"/>
        <v>37.043999999999997</v>
      </c>
      <c r="AH71" s="2932">
        <f t="shared" si="758"/>
        <v>7.92E-3</v>
      </c>
      <c r="AI71" s="2932">
        <f t="shared" si="758"/>
        <v>26.6</v>
      </c>
      <c r="AJ71" s="2932">
        <f t="shared" si="758"/>
        <v>26.6</v>
      </c>
      <c r="AK71" s="2932">
        <f t="shared" si="758"/>
        <v>0</v>
      </c>
      <c r="AL71" s="2933">
        <f t="shared" si="838"/>
        <v>20.121221046182594</v>
      </c>
      <c r="AM71" s="2933">
        <f t="shared" si="838"/>
        <v>20.119398948277588</v>
      </c>
      <c r="AN71" s="2933">
        <f t="shared" si="838"/>
        <v>1.8220979050000002E-3</v>
      </c>
      <c r="AO71" s="2951">
        <f t="shared" si="759"/>
        <v>5.6435663179391362</v>
      </c>
      <c r="AP71" s="2951">
        <f>SUM('ПОЛНАЯ СЕБЕСТОИМОСТЬ ВОДА 2021'!R219)/3</f>
        <v>5.6415336839074692</v>
      </c>
      <c r="AQ71" s="2951">
        <f>SUM('ПОЛНАЯ СЕБЕСТОИМОСТЬ ВОДА 2021'!S219)/3</f>
        <v>2.0326340316666664E-3</v>
      </c>
      <c r="AR71" s="2951">
        <f t="shared" si="760"/>
        <v>5.9914900000000006</v>
      </c>
      <c r="AS71" s="2951">
        <f>SUM('ПОЛНАЯ СЕБЕСТОИМОСТЬ ВОДА 2021'!U219)</f>
        <v>5.99</v>
      </c>
      <c r="AT71" s="2951">
        <f>SUM('ПОЛНАЯ СЕБЕСТОИМОСТЬ ВОДА 2021'!V219)</f>
        <v>1.49E-3</v>
      </c>
      <c r="AU71" s="2955">
        <f t="shared" si="862"/>
        <v>7.3230000000000004</v>
      </c>
      <c r="AV71" s="2955">
        <v>7.32</v>
      </c>
      <c r="AW71" s="2956">
        <v>3.0000000000000001E-3</v>
      </c>
      <c r="AX71" s="2951">
        <f t="shared" si="762"/>
        <v>5.6435663179391362</v>
      </c>
      <c r="AY71" s="2951">
        <f t="shared" si="763"/>
        <v>5.6415336839074692</v>
      </c>
      <c r="AZ71" s="2951">
        <f t="shared" si="764"/>
        <v>2.0326340316666664E-3</v>
      </c>
      <c r="BA71" s="2951">
        <f t="shared" si="765"/>
        <v>2.67049</v>
      </c>
      <c r="BB71" s="2951">
        <f>SUM('ПОЛНАЯ СЕБЕСТОИМОСТЬ ВОДА 2021'!X219)</f>
        <v>2.67</v>
      </c>
      <c r="BC71" s="2951">
        <f>SUM('ПОЛНАЯ СЕБЕСТОИМОСТЬ ВОДА 2021'!Y219)</f>
        <v>4.8999999999999998E-4</v>
      </c>
      <c r="BD71" s="2955">
        <f t="shared" si="863"/>
        <v>1.69</v>
      </c>
      <c r="BE71" s="2955">
        <v>1.69</v>
      </c>
      <c r="BF71" s="2956">
        <v>0</v>
      </c>
      <c r="BG71" s="2951">
        <f t="shared" si="767"/>
        <v>5.6435663179391362</v>
      </c>
      <c r="BH71" s="2951">
        <f t="shared" si="768"/>
        <v>5.6415336839074692</v>
      </c>
      <c r="BI71" s="2951">
        <f t="shared" si="769"/>
        <v>2.0326340316666664E-3</v>
      </c>
      <c r="BJ71" s="2875">
        <f t="shared" si="770"/>
        <v>0</v>
      </c>
      <c r="BK71" s="2875">
        <f>SUM('ПОЛНАЯ СЕБЕСТОИМОСТЬ ВОДА 2021'!AA219)</f>
        <v>0</v>
      </c>
      <c r="BL71" s="2875">
        <f>SUM('ПОЛНАЯ СЕБЕСТОИМОСТЬ ВОДА 2021'!AB219)</f>
        <v>0</v>
      </c>
      <c r="BM71" s="2955">
        <f t="shared" si="864"/>
        <v>0.08</v>
      </c>
      <c r="BN71" s="2955">
        <v>0.08</v>
      </c>
      <c r="BO71" s="2955">
        <v>0</v>
      </c>
      <c r="BP71" s="2921">
        <f t="shared" si="772"/>
        <v>16.930698953817409</v>
      </c>
      <c r="BQ71" s="2921">
        <f t="shared" si="772"/>
        <v>16.924601051722409</v>
      </c>
      <c r="BR71" s="2921">
        <f t="shared" si="772"/>
        <v>6.0979020949999997E-3</v>
      </c>
      <c r="BS71" s="2957">
        <f t="shared" si="772"/>
        <v>8.6619799999999998</v>
      </c>
      <c r="BT71" s="2957">
        <f t="shared" si="772"/>
        <v>8.66</v>
      </c>
      <c r="BU71" s="2957">
        <f t="shared" si="772"/>
        <v>1.98E-3</v>
      </c>
      <c r="BV71" s="2957">
        <f t="shared" si="772"/>
        <v>9.093</v>
      </c>
      <c r="BW71" s="2957">
        <f t="shared" si="772"/>
        <v>9.09</v>
      </c>
      <c r="BX71" s="2957">
        <f t="shared" si="772"/>
        <v>3.0000000000000001E-3</v>
      </c>
      <c r="BY71" s="2919"/>
      <c r="BZ71" s="2919"/>
      <c r="CA71" s="2919"/>
      <c r="CB71" s="2921">
        <f t="shared" si="773"/>
        <v>33.861397907634817</v>
      </c>
      <c r="CC71" s="2921">
        <f t="shared" si="773"/>
        <v>33.849202103444817</v>
      </c>
      <c r="CD71" s="2921">
        <f t="shared" si="773"/>
        <v>1.2195804189999999E-2</v>
      </c>
      <c r="CE71" s="2957">
        <f t="shared" si="773"/>
        <v>45.713900000000002</v>
      </c>
      <c r="CF71" s="2957">
        <f t="shared" si="773"/>
        <v>45.703999999999994</v>
      </c>
      <c r="CG71" s="2957">
        <f t="shared" si="773"/>
        <v>9.8999999999999991E-3</v>
      </c>
      <c r="CH71" s="2957">
        <f t="shared" si="773"/>
        <v>35.692999999999998</v>
      </c>
      <c r="CI71" s="2957">
        <f t="shared" si="773"/>
        <v>35.69</v>
      </c>
      <c r="CJ71" s="2957">
        <f t="shared" si="773"/>
        <v>3.0000000000000001E-3</v>
      </c>
      <c r="CK71" s="2919">
        <f t="shared" si="675"/>
        <v>11.852502092365185</v>
      </c>
      <c r="CL71" s="2919">
        <f t="shared" si="675"/>
        <v>11.854797896555176</v>
      </c>
      <c r="CM71" s="2919">
        <f t="shared" si="675"/>
        <v>-2.2958041900000004E-3</v>
      </c>
      <c r="CN71" s="2951">
        <f t="shared" si="774"/>
        <v>5.6435663179391362</v>
      </c>
      <c r="CO71" s="2951">
        <f>SUM('ПОЛНАЯ СЕБЕСТОИМОСТЬ ВОДА 2021'!AP219)/3</f>
        <v>5.6415336839074692</v>
      </c>
      <c r="CP71" s="2951">
        <f>SUM('ПОЛНАЯ СЕБЕСТОИМОСТЬ ВОДА 2021'!AQ219)/3</f>
        <v>2.0326340316666664E-3</v>
      </c>
      <c r="CQ71" s="2875">
        <f t="shared" si="775"/>
        <v>0</v>
      </c>
      <c r="CR71" s="2875">
        <f>SUM('ПОЛНАЯ СЕБЕСТОИМОСТЬ ВОДА 2021'!AS219)</f>
        <v>0</v>
      </c>
      <c r="CS71" s="2875">
        <f>SUM('ПОЛНАЯ СЕБЕСТОИМОСТЬ ВОДА 2021'!AT219)</f>
        <v>0</v>
      </c>
      <c r="CT71" s="2955">
        <f t="shared" si="865"/>
        <v>0</v>
      </c>
      <c r="CU71" s="2955">
        <v>0</v>
      </c>
      <c r="CV71" s="2955">
        <v>0</v>
      </c>
      <c r="CW71" s="2951">
        <f t="shared" si="777"/>
        <v>5.6435663179391362</v>
      </c>
      <c r="CX71" s="2951">
        <f t="shared" si="778"/>
        <v>5.6415336839074692</v>
      </c>
      <c r="CY71" s="2951">
        <f t="shared" si="779"/>
        <v>2.0326340316666664E-3</v>
      </c>
      <c r="CZ71" s="2875">
        <f t="shared" si="780"/>
        <v>0</v>
      </c>
      <c r="DA71" s="2875">
        <f>SUM('ПОЛНАЯ СЕБЕСТОИМОСТЬ ВОДА 2021'!AV219)</f>
        <v>0</v>
      </c>
      <c r="DB71" s="2875">
        <f>SUM('ПОЛНАЯ СЕБЕСТОИМОСТЬ ВОДА 2021'!AW219)</f>
        <v>0</v>
      </c>
      <c r="DC71" s="2955">
        <f t="shared" si="866"/>
        <v>0</v>
      </c>
      <c r="DD71" s="2955">
        <v>0</v>
      </c>
      <c r="DE71" s="2955">
        <v>0</v>
      </c>
      <c r="DF71" s="2951">
        <f t="shared" si="782"/>
        <v>5.6435663179391362</v>
      </c>
      <c r="DG71" s="2951">
        <f t="shared" si="783"/>
        <v>5.6415336839074692</v>
      </c>
      <c r="DH71" s="2951">
        <f t="shared" si="784"/>
        <v>2.0326340316666664E-3</v>
      </c>
      <c r="DI71" s="2875">
        <f t="shared" si="785"/>
        <v>3.7692799999999997</v>
      </c>
      <c r="DJ71" s="2875">
        <f>SUM('ПОЛНАЯ СЕБЕСТОИМОСТЬ ВОДА 2021'!AY219)</f>
        <v>3.7679999999999998</v>
      </c>
      <c r="DK71" s="2875">
        <f>SUM('ПОЛНАЯ СЕБЕСТОИМОСТЬ ВОДА 2021'!AZ219)</f>
        <v>1.2800000000000001E-3</v>
      </c>
      <c r="DL71" s="2955">
        <f t="shared" si="867"/>
        <v>1.88</v>
      </c>
      <c r="DM71" s="2955">
        <v>1.88</v>
      </c>
      <c r="DN71" s="2955">
        <v>0</v>
      </c>
      <c r="DO71" s="2921">
        <f t="shared" si="787"/>
        <v>16.930698953817409</v>
      </c>
      <c r="DP71" s="2921">
        <f t="shared" si="787"/>
        <v>16.924601051722409</v>
      </c>
      <c r="DQ71" s="2921">
        <f t="shared" si="787"/>
        <v>6.0979020949999997E-3</v>
      </c>
      <c r="DR71" s="2957">
        <f t="shared" si="787"/>
        <v>3.7692799999999997</v>
      </c>
      <c r="DS71" s="2957">
        <f t="shared" si="787"/>
        <v>3.7679999999999998</v>
      </c>
      <c r="DT71" s="2957">
        <f t="shared" si="787"/>
        <v>1.2800000000000001E-3</v>
      </c>
      <c r="DU71" s="2957">
        <f t="shared" si="787"/>
        <v>1.88</v>
      </c>
      <c r="DV71" s="2957">
        <f t="shared" si="787"/>
        <v>1.88</v>
      </c>
      <c r="DW71" s="2957">
        <f t="shared" si="787"/>
        <v>0</v>
      </c>
      <c r="DX71" s="2919">
        <f t="shared" si="677"/>
        <v>-13.161418953817408</v>
      </c>
      <c r="DY71" s="2919">
        <f t="shared" si="677"/>
        <v>-13.156601051722408</v>
      </c>
      <c r="DZ71" s="2919">
        <f t="shared" si="677"/>
        <v>-4.8179020949999998E-3</v>
      </c>
      <c r="EA71" s="2921">
        <f t="shared" si="788"/>
        <v>50.792096861452222</v>
      </c>
      <c r="EB71" s="2921">
        <f t="shared" si="788"/>
        <v>50.773803155167229</v>
      </c>
      <c r="EC71" s="2921">
        <f t="shared" si="788"/>
        <v>1.8293706284999999E-2</v>
      </c>
      <c r="ED71" s="2957">
        <f t="shared" si="788"/>
        <v>49.483180000000004</v>
      </c>
      <c r="EE71" s="2957">
        <f t="shared" si="788"/>
        <v>49.471999999999994</v>
      </c>
      <c r="EF71" s="2957">
        <f t="shared" si="788"/>
        <v>1.1179999999999999E-2</v>
      </c>
      <c r="EG71" s="2957">
        <f t="shared" si="788"/>
        <v>37.573</v>
      </c>
      <c r="EH71" s="2957">
        <f t="shared" si="788"/>
        <v>37.57</v>
      </c>
      <c r="EI71" s="2957">
        <f t="shared" si="788"/>
        <v>3.0000000000000001E-3</v>
      </c>
      <c r="EJ71" s="2919">
        <f t="shared" si="679"/>
        <v>-1.308916861452218</v>
      </c>
      <c r="EK71" s="2919">
        <f t="shared" si="679"/>
        <v>-1.3018031551672351</v>
      </c>
      <c r="EL71" s="2919">
        <f t="shared" si="679"/>
        <v>-7.1137062850000002E-3</v>
      </c>
      <c r="EM71" s="2951">
        <f t="shared" si="789"/>
        <v>5.6435663179391362</v>
      </c>
      <c r="EN71" s="2951">
        <f>SUM('ПОЛНАЯ СЕБЕСТОИМОСТЬ ВОДА 2021'!BN219)/3</f>
        <v>5.6415336839074692</v>
      </c>
      <c r="EO71" s="2951">
        <f>SUM('ПОЛНАЯ СЕБЕСТОИМОСТЬ ВОДА 2021'!BO219)/3</f>
        <v>2.0326340316666664E-3</v>
      </c>
      <c r="EP71" s="2875">
        <f t="shared" si="790"/>
        <v>5.84396</v>
      </c>
      <c r="EQ71" s="2875">
        <f>SUM('ПОЛНАЯ СЕБЕСТОИМОСТЬ ВОДА 2021'!BQ219)</f>
        <v>5.843</v>
      </c>
      <c r="ER71" s="2875">
        <f>SUM('ПОЛНАЯ СЕБЕСТОИМОСТЬ ВОДА 2021'!BR219)</f>
        <v>9.6000000000000002E-4</v>
      </c>
      <c r="ES71" s="2955">
        <f t="shared" si="868"/>
        <v>5.9349999999999996</v>
      </c>
      <c r="ET71" s="2955">
        <v>5.9349999999999996</v>
      </c>
      <c r="EU71" s="4221">
        <v>0</v>
      </c>
      <c r="EV71" s="2951">
        <f t="shared" si="792"/>
        <v>5.6435663179391362</v>
      </c>
      <c r="EW71" s="2951">
        <f t="shared" si="793"/>
        <v>5.6415336839074692</v>
      </c>
      <c r="EX71" s="2951">
        <f t="shared" si="794"/>
        <v>2.0326340316666664E-3</v>
      </c>
      <c r="EY71" s="2875">
        <f t="shared" si="795"/>
        <v>7.9638799999999996</v>
      </c>
      <c r="EZ71" s="2875">
        <f>SUM('ПОЛНАЯ СЕБЕСТОИМОСТЬ ВОДА 2021'!BT219)</f>
        <v>7.9619999999999997</v>
      </c>
      <c r="FA71" s="2875">
        <f>SUM('ПОЛНАЯ СЕБЕСТОИМОСТЬ ВОДА 2021'!BU219)</f>
        <v>1.8799999999999999E-3</v>
      </c>
      <c r="FB71" s="2955">
        <f t="shared" si="869"/>
        <v>8.36</v>
      </c>
      <c r="FC71" s="2955">
        <v>8.36</v>
      </c>
      <c r="FD71" s="2955">
        <v>0</v>
      </c>
      <c r="FE71" s="2951">
        <f t="shared" si="797"/>
        <v>5.6435663179391362</v>
      </c>
      <c r="FF71" s="2951">
        <f t="shared" si="798"/>
        <v>5.6415336839074692</v>
      </c>
      <c r="FG71" s="2951">
        <f t="shared" si="799"/>
        <v>2.0326340316666664E-3</v>
      </c>
      <c r="FH71" s="2875">
        <f t="shared" si="735"/>
        <v>9.7780299999999993</v>
      </c>
      <c r="FI71" s="2875">
        <f>SUM('ПОЛНАЯ СЕБЕСТОИМОСТЬ ВОДА 2021'!BW219)</f>
        <v>9.7759999999999998</v>
      </c>
      <c r="FJ71" s="2875">
        <f>SUM('ПОЛНАЯ СЕБЕСТОИМОСТЬ ВОДА 2021'!BX219)</f>
        <v>2.0300000000000001E-3</v>
      </c>
      <c r="FK71" s="2955">
        <f t="shared" si="870"/>
        <v>9.6349</v>
      </c>
      <c r="FL71" s="2955">
        <v>9.6300000000000008</v>
      </c>
      <c r="FM71" s="4221">
        <v>4.8999999999999998E-3</v>
      </c>
      <c r="FN71" s="2921">
        <f t="shared" si="801"/>
        <v>16.930698953817409</v>
      </c>
      <c r="FO71" s="2921">
        <f t="shared" si="801"/>
        <v>16.924601051722409</v>
      </c>
      <c r="FP71" s="2921">
        <f t="shared" si="801"/>
        <v>6.0979020949999997E-3</v>
      </c>
      <c r="FQ71" s="2932">
        <f t="shared" si="801"/>
        <v>23.58587</v>
      </c>
      <c r="FR71" s="2932">
        <f t="shared" si="801"/>
        <v>23.581</v>
      </c>
      <c r="FS71" s="2932">
        <f t="shared" si="801"/>
        <v>4.8700000000000002E-3</v>
      </c>
      <c r="FT71" s="2932">
        <f t="shared" si="801"/>
        <v>23.929899999999996</v>
      </c>
      <c r="FU71" s="2932">
        <f t="shared" si="801"/>
        <v>23.924999999999997</v>
      </c>
      <c r="FV71" s="2932">
        <f t="shared" si="801"/>
        <v>4.8999999999999998E-3</v>
      </c>
      <c r="FW71" s="2933">
        <f t="shared" si="681"/>
        <v>6.6551710461825913</v>
      </c>
      <c r="FX71" s="2933">
        <f t="shared" si="681"/>
        <v>6.6563989482775909</v>
      </c>
      <c r="FY71" s="2933">
        <f t="shared" si="681"/>
        <v>-1.2279020949999995E-3</v>
      </c>
      <c r="FZ71" s="2921">
        <f t="shared" si="802"/>
        <v>67.722795815269635</v>
      </c>
      <c r="GA71" s="2921">
        <f t="shared" si="802"/>
        <v>67.698404206889634</v>
      </c>
      <c r="GB71" s="2921">
        <f t="shared" si="802"/>
        <v>2.4391608379999999E-2</v>
      </c>
      <c r="GC71" s="2932">
        <f t="shared" si="802"/>
        <v>73.069050000000004</v>
      </c>
      <c r="GD71" s="2932">
        <f t="shared" si="802"/>
        <v>73.052999999999997</v>
      </c>
      <c r="GE71" s="2932">
        <f t="shared" si="802"/>
        <v>1.6049999999999998E-2</v>
      </c>
      <c r="GF71" s="2932">
        <f t="shared" si="802"/>
        <v>61.502899999999997</v>
      </c>
      <c r="GG71" s="2932">
        <f t="shared" si="802"/>
        <v>61.494999999999997</v>
      </c>
      <c r="GH71" s="2932">
        <f t="shared" si="802"/>
        <v>7.9000000000000008E-3</v>
      </c>
      <c r="GI71" s="2933">
        <f t="shared" si="683"/>
        <v>5.3462541847303697</v>
      </c>
      <c r="GJ71" s="2933">
        <f t="shared" si="683"/>
        <v>5.3545957931103629</v>
      </c>
      <c r="GK71" s="2933">
        <f t="shared" si="683"/>
        <v>-8.3416083800000006E-3</v>
      </c>
      <c r="GL71" s="389"/>
      <c r="GM71" s="4191">
        <f t="shared" si="684"/>
        <v>67.72279581526962</v>
      </c>
    </row>
    <row r="72" spans="1:195" ht="18.75" x14ac:dyDescent="0.3">
      <c r="A72" s="2879" t="s">
        <v>275</v>
      </c>
      <c r="B72" s="2951">
        <f t="shared" si="745"/>
        <v>6.6671887292060044</v>
      </c>
      <c r="C72" s="2951">
        <f>SUM('ПОЛНАЯ СЕБЕСТОИМОСТЬ ВОДА 2021'!C220)/3</f>
        <v>6.6641397781585043</v>
      </c>
      <c r="D72" s="2951">
        <f>SUM('ПОЛНАЯ СЕБЕСТОИМОСТЬ ВОДА 2021'!D220)/3</f>
        <v>3.0489510474999999E-3</v>
      </c>
      <c r="E72" s="2875">
        <f t="shared" si="746"/>
        <v>8.8956400000000002</v>
      </c>
      <c r="F72" s="2875">
        <f>SUM('ПОЛНАЯ СЕБЕСТОИМОСТЬ ВОДА 2021'!F220)</f>
        <v>8.8940000000000001</v>
      </c>
      <c r="G72" s="2875">
        <f>SUM('ПОЛНАЯ СЕБЕСТОИМОСТЬ ВОДА 2021'!G220)</f>
        <v>1.64E-3</v>
      </c>
      <c r="H72" s="2955">
        <f t="shared" si="803"/>
        <v>8.782</v>
      </c>
      <c r="I72" s="2955">
        <v>8.782</v>
      </c>
      <c r="J72" s="2955">
        <v>0</v>
      </c>
      <c r="K72" s="2951">
        <f t="shared" si="748"/>
        <v>6.6671887292060044</v>
      </c>
      <c r="L72" s="2951">
        <f t="shared" si="749"/>
        <v>6.6641397781585043</v>
      </c>
      <c r="M72" s="2951">
        <f t="shared" si="750"/>
        <v>3.0489510474999999E-3</v>
      </c>
      <c r="N72" s="2875">
        <f t="shared" si="751"/>
        <v>8.8520199999999996</v>
      </c>
      <c r="O72" s="2875">
        <f>SUM('ПОЛНАЯ СЕБЕСТОИМОСТЬ ВОДА 2021'!I220)</f>
        <v>8.85</v>
      </c>
      <c r="P72" s="2875">
        <f>SUM('ПОЛНАЯ СЕБЕСТОИМОСТЬ ВОДА 2021'!J220)</f>
        <v>2.0200000000000001E-3</v>
      </c>
      <c r="Q72" s="2955">
        <f t="shared" si="860"/>
        <v>8.7799999999999994</v>
      </c>
      <c r="R72" s="2955">
        <v>8.7799999999999994</v>
      </c>
      <c r="S72" s="2955">
        <v>0</v>
      </c>
      <c r="T72" s="2951">
        <f t="shared" si="753"/>
        <v>6.6671887292060044</v>
      </c>
      <c r="U72" s="2951">
        <f t="shared" si="754"/>
        <v>6.6641397781585043</v>
      </c>
      <c r="V72" s="2951">
        <f t="shared" si="755"/>
        <v>3.0489510474999999E-3</v>
      </c>
      <c r="W72" s="2875">
        <f t="shared" si="756"/>
        <v>8.9480599999999999</v>
      </c>
      <c r="X72" s="2875">
        <f>SUM('ПОЛНАЯ СЕБЕСТОИМОСТЬ ВОДА 2021'!L220)</f>
        <v>8.9459999999999997</v>
      </c>
      <c r="Y72" s="2875">
        <f>SUM('ПОЛНАЯ СЕБЕСТОИМОСТЬ ВОДА 2021'!M220)</f>
        <v>2.0600000000000002E-3</v>
      </c>
      <c r="Z72" s="2955">
        <f t="shared" si="861"/>
        <v>8.6</v>
      </c>
      <c r="AA72" s="2955">
        <v>8.6</v>
      </c>
      <c r="AB72" s="2955">
        <v>0</v>
      </c>
      <c r="AC72" s="2921">
        <f t="shared" si="758"/>
        <v>20.001566187618014</v>
      </c>
      <c r="AD72" s="2921">
        <f t="shared" si="758"/>
        <v>19.992419334475514</v>
      </c>
      <c r="AE72" s="2921">
        <f t="shared" si="758"/>
        <v>9.1468531424999996E-3</v>
      </c>
      <c r="AF72" s="2932">
        <f t="shared" si="758"/>
        <v>26.695720000000001</v>
      </c>
      <c r="AG72" s="2932">
        <f t="shared" si="758"/>
        <v>26.689999999999998</v>
      </c>
      <c r="AH72" s="2932">
        <f t="shared" si="758"/>
        <v>5.7200000000000003E-3</v>
      </c>
      <c r="AI72" s="2932">
        <f t="shared" si="758"/>
        <v>26.161999999999999</v>
      </c>
      <c r="AJ72" s="2932">
        <f t="shared" si="758"/>
        <v>26.161999999999999</v>
      </c>
      <c r="AK72" s="2932">
        <f t="shared" si="758"/>
        <v>0</v>
      </c>
      <c r="AL72" s="2933">
        <f t="shared" si="838"/>
        <v>6.6941538123819875</v>
      </c>
      <c r="AM72" s="2933">
        <f t="shared" si="838"/>
        <v>6.6975806655244838</v>
      </c>
      <c r="AN72" s="2933">
        <f t="shared" si="838"/>
        <v>-3.4268531424999993E-3</v>
      </c>
      <c r="AO72" s="2951">
        <f t="shared" si="759"/>
        <v>6.6671887292060044</v>
      </c>
      <c r="AP72" s="2951">
        <f>SUM('ПОЛНАЯ СЕБЕСТОИМОСТЬ ВОДА 2021'!R220)/3</f>
        <v>6.6641397781585043</v>
      </c>
      <c r="AQ72" s="2951">
        <f>SUM('ПОЛНАЯ СЕБЕСТОИМОСТЬ ВОДА 2021'!S220)/3</f>
        <v>3.0489510474999999E-3</v>
      </c>
      <c r="AR72" s="2951">
        <f t="shared" si="760"/>
        <v>8.7021599999999992</v>
      </c>
      <c r="AS72" s="2951">
        <f>SUM('ПОЛНАЯ СЕБЕСТОИМОСТЬ ВОДА 2021'!U220)</f>
        <v>8.6999999999999993</v>
      </c>
      <c r="AT72" s="2951">
        <f>SUM('ПОЛНАЯ СЕБЕСТОИМОСТЬ ВОДА 2021'!V220)</f>
        <v>2.16E-3</v>
      </c>
      <c r="AU72" s="2955">
        <f t="shared" si="862"/>
        <v>8.5229999999999997</v>
      </c>
      <c r="AV72" s="2955">
        <v>8.52</v>
      </c>
      <c r="AW72" s="2956">
        <v>3.0000000000000001E-3</v>
      </c>
      <c r="AX72" s="2951">
        <f t="shared" si="762"/>
        <v>6.6671887292060044</v>
      </c>
      <c r="AY72" s="2951">
        <f t="shared" si="763"/>
        <v>6.6641397781585043</v>
      </c>
      <c r="AZ72" s="2951">
        <f t="shared" si="764"/>
        <v>3.0489510474999999E-3</v>
      </c>
      <c r="BA72" s="2951">
        <f t="shared" si="765"/>
        <v>8.6605800000000013</v>
      </c>
      <c r="BB72" s="2951">
        <f>SUM('ПОЛНАЯ СЕБЕСТОИМОСТЬ ВОДА 2021'!X220)</f>
        <v>8.6590000000000007</v>
      </c>
      <c r="BC72" s="2951">
        <f>SUM('ПОЛНАЯ СЕБЕСТОИМОСТЬ ВОДА 2021'!Y220)</f>
        <v>1.58E-3</v>
      </c>
      <c r="BD72" s="2955">
        <f t="shared" si="863"/>
        <v>8.7309999999999999</v>
      </c>
      <c r="BE72" s="2955">
        <v>8.73</v>
      </c>
      <c r="BF72" s="2956">
        <v>1E-3</v>
      </c>
      <c r="BG72" s="2951">
        <f t="shared" si="767"/>
        <v>6.6671887292060044</v>
      </c>
      <c r="BH72" s="2951">
        <f t="shared" si="768"/>
        <v>6.6641397781585043</v>
      </c>
      <c r="BI72" s="2951">
        <f t="shared" si="769"/>
        <v>3.0489510474999999E-3</v>
      </c>
      <c r="BJ72" s="2875">
        <f t="shared" si="770"/>
        <v>8.7672000000000008</v>
      </c>
      <c r="BK72" s="2875">
        <f>SUM('ПОЛНАЯ СЕБЕСТОИМОСТЬ ВОДА 2021'!AA220)</f>
        <v>8.766</v>
      </c>
      <c r="BL72" s="2875">
        <f>SUM('ПОЛНАЯ СЕБЕСТОИМОСТЬ ВОДА 2021'!AB220)</f>
        <v>1.1999999999999999E-3</v>
      </c>
      <c r="BM72" s="2955">
        <f t="shared" si="864"/>
        <v>8.7040000000000006</v>
      </c>
      <c r="BN72" s="2955">
        <v>8.7040000000000006</v>
      </c>
      <c r="BO72" s="2955">
        <v>0</v>
      </c>
      <c r="BP72" s="2921">
        <f t="shared" si="772"/>
        <v>20.001566187618014</v>
      </c>
      <c r="BQ72" s="2921">
        <f t="shared" si="772"/>
        <v>19.992419334475514</v>
      </c>
      <c r="BR72" s="2921">
        <f t="shared" si="772"/>
        <v>9.1468531424999996E-3</v>
      </c>
      <c r="BS72" s="2957">
        <f t="shared" si="772"/>
        <v>26.129940000000005</v>
      </c>
      <c r="BT72" s="2957">
        <f t="shared" si="772"/>
        <v>26.125</v>
      </c>
      <c r="BU72" s="2957">
        <f t="shared" si="772"/>
        <v>4.9399999999999999E-3</v>
      </c>
      <c r="BV72" s="2957">
        <f t="shared" si="772"/>
        <v>25.957999999999998</v>
      </c>
      <c r="BW72" s="2957">
        <f t="shared" si="772"/>
        <v>25.954000000000001</v>
      </c>
      <c r="BX72" s="2957">
        <f t="shared" si="772"/>
        <v>4.0000000000000001E-3</v>
      </c>
      <c r="BY72" s="2919"/>
      <c r="BZ72" s="2919"/>
      <c r="CA72" s="2919"/>
      <c r="CB72" s="2921">
        <f t="shared" si="773"/>
        <v>40.003132375236028</v>
      </c>
      <c r="CC72" s="2921">
        <f t="shared" si="773"/>
        <v>39.984838668951028</v>
      </c>
      <c r="CD72" s="2921">
        <f t="shared" si="773"/>
        <v>1.8293706284999999E-2</v>
      </c>
      <c r="CE72" s="2957">
        <f t="shared" si="773"/>
        <v>52.825660000000006</v>
      </c>
      <c r="CF72" s="2957">
        <f t="shared" si="773"/>
        <v>52.814999999999998</v>
      </c>
      <c r="CG72" s="2957">
        <f t="shared" si="773"/>
        <v>1.0659999999999999E-2</v>
      </c>
      <c r="CH72" s="2957">
        <f t="shared" si="773"/>
        <v>52.12</v>
      </c>
      <c r="CI72" s="2957">
        <f t="shared" si="773"/>
        <v>52.116</v>
      </c>
      <c r="CJ72" s="2957">
        <f t="shared" si="773"/>
        <v>4.0000000000000001E-3</v>
      </c>
      <c r="CK72" s="2919">
        <f t="shared" si="675"/>
        <v>12.822527624763978</v>
      </c>
      <c r="CL72" s="2919">
        <f t="shared" si="675"/>
        <v>12.83016133104897</v>
      </c>
      <c r="CM72" s="2919">
        <f t="shared" si="675"/>
        <v>-7.6337062849999998E-3</v>
      </c>
      <c r="CN72" s="2951">
        <f t="shared" si="774"/>
        <v>6.6671887292060044</v>
      </c>
      <c r="CO72" s="2951">
        <f>SUM('ПОЛНАЯ СЕБЕСТОИМОСТЬ ВОДА 2021'!AP220)/3</f>
        <v>6.6641397781585043</v>
      </c>
      <c r="CP72" s="2951">
        <f>SUM('ПОЛНАЯ СЕБЕСТОИМОСТЬ ВОДА 2021'!AQ220)/3</f>
        <v>3.0489510474999999E-3</v>
      </c>
      <c r="CQ72" s="2875">
        <f t="shared" si="775"/>
        <v>8.9211399999999994</v>
      </c>
      <c r="CR72" s="2875">
        <f>SUM('ПОЛНАЯ СЕБЕСТОИМОСТЬ ВОДА 2021'!AS220)</f>
        <v>8.92</v>
      </c>
      <c r="CS72" s="2875">
        <f>SUM('ПОЛНАЯ СЕБЕСТОИМОСТЬ ВОДА 2021'!AT220)</f>
        <v>1.14E-3</v>
      </c>
      <c r="CT72" s="2955">
        <f t="shared" si="865"/>
        <v>8.73</v>
      </c>
      <c r="CU72" s="2955">
        <v>8.73</v>
      </c>
      <c r="CV72" s="2955">
        <v>0</v>
      </c>
      <c r="CW72" s="2951">
        <f t="shared" si="777"/>
        <v>6.6671887292060044</v>
      </c>
      <c r="CX72" s="2951">
        <f t="shared" si="778"/>
        <v>6.6641397781585043</v>
      </c>
      <c r="CY72" s="2951">
        <f t="shared" si="779"/>
        <v>3.0489510474999999E-3</v>
      </c>
      <c r="CZ72" s="2875">
        <f t="shared" si="780"/>
        <v>8.616200000000001</v>
      </c>
      <c r="DA72" s="2875">
        <f>SUM('ПОЛНАЯ СЕБЕСТОИМОСТЬ ВОДА 2021'!AV220)</f>
        <v>8.6140000000000008</v>
      </c>
      <c r="DB72" s="2875">
        <f>SUM('ПОЛНАЯ СЕБЕСТОИМОСТЬ ВОДА 2021'!AW220)</f>
        <v>2.2000000000000001E-3</v>
      </c>
      <c r="DC72" s="2955">
        <f t="shared" si="866"/>
        <v>8.74</v>
      </c>
      <c r="DD72" s="2955">
        <v>8.74</v>
      </c>
      <c r="DE72" s="2955">
        <v>0</v>
      </c>
      <c r="DF72" s="2951">
        <f t="shared" si="782"/>
        <v>6.6671887292060044</v>
      </c>
      <c r="DG72" s="2951">
        <f t="shared" si="783"/>
        <v>6.6641397781585043</v>
      </c>
      <c r="DH72" s="2951">
        <f t="shared" si="784"/>
        <v>3.0489510474999999E-3</v>
      </c>
      <c r="DI72" s="2875">
        <f t="shared" si="785"/>
        <v>8.5034999999999989</v>
      </c>
      <c r="DJ72" s="2875">
        <f>SUM('ПОЛНАЯ СЕБЕСТОИМОСТЬ ВОДА 2021'!AY220)</f>
        <v>8.5006199999999996</v>
      </c>
      <c r="DK72" s="2875">
        <f>SUM('ПОЛНАЯ СЕБЕСТОИМОСТЬ ВОДА 2021'!AZ220)</f>
        <v>2.8800000000000002E-3</v>
      </c>
      <c r="DL72" s="2955">
        <f t="shared" si="867"/>
        <v>8.5500000000000007</v>
      </c>
      <c r="DM72" s="2955">
        <v>8.5500000000000007</v>
      </c>
      <c r="DN72" s="2955">
        <v>0</v>
      </c>
      <c r="DO72" s="2921">
        <f t="shared" si="787"/>
        <v>20.001566187618014</v>
      </c>
      <c r="DP72" s="2921">
        <f t="shared" si="787"/>
        <v>19.992419334475514</v>
      </c>
      <c r="DQ72" s="2921">
        <f t="shared" si="787"/>
        <v>9.1468531424999996E-3</v>
      </c>
      <c r="DR72" s="2957">
        <f t="shared" si="787"/>
        <v>26.040839999999999</v>
      </c>
      <c r="DS72" s="2957">
        <f t="shared" si="787"/>
        <v>26.034619999999997</v>
      </c>
      <c r="DT72" s="2957">
        <f t="shared" si="787"/>
        <v>6.2199999999999998E-3</v>
      </c>
      <c r="DU72" s="2957">
        <f t="shared" si="787"/>
        <v>26.02</v>
      </c>
      <c r="DV72" s="2957">
        <f t="shared" si="787"/>
        <v>26.02</v>
      </c>
      <c r="DW72" s="2957">
        <f t="shared" si="787"/>
        <v>0</v>
      </c>
      <c r="DX72" s="2919">
        <f t="shared" si="677"/>
        <v>6.0392738123819854</v>
      </c>
      <c r="DY72" s="2919">
        <f t="shared" si="677"/>
        <v>6.0422006655244829</v>
      </c>
      <c r="DZ72" s="2919">
        <f t="shared" si="677"/>
        <v>-2.9268531424999997E-3</v>
      </c>
      <c r="EA72" s="2921">
        <f t="shared" si="788"/>
        <v>60.004698562854045</v>
      </c>
      <c r="EB72" s="2921">
        <f t="shared" si="788"/>
        <v>59.977258003426542</v>
      </c>
      <c r="EC72" s="2921">
        <f t="shared" si="788"/>
        <v>2.7440559427499997E-2</v>
      </c>
      <c r="ED72" s="2957">
        <f t="shared" si="788"/>
        <v>78.866500000000002</v>
      </c>
      <c r="EE72" s="2957">
        <f t="shared" si="788"/>
        <v>78.849619999999987</v>
      </c>
      <c r="EF72" s="2957">
        <f t="shared" si="788"/>
        <v>1.6879999999999999E-2</v>
      </c>
      <c r="EG72" s="2957">
        <f t="shared" si="788"/>
        <v>78.14</v>
      </c>
      <c r="EH72" s="2957">
        <f t="shared" si="788"/>
        <v>78.135999999999996</v>
      </c>
      <c r="EI72" s="2957">
        <f t="shared" si="788"/>
        <v>4.0000000000000001E-3</v>
      </c>
      <c r="EJ72" s="2919">
        <f t="shared" si="679"/>
        <v>18.861801437145957</v>
      </c>
      <c r="EK72" s="2919">
        <f t="shared" si="679"/>
        <v>18.872361996573446</v>
      </c>
      <c r="EL72" s="2919">
        <f t="shared" si="679"/>
        <v>-1.0560559427499998E-2</v>
      </c>
      <c r="EM72" s="2951">
        <f t="shared" si="789"/>
        <v>6.6671887292060044</v>
      </c>
      <c r="EN72" s="2951">
        <f>SUM('ПОЛНАЯ СЕБЕСТОИМОСТЬ ВОДА 2021'!BN220)/3</f>
        <v>6.6641397781585043</v>
      </c>
      <c r="EO72" s="2951">
        <f>SUM('ПОЛНАЯ СЕБЕСТОИМОСТЬ ВОДА 2021'!BO220)/3</f>
        <v>3.0489510474999999E-3</v>
      </c>
      <c r="EP72" s="2875">
        <f t="shared" si="790"/>
        <v>8.7964500000000001</v>
      </c>
      <c r="EQ72" s="2875">
        <f>SUM('ПОЛНАЯ СЕБЕСТОИМОСТЬ ВОДА 2021'!BQ220)</f>
        <v>8.7949999999999999</v>
      </c>
      <c r="ER72" s="2875">
        <f>SUM('ПОЛНАЯ СЕБЕСТОИМОСТЬ ВОДА 2021'!BR220)</f>
        <v>1.4499999999999999E-3</v>
      </c>
      <c r="ES72" s="2955">
        <f t="shared" si="868"/>
        <v>8.734</v>
      </c>
      <c r="ET72" s="2955">
        <v>8.73</v>
      </c>
      <c r="EU72" s="4221">
        <v>4.0000000000000001E-3</v>
      </c>
      <c r="EV72" s="2951">
        <f t="shared" si="792"/>
        <v>6.6671887292060044</v>
      </c>
      <c r="EW72" s="2951">
        <f t="shared" si="793"/>
        <v>6.6641397781585043</v>
      </c>
      <c r="EX72" s="2951">
        <f t="shared" si="794"/>
        <v>3.0489510474999999E-3</v>
      </c>
      <c r="EY72" s="2875">
        <f t="shared" si="795"/>
        <v>8.6950500000000002</v>
      </c>
      <c r="EZ72" s="2875">
        <f>SUM('ПОЛНАЯ СЕБЕСТОИМОСТЬ ВОДА 2021'!BT220)</f>
        <v>8.6929999999999996</v>
      </c>
      <c r="FA72" s="2875">
        <f>SUM('ПОЛНАЯ СЕБЕСТОИМОСТЬ ВОДА 2021'!BU220)</f>
        <v>2.0500000000000002E-3</v>
      </c>
      <c r="FB72" s="2955">
        <f t="shared" si="869"/>
        <v>8.9290000000000003</v>
      </c>
      <c r="FC72" s="2955">
        <v>8.9250000000000007</v>
      </c>
      <c r="FD72" s="2955">
        <v>4.0000000000000001E-3</v>
      </c>
      <c r="FE72" s="2951">
        <f t="shared" si="797"/>
        <v>6.6671887292060044</v>
      </c>
      <c r="FF72" s="2951">
        <f t="shared" si="798"/>
        <v>6.6641397781585043</v>
      </c>
      <c r="FG72" s="2951">
        <f t="shared" si="799"/>
        <v>3.0489510474999999E-3</v>
      </c>
      <c r="FH72" s="2875">
        <f t="shared" si="735"/>
        <v>8.74817</v>
      </c>
      <c r="FI72" s="2875">
        <f>SUM('ПОЛНАЯ СЕБЕСТОИМОСТЬ ВОДА 2021'!BW220)</f>
        <v>8.7460000000000004</v>
      </c>
      <c r="FJ72" s="2875">
        <f>SUM('ПОЛНАЯ СЕБЕСТОИМОСТЬ ВОДА 2021'!BX220)</f>
        <v>2.1700000000000001E-3</v>
      </c>
      <c r="FK72" s="2955">
        <f t="shared" si="870"/>
        <v>8.5540000000000003</v>
      </c>
      <c r="FL72" s="2955">
        <v>8.5449999999999999</v>
      </c>
      <c r="FM72" s="4221">
        <v>8.9999999999999993E-3</v>
      </c>
      <c r="FN72" s="2921">
        <f t="shared" si="801"/>
        <v>20.001566187618014</v>
      </c>
      <c r="FO72" s="2921">
        <f t="shared" si="801"/>
        <v>19.992419334475514</v>
      </c>
      <c r="FP72" s="2921">
        <f t="shared" si="801"/>
        <v>9.1468531424999996E-3</v>
      </c>
      <c r="FQ72" s="2932">
        <f t="shared" si="801"/>
        <v>26.239670000000004</v>
      </c>
      <c r="FR72" s="2932">
        <f t="shared" si="801"/>
        <v>26.234000000000002</v>
      </c>
      <c r="FS72" s="2932">
        <f t="shared" si="801"/>
        <v>5.6699999999999997E-3</v>
      </c>
      <c r="FT72" s="2932">
        <f t="shared" si="801"/>
        <v>26.216999999999999</v>
      </c>
      <c r="FU72" s="2932">
        <f t="shared" si="801"/>
        <v>26.200000000000003</v>
      </c>
      <c r="FV72" s="2932">
        <f t="shared" si="801"/>
        <v>1.7000000000000001E-2</v>
      </c>
      <c r="FW72" s="2933">
        <f t="shared" si="681"/>
        <v>6.2381038123819899</v>
      </c>
      <c r="FX72" s="2933">
        <f t="shared" si="681"/>
        <v>6.2415806655244879</v>
      </c>
      <c r="FY72" s="2933">
        <f t="shared" si="681"/>
        <v>-3.4768531424999999E-3</v>
      </c>
      <c r="FZ72" s="2921">
        <f t="shared" si="802"/>
        <v>80.006264750472056</v>
      </c>
      <c r="GA72" s="2921">
        <f t="shared" si="802"/>
        <v>79.969677337902056</v>
      </c>
      <c r="GB72" s="2921">
        <f t="shared" si="802"/>
        <v>3.6587412569999998E-2</v>
      </c>
      <c r="GC72" s="2932">
        <f t="shared" si="802"/>
        <v>105.10617000000001</v>
      </c>
      <c r="GD72" s="2932">
        <f t="shared" si="802"/>
        <v>105.08362</v>
      </c>
      <c r="GE72" s="2932">
        <f t="shared" si="802"/>
        <v>2.2550000000000001E-2</v>
      </c>
      <c r="GF72" s="2932">
        <f t="shared" si="802"/>
        <v>104.357</v>
      </c>
      <c r="GG72" s="2932">
        <f t="shared" si="802"/>
        <v>104.336</v>
      </c>
      <c r="GH72" s="2932">
        <f t="shared" si="802"/>
        <v>2.1000000000000001E-2</v>
      </c>
      <c r="GI72" s="2933">
        <f t="shared" si="683"/>
        <v>25.09990524952795</v>
      </c>
      <c r="GJ72" s="2933">
        <f t="shared" si="683"/>
        <v>25.113942662097941</v>
      </c>
      <c r="GK72" s="2933">
        <f t="shared" si="683"/>
        <v>-1.4037412569999998E-2</v>
      </c>
      <c r="GL72" s="389"/>
      <c r="GM72" s="4191">
        <f t="shared" si="684"/>
        <v>80.006264750472056</v>
      </c>
    </row>
    <row r="73" spans="1:195" ht="18.75" x14ac:dyDescent="0.3">
      <c r="A73" s="2879" t="s">
        <v>3747</v>
      </c>
      <c r="B73" s="2951">
        <f t="shared" si="745"/>
        <v>144.1393152151409</v>
      </c>
      <c r="C73" s="2951">
        <f>SUM('ПОЛНАЯ СЕБЕСТОИМОСТЬ ВОДА 2021'!C221)/3</f>
        <v>144.0658152151409</v>
      </c>
      <c r="D73" s="2951">
        <f>SUM('ПОЛНАЯ СЕБЕСТОИМОСТЬ ВОДА 2021'!D221)/3</f>
        <v>7.3499999999999996E-2</v>
      </c>
      <c r="E73" s="2875">
        <f t="shared" si="746"/>
        <v>190.38733999999999</v>
      </c>
      <c r="F73" s="2875">
        <f>SUM('ПОЛНАЯ СЕБЕСТОИМОСТЬ ВОДА 2021'!F221)</f>
        <v>190.35193999999998</v>
      </c>
      <c r="G73" s="2875">
        <f>SUM('ПОЛНАЯ СЕБЕСТОИМОСТЬ ВОДА 2021'!G221)</f>
        <v>3.5400000000000001E-2</v>
      </c>
      <c r="H73" s="2955">
        <f t="shared" si="803"/>
        <v>211.48400000000001</v>
      </c>
      <c r="I73" s="2955">
        <v>211.42400000000001</v>
      </c>
      <c r="J73" s="2955">
        <v>0.06</v>
      </c>
      <c r="K73" s="2951">
        <f t="shared" si="748"/>
        <v>144.1393152151409</v>
      </c>
      <c r="L73" s="2951">
        <f t="shared" si="749"/>
        <v>144.0658152151409</v>
      </c>
      <c r="M73" s="2951">
        <f t="shared" si="750"/>
        <v>7.3499999999999996E-2</v>
      </c>
      <c r="N73" s="2875">
        <f t="shared" si="751"/>
        <v>201.67277000000001</v>
      </c>
      <c r="O73" s="2875">
        <f>SUM('ПОЛНАЯ СЕБЕСТОИМОСТЬ ВОДА 2021'!I221)</f>
        <v>201.626</v>
      </c>
      <c r="P73" s="2875">
        <f>SUM('ПОЛНАЯ СЕБЕСТОИМОСТЬ ВОДА 2021'!J221)</f>
        <v>4.6769999999999999E-2</v>
      </c>
      <c r="Q73" s="2955">
        <f t="shared" si="860"/>
        <v>216.35499999999999</v>
      </c>
      <c r="R73" s="2955">
        <v>216.32</v>
      </c>
      <c r="S73" s="2955">
        <v>3.5000000000000003E-2</v>
      </c>
      <c r="T73" s="2951">
        <f t="shared" si="753"/>
        <v>144.1393152151409</v>
      </c>
      <c r="U73" s="2951">
        <f t="shared" si="754"/>
        <v>144.0658152151409</v>
      </c>
      <c r="V73" s="2951">
        <f t="shared" si="755"/>
        <v>7.3499999999999996E-2</v>
      </c>
      <c r="W73" s="2875">
        <f t="shared" si="756"/>
        <v>393.99099999999999</v>
      </c>
      <c r="X73" s="2875">
        <f>SUM('ПОЛНАЯ СЕБЕСТОИМОСТЬ ВОДА 2021'!L221)</f>
        <v>393.9</v>
      </c>
      <c r="Y73" s="2875">
        <f>SUM('ПОЛНАЯ СЕБЕСТОИМОСТЬ ВОДА 2021'!M221)</f>
        <v>9.0999999999999998E-2</v>
      </c>
      <c r="Z73" s="2955">
        <f t="shared" si="861"/>
        <v>129.464</v>
      </c>
      <c r="AA73" s="2955">
        <v>129.434</v>
      </c>
      <c r="AB73" s="2955">
        <v>0.03</v>
      </c>
      <c r="AC73" s="2921">
        <f t="shared" si="758"/>
        <v>432.41794564542272</v>
      </c>
      <c r="AD73" s="2921">
        <f t="shared" si="758"/>
        <v>432.1974456454227</v>
      </c>
      <c r="AE73" s="2921">
        <f t="shared" si="758"/>
        <v>0.22049999999999997</v>
      </c>
      <c r="AF73" s="2932">
        <f t="shared" si="758"/>
        <v>786.05110999999999</v>
      </c>
      <c r="AG73" s="2932">
        <f t="shared" si="758"/>
        <v>785.87793999999997</v>
      </c>
      <c r="AH73" s="2932">
        <f t="shared" si="758"/>
        <v>0.17316999999999999</v>
      </c>
      <c r="AI73" s="2932">
        <f t="shared" si="758"/>
        <v>557.303</v>
      </c>
      <c r="AJ73" s="2932">
        <f t="shared" si="758"/>
        <v>557.178</v>
      </c>
      <c r="AK73" s="2932">
        <f t="shared" si="758"/>
        <v>0.125</v>
      </c>
      <c r="AL73" s="2933">
        <f t="shared" si="838"/>
        <v>353.63316435457727</v>
      </c>
      <c r="AM73" s="2933">
        <f t="shared" si="838"/>
        <v>353.68049435457726</v>
      </c>
      <c r="AN73" s="2933">
        <f t="shared" si="838"/>
        <v>-4.7329999999999983E-2</v>
      </c>
      <c r="AO73" s="2951">
        <f t="shared" si="759"/>
        <v>144.1393152151409</v>
      </c>
      <c r="AP73" s="2951">
        <f>SUM('ПОЛНАЯ СЕБЕСТОИМОСТЬ ВОДА 2021'!R221)/3</f>
        <v>144.0658152151409</v>
      </c>
      <c r="AQ73" s="2951">
        <f>SUM('ПОЛНАЯ СЕБЕСТОИМОСТЬ ВОДА 2021'!S221)/3</f>
        <v>7.3499999999999996E-2</v>
      </c>
      <c r="AR73" s="2951">
        <f t="shared" si="760"/>
        <v>218.56199999999998</v>
      </c>
      <c r="AS73" s="2951">
        <f>SUM('ПОЛНАЯ СЕБЕСТОИМОСТЬ ВОДА 2021'!U221)</f>
        <v>218.51</v>
      </c>
      <c r="AT73" s="2951">
        <f>SUM('ПОЛНАЯ СЕБЕСТОИМОСТЬ ВОДА 2021'!V221)</f>
        <v>5.1999999999999998E-2</v>
      </c>
      <c r="AU73" s="2955">
        <f t="shared" si="862"/>
        <v>96.39</v>
      </c>
      <c r="AV73" s="2955">
        <v>96.35</v>
      </c>
      <c r="AW73" s="2956">
        <v>0.04</v>
      </c>
      <c r="AX73" s="2951">
        <f t="shared" si="762"/>
        <v>144.1393152151409</v>
      </c>
      <c r="AY73" s="2951">
        <f t="shared" si="763"/>
        <v>144.0658152151409</v>
      </c>
      <c r="AZ73" s="2951">
        <f t="shared" si="764"/>
        <v>7.3499999999999996E-2</v>
      </c>
      <c r="BA73" s="2951">
        <f t="shared" si="765"/>
        <v>195.16417999999999</v>
      </c>
      <c r="BB73" s="2951">
        <f>SUM('ПОЛНАЯ СЕБЕСТОИМОСТЬ ВОДА 2021'!X221)</f>
        <v>195.13</v>
      </c>
      <c r="BC73" s="2951">
        <f>SUM('ПОЛНАЯ СЕБЕСТОИМОСТЬ ВОДА 2021'!Y221)</f>
        <v>3.4180000000000002E-2</v>
      </c>
      <c r="BD73" s="2955">
        <f t="shared" si="863"/>
        <v>114.297</v>
      </c>
      <c r="BE73" s="2955">
        <v>114.28</v>
      </c>
      <c r="BF73" s="2956">
        <v>1.7000000000000001E-2</v>
      </c>
      <c r="BG73" s="2951">
        <f t="shared" si="767"/>
        <v>144.1393152151409</v>
      </c>
      <c r="BH73" s="2951">
        <f t="shared" si="768"/>
        <v>144.0658152151409</v>
      </c>
      <c r="BI73" s="2951">
        <f t="shared" si="769"/>
        <v>7.3499999999999996E-2</v>
      </c>
      <c r="BJ73" s="2875">
        <f t="shared" si="770"/>
        <v>197.82599999999999</v>
      </c>
      <c r="BK73" s="2875">
        <f>SUM('ПОЛНАЯ СЕБЕСТОИМОСТЬ ВОДА 2021'!AA221)</f>
        <v>197.798</v>
      </c>
      <c r="BL73" s="2875">
        <f>SUM('ПОЛНАЯ СЕБЕСТОИМОСТЬ ВОДА 2021'!AB221)</f>
        <v>2.8000000000000001E-2</v>
      </c>
      <c r="BM73" s="2955">
        <f t="shared" si="864"/>
        <v>145.7355</v>
      </c>
      <c r="BN73" s="2955">
        <v>145.69999999999999</v>
      </c>
      <c r="BO73" s="2955">
        <v>3.5499999999999997E-2</v>
      </c>
      <c r="BP73" s="2921">
        <f>SUM(AO73+AX73+BG73)</f>
        <v>432.41794564542272</v>
      </c>
      <c r="BQ73" s="2921">
        <f t="shared" ref="BQ73:BX75" si="871">SUM(AP73+AY73+BH73)</f>
        <v>432.1974456454227</v>
      </c>
      <c r="BR73" s="2921">
        <f t="shared" si="871"/>
        <v>0.22049999999999997</v>
      </c>
      <c r="BS73" s="2957">
        <f t="shared" si="871"/>
        <v>611.55218000000002</v>
      </c>
      <c r="BT73" s="2957">
        <f t="shared" si="871"/>
        <v>611.43799999999999</v>
      </c>
      <c r="BU73" s="2957">
        <f t="shared" si="871"/>
        <v>0.11418</v>
      </c>
      <c r="BV73" s="2957">
        <f t="shared" si="871"/>
        <v>356.42250000000001</v>
      </c>
      <c r="BW73" s="2957">
        <f t="shared" si="871"/>
        <v>356.33</v>
      </c>
      <c r="BX73" s="2957">
        <f t="shared" si="871"/>
        <v>9.2499999999999999E-2</v>
      </c>
      <c r="BY73" s="2919">
        <f t="shared" si="673"/>
        <v>179.1342343545773</v>
      </c>
      <c r="BZ73" s="2919">
        <f t="shared" si="673"/>
        <v>179.24055435457728</v>
      </c>
      <c r="CA73" s="2919">
        <f t="shared" si="673"/>
        <v>-0.10631999999999997</v>
      </c>
      <c r="CB73" s="2921">
        <f>SUM(AC73+BP73)</f>
        <v>864.83589129084544</v>
      </c>
      <c r="CC73" s="2921">
        <f t="shared" ref="CC73:CJ75" si="872">SUM(AD73+BQ73)</f>
        <v>864.39489129084541</v>
      </c>
      <c r="CD73" s="2921">
        <f t="shared" si="872"/>
        <v>0.44099999999999995</v>
      </c>
      <c r="CE73" s="2957">
        <f t="shared" si="872"/>
        <v>1397.60329</v>
      </c>
      <c r="CF73" s="2957">
        <f t="shared" si="872"/>
        <v>1397.31594</v>
      </c>
      <c r="CG73" s="2957">
        <f t="shared" si="872"/>
        <v>0.28734999999999999</v>
      </c>
      <c r="CH73" s="2957">
        <f t="shared" si="872"/>
        <v>913.72550000000001</v>
      </c>
      <c r="CI73" s="2957">
        <f t="shared" si="872"/>
        <v>913.50800000000004</v>
      </c>
      <c r="CJ73" s="2957">
        <f t="shared" si="872"/>
        <v>0.2175</v>
      </c>
      <c r="CK73" s="2919">
        <f t="shared" si="675"/>
        <v>532.76739870915458</v>
      </c>
      <c r="CL73" s="2919">
        <f t="shared" si="675"/>
        <v>532.92104870915455</v>
      </c>
      <c r="CM73" s="2919">
        <f t="shared" si="675"/>
        <v>-0.15364999999999995</v>
      </c>
      <c r="CN73" s="2951">
        <f t="shared" si="774"/>
        <v>144.1393152151409</v>
      </c>
      <c r="CO73" s="2951">
        <f>SUM('ПОЛНАЯ СЕБЕСТОИМОСТЬ ВОДА 2021'!AP221)/3</f>
        <v>144.0658152151409</v>
      </c>
      <c r="CP73" s="2951">
        <f>SUM('ПОЛНАЯ СЕБЕСТОИМОСТЬ ВОДА 2021'!AQ221)/3</f>
        <v>7.3499999999999996E-2</v>
      </c>
      <c r="CQ73" s="2875">
        <f t="shared" si="775"/>
        <v>173.90058999999999</v>
      </c>
      <c r="CR73" s="2875">
        <f>SUM('ПОЛНАЯ СЕБЕСТОИМОСТЬ ВОДА 2021'!AS221)</f>
        <v>173.88</v>
      </c>
      <c r="CS73" s="2875">
        <f>SUM('ПОЛНАЯ СЕБЕСТОИМОСТЬ ВОДА 2021'!AT221)</f>
        <v>2.0590000000000001E-2</v>
      </c>
      <c r="CT73" s="2955">
        <f t="shared" si="865"/>
        <v>202.76400000000001</v>
      </c>
      <c r="CU73" s="2955">
        <v>202.71</v>
      </c>
      <c r="CV73" s="2955">
        <v>5.3999999999999999E-2</v>
      </c>
      <c r="CW73" s="2951">
        <f t="shared" si="777"/>
        <v>144.1393152151409</v>
      </c>
      <c r="CX73" s="2951">
        <f t="shared" si="778"/>
        <v>144.0658152151409</v>
      </c>
      <c r="CY73" s="2951">
        <f t="shared" si="779"/>
        <v>7.3499999999999996E-2</v>
      </c>
      <c r="CZ73" s="2875">
        <f t="shared" si="780"/>
        <v>84.534000000000006</v>
      </c>
      <c r="DA73" s="2875">
        <f>SUM('ПОЛНАЯ СЕБЕСТОИМОСТЬ ВОДА 2021'!AV221)</f>
        <v>84.513000000000005</v>
      </c>
      <c r="DB73" s="2875">
        <f>SUM('ПОЛНАЯ СЕБЕСТОИМОСТЬ ВОДА 2021'!AW221)</f>
        <v>2.1000000000000001E-2</v>
      </c>
      <c r="DC73" s="2955">
        <f t="shared" si="866"/>
        <v>163.2834</v>
      </c>
      <c r="DD73" s="2955">
        <v>163.239</v>
      </c>
      <c r="DE73" s="2955">
        <v>4.4400000000000002E-2</v>
      </c>
      <c r="DF73" s="2951">
        <f t="shared" si="782"/>
        <v>144.1393152151409</v>
      </c>
      <c r="DG73" s="2951">
        <f t="shared" si="783"/>
        <v>144.0658152151409</v>
      </c>
      <c r="DH73" s="2951">
        <f t="shared" si="784"/>
        <v>7.3499999999999996E-2</v>
      </c>
      <c r="DI73" s="2875">
        <f t="shared" si="785"/>
        <v>347.35623999999996</v>
      </c>
      <c r="DJ73" s="2875">
        <f>SUM('ПОЛНАЯ СЕБЕСТОИМОСТЬ ВОДА 2021'!AY221)</f>
        <v>347.23899999999998</v>
      </c>
      <c r="DK73" s="2875">
        <f>SUM('ПОЛНАЯ СЕБЕСТОИМОСТЬ ВОДА 2021'!AZ221)</f>
        <v>0.11724</v>
      </c>
      <c r="DL73" s="2955">
        <f t="shared" si="867"/>
        <v>192.01900000000001</v>
      </c>
      <c r="DM73" s="2955">
        <v>191.91499999999999</v>
      </c>
      <c r="DN73" s="2955">
        <v>0.104</v>
      </c>
      <c r="DO73" s="2921">
        <f>SUM(CN73+CW73+DF73)</f>
        <v>432.41794564542272</v>
      </c>
      <c r="DP73" s="2921">
        <f t="shared" ref="DP73:DW75" si="873">SUM(CO73+CX73+DG73)</f>
        <v>432.1974456454227</v>
      </c>
      <c r="DQ73" s="2921">
        <f t="shared" si="873"/>
        <v>0.22049999999999997</v>
      </c>
      <c r="DR73" s="2957">
        <f t="shared" si="873"/>
        <v>605.79082999999991</v>
      </c>
      <c r="DS73" s="2957">
        <f t="shared" si="873"/>
        <v>605.63200000000006</v>
      </c>
      <c r="DT73" s="2957">
        <f t="shared" si="873"/>
        <v>0.15883</v>
      </c>
      <c r="DU73" s="2957">
        <f t="shared" si="873"/>
        <v>558.06640000000004</v>
      </c>
      <c r="DV73" s="2957">
        <f t="shared" si="873"/>
        <v>557.86400000000003</v>
      </c>
      <c r="DW73" s="2957">
        <f t="shared" si="873"/>
        <v>0.2024</v>
      </c>
      <c r="DX73" s="2919">
        <f t="shared" si="677"/>
        <v>173.3728843545772</v>
      </c>
      <c r="DY73" s="2919">
        <f t="shared" si="677"/>
        <v>173.43455435457736</v>
      </c>
      <c r="DZ73" s="2919">
        <f t="shared" si="677"/>
        <v>-6.1669999999999975E-2</v>
      </c>
      <c r="EA73" s="2921">
        <f>SUM(CB73+DO73)</f>
        <v>1297.2538369362683</v>
      </c>
      <c r="EB73" s="2921">
        <f t="shared" ref="EB73:EI75" si="874">SUM(CC73+DP73)</f>
        <v>1296.5923369362681</v>
      </c>
      <c r="EC73" s="2921">
        <f t="shared" si="874"/>
        <v>0.66149999999999998</v>
      </c>
      <c r="ED73" s="2957">
        <f t="shared" si="874"/>
        <v>2003.3941199999999</v>
      </c>
      <c r="EE73" s="2957">
        <f t="shared" si="874"/>
        <v>2002.94794</v>
      </c>
      <c r="EF73" s="2957">
        <f t="shared" si="874"/>
        <v>0.44618000000000002</v>
      </c>
      <c r="EG73" s="2957">
        <f t="shared" si="874"/>
        <v>1471.7919000000002</v>
      </c>
      <c r="EH73" s="2957">
        <f t="shared" si="874"/>
        <v>1471.3720000000001</v>
      </c>
      <c r="EI73" s="2957">
        <f t="shared" si="874"/>
        <v>0.4199</v>
      </c>
      <c r="EJ73" s="2919">
        <f t="shared" si="679"/>
        <v>706.14028306373166</v>
      </c>
      <c r="EK73" s="2919">
        <f t="shared" si="679"/>
        <v>706.35560306373191</v>
      </c>
      <c r="EL73" s="2919">
        <f t="shared" si="679"/>
        <v>-0.21531999999999996</v>
      </c>
      <c r="EM73" s="2951">
        <f t="shared" si="789"/>
        <v>144.1393152151409</v>
      </c>
      <c r="EN73" s="2951">
        <f>SUM('ПОЛНАЯ СЕБЕСТОИМОСТЬ ВОДА 2021'!BN221)/3</f>
        <v>144.0658152151409</v>
      </c>
      <c r="EO73" s="2951">
        <f>SUM('ПОЛНАЯ СЕБЕСТОИМОСТЬ ВОДА 2021'!BO221)/3</f>
        <v>7.3499999999999996E-2</v>
      </c>
      <c r="EP73" s="2875">
        <f t="shared" si="790"/>
        <v>174.21875</v>
      </c>
      <c r="EQ73" s="2875">
        <f>SUM('ПОЛНАЯ СЕБЕСТОИМОСТЬ ВОДА 2021'!BQ221)</f>
        <v>174.19</v>
      </c>
      <c r="ER73" s="2875">
        <f>SUM('ПОЛНАЯ СЕБЕСТОИМОСТЬ ВОДА 2021'!BR221)</f>
        <v>2.8750000000000001E-2</v>
      </c>
      <c r="ES73" s="2955">
        <f t="shared" si="868"/>
        <v>228.2354</v>
      </c>
      <c r="ET73" s="2955">
        <v>228.20500000000001</v>
      </c>
      <c r="EU73" s="4221">
        <v>3.04E-2</v>
      </c>
      <c r="EV73" s="2951">
        <f t="shared" si="792"/>
        <v>144.1393152151409</v>
      </c>
      <c r="EW73" s="2951">
        <f t="shared" si="793"/>
        <v>144.0658152151409</v>
      </c>
      <c r="EX73" s="2951">
        <f t="shared" si="794"/>
        <v>7.3499999999999996E-2</v>
      </c>
      <c r="EY73" s="2875">
        <f t="shared" si="795"/>
        <v>211.37449999999998</v>
      </c>
      <c r="EZ73" s="2875">
        <f>SUM('ПОЛНАЯ СЕБЕСТОИМОСТЬ ВОДА 2021'!BT221)</f>
        <v>211.32499999999999</v>
      </c>
      <c r="FA73" s="2875">
        <f>SUM('ПОЛНАЯ СЕБЕСТОИМОСТЬ ВОДА 2021'!BU221)</f>
        <v>4.9500000000000002E-2</v>
      </c>
      <c r="FB73" s="2955">
        <f t="shared" si="869"/>
        <v>233.834</v>
      </c>
      <c r="FC73" s="2955">
        <v>233.77</v>
      </c>
      <c r="FD73" s="2955">
        <v>6.4000000000000001E-2</v>
      </c>
      <c r="FE73" s="2951">
        <f t="shared" si="797"/>
        <v>144.1393152151409</v>
      </c>
      <c r="FF73" s="2951">
        <f t="shared" si="798"/>
        <v>144.0658152151409</v>
      </c>
      <c r="FG73" s="2951">
        <f t="shared" si="799"/>
        <v>7.3499999999999996E-2</v>
      </c>
      <c r="FH73" s="2875">
        <f t="shared" si="735"/>
        <v>187.47499999999999</v>
      </c>
      <c r="FI73" s="2875">
        <f>SUM('ПОЛНАЯ СЕБЕСТОИМОСТЬ ВОДА 2021'!BW221)</f>
        <v>187.43299999999999</v>
      </c>
      <c r="FJ73" s="2875">
        <f>SUM('ПОЛНАЯ СЕБЕСТОИМОСТЬ ВОДА 2021'!BX221)</f>
        <v>4.2000000000000003E-2</v>
      </c>
      <c r="FK73" s="2955">
        <f t="shared" si="870"/>
        <v>273.82600000000002</v>
      </c>
      <c r="FL73" s="2955">
        <v>273.81</v>
      </c>
      <c r="FM73" s="4221">
        <v>1.6E-2</v>
      </c>
      <c r="FN73" s="2921">
        <f t="shared" si="801"/>
        <v>432.41794564542272</v>
      </c>
      <c r="FO73" s="2921">
        <f t="shared" si="801"/>
        <v>432.1974456454227</v>
      </c>
      <c r="FP73" s="2921">
        <f t="shared" si="801"/>
        <v>0.22049999999999997</v>
      </c>
      <c r="FQ73" s="2932">
        <f t="shared" si="801"/>
        <v>573.06825000000003</v>
      </c>
      <c r="FR73" s="2932">
        <f t="shared" si="801"/>
        <v>572.94799999999998</v>
      </c>
      <c r="FS73" s="2932">
        <f t="shared" si="801"/>
        <v>0.12025</v>
      </c>
      <c r="FT73" s="2932">
        <f t="shared" si="801"/>
        <v>735.8954</v>
      </c>
      <c r="FU73" s="2932">
        <f t="shared" si="801"/>
        <v>735.78500000000008</v>
      </c>
      <c r="FV73" s="2932">
        <f t="shared" si="801"/>
        <v>0.1104</v>
      </c>
      <c r="FW73" s="2933">
        <f t="shared" si="681"/>
        <v>140.65030435457732</v>
      </c>
      <c r="FX73" s="2933">
        <f t="shared" si="681"/>
        <v>140.75055435457728</v>
      </c>
      <c r="FY73" s="2933">
        <f t="shared" si="681"/>
        <v>-0.10024999999999998</v>
      </c>
      <c r="FZ73" s="2921">
        <f t="shared" si="802"/>
        <v>1729.6717825816909</v>
      </c>
      <c r="GA73" s="2921">
        <f t="shared" si="802"/>
        <v>1728.7897825816908</v>
      </c>
      <c r="GB73" s="2921">
        <f t="shared" si="802"/>
        <v>0.8819999999999999</v>
      </c>
      <c r="GC73" s="2932">
        <f t="shared" si="802"/>
        <v>2576.4623700000002</v>
      </c>
      <c r="GD73" s="2932">
        <f t="shared" si="802"/>
        <v>2575.8959399999999</v>
      </c>
      <c r="GE73" s="2932">
        <f t="shared" si="802"/>
        <v>0.56642999999999999</v>
      </c>
      <c r="GF73" s="2932">
        <f t="shared" si="802"/>
        <v>2207.6873000000001</v>
      </c>
      <c r="GG73" s="2932">
        <f t="shared" si="802"/>
        <v>2207.1570000000002</v>
      </c>
      <c r="GH73" s="2932">
        <f t="shared" si="802"/>
        <v>0.53029999999999999</v>
      </c>
      <c r="GI73" s="2933">
        <f t="shared" si="683"/>
        <v>846.79058741830931</v>
      </c>
      <c r="GJ73" s="2933">
        <f t="shared" si="683"/>
        <v>847.10615741830907</v>
      </c>
      <c r="GK73" s="2933">
        <f t="shared" si="683"/>
        <v>-0.31556999999999991</v>
      </c>
      <c r="GL73" s="389"/>
      <c r="GM73" s="4191">
        <f t="shared" si="684"/>
        <v>1729.6717825816906</v>
      </c>
    </row>
    <row r="74" spans="1:195" ht="18.75" x14ac:dyDescent="0.3">
      <c r="A74" s="2914" t="s">
        <v>3748</v>
      </c>
      <c r="B74" s="2946">
        <f t="shared" si="745"/>
        <v>0</v>
      </c>
      <c r="C74" s="2946">
        <f>SUM('ПОЛНАЯ СЕБЕСТОИМОСТЬ ВОДА 2021'!C222)/3</f>
        <v>0</v>
      </c>
      <c r="D74" s="2946">
        <f>SUM('ПОЛНАЯ СЕБЕСТОИМОСТЬ ВОДА 2021'!D222)/3</f>
        <v>0</v>
      </c>
      <c r="E74" s="2865">
        <f t="shared" si="746"/>
        <v>0</v>
      </c>
      <c r="F74" s="2865">
        <f>SUM('ПОЛНАЯ СЕБЕСТОИМОСТЬ ВОДА 2021'!F222)</f>
        <v>0</v>
      </c>
      <c r="G74" s="2865">
        <f>SUM('ПОЛНАЯ СЕБЕСТОИМОСТЬ ВОДА 2021'!G222)</f>
        <v>0</v>
      </c>
      <c r="H74" s="2947">
        <f t="shared" si="803"/>
        <v>0</v>
      </c>
      <c r="I74" s="2947">
        <v>0</v>
      </c>
      <c r="J74" s="2947">
        <v>0</v>
      </c>
      <c r="K74" s="2946">
        <f t="shared" si="748"/>
        <v>0</v>
      </c>
      <c r="L74" s="2946">
        <f t="shared" si="749"/>
        <v>0</v>
      </c>
      <c r="M74" s="2946">
        <f t="shared" si="750"/>
        <v>0</v>
      </c>
      <c r="N74" s="2865">
        <f t="shared" si="751"/>
        <v>0</v>
      </c>
      <c r="O74" s="2865">
        <f>SUM('ПОЛНАЯ СЕБЕСТОИМОСТЬ ВОДА 2021'!I222)</f>
        <v>0</v>
      </c>
      <c r="P74" s="2865">
        <f>SUM('ПОЛНАЯ СЕБЕСТОИМОСТЬ ВОДА 2021'!J222)</f>
        <v>0</v>
      </c>
      <c r="Q74" s="2947">
        <f t="shared" si="860"/>
        <v>0</v>
      </c>
      <c r="R74" s="2947">
        <v>0</v>
      </c>
      <c r="S74" s="2947">
        <v>0</v>
      </c>
      <c r="T74" s="2946">
        <f t="shared" si="753"/>
        <v>0</v>
      </c>
      <c r="U74" s="2946">
        <f t="shared" si="754"/>
        <v>0</v>
      </c>
      <c r="V74" s="2946">
        <f t="shared" si="755"/>
        <v>0</v>
      </c>
      <c r="W74" s="2865">
        <f t="shared" si="756"/>
        <v>0</v>
      </c>
      <c r="X74" s="2865">
        <f>SUM('ПОЛНАЯ СЕБЕСТОИМОСТЬ ВОДА 2021'!L222)</f>
        <v>0</v>
      </c>
      <c r="Y74" s="2865">
        <f>SUM('ПОЛНАЯ СЕБЕСТОИМОСТЬ ВОДА 2021'!M222)</f>
        <v>0</v>
      </c>
      <c r="Z74" s="2947">
        <f t="shared" si="861"/>
        <v>0</v>
      </c>
      <c r="AA74" s="2947">
        <v>0</v>
      </c>
      <c r="AB74" s="2947">
        <v>0</v>
      </c>
      <c r="AC74" s="2916">
        <f t="shared" si="758"/>
        <v>0</v>
      </c>
      <c r="AD74" s="2916">
        <f t="shared" si="758"/>
        <v>0</v>
      </c>
      <c r="AE74" s="2916">
        <f t="shared" si="758"/>
        <v>0</v>
      </c>
      <c r="AF74" s="2926">
        <f t="shared" si="758"/>
        <v>0</v>
      </c>
      <c r="AG74" s="2926">
        <f t="shared" si="758"/>
        <v>0</v>
      </c>
      <c r="AH74" s="2926">
        <f t="shared" si="758"/>
        <v>0</v>
      </c>
      <c r="AI74" s="2926">
        <f t="shared" si="758"/>
        <v>0</v>
      </c>
      <c r="AJ74" s="2926">
        <f t="shared" si="758"/>
        <v>0</v>
      </c>
      <c r="AK74" s="2926">
        <f t="shared" si="758"/>
        <v>0</v>
      </c>
      <c r="AL74" s="2927">
        <f t="shared" si="838"/>
        <v>0</v>
      </c>
      <c r="AM74" s="2927">
        <f t="shared" si="838"/>
        <v>0</v>
      </c>
      <c r="AN74" s="2927">
        <f t="shared" si="838"/>
        <v>0</v>
      </c>
      <c r="AO74" s="2946">
        <f t="shared" si="759"/>
        <v>0</v>
      </c>
      <c r="AP74" s="2946">
        <f>SUM('ПОЛНАЯ СЕБЕСТОИМОСТЬ ВОДА 2021'!R222)/3</f>
        <v>0</v>
      </c>
      <c r="AQ74" s="2946">
        <f>SUM('ПОЛНАЯ СЕБЕСТОИМОСТЬ ВОДА 2021'!S222)/3</f>
        <v>0</v>
      </c>
      <c r="AR74" s="2946">
        <f t="shared" si="760"/>
        <v>0</v>
      </c>
      <c r="AS74" s="2946">
        <f>SUM('ПОЛНАЯ СЕБЕСТОИМОСТЬ ВОДА 2021'!U222)</f>
        <v>0</v>
      </c>
      <c r="AT74" s="2946">
        <f>SUM('ПОЛНАЯ СЕБЕСТОИМОСТЬ ВОДА 2021'!V222)</f>
        <v>0</v>
      </c>
      <c r="AU74" s="2947">
        <f t="shared" si="862"/>
        <v>0</v>
      </c>
      <c r="AV74" s="2947">
        <v>0</v>
      </c>
      <c r="AW74" s="2947">
        <v>0</v>
      </c>
      <c r="AX74" s="2946">
        <f t="shared" si="762"/>
        <v>0</v>
      </c>
      <c r="AY74" s="2946">
        <f t="shared" si="763"/>
        <v>0</v>
      </c>
      <c r="AZ74" s="2946">
        <f t="shared" si="764"/>
        <v>0</v>
      </c>
      <c r="BA74" s="2946">
        <f t="shared" si="765"/>
        <v>0</v>
      </c>
      <c r="BB74" s="2946">
        <f>SUM('ПОЛНАЯ СЕБЕСТОИМОСТЬ ВОДА 2021'!X222)</f>
        <v>0</v>
      </c>
      <c r="BC74" s="2946">
        <f>SUM('ПОЛНАЯ СЕБЕСТОИМОСТЬ ВОДА 2021'!Y222)</f>
        <v>0</v>
      </c>
      <c r="BD74" s="2947">
        <f t="shared" si="863"/>
        <v>0</v>
      </c>
      <c r="BE74" s="2947">
        <v>0</v>
      </c>
      <c r="BF74" s="2947">
        <v>0</v>
      </c>
      <c r="BG74" s="2946">
        <f t="shared" si="767"/>
        <v>0</v>
      </c>
      <c r="BH74" s="2946">
        <f t="shared" si="768"/>
        <v>0</v>
      </c>
      <c r="BI74" s="2946">
        <f t="shared" si="769"/>
        <v>0</v>
      </c>
      <c r="BJ74" s="2865">
        <f t="shared" si="770"/>
        <v>0</v>
      </c>
      <c r="BK74" s="2865">
        <f>SUM('ПОЛНАЯ СЕБЕСТОИМОСТЬ ВОДА 2021'!AA222)</f>
        <v>0</v>
      </c>
      <c r="BL74" s="2865">
        <f>SUM('ПОЛНАЯ СЕБЕСТОИМОСТЬ ВОДА 2021'!AB222)</f>
        <v>0</v>
      </c>
      <c r="BM74" s="2947">
        <f t="shared" si="864"/>
        <v>0</v>
      </c>
      <c r="BN74" s="2947">
        <v>0</v>
      </c>
      <c r="BO74" s="2947">
        <v>0</v>
      </c>
      <c r="BP74" s="2916">
        <f>SUM(AO74+AX74+BG74)</f>
        <v>0</v>
      </c>
      <c r="BQ74" s="2916">
        <f t="shared" si="871"/>
        <v>0</v>
      </c>
      <c r="BR74" s="2916">
        <f t="shared" si="871"/>
        <v>0</v>
      </c>
      <c r="BS74" s="2953">
        <f t="shared" si="871"/>
        <v>0</v>
      </c>
      <c r="BT74" s="2953">
        <f t="shared" si="871"/>
        <v>0</v>
      </c>
      <c r="BU74" s="2953">
        <f t="shared" si="871"/>
        <v>0</v>
      </c>
      <c r="BV74" s="2953">
        <f t="shared" si="871"/>
        <v>0</v>
      </c>
      <c r="BW74" s="2953">
        <f t="shared" si="871"/>
        <v>0</v>
      </c>
      <c r="BX74" s="2953">
        <f t="shared" si="871"/>
        <v>0</v>
      </c>
      <c r="BY74" s="2954">
        <f t="shared" si="673"/>
        <v>0</v>
      </c>
      <c r="BZ74" s="2954">
        <f t="shared" si="673"/>
        <v>0</v>
      </c>
      <c r="CA74" s="2954">
        <f t="shared" si="673"/>
        <v>0</v>
      </c>
      <c r="CB74" s="2916">
        <f>SUM(AC74+BP74)</f>
        <v>0</v>
      </c>
      <c r="CC74" s="2916">
        <f t="shared" si="872"/>
        <v>0</v>
      </c>
      <c r="CD74" s="2916">
        <f t="shared" si="872"/>
        <v>0</v>
      </c>
      <c r="CE74" s="2953">
        <f t="shared" si="872"/>
        <v>0</v>
      </c>
      <c r="CF74" s="2953">
        <f t="shared" si="872"/>
        <v>0</v>
      </c>
      <c r="CG74" s="2953">
        <f t="shared" si="872"/>
        <v>0</v>
      </c>
      <c r="CH74" s="2953">
        <f t="shared" si="872"/>
        <v>0</v>
      </c>
      <c r="CI74" s="2953">
        <f t="shared" si="872"/>
        <v>0</v>
      </c>
      <c r="CJ74" s="2953">
        <f t="shared" si="872"/>
        <v>0</v>
      </c>
      <c r="CK74" s="2954">
        <f t="shared" si="675"/>
        <v>0</v>
      </c>
      <c r="CL74" s="2954">
        <f t="shared" si="675"/>
        <v>0</v>
      </c>
      <c r="CM74" s="2954">
        <f t="shared" si="675"/>
        <v>0</v>
      </c>
      <c r="CN74" s="2946">
        <f t="shared" si="774"/>
        <v>0</v>
      </c>
      <c r="CO74" s="2946">
        <f>SUM('ПОЛНАЯ СЕБЕСТОИМОСТЬ ВОДА 2021'!AP222)/3</f>
        <v>0</v>
      </c>
      <c r="CP74" s="2946">
        <f>SUM('ПОЛНАЯ СЕБЕСТОИМОСТЬ ВОДА 2021'!AQ222)/3</f>
        <v>0</v>
      </c>
      <c r="CQ74" s="2865">
        <f t="shared" si="775"/>
        <v>0</v>
      </c>
      <c r="CR74" s="2865">
        <f>SUM('ПОЛНАЯ СЕБЕСТОИМОСТЬ ВОДА 2021'!AS222)</f>
        <v>0</v>
      </c>
      <c r="CS74" s="2865">
        <f>SUM('ПОЛНАЯ СЕБЕСТОИМОСТЬ ВОДА 2021'!AT222)</f>
        <v>0</v>
      </c>
      <c r="CT74" s="2947">
        <f t="shared" si="865"/>
        <v>0</v>
      </c>
      <c r="CU74" s="2947">
        <v>0</v>
      </c>
      <c r="CV74" s="2947">
        <v>0</v>
      </c>
      <c r="CW74" s="2946">
        <f t="shared" si="777"/>
        <v>0</v>
      </c>
      <c r="CX74" s="2946">
        <f t="shared" si="778"/>
        <v>0</v>
      </c>
      <c r="CY74" s="2946">
        <f t="shared" si="779"/>
        <v>0</v>
      </c>
      <c r="CZ74" s="2865">
        <f t="shared" si="780"/>
        <v>0</v>
      </c>
      <c r="DA74" s="2865">
        <f>SUM('ПОЛНАЯ СЕБЕСТОИМОСТЬ ВОДА 2021'!AV222)</f>
        <v>0</v>
      </c>
      <c r="DB74" s="2865">
        <f>SUM('ПОЛНАЯ СЕБЕСТОИМОСТЬ ВОДА 2021'!AW222)</f>
        <v>0</v>
      </c>
      <c r="DC74" s="2947">
        <f t="shared" si="866"/>
        <v>0</v>
      </c>
      <c r="DD74" s="2947">
        <v>0</v>
      </c>
      <c r="DE74" s="2947">
        <v>0</v>
      </c>
      <c r="DF74" s="2946">
        <f t="shared" si="782"/>
        <v>0</v>
      </c>
      <c r="DG74" s="2946">
        <f t="shared" si="783"/>
        <v>0</v>
      </c>
      <c r="DH74" s="2946">
        <f t="shared" si="784"/>
        <v>0</v>
      </c>
      <c r="DI74" s="2865">
        <f t="shared" si="785"/>
        <v>0</v>
      </c>
      <c r="DJ74" s="2865">
        <f>SUM('ПОЛНАЯ СЕБЕСТОИМОСТЬ ВОДА 2021'!AY222)</f>
        <v>0</v>
      </c>
      <c r="DK74" s="2865">
        <f>SUM('ПОЛНАЯ СЕБЕСТОИМОСТЬ ВОДА 2021'!AZ222)</f>
        <v>0</v>
      </c>
      <c r="DL74" s="2947">
        <f t="shared" si="867"/>
        <v>0</v>
      </c>
      <c r="DM74" s="2947">
        <v>0</v>
      </c>
      <c r="DN74" s="2947">
        <v>0</v>
      </c>
      <c r="DO74" s="2916">
        <f>SUM(CN74+CW74+DF74)</f>
        <v>0</v>
      </c>
      <c r="DP74" s="2916">
        <f t="shared" si="873"/>
        <v>0</v>
      </c>
      <c r="DQ74" s="2916">
        <f t="shared" si="873"/>
        <v>0</v>
      </c>
      <c r="DR74" s="2953">
        <f t="shared" si="873"/>
        <v>0</v>
      </c>
      <c r="DS74" s="2953">
        <f t="shared" si="873"/>
        <v>0</v>
      </c>
      <c r="DT74" s="2953">
        <f t="shared" si="873"/>
        <v>0</v>
      </c>
      <c r="DU74" s="2953">
        <f t="shared" si="873"/>
        <v>0</v>
      </c>
      <c r="DV74" s="2953">
        <f t="shared" si="873"/>
        <v>0</v>
      </c>
      <c r="DW74" s="2953">
        <f t="shared" si="873"/>
        <v>0</v>
      </c>
      <c r="DX74" s="2954">
        <f t="shared" si="677"/>
        <v>0</v>
      </c>
      <c r="DY74" s="2954">
        <f t="shared" si="677"/>
        <v>0</v>
      </c>
      <c r="DZ74" s="2954">
        <f t="shared" si="677"/>
        <v>0</v>
      </c>
      <c r="EA74" s="2916">
        <f>SUM(CB74+DO74)</f>
        <v>0</v>
      </c>
      <c r="EB74" s="2916">
        <f t="shared" si="874"/>
        <v>0</v>
      </c>
      <c r="EC74" s="2916">
        <f t="shared" si="874"/>
        <v>0</v>
      </c>
      <c r="ED74" s="2953">
        <f t="shared" si="874"/>
        <v>0</v>
      </c>
      <c r="EE74" s="2953">
        <f t="shared" si="874"/>
        <v>0</v>
      </c>
      <c r="EF74" s="2953">
        <f t="shared" si="874"/>
        <v>0</v>
      </c>
      <c r="EG74" s="2953">
        <f t="shared" si="874"/>
        <v>0</v>
      </c>
      <c r="EH74" s="2953">
        <f t="shared" si="874"/>
        <v>0</v>
      </c>
      <c r="EI74" s="2953">
        <f t="shared" si="874"/>
        <v>0</v>
      </c>
      <c r="EJ74" s="2954">
        <f t="shared" si="679"/>
        <v>0</v>
      </c>
      <c r="EK74" s="2954">
        <f t="shared" si="679"/>
        <v>0</v>
      </c>
      <c r="EL74" s="2954">
        <f t="shared" si="679"/>
        <v>0</v>
      </c>
      <c r="EM74" s="2946">
        <f t="shared" si="789"/>
        <v>0</v>
      </c>
      <c r="EN74" s="2946">
        <f>SUM('ПОЛНАЯ СЕБЕСТОИМОСТЬ ВОДА 2021'!BN222)/3</f>
        <v>0</v>
      </c>
      <c r="EO74" s="2946">
        <f>SUM('ПОЛНАЯ СЕБЕСТОИМОСТЬ ВОДА 2021'!BO222)/3</f>
        <v>0</v>
      </c>
      <c r="EP74" s="2865">
        <f t="shared" si="790"/>
        <v>0</v>
      </c>
      <c r="EQ74" s="2865">
        <f>SUM('ПОЛНАЯ СЕБЕСТОИМОСТЬ ВОДА 2021'!BQ222)</f>
        <v>0</v>
      </c>
      <c r="ER74" s="2865">
        <f>SUM('ПОЛНАЯ СЕБЕСТОИМОСТЬ ВОДА 2021'!BR222)</f>
        <v>0</v>
      </c>
      <c r="ES74" s="2947">
        <f t="shared" si="868"/>
        <v>0</v>
      </c>
      <c r="ET74" s="2947">
        <v>0</v>
      </c>
      <c r="EU74" s="4222">
        <v>0</v>
      </c>
      <c r="EV74" s="2946">
        <f t="shared" si="792"/>
        <v>0</v>
      </c>
      <c r="EW74" s="2946">
        <f t="shared" si="793"/>
        <v>0</v>
      </c>
      <c r="EX74" s="2946">
        <f t="shared" si="794"/>
        <v>0</v>
      </c>
      <c r="EY74" s="2865">
        <f t="shared" si="795"/>
        <v>0</v>
      </c>
      <c r="EZ74" s="2865">
        <f>SUM('ПОЛНАЯ СЕБЕСТОИМОСТЬ ВОДА 2021'!BT222)</f>
        <v>0</v>
      </c>
      <c r="FA74" s="2865">
        <f>SUM('ПОЛНАЯ СЕБЕСТОИМОСТЬ ВОДА 2021'!BU222)</f>
        <v>0</v>
      </c>
      <c r="FB74" s="2947">
        <f t="shared" si="869"/>
        <v>0</v>
      </c>
      <c r="FC74" s="2947">
        <v>0</v>
      </c>
      <c r="FD74" s="2947">
        <v>0</v>
      </c>
      <c r="FE74" s="2946">
        <f t="shared" si="797"/>
        <v>0</v>
      </c>
      <c r="FF74" s="2946">
        <f t="shared" si="798"/>
        <v>0</v>
      </c>
      <c r="FG74" s="2946">
        <f t="shared" si="799"/>
        <v>0</v>
      </c>
      <c r="FH74" s="2865">
        <f t="shared" si="735"/>
        <v>0</v>
      </c>
      <c r="FI74" s="2865">
        <f>SUM('ПОЛНАЯ СЕБЕСТОИМОСТЬ ВОДА 2021'!BW222)</f>
        <v>0</v>
      </c>
      <c r="FJ74" s="2865">
        <f>SUM('ПОЛНАЯ СЕБЕСТОИМОСТЬ ВОДА 2021'!BX222)</f>
        <v>0</v>
      </c>
      <c r="FK74" s="2947">
        <f t="shared" si="870"/>
        <v>0</v>
      </c>
      <c r="FL74" s="2947">
        <v>0</v>
      </c>
      <c r="FM74" s="4222">
        <v>0</v>
      </c>
      <c r="FN74" s="2916">
        <f t="shared" si="801"/>
        <v>0</v>
      </c>
      <c r="FO74" s="2916">
        <f t="shared" si="801"/>
        <v>0</v>
      </c>
      <c r="FP74" s="2916">
        <f t="shared" si="801"/>
        <v>0</v>
      </c>
      <c r="FQ74" s="2926">
        <f t="shared" si="801"/>
        <v>0</v>
      </c>
      <c r="FR74" s="2926">
        <f t="shared" si="801"/>
        <v>0</v>
      </c>
      <c r="FS74" s="2926">
        <f t="shared" si="801"/>
        <v>0</v>
      </c>
      <c r="FT74" s="2926">
        <f t="shared" si="801"/>
        <v>0</v>
      </c>
      <c r="FU74" s="2926">
        <f t="shared" si="801"/>
        <v>0</v>
      </c>
      <c r="FV74" s="2926">
        <f t="shared" si="801"/>
        <v>0</v>
      </c>
      <c r="FW74" s="2927">
        <f t="shared" si="681"/>
        <v>0</v>
      </c>
      <c r="FX74" s="2927">
        <f t="shared" si="681"/>
        <v>0</v>
      </c>
      <c r="FY74" s="2927">
        <f t="shared" si="681"/>
        <v>0</v>
      </c>
      <c r="FZ74" s="2916">
        <f t="shared" si="802"/>
        <v>0</v>
      </c>
      <c r="GA74" s="2916">
        <f t="shared" si="802"/>
        <v>0</v>
      </c>
      <c r="GB74" s="2916">
        <f t="shared" si="802"/>
        <v>0</v>
      </c>
      <c r="GC74" s="2926">
        <f t="shared" si="802"/>
        <v>0</v>
      </c>
      <c r="GD74" s="2926">
        <f t="shared" si="802"/>
        <v>0</v>
      </c>
      <c r="GE74" s="2926">
        <f t="shared" si="802"/>
        <v>0</v>
      </c>
      <c r="GF74" s="2926">
        <f t="shared" si="802"/>
        <v>0</v>
      </c>
      <c r="GG74" s="2926">
        <f t="shared" si="802"/>
        <v>0</v>
      </c>
      <c r="GH74" s="2926">
        <f t="shared" si="802"/>
        <v>0</v>
      </c>
      <c r="GI74" s="2927">
        <f t="shared" si="683"/>
        <v>0</v>
      </c>
      <c r="GJ74" s="2927">
        <f t="shared" si="683"/>
        <v>0</v>
      </c>
      <c r="GK74" s="2927">
        <f t="shared" si="683"/>
        <v>0</v>
      </c>
      <c r="GL74" s="389"/>
      <c r="GM74" s="4191">
        <f t="shared" si="684"/>
        <v>0</v>
      </c>
    </row>
    <row r="75" spans="1:195" ht="18.75" x14ac:dyDescent="0.3">
      <c r="A75" s="2914" t="s">
        <v>3749</v>
      </c>
      <c r="B75" s="2946">
        <f t="shared" si="745"/>
        <v>0</v>
      </c>
      <c r="C75" s="2946">
        <f>SUM('ПОЛНАЯ СЕБЕСТОИМОСТЬ ВОДА 2021'!C223)/3</f>
        <v>0</v>
      </c>
      <c r="D75" s="2946">
        <f>SUM('ПОЛНАЯ СЕБЕСТОИМОСТЬ ВОДА 2021'!D223)/3</f>
        <v>0</v>
      </c>
      <c r="E75" s="2865">
        <f t="shared" si="746"/>
        <v>0</v>
      </c>
      <c r="F75" s="2865">
        <f>SUM('ПОЛНАЯ СЕБЕСТОИМОСТЬ ВОДА 2021'!F223)</f>
        <v>0</v>
      </c>
      <c r="G75" s="2865">
        <f>SUM('ПОЛНАЯ СЕБЕСТОИМОСТЬ ВОДА 2021'!G223)</f>
        <v>0</v>
      </c>
      <c r="H75" s="2947">
        <f t="shared" si="803"/>
        <v>0</v>
      </c>
      <c r="I75" s="2947">
        <v>0</v>
      </c>
      <c r="J75" s="2947">
        <v>0</v>
      </c>
      <c r="K75" s="2946">
        <f t="shared" si="748"/>
        <v>0</v>
      </c>
      <c r="L75" s="2946">
        <f t="shared" si="749"/>
        <v>0</v>
      </c>
      <c r="M75" s="2946">
        <f t="shared" si="750"/>
        <v>0</v>
      </c>
      <c r="N75" s="2865">
        <f t="shared" si="751"/>
        <v>0</v>
      </c>
      <c r="O75" s="2865">
        <f>SUM('ПОЛНАЯ СЕБЕСТОИМОСТЬ ВОДА 2021'!I223)</f>
        <v>0</v>
      </c>
      <c r="P75" s="2865">
        <f>SUM('ПОЛНАЯ СЕБЕСТОИМОСТЬ ВОДА 2021'!J223)</f>
        <v>0</v>
      </c>
      <c r="Q75" s="2947">
        <f t="shared" si="860"/>
        <v>0</v>
      </c>
      <c r="R75" s="2947">
        <v>0</v>
      </c>
      <c r="S75" s="2947">
        <v>0</v>
      </c>
      <c r="T75" s="2946">
        <f t="shared" si="753"/>
        <v>0</v>
      </c>
      <c r="U75" s="2946">
        <f t="shared" si="754"/>
        <v>0</v>
      </c>
      <c r="V75" s="2946">
        <f t="shared" si="755"/>
        <v>0</v>
      </c>
      <c r="W75" s="2865">
        <f t="shared" si="756"/>
        <v>0</v>
      </c>
      <c r="X75" s="2865">
        <f>SUM('ПОЛНАЯ СЕБЕСТОИМОСТЬ ВОДА 2021'!L223)</f>
        <v>0</v>
      </c>
      <c r="Y75" s="2865">
        <f>SUM('ПОЛНАЯ СЕБЕСТОИМОСТЬ ВОДА 2021'!M223)</f>
        <v>0</v>
      </c>
      <c r="Z75" s="2947">
        <f t="shared" si="861"/>
        <v>0</v>
      </c>
      <c r="AA75" s="2947">
        <v>0</v>
      </c>
      <c r="AB75" s="2947">
        <v>0</v>
      </c>
      <c r="AC75" s="2916">
        <f t="shared" si="758"/>
        <v>0</v>
      </c>
      <c r="AD75" s="2916">
        <f t="shared" si="758"/>
        <v>0</v>
      </c>
      <c r="AE75" s="2916">
        <f t="shared" si="758"/>
        <v>0</v>
      </c>
      <c r="AF75" s="2926">
        <f t="shared" si="758"/>
        <v>0</v>
      </c>
      <c r="AG75" s="2926">
        <f t="shared" si="758"/>
        <v>0</v>
      </c>
      <c r="AH75" s="2926">
        <f t="shared" si="758"/>
        <v>0</v>
      </c>
      <c r="AI75" s="2926">
        <f t="shared" si="758"/>
        <v>0</v>
      </c>
      <c r="AJ75" s="2926">
        <f t="shared" si="758"/>
        <v>0</v>
      </c>
      <c r="AK75" s="2926">
        <f t="shared" si="758"/>
        <v>0</v>
      </c>
      <c r="AL75" s="2927">
        <f t="shared" si="838"/>
        <v>0</v>
      </c>
      <c r="AM75" s="2927">
        <f t="shared" si="838"/>
        <v>0</v>
      </c>
      <c r="AN75" s="2927">
        <f t="shared" si="838"/>
        <v>0</v>
      </c>
      <c r="AO75" s="2946">
        <f t="shared" si="759"/>
        <v>0</v>
      </c>
      <c r="AP75" s="2946">
        <f>SUM('ПОЛНАЯ СЕБЕСТОИМОСТЬ ВОДА 2021'!R223)/3</f>
        <v>0</v>
      </c>
      <c r="AQ75" s="2946">
        <f>SUM('ПОЛНАЯ СЕБЕСТОИМОСТЬ ВОДА 2021'!S223)/3</f>
        <v>0</v>
      </c>
      <c r="AR75" s="2946">
        <f t="shared" si="760"/>
        <v>0</v>
      </c>
      <c r="AS75" s="2946">
        <f>SUM('ПОЛНАЯ СЕБЕСТОИМОСТЬ ВОДА 2021'!U223)</f>
        <v>0</v>
      </c>
      <c r="AT75" s="2946">
        <f>SUM('ПОЛНАЯ СЕБЕСТОИМОСТЬ ВОДА 2021'!V223)</f>
        <v>0</v>
      </c>
      <c r="AU75" s="2947">
        <f t="shared" si="862"/>
        <v>0</v>
      </c>
      <c r="AV75" s="2947">
        <v>0</v>
      </c>
      <c r="AW75" s="2947">
        <v>0</v>
      </c>
      <c r="AX75" s="2946">
        <f t="shared" si="762"/>
        <v>0</v>
      </c>
      <c r="AY75" s="2946">
        <f t="shared" si="763"/>
        <v>0</v>
      </c>
      <c r="AZ75" s="2946">
        <f t="shared" si="764"/>
        <v>0</v>
      </c>
      <c r="BA75" s="2946">
        <f t="shared" si="765"/>
        <v>0</v>
      </c>
      <c r="BB75" s="2946">
        <f>SUM('ПОЛНАЯ СЕБЕСТОИМОСТЬ ВОДА 2021'!X223)</f>
        <v>0</v>
      </c>
      <c r="BC75" s="2946">
        <f>SUM('ПОЛНАЯ СЕБЕСТОИМОСТЬ ВОДА 2021'!Y223)</f>
        <v>0</v>
      </c>
      <c r="BD75" s="2947">
        <f t="shared" si="863"/>
        <v>0</v>
      </c>
      <c r="BE75" s="2947">
        <v>0</v>
      </c>
      <c r="BF75" s="2947">
        <v>0</v>
      </c>
      <c r="BG75" s="2946">
        <f t="shared" si="767"/>
        <v>0</v>
      </c>
      <c r="BH75" s="2946">
        <f t="shared" si="768"/>
        <v>0</v>
      </c>
      <c r="BI75" s="2946">
        <f t="shared" si="769"/>
        <v>0</v>
      </c>
      <c r="BJ75" s="2865">
        <f t="shared" si="770"/>
        <v>0</v>
      </c>
      <c r="BK75" s="2865">
        <f>SUM('ПОЛНАЯ СЕБЕСТОИМОСТЬ ВОДА 2021'!AA223)</f>
        <v>0</v>
      </c>
      <c r="BL75" s="2865">
        <f>SUM('ПОЛНАЯ СЕБЕСТОИМОСТЬ ВОДА 2021'!AB223)</f>
        <v>0</v>
      </c>
      <c r="BM75" s="2947">
        <f t="shared" si="864"/>
        <v>0</v>
      </c>
      <c r="BN75" s="2947">
        <v>0</v>
      </c>
      <c r="BO75" s="2947">
        <v>0</v>
      </c>
      <c r="BP75" s="2916">
        <f>SUM(AO75+AX75+BG75)</f>
        <v>0</v>
      </c>
      <c r="BQ75" s="2916">
        <f t="shared" si="871"/>
        <v>0</v>
      </c>
      <c r="BR75" s="2916">
        <f t="shared" si="871"/>
        <v>0</v>
      </c>
      <c r="BS75" s="2953">
        <f t="shared" si="871"/>
        <v>0</v>
      </c>
      <c r="BT75" s="2953">
        <f t="shared" si="871"/>
        <v>0</v>
      </c>
      <c r="BU75" s="2953">
        <f t="shared" si="871"/>
        <v>0</v>
      </c>
      <c r="BV75" s="2953">
        <f t="shared" si="871"/>
        <v>0</v>
      </c>
      <c r="BW75" s="2953">
        <f t="shared" si="871"/>
        <v>0</v>
      </c>
      <c r="BX75" s="2953">
        <f t="shared" si="871"/>
        <v>0</v>
      </c>
      <c r="BY75" s="2954">
        <f t="shared" si="673"/>
        <v>0</v>
      </c>
      <c r="BZ75" s="2954">
        <f t="shared" si="673"/>
        <v>0</v>
      </c>
      <c r="CA75" s="2954">
        <f t="shared" si="673"/>
        <v>0</v>
      </c>
      <c r="CB75" s="2916">
        <f>SUM(AC75+BP75)</f>
        <v>0</v>
      </c>
      <c r="CC75" s="2916">
        <f t="shared" si="872"/>
        <v>0</v>
      </c>
      <c r="CD75" s="2916">
        <f t="shared" si="872"/>
        <v>0</v>
      </c>
      <c r="CE75" s="2953">
        <f t="shared" si="872"/>
        <v>0</v>
      </c>
      <c r="CF75" s="2953">
        <f t="shared" si="872"/>
        <v>0</v>
      </c>
      <c r="CG75" s="2953">
        <f t="shared" si="872"/>
        <v>0</v>
      </c>
      <c r="CH75" s="2953">
        <f t="shared" si="872"/>
        <v>0</v>
      </c>
      <c r="CI75" s="2953">
        <f t="shared" si="872"/>
        <v>0</v>
      </c>
      <c r="CJ75" s="2953">
        <f t="shared" si="872"/>
        <v>0</v>
      </c>
      <c r="CK75" s="2954">
        <f t="shared" si="675"/>
        <v>0</v>
      </c>
      <c r="CL75" s="2954">
        <f t="shared" si="675"/>
        <v>0</v>
      </c>
      <c r="CM75" s="2954">
        <f t="shared" si="675"/>
        <v>0</v>
      </c>
      <c r="CN75" s="2946">
        <f t="shared" si="774"/>
        <v>0</v>
      </c>
      <c r="CO75" s="2946">
        <f>SUM('ПОЛНАЯ СЕБЕСТОИМОСТЬ ВОДА 2021'!AP223)/3</f>
        <v>0</v>
      </c>
      <c r="CP75" s="2946">
        <f>SUM('ПОЛНАЯ СЕБЕСТОИМОСТЬ ВОДА 2021'!AQ223)/3</f>
        <v>0</v>
      </c>
      <c r="CQ75" s="2865">
        <f t="shared" si="775"/>
        <v>0</v>
      </c>
      <c r="CR75" s="2865">
        <f>SUM('ПОЛНАЯ СЕБЕСТОИМОСТЬ ВОДА 2021'!AS223)</f>
        <v>0</v>
      </c>
      <c r="CS75" s="2865">
        <f>SUM('ПОЛНАЯ СЕБЕСТОИМОСТЬ ВОДА 2021'!AT223)</f>
        <v>0</v>
      </c>
      <c r="CT75" s="2947">
        <f t="shared" si="865"/>
        <v>0</v>
      </c>
      <c r="CU75" s="2947">
        <v>0</v>
      </c>
      <c r="CV75" s="2947">
        <v>0</v>
      </c>
      <c r="CW75" s="2946">
        <f t="shared" si="777"/>
        <v>0</v>
      </c>
      <c r="CX75" s="2946">
        <f t="shared" si="778"/>
        <v>0</v>
      </c>
      <c r="CY75" s="2946">
        <f t="shared" si="779"/>
        <v>0</v>
      </c>
      <c r="CZ75" s="2865">
        <f t="shared" si="780"/>
        <v>0</v>
      </c>
      <c r="DA75" s="2865">
        <f>SUM('ПОЛНАЯ СЕБЕСТОИМОСТЬ ВОДА 2021'!AV223)</f>
        <v>0</v>
      </c>
      <c r="DB75" s="2865">
        <f>SUM('ПОЛНАЯ СЕБЕСТОИМОСТЬ ВОДА 2021'!AW223)</f>
        <v>0</v>
      </c>
      <c r="DC75" s="2947">
        <f t="shared" si="866"/>
        <v>0</v>
      </c>
      <c r="DD75" s="2947">
        <v>0</v>
      </c>
      <c r="DE75" s="2947">
        <v>0</v>
      </c>
      <c r="DF75" s="2946">
        <f t="shared" si="782"/>
        <v>0</v>
      </c>
      <c r="DG75" s="2946">
        <f t="shared" si="783"/>
        <v>0</v>
      </c>
      <c r="DH75" s="2946">
        <f t="shared" si="784"/>
        <v>0</v>
      </c>
      <c r="DI75" s="2865">
        <f t="shared" si="785"/>
        <v>0</v>
      </c>
      <c r="DJ75" s="2865">
        <f>SUM('ПОЛНАЯ СЕБЕСТОИМОСТЬ ВОДА 2021'!AY223)</f>
        <v>0</v>
      </c>
      <c r="DK75" s="2865">
        <f>SUM('ПОЛНАЯ СЕБЕСТОИМОСТЬ ВОДА 2021'!AZ223)</f>
        <v>0</v>
      </c>
      <c r="DL75" s="2947">
        <f t="shared" si="867"/>
        <v>0</v>
      </c>
      <c r="DM75" s="2947">
        <v>0</v>
      </c>
      <c r="DN75" s="2947">
        <v>0</v>
      </c>
      <c r="DO75" s="2916">
        <f>SUM(CN75+CW75+DF75)</f>
        <v>0</v>
      </c>
      <c r="DP75" s="2916">
        <f t="shared" si="873"/>
        <v>0</v>
      </c>
      <c r="DQ75" s="2916">
        <f t="shared" si="873"/>
        <v>0</v>
      </c>
      <c r="DR75" s="2953">
        <f t="shared" si="873"/>
        <v>0</v>
      </c>
      <c r="DS75" s="2953">
        <f t="shared" si="873"/>
        <v>0</v>
      </c>
      <c r="DT75" s="2953">
        <f t="shared" si="873"/>
        <v>0</v>
      </c>
      <c r="DU75" s="2953">
        <f t="shared" si="873"/>
        <v>0</v>
      </c>
      <c r="DV75" s="2953">
        <f t="shared" si="873"/>
        <v>0</v>
      </c>
      <c r="DW75" s="2953">
        <f t="shared" si="873"/>
        <v>0</v>
      </c>
      <c r="DX75" s="2954">
        <f t="shared" si="677"/>
        <v>0</v>
      </c>
      <c r="DY75" s="2954">
        <f t="shared" si="677"/>
        <v>0</v>
      </c>
      <c r="DZ75" s="2954">
        <f t="shared" si="677"/>
        <v>0</v>
      </c>
      <c r="EA75" s="2916">
        <f>SUM(CB75+DO75)</f>
        <v>0</v>
      </c>
      <c r="EB75" s="2916">
        <f t="shared" si="874"/>
        <v>0</v>
      </c>
      <c r="EC75" s="2916">
        <f t="shared" si="874"/>
        <v>0</v>
      </c>
      <c r="ED75" s="2953">
        <f t="shared" si="874"/>
        <v>0</v>
      </c>
      <c r="EE75" s="2953">
        <f t="shared" si="874"/>
        <v>0</v>
      </c>
      <c r="EF75" s="2953">
        <f t="shared" si="874"/>
        <v>0</v>
      </c>
      <c r="EG75" s="2953">
        <f t="shared" si="874"/>
        <v>0</v>
      </c>
      <c r="EH75" s="2953">
        <f t="shared" si="874"/>
        <v>0</v>
      </c>
      <c r="EI75" s="2953">
        <f t="shared" si="874"/>
        <v>0</v>
      </c>
      <c r="EJ75" s="2954">
        <f t="shared" si="679"/>
        <v>0</v>
      </c>
      <c r="EK75" s="2954">
        <f t="shared" si="679"/>
        <v>0</v>
      </c>
      <c r="EL75" s="2954">
        <f t="shared" si="679"/>
        <v>0</v>
      </c>
      <c r="EM75" s="2946">
        <f t="shared" si="789"/>
        <v>0</v>
      </c>
      <c r="EN75" s="2946">
        <f>SUM('ПОЛНАЯ СЕБЕСТОИМОСТЬ ВОДА 2021'!BN223)/3</f>
        <v>0</v>
      </c>
      <c r="EO75" s="2946">
        <f>SUM('ПОЛНАЯ СЕБЕСТОИМОСТЬ ВОДА 2021'!BO223)/3</f>
        <v>0</v>
      </c>
      <c r="EP75" s="2865">
        <f t="shared" si="790"/>
        <v>0</v>
      </c>
      <c r="EQ75" s="2865">
        <f>SUM('ПОЛНАЯ СЕБЕСТОИМОСТЬ ВОДА 2021'!BQ223)</f>
        <v>0</v>
      </c>
      <c r="ER75" s="2865">
        <f>SUM('ПОЛНАЯ СЕБЕСТОИМОСТЬ ВОДА 2021'!BR223)</f>
        <v>0</v>
      </c>
      <c r="ES75" s="2947">
        <f t="shared" si="868"/>
        <v>0</v>
      </c>
      <c r="ET75" s="2947">
        <v>0</v>
      </c>
      <c r="EU75" s="4222">
        <v>0</v>
      </c>
      <c r="EV75" s="2946">
        <f t="shared" si="792"/>
        <v>0</v>
      </c>
      <c r="EW75" s="2946">
        <f t="shared" si="793"/>
        <v>0</v>
      </c>
      <c r="EX75" s="2946">
        <f t="shared" si="794"/>
        <v>0</v>
      </c>
      <c r="EY75" s="2865">
        <f t="shared" si="795"/>
        <v>0</v>
      </c>
      <c r="EZ75" s="2865">
        <f>SUM('ПОЛНАЯ СЕБЕСТОИМОСТЬ ВОДА 2021'!BT223)</f>
        <v>0</v>
      </c>
      <c r="FA75" s="2865">
        <f>SUM('ПОЛНАЯ СЕБЕСТОИМОСТЬ ВОДА 2021'!BU223)</f>
        <v>0</v>
      </c>
      <c r="FB75" s="2947">
        <f t="shared" si="869"/>
        <v>0</v>
      </c>
      <c r="FC75" s="2947">
        <v>0</v>
      </c>
      <c r="FD75" s="2947">
        <v>0</v>
      </c>
      <c r="FE75" s="2946">
        <f t="shared" si="797"/>
        <v>0</v>
      </c>
      <c r="FF75" s="2946">
        <f t="shared" si="798"/>
        <v>0</v>
      </c>
      <c r="FG75" s="2946">
        <f t="shared" si="799"/>
        <v>0</v>
      </c>
      <c r="FH75" s="2865">
        <f t="shared" si="735"/>
        <v>0</v>
      </c>
      <c r="FI75" s="2865">
        <f>SUM('ПОЛНАЯ СЕБЕСТОИМОСТЬ ВОДА 2021'!BW223)</f>
        <v>0</v>
      </c>
      <c r="FJ75" s="2865">
        <f>SUM('ПОЛНАЯ СЕБЕСТОИМОСТЬ ВОДА 2021'!BX223)</f>
        <v>0</v>
      </c>
      <c r="FK75" s="2947">
        <f t="shared" si="870"/>
        <v>0</v>
      </c>
      <c r="FL75" s="2947">
        <v>0</v>
      </c>
      <c r="FM75" s="4222">
        <v>0</v>
      </c>
      <c r="FN75" s="2916">
        <f t="shared" si="801"/>
        <v>0</v>
      </c>
      <c r="FO75" s="2916">
        <f t="shared" si="801"/>
        <v>0</v>
      </c>
      <c r="FP75" s="2916">
        <f t="shared" si="801"/>
        <v>0</v>
      </c>
      <c r="FQ75" s="2926">
        <f t="shared" si="801"/>
        <v>0</v>
      </c>
      <c r="FR75" s="2926">
        <f t="shared" si="801"/>
        <v>0</v>
      </c>
      <c r="FS75" s="2926">
        <f t="shared" si="801"/>
        <v>0</v>
      </c>
      <c r="FT75" s="2926">
        <f t="shared" si="801"/>
        <v>0</v>
      </c>
      <c r="FU75" s="2926">
        <f t="shared" si="801"/>
        <v>0</v>
      </c>
      <c r="FV75" s="2926">
        <f t="shared" si="801"/>
        <v>0</v>
      </c>
      <c r="FW75" s="2927">
        <f t="shared" si="681"/>
        <v>0</v>
      </c>
      <c r="FX75" s="2927">
        <f t="shared" si="681"/>
        <v>0</v>
      </c>
      <c r="FY75" s="2927">
        <f t="shared" si="681"/>
        <v>0</v>
      </c>
      <c r="FZ75" s="2916">
        <f t="shared" si="802"/>
        <v>0</v>
      </c>
      <c r="GA75" s="2916">
        <f t="shared" si="802"/>
        <v>0</v>
      </c>
      <c r="GB75" s="2916">
        <f t="shared" si="802"/>
        <v>0</v>
      </c>
      <c r="GC75" s="2926">
        <f t="shared" si="802"/>
        <v>0</v>
      </c>
      <c r="GD75" s="2926">
        <f t="shared" si="802"/>
        <v>0</v>
      </c>
      <c r="GE75" s="2926">
        <f t="shared" si="802"/>
        <v>0</v>
      </c>
      <c r="GF75" s="2926">
        <f t="shared" si="802"/>
        <v>0</v>
      </c>
      <c r="GG75" s="2926">
        <f t="shared" si="802"/>
        <v>0</v>
      </c>
      <c r="GH75" s="2926">
        <f t="shared" si="802"/>
        <v>0</v>
      </c>
      <c r="GI75" s="2927">
        <f t="shared" si="683"/>
        <v>0</v>
      </c>
      <c r="GJ75" s="2927">
        <f t="shared" si="683"/>
        <v>0</v>
      </c>
      <c r="GK75" s="2927">
        <f t="shared" si="683"/>
        <v>0</v>
      </c>
      <c r="GL75" s="389"/>
      <c r="GM75" s="4191">
        <f t="shared" si="684"/>
        <v>0</v>
      </c>
    </row>
    <row r="76" spans="1:195" ht="18.75" x14ac:dyDescent="0.3">
      <c r="A76" s="2958" t="s">
        <v>12</v>
      </c>
      <c r="B76" s="2959">
        <f t="shared" si="745"/>
        <v>12178.178973758539</v>
      </c>
      <c r="C76" s="2959">
        <f t="shared" ref="C76:D76" si="875">SUM(C48+C49+C50+C51+C52+C53+C54+C56+C61+C67+C74+C75)</f>
        <v>12175.771419306082</v>
      </c>
      <c r="D76" s="2959">
        <f t="shared" si="875"/>
        <v>2.4075544524562202</v>
      </c>
      <c r="E76" s="2861">
        <f t="shared" ref="E76:E77" si="876">SUM(F76:G76)</f>
        <v>10285.300159999997</v>
      </c>
      <c r="F76" s="2970">
        <f>SUM(F48+F49+F50+F51+F52+F53+F54+F56+F61+F67+F74+F75)</f>
        <v>10284.000729999998</v>
      </c>
      <c r="G76" s="4232">
        <f t="shared" ref="G76:J76" si="877">SUM(G48+G49+G50+G51+G52+G53+G54+G56+G61+G67+G74+G75)</f>
        <v>1.2994300000000001</v>
      </c>
      <c r="H76" s="2960">
        <f t="shared" si="877"/>
        <v>12741.184999999999</v>
      </c>
      <c r="I76" s="2960">
        <f t="shared" si="877"/>
        <v>12739.355999999998</v>
      </c>
      <c r="J76" s="2960">
        <f t="shared" si="877"/>
        <v>1.8290000000000002</v>
      </c>
      <c r="K76" s="2959">
        <f t="shared" si="748"/>
        <v>12178.178973758539</v>
      </c>
      <c r="L76" s="2959">
        <f t="shared" ref="L76:M76" si="878">SUM(L48+L49+L50+L51+L52+L53+L54+L56+L61+L67+L74+L75)</f>
        <v>12175.771419306082</v>
      </c>
      <c r="M76" s="2959">
        <f t="shared" si="878"/>
        <v>2.4075544524562202</v>
      </c>
      <c r="N76" s="2861">
        <f t="shared" si="751"/>
        <v>10148.344949999999</v>
      </c>
      <c r="O76" s="2970">
        <f t="shared" ref="O76:S76" si="879">SUM(O48+O49+O50+O51+O52+O53+O54+O56+O61+O67+O74+O75)</f>
        <v>10146.746789999999</v>
      </c>
      <c r="P76" s="4232">
        <f t="shared" si="879"/>
        <v>1.5981599999999998</v>
      </c>
      <c r="Q76" s="2960">
        <f t="shared" si="879"/>
        <v>11692.9599</v>
      </c>
      <c r="R76" s="2960">
        <f t="shared" si="879"/>
        <v>11691.67</v>
      </c>
      <c r="S76" s="2960">
        <f t="shared" si="879"/>
        <v>1.2899</v>
      </c>
      <c r="T76" s="2959">
        <f t="shared" si="753"/>
        <v>12178.178973758539</v>
      </c>
      <c r="U76" s="2959">
        <f t="shared" ref="U76:V76" si="880">SUM(U48+U49+U50+U51+U52+U53+U54+U56+U61+U67+U74+U75)</f>
        <v>12175.771419306082</v>
      </c>
      <c r="V76" s="2959">
        <f t="shared" si="880"/>
        <v>2.4075544524562202</v>
      </c>
      <c r="W76" s="2861">
        <f t="shared" si="756"/>
        <v>14182.491450000001</v>
      </c>
      <c r="X76" s="2970">
        <f t="shared" ref="X76:AB76" si="881">SUM(X48+X49+X50+X51+X52+X53+X54+X56+X61+X67+X74+X75)</f>
        <v>14180.630430000001</v>
      </c>
      <c r="Y76" s="4232">
        <f t="shared" si="881"/>
        <v>1.8610199999999997</v>
      </c>
      <c r="Z76" s="2960">
        <f t="shared" si="881"/>
        <v>13683.377400000001</v>
      </c>
      <c r="AA76" s="2960">
        <f t="shared" si="881"/>
        <v>13681.644000000004</v>
      </c>
      <c r="AB76" s="2960">
        <f t="shared" si="881"/>
        <v>1.7334000000000001</v>
      </c>
      <c r="AC76" s="2961">
        <f t="shared" ref="AC76:AC77" si="882">SUM(AD76:AE76)</f>
        <v>36534.53692127562</v>
      </c>
      <c r="AD76" s="2961">
        <f t="shared" ref="AD76:AE76" si="883">SUM(AD48+AD49+AD50+AD51+AD52+AD53+AD54+AD56+AD61+AD67+AD74+AD75)</f>
        <v>36527.314257918253</v>
      </c>
      <c r="AE76" s="2961">
        <f t="shared" si="883"/>
        <v>7.2226633573686616</v>
      </c>
      <c r="AF76" s="2962">
        <f t="shared" ref="AF76:AF77" si="884">SUM(AG76:AH76)</f>
        <v>34616.136559999999</v>
      </c>
      <c r="AG76" s="2963">
        <f t="shared" ref="AG76:AH76" si="885">SUM(AG48+AG49+AG50+AG51+AG52+AG53+AG54+AG56+AG61+AG67+AG74+AG75)</f>
        <v>34611.377950000002</v>
      </c>
      <c r="AH76" s="2963">
        <f t="shared" si="885"/>
        <v>4.7586099999999991</v>
      </c>
      <c r="AI76" s="2962">
        <f t="shared" ref="AI76:AI77" si="886">SUM(AJ76:AK76)</f>
        <v>38117.522299999997</v>
      </c>
      <c r="AJ76" s="2963">
        <f t="shared" ref="AJ76:AK76" si="887">SUM(AJ48+AJ49+AJ50+AJ51+AJ52+AJ53+AJ54+AJ56+AJ61+AJ67+AJ74+AJ75)</f>
        <v>38112.67</v>
      </c>
      <c r="AK76" s="2963">
        <f t="shared" si="887"/>
        <v>4.8523000000000005</v>
      </c>
      <c r="AL76" s="2927">
        <f t="shared" si="838"/>
        <v>-1918.4003612756205</v>
      </c>
      <c r="AM76" s="2927">
        <f t="shared" si="838"/>
        <v>-1915.9363079182513</v>
      </c>
      <c r="AN76" s="2927">
        <f t="shared" si="838"/>
        <v>-2.4640533573686625</v>
      </c>
      <c r="AO76" s="2959">
        <f t="shared" si="759"/>
        <v>12178.178973758539</v>
      </c>
      <c r="AP76" s="2959">
        <f t="shared" ref="AP76:AQ76" si="888">SUM(AP48+AP49+AP50+AP51+AP52+AP53+AP54+AP56+AP61+AP67+AP74+AP75)</f>
        <v>12175.771419306082</v>
      </c>
      <c r="AQ76" s="2959">
        <f t="shared" si="888"/>
        <v>2.4075544524562202</v>
      </c>
      <c r="AR76" s="2959">
        <f t="shared" si="760"/>
        <v>12846.751340000001</v>
      </c>
      <c r="AS76" s="2959">
        <f t="shared" ref="AS76:AW76" si="889">SUM(AS48+AS49+AS50+AS51+AS52+AS53+AS54+AS56+AS61+AS67+AS74+AS75)</f>
        <v>12844.735000000001</v>
      </c>
      <c r="AT76" s="2993">
        <f t="shared" si="889"/>
        <v>2.0163399999999996</v>
      </c>
      <c r="AU76" s="2861">
        <f t="shared" si="889"/>
        <v>10831.941999999999</v>
      </c>
      <c r="AV76" s="2861">
        <f t="shared" si="889"/>
        <v>10829.094999999998</v>
      </c>
      <c r="AW76" s="2861">
        <f t="shared" si="889"/>
        <v>2.847</v>
      </c>
      <c r="AX76" s="2959">
        <f t="shared" si="762"/>
        <v>12178.178973758539</v>
      </c>
      <c r="AY76" s="2959">
        <f t="shared" ref="AY76:AZ76" si="890">SUM(AY48+AY49+AY50+AY51+AY52+AY53+AY54+AY56+AY61+AY67+AY74+AY75)</f>
        <v>12175.771419306082</v>
      </c>
      <c r="AZ76" s="2959">
        <f t="shared" si="890"/>
        <v>2.4075544524562202</v>
      </c>
      <c r="BA76" s="2959">
        <f t="shared" si="765"/>
        <v>13323.357760000001</v>
      </c>
      <c r="BB76" s="2959">
        <f t="shared" ref="BB76:BF76" si="891">SUM(BB48+BB49+BB50+BB51+BB52+BB53+BB54+BB56+BB61+BB67+BB74+BB75)</f>
        <v>13321.729000000001</v>
      </c>
      <c r="BC76" s="2993">
        <f t="shared" si="891"/>
        <v>1.62876</v>
      </c>
      <c r="BD76" s="2960">
        <f t="shared" si="891"/>
        <v>12476.673999999999</v>
      </c>
      <c r="BE76" s="2960">
        <f t="shared" si="891"/>
        <v>12475.640000000001</v>
      </c>
      <c r="BF76" s="2970">
        <f t="shared" si="891"/>
        <v>1.0339999999999998</v>
      </c>
      <c r="BG76" s="2959">
        <f t="shared" si="767"/>
        <v>12178.178973758539</v>
      </c>
      <c r="BH76" s="2959">
        <f t="shared" ref="BH76:BI76" si="892">SUM(BH48+BH49+BH50+BH51+BH52+BH53+BH54+BH56+BH61+BH67+BH74+BH75)</f>
        <v>12175.771419306082</v>
      </c>
      <c r="BI76" s="2959">
        <f t="shared" si="892"/>
        <v>2.4075544524562202</v>
      </c>
      <c r="BJ76" s="2861">
        <f t="shared" si="770"/>
        <v>11143.182200000001</v>
      </c>
      <c r="BK76" s="2970">
        <f t="shared" ref="BK76:BO76" si="893">SUM(BK48+BK49+BK50+BK51+BK52+BK53+BK54+BK56+BK61+BK67+BK74+BK75)</f>
        <v>11142.066000000001</v>
      </c>
      <c r="BL76" s="4232">
        <f t="shared" si="893"/>
        <v>1.1161999999999999</v>
      </c>
      <c r="BM76" s="2960">
        <f t="shared" si="893"/>
        <v>11069.5275</v>
      </c>
      <c r="BN76" s="2960">
        <f t="shared" si="893"/>
        <v>11067.793000000001</v>
      </c>
      <c r="BO76" s="2960">
        <f t="shared" si="893"/>
        <v>1.7345000000000002</v>
      </c>
      <c r="BP76" s="2961">
        <f t="shared" ref="BP76:BP77" si="894">SUM(BQ76:BR76)</f>
        <v>36534.53692127562</v>
      </c>
      <c r="BQ76" s="2961">
        <f t="shared" ref="BQ76:BR76" si="895">SUM(BQ48+BQ49+BQ50+BQ51+BQ52+BQ53+BQ54+BQ56+BQ61+BQ67+BQ74+BQ75)</f>
        <v>36527.314257918253</v>
      </c>
      <c r="BR76" s="2961">
        <f t="shared" si="895"/>
        <v>7.2226633573686616</v>
      </c>
      <c r="BS76" s="2962">
        <f t="shared" ref="BS76:BS77" si="896">SUM(BT76:BU76)</f>
        <v>37313.291299999997</v>
      </c>
      <c r="BT76" s="2963">
        <f t="shared" ref="BT76:BU76" si="897">SUM(BT48+BT49+BT50+BT51+BT52+BT53+BT54+BT56+BT61+BT67+BT74+BT75)</f>
        <v>37308.53</v>
      </c>
      <c r="BU76" s="2963">
        <f t="shared" si="897"/>
        <v>4.7613000000000003</v>
      </c>
      <c r="BV76" s="2962">
        <f t="shared" ref="BV76:BV77" si="898">SUM(BW76:BX76)</f>
        <v>34378.143499999998</v>
      </c>
      <c r="BW76" s="2963">
        <f t="shared" ref="BW76:BX76" si="899">SUM(BW48+BW49+BW50+BW51+BW52+BW53+BW54+BW56+BW61+BW67+BW74+BW75)</f>
        <v>34372.527999999998</v>
      </c>
      <c r="BX76" s="2963">
        <f t="shared" si="899"/>
        <v>5.6154999999999999</v>
      </c>
      <c r="BY76" s="2964">
        <f t="shared" si="673"/>
        <v>778.7543787243776</v>
      </c>
      <c r="BZ76" s="2964">
        <f t="shared" si="673"/>
        <v>781.2157420817457</v>
      </c>
      <c r="CA76" s="2964">
        <f t="shared" si="673"/>
        <v>-2.4613633573686613</v>
      </c>
      <c r="CB76" s="2961">
        <f t="shared" ref="CB76:CB77" si="900">SUM(CC76:CD76)</f>
        <v>73069.073842551239</v>
      </c>
      <c r="CC76" s="2961">
        <f t="shared" ref="CC76:CD76" si="901">SUM(CC48+CC49+CC50+CC51+CC52+CC53+CC54+CC56+CC61+CC67+CC74+CC75)</f>
        <v>73054.628515836506</v>
      </c>
      <c r="CD76" s="2961">
        <f t="shared" si="901"/>
        <v>14.445326714737323</v>
      </c>
      <c r="CE76" s="2962">
        <f t="shared" ref="CE76:CE77" si="902">SUM(CF76:CG76)</f>
        <v>71929.427860000011</v>
      </c>
      <c r="CF76" s="2963">
        <f t="shared" ref="CF76:CG76" si="903">SUM(CF48+CF49+CF50+CF51+CF52+CF53+CF54+CF56+CF61+CF67+CF74+CF75)</f>
        <v>71919.907950000008</v>
      </c>
      <c r="CG76" s="2963">
        <f t="shared" si="903"/>
        <v>9.5199099999999994</v>
      </c>
      <c r="CH76" s="2962">
        <f t="shared" ref="CH76:CH77" si="904">SUM(CI76:CJ76)</f>
        <v>72495.665800000002</v>
      </c>
      <c r="CI76" s="2963">
        <f t="shared" ref="CI76:CJ76" si="905">SUM(CI48+CI49+CI50+CI51+CI52+CI53+CI54+CI56+CI61+CI67+CI74+CI75)</f>
        <v>72485.198000000004</v>
      </c>
      <c r="CJ76" s="2963">
        <f t="shared" si="905"/>
        <v>10.4678</v>
      </c>
      <c r="CK76" s="2964">
        <f t="shared" si="675"/>
        <v>-1139.6459825512284</v>
      </c>
      <c r="CL76" s="2964">
        <f t="shared" si="675"/>
        <v>-1134.7205658364983</v>
      </c>
      <c r="CM76" s="2964">
        <f t="shared" si="675"/>
        <v>-4.9254167147373238</v>
      </c>
      <c r="CN76" s="2959">
        <f t="shared" si="774"/>
        <v>12217.49145935773</v>
      </c>
      <c r="CO76" s="2959">
        <f t="shared" ref="CO76:CP76" si="906">SUM(CO48+CO49+CO50+CO51+CO52+CO53+CO54+CO56+CO61+CO67+CO74+CO75)</f>
        <v>12215.076857444768</v>
      </c>
      <c r="CP76" s="2959">
        <f t="shared" si="906"/>
        <v>2.4146019129618788</v>
      </c>
      <c r="CQ76" s="2861">
        <f t="shared" si="775"/>
        <v>12667.22249</v>
      </c>
      <c r="CR76" s="2970">
        <f t="shared" ref="CR76:CV76" si="907">SUM(CR48+CR49+CR50+CR51+CR52+CR53+CR54+CR56+CR61+CR67+CR74+CR75)</f>
        <v>12666.143</v>
      </c>
      <c r="CS76" s="4232">
        <f t="shared" si="907"/>
        <v>1.0794900000000001</v>
      </c>
      <c r="CT76" s="2960">
        <f t="shared" si="907"/>
        <v>11321.331165000001</v>
      </c>
      <c r="CU76" s="2960">
        <f t="shared" si="907"/>
        <v>11319.39</v>
      </c>
      <c r="CV76" s="2960">
        <f t="shared" si="907"/>
        <v>1.9411649999999998</v>
      </c>
      <c r="CW76" s="2959">
        <f t="shared" si="777"/>
        <v>12217.49145935773</v>
      </c>
      <c r="CX76" s="2959">
        <f t="shared" ref="CX76:CY76" si="908">SUM(CX48+CX49+CX50+CX51+CX52+CX53+CX54+CX56+CX61+CX67+CX74+CX75)</f>
        <v>12215.076857444768</v>
      </c>
      <c r="CY76" s="2959">
        <f t="shared" si="908"/>
        <v>2.4146019129618788</v>
      </c>
      <c r="CZ76" s="2861">
        <f t="shared" ref="CZ76:CZ77" si="909">SUM(DA76:DB76)</f>
        <v>9711.4398000000001</v>
      </c>
      <c r="DA76" s="2970">
        <f t="shared" ref="DA76:DE76" si="910">SUM(DA48+DA49+DA50+DA51+DA52+DA53+DA54+DA56+DA61+DA67+DA74+DA75)</f>
        <v>9709.5679999999993</v>
      </c>
      <c r="DB76" s="4232">
        <f t="shared" si="910"/>
        <v>1.8718000000000001</v>
      </c>
      <c r="DC76" s="2960">
        <f t="shared" si="910"/>
        <v>9429.8306080000002</v>
      </c>
      <c r="DD76" s="2960">
        <f t="shared" si="910"/>
        <v>9428.128999999999</v>
      </c>
      <c r="DE76" s="2960">
        <f t="shared" si="910"/>
        <v>1.701608</v>
      </c>
      <c r="DF76" s="2959">
        <f t="shared" si="782"/>
        <v>12217.49145935773</v>
      </c>
      <c r="DG76" s="2959">
        <f t="shared" ref="DG76:DH76" si="911">SUM(DG48+DG49+DG50+DG51+DG52+DG53+DG54+DG56+DG61+DG67+DG74+DG75)</f>
        <v>12215.076857444768</v>
      </c>
      <c r="DH76" s="2959">
        <f t="shared" si="911"/>
        <v>2.4146019129618788</v>
      </c>
      <c r="DI76" s="2861">
        <f t="shared" si="785"/>
        <v>13676.95039</v>
      </c>
      <c r="DJ76" s="2970">
        <f t="shared" ref="DJ76:DN76" si="912">SUM(DJ48+DJ49+DJ50+DJ51+DJ52+DJ53+DJ54+DJ56+DJ61+DJ67+DJ74+DJ75)</f>
        <v>13674.306619999999</v>
      </c>
      <c r="DK76" s="4232">
        <f t="shared" si="912"/>
        <v>2.64377</v>
      </c>
      <c r="DL76" s="2960">
        <f t="shared" si="912"/>
        <v>11743.264000000001</v>
      </c>
      <c r="DM76" s="2960">
        <f t="shared" si="912"/>
        <v>11739.905000000001</v>
      </c>
      <c r="DN76" s="2960">
        <f t="shared" si="912"/>
        <v>3.3589999999999995</v>
      </c>
      <c r="DO76" s="2961">
        <f t="shared" ref="DO76:DO77" si="913">SUM(DP76:DQ76)</f>
        <v>36652.474378073195</v>
      </c>
      <c r="DP76" s="2961">
        <f t="shared" ref="DP76:DQ76" si="914">SUM(DP48+DP49+DP50+DP51+DP52+DP53+DP54+DP56+DP61+DP67+DP74+DP75)</f>
        <v>36645.230572334309</v>
      </c>
      <c r="DQ76" s="2961">
        <f t="shared" si="914"/>
        <v>7.2438057388856372</v>
      </c>
      <c r="DR76" s="2962">
        <f t="shared" ref="DR76:DR77" si="915">SUM(DS76:DT76)</f>
        <v>36055.612679999998</v>
      </c>
      <c r="DS76" s="2963">
        <f t="shared" ref="DS76:DT76" si="916">SUM(DS48+DS49+DS50+DS51+DS52+DS53+DS54+DS56+DS61+DS67+DS74+DS75)</f>
        <v>36050.017619999999</v>
      </c>
      <c r="DT76" s="2963">
        <f t="shared" si="916"/>
        <v>5.5950600000000001</v>
      </c>
      <c r="DU76" s="2962">
        <f t="shared" ref="DU76:DU77" si="917">SUM(DV76:DW76)</f>
        <v>32494.425772999999</v>
      </c>
      <c r="DV76" s="2963">
        <f t="shared" ref="DV76:DW76" si="918">SUM(DV48+DV49+DV50+DV51+DV52+DV53+DV54+DV56+DV61+DV67+DV74+DV75)</f>
        <v>32487.423999999999</v>
      </c>
      <c r="DW76" s="2963">
        <f t="shared" si="918"/>
        <v>7.001773</v>
      </c>
      <c r="DX76" s="2964">
        <f t="shared" si="677"/>
        <v>-596.86169807319675</v>
      </c>
      <c r="DY76" s="2964">
        <f t="shared" si="677"/>
        <v>-595.2129523343101</v>
      </c>
      <c r="DZ76" s="2964">
        <f t="shared" si="677"/>
        <v>-1.648745738885637</v>
      </c>
      <c r="EA76" s="2961">
        <f>SUM(EA48+EA49+EA50+EA51+EA52+EA53+EA54+EA56+EA61+EA67+EA74+EA75)</f>
        <v>109721.54822062443</v>
      </c>
      <c r="EB76" s="2961">
        <f t="shared" ref="EB76:EC76" si="919">SUM(EB48+EB49+EB50+EB51+EB52+EB53+EB54+EB56+EB61+EB67+EB74+EB75)</f>
        <v>109699.85908817081</v>
      </c>
      <c r="EC76" s="2961">
        <f t="shared" si="919"/>
        <v>21.689132453622957</v>
      </c>
      <c r="ED76" s="2963">
        <f>SUM(ED48+ED49+ED50+ED51+ED52+ED53+ED54+ED56+ED61+ED67+ED74+ED75)</f>
        <v>107985.04053999999</v>
      </c>
      <c r="EE76" s="2963">
        <f t="shared" ref="EE76:EF76" si="920">SUM(EE48+EE49+EE50+EE51+EE52+EE53+EE54+EE56+EE61+EE67+EE74+EE75)</f>
        <v>107969.92556999999</v>
      </c>
      <c r="EF76" s="2963">
        <f t="shared" si="920"/>
        <v>15.11497</v>
      </c>
      <c r="EG76" s="2963">
        <f>SUM(EG48+EG49+EG50+EG51+EG52+EG53+EG54+EG56+EG61+EG67+EG74+EG75)</f>
        <v>104990.09157300001</v>
      </c>
      <c r="EH76" s="2963">
        <f t="shared" ref="EH76:EI76" si="921">SUM(EH48+EH49+EH50+EH51+EH52+EH53+EH54+EH56+EH61+EH67+EH74+EH75)</f>
        <v>104972.62199999999</v>
      </c>
      <c r="EI76" s="2963">
        <f t="shared" si="921"/>
        <v>17.469573</v>
      </c>
      <c r="EJ76" s="2964">
        <f t="shared" si="679"/>
        <v>-1736.5076806244469</v>
      </c>
      <c r="EK76" s="2964">
        <f t="shared" si="679"/>
        <v>-1729.9335181708157</v>
      </c>
      <c r="EL76" s="2964">
        <f t="shared" si="679"/>
        <v>-6.5741624536229573</v>
      </c>
      <c r="EM76" s="2959">
        <f t="shared" ref="EM76:EM77" si="922">SUM(EN76:EO76)</f>
        <v>12217.49145935773</v>
      </c>
      <c r="EN76" s="2959">
        <f t="shared" ref="EN76:EO76" si="923">SUM(EN48+EN49+EN50+EN51+EN52+EN53+EN54+EN56+EN61+EN67+EN74+EN75)</f>
        <v>12215.076857444768</v>
      </c>
      <c r="EO76" s="2959">
        <f t="shared" si="923"/>
        <v>2.4146019129618788</v>
      </c>
      <c r="EP76" s="2861">
        <f t="shared" ref="EP76:EP77" si="924">SUM(EQ76:ER76)</f>
        <v>10698.502369999998</v>
      </c>
      <c r="EQ76" s="2970">
        <f t="shared" ref="EQ76:EU76" si="925">SUM(EQ48+EQ49+EQ50+EQ51+EQ52+EQ53+EQ54+EQ56+EQ61+EQ67+EQ74+EQ75)</f>
        <v>10697.340999999999</v>
      </c>
      <c r="ER76" s="2993">
        <f t="shared" si="925"/>
        <v>1.16137</v>
      </c>
      <c r="ES76" s="2960">
        <f t="shared" si="925"/>
        <v>9942.965916000001</v>
      </c>
      <c r="ET76" s="2960">
        <f t="shared" si="925"/>
        <v>9941.9290000000001</v>
      </c>
      <c r="EU76" s="2960">
        <f t="shared" si="925"/>
        <v>1.0369159999999999</v>
      </c>
      <c r="EV76" s="2959">
        <f t="shared" ref="EV76:EV77" si="926">SUM(EW76:EX76)</f>
        <v>12217.49145935773</v>
      </c>
      <c r="EW76" s="2959">
        <f t="shared" ref="EW76:EX76" si="927">SUM(EW48+EW49+EW50+EW51+EW52+EW53+EW54+EW56+EW61+EW67+EW74+EW75)</f>
        <v>12215.076857444768</v>
      </c>
      <c r="EX76" s="2959">
        <f t="shared" si="927"/>
        <v>2.4146019129618788</v>
      </c>
      <c r="EY76" s="2861">
        <f t="shared" ref="EY76:EY77" si="928">SUM(EZ76:FA76)</f>
        <v>12223.703600000001</v>
      </c>
      <c r="EZ76" s="2970">
        <f t="shared" ref="EZ76:FD76" si="929">SUM(EZ48+EZ49+EZ50+EZ51+EZ52+EZ53+EZ54+EZ56+EZ61+EZ67+EZ74+EZ75)</f>
        <v>12221.9084</v>
      </c>
      <c r="FA76" s="4232">
        <f t="shared" si="929"/>
        <v>1.7952000000000001</v>
      </c>
      <c r="FB76" s="2960">
        <f t="shared" si="929"/>
        <v>11684.721574999998</v>
      </c>
      <c r="FC76" s="2960">
        <f t="shared" si="929"/>
        <v>11683.028</v>
      </c>
      <c r="FD76" s="2960">
        <f t="shared" si="929"/>
        <v>1.6935750000000001</v>
      </c>
      <c r="FE76" s="2959">
        <f t="shared" ref="FE76:FE77" si="930">SUM(FF76:FG76)</f>
        <v>12217.49145935773</v>
      </c>
      <c r="FF76" s="2959">
        <f t="shared" ref="FF76:FG76" si="931">SUM(FF48+FF49+FF50+FF51+FF52+FF53+FF54+FF56+FF61+FF67+FF74+FF75)</f>
        <v>12215.076857444768</v>
      </c>
      <c r="FG76" s="2959">
        <f t="shared" si="931"/>
        <v>2.4146019129618788</v>
      </c>
      <c r="FH76" s="2861">
        <f t="shared" ref="FH76:FH77" si="932">SUM(FI76:FJ76)</f>
        <v>13542.931990000003</v>
      </c>
      <c r="FI76" s="2970">
        <f t="shared" ref="FI76:FM76" si="933">SUM(FI48+FI49+FI50+FI51+FI52+FI53+FI54+FI56+FI61+FI67+FI74+FI75)</f>
        <v>13541.177040000002</v>
      </c>
      <c r="FJ76" s="4232">
        <f t="shared" si="933"/>
        <v>1.75495</v>
      </c>
      <c r="FK76" s="2960">
        <f t="shared" si="933"/>
        <v>11166.46531</v>
      </c>
      <c r="FL76" s="2960">
        <f t="shared" si="933"/>
        <v>11166.10151</v>
      </c>
      <c r="FM76" s="2960">
        <f t="shared" si="933"/>
        <v>0.36380000000000001</v>
      </c>
      <c r="FN76" s="2961">
        <f t="shared" ref="FN76:FN77" si="934">SUM(FO76:FP76)</f>
        <v>36652.474378073195</v>
      </c>
      <c r="FO76" s="2961">
        <f t="shared" ref="FO76:FP76" si="935">SUM(FO48+FO49+FO50+FO51+FO52+FO53+FO54+FO56+FO61+FO67+FO74+FO75)</f>
        <v>36645.230572334309</v>
      </c>
      <c r="FP76" s="2961">
        <f t="shared" si="935"/>
        <v>7.2438057388856372</v>
      </c>
      <c r="FQ76" s="2962">
        <f t="shared" ref="FQ76:FQ77" si="936">SUM(FR76:FS76)</f>
        <v>36465.13796</v>
      </c>
      <c r="FR76" s="2963">
        <f t="shared" ref="FR76:FS76" si="937">SUM(FR48+FR49+FR50+FR51+FR52+FR53+FR54+FR56+FR61+FR67+FR74+FR75)</f>
        <v>36460.426440000003</v>
      </c>
      <c r="FS76" s="2963">
        <f t="shared" si="937"/>
        <v>4.7115200000000002</v>
      </c>
      <c r="FT76" s="2962">
        <f t="shared" ref="FT76:FT77" si="938">SUM(FU76:FV76)</f>
        <v>32794.152801000004</v>
      </c>
      <c r="FU76" s="2963">
        <f t="shared" ref="FU76:FV76" si="939">SUM(FU48+FU49+FU50+FU51+FU52+FU53+FU54+FU56+FU61+FU67+FU74+FU75)</f>
        <v>32791.058510000003</v>
      </c>
      <c r="FV76" s="2963">
        <f t="shared" si="939"/>
        <v>3.0942910000000001</v>
      </c>
      <c r="FW76" s="2938">
        <f t="shared" si="681"/>
        <v>-187.33641807319509</v>
      </c>
      <c r="FX76" s="2938">
        <f t="shared" si="681"/>
        <v>-184.8041323343059</v>
      </c>
      <c r="FY76" s="2938">
        <f t="shared" si="681"/>
        <v>-2.532285738885637</v>
      </c>
      <c r="FZ76" s="2961">
        <f t="shared" ref="FZ76:FZ77" si="940">SUM(GA76:GB76)</f>
        <v>146374.02259869763</v>
      </c>
      <c r="GA76" s="2961">
        <f t="shared" ref="GA76:GB76" si="941">SUM(GA48+GA49+GA50+GA51+GA52+GA53+GA54+GA56+GA61+GA67+GA74+GA75)</f>
        <v>146345.08966050512</v>
      </c>
      <c r="GB76" s="2961">
        <f t="shared" si="941"/>
        <v>28.932938192508594</v>
      </c>
      <c r="GC76" s="2961">
        <f t="shared" ref="GC76:GC77" si="942">SUM(GD76:GE76)</f>
        <v>144450.17849999998</v>
      </c>
      <c r="GD76" s="2961">
        <f t="shared" ref="GD76:GE76" si="943">SUM(GD48+GD49+GD50+GD51+GD52+GD53+GD54+GD56+GD61+GD67+GD74+GD75)</f>
        <v>144430.35200999997</v>
      </c>
      <c r="GE76" s="2961">
        <f t="shared" si="943"/>
        <v>19.82649</v>
      </c>
      <c r="GF76" s="2962">
        <f t="shared" ref="GF76:GF77" si="944">SUM(GG76:GH76)</f>
        <v>137784.244374</v>
      </c>
      <c r="GG76" s="2963">
        <f t="shared" ref="GG76:GH76" si="945">SUM(GG48+GG49+GG50+GG51+GG52+GG53+GG54+GG56+GG61+GG67+GG74+GG75)</f>
        <v>137763.68051000001</v>
      </c>
      <c r="GH76" s="2963">
        <f t="shared" si="945"/>
        <v>20.563864000000002</v>
      </c>
      <c r="GI76" s="2938">
        <f t="shared" si="683"/>
        <v>-1923.8440986976493</v>
      </c>
      <c r="GJ76" s="2938">
        <f t="shared" si="683"/>
        <v>-1914.7376505051507</v>
      </c>
      <c r="GK76" s="2938">
        <f t="shared" si="683"/>
        <v>-9.1064481925085943</v>
      </c>
      <c r="GL76" s="389"/>
      <c r="GM76" s="4191">
        <f t="shared" si="684"/>
        <v>146374.0225986976</v>
      </c>
    </row>
    <row r="77" spans="1:195" ht="18.75" x14ac:dyDescent="0.3">
      <c r="A77" s="2958" t="s">
        <v>13</v>
      </c>
      <c r="B77" s="2959">
        <f t="shared" si="745"/>
        <v>292.20331666666669</v>
      </c>
      <c r="C77" s="2959">
        <f t="shared" ref="C77:EG77" si="946">SUM(C14)</f>
        <v>292.05583333333334</v>
      </c>
      <c r="D77" s="2959">
        <f t="shared" si="946"/>
        <v>0.14748333333333333</v>
      </c>
      <c r="E77" s="2861">
        <f t="shared" si="876"/>
        <v>303.92900000000003</v>
      </c>
      <c r="F77" s="2960">
        <f t="shared" ref="F77:G77" si="947">SUM(F14)</f>
        <v>303.87900000000002</v>
      </c>
      <c r="G77" s="2960">
        <f t="shared" si="947"/>
        <v>0.05</v>
      </c>
      <c r="H77" s="2861">
        <f t="shared" ref="H77" si="948">SUM(I77:J77)</f>
        <v>304.45100000000002</v>
      </c>
      <c r="I77" s="2960">
        <f t="shared" ref="I77:J77" si="949">SUM(I14)</f>
        <v>304.363</v>
      </c>
      <c r="J77" s="2960">
        <f t="shared" si="949"/>
        <v>8.7999999999999995E-2</v>
      </c>
      <c r="K77" s="2959">
        <f t="shared" si="748"/>
        <v>292.20331666666669</v>
      </c>
      <c r="L77" s="2959">
        <f t="shared" ref="L77:M77" si="950">SUM(L14)</f>
        <v>292.05583333333334</v>
      </c>
      <c r="M77" s="2959">
        <f t="shared" si="950"/>
        <v>0.14748333333333333</v>
      </c>
      <c r="N77" s="2861">
        <f t="shared" si="751"/>
        <v>307.42900000000003</v>
      </c>
      <c r="O77" s="2960">
        <f t="shared" ref="O77:P77" si="951">SUM(O14)</f>
        <v>307.41300000000001</v>
      </c>
      <c r="P77" s="2960">
        <f t="shared" si="951"/>
        <v>1.6E-2</v>
      </c>
      <c r="Q77" s="2861">
        <f t="shared" ref="Q77" si="952">SUM(R77:S77)</f>
        <v>306.96600000000001</v>
      </c>
      <c r="R77" s="2960">
        <f t="shared" ref="R77:S77" si="953">SUM(R14)</f>
        <v>306.88400000000001</v>
      </c>
      <c r="S77" s="2960">
        <f t="shared" si="953"/>
        <v>8.2000000000000003E-2</v>
      </c>
      <c r="T77" s="2959">
        <f t="shared" si="753"/>
        <v>292.20331666666669</v>
      </c>
      <c r="U77" s="2959">
        <f t="shared" ref="U77:V77" si="954">SUM(U14)</f>
        <v>292.05583333333334</v>
      </c>
      <c r="V77" s="2959">
        <f t="shared" si="954"/>
        <v>0.14748333333333333</v>
      </c>
      <c r="W77" s="2861">
        <f t="shared" si="756"/>
        <v>295.52799999999996</v>
      </c>
      <c r="X77" s="2960">
        <f t="shared" ref="X77:Y77" si="955">SUM(X14)</f>
        <v>295.50599999999997</v>
      </c>
      <c r="Y77" s="2960">
        <f t="shared" si="955"/>
        <v>2.1999999999999999E-2</v>
      </c>
      <c r="Z77" s="2861">
        <f t="shared" ref="Z77" si="956">SUM(AA77:AB77)</f>
        <v>291.43099999999998</v>
      </c>
      <c r="AA77" s="2960">
        <f t="shared" ref="AA77:AB77" si="957">SUM(AA14)</f>
        <v>291.351</v>
      </c>
      <c r="AB77" s="2960">
        <f t="shared" si="957"/>
        <v>0.08</v>
      </c>
      <c r="AC77" s="2961">
        <f t="shared" si="882"/>
        <v>876.60995000000003</v>
      </c>
      <c r="AD77" s="2961">
        <f t="shared" ref="AD77:AE77" si="958">SUM(AD14)</f>
        <v>876.16750000000002</v>
      </c>
      <c r="AE77" s="2961">
        <f t="shared" si="958"/>
        <v>0.44245000000000001</v>
      </c>
      <c r="AF77" s="2962">
        <f t="shared" si="884"/>
        <v>906.88599999999997</v>
      </c>
      <c r="AG77" s="2963">
        <f t="shared" ref="AG77:AH77" si="959">SUM(AG14)</f>
        <v>906.798</v>
      </c>
      <c r="AH77" s="2963">
        <f t="shared" si="959"/>
        <v>8.7999999999999995E-2</v>
      </c>
      <c r="AI77" s="2962">
        <f t="shared" si="886"/>
        <v>902.84799999999996</v>
      </c>
      <c r="AJ77" s="2963">
        <f t="shared" ref="AJ77:AK77" si="960">SUM(AJ14)</f>
        <v>902.59799999999996</v>
      </c>
      <c r="AK77" s="2963">
        <f t="shared" si="960"/>
        <v>0.25</v>
      </c>
      <c r="AL77" s="2927">
        <f t="shared" si="838"/>
        <v>30.276049999999941</v>
      </c>
      <c r="AM77" s="2927">
        <f t="shared" si="838"/>
        <v>30.630499999999984</v>
      </c>
      <c r="AN77" s="2927">
        <f t="shared" si="838"/>
        <v>-0.35445000000000004</v>
      </c>
      <c r="AO77" s="2959">
        <f t="shared" si="759"/>
        <v>292.20331666666669</v>
      </c>
      <c r="AP77" s="2959">
        <f t="shared" ref="AP77:AQ77" si="961">SUM(AP14)</f>
        <v>292.05583333333334</v>
      </c>
      <c r="AQ77" s="2959">
        <f t="shared" si="961"/>
        <v>0.14748333333333333</v>
      </c>
      <c r="AR77" s="2959">
        <f t="shared" si="760"/>
        <v>310.28199999999998</v>
      </c>
      <c r="AS77" s="2959">
        <f t="shared" ref="AS77:AT77" si="962">SUM(AS14)</f>
        <v>310.12799999999999</v>
      </c>
      <c r="AT77" s="2959">
        <f t="shared" si="962"/>
        <v>0.154</v>
      </c>
      <c r="AU77" s="2861">
        <f t="shared" ref="AU77" si="963">SUM(AV77:AW77)</f>
        <v>294.60999999999996</v>
      </c>
      <c r="AV77" s="2861">
        <f t="shared" ref="AV77:AW77" si="964">SUM(AV14)</f>
        <v>294.51099999999997</v>
      </c>
      <c r="AW77" s="2861">
        <f t="shared" si="964"/>
        <v>9.9000000000000005E-2</v>
      </c>
      <c r="AX77" s="2959">
        <f t="shared" si="762"/>
        <v>292.20331666666669</v>
      </c>
      <c r="AY77" s="2959">
        <f t="shared" ref="AY77:AZ77" si="965">SUM(AY14)</f>
        <v>292.05583333333334</v>
      </c>
      <c r="AZ77" s="2959">
        <f t="shared" si="965"/>
        <v>0.14748333333333333</v>
      </c>
      <c r="BA77" s="2861">
        <f t="shared" si="765"/>
        <v>296.14935100000002</v>
      </c>
      <c r="BB77" s="2960">
        <f t="shared" ref="BB77:BC77" si="966">SUM(BB14)</f>
        <v>296.08235100000002</v>
      </c>
      <c r="BC77" s="2960">
        <f t="shared" si="966"/>
        <v>6.7000000000000004E-2</v>
      </c>
      <c r="BD77" s="2861">
        <f t="shared" ref="BD77" si="967">SUM(BE77:BF77)</f>
        <v>284.07600000000002</v>
      </c>
      <c r="BE77" s="2960">
        <f t="shared" ref="BE77:BF77" si="968">SUM(BE14)</f>
        <v>283.976</v>
      </c>
      <c r="BF77" s="2960">
        <f t="shared" si="968"/>
        <v>0.1</v>
      </c>
      <c r="BG77" s="2959">
        <f t="shared" si="767"/>
        <v>292.20331666666669</v>
      </c>
      <c r="BH77" s="2959">
        <f t="shared" ref="BH77:BI77" si="969">SUM(BH14)</f>
        <v>292.05583333333334</v>
      </c>
      <c r="BI77" s="2959">
        <f t="shared" si="969"/>
        <v>0.14748333333333333</v>
      </c>
      <c r="BJ77" s="2861">
        <f t="shared" si="770"/>
        <v>297.09500000000003</v>
      </c>
      <c r="BK77" s="2960">
        <f t="shared" ref="BK77:BL77" si="970">SUM(BK14)</f>
        <v>296.99</v>
      </c>
      <c r="BL77" s="2960">
        <f t="shared" si="970"/>
        <v>0.105</v>
      </c>
      <c r="BM77" s="2861">
        <f t="shared" ref="BM77" si="971">SUM(BN77:BO77)</f>
        <v>287.38800000000003</v>
      </c>
      <c r="BN77" s="2960">
        <f t="shared" ref="BN77:BO77" si="972">SUM(BN14)</f>
        <v>287.29600000000005</v>
      </c>
      <c r="BO77" s="2960">
        <f t="shared" si="972"/>
        <v>9.1999999999999998E-2</v>
      </c>
      <c r="BP77" s="2961">
        <f t="shared" si="894"/>
        <v>876.60995000000003</v>
      </c>
      <c r="BQ77" s="2961">
        <f t="shared" ref="BQ77:BR77" si="973">SUM(BQ14)</f>
        <v>876.16750000000002</v>
      </c>
      <c r="BR77" s="2961">
        <f t="shared" si="973"/>
        <v>0.44245000000000001</v>
      </c>
      <c r="BS77" s="2962">
        <f t="shared" si="896"/>
        <v>903.52635099999998</v>
      </c>
      <c r="BT77" s="2963">
        <f t="shared" ref="BT77:BU77" si="974">SUM(BT14)</f>
        <v>903.20035099999996</v>
      </c>
      <c r="BU77" s="2963">
        <f t="shared" si="974"/>
        <v>0.32600000000000001</v>
      </c>
      <c r="BV77" s="2962">
        <f t="shared" si="898"/>
        <v>866.07400000000007</v>
      </c>
      <c r="BW77" s="2963">
        <f t="shared" ref="BW77:BX77" si="975">SUM(BW14)</f>
        <v>865.78300000000002</v>
      </c>
      <c r="BX77" s="2963">
        <f t="shared" si="975"/>
        <v>0.29100000000000004</v>
      </c>
      <c r="BY77" s="2964">
        <f t="shared" si="673"/>
        <v>26.916400999999951</v>
      </c>
      <c r="BZ77" s="2964">
        <f t="shared" si="673"/>
        <v>27.032850999999937</v>
      </c>
      <c r="CA77" s="2964">
        <f t="shared" si="673"/>
        <v>-0.11645</v>
      </c>
      <c r="CB77" s="2961">
        <f t="shared" si="900"/>
        <v>1753.2199000000001</v>
      </c>
      <c r="CC77" s="2961">
        <f t="shared" ref="CC77:CD77" si="976">SUM(CC14)</f>
        <v>1752.335</v>
      </c>
      <c r="CD77" s="2961">
        <f t="shared" si="976"/>
        <v>0.88490000000000002</v>
      </c>
      <c r="CE77" s="2962">
        <f t="shared" si="902"/>
        <v>1810.4123509999999</v>
      </c>
      <c r="CF77" s="2963">
        <f t="shared" ref="CF77:CG77" si="977">SUM(CF14)</f>
        <v>1809.998351</v>
      </c>
      <c r="CG77" s="2963">
        <f t="shared" si="977"/>
        <v>0.41400000000000003</v>
      </c>
      <c r="CH77" s="2962">
        <f t="shared" si="904"/>
        <v>1768.922</v>
      </c>
      <c r="CI77" s="2963">
        <f t="shared" ref="CI77:CJ77" si="978">SUM(CI14)</f>
        <v>1768.3810000000001</v>
      </c>
      <c r="CJ77" s="2963">
        <f t="shared" si="978"/>
        <v>0.54100000000000004</v>
      </c>
      <c r="CK77" s="2964">
        <f t="shared" si="675"/>
        <v>57.192450999999892</v>
      </c>
      <c r="CL77" s="2964">
        <f t="shared" si="675"/>
        <v>57.663350999999921</v>
      </c>
      <c r="CM77" s="2964">
        <f t="shared" si="675"/>
        <v>-0.47089999999999999</v>
      </c>
      <c r="CN77" s="2959">
        <f t="shared" si="774"/>
        <v>292.20331666666669</v>
      </c>
      <c r="CO77" s="2959">
        <f t="shared" ref="CO77:CP77" si="979">SUM(CO14)</f>
        <v>292.05583333333334</v>
      </c>
      <c r="CP77" s="2959">
        <f t="shared" si="979"/>
        <v>0.14748333333333333</v>
      </c>
      <c r="CQ77" s="2861">
        <f t="shared" si="775"/>
        <v>271.14100000000002</v>
      </c>
      <c r="CR77" s="2960">
        <f t="shared" ref="CR77:CS77" si="980">SUM(CR14)</f>
        <v>271.05700000000002</v>
      </c>
      <c r="CS77" s="2960">
        <f t="shared" si="980"/>
        <v>8.4000000000000005E-2</v>
      </c>
      <c r="CT77" s="2861">
        <f t="shared" ref="CT77" si="981">SUM(CU77:CV77)</f>
        <v>272.3734</v>
      </c>
      <c r="CU77" s="2960">
        <f t="shared" ref="CU77:CV77" si="982">SUM(CU14)</f>
        <v>272.28340000000003</v>
      </c>
      <c r="CV77" s="2960">
        <f t="shared" si="982"/>
        <v>0.09</v>
      </c>
      <c r="CW77" s="2959">
        <f t="shared" si="777"/>
        <v>292.20331666666669</v>
      </c>
      <c r="CX77" s="2959">
        <f t="shared" ref="CX77:CY77" si="983">SUM(CX14)</f>
        <v>292.05583333333334</v>
      </c>
      <c r="CY77" s="2959">
        <f t="shared" si="983"/>
        <v>0.14748333333333333</v>
      </c>
      <c r="CZ77" s="2861">
        <f t="shared" si="909"/>
        <v>285.83499999999998</v>
      </c>
      <c r="DA77" s="2960">
        <f t="shared" ref="DA77:DB77" si="984">SUM(DA14)</f>
        <v>285.76</v>
      </c>
      <c r="DB77" s="2960">
        <f t="shared" si="984"/>
        <v>7.4999999999999997E-2</v>
      </c>
      <c r="DC77" s="2861">
        <f t="shared" ref="DC77" si="985">SUM(DD77:DE77)</f>
        <v>282.2577</v>
      </c>
      <c r="DD77" s="2960">
        <f t="shared" ref="DD77:DE77" si="986">SUM(DD14)</f>
        <v>282.2287</v>
      </c>
      <c r="DE77" s="2960">
        <f t="shared" si="986"/>
        <v>2.9000000000000001E-2</v>
      </c>
      <c r="DF77" s="2959">
        <f t="shared" si="782"/>
        <v>292.20331666666669</v>
      </c>
      <c r="DG77" s="2959">
        <f t="shared" ref="DG77:DH77" si="987">SUM(DG14)</f>
        <v>292.05583333333334</v>
      </c>
      <c r="DH77" s="2959">
        <f t="shared" si="987"/>
        <v>0.14748333333333333</v>
      </c>
      <c r="DI77" s="2861">
        <f t="shared" si="785"/>
        <v>295.35500000000002</v>
      </c>
      <c r="DJ77" s="2960">
        <f t="shared" ref="DJ77:DK77" si="988">SUM(DJ14)</f>
        <v>295.33000000000004</v>
      </c>
      <c r="DK77" s="2960">
        <f t="shared" si="988"/>
        <v>2.5000000000000001E-2</v>
      </c>
      <c r="DL77" s="2861">
        <f t="shared" ref="DL77" si="989">SUM(DM77:DN77)</f>
        <v>309.49285499999996</v>
      </c>
      <c r="DM77" s="2960">
        <f t="shared" ref="DM77:DN77" si="990">SUM(DM14)</f>
        <v>309.42685499999999</v>
      </c>
      <c r="DN77" s="2960">
        <f t="shared" si="990"/>
        <v>6.6000000000000003E-2</v>
      </c>
      <c r="DO77" s="2961">
        <f t="shared" si="913"/>
        <v>876.60995000000003</v>
      </c>
      <c r="DP77" s="2961">
        <f t="shared" ref="DP77:DQ77" si="991">SUM(DP14)</f>
        <v>876.16750000000002</v>
      </c>
      <c r="DQ77" s="2961">
        <f t="shared" si="991"/>
        <v>0.44245000000000001</v>
      </c>
      <c r="DR77" s="2962">
        <f t="shared" si="915"/>
        <v>852.3309999999999</v>
      </c>
      <c r="DS77" s="2963">
        <f t="shared" ref="DS77:DT77" si="992">SUM(DS14)</f>
        <v>852.14699999999993</v>
      </c>
      <c r="DT77" s="2963">
        <f t="shared" si="992"/>
        <v>0.184</v>
      </c>
      <c r="DU77" s="2962">
        <f t="shared" si="917"/>
        <v>864.12395500000002</v>
      </c>
      <c r="DV77" s="2963">
        <f t="shared" ref="DV77:DW77" si="993">SUM(DV14)</f>
        <v>863.93895500000008</v>
      </c>
      <c r="DW77" s="2963">
        <f t="shared" si="993"/>
        <v>0.185</v>
      </c>
      <c r="DX77" s="2964">
        <f t="shared" si="677"/>
        <v>-24.278950000000123</v>
      </c>
      <c r="DY77" s="2964">
        <f t="shared" si="677"/>
        <v>-24.020500000000084</v>
      </c>
      <c r="DZ77" s="2964">
        <f t="shared" si="677"/>
        <v>-0.25845000000000001</v>
      </c>
      <c r="EA77" s="2961">
        <f t="shared" si="946"/>
        <v>2629.8298500000001</v>
      </c>
      <c r="EB77" s="2961">
        <f t="shared" ref="EB77:EC77" si="994">SUM(EB14)</f>
        <v>2628.5025000000001</v>
      </c>
      <c r="EC77" s="2961">
        <f t="shared" si="994"/>
        <v>1.32735</v>
      </c>
      <c r="ED77" s="2963">
        <f t="shared" si="946"/>
        <v>2662.7433510000001</v>
      </c>
      <c r="EE77" s="2963">
        <f t="shared" ref="EE77:EF77" si="995">SUM(EE14)</f>
        <v>2662.1453510000001</v>
      </c>
      <c r="EF77" s="2963">
        <f t="shared" si="995"/>
        <v>0.59800000000000009</v>
      </c>
      <c r="EG77" s="2963">
        <f t="shared" si="946"/>
        <v>2633.045955</v>
      </c>
      <c r="EH77" s="2963">
        <f t="shared" ref="EH77:EI77" si="996">SUM(EH14)</f>
        <v>2632.3199549999999</v>
      </c>
      <c r="EI77" s="2963">
        <f t="shared" si="996"/>
        <v>0.72599999999999998</v>
      </c>
      <c r="EJ77" s="2964">
        <f t="shared" si="679"/>
        <v>32.913500999999997</v>
      </c>
      <c r="EK77" s="2964">
        <f t="shared" si="679"/>
        <v>33.642851000000064</v>
      </c>
      <c r="EL77" s="2964">
        <f t="shared" si="679"/>
        <v>-0.72934999999999994</v>
      </c>
      <c r="EM77" s="2959">
        <f t="shared" si="922"/>
        <v>292.20331666666669</v>
      </c>
      <c r="EN77" s="2959">
        <f t="shared" ref="EN77:EO77" si="997">SUM(EN14)</f>
        <v>292.05583333333334</v>
      </c>
      <c r="EO77" s="2959">
        <f t="shared" si="997"/>
        <v>0.14748333333333333</v>
      </c>
      <c r="EP77" s="2861">
        <f t="shared" si="924"/>
        <v>302.36200000000002</v>
      </c>
      <c r="EQ77" s="2960">
        <f t="shared" ref="EQ77:ER77" si="998">SUM(EQ14)</f>
        <v>302.33500000000004</v>
      </c>
      <c r="ER77" s="2959">
        <f t="shared" si="998"/>
        <v>2.7E-2</v>
      </c>
      <c r="ES77" s="2861">
        <f t="shared" ref="ES77" si="999">SUM(ET77:EU77)</f>
        <v>292.79259100000002</v>
      </c>
      <c r="ET77" s="2960">
        <f t="shared" ref="ET77:EU77" si="1000">SUM(ET14)</f>
        <v>292.735591</v>
      </c>
      <c r="EU77" s="2960">
        <f t="shared" si="1000"/>
        <v>5.7000000000000002E-2</v>
      </c>
      <c r="EV77" s="2959">
        <f t="shared" si="926"/>
        <v>292.20331666666669</v>
      </c>
      <c r="EW77" s="2959">
        <f t="shared" ref="EW77:EX77" si="1001">SUM(EW14)</f>
        <v>292.05583333333334</v>
      </c>
      <c r="EX77" s="2959">
        <f t="shared" si="1001"/>
        <v>0.14748333333333333</v>
      </c>
      <c r="EY77" s="2861">
        <f t="shared" si="928"/>
        <v>294.94000000000005</v>
      </c>
      <c r="EZ77" s="2960">
        <f t="shared" ref="EZ77:FA77" si="1002">SUM(EZ14)</f>
        <v>294.86900000000003</v>
      </c>
      <c r="FA77" s="2960">
        <f t="shared" si="1002"/>
        <v>7.0999999999999994E-2</v>
      </c>
      <c r="FB77" s="2861">
        <f t="shared" ref="FB77" si="1003">SUM(FC77:FD77)</f>
        <v>304.72600000000006</v>
      </c>
      <c r="FC77" s="2960">
        <f t="shared" ref="FC77:FD77" si="1004">SUM(FC14)</f>
        <v>304.68800000000005</v>
      </c>
      <c r="FD77" s="2960">
        <f t="shared" si="1004"/>
        <v>3.7999999999999999E-2</v>
      </c>
      <c r="FE77" s="2959">
        <f t="shared" si="930"/>
        <v>292.20331666666669</v>
      </c>
      <c r="FF77" s="2959">
        <f t="shared" ref="FF77:FG77" si="1005">SUM(FF14)</f>
        <v>292.05583333333334</v>
      </c>
      <c r="FG77" s="2959">
        <f t="shared" si="1005"/>
        <v>0.14748333333333333</v>
      </c>
      <c r="FH77" s="2861">
        <f t="shared" si="932"/>
        <v>303.15300000000002</v>
      </c>
      <c r="FI77" s="2960">
        <f t="shared" ref="FI77:FJ77" si="1006">SUM(FI14)</f>
        <v>303.06700000000001</v>
      </c>
      <c r="FJ77" s="2960">
        <f t="shared" si="1006"/>
        <v>8.5999999999999993E-2</v>
      </c>
      <c r="FK77" s="2861">
        <f t="shared" ref="FK77" si="1007">SUM(FL77:FM77)</f>
        <v>304.80400000000003</v>
      </c>
      <c r="FL77" s="2960">
        <f t="shared" ref="FL77:FM77" si="1008">SUM(FL14)</f>
        <v>304.69300000000004</v>
      </c>
      <c r="FM77" s="2960">
        <f t="shared" si="1008"/>
        <v>0.111</v>
      </c>
      <c r="FN77" s="2961">
        <f t="shared" si="934"/>
        <v>876.60995000000003</v>
      </c>
      <c r="FO77" s="2961">
        <f t="shared" ref="FO77:FP77" si="1009">SUM(FO14)</f>
        <v>876.16750000000002</v>
      </c>
      <c r="FP77" s="2961">
        <f t="shared" si="1009"/>
        <v>0.44245000000000001</v>
      </c>
      <c r="FQ77" s="2962">
        <f t="shared" si="936"/>
        <v>900.45500000000004</v>
      </c>
      <c r="FR77" s="2963">
        <f t="shared" ref="FR77:FS77" si="1010">SUM(FR14)</f>
        <v>900.27100000000007</v>
      </c>
      <c r="FS77" s="2963">
        <f t="shared" si="1010"/>
        <v>0.184</v>
      </c>
      <c r="FT77" s="2962">
        <f t="shared" si="938"/>
        <v>902.32259099999999</v>
      </c>
      <c r="FU77" s="2963">
        <f t="shared" ref="FU77:FV77" si="1011">SUM(FU14)</f>
        <v>902.11659099999997</v>
      </c>
      <c r="FV77" s="2963">
        <f t="shared" si="1011"/>
        <v>0.20600000000000002</v>
      </c>
      <c r="FW77" s="2938">
        <f t="shared" si="681"/>
        <v>23.845050000000015</v>
      </c>
      <c r="FX77" s="2938">
        <f t="shared" si="681"/>
        <v>24.103500000000054</v>
      </c>
      <c r="FY77" s="2938">
        <f t="shared" si="681"/>
        <v>-0.25845000000000001</v>
      </c>
      <c r="FZ77" s="2961">
        <f t="shared" si="940"/>
        <v>3506.4398000000001</v>
      </c>
      <c r="GA77" s="2961">
        <f t="shared" ref="GA77:GB77" si="1012">SUM(GA14)</f>
        <v>3504.67</v>
      </c>
      <c r="GB77" s="2961">
        <f t="shared" si="1012"/>
        <v>1.7698</v>
      </c>
      <c r="GC77" s="2962">
        <f t="shared" si="942"/>
        <v>3563.198351</v>
      </c>
      <c r="GD77" s="2963">
        <f t="shared" ref="GD77:GE77" si="1013">SUM(GD14)</f>
        <v>3562.4163509999998</v>
      </c>
      <c r="GE77" s="2963">
        <f t="shared" si="1013"/>
        <v>0.78200000000000003</v>
      </c>
      <c r="GF77" s="2962">
        <f t="shared" si="944"/>
        <v>3535.3685459999992</v>
      </c>
      <c r="GG77" s="2963">
        <f t="shared" ref="GG77:GH77" si="1014">SUM(GG14)</f>
        <v>3534.4365459999995</v>
      </c>
      <c r="GH77" s="2963">
        <f t="shared" si="1014"/>
        <v>0.93199999999999994</v>
      </c>
      <c r="GI77" s="2938">
        <f t="shared" si="683"/>
        <v>56.758550999999898</v>
      </c>
      <c r="GJ77" s="2938">
        <f t="shared" si="683"/>
        <v>57.746350999999777</v>
      </c>
      <c r="GK77" s="2938">
        <f t="shared" si="683"/>
        <v>-0.98780000000000001</v>
      </c>
      <c r="GL77" s="389"/>
      <c r="GM77" s="4191">
        <f t="shared" si="684"/>
        <v>3506.4397999999997</v>
      </c>
    </row>
    <row r="78" spans="1:195" ht="18.75" x14ac:dyDescent="0.3">
      <c r="A78" s="2965" t="s">
        <v>14</v>
      </c>
      <c r="B78" s="2959">
        <f t="shared" ref="B78:EG78" si="1015">SUM(B76/B77)</f>
        <v>41.67707304859546</v>
      </c>
      <c r="C78" s="2959">
        <f t="shared" si="1015"/>
        <v>41.689875803334687</v>
      </c>
      <c r="D78" s="2959">
        <f t="shared" si="1015"/>
        <v>16.324247615252936</v>
      </c>
      <c r="E78" s="2960">
        <f t="shared" ref="E78:AK78" si="1016">SUM(E76/E77)</f>
        <v>33.841127895001783</v>
      </c>
      <c r="F78" s="2960">
        <f t="shared" si="1016"/>
        <v>33.842419943464328</v>
      </c>
      <c r="G78" s="2960">
        <f t="shared" si="1016"/>
        <v>25.988600000000002</v>
      </c>
      <c r="H78" s="2960">
        <f t="shared" si="1016"/>
        <v>41.849706520917977</v>
      </c>
      <c r="I78" s="2960">
        <f t="shared" si="1016"/>
        <v>41.855797189540112</v>
      </c>
      <c r="J78" s="2960">
        <f t="shared" si="1016"/>
        <v>20.784090909090914</v>
      </c>
      <c r="K78" s="2959">
        <f t="shared" si="1016"/>
        <v>41.67707304859546</v>
      </c>
      <c r="L78" s="2959">
        <f t="shared" si="1016"/>
        <v>41.689875803334687</v>
      </c>
      <c r="M78" s="2959">
        <f t="shared" si="1016"/>
        <v>16.324247615252936</v>
      </c>
      <c r="N78" s="2960">
        <f t="shared" si="1016"/>
        <v>33.010369711380505</v>
      </c>
      <c r="O78" s="2960">
        <f t="shared" si="1016"/>
        <v>33.006889071054246</v>
      </c>
      <c r="P78" s="2960">
        <f t="shared" si="1016"/>
        <v>99.884999999999991</v>
      </c>
      <c r="Q78" s="2960">
        <f t="shared" si="1016"/>
        <v>38.092035925802854</v>
      </c>
      <c r="R78" s="2960">
        <f t="shared" si="1016"/>
        <v>38.098010974830878</v>
      </c>
      <c r="S78" s="2960">
        <f t="shared" si="1016"/>
        <v>15.730487804878049</v>
      </c>
      <c r="T78" s="2959">
        <f t="shared" si="1016"/>
        <v>41.67707304859546</v>
      </c>
      <c r="U78" s="2959">
        <f t="shared" si="1016"/>
        <v>41.689875803334687</v>
      </c>
      <c r="V78" s="2959">
        <f t="shared" si="1016"/>
        <v>16.324247615252936</v>
      </c>
      <c r="W78" s="2960">
        <f t="shared" si="1016"/>
        <v>47.990347615116008</v>
      </c>
      <c r="X78" s="2960">
        <f t="shared" si="1016"/>
        <v>47.987622687864217</v>
      </c>
      <c r="Y78" s="2960">
        <f t="shared" si="1016"/>
        <v>84.591818181818169</v>
      </c>
      <c r="Z78" s="2960">
        <f t="shared" si="1016"/>
        <v>46.952374318449316</v>
      </c>
      <c r="AA78" s="2960">
        <f t="shared" si="1016"/>
        <v>46.959317112349034</v>
      </c>
      <c r="AB78" s="2960">
        <f t="shared" si="1016"/>
        <v>21.6675</v>
      </c>
      <c r="AC78" s="2961">
        <f t="shared" si="1016"/>
        <v>41.677073048595467</v>
      </c>
      <c r="AD78" s="2961">
        <f t="shared" si="1016"/>
        <v>41.689875803334694</v>
      </c>
      <c r="AE78" s="2961">
        <f t="shared" si="1016"/>
        <v>16.324247615252936</v>
      </c>
      <c r="AF78" s="2963">
        <f t="shared" si="1016"/>
        <v>38.170328530818651</v>
      </c>
      <c r="AG78" s="2963">
        <f t="shared" si="1016"/>
        <v>38.16878505466488</v>
      </c>
      <c r="AH78" s="2963">
        <f t="shared" si="1016"/>
        <v>54.075113636363632</v>
      </c>
      <c r="AI78" s="2963">
        <f t="shared" si="1016"/>
        <v>42.219202235592256</v>
      </c>
      <c r="AJ78" s="2963">
        <f t="shared" si="1016"/>
        <v>42.225520109727697</v>
      </c>
      <c r="AK78" s="2963">
        <f t="shared" si="1016"/>
        <v>19.409200000000002</v>
      </c>
      <c r="AL78" s="2927">
        <f t="shared" si="838"/>
        <v>-3.5067445177768164</v>
      </c>
      <c r="AM78" s="2927">
        <f t="shared" si="838"/>
        <v>-3.5210907486698133</v>
      </c>
      <c r="AN78" s="2927">
        <f t="shared" si="838"/>
        <v>37.750866021110696</v>
      </c>
      <c r="AO78" s="2959">
        <f t="shared" ref="AO78:BX78" si="1017">SUM(AO76/AO77)</f>
        <v>41.67707304859546</v>
      </c>
      <c r="AP78" s="2959">
        <f t="shared" si="1017"/>
        <v>41.689875803334687</v>
      </c>
      <c r="AQ78" s="2959">
        <f t="shared" si="1017"/>
        <v>16.324247615252936</v>
      </c>
      <c r="AR78" s="2959">
        <f t="shared" si="1017"/>
        <v>41.403469553502944</v>
      </c>
      <c r="AS78" s="2959">
        <f t="shared" si="1017"/>
        <v>41.417527601506478</v>
      </c>
      <c r="AT78" s="2959">
        <f t="shared" si="1017"/>
        <v>13.093116883116881</v>
      </c>
      <c r="AU78" s="2861">
        <f t="shared" si="1017"/>
        <v>36.767054750347917</v>
      </c>
      <c r="AV78" s="2861">
        <f t="shared" si="1017"/>
        <v>36.769747140174729</v>
      </c>
      <c r="AW78" s="2861">
        <f t="shared" si="1017"/>
        <v>28.757575757575754</v>
      </c>
      <c r="AX78" s="2959">
        <f t="shared" si="1017"/>
        <v>41.67707304859546</v>
      </c>
      <c r="AY78" s="2959">
        <f t="shared" si="1017"/>
        <v>41.689875803334687</v>
      </c>
      <c r="AZ78" s="2959">
        <f t="shared" si="1017"/>
        <v>16.324247615252936</v>
      </c>
      <c r="BA78" s="2960">
        <f t="shared" si="1017"/>
        <v>44.988644125038114</v>
      </c>
      <c r="BB78" s="2960">
        <f t="shared" si="1017"/>
        <v>44.993323496002638</v>
      </c>
      <c r="BC78" s="2960">
        <f t="shared" si="1017"/>
        <v>24.309850746268655</v>
      </c>
      <c r="BD78" s="2960">
        <f t="shared" si="1017"/>
        <v>43.920197411960174</v>
      </c>
      <c r="BE78" s="2960">
        <f t="shared" si="1017"/>
        <v>43.932022424430237</v>
      </c>
      <c r="BF78" s="2960">
        <f t="shared" si="1017"/>
        <v>10.339999999999998</v>
      </c>
      <c r="BG78" s="2959">
        <f t="shared" si="1017"/>
        <v>41.67707304859546</v>
      </c>
      <c r="BH78" s="2959">
        <f t="shared" si="1017"/>
        <v>41.689875803334687</v>
      </c>
      <c r="BI78" s="2959">
        <f t="shared" si="1017"/>
        <v>16.324247615252936</v>
      </c>
      <c r="BJ78" s="2960">
        <f t="shared" si="1017"/>
        <v>37.50713475487639</v>
      </c>
      <c r="BK78" s="2960">
        <f t="shared" si="1017"/>
        <v>37.516636923802146</v>
      </c>
      <c r="BL78" s="2960">
        <f t="shared" si="1017"/>
        <v>10.630476190476189</v>
      </c>
      <c r="BM78" s="2960">
        <f t="shared" si="1017"/>
        <v>38.51770950770387</v>
      </c>
      <c r="BN78" s="2960">
        <f t="shared" si="1017"/>
        <v>38.524006599465359</v>
      </c>
      <c r="BO78" s="2960">
        <f t="shared" si="1017"/>
        <v>18.853260869565219</v>
      </c>
      <c r="BP78" s="2961">
        <f t="shared" si="1017"/>
        <v>41.677073048595467</v>
      </c>
      <c r="BQ78" s="2961">
        <f t="shared" si="1017"/>
        <v>41.689875803334694</v>
      </c>
      <c r="BR78" s="2961">
        <f t="shared" si="1017"/>
        <v>16.324247615252936</v>
      </c>
      <c r="BS78" s="2963">
        <f t="shared" si="1017"/>
        <v>41.297402404149693</v>
      </c>
      <c r="BT78" s="2963">
        <f t="shared" si="1017"/>
        <v>41.307036648837617</v>
      </c>
      <c r="BU78" s="2963">
        <f t="shared" si="1017"/>
        <v>14.60521472392638</v>
      </c>
      <c r="BV78" s="2963">
        <f t="shared" si="1017"/>
        <v>39.694233402688447</v>
      </c>
      <c r="BW78" s="2963">
        <f t="shared" si="1017"/>
        <v>39.701089071972994</v>
      </c>
      <c r="BX78" s="2963">
        <f t="shared" si="1017"/>
        <v>19.297250859106526</v>
      </c>
      <c r="BY78" s="2964">
        <f t="shared" si="673"/>
        <v>-0.37967064444577403</v>
      </c>
      <c r="BZ78" s="2964">
        <f t="shared" si="673"/>
        <v>-0.38283915449707706</v>
      </c>
      <c r="CA78" s="2964">
        <f t="shared" si="673"/>
        <v>-1.719032891326556</v>
      </c>
      <c r="CB78" s="2961">
        <f t="shared" ref="CB78:CJ78" si="1018">SUM(CB76/CB77)</f>
        <v>41.677073048595467</v>
      </c>
      <c r="CC78" s="2961">
        <f t="shared" si="1018"/>
        <v>41.689875803334694</v>
      </c>
      <c r="CD78" s="2961">
        <f t="shared" si="1018"/>
        <v>16.324247615252936</v>
      </c>
      <c r="CE78" s="2963">
        <f t="shared" si="1018"/>
        <v>39.730963954299717</v>
      </c>
      <c r="CF78" s="2963">
        <f t="shared" si="1018"/>
        <v>39.73479197385192</v>
      </c>
      <c r="CG78" s="2963">
        <f t="shared" si="1018"/>
        <v>22.994951690821253</v>
      </c>
      <c r="CH78" s="2963">
        <f t="shared" si="1018"/>
        <v>40.982963522416476</v>
      </c>
      <c r="CI78" s="2963">
        <f t="shared" si="1018"/>
        <v>40.989581996187475</v>
      </c>
      <c r="CJ78" s="2963">
        <f t="shared" si="1018"/>
        <v>19.34898336414048</v>
      </c>
      <c r="CK78" s="2964">
        <f t="shared" si="675"/>
        <v>-1.9461090942957497</v>
      </c>
      <c r="CL78" s="2964">
        <f t="shared" si="675"/>
        <v>-1.9550838294827741</v>
      </c>
      <c r="CM78" s="2964">
        <f t="shared" si="675"/>
        <v>6.6707040755683167</v>
      </c>
      <c r="CN78" s="2959">
        <f t="shared" ref="CN78:DW78" si="1019">SUM(CN76/CN77)</f>
        <v>41.811611171049549</v>
      </c>
      <c r="CO78" s="2959">
        <f t="shared" si="1019"/>
        <v>41.824457734775947</v>
      </c>
      <c r="CP78" s="2959">
        <f t="shared" si="1019"/>
        <v>16.372032407923239</v>
      </c>
      <c r="CQ78" s="2960">
        <f t="shared" si="1019"/>
        <v>46.718211152131175</v>
      </c>
      <c r="CR78" s="2960">
        <f t="shared" si="1019"/>
        <v>46.728706508225201</v>
      </c>
      <c r="CS78" s="2960">
        <f t="shared" si="1019"/>
        <v>12.851071428571428</v>
      </c>
      <c r="CT78" s="2960">
        <f t="shared" si="1019"/>
        <v>41.565480201076909</v>
      </c>
      <c r="CU78" s="2960">
        <f t="shared" si="1019"/>
        <v>41.572089962149725</v>
      </c>
      <c r="CV78" s="2960">
        <f t="shared" si="1019"/>
        <v>21.5685</v>
      </c>
      <c r="CW78" s="2959">
        <f t="shared" si="1019"/>
        <v>41.811611171049549</v>
      </c>
      <c r="CX78" s="2959">
        <f t="shared" si="1019"/>
        <v>41.824457734775947</v>
      </c>
      <c r="CY78" s="2959">
        <f t="shared" si="1019"/>
        <v>16.372032407923239</v>
      </c>
      <c r="CZ78" s="2960">
        <f t="shared" si="1019"/>
        <v>33.975684573267799</v>
      </c>
      <c r="DA78" s="2960">
        <f t="shared" si="1019"/>
        <v>33.978051511758117</v>
      </c>
      <c r="DB78" s="2960">
        <f t="shared" si="1019"/>
        <v>24.957333333333334</v>
      </c>
      <c r="DC78" s="2960">
        <f t="shared" si="1019"/>
        <v>33.408585870288036</v>
      </c>
      <c r="DD78" s="2960">
        <f t="shared" si="1019"/>
        <v>33.40598953968891</v>
      </c>
      <c r="DE78" s="2960">
        <f t="shared" si="1019"/>
        <v>58.676137931034482</v>
      </c>
      <c r="DF78" s="2959">
        <f t="shared" si="1019"/>
        <v>41.811611171049549</v>
      </c>
      <c r="DG78" s="2959">
        <f t="shared" si="1019"/>
        <v>41.824457734775947</v>
      </c>
      <c r="DH78" s="2959">
        <f t="shared" si="1019"/>
        <v>16.372032407923239</v>
      </c>
      <c r="DI78" s="2960">
        <f t="shared" si="1019"/>
        <v>46.306818540400535</v>
      </c>
      <c r="DJ78" s="2960">
        <f t="shared" si="1019"/>
        <v>46.301786543866172</v>
      </c>
      <c r="DK78" s="2960">
        <f t="shared" si="1019"/>
        <v>105.7508</v>
      </c>
      <c r="DL78" s="2960">
        <f t="shared" si="1019"/>
        <v>37.943570619748243</v>
      </c>
      <c r="DM78" s="2960">
        <f t="shared" si="1019"/>
        <v>37.940808337401748</v>
      </c>
      <c r="DN78" s="2960">
        <f t="shared" si="1019"/>
        <v>50.893939393939384</v>
      </c>
      <c r="DO78" s="2961">
        <f t="shared" si="1019"/>
        <v>41.811611171049556</v>
      </c>
      <c r="DP78" s="2961">
        <f t="shared" si="1019"/>
        <v>41.824457734775955</v>
      </c>
      <c r="DQ78" s="2961">
        <f t="shared" si="1019"/>
        <v>16.372032407923239</v>
      </c>
      <c r="DR78" s="2963">
        <f t="shared" si="1019"/>
        <v>42.302359857848657</v>
      </c>
      <c r="DS78" s="2963">
        <f t="shared" si="1019"/>
        <v>42.304928163802728</v>
      </c>
      <c r="DT78" s="2963">
        <f t="shared" si="1019"/>
        <v>30.407934782608695</v>
      </c>
      <c r="DU78" s="2963">
        <f t="shared" si="1019"/>
        <v>37.603894192471493</v>
      </c>
      <c r="DV78" s="2963">
        <f t="shared" si="1019"/>
        <v>37.603842044603716</v>
      </c>
      <c r="DW78" s="2963">
        <f t="shared" si="1019"/>
        <v>37.847421621621621</v>
      </c>
      <c r="DX78" s="2964">
        <f t="shared" si="677"/>
        <v>0.49074868679910111</v>
      </c>
      <c r="DY78" s="2964">
        <f t="shared" si="677"/>
        <v>0.48047042902677362</v>
      </c>
      <c r="DZ78" s="2964">
        <f t="shared" si="677"/>
        <v>14.035902374685456</v>
      </c>
      <c r="EA78" s="2961">
        <f t="shared" si="1015"/>
        <v>41.721919089413497</v>
      </c>
      <c r="EB78" s="2961">
        <f t="shared" ref="EB78:EC78" si="1020">SUM(EB76/EB77)</f>
        <v>41.734736447148443</v>
      </c>
      <c r="EC78" s="2961">
        <f t="shared" si="1020"/>
        <v>16.340175879476366</v>
      </c>
      <c r="ED78" s="2963">
        <f t="shared" si="1015"/>
        <v>40.554055087376682</v>
      </c>
      <c r="EE78" s="2963">
        <f t="shared" ref="EE78:EF78" si="1021">SUM(EE76/EE77)</f>
        <v>40.557487039331832</v>
      </c>
      <c r="EF78" s="2963">
        <f t="shared" si="1021"/>
        <v>25.275869565217388</v>
      </c>
      <c r="EG78" s="2963">
        <f t="shared" si="1015"/>
        <v>39.874006518431621</v>
      </c>
      <c r="EH78" s="2963">
        <f t="shared" ref="EH78:EI78" si="1022">SUM(EH76/EH77)</f>
        <v>39.878367293690175</v>
      </c>
      <c r="EI78" s="2963">
        <f t="shared" si="1022"/>
        <v>24.06277272727273</v>
      </c>
      <c r="EJ78" s="2964">
        <f t="shared" si="679"/>
        <v>-1.167864002036815</v>
      </c>
      <c r="EK78" s="2964">
        <f t="shared" si="679"/>
        <v>-1.1772494078166105</v>
      </c>
      <c r="EL78" s="2964">
        <f t="shared" si="679"/>
        <v>8.9356936857410219</v>
      </c>
      <c r="EM78" s="2959">
        <f t="shared" ref="EM78:FV78" si="1023">SUM(EM76/EM77)</f>
        <v>41.811611171049549</v>
      </c>
      <c r="EN78" s="2959">
        <f t="shared" si="1023"/>
        <v>41.824457734775947</v>
      </c>
      <c r="EO78" s="2959">
        <f t="shared" si="1023"/>
        <v>16.372032407923239</v>
      </c>
      <c r="EP78" s="2960">
        <f t="shared" si="1023"/>
        <v>35.38309169141624</v>
      </c>
      <c r="EQ78" s="2960">
        <f t="shared" si="1023"/>
        <v>35.382410240296352</v>
      </c>
      <c r="ER78" s="2959">
        <f t="shared" si="1023"/>
        <v>43.013703703703705</v>
      </c>
      <c r="ES78" s="2960">
        <f t="shared" si="1023"/>
        <v>33.959076225395336</v>
      </c>
      <c r="ET78" s="2960">
        <f t="shared" si="1023"/>
        <v>33.962146406721004</v>
      </c>
      <c r="EU78" s="2960">
        <f t="shared" si="1023"/>
        <v>18.191508771929822</v>
      </c>
      <c r="EV78" s="2959">
        <f t="shared" si="1023"/>
        <v>41.811611171049549</v>
      </c>
      <c r="EW78" s="2959">
        <f t="shared" si="1023"/>
        <v>41.824457734775947</v>
      </c>
      <c r="EX78" s="2959">
        <f t="shared" si="1023"/>
        <v>16.372032407923239</v>
      </c>
      <c r="EY78" s="2960">
        <f t="shared" si="1023"/>
        <v>41.444712822947032</v>
      </c>
      <c r="EZ78" s="2960">
        <f t="shared" si="1023"/>
        <v>41.448603956333152</v>
      </c>
      <c r="FA78" s="2960">
        <f t="shared" si="1023"/>
        <v>25.284507042253527</v>
      </c>
      <c r="FB78" s="2960">
        <f t="shared" si="1023"/>
        <v>38.345010189481684</v>
      </c>
      <c r="FC78" s="2960">
        <f t="shared" si="1023"/>
        <v>38.344234101769672</v>
      </c>
      <c r="FD78" s="2960">
        <f t="shared" si="1023"/>
        <v>44.567763157894738</v>
      </c>
      <c r="FE78" s="2959">
        <f t="shared" si="1023"/>
        <v>41.811611171049549</v>
      </c>
      <c r="FF78" s="2959">
        <f t="shared" si="1023"/>
        <v>41.824457734775947</v>
      </c>
      <c r="FG78" s="2959">
        <f t="shared" si="1023"/>
        <v>16.372032407923239</v>
      </c>
      <c r="FH78" s="2960">
        <f t="shared" si="1023"/>
        <v>44.673587231529957</v>
      </c>
      <c r="FI78" s="2960">
        <f t="shared" si="1023"/>
        <v>44.680473426668037</v>
      </c>
      <c r="FJ78" s="2960">
        <f t="shared" si="1023"/>
        <v>20.406395348837211</v>
      </c>
      <c r="FK78" s="2960">
        <f t="shared" si="1023"/>
        <v>36.634904102308361</v>
      </c>
      <c r="FL78" s="2960">
        <f t="shared" si="1023"/>
        <v>36.647056250061532</v>
      </c>
      <c r="FM78" s="2960">
        <f t="shared" si="1023"/>
        <v>3.2774774774774778</v>
      </c>
      <c r="FN78" s="2961">
        <f t="shared" si="1023"/>
        <v>41.811611171049556</v>
      </c>
      <c r="FO78" s="2961">
        <f t="shared" si="1023"/>
        <v>41.824457734775955</v>
      </c>
      <c r="FP78" s="2961">
        <f t="shared" si="1023"/>
        <v>16.372032407923239</v>
      </c>
      <c r="FQ78" s="2963">
        <f t="shared" si="1023"/>
        <v>40.496346802449871</v>
      </c>
      <c r="FR78" s="2963">
        <f t="shared" si="1023"/>
        <v>40.499390116975889</v>
      </c>
      <c r="FS78" s="2963">
        <f t="shared" si="1023"/>
        <v>25.606086956521739</v>
      </c>
      <c r="FT78" s="2963">
        <f t="shared" si="1023"/>
        <v>36.34415576878758</v>
      </c>
      <c r="FU78" s="2963">
        <f t="shared" si="1023"/>
        <v>36.349024989830838</v>
      </c>
      <c r="FV78" s="2963">
        <f t="shared" si="1023"/>
        <v>15.020830097087378</v>
      </c>
      <c r="FW78" s="2938">
        <f t="shared" si="681"/>
        <v>-1.315264368599685</v>
      </c>
      <c r="FX78" s="2938">
        <f t="shared" si="681"/>
        <v>-1.325067617800066</v>
      </c>
      <c r="FY78" s="2938">
        <f t="shared" si="681"/>
        <v>9.2340545485985004</v>
      </c>
      <c r="FZ78" s="2961">
        <f t="shared" ref="FZ78:GH78" si="1024">SUM(FZ76/FZ77)</f>
        <v>41.744342109822512</v>
      </c>
      <c r="GA78" s="2961">
        <f t="shared" si="1024"/>
        <v>41.757166769055324</v>
      </c>
      <c r="GB78" s="2961">
        <f t="shared" si="1024"/>
        <v>16.348140011588086</v>
      </c>
      <c r="GC78" s="2963">
        <f t="shared" si="1024"/>
        <v>40.539471640544654</v>
      </c>
      <c r="GD78" s="2963">
        <f t="shared" si="1024"/>
        <v>40.54280515792523</v>
      </c>
      <c r="GE78" s="2963">
        <f t="shared" si="1024"/>
        <v>25.35356777493606</v>
      </c>
      <c r="GF78" s="2963">
        <f t="shared" si="1024"/>
        <v>38.973092219732621</v>
      </c>
      <c r="GG78" s="2963">
        <f t="shared" si="1024"/>
        <v>38.977550938327134</v>
      </c>
      <c r="GH78" s="2963">
        <f t="shared" si="1024"/>
        <v>22.064231759656657</v>
      </c>
      <c r="GI78" s="2938">
        <f t="shared" si="683"/>
        <v>-1.2048704692778571</v>
      </c>
      <c r="GJ78" s="2938">
        <f t="shared" si="683"/>
        <v>-1.2143616111300943</v>
      </c>
      <c r="GK78" s="2938">
        <f t="shared" si="683"/>
        <v>9.0054277633479742</v>
      </c>
      <c r="GL78" s="389"/>
    </row>
    <row r="79" spans="1:195" ht="18.75" x14ac:dyDescent="0.3">
      <c r="A79" s="2965" t="s">
        <v>3786</v>
      </c>
      <c r="B79" s="2959">
        <f t="shared" si="745"/>
        <v>-276.28486666666669</v>
      </c>
      <c r="C79" s="2959">
        <f>SUM(вода!CV153)/12</f>
        <v>-276.68916666666667</v>
      </c>
      <c r="D79" s="2959">
        <f>SUM(вода!CW153/12)</f>
        <v>0.40430000000000005</v>
      </c>
      <c r="E79" s="2861">
        <f t="shared" ref="E79:E80" si="1025">SUM(F79:G79)</f>
        <v>0</v>
      </c>
      <c r="F79" s="2960">
        <v>0</v>
      </c>
      <c r="G79" s="2960">
        <v>0</v>
      </c>
      <c r="H79" s="2861">
        <f t="shared" ref="H79:H80" si="1026">SUM(I79:J79)</f>
        <v>0</v>
      </c>
      <c r="I79" s="2960">
        <v>0</v>
      </c>
      <c r="J79" s="2960">
        <v>0</v>
      </c>
      <c r="K79" s="2959">
        <f t="shared" ref="K79:K80" si="1027">SUM(L79:M79)</f>
        <v>-276.28486666666669</v>
      </c>
      <c r="L79" s="2959">
        <f>SUM(C79)</f>
        <v>-276.68916666666667</v>
      </c>
      <c r="M79" s="2959">
        <f>SUM(D79)</f>
        <v>0.40430000000000005</v>
      </c>
      <c r="N79" s="2861">
        <f t="shared" ref="N79:N80" si="1028">SUM(O79:P79)</f>
        <v>0</v>
      </c>
      <c r="O79" s="2960">
        <v>0</v>
      </c>
      <c r="P79" s="2960">
        <v>0</v>
      </c>
      <c r="Q79" s="2861">
        <f t="shared" ref="Q79:Q80" si="1029">SUM(R79:S79)</f>
        <v>0</v>
      </c>
      <c r="R79" s="2960">
        <v>0</v>
      </c>
      <c r="S79" s="2960">
        <v>0</v>
      </c>
      <c r="T79" s="2959">
        <f t="shared" ref="T79:T80" si="1030">SUM(U79:V79)</f>
        <v>-276.28486666666669</v>
      </c>
      <c r="U79" s="2959">
        <f>SUM(L79)</f>
        <v>-276.68916666666667</v>
      </c>
      <c r="V79" s="2959">
        <f>SUM(M79)</f>
        <v>0.40430000000000005</v>
      </c>
      <c r="W79" s="2861">
        <f t="shared" ref="W79:W80" si="1031">SUM(X79:Y79)</f>
        <v>0</v>
      </c>
      <c r="X79" s="2960">
        <v>0</v>
      </c>
      <c r="Y79" s="2960">
        <v>0</v>
      </c>
      <c r="Z79" s="2861">
        <f t="shared" ref="Z79:Z80" si="1032">SUM(AA79:AB79)</f>
        <v>0</v>
      </c>
      <c r="AA79" s="2960">
        <v>0</v>
      </c>
      <c r="AB79" s="2960">
        <v>0</v>
      </c>
      <c r="AC79" s="2912">
        <f>SUM(B79+K79+T79)</f>
        <v>-828.85460000000012</v>
      </c>
      <c r="AD79" s="2912">
        <f t="shared" ref="AD79:AF83" si="1033">SUM(C79+L79+U79)</f>
        <v>-830.0675</v>
      </c>
      <c r="AE79" s="2912">
        <f t="shared" si="1033"/>
        <v>1.2129000000000001</v>
      </c>
      <c r="AF79" s="2966">
        <f>SUM(E79+N79+W79)</f>
        <v>0</v>
      </c>
      <c r="AG79" s="2966">
        <f t="shared" ref="AG79:AK83" si="1034">SUM(F79+O79+X79)</f>
        <v>0</v>
      </c>
      <c r="AH79" s="2966">
        <f t="shared" si="1034"/>
        <v>0</v>
      </c>
      <c r="AI79" s="2966">
        <f t="shared" si="1034"/>
        <v>0</v>
      </c>
      <c r="AJ79" s="2966">
        <f t="shared" si="1034"/>
        <v>0</v>
      </c>
      <c r="AK79" s="2966">
        <f t="shared" si="1034"/>
        <v>0</v>
      </c>
      <c r="AL79" s="2927">
        <f t="shared" si="838"/>
        <v>828.85460000000012</v>
      </c>
      <c r="AM79" s="2927">
        <f t="shared" si="838"/>
        <v>830.0675</v>
      </c>
      <c r="AN79" s="2927">
        <f t="shared" si="838"/>
        <v>-1.2129000000000001</v>
      </c>
      <c r="AO79" s="2959">
        <f t="shared" ref="AO79" si="1035">SUM(AP79:AQ79)</f>
        <v>-276.28486666666669</v>
      </c>
      <c r="AP79" s="2959">
        <f>SUM(U79)</f>
        <v>-276.68916666666667</v>
      </c>
      <c r="AQ79" s="2959">
        <f>SUM(V79)</f>
        <v>0.40430000000000005</v>
      </c>
      <c r="AR79" s="2959">
        <f t="shared" ref="AR79:AR80" si="1036">SUM(AS79:AT79)</f>
        <v>0</v>
      </c>
      <c r="AS79" s="2959">
        <v>0</v>
      </c>
      <c r="AT79" s="2959">
        <v>0</v>
      </c>
      <c r="AU79" s="2861">
        <f t="shared" ref="AU79:AU80" si="1037">SUM(AV79:AW79)</f>
        <v>0</v>
      </c>
      <c r="AV79" s="2861">
        <v>0</v>
      </c>
      <c r="AW79" s="2861">
        <v>0</v>
      </c>
      <c r="AX79" s="2959">
        <f t="shared" ref="AX79:AX80" si="1038">SUM(AY79:AZ79)</f>
        <v>-276.28486666666669</v>
      </c>
      <c r="AY79" s="2959">
        <f>SUM(AP79)</f>
        <v>-276.68916666666667</v>
      </c>
      <c r="AZ79" s="2959">
        <f>SUM(AQ79)</f>
        <v>0.40430000000000005</v>
      </c>
      <c r="BA79" s="2861">
        <f t="shared" ref="BA79:BA80" si="1039">SUM(BB79:BC79)</f>
        <v>0</v>
      </c>
      <c r="BB79" s="2960">
        <v>0</v>
      </c>
      <c r="BC79" s="2960">
        <v>0</v>
      </c>
      <c r="BD79" s="2861">
        <f t="shared" ref="BD79:BD80" si="1040">SUM(BE79:BF79)</f>
        <v>0</v>
      </c>
      <c r="BE79" s="2960">
        <v>0</v>
      </c>
      <c r="BF79" s="2960">
        <v>0</v>
      </c>
      <c r="BG79" s="2959">
        <f t="shared" ref="BG79:BG80" si="1041">SUM(BH79:BI79)</f>
        <v>-276.28486666666669</v>
      </c>
      <c r="BH79" s="2959">
        <f>SUM(AY79)</f>
        <v>-276.68916666666667</v>
      </c>
      <c r="BI79" s="2959">
        <f>SUM(AZ79)</f>
        <v>0.40430000000000005</v>
      </c>
      <c r="BJ79" s="2861">
        <f t="shared" ref="BJ79:BJ80" si="1042">SUM(BK79:BL79)</f>
        <v>0</v>
      </c>
      <c r="BK79" s="2960">
        <v>0</v>
      </c>
      <c r="BL79" s="2960">
        <v>0</v>
      </c>
      <c r="BM79" s="2861">
        <f t="shared" ref="BM79:BM80" si="1043">SUM(BN79:BO79)</f>
        <v>0</v>
      </c>
      <c r="BN79" s="2960">
        <v>0</v>
      </c>
      <c r="BO79" s="2960">
        <v>0</v>
      </c>
      <c r="BP79" s="2916">
        <f t="shared" ref="BP79:BX83" si="1044">SUM(AO79+AX79+BG79)</f>
        <v>-828.85460000000012</v>
      </c>
      <c r="BQ79" s="2916">
        <f t="shared" si="1044"/>
        <v>-830.0675</v>
      </c>
      <c r="BR79" s="2916">
        <f t="shared" si="1044"/>
        <v>1.2129000000000001</v>
      </c>
      <c r="BS79" s="2953">
        <f t="shared" si="1044"/>
        <v>0</v>
      </c>
      <c r="BT79" s="2953">
        <f t="shared" si="1044"/>
        <v>0</v>
      </c>
      <c r="BU79" s="2953">
        <f t="shared" si="1044"/>
        <v>0</v>
      </c>
      <c r="BV79" s="2953">
        <f t="shared" si="1044"/>
        <v>0</v>
      </c>
      <c r="BW79" s="2953">
        <f t="shared" si="1044"/>
        <v>0</v>
      </c>
      <c r="BX79" s="2953">
        <f t="shared" si="1044"/>
        <v>0</v>
      </c>
      <c r="BY79" s="2964">
        <f t="shared" ref="BY79:CA84" si="1045">SUM(BS79-BP79)</f>
        <v>828.85460000000012</v>
      </c>
      <c r="BZ79" s="2964">
        <f t="shared" si="1045"/>
        <v>830.0675</v>
      </c>
      <c r="CA79" s="2964">
        <f t="shared" si="1045"/>
        <v>-1.2129000000000001</v>
      </c>
      <c r="CB79" s="2916">
        <f t="shared" ref="CB79:CJ83" si="1046">SUM(AC79+BP79)</f>
        <v>-1657.7092000000002</v>
      </c>
      <c r="CC79" s="2916">
        <f t="shared" si="1046"/>
        <v>-1660.135</v>
      </c>
      <c r="CD79" s="2916">
        <f t="shared" si="1046"/>
        <v>2.4258000000000002</v>
      </c>
      <c r="CE79" s="2953">
        <f t="shared" si="1046"/>
        <v>0</v>
      </c>
      <c r="CF79" s="2953">
        <f t="shared" si="1046"/>
        <v>0</v>
      </c>
      <c r="CG79" s="2953">
        <f t="shared" si="1046"/>
        <v>0</v>
      </c>
      <c r="CH79" s="2953">
        <f t="shared" si="1046"/>
        <v>0</v>
      </c>
      <c r="CI79" s="2953">
        <f t="shared" si="1046"/>
        <v>0</v>
      </c>
      <c r="CJ79" s="2953">
        <f t="shared" si="1046"/>
        <v>0</v>
      </c>
      <c r="CK79" s="2954">
        <f t="shared" ref="CK79:CM84" si="1047">SUM(CE79-CB79)</f>
        <v>1657.7092000000002</v>
      </c>
      <c r="CL79" s="2954">
        <f t="shared" si="1047"/>
        <v>1660.135</v>
      </c>
      <c r="CM79" s="2954">
        <f t="shared" si="1047"/>
        <v>-2.4258000000000002</v>
      </c>
      <c r="CN79" s="2959">
        <f t="shared" ref="CN79:CN80" si="1048">SUM(CO79:CP79)</f>
        <v>-276.28486666666669</v>
      </c>
      <c r="CO79" s="2959">
        <f>SUM(BH79)</f>
        <v>-276.68916666666667</v>
      </c>
      <c r="CP79" s="2959">
        <f>SUM(BI79)</f>
        <v>0.40430000000000005</v>
      </c>
      <c r="CQ79" s="2861">
        <f t="shared" ref="CQ79:CQ80" si="1049">SUM(CR79:CS79)</f>
        <v>0</v>
      </c>
      <c r="CR79" s="2960">
        <v>0</v>
      </c>
      <c r="CS79" s="2960">
        <v>0</v>
      </c>
      <c r="CT79" s="2861">
        <f t="shared" ref="CT79:CT80" si="1050">SUM(CU79:CV79)</f>
        <v>0</v>
      </c>
      <c r="CU79" s="2960">
        <v>0</v>
      </c>
      <c r="CV79" s="2960">
        <v>0</v>
      </c>
      <c r="CW79" s="2959">
        <f t="shared" ref="CW79:CW80" si="1051">SUM(CX79:CY79)</f>
        <v>-276.28486666666669</v>
      </c>
      <c r="CX79" s="2959">
        <f>SUM(CO79)</f>
        <v>-276.68916666666667</v>
      </c>
      <c r="CY79" s="2959">
        <f>SUM(CP79)</f>
        <v>0.40430000000000005</v>
      </c>
      <c r="CZ79" s="2861">
        <f t="shared" ref="CZ79:CZ80" si="1052">SUM(DA79:DB79)</f>
        <v>0</v>
      </c>
      <c r="DA79" s="2960">
        <v>0</v>
      </c>
      <c r="DB79" s="2960">
        <v>0</v>
      </c>
      <c r="DC79" s="2861">
        <f t="shared" ref="DC79:DC80" si="1053">SUM(DD79:DE79)</f>
        <v>0</v>
      </c>
      <c r="DD79" s="2960">
        <v>0</v>
      </c>
      <c r="DE79" s="2960">
        <v>0</v>
      </c>
      <c r="DF79" s="2959">
        <f t="shared" ref="DF79:DF80" si="1054">SUM(DG79:DH79)</f>
        <v>-276.28486666666669</v>
      </c>
      <c r="DG79" s="2959">
        <f>SUM(CX79)</f>
        <v>-276.68916666666667</v>
      </c>
      <c r="DH79" s="2959">
        <f>SUM(CY79)</f>
        <v>0.40430000000000005</v>
      </c>
      <c r="DI79" s="2861">
        <f t="shared" ref="DI79:DI80" si="1055">SUM(DJ79:DK79)</f>
        <v>0</v>
      </c>
      <c r="DJ79" s="2960">
        <v>0</v>
      </c>
      <c r="DK79" s="2960">
        <v>0</v>
      </c>
      <c r="DL79" s="2861">
        <f t="shared" ref="DL79:DL80" si="1056">SUM(DM79:DN79)</f>
        <v>0</v>
      </c>
      <c r="DM79" s="2960">
        <v>0</v>
      </c>
      <c r="DN79" s="2960">
        <v>0</v>
      </c>
      <c r="DO79" s="2916">
        <f t="shared" ref="DO79:DW83" si="1057">SUM(CN79+CW79+DF79)</f>
        <v>-828.85460000000012</v>
      </c>
      <c r="DP79" s="2916">
        <f t="shared" si="1057"/>
        <v>-830.0675</v>
      </c>
      <c r="DQ79" s="2916">
        <f t="shared" si="1057"/>
        <v>1.2129000000000001</v>
      </c>
      <c r="DR79" s="2953">
        <f t="shared" si="1057"/>
        <v>0</v>
      </c>
      <c r="DS79" s="2953">
        <f t="shared" si="1057"/>
        <v>0</v>
      </c>
      <c r="DT79" s="2953">
        <f t="shared" si="1057"/>
        <v>0</v>
      </c>
      <c r="DU79" s="2953">
        <f t="shared" si="1057"/>
        <v>0</v>
      </c>
      <c r="DV79" s="2953">
        <f t="shared" si="1057"/>
        <v>0</v>
      </c>
      <c r="DW79" s="2953">
        <f t="shared" si="1057"/>
        <v>0</v>
      </c>
      <c r="DX79" s="2954">
        <f t="shared" ref="DX79:DZ84" si="1058">SUM(DR79-DO79)</f>
        <v>828.85460000000012</v>
      </c>
      <c r="DY79" s="2954">
        <f t="shared" si="1058"/>
        <v>830.0675</v>
      </c>
      <c r="DZ79" s="2954">
        <f t="shared" si="1058"/>
        <v>-1.2129000000000001</v>
      </c>
      <c r="EA79" s="2921">
        <f t="shared" ref="EA79:EI83" si="1059">SUM(CB79+DO79)</f>
        <v>-2486.5638000000004</v>
      </c>
      <c r="EB79" s="2921">
        <f t="shared" si="1059"/>
        <v>-2490.2024999999999</v>
      </c>
      <c r="EC79" s="2921">
        <f t="shared" si="1059"/>
        <v>3.6387</v>
      </c>
      <c r="ED79" s="2953">
        <f t="shared" si="1059"/>
        <v>0</v>
      </c>
      <c r="EE79" s="2953">
        <f t="shared" si="1059"/>
        <v>0</v>
      </c>
      <c r="EF79" s="2953">
        <f t="shared" si="1059"/>
        <v>0</v>
      </c>
      <c r="EG79" s="2957">
        <f t="shared" si="1059"/>
        <v>0</v>
      </c>
      <c r="EH79" s="2957">
        <f t="shared" si="1059"/>
        <v>0</v>
      </c>
      <c r="EI79" s="2957">
        <f t="shared" si="1059"/>
        <v>0</v>
      </c>
      <c r="EJ79" s="2954">
        <f t="shared" ref="EJ79:EL84" si="1060">SUM(ED79-EA79)</f>
        <v>2486.5638000000004</v>
      </c>
      <c r="EK79" s="2954">
        <f t="shared" si="1060"/>
        <v>2490.2024999999999</v>
      </c>
      <c r="EL79" s="2954">
        <f t="shared" si="1060"/>
        <v>-3.6387</v>
      </c>
      <c r="EM79" s="2959">
        <f t="shared" ref="EM79:EM80" si="1061">SUM(EN79:EO79)</f>
        <v>-276.28486666666669</v>
      </c>
      <c r="EN79" s="2959">
        <f>SUM(DG79)</f>
        <v>-276.68916666666667</v>
      </c>
      <c r="EO79" s="2959">
        <f>SUM(DH79)</f>
        <v>0.40430000000000005</v>
      </c>
      <c r="EP79" s="2861">
        <f t="shared" ref="EP79:EP80" si="1062">SUM(EQ79:ER79)</f>
        <v>0</v>
      </c>
      <c r="EQ79" s="2960">
        <v>0</v>
      </c>
      <c r="ER79" s="2959">
        <v>0</v>
      </c>
      <c r="ES79" s="2861">
        <f t="shared" ref="ES79:ES80" si="1063">SUM(ET79:EU79)</f>
        <v>0</v>
      </c>
      <c r="ET79" s="2960">
        <v>0</v>
      </c>
      <c r="EU79" s="2960">
        <v>0</v>
      </c>
      <c r="EV79" s="2959">
        <f t="shared" ref="EV79:EV80" si="1064">SUM(EW79:EX79)</f>
        <v>-276.28486666666669</v>
      </c>
      <c r="EW79" s="2959">
        <f>SUM(EN79)</f>
        <v>-276.68916666666667</v>
      </c>
      <c r="EX79" s="2959">
        <f>SUM(EO79)</f>
        <v>0.40430000000000005</v>
      </c>
      <c r="EY79" s="2861">
        <f t="shared" ref="EY79:EY80" si="1065">SUM(EZ79:FA79)</f>
        <v>0</v>
      </c>
      <c r="EZ79" s="2960">
        <v>0</v>
      </c>
      <c r="FA79" s="2960">
        <v>0</v>
      </c>
      <c r="FB79" s="2861">
        <f t="shared" ref="FB79:FB80" si="1066">SUM(FC79:FD79)</f>
        <v>0</v>
      </c>
      <c r="FC79" s="2960">
        <v>0</v>
      </c>
      <c r="FD79" s="2960">
        <v>0</v>
      </c>
      <c r="FE79" s="2959">
        <f t="shared" ref="FE79:FE80" si="1067">SUM(FF79:FG79)</f>
        <v>-276.28486666666669</v>
      </c>
      <c r="FF79" s="2959">
        <f>SUM(EW79)</f>
        <v>-276.68916666666667</v>
      </c>
      <c r="FG79" s="2959">
        <f>SUM(EX79)</f>
        <v>0.40430000000000005</v>
      </c>
      <c r="FH79" s="2861">
        <f t="shared" ref="FH79:FH80" si="1068">SUM(FI79:FJ79)</f>
        <v>0</v>
      </c>
      <c r="FI79" s="2960">
        <v>0</v>
      </c>
      <c r="FJ79" s="2960">
        <v>0</v>
      </c>
      <c r="FK79" s="2861">
        <f t="shared" ref="FK79:FK80" si="1069">SUM(FL79:FM79)</f>
        <v>0</v>
      </c>
      <c r="FL79" s="2960">
        <v>0</v>
      </c>
      <c r="FM79" s="2960">
        <v>0</v>
      </c>
      <c r="FN79" s="2916">
        <f t="shared" ref="FN79:FV83" si="1070">SUM(EM79+EV79+FE79)</f>
        <v>-828.85460000000012</v>
      </c>
      <c r="FO79" s="2916">
        <f t="shared" si="1070"/>
        <v>-830.0675</v>
      </c>
      <c r="FP79" s="2916">
        <f t="shared" si="1070"/>
        <v>1.2129000000000001</v>
      </c>
      <c r="FQ79" s="2926">
        <f t="shared" si="1070"/>
        <v>0</v>
      </c>
      <c r="FR79" s="2926">
        <f t="shared" si="1070"/>
        <v>0</v>
      </c>
      <c r="FS79" s="2926">
        <f t="shared" si="1070"/>
        <v>0</v>
      </c>
      <c r="FT79" s="2926">
        <f t="shared" si="1070"/>
        <v>0</v>
      </c>
      <c r="FU79" s="2926">
        <f t="shared" si="1070"/>
        <v>0</v>
      </c>
      <c r="FV79" s="2926">
        <f t="shared" si="1070"/>
        <v>0</v>
      </c>
      <c r="FW79" s="2927">
        <f t="shared" ref="FW79:FY84" si="1071">SUM(FQ79-FN79)</f>
        <v>828.85460000000012</v>
      </c>
      <c r="FX79" s="2927">
        <f t="shared" si="1071"/>
        <v>830.0675</v>
      </c>
      <c r="FY79" s="2927">
        <f t="shared" si="1071"/>
        <v>-1.2129000000000001</v>
      </c>
      <c r="FZ79" s="2916">
        <f t="shared" ref="FZ79:GH83" si="1072">SUM(EA79+FN79)</f>
        <v>-3315.4184000000005</v>
      </c>
      <c r="GA79" s="2916">
        <f t="shared" si="1072"/>
        <v>-3320.27</v>
      </c>
      <c r="GB79" s="2916">
        <f t="shared" si="1072"/>
        <v>4.8516000000000004</v>
      </c>
      <c r="GC79" s="2926">
        <f t="shared" si="1072"/>
        <v>0</v>
      </c>
      <c r="GD79" s="2926">
        <f t="shared" si="1072"/>
        <v>0</v>
      </c>
      <c r="GE79" s="2926">
        <f t="shared" si="1072"/>
        <v>0</v>
      </c>
      <c r="GF79" s="2926">
        <f t="shared" si="1072"/>
        <v>0</v>
      </c>
      <c r="GG79" s="2926">
        <f t="shared" si="1072"/>
        <v>0</v>
      </c>
      <c r="GH79" s="2926">
        <f t="shared" si="1072"/>
        <v>0</v>
      </c>
      <c r="GI79" s="2927">
        <f t="shared" si="683"/>
        <v>3315.4184000000005</v>
      </c>
      <c r="GJ79" s="2927">
        <f t="shared" si="683"/>
        <v>3320.27</v>
      </c>
      <c r="GK79" s="2927">
        <f t="shared" si="683"/>
        <v>-4.8516000000000004</v>
      </c>
      <c r="GL79" s="2674"/>
      <c r="GM79" s="523"/>
    </row>
    <row r="80" spans="1:195" ht="18.75" x14ac:dyDescent="0.3">
      <c r="A80" s="2879" t="s">
        <v>312</v>
      </c>
      <c r="B80" s="2951">
        <f t="shared" si="745"/>
        <v>0</v>
      </c>
      <c r="C80" s="2951">
        <v>0</v>
      </c>
      <c r="D80" s="2951">
        <v>0</v>
      </c>
      <c r="E80" s="2875">
        <f t="shared" si="1025"/>
        <v>0</v>
      </c>
      <c r="F80" s="2967">
        <v>0</v>
      </c>
      <c r="G80" s="2967">
        <v>0</v>
      </c>
      <c r="H80" s="2875">
        <f t="shared" si="1026"/>
        <v>0</v>
      </c>
      <c r="I80" s="2967">
        <v>0</v>
      </c>
      <c r="J80" s="2967">
        <v>0</v>
      </c>
      <c r="K80" s="2951">
        <f t="shared" si="1027"/>
        <v>0</v>
      </c>
      <c r="L80" s="2951">
        <f>SUM(C80)</f>
        <v>0</v>
      </c>
      <c r="M80" s="2951">
        <f>SUM(D80)</f>
        <v>0</v>
      </c>
      <c r="N80" s="2875">
        <f t="shared" si="1028"/>
        <v>0</v>
      </c>
      <c r="O80" s="2967">
        <v>0</v>
      </c>
      <c r="P80" s="2967">
        <v>0</v>
      </c>
      <c r="Q80" s="2875">
        <f t="shared" si="1029"/>
        <v>0</v>
      </c>
      <c r="R80" s="2967">
        <v>0</v>
      </c>
      <c r="S80" s="2967">
        <v>0</v>
      </c>
      <c r="T80" s="2951">
        <f t="shared" si="1030"/>
        <v>0</v>
      </c>
      <c r="U80" s="2951">
        <f>SUM(L80)</f>
        <v>0</v>
      </c>
      <c r="V80" s="2951">
        <f>SUM(M80)</f>
        <v>0</v>
      </c>
      <c r="W80" s="2875">
        <f t="shared" si="1031"/>
        <v>0</v>
      </c>
      <c r="X80" s="2967">
        <v>0</v>
      </c>
      <c r="Y80" s="2967">
        <v>0</v>
      </c>
      <c r="Z80" s="2875">
        <f t="shared" si="1032"/>
        <v>0</v>
      </c>
      <c r="AA80" s="2967">
        <v>0</v>
      </c>
      <c r="AB80" s="2967">
        <v>0</v>
      </c>
      <c r="AC80" s="2921">
        <f>SUM(B80+K80+T80)</f>
        <v>0</v>
      </c>
      <c r="AD80" s="2921">
        <f t="shared" si="1033"/>
        <v>0</v>
      </c>
      <c r="AE80" s="2921">
        <f t="shared" si="1033"/>
        <v>0</v>
      </c>
      <c r="AF80" s="2957">
        <f>SUM(E80+N80+W80)</f>
        <v>0</v>
      </c>
      <c r="AG80" s="2957">
        <f t="shared" si="1034"/>
        <v>0</v>
      </c>
      <c r="AH80" s="2957">
        <f t="shared" si="1034"/>
        <v>0</v>
      </c>
      <c r="AI80" s="2957">
        <f t="shared" si="1034"/>
        <v>0</v>
      </c>
      <c r="AJ80" s="2957">
        <f t="shared" si="1034"/>
        <v>0</v>
      </c>
      <c r="AK80" s="2957">
        <f t="shared" si="1034"/>
        <v>0</v>
      </c>
      <c r="AL80" s="2933">
        <f t="shared" si="838"/>
        <v>0</v>
      </c>
      <c r="AM80" s="2933">
        <f t="shared" si="838"/>
        <v>0</v>
      </c>
      <c r="AN80" s="2933">
        <f t="shared" si="838"/>
        <v>0</v>
      </c>
      <c r="AO80" s="2951">
        <f t="shared" ref="AO80" si="1073">SUM(AP80:AQ80)</f>
        <v>0</v>
      </c>
      <c r="AP80" s="2951">
        <f>SUM(U80)</f>
        <v>0</v>
      </c>
      <c r="AQ80" s="2951">
        <f>SUM(V80)</f>
        <v>0</v>
      </c>
      <c r="AR80" s="2951">
        <f t="shared" si="1036"/>
        <v>0</v>
      </c>
      <c r="AS80" s="2951">
        <v>0</v>
      </c>
      <c r="AT80" s="2951">
        <v>0</v>
      </c>
      <c r="AU80" s="2875">
        <f t="shared" si="1037"/>
        <v>0</v>
      </c>
      <c r="AV80" s="2875">
        <v>0</v>
      </c>
      <c r="AW80" s="2875">
        <v>0</v>
      </c>
      <c r="AX80" s="2951">
        <f t="shared" si="1038"/>
        <v>0</v>
      </c>
      <c r="AY80" s="2951">
        <f>SUM(AP80)</f>
        <v>0</v>
      </c>
      <c r="AZ80" s="2951">
        <f>SUM(AQ80)</f>
        <v>0</v>
      </c>
      <c r="BA80" s="2875">
        <f t="shared" si="1039"/>
        <v>0</v>
      </c>
      <c r="BB80" s="2967">
        <v>0</v>
      </c>
      <c r="BC80" s="2967">
        <v>0</v>
      </c>
      <c r="BD80" s="2875">
        <f t="shared" si="1040"/>
        <v>0</v>
      </c>
      <c r="BE80" s="2967">
        <v>0</v>
      </c>
      <c r="BF80" s="2967">
        <v>0</v>
      </c>
      <c r="BG80" s="2951">
        <f t="shared" si="1041"/>
        <v>0</v>
      </c>
      <c r="BH80" s="2951">
        <f>SUM(AY80)</f>
        <v>0</v>
      </c>
      <c r="BI80" s="2951">
        <f>SUM(AZ80)</f>
        <v>0</v>
      </c>
      <c r="BJ80" s="2875">
        <f t="shared" si="1042"/>
        <v>0</v>
      </c>
      <c r="BK80" s="2967">
        <v>0</v>
      </c>
      <c r="BL80" s="2967">
        <v>0</v>
      </c>
      <c r="BM80" s="2875">
        <f t="shared" si="1043"/>
        <v>0</v>
      </c>
      <c r="BN80" s="2967">
        <v>0</v>
      </c>
      <c r="BO80" s="2967">
        <v>0</v>
      </c>
      <c r="BP80" s="2921">
        <f t="shared" si="1044"/>
        <v>0</v>
      </c>
      <c r="BQ80" s="2921">
        <f t="shared" si="1044"/>
        <v>0</v>
      </c>
      <c r="BR80" s="2921">
        <f t="shared" si="1044"/>
        <v>0</v>
      </c>
      <c r="BS80" s="2957">
        <f t="shared" si="1044"/>
        <v>0</v>
      </c>
      <c r="BT80" s="2957">
        <f t="shared" si="1044"/>
        <v>0</v>
      </c>
      <c r="BU80" s="2957">
        <f t="shared" si="1044"/>
        <v>0</v>
      </c>
      <c r="BV80" s="2957">
        <f t="shared" si="1044"/>
        <v>0</v>
      </c>
      <c r="BW80" s="2957">
        <f t="shared" si="1044"/>
        <v>0</v>
      </c>
      <c r="BX80" s="2957">
        <f t="shared" si="1044"/>
        <v>0</v>
      </c>
      <c r="BY80" s="2919">
        <f t="shared" si="1045"/>
        <v>0</v>
      </c>
      <c r="BZ80" s="2919">
        <f t="shared" si="1045"/>
        <v>0</v>
      </c>
      <c r="CA80" s="2919">
        <f t="shared" si="1045"/>
        <v>0</v>
      </c>
      <c r="CB80" s="2921">
        <f t="shared" si="1046"/>
        <v>0</v>
      </c>
      <c r="CC80" s="2921">
        <f t="shared" si="1046"/>
        <v>0</v>
      </c>
      <c r="CD80" s="2921">
        <f t="shared" si="1046"/>
        <v>0</v>
      </c>
      <c r="CE80" s="2957">
        <f t="shared" si="1046"/>
        <v>0</v>
      </c>
      <c r="CF80" s="2957">
        <f t="shared" si="1046"/>
        <v>0</v>
      </c>
      <c r="CG80" s="2957">
        <f t="shared" si="1046"/>
        <v>0</v>
      </c>
      <c r="CH80" s="2957">
        <f t="shared" si="1046"/>
        <v>0</v>
      </c>
      <c r="CI80" s="2957">
        <f t="shared" si="1046"/>
        <v>0</v>
      </c>
      <c r="CJ80" s="2957">
        <f t="shared" si="1046"/>
        <v>0</v>
      </c>
      <c r="CK80" s="2919">
        <f t="shared" si="1047"/>
        <v>0</v>
      </c>
      <c r="CL80" s="2919">
        <f t="shared" si="1047"/>
        <v>0</v>
      </c>
      <c r="CM80" s="2919">
        <f t="shared" si="1047"/>
        <v>0</v>
      </c>
      <c r="CN80" s="2951">
        <f t="shared" si="1048"/>
        <v>0</v>
      </c>
      <c r="CO80" s="2951">
        <f t="shared" ref="CO80:CP80" si="1074">SUM(BH80)</f>
        <v>0</v>
      </c>
      <c r="CP80" s="2951">
        <f t="shared" si="1074"/>
        <v>0</v>
      </c>
      <c r="CQ80" s="2875">
        <f t="shared" si="1049"/>
        <v>0</v>
      </c>
      <c r="CR80" s="2967">
        <v>0</v>
      </c>
      <c r="CS80" s="2967">
        <v>0</v>
      </c>
      <c r="CT80" s="2875">
        <f t="shared" si="1050"/>
        <v>0</v>
      </c>
      <c r="CU80" s="2967">
        <v>0</v>
      </c>
      <c r="CV80" s="2967">
        <v>0</v>
      </c>
      <c r="CW80" s="2951">
        <f t="shared" si="1051"/>
        <v>0</v>
      </c>
      <c r="CX80" s="2951">
        <f>SUM(CO80)</f>
        <v>0</v>
      </c>
      <c r="CY80" s="2951">
        <f>SUM(CP80)</f>
        <v>0</v>
      </c>
      <c r="CZ80" s="2875">
        <f t="shared" si="1052"/>
        <v>0</v>
      </c>
      <c r="DA80" s="2967">
        <v>0</v>
      </c>
      <c r="DB80" s="2967">
        <v>0</v>
      </c>
      <c r="DC80" s="2875">
        <f t="shared" si="1053"/>
        <v>0</v>
      </c>
      <c r="DD80" s="2967">
        <v>0</v>
      </c>
      <c r="DE80" s="2967">
        <v>0</v>
      </c>
      <c r="DF80" s="2951">
        <f t="shared" si="1054"/>
        <v>0</v>
      </c>
      <c r="DG80" s="2951">
        <f>SUM(CX80)</f>
        <v>0</v>
      </c>
      <c r="DH80" s="2951">
        <f>SUM(CY80)</f>
        <v>0</v>
      </c>
      <c r="DI80" s="2875">
        <f t="shared" si="1055"/>
        <v>0</v>
      </c>
      <c r="DJ80" s="2967">
        <v>0</v>
      </c>
      <c r="DK80" s="2967">
        <v>0</v>
      </c>
      <c r="DL80" s="2875">
        <f t="shared" si="1056"/>
        <v>0</v>
      </c>
      <c r="DM80" s="2967">
        <v>0</v>
      </c>
      <c r="DN80" s="2967">
        <v>0</v>
      </c>
      <c r="DO80" s="2921">
        <f t="shared" si="1057"/>
        <v>0</v>
      </c>
      <c r="DP80" s="2921">
        <f t="shared" si="1057"/>
        <v>0</v>
      </c>
      <c r="DQ80" s="2921">
        <f t="shared" si="1057"/>
        <v>0</v>
      </c>
      <c r="DR80" s="2957">
        <f t="shared" si="1057"/>
        <v>0</v>
      </c>
      <c r="DS80" s="2957">
        <f t="shared" si="1057"/>
        <v>0</v>
      </c>
      <c r="DT80" s="2957">
        <f t="shared" si="1057"/>
        <v>0</v>
      </c>
      <c r="DU80" s="2957">
        <f t="shared" si="1057"/>
        <v>0</v>
      </c>
      <c r="DV80" s="2957">
        <f t="shared" si="1057"/>
        <v>0</v>
      </c>
      <c r="DW80" s="2957">
        <f t="shared" si="1057"/>
        <v>0</v>
      </c>
      <c r="DX80" s="2919">
        <f t="shared" si="1058"/>
        <v>0</v>
      </c>
      <c r="DY80" s="2919">
        <f t="shared" si="1058"/>
        <v>0</v>
      </c>
      <c r="DZ80" s="2919">
        <f t="shared" si="1058"/>
        <v>0</v>
      </c>
      <c r="EA80" s="2921">
        <f t="shared" si="1059"/>
        <v>0</v>
      </c>
      <c r="EB80" s="2921">
        <f t="shared" si="1059"/>
        <v>0</v>
      </c>
      <c r="EC80" s="2921">
        <f t="shared" si="1059"/>
        <v>0</v>
      </c>
      <c r="ED80" s="2957">
        <f t="shared" si="1059"/>
        <v>0</v>
      </c>
      <c r="EE80" s="2957">
        <f t="shared" si="1059"/>
        <v>0</v>
      </c>
      <c r="EF80" s="2957">
        <f t="shared" si="1059"/>
        <v>0</v>
      </c>
      <c r="EG80" s="2957">
        <f t="shared" si="1059"/>
        <v>0</v>
      </c>
      <c r="EH80" s="2957">
        <f t="shared" si="1059"/>
        <v>0</v>
      </c>
      <c r="EI80" s="2957">
        <f t="shared" si="1059"/>
        <v>0</v>
      </c>
      <c r="EJ80" s="2919">
        <f t="shared" si="1060"/>
        <v>0</v>
      </c>
      <c r="EK80" s="2919">
        <f t="shared" si="1060"/>
        <v>0</v>
      </c>
      <c r="EL80" s="2919">
        <f t="shared" si="1060"/>
        <v>0</v>
      </c>
      <c r="EM80" s="2951">
        <f t="shared" si="1061"/>
        <v>0</v>
      </c>
      <c r="EN80" s="2951">
        <f>SUM(DG80)</f>
        <v>0</v>
      </c>
      <c r="EO80" s="2951">
        <f>SUM(DH80)</f>
        <v>0</v>
      </c>
      <c r="EP80" s="2875">
        <f t="shared" si="1062"/>
        <v>0</v>
      </c>
      <c r="EQ80" s="2967">
        <v>0</v>
      </c>
      <c r="ER80" s="2951">
        <v>0</v>
      </c>
      <c r="ES80" s="2875">
        <f t="shared" si="1063"/>
        <v>0</v>
      </c>
      <c r="ET80" s="2967">
        <v>0</v>
      </c>
      <c r="EU80" s="2967">
        <v>0</v>
      </c>
      <c r="EV80" s="2951">
        <f t="shared" si="1064"/>
        <v>0</v>
      </c>
      <c r="EW80" s="2951">
        <f>SUM(EN80)</f>
        <v>0</v>
      </c>
      <c r="EX80" s="2951">
        <f>SUM(EO80)</f>
        <v>0</v>
      </c>
      <c r="EY80" s="2875">
        <f t="shared" si="1065"/>
        <v>0</v>
      </c>
      <c r="EZ80" s="2967">
        <v>0</v>
      </c>
      <c r="FA80" s="2967">
        <v>0</v>
      </c>
      <c r="FB80" s="2875">
        <f t="shared" si="1066"/>
        <v>0</v>
      </c>
      <c r="FC80" s="2967">
        <v>0</v>
      </c>
      <c r="FD80" s="2967">
        <v>0</v>
      </c>
      <c r="FE80" s="2951">
        <f t="shared" si="1067"/>
        <v>0</v>
      </c>
      <c r="FF80" s="2951">
        <f>SUM(EW80)</f>
        <v>0</v>
      </c>
      <c r="FG80" s="2951">
        <f>SUM(EX80)</f>
        <v>0</v>
      </c>
      <c r="FH80" s="2875">
        <f t="shared" si="1068"/>
        <v>0</v>
      </c>
      <c r="FI80" s="2967">
        <v>0</v>
      </c>
      <c r="FJ80" s="2967">
        <v>0</v>
      </c>
      <c r="FK80" s="2875">
        <f t="shared" si="1069"/>
        <v>0</v>
      </c>
      <c r="FL80" s="2967">
        <v>0</v>
      </c>
      <c r="FM80" s="2967">
        <v>0</v>
      </c>
      <c r="FN80" s="2921">
        <f t="shared" si="1070"/>
        <v>0</v>
      </c>
      <c r="FO80" s="2921">
        <f t="shared" si="1070"/>
        <v>0</v>
      </c>
      <c r="FP80" s="2921">
        <f t="shared" si="1070"/>
        <v>0</v>
      </c>
      <c r="FQ80" s="2932">
        <f t="shared" si="1070"/>
        <v>0</v>
      </c>
      <c r="FR80" s="2932">
        <f t="shared" si="1070"/>
        <v>0</v>
      </c>
      <c r="FS80" s="2932">
        <f t="shared" si="1070"/>
        <v>0</v>
      </c>
      <c r="FT80" s="2932">
        <f t="shared" si="1070"/>
        <v>0</v>
      </c>
      <c r="FU80" s="2932">
        <f t="shared" si="1070"/>
        <v>0</v>
      </c>
      <c r="FV80" s="2932">
        <f t="shared" si="1070"/>
        <v>0</v>
      </c>
      <c r="FW80" s="2933">
        <f t="shared" si="1071"/>
        <v>0</v>
      </c>
      <c r="FX80" s="2933">
        <f t="shared" si="1071"/>
        <v>0</v>
      </c>
      <c r="FY80" s="2933">
        <f t="shared" si="1071"/>
        <v>0</v>
      </c>
      <c r="FZ80" s="2921">
        <f t="shared" si="1072"/>
        <v>0</v>
      </c>
      <c r="GA80" s="2921">
        <f t="shared" si="1072"/>
        <v>0</v>
      </c>
      <c r="GB80" s="2921">
        <f t="shared" si="1072"/>
        <v>0</v>
      </c>
      <c r="GC80" s="2932">
        <f t="shared" si="1072"/>
        <v>0</v>
      </c>
      <c r="GD80" s="2932">
        <f t="shared" si="1072"/>
        <v>0</v>
      </c>
      <c r="GE80" s="2932">
        <f t="shared" si="1072"/>
        <v>0</v>
      </c>
      <c r="GF80" s="2932">
        <f t="shared" si="1072"/>
        <v>0</v>
      </c>
      <c r="GG80" s="2932">
        <f t="shared" si="1072"/>
        <v>0</v>
      </c>
      <c r="GH80" s="2932">
        <f t="shared" si="1072"/>
        <v>0</v>
      </c>
      <c r="GI80" s="2933">
        <f t="shared" si="683"/>
        <v>0</v>
      </c>
      <c r="GJ80" s="2933">
        <f t="shared" si="683"/>
        <v>0</v>
      </c>
      <c r="GK80" s="2933">
        <f t="shared" si="683"/>
        <v>0</v>
      </c>
      <c r="GL80" s="2674"/>
      <c r="GM80" s="523"/>
    </row>
    <row r="81" spans="1:195" ht="19.5" x14ac:dyDescent="0.3">
      <c r="A81" s="2965" t="s">
        <v>3713</v>
      </c>
      <c r="B81" s="2959">
        <f>SUM(C81:D81)</f>
        <v>11901.894107091872</v>
      </c>
      <c r="C81" s="2959">
        <f t="shared" ref="C81:D81" si="1075">SUM(C76+C79)</f>
        <v>11899.082252639415</v>
      </c>
      <c r="D81" s="2959">
        <f t="shared" si="1075"/>
        <v>2.8118544524562203</v>
      </c>
      <c r="E81" s="2960">
        <f>SUM(F81:G81)</f>
        <v>10285.300159999997</v>
      </c>
      <c r="F81" s="2960">
        <f t="shared" ref="F81:G81" si="1076">SUM(F76+F79)</f>
        <v>10284.000729999998</v>
      </c>
      <c r="G81" s="2960">
        <f t="shared" si="1076"/>
        <v>1.2994300000000001</v>
      </c>
      <c r="H81" s="2960">
        <f>SUM(I81:J81)</f>
        <v>12741.184999999998</v>
      </c>
      <c r="I81" s="2960">
        <f t="shared" ref="I81:J81" si="1077">SUM(I76+I79)</f>
        <v>12739.355999999998</v>
      </c>
      <c r="J81" s="2960">
        <f t="shared" si="1077"/>
        <v>1.8290000000000002</v>
      </c>
      <c r="K81" s="2959">
        <f>SUM(L81:M81)</f>
        <v>11901.894107091872</v>
      </c>
      <c r="L81" s="2959">
        <f t="shared" ref="L81:M81" si="1078">SUM(L76+L79)</f>
        <v>11899.082252639415</v>
      </c>
      <c r="M81" s="2959">
        <f t="shared" si="1078"/>
        <v>2.8118544524562203</v>
      </c>
      <c r="N81" s="2960">
        <f>SUM(O81:P81)</f>
        <v>10148.344949999999</v>
      </c>
      <c r="O81" s="2960">
        <f t="shared" ref="O81:P81" si="1079">SUM(O76+O79)</f>
        <v>10146.746789999999</v>
      </c>
      <c r="P81" s="2960">
        <f t="shared" si="1079"/>
        <v>1.5981599999999998</v>
      </c>
      <c r="Q81" s="2960">
        <f>SUM(R81:S81)</f>
        <v>11692.9599</v>
      </c>
      <c r="R81" s="2960">
        <f t="shared" ref="R81:S81" si="1080">SUM(R76+R79)</f>
        <v>11691.67</v>
      </c>
      <c r="S81" s="2960">
        <f t="shared" si="1080"/>
        <v>1.2899</v>
      </c>
      <c r="T81" s="2959">
        <f>SUM(U81:V81)</f>
        <v>11901.894107091872</v>
      </c>
      <c r="U81" s="2959">
        <f t="shared" ref="U81:V81" si="1081">SUM(U76+U79)</f>
        <v>11899.082252639415</v>
      </c>
      <c r="V81" s="2959">
        <f t="shared" si="1081"/>
        <v>2.8118544524562203</v>
      </c>
      <c r="W81" s="2960">
        <f>SUM(X81:Y81)</f>
        <v>14182.491450000001</v>
      </c>
      <c r="X81" s="2960">
        <f t="shared" ref="X81:Y81" si="1082">SUM(X76+X79)</f>
        <v>14180.630430000001</v>
      </c>
      <c r="Y81" s="2960">
        <f t="shared" si="1082"/>
        <v>1.8610199999999997</v>
      </c>
      <c r="Z81" s="2960">
        <f>SUM(AA81:AB81)</f>
        <v>13683.377400000003</v>
      </c>
      <c r="AA81" s="2960">
        <f t="shared" ref="AA81:AB81" si="1083">SUM(AA76+AA79)</f>
        <v>13681.644000000004</v>
      </c>
      <c r="AB81" s="2960">
        <f t="shared" si="1083"/>
        <v>1.7334000000000001</v>
      </c>
      <c r="AC81" s="2912">
        <f>SUM(B81+K81+T81)</f>
        <v>35705.682321275614</v>
      </c>
      <c r="AD81" s="2912">
        <f t="shared" si="1033"/>
        <v>35697.246757918241</v>
      </c>
      <c r="AE81" s="2912">
        <f t="shared" si="1033"/>
        <v>8.435563357368661</v>
      </c>
      <c r="AF81" s="2966">
        <f t="shared" si="1033"/>
        <v>34616.136559999999</v>
      </c>
      <c r="AG81" s="2966">
        <f t="shared" si="1034"/>
        <v>34611.377949999995</v>
      </c>
      <c r="AH81" s="2966">
        <f t="shared" si="1034"/>
        <v>4.75861</v>
      </c>
      <c r="AI81" s="2966">
        <f t="shared" si="1034"/>
        <v>38117.522300000004</v>
      </c>
      <c r="AJ81" s="2966">
        <f t="shared" si="1034"/>
        <v>38112.67</v>
      </c>
      <c r="AK81" s="2966">
        <f t="shared" si="1034"/>
        <v>4.8522999999999996</v>
      </c>
      <c r="AL81" s="2938">
        <f t="shared" si="838"/>
        <v>-1089.5457612756145</v>
      </c>
      <c r="AM81" s="2938">
        <f t="shared" si="838"/>
        <v>-1085.8688079182466</v>
      </c>
      <c r="AN81" s="2938">
        <f t="shared" si="838"/>
        <v>-3.676953357368661</v>
      </c>
      <c r="AO81" s="2959">
        <f>SUM(AP81:AQ81)</f>
        <v>11901.894107091872</v>
      </c>
      <c r="AP81" s="2959">
        <f t="shared" ref="AP81:AQ81" si="1084">SUM(AP76+AP79)</f>
        <v>11899.082252639415</v>
      </c>
      <c r="AQ81" s="2959">
        <f t="shared" si="1084"/>
        <v>2.8118544524562203</v>
      </c>
      <c r="AR81" s="2959">
        <f>SUM(AS81:AT81)</f>
        <v>12846.751340000001</v>
      </c>
      <c r="AS81" s="2959">
        <f t="shared" ref="AS81:AT81" si="1085">SUM(AS76+AS79)</f>
        <v>12844.735000000001</v>
      </c>
      <c r="AT81" s="2959">
        <f t="shared" si="1085"/>
        <v>2.0163399999999996</v>
      </c>
      <c r="AU81" s="2861">
        <f>SUM(AV81:AW81)</f>
        <v>10831.941999999997</v>
      </c>
      <c r="AV81" s="2861">
        <f t="shared" ref="AV81:AW81" si="1086">SUM(AV76+AV79)</f>
        <v>10829.094999999998</v>
      </c>
      <c r="AW81" s="2861">
        <f t="shared" si="1086"/>
        <v>2.847</v>
      </c>
      <c r="AX81" s="2959">
        <f>SUM(AY81:AZ81)</f>
        <v>11901.894107091872</v>
      </c>
      <c r="AY81" s="2959">
        <f t="shared" ref="AY81:AZ81" si="1087">SUM(AY76+AY79)</f>
        <v>11899.082252639415</v>
      </c>
      <c r="AZ81" s="2959">
        <f t="shared" si="1087"/>
        <v>2.8118544524562203</v>
      </c>
      <c r="BA81" s="2960">
        <f>SUM(BB81:BC81)</f>
        <v>13323.357760000001</v>
      </c>
      <c r="BB81" s="2960">
        <f t="shared" ref="BB81:BC81" si="1088">SUM(BB76+BB79)</f>
        <v>13321.729000000001</v>
      </c>
      <c r="BC81" s="2960">
        <f t="shared" si="1088"/>
        <v>1.62876</v>
      </c>
      <c r="BD81" s="2960">
        <f>SUM(BE81:BF81)</f>
        <v>12476.674000000001</v>
      </c>
      <c r="BE81" s="2960">
        <f t="shared" ref="BE81:BF81" si="1089">SUM(BE76+BE79)</f>
        <v>12475.640000000001</v>
      </c>
      <c r="BF81" s="2960">
        <f t="shared" si="1089"/>
        <v>1.0339999999999998</v>
      </c>
      <c r="BG81" s="2959">
        <f>SUM(BH81:BI81)</f>
        <v>11901.894107091872</v>
      </c>
      <c r="BH81" s="2959">
        <f t="shared" ref="BH81:BI81" si="1090">SUM(BH76+BH79)</f>
        <v>11899.082252639415</v>
      </c>
      <c r="BI81" s="2959">
        <f t="shared" si="1090"/>
        <v>2.8118544524562203</v>
      </c>
      <c r="BJ81" s="2960">
        <f>SUM(BK81:BL81)</f>
        <v>11143.182200000001</v>
      </c>
      <c r="BK81" s="2960">
        <f t="shared" ref="BK81:BL81" si="1091">SUM(BK76+BK79)</f>
        <v>11142.066000000001</v>
      </c>
      <c r="BL81" s="2960">
        <f t="shared" si="1091"/>
        <v>1.1161999999999999</v>
      </c>
      <c r="BM81" s="2960">
        <f>SUM(BN81:BO81)</f>
        <v>11069.527500000002</v>
      </c>
      <c r="BN81" s="2960">
        <f t="shared" ref="BN81:BO81" si="1092">SUM(BN76+BN79)</f>
        <v>11067.793000000001</v>
      </c>
      <c r="BO81" s="2960">
        <f t="shared" si="1092"/>
        <v>1.7345000000000002</v>
      </c>
      <c r="BP81" s="2912">
        <f t="shared" si="1044"/>
        <v>35705.682321275614</v>
      </c>
      <c r="BQ81" s="2912">
        <f t="shared" si="1044"/>
        <v>35697.246757918241</v>
      </c>
      <c r="BR81" s="2912">
        <f t="shared" si="1044"/>
        <v>8.435563357368661</v>
      </c>
      <c r="BS81" s="2966">
        <f t="shared" si="1044"/>
        <v>37313.291300000004</v>
      </c>
      <c r="BT81" s="2966">
        <f t="shared" si="1044"/>
        <v>37308.53</v>
      </c>
      <c r="BU81" s="2966">
        <f t="shared" si="1044"/>
        <v>4.7612999999999994</v>
      </c>
      <c r="BV81" s="2966">
        <f t="shared" si="1044"/>
        <v>34378.143499999998</v>
      </c>
      <c r="BW81" s="2966">
        <f t="shared" si="1044"/>
        <v>34372.528000000006</v>
      </c>
      <c r="BX81" s="2966">
        <f t="shared" si="1044"/>
        <v>5.6154999999999999</v>
      </c>
      <c r="BY81" s="2964">
        <f t="shared" si="1045"/>
        <v>1607.6089787243909</v>
      </c>
      <c r="BZ81" s="2964">
        <f t="shared" si="1045"/>
        <v>1611.2832420817576</v>
      </c>
      <c r="CA81" s="2964">
        <f t="shared" si="1045"/>
        <v>-3.6742633573686616</v>
      </c>
      <c r="CB81" s="2912">
        <f t="shared" si="1046"/>
        <v>71411.364642551227</v>
      </c>
      <c r="CC81" s="2912">
        <f t="shared" si="1046"/>
        <v>71394.493515836482</v>
      </c>
      <c r="CD81" s="2912">
        <f t="shared" si="1046"/>
        <v>16.871126714737322</v>
      </c>
      <c r="CE81" s="2966">
        <f t="shared" si="1046"/>
        <v>71929.427859999996</v>
      </c>
      <c r="CF81" s="2966">
        <f t="shared" si="1046"/>
        <v>71919.907949999993</v>
      </c>
      <c r="CG81" s="2966">
        <f t="shared" si="1046"/>
        <v>9.5199099999999994</v>
      </c>
      <c r="CH81" s="2966">
        <f t="shared" si="1046"/>
        <v>72495.665800000002</v>
      </c>
      <c r="CI81" s="2966">
        <f t="shared" si="1046"/>
        <v>72485.198000000004</v>
      </c>
      <c r="CJ81" s="2966">
        <f t="shared" si="1046"/>
        <v>10.4678</v>
      </c>
      <c r="CK81" s="2964">
        <f t="shared" si="1047"/>
        <v>518.06321744876914</v>
      </c>
      <c r="CL81" s="2964">
        <f t="shared" si="1047"/>
        <v>525.41443416351103</v>
      </c>
      <c r="CM81" s="2964">
        <f t="shared" si="1047"/>
        <v>-7.3512167147373226</v>
      </c>
      <c r="CN81" s="2959">
        <f>SUM(CO81:CP81)</f>
        <v>11941.206592691064</v>
      </c>
      <c r="CO81" s="2959">
        <f t="shared" ref="CO81:CP81" si="1093">SUM(CO76+CO79)</f>
        <v>11938.387690778101</v>
      </c>
      <c r="CP81" s="2959">
        <f t="shared" si="1093"/>
        <v>2.8189019129618789</v>
      </c>
      <c r="CQ81" s="2960">
        <f>SUM(CR81:CS81)</f>
        <v>12667.22249</v>
      </c>
      <c r="CR81" s="2960">
        <f t="shared" ref="CR81:CS81" si="1094">SUM(CR76+CR79)</f>
        <v>12666.143</v>
      </c>
      <c r="CS81" s="2960">
        <f t="shared" si="1094"/>
        <v>1.0794900000000001</v>
      </c>
      <c r="CT81" s="2960">
        <f>SUM(CU81:CV81)</f>
        <v>11321.331165</v>
      </c>
      <c r="CU81" s="2960">
        <f t="shared" ref="CU81:CV81" si="1095">SUM(CU76+CU79)</f>
        <v>11319.39</v>
      </c>
      <c r="CV81" s="2960">
        <f t="shared" si="1095"/>
        <v>1.9411649999999998</v>
      </c>
      <c r="CW81" s="2959">
        <f>SUM(CX81:CY81)</f>
        <v>11941.206592691064</v>
      </c>
      <c r="CX81" s="2959">
        <f t="shared" ref="CX81:CY81" si="1096">SUM(CX76+CX79)</f>
        <v>11938.387690778101</v>
      </c>
      <c r="CY81" s="2959">
        <f t="shared" si="1096"/>
        <v>2.8189019129618789</v>
      </c>
      <c r="CZ81" s="2970">
        <f>SUM(DA81:DB81)</f>
        <v>9711.4398000000001</v>
      </c>
      <c r="DA81" s="2970">
        <f t="shared" ref="DA81:DB81" si="1097">SUM(DA76+DA79)</f>
        <v>9709.5679999999993</v>
      </c>
      <c r="DB81" s="2970">
        <f t="shared" si="1097"/>
        <v>1.8718000000000001</v>
      </c>
      <c r="DC81" s="2960">
        <f>SUM(DD81:DE81)</f>
        <v>9429.8306079999984</v>
      </c>
      <c r="DD81" s="2960">
        <f t="shared" ref="DD81:DE81" si="1098">SUM(DD76+DD79)</f>
        <v>9428.128999999999</v>
      </c>
      <c r="DE81" s="2960">
        <f t="shared" si="1098"/>
        <v>1.701608</v>
      </c>
      <c r="DF81" s="2959">
        <f>SUM(DG81:DH81)</f>
        <v>11941.206592691064</v>
      </c>
      <c r="DG81" s="2959">
        <f t="shared" ref="DG81:DH81" si="1099">SUM(DG76+DG79)</f>
        <v>11938.387690778101</v>
      </c>
      <c r="DH81" s="2959">
        <f t="shared" si="1099"/>
        <v>2.8189019129618789</v>
      </c>
      <c r="DI81" s="2960">
        <f>SUM(DJ81:DK81)</f>
        <v>13676.95039</v>
      </c>
      <c r="DJ81" s="2960">
        <f t="shared" ref="DJ81:DK81" si="1100">SUM(DJ76+DJ79)</f>
        <v>13674.306619999999</v>
      </c>
      <c r="DK81" s="2960">
        <f t="shared" si="1100"/>
        <v>2.64377</v>
      </c>
      <c r="DL81" s="2960">
        <f>SUM(DM81:DN81)</f>
        <v>11743.264000000001</v>
      </c>
      <c r="DM81" s="2960">
        <f t="shared" ref="DM81:DN81" si="1101">SUM(DM76+DM79)</f>
        <v>11739.905000000001</v>
      </c>
      <c r="DN81" s="2960">
        <f t="shared" si="1101"/>
        <v>3.3589999999999995</v>
      </c>
      <c r="DO81" s="2912">
        <f t="shared" si="1057"/>
        <v>35823.619778073189</v>
      </c>
      <c r="DP81" s="2912">
        <f t="shared" si="1057"/>
        <v>35815.163072334304</v>
      </c>
      <c r="DQ81" s="2912">
        <f t="shared" si="1057"/>
        <v>8.4567057388856366</v>
      </c>
      <c r="DR81" s="2966">
        <f t="shared" si="1057"/>
        <v>36055.612679999998</v>
      </c>
      <c r="DS81" s="2966">
        <f t="shared" si="1057"/>
        <v>36050.017619999999</v>
      </c>
      <c r="DT81" s="2966">
        <f t="shared" si="1057"/>
        <v>5.5950600000000001</v>
      </c>
      <c r="DU81" s="2966">
        <f t="shared" si="1057"/>
        <v>32494.425773000003</v>
      </c>
      <c r="DV81" s="2966">
        <f t="shared" si="1057"/>
        <v>32487.423999999999</v>
      </c>
      <c r="DW81" s="2966">
        <f t="shared" si="1057"/>
        <v>7.001773</v>
      </c>
      <c r="DX81" s="2964">
        <f t="shared" si="1058"/>
        <v>231.99290192680928</v>
      </c>
      <c r="DY81" s="2964">
        <f t="shared" si="1058"/>
        <v>234.85454766569455</v>
      </c>
      <c r="DZ81" s="2964">
        <f t="shared" si="1058"/>
        <v>-2.8616457388856364</v>
      </c>
      <c r="EA81" s="2968">
        <f t="shared" si="1059"/>
        <v>107234.98442062442</v>
      </c>
      <c r="EB81" s="2968">
        <f t="shared" si="1059"/>
        <v>107209.65658817079</v>
      </c>
      <c r="EC81" s="2968">
        <f t="shared" si="1059"/>
        <v>25.32783245362296</v>
      </c>
      <c r="ED81" s="2966">
        <f t="shared" si="1059"/>
        <v>107985.04053999999</v>
      </c>
      <c r="EE81" s="2966">
        <f t="shared" si="1059"/>
        <v>107969.92556999999</v>
      </c>
      <c r="EF81" s="2966">
        <f t="shared" si="1059"/>
        <v>15.11497</v>
      </c>
      <c r="EG81" s="2969">
        <f t="shared" si="1059"/>
        <v>104990.09157300001</v>
      </c>
      <c r="EH81" s="2969">
        <f t="shared" si="1059"/>
        <v>104972.622</v>
      </c>
      <c r="EI81" s="2969">
        <f t="shared" si="1059"/>
        <v>17.469573</v>
      </c>
      <c r="EJ81" s="2964">
        <f t="shared" si="1060"/>
        <v>750.05611937557114</v>
      </c>
      <c r="EK81" s="2964">
        <f t="shared" si="1060"/>
        <v>760.26898182919831</v>
      </c>
      <c r="EL81" s="2964">
        <f t="shared" si="1060"/>
        <v>-10.212862453622961</v>
      </c>
      <c r="EM81" s="2959">
        <f>SUM(EN81:EO81)</f>
        <v>11941.206592691064</v>
      </c>
      <c r="EN81" s="2959">
        <f t="shared" ref="EN81:EO81" si="1102">SUM(EN76+EN79)</f>
        <v>11938.387690778101</v>
      </c>
      <c r="EO81" s="2959">
        <f t="shared" si="1102"/>
        <v>2.8189019129618789</v>
      </c>
      <c r="EP81" s="2960">
        <f>SUM(EQ81:ER81)</f>
        <v>10698.502369999998</v>
      </c>
      <c r="EQ81" s="2960">
        <f t="shared" ref="EQ81:ER81" si="1103">SUM(EQ76+EQ79)</f>
        <v>10697.340999999999</v>
      </c>
      <c r="ER81" s="2959">
        <f t="shared" si="1103"/>
        <v>1.16137</v>
      </c>
      <c r="ES81" s="2960">
        <f>SUM(ET81:EU81)</f>
        <v>9942.9659159999992</v>
      </c>
      <c r="ET81" s="2960">
        <f t="shared" ref="ET81:EU81" si="1104">SUM(ET76+ET79)</f>
        <v>9941.9290000000001</v>
      </c>
      <c r="EU81" s="2960">
        <f t="shared" si="1104"/>
        <v>1.0369159999999999</v>
      </c>
      <c r="EV81" s="2959">
        <f>SUM(EW81:EX81)</f>
        <v>11941.206592691064</v>
      </c>
      <c r="EW81" s="2959">
        <f t="shared" ref="EW81:EX81" si="1105">SUM(EW76+EW79)</f>
        <v>11938.387690778101</v>
      </c>
      <c r="EX81" s="2959">
        <f t="shared" si="1105"/>
        <v>2.8189019129618789</v>
      </c>
      <c r="EY81" s="2960">
        <f>SUM(EZ81:FA81)</f>
        <v>12223.703600000001</v>
      </c>
      <c r="EZ81" s="2960">
        <f t="shared" ref="EZ81:FA81" si="1106">SUM(EZ76+EZ79)</f>
        <v>12221.9084</v>
      </c>
      <c r="FA81" s="2960">
        <f t="shared" si="1106"/>
        <v>1.7952000000000001</v>
      </c>
      <c r="FB81" s="2960">
        <f>SUM(FC81:FD81)</f>
        <v>11684.721575</v>
      </c>
      <c r="FC81" s="2960">
        <f t="shared" ref="FC81:FD81" si="1107">SUM(FC76+FC79)</f>
        <v>11683.028</v>
      </c>
      <c r="FD81" s="2960">
        <f t="shared" si="1107"/>
        <v>1.6935750000000001</v>
      </c>
      <c r="FE81" s="2959">
        <f>SUM(FF81:FG81)</f>
        <v>11941.206592691064</v>
      </c>
      <c r="FF81" s="2959">
        <f t="shared" ref="FF81:FG81" si="1108">SUM(FF76+FF79)</f>
        <v>11938.387690778101</v>
      </c>
      <c r="FG81" s="2959">
        <f t="shared" si="1108"/>
        <v>2.8189019129618789</v>
      </c>
      <c r="FH81" s="2970">
        <f>SUM(FI81:FJ81)</f>
        <v>13542.931990000003</v>
      </c>
      <c r="FI81" s="2970">
        <f t="shared" ref="FI81:FJ81" si="1109">SUM(FI76+FI79)</f>
        <v>13541.177040000002</v>
      </c>
      <c r="FJ81" s="2970">
        <f t="shared" si="1109"/>
        <v>1.75495</v>
      </c>
      <c r="FK81" s="2960">
        <f>SUM(FL81:FM81)</f>
        <v>11166.46531</v>
      </c>
      <c r="FL81" s="2960">
        <f t="shared" ref="FL81:FM81" si="1110">SUM(FL76+FL79)</f>
        <v>11166.10151</v>
      </c>
      <c r="FM81" s="2960">
        <f t="shared" si="1110"/>
        <v>0.36380000000000001</v>
      </c>
      <c r="FN81" s="2912">
        <f t="shared" si="1070"/>
        <v>35823.619778073189</v>
      </c>
      <c r="FO81" s="2912">
        <f t="shared" si="1070"/>
        <v>35815.163072334304</v>
      </c>
      <c r="FP81" s="2912">
        <f t="shared" si="1070"/>
        <v>8.4567057388856366</v>
      </c>
      <c r="FQ81" s="2937">
        <f t="shared" si="1070"/>
        <v>36465.13796</v>
      </c>
      <c r="FR81" s="2937">
        <f t="shared" si="1070"/>
        <v>36460.426440000003</v>
      </c>
      <c r="FS81" s="2937">
        <f t="shared" si="1070"/>
        <v>4.7115200000000002</v>
      </c>
      <c r="FT81" s="2937">
        <f t="shared" si="1070"/>
        <v>32794.152800999997</v>
      </c>
      <c r="FU81" s="2937">
        <f t="shared" si="1070"/>
        <v>32791.058510000003</v>
      </c>
      <c r="FV81" s="2937">
        <f t="shared" si="1070"/>
        <v>3.0942909999999997</v>
      </c>
      <c r="FW81" s="2938">
        <f t="shared" si="1071"/>
        <v>641.51818192681094</v>
      </c>
      <c r="FX81" s="2938">
        <f t="shared" si="1071"/>
        <v>645.26336766569875</v>
      </c>
      <c r="FY81" s="2938">
        <f t="shared" si="1071"/>
        <v>-3.7451857388856364</v>
      </c>
      <c r="FZ81" s="2912">
        <f t="shared" si="1072"/>
        <v>143058.60419869761</v>
      </c>
      <c r="GA81" s="2912">
        <f t="shared" si="1072"/>
        <v>143024.81966050511</v>
      </c>
      <c r="GB81" s="2912">
        <f t="shared" si="1072"/>
        <v>33.784538192508599</v>
      </c>
      <c r="GC81" s="2937">
        <f t="shared" si="1072"/>
        <v>144450.17849999998</v>
      </c>
      <c r="GD81" s="2937">
        <f t="shared" si="1072"/>
        <v>144430.35201</v>
      </c>
      <c r="GE81" s="2937">
        <f t="shared" si="1072"/>
        <v>19.82649</v>
      </c>
      <c r="GF81" s="2937">
        <f t="shared" si="1072"/>
        <v>137784.244374</v>
      </c>
      <c r="GG81" s="2937">
        <f t="shared" si="1072"/>
        <v>137763.68051000001</v>
      </c>
      <c r="GH81" s="2937">
        <f t="shared" si="1072"/>
        <v>20.563863999999999</v>
      </c>
      <c r="GI81" s="2938">
        <f t="shared" si="683"/>
        <v>1391.5743013023748</v>
      </c>
      <c r="GJ81" s="2938">
        <f t="shared" si="683"/>
        <v>1405.5323494948971</v>
      </c>
      <c r="GK81" s="2938">
        <f t="shared" si="683"/>
        <v>-13.958048192508599</v>
      </c>
      <c r="GL81" s="2674"/>
      <c r="GM81" s="523"/>
    </row>
    <row r="82" spans="1:195" ht="19.5" x14ac:dyDescent="0.3">
      <c r="A82" s="2965" t="s">
        <v>3787</v>
      </c>
      <c r="B82" s="2959">
        <f>SUM(C82:D82)</f>
        <v>-332.67488545490426</v>
      </c>
      <c r="C82" s="2959">
        <f t="shared" ref="C82:D82" si="1111">SUM(C37-C81)</f>
        <v>-332.40589998218456</v>
      </c>
      <c r="D82" s="2959">
        <f t="shared" si="1111"/>
        <v>-0.26898547271971296</v>
      </c>
      <c r="E82" s="2960">
        <f>SUM(F82:G82)</f>
        <v>1743.4312840000021</v>
      </c>
      <c r="F82" s="2960">
        <f t="shared" ref="F82:G82" si="1112">SUM(F37-F81)</f>
        <v>1743.868714000002</v>
      </c>
      <c r="G82" s="2970">
        <f t="shared" si="1112"/>
        <v>-0.4374300000000001</v>
      </c>
      <c r="H82" s="2960">
        <f>SUM(I82:J82)</f>
        <v>-1148.1499999999985</v>
      </c>
      <c r="I82" s="2960">
        <f t="shared" ref="I82:J82" si="1113">SUM(I37-I81)</f>
        <v>-1147.8409999999985</v>
      </c>
      <c r="J82" s="2970">
        <f t="shared" si="1113"/>
        <v>-0.30900000000000016</v>
      </c>
      <c r="K82" s="2959">
        <f>SUM(L82:M82)</f>
        <v>-332.67488545490426</v>
      </c>
      <c r="L82" s="2959">
        <f t="shared" ref="L82:M82" si="1114">SUM(L37-L81)</f>
        <v>-332.40589998218456</v>
      </c>
      <c r="M82" s="2959">
        <f t="shared" si="1114"/>
        <v>-0.26898547271971296</v>
      </c>
      <c r="N82" s="2960">
        <f>SUM(O82:P82)</f>
        <v>2019.2798900000009</v>
      </c>
      <c r="O82" s="2960">
        <f t="shared" ref="O82:P82" si="1115">SUM(O37-O81)</f>
        <v>2020.6022100000009</v>
      </c>
      <c r="P82" s="2970">
        <f t="shared" si="1115"/>
        <v>-1.3223199999999999</v>
      </c>
      <c r="Q82" s="2960">
        <f>SUM(R82:S82)</f>
        <v>-2.7282200000007713</v>
      </c>
      <c r="R82" s="2960">
        <f t="shared" ref="R82:S82" si="1116">SUM(R37-R81)</f>
        <v>-2.8520000000007713</v>
      </c>
      <c r="S82" s="2970">
        <f t="shared" si="1116"/>
        <v>0.12378</v>
      </c>
      <c r="T82" s="2959">
        <f>SUM(U82:V82)</f>
        <v>-332.67488545490426</v>
      </c>
      <c r="U82" s="2959">
        <f t="shared" ref="U82:V82" si="1117">SUM(U37-U81)</f>
        <v>-332.40589998218456</v>
      </c>
      <c r="V82" s="2959">
        <f t="shared" si="1117"/>
        <v>-0.26898547271971296</v>
      </c>
      <c r="W82" s="2960">
        <f>SUM(X82:Y82)</f>
        <v>-2485.0414500000011</v>
      </c>
      <c r="X82" s="2960">
        <f t="shared" ref="X82:Y82" si="1118">SUM(X37-X81)</f>
        <v>-2483.5594300000012</v>
      </c>
      <c r="Y82" s="2970">
        <f t="shared" si="1118"/>
        <v>-1.4820199999999997</v>
      </c>
      <c r="Z82" s="2960">
        <f>SUM(AA82:AB82)</f>
        <v>-2583.3142000000048</v>
      </c>
      <c r="AA82" s="2960">
        <f t="shared" ref="AA82:AB82" si="1119">SUM(AA37-AA81)</f>
        <v>-2582.9600000000046</v>
      </c>
      <c r="AB82" s="2970">
        <f t="shared" si="1119"/>
        <v>-0.35420000000000007</v>
      </c>
      <c r="AC82" s="2912">
        <f>SUM(B82+K82+T82)</f>
        <v>-998.02465636471277</v>
      </c>
      <c r="AD82" s="2912">
        <f t="shared" si="1033"/>
        <v>-997.21769994655369</v>
      </c>
      <c r="AE82" s="2912">
        <f t="shared" si="1033"/>
        <v>-0.80695641815913888</v>
      </c>
      <c r="AF82" s="2966">
        <f t="shared" si="1033"/>
        <v>1277.6697240000017</v>
      </c>
      <c r="AG82" s="2966">
        <f t="shared" si="1034"/>
        <v>1280.9114940000018</v>
      </c>
      <c r="AH82" s="2966">
        <f t="shared" si="1034"/>
        <v>-3.2417699999999998</v>
      </c>
      <c r="AI82" s="2966">
        <f t="shared" si="1034"/>
        <v>-3734.1924200000039</v>
      </c>
      <c r="AJ82" s="2966">
        <f t="shared" si="1034"/>
        <v>-3733.6530000000039</v>
      </c>
      <c r="AK82" s="2966">
        <f t="shared" si="1034"/>
        <v>-0.53942000000000023</v>
      </c>
      <c r="AL82" s="2938">
        <f t="shared" si="838"/>
        <v>2275.6943803647146</v>
      </c>
      <c r="AM82" s="2938">
        <f t="shared" si="838"/>
        <v>2278.1291939465555</v>
      </c>
      <c r="AN82" s="2938">
        <f t="shared" si="838"/>
        <v>-2.4348135818408609</v>
      </c>
      <c r="AO82" s="2959">
        <f>SUM(AP82:AQ82)</f>
        <v>-332.67488545490426</v>
      </c>
      <c r="AP82" s="2959">
        <f t="shared" ref="AP82:AQ82" si="1120">SUM(AP37-AP81)</f>
        <v>-332.40589998218456</v>
      </c>
      <c r="AQ82" s="2959">
        <f t="shared" si="1120"/>
        <v>-0.26898547271971296</v>
      </c>
      <c r="AR82" s="2959">
        <f>SUM(AS82:AT82)</f>
        <v>-568.71733999999981</v>
      </c>
      <c r="AS82" s="2959">
        <f t="shared" ref="AS82:AT82" si="1121">SUM(AS37-AS81)</f>
        <v>-569.35599999999977</v>
      </c>
      <c r="AT82" s="2959">
        <f t="shared" si="1121"/>
        <v>0.63866000000000023</v>
      </c>
      <c r="AU82" s="2861">
        <f>SUM(AV82:AW82)</f>
        <v>388.94500000000096</v>
      </c>
      <c r="AV82" s="2861">
        <f t="shared" ref="AV82:AW82" si="1122">SUM(AV37-AV81)</f>
        <v>390.08500000000095</v>
      </c>
      <c r="AW82" s="2861">
        <f t="shared" si="1122"/>
        <v>-1.1399999999999999</v>
      </c>
      <c r="AX82" s="2959">
        <f>SUM(AY82:AZ82)</f>
        <v>-332.67488545490426</v>
      </c>
      <c r="AY82" s="2959">
        <f t="shared" ref="AY82:AZ82" si="1123">SUM(AY37-AY81)</f>
        <v>-332.40589998218456</v>
      </c>
      <c r="AZ82" s="2959">
        <f t="shared" si="1123"/>
        <v>-0.26898547271971296</v>
      </c>
      <c r="BA82" s="2960">
        <f>SUM(BB82:BC82)</f>
        <v>-1602.4927600000021</v>
      </c>
      <c r="BB82" s="2960">
        <f t="shared" ref="BB82:BC82" si="1124">SUM(BB37-BB81)</f>
        <v>-1602.0190000000021</v>
      </c>
      <c r="BC82" s="2970">
        <f t="shared" si="1124"/>
        <v>-0.47375999999999996</v>
      </c>
      <c r="BD82" s="2960">
        <f>SUM(BE82:BF82)</f>
        <v>-1656.9900000000021</v>
      </c>
      <c r="BE82" s="2960">
        <f t="shared" ref="BE82:BF82" si="1125">SUM(BE37-BE81)</f>
        <v>-1657.6800000000021</v>
      </c>
      <c r="BF82" s="2970">
        <f t="shared" si="1125"/>
        <v>0.69000000000000017</v>
      </c>
      <c r="BG82" s="2959">
        <f>SUM(BH82:BI82)</f>
        <v>-332.67488545490426</v>
      </c>
      <c r="BH82" s="2959">
        <f t="shared" ref="BH82:BI82" si="1126">SUM(BH37-BH81)</f>
        <v>-332.40589998218456</v>
      </c>
      <c r="BI82" s="2959">
        <f t="shared" si="1126"/>
        <v>-0.26898547271971296</v>
      </c>
      <c r="BJ82" s="2960">
        <f>SUM(BK82:BL82)</f>
        <v>615.28679999999895</v>
      </c>
      <c r="BK82" s="2960">
        <f t="shared" ref="BK82:BL82" si="1127">SUM(BK37-BK81)</f>
        <v>614.59299999999894</v>
      </c>
      <c r="BL82" s="2970">
        <f t="shared" si="1127"/>
        <v>0.69380000000000019</v>
      </c>
      <c r="BM82" s="2960">
        <f>SUM(BN82:BO82)</f>
        <v>-124.17150000000287</v>
      </c>
      <c r="BN82" s="2960">
        <f t="shared" ref="BN82:BO82" si="1128">SUM(BN37-BN81)</f>
        <v>-124.02300000000287</v>
      </c>
      <c r="BO82" s="2970">
        <f t="shared" si="1128"/>
        <v>-0.14850000000000008</v>
      </c>
      <c r="BP82" s="2912">
        <f t="shared" si="1044"/>
        <v>-998.02465636471277</v>
      </c>
      <c r="BQ82" s="2912">
        <f t="shared" si="1044"/>
        <v>-997.21769994655369</v>
      </c>
      <c r="BR82" s="2912">
        <f t="shared" si="1044"/>
        <v>-0.80695641815913888</v>
      </c>
      <c r="BS82" s="2966">
        <f t="shared" si="1044"/>
        <v>-1555.9233000000031</v>
      </c>
      <c r="BT82" s="2966">
        <f t="shared" si="1044"/>
        <v>-1556.7820000000029</v>
      </c>
      <c r="BU82" s="2966">
        <f t="shared" si="1044"/>
        <v>0.85870000000000046</v>
      </c>
      <c r="BV82" s="2966">
        <f t="shared" si="1044"/>
        <v>-1392.2165000000039</v>
      </c>
      <c r="BW82" s="2966">
        <f t="shared" si="1044"/>
        <v>-1391.618000000004</v>
      </c>
      <c r="BX82" s="2966">
        <f t="shared" si="1044"/>
        <v>-0.59849999999999981</v>
      </c>
      <c r="BY82" s="2964">
        <f t="shared" si="1045"/>
        <v>-557.89864363529034</v>
      </c>
      <c r="BZ82" s="2964">
        <f t="shared" si="1045"/>
        <v>-559.56430005344919</v>
      </c>
      <c r="CA82" s="2964">
        <f t="shared" si="1045"/>
        <v>1.6656564181591393</v>
      </c>
      <c r="CB82" s="2912">
        <f t="shared" si="1046"/>
        <v>-1996.0493127294255</v>
      </c>
      <c r="CC82" s="2912">
        <f t="shared" si="1046"/>
        <v>-1994.4353998931074</v>
      </c>
      <c r="CD82" s="2912">
        <f t="shared" si="1046"/>
        <v>-1.6139128363182778</v>
      </c>
      <c r="CE82" s="2966">
        <f t="shared" si="1046"/>
        <v>-278.25357600000143</v>
      </c>
      <c r="CF82" s="2966">
        <f t="shared" si="1046"/>
        <v>-275.87050600000111</v>
      </c>
      <c r="CG82" s="2966">
        <f t="shared" si="1046"/>
        <v>-2.3830699999999991</v>
      </c>
      <c r="CH82" s="2966">
        <f t="shared" si="1046"/>
        <v>-5126.408920000008</v>
      </c>
      <c r="CI82" s="2966">
        <f t="shared" si="1046"/>
        <v>-5125.2710000000079</v>
      </c>
      <c r="CJ82" s="2966">
        <f t="shared" si="1046"/>
        <v>-1.13792</v>
      </c>
      <c r="CK82" s="2964">
        <f t="shared" si="1047"/>
        <v>1717.7957367294241</v>
      </c>
      <c r="CL82" s="2964">
        <f t="shared" si="1047"/>
        <v>1718.5648938931063</v>
      </c>
      <c r="CM82" s="2964">
        <f t="shared" si="1047"/>
        <v>-0.76915716368172138</v>
      </c>
      <c r="CN82" s="2959">
        <f>SUM(CO82:CP82)</f>
        <v>332.67450096650066</v>
      </c>
      <c r="CO82" s="2959">
        <f t="shared" ref="CO82:CP82" si="1129">SUM(CO37-CO81)</f>
        <v>332.40656925479198</v>
      </c>
      <c r="CP82" s="2959">
        <f t="shared" si="1129"/>
        <v>0.26793171170868124</v>
      </c>
      <c r="CQ82" s="2960">
        <f>SUM(CR82:CS82)</f>
        <v>-1283.7464900000011</v>
      </c>
      <c r="CR82" s="2960">
        <f t="shared" ref="CR82:CS82" si="1130">SUM(CR37-CR81)</f>
        <v>-1284.4250000000011</v>
      </c>
      <c r="CS82" s="2970">
        <f t="shared" si="1130"/>
        <v>0.67850999999999995</v>
      </c>
      <c r="CT82" s="2960">
        <f>SUM(CU82:CV82)</f>
        <v>-541.429564999999</v>
      </c>
      <c r="CU82" s="2960">
        <f t="shared" ref="CU82:CV82" si="1131">SUM(CU37-CU81)</f>
        <v>-541.03999999999905</v>
      </c>
      <c r="CV82" s="2970">
        <f t="shared" si="1131"/>
        <v>-0.38956499999999972</v>
      </c>
      <c r="CW82" s="2959">
        <f>SUM(CX82:CY82)</f>
        <v>332.67450096650066</v>
      </c>
      <c r="CX82" s="2959">
        <f t="shared" ref="CX82:CY82" si="1132">SUM(CX37-CX81)</f>
        <v>332.40656925479198</v>
      </c>
      <c r="CY82" s="2959">
        <f t="shared" si="1132"/>
        <v>0.26793171170868124</v>
      </c>
      <c r="CZ82" s="2960">
        <f>SUM(DA82:DB82)</f>
        <v>2290.0752000000002</v>
      </c>
      <c r="DA82" s="2960">
        <f t="shared" ref="DA82:DB82" si="1133">SUM(DA37-DA81)</f>
        <v>2290.3770000000004</v>
      </c>
      <c r="DB82" s="2970">
        <f t="shared" si="1133"/>
        <v>-0.30180000000000007</v>
      </c>
      <c r="DC82" s="2960">
        <f>SUM(DD82:DE82)</f>
        <v>1743.3493920000012</v>
      </c>
      <c r="DD82" s="2960">
        <f t="shared" ref="DD82:DE82" si="1134">SUM(DD37-DD81)</f>
        <v>1744.5510000000013</v>
      </c>
      <c r="DE82" s="2970">
        <f t="shared" si="1134"/>
        <v>-1.201608</v>
      </c>
      <c r="DF82" s="2959">
        <f>SUM(DG82:DH82)</f>
        <v>332.67450096650066</v>
      </c>
      <c r="DG82" s="2959">
        <f t="shared" ref="DG82:DH82" si="1135">SUM(DG37-DG81)</f>
        <v>332.40656925479198</v>
      </c>
      <c r="DH82" s="2959">
        <f t="shared" si="1135"/>
        <v>0.26793171170868124</v>
      </c>
      <c r="DI82" s="2960">
        <f>SUM(DJ82:DK82)</f>
        <v>-1273.9083899999991</v>
      </c>
      <c r="DJ82" s="2960">
        <f t="shared" ref="DJ82:DK82" si="1136">SUM(DJ37-DJ81)</f>
        <v>-1271.7876199999992</v>
      </c>
      <c r="DK82" s="2970">
        <f t="shared" si="1136"/>
        <v>-2.1207699999999998</v>
      </c>
      <c r="DL82" s="2960">
        <f>SUM(DM82:DN82)</f>
        <v>506.56783999999885</v>
      </c>
      <c r="DM82" s="2960">
        <f t="shared" ref="DM82:DN82" si="1137">SUM(DM37-DM81)</f>
        <v>508.78899999999885</v>
      </c>
      <c r="DN82" s="2970">
        <f t="shared" si="1137"/>
        <v>-2.2211599999999994</v>
      </c>
      <c r="DO82" s="2912">
        <f t="shared" si="1057"/>
        <v>998.02350289950198</v>
      </c>
      <c r="DP82" s="2912">
        <f t="shared" si="1057"/>
        <v>997.21970776437593</v>
      </c>
      <c r="DQ82" s="2912">
        <f t="shared" si="1057"/>
        <v>0.80379513512604372</v>
      </c>
      <c r="DR82" s="2966">
        <f t="shared" si="1057"/>
        <v>-267.57968000000005</v>
      </c>
      <c r="DS82" s="2966">
        <f t="shared" si="1057"/>
        <v>-265.83561999999984</v>
      </c>
      <c r="DT82" s="2966">
        <f t="shared" si="1057"/>
        <v>-1.7440599999999999</v>
      </c>
      <c r="DU82" s="2966">
        <f t="shared" si="1057"/>
        <v>1708.487667000001</v>
      </c>
      <c r="DV82" s="2966">
        <f t="shared" si="1057"/>
        <v>1712.3000000000011</v>
      </c>
      <c r="DW82" s="2966">
        <f t="shared" si="1057"/>
        <v>-3.8123329999999989</v>
      </c>
      <c r="DX82" s="2964">
        <f t="shared" si="1058"/>
        <v>-1265.6031828995019</v>
      </c>
      <c r="DY82" s="2964">
        <f t="shared" si="1058"/>
        <v>-1263.0553277643758</v>
      </c>
      <c r="DZ82" s="2964">
        <f t="shared" si="1058"/>
        <v>-2.5478551351260439</v>
      </c>
      <c r="EA82" s="2968">
        <f t="shared" si="1059"/>
        <v>-998.02580982992356</v>
      </c>
      <c r="EB82" s="2968">
        <f t="shared" si="1059"/>
        <v>-997.21569212873146</v>
      </c>
      <c r="EC82" s="2968">
        <f t="shared" si="1059"/>
        <v>-0.81011770119223403</v>
      </c>
      <c r="ED82" s="2966">
        <f t="shared" si="1059"/>
        <v>-545.83325600000148</v>
      </c>
      <c r="EE82" s="2966">
        <f t="shared" si="1059"/>
        <v>-541.70612600000095</v>
      </c>
      <c r="EF82" s="2966">
        <f t="shared" si="1059"/>
        <v>-4.1271299999999993</v>
      </c>
      <c r="EG82" s="2969">
        <f t="shared" si="1059"/>
        <v>-3417.9212530000068</v>
      </c>
      <c r="EH82" s="2969">
        <f t="shared" si="1059"/>
        <v>-3412.9710000000068</v>
      </c>
      <c r="EI82" s="2969">
        <f t="shared" si="1059"/>
        <v>-4.9502529999999991</v>
      </c>
      <c r="EJ82" s="2964">
        <f t="shared" si="1060"/>
        <v>452.19255382992208</v>
      </c>
      <c r="EK82" s="2964">
        <f t="shared" si="1060"/>
        <v>455.50956612873051</v>
      </c>
      <c r="EL82" s="2964">
        <f t="shared" si="1060"/>
        <v>-3.3170122988077653</v>
      </c>
      <c r="EM82" s="2959">
        <f>SUM(EN82:EO82)</f>
        <v>332.67450096650066</v>
      </c>
      <c r="EN82" s="2959">
        <f t="shared" ref="EN82:EO82" si="1138">SUM(EN37-EN81)</f>
        <v>332.40656925479198</v>
      </c>
      <c r="EO82" s="2959">
        <f t="shared" si="1138"/>
        <v>0.26793171170868124</v>
      </c>
      <c r="EP82" s="2960">
        <f>SUM(EQ82:ER82)</f>
        <v>1997.8006300000027</v>
      </c>
      <c r="EQ82" s="2960">
        <f t="shared" ref="EQ82:ER82" si="1139">SUM(EQ37-EQ81)</f>
        <v>1998.3970000000027</v>
      </c>
      <c r="ER82" s="2959">
        <f t="shared" si="1139"/>
        <v>-0.59637000000000007</v>
      </c>
      <c r="ES82" s="2960">
        <f>SUM(ET82:EU82)</f>
        <v>1646.1157640000001</v>
      </c>
      <c r="ET82" s="2960">
        <f t="shared" ref="ET82:EU82" si="1140">SUM(ET37-ET81)</f>
        <v>1646.17</v>
      </c>
      <c r="EU82" s="2970">
        <f t="shared" si="1140"/>
        <v>-5.4235999999999951E-2</v>
      </c>
      <c r="EV82" s="2959">
        <f>SUM(EW82:EX82)</f>
        <v>332.67450096650066</v>
      </c>
      <c r="EW82" s="2959">
        <f t="shared" ref="EW82:EX82" si="1141">SUM(EW37-EW81)</f>
        <v>332.40656925479198</v>
      </c>
      <c r="EX82" s="2959">
        <f t="shared" si="1141"/>
        <v>0.26793171170868124</v>
      </c>
      <c r="EY82" s="2960">
        <f>SUM(EZ82:FA82)</f>
        <v>374.70740000000086</v>
      </c>
      <c r="EZ82" s="2960">
        <f t="shared" ref="EZ82:FA82" si="1142">SUM(EZ37-EZ81)</f>
        <v>375.01660000000084</v>
      </c>
      <c r="FA82" s="2970">
        <f t="shared" si="1142"/>
        <v>-0.30920000000000014</v>
      </c>
      <c r="FB82" s="2960">
        <f>SUM(FC82:FD82)</f>
        <v>376.13542500000091</v>
      </c>
      <c r="FC82" s="2960">
        <f t="shared" ref="FC82:FD82" si="1143">SUM(FC37-FC81)</f>
        <v>377.17400000000089</v>
      </c>
      <c r="FD82" s="2970">
        <f t="shared" si="1143"/>
        <v>-1.038575</v>
      </c>
      <c r="FE82" s="2959">
        <f>SUM(FF82:FG82)</f>
        <v>332.67450096650066</v>
      </c>
      <c r="FF82" s="2959">
        <f t="shared" ref="FF82:FG82" si="1144">SUM(FF37-FF81)</f>
        <v>332.40656925479198</v>
      </c>
      <c r="FG82" s="2959">
        <f t="shared" si="1144"/>
        <v>0.26793171170868124</v>
      </c>
      <c r="FH82" s="2960">
        <f>SUM(FI82:FJ82)</f>
        <v>-821.29799000000344</v>
      </c>
      <c r="FI82" s="2960">
        <f t="shared" ref="FI82:FJ82" si="1145">SUM(FI37-FI81)</f>
        <v>-821.34304000000338</v>
      </c>
      <c r="FJ82" s="2970">
        <f t="shared" si="1145"/>
        <v>4.5050000000000034E-2</v>
      </c>
      <c r="FK82" s="2960">
        <f>SUM(FL82:FM82)</f>
        <v>896.81268999999998</v>
      </c>
      <c r="FL82" s="2960">
        <f t="shared" ref="FL82:FM82" si="1146">SUM(FL37-FL81)</f>
        <v>895.26648999999998</v>
      </c>
      <c r="FM82" s="2970">
        <f t="shared" si="1146"/>
        <v>1.5461999999999998</v>
      </c>
      <c r="FN82" s="2912">
        <f t="shared" si="1070"/>
        <v>998.02350289950198</v>
      </c>
      <c r="FO82" s="2912">
        <f t="shared" si="1070"/>
        <v>997.21970776437593</v>
      </c>
      <c r="FP82" s="2912">
        <f t="shared" si="1070"/>
        <v>0.80379513512604372</v>
      </c>
      <c r="FQ82" s="2937">
        <f t="shared" si="1070"/>
        <v>1551.2100400000002</v>
      </c>
      <c r="FR82" s="2937">
        <f t="shared" si="1070"/>
        <v>1552.0705600000001</v>
      </c>
      <c r="FS82" s="2937">
        <f t="shared" si="1070"/>
        <v>-0.86052000000000017</v>
      </c>
      <c r="FT82" s="2937">
        <f t="shared" si="1070"/>
        <v>2919.0638790000012</v>
      </c>
      <c r="FU82" s="2937">
        <f t="shared" si="1070"/>
        <v>2918.6104900000009</v>
      </c>
      <c r="FV82" s="2937">
        <f t="shared" si="1070"/>
        <v>0.45338899999999982</v>
      </c>
      <c r="FW82" s="2938">
        <f t="shared" si="1071"/>
        <v>553.18653710049819</v>
      </c>
      <c r="FX82" s="2938">
        <f t="shared" si="1071"/>
        <v>554.85085223562419</v>
      </c>
      <c r="FY82" s="2938">
        <f t="shared" si="1071"/>
        <v>-1.6643151351260439</v>
      </c>
      <c r="FZ82" s="2912">
        <f t="shared" si="1072"/>
        <v>-2.3069304215823649E-3</v>
      </c>
      <c r="GA82" s="2912">
        <f t="shared" si="1072"/>
        <v>4.0156356444640551E-3</v>
      </c>
      <c r="GB82" s="2912">
        <f t="shared" si="1072"/>
        <v>-6.3225660661903049E-3</v>
      </c>
      <c r="GC82" s="2937">
        <f t="shared" si="1072"/>
        <v>1005.3767839999987</v>
      </c>
      <c r="GD82" s="2937">
        <f t="shared" si="1072"/>
        <v>1010.3644339999992</v>
      </c>
      <c r="GE82" s="2937">
        <f t="shared" si="1072"/>
        <v>-4.9876499999999995</v>
      </c>
      <c r="GF82" s="2937">
        <f t="shared" si="1072"/>
        <v>-498.85737400000562</v>
      </c>
      <c r="GG82" s="2937">
        <f t="shared" si="1072"/>
        <v>-494.36051000000589</v>
      </c>
      <c r="GH82" s="2937">
        <f t="shared" si="1072"/>
        <v>-4.4968639999999995</v>
      </c>
      <c r="GI82" s="2938">
        <f t="shared" si="683"/>
        <v>1005.3790909304203</v>
      </c>
      <c r="GJ82" s="2938">
        <f t="shared" si="683"/>
        <v>1010.3604183643547</v>
      </c>
      <c r="GK82" s="2938">
        <f t="shared" si="683"/>
        <v>-4.9813274339338092</v>
      </c>
      <c r="GL82" s="2674"/>
      <c r="GM82" s="523"/>
    </row>
    <row r="83" spans="1:195" ht="19.5" x14ac:dyDescent="0.3">
      <c r="A83" s="2910" t="s">
        <v>529</v>
      </c>
      <c r="B83" s="2959">
        <f>SUM(C83:D83)</f>
        <v>11569.219221636968</v>
      </c>
      <c r="C83" s="2959">
        <f t="shared" ref="C83:D83" si="1147">SUM(C81:C82)</f>
        <v>11566.67635265723</v>
      </c>
      <c r="D83" s="2959">
        <f t="shared" si="1147"/>
        <v>2.5428689797365074</v>
      </c>
      <c r="E83" s="2960">
        <f>SUM(F83:G83)</f>
        <v>12028.731443999999</v>
      </c>
      <c r="F83" s="2960">
        <f t="shared" ref="F83:G83" si="1148">SUM(F81:F82)</f>
        <v>12027.869444</v>
      </c>
      <c r="G83" s="2960">
        <f t="shared" si="1148"/>
        <v>0.86199999999999999</v>
      </c>
      <c r="H83" s="2960">
        <f>SUM(I83:J83)</f>
        <v>11593.035</v>
      </c>
      <c r="I83" s="2960">
        <f t="shared" ref="I83:J83" si="1149">SUM(I81:I82)</f>
        <v>11591.514999999999</v>
      </c>
      <c r="J83" s="2960">
        <f t="shared" si="1149"/>
        <v>1.52</v>
      </c>
      <c r="K83" s="2959">
        <f>SUM(L83:M83)</f>
        <v>11569.219221636968</v>
      </c>
      <c r="L83" s="2959">
        <f t="shared" ref="L83:M83" si="1150">SUM(L81:L82)</f>
        <v>11566.67635265723</v>
      </c>
      <c r="M83" s="2959">
        <f t="shared" si="1150"/>
        <v>2.5428689797365074</v>
      </c>
      <c r="N83" s="2960">
        <f>SUM(O83:P83)</f>
        <v>12167.62484</v>
      </c>
      <c r="O83" s="2960">
        <f t="shared" ref="O83:P83" si="1151">SUM(O81:O82)</f>
        <v>12167.349</v>
      </c>
      <c r="P83" s="2960">
        <f t="shared" si="1151"/>
        <v>0.27583999999999986</v>
      </c>
      <c r="Q83" s="2960">
        <f>SUM(R83:S83)</f>
        <v>11690.231679999999</v>
      </c>
      <c r="R83" s="2960">
        <f t="shared" ref="R83:S83" si="1152">SUM(R81:R82)</f>
        <v>11688.817999999999</v>
      </c>
      <c r="S83" s="2960">
        <f t="shared" si="1152"/>
        <v>1.41368</v>
      </c>
      <c r="T83" s="2959">
        <f>SUM(U83:V83)</f>
        <v>11569.219221636968</v>
      </c>
      <c r="U83" s="2959">
        <f t="shared" ref="U83:V83" si="1153">SUM(U81:U82)</f>
        <v>11566.67635265723</v>
      </c>
      <c r="V83" s="2959">
        <f t="shared" si="1153"/>
        <v>2.5428689797365074</v>
      </c>
      <c r="W83" s="2960">
        <f>SUM(X83:Y83)</f>
        <v>11697.45</v>
      </c>
      <c r="X83" s="2960">
        <f t="shared" ref="X83:Y83" si="1154">SUM(X81:X82)</f>
        <v>11697.071</v>
      </c>
      <c r="Y83" s="2960">
        <f t="shared" si="1154"/>
        <v>0.379</v>
      </c>
      <c r="Z83" s="2960">
        <f>SUM(AA83:AB83)</f>
        <v>11100.063199999999</v>
      </c>
      <c r="AA83" s="2960">
        <f t="shared" ref="AA83:AB83" si="1155">SUM(AA81:AA82)</f>
        <v>11098.683999999999</v>
      </c>
      <c r="AB83" s="2960">
        <f t="shared" si="1155"/>
        <v>1.3792</v>
      </c>
      <c r="AC83" s="2912">
        <f>SUM(B83+K83+T83)</f>
        <v>34707.657664910905</v>
      </c>
      <c r="AD83" s="2912">
        <f t="shared" si="1033"/>
        <v>34700.029057971689</v>
      </c>
      <c r="AE83" s="2912">
        <f t="shared" si="1033"/>
        <v>7.6286069392095222</v>
      </c>
      <c r="AF83" s="2966">
        <f t="shared" si="1033"/>
        <v>35893.806284000006</v>
      </c>
      <c r="AG83" s="2966">
        <f t="shared" si="1034"/>
        <v>35892.289443999995</v>
      </c>
      <c r="AH83" s="2966">
        <f t="shared" si="1034"/>
        <v>1.5168399999999997</v>
      </c>
      <c r="AI83" s="2966">
        <f t="shared" si="1034"/>
        <v>34383.329879999998</v>
      </c>
      <c r="AJ83" s="2966">
        <f t="shared" si="1034"/>
        <v>34379.017</v>
      </c>
      <c r="AK83" s="2966">
        <f t="shared" si="1034"/>
        <v>4.3128799999999998</v>
      </c>
      <c r="AL83" s="2938">
        <f t="shared" si="838"/>
        <v>1186.148619089101</v>
      </c>
      <c r="AM83" s="2938">
        <f t="shared" si="838"/>
        <v>1192.2603860283052</v>
      </c>
      <c r="AN83" s="2938">
        <f t="shared" si="838"/>
        <v>-6.111766939209522</v>
      </c>
      <c r="AO83" s="2959">
        <f>SUM(AP83:AQ83)</f>
        <v>11569.219221636968</v>
      </c>
      <c r="AP83" s="2959">
        <f t="shared" ref="AP83:AQ83" si="1156">SUM(AP81:AP82)</f>
        <v>11566.67635265723</v>
      </c>
      <c r="AQ83" s="2959">
        <f t="shared" si="1156"/>
        <v>2.5428689797365074</v>
      </c>
      <c r="AR83" s="2959">
        <f>SUM(AS83:AT83)</f>
        <v>12278.034000000001</v>
      </c>
      <c r="AS83" s="2959">
        <f t="shared" ref="AS83:AT83" si="1157">SUM(AS81:AS82)</f>
        <v>12275.379000000001</v>
      </c>
      <c r="AT83" s="2959">
        <f t="shared" si="1157"/>
        <v>2.6549999999999998</v>
      </c>
      <c r="AU83" s="2861">
        <f>SUM(AV83:AW83)</f>
        <v>11220.886999999999</v>
      </c>
      <c r="AV83" s="2861">
        <f t="shared" ref="AV83:AW83" si="1158">SUM(AV81:AV82)</f>
        <v>11219.179999999998</v>
      </c>
      <c r="AW83" s="2861">
        <f t="shared" si="1158"/>
        <v>1.7070000000000001</v>
      </c>
      <c r="AX83" s="2959">
        <f>SUM(AY83:AZ83)</f>
        <v>11569.219221636968</v>
      </c>
      <c r="AY83" s="2959">
        <f t="shared" ref="AY83:AZ83" si="1159">SUM(AY81:AY82)</f>
        <v>11566.67635265723</v>
      </c>
      <c r="AZ83" s="2959">
        <f t="shared" si="1159"/>
        <v>2.5428689797365074</v>
      </c>
      <c r="BA83" s="2960">
        <f>SUM(BB83:BC83)</f>
        <v>11720.865</v>
      </c>
      <c r="BB83" s="2960">
        <f t="shared" ref="BB83:BC83" si="1160">SUM(BB81:BB82)</f>
        <v>11719.71</v>
      </c>
      <c r="BC83" s="2960">
        <f t="shared" si="1160"/>
        <v>1.155</v>
      </c>
      <c r="BD83" s="2960">
        <f>SUM(BE83:BF83)</f>
        <v>10819.683999999999</v>
      </c>
      <c r="BE83" s="2960">
        <f t="shared" ref="BE83:BF83" si="1161">SUM(BE81:BE82)</f>
        <v>10817.96</v>
      </c>
      <c r="BF83" s="2960">
        <f t="shared" si="1161"/>
        <v>1.724</v>
      </c>
      <c r="BG83" s="2959">
        <f>SUM(BH83:BI83)</f>
        <v>11569.219221636968</v>
      </c>
      <c r="BH83" s="2959">
        <f t="shared" ref="BH83:BI83" si="1162">SUM(BH81:BH82)</f>
        <v>11566.67635265723</v>
      </c>
      <c r="BI83" s="2959">
        <f t="shared" si="1162"/>
        <v>2.5428689797365074</v>
      </c>
      <c r="BJ83" s="2960">
        <f>SUM(BK83:BL83)</f>
        <v>11758.468999999999</v>
      </c>
      <c r="BK83" s="2960">
        <f t="shared" ref="BK83:BL83" si="1163">SUM(BK81:BK82)</f>
        <v>11756.659</v>
      </c>
      <c r="BL83" s="2960">
        <f t="shared" si="1163"/>
        <v>1.81</v>
      </c>
      <c r="BM83" s="2960">
        <f>SUM(BN83:BO83)</f>
        <v>10945.355999999998</v>
      </c>
      <c r="BN83" s="2960">
        <f t="shared" ref="BN83:BO83" si="1164">SUM(BN81:BN82)</f>
        <v>10943.769999999999</v>
      </c>
      <c r="BO83" s="2960">
        <f t="shared" si="1164"/>
        <v>1.5860000000000001</v>
      </c>
      <c r="BP83" s="2912">
        <f t="shared" si="1044"/>
        <v>34707.657664910905</v>
      </c>
      <c r="BQ83" s="2912">
        <f t="shared" si="1044"/>
        <v>34700.029057971689</v>
      </c>
      <c r="BR83" s="2912">
        <f t="shared" si="1044"/>
        <v>7.6286069392095222</v>
      </c>
      <c r="BS83" s="2966">
        <f t="shared" si="1044"/>
        <v>35757.368000000002</v>
      </c>
      <c r="BT83" s="2966">
        <f t="shared" si="1044"/>
        <v>35751.748</v>
      </c>
      <c r="BU83" s="2966">
        <f t="shared" si="1044"/>
        <v>5.6199999999999992</v>
      </c>
      <c r="BV83" s="2966">
        <f t="shared" si="1044"/>
        <v>32985.926999999996</v>
      </c>
      <c r="BW83" s="2966">
        <f t="shared" si="1044"/>
        <v>32980.909999999996</v>
      </c>
      <c r="BX83" s="2966">
        <f t="shared" si="1044"/>
        <v>5.0170000000000003</v>
      </c>
      <c r="BY83" s="2964">
        <f t="shared" si="1045"/>
        <v>1049.7103350890975</v>
      </c>
      <c r="BZ83" s="2964">
        <f t="shared" si="1045"/>
        <v>1051.7189420283103</v>
      </c>
      <c r="CA83" s="2964">
        <f t="shared" si="1045"/>
        <v>-2.0086069392095229</v>
      </c>
      <c r="CB83" s="2912">
        <f t="shared" si="1046"/>
        <v>69415.315329821809</v>
      </c>
      <c r="CC83" s="2912">
        <f t="shared" si="1046"/>
        <v>69400.058115943379</v>
      </c>
      <c r="CD83" s="2912">
        <f t="shared" si="1046"/>
        <v>15.257213878419044</v>
      </c>
      <c r="CE83" s="2966">
        <f t="shared" si="1046"/>
        <v>71651.174284000008</v>
      </c>
      <c r="CF83" s="2966">
        <f t="shared" si="1046"/>
        <v>71644.037443999987</v>
      </c>
      <c r="CG83" s="2966">
        <f t="shared" si="1046"/>
        <v>7.1368399999999994</v>
      </c>
      <c r="CH83" s="2966">
        <f t="shared" si="1046"/>
        <v>67369.256880000001</v>
      </c>
      <c r="CI83" s="2966">
        <f t="shared" si="1046"/>
        <v>67359.926999999996</v>
      </c>
      <c r="CJ83" s="2966">
        <f t="shared" si="1046"/>
        <v>9.3298799999999993</v>
      </c>
      <c r="CK83" s="2964">
        <f t="shared" si="1047"/>
        <v>2235.8589541781985</v>
      </c>
      <c r="CL83" s="2964">
        <f t="shared" si="1047"/>
        <v>2243.9793280566082</v>
      </c>
      <c r="CM83" s="2964">
        <f t="shared" si="1047"/>
        <v>-8.1203738784190449</v>
      </c>
      <c r="CN83" s="2959">
        <f>SUM(CO83:CP83)</f>
        <v>12273.881093657565</v>
      </c>
      <c r="CO83" s="2959">
        <f t="shared" ref="CO83:CP83" si="1165">SUM(CO81:CO82)</f>
        <v>12270.794260032893</v>
      </c>
      <c r="CP83" s="2959">
        <f t="shared" si="1165"/>
        <v>3.0868336246705601</v>
      </c>
      <c r="CQ83" s="2960">
        <f>SUM(CR83:CS83)</f>
        <v>11383.475999999999</v>
      </c>
      <c r="CR83" s="2960">
        <f t="shared" ref="CR83:CS83" si="1166">SUM(CR81:CR82)</f>
        <v>11381.717999999999</v>
      </c>
      <c r="CS83" s="2960">
        <f t="shared" si="1166"/>
        <v>1.758</v>
      </c>
      <c r="CT83" s="2960">
        <f>SUM(CU83:CV83)</f>
        <v>10779.901600000001</v>
      </c>
      <c r="CU83" s="2960">
        <f t="shared" ref="CU83:CV83" si="1167">SUM(CU81:CU82)</f>
        <v>10778.35</v>
      </c>
      <c r="CV83" s="2960">
        <f t="shared" si="1167"/>
        <v>1.5516000000000001</v>
      </c>
      <c r="CW83" s="2959">
        <f>SUM(CX83:CY83)</f>
        <v>12273.881093657565</v>
      </c>
      <c r="CX83" s="2959">
        <f t="shared" ref="CX83:CY83" si="1168">SUM(CX81:CX82)</f>
        <v>12270.794260032893</v>
      </c>
      <c r="CY83" s="2959">
        <f t="shared" si="1168"/>
        <v>3.0868336246705601</v>
      </c>
      <c r="CZ83" s="2960">
        <f>SUM(DA83:DB83)</f>
        <v>12001.514999999999</v>
      </c>
      <c r="DA83" s="2960">
        <f t="shared" ref="DA83:DB83" si="1169">SUM(DA81:DA82)</f>
        <v>11999.945</v>
      </c>
      <c r="DB83" s="2960">
        <f t="shared" si="1169"/>
        <v>1.57</v>
      </c>
      <c r="DC83" s="2960">
        <f>SUM(DD83:DE83)</f>
        <v>11173.18</v>
      </c>
      <c r="DD83" s="2960">
        <f t="shared" ref="DD83:DE83" si="1170">SUM(DD81:DD82)</f>
        <v>11172.68</v>
      </c>
      <c r="DE83" s="2960">
        <f t="shared" si="1170"/>
        <v>0.5</v>
      </c>
      <c r="DF83" s="2959">
        <f>SUM(DG83:DH83)</f>
        <v>12273.881093657565</v>
      </c>
      <c r="DG83" s="2959">
        <f t="shared" ref="DG83:DH83" si="1171">SUM(DG81:DG82)</f>
        <v>12270.794260032893</v>
      </c>
      <c r="DH83" s="2959">
        <f t="shared" si="1171"/>
        <v>3.0868336246705601</v>
      </c>
      <c r="DI83" s="2960">
        <f>SUM(DJ83:DK83)</f>
        <v>12403.041999999999</v>
      </c>
      <c r="DJ83" s="2960">
        <f t="shared" ref="DJ83:DK83" si="1172">SUM(DJ81:DJ82)</f>
        <v>12402.519</v>
      </c>
      <c r="DK83" s="2960">
        <f t="shared" si="1172"/>
        <v>0.52300000000000013</v>
      </c>
      <c r="DL83" s="2960">
        <f>SUM(DM83:DN83)</f>
        <v>12249.831839999999</v>
      </c>
      <c r="DM83" s="2960">
        <f t="shared" ref="DM83:DN83" si="1173">SUM(DM81:DM82)</f>
        <v>12248.694</v>
      </c>
      <c r="DN83" s="2960">
        <f t="shared" si="1173"/>
        <v>1.1378400000000002</v>
      </c>
      <c r="DO83" s="2912">
        <f t="shared" si="1057"/>
        <v>36821.643280972698</v>
      </c>
      <c r="DP83" s="2912">
        <f t="shared" si="1057"/>
        <v>36812.382780098676</v>
      </c>
      <c r="DQ83" s="2912">
        <f t="shared" si="1057"/>
        <v>9.2605008740116794</v>
      </c>
      <c r="DR83" s="2966">
        <f t="shared" si="1057"/>
        <v>35788.032999999996</v>
      </c>
      <c r="DS83" s="2966">
        <f t="shared" si="1057"/>
        <v>35784.182000000001</v>
      </c>
      <c r="DT83" s="2966">
        <f t="shared" si="1057"/>
        <v>3.8510000000000004</v>
      </c>
      <c r="DU83" s="2966">
        <f t="shared" si="1057"/>
        <v>34202.913440000004</v>
      </c>
      <c r="DV83" s="2966">
        <f t="shared" si="1057"/>
        <v>34199.724000000002</v>
      </c>
      <c r="DW83" s="2966">
        <f t="shared" si="1057"/>
        <v>3.1894400000000003</v>
      </c>
      <c r="DX83" s="2964">
        <f t="shared" si="1058"/>
        <v>-1033.6102809727017</v>
      </c>
      <c r="DY83" s="2964">
        <f t="shared" si="1058"/>
        <v>-1028.2007800986758</v>
      </c>
      <c r="DZ83" s="2964">
        <f t="shared" si="1058"/>
        <v>-5.4095008740116786</v>
      </c>
      <c r="EA83" s="2968">
        <f t="shared" si="1059"/>
        <v>106236.95861079451</v>
      </c>
      <c r="EB83" s="2968">
        <f t="shared" si="1059"/>
        <v>106212.44089604206</v>
      </c>
      <c r="EC83" s="2968">
        <f t="shared" si="1059"/>
        <v>24.517714752430724</v>
      </c>
      <c r="ED83" s="2966">
        <f t="shared" si="1059"/>
        <v>107439.207284</v>
      </c>
      <c r="EE83" s="2966">
        <f t="shared" si="1059"/>
        <v>107428.21944399999</v>
      </c>
      <c r="EF83" s="2966">
        <f t="shared" si="1059"/>
        <v>10.98784</v>
      </c>
      <c r="EG83" s="2969">
        <f t="shared" si="1059"/>
        <v>101572.17032</v>
      </c>
      <c r="EH83" s="2969">
        <f t="shared" si="1059"/>
        <v>101559.651</v>
      </c>
      <c r="EI83" s="2969">
        <f t="shared" si="1059"/>
        <v>12.51932</v>
      </c>
      <c r="EJ83" s="2964">
        <f t="shared" si="1060"/>
        <v>1202.2486732054967</v>
      </c>
      <c r="EK83" s="2964">
        <f t="shared" si="1060"/>
        <v>1215.7785479579325</v>
      </c>
      <c r="EL83" s="2964">
        <f t="shared" si="1060"/>
        <v>-13.529874752430723</v>
      </c>
      <c r="EM83" s="2959">
        <f>SUM(EN83:EO83)</f>
        <v>12273.881093657565</v>
      </c>
      <c r="EN83" s="2959">
        <f t="shared" ref="EN83:EO83" si="1174">SUM(EN81:EN82)</f>
        <v>12270.794260032893</v>
      </c>
      <c r="EO83" s="2959">
        <f t="shared" si="1174"/>
        <v>3.0868336246705601</v>
      </c>
      <c r="EP83" s="2960">
        <f>SUM(EQ83:ER83)</f>
        <v>12696.303000000002</v>
      </c>
      <c r="EQ83" s="2960">
        <f t="shared" ref="EQ83:ER83" si="1175">SUM(EQ81:EQ82)</f>
        <v>12695.738000000001</v>
      </c>
      <c r="ER83" s="2959">
        <f t="shared" si="1175"/>
        <v>0.56499999999999995</v>
      </c>
      <c r="ES83" s="2960">
        <f>SUM(ET83:EU83)</f>
        <v>11589.081679999999</v>
      </c>
      <c r="ET83" s="2960">
        <f t="shared" ref="ET83:EU83" si="1176">SUM(ET81:ET82)</f>
        <v>11588.099</v>
      </c>
      <c r="EU83" s="2960">
        <f t="shared" si="1176"/>
        <v>0.98268</v>
      </c>
      <c r="EV83" s="2959">
        <f>SUM(EW83:EX83)</f>
        <v>12273.881093657565</v>
      </c>
      <c r="EW83" s="2959">
        <f t="shared" ref="EW83:EX83" si="1177">SUM(EW81:EW82)</f>
        <v>12270.794260032893</v>
      </c>
      <c r="EX83" s="2959">
        <f t="shared" si="1177"/>
        <v>3.0868336246705601</v>
      </c>
      <c r="EY83" s="2960">
        <f>SUM(EZ83:FA83)</f>
        <v>12598.411000000002</v>
      </c>
      <c r="EZ83" s="2960">
        <f t="shared" ref="EZ83:FA83" si="1178">SUM(EZ81:EZ82)</f>
        <v>12596.925000000001</v>
      </c>
      <c r="FA83" s="2960">
        <f t="shared" si="1178"/>
        <v>1.486</v>
      </c>
      <c r="FB83" s="2960">
        <f>SUM(FC83:FD83)</f>
        <v>12060.857000000002</v>
      </c>
      <c r="FC83" s="2960">
        <f t="shared" ref="FC83:FD83" si="1179">SUM(FC81:FC82)</f>
        <v>12060.202000000001</v>
      </c>
      <c r="FD83" s="2960">
        <f t="shared" si="1179"/>
        <v>0.65500000000000003</v>
      </c>
      <c r="FE83" s="2959">
        <f>SUM(FF83:FG83)</f>
        <v>12273.881093657565</v>
      </c>
      <c r="FF83" s="2959">
        <f t="shared" ref="FF83:FG83" si="1180">SUM(FF81:FF82)</f>
        <v>12270.794260032893</v>
      </c>
      <c r="FG83" s="2959">
        <f t="shared" si="1180"/>
        <v>3.0868336246705601</v>
      </c>
      <c r="FH83" s="2960">
        <f>SUM(FI83:FJ83)</f>
        <v>12721.633999999998</v>
      </c>
      <c r="FI83" s="2960">
        <f t="shared" ref="FI83:FJ83" si="1181">SUM(FI81:FI82)</f>
        <v>12719.833999999999</v>
      </c>
      <c r="FJ83" s="2960">
        <f t="shared" si="1181"/>
        <v>1.8</v>
      </c>
      <c r="FK83" s="2960">
        <f>SUM(FL83:FM83)</f>
        <v>12063.278</v>
      </c>
      <c r="FL83" s="2960">
        <f t="shared" ref="FL83:FM83" si="1182">SUM(FL81:FL82)</f>
        <v>12061.368</v>
      </c>
      <c r="FM83" s="2960">
        <f t="shared" si="1182"/>
        <v>1.9099999999999997</v>
      </c>
      <c r="FN83" s="2912">
        <f t="shared" si="1070"/>
        <v>36821.643280972698</v>
      </c>
      <c r="FO83" s="2912">
        <f t="shared" si="1070"/>
        <v>36812.382780098676</v>
      </c>
      <c r="FP83" s="2912">
        <f t="shared" si="1070"/>
        <v>9.2605008740116794</v>
      </c>
      <c r="FQ83" s="2937">
        <f t="shared" si="1070"/>
        <v>38016.347999999998</v>
      </c>
      <c r="FR83" s="2937">
        <f t="shared" si="1070"/>
        <v>38012.497000000003</v>
      </c>
      <c r="FS83" s="2937">
        <f t="shared" si="1070"/>
        <v>3.851</v>
      </c>
      <c r="FT83" s="2937">
        <f t="shared" si="1070"/>
        <v>35713.216679999998</v>
      </c>
      <c r="FU83" s="2937">
        <f t="shared" si="1070"/>
        <v>35709.669000000002</v>
      </c>
      <c r="FV83" s="2937">
        <f t="shared" si="1070"/>
        <v>3.5476799999999997</v>
      </c>
      <c r="FW83" s="2938">
        <f t="shared" si="1071"/>
        <v>1194.7047190273006</v>
      </c>
      <c r="FX83" s="2938">
        <f t="shared" si="1071"/>
        <v>1200.1142199013266</v>
      </c>
      <c r="FY83" s="2938">
        <f t="shared" si="1071"/>
        <v>-5.4095008740116794</v>
      </c>
      <c r="FZ83" s="2912">
        <f t="shared" si="1072"/>
        <v>143058.6018917672</v>
      </c>
      <c r="GA83" s="2912">
        <f t="shared" si="1072"/>
        <v>143024.82367614075</v>
      </c>
      <c r="GB83" s="2912">
        <f t="shared" si="1072"/>
        <v>33.778215626442403</v>
      </c>
      <c r="GC83" s="2937">
        <f t="shared" si="1072"/>
        <v>145455.555284</v>
      </c>
      <c r="GD83" s="2937">
        <f t="shared" si="1072"/>
        <v>145440.71644399999</v>
      </c>
      <c r="GE83" s="2937">
        <f t="shared" si="1072"/>
        <v>14.838840000000001</v>
      </c>
      <c r="GF83" s="2937">
        <f t="shared" si="1072"/>
        <v>137285.38699999999</v>
      </c>
      <c r="GG83" s="2937">
        <f t="shared" si="1072"/>
        <v>137269.32</v>
      </c>
      <c r="GH83" s="2937">
        <f t="shared" si="1072"/>
        <v>16.067</v>
      </c>
      <c r="GI83" s="2938">
        <f t="shared" si="683"/>
        <v>2396.9533922327973</v>
      </c>
      <c r="GJ83" s="2938">
        <f t="shared" si="683"/>
        <v>2415.8927678592445</v>
      </c>
      <c r="GK83" s="2938">
        <f t="shared" si="683"/>
        <v>-18.939375626442402</v>
      </c>
      <c r="GL83" s="2674"/>
      <c r="GM83" s="523"/>
    </row>
    <row r="84" spans="1:195" ht="18.75" x14ac:dyDescent="0.3">
      <c r="A84" s="2965" t="s">
        <v>69</v>
      </c>
      <c r="B84" s="2861">
        <f>SUM(B83/B77)</f>
        <v>39.593045532863165</v>
      </c>
      <c r="C84" s="2861">
        <f t="shared" ref="C84:D84" si="1183">SUM(C83/C77)</f>
        <v>39.604332571079951</v>
      </c>
      <c r="D84" s="2861">
        <f t="shared" si="1183"/>
        <v>17.241737912101982</v>
      </c>
      <c r="E84" s="2861">
        <f>SUM(E83/E77)</f>
        <v>39.577438954492656</v>
      </c>
      <c r="F84" s="2861">
        <f t="shared" ref="F84:G84" si="1184">SUM(F83/F77)</f>
        <v>39.581114338272798</v>
      </c>
      <c r="G84" s="2861">
        <f t="shared" si="1184"/>
        <v>17.239999999999998</v>
      </c>
      <c r="H84" s="2861">
        <f>SUM(H83/H77)</f>
        <v>38.078492105461962</v>
      </c>
      <c r="I84" s="2861">
        <f t="shared" ref="I84:J84" si="1185">SUM(I83/I77)</f>
        <v>38.084507643833184</v>
      </c>
      <c r="J84" s="2861">
        <f t="shared" si="1185"/>
        <v>17.272727272727273</v>
      </c>
      <c r="K84" s="2861">
        <f>SUM(K83/K77)</f>
        <v>39.593045532863165</v>
      </c>
      <c r="L84" s="2861">
        <f t="shared" ref="L84:M84" si="1186">SUM(L83/L77)</f>
        <v>39.604332571079951</v>
      </c>
      <c r="M84" s="2861">
        <f t="shared" si="1186"/>
        <v>17.241737912101982</v>
      </c>
      <c r="N84" s="2861">
        <f>SUM(N83/N77)</f>
        <v>39.578650159874307</v>
      </c>
      <c r="O84" s="2861">
        <f t="shared" ref="O84:P84" si="1187">SUM(O83/O77)</f>
        <v>39.579812825091977</v>
      </c>
      <c r="P84" s="2861">
        <f t="shared" si="1187"/>
        <v>17.239999999999991</v>
      </c>
      <c r="Q84" s="2861">
        <f>SUM(Q83/Q77)</f>
        <v>38.083148231400216</v>
      </c>
      <c r="R84" s="2861">
        <f t="shared" ref="R84:S84" si="1188">SUM(R83/R77)</f>
        <v>38.08871756103283</v>
      </c>
      <c r="S84" s="2861">
        <f t="shared" si="1188"/>
        <v>17.239999999999998</v>
      </c>
      <c r="T84" s="2861">
        <f>SUM(T83/T77)</f>
        <v>39.593045532863165</v>
      </c>
      <c r="U84" s="2861">
        <f t="shared" ref="U84:V84" si="1189">SUM(U83/U77)</f>
        <v>39.604332571079951</v>
      </c>
      <c r="V84" s="2861">
        <f t="shared" si="1189"/>
        <v>17.241737912101982</v>
      </c>
      <c r="W84" s="2861">
        <f>SUM(W83/W77)</f>
        <v>39.58152865379931</v>
      </c>
      <c r="X84" s="2861">
        <f t="shared" ref="X84:Y84" si="1190">SUM(X83/X77)</f>
        <v>39.583192896252534</v>
      </c>
      <c r="Y84" s="2861">
        <f t="shared" si="1190"/>
        <v>17.22727272727273</v>
      </c>
      <c r="Z84" s="2861">
        <f>SUM(Z83/Z77)</f>
        <v>38.08813475573978</v>
      </c>
      <c r="AA84" s="2861">
        <f t="shared" ref="AA84:AB84" si="1191">SUM(AA83/AA77)</f>
        <v>38.093859296861858</v>
      </c>
      <c r="AB84" s="2861">
        <f t="shared" si="1191"/>
        <v>17.239999999999998</v>
      </c>
      <c r="AC84" s="2962">
        <f>SUM(AC83/AC77)</f>
        <v>39.593045532863165</v>
      </c>
      <c r="AD84" s="2962">
        <f t="shared" ref="AD84:AE84" si="1192">SUM(AD83/AD77)</f>
        <v>39.604332571079944</v>
      </c>
      <c r="AE84" s="2962">
        <f t="shared" si="1192"/>
        <v>17.241737912101982</v>
      </c>
      <c r="AF84" s="2962">
        <f>SUM(AF83/AF77)</f>
        <v>39.579182261055976</v>
      </c>
      <c r="AG84" s="2962">
        <f t="shared" ref="AG84:AH84" si="1193">SUM(AG83/AG77)</f>
        <v>39.581350470556835</v>
      </c>
      <c r="AH84" s="2962">
        <f t="shared" si="1193"/>
        <v>17.23681818181818</v>
      </c>
      <c r="AI84" s="2962">
        <f>SUM(AI83/AI77)</f>
        <v>38.083187734812505</v>
      </c>
      <c r="AJ84" s="2962">
        <f t="shared" ref="AJ84:AK84" si="1194">SUM(AJ83/AJ77)</f>
        <v>38.08895765335177</v>
      </c>
      <c r="AK84" s="2962">
        <f t="shared" si="1194"/>
        <v>17.251519999999999</v>
      </c>
      <c r="AL84" s="2938">
        <f t="shared" si="838"/>
        <v>-1.3863271807188937E-2</v>
      </c>
      <c r="AM84" s="2938">
        <f t="shared" si="838"/>
        <v>-2.2982100523108784E-2</v>
      </c>
      <c r="AN84" s="2938">
        <f t="shared" si="838"/>
        <v>-4.919730283802437E-3</v>
      </c>
      <c r="AO84" s="2959">
        <f>SUM(AO83/AO77)</f>
        <v>39.593045532863165</v>
      </c>
      <c r="AP84" s="2959">
        <f t="shared" ref="AP84:AQ84" si="1195">SUM(AP83/AP77)</f>
        <v>39.604332571079951</v>
      </c>
      <c r="AQ84" s="2959">
        <f t="shared" si="1195"/>
        <v>17.241737912101982</v>
      </c>
      <c r="AR84" s="2959">
        <f>SUM(AR83/AR77)</f>
        <v>39.570564841015596</v>
      </c>
      <c r="AS84" s="2959">
        <f t="shared" ref="AS84:AT84" si="1196">SUM(AS83/AS77)</f>
        <v>39.58165338182944</v>
      </c>
      <c r="AT84" s="2959">
        <f t="shared" si="1196"/>
        <v>17.240259740259738</v>
      </c>
      <c r="AU84" s="2861">
        <f>SUM(AU83/AU77)</f>
        <v>38.087257730559045</v>
      </c>
      <c r="AV84" s="2861">
        <f t="shared" ref="AV84:AW84" si="1197">SUM(AV83/AV77)</f>
        <v>38.094264730349629</v>
      </c>
      <c r="AW84" s="2861">
        <f t="shared" si="1197"/>
        <v>17.242424242424242</v>
      </c>
      <c r="AX84" s="2861">
        <f>SUM(AX83/AX77)</f>
        <v>39.593045532863165</v>
      </c>
      <c r="AY84" s="2861">
        <f t="shared" ref="AY84:AZ84" si="1198">SUM(AY83/AY77)</f>
        <v>39.604332571079951</v>
      </c>
      <c r="AZ84" s="2861">
        <f t="shared" si="1198"/>
        <v>17.241737912101982</v>
      </c>
      <c r="BA84" s="2861">
        <f>SUM(BA83/BA77)</f>
        <v>39.577547478738182</v>
      </c>
      <c r="BB84" s="2861">
        <f t="shared" ref="BB84:BC84" si="1199">SUM(BB83/BB77)</f>
        <v>39.582602476700806</v>
      </c>
      <c r="BC84" s="2861">
        <f t="shared" si="1199"/>
        <v>17.238805970149254</v>
      </c>
      <c r="BD84" s="2861">
        <f>SUM(BD83/BD77)</f>
        <v>38.087286500795557</v>
      </c>
      <c r="BE84" s="2861">
        <f t="shared" ref="BE84:BF84" si="1200">SUM(BE83/BE77)</f>
        <v>38.09462771501817</v>
      </c>
      <c r="BF84" s="2861">
        <f t="shared" si="1200"/>
        <v>17.239999999999998</v>
      </c>
      <c r="BG84" s="2861">
        <f>SUM(BG83/BG77)</f>
        <v>39.593045532863165</v>
      </c>
      <c r="BH84" s="2861">
        <f t="shared" ref="BH84:BI84" si="1201">SUM(BH83/BH77)</f>
        <v>39.604332571079951</v>
      </c>
      <c r="BI84" s="2861">
        <f t="shared" si="1201"/>
        <v>17.241737912101982</v>
      </c>
      <c r="BJ84" s="2861">
        <f>SUM(BJ83/BJ77)</f>
        <v>39.578145037782519</v>
      </c>
      <c r="BK84" s="2861">
        <f t="shared" ref="BK84:BL84" si="1202">SUM(BK83/BK77)</f>
        <v>39.586043301121251</v>
      </c>
      <c r="BL84" s="2861">
        <f t="shared" si="1202"/>
        <v>17.238095238095241</v>
      </c>
      <c r="BM84" s="2861">
        <f>SUM(BM83/BM77)</f>
        <v>38.085640319011219</v>
      </c>
      <c r="BN84" s="2861">
        <f t="shared" ref="BN84:CJ84" si="1203">SUM(BN83/BN77)</f>
        <v>38.092315938961896</v>
      </c>
      <c r="BO84" s="2861">
        <f t="shared" si="1203"/>
        <v>17.239130434782609</v>
      </c>
      <c r="BP84" s="2962">
        <f t="shared" si="1203"/>
        <v>39.593045532863165</v>
      </c>
      <c r="BQ84" s="2962">
        <f t="shared" si="1203"/>
        <v>39.604332571079944</v>
      </c>
      <c r="BR84" s="2962">
        <f t="shared" si="1203"/>
        <v>17.241737912101982</v>
      </c>
      <c r="BS84" s="2962">
        <f t="shared" si="1203"/>
        <v>39.57534604322791</v>
      </c>
      <c r="BT84" s="2962">
        <f t="shared" si="1203"/>
        <v>39.583408000690646</v>
      </c>
      <c r="BU84" s="2962">
        <f t="shared" si="1203"/>
        <v>17.239263803680977</v>
      </c>
      <c r="BV84" s="2962">
        <f t="shared" si="1203"/>
        <v>38.086730464140473</v>
      </c>
      <c r="BW84" s="2962">
        <f t="shared" si="1203"/>
        <v>38.093737114265345</v>
      </c>
      <c r="BX84" s="2962">
        <f t="shared" si="1203"/>
        <v>17.240549828178693</v>
      </c>
      <c r="BY84" s="2938">
        <f t="shared" si="1045"/>
        <v>-1.7699489635255361E-2</v>
      </c>
      <c r="BZ84" s="2938">
        <f t="shared" si="1045"/>
        <v>-2.0924570389297514E-2</v>
      </c>
      <c r="CA84" s="2938">
        <f t="shared" si="1045"/>
        <v>-2.474108421004928E-3</v>
      </c>
      <c r="CB84" s="2962">
        <f t="shared" si="1203"/>
        <v>39.593045532863165</v>
      </c>
      <c r="CC84" s="2962">
        <f t="shared" si="1203"/>
        <v>39.604332571079944</v>
      </c>
      <c r="CD84" s="2962">
        <f t="shared" si="1203"/>
        <v>17.241737912101982</v>
      </c>
      <c r="CE84" s="2962">
        <f t="shared" si="1203"/>
        <v>39.57726771164743</v>
      </c>
      <c r="CF84" s="2962">
        <f t="shared" si="1203"/>
        <v>39.582377190795569</v>
      </c>
      <c r="CG84" s="2962">
        <f t="shared" si="1203"/>
        <v>17.238743961352654</v>
      </c>
      <c r="CH84" s="2962">
        <f t="shared" si="1203"/>
        <v>38.084922274696112</v>
      </c>
      <c r="CI84" s="2962">
        <f t="shared" si="1203"/>
        <v>38.09129763325889</v>
      </c>
      <c r="CJ84" s="2962">
        <f t="shared" si="1203"/>
        <v>17.245619223659887</v>
      </c>
      <c r="CK84" s="2938">
        <f t="shared" si="1047"/>
        <v>-1.5777821215735344E-2</v>
      </c>
      <c r="CL84" s="2938">
        <f t="shared" si="1047"/>
        <v>-2.1955380284374826E-2</v>
      </c>
      <c r="CM84" s="2938">
        <f t="shared" si="1047"/>
        <v>-2.9939507493281781E-3</v>
      </c>
      <c r="CN84" s="2861">
        <f>SUM(CN83/CN77)</f>
        <v>42.004591986404776</v>
      </c>
      <c r="CO84" s="2861">
        <f t="shared" ref="CO84:CP84" si="1204">SUM(CO83/CO77)</f>
        <v>42.015234278946295</v>
      </c>
      <c r="CP84" s="2861">
        <f t="shared" si="1204"/>
        <v>20.930050568452209</v>
      </c>
      <c r="CQ84" s="2861">
        <f>SUM(CQ83/CQ77)</f>
        <v>41.983602627415252</v>
      </c>
      <c r="CR84" s="2861">
        <f t="shared" ref="CR84:CS84" si="1205">SUM(CR83/CR77)</f>
        <v>41.990127537750354</v>
      </c>
      <c r="CS84" s="2861">
        <f t="shared" si="1205"/>
        <v>20.928571428571427</v>
      </c>
      <c r="CT84" s="2861">
        <f>SUM(CT83/CT77)</f>
        <v>39.577659198732334</v>
      </c>
      <c r="CU84" s="2861">
        <f t="shared" ref="CU84:CV84" si="1206">SUM(CU83/CU77)</f>
        <v>39.585042643069684</v>
      </c>
      <c r="CV84" s="2861">
        <f t="shared" si="1206"/>
        <v>17.240000000000002</v>
      </c>
      <c r="CW84" s="2861">
        <f>SUM(CW83/CW77)</f>
        <v>42.004591986404776</v>
      </c>
      <c r="CX84" s="2861">
        <f t="shared" ref="CX84:CY84" si="1207">SUM(CX83/CX77)</f>
        <v>42.015234278946295</v>
      </c>
      <c r="CY84" s="2861">
        <f t="shared" si="1207"/>
        <v>20.930050568452209</v>
      </c>
      <c r="CZ84" s="2861">
        <f>SUM(CZ83/CZ77)</f>
        <v>41.987562754736125</v>
      </c>
      <c r="DA84" s="2861">
        <f t="shared" ref="DA84:DB84" si="1208">SUM(DA83/DA77)</f>
        <v>41.993088605823068</v>
      </c>
      <c r="DB84" s="2861">
        <f t="shared" si="1208"/>
        <v>20.933333333333334</v>
      </c>
      <c r="DC84" s="2861">
        <f>SUM(DC83/DC77)</f>
        <v>39.585031692669503</v>
      </c>
      <c r="DD84" s="2861">
        <f t="shared" ref="DD84:DE84" si="1209">SUM(DD83/DD77)</f>
        <v>39.587327582205496</v>
      </c>
      <c r="DE84" s="2861">
        <f t="shared" si="1209"/>
        <v>17.241379310344826</v>
      </c>
      <c r="DF84" s="2861">
        <f>SUM(DF83/DF77)</f>
        <v>42.004591986404776</v>
      </c>
      <c r="DG84" s="2861">
        <f t="shared" ref="DG84:DH84" si="1210">SUM(DG83/DG77)</f>
        <v>42.015234278946295</v>
      </c>
      <c r="DH84" s="2861">
        <f t="shared" si="1210"/>
        <v>20.930050568452209</v>
      </c>
      <c r="DI84" s="2861">
        <f>SUM(DI83/DI77)</f>
        <v>41.993675407560389</v>
      </c>
      <c r="DJ84" s="2861">
        <f t="shared" ref="DJ84:DK84" si="1211">SUM(DJ83/DJ77)</f>
        <v>41.995459316696575</v>
      </c>
      <c r="DK84" s="2861">
        <f t="shared" si="1211"/>
        <v>20.920000000000005</v>
      </c>
      <c r="DL84" s="2861">
        <f>SUM(DL83/DL77)</f>
        <v>39.580338098596819</v>
      </c>
      <c r="DM84" s="2861">
        <f t="shared" ref="DM84:DN84" si="1212">SUM(DM83/DM77)</f>
        <v>39.585103238695943</v>
      </c>
      <c r="DN84" s="2861">
        <f t="shared" si="1212"/>
        <v>17.240000000000002</v>
      </c>
      <c r="DO84" s="2962">
        <f>SUM(DO83/DO77)</f>
        <v>42.004591986404783</v>
      </c>
      <c r="DP84" s="2962">
        <f t="shared" ref="DP84:DW84" si="1213">SUM(DP83/DP77)</f>
        <v>42.015234278946295</v>
      </c>
      <c r="DQ84" s="2962">
        <f t="shared" si="1213"/>
        <v>20.930050568452206</v>
      </c>
      <c r="DR84" s="2962">
        <f>SUM(DR83/DR77)</f>
        <v>41.988421165016874</v>
      </c>
      <c r="DS84" s="2962">
        <f t="shared" si="1213"/>
        <v>41.992968349357568</v>
      </c>
      <c r="DT84" s="2962">
        <f t="shared" si="1213"/>
        <v>20.929347826086961</v>
      </c>
      <c r="DU84" s="2962">
        <f>SUM(DU83/DU77)</f>
        <v>39.581026821551319</v>
      </c>
      <c r="DV84" s="2962">
        <f t="shared" si="1213"/>
        <v>39.585810782198145</v>
      </c>
      <c r="DW84" s="2962">
        <f t="shared" si="1213"/>
        <v>17.240216216216218</v>
      </c>
      <c r="DX84" s="2938">
        <f t="shared" si="1058"/>
        <v>-1.6170821387909484E-2</v>
      </c>
      <c r="DY84" s="2938">
        <f t="shared" si="1058"/>
        <v>-2.2265929588726863E-2</v>
      </c>
      <c r="DZ84" s="2938">
        <f t="shared" si="1058"/>
        <v>-7.0274236524525691E-4</v>
      </c>
      <c r="EA84" s="2962">
        <f>SUM(EA83/EA77)</f>
        <v>40.396894350710369</v>
      </c>
      <c r="EB84" s="2962">
        <f t="shared" ref="EB84:EI84" si="1214">SUM(EB83/EB77)</f>
        <v>40.407966473702061</v>
      </c>
      <c r="EC84" s="2962">
        <f t="shared" si="1214"/>
        <v>18.471175464218724</v>
      </c>
      <c r="ED84" s="2962">
        <f>SUM(ED83/ED77)</f>
        <v>40.349066027580513</v>
      </c>
      <c r="EE84" s="2962">
        <f t="shared" si="1214"/>
        <v>40.354002234944076</v>
      </c>
      <c r="EF84" s="2962">
        <f t="shared" si="1214"/>
        <v>18.374314381270899</v>
      </c>
      <c r="EG84" s="2962">
        <f>SUM(EG83/EG77)</f>
        <v>38.575920077323531</v>
      </c>
      <c r="EH84" s="2962">
        <f t="shared" si="1214"/>
        <v>38.5818034039103</v>
      </c>
      <c r="EI84" s="2962">
        <f t="shared" si="1214"/>
        <v>17.244242424242426</v>
      </c>
      <c r="EJ84" s="2938">
        <f t="shared" si="1060"/>
        <v>-4.7828323129856187E-2</v>
      </c>
      <c r="EK84" s="2938">
        <f t="shared" si="1060"/>
        <v>-5.3964238757984617E-2</v>
      </c>
      <c r="EL84" s="2938">
        <f t="shared" si="1060"/>
        <v>-9.6861082947825139E-2</v>
      </c>
      <c r="EM84" s="2861">
        <f>SUM(EM83/EM77)</f>
        <v>42.004591986404776</v>
      </c>
      <c r="EN84" s="2861">
        <f t="shared" ref="EN84:EO84" si="1215">SUM(EN83/EN77)</f>
        <v>42.015234278946295</v>
      </c>
      <c r="EO84" s="2861">
        <f t="shared" si="1215"/>
        <v>20.930050568452209</v>
      </c>
      <c r="EP84" s="2861">
        <f>SUM(EP83/EP77)</f>
        <v>41.990405540378752</v>
      </c>
      <c r="EQ84" s="2861">
        <f t="shared" ref="EQ84:ER84" si="1216">SUM(EQ83/EQ77)</f>
        <v>41.992286701837365</v>
      </c>
      <c r="ER84" s="2861">
        <f t="shared" si="1216"/>
        <v>20.925925925925924</v>
      </c>
      <c r="ES84" s="2861">
        <f>SUM(ES83/ES77)</f>
        <v>39.581198555669729</v>
      </c>
      <c r="ET84" s="2861">
        <f t="shared" ref="ET84:EU84" si="1217">SUM(ET83/ET77)</f>
        <v>39.58554872133741</v>
      </c>
      <c r="EU84" s="2861">
        <f t="shared" si="1217"/>
        <v>17.239999999999998</v>
      </c>
      <c r="EV84" s="2861">
        <f>SUM(EV83/EV77)</f>
        <v>42.004591986404776</v>
      </c>
      <c r="EW84" s="2861">
        <f t="shared" ref="EW84:EX84" si="1218">SUM(EW83/EW77)</f>
        <v>42.015234278946295</v>
      </c>
      <c r="EX84" s="2861">
        <f t="shared" si="1218"/>
        <v>20.930050568452209</v>
      </c>
      <c r="EY84" s="2861">
        <f>SUM(EY83/EY77)</f>
        <v>42.715165796433169</v>
      </c>
      <c r="EZ84" s="2861">
        <f t="shared" ref="EZ84:FA84" si="1219">SUM(EZ83/EZ77)</f>
        <v>42.720411436943188</v>
      </c>
      <c r="FA84" s="2861">
        <f t="shared" si="1219"/>
        <v>20.929577464788736</v>
      </c>
      <c r="FB84" s="2861">
        <f>SUM(FB83/FB77)</f>
        <v>39.579349973418744</v>
      </c>
      <c r="FC84" s="2861">
        <f t="shared" ref="FC84:FD84" si="1220">SUM(FC83/FC77)</f>
        <v>39.582136480596546</v>
      </c>
      <c r="FD84" s="2861">
        <f t="shared" si="1220"/>
        <v>17.236842105263158</v>
      </c>
      <c r="FE84" s="2861">
        <f>SUM(FE83/FE77)</f>
        <v>42.004591986404776</v>
      </c>
      <c r="FF84" s="2861">
        <f t="shared" ref="FF84:FG84" si="1221">SUM(FF83/FF77)</f>
        <v>42.015234278946295</v>
      </c>
      <c r="FG84" s="2861">
        <f t="shared" si="1221"/>
        <v>20.930050568452209</v>
      </c>
      <c r="FH84" s="2861">
        <f>SUM(FH83/FH77)</f>
        <v>41.964400814110355</v>
      </c>
      <c r="FI84" s="2861">
        <f t="shared" ref="FI84:FJ84" si="1222">SUM(FI83/FI77)</f>
        <v>41.97036958824286</v>
      </c>
      <c r="FJ84" s="2861">
        <f t="shared" si="1222"/>
        <v>20.930232558139537</v>
      </c>
      <c r="FK84" s="2861">
        <f>SUM(FK83/FK77)</f>
        <v>39.577164341675307</v>
      </c>
      <c r="FL84" s="2861">
        <f t="shared" ref="FL84:FM84" si="1223">SUM(FL83/FL77)</f>
        <v>39.585313742028859</v>
      </c>
      <c r="FM84" s="2861">
        <f t="shared" si="1223"/>
        <v>17.207207207207205</v>
      </c>
      <c r="FN84" s="2962">
        <f>SUM(FN83/FN77)</f>
        <v>42.004591986404783</v>
      </c>
      <c r="FO84" s="2962">
        <f t="shared" ref="FO84:FV84" si="1224">SUM(FO83/FO77)</f>
        <v>42.015234278946295</v>
      </c>
      <c r="FP84" s="2962">
        <f t="shared" si="1224"/>
        <v>20.930050568452206</v>
      </c>
      <c r="FQ84" s="2962">
        <f>SUM(FQ83/FQ77)</f>
        <v>42.219042595132457</v>
      </c>
      <c r="FR84" s="2962">
        <f t="shared" si="1224"/>
        <v>42.223393844742304</v>
      </c>
      <c r="FS84" s="2962">
        <f t="shared" si="1224"/>
        <v>20.929347826086957</v>
      </c>
      <c r="FT84" s="2962">
        <f>SUM(FT83/FT77)</f>
        <v>39.579211510620375</v>
      </c>
      <c r="FU84" s="2962">
        <f t="shared" si="1224"/>
        <v>39.584316879058491</v>
      </c>
      <c r="FV84" s="2962">
        <f t="shared" si="1224"/>
        <v>17.221747572815531</v>
      </c>
      <c r="FW84" s="2938">
        <f t="shared" si="1071"/>
        <v>0.21445060872767385</v>
      </c>
      <c r="FX84" s="2938">
        <f t="shared" si="1071"/>
        <v>0.20815956579600936</v>
      </c>
      <c r="FY84" s="2938">
        <f t="shared" si="1071"/>
        <v>-7.0274236524880962E-4</v>
      </c>
      <c r="FZ84" s="2962">
        <f>SUM(FZ83/FZ77)</f>
        <v>40.798818759633974</v>
      </c>
      <c r="GA84" s="2962">
        <f t="shared" ref="GA84:GH84" si="1225">SUM(GA83/GA77)</f>
        <v>40.809783425013123</v>
      </c>
      <c r="GB84" s="2962">
        <f t="shared" si="1225"/>
        <v>19.085894240277096</v>
      </c>
      <c r="GC84" s="2962">
        <f>SUM(GC83/GC77)</f>
        <v>40.821627357112568</v>
      </c>
      <c r="GD84" s="2962">
        <f t="shared" si="1225"/>
        <v>40.826422886581902</v>
      </c>
      <c r="GE84" s="2962">
        <f t="shared" si="1225"/>
        <v>18.975498721227623</v>
      </c>
      <c r="GF84" s="2962">
        <f>SUM(GF83/GF77)</f>
        <v>38.83198744734208</v>
      </c>
      <c r="GG84" s="2962">
        <f t="shared" si="1225"/>
        <v>38.837681257950649</v>
      </c>
      <c r="GH84" s="2962">
        <f t="shared" si="1225"/>
        <v>17.239270386266096</v>
      </c>
      <c r="GI84" s="2938">
        <f t="shared" si="683"/>
        <v>2.2808597478594095E-2</v>
      </c>
      <c r="GJ84" s="2938">
        <f t="shared" si="683"/>
        <v>1.6639461568779268E-2</v>
      </c>
      <c r="GK84" s="2938">
        <f t="shared" si="683"/>
        <v>-0.11039551904947231</v>
      </c>
      <c r="GL84" s="2674"/>
      <c r="GM84" s="523"/>
    </row>
    <row r="85" spans="1:195" ht="18.75" x14ac:dyDescent="0.3">
      <c r="A85" s="2880" t="s">
        <v>3750</v>
      </c>
      <c r="B85" s="4652">
        <f>SUM(B86:B88)</f>
        <v>79.353250000000003</v>
      </c>
      <c r="C85" s="4653"/>
      <c r="D85" s="4654"/>
      <c r="E85" s="4666">
        <f>SUM(E86:E88)</f>
        <v>93.233999999999995</v>
      </c>
      <c r="F85" s="4667"/>
      <c r="G85" s="4668"/>
      <c r="H85" s="4666">
        <f>SUM(H86:H88)</f>
        <v>70.704999999999998</v>
      </c>
      <c r="I85" s="4667"/>
      <c r="J85" s="4668"/>
      <c r="K85" s="4652">
        <f>SUM(K86:K88)</f>
        <v>79.353250000000003</v>
      </c>
      <c r="L85" s="4653"/>
      <c r="M85" s="4654"/>
      <c r="N85" s="4587">
        <f>SUM(N86:N88)</f>
        <v>183.72800000000001</v>
      </c>
      <c r="O85" s="4588"/>
      <c r="P85" s="4589"/>
      <c r="Q85" s="4587">
        <f>SUM(Q86:Q88)</f>
        <v>205.98500000000001</v>
      </c>
      <c r="R85" s="4588"/>
      <c r="S85" s="4589"/>
      <c r="T85" s="4652">
        <f>SUM(T86:T88)</f>
        <v>79.353250000000003</v>
      </c>
      <c r="U85" s="4653"/>
      <c r="V85" s="4654"/>
      <c r="W85" s="4587">
        <f>SUM(W86:W88)</f>
        <v>90.635000000000005</v>
      </c>
      <c r="X85" s="4588"/>
      <c r="Y85" s="4589"/>
      <c r="Z85" s="4587">
        <f>SUM(Z86:Z88)</f>
        <v>100.745</v>
      </c>
      <c r="AA85" s="4588"/>
      <c r="AB85" s="4589"/>
      <c r="AC85" s="4669">
        <f>SUM(AC86:AC88)</f>
        <v>238.05975000000001</v>
      </c>
      <c r="AD85" s="4670"/>
      <c r="AE85" s="4671"/>
      <c r="AF85" s="4584">
        <f>SUM(AF86:AF88)</f>
        <v>367.59700000000004</v>
      </c>
      <c r="AG85" s="4585"/>
      <c r="AH85" s="4586"/>
      <c r="AI85" s="4584">
        <f>SUM(AI86:AI88)</f>
        <v>377.435</v>
      </c>
      <c r="AJ85" s="4585"/>
      <c r="AK85" s="4586"/>
      <c r="AL85" s="4584">
        <f>SUM(AF85-AC85)</f>
        <v>129.53725000000003</v>
      </c>
      <c r="AM85" s="4585"/>
      <c r="AN85" s="4586"/>
      <c r="AO85" s="4652">
        <f>SUM(AO86:AO88)</f>
        <v>79.353250000000003</v>
      </c>
      <c r="AP85" s="4653"/>
      <c r="AQ85" s="4654"/>
      <c r="AR85" s="4652">
        <f>SUM(AR86:AR88)</f>
        <v>154.697</v>
      </c>
      <c r="AS85" s="4653"/>
      <c r="AT85" s="4654"/>
      <c r="AU85" s="4587">
        <f>SUM(AU86:AU88)</f>
        <v>82.192999999999998</v>
      </c>
      <c r="AV85" s="4588"/>
      <c r="AW85" s="4589"/>
      <c r="AX85" s="4652">
        <f>SUM(AX86:AX88)</f>
        <v>79.353250000000003</v>
      </c>
      <c r="AY85" s="4653"/>
      <c r="AZ85" s="4654"/>
      <c r="BA85" s="4587">
        <f>SUM(BA86:BA88)</f>
        <v>143.38579999999999</v>
      </c>
      <c r="BB85" s="4588"/>
      <c r="BC85" s="4589"/>
      <c r="BD85" s="4587">
        <f>SUM(BD86:BD88)</f>
        <v>183.45400000000001</v>
      </c>
      <c r="BE85" s="4588"/>
      <c r="BF85" s="4589"/>
      <c r="BG85" s="4652">
        <f>SUM(BG86:BG88)</f>
        <v>79.353250000000003</v>
      </c>
      <c r="BH85" s="4653"/>
      <c r="BI85" s="4654"/>
      <c r="BJ85" s="4587">
        <f>SUM(BJ86:BJ88)</f>
        <v>209.26</v>
      </c>
      <c r="BK85" s="4588"/>
      <c r="BL85" s="4589"/>
      <c r="BM85" s="4587">
        <f>SUM(BM86:BM88)</f>
        <v>255.62</v>
      </c>
      <c r="BN85" s="4588"/>
      <c r="BO85" s="4589"/>
      <c r="BP85" s="4669">
        <f>SUM(BP86:BP88)</f>
        <v>238.05975000000001</v>
      </c>
      <c r="BQ85" s="4670"/>
      <c r="BR85" s="4671"/>
      <c r="BS85" s="4584">
        <f>SUM(BS86:BS88)</f>
        <v>507.34280000000001</v>
      </c>
      <c r="BT85" s="4585"/>
      <c r="BU85" s="4586"/>
      <c r="BV85" s="4584">
        <f>SUM(BV86:BV88)</f>
        <v>521.26700000000005</v>
      </c>
      <c r="BW85" s="4585"/>
      <c r="BX85" s="4586"/>
      <c r="BY85" s="4584">
        <f>SUM(BS85-BP85)</f>
        <v>269.28305</v>
      </c>
      <c r="BZ85" s="4585"/>
      <c r="CA85" s="4586"/>
      <c r="CB85" s="4669">
        <f>SUM(CB86:CB88)</f>
        <v>476.11950000000002</v>
      </c>
      <c r="CC85" s="4670"/>
      <c r="CD85" s="4671"/>
      <c r="CE85" s="4584">
        <f>SUM(CE86:CE88)</f>
        <v>874.9398000000001</v>
      </c>
      <c r="CF85" s="4585"/>
      <c r="CG85" s="4586"/>
      <c r="CH85" s="4584">
        <f>SUM(CH86:CH88)</f>
        <v>898.702</v>
      </c>
      <c r="CI85" s="4585"/>
      <c r="CJ85" s="4586"/>
      <c r="CK85" s="4584">
        <f>SUM(CE85-CB85)</f>
        <v>398.82030000000009</v>
      </c>
      <c r="CL85" s="4585"/>
      <c r="CM85" s="4586"/>
      <c r="CN85" s="4652">
        <f>SUM(CN86:CN88)</f>
        <v>79.353250000000003</v>
      </c>
      <c r="CO85" s="4653"/>
      <c r="CP85" s="4654"/>
      <c r="CQ85" s="4587">
        <f>SUM(CQ86:CQ88)</f>
        <v>205.16399999999999</v>
      </c>
      <c r="CR85" s="4588"/>
      <c r="CS85" s="4589"/>
      <c r="CT85" s="4587">
        <f>SUM(CT86:CT88)</f>
        <v>217.45</v>
      </c>
      <c r="CU85" s="4588"/>
      <c r="CV85" s="4589"/>
      <c r="CW85" s="4652">
        <f>SUM(CW86:CW88)</f>
        <v>79.353250000000003</v>
      </c>
      <c r="CX85" s="4653"/>
      <c r="CY85" s="4654"/>
      <c r="CZ85" s="4587">
        <f>SUM(CZ86:CZ88)</f>
        <v>263.40100000000001</v>
      </c>
      <c r="DA85" s="4588"/>
      <c r="DB85" s="4589"/>
      <c r="DC85" s="4587">
        <f>SUM(DC86:DC88)</f>
        <v>130.095</v>
      </c>
      <c r="DD85" s="4588"/>
      <c r="DE85" s="4589"/>
      <c r="DF85" s="4652">
        <f>SUM(DF86:DF88)</f>
        <v>79.353250000000003</v>
      </c>
      <c r="DG85" s="4653"/>
      <c r="DH85" s="4654"/>
      <c r="DI85" s="4587">
        <f>SUM(DI86:DI88)</f>
        <v>239.72431</v>
      </c>
      <c r="DJ85" s="4588"/>
      <c r="DK85" s="4589"/>
      <c r="DL85" s="4587">
        <f>SUM(DL86:DL88)</f>
        <v>174.29399999999998</v>
      </c>
      <c r="DM85" s="4588"/>
      <c r="DN85" s="4589"/>
      <c r="DO85" s="4669">
        <f>SUM(DO86:DO88)</f>
        <v>238.05975000000001</v>
      </c>
      <c r="DP85" s="4670"/>
      <c r="DQ85" s="4671"/>
      <c r="DR85" s="4584">
        <f>SUM(DR86:DR88)</f>
        <v>708.28931</v>
      </c>
      <c r="DS85" s="4585"/>
      <c r="DT85" s="4586"/>
      <c r="DU85" s="4584">
        <f>SUM(DU86:DU88)</f>
        <v>521.83900000000006</v>
      </c>
      <c r="DV85" s="4585"/>
      <c r="DW85" s="4586"/>
      <c r="DX85" s="4584">
        <f>SUM(DR85-DO85)</f>
        <v>470.22955999999999</v>
      </c>
      <c r="DY85" s="4585"/>
      <c r="DZ85" s="4586"/>
      <c r="EA85" s="4669">
        <f>SUM(EA86:EA88)</f>
        <v>714.17925000000002</v>
      </c>
      <c r="EB85" s="4670"/>
      <c r="EC85" s="4671"/>
      <c r="ED85" s="4584">
        <f>SUM(ED86:ED88)</f>
        <v>1583.22911</v>
      </c>
      <c r="EE85" s="4585"/>
      <c r="EF85" s="4586"/>
      <c r="EG85" s="4584">
        <f>SUM(EG86:EG88)</f>
        <v>1420.5410000000002</v>
      </c>
      <c r="EH85" s="4585"/>
      <c r="EI85" s="4586"/>
      <c r="EJ85" s="4584">
        <f>SUM(ED85-EA85)</f>
        <v>869.04985999999997</v>
      </c>
      <c r="EK85" s="4585"/>
      <c r="EL85" s="4586"/>
      <c r="EM85" s="4652">
        <f>SUM(EM86:EM88)</f>
        <v>79.353250000000003</v>
      </c>
      <c r="EN85" s="4653"/>
      <c r="EO85" s="4654"/>
      <c r="EP85" s="4587">
        <f>SUM(EP86:EP88)</f>
        <v>317.72800000000001</v>
      </c>
      <c r="EQ85" s="4588"/>
      <c r="ER85" s="4589"/>
      <c r="ES85" s="4587">
        <f>SUM(ES86:ES88)</f>
        <v>194.82</v>
      </c>
      <c r="ET85" s="4588"/>
      <c r="EU85" s="4589"/>
      <c r="EV85" s="4652">
        <f>SUM(EV86:EV88)</f>
        <v>79.353250000000003</v>
      </c>
      <c r="EW85" s="4653"/>
      <c r="EX85" s="4654"/>
      <c r="EY85" s="4587">
        <f>SUM(EY86:EY88)</f>
        <v>182.893</v>
      </c>
      <c r="EZ85" s="4588"/>
      <c r="FA85" s="4589"/>
      <c r="FB85" s="4587">
        <f>SUM(FB86:FB88)</f>
        <v>201.14</v>
      </c>
      <c r="FC85" s="4588"/>
      <c r="FD85" s="4589"/>
      <c r="FE85" s="4652">
        <f>SUM(FE86:FE88)</f>
        <v>79.353250000000003</v>
      </c>
      <c r="FF85" s="4653"/>
      <c r="FG85" s="4654"/>
      <c r="FH85" s="4587">
        <f>SUM(FH86:FH88)</f>
        <v>156.18600000000001</v>
      </c>
      <c r="FI85" s="4588"/>
      <c r="FJ85" s="4589"/>
      <c r="FK85" s="4587">
        <f>SUM(FK86:FK88)</f>
        <v>252.58800000000002</v>
      </c>
      <c r="FL85" s="4590"/>
      <c r="FM85" s="4591"/>
      <c r="FN85" s="4669">
        <f>SUM(FN86:FN88)</f>
        <v>238.05975000000001</v>
      </c>
      <c r="FO85" s="4670"/>
      <c r="FP85" s="4671"/>
      <c r="FQ85" s="4584">
        <f>SUM(FQ86:FQ88)</f>
        <v>656.80700000000002</v>
      </c>
      <c r="FR85" s="4585"/>
      <c r="FS85" s="4586"/>
      <c r="FT85" s="4584">
        <f>SUM(FT86:FT88)</f>
        <v>648.548</v>
      </c>
      <c r="FU85" s="4585"/>
      <c r="FV85" s="4586"/>
      <c r="FW85" s="4584">
        <f>SUM(FQ85-FN85)</f>
        <v>418.74725000000001</v>
      </c>
      <c r="FX85" s="4585"/>
      <c r="FY85" s="4586"/>
      <c r="FZ85" s="4669">
        <f>SUM(FZ86:FZ88)</f>
        <v>952.23900000000003</v>
      </c>
      <c r="GA85" s="4670"/>
      <c r="GB85" s="4671"/>
      <c r="GC85" s="4584">
        <f>SUM(GC86:GC88)</f>
        <v>2240.03611</v>
      </c>
      <c r="GD85" s="4585"/>
      <c r="GE85" s="4586"/>
      <c r="GF85" s="4584">
        <f>SUM(GF86:GF88)</f>
        <v>2069.0889999999999</v>
      </c>
      <c r="GG85" s="4585"/>
      <c r="GH85" s="4586"/>
      <c r="GI85" s="4584">
        <f>SUM(GC85-FZ85)</f>
        <v>1287.79711</v>
      </c>
      <c r="GJ85" s="4585"/>
      <c r="GK85" s="4586"/>
      <c r="GL85" s="2674"/>
      <c r="GM85" s="523"/>
    </row>
    <row r="86" spans="1:195" ht="36" customHeight="1" x14ac:dyDescent="0.3">
      <c r="A86" s="2903" t="s">
        <v>3751</v>
      </c>
      <c r="B86" s="4603">
        <f>SUM('ПОЛНАЯ СЕБЕСТОИМОСТЬ ВОДА 2021'!B228:D228)/3</f>
        <v>79.353250000000003</v>
      </c>
      <c r="C86" s="4604"/>
      <c r="D86" s="4605"/>
      <c r="E86" s="4672">
        <f>SUM('ПОЛНАЯ СЕБЕСТОИМОСТЬ ВОДА 2021'!E228:G228)</f>
        <v>73.539000000000001</v>
      </c>
      <c r="F86" s="4673"/>
      <c r="G86" s="4674"/>
      <c r="H86" s="4675">
        <v>39.770000000000003</v>
      </c>
      <c r="I86" s="4676"/>
      <c r="J86" s="4677"/>
      <c r="K86" s="4603">
        <f>SUM(B86)</f>
        <v>79.353250000000003</v>
      </c>
      <c r="L86" s="4604"/>
      <c r="M86" s="4605"/>
      <c r="N86" s="4592">
        <f>SUM('ПОЛНАЯ СЕБЕСТОИМОСТЬ ВОДА 2021'!H228:J228)</f>
        <v>119.477</v>
      </c>
      <c r="O86" s="4593"/>
      <c r="P86" s="4594"/>
      <c r="Q86" s="4595">
        <v>69.585999999999999</v>
      </c>
      <c r="R86" s="4596"/>
      <c r="S86" s="4597"/>
      <c r="T86" s="4603">
        <f>SUM(K86)</f>
        <v>79.353250000000003</v>
      </c>
      <c r="U86" s="4604"/>
      <c r="V86" s="4605"/>
      <c r="W86" s="4592">
        <f>SUM('ПОЛНАЯ СЕБЕСТОИМОСТЬ ВОДА 2021'!K228:M228)</f>
        <v>61.13</v>
      </c>
      <c r="X86" s="4593"/>
      <c r="Y86" s="4594"/>
      <c r="Z86" s="4595">
        <v>70.031000000000006</v>
      </c>
      <c r="AA86" s="4596"/>
      <c r="AB86" s="4597"/>
      <c r="AC86" s="4655">
        <f>SUM(B86+K86+T86)</f>
        <v>238.05975000000001</v>
      </c>
      <c r="AD86" s="4656"/>
      <c r="AE86" s="4657"/>
      <c r="AF86" s="4655">
        <f>SUM(E86+N86+W86)</f>
        <v>254.14600000000002</v>
      </c>
      <c r="AG86" s="4656"/>
      <c r="AH86" s="4657"/>
      <c r="AI86" s="4655">
        <f>SUM(H86+Q86+Z86)</f>
        <v>179.387</v>
      </c>
      <c r="AJ86" s="4656"/>
      <c r="AK86" s="4657"/>
      <c r="AL86" s="4678">
        <f>SUM(AF86-AC86)</f>
        <v>16.086250000000007</v>
      </c>
      <c r="AM86" s="4679"/>
      <c r="AN86" s="4680"/>
      <c r="AO86" s="4603">
        <f>SUM(T86)</f>
        <v>79.353250000000003</v>
      </c>
      <c r="AP86" s="4604"/>
      <c r="AQ86" s="4605"/>
      <c r="AR86" s="4603">
        <f>SUM('ПОЛНАЯ СЕБЕСТОИМОСТЬ ВОДА 2021'!T228:V228)</f>
        <v>55.23</v>
      </c>
      <c r="AS86" s="4604"/>
      <c r="AT86" s="4605"/>
      <c r="AU86" s="4595">
        <v>68.8</v>
      </c>
      <c r="AV86" s="4596"/>
      <c r="AW86" s="4597"/>
      <c r="AX86" s="4603">
        <f>SUM(AO86)</f>
        <v>79.353250000000003</v>
      </c>
      <c r="AY86" s="4604"/>
      <c r="AZ86" s="4605"/>
      <c r="BA86" s="4592">
        <f>SUM('ПОЛНАЯ СЕБЕСТОИМОСТЬ ВОДА 2021'!W228:Y228)</f>
        <v>108.7238</v>
      </c>
      <c r="BB86" s="4593"/>
      <c r="BC86" s="4594"/>
      <c r="BD86" s="4595">
        <v>77.903999999999996</v>
      </c>
      <c r="BE86" s="4596"/>
      <c r="BF86" s="4597"/>
      <c r="BG86" s="4603">
        <f>SUM(AX86)</f>
        <v>79.353250000000003</v>
      </c>
      <c r="BH86" s="4604"/>
      <c r="BI86" s="4605"/>
      <c r="BJ86" s="4592">
        <f>SUM('ПОЛНАЯ СЕБЕСТОИМОСТЬ ВОДА 2021'!Z228:AB228)</f>
        <v>56.332000000000001</v>
      </c>
      <c r="BK86" s="4593"/>
      <c r="BL86" s="4594"/>
      <c r="BM86" s="4595">
        <v>70.34</v>
      </c>
      <c r="BN86" s="4596"/>
      <c r="BO86" s="4597"/>
      <c r="BP86" s="4655">
        <f>SUM(AO86+AX86+BG86)</f>
        <v>238.05975000000001</v>
      </c>
      <c r="BQ86" s="4656"/>
      <c r="BR86" s="4657"/>
      <c r="BS86" s="4655">
        <f>SUM(AR86+BA86+BJ86)</f>
        <v>220.28579999999999</v>
      </c>
      <c r="BT86" s="4656"/>
      <c r="BU86" s="4657"/>
      <c r="BV86" s="4655">
        <f>SUM(AU86+BD86+BM86)</f>
        <v>217.04400000000001</v>
      </c>
      <c r="BW86" s="4656"/>
      <c r="BX86" s="4657"/>
      <c r="BY86" s="4678">
        <f>SUM(BS86-BP86)</f>
        <v>-17.773950000000013</v>
      </c>
      <c r="BZ86" s="4679"/>
      <c r="CA86" s="4680"/>
      <c r="CB86" s="4655">
        <f>SUM(AC86+BP86)</f>
        <v>476.11950000000002</v>
      </c>
      <c r="CC86" s="4656"/>
      <c r="CD86" s="4657"/>
      <c r="CE86" s="4655">
        <f>SUM(AF86+BS86)</f>
        <v>474.43180000000001</v>
      </c>
      <c r="CF86" s="4656"/>
      <c r="CG86" s="4657"/>
      <c r="CH86" s="4655">
        <f>SUM(AI86+BV86)</f>
        <v>396.43100000000004</v>
      </c>
      <c r="CI86" s="4656"/>
      <c r="CJ86" s="4657"/>
      <c r="CK86" s="4678">
        <f>SUM(CE86-CB86)</f>
        <v>-1.6877000000000066</v>
      </c>
      <c r="CL86" s="4679"/>
      <c r="CM86" s="4680"/>
      <c r="CN86" s="4603">
        <f>SUM('ПОЛНАЯ СЕБЕСТОИМОСТЬ ВОДА 2021'!AO228:AQ228)/3</f>
        <v>79.353250000000003</v>
      </c>
      <c r="CO86" s="4604"/>
      <c r="CP86" s="4605"/>
      <c r="CQ86" s="4592">
        <f>SUM('ПОЛНАЯ СЕБЕСТОИМОСТЬ ВОДА 2021'!AR228:AT228)</f>
        <v>90.542000000000002</v>
      </c>
      <c r="CR86" s="4593"/>
      <c r="CS86" s="4594"/>
      <c r="CT86" s="4595">
        <v>96.49</v>
      </c>
      <c r="CU86" s="4596"/>
      <c r="CV86" s="4597"/>
      <c r="CW86" s="4603">
        <f>SUM(CN86)</f>
        <v>79.353250000000003</v>
      </c>
      <c r="CX86" s="4604"/>
      <c r="CY86" s="4605"/>
      <c r="CZ86" s="4592">
        <f>SUM('ПОЛНАЯ СЕБЕСТОИМОСТЬ ВОДА 2021'!AU228:AW228)</f>
        <v>86.488</v>
      </c>
      <c r="DA86" s="4593"/>
      <c r="DB86" s="4594"/>
      <c r="DC86" s="4595">
        <v>75.875</v>
      </c>
      <c r="DD86" s="4596"/>
      <c r="DE86" s="4597"/>
      <c r="DF86" s="4603">
        <f>SUM(CW86)</f>
        <v>79.353250000000003</v>
      </c>
      <c r="DG86" s="4604"/>
      <c r="DH86" s="4605"/>
      <c r="DI86" s="4592">
        <f>SUM('ПОЛНАЯ СЕБЕСТОИМОСТЬ ВОДА 2021'!AX228:AZ228)</f>
        <v>122.18231</v>
      </c>
      <c r="DJ86" s="4593"/>
      <c r="DK86" s="4594"/>
      <c r="DL86" s="4595">
        <v>73.058999999999997</v>
      </c>
      <c r="DM86" s="4596"/>
      <c r="DN86" s="4597"/>
      <c r="DO86" s="4655">
        <f>SUM(CN86+CW86+DF86)</f>
        <v>238.05975000000001</v>
      </c>
      <c r="DP86" s="4656"/>
      <c r="DQ86" s="4657"/>
      <c r="DR86" s="4655">
        <f>SUM(CQ86+CZ86+DI86)</f>
        <v>299.21231</v>
      </c>
      <c r="DS86" s="4656"/>
      <c r="DT86" s="4657"/>
      <c r="DU86" s="4655">
        <f>SUM(CT86+DC86+DL86)</f>
        <v>245.42400000000001</v>
      </c>
      <c r="DV86" s="4656"/>
      <c r="DW86" s="4657"/>
      <c r="DX86" s="4678">
        <f>SUM(DR86-DO86)</f>
        <v>61.152559999999994</v>
      </c>
      <c r="DY86" s="4679"/>
      <c r="DZ86" s="4680"/>
      <c r="EA86" s="4655">
        <f>SUM(CB86+DO86)</f>
        <v>714.17925000000002</v>
      </c>
      <c r="EB86" s="4656"/>
      <c r="EC86" s="4657"/>
      <c r="ED86" s="4655">
        <f>SUM(CE86+DR86)</f>
        <v>773.64410999999996</v>
      </c>
      <c r="EE86" s="4656"/>
      <c r="EF86" s="4657"/>
      <c r="EG86" s="4655">
        <f>SUM(CH86+DU86)</f>
        <v>641.85500000000002</v>
      </c>
      <c r="EH86" s="4656"/>
      <c r="EI86" s="4657"/>
      <c r="EJ86" s="4678">
        <f>SUM(ED86-EA86)</f>
        <v>59.464859999999931</v>
      </c>
      <c r="EK86" s="4679"/>
      <c r="EL86" s="4680"/>
      <c r="EM86" s="4592">
        <f>SUM('ПОЛНАЯ СЕБЕСТОИМОСТЬ ВОДА 2021'!BM228:BO228)/3</f>
        <v>79.353250000000003</v>
      </c>
      <c r="EN86" s="4593"/>
      <c r="EO86" s="4594"/>
      <c r="EP86" s="4592">
        <f>SUM('ПОЛНАЯ СЕБЕСТОИМОСТЬ ВОДА 2021'!BP228:BR228)</f>
        <v>105.13500000000001</v>
      </c>
      <c r="EQ86" s="4593"/>
      <c r="ER86" s="4594"/>
      <c r="ES86" s="4595">
        <v>75.31</v>
      </c>
      <c r="ET86" s="4596"/>
      <c r="EU86" s="4597"/>
      <c r="EV86" s="4603">
        <f>SUM(EM86)</f>
        <v>79.353250000000003</v>
      </c>
      <c r="EW86" s="4604"/>
      <c r="EX86" s="4605"/>
      <c r="EY86" s="4592">
        <f>SUM('ПОЛНАЯ СЕБЕСТОИМОСТЬ ВОДА 2021'!BS228:BU228)</f>
        <v>106.538</v>
      </c>
      <c r="EZ86" s="4593"/>
      <c r="FA86" s="4594"/>
      <c r="FB86" s="4595">
        <v>101.66</v>
      </c>
      <c r="FC86" s="4596"/>
      <c r="FD86" s="4597"/>
      <c r="FE86" s="4603">
        <f>SUM(EV86)</f>
        <v>79.353250000000003</v>
      </c>
      <c r="FF86" s="4604"/>
      <c r="FG86" s="4605"/>
      <c r="FH86" s="4592">
        <f>SUM('ПОЛНАЯ СЕБЕСТОИМОСТЬ ВОДА 2021'!BV228:BX228)</f>
        <v>57.302</v>
      </c>
      <c r="FI86" s="4593"/>
      <c r="FJ86" s="4594"/>
      <c r="FK86" s="4595">
        <v>57.88</v>
      </c>
      <c r="FL86" s="4601"/>
      <c r="FM86" s="4602"/>
      <c r="FN86" s="4655">
        <f>SUM(EM86+EV86+FE86)</f>
        <v>238.05975000000001</v>
      </c>
      <c r="FO86" s="4656"/>
      <c r="FP86" s="4657"/>
      <c r="FQ86" s="4655">
        <f>SUM(EP86+EY86+FH86)</f>
        <v>268.97500000000002</v>
      </c>
      <c r="FR86" s="4656"/>
      <c r="FS86" s="4657"/>
      <c r="FT86" s="4655">
        <f>SUM(ES86+FB86+FK86)</f>
        <v>234.85</v>
      </c>
      <c r="FU86" s="4656"/>
      <c r="FV86" s="4657"/>
      <c r="FW86" s="4678">
        <f>SUM(FQ86-FN86)</f>
        <v>30.915250000000015</v>
      </c>
      <c r="FX86" s="4679"/>
      <c r="FY86" s="4680"/>
      <c r="FZ86" s="4655">
        <f>SUM(EA86+FN86)</f>
        <v>952.23900000000003</v>
      </c>
      <c r="GA86" s="4656"/>
      <c r="GB86" s="4657"/>
      <c r="GC86" s="4655">
        <f>SUM(ED86+FQ86)</f>
        <v>1042.6191100000001</v>
      </c>
      <c r="GD86" s="4656"/>
      <c r="GE86" s="4657"/>
      <c r="GF86" s="4655">
        <f>SUM(EG86+FT86)</f>
        <v>876.70500000000004</v>
      </c>
      <c r="GG86" s="4656"/>
      <c r="GH86" s="4657"/>
      <c r="GI86" s="4678">
        <f>SUM(GC86-FZ86)</f>
        <v>90.380110000000059</v>
      </c>
      <c r="GJ86" s="4679"/>
      <c r="GK86" s="4680"/>
      <c r="GL86" s="2674"/>
      <c r="GM86" s="523"/>
    </row>
    <row r="87" spans="1:195" ht="35.25" customHeight="1" x14ac:dyDescent="0.3">
      <c r="A87" s="2882" t="s">
        <v>3752</v>
      </c>
      <c r="B87" s="4603">
        <f>SUM('ПОЛНАЯ СЕБЕСТОИМОСТЬ ВОДА 2021'!B229:D229)/3</f>
        <v>0</v>
      </c>
      <c r="C87" s="4604"/>
      <c r="D87" s="4605"/>
      <c r="E87" s="4672">
        <f>SUM('ПОЛНАЯ СЕБЕСТОИМОСТЬ ВОДА 2021'!E229:G229)</f>
        <v>2.9630000000000001</v>
      </c>
      <c r="F87" s="4673"/>
      <c r="G87" s="4674"/>
      <c r="H87" s="4675">
        <v>0</v>
      </c>
      <c r="I87" s="4676"/>
      <c r="J87" s="4677"/>
      <c r="K87" s="4603">
        <f>SUM(B87)</f>
        <v>0</v>
      </c>
      <c r="L87" s="4604"/>
      <c r="M87" s="4605"/>
      <c r="N87" s="4592">
        <f>SUM('ПОЛНАЯ СЕБЕСТОИМОСТЬ ВОДА 2021'!H229:J229)</f>
        <v>27</v>
      </c>
      <c r="O87" s="4593"/>
      <c r="P87" s="4594"/>
      <c r="Q87" s="4595">
        <v>94.599000000000004</v>
      </c>
      <c r="R87" s="4596"/>
      <c r="S87" s="4597"/>
      <c r="T87" s="4603">
        <f>SUM(K87)</f>
        <v>0</v>
      </c>
      <c r="U87" s="4604"/>
      <c r="V87" s="4605"/>
      <c r="W87" s="4592">
        <f>SUM('ПОЛНАЯ СЕБЕСТОИМОСТЬ ВОДА 2021'!K229:M229)</f>
        <v>0</v>
      </c>
      <c r="X87" s="4593"/>
      <c r="Y87" s="4594"/>
      <c r="Z87" s="4595">
        <v>0</v>
      </c>
      <c r="AA87" s="4596"/>
      <c r="AB87" s="4597"/>
      <c r="AC87" s="4655">
        <f>SUM(B87+K87+T87)</f>
        <v>0</v>
      </c>
      <c r="AD87" s="4656"/>
      <c r="AE87" s="4657"/>
      <c r="AF87" s="4655">
        <f>SUM(E87+N87+W87)</f>
        <v>29.963000000000001</v>
      </c>
      <c r="AG87" s="4656"/>
      <c r="AH87" s="4657"/>
      <c r="AI87" s="4655">
        <f>SUM(H87+Q87+Z87)</f>
        <v>94.599000000000004</v>
      </c>
      <c r="AJ87" s="4656"/>
      <c r="AK87" s="4657"/>
      <c r="AL87" s="4678">
        <f>SUM(AF87-AC87)</f>
        <v>29.963000000000001</v>
      </c>
      <c r="AM87" s="4679"/>
      <c r="AN87" s="4680"/>
      <c r="AO87" s="4603">
        <f>SUM(T87)</f>
        <v>0</v>
      </c>
      <c r="AP87" s="4604"/>
      <c r="AQ87" s="4605"/>
      <c r="AR87" s="4603">
        <f>SUM('ПОЛНАЯ СЕБЕСТОИМОСТЬ ВОДА 2021'!T229:V229)</f>
        <v>27</v>
      </c>
      <c r="AS87" s="4604"/>
      <c r="AT87" s="4605"/>
      <c r="AU87" s="4595">
        <v>0</v>
      </c>
      <c r="AV87" s="4596"/>
      <c r="AW87" s="4597"/>
      <c r="AX87" s="4603">
        <f>SUM(AO87)</f>
        <v>0</v>
      </c>
      <c r="AY87" s="4604"/>
      <c r="AZ87" s="4605"/>
      <c r="BA87" s="4592">
        <f>SUM('ПОЛНАЯ СЕБЕСТОИМОСТЬ ВОДА 2021'!W229:Y229)</f>
        <v>7.2</v>
      </c>
      <c r="BB87" s="4593"/>
      <c r="BC87" s="4594"/>
      <c r="BD87" s="4595">
        <v>32.4</v>
      </c>
      <c r="BE87" s="4596"/>
      <c r="BF87" s="4597"/>
      <c r="BG87" s="4603">
        <f>SUM(AX87)</f>
        <v>0</v>
      </c>
      <c r="BH87" s="4604"/>
      <c r="BI87" s="4605"/>
      <c r="BJ87" s="4592">
        <f>SUM('ПОЛНАЯ СЕБЕСТОИМОСТЬ ВОДА 2021'!Z229:AB229)</f>
        <v>0</v>
      </c>
      <c r="BK87" s="4593"/>
      <c r="BL87" s="4594"/>
      <c r="BM87" s="4595">
        <v>41.4</v>
      </c>
      <c r="BN87" s="4596"/>
      <c r="BO87" s="4597"/>
      <c r="BP87" s="4655">
        <f>SUM(AO87+AX87+BG87)</f>
        <v>0</v>
      </c>
      <c r="BQ87" s="4656"/>
      <c r="BR87" s="4657"/>
      <c r="BS87" s="4655">
        <f>SUM(AR87+BA87+BJ87)</f>
        <v>34.200000000000003</v>
      </c>
      <c r="BT87" s="4656"/>
      <c r="BU87" s="4657"/>
      <c r="BV87" s="4655">
        <f>SUM(AU87+BD87+BM87)</f>
        <v>73.8</v>
      </c>
      <c r="BW87" s="4656"/>
      <c r="BX87" s="4657"/>
      <c r="BY87" s="4678">
        <f>SUM(BS87-BP87)</f>
        <v>34.200000000000003</v>
      </c>
      <c r="BZ87" s="4679"/>
      <c r="CA87" s="4680"/>
      <c r="CB87" s="4655">
        <f>SUM(AC87+BP87)</f>
        <v>0</v>
      </c>
      <c r="CC87" s="4656"/>
      <c r="CD87" s="4657"/>
      <c r="CE87" s="4655">
        <f>SUM(AF87+BS87)</f>
        <v>64.163000000000011</v>
      </c>
      <c r="CF87" s="4656"/>
      <c r="CG87" s="4657"/>
      <c r="CH87" s="4655">
        <f>SUM(AI87+BV87)</f>
        <v>168.399</v>
      </c>
      <c r="CI87" s="4656"/>
      <c r="CJ87" s="4657"/>
      <c r="CK87" s="4678">
        <f>SUM(CE87-CB87)</f>
        <v>64.163000000000011</v>
      </c>
      <c r="CL87" s="4679"/>
      <c r="CM87" s="4680"/>
      <c r="CN87" s="4603">
        <f>SUM('ПОЛНАЯ СЕБЕСТОИМОСТЬ ВОДА 2021'!AO229:AQ229)/3</f>
        <v>0</v>
      </c>
      <c r="CO87" s="4604"/>
      <c r="CP87" s="4605"/>
      <c r="CQ87" s="4592">
        <f>SUM('ПОЛНАЯ СЕБЕСТОИМОСТЬ ВОДА 2021'!AR229:AT229)</f>
        <v>0</v>
      </c>
      <c r="CR87" s="4593"/>
      <c r="CS87" s="4594"/>
      <c r="CT87" s="4595">
        <v>0</v>
      </c>
      <c r="CU87" s="4596"/>
      <c r="CV87" s="4597"/>
      <c r="CW87" s="4603">
        <f>SUM(CN87)</f>
        <v>0</v>
      </c>
      <c r="CX87" s="4604"/>
      <c r="CY87" s="4605"/>
      <c r="CZ87" s="4592">
        <f>SUM('ПОЛНАЯ СЕБЕСТОИМОСТЬ ВОДА 2021'!AU229:AW229)</f>
        <v>75.599999999999994</v>
      </c>
      <c r="DA87" s="4593"/>
      <c r="DB87" s="4594"/>
      <c r="DC87" s="4595">
        <v>0</v>
      </c>
      <c r="DD87" s="4596"/>
      <c r="DE87" s="4597"/>
      <c r="DF87" s="4603">
        <f>SUM(CW87)</f>
        <v>0</v>
      </c>
      <c r="DG87" s="4604"/>
      <c r="DH87" s="4605"/>
      <c r="DI87" s="4592">
        <f>SUM('ПОЛНАЯ СЕБЕСТОИМОСТЬ ВОДА 2021'!AX229:AZ229)</f>
        <v>23.4</v>
      </c>
      <c r="DJ87" s="4593"/>
      <c r="DK87" s="4594"/>
      <c r="DL87" s="4595">
        <v>0</v>
      </c>
      <c r="DM87" s="4596"/>
      <c r="DN87" s="4597"/>
      <c r="DO87" s="4655">
        <f>SUM(CN87+CW87+DF87)</f>
        <v>0</v>
      </c>
      <c r="DP87" s="4656"/>
      <c r="DQ87" s="4657"/>
      <c r="DR87" s="4655">
        <f>SUM(CQ87+CZ87+DI87)</f>
        <v>99</v>
      </c>
      <c r="DS87" s="4656"/>
      <c r="DT87" s="4657"/>
      <c r="DU87" s="4655">
        <f>SUM(CT87+DC87+DL87)</f>
        <v>0</v>
      </c>
      <c r="DV87" s="4656"/>
      <c r="DW87" s="4657"/>
      <c r="DX87" s="4678">
        <f>SUM(DR87-DO87)</f>
        <v>99</v>
      </c>
      <c r="DY87" s="4679"/>
      <c r="DZ87" s="4680"/>
      <c r="EA87" s="4655">
        <f>SUM(CB87+DO87)</f>
        <v>0</v>
      </c>
      <c r="EB87" s="4656"/>
      <c r="EC87" s="4657"/>
      <c r="ED87" s="4655">
        <f>SUM(CE87+DR87)</f>
        <v>163.16300000000001</v>
      </c>
      <c r="EE87" s="4656"/>
      <c r="EF87" s="4657"/>
      <c r="EG87" s="4655">
        <f>SUM(CH87+DU87)</f>
        <v>168.399</v>
      </c>
      <c r="EH87" s="4656"/>
      <c r="EI87" s="4657"/>
      <c r="EJ87" s="4678">
        <f>SUM(ED87-EA87)</f>
        <v>163.16300000000001</v>
      </c>
      <c r="EK87" s="4679"/>
      <c r="EL87" s="4680"/>
      <c r="EM87" s="4592">
        <f>SUM('ПОЛНАЯ СЕБЕСТОИМОСТЬ ВОДА 2021'!BM229:BO229)/3</f>
        <v>0</v>
      </c>
      <c r="EN87" s="4593"/>
      <c r="EO87" s="4594"/>
      <c r="EP87" s="4592">
        <f>SUM('ПОЛНАЯ СЕБЕСТОИМОСТЬ ВОДА 2021'!BP229:BR229)</f>
        <v>135</v>
      </c>
      <c r="EQ87" s="4593"/>
      <c r="ER87" s="4594"/>
      <c r="ES87" s="4595">
        <v>0</v>
      </c>
      <c r="ET87" s="4596"/>
      <c r="EU87" s="4597"/>
      <c r="EV87" s="4603">
        <f>SUM(EM87)</f>
        <v>0</v>
      </c>
      <c r="EW87" s="4604"/>
      <c r="EX87" s="4605"/>
      <c r="EY87" s="4592">
        <f>SUM('ПОЛНАЯ СЕБЕСТОИМОСТЬ ВОДА 2021'!BS229:BU229)</f>
        <v>25.177</v>
      </c>
      <c r="EZ87" s="4593"/>
      <c r="FA87" s="4594"/>
      <c r="FB87" s="4595">
        <v>0</v>
      </c>
      <c r="FC87" s="4596"/>
      <c r="FD87" s="4597"/>
      <c r="FE87" s="4603">
        <f>SUM(EV87)</f>
        <v>0</v>
      </c>
      <c r="FF87" s="4604"/>
      <c r="FG87" s="4605"/>
      <c r="FH87" s="4592">
        <f>SUM('ПОЛНАЯ СЕБЕСТОИМОСТЬ ВОДА 2021'!BV229:BX229)</f>
        <v>69.150000000000006</v>
      </c>
      <c r="FI87" s="4593"/>
      <c r="FJ87" s="4594"/>
      <c r="FK87" s="4595">
        <v>14.035</v>
      </c>
      <c r="FL87" s="4601"/>
      <c r="FM87" s="4602"/>
      <c r="FN87" s="4655">
        <f>SUM(EM87+EV87+FE87)</f>
        <v>0</v>
      </c>
      <c r="FO87" s="4656"/>
      <c r="FP87" s="4657"/>
      <c r="FQ87" s="4655">
        <f>SUM(EP87+EY87+FH87)</f>
        <v>229.327</v>
      </c>
      <c r="FR87" s="4656"/>
      <c r="FS87" s="4657"/>
      <c r="FT87" s="4655">
        <f>SUM(ES87+FB87+FK87)</f>
        <v>14.035</v>
      </c>
      <c r="FU87" s="4656"/>
      <c r="FV87" s="4657"/>
      <c r="FW87" s="4678">
        <f>SUM(FQ87-FN87)</f>
        <v>229.327</v>
      </c>
      <c r="FX87" s="4679"/>
      <c r="FY87" s="4680"/>
      <c r="FZ87" s="4655">
        <f>SUM(EA87+FN87)</f>
        <v>0</v>
      </c>
      <c r="GA87" s="4656"/>
      <c r="GB87" s="4657"/>
      <c r="GC87" s="4655">
        <f>SUM(ED87+FQ87)</f>
        <v>392.49</v>
      </c>
      <c r="GD87" s="4656"/>
      <c r="GE87" s="4657"/>
      <c r="GF87" s="4655">
        <f>SUM(EG87+FT87)</f>
        <v>182.434</v>
      </c>
      <c r="GG87" s="4656"/>
      <c r="GH87" s="4657"/>
      <c r="GI87" s="4678">
        <f>SUM(GC87-FZ87)</f>
        <v>392.49</v>
      </c>
      <c r="GJ87" s="4679"/>
      <c r="GK87" s="4680"/>
      <c r="GL87" s="2674"/>
      <c r="GM87" s="523"/>
    </row>
    <row r="88" spans="1:195" ht="36" customHeight="1" x14ac:dyDescent="0.3">
      <c r="A88" s="2882" t="s">
        <v>3753</v>
      </c>
      <c r="B88" s="4603">
        <f>SUM('ПОЛНАЯ СЕБЕСТОИМОСТЬ ВОДА 2021'!B230:D230)/3</f>
        <v>0</v>
      </c>
      <c r="C88" s="4604"/>
      <c r="D88" s="4605"/>
      <c r="E88" s="4672">
        <f>SUM('ПОЛНАЯ СЕБЕСТОИМОСТЬ ВОДА 2021'!E230:G230)</f>
        <v>16.731999999999999</v>
      </c>
      <c r="F88" s="4673"/>
      <c r="G88" s="4674"/>
      <c r="H88" s="4675">
        <v>30.934999999999999</v>
      </c>
      <c r="I88" s="4676"/>
      <c r="J88" s="4677"/>
      <c r="K88" s="4603">
        <f>SUM(B88)</f>
        <v>0</v>
      </c>
      <c r="L88" s="4604"/>
      <c r="M88" s="4605"/>
      <c r="N88" s="4592">
        <f>SUM('ПОЛНАЯ СЕБЕСТОИМОСТЬ ВОДА 2021'!H230:J230)</f>
        <v>37.250999999999998</v>
      </c>
      <c r="O88" s="4593"/>
      <c r="P88" s="4594"/>
      <c r="Q88" s="4595">
        <v>41.8</v>
      </c>
      <c r="R88" s="4596"/>
      <c r="S88" s="4597"/>
      <c r="T88" s="4603">
        <f>SUM(K88)</f>
        <v>0</v>
      </c>
      <c r="U88" s="4604"/>
      <c r="V88" s="4605"/>
      <c r="W88" s="4592">
        <f>SUM('ПОЛНАЯ СЕБЕСТОИМОСТЬ ВОДА 2021'!K230:M230)</f>
        <v>29.504999999999999</v>
      </c>
      <c r="X88" s="4593"/>
      <c r="Y88" s="4594"/>
      <c r="Z88" s="4595">
        <v>30.713999999999999</v>
      </c>
      <c r="AA88" s="4596"/>
      <c r="AB88" s="4597"/>
      <c r="AC88" s="4655">
        <f>SUM(B88+K88+T88)</f>
        <v>0</v>
      </c>
      <c r="AD88" s="4656"/>
      <c r="AE88" s="4657"/>
      <c r="AF88" s="4655">
        <f>SUM(E88+N88+W88)</f>
        <v>83.488</v>
      </c>
      <c r="AG88" s="4656"/>
      <c r="AH88" s="4657"/>
      <c r="AI88" s="4655">
        <f>SUM(H88+Q88+Z88)</f>
        <v>103.449</v>
      </c>
      <c r="AJ88" s="4656"/>
      <c r="AK88" s="4657"/>
      <c r="AL88" s="4678">
        <f>SUM(AF88-AC88)</f>
        <v>83.488</v>
      </c>
      <c r="AM88" s="4679"/>
      <c r="AN88" s="4680"/>
      <c r="AO88" s="4603">
        <f>SUM(T88)</f>
        <v>0</v>
      </c>
      <c r="AP88" s="4604"/>
      <c r="AQ88" s="4605"/>
      <c r="AR88" s="4603">
        <f>SUM('ПОЛНАЯ СЕБЕСТОИМОСТЬ ВОДА 2021'!T230:V230)</f>
        <v>72.466999999999999</v>
      </c>
      <c r="AS88" s="4604"/>
      <c r="AT88" s="4605"/>
      <c r="AU88" s="4595">
        <v>13.393000000000001</v>
      </c>
      <c r="AV88" s="4596"/>
      <c r="AW88" s="4597"/>
      <c r="AX88" s="4603">
        <f>SUM(AO88)</f>
        <v>0</v>
      </c>
      <c r="AY88" s="4604"/>
      <c r="AZ88" s="4605"/>
      <c r="BA88" s="4592">
        <f>SUM('ПОЛНАЯ СЕБЕСТОИМОСТЬ ВОДА 2021'!W230:Y230)</f>
        <v>27.462</v>
      </c>
      <c r="BB88" s="4593"/>
      <c r="BC88" s="4594"/>
      <c r="BD88" s="4595">
        <v>73.150000000000006</v>
      </c>
      <c r="BE88" s="4596"/>
      <c r="BF88" s="4597"/>
      <c r="BG88" s="4603">
        <f>SUM(AX88)</f>
        <v>0</v>
      </c>
      <c r="BH88" s="4604"/>
      <c r="BI88" s="4605"/>
      <c r="BJ88" s="4592">
        <f>SUM('ПОЛНАЯ СЕБЕСТОИМОСТЬ ВОДА 2021'!Z230:AB230)</f>
        <v>152.928</v>
      </c>
      <c r="BK88" s="4593"/>
      <c r="BL88" s="4594"/>
      <c r="BM88" s="4595">
        <v>143.88</v>
      </c>
      <c r="BN88" s="4596"/>
      <c r="BO88" s="4597"/>
      <c r="BP88" s="4655">
        <f>SUM(AO88+AX88+BG88)</f>
        <v>0</v>
      </c>
      <c r="BQ88" s="4656"/>
      <c r="BR88" s="4657"/>
      <c r="BS88" s="4655">
        <f>SUM(AR88+BA88+BJ88)</f>
        <v>252.857</v>
      </c>
      <c r="BT88" s="4656"/>
      <c r="BU88" s="4657"/>
      <c r="BV88" s="4655">
        <f>SUM(AU88+BD88+BM88)</f>
        <v>230.423</v>
      </c>
      <c r="BW88" s="4656"/>
      <c r="BX88" s="4657"/>
      <c r="BY88" s="4678">
        <f>SUM(BS88-BP88)</f>
        <v>252.857</v>
      </c>
      <c r="BZ88" s="4679"/>
      <c r="CA88" s="4680"/>
      <c r="CB88" s="4655">
        <f>SUM(AC88+BP88)</f>
        <v>0</v>
      </c>
      <c r="CC88" s="4656"/>
      <c r="CD88" s="4657"/>
      <c r="CE88" s="4655">
        <f>SUM(AF88+BS88)</f>
        <v>336.34500000000003</v>
      </c>
      <c r="CF88" s="4656"/>
      <c r="CG88" s="4657"/>
      <c r="CH88" s="4655">
        <f>SUM(AI88+BV88)</f>
        <v>333.87200000000001</v>
      </c>
      <c r="CI88" s="4656"/>
      <c r="CJ88" s="4657"/>
      <c r="CK88" s="4678">
        <f>SUM(CE88-CB88)</f>
        <v>336.34500000000003</v>
      </c>
      <c r="CL88" s="4679"/>
      <c r="CM88" s="4680"/>
      <c r="CN88" s="4603">
        <f>SUM('ПОЛНАЯ СЕБЕСТОИМОСТЬ ВОДА 2021'!AO230:AQ230)/3</f>
        <v>0</v>
      </c>
      <c r="CO88" s="4604"/>
      <c r="CP88" s="4605"/>
      <c r="CQ88" s="4592">
        <f>SUM('ПОЛНАЯ СЕБЕСТОИМОСТЬ ВОДА 2021'!AR230:AT230)</f>
        <v>114.622</v>
      </c>
      <c r="CR88" s="4593"/>
      <c r="CS88" s="4594"/>
      <c r="CT88" s="4595">
        <v>120.96</v>
      </c>
      <c r="CU88" s="4596"/>
      <c r="CV88" s="4597"/>
      <c r="CW88" s="4603">
        <f>SUM(CN88)</f>
        <v>0</v>
      </c>
      <c r="CX88" s="4604"/>
      <c r="CY88" s="4605"/>
      <c r="CZ88" s="4592">
        <f>SUM('ПОЛНАЯ СЕБЕСТОИМОСТЬ ВОДА 2021'!AU230:AW230)</f>
        <v>101.313</v>
      </c>
      <c r="DA88" s="4593"/>
      <c r="DB88" s="4594"/>
      <c r="DC88" s="4595">
        <v>54.22</v>
      </c>
      <c r="DD88" s="4596"/>
      <c r="DE88" s="4597"/>
      <c r="DF88" s="4603">
        <f>SUM(CW88)</f>
        <v>0</v>
      </c>
      <c r="DG88" s="4604"/>
      <c r="DH88" s="4605"/>
      <c r="DI88" s="4592">
        <f>SUM('ПОЛНАЯ СЕБЕСТОИМОСТЬ ВОДА 2021'!AX230:AZ230)</f>
        <v>94.141999999999996</v>
      </c>
      <c r="DJ88" s="4593"/>
      <c r="DK88" s="4594"/>
      <c r="DL88" s="4595">
        <v>101.235</v>
      </c>
      <c r="DM88" s="4596"/>
      <c r="DN88" s="4597"/>
      <c r="DO88" s="4655">
        <f>SUM(CN88+CW88+DF88)</f>
        <v>0</v>
      </c>
      <c r="DP88" s="4656"/>
      <c r="DQ88" s="4657"/>
      <c r="DR88" s="4655">
        <f>SUM(CQ88+CZ88+DI88)</f>
        <v>310.077</v>
      </c>
      <c r="DS88" s="4656"/>
      <c r="DT88" s="4657"/>
      <c r="DU88" s="4655">
        <f>SUM(CT88+DC88+DL88)</f>
        <v>276.41500000000002</v>
      </c>
      <c r="DV88" s="4656"/>
      <c r="DW88" s="4657"/>
      <c r="DX88" s="4678">
        <f>SUM(DR88-DO88)</f>
        <v>310.077</v>
      </c>
      <c r="DY88" s="4679"/>
      <c r="DZ88" s="4680"/>
      <c r="EA88" s="4655">
        <f>SUM(CB88+DO88)</f>
        <v>0</v>
      </c>
      <c r="EB88" s="4656"/>
      <c r="EC88" s="4657"/>
      <c r="ED88" s="4655">
        <f>SUM(CE88+DR88)</f>
        <v>646.42200000000003</v>
      </c>
      <c r="EE88" s="4656"/>
      <c r="EF88" s="4657"/>
      <c r="EG88" s="4655">
        <f>SUM(CH88+DU88)</f>
        <v>610.28700000000003</v>
      </c>
      <c r="EH88" s="4656"/>
      <c r="EI88" s="4657"/>
      <c r="EJ88" s="4678">
        <f>SUM(ED88-EA88)</f>
        <v>646.42200000000003</v>
      </c>
      <c r="EK88" s="4679"/>
      <c r="EL88" s="4680"/>
      <c r="EM88" s="4592">
        <f>SUM('ПОЛНАЯ СЕБЕСТОИМОСТЬ ВОДА 2021'!BM230:BO230)/3</f>
        <v>0</v>
      </c>
      <c r="EN88" s="4593"/>
      <c r="EO88" s="4594"/>
      <c r="EP88" s="4592">
        <f>SUM('ПОЛНАЯ СЕБЕСТОИМОСТЬ ВОДА 2021'!BP230:BR230)</f>
        <v>77.593000000000004</v>
      </c>
      <c r="EQ88" s="4593"/>
      <c r="ER88" s="4594"/>
      <c r="ES88" s="4595">
        <v>119.51</v>
      </c>
      <c r="ET88" s="4596"/>
      <c r="EU88" s="4597"/>
      <c r="EV88" s="4603">
        <f>SUM(EM88)</f>
        <v>0</v>
      </c>
      <c r="EW88" s="4604"/>
      <c r="EX88" s="4605"/>
      <c r="EY88" s="4592">
        <f>SUM('ПОЛНАЯ СЕБЕСТОИМОСТЬ ВОДА 2021'!BS230:BU230)</f>
        <v>51.177999999999997</v>
      </c>
      <c r="EZ88" s="4593"/>
      <c r="FA88" s="4594"/>
      <c r="FB88" s="4595">
        <v>99.48</v>
      </c>
      <c r="FC88" s="4596"/>
      <c r="FD88" s="4597"/>
      <c r="FE88" s="4603">
        <f>SUM(EV88)</f>
        <v>0</v>
      </c>
      <c r="FF88" s="4604"/>
      <c r="FG88" s="4605"/>
      <c r="FH88" s="4603">
        <f>SUM('ПОЛНАЯ СЕБЕСТОИМОСТЬ ВОДА 2021'!BV230:BX230)</f>
        <v>29.734000000000002</v>
      </c>
      <c r="FI88" s="4604"/>
      <c r="FJ88" s="4605"/>
      <c r="FK88" s="4595">
        <v>180.673</v>
      </c>
      <c r="FL88" s="4601"/>
      <c r="FM88" s="4602"/>
      <c r="FN88" s="4655">
        <f>SUM(EM88+EV88+FE88)</f>
        <v>0</v>
      </c>
      <c r="FO88" s="4656"/>
      <c r="FP88" s="4657"/>
      <c r="FQ88" s="4655">
        <f>SUM(EP88+EY88+FH88)</f>
        <v>158.50500000000002</v>
      </c>
      <c r="FR88" s="4656"/>
      <c r="FS88" s="4657"/>
      <c r="FT88" s="4655">
        <f>SUM(ES88+FB88+FK88)</f>
        <v>399.66300000000001</v>
      </c>
      <c r="FU88" s="4656"/>
      <c r="FV88" s="4657"/>
      <c r="FW88" s="4678">
        <f>SUM(FQ88-FN88)</f>
        <v>158.50500000000002</v>
      </c>
      <c r="FX88" s="4679"/>
      <c r="FY88" s="4680"/>
      <c r="FZ88" s="4655">
        <f>SUM(EA88+FN88)</f>
        <v>0</v>
      </c>
      <c r="GA88" s="4656"/>
      <c r="GB88" s="4657"/>
      <c r="GC88" s="4655">
        <f>SUM(ED88+FQ88)</f>
        <v>804.92700000000002</v>
      </c>
      <c r="GD88" s="4656"/>
      <c r="GE88" s="4657"/>
      <c r="GF88" s="4655">
        <f>SUM(EG88+FT88)</f>
        <v>1009.95</v>
      </c>
      <c r="GG88" s="4656"/>
      <c r="GH88" s="4657"/>
      <c r="GI88" s="4678">
        <f>SUM(GC88-FZ88)</f>
        <v>804.92700000000002</v>
      </c>
      <c r="GJ88" s="4679"/>
      <c r="GK88" s="4680"/>
      <c r="GL88" s="389"/>
    </row>
    <row r="89" spans="1:195" ht="19.5" x14ac:dyDescent="0.3">
      <c r="A89" s="2880" t="s">
        <v>3788</v>
      </c>
      <c r="B89" s="4587">
        <f>SUM(B76+B85)</f>
        <v>12257.532223758539</v>
      </c>
      <c r="C89" s="4588"/>
      <c r="D89" s="4589"/>
      <c r="E89" s="4666">
        <f t="shared" ref="E89" si="1226">SUM(E76+E85)</f>
        <v>10378.534159999997</v>
      </c>
      <c r="F89" s="4667"/>
      <c r="G89" s="4668"/>
      <c r="H89" s="4666">
        <f t="shared" ref="H89" si="1227">SUM(H76+H85)</f>
        <v>12811.89</v>
      </c>
      <c r="I89" s="4667"/>
      <c r="J89" s="4668"/>
      <c r="K89" s="4587">
        <f t="shared" ref="K89" si="1228">SUM(K76+K85)</f>
        <v>12257.532223758539</v>
      </c>
      <c r="L89" s="4588"/>
      <c r="M89" s="4589"/>
      <c r="N89" s="4587">
        <f t="shared" ref="N89" si="1229">SUM(N76+N85)</f>
        <v>10332.072949999998</v>
      </c>
      <c r="O89" s="4588"/>
      <c r="P89" s="4589"/>
      <c r="Q89" s="4587">
        <f t="shared" ref="Q89" si="1230">SUM(Q76+Q85)</f>
        <v>11898.9449</v>
      </c>
      <c r="R89" s="4588"/>
      <c r="S89" s="4589"/>
      <c r="T89" s="4587">
        <f t="shared" ref="T89" si="1231">SUM(T76+T85)</f>
        <v>12257.532223758539</v>
      </c>
      <c r="U89" s="4588"/>
      <c r="V89" s="4589"/>
      <c r="W89" s="4587">
        <f t="shared" ref="W89" si="1232">SUM(W76+W85)</f>
        <v>14273.126450000002</v>
      </c>
      <c r="X89" s="4588"/>
      <c r="Y89" s="4589"/>
      <c r="Z89" s="4587">
        <f t="shared" ref="Z89:AI89" si="1233">SUM(Z76+Z85)</f>
        <v>13784.122400000002</v>
      </c>
      <c r="AA89" s="4588"/>
      <c r="AB89" s="4589"/>
      <c r="AC89" s="4584">
        <f t="shared" si="1233"/>
        <v>36772.59667127562</v>
      </c>
      <c r="AD89" s="4585"/>
      <c r="AE89" s="4586"/>
      <c r="AF89" s="4584">
        <f t="shared" si="1233"/>
        <v>34983.733560000001</v>
      </c>
      <c r="AG89" s="4585"/>
      <c r="AH89" s="4586"/>
      <c r="AI89" s="4584">
        <f t="shared" si="1233"/>
        <v>38494.957299999995</v>
      </c>
      <c r="AJ89" s="4585"/>
      <c r="AK89" s="4586"/>
      <c r="AL89" s="4681">
        <f>SUM(AF89-AC89)</f>
        <v>-1788.8631112756193</v>
      </c>
      <c r="AM89" s="4682"/>
      <c r="AN89" s="4683"/>
      <c r="AO89" s="4652">
        <f t="shared" ref="AO89:BV89" si="1234">SUM(AO76+AO85)</f>
        <v>12257.532223758539</v>
      </c>
      <c r="AP89" s="4653"/>
      <c r="AQ89" s="4654"/>
      <c r="AR89" s="4652">
        <f t="shared" si="1234"/>
        <v>13001.448340000001</v>
      </c>
      <c r="AS89" s="4653"/>
      <c r="AT89" s="4654"/>
      <c r="AU89" s="4587">
        <f t="shared" si="1234"/>
        <v>10914.134999999998</v>
      </c>
      <c r="AV89" s="4588"/>
      <c r="AW89" s="4589"/>
      <c r="AX89" s="4587">
        <f t="shared" si="1234"/>
        <v>12257.532223758539</v>
      </c>
      <c r="AY89" s="4588"/>
      <c r="AZ89" s="4589"/>
      <c r="BA89" s="4587">
        <f t="shared" si="1234"/>
        <v>13466.743560000001</v>
      </c>
      <c r="BB89" s="4588"/>
      <c r="BC89" s="4589"/>
      <c r="BD89" s="4587">
        <f t="shared" si="1234"/>
        <v>12660.127999999999</v>
      </c>
      <c r="BE89" s="4588"/>
      <c r="BF89" s="4589"/>
      <c r="BG89" s="4587">
        <f t="shared" si="1234"/>
        <v>12257.532223758539</v>
      </c>
      <c r="BH89" s="4588"/>
      <c r="BI89" s="4589"/>
      <c r="BJ89" s="4587">
        <f t="shared" si="1234"/>
        <v>11352.442200000001</v>
      </c>
      <c r="BK89" s="4588"/>
      <c r="BL89" s="4589"/>
      <c r="BM89" s="4587">
        <f t="shared" si="1234"/>
        <v>11325.147500000001</v>
      </c>
      <c r="BN89" s="4588"/>
      <c r="BO89" s="4589"/>
      <c r="BP89" s="4584">
        <f t="shared" si="1234"/>
        <v>36772.59667127562</v>
      </c>
      <c r="BQ89" s="4585"/>
      <c r="BR89" s="4586"/>
      <c r="BS89" s="4584">
        <f t="shared" si="1234"/>
        <v>37820.634099999996</v>
      </c>
      <c r="BT89" s="4585"/>
      <c r="BU89" s="4586"/>
      <c r="BV89" s="4584">
        <f t="shared" si="1234"/>
        <v>34899.410499999998</v>
      </c>
      <c r="BW89" s="4585"/>
      <c r="BX89" s="4586"/>
      <c r="BY89" s="4681">
        <f>SUM(BS89-BP89)</f>
        <v>1048.0374287243758</v>
      </c>
      <c r="BZ89" s="4682"/>
      <c r="CA89" s="4683"/>
      <c r="CB89" s="4584">
        <f t="shared" ref="CB89:CH89" si="1235">SUM(CB76+CB85)</f>
        <v>73545.19334255124</v>
      </c>
      <c r="CC89" s="4585"/>
      <c r="CD89" s="4586"/>
      <c r="CE89" s="4584">
        <f t="shared" si="1235"/>
        <v>72804.367660000018</v>
      </c>
      <c r="CF89" s="4585"/>
      <c r="CG89" s="4586"/>
      <c r="CH89" s="4584">
        <f t="shared" si="1235"/>
        <v>73394.367800000007</v>
      </c>
      <c r="CI89" s="4585"/>
      <c r="CJ89" s="4586"/>
      <c r="CK89" s="4681">
        <f>SUM(CE89-CB89)</f>
        <v>-740.82568255122169</v>
      </c>
      <c r="CL89" s="4682"/>
      <c r="CM89" s="4683"/>
      <c r="CN89" s="4587">
        <f t="shared" ref="CN89:DU89" si="1236">SUM(CN76+CN85)</f>
        <v>12296.844709357731</v>
      </c>
      <c r="CO89" s="4588"/>
      <c r="CP89" s="4589"/>
      <c r="CQ89" s="4587">
        <f t="shared" si="1236"/>
        <v>12872.386490000001</v>
      </c>
      <c r="CR89" s="4588"/>
      <c r="CS89" s="4589"/>
      <c r="CT89" s="4587">
        <f t="shared" si="1236"/>
        <v>11538.781165000002</v>
      </c>
      <c r="CU89" s="4588"/>
      <c r="CV89" s="4589"/>
      <c r="CW89" s="4587">
        <f t="shared" si="1236"/>
        <v>12296.844709357731</v>
      </c>
      <c r="CX89" s="4588"/>
      <c r="CY89" s="4589"/>
      <c r="CZ89" s="4587">
        <f t="shared" si="1236"/>
        <v>9974.8407999999999</v>
      </c>
      <c r="DA89" s="4588"/>
      <c r="DB89" s="4589"/>
      <c r="DC89" s="4587">
        <f t="shared" si="1236"/>
        <v>9559.9256079999996</v>
      </c>
      <c r="DD89" s="4588"/>
      <c r="DE89" s="4589"/>
      <c r="DF89" s="4587">
        <f t="shared" si="1236"/>
        <v>12296.844709357731</v>
      </c>
      <c r="DG89" s="4588"/>
      <c r="DH89" s="4589"/>
      <c r="DI89" s="4587">
        <f t="shared" si="1236"/>
        <v>13916.6747</v>
      </c>
      <c r="DJ89" s="4588"/>
      <c r="DK89" s="4589"/>
      <c r="DL89" s="4587">
        <f t="shared" si="1236"/>
        <v>11917.558000000001</v>
      </c>
      <c r="DM89" s="4588"/>
      <c r="DN89" s="4589"/>
      <c r="DO89" s="4584">
        <f t="shared" si="1236"/>
        <v>36890.534128073195</v>
      </c>
      <c r="DP89" s="4585"/>
      <c r="DQ89" s="4586"/>
      <c r="DR89" s="4584">
        <f t="shared" si="1236"/>
        <v>36763.901989999998</v>
      </c>
      <c r="DS89" s="4585"/>
      <c r="DT89" s="4586"/>
      <c r="DU89" s="4584">
        <f t="shared" si="1236"/>
        <v>33016.264773000003</v>
      </c>
      <c r="DV89" s="4585"/>
      <c r="DW89" s="4586"/>
      <c r="DX89" s="4681">
        <f>SUM(DR89-DO89)</f>
        <v>-126.63213807319698</v>
      </c>
      <c r="DY89" s="4682"/>
      <c r="DZ89" s="4683"/>
      <c r="EA89" s="4584">
        <f t="shared" ref="EA89:EG89" si="1237">SUM(EA76+EA85)</f>
        <v>110435.72747062444</v>
      </c>
      <c r="EB89" s="4585"/>
      <c r="EC89" s="4586"/>
      <c r="ED89" s="4584">
        <f t="shared" si="1237"/>
        <v>109568.26964999999</v>
      </c>
      <c r="EE89" s="4585"/>
      <c r="EF89" s="4586"/>
      <c r="EG89" s="4584">
        <f t="shared" si="1237"/>
        <v>106410.63257300001</v>
      </c>
      <c r="EH89" s="4585"/>
      <c r="EI89" s="4586"/>
      <c r="EJ89" s="4681">
        <f>SUM(ED89-EA89)</f>
        <v>-867.45782062444778</v>
      </c>
      <c r="EK89" s="4682"/>
      <c r="EL89" s="4683"/>
      <c r="EM89" s="4587">
        <f t="shared" ref="EM89:FT89" si="1238">SUM(EM76+EM85)</f>
        <v>12296.844709357731</v>
      </c>
      <c r="EN89" s="4588"/>
      <c r="EO89" s="4589"/>
      <c r="EP89" s="4587">
        <f t="shared" si="1238"/>
        <v>11016.230369999997</v>
      </c>
      <c r="EQ89" s="4588"/>
      <c r="ER89" s="4589"/>
      <c r="ES89" s="4587">
        <f t="shared" si="1238"/>
        <v>10137.785916000001</v>
      </c>
      <c r="ET89" s="4588"/>
      <c r="EU89" s="4589"/>
      <c r="EV89" s="4587">
        <f t="shared" si="1238"/>
        <v>12296.844709357731</v>
      </c>
      <c r="EW89" s="4588"/>
      <c r="EX89" s="4589"/>
      <c r="EY89" s="4587">
        <f t="shared" si="1238"/>
        <v>12406.596600000001</v>
      </c>
      <c r="EZ89" s="4588"/>
      <c r="FA89" s="4589"/>
      <c r="FB89" s="4587">
        <f t="shared" si="1238"/>
        <v>11885.861574999997</v>
      </c>
      <c r="FC89" s="4588"/>
      <c r="FD89" s="4589"/>
      <c r="FE89" s="4587">
        <f t="shared" si="1238"/>
        <v>12296.844709357731</v>
      </c>
      <c r="FF89" s="4588"/>
      <c r="FG89" s="4589"/>
      <c r="FH89" s="4587">
        <f t="shared" si="1238"/>
        <v>13699.117990000002</v>
      </c>
      <c r="FI89" s="4588"/>
      <c r="FJ89" s="4589"/>
      <c r="FK89" s="4587">
        <f t="shared" ref="FK89" si="1239">SUM(FK76+FK85)</f>
        <v>11419.053309999999</v>
      </c>
      <c r="FL89" s="4590"/>
      <c r="FM89" s="4591"/>
      <c r="FN89" s="4584">
        <f t="shared" si="1238"/>
        <v>36890.534128073195</v>
      </c>
      <c r="FO89" s="4585"/>
      <c r="FP89" s="4586"/>
      <c r="FQ89" s="4584">
        <f t="shared" si="1238"/>
        <v>37121.944960000001</v>
      </c>
      <c r="FR89" s="4585"/>
      <c r="FS89" s="4586"/>
      <c r="FT89" s="4584">
        <f t="shared" si="1238"/>
        <v>33442.700801000006</v>
      </c>
      <c r="FU89" s="4585"/>
      <c r="FV89" s="4586"/>
      <c r="FW89" s="4681">
        <f>SUM(FQ89-FN89)</f>
        <v>231.41083192680526</v>
      </c>
      <c r="FX89" s="4682"/>
      <c r="FY89" s="4683"/>
      <c r="FZ89" s="4584">
        <f t="shared" ref="FZ89:GF89" si="1240">SUM(FZ76+FZ85)</f>
        <v>147326.26159869763</v>
      </c>
      <c r="GA89" s="4585"/>
      <c r="GB89" s="4586"/>
      <c r="GC89" s="4584">
        <f t="shared" si="1240"/>
        <v>146690.21460999997</v>
      </c>
      <c r="GD89" s="4585"/>
      <c r="GE89" s="4586"/>
      <c r="GF89" s="4584">
        <f t="shared" si="1240"/>
        <v>139853.33337400001</v>
      </c>
      <c r="GG89" s="4585"/>
      <c r="GH89" s="4586"/>
      <c r="GI89" s="4681">
        <f>SUM(GC89-FZ89)</f>
        <v>-636.04698869766435</v>
      </c>
      <c r="GJ89" s="4682"/>
      <c r="GK89" s="4683"/>
      <c r="GL89" s="389"/>
    </row>
    <row r="90" spans="1:195" ht="18.75" x14ac:dyDescent="0.3">
      <c r="A90" s="1661"/>
      <c r="B90" s="389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89"/>
      <c r="AL90" s="389"/>
      <c r="AM90" s="389"/>
      <c r="AN90" s="389"/>
      <c r="AO90" s="389"/>
      <c r="AP90" s="389"/>
      <c r="AQ90" s="389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2674"/>
      <c r="CO90" s="2674"/>
      <c r="CP90" s="2674"/>
      <c r="CQ90" s="2674"/>
      <c r="CR90" s="2674"/>
      <c r="CS90" s="2674"/>
      <c r="CT90" s="2674"/>
      <c r="CU90" s="2674"/>
      <c r="CV90" s="2674"/>
      <c r="CW90" s="2674"/>
      <c r="CX90" s="2674"/>
      <c r="CY90" s="2674"/>
      <c r="CZ90" s="2674"/>
      <c r="DA90" s="2674"/>
      <c r="DB90" s="2674"/>
      <c r="DC90" s="2674"/>
      <c r="DD90" s="2674"/>
      <c r="DE90" s="2674"/>
      <c r="DF90" s="2674"/>
      <c r="DG90" s="2674"/>
      <c r="DH90" s="2674"/>
      <c r="DI90" s="2674"/>
      <c r="DJ90" s="2674"/>
      <c r="DK90" s="2674"/>
      <c r="DL90" s="2674"/>
      <c r="DM90" s="2674"/>
      <c r="DN90" s="2674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2674"/>
      <c r="EN90" s="2674"/>
      <c r="EO90" s="2674"/>
      <c r="EP90" s="2674"/>
      <c r="EQ90" s="2674"/>
      <c r="ER90" s="2674"/>
      <c r="ES90" s="2674"/>
      <c r="ET90" s="2674"/>
      <c r="EU90" s="2674"/>
      <c r="EV90" s="2674"/>
      <c r="EW90" s="2674"/>
      <c r="EX90" s="2674"/>
      <c r="EY90" s="2674"/>
      <c r="EZ90" s="2674"/>
      <c r="FA90" s="2674"/>
      <c r="FB90" s="2674"/>
      <c r="FC90" s="2674"/>
      <c r="FD90" s="2674"/>
      <c r="FE90" s="2674"/>
      <c r="FF90" s="2674"/>
      <c r="FG90" s="2674"/>
      <c r="FH90" s="2674"/>
      <c r="FI90" s="2674"/>
      <c r="FJ90" s="2674"/>
      <c r="FK90" s="2674"/>
      <c r="FL90" s="2674"/>
      <c r="FM90" s="2674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389"/>
      <c r="FZ90" s="389"/>
      <c r="GA90" s="389"/>
      <c r="GB90" s="389"/>
      <c r="GC90" s="389"/>
      <c r="GD90" s="389"/>
      <c r="GE90" s="389"/>
      <c r="GF90" s="389"/>
      <c r="GG90" s="389"/>
      <c r="GH90" s="389"/>
      <c r="GI90" s="389"/>
      <c r="GJ90" s="389"/>
      <c r="GK90" s="389"/>
      <c r="GL90" s="389"/>
    </row>
    <row r="91" spans="1:195" ht="18.75" x14ac:dyDescent="0.3">
      <c r="A91" s="1661"/>
      <c r="B91" s="1661"/>
      <c r="C91" s="1661"/>
      <c r="D91" s="1661"/>
      <c r="E91" s="1661"/>
      <c r="F91" s="1661"/>
      <c r="G91" s="1661"/>
      <c r="H91" s="1661"/>
      <c r="I91" s="1661"/>
      <c r="J91" s="1661"/>
      <c r="K91" s="1661"/>
      <c r="L91" s="1661"/>
      <c r="M91" s="1661"/>
      <c r="N91" s="1661"/>
      <c r="O91" s="1661"/>
      <c r="P91" s="1661"/>
      <c r="Q91" s="1661"/>
      <c r="R91" s="1661"/>
      <c r="S91" s="1661"/>
      <c r="T91" s="1661"/>
      <c r="U91" s="1661"/>
      <c r="V91" s="1661"/>
      <c r="W91" s="1661"/>
      <c r="X91" s="1661"/>
      <c r="Y91" s="1661"/>
      <c r="Z91" s="1661"/>
      <c r="AA91" s="1661"/>
      <c r="AB91" s="1661"/>
      <c r="AC91" s="1661"/>
      <c r="AD91" s="1661"/>
      <c r="AE91" s="1661"/>
      <c r="AF91" s="1661"/>
      <c r="AG91" s="1661"/>
      <c r="AH91" s="1661"/>
      <c r="AI91" s="1661"/>
      <c r="AJ91" s="1661"/>
      <c r="AK91" s="1661"/>
      <c r="AL91" s="1661" t="s">
        <v>3789</v>
      </c>
      <c r="AM91" s="1661"/>
      <c r="AN91" s="1661"/>
      <c r="AO91" s="389"/>
      <c r="AP91" s="389"/>
      <c r="AQ91" s="389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2674"/>
      <c r="CO91" s="2674"/>
      <c r="CP91" s="2674"/>
      <c r="CQ91" s="2674"/>
      <c r="CR91" s="2674"/>
      <c r="CS91" s="2674"/>
      <c r="CT91" s="389"/>
      <c r="CU91" s="389"/>
      <c r="CV91" s="389"/>
      <c r="CW91" s="2674"/>
      <c r="CX91" s="2674"/>
      <c r="CY91" s="2674"/>
      <c r="CZ91" s="2674"/>
      <c r="DA91" s="2674"/>
      <c r="DB91" s="2674"/>
      <c r="DC91" s="2674"/>
      <c r="DD91" s="2674"/>
      <c r="DE91" s="2674"/>
      <c r="DF91" s="2674"/>
      <c r="DG91" s="2674"/>
      <c r="DH91" s="2674"/>
      <c r="DI91" s="2674"/>
      <c r="DJ91" s="2674"/>
      <c r="DK91" s="2674"/>
      <c r="DL91" s="2674"/>
      <c r="DM91" s="2674"/>
      <c r="DN91" s="2674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2674"/>
      <c r="EN91" s="2674"/>
      <c r="EO91" s="2674"/>
      <c r="EP91" s="2674"/>
      <c r="EQ91" s="2674"/>
      <c r="ER91" s="2674"/>
      <c r="ES91" s="2674"/>
      <c r="ET91" s="2674"/>
      <c r="EU91" s="2674"/>
      <c r="EV91" s="2674"/>
      <c r="EW91" s="2674"/>
      <c r="EX91" s="2674"/>
      <c r="EY91" s="2674"/>
      <c r="EZ91" s="2674"/>
      <c r="FA91" s="2674"/>
      <c r="FB91" s="2674"/>
      <c r="FC91" s="2674"/>
      <c r="FD91" s="2674"/>
      <c r="FE91" s="2674"/>
      <c r="FF91" s="2674"/>
      <c r="FG91" s="2674"/>
      <c r="FH91" s="2674"/>
      <c r="FI91" s="2674"/>
      <c r="FJ91" s="2674"/>
      <c r="FK91" s="2674"/>
      <c r="FL91" s="2674"/>
      <c r="FM91" s="2674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</row>
    <row r="92" spans="1:195" ht="18.75" x14ac:dyDescent="0.3">
      <c r="A92" s="1661"/>
      <c r="B92" s="1661"/>
      <c r="C92" s="1661"/>
      <c r="D92" s="1660"/>
      <c r="E92" s="1661"/>
      <c r="F92" s="1661"/>
      <c r="G92" s="1661"/>
      <c r="H92" s="1661"/>
      <c r="I92" s="1661"/>
      <c r="J92" s="1661"/>
      <c r="K92" s="1661"/>
      <c r="L92" s="1661"/>
      <c r="M92" s="1661"/>
      <c r="N92" s="1661"/>
      <c r="O92" s="1661"/>
      <c r="P92" s="1661"/>
      <c r="Q92" s="1661"/>
      <c r="R92" s="1661"/>
      <c r="S92" s="1661"/>
      <c r="T92" s="1661"/>
      <c r="U92" s="1661"/>
      <c r="V92" s="1661"/>
      <c r="W92" s="1661"/>
      <c r="X92" s="1661"/>
      <c r="Y92" s="1661"/>
      <c r="Z92" s="1661"/>
      <c r="AA92" s="1661"/>
      <c r="AB92" s="1661"/>
      <c r="AC92" s="1661"/>
      <c r="AD92" s="1661"/>
      <c r="AE92" s="1661"/>
      <c r="AF92" s="1661"/>
      <c r="AG92" s="1661"/>
      <c r="AH92" s="1661"/>
      <c r="AI92" s="1661"/>
      <c r="AJ92" s="1661"/>
      <c r="AK92" s="1661"/>
      <c r="AL92" s="1661"/>
      <c r="AM92" s="1661"/>
      <c r="AN92" s="1661"/>
      <c r="AO92" s="389"/>
      <c r="AP92" s="389"/>
      <c r="AQ92" s="389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2674"/>
      <c r="CO92" s="2674"/>
      <c r="CP92" s="2674"/>
      <c r="CQ92" s="2674"/>
      <c r="CR92" s="2674"/>
      <c r="CS92" s="2674"/>
      <c r="CT92" s="389"/>
      <c r="CU92" s="389"/>
      <c r="CV92" s="389"/>
      <c r="CW92" s="2674"/>
      <c r="CX92" s="2674"/>
      <c r="CY92" s="2674"/>
      <c r="CZ92" s="2674"/>
      <c r="DA92" s="2674"/>
      <c r="DB92" s="2674"/>
      <c r="DC92" s="2674"/>
      <c r="DD92" s="2674"/>
      <c r="DE92" s="2674"/>
      <c r="DF92" s="2674"/>
      <c r="DG92" s="2674"/>
      <c r="DH92" s="2674"/>
      <c r="DI92" s="2674"/>
      <c r="DJ92" s="2674"/>
      <c r="DK92" s="2674"/>
      <c r="DL92" s="2674"/>
      <c r="DM92" s="2674"/>
      <c r="DN92" s="2674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2674"/>
      <c r="EN92" s="2674"/>
      <c r="EO92" s="2674"/>
      <c r="EP92" s="2674"/>
      <c r="EQ92" s="2674"/>
      <c r="ER92" s="2674"/>
      <c r="ES92" s="2674"/>
      <c r="ET92" s="2674"/>
      <c r="EU92" s="2674"/>
      <c r="EV92" s="2674"/>
      <c r="EW92" s="2674"/>
      <c r="EX92" s="2674"/>
      <c r="EY92" s="2674"/>
      <c r="EZ92" s="2674"/>
      <c r="FA92" s="2674"/>
      <c r="FB92" s="2674"/>
      <c r="FC92" s="2674"/>
      <c r="FD92" s="2674"/>
      <c r="FE92" s="2674"/>
      <c r="FF92" s="2674"/>
      <c r="FG92" s="2674"/>
      <c r="FH92" s="2674"/>
      <c r="FI92" s="2674"/>
      <c r="FJ92" s="2674"/>
      <c r="FK92" s="2674"/>
      <c r="FL92" s="2674"/>
      <c r="FM92" s="2674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</row>
    <row r="93" spans="1:195" ht="18.75" x14ac:dyDescent="0.3">
      <c r="A93" s="1661"/>
      <c r="B93" s="2971"/>
      <c r="C93" s="2971"/>
      <c r="D93" s="2971"/>
      <c r="E93" s="2971"/>
      <c r="F93" s="2971"/>
      <c r="G93" s="2971"/>
      <c r="H93" s="2971"/>
      <c r="I93" s="2971"/>
      <c r="J93" s="2971"/>
      <c r="K93" s="2971"/>
      <c r="L93" s="2971"/>
      <c r="M93" s="2971"/>
      <c r="N93" s="2971"/>
      <c r="O93" s="2971"/>
      <c r="P93" s="2971"/>
      <c r="Q93" s="2971"/>
      <c r="R93" s="2971"/>
      <c r="S93" s="2971"/>
      <c r="T93" s="2971"/>
      <c r="U93" s="2971"/>
      <c r="V93" s="2971"/>
      <c r="W93" s="2971"/>
      <c r="X93" s="2971"/>
      <c r="Y93" s="2971"/>
      <c r="Z93" s="2971"/>
      <c r="AA93" s="2971"/>
      <c r="AB93" s="2971"/>
      <c r="AC93" s="2971"/>
      <c r="AD93" s="2971"/>
      <c r="AE93" s="2971"/>
      <c r="AF93" s="2971"/>
      <c r="AG93" s="2971"/>
      <c r="AH93" s="2971"/>
      <c r="AI93" s="2971"/>
      <c r="AJ93" s="2971"/>
      <c r="AK93" s="2971"/>
      <c r="AL93" s="2971" t="s">
        <v>1393</v>
      </c>
      <c r="AM93" s="2971"/>
      <c r="AN93" s="2971"/>
      <c r="AO93" s="565"/>
      <c r="AP93" s="565"/>
      <c r="AQ93" s="565"/>
      <c r="AR93" s="565"/>
      <c r="AS93" s="565"/>
      <c r="AT93" s="565"/>
      <c r="AU93" s="565"/>
      <c r="AV93" s="565"/>
      <c r="AW93" s="565"/>
      <c r="AX93" s="565"/>
      <c r="AY93" s="565"/>
      <c r="AZ93" s="565"/>
      <c r="BA93" s="565"/>
      <c r="BB93" s="565"/>
      <c r="BC93" s="565"/>
      <c r="BD93" s="565"/>
      <c r="BE93" s="565"/>
      <c r="BF93" s="565"/>
      <c r="BG93" s="565"/>
      <c r="BH93" s="565"/>
      <c r="BI93" s="565"/>
      <c r="BJ93" s="565"/>
      <c r="BK93" s="565"/>
      <c r="BL93" s="565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2674"/>
      <c r="CO93" s="2674"/>
      <c r="CP93" s="2674"/>
      <c r="CQ93" s="2674"/>
      <c r="CR93" s="2674"/>
      <c r="CS93" s="2674"/>
      <c r="CT93" s="2674"/>
      <c r="CU93" s="2674"/>
      <c r="CV93" s="2674"/>
      <c r="CW93" s="2674"/>
      <c r="CX93" s="2674"/>
      <c r="CY93" s="2674"/>
      <c r="CZ93" s="2674"/>
      <c r="DA93" s="2674"/>
      <c r="DB93" s="2674"/>
      <c r="DC93" s="2674"/>
      <c r="DD93" s="2674"/>
      <c r="DE93" s="2674"/>
      <c r="DF93" s="2674"/>
      <c r="DG93" s="2674"/>
      <c r="DH93" s="2674"/>
      <c r="DI93" s="2674"/>
      <c r="DJ93" s="2674"/>
      <c r="DK93" s="2674"/>
      <c r="DL93" s="2674"/>
      <c r="DM93" s="2674"/>
      <c r="DN93" s="2674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2674"/>
      <c r="EN93" s="2674"/>
      <c r="EO93" s="2674"/>
      <c r="EP93" s="2674"/>
      <c r="EQ93" s="2674"/>
      <c r="ER93" s="2674"/>
      <c r="ES93" s="2674"/>
      <c r="ET93" s="2674"/>
      <c r="EU93" s="2674"/>
      <c r="EV93" s="2674"/>
      <c r="EW93" s="2674"/>
      <c r="EX93" s="2674"/>
      <c r="EY93" s="2674"/>
      <c r="EZ93" s="2674"/>
      <c r="FA93" s="2674"/>
      <c r="FB93" s="2674"/>
      <c r="FC93" s="2674"/>
      <c r="FD93" s="2674"/>
      <c r="FE93" s="2674"/>
      <c r="FF93" s="2674"/>
      <c r="FG93" s="2674"/>
      <c r="FH93" s="2674"/>
      <c r="FI93" s="2674"/>
      <c r="FJ93" s="2674"/>
      <c r="FK93" s="2674"/>
      <c r="FL93" s="2674"/>
      <c r="FM93" s="2674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</row>
    <row r="94" spans="1:195" ht="18.75" x14ac:dyDescent="0.3">
      <c r="A94" s="1661"/>
      <c r="B94" s="2971"/>
      <c r="C94" s="2971"/>
      <c r="D94" s="2971"/>
      <c r="E94" s="2971"/>
      <c r="F94" s="2971"/>
      <c r="G94" s="2971"/>
      <c r="H94" s="2971"/>
      <c r="I94" s="2971"/>
      <c r="J94" s="2971"/>
      <c r="K94" s="2971"/>
      <c r="L94" s="2971"/>
      <c r="M94" s="2971"/>
      <c r="N94" s="2971"/>
      <c r="O94" s="2971"/>
      <c r="P94" s="2971"/>
      <c r="Q94" s="2971"/>
      <c r="R94" s="2971"/>
      <c r="S94" s="2971"/>
      <c r="T94" s="2971"/>
      <c r="U94" s="2971"/>
      <c r="V94" s="2971"/>
      <c r="W94" s="2971"/>
      <c r="X94" s="2971"/>
      <c r="Y94" s="2971"/>
      <c r="Z94" s="2971"/>
      <c r="AA94" s="2971"/>
      <c r="AB94" s="2971"/>
      <c r="AC94" s="2971"/>
      <c r="AD94" s="2971"/>
      <c r="AE94" s="2971"/>
      <c r="AF94" s="2971"/>
      <c r="AG94" s="2971"/>
      <c r="AH94" s="2971"/>
      <c r="AI94" s="2971"/>
      <c r="AJ94" s="2971"/>
      <c r="AK94" s="2971"/>
      <c r="AL94" s="2971"/>
      <c r="AM94" s="2971"/>
      <c r="AN94" s="2971"/>
      <c r="AO94" s="565"/>
      <c r="AP94" s="565"/>
      <c r="AQ94" s="565"/>
      <c r="AR94" s="565"/>
      <c r="AS94" s="565"/>
      <c r="AT94" s="565"/>
      <c r="AU94" s="565"/>
      <c r="AV94" s="565"/>
      <c r="AW94" s="565"/>
      <c r="AX94" s="565"/>
      <c r="AY94" s="565"/>
      <c r="AZ94" s="565"/>
      <c r="BA94" s="565"/>
      <c r="BB94" s="565"/>
      <c r="BC94" s="565"/>
      <c r="BD94" s="565"/>
      <c r="BE94" s="565"/>
      <c r="BF94" s="565"/>
      <c r="BG94" s="565"/>
      <c r="BH94" s="565"/>
      <c r="BI94" s="565"/>
      <c r="BJ94" s="565"/>
      <c r="BK94" s="565"/>
      <c r="BL94" s="565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2674"/>
      <c r="CO94" s="2674"/>
      <c r="CP94" s="2674"/>
      <c r="CQ94" s="2674"/>
      <c r="CR94" s="2674"/>
      <c r="CS94" s="2674"/>
      <c r="CT94" s="2674"/>
      <c r="CU94" s="2674"/>
      <c r="CV94" s="2674"/>
      <c r="CW94" s="2674"/>
      <c r="CX94" s="2674"/>
      <c r="CY94" s="2674"/>
      <c r="CZ94" s="2674"/>
      <c r="DA94" s="2674"/>
      <c r="DB94" s="2674"/>
      <c r="DC94" s="2674"/>
      <c r="DD94" s="2674"/>
      <c r="DE94" s="2674"/>
      <c r="DF94" s="2674"/>
      <c r="DG94" s="2674"/>
      <c r="DH94" s="2674"/>
      <c r="DI94" s="2674"/>
      <c r="DJ94" s="2674"/>
      <c r="DK94" s="2674"/>
      <c r="DL94" s="2674"/>
      <c r="DM94" s="2674"/>
      <c r="DN94" s="2674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2674"/>
      <c r="EN94" s="2674"/>
      <c r="EO94" s="2674"/>
      <c r="EP94" s="2674"/>
      <c r="EQ94" s="2674"/>
      <c r="ER94" s="2674"/>
      <c r="ES94" s="2674"/>
      <c r="ET94" s="2674"/>
      <c r="EU94" s="2674"/>
      <c r="EV94" s="2674"/>
      <c r="EW94" s="2674"/>
      <c r="EX94" s="2674"/>
      <c r="EY94" s="2674"/>
      <c r="EZ94" s="2674"/>
      <c r="FA94" s="2674"/>
      <c r="FB94" s="2674"/>
      <c r="FC94" s="2674"/>
      <c r="FD94" s="2674"/>
      <c r="FE94" s="2674"/>
      <c r="FF94" s="2674"/>
      <c r="FG94" s="2674"/>
      <c r="FH94" s="2674"/>
      <c r="FI94" s="2674"/>
      <c r="FJ94" s="2674"/>
      <c r="FK94" s="2674"/>
      <c r="FL94" s="2674"/>
      <c r="FM94" s="2674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</row>
    <row r="95" spans="1:195" ht="18.75" x14ac:dyDescent="0.3">
      <c r="A95" s="565"/>
      <c r="B95" s="565"/>
      <c r="C95" s="565"/>
      <c r="D95" s="565"/>
      <c r="E95" s="565"/>
      <c r="F95" s="565"/>
      <c r="G95" s="565"/>
      <c r="H95" s="565"/>
      <c r="I95" s="565"/>
      <c r="J95" s="565"/>
      <c r="K95" s="565"/>
      <c r="L95" s="565"/>
      <c r="M95" s="565"/>
      <c r="N95" s="565"/>
      <c r="O95" s="565"/>
      <c r="P95" s="565"/>
      <c r="Q95" s="565"/>
      <c r="R95" s="565"/>
      <c r="S95" s="565"/>
      <c r="T95" s="565"/>
      <c r="U95" s="565"/>
      <c r="V95" s="565"/>
      <c r="W95" s="565"/>
      <c r="X95" s="565"/>
      <c r="Y95" s="565"/>
      <c r="Z95" s="565"/>
      <c r="AA95" s="565"/>
      <c r="AB95" s="565"/>
      <c r="AC95" s="565"/>
      <c r="AD95" s="565"/>
      <c r="AE95" s="565"/>
      <c r="AF95" s="565"/>
      <c r="AG95" s="565"/>
      <c r="AH95" s="565"/>
      <c r="AI95" s="565"/>
      <c r="AJ95" s="565"/>
      <c r="AK95" s="565"/>
      <c r="AL95" s="565"/>
      <c r="AM95" s="565"/>
      <c r="AN95" s="565"/>
      <c r="AO95" s="565"/>
      <c r="AP95" s="565"/>
      <c r="AQ95" s="565"/>
      <c r="AR95" s="565"/>
      <c r="AS95" s="565"/>
      <c r="AT95" s="565"/>
      <c r="AU95" s="565"/>
      <c r="AV95" s="565"/>
      <c r="AW95" s="565"/>
      <c r="AX95" s="565"/>
      <c r="AY95" s="565"/>
      <c r="AZ95" s="565"/>
      <c r="BA95" s="565"/>
      <c r="BB95" s="565"/>
      <c r="BC95" s="565"/>
      <c r="BD95" s="565"/>
      <c r="BE95" s="565"/>
      <c r="BF95" s="565"/>
      <c r="BG95" s="565"/>
      <c r="BH95" s="565"/>
      <c r="BI95" s="565"/>
      <c r="BJ95" s="565"/>
      <c r="BK95" s="565"/>
      <c r="BL95" s="565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2674"/>
      <c r="CO95" s="2674"/>
      <c r="CP95" s="2674"/>
      <c r="CQ95" s="2674"/>
      <c r="CR95" s="2674"/>
      <c r="CS95" s="2674"/>
      <c r="CT95" s="2674"/>
      <c r="CU95" s="2674"/>
      <c r="CV95" s="2674"/>
      <c r="CW95" s="2674"/>
      <c r="CX95" s="2674"/>
      <c r="CY95" s="2674"/>
      <c r="CZ95" s="2674"/>
      <c r="DA95" s="2674"/>
      <c r="DB95" s="2674"/>
      <c r="DC95" s="2674"/>
      <c r="DD95" s="2674"/>
      <c r="DE95" s="2674"/>
      <c r="DF95" s="2674"/>
      <c r="DG95" s="2674"/>
      <c r="DH95" s="2674"/>
      <c r="DI95" s="2674"/>
      <c r="DJ95" s="2674"/>
      <c r="DK95" s="2674"/>
      <c r="DL95" s="2674"/>
      <c r="DM95" s="2674"/>
      <c r="DN95" s="2674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2674"/>
      <c r="EN95" s="2674"/>
      <c r="EO95" s="2674"/>
      <c r="EP95" s="2674"/>
      <c r="EQ95" s="2674"/>
      <c r="ER95" s="2674"/>
      <c r="ES95" s="2674"/>
      <c r="ET95" s="2674"/>
      <c r="EU95" s="2674"/>
      <c r="EV95" s="2674"/>
      <c r="EW95" s="2674"/>
      <c r="EX95" s="2674"/>
      <c r="EY95" s="2674"/>
      <c r="EZ95" s="2674"/>
      <c r="FA95" s="2674"/>
      <c r="FB95" s="2674"/>
      <c r="FC95" s="2674"/>
      <c r="FD95" s="2674"/>
      <c r="FE95" s="2674"/>
      <c r="FF95" s="2674"/>
      <c r="FG95" s="2674"/>
      <c r="FH95" s="2674"/>
      <c r="FI95" s="2674"/>
      <c r="FJ95" s="2674"/>
      <c r="FK95" s="2674"/>
      <c r="FL95" s="2674"/>
      <c r="FM95" s="2674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</row>
    <row r="96" spans="1:195" ht="18.75" x14ac:dyDescent="0.3">
      <c r="A96" s="565"/>
      <c r="B96" s="565"/>
      <c r="C96" s="565"/>
      <c r="D96" s="565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  <c r="AI96" s="565"/>
      <c r="AJ96" s="565"/>
      <c r="AK96" s="565"/>
      <c r="AL96" s="565"/>
      <c r="AM96" s="565"/>
      <c r="AN96" s="565"/>
      <c r="AO96" s="565"/>
      <c r="AP96" s="565"/>
      <c r="AQ96" s="565"/>
      <c r="AR96" s="565"/>
      <c r="AS96" s="565"/>
      <c r="AT96" s="565"/>
      <c r="AU96" s="565"/>
      <c r="AV96" s="565"/>
      <c r="AW96" s="565"/>
      <c r="AX96" s="565"/>
      <c r="AY96" s="565"/>
      <c r="AZ96" s="565"/>
      <c r="BA96" s="565"/>
      <c r="BB96" s="565"/>
      <c r="BC96" s="565"/>
      <c r="BD96" s="565"/>
      <c r="BE96" s="565"/>
      <c r="BF96" s="565"/>
      <c r="BG96" s="565"/>
      <c r="BH96" s="565"/>
      <c r="BI96" s="565"/>
      <c r="BJ96" s="565"/>
      <c r="BK96" s="565"/>
      <c r="BL96" s="565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2674"/>
      <c r="CO96" s="2674"/>
      <c r="CP96" s="2674"/>
      <c r="CQ96" s="2674"/>
      <c r="CR96" s="2674"/>
      <c r="CS96" s="2674"/>
      <c r="CT96" s="2674"/>
      <c r="CU96" s="2674"/>
      <c r="CV96" s="2674"/>
      <c r="CW96" s="2674"/>
      <c r="CX96" s="2674"/>
      <c r="CY96" s="2674"/>
      <c r="CZ96" s="2674"/>
      <c r="DA96" s="2674"/>
      <c r="DB96" s="2674"/>
      <c r="DC96" s="2674"/>
      <c r="DD96" s="2674"/>
      <c r="DE96" s="2674"/>
      <c r="DF96" s="2674"/>
      <c r="DG96" s="2674"/>
      <c r="DH96" s="2674"/>
      <c r="DI96" s="2674"/>
      <c r="DJ96" s="2674"/>
      <c r="DK96" s="2674"/>
      <c r="DL96" s="2674"/>
      <c r="DM96" s="2674"/>
      <c r="DN96" s="2674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2674"/>
      <c r="EN96" s="2674"/>
      <c r="EO96" s="2674"/>
      <c r="EP96" s="2674"/>
      <c r="EQ96" s="2674"/>
      <c r="ER96" s="2674"/>
      <c r="ES96" s="2674"/>
      <c r="ET96" s="2674"/>
      <c r="EU96" s="2674"/>
      <c r="EV96" s="2674"/>
      <c r="EW96" s="2674"/>
      <c r="EX96" s="2674"/>
      <c r="EY96" s="2674"/>
      <c r="EZ96" s="2674"/>
      <c r="FA96" s="2674"/>
      <c r="FB96" s="2674"/>
      <c r="FC96" s="2674"/>
      <c r="FD96" s="2674"/>
      <c r="FE96" s="2674"/>
      <c r="FF96" s="2674"/>
      <c r="FG96" s="2674"/>
      <c r="FH96" s="2674"/>
      <c r="FI96" s="2674"/>
      <c r="FJ96" s="2674"/>
      <c r="FK96" s="2674"/>
      <c r="FL96" s="2674"/>
      <c r="FM96" s="2674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</row>
    <row r="97" spans="1:194" ht="18.75" x14ac:dyDescent="0.3">
      <c r="A97" s="565"/>
      <c r="B97" s="565"/>
      <c r="C97" s="565"/>
      <c r="D97" s="565"/>
      <c r="E97" s="565"/>
      <c r="F97" s="565"/>
      <c r="G97" s="565"/>
      <c r="H97" s="565"/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5"/>
      <c r="T97" s="565"/>
      <c r="U97" s="565"/>
      <c r="V97" s="565"/>
      <c r="W97" s="565"/>
      <c r="X97" s="565"/>
      <c r="Y97" s="565"/>
      <c r="Z97" s="565"/>
      <c r="AA97" s="565"/>
      <c r="AB97" s="565"/>
      <c r="AC97" s="565"/>
      <c r="AD97" s="565"/>
      <c r="AE97" s="565"/>
      <c r="AF97" s="565"/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5"/>
      <c r="AS97" s="565"/>
      <c r="AT97" s="565"/>
      <c r="AU97" s="565"/>
      <c r="AV97" s="565"/>
      <c r="AW97" s="565"/>
      <c r="AX97" s="565"/>
      <c r="AY97" s="565"/>
      <c r="AZ97" s="565"/>
      <c r="BA97" s="565"/>
      <c r="BB97" s="565"/>
      <c r="BC97" s="565"/>
      <c r="BD97" s="565"/>
      <c r="BE97" s="565"/>
      <c r="BF97" s="565"/>
      <c r="BG97" s="565"/>
      <c r="BH97" s="565"/>
      <c r="BI97" s="565"/>
      <c r="BJ97" s="565"/>
      <c r="BK97" s="565"/>
      <c r="BL97" s="565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2674"/>
      <c r="CO97" s="2674"/>
      <c r="CP97" s="2674"/>
      <c r="CQ97" s="2674"/>
      <c r="CR97" s="2674"/>
      <c r="CS97" s="2674"/>
      <c r="CT97" s="2674"/>
      <c r="CU97" s="2674"/>
      <c r="CV97" s="2674"/>
      <c r="CW97" s="2674"/>
      <c r="CX97" s="2674"/>
      <c r="CY97" s="2674"/>
      <c r="CZ97" s="2674"/>
      <c r="DA97" s="2674"/>
      <c r="DB97" s="2674"/>
      <c r="DC97" s="2674"/>
      <c r="DD97" s="2674"/>
      <c r="DE97" s="2674"/>
      <c r="DF97" s="2674"/>
      <c r="DG97" s="2674"/>
      <c r="DH97" s="2674"/>
      <c r="DI97" s="2674"/>
      <c r="DJ97" s="2674"/>
      <c r="DK97" s="2674"/>
      <c r="DL97" s="2674"/>
      <c r="DM97" s="2674"/>
      <c r="DN97" s="2674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2674"/>
      <c r="EN97" s="2674"/>
      <c r="EO97" s="2674"/>
      <c r="EP97" s="2674"/>
      <c r="EQ97" s="2674"/>
      <c r="ER97" s="2674"/>
      <c r="ES97" s="2674"/>
      <c r="ET97" s="2674"/>
      <c r="EU97" s="2674"/>
      <c r="EV97" s="2674"/>
      <c r="EW97" s="2674"/>
      <c r="EX97" s="2674"/>
      <c r="EY97" s="2674"/>
      <c r="EZ97" s="2674"/>
      <c r="FA97" s="2674"/>
      <c r="FB97" s="2674"/>
      <c r="FC97" s="2674"/>
      <c r="FD97" s="2674"/>
      <c r="FE97" s="2674"/>
      <c r="FF97" s="2674"/>
      <c r="FG97" s="2674"/>
      <c r="FH97" s="2674"/>
      <c r="FI97" s="2674"/>
      <c r="FJ97" s="2674"/>
      <c r="FK97" s="2674"/>
      <c r="FL97" s="2674"/>
      <c r="FM97" s="2674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</row>
    <row r="98" spans="1:194" ht="18.75" x14ac:dyDescent="0.3">
      <c r="A98" s="565"/>
      <c r="B98" s="565"/>
      <c r="C98" s="565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  <c r="V98" s="565"/>
      <c r="W98" s="565"/>
      <c r="X98" s="565"/>
      <c r="Y98" s="565"/>
      <c r="Z98" s="565"/>
      <c r="AA98" s="565"/>
      <c r="AB98" s="565"/>
      <c r="AC98" s="565"/>
      <c r="AD98" s="565"/>
      <c r="AE98" s="565"/>
      <c r="AF98" s="565"/>
      <c r="AG98" s="565"/>
      <c r="AH98" s="565"/>
      <c r="AI98" s="565"/>
      <c r="AJ98" s="565"/>
      <c r="AK98" s="565"/>
      <c r="AL98" s="565"/>
      <c r="AM98" s="565"/>
      <c r="AN98" s="565"/>
      <c r="AO98" s="565"/>
      <c r="AP98" s="565"/>
      <c r="AQ98" s="565"/>
      <c r="AR98" s="565"/>
      <c r="AS98" s="565"/>
      <c r="AT98" s="565"/>
      <c r="AU98" s="565"/>
      <c r="AV98" s="565"/>
      <c r="AW98" s="565"/>
      <c r="AX98" s="565"/>
      <c r="AY98" s="565"/>
      <c r="AZ98" s="565"/>
      <c r="BA98" s="565"/>
      <c r="BB98" s="565"/>
      <c r="BC98" s="565"/>
      <c r="BD98" s="565"/>
      <c r="BE98" s="565"/>
      <c r="BF98" s="565"/>
      <c r="BG98" s="565"/>
      <c r="BH98" s="565"/>
      <c r="BI98" s="565"/>
      <c r="BJ98" s="565"/>
      <c r="BK98" s="565"/>
      <c r="BL98" s="565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2674"/>
      <c r="CO98" s="2674"/>
      <c r="CP98" s="2674"/>
      <c r="CQ98" s="2674"/>
      <c r="CR98" s="2674"/>
      <c r="CS98" s="2674"/>
      <c r="CT98" s="2674"/>
      <c r="CU98" s="2674"/>
      <c r="CV98" s="2674"/>
      <c r="CW98" s="2674"/>
      <c r="CX98" s="2674"/>
      <c r="CY98" s="2674"/>
      <c r="CZ98" s="2674"/>
      <c r="DA98" s="2674"/>
      <c r="DB98" s="2674"/>
      <c r="DC98" s="2674"/>
      <c r="DD98" s="2674"/>
      <c r="DE98" s="2674"/>
      <c r="DF98" s="2674"/>
      <c r="DG98" s="2674"/>
      <c r="DH98" s="2674"/>
      <c r="DI98" s="2674"/>
      <c r="DJ98" s="2674"/>
      <c r="DK98" s="2674"/>
      <c r="DL98" s="2674"/>
      <c r="DM98" s="2674"/>
      <c r="DN98" s="2674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2674"/>
      <c r="EN98" s="2674"/>
      <c r="EO98" s="2674"/>
      <c r="EP98" s="2674"/>
      <c r="EQ98" s="2674"/>
      <c r="ER98" s="2674"/>
      <c r="ES98" s="2674"/>
      <c r="ET98" s="2674"/>
      <c r="EU98" s="2674"/>
      <c r="EV98" s="2674"/>
      <c r="EW98" s="2674"/>
      <c r="EX98" s="2674"/>
      <c r="EY98" s="2674"/>
      <c r="EZ98" s="2674"/>
      <c r="FA98" s="2674"/>
      <c r="FB98" s="2674"/>
      <c r="FC98" s="2674"/>
      <c r="FD98" s="2674"/>
      <c r="FE98" s="2674"/>
      <c r="FF98" s="2674"/>
      <c r="FG98" s="2674"/>
      <c r="FH98" s="2674"/>
      <c r="FI98" s="2674"/>
      <c r="FJ98" s="2674"/>
      <c r="FK98" s="2674"/>
      <c r="FL98" s="2674"/>
      <c r="FM98" s="2674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</row>
    <row r="99" spans="1:194" ht="18.75" x14ac:dyDescent="0.3">
      <c r="A99" s="565"/>
      <c r="B99" s="565"/>
      <c r="C99" s="565"/>
      <c r="D99" s="565"/>
      <c r="E99" s="565"/>
      <c r="F99" s="565"/>
      <c r="G99" s="565"/>
      <c r="H99" s="565"/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565"/>
      <c r="U99" s="565"/>
      <c r="V99" s="565"/>
      <c r="W99" s="565"/>
      <c r="X99" s="565"/>
      <c r="Y99" s="565"/>
      <c r="Z99" s="565"/>
      <c r="AA99" s="565"/>
      <c r="AB99" s="565"/>
      <c r="AC99" s="565"/>
      <c r="AD99" s="565"/>
      <c r="AE99" s="565"/>
      <c r="AF99" s="565"/>
      <c r="AG99" s="565"/>
      <c r="AH99" s="565"/>
      <c r="AI99" s="565"/>
      <c r="AJ99" s="565"/>
      <c r="AK99" s="565"/>
      <c r="AL99" s="565"/>
      <c r="AM99" s="565"/>
      <c r="AN99" s="565"/>
      <c r="AO99" s="565"/>
      <c r="AP99" s="565"/>
      <c r="AQ99" s="565"/>
      <c r="AR99" s="565"/>
      <c r="AS99" s="565"/>
      <c r="AT99" s="565"/>
      <c r="AU99" s="565"/>
      <c r="AV99" s="565"/>
      <c r="AW99" s="565"/>
      <c r="AX99" s="565"/>
      <c r="AY99" s="565"/>
      <c r="AZ99" s="565"/>
      <c r="BA99" s="565"/>
      <c r="BB99" s="565"/>
      <c r="BC99" s="565"/>
      <c r="BD99" s="565"/>
      <c r="BE99" s="565"/>
      <c r="BF99" s="565"/>
      <c r="BG99" s="565"/>
      <c r="BH99" s="565"/>
      <c r="BI99" s="565"/>
      <c r="BJ99" s="565"/>
      <c r="BK99" s="565"/>
      <c r="BL99" s="565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2674"/>
      <c r="CO99" s="2674"/>
      <c r="CP99" s="2674"/>
      <c r="CQ99" s="2674"/>
      <c r="CR99" s="2674"/>
      <c r="CS99" s="2674"/>
      <c r="CT99" s="2674"/>
      <c r="CU99" s="2674"/>
      <c r="CV99" s="2674"/>
      <c r="CW99" s="2674"/>
      <c r="CX99" s="2674"/>
      <c r="CY99" s="2674"/>
      <c r="CZ99" s="2674"/>
      <c r="DA99" s="2674"/>
      <c r="DB99" s="2674"/>
      <c r="DC99" s="2674"/>
      <c r="DD99" s="2674"/>
      <c r="DE99" s="2674"/>
      <c r="DF99" s="2674"/>
      <c r="DG99" s="2674"/>
      <c r="DH99" s="2674"/>
      <c r="DI99" s="2674"/>
      <c r="DJ99" s="2674"/>
      <c r="DK99" s="2674"/>
      <c r="DL99" s="2674"/>
      <c r="DM99" s="2674"/>
      <c r="DN99" s="2674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2674"/>
      <c r="EN99" s="2674"/>
      <c r="EO99" s="2674"/>
      <c r="EP99" s="2674"/>
      <c r="EQ99" s="2674"/>
      <c r="ER99" s="2674"/>
      <c r="ES99" s="2674"/>
      <c r="ET99" s="2674"/>
      <c r="EU99" s="2674"/>
      <c r="EV99" s="2674"/>
      <c r="EW99" s="2674"/>
      <c r="EX99" s="2674"/>
      <c r="EY99" s="2674"/>
      <c r="EZ99" s="2674"/>
      <c r="FA99" s="2674"/>
      <c r="FB99" s="2674"/>
      <c r="FC99" s="2674"/>
      <c r="FD99" s="2674"/>
      <c r="FE99" s="2674"/>
      <c r="FF99" s="2674"/>
      <c r="FG99" s="2674"/>
      <c r="FH99" s="2674"/>
      <c r="FI99" s="2674"/>
      <c r="FJ99" s="2674"/>
      <c r="FK99" s="2674"/>
      <c r="FL99" s="2674"/>
      <c r="FM99" s="2674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</row>
    <row r="100" spans="1:194" x14ac:dyDescent="0.2">
      <c r="CN100" s="523"/>
      <c r="CO100" s="523"/>
      <c r="CP100" s="523"/>
      <c r="CQ100" s="523"/>
      <c r="CR100" s="523"/>
      <c r="CS100" s="523"/>
      <c r="CT100" s="523"/>
      <c r="CU100" s="523"/>
      <c r="CV100" s="523"/>
      <c r="CW100" s="523"/>
      <c r="CX100" s="523"/>
      <c r="CY100" s="523"/>
      <c r="CZ100" s="523"/>
      <c r="DA100" s="523"/>
      <c r="DB100" s="523"/>
      <c r="DC100" s="523"/>
      <c r="DD100" s="523"/>
      <c r="DE100" s="523"/>
      <c r="DF100" s="523"/>
      <c r="DG100" s="523"/>
      <c r="DH100" s="523"/>
      <c r="DI100" s="523"/>
      <c r="DJ100" s="523"/>
      <c r="DK100" s="523"/>
      <c r="DL100" s="523"/>
      <c r="DM100" s="523"/>
      <c r="DN100" s="523"/>
      <c r="EM100" s="523"/>
      <c r="EN100" s="523"/>
      <c r="EO100" s="523"/>
      <c r="EP100" s="523"/>
      <c r="EQ100" s="523"/>
      <c r="ER100" s="523"/>
      <c r="ES100" s="523"/>
      <c r="ET100" s="523"/>
      <c r="EU100" s="523"/>
      <c r="EV100" s="523"/>
      <c r="EW100" s="523"/>
      <c r="EX100" s="523"/>
      <c r="EY100" s="523"/>
      <c r="EZ100" s="523"/>
      <c r="FA100" s="523"/>
      <c r="FB100" s="523"/>
      <c r="FC100" s="523"/>
      <c r="FD100" s="523"/>
      <c r="FE100" s="523"/>
      <c r="FF100" s="523"/>
      <c r="FG100" s="523"/>
      <c r="FH100" s="523"/>
      <c r="FI100" s="523"/>
      <c r="FJ100" s="523"/>
      <c r="FK100" s="523"/>
      <c r="FL100" s="523"/>
      <c r="FM100" s="523"/>
    </row>
    <row r="101" spans="1:194" x14ac:dyDescent="0.2">
      <c r="CN101" s="523"/>
      <c r="CO101" s="523"/>
      <c r="CP101" s="523"/>
      <c r="CQ101" s="523"/>
      <c r="CR101" s="523"/>
      <c r="CS101" s="523"/>
      <c r="CT101" s="523"/>
      <c r="CU101" s="523"/>
      <c r="CV101" s="523"/>
      <c r="CW101" s="523"/>
      <c r="CX101" s="523"/>
      <c r="CY101" s="523"/>
      <c r="CZ101" s="523"/>
      <c r="DA101" s="523"/>
      <c r="DB101" s="523"/>
      <c r="DC101" s="523"/>
      <c r="DD101" s="523"/>
      <c r="DE101" s="523"/>
      <c r="DF101" s="523"/>
      <c r="DG101" s="523"/>
      <c r="DH101" s="523"/>
      <c r="DI101" s="523"/>
      <c r="DJ101" s="523"/>
      <c r="DK101" s="523"/>
      <c r="DL101" s="523"/>
      <c r="DM101" s="523"/>
      <c r="DN101" s="523"/>
      <c r="EM101" s="523"/>
      <c r="EN101" s="523"/>
      <c r="EO101" s="523"/>
      <c r="EP101" s="523"/>
      <c r="EQ101" s="523"/>
      <c r="ER101" s="523"/>
      <c r="ES101" s="523"/>
      <c r="ET101" s="523"/>
      <c r="EU101" s="523"/>
      <c r="EV101" s="523"/>
      <c r="EW101" s="523"/>
      <c r="EX101" s="523"/>
      <c r="EY101" s="523"/>
      <c r="EZ101" s="523"/>
      <c r="FA101" s="523"/>
      <c r="FB101" s="523"/>
      <c r="FC101" s="523"/>
      <c r="FD101" s="523"/>
      <c r="FE101" s="523"/>
      <c r="FF101" s="523"/>
      <c r="FG101" s="523"/>
      <c r="FH101" s="523"/>
      <c r="FI101" s="523"/>
      <c r="FJ101" s="523"/>
      <c r="FK101" s="523"/>
      <c r="FL101" s="523"/>
      <c r="FM101" s="523"/>
    </row>
    <row r="102" spans="1:194" x14ac:dyDescent="0.2">
      <c r="EM102" s="523"/>
      <c r="EN102" s="523"/>
      <c r="EO102" s="523"/>
      <c r="EP102" s="523"/>
      <c r="EQ102" s="523"/>
      <c r="ER102" s="523"/>
      <c r="ES102" s="523"/>
      <c r="ET102" s="523"/>
      <c r="EU102" s="523"/>
      <c r="EV102" s="523"/>
      <c r="EW102" s="523"/>
      <c r="EX102" s="523"/>
      <c r="EY102" s="523"/>
      <c r="EZ102" s="523"/>
      <c r="FA102" s="523"/>
      <c r="FB102" s="523"/>
      <c r="FC102" s="523"/>
      <c r="FD102" s="523"/>
      <c r="FE102" s="523"/>
      <c r="FF102" s="523"/>
      <c r="FG102" s="523"/>
      <c r="FH102" s="523"/>
      <c r="FI102" s="523"/>
      <c r="FJ102" s="523"/>
      <c r="FK102" s="523"/>
      <c r="FL102" s="523"/>
      <c r="FM102" s="523"/>
    </row>
  </sheetData>
  <sheetProtection formatCells="0" formatColumns="0" formatRows="0" insertColumns="0" insertRows="0" insertHyperlinks="0" deleteColumns="0" deleteRows="0" sort="0" autoFilter="0" pivotTables="0"/>
  <mergeCells count="572">
    <mergeCell ref="FZ89:GB89"/>
    <mergeCell ref="GC89:GE89"/>
    <mergeCell ref="GF89:GH89"/>
    <mergeCell ref="GI89:GK89"/>
    <mergeCell ref="FH89:FJ89"/>
    <mergeCell ref="FK89:FM89"/>
    <mergeCell ref="FN89:FP89"/>
    <mergeCell ref="FQ89:FS89"/>
    <mergeCell ref="FT89:FV89"/>
    <mergeCell ref="FW89:FY89"/>
    <mergeCell ref="EP89:ER89"/>
    <mergeCell ref="ES89:EU89"/>
    <mergeCell ref="EV89:EX89"/>
    <mergeCell ref="EY89:FA89"/>
    <mergeCell ref="FB89:FD89"/>
    <mergeCell ref="FE89:FG89"/>
    <mergeCell ref="DX89:DZ89"/>
    <mergeCell ref="EA89:EC89"/>
    <mergeCell ref="ED89:EF89"/>
    <mergeCell ref="EG89:EI89"/>
    <mergeCell ref="EJ89:EL89"/>
    <mergeCell ref="EM89:EO89"/>
    <mergeCell ref="DF89:DH89"/>
    <mergeCell ref="DI89:DK89"/>
    <mergeCell ref="DL89:DN89"/>
    <mergeCell ref="DO89:DQ89"/>
    <mergeCell ref="DR89:DT89"/>
    <mergeCell ref="DU89:DW89"/>
    <mergeCell ref="CN89:CP89"/>
    <mergeCell ref="CQ89:CS89"/>
    <mergeCell ref="CT89:CV89"/>
    <mergeCell ref="CW89:CY89"/>
    <mergeCell ref="CZ89:DB89"/>
    <mergeCell ref="DC89:DE89"/>
    <mergeCell ref="BV89:BX89"/>
    <mergeCell ref="BY89:CA89"/>
    <mergeCell ref="CB89:CD89"/>
    <mergeCell ref="CE89:CG89"/>
    <mergeCell ref="CH89:CJ89"/>
    <mergeCell ref="CK89:CM89"/>
    <mergeCell ref="BD89:BF89"/>
    <mergeCell ref="BG89:BI89"/>
    <mergeCell ref="BJ89:BL89"/>
    <mergeCell ref="BM89:BO89"/>
    <mergeCell ref="BP89:BR89"/>
    <mergeCell ref="BS89:BU89"/>
    <mergeCell ref="AL89:AN89"/>
    <mergeCell ref="AO89:AQ89"/>
    <mergeCell ref="AR89:AT89"/>
    <mergeCell ref="AU89:AW89"/>
    <mergeCell ref="AX89:AZ89"/>
    <mergeCell ref="BA89:BC89"/>
    <mergeCell ref="T89:V89"/>
    <mergeCell ref="W89:Y89"/>
    <mergeCell ref="Z89:AB89"/>
    <mergeCell ref="AC89:AE89"/>
    <mergeCell ref="AF89:AH89"/>
    <mergeCell ref="AI89:AK89"/>
    <mergeCell ref="FZ88:GB88"/>
    <mergeCell ref="GC88:GE88"/>
    <mergeCell ref="GF88:GH88"/>
    <mergeCell ref="GI88:GK88"/>
    <mergeCell ref="B89:D89"/>
    <mergeCell ref="E89:G89"/>
    <mergeCell ref="H89:J89"/>
    <mergeCell ref="K89:M89"/>
    <mergeCell ref="N89:P89"/>
    <mergeCell ref="Q89:S89"/>
    <mergeCell ref="FH88:FJ88"/>
    <mergeCell ref="FK88:FM88"/>
    <mergeCell ref="FN88:FP88"/>
    <mergeCell ref="FQ88:FS88"/>
    <mergeCell ref="FT88:FV88"/>
    <mergeCell ref="FW88:FY88"/>
    <mergeCell ref="EP88:ER88"/>
    <mergeCell ref="ES88:EU88"/>
    <mergeCell ref="EV88:EX88"/>
    <mergeCell ref="EY88:FA88"/>
    <mergeCell ref="FB88:FD88"/>
    <mergeCell ref="FE88:FG88"/>
    <mergeCell ref="DX88:DZ88"/>
    <mergeCell ref="EA88:EC88"/>
    <mergeCell ref="ED88:EF88"/>
    <mergeCell ref="EG88:EI88"/>
    <mergeCell ref="EJ88:EL88"/>
    <mergeCell ref="EM88:EO88"/>
    <mergeCell ref="DF88:DH88"/>
    <mergeCell ref="DI88:DK88"/>
    <mergeCell ref="DL88:DN88"/>
    <mergeCell ref="DO88:DQ88"/>
    <mergeCell ref="DR88:DT88"/>
    <mergeCell ref="DU88:DW88"/>
    <mergeCell ref="CN88:CP88"/>
    <mergeCell ref="CQ88:CS88"/>
    <mergeCell ref="CT88:CV88"/>
    <mergeCell ref="CW88:CY88"/>
    <mergeCell ref="CZ88:DB88"/>
    <mergeCell ref="DC88:DE88"/>
    <mergeCell ref="BV88:BX88"/>
    <mergeCell ref="BY88:CA88"/>
    <mergeCell ref="CB88:CD88"/>
    <mergeCell ref="CE88:CG88"/>
    <mergeCell ref="CH88:CJ88"/>
    <mergeCell ref="CK88:CM88"/>
    <mergeCell ref="BD88:BF88"/>
    <mergeCell ref="BG88:BI88"/>
    <mergeCell ref="BJ88:BL88"/>
    <mergeCell ref="BM88:BO88"/>
    <mergeCell ref="BP88:BR88"/>
    <mergeCell ref="BS88:BU88"/>
    <mergeCell ref="AL88:AN88"/>
    <mergeCell ref="AO88:AQ88"/>
    <mergeCell ref="AR88:AT88"/>
    <mergeCell ref="AU88:AW88"/>
    <mergeCell ref="AX88:AZ88"/>
    <mergeCell ref="BA88:BC88"/>
    <mergeCell ref="T88:V88"/>
    <mergeCell ref="W88:Y88"/>
    <mergeCell ref="Z88:AB88"/>
    <mergeCell ref="AC88:AE88"/>
    <mergeCell ref="AF88:AH88"/>
    <mergeCell ref="AI88:AK88"/>
    <mergeCell ref="FZ87:GB87"/>
    <mergeCell ref="GC87:GE87"/>
    <mergeCell ref="GF87:GH87"/>
    <mergeCell ref="EM87:EO87"/>
    <mergeCell ref="DF87:DH87"/>
    <mergeCell ref="DI87:DK87"/>
    <mergeCell ref="DL87:DN87"/>
    <mergeCell ref="DO87:DQ87"/>
    <mergeCell ref="DR87:DT87"/>
    <mergeCell ref="DU87:DW87"/>
    <mergeCell ref="CN87:CP87"/>
    <mergeCell ref="CQ87:CS87"/>
    <mergeCell ref="CT87:CV87"/>
    <mergeCell ref="CW87:CY87"/>
    <mergeCell ref="CZ87:DB87"/>
    <mergeCell ref="DC87:DE87"/>
    <mergeCell ref="BV87:BX87"/>
    <mergeCell ref="BY87:CA87"/>
    <mergeCell ref="GI87:GK87"/>
    <mergeCell ref="B88:D88"/>
    <mergeCell ref="E88:G88"/>
    <mergeCell ref="H88:J88"/>
    <mergeCell ref="K88:M88"/>
    <mergeCell ref="N88:P88"/>
    <mergeCell ref="Q88:S88"/>
    <mergeCell ref="FH87:FJ87"/>
    <mergeCell ref="FK87:FM87"/>
    <mergeCell ref="FN87:FP87"/>
    <mergeCell ref="FQ87:FS87"/>
    <mergeCell ref="FT87:FV87"/>
    <mergeCell ref="FW87:FY87"/>
    <mergeCell ref="EP87:ER87"/>
    <mergeCell ref="ES87:EU87"/>
    <mergeCell ref="EV87:EX87"/>
    <mergeCell ref="EY87:FA87"/>
    <mergeCell ref="FB87:FD87"/>
    <mergeCell ref="FE87:FG87"/>
    <mergeCell ref="DX87:DZ87"/>
    <mergeCell ref="EA87:EC87"/>
    <mergeCell ref="ED87:EF87"/>
    <mergeCell ref="EG87:EI87"/>
    <mergeCell ref="EJ87:EL87"/>
    <mergeCell ref="CB87:CD87"/>
    <mergeCell ref="CE87:CG87"/>
    <mergeCell ref="CH87:CJ87"/>
    <mergeCell ref="CK87:CM87"/>
    <mergeCell ref="BD87:BF87"/>
    <mergeCell ref="BG87:BI87"/>
    <mergeCell ref="BJ87:BL87"/>
    <mergeCell ref="BM87:BO87"/>
    <mergeCell ref="BP87:BR87"/>
    <mergeCell ref="BS87:BU87"/>
    <mergeCell ref="AL87:AN87"/>
    <mergeCell ref="AO87:AQ87"/>
    <mergeCell ref="AR87:AT87"/>
    <mergeCell ref="AU87:AW87"/>
    <mergeCell ref="AX87:AZ87"/>
    <mergeCell ref="BA87:BC87"/>
    <mergeCell ref="T87:V87"/>
    <mergeCell ref="W87:Y87"/>
    <mergeCell ref="Z87:AB87"/>
    <mergeCell ref="AC87:AE87"/>
    <mergeCell ref="AF87:AH87"/>
    <mergeCell ref="AI87:AK87"/>
    <mergeCell ref="FZ86:GB86"/>
    <mergeCell ref="GC86:GE86"/>
    <mergeCell ref="GF86:GH86"/>
    <mergeCell ref="GI86:GK86"/>
    <mergeCell ref="B87:D87"/>
    <mergeCell ref="E87:G87"/>
    <mergeCell ref="H87:J87"/>
    <mergeCell ref="K87:M87"/>
    <mergeCell ref="N87:P87"/>
    <mergeCell ref="Q87:S87"/>
    <mergeCell ref="FH86:FJ86"/>
    <mergeCell ref="FK86:FM86"/>
    <mergeCell ref="FN86:FP86"/>
    <mergeCell ref="FQ86:FS86"/>
    <mergeCell ref="FT86:FV86"/>
    <mergeCell ref="FW86:FY86"/>
    <mergeCell ref="EP86:ER86"/>
    <mergeCell ref="ES86:EU86"/>
    <mergeCell ref="EV86:EX86"/>
    <mergeCell ref="EY86:FA86"/>
    <mergeCell ref="FB86:FD86"/>
    <mergeCell ref="FE86:FG86"/>
    <mergeCell ref="DX86:DZ86"/>
    <mergeCell ref="EA86:EC86"/>
    <mergeCell ref="ED86:EF86"/>
    <mergeCell ref="EG86:EI86"/>
    <mergeCell ref="EJ86:EL86"/>
    <mergeCell ref="EM86:EO86"/>
    <mergeCell ref="DF86:DH86"/>
    <mergeCell ref="DI86:DK86"/>
    <mergeCell ref="DL86:DN86"/>
    <mergeCell ref="DO86:DQ86"/>
    <mergeCell ref="DR86:DT86"/>
    <mergeCell ref="DU86:DW86"/>
    <mergeCell ref="CN86:CP86"/>
    <mergeCell ref="CQ86:CS86"/>
    <mergeCell ref="CT86:CV86"/>
    <mergeCell ref="CW86:CY86"/>
    <mergeCell ref="CZ86:DB86"/>
    <mergeCell ref="DC86:DE86"/>
    <mergeCell ref="BV86:BX86"/>
    <mergeCell ref="BY86:CA86"/>
    <mergeCell ref="CB86:CD86"/>
    <mergeCell ref="CE86:CG86"/>
    <mergeCell ref="CH86:CJ86"/>
    <mergeCell ref="CK86:CM86"/>
    <mergeCell ref="BD86:BF86"/>
    <mergeCell ref="BG86:BI86"/>
    <mergeCell ref="BJ86:BL86"/>
    <mergeCell ref="BM86:BO86"/>
    <mergeCell ref="BP86:BR86"/>
    <mergeCell ref="BS86:BU86"/>
    <mergeCell ref="AL86:AN86"/>
    <mergeCell ref="AO86:AQ86"/>
    <mergeCell ref="AR86:AT86"/>
    <mergeCell ref="AU86:AW86"/>
    <mergeCell ref="AX86:AZ86"/>
    <mergeCell ref="BA86:BC86"/>
    <mergeCell ref="T86:V86"/>
    <mergeCell ref="W86:Y86"/>
    <mergeCell ref="Z86:AB86"/>
    <mergeCell ref="AC86:AE86"/>
    <mergeCell ref="AF86:AH86"/>
    <mergeCell ref="AI86:AK86"/>
    <mergeCell ref="FZ85:GB85"/>
    <mergeCell ref="GC85:GE85"/>
    <mergeCell ref="GF85:GH85"/>
    <mergeCell ref="EM85:EO85"/>
    <mergeCell ref="DF85:DH85"/>
    <mergeCell ref="DI85:DK85"/>
    <mergeCell ref="DL85:DN85"/>
    <mergeCell ref="DO85:DQ85"/>
    <mergeCell ref="DR85:DT85"/>
    <mergeCell ref="DU85:DW85"/>
    <mergeCell ref="CN85:CP85"/>
    <mergeCell ref="CQ85:CS85"/>
    <mergeCell ref="CT85:CV85"/>
    <mergeCell ref="CW85:CY85"/>
    <mergeCell ref="CZ85:DB85"/>
    <mergeCell ref="DC85:DE85"/>
    <mergeCell ref="BV85:BX85"/>
    <mergeCell ref="BY85:CA85"/>
    <mergeCell ref="GI85:GK85"/>
    <mergeCell ref="B86:D86"/>
    <mergeCell ref="E86:G86"/>
    <mergeCell ref="H86:J86"/>
    <mergeCell ref="K86:M86"/>
    <mergeCell ref="N86:P86"/>
    <mergeCell ref="Q86:S86"/>
    <mergeCell ref="FH85:FJ85"/>
    <mergeCell ref="FK85:FM85"/>
    <mergeCell ref="FN85:FP85"/>
    <mergeCell ref="FQ85:FS85"/>
    <mergeCell ref="FT85:FV85"/>
    <mergeCell ref="FW85:FY85"/>
    <mergeCell ref="EP85:ER85"/>
    <mergeCell ref="ES85:EU85"/>
    <mergeCell ref="EV85:EX85"/>
    <mergeCell ref="EY85:FA85"/>
    <mergeCell ref="FB85:FD85"/>
    <mergeCell ref="FE85:FG85"/>
    <mergeCell ref="DX85:DZ85"/>
    <mergeCell ref="EA85:EC85"/>
    <mergeCell ref="ED85:EF85"/>
    <mergeCell ref="EG85:EI85"/>
    <mergeCell ref="EJ85:EL85"/>
    <mergeCell ref="CB85:CD85"/>
    <mergeCell ref="CE85:CG85"/>
    <mergeCell ref="CH85:CJ85"/>
    <mergeCell ref="CK85:CM85"/>
    <mergeCell ref="BD85:BF85"/>
    <mergeCell ref="BG85:BI85"/>
    <mergeCell ref="BJ85:BL85"/>
    <mergeCell ref="BM85:BO85"/>
    <mergeCell ref="BP85:BR85"/>
    <mergeCell ref="BS85:BU85"/>
    <mergeCell ref="AL85:AN85"/>
    <mergeCell ref="AO85:AQ85"/>
    <mergeCell ref="AR85:AT85"/>
    <mergeCell ref="AU85:AW85"/>
    <mergeCell ref="AX85:AZ85"/>
    <mergeCell ref="BA85:BC85"/>
    <mergeCell ref="T85:V85"/>
    <mergeCell ref="W85:Y85"/>
    <mergeCell ref="Z85:AB85"/>
    <mergeCell ref="AC85:AE85"/>
    <mergeCell ref="AF85:AH85"/>
    <mergeCell ref="AI85:AK85"/>
    <mergeCell ref="FZ46:GB46"/>
    <mergeCell ref="GC46:GE46"/>
    <mergeCell ref="GF46:GH46"/>
    <mergeCell ref="GI46:GK46"/>
    <mergeCell ref="B85:D85"/>
    <mergeCell ref="E85:G85"/>
    <mergeCell ref="H85:J85"/>
    <mergeCell ref="K85:M85"/>
    <mergeCell ref="N85:P85"/>
    <mergeCell ref="Q85:S85"/>
    <mergeCell ref="FH46:FJ46"/>
    <mergeCell ref="FK46:FM46"/>
    <mergeCell ref="FN46:FP46"/>
    <mergeCell ref="FQ46:FS46"/>
    <mergeCell ref="FT46:FV46"/>
    <mergeCell ref="FW46:FY46"/>
    <mergeCell ref="EP46:ER46"/>
    <mergeCell ref="ES46:EU46"/>
    <mergeCell ref="EV46:EX46"/>
    <mergeCell ref="EY46:FA46"/>
    <mergeCell ref="FB46:FD46"/>
    <mergeCell ref="FE46:FG46"/>
    <mergeCell ref="DX46:DZ46"/>
    <mergeCell ref="EA46:EC46"/>
    <mergeCell ref="ED46:EF46"/>
    <mergeCell ref="EG46:EI46"/>
    <mergeCell ref="EJ46:EL46"/>
    <mergeCell ref="EM46:EO46"/>
    <mergeCell ref="DF46:DH46"/>
    <mergeCell ref="DI46:DK46"/>
    <mergeCell ref="DL46:DN46"/>
    <mergeCell ref="DO46:DQ46"/>
    <mergeCell ref="DR46:DT46"/>
    <mergeCell ref="DU46:DW46"/>
    <mergeCell ref="CN46:CP46"/>
    <mergeCell ref="CQ46:CS46"/>
    <mergeCell ref="CT46:CV46"/>
    <mergeCell ref="CW46:CY46"/>
    <mergeCell ref="CZ46:DB46"/>
    <mergeCell ref="DC46:DE46"/>
    <mergeCell ref="BV46:BX46"/>
    <mergeCell ref="BY46:CA46"/>
    <mergeCell ref="CB46:CD46"/>
    <mergeCell ref="CE46:CG46"/>
    <mergeCell ref="CH46:CJ46"/>
    <mergeCell ref="CK46:CM46"/>
    <mergeCell ref="BD46:BF46"/>
    <mergeCell ref="BG46:BI46"/>
    <mergeCell ref="BJ46:BL46"/>
    <mergeCell ref="BM46:BO46"/>
    <mergeCell ref="BP46:BR46"/>
    <mergeCell ref="BS46:BU46"/>
    <mergeCell ref="AL46:AN46"/>
    <mergeCell ref="AO46:AQ46"/>
    <mergeCell ref="AR46:AT46"/>
    <mergeCell ref="AU46:AW46"/>
    <mergeCell ref="AX46:AZ46"/>
    <mergeCell ref="BA46:BC46"/>
    <mergeCell ref="T46:V46"/>
    <mergeCell ref="W46:Y46"/>
    <mergeCell ref="Z46:AB46"/>
    <mergeCell ref="AC46:AE46"/>
    <mergeCell ref="AF46:AH46"/>
    <mergeCell ref="AI46:AK46"/>
    <mergeCell ref="B46:D46"/>
    <mergeCell ref="E46:G46"/>
    <mergeCell ref="H46:J46"/>
    <mergeCell ref="K46:M46"/>
    <mergeCell ref="N46:P46"/>
    <mergeCell ref="Q46:S46"/>
    <mergeCell ref="EA45:EL45"/>
    <mergeCell ref="EM45:EU45"/>
    <mergeCell ref="EV45:FD45"/>
    <mergeCell ref="FE45:FM45"/>
    <mergeCell ref="FN45:FY45"/>
    <mergeCell ref="FZ45:GK45"/>
    <mergeCell ref="BP45:CA45"/>
    <mergeCell ref="CB45:CM45"/>
    <mergeCell ref="CN45:CV45"/>
    <mergeCell ref="CW45:DE45"/>
    <mergeCell ref="DF45:DN45"/>
    <mergeCell ref="DO45:DZ45"/>
    <mergeCell ref="GF27:GH27"/>
    <mergeCell ref="GI27:GK27"/>
    <mergeCell ref="A45:A47"/>
    <mergeCell ref="B45:J45"/>
    <mergeCell ref="K45:S45"/>
    <mergeCell ref="T45:AB45"/>
    <mergeCell ref="AC45:AN45"/>
    <mergeCell ref="AO45:AW45"/>
    <mergeCell ref="AX45:BF45"/>
    <mergeCell ref="BG45:BO45"/>
    <mergeCell ref="FN27:FP27"/>
    <mergeCell ref="FQ27:FS27"/>
    <mergeCell ref="FT27:FV27"/>
    <mergeCell ref="FW27:FY27"/>
    <mergeCell ref="FZ27:GB27"/>
    <mergeCell ref="GC27:GE27"/>
    <mergeCell ref="EV27:EX27"/>
    <mergeCell ref="EY27:FA27"/>
    <mergeCell ref="FB27:FD27"/>
    <mergeCell ref="FE27:FG27"/>
    <mergeCell ref="FH27:FJ27"/>
    <mergeCell ref="FK27:FM27"/>
    <mergeCell ref="ED27:EF27"/>
    <mergeCell ref="EG27:EI27"/>
    <mergeCell ref="EJ27:EL27"/>
    <mergeCell ref="EM27:EO27"/>
    <mergeCell ref="EP27:ER27"/>
    <mergeCell ref="ES27:EU27"/>
    <mergeCell ref="DL27:DN27"/>
    <mergeCell ref="DO27:DQ27"/>
    <mergeCell ref="DR27:DT27"/>
    <mergeCell ref="DU27:DW27"/>
    <mergeCell ref="DX27:DZ27"/>
    <mergeCell ref="EA27:EC27"/>
    <mergeCell ref="CT27:CV27"/>
    <mergeCell ref="CW27:CY27"/>
    <mergeCell ref="CZ27:DB27"/>
    <mergeCell ref="DC27:DE27"/>
    <mergeCell ref="DF27:DH27"/>
    <mergeCell ref="DI27:DK27"/>
    <mergeCell ref="CB27:CD27"/>
    <mergeCell ref="CE27:CG27"/>
    <mergeCell ref="CH27:CJ27"/>
    <mergeCell ref="CK27:CM27"/>
    <mergeCell ref="CN27:CP27"/>
    <mergeCell ref="CQ27:CS27"/>
    <mergeCell ref="BJ27:BL27"/>
    <mergeCell ref="BM27:BO27"/>
    <mergeCell ref="BP27:BR27"/>
    <mergeCell ref="BS27:BU27"/>
    <mergeCell ref="BV27:BX27"/>
    <mergeCell ref="BY27:CA27"/>
    <mergeCell ref="AR27:AT27"/>
    <mergeCell ref="AU27:AW27"/>
    <mergeCell ref="AX27:AZ27"/>
    <mergeCell ref="BA27:BC27"/>
    <mergeCell ref="BD27:BF27"/>
    <mergeCell ref="BG27:BI27"/>
    <mergeCell ref="Z27:AB27"/>
    <mergeCell ref="AC27:AE27"/>
    <mergeCell ref="AF27:AH27"/>
    <mergeCell ref="AI27:AK27"/>
    <mergeCell ref="AL27:AN27"/>
    <mergeCell ref="AO27:AQ27"/>
    <mergeCell ref="FN26:FY26"/>
    <mergeCell ref="FZ26:GK26"/>
    <mergeCell ref="B27:D27"/>
    <mergeCell ref="E27:G27"/>
    <mergeCell ref="H27:J27"/>
    <mergeCell ref="K27:M27"/>
    <mergeCell ref="N27:P27"/>
    <mergeCell ref="Q27:S27"/>
    <mergeCell ref="T27:V27"/>
    <mergeCell ref="W27:Y27"/>
    <mergeCell ref="DF26:DN26"/>
    <mergeCell ref="DO26:DZ26"/>
    <mergeCell ref="EA26:EL26"/>
    <mergeCell ref="EM26:EU26"/>
    <mergeCell ref="EV26:FD26"/>
    <mergeCell ref="FE26:FM26"/>
    <mergeCell ref="AX26:BF26"/>
    <mergeCell ref="BG26:BO26"/>
    <mergeCell ref="BP26:CA26"/>
    <mergeCell ref="CB26:CM26"/>
    <mergeCell ref="CN26:CV26"/>
    <mergeCell ref="CW26:DE26"/>
    <mergeCell ref="FZ6:GB6"/>
    <mergeCell ref="GC6:GE6"/>
    <mergeCell ref="GF6:GH6"/>
    <mergeCell ref="GI6:GK6"/>
    <mergeCell ref="A26:A28"/>
    <mergeCell ref="B26:J26"/>
    <mergeCell ref="K26:S26"/>
    <mergeCell ref="T26:AB26"/>
    <mergeCell ref="AC26:AN26"/>
    <mergeCell ref="AO26:AW26"/>
    <mergeCell ref="FH6:FJ6"/>
    <mergeCell ref="FK6:FM6"/>
    <mergeCell ref="FN6:FP6"/>
    <mergeCell ref="FQ6:FS6"/>
    <mergeCell ref="FT6:FV6"/>
    <mergeCell ref="FW6:FY6"/>
    <mergeCell ref="EP6:ER6"/>
    <mergeCell ref="ES6:EU6"/>
    <mergeCell ref="EV6:EX6"/>
    <mergeCell ref="EY6:FA6"/>
    <mergeCell ref="FB6:FD6"/>
    <mergeCell ref="FE6:FG6"/>
    <mergeCell ref="DX6:DZ6"/>
    <mergeCell ref="EA6:EC6"/>
    <mergeCell ref="ED6:EF6"/>
    <mergeCell ref="EG6:EI6"/>
    <mergeCell ref="EJ6:EL6"/>
    <mergeCell ref="EM6:EO6"/>
    <mergeCell ref="DF6:DH6"/>
    <mergeCell ref="DI6:DK6"/>
    <mergeCell ref="DL6:DN6"/>
    <mergeCell ref="DO6:DQ6"/>
    <mergeCell ref="DR6:DT6"/>
    <mergeCell ref="DU6:DW6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BJ6:BL6"/>
    <mergeCell ref="BM6:BO6"/>
    <mergeCell ref="BP6:BR6"/>
    <mergeCell ref="BS6:BU6"/>
    <mergeCell ref="AL6:AN6"/>
    <mergeCell ref="AO6:AQ6"/>
    <mergeCell ref="AR6:AT6"/>
    <mergeCell ref="AU6:AW6"/>
    <mergeCell ref="AX6:AZ6"/>
    <mergeCell ref="BA6:BC6"/>
    <mergeCell ref="FN5:FY5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DF5:DN5"/>
    <mergeCell ref="DO5:DZ5"/>
    <mergeCell ref="EA5:EL5"/>
    <mergeCell ref="EM5:EU5"/>
    <mergeCell ref="EV5:FD5"/>
    <mergeCell ref="FE5:FM5"/>
    <mergeCell ref="AX5:BF5"/>
    <mergeCell ref="BG5:BO5"/>
    <mergeCell ref="BP5:CA5"/>
    <mergeCell ref="CB5:CM5"/>
    <mergeCell ref="CN5:CV5"/>
    <mergeCell ref="CW5:DE5"/>
    <mergeCell ref="BD6:BF6"/>
    <mergeCell ref="BG6:BI6"/>
    <mergeCell ref="A5:A7"/>
    <mergeCell ref="B5:J5"/>
    <mergeCell ref="K5:S5"/>
    <mergeCell ref="T5:AB5"/>
    <mergeCell ref="AC5:AN5"/>
    <mergeCell ref="AO5:AW5"/>
    <mergeCell ref="Z6:AB6"/>
    <mergeCell ref="AC6:AE6"/>
    <mergeCell ref="AF6:AH6"/>
    <mergeCell ref="AI6:AK6"/>
  </mergeCells>
  <printOptions horizontalCentered="1"/>
  <pageMargins left="0" right="0" top="0" bottom="0" header="0" footer="0"/>
  <pageSetup paperSize="9" scale="5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0">
    <tabColor rgb="FFFF33CC"/>
    <pageSetUpPr fitToPage="1"/>
  </sheetPr>
  <dimension ref="A1:CN432"/>
  <sheetViews>
    <sheetView zoomScale="80" zoomScaleNormal="80" workbookViewId="0">
      <pane xSplit="1" ySplit="7" topLeftCell="BR140" activePane="bottomRight" state="frozen"/>
      <selection pane="topRight" activeCell="B1" sqref="B1"/>
      <selection pane="bottomLeft" activeCell="A8" sqref="A8"/>
      <selection pane="bottomRight" activeCell="BV165" sqref="BV165:BX165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7" width="15.5703125" customWidth="1"/>
    <col min="58" max="58" width="12.7109375" customWidth="1"/>
    <col min="59" max="60" width="13.710937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2.7109375" customWidth="1"/>
    <col min="80" max="80" width="15.140625" customWidth="1"/>
    <col min="81" max="81" width="15.28515625" customWidth="1"/>
    <col min="82" max="82" width="12.7109375" customWidth="1"/>
    <col min="83" max="83" width="13.7109375" customWidth="1"/>
    <col min="84" max="84" width="15.570312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13" customWidth="1"/>
    <col min="93" max="93" width="17.7109375" customWidth="1"/>
  </cols>
  <sheetData>
    <row r="1" spans="1:92" ht="20.25" x14ac:dyDescent="0.3">
      <c r="A1" s="2817" t="s">
        <v>3961</v>
      </c>
      <c r="B1" s="2818"/>
      <c r="C1" s="2818"/>
      <c r="D1" s="2818"/>
      <c r="E1" s="2818"/>
      <c r="F1" s="2818"/>
      <c r="G1" s="2818"/>
      <c r="H1" s="2818"/>
      <c r="I1" s="2818"/>
      <c r="J1" s="2818"/>
      <c r="K1" s="2818"/>
      <c r="L1" s="2818"/>
      <c r="M1" s="2818"/>
      <c r="N1" s="2818"/>
      <c r="O1" s="2818"/>
      <c r="P1" s="2818"/>
      <c r="Q1" s="2819"/>
      <c r="R1" s="2819"/>
      <c r="S1" s="2819"/>
      <c r="T1" s="2820"/>
      <c r="U1" s="2820"/>
      <c r="V1" s="2820"/>
      <c r="W1" s="2820"/>
      <c r="X1" s="2820"/>
      <c r="Y1" s="2820"/>
      <c r="Z1" s="2819"/>
      <c r="AA1" s="2819"/>
      <c r="AB1" s="2819"/>
      <c r="AC1" s="2820"/>
      <c r="AD1" s="2820"/>
      <c r="AE1" s="2820"/>
      <c r="AF1" s="2820"/>
      <c r="AG1" s="2820"/>
      <c r="AH1" s="2820"/>
      <c r="AI1" s="2820"/>
      <c r="AJ1" s="2820"/>
      <c r="AK1" s="2820"/>
      <c r="AL1" s="2820"/>
      <c r="AM1" s="2820"/>
      <c r="AN1" s="2820"/>
      <c r="AO1" s="2819"/>
      <c r="AP1" s="2819"/>
      <c r="AQ1" s="2819"/>
      <c r="AR1" s="2819"/>
      <c r="AS1" s="2819"/>
      <c r="AT1" s="2819"/>
      <c r="AU1" s="2819"/>
      <c r="AV1" s="2819"/>
      <c r="AW1" s="2819"/>
      <c r="AX1" s="2819"/>
      <c r="AY1" s="2819"/>
      <c r="AZ1" s="2819"/>
      <c r="BA1" s="2819"/>
      <c r="BB1" s="2819"/>
      <c r="BC1" s="2819"/>
      <c r="BD1" s="2819"/>
      <c r="BE1" s="2819"/>
      <c r="BF1" s="2819"/>
      <c r="BG1" s="2819"/>
      <c r="BH1" s="2819"/>
      <c r="BI1" s="2819"/>
      <c r="BJ1" s="2819"/>
      <c r="BK1" s="2819"/>
      <c r="BL1" s="2819"/>
      <c r="BM1" s="2819"/>
      <c r="BN1" s="2819"/>
      <c r="BO1" s="2819"/>
      <c r="BP1" s="2819"/>
      <c r="BQ1" s="2819"/>
      <c r="BR1" s="2819"/>
      <c r="BS1" s="2819"/>
      <c r="BT1" s="2819"/>
      <c r="BU1" s="2819"/>
      <c r="BV1" s="2819"/>
      <c r="BW1" s="2819"/>
      <c r="BX1" s="2819"/>
      <c r="BY1" s="2819"/>
      <c r="BZ1" s="2819"/>
      <c r="CA1" s="2819"/>
      <c r="CB1" s="2819"/>
      <c r="CC1" s="2819"/>
      <c r="CD1" s="2819"/>
      <c r="CE1" s="2819"/>
      <c r="CF1" s="2819"/>
      <c r="CG1" s="2819"/>
      <c r="CH1" s="2819"/>
      <c r="CI1" s="2821"/>
      <c r="CJ1" s="2821"/>
      <c r="CK1" s="2821"/>
      <c r="CL1" s="2821"/>
      <c r="CM1" s="2821"/>
      <c r="CN1" s="2822"/>
    </row>
    <row r="2" spans="1:92" ht="20.25" x14ac:dyDescent="0.3">
      <c r="A2" s="2823" t="s">
        <v>3714</v>
      </c>
      <c r="B2" s="2821"/>
      <c r="C2" s="2821"/>
      <c r="D2" s="2821"/>
      <c r="E2" s="2821"/>
      <c r="F2" s="2821"/>
      <c r="G2" s="2821"/>
      <c r="H2" s="2824"/>
      <c r="I2" s="2821"/>
      <c r="J2" s="2821"/>
      <c r="K2" s="2821"/>
      <c r="L2" s="2821"/>
      <c r="M2" s="2821"/>
      <c r="N2" s="2821"/>
      <c r="O2" s="2821"/>
      <c r="P2" s="2821"/>
      <c r="Q2" s="2821"/>
      <c r="R2" s="2821"/>
      <c r="S2" s="2821"/>
      <c r="T2" s="2825"/>
      <c r="U2" s="2825"/>
      <c r="V2" s="2825"/>
      <c r="W2" s="2825"/>
      <c r="X2" s="2825"/>
      <c r="Y2" s="2825"/>
      <c r="Z2" s="2821"/>
      <c r="AA2" s="2821"/>
      <c r="AB2" s="2821"/>
      <c r="AC2" s="2825"/>
      <c r="AD2" s="2825"/>
      <c r="AE2" s="2825"/>
      <c r="AF2" s="2825"/>
      <c r="AG2" s="2825"/>
      <c r="AH2" s="2825"/>
      <c r="AI2" s="2825"/>
      <c r="AJ2" s="2825"/>
      <c r="AK2" s="2825"/>
      <c r="AL2" s="2825"/>
      <c r="AM2" s="2825"/>
      <c r="AN2" s="2825"/>
      <c r="AO2" s="2821"/>
      <c r="AP2" s="2821"/>
      <c r="AQ2" s="2821"/>
      <c r="AR2" s="2821"/>
      <c r="AS2" s="2821"/>
      <c r="AT2" s="2821"/>
      <c r="AU2" s="2821"/>
      <c r="AV2" s="2821"/>
      <c r="AW2" s="2821"/>
      <c r="AX2" s="2821"/>
      <c r="AY2" s="2821"/>
      <c r="AZ2" s="2821"/>
      <c r="BA2" s="2821"/>
      <c r="BB2" s="2821"/>
      <c r="BC2" s="2821"/>
      <c r="BD2" s="2821"/>
      <c r="BE2" s="2821"/>
      <c r="BF2" s="2821"/>
      <c r="BG2" s="2821"/>
      <c r="BH2" s="2821"/>
      <c r="BI2" s="2821"/>
      <c r="BJ2" s="2821"/>
      <c r="BK2" s="2821"/>
      <c r="BL2" s="2821"/>
      <c r="BM2" s="2821"/>
      <c r="BN2" s="2821"/>
      <c r="BO2" s="2821"/>
      <c r="BP2" s="2821"/>
      <c r="BQ2" s="2821"/>
      <c r="BR2" s="2821"/>
      <c r="BS2" s="2821"/>
      <c r="BT2" s="2821"/>
      <c r="BU2" s="2821"/>
      <c r="BV2" s="2821"/>
      <c r="BW2" s="2821"/>
      <c r="BX2" s="2821"/>
      <c r="BY2" s="2821"/>
      <c r="BZ2" s="2821"/>
      <c r="CA2" s="2821"/>
      <c r="CB2" s="2821"/>
      <c r="CC2" s="2821"/>
      <c r="CD2" s="2821"/>
      <c r="CE2" s="2821"/>
      <c r="CF2" s="2821"/>
      <c r="CG2" s="2821"/>
      <c r="CH2" s="2821"/>
      <c r="CI2" s="2821"/>
      <c r="CJ2" s="2821"/>
      <c r="CK2" s="2821"/>
      <c r="CL2" s="2821"/>
      <c r="CM2" s="2821"/>
      <c r="CN2" s="2822"/>
    </row>
    <row r="3" spans="1:92" ht="20.25" x14ac:dyDescent="0.3">
      <c r="A3" s="2823"/>
      <c r="B3" s="2821"/>
      <c r="C3" s="2821"/>
      <c r="D3" s="2821"/>
      <c r="E3" s="2821"/>
      <c r="F3" s="2821"/>
      <c r="G3" s="2821"/>
      <c r="H3" s="2821"/>
      <c r="I3" s="2821"/>
      <c r="J3" s="2821"/>
      <c r="K3" s="2821"/>
      <c r="L3" s="2821"/>
      <c r="M3" s="2821"/>
      <c r="N3" s="2821"/>
      <c r="O3" s="2821"/>
      <c r="P3" s="2821"/>
      <c r="Q3" s="2821"/>
      <c r="R3" s="2821"/>
      <c r="S3" s="2821"/>
      <c r="T3" s="2821"/>
      <c r="U3" s="2821"/>
      <c r="V3" s="2821"/>
      <c r="W3" s="2821"/>
      <c r="X3" s="2821"/>
      <c r="Y3" s="2821"/>
      <c r="Z3" s="2821"/>
      <c r="AA3" s="2821"/>
      <c r="AB3" s="2821"/>
      <c r="AC3" s="2821"/>
      <c r="AD3" s="2821"/>
      <c r="AE3" s="2821"/>
      <c r="AF3" s="2821"/>
      <c r="AG3" s="2821"/>
      <c r="AH3" s="2821"/>
      <c r="AI3" s="2821"/>
      <c r="AJ3" s="2821"/>
      <c r="AK3" s="2821"/>
      <c r="AL3" s="2821"/>
      <c r="AM3" s="2821"/>
      <c r="AN3" s="2821"/>
      <c r="AO3" s="2821"/>
      <c r="AP3" s="2821"/>
      <c r="AQ3" s="2821"/>
      <c r="AR3" s="2821"/>
      <c r="AS3" s="2821"/>
      <c r="AT3" s="2821"/>
      <c r="AU3" s="2821"/>
      <c r="AV3" s="2821"/>
      <c r="AW3" s="2821"/>
      <c r="AX3" s="2821"/>
      <c r="AY3" s="2821"/>
      <c r="AZ3" s="2821"/>
      <c r="BA3" s="2821"/>
      <c r="BB3" s="2821"/>
      <c r="BC3" s="2821"/>
      <c r="BD3" s="2821"/>
      <c r="BE3" s="2821"/>
      <c r="BF3" s="2821"/>
      <c r="BG3" s="2821"/>
      <c r="BH3" s="2821"/>
      <c r="BI3" s="2821"/>
      <c r="BJ3" s="2821"/>
      <c r="BK3" s="2821"/>
      <c r="BL3" s="2821"/>
      <c r="BM3" s="2821"/>
      <c r="BN3" s="2821"/>
      <c r="BO3" s="2821"/>
      <c r="BP3" s="2821"/>
      <c r="BQ3" s="2821"/>
      <c r="BR3" s="2821"/>
      <c r="BS3" s="2821"/>
      <c r="BT3" s="2821"/>
      <c r="BU3" s="2821"/>
      <c r="BV3" s="2821"/>
      <c r="BW3" s="2821"/>
      <c r="BX3" s="2821"/>
      <c r="BY3" s="2821"/>
      <c r="BZ3" s="2821"/>
      <c r="CA3" s="2821"/>
      <c r="CB3" s="2821"/>
      <c r="CC3" s="2821"/>
      <c r="CD3" s="2821"/>
      <c r="CE3" s="2821"/>
      <c r="CF3" s="2821"/>
      <c r="CG3" s="2821"/>
      <c r="CH3" s="2821"/>
      <c r="CI3" s="2821"/>
      <c r="CJ3" s="2821"/>
      <c r="CK3" s="2821"/>
      <c r="CL3" s="2821"/>
      <c r="CM3" s="2821"/>
      <c r="CN3" s="2822"/>
    </row>
    <row r="4" spans="1:92" ht="18.75" x14ac:dyDescent="0.3">
      <c r="A4" s="2826" t="s">
        <v>3715</v>
      </c>
      <c r="B4" s="2827"/>
      <c r="C4" s="2827"/>
      <c r="D4" s="2827"/>
      <c r="E4" s="2827"/>
      <c r="F4" s="2827"/>
      <c r="G4" s="2827"/>
      <c r="H4" s="2827"/>
      <c r="I4" s="2827"/>
      <c r="J4" s="2827"/>
      <c r="K4" s="2827"/>
      <c r="L4" s="2827"/>
      <c r="M4" s="2827"/>
      <c r="N4" s="2827"/>
      <c r="O4" s="2827"/>
      <c r="P4" s="2827"/>
      <c r="Q4" s="2827"/>
      <c r="R4" s="2827"/>
      <c r="S4" s="2827"/>
      <c r="T4" s="2827"/>
      <c r="U4" s="2827"/>
      <c r="V4" s="2827"/>
      <c r="W4" s="2827"/>
      <c r="X4" s="2827"/>
      <c r="Y4" s="2827"/>
      <c r="Z4" s="2827"/>
      <c r="AA4" s="2827"/>
      <c r="AB4" s="2827"/>
      <c r="AC4" s="2827"/>
      <c r="AD4" s="2827"/>
      <c r="AE4" s="2827"/>
      <c r="AF4" s="2827"/>
      <c r="AG4" s="2827"/>
      <c r="AH4" s="2827"/>
      <c r="AI4" s="2827"/>
      <c r="AJ4" s="2827"/>
      <c r="AK4" s="2827"/>
      <c r="AL4" s="2827"/>
      <c r="AM4" s="2827"/>
      <c r="AN4" s="2827"/>
      <c r="AO4" s="2827"/>
      <c r="AP4" s="2827"/>
      <c r="AQ4" s="2827"/>
      <c r="AR4" s="2827"/>
      <c r="AS4" s="2827"/>
      <c r="AT4" s="2827"/>
      <c r="AU4" s="2827"/>
      <c r="AV4" s="2827"/>
      <c r="AW4" s="2827"/>
      <c r="AX4" s="2827"/>
      <c r="AY4" s="2827"/>
      <c r="AZ4" s="2827"/>
      <c r="BA4" s="2827"/>
      <c r="BB4" s="2827"/>
      <c r="BC4" s="2827"/>
      <c r="BD4" s="2827"/>
      <c r="BE4" s="2827"/>
      <c r="BF4" s="2827"/>
      <c r="BG4" s="2827"/>
      <c r="BH4" s="2827"/>
      <c r="BI4" s="2827"/>
      <c r="BJ4" s="2827"/>
      <c r="BK4" s="2827"/>
      <c r="BL4" s="2827"/>
      <c r="BM4" s="2827"/>
      <c r="BN4" s="2827"/>
      <c r="BO4" s="2827"/>
      <c r="BP4" s="2827"/>
      <c r="BQ4" s="2827"/>
      <c r="BR4" s="2827"/>
      <c r="BS4" s="2827"/>
      <c r="BT4" s="2827"/>
      <c r="BU4" s="2827"/>
      <c r="BV4" s="2827"/>
      <c r="BW4" s="2827"/>
      <c r="BX4" s="2827"/>
      <c r="BY4" s="2827"/>
      <c r="BZ4" s="2827"/>
      <c r="CA4" s="2827"/>
      <c r="CB4" s="2827"/>
      <c r="CC4" s="2827"/>
      <c r="CD4" s="2827"/>
      <c r="CE4" s="2827"/>
      <c r="CF4" s="2827"/>
      <c r="CG4" s="2827"/>
      <c r="CH4" s="2827"/>
      <c r="CI4" s="2828"/>
      <c r="CJ4" s="2829"/>
      <c r="CK4" s="2821"/>
      <c r="CL4" s="2821"/>
      <c r="CM4" s="2821"/>
      <c r="CN4" s="2822"/>
    </row>
    <row r="5" spans="1:92" ht="18.75" customHeight="1" x14ac:dyDescent="0.2">
      <c r="A5" s="4638" t="s">
        <v>527</v>
      </c>
      <c r="B5" s="4622" t="s">
        <v>3716</v>
      </c>
      <c r="C5" s="4623"/>
      <c r="D5" s="4623"/>
      <c r="E5" s="4623"/>
      <c r="F5" s="4623"/>
      <c r="G5" s="4623"/>
      <c r="H5" s="4623"/>
      <c r="I5" s="4623"/>
      <c r="J5" s="4623"/>
      <c r="K5" s="4623"/>
      <c r="L5" s="4623"/>
      <c r="M5" s="4623"/>
      <c r="N5" s="4623"/>
      <c r="O5" s="4623"/>
      <c r="P5" s="4624"/>
      <c r="Q5" s="4613" t="s">
        <v>3717</v>
      </c>
      <c r="R5" s="4614"/>
      <c r="S5" s="4614"/>
      <c r="T5" s="4614"/>
      <c r="U5" s="4614"/>
      <c r="V5" s="4614"/>
      <c r="W5" s="4614"/>
      <c r="X5" s="4614"/>
      <c r="Y5" s="4614"/>
      <c r="Z5" s="4614"/>
      <c r="AA5" s="4614"/>
      <c r="AB5" s="4614"/>
      <c r="AC5" s="4614"/>
      <c r="AD5" s="4568"/>
      <c r="AE5" s="4569"/>
      <c r="AF5" s="4609" t="s">
        <v>3718</v>
      </c>
      <c r="AG5" s="4610"/>
      <c r="AH5" s="4610"/>
      <c r="AI5" s="4610"/>
      <c r="AJ5" s="4610"/>
      <c r="AK5" s="4610"/>
      <c r="AL5" s="4610"/>
      <c r="AM5" s="4625"/>
      <c r="AN5" s="4626"/>
      <c r="AO5" s="4622" t="s">
        <v>3719</v>
      </c>
      <c r="AP5" s="4623"/>
      <c r="AQ5" s="4623"/>
      <c r="AR5" s="4623"/>
      <c r="AS5" s="4623"/>
      <c r="AT5" s="4623"/>
      <c r="AU5" s="4623"/>
      <c r="AV5" s="4623"/>
      <c r="AW5" s="4623"/>
      <c r="AX5" s="4623"/>
      <c r="AY5" s="4623"/>
      <c r="AZ5" s="4623"/>
      <c r="BA5" s="4623"/>
      <c r="BB5" s="4625"/>
      <c r="BC5" s="4626"/>
      <c r="BD5" s="4609" t="s">
        <v>3720</v>
      </c>
      <c r="BE5" s="4610"/>
      <c r="BF5" s="4610"/>
      <c r="BG5" s="4610"/>
      <c r="BH5" s="4610"/>
      <c r="BI5" s="4610"/>
      <c r="BJ5" s="4610"/>
      <c r="BK5" s="4625"/>
      <c r="BL5" s="4626"/>
      <c r="BM5" s="4622" t="s">
        <v>3721</v>
      </c>
      <c r="BN5" s="4623"/>
      <c r="BO5" s="4623"/>
      <c r="BP5" s="4623"/>
      <c r="BQ5" s="4623"/>
      <c r="BR5" s="4623"/>
      <c r="BS5" s="4623"/>
      <c r="BT5" s="4623"/>
      <c r="BU5" s="4623"/>
      <c r="BV5" s="4623"/>
      <c r="BW5" s="4623"/>
      <c r="BX5" s="4623"/>
      <c r="BY5" s="4623"/>
      <c r="BZ5" s="4625"/>
      <c r="CA5" s="4625"/>
      <c r="CB5" s="4609" t="s">
        <v>1992</v>
      </c>
      <c r="CC5" s="4610"/>
      <c r="CD5" s="4610"/>
      <c r="CE5" s="4610"/>
      <c r="CF5" s="4610"/>
      <c r="CG5" s="4610"/>
      <c r="CH5" s="4610"/>
      <c r="CI5" s="4611"/>
      <c r="CJ5" s="4612"/>
      <c r="CK5" s="2830"/>
      <c r="CL5" s="2830"/>
      <c r="CM5" s="2830"/>
      <c r="CN5" s="2831"/>
    </row>
    <row r="6" spans="1:92" ht="18.75" customHeight="1" x14ac:dyDescent="0.2">
      <c r="A6" s="4639"/>
      <c r="B6" s="4613" t="s">
        <v>3573</v>
      </c>
      <c r="C6" s="4614"/>
      <c r="D6" s="4615"/>
      <c r="E6" s="4616" t="s">
        <v>571</v>
      </c>
      <c r="F6" s="4617"/>
      <c r="G6" s="4618"/>
      <c r="H6" s="4616" t="s">
        <v>572</v>
      </c>
      <c r="I6" s="4617"/>
      <c r="J6" s="4618"/>
      <c r="K6" s="4616" t="s">
        <v>573</v>
      </c>
      <c r="L6" s="4617"/>
      <c r="M6" s="4618"/>
      <c r="N6" s="4613" t="s">
        <v>1677</v>
      </c>
      <c r="O6" s="4614"/>
      <c r="P6" s="4615"/>
      <c r="Q6" s="4613" t="s">
        <v>3573</v>
      </c>
      <c r="R6" s="4614"/>
      <c r="S6" s="4615"/>
      <c r="T6" s="4619" t="s">
        <v>3722</v>
      </c>
      <c r="U6" s="4620"/>
      <c r="V6" s="4621"/>
      <c r="W6" s="4619" t="s">
        <v>575</v>
      </c>
      <c r="X6" s="4620"/>
      <c r="Y6" s="4621"/>
      <c r="Z6" s="4619" t="s">
        <v>576</v>
      </c>
      <c r="AA6" s="4620"/>
      <c r="AB6" s="4621"/>
      <c r="AC6" s="4613" t="s">
        <v>1677</v>
      </c>
      <c r="AD6" s="4614"/>
      <c r="AE6" s="4615"/>
      <c r="AF6" s="4627" t="s">
        <v>3573</v>
      </c>
      <c r="AG6" s="4628"/>
      <c r="AH6" s="4629"/>
      <c r="AI6" s="4627" t="s">
        <v>1677</v>
      </c>
      <c r="AJ6" s="4628"/>
      <c r="AK6" s="4629"/>
      <c r="AL6" s="4627" t="s">
        <v>3723</v>
      </c>
      <c r="AM6" s="4628"/>
      <c r="AN6" s="4629"/>
      <c r="AO6" s="4643" t="s">
        <v>3573</v>
      </c>
      <c r="AP6" s="4644"/>
      <c r="AQ6" s="4645"/>
      <c r="AR6" s="4646" t="s">
        <v>577</v>
      </c>
      <c r="AS6" s="4647"/>
      <c r="AT6" s="4648"/>
      <c r="AU6" s="4646" t="s">
        <v>578</v>
      </c>
      <c r="AV6" s="4647"/>
      <c r="AW6" s="4648"/>
      <c r="AX6" s="4646" t="s">
        <v>579</v>
      </c>
      <c r="AY6" s="4647"/>
      <c r="AZ6" s="4648"/>
      <c r="BA6" s="4643" t="s">
        <v>1677</v>
      </c>
      <c r="BB6" s="4644"/>
      <c r="BC6" s="4645"/>
      <c r="BD6" s="4640" t="s">
        <v>3573</v>
      </c>
      <c r="BE6" s="4641"/>
      <c r="BF6" s="4642"/>
      <c r="BG6" s="4640" t="s">
        <v>1677</v>
      </c>
      <c r="BH6" s="4641"/>
      <c r="BI6" s="4642"/>
      <c r="BJ6" s="4640" t="s">
        <v>3723</v>
      </c>
      <c r="BK6" s="4641"/>
      <c r="BL6" s="4642"/>
      <c r="BM6" s="4684" t="s">
        <v>3573</v>
      </c>
      <c r="BN6" s="4685"/>
      <c r="BO6" s="4686"/>
      <c r="BP6" s="4630" t="s">
        <v>580</v>
      </c>
      <c r="BQ6" s="4631"/>
      <c r="BR6" s="4632"/>
      <c r="BS6" s="4630" t="s">
        <v>581</v>
      </c>
      <c r="BT6" s="4631"/>
      <c r="BU6" s="4632"/>
      <c r="BV6" s="4630" t="s">
        <v>582</v>
      </c>
      <c r="BW6" s="4631"/>
      <c r="BX6" s="4632"/>
      <c r="BY6" s="4684" t="s">
        <v>1677</v>
      </c>
      <c r="BZ6" s="4685"/>
      <c r="CA6" s="4685"/>
      <c r="CB6" s="4633" t="s">
        <v>3573</v>
      </c>
      <c r="CC6" s="4634"/>
      <c r="CD6" s="4635"/>
      <c r="CE6" s="4633" t="s">
        <v>1677</v>
      </c>
      <c r="CF6" s="4634"/>
      <c r="CG6" s="4635"/>
      <c r="CH6" s="4633" t="s">
        <v>3723</v>
      </c>
      <c r="CI6" s="4636"/>
      <c r="CJ6" s="4637"/>
      <c r="CK6" s="2830"/>
      <c r="CL6" s="2830"/>
      <c r="CM6" s="2830"/>
      <c r="CN6" s="2831"/>
    </row>
    <row r="7" spans="1:92" ht="18.75" customHeight="1" x14ac:dyDescent="0.2">
      <c r="A7" s="4639"/>
      <c r="B7" s="2832" t="s">
        <v>616</v>
      </c>
      <c r="C7" s="2832" t="s">
        <v>3724</v>
      </c>
      <c r="D7" s="2832" t="s">
        <v>3660</v>
      </c>
      <c r="E7" s="2832" t="s">
        <v>616</v>
      </c>
      <c r="F7" s="2832" t="s">
        <v>3724</v>
      </c>
      <c r="G7" s="2832" t="s">
        <v>3660</v>
      </c>
      <c r="H7" s="2832" t="s">
        <v>616</v>
      </c>
      <c r="I7" s="2832" t="s">
        <v>3724</v>
      </c>
      <c r="J7" s="2832" t="s">
        <v>3660</v>
      </c>
      <c r="K7" s="2832" t="s">
        <v>616</v>
      </c>
      <c r="L7" s="2832" t="s">
        <v>3724</v>
      </c>
      <c r="M7" s="2832" t="s">
        <v>3660</v>
      </c>
      <c r="N7" s="2832" t="s">
        <v>616</v>
      </c>
      <c r="O7" s="2832" t="s">
        <v>3724</v>
      </c>
      <c r="P7" s="2832" t="s">
        <v>3660</v>
      </c>
      <c r="Q7" s="2832" t="s">
        <v>616</v>
      </c>
      <c r="R7" s="2832" t="s">
        <v>3724</v>
      </c>
      <c r="S7" s="2832" t="s">
        <v>3660</v>
      </c>
      <c r="T7" s="2832" t="s">
        <v>616</v>
      </c>
      <c r="U7" s="2832" t="s">
        <v>3724</v>
      </c>
      <c r="V7" s="2832" t="s">
        <v>3660</v>
      </c>
      <c r="W7" s="2832" t="s">
        <v>616</v>
      </c>
      <c r="X7" s="2832" t="s">
        <v>3724</v>
      </c>
      <c r="Y7" s="2832" t="s">
        <v>3660</v>
      </c>
      <c r="Z7" s="2832" t="s">
        <v>616</v>
      </c>
      <c r="AA7" s="2832" t="s">
        <v>3724</v>
      </c>
      <c r="AB7" s="2832" t="s">
        <v>3660</v>
      </c>
      <c r="AC7" s="2832" t="s">
        <v>616</v>
      </c>
      <c r="AD7" s="2832" t="s">
        <v>3724</v>
      </c>
      <c r="AE7" s="2832" t="s">
        <v>3660</v>
      </c>
      <c r="AF7" s="2833" t="s">
        <v>616</v>
      </c>
      <c r="AG7" s="2833" t="s">
        <v>3724</v>
      </c>
      <c r="AH7" s="2833" t="s">
        <v>3660</v>
      </c>
      <c r="AI7" s="2833" t="s">
        <v>616</v>
      </c>
      <c r="AJ7" s="2833" t="s">
        <v>3724</v>
      </c>
      <c r="AK7" s="2833" t="s">
        <v>3660</v>
      </c>
      <c r="AL7" s="2833" t="s">
        <v>616</v>
      </c>
      <c r="AM7" s="2833" t="s">
        <v>3724</v>
      </c>
      <c r="AN7" s="2833" t="s">
        <v>3660</v>
      </c>
      <c r="AO7" s="2832" t="s">
        <v>616</v>
      </c>
      <c r="AP7" s="2832" t="s">
        <v>3724</v>
      </c>
      <c r="AQ7" s="2832" t="s">
        <v>3660</v>
      </c>
      <c r="AR7" s="2832" t="s">
        <v>616</v>
      </c>
      <c r="AS7" s="2832" t="s">
        <v>3724</v>
      </c>
      <c r="AT7" s="2832" t="s">
        <v>3660</v>
      </c>
      <c r="AU7" s="2832" t="s">
        <v>616</v>
      </c>
      <c r="AV7" s="2832" t="s">
        <v>3724</v>
      </c>
      <c r="AW7" s="2832" t="s">
        <v>3660</v>
      </c>
      <c r="AX7" s="2832" t="s">
        <v>616</v>
      </c>
      <c r="AY7" s="2832" t="s">
        <v>3724</v>
      </c>
      <c r="AZ7" s="2832" t="s">
        <v>3660</v>
      </c>
      <c r="BA7" s="2832" t="s">
        <v>616</v>
      </c>
      <c r="BB7" s="2832" t="s">
        <v>3724</v>
      </c>
      <c r="BC7" s="2832" t="s">
        <v>3660</v>
      </c>
      <c r="BD7" s="2833" t="s">
        <v>616</v>
      </c>
      <c r="BE7" s="2833" t="s">
        <v>3724</v>
      </c>
      <c r="BF7" s="2833" t="s">
        <v>3660</v>
      </c>
      <c r="BG7" s="2833" t="s">
        <v>616</v>
      </c>
      <c r="BH7" s="2833" t="s">
        <v>3724</v>
      </c>
      <c r="BI7" s="2833" t="s">
        <v>3660</v>
      </c>
      <c r="BJ7" s="2833" t="s">
        <v>616</v>
      </c>
      <c r="BK7" s="2833" t="s">
        <v>3724</v>
      </c>
      <c r="BL7" s="2833" t="s">
        <v>3660</v>
      </c>
      <c r="BM7" s="2832" t="s">
        <v>616</v>
      </c>
      <c r="BN7" s="2832" t="s">
        <v>3724</v>
      </c>
      <c r="BO7" s="2832" t="s">
        <v>3660</v>
      </c>
      <c r="BP7" s="2832" t="s">
        <v>616</v>
      </c>
      <c r="BQ7" s="2832" t="s">
        <v>3724</v>
      </c>
      <c r="BR7" s="2832" t="s">
        <v>3660</v>
      </c>
      <c r="BS7" s="2832" t="s">
        <v>616</v>
      </c>
      <c r="BT7" s="2832" t="s">
        <v>3724</v>
      </c>
      <c r="BU7" s="2832" t="s">
        <v>3660</v>
      </c>
      <c r="BV7" s="2832" t="s">
        <v>616</v>
      </c>
      <c r="BW7" s="2832" t="s">
        <v>3724</v>
      </c>
      <c r="BX7" s="2832" t="s">
        <v>3660</v>
      </c>
      <c r="BY7" s="2832" t="s">
        <v>616</v>
      </c>
      <c r="BZ7" s="2832" t="s">
        <v>3724</v>
      </c>
      <c r="CA7" s="2834" t="s">
        <v>3660</v>
      </c>
      <c r="CB7" s="2833" t="s">
        <v>616</v>
      </c>
      <c r="CC7" s="2833" t="s">
        <v>3724</v>
      </c>
      <c r="CD7" s="2833" t="s">
        <v>3660</v>
      </c>
      <c r="CE7" s="2833" t="s">
        <v>616</v>
      </c>
      <c r="CF7" s="2833" t="s">
        <v>3724</v>
      </c>
      <c r="CG7" s="2833" t="s">
        <v>3660</v>
      </c>
      <c r="CH7" s="2833" t="s">
        <v>616</v>
      </c>
      <c r="CI7" s="2833" t="s">
        <v>3724</v>
      </c>
      <c r="CJ7" s="2833" t="s">
        <v>3660</v>
      </c>
      <c r="CK7" s="2830"/>
      <c r="CL7" s="2830"/>
      <c r="CM7" s="2830"/>
      <c r="CN7" s="2831"/>
    </row>
    <row r="8" spans="1:92" ht="18.75" customHeight="1" x14ac:dyDescent="0.2">
      <c r="A8" s="2835" t="s">
        <v>3725</v>
      </c>
      <c r="B8" s="2837">
        <f>SUM(C8:D8)</f>
        <v>1497.42245</v>
      </c>
      <c r="C8" s="2837">
        <f>SUM(CC8/4)</f>
        <v>1496.98</v>
      </c>
      <c r="D8" s="2837">
        <f>SUM(CD8/4)</f>
        <v>0.44245000000000001</v>
      </c>
      <c r="E8" s="2837">
        <f>SUM(F8:G8)</f>
        <v>489.70100000000002</v>
      </c>
      <c r="F8" s="2838">
        <v>489.65100000000001</v>
      </c>
      <c r="G8" s="2838">
        <v>0.05</v>
      </c>
      <c r="H8" s="2837">
        <f>SUM(I8:J8)</f>
        <v>477.80900000000003</v>
      </c>
      <c r="I8" s="2838">
        <v>477.79300000000001</v>
      </c>
      <c r="J8" s="2838">
        <v>1.6E-2</v>
      </c>
      <c r="K8" s="2837">
        <f>SUM(L8:M8)</f>
        <v>488.92399999999998</v>
      </c>
      <c r="L8" s="2838">
        <v>488.90199999999999</v>
      </c>
      <c r="M8" s="2838">
        <v>2.1999999999999999E-2</v>
      </c>
      <c r="N8" s="2837">
        <f>SUM(O8:P8)</f>
        <v>1456.434</v>
      </c>
      <c r="O8" s="2837">
        <f>SUM(F8+I8+L8)</f>
        <v>1456.346</v>
      </c>
      <c r="P8" s="2837">
        <f>SUM(G8+J8+M8)</f>
        <v>8.7999999999999995E-2</v>
      </c>
      <c r="Q8" s="2837">
        <f>SUM(R8:S8)</f>
        <v>1497.42245</v>
      </c>
      <c r="R8" s="2837">
        <f>SUM(CC8/4)</f>
        <v>1496.98</v>
      </c>
      <c r="S8" s="2837">
        <f>SUM(CD8/4)</f>
        <v>0.44245000000000001</v>
      </c>
      <c r="T8" s="2837">
        <f>SUM(U8:V8)</f>
        <v>461.238</v>
      </c>
      <c r="U8" s="2838">
        <v>461.084</v>
      </c>
      <c r="V8" s="2838">
        <v>0.154</v>
      </c>
      <c r="W8" s="2837">
        <f>SUM(X8:Y8)</f>
        <v>535.15099999999995</v>
      </c>
      <c r="X8" s="2838">
        <v>535.08399999999995</v>
      </c>
      <c r="Y8" s="2838">
        <v>6.7000000000000004E-2</v>
      </c>
      <c r="Z8" s="2837">
        <f>SUM(AA8:AB8)</f>
        <v>464.96000000000004</v>
      </c>
      <c r="AA8" s="2838">
        <v>464.85500000000002</v>
      </c>
      <c r="AB8" s="2838">
        <v>0.105</v>
      </c>
      <c r="AC8" s="2837">
        <f>SUM(AD8:AE8)</f>
        <v>1461.3489999999999</v>
      </c>
      <c r="AD8" s="2837">
        <f>SUM(U8+X8+AA8)</f>
        <v>1461.0229999999999</v>
      </c>
      <c r="AE8" s="2837">
        <f>SUM(V8+Y8+AB8)</f>
        <v>0.32600000000000001</v>
      </c>
      <c r="AF8" s="2839">
        <f>SUM(AG8:AH8)</f>
        <v>2994.8449000000001</v>
      </c>
      <c r="AG8" s="2839">
        <f>SUM(C8+R8)</f>
        <v>2993.96</v>
      </c>
      <c r="AH8" s="2839">
        <f>SUM(D8+S8)</f>
        <v>0.88490000000000002</v>
      </c>
      <c r="AI8" s="2839">
        <f>SUM(AJ8:AK8)</f>
        <v>2917.7829999999999</v>
      </c>
      <c r="AJ8" s="2839">
        <f>SUM(O8+AD8)</f>
        <v>2917.3689999999997</v>
      </c>
      <c r="AK8" s="2839">
        <f>SUM(P8+AE8)</f>
        <v>0.41400000000000003</v>
      </c>
      <c r="AL8" s="2839">
        <f>SUM(AM8:AN8)</f>
        <v>-77.06190000000035</v>
      </c>
      <c r="AM8" s="2839">
        <f t="shared" ref="AM8:AN10" si="0">SUM(AJ8-AG8)</f>
        <v>-76.591000000000349</v>
      </c>
      <c r="AN8" s="2839">
        <f t="shared" si="0"/>
        <v>-0.47089999999999999</v>
      </c>
      <c r="AO8" s="2837">
        <f>SUM(AP8:AQ8)</f>
        <v>1497.42245</v>
      </c>
      <c r="AP8" s="2837">
        <f>SUM(CC8/4)</f>
        <v>1496.98</v>
      </c>
      <c r="AQ8" s="2837">
        <f>SUM(CD8/4)</f>
        <v>0.44245000000000001</v>
      </c>
      <c r="AR8" s="2837">
        <f>SUM(AS8:AT8)</f>
        <v>441.589</v>
      </c>
      <c r="AS8" s="2838">
        <v>441.505</v>
      </c>
      <c r="AT8" s="2838">
        <v>8.4000000000000005E-2</v>
      </c>
      <c r="AU8" s="2837">
        <f>SUM(AV8:AW8)</f>
        <v>388.53999999999996</v>
      </c>
      <c r="AV8" s="2838">
        <v>388.46499999999997</v>
      </c>
      <c r="AW8" s="2838">
        <v>7.4999999999999997E-2</v>
      </c>
      <c r="AX8" s="2837">
        <f>SUM(AY8:AZ8)</f>
        <v>410.49299999999999</v>
      </c>
      <c r="AY8" s="2838">
        <v>410.46800000000002</v>
      </c>
      <c r="AZ8" s="2838">
        <v>2.5000000000000001E-2</v>
      </c>
      <c r="BA8" s="2837">
        <f>SUM(BB8:BC8)</f>
        <v>1240.6220000000001</v>
      </c>
      <c r="BB8" s="2837">
        <f>SUM(AS8+AV8+AY8)</f>
        <v>1240.4380000000001</v>
      </c>
      <c r="BC8" s="2837">
        <f>SUM(AT8+AW8+AZ8)</f>
        <v>0.184</v>
      </c>
      <c r="BD8" s="2839">
        <f>SUM(BE8:BF8)</f>
        <v>4492.2673500000001</v>
      </c>
      <c r="BE8" s="2839">
        <f>SUM(AG8+AP8)</f>
        <v>4490.9400000000005</v>
      </c>
      <c r="BF8" s="2839">
        <f>SUM(AH8+AQ8)</f>
        <v>1.32735</v>
      </c>
      <c r="BG8" s="2839">
        <f>SUM(BH8:BI8)</f>
        <v>4158.4049999999997</v>
      </c>
      <c r="BH8" s="2839">
        <f>SUM(AJ8+BB8)</f>
        <v>4157.8069999999998</v>
      </c>
      <c r="BI8" s="2839">
        <f>SUM(AK8+BC8)</f>
        <v>0.59800000000000009</v>
      </c>
      <c r="BJ8" s="2839">
        <f>SUM(BK8:BL8)</f>
        <v>-333.86235000000073</v>
      </c>
      <c r="BK8" s="2839">
        <f t="shared" ref="BK8:BL10" si="1">SUM(BH8-BE8)</f>
        <v>-333.13300000000072</v>
      </c>
      <c r="BL8" s="2839">
        <f t="shared" si="1"/>
        <v>-0.72934999999999994</v>
      </c>
      <c r="BM8" s="2837">
        <f>SUM(BN8:BO8)</f>
        <v>1497.42245</v>
      </c>
      <c r="BN8" s="2837">
        <f>SUM(CC8/4)</f>
        <v>1496.98</v>
      </c>
      <c r="BO8" s="2837">
        <f>SUM(CD8/4)</f>
        <v>0.44245000000000001</v>
      </c>
      <c r="BP8" s="2837">
        <f>SUM(BQ8:BR8)</f>
        <v>449.41899999999998</v>
      </c>
      <c r="BQ8" s="2838">
        <v>449.392</v>
      </c>
      <c r="BR8" s="2838">
        <v>2.7E-2</v>
      </c>
      <c r="BS8" s="2837">
        <f>SUM(BT8:BU8)</f>
        <v>527.25900000000001</v>
      </c>
      <c r="BT8" s="2838">
        <v>527.18799999999999</v>
      </c>
      <c r="BU8" s="2838">
        <v>7.0999999999999994E-2</v>
      </c>
      <c r="BV8" s="2837">
        <f>SUM(BW8:BX8)</f>
        <v>452.66700000000003</v>
      </c>
      <c r="BW8" s="2838">
        <v>452.58100000000002</v>
      </c>
      <c r="BX8" s="2838">
        <v>8.5999999999999993E-2</v>
      </c>
      <c r="BY8" s="2837">
        <f>SUM(BZ8:CA8)</f>
        <v>1429.345</v>
      </c>
      <c r="BZ8" s="2837">
        <f>SUM(BQ8+BT8+BW8)</f>
        <v>1429.1610000000001</v>
      </c>
      <c r="CA8" s="2837">
        <f>SUM(BR8+BU8+BX8)</f>
        <v>0.184</v>
      </c>
      <c r="CB8" s="2839">
        <f>SUM(CC8:CD8)</f>
        <v>5989.6898000000001</v>
      </c>
      <c r="CC8" s="2839">
        <f>SUM(объемы!BN39)</f>
        <v>5987.92</v>
      </c>
      <c r="CD8" s="2839">
        <f>SUM(объемы!BO39)</f>
        <v>1.7698</v>
      </c>
      <c r="CE8" s="2839">
        <f>SUM(CF8:CG8)</f>
        <v>5587.75</v>
      </c>
      <c r="CF8" s="2839">
        <f>SUM(BH8+BZ8)</f>
        <v>5586.9679999999998</v>
      </c>
      <c r="CG8" s="2839">
        <f>SUM(BI8+CA8)</f>
        <v>0.78200000000000003</v>
      </c>
      <c r="CH8" s="2839">
        <f>SUM(CI8:CJ8)</f>
        <v>-401.93980000000022</v>
      </c>
      <c r="CI8" s="2839">
        <f t="shared" ref="CI8:CJ10" si="2">SUM(CF8-CC8)</f>
        <v>-400.95200000000023</v>
      </c>
      <c r="CJ8" s="2839">
        <f t="shared" si="2"/>
        <v>-0.98780000000000001</v>
      </c>
      <c r="CK8" s="2841"/>
      <c r="CL8" s="4187">
        <f>SUM(B8+Q8+AO8+BM8)</f>
        <v>5989.6898000000001</v>
      </c>
      <c r="CM8" s="2830"/>
      <c r="CN8" s="2831"/>
    </row>
    <row r="9" spans="1:92" ht="18.75" customHeight="1" x14ac:dyDescent="0.2">
      <c r="A9" s="2842" t="s">
        <v>20</v>
      </c>
      <c r="B9" s="2845">
        <f>SUM(C9:D9)</f>
        <v>285.92325</v>
      </c>
      <c r="C9" s="2845">
        <f>SUM(CC9/4)</f>
        <v>285.92325</v>
      </c>
      <c r="D9" s="2845">
        <f>SUM(CD9/4)</f>
        <v>0</v>
      </c>
      <c r="E9" s="2845">
        <f>SUM(F9:G9)</f>
        <v>43.868200000000002</v>
      </c>
      <c r="F9" s="2852">
        <v>43.868200000000002</v>
      </c>
      <c r="G9" s="2852"/>
      <c r="H9" s="2845">
        <f>SUM(I9:J9)</f>
        <v>14.89424</v>
      </c>
      <c r="I9" s="2852">
        <v>14.89424</v>
      </c>
      <c r="J9" s="2852"/>
      <c r="K9" s="2845">
        <f>SUM(L9:M9)</f>
        <v>20.629239999999999</v>
      </c>
      <c r="L9" s="2852">
        <v>20.629239999999999</v>
      </c>
      <c r="M9" s="2852"/>
      <c r="N9" s="2845">
        <f>SUM(O9:P9)</f>
        <v>79.391679999999994</v>
      </c>
      <c r="O9" s="2845">
        <f>SUM(F9+I9+L9)</f>
        <v>79.391679999999994</v>
      </c>
      <c r="P9" s="2845">
        <f>SUM(G9+J9+M9)</f>
        <v>0</v>
      </c>
      <c r="Q9" s="2845">
        <f>SUM(R9:S9)</f>
        <v>285.92325</v>
      </c>
      <c r="R9" s="2845">
        <f>SUM(CC9/4)</f>
        <v>285.92325</v>
      </c>
      <c r="S9" s="2845">
        <f>SUM(CD9/4)</f>
        <v>0</v>
      </c>
      <c r="T9" s="2845">
        <f>SUM(U9:V9)</f>
        <v>56.808239999999998</v>
      </c>
      <c r="U9" s="2852">
        <v>56.808239999999998</v>
      </c>
      <c r="V9" s="2852"/>
      <c r="W9" s="2845">
        <f>SUM(X9:Y9)</f>
        <v>137.77024</v>
      </c>
      <c r="X9" s="2852">
        <v>137.77024</v>
      </c>
      <c r="Y9" s="2852"/>
      <c r="Z9" s="2845">
        <f>SUM(AA9:AB9)</f>
        <v>62.717239999999997</v>
      </c>
      <c r="AA9" s="2852">
        <v>62.717239999999997</v>
      </c>
      <c r="AB9" s="2852"/>
      <c r="AC9" s="2845">
        <f>SUM(AD9:AE9)</f>
        <v>257.29572000000002</v>
      </c>
      <c r="AD9" s="2845">
        <f>SUM(U9+X9+AA9)</f>
        <v>257.29572000000002</v>
      </c>
      <c r="AE9" s="2845">
        <f>SUM(V9+Y9+AB9)</f>
        <v>0</v>
      </c>
      <c r="AF9" s="2846">
        <f>SUM(AG9:AH9)</f>
        <v>571.84649999999999</v>
      </c>
      <c r="AG9" s="2846">
        <f>SUM(C9+R9)</f>
        <v>571.84649999999999</v>
      </c>
      <c r="AH9" s="2846">
        <f>SUM(D9+S9)</f>
        <v>0</v>
      </c>
      <c r="AI9" s="2846">
        <f>SUM(AJ9:AK9)</f>
        <v>336.68740000000003</v>
      </c>
      <c r="AJ9" s="2846">
        <f>SUM(O9+AD9)</f>
        <v>336.68740000000003</v>
      </c>
      <c r="AK9" s="2846">
        <f>SUM(P9+AE9)</f>
        <v>0</v>
      </c>
      <c r="AL9" s="2846">
        <f>SUM(AM9:AN9)</f>
        <v>-235.15909999999997</v>
      </c>
      <c r="AM9" s="2846">
        <f t="shared" si="0"/>
        <v>-235.15909999999997</v>
      </c>
      <c r="AN9" s="2846">
        <f t="shared" si="0"/>
        <v>0</v>
      </c>
      <c r="AO9" s="2845">
        <f>SUM(AP9:AQ9)</f>
        <v>285.92325</v>
      </c>
      <c r="AP9" s="2845">
        <f>SUM(CC9/4)</f>
        <v>285.92325</v>
      </c>
      <c r="AQ9" s="2845">
        <f>SUM(CD9/4)</f>
        <v>0</v>
      </c>
      <c r="AR9" s="2845">
        <f>SUM(AS9:AT9)</f>
        <v>32.575200000000002</v>
      </c>
      <c r="AS9" s="2852">
        <v>32.575200000000002</v>
      </c>
      <c r="AT9" s="2852"/>
      <c r="AU9" s="2845">
        <f>SUM(AV9:AW9)</f>
        <v>29.5702</v>
      </c>
      <c r="AV9" s="2852">
        <v>29.5702</v>
      </c>
      <c r="AW9" s="2852"/>
      <c r="AX9" s="2845">
        <f>SUM(AY9:AZ9)</f>
        <v>39.457999999999998</v>
      </c>
      <c r="AY9" s="2852">
        <v>39.457999999999998</v>
      </c>
      <c r="AZ9" s="2852"/>
      <c r="BA9" s="2845">
        <f>SUM(BB9:BC9)</f>
        <v>101.60339999999999</v>
      </c>
      <c r="BB9" s="2845">
        <f>SUM(AS9+AV9+AY9)</f>
        <v>101.60339999999999</v>
      </c>
      <c r="BC9" s="2845">
        <f>SUM(AT9+AW9+AZ9)</f>
        <v>0</v>
      </c>
      <c r="BD9" s="2846">
        <f>SUM(BE9:BF9)</f>
        <v>857.76974999999993</v>
      </c>
      <c r="BE9" s="2846">
        <f>SUM(AG9+AP9)</f>
        <v>857.76974999999993</v>
      </c>
      <c r="BF9" s="2846">
        <f>SUM(AH9+AQ9)</f>
        <v>0</v>
      </c>
      <c r="BG9" s="2846">
        <f>SUM(BH9:BI9)</f>
        <v>438.29079999999999</v>
      </c>
      <c r="BH9" s="2846">
        <f>SUM(AJ9+BB9)</f>
        <v>438.29079999999999</v>
      </c>
      <c r="BI9" s="2846">
        <f>SUM(AK9+BC9)</f>
        <v>0</v>
      </c>
      <c r="BJ9" s="2846">
        <f>SUM(BK9:BL9)</f>
        <v>-419.47894999999994</v>
      </c>
      <c r="BK9" s="2846">
        <f t="shared" si="1"/>
        <v>-419.47894999999994</v>
      </c>
      <c r="BL9" s="2846">
        <f t="shared" si="1"/>
        <v>0</v>
      </c>
      <c r="BM9" s="2845">
        <f>SUM(BN9:BO9)</f>
        <v>285.92325</v>
      </c>
      <c r="BN9" s="2845">
        <f>SUM(CC9/4)</f>
        <v>285.92325</v>
      </c>
      <c r="BO9" s="2845">
        <f>SUM(CD9/4)</f>
        <v>0</v>
      </c>
      <c r="BP9" s="2845">
        <f>SUM(BQ9:BR9)</f>
        <v>71.697000000000003</v>
      </c>
      <c r="BQ9" s="2852">
        <v>71.697000000000003</v>
      </c>
      <c r="BR9" s="2852"/>
      <c r="BS9" s="2845">
        <f>SUM(BT9:BU9)</f>
        <v>150.77000000000001</v>
      </c>
      <c r="BT9" s="2852">
        <v>150.77000000000001</v>
      </c>
      <c r="BU9" s="2852"/>
      <c r="BV9" s="2845">
        <f>SUM(BW9:BX9)</f>
        <v>63.106699999999996</v>
      </c>
      <c r="BW9" s="2852">
        <v>63.106699999999996</v>
      </c>
      <c r="BX9" s="2852"/>
      <c r="BY9" s="2845">
        <f>SUM(BZ9:CA9)</f>
        <v>285.57370000000003</v>
      </c>
      <c r="BZ9" s="2845">
        <f>SUM(BQ9+BT9+BW9)</f>
        <v>285.57370000000003</v>
      </c>
      <c r="CA9" s="2845">
        <f>SUM(BR9+BU9+BX9)</f>
        <v>0</v>
      </c>
      <c r="CB9" s="2846">
        <f>SUM(CC9:CD9)</f>
        <v>1143.693</v>
      </c>
      <c r="CC9" s="2846">
        <f>SUM(объемы!BN42)</f>
        <v>1143.693</v>
      </c>
      <c r="CD9" s="2846">
        <f>SUM(объемы!BO42)</f>
        <v>0</v>
      </c>
      <c r="CE9" s="2846">
        <f>SUM(CF9:CG9)</f>
        <v>723.86450000000002</v>
      </c>
      <c r="CF9" s="2846">
        <f>SUM(BH9+BZ9)</f>
        <v>723.86450000000002</v>
      </c>
      <c r="CG9" s="2846">
        <f>SUM(BI9+CA9)</f>
        <v>0</v>
      </c>
      <c r="CH9" s="2846">
        <f>SUM(CI9:CJ9)</f>
        <v>-419.82849999999996</v>
      </c>
      <c r="CI9" s="2846">
        <f t="shared" si="2"/>
        <v>-419.82849999999996</v>
      </c>
      <c r="CJ9" s="2846">
        <f t="shared" si="2"/>
        <v>0</v>
      </c>
      <c r="CK9" s="2841"/>
      <c r="CL9" s="4187">
        <f t="shared" ref="CL9:CL24" si="3">SUM(B9+Q9+AO9+BM9)</f>
        <v>1143.693</v>
      </c>
      <c r="CM9" s="2830"/>
      <c r="CN9" s="2831"/>
    </row>
    <row r="10" spans="1:92" ht="18.75" customHeight="1" x14ac:dyDescent="0.2">
      <c r="A10" s="2848" t="s">
        <v>373</v>
      </c>
      <c r="B10" s="2849">
        <f t="shared" ref="B10:AK10" si="4">SUM(B9/B8)</f>
        <v>0.19094361113659009</v>
      </c>
      <c r="C10" s="2849">
        <f t="shared" si="4"/>
        <v>0.19100004676081175</v>
      </c>
      <c r="D10" s="2849">
        <f t="shared" si="4"/>
        <v>0</v>
      </c>
      <c r="E10" s="2849">
        <f t="shared" si="4"/>
        <v>8.9581601834588867E-2</v>
      </c>
      <c r="F10" s="2849">
        <f t="shared" si="4"/>
        <v>8.9590749329624575E-2</v>
      </c>
      <c r="G10" s="2849">
        <f t="shared" si="4"/>
        <v>0</v>
      </c>
      <c r="H10" s="2849">
        <f t="shared" si="4"/>
        <v>3.1171953646750059E-2</v>
      </c>
      <c r="I10" s="2849">
        <f t="shared" si="4"/>
        <v>3.1172997511474634E-2</v>
      </c>
      <c r="J10" s="2849">
        <f t="shared" si="4"/>
        <v>0</v>
      </c>
      <c r="K10" s="2849">
        <f t="shared" si="4"/>
        <v>4.2193142492493722E-2</v>
      </c>
      <c r="L10" s="2849">
        <f t="shared" si="4"/>
        <v>4.2195041132987797E-2</v>
      </c>
      <c r="M10" s="2849">
        <f t="shared" si="4"/>
        <v>0</v>
      </c>
      <c r="N10" s="2849">
        <f t="shared" si="4"/>
        <v>5.4511004274824672E-2</v>
      </c>
      <c r="O10" s="2849">
        <f t="shared" si="4"/>
        <v>5.4514298113223086E-2</v>
      </c>
      <c r="P10" s="2849">
        <f t="shared" si="4"/>
        <v>0</v>
      </c>
      <c r="Q10" s="2849">
        <f t="shared" si="4"/>
        <v>0.19094361113659009</v>
      </c>
      <c r="R10" s="2849">
        <f t="shared" si="4"/>
        <v>0.19100004676081175</v>
      </c>
      <c r="S10" s="2849">
        <f t="shared" si="4"/>
        <v>0</v>
      </c>
      <c r="T10" s="2849">
        <f t="shared" si="4"/>
        <v>0.12316470021984312</v>
      </c>
      <c r="U10" s="2849">
        <f t="shared" si="4"/>
        <v>0.12320583668051807</v>
      </c>
      <c r="V10" s="2849">
        <f t="shared" si="4"/>
        <v>0</v>
      </c>
      <c r="W10" s="2849">
        <f t="shared" si="4"/>
        <v>0.25744180614443402</v>
      </c>
      <c r="X10" s="2849">
        <f t="shared" si="4"/>
        <v>0.25747404145891117</v>
      </c>
      <c r="Y10" s="2849">
        <f t="shared" si="4"/>
        <v>0</v>
      </c>
      <c r="Z10" s="2849">
        <f t="shared" si="4"/>
        <v>0.13488738816242254</v>
      </c>
      <c r="AA10" s="2849">
        <f t="shared" si="4"/>
        <v>0.13491785610566734</v>
      </c>
      <c r="AB10" s="2849">
        <f t="shared" si="4"/>
        <v>0</v>
      </c>
      <c r="AC10" s="2849">
        <f t="shared" si="4"/>
        <v>0.17606726387741739</v>
      </c>
      <c r="AD10" s="2849">
        <f t="shared" si="4"/>
        <v>0.17610654999955513</v>
      </c>
      <c r="AE10" s="2849">
        <f t="shared" si="4"/>
        <v>0</v>
      </c>
      <c r="AF10" s="2850">
        <f t="shared" si="4"/>
        <v>0.19094361113659009</v>
      </c>
      <c r="AG10" s="2850">
        <f t="shared" si="4"/>
        <v>0.19100004676081175</v>
      </c>
      <c r="AH10" s="2850">
        <f t="shared" si="4"/>
        <v>0</v>
      </c>
      <c r="AI10" s="2850">
        <f t="shared" si="4"/>
        <v>0.11539151472196528</v>
      </c>
      <c r="AJ10" s="2850">
        <f t="shared" si="4"/>
        <v>0.11540788978014097</v>
      </c>
      <c r="AK10" s="2850">
        <f t="shared" si="4"/>
        <v>0</v>
      </c>
      <c r="AL10" s="2851">
        <f>SUM(AI10-AF10)</f>
        <v>-7.5552096414624806E-2</v>
      </c>
      <c r="AM10" s="2851">
        <f t="shared" si="0"/>
        <v>-7.5592156980670788E-2</v>
      </c>
      <c r="AN10" s="2851">
        <f t="shared" si="0"/>
        <v>0</v>
      </c>
      <c r="AO10" s="2849">
        <f t="shared" ref="AO10:BI10" si="5">SUM(AO9/AO8)</f>
        <v>0.19094361113659009</v>
      </c>
      <c r="AP10" s="2849">
        <f t="shared" si="5"/>
        <v>0.19100004676081175</v>
      </c>
      <c r="AQ10" s="2849">
        <f t="shared" si="5"/>
        <v>0</v>
      </c>
      <c r="AR10" s="2849">
        <f t="shared" si="5"/>
        <v>7.3768141869475917E-2</v>
      </c>
      <c r="AS10" s="2849">
        <f t="shared" si="5"/>
        <v>7.3782176872289107E-2</v>
      </c>
      <c r="AT10" s="2849">
        <f t="shared" si="5"/>
        <v>0</v>
      </c>
      <c r="AU10" s="2849">
        <f t="shared" si="5"/>
        <v>7.610593503886344E-2</v>
      </c>
      <c r="AV10" s="2849">
        <f t="shared" si="5"/>
        <v>7.6120628628061737E-2</v>
      </c>
      <c r="AW10" s="2849">
        <f t="shared" si="5"/>
        <v>0</v>
      </c>
      <c r="AX10" s="2849">
        <f t="shared" si="5"/>
        <v>9.612344181264966E-2</v>
      </c>
      <c r="AY10" s="2849">
        <f t="shared" si="5"/>
        <v>9.6129296315425314E-2</v>
      </c>
      <c r="AZ10" s="2849">
        <f t="shared" si="5"/>
        <v>0</v>
      </c>
      <c r="BA10" s="2849">
        <f t="shared" si="5"/>
        <v>8.1897145141711161E-2</v>
      </c>
      <c r="BB10" s="2849">
        <f t="shared" si="5"/>
        <v>8.1909293330259134E-2</v>
      </c>
      <c r="BC10" s="2849">
        <f t="shared" si="5"/>
        <v>0</v>
      </c>
      <c r="BD10" s="2850">
        <f t="shared" si="5"/>
        <v>0.19094361113659006</v>
      </c>
      <c r="BE10" s="2850">
        <f t="shared" si="5"/>
        <v>0.19100004676081173</v>
      </c>
      <c r="BF10" s="2850">
        <f t="shared" si="5"/>
        <v>0</v>
      </c>
      <c r="BG10" s="2850">
        <f t="shared" si="5"/>
        <v>0.10539877669442972</v>
      </c>
      <c r="BH10" s="2850">
        <f t="shared" si="5"/>
        <v>0.10541393575988496</v>
      </c>
      <c r="BI10" s="2850">
        <f t="shared" si="5"/>
        <v>0</v>
      </c>
      <c r="BJ10" s="2851">
        <f>SUM(BG10-BD10)</f>
        <v>-8.5544834442160336E-2</v>
      </c>
      <c r="BK10" s="2851">
        <f t="shared" si="1"/>
        <v>-8.5586111000926765E-2</v>
      </c>
      <c r="BL10" s="2851">
        <f t="shared" si="1"/>
        <v>0</v>
      </c>
      <c r="BM10" s="2849">
        <f t="shared" ref="BM10:CG10" si="6">SUM(BM9/BM8)</f>
        <v>0.19094361113659009</v>
      </c>
      <c r="BN10" s="2849">
        <f t="shared" si="6"/>
        <v>0.19100004676081175</v>
      </c>
      <c r="BO10" s="2849">
        <f t="shared" si="6"/>
        <v>0</v>
      </c>
      <c r="BP10" s="2849">
        <f t="shared" si="6"/>
        <v>0.15953264103208811</v>
      </c>
      <c r="BQ10" s="2849">
        <f t="shared" si="6"/>
        <v>0.15954222594082673</v>
      </c>
      <c r="BR10" s="2849">
        <f t="shared" si="6"/>
        <v>0</v>
      </c>
      <c r="BS10" s="2849">
        <f t="shared" si="6"/>
        <v>0.28595054802288822</v>
      </c>
      <c r="BT10" s="2849">
        <f t="shared" si="6"/>
        <v>0.2859890589315387</v>
      </c>
      <c r="BU10" s="2849">
        <f t="shared" si="6"/>
        <v>0</v>
      </c>
      <c r="BV10" s="2849">
        <f t="shared" si="6"/>
        <v>0.1394108693587118</v>
      </c>
      <c r="BW10" s="2849">
        <f t="shared" si="6"/>
        <v>0.13943736038410803</v>
      </c>
      <c r="BX10" s="2849">
        <f t="shared" si="6"/>
        <v>0</v>
      </c>
      <c r="BY10" s="2849">
        <f t="shared" si="6"/>
        <v>0.19979340187288586</v>
      </c>
      <c r="BZ10" s="2849">
        <f t="shared" si="6"/>
        <v>0.1998191246472581</v>
      </c>
      <c r="CA10" s="2849">
        <f t="shared" si="6"/>
        <v>0</v>
      </c>
      <c r="CB10" s="2850">
        <f t="shared" si="6"/>
        <v>0.19094361113659009</v>
      </c>
      <c r="CC10" s="2850">
        <f t="shared" si="6"/>
        <v>0.19100004676081175</v>
      </c>
      <c r="CD10" s="2850">
        <f t="shared" si="6"/>
        <v>0</v>
      </c>
      <c r="CE10" s="2850">
        <f t="shared" si="6"/>
        <v>0.12954489732003044</v>
      </c>
      <c r="CF10" s="2850">
        <f t="shared" si="6"/>
        <v>0.12956302953587706</v>
      </c>
      <c r="CG10" s="2850">
        <f t="shared" si="6"/>
        <v>0</v>
      </c>
      <c r="CH10" s="2851">
        <f>SUM(CE10-CB10)</f>
        <v>-6.1398713816559647E-2</v>
      </c>
      <c r="CI10" s="2851">
        <f t="shared" si="2"/>
        <v>-6.1437017224934692E-2</v>
      </c>
      <c r="CJ10" s="2851">
        <f t="shared" si="2"/>
        <v>0</v>
      </c>
      <c r="CK10" s="2841"/>
      <c r="CL10" s="4187">
        <f t="shared" si="3"/>
        <v>0.76377444454636034</v>
      </c>
      <c r="CM10" s="2831"/>
      <c r="CN10" s="2831"/>
    </row>
    <row r="11" spans="1:92" ht="18.75" customHeight="1" x14ac:dyDescent="0.2">
      <c r="A11" s="2835" t="s">
        <v>3726</v>
      </c>
      <c r="B11" s="2837">
        <f>SUM(C11:D11)</f>
        <v>1211.4992</v>
      </c>
      <c r="C11" s="2837">
        <f>SUM(C8-C9)</f>
        <v>1211.05675</v>
      </c>
      <c r="D11" s="2837">
        <f>SUM(D8-D9)</f>
        <v>0.44245000000000001</v>
      </c>
      <c r="E11" s="2837">
        <f>SUM(F11:G11)</f>
        <v>445.83280000000002</v>
      </c>
      <c r="F11" s="2837">
        <f>SUM(F8-F9)</f>
        <v>445.78280000000001</v>
      </c>
      <c r="G11" s="2837">
        <f>SUM(G8-G9)</f>
        <v>0.05</v>
      </c>
      <c r="H11" s="2837">
        <f>SUM(I11:J11)</f>
        <v>462.91476</v>
      </c>
      <c r="I11" s="2837">
        <f>SUM(I8-I9)</f>
        <v>462.89875999999998</v>
      </c>
      <c r="J11" s="2837">
        <f>SUM(J8-J9)</f>
        <v>1.6E-2</v>
      </c>
      <c r="K11" s="2837">
        <f>SUM(L11:M11)</f>
        <v>468.29476</v>
      </c>
      <c r="L11" s="2837">
        <f>SUM(L8-L9)</f>
        <v>468.27276000000001</v>
      </c>
      <c r="M11" s="2837">
        <f>SUM(M8-M9)</f>
        <v>2.1999999999999999E-2</v>
      </c>
      <c r="N11" s="2837">
        <f>SUM(O11:P11)</f>
        <v>1377.04232</v>
      </c>
      <c r="O11" s="2837">
        <f>SUM(O8-O9)</f>
        <v>1376.9543200000001</v>
      </c>
      <c r="P11" s="2837">
        <f>SUM(P8-P9)</f>
        <v>8.7999999999999995E-2</v>
      </c>
      <c r="Q11" s="2837">
        <f>SUM(R11:S11)</f>
        <v>1211.4992</v>
      </c>
      <c r="R11" s="2837">
        <f>SUM(R8-R9)</f>
        <v>1211.05675</v>
      </c>
      <c r="S11" s="2837">
        <f>SUM(S8-S9)</f>
        <v>0.44245000000000001</v>
      </c>
      <c r="T11" s="2837">
        <f>SUM(U11:V11)</f>
        <v>404.42975999999999</v>
      </c>
      <c r="U11" s="2837">
        <f>SUM(U8-U9)</f>
        <v>404.27575999999999</v>
      </c>
      <c r="V11" s="2837">
        <f>SUM(V8-V9)</f>
        <v>0.154</v>
      </c>
      <c r="W11" s="2837">
        <f>SUM(X11:Y11)</f>
        <v>397.38075999999995</v>
      </c>
      <c r="X11" s="2837">
        <f>SUM(X8-X9)</f>
        <v>397.31375999999995</v>
      </c>
      <c r="Y11" s="2837">
        <f>SUM(Y8-Y9)</f>
        <v>6.7000000000000004E-2</v>
      </c>
      <c r="Z11" s="2837">
        <f>SUM(AA11:AB11)</f>
        <v>402.24276000000003</v>
      </c>
      <c r="AA11" s="2837">
        <f>SUM(AA8-AA9)</f>
        <v>402.13776000000001</v>
      </c>
      <c r="AB11" s="2837">
        <f>SUM(AB8-AB9)</f>
        <v>0.105</v>
      </c>
      <c r="AC11" s="2837">
        <f>SUM(AD11:AE11)</f>
        <v>1204.0532799999999</v>
      </c>
      <c r="AD11" s="2837">
        <f>SUM(AD8-AD9)</f>
        <v>1203.7272799999998</v>
      </c>
      <c r="AE11" s="2837">
        <f>SUM(AE8-AE9)</f>
        <v>0.32600000000000001</v>
      </c>
      <c r="AF11" s="2839">
        <f>SUM(AG11:AH11)</f>
        <v>2422.9983999999999</v>
      </c>
      <c r="AG11" s="2839">
        <f>SUM(AG8-AG9)</f>
        <v>2422.1134999999999</v>
      </c>
      <c r="AH11" s="2839">
        <f>SUM(AH8-AH9)</f>
        <v>0.88490000000000002</v>
      </c>
      <c r="AI11" s="2839">
        <f>SUM(AJ11:AK11)</f>
        <v>2581.0956000000001</v>
      </c>
      <c r="AJ11" s="2839">
        <f>SUM(AJ8-AJ9)</f>
        <v>2580.6815999999999</v>
      </c>
      <c r="AK11" s="2839">
        <f>SUM(AK8-AK9)</f>
        <v>0.41400000000000003</v>
      </c>
      <c r="AL11" s="2839">
        <f>SUM(AM11:AN11)</f>
        <v>158.09719999999962</v>
      </c>
      <c r="AM11" s="2839">
        <f>SUM(AM8-AM9)</f>
        <v>158.56809999999962</v>
      </c>
      <c r="AN11" s="2839">
        <f>SUM(AN8-AN9)</f>
        <v>-0.47089999999999999</v>
      </c>
      <c r="AO11" s="2837">
        <f>SUM(AP11:AQ11)</f>
        <v>1211.4992</v>
      </c>
      <c r="AP11" s="2837">
        <f>SUM(AP8-AP9)</f>
        <v>1211.05675</v>
      </c>
      <c r="AQ11" s="2837">
        <f>SUM(AQ8-AQ9)</f>
        <v>0.44245000000000001</v>
      </c>
      <c r="AR11" s="2837">
        <f>SUM(AS11:AT11)</f>
        <v>409.0138</v>
      </c>
      <c r="AS11" s="2837">
        <f>SUM(AS8-AS9)</f>
        <v>408.9298</v>
      </c>
      <c r="AT11" s="2837">
        <f>SUM(AT8-AT9)</f>
        <v>8.4000000000000005E-2</v>
      </c>
      <c r="AU11" s="2837">
        <f>SUM(AV11:AW11)</f>
        <v>358.96979999999996</v>
      </c>
      <c r="AV11" s="2837">
        <f>SUM(AV8-AV9)</f>
        <v>358.89479999999998</v>
      </c>
      <c r="AW11" s="2837">
        <f>SUM(AW8-AW9)</f>
        <v>7.4999999999999997E-2</v>
      </c>
      <c r="AX11" s="2837">
        <f>SUM(AY11:AZ11)</f>
        <v>371.03499999999997</v>
      </c>
      <c r="AY11" s="2837">
        <f>SUM(AY8-AY9)</f>
        <v>371.01</v>
      </c>
      <c r="AZ11" s="2837">
        <f>SUM(AZ8-AZ9)</f>
        <v>2.5000000000000001E-2</v>
      </c>
      <c r="BA11" s="2837">
        <f>SUM(BB11:BC11)</f>
        <v>1139.0186000000001</v>
      </c>
      <c r="BB11" s="2837">
        <f>SUM(BB8-BB9)</f>
        <v>1138.8346000000001</v>
      </c>
      <c r="BC11" s="2837">
        <f>SUM(BC8-BC9)</f>
        <v>0.184</v>
      </c>
      <c r="BD11" s="2839">
        <f>SUM(BE11:BF11)</f>
        <v>3634.4976000000006</v>
      </c>
      <c r="BE11" s="2839">
        <f>SUM(BE8-BE9)</f>
        <v>3633.1702500000006</v>
      </c>
      <c r="BF11" s="2839">
        <f>SUM(BF8-BF9)</f>
        <v>1.32735</v>
      </c>
      <c r="BG11" s="2839">
        <f>SUM(BH11:BI11)</f>
        <v>3720.1142</v>
      </c>
      <c r="BH11" s="2839">
        <f>SUM(BH8-BH9)</f>
        <v>3719.5162</v>
      </c>
      <c r="BI11" s="2839">
        <f>SUM(BI8-BI9)</f>
        <v>0.59800000000000009</v>
      </c>
      <c r="BJ11" s="2839">
        <f>SUM(BK11:BL11)</f>
        <v>85.616599999999224</v>
      </c>
      <c r="BK11" s="2839">
        <f>SUM(BK8-BK9)</f>
        <v>86.34594999999922</v>
      </c>
      <c r="BL11" s="2839">
        <f>SUM(BL8-BL9)</f>
        <v>-0.72934999999999994</v>
      </c>
      <c r="BM11" s="2837">
        <f>SUM(BN11:BO11)</f>
        <v>1211.4992</v>
      </c>
      <c r="BN11" s="2837">
        <f>SUM(BN8-BN9)</f>
        <v>1211.05675</v>
      </c>
      <c r="BO11" s="2837">
        <f>SUM(BO8-BO9)</f>
        <v>0.44245000000000001</v>
      </c>
      <c r="BP11" s="2837">
        <f>SUM(BQ11:BR11)</f>
        <v>377.72199999999998</v>
      </c>
      <c r="BQ11" s="2837">
        <f>SUM(BQ8-BQ9)</f>
        <v>377.69499999999999</v>
      </c>
      <c r="BR11" s="2837">
        <f>SUM(BR8-BR9)</f>
        <v>2.7E-2</v>
      </c>
      <c r="BS11" s="2837">
        <f>SUM(BT11:BU11)</f>
        <v>376.48900000000003</v>
      </c>
      <c r="BT11" s="2837">
        <f>SUM(BT8-BT9)</f>
        <v>376.41800000000001</v>
      </c>
      <c r="BU11" s="2837">
        <f>SUM(BU8-BU9)</f>
        <v>7.0999999999999994E-2</v>
      </c>
      <c r="BV11" s="2837">
        <f>SUM(BW11:BX11)</f>
        <v>389.56030000000004</v>
      </c>
      <c r="BW11" s="2837">
        <f>SUM(BW8-BW9)</f>
        <v>389.47430000000003</v>
      </c>
      <c r="BX11" s="2837">
        <f>SUM(BX8-BX9)</f>
        <v>8.5999999999999993E-2</v>
      </c>
      <c r="BY11" s="2837">
        <f>SUM(BZ11:CA11)</f>
        <v>1143.7713000000001</v>
      </c>
      <c r="BZ11" s="2837">
        <f>SUM(BZ8-BZ9)</f>
        <v>1143.5873000000001</v>
      </c>
      <c r="CA11" s="2837">
        <f>SUM(CA8-CA9)</f>
        <v>0.184</v>
      </c>
      <c r="CB11" s="2839">
        <f>SUM(CC11:CD11)</f>
        <v>4845.9967999999999</v>
      </c>
      <c r="CC11" s="2839">
        <f>SUM(CC8-CC9)</f>
        <v>4844.2269999999999</v>
      </c>
      <c r="CD11" s="2839">
        <f>SUM(CD8-CD9)</f>
        <v>1.7698</v>
      </c>
      <c r="CE11" s="2839">
        <f>SUM(CF11:CG11)</f>
        <v>4863.8855000000003</v>
      </c>
      <c r="CF11" s="2839">
        <f>SUM(CF8-CF9)</f>
        <v>4863.1035000000002</v>
      </c>
      <c r="CG11" s="2839">
        <f>SUM(CG8-CG9)</f>
        <v>0.78200000000000003</v>
      </c>
      <c r="CH11" s="2839">
        <f>SUM(CI11:CJ11)</f>
        <v>17.888699999999737</v>
      </c>
      <c r="CI11" s="2839">
        <f>SUM(CI8-CI9)</f>
        <v>18.876499999999737</v>
      </c>
      <c r="CJ11" s="2839">
        <f>SUM(CJ8-CJ9)</f>
        <v>-0.98780000000000001</v>
      </c>
      <c r="CK11" s="2841"/>
      <c r="CL11" s="4187">
        <f t="shared" si="3"/>
        <v>4845.9967999999999</v>
      </c>
      <c r="CM11" s="2831"/>
      <c r="CN11" s="2831"/>
    </row>
    <row r="12" spans="1:92" ht="18.75" customHeight="1" x14ac:dyDescent="0.2">
      <c r="A12" s="2842" t="s">
        <v>51</v>
      </c>
      <c r="B12" s="2845">
        <f>SUM(C12:D12)</f>
        <v>334.88924999999995</v>
      </c>
      <c r="C12" s="2845">
        <f t="shared" ref="C12" si="7">SUM(C11-C14)</f>
        <v>334.88924999999995</v>
      </c>
      <c r="D12" s="2845">
        <f>SUM(D11-D14)</f>
        <v>0</v>
      </c>
      <c r="E12" s="2845">
        <f>SUM(F12:G12)</f>
        <v>141.90379999999999</v>
      </c>
      <c r="F12" s="2845">
        <f t="shared" ref="F12" si="8">SUM(F11-F14)</f>
        <v>141.90379999999999</v>
      </c>
      <c r="G12" s="2845">
        <f>SUM(G11-G14)</f>
        <v>0</v>
      </c>
      <c r="H12" s="2845">
        <f>SUM(I12:J12)</f>
        <v>155.48575999999997</v>
      </c>
      <c r="I12" s="2845">
        <f t="shared" ref="I12" si="9">SUM(I11-I14)</f>
        <v>155.48575999999997</v>
      </c>
      <c r="J12" s="2845">
        <f>SUM(J11-J14)</f>
        <v>0</v>
      </c>
      <c r="K12" s="2845">
        <f>SUM(L12:M12)</f>
        <v>172.76676000000003</v>
      </c>
      <c r="L12" s="2845">
        <f t="shared" ref="L12" si="10">SUM(L11-L14)</f>
        <v>172.76676000000003</v>
      </c>
      <c r="M12" s="2845">
        <f>SUM(M11-M14)</f>
        <v>0</v>
      </c>
      <c r="N12" s="2845">
        <f>SUM(O12:P12)</f>
        <v>470.15632000000005</v>
      </c>
      <c r="O12" s="2845">
        <f t="shared" ref="O12" si="11">SUM(O11-O14)</f>
        <v>470.15632000000005</v>
      </c>
      <c r="P12" s="2845">
        <f>SUM(P11-P14)</f>
        <v>0</v>
      </c>
      <c r="Q12" s="2845">
        <f>SUM(R12:S12)</f>
        <v>334.88924999999995</v>
      </c>
      <c r="R12" s="2845">
        <f t="shared" ref="R12" si="12">SUM(R11-R14)</f>
        <v>334.88924999999995</v>
      </c>
      <c r="S12" s="2845">
        <f>SUM(S11-S14)</f>
        <v>0</v>
      </c>
      <c r="T12" s="2845">
        <f>SUM(U12:V12)</f>
        <v>94.147760000000005</v>
      </c>
      <c r="U12" s="2845">
        <f t="shared" ref="U12" si="13">SUM(U11-U14)</f>
        <v>94.147760000000005</v>
      </c>
      <c r="V12" s="2845">
        <f>SUM(V11-V14)</f>
        <v>0</v>
      </c>
      <c r="W12" s="2845">
        <f>SUM(X12:Y12)</f>
        <v>101.23140899999993</v>
      </c>
      <c r="X12" s="2845">
        <f t="shared" ref="X12" si="14">SUM(X11-X14)</f>
        <v>101.23140899999993</v>
      </c>
      <c r="Y12" s="2845">
        <f>SUM(Y11-Y14)</f>
        <v>0</v>
      </c>
      <c r="Z12" s="2845">
        <f>SUM(AA12:AB12)</f>
        <v>105.14776000000001</v>
      </c>
      <c r="AA12" s="2845">
        <f t="shared" ref="AA12" si="15">SUM(AA11-AA14)</f>
        <v>105.14776000000001</v>
      </c>
      <c r="AB12" s="2845">
        <f>SUM(AB11-AB14)</f>
        <v>0</v>
      </c>
      <c r="AC12" s="2845">
        <f>SUM(AD12:AE12)</f>
        <v>300.52692899999988</v>
      </c>
      <c r="AD12" s="2845">
        <f t="shared" ref="AD12:AG12" si="16">SUM(AD11-AD14)</f>
        <v>300.52692899999988</v>
      </c>
      <c r="AE12" s="2845">
        <f>SUM(AE11-AE14)</f>
        <v>0</v>
      </c>
      <c r="AF12" s="2846">
        <f>SUM(AG12:AH12)</f>
        <v>669.77849999999989</v>
      </c>
      <c r="AG12" s="2846">
        <f t="shared" si="16"/>
        <v>669.77849999999989</v>
      </c>
      <c r="AH12" s="2846">
        <f>SUM(AH11-AH14)</f>
        <v>0</v>
      </c>
      <c r="AI12" s="2846">
        <f>SUM(AJ12:AK12)</f>
        <v>770.68324899999993</v>
      </c>
      <c r="AJ12" s="2846">
        <f t="shared" ref="AJ12" si="17">SUM(AJ11-AJ14)</f>
        <v>770.68324899999993</v>
      </c>
      <c r="AK12" s="2846">
        <f>SUM(AK11-AK14)</f>
        <v>0</v>
      </c>
      <c r="AL12" s="2846">
        <f>SUM(AM12:AN12)</f>
        <v>100.9047489999995</v>
      </c>
      <c r="AM12" s="2846">
        <f t="shared" ref="AM12" si="18">SUM(AM11-AM14)</f>
        <v>100.9047489999995</v>
      </c>
      <c r="AN12" s="2846">
        <f>SUM(AN11-AN14)</f>
        <v>0</v>
      </c>
      <c r="AO12" s="2845">
        <f>SUM(AP12:AQ12)</f>
        <v>334.88924999999995</v>
      </c>
      <c r="AP12" s="2845">
        <f t="shared" ref="AP12" si="19">SUM(AP11-AP14)</f>
        <v>334.88924999999995</v>
      </c>
      <c r="AQ12" s="2845">
        <f>SUM(AQ11-AQ14)</f>
        <v>0</v>
      </c>
      <c r="AR12" s="2845">
        <f>SUM(AS12:AT12)</f>
        <v>137.87279999999998</v>
      </c>
      <c r="AS12" s="2845">
        <f t="shared" ref="AS12" si="20">SUM(AS11-AS14)</f>
        <v>137.87279999999998</v>
      </c>
      <c r="AT12" s="2845">
        <f>SUM(AT11-AT14)</f>
        <v>0</v>
      </c>
      <c r="AU12" s="2845">
        <f>SUM(AV12:AW12)</f>
        <v>73.134799999999984</v>
      </c>
      <c r="AV12" s="2845">
        <f t="shared" ref="AV12" si="21">SUM(AV11-AV14)</f>
        <v>73.134799999999984</v>
      </c>
      <c r="AW12" s="2845">
        <f>SUM(AW11-AW14)</f>
        <v>0</v>
      </c>
      <c r="AX12" s="2845">
        <f>SUM(AY12:AZ12)</f>
        <v>75.67999999999995</v>
      </c>
      <c r="AY12" s="2845">
        <f t="shared" ref="AY12" si="22">SUM(AY11-AY14)</f>
        <v>75.67999999999995</v>
      </c>
      <c r="AZ12" s="2845">
        <f>SUM(AZ11-AZ14)</f>
        <v>0</v>
      </c>
      <c r="BA12" s="2845">
        <f>SUM(BB12:BC12)</f>
        <v>286.6876000000002</v>
      </c>
      <c r="BB12" s="2845">
        <f t="shared" ref="BB12" si="23">SUM(BB11-BB14)</f>
        <v>286.6876000000002</v>
      </c>
      <c r="BC12" s="2845">
        <f>SUM(BC11-BC14)</f>
        <v>0</v>
      </c>
      <c r="BD12" s="2846">
        <f>SUM(BE12:BF12)</f>
        <v>1004.6677500000005</v>
      </c>
      <c r="BE12" s="2846">
        <f t="shared" ref="BE12" si="24">SUM(BE11-BE14)</f>
        <v>1004.6677500000005</v>
      </c>
      <c r="BF12" s="2846">
        <f>SUM(BF11-BF14)</f>
        <v>0</v>
      </c>
      <c r="BG12" s="2846">
        <f>SUM(BH12:BI12)</f>
        <v>1057.3708489999999</v>
      </c>
      <c r="BH12" s="2846">
        <f t="shared" ref="BH12" si="25">SUM(BH11-BH14)</f>
        <v>1057.3708489999999</v>
      </c>
      <c r="BI12" s="2846">
        <f>SUM(BI11-BI14)</f>
        <v>0</v>
      </c>
      <c r="BJ12" s="2846">
        <f>SUM(BK12:BL12)</f>
        <v>52.70309899999917</v>
      </c>
      <c r="BK12" s="2846">
        <f t="shared" ref="BK12" si="26">SUM(BK11-BK14)</f>
        <v>52.70309899999917</v>
      </c>
      <c r="BL12" s="2846">
        <f>SUM(BL11-BL14)</f>
        <v>0</v>
      </c>
      <c r="BM12" s="2845">
        <f>SUM(BN12:BO12)</f>
        <v>334.88924999999995</v>
      </c>
      <c r="BN12" s="2845">
        <f t="shared" ref="BN12" si="27">SUM(BN11-BN14)</f>
        <v>334.88924999999995</v>
      </c>
      <c r="BO12" s="2845">
        <f>SUM(BO11-BO14)</f>
        <v>0</v>
      </c>
      <c r="BP12" s="2845">
        <f>SUM(BQ12:BR12)</f>
        <v>75.359999999999957</v>
      </c>
      <c r="BQ12" s="2845">
        <f t="shared" ref="BQ12" si="28">SUM(BQ11-BQ14)</f>
        <v>75.359999999999957</v>
      </c>
      <c r="BR12" s="2845">
        <f>SUM(BR11-BR14)</f>
        <v>0</v>
      </c>
      <c r="BS12" s="2845">
        <f>SUM(BT12:BU12)</f>
        <v>81.548999999999978</v>
      </c>
      <c r="BT12" s="2845">
        <f t="shared" ref="BT12" si="29">SUM(BT11-BT14)</f>
        <v>81.548999999999978</v>
      </c>
      <c r="BU12" s="2845">
        <f>SUM(BU11-BU14)</f>
        <v>0</v>
      </c>
      <c r="BV12" s="2845">
        <f>SUM(BW12:BX12)</f>
        <v>86.407300000000021</v>
      </c>
      <c r="BW12" s="2845">
        <f t="shared" ref="BW12" si="30">SUM(BW11-BW14)</f>
        <v>86.407300000000021</v>
      </c>
      <c r="BX12" s="2845">
        <f>SUM(BX11-BX14)</f>
        <v>0</v>
      </c>
      <c r="BY12" s="2845">
        <f>SUM(BZ12:CA12)</f>
        <v>243.31630000000007</v>
      </c>
      <c r="BZ12" s="2845">
        <f t="shared" ref="BZ12" si="31">SUM(BZ11-BZ14)</f>
        <v>243.31630000000007</v>
      </c>
      <c r="CA12" s="2845">
        <f>SUM(CA11-CA14)</f>
        <v>0</v>
      </c>
      <c r="CB12" s="2846">
        <f>SUM(CC12:CD12)</f>
        <v>1339.5569999999998</v>
      </c>
      <c r="CC12" s="2846">
        <f t="shared" ref="CC12:CD12" si="32">SUM(CC11-CC14)</f>
        <v>1339.5569999999998</v>
      </c>
      <c r="CD12" s="2846">
        <f t="shared" si="32"/>
        <v>0</v>
      </c>
      <c r="CE12" s="2846">
        <f>SUM(CF12:CG12)</f>
        <v>1300.6871490000003</v>
      </c>
      <c r="CF12" s="2846">
        <f t="shared" ref="CF12" si="33">SUM(CF11-CF14)</f>
        <v>1300.6871490000003</v>
      </c>
      <c r="CG12" s="2846">
        <f>SUM(CG11-CG14)</f>
        <v>0</v>
      </c>
      <c r="CH12" s="2846">
        <f>SUM(CI12:CJ12)</f>
        <v>-38.869851000000331</v>
      </c>
      <c r="CI12" s="2846">
        <f t="shared" ref="CI12" si="34">SUM(CI11-CI14)</f>
        <v>-38.869851000000331</v>
      </c>
      <c r="CJ12" s="2846">
        <f>SUM(CJ11-CJ14)</f>
        <v>0</v>
      </c>
      <c r="CK12" s="2841"/>
      <c r="CL12" s="4187">
        <f t="shared" si="3"/>
        <v>1339.5569999999998</v>
      </c>
      <c r="CM12" s="2831"/>
      <c r="CN12" s="2831"/>
    </row>
    <row r="13" spans="1:92" ht="18.75" customHeight="1" x14ac:dyDescent="0.2">
      <c r="A13" s="2848" t="s">
        <v>111</v>
      </c>
      <c r="B13" s="2849">
        <f t="shared" ref="B13:AK13" si="35">SUM(B12/B11)</f>
        <v>0.27642548175021492</v>
      </c>
      <c r="C13" s="2849">
        <f t="shared" si="35"/>
        <v>0.27652647161249871</v>
      </c>
      <c r="D13" s="2849">
        <f t="shared" si="35"/>
        <v>0</v>
      </c>
      <c r="E13" s="2849">
        <f t="shared" si="35"/>
        <v>0.31828927795352874</v>
      </c>
      <c r="F13" s="2849">
        <f t="shared" si="35"/>
        <v>0.31832497799376736</v>
      </c>
      <c r="G13" s="2849">
        <f t="shared" si="35"/>
        <v>0</v>
      </c>
      <c r="H13" s="2849">
        <f t="shared" si="35"/>
        <v>0.33588421332687679</v>
      </c>
      <c r="I13" s="2849">
        <f t="shared" si="35"/>
        <v>0.33589582309531352</v>
      </c>
      <c r="J13" s="2849">
        <f t="shared" si="35"/>
        <v>0</v>
      </c>
      <c r="K13" s="2849">
        <f t="shared" si="35"/>
        <v>0.36892738240333939</v>
      </c>
      <c r="L13" s="2849">
        <f t="shared" si="35"/>
        <v>0.36894471504172061</v>
      </c>
      <c r="M13" s="2849">
        <f t="shared" si="35"/>
        <v>0</v>
      </c>
      <c r="N13" s="2849">
        <f t="shared" si="35"/>
        <v>0.34142474285031416</v>
      </c>
      <c r="O13" s="2849">
        <f t="shared" si="35"/>
        <v>0.34144656302033322</v>
      </c>
      <c r="P13" s="2849">
        <f t="shared" si="35"/>
        <v>0</v>
      </c>
      <c r="Q13" s="2849">
        <f t="shared" si="35"/>
        <v>0.27642548175021492</v>
      </c>
      <c r="R13" s="2849">
        <f t="shared" si="35"/>
        <v>0.27652647161249871</v>
      </c>
      <c r="S13" s="2849">
        <f t="shared" si="35"/>
        <v>0</v>
      </c>
      <c r="T13" s="2849">
        <f t="shared" si="35"/>
        <v>0.23279137519454554</v>
      </c>
      <c r="U13" s="2849">
        <f t="shared" si="35"/>
        <v>0.23288005197244577</v>
      </c>
      <c r="V13" s="2849">
        <f t="shared" si="35"/>
        <v>0</v>
      </c>
      <c r="W13" s="2849">
        <f t="shared" si="35"/>
        <v>0.25474662890070454</v>
      </c>
      <c r="X13" s="2849">
        <f t="shared" si="35"/>
        <v>0.25478958745350261</v>
      </c>
      <c r="Y13" s="2849">
        <f t="shared" si="35"/>
        <v>0</v>
      </c>
      <c r="Z13" s="2849">
        <f t="shared" si="35"/>
        <v>0.26140373539600814</v>
      </c>
      <c r="AA13" s="2849">
        <f t="shared" si="35"/>
        <v>0.26147198910144626</v>
      </c>
      <c r="AB13" s="2849">
        <f t="shared" si="35"/>
        <v>0</v>
      </c>
      <c r="AC13" s="2849">
        <f>SUM(AC12/AC11)</f>
        <v>0.24959603864041624</v>
      </c>
      <c r="AD13" s="2849">
        <f t="shared" si="35"/>
        <v>0.24966363560357285</v>
      </c>
      <c r="AE13" s="2849">
        <f t="shared" si="35"/>
        <v>0</v>
      </c>
      <c r="AF13" s="2850">
        <f t="shared" si="35"/>
        <v>0.27642548175021492</v>
      </c>
      <c r="AG13" s="2850">
        <f t="shared" si="35"/>
        <v>0.27652647161249871</v>
      </c>
      <c r="AH13" s="2850">
        <f t="shared" si="35"/>
        <v>0</v>
      </c>
      <c r="AI13" s="2850">
        <f t="shared" si="35"/>
        <v>0.29858764200752574</v>
      </c>
      <c r="AJ13" s="2850">
        <f t="shared" si="35"/>
        <v>0.29863554225364336</v>
      </c>
      <c r="AK13" s="2850">
        <f t="shared" si="35"/>
        <v>0</v>
      </c>
      <c r="AL13" s="2850">
        <f>SUM(AI13-AF13)</f>
        <v>2.2162160257310826E-2</v>
      </c>
      <c r="AM13" s="2850">
        <f>SUM(AJ13-AG13)</f>
        <v>2.2109070641144646E-2</v>
      </c>
      <c r="AN13" s="2850">
        <f>SUM(AK13-AH13)</f>
        <v>0</v>
      </c>
      <c r="AO13" s="2849">
        <f t="shared" ref="AO13:BI13" si="36">SUM(AO12/AO11)</f>
        <v>0.27642548175021492</v>
      </c>
      <c r="AP13" s="2849">
        <f t="shared" si="36"/>
        <v>0.27652647161249871</v>
      </c>
      <c r="AQ13" s="2849">
        <f t="shared" si="36"/>
        <v>0</v>
      </c>
      <c r="AR13" s="2849">
        <f t="shared" si="36"/>
        <v>0.33708593695371641</v>
      </c>
      <c r="AS13" s="2849">
        <f t="shared" si="36"/>
        <v>0.33715517920190696</v>
      </c>
      <c r="AT13" s="2849">
        <f t="shared" si="36"/>
        <v>0</v>
      </c>
      <c r="AU13" s="2849">
        <f t="shared" si="36"/>
        <v>0.2037352445804633</v>
      </c>
      <c r="AV13" s="2849">
        <f t="shared" si="36"/>
        <v>0.20377782013002135</v>
      </c>
      <c r="AW13" s="2849">
        <f t="shared" si="36"/>
        <v>0</v>
      </c>
      <c r="AX13" s="2849">
        <f t="shared" si="36"/>
        <v>0.2039699758782863</v>
      </c>
      <c r="AY13" s="2849">
        <f t="shared" si="36"/>
        <v>0.20398372011536064</v>
      </c>
      <c r="AZ13" s="2849">
        <f t="shared" si="36"/>
        <v>0</v>
      </c>
      <c r="BA13" s="2849">
        <f t="shared" si="36"/>
        <v>0.25169703111081781</v>
      </c>
      <c r="BB13" s="2849">
        <f t="shared" si="36"/>
        <v>0.25173769746721797</v>
      </c>
      <c r="BC13" s="2849">
        <f t="shared" si="36"/>
        <v>0</v>
      </c>
      <c r="BD13" s="2850">
        <f t="shared" si="36"/>
        <v>0.27642548175021503</v>
      </c>
      <c r="BE13" s="2850">
        <f t="shared" si="36"/>
        <v>0.27652647161249888</v>
      </c>
      <c r="BF13" s="2850">
        <f t="shared" si="36"/>
        <v>0</v>
      </c>
      <c r="BG13" s="2850">
        <f t="shared" si="36"/>
        <v>0.28423074995923509</v>
      </c>
      <c r="BH13" s="2850">
        <f t="shared" si="36"/>
        <v>0.28427644675939301</v>
      </c>
      <c r="BI13" s="2850">
        <f t="shared" si="36"/>
        <v>0</v>
      </c>
      <c r="BJ13" s="2850">
        <f>SUM(BG13-BD13)</f>
        <v>7.8052682090200554E-3</v>
      </c>
      <c r="BK13" s="2850">
        <f>SUM(BH13-BE13)</f>
        <v>7.749975146894128E-3</v>
      </c>
      <c r="BL13" s="2850">
        <f>SUM(BI13-BF13)</f>
        <v>0</v>
      </c>
      <c r="BM13" s="2849">
        <f t="shared" ref="BM13:CG13" si="37">SUM(BM12/BM11)</f>
        <v>0.27642548175021492</v>
      </c>
      <c r="BN13" s="2849">
        <f t="shared" si="37"/>
        <v>0.27652647161249871</v>
      </c>
      <c r="BO13" s="2849">
        <f t="shared" si="37"/>
        <v>0</v>
      </c>
      <c r="BP13" s="2849">
        <f t="shared" si="37"/>
        <v>0.19951181027316375</v>
      </c>
      <c r="BQ13" s="2849">
        <f t="shared" si="37"/>
        <v>0.19952607262473679</v>
      </c>
      <c r="BR13" s="2849">
        <f t="shared" si="37"/>
        <v>0</v>
      </c>
      <c r="BS13" s="2849">
        <f t="shared" si="37"/>
        <v>0.2166039379636589</v>
      </c>
      <c r="BT13" s="2849">
        <f t="shared" si="37"/>
        <v>0.21664479381963661</v>
      </c>
      <c r="BU13" s="2849">
        <f t="shared" si="37"/>
        <v>0</v>
      </c>
      <c r="BV13" s="2849">
        <f t="shared" si="37"/>
        <v>0.221807252946463</v>
      </c>
      <c r="BW13" s="2849">
        <f t="shared" si="37"/>
        <v>0.22185623030839266</v>
      </c>
      <c r="BX13" s="2849">
        <f t="shared" si="37"/>
        <v>0</v>
      </c>
      <c r="BY13" s="2849">
        <f t="shared" si="37"/>
        <v>0.21273160115138406</v>
      </c>
      <c r="BZ13" s="2849">
        <f t="shared" si="37"/>
        <v>0.2127658290713792</v>
      </c>
      <c r="CA13" s="2849">
        <f t="shared" si="37"/>
        <v>0</v>
      </c>
      <c r="CB13" s="2850">
        <f t="shared" si="37"/>
        <v>0.27642548175021492</v>
      </c>
      <c r="CC13" s="2850">
        <f t="shared" si="37"/>
        <v>0.27652647161249871</v>
      </c>
      <c r="CD13" s="2850">
        <f t="shared" si="37"/>
        <v>0</v>
      </c>
      <c r="CE13" s="2850">
        <f t="shared" si="37"/>
        <v>0.26741730433415839</v>
      </c>
      <c r="CF13" s="2850">
        <f t="shared" si="37"/>
        <v>0.2674603057491991</v>
      </c>
      <c r="CG13" s="2850">
        <f t="shared" si="37"/>
        <v>0</v>
      </c>
      <c r="CH13" s="2850">
        <f>SUM(CE13-CB13)</f>
        <v>-9.0081774160565287E-3</v>
      </c>
      <c r="CI13" s="2850">
        <f>SUM(CF13-CC13)</f>
        <v>-9.0661658632996134E-3</v>
      </c>
      <c r="CJ13" s="2850">
        <f>SUM(CG13-CD13)</f>
        <v>0</v>
      </c>
      <c r="CK13" s="2841"/>
      <c r="CL13" s="4187">
        <f t="shared" si="3"/>
        <v>1.1057019270008597</v>
      </c>
      <c r="CM13" s="2831"/>
      <c r="CN13" s="2831"/>
    </row>
    <row r="14" spans="1:92" ht="18.75" customHeight="1" x14ac:dyDescent="0.2">
      <c r="A14" s="2835" t="s">
        <v>3727</v>
      </c>
      <c r="B14" s="2837">
        <f>SUM(C14:D14)</f>
        <v>876.60995000000003</v>
      </c>
      <c r="C14" s="2837">
        <f>SUM(C15:C17)+C22</f>
        <v>876.16750000000002</v>
      </c>
      <c r="D14" s="2837">
        <f>SUM(D15:D22)</f>
        <v>0.44245000000000001</v>
      </c>
      <c r="E14" s="2837">
        <f>SUM(F14:G14)</f>
        <v>303.92900000000003</v>
      </c>
      <c r="F14" s="2837">
        <f>SUM(F15:F17)+F22</f>
        <v>303.87900000000002</v>
      </c>
      <c r="G14" s="2837">
        <f>SUM(G15:G22)</f>
        <v>0.05</v>
      </c>
      <c r="H14" s="2837">
        <f>SUM(I14:J14)</f>
        <v>307.42900000000003</v>
      </c>
      <c r="I14" s="2837">
        <f>SUM(I15:I17)+I22</f>
        <v>307.41300000000001</v>
      </c>
      <c r="J14" s="2837">
        <f>SUM(J15:J22)</f>
        <v>1.6E-2</v>
      </c>
      <c r="K14" s="2837">
        <f>SUM(L14:M14)</f>
        <v>295.52799999999996</v>
      </c>
      <c r="L14" s="2837">
        <f>SUM(L15:L17)+L22</f>
        <v>295.50599999999997</v>
      </c>
      <c r="M14" s="2837">
        <f>SUM(M15:M22)</f>
        <v>2.1999999999999999E-2</v>
      </c>
      <c r="N14" s="2837">
        <f>SUM(O14:P14)</f>
        <v>906.88599999999997</v>
      </c>
      <c r="O14" s="2837">
        <f>SUM(O15:O17)+O22</f>
        <v>906.798</v>
      </c>
      <c r="P14" s="2837">
        <f>SUM(P15:P22)</f>
        <v>8.7999999999999995E-2</v>
      </c>
      <c r="Q14" s="2837">
        <f>SUM(R14:S14)</f>
        <v>876.60995000000003</v>
      </c>
      <c r="R14" s="2837">
        <f>SUM(R15:R17)+R22</f>
        <v>876.16750000000002</v>
      </c>
      <c r="S14" s="2837">
        <f>SUM(S15:S22)</f>
        <v>0.44245000000000001</v>
      </c>
      <c r="T14" s="2837">
        <f>SUM(U14:V14)</f>
        <v>310.28199999999998</v>
      </c>
      <c r="U14" s="2837">
        <f>SUM(U15:U17)+U22</f>
        <v>310.12799999999999</v>
      </c>
      <c r="V14" s="2837">
        <f>SUM(V15:V22)</f>
        <v>0.154</v>
      </c>
      <c r="W14" s="2837">
        <f>SUM(X14:Y14)</f>
        <v>296.14935100000002</v>
      </c>
      <c r="X14" s="2837">
        <f>SUM(X15:X17)+X22</f>
        <v>296.08235100000002</v>
      </c>
      <c r="Y14" s="2837">
        <f>SUM(Y15:Y22)</f>
        <v>6.7000000000000004E-2</v>
      </c>
      <c r="Z14" s="2837">
        <f>SUM(AA14:AB14)</f>
        <v>297.09500000000003</v>
      </c>
      <c r="AA14" s="2837">
        <f>SUM(AA15:AA17)+AA22</f>
        <v>296.99</v>
      </c>
      <c r="AB14" s="2837">
        <f>SUM(AB15:AB22)</f>
        <v>0.105</v>
      </c>
      <c r="AC14" s="2837">
        <f>SUM(AD14:AE14)</f>
        <v>903.52635099999998</v>
      </c>
      <c r="AD14" s="2837">
        <f>SUM(AD15:AD17)+AD22</f>
        <v>903.20035099999996</v>
      </c>
      <c r="AE14" s="2837">
        <f>SUM(AE15:AE22)</f>
        <v>0.32600000000000001</v>
      </c>
      <c r="AF14" s="2839">
        <f>SUM(AG14:AH14)</f>
        <v>1753.2199000000001</v>
      </c>
      <c r="AG14" s="2839">
        <f>SUM(AG15:AG17)+AG22</f>
        <v>1752.335</v>
      </c>
      <c r="AH14" s="2839">
        <f>SUM(AH15:AH22)</f>
        <v>0.88490000000000002</v>
      </c>
      <c r="AI14" s="2839">
        <f>SUM(AJ14:AK14)</f>
        <v>1810.4123509999999</v>
      </c>
      <c r="AJ14" s="2839">
        <f>SUM(AJ15:AJ17)+AJ22</f>
        <v>1809.998351</v>
      </c>
      <c r="AK14" s="2839">
        <f>SUM(AK15:AK22)</f>
        <v>0.41400000000000003</v>
      </c>
      <c r="AL14" s="2839">
        <f>SUM(AM14:AN14)</f>
        <v>57.192451000000119</v>
      </c>
      <c r="AM14" s="2839">
        <f>SUM(AM15:AM17)+AM22</f>
        <v>57.663351000000119</v>
      </c>
      <c r="AN14" s="2839">
        <f>SUM(AN15:AN22)</f>
        <v>-0.47089999999999999</v>
      </c>
      <c r="AO14" s="2837">
        <f>SUM(AP14:AQ14)</f>
        <v>876.60995000000003</v>
      </c>
      <c r="AP14" s="2837">
        <f>SUM(AP15:AP17)+AP22</f>
        <v>876.16750000000002</v>
      </c>
      <c r="AQ14" s="2837">
        <f>SUM(AQ15:AQ22)</f>
        <v>0.44245000000000001</v>
      </c>
      <c r="AR14" s="2837">
        <f>SUM(AS14:AT14)</f>
        <v>271.14100000000002</v>
      </c>
      <c r="AS14" s="2837">
        <f>SUM(AS15:AS17)+AS22</f>
        <v>271.05700000000002</v>
      </c>
      <c r="AT14" s="2837">
        <f>SUM(AT15:AT22)</f>
        <v>8.4000000000000005E-2</v>
      </c>
      <c r="AU14" s="2837">
        <f>SUM(AV14:AW14)</f>
        <v>285.83499999999998</v>
      </c>
      <c r="AV14" s="2837">
        <f>SUM(AV15:AV17)+AV22</f>
        <v>285.76</v>
      </c>
      <c r="AW14" s="2837">
        <f>SUM(AW15:AW22)</f>
        <v>7.4999999999999997E-2</v>
      </c>
      <c r="AX14" s="2837">
        <f>SUM(AY14:AZ14)</f>
        <v>295.35500000000002</v>
      </c>
      <c r="AY14" s="2837">
        <f>SUM(AY15:AY17)+AY22</f>
        <v>295.33000000000004</v>
      </c>
      <c r="AZ14" s="2837">
        <f>SUM(AZ15:AZ22)</f>
        <v>2.5000000000000001E-2</v>
      </c>
      <c r="BA14" s="2837">
        <f>SUM(BB14:BC14)</f>
        <v>852.3309999999999</v>
      </c>
      <c r="BB14" s="2837">
        <f>SUM(BB15:BB17)+BB22</f>
        <v>852.14699999999993</v>
      </c>
      <c r="BC14" s="2837">
        <f>SUM(BC15:BC22)</f>
        <v>0.184</v>
      </c>
      <c r="BD14" s="2839">
        <f>SUM(BE14:BF14)</f>
        <v>2629.8298500000001</v>
      </c>
      <c r="BE14" s="2839">
        <f>SUM(BE15:BE17)+BE22</f>
        <v>2628.5025000000001</v>
      </c>
      <c r="BF14" s="2839">
        <f>SUM(BF15:BF22)</f>
        <v>1.32735</v>
      </c>
      <c r="BG14" s="2839">
        <f>SUM(BH14:BI14)</f>
        <v>2662.7433510000001</v>
      </c>
      <c r="BH14" s="2839">
        <f>SUM(BH15:BH17)+BH22</f>
        <v>2662.1453510000001</v>
      </c>
      <c r="BI14" s="2839">
        <f>SUM(BI15:BI22)</f>
        <v>0.59800000000000009</v>
      </c>
      <c r="BJ14" s="2839">
        <f>SUM(BK14:BL14)</f>
        <v>32.913501000000053</v>
      </c>
      <c r="BK14" s="2839">
        <f>SUM(BK15:BK17)+BK22</f>
        <v>33.64285100000005</v>
      </c>
      <c r="BL14" s="2839">
        <f>SUM(BL15:BL22)</f>
        <v>-0.72934999999999994</v>
      </c>
      <c r="BM14" s="2837">
        <f>SUM(BN14:BO14)</f>
        <v>876.60995000000003</v>
      </c>
      <c r="BN14" s="2837">
        <f>SUM(BN15:BN17)+BN22</f>
        <v>876.16750000000002</v>
      </c>
      <c r="BO14" s="2837">
        <f>SUM(BO15:BO22)</f>
        <v>0.44245000000000001</v>
      </c>
      <c r="BP14" s="2837">
        <f>SUM(BQ14:BR14)</f>
        <v>302.36200000000002</v>
      </c>
      <c r="BQ14" s="2837">
        <f>SUM(BQ15:BQ17)+BQ22</f>
        <v>302.33500000000004</v>
      </c>
      <c r="BR14" s="2837">
        <f>SUM(BR15:BR22)</f>
        <v>2.7E-2</v>
      </c>
      <c r="BS14" s="2837">
        <f>SUM(BT14:BU14)</f>
        <v>294.94000000000005</v>
      </c>
      <c r="BT14" s="2837">
        <f>SUM(BT15:BT17)+BT22</f>
        <v>294.86900000000003</v>
      </c>
      <c r="BU14" s="2837">
        <f>SUM(BU15:BU22)</f>
        <v>7.0999999999999994E-2</v>
      </c>
      <c r="BV14" s="2837">
        <f>SUM(BW14:BX14)</f>
        <v>303.15300000000002</v>
      </c>
      <c r="BW14" s="2837">
        <f>SUM(BW15:BW17)+BW22</f>
        <v>303.06700000000001</v>
      </c>
      <c r="BX14" s="2837">
        <f>SUM(BX15:BX22)</f>
        <v>8.5999999999999993E-2</v>
      </c>
      <c r="BY14" s="2837">
        <f>SUM(BZ14:CA14)</f>
        <v>900.45500000000004</v>
      </c>
      <c r="BZ14" s="2837">
        <f>SUM(BZ15:BZ17)+BZ22</f>
        <v>900.27100000000007</v>
      </c>
      <c r="CA14" s="2837">
        <f>SUM(CA15:CA22)</f>
        <v>0.184</v>
      </c>
      <c r="CB14" s="2839">
        <f>SUM(CC14:CD14)</f>
        <v>3506.4398000000001</v>
      </c>
      <c r="CC14" s="2839">
        <f>SUM(CC15:CC17)+CC22</f>
        <v>3504.67</v>
      </c>
      <c r="CD14" s="2839">
        <f>SUM(CD15:CD22)</f>
        <v>1.7698</v>
      </c>
      <c r="CE14" s="2839">
        <f>SUM(CF14:CG14)</f>
        <v>3563.198351</v>
      </c>
      <c r="CF14" s="2839">
        <f>SUM(CF15:CF17)+CF22</f>
        <v>3562.4163509999998</v>
      </c>
      <c r="CG14" s="2839">
        <f>SUM(CG15:CG22)</f>
        <v>0.78200000000000003</v>
      </c>
      <c r="CH14" s="2839">
        <f>SUM(CI14:CJ14)</f>
        <v>56.758551000000068</v>
      </c>
      <c r="CI14" s="2839">
        <f>SUM(CI15:CI17)+CI22</f>
        <v>57.746351000000068</v>
      </c>
      <c r="CJ14" s="2839">
        <f>SUM(CJ15:CJ22)</f>
        <v>-0.98780000000000001</v>
      </c>
      <c r="CK14" s="2841"/>
      <c r="CL14" s="4187">
        <f t="shared" si="3"/>
        <v>3506.4398000000001</v>
      </c>
      <c r="CM14" s="2831"/>
      <c r="CN14" s="2831"/>
    </row>
    <row r="15" spans="1:92" ht="18.75" customHeight="1" x14ac:dyDescent="0.2">
      <c r="A15" s="2842" t="s">
        <v>24</v>
      </c>
      <c r="B15" s="2845">
        <f t="shared" ref="B15:B21" si="38">SUM(C15:D15)</f>
        <v>593.505</v>
      </c>
      <c r="C15" s="2845">
        <f t="shared" ref="C15:C21" si="39">SUM(CC15/4)</f>
        <v>593.505</v>
      </c>
      <c r="D15" s="2845">
        <f t="shared" ref="D15:D21" si="40">SUM(CD15/4)</f>
        <v>0</v>
      </c>
      <c r="E15" s="2845">
        <f t="shared" ref="E15:E21" si="41">SUM(F15:G15)</f>
        <v>219.27500000000001</v>
      </c>
      <c r="F15" s="2852">
        <v>219.27500000000001</v>
      </c>
      <c r="G15" s="2852"/>
      <c r="H15" s="2845">
        <f t="shared" ref="H15:H21" si="42">SUM(I15:J15)</f>
        <v>205.98400000000001</v>
      </c>
      <c r="I15" s="2852">
        <v>205.98400000000001</v>
      </c>
      <c r="J15" s="2852"/>
      <c r="K15" s="2845">
        <f t="shared" ref="K15:K21" si="43">SUM(L15:M15)</f>
        <v>195.35599999999999</v>
      </c>
      <c r="L15" s="2852">
        <v>195.35599999999999</v>
      </c>
      <c r="M15" s="2852"/>
      <c r="N15" s="2845">
        <f t="shared" ref="N15:N21" si="44">SUM(O15:P15)</f>
        <v>620.61500000000001</v>
      </c>
      <c r="O15" s="2845">
        <f t="shared" ref="O15:P21" si="45">SUM(F15+I15+L15)</f>
        <v>620.61500000000001</v>
      </c>
      <c r="P15" s="2845">
        <f t="shared" si="45"/>
        <v>0</v>
      </c>
      <c r="Q15" s="2845">
        <f t="shared" ref="Q15:Q21" si="46">SUM(R15:S15)</f>
        <v>593.505</v>
      </c>
      <c r="R15" s="2845">
        <f t="shared" ref="R15:S17" si="47">SUM(CC15/4)</f>
        <v>593.505</v>
      </c>
      <c r="S15" s="2845">
        <f t="shared" si="47"/>
        <v>0</v>
      </c>
      <c r="T15" s="2845">
        <f t="shared" ref="T15:T21" si="48">SUM(U15:V15)</f>
        <v>211.23</v>
      </c>
      <c r="U15" s="2852">
        <v>211.23</v>
      </c>
      <c r="V15" s="2852"/>
      <c r="W15" s="2845">
        <f t="shared" ref="W15:W21" si="49">SUM(X15:Y15)</f>
        <v>205.26575500000001</v>
      </c>
      <c r="X15" s="2852">
        <v>205.26575500000001</v>
      </c>
      <c r="Y15" s="2852"/>
      <c r="Z15" s="2845">
        <f t="shared" ref="Z15:Z21" si="50">SUM(AA15:AB15)</f>
        <v>202.67400000000001</v>
      </c>
      <c r="AA15" s="2852">
        <v>202.67400000000001</v>
      </c>
      <c r="AB15" s="2852"/>
      <c r="AC15" s="2845">
        <f t="shared" ref="AC15:AC21" si="51">SUM(AD15:AE15)</f>
        <v>619.16975500000001</v>
      </c>
      <c r="AD15" s="2845">
        <f t="shared" ref="AD15:AE21" si="52">SUM(U15+X15+AA15)</f>
        <v>619.16975500000001</v>
      </c>
      <c r="AE15" s="2845">
        <f t="shared" si="52"/>
        <v>0</v>
      </c>
      <c r="AF15" s="2846">
        <f t="shared" ref="AF15:AF21" si="53">SUM(AG15:AH15)</f>
        <v>1187.01</v>
      </c>
      <c r="AG15" s="2846">
        <f t="shared" ref="AG15:AH21" si="54">SUM(C15+R15)</f>
        <v>1187.01</v>
      </c>
      <c r="AH15" s="2846">
        <f t="shared" si="54"/>
        <v>0</v>
      </c>
      <c r="AI15" s="2846">
        <f t="shared" ref="AI15:AI21" si="55">SUM(AJ15:AK15)</f>
        <v>1239.7847550000001</v>
      </c>
      <c r="AJ15" s="2846">
        <f t="shared" ref="AJ15:AK21" si="56">SUM(O15+AD15)</f>
        <v>1239.7847550000001</v>
      </c>
      <c r="AK15" s="2846">
        <f t="shared" si="56"/>
        <v>0</v>
      </c>
      <c r="AL15" s="2846">
        <f t="shared" ref="AL15:AL21" si="57">SUM(AM15:AN15)</f>
        <v>52.774755000000141</v>
      </c>
      <c r="AM15" s="2846">
        <f t="shared" ref="AM15:AN21" si="58">SUM(AJ15-AG15)</f>
        <v>52.774755000000141</v>
      </c>
      <c r="AN15" s="2846">
        <f t="shared" si="58"/>
        <v>0</v>
      </c>
      <c r="AO15" s="2845">
        <f t="shared" ref="AO15:AO21" si="59">SUM(AP15:AQ15)</f>
        <v>593.505</v>
      </c>
      <c r="AP15" s="2845">
        <f t="shared" ref="AP15:AQ17" si="60">SUM(CC15/4)</f>
        <v>593.505</v>
      </c>
      <c r="AQ15" s="2845">
        <f t="shared" si="60"/>
        <v>0</v>
      </c>
      <c r="AR15" s="2845">
        <f t="shared" ref="AR15:AR21" si="61">SUM(AS15:AT15)</f>
        <v>192.63300000000001</v>
      </c>
      <c r="AS15" s="2852">
        <v>192.63300000000001</v>
      </c>
      <c r="AT15" s="2852"/>
      <c r="AU15" s="2845">
        <f t="shared" ref="AU15:AU21" si="62">SUM(AV15:AW15)</f>
        <v>199.72399999999999</v>
      </c>
      <c r="AV15" s="2852">
        <v>199.72399999999999</v>
      </c>
      <c r="AW15" s="2852"/>
      <c r="AX15" s="2845">
        <f t="shared" ref="AX15:AX21" si="63">SUM(AY15:AZ15)</f>
        <v>193.387</v>
      </c>
      <c r="AY15" s="2852">
        <v>193.387</v>
      </c>
      <c r="AZ15" s="2852"/>
      <c r="BA15" s="2845">
        <f t="shared" ref="BA15:BA21" si="64">SUM(BB15:BC15)</f>
        <v>585.74399999999991</v>
      </c>
      <c r="BB15" s="2845">
        <f t="shared" ref="BB15:BC21" si="65">SUM(AS15+AV15+AY15)</f>
        <v>585.74399999999991</v>
      </c>
      <c r="BC15" s="2845">
        <f t="shared" si="65"/>
        <v>0</v>
      </c>
      <c r="BD15" s="2846">
        <f t="shared" ref="BD15:BD21" si="66">SUM(BE15:BF15)</f>
        <v>1780.5149999999999</v>
      </c>
      <c r="BE15" s="2846">
        <f t="shared" ref="BE15:BF17" si="67">SUM(AG15+AP15)</f>
        <v>1780.5149999999999</v>
      </c>
      <c r="BF15" s="2846">
        <f t="shared" si="67"/>
        <v>0</v>
      </c>
      <c r="BG15" s="2846">
        <f t="shared" ref="BG15:BG21" si="68">SUM(BH15:BI15)</f>
        <v>1825.528755</v>
      </c>
      <c r="BH15" s="2846">
        <f t="shared" ref="BH15:BI21" si="69">SUM(AJ15+BB15)</f>
        <v>1825.528755</v>
      </c>
      <c r="BI15" s="2846">
        <f t="shared" si="69"/>
        <v>0</v>
      </c>
      <c r="BJ15" s="2846">
        <f t="shared" ref="BJ15:BJ21" si="70">SUM(BK15:BL15)</f>
        <v>45.013755000000174</v>
      </c>
      <c r="BK15" s="2846">
        <f t="shared" ref="BK15:BL21" si="71">SUM(BH15-BE15)</f>
        <v>45.013755000000174</v>
      </c>
      <c r="BL15" s="2846">
        <f t="shared" si="71"/>
        <v>0</v>
      </c>
      <c r="BM15" s="2845">
        <f t="shared" ref="BM15:BM21" si="72">SUM(BN15:BO15)</f>
        <v>593.505</v>
      </c>
      <c r="BN15" s="2845">
        <f t="shared" ref="BN15:BO17" si="73">SUM(CC15/4)</f>
        <v>593.505</v>
      </c>
      <c r="BO15" s="2845">
        <f t="shared" si="73"/>
        <v>0</v>
      </c>
      <c r="BP15" s="2845">
        <f t="shared" ref="BP15:BP21" si="74">SUM(BQ15:BR15)</f>
        <v>204.25700000000001</v>
      </c>
      <c r="BQ15" s="2852">
        <v>204.25700000000001</v>
      </c>
      <c r="BR15" s="2852"/>
      <c r="BS15" s="2845">
        <f t="shared" ref="BS15:BS21" si="75">SUM(BT15:BU15)</f>
        <v>205.18600000000001</v>
      </c>
      <c r="BT15" s="2852">
        <v>205.18600000000001</v>
      </c>
      <c r="BU15" s="2852"/>
      <c r="BV15" s="2845">
        <f t="shared" ref="BV15:BV21" si="76">SUM(BW15:BX15)</f>
        <v>201.81100000000001</v>
      </c>
      <c r="BW15" s="2852">
        <v>201.81100000000001</v>
      </c>
      <c r="BX15" s="2852"/>
      <c r="BY15" s="2845">
        <f t="shared" ref="BY15:BY20" si="77">SUM(BZ15:CA15)</f>
        <v>611.25400000000002</v>
      </c>
      <c r="BZ15" s="2845">
        <f t="shared" ref="BZ15:CA21" si="78">SUM(BQ15+BT15+BW15)</f>
        <v>611.25400000000002</v>
      </c>
      <c r="CA15" s="2845">
        <f t="shared" si="78"/>
        <v>0</v>
      </c>
      <c r="CB15" s="2846">
        <f t="shared" ref="CB15:CB21" si="79">SUM(CC15:CD15)</f>
        <v>2374.02</v>
      </c>
      <c r="CC15" s="2846">
        <f>SUM(объемы!BN50)</f>
        <v>2374.02</v>
      </c>
      <c r="CD15" s="2846">
        <f>SUM(объемы!BO50)</f>
        <v>0</v>
      </c>
      <c r="CE15" s="2846">
        <f t="shared" ref="CE15:CE17" si="80">SUM(CF15:CG15)</f>
        <v>2436.7827550000002</v>
      </c>
      <c r="CF15" s="2846">
        <f t="shared" ref="CF15:CG17" si="81">SUM(BH15+BZ15)</f>
        <v>2436.7827550000002</v>
      </c>
      <c r="CG15" s="2846">
        <f t="shared" si="81"/>
        <v>0</v>
      </c>
      <c r="CH15" s="2846">
        <f t="shared" ref="CH15:CH17" si="82">SUM(CI15:CJ15)</f>
        <v>62.762755000000197</v>
      </c>
      <c r="CI15" s="2846">
        <f t="shared" ref="CI15:CJ17" si="83">SUM(CF15-CC15)</f>
        <v>62.762755000000197</v>
      </c>
      <c r="CJ15" s="2846">
        <f t="shared" si="83"/>
        <v>0</v>
      </c>
      <c r="CK15" s="2841"/>
      <c r="CL15" s="4187">
        <f t="shared" si="3"/>
        <v>2374.02</v>
      </c>
      <c r="CM15" s="2831"/>
      <c r="CN15" s="2831"/>
    </row>
    <row r="16" spans="1:92" ht="18.75" customHeight="1" x14ac:dyDescent="0.2">
      <c r="A16" s="2842" t="s">
        <v>3811</v>
      </c>
      <c r="B16" s="2845">
        <f t="shared" ref="B16" si="84">SUM(C16:D16)</f>
        <v>0</v>
      </c>
      <c r="C16" s="2845">
        <f t="shared" ref="C16" si="85">SUM(CC16/4)</f>
        <v>0</v>
      </c>
      <c r="D16" s="2845">
        <f t="shared" ref="D16" si="86">SUM(CD16/4)</f>
        <v>0</v>
      </c>
      <c r="E16" s="2845">
        <f>SUM(F16:G16)</f>
        <v>0.47</v>
      </c>
      <c r="F16" s="2852">
        <v>0.47</v>
      </c>
      <c r="G16" s="2852"/>
      <c r="H16" s="2845">
        <f>SUM(I16:J16)</f>
        <v>0.48</v>
      </c>
      <c r="I16" s="2852">
        <v>0.48</v>
      </c>
      <c r="J16" s="2852"/>
      <c r="K16" s="2845">
        <f>SUM(L16:M16)</f>
        <v>0.47099999999999997</v>
      </c>
      <c r="L16" s="2852">
        <v>0.47099999999999997</v>
      </c>
      <c r="M16" s="2852"/>
      <c r="N16" s="2845">
        <f t="shared" ref="N16" si="87">SUM(O16:P16)</f>
        <v>1.4209999999999998</v>
      </c>
      <c r="O16" s="2845">
        <f t="shared" ref="O16" si="88">SUM(F16+I16+L16)</f>
        <v>1.4209999999999998</v>
      </c>
      <c r="P16" s="2845">
        <f t="shared" ref="P16" si="89">SUM(G16+J16+M16)</f>
        <v>0</v>
      </c>
      <c r="Q16" s="2845">
        <f t="shared" ref="Q16" si="90">SUM(R16:S16)</f>
        <v>0</v>
      </c>
      <c r="R16" s="2845">
        <f t="shared" si="47"/>
        <v>0</v>
      </c>
      <c r="S16" s="2845">
        <f t="shared" si="47"/>
        <v>0</v>
      </c>
      <c r="T16" s="2845">
        <f>SUM(U16:V16)</f>
        <v>0.47499999999999998</v>
      </c>
      <c r="U16" s="2852">
        <v>0.47499999999999998</v>
      </c>
      <c r="V16" s="2852"/>
      <c r="W16" s="2845">
        <f>SUM(X16:Y16)</f>
        <v>0.47959600000000002</v>
      </c>
      <c r="X16" s="2852">
        <v>0.47959600000000002</v>
      </c>
      <c r="Y16" s="2852"/>
      <c r="Z16" s="2845">
        <f>SUM(AA16:AB16)</f>
        <v>0.47299999999999998</v>
      </c>
      <c r="AA16" s="2852">
        <v>0.47299999999999998</v>
      </c>
      <c r="AB16" s="2852"/>
      <c r="AC16" s="2845">
        <f t="shared" ref="AC16" si="91">SUM(AD16:AE16)</f>
        <v>1.4275959999999999</v>
      </c>
      <c r="AD16" s="2845">
        <f t="shared" ref="AD16" si="92">SUM(U16+X16+AA16)</f>
        <v>1.4275959999999999</v>
      </c>
      <c r="AE16" s="2845">
        <f t="shared" ref="AE16" si="93">SUM(V16+Y16+AB16)</f>
        <v>0</v>
      </c>
      <c r="AF16" s="2846">
        <f t="shared" ref="AF16" si="94">SUM(AG16:AH16)</f>
        <v>0</v>
      </c>
      <c r="AG16" s="2846">
        <f t="shared" ref="AG16" si="95">SUM(C16+R16)</f>
        <v>0</v>
      </c>
      <c r="AH16" s="2846">
        <f t="shared" ref="AH16" si="96">SUM(D16+S16)</f>
        <v>0</v>
      </c>
      <c r="AI16" s="2846">
        <f t="shared" ref="AI16" si="97">SUM(AJ16:AK16)</f>
        <v>2.8485959999999997</v>
      </c>
      <c r="AJ16" s="2846">
        <f t="shared" ref="AJ16" si="98">SUM(O16+AD16)</f>
        <v>2.8485959999999997</v>
      </c>
      <c r="AK16" s="2846">
        <f t="shared" ref="AK16" si="99">SUM(P16+AE16)</f>
        <v>0</v>
      </c>
      <c r="AL16" s="2846">
        <f t="shared" ref="AL16" si="100">SUM(AM16:AN16)</f>
        <v>2.8485959999999997</v>
      </c>
      <c r="AM16" s="2846">
        <f t="shared" ref="AM16" si="101">SUM(AJ16-AG16)</f>
        <v>2.8485959999999997</v>
      </c>
      <c r="AN16" s="2846">
        <f t="shared" ref="AN16" si="102">SUM(AK16-AH16)</f>
        <v>0</v>
      </c>
      <c r="AO16" s="2845">
        <f t="shared" ref="AO16" si="103">SUM(AP16:AQ16)</f>
        <v>0</v>
      </c>
      <c r="AP16" s="2845">
        <f t="shared" si="60"/>
        <v>0</v>
      </c>
      <c r="AQ16" s="2845">
        <f t="shared" si="60"/>
        <v>0</v>
      </c>
      <c r="AR16" s="2845">
        <f>SUM(AS16:AT16)</f>
        <v>0.504</v>
      </c>
      <c r="AS16" s="2852">
        <v>0.504</v>
      </c>
      <c r="AT16" s="2852"/>
      <c r="AU16" s="2845">
        <f>SUM(AV16:AW16)</f>
        <v>0.44800000000000001</v>
      </c>
      <c r="AV16" s="2852">
        <v>0.44800000000000001</v>
      </c>
      <c r="AW16" s="2852"/>
      <c r="AX16" s="2845">
        <f>SUM(AY16:AZ16)</f>
        <v>0.45400000000000001</v>
      </c>
      <c r="AY16" s="2852">
        <v>0.45400000000000001</v>
      </c>
      <c r="AZ16" s="2852"/>
      <c r="BA16" s="2845">
        <f t="shared" ref="BA16" si="104">SUM(BB16:BC16)</f>
        <v>1.4059999999999999</v>
      </c>
      <c r="BB16" s="2845">
        <f t="shared" ref="BB16" si="105">SUM(AS16+AV16+AY16)</f>
        <v>1.4059999999999999</v>
      </c>
      <c r="BC16" s="2845">
        <f t="shared" ref="BC16" si="106">SUM(AT16+AW16+AZ16)</f>
        <v>0</v>
      </c>
      <c r="BD16" s="2846">
        <f t="shared" ref="BD16" si="107">SUM(BE16:BF16)</f>
        <v>0</v>
      </c>
      <c r="BE16" s="2846">
        <f t="shared" si="67"/>
        <v>0</v>
      </c>
      <c r="BF16" s="2846">
        <f t="shared" si="67"/>
        <v>0</v>
      </c>
      <c r="BG16" s="2846">
        <f t="shared" ref="BG16" si="108">SUM(BH16:BI16)</f>
        <v>4.2545959999999994</v>
      </c>
      <c r="BH16" s="2846">
        <f t="shared" ref="BH16" si="109">SUM(AJ16+BB16)</f>
        <v>4.2545959999999994</v>
      </c>
      <c r="BI16" s="2846">
        <f t="shared" ref="BI16" si="110">SUM(AK16+BC16)</f>
        <v>0</v>
      </c>
      <c r="BJ16" s="2846">
        <f t="shared" ref="BJ16" si="111">SUM(BK16:BL16)</f>
        <v>4.2545959999999994</v>
      </c>
      <c r="BK16" s="2846">
        <f t="shared" ref="BK16" si="112">SUM(BH16-BE16)</f>
        <v>4.2545959999999994</v>
      </c>
      <c r="BL16" s="2846">
        <f t="shared" ref="BL16" si="113">SUM(BI16-BF16)</f>
        <v>0</v>
      </c>
      <c r="BM16" s="2845">
        <f t="shared" ref="BM16" si="114">SUM(BN16:BO16)</f>
        <v>0</v>
      </c>
      <c r="BN16" s="2845">
        <f t="shared" si="73"/>
        <v>0</v>
      </c>
      <c r="BO16" s="2845">
        <f t="shared" si="73"/>
        <v>0</v>
      </c>
      <c r="BP16" s="2845">
        <f>SUM(BQ16:BR16)</f>
        <v>0.441</v>
      </c>
      <c r="BQ16" s="2852">
        <v>0.441</v>
      </c>
      <c r="BR16" s="2852"/>
      <c r="BS16" s="2845">
        <f>SUM(BT16:BU16)</f>
        <v>0.54300000000000004</v>
      </c>
      <c r="BT16" s="2852">
        <v>0.54300000000000004</v>
      </c>
      <c r="BU16" s="2852"/>
      <c r="BV16" s="2845">
        <f>SUM(BW16:BX16)</f>
        <v>1.246</v>
      </c>
      <c r="BW16" s="2852">
        <v>1.246</v>
      </c>
      <c r="BX16" s="2852"/>
      <c r="BY16" s="2845">
        <f t="shared" ref="BY16" si="115">SUM(BZ16:CA16)</f>
        <v>2.23</v>
      </c>
      <c r="BZ16" s="2845">
        <f t="shared" ref="BZ16" si="116">SUM(BQ16+BT16+BW16)</f>
        <v>2.23</v>
      </c>
      <c r="CA16" s="2845">
        <f t="shared" ref="CA16" si="117">SUM(BR16+BU16+BX16)</f>
        <v>0</v>
      </c>
      <c r="CB16" s="2846">
        <f>SUM(CC16:CD16)</f>
        <v>0</v>
      </c>
      <c r="CC16" s="2846">
        <v>0</v>
      </c>
      <c r="CD16" s="2846">
        <v>0</v>
      </c>
      <c r="CE16" s="2846">
        <f t="shared" ref="CE16" si="118">SUM(CF16:CG16)</f>
        <v>6.4845959999999998</v>
      </c>
      <c r="CF16" s="2846">
        <f t="shared" ref="CF16" si="119">SUM(BH16+BZ16)</f>
        <v>6.4845959999999998</v>
      </c>
      <c r="CG16" s="2846">
        <f t="shared" ref="CG16" si="120">SUM(BI16+CA16)</f>
        <v>0</v>
      </c>
      <c r="CH16" s="2846">
        <f t="shared" ref="CH16" si="121">SUM(CI16:CJ16)</f>
        <v>6.4845959999999998</v>
      </c>
      <c r="CI16" s="2846">
        <f t="shared" ref="CI16" si="122">SUM(CF16-CC16)</f>
        <v>6.4845959999999998</v>
      </c>
      <c r="CJ16" s="2846">
        <f t="shared" ref="CJ16" si="123">SUM(CG16-CD16)</f>
        <v>0</v>
      </c>
      <c r="CK16" s="2841"/>
      <c r="CL16" s="4187">
        <f t="shared" si="3"/>
        <v>0</v>
      </c>
      <c r="CM16" s="2831"/>
      <c r="CN16" s="2831"/>
    </row>
    <row r="17" spans="1:92" ht="18.75" customHeight="1" x14ac:dyDescent="0.2">
      <c r="A17" s="2842" t="s">
        <v>3678</v>
      </c>
      <c r="B17" s="2845">
        <f t="shared" si="38"/>
        <v>214.98195000000001</v>
      </c>
      <c r="C17" s="2845">
        <f t="shared" si="39"/>
        <v>214.5395</v>
      </c>
      <c r="D17" s="2845">
        <f t="shared" si="40"/>
        <v>0.44245000000000001</v>
      </c>
      <c r="E17" s="2845">
        <f t="shared" si="41"/>
        <v>60.510999999999996</v>
      </c>
      <c r="F17" s="2852">
        <v>60.460999999999999</v>
      </c>
      <c r="G17" s="2852">
        <v>0.05</v>
      </c>
      <c r="H17" s="2845">
        <f t="shared" si="42"/>
        <v>75.629000000000005</v>
      </c>
      <c r="I17" s="2852">
        <v>75.613</v>
      </c>
      <c r="J17" s="2852">
        <v>1.6E-2</v>
      </c>
      <c r="K17" s="2845">
        <f t="shared" si="43"/>
        <v>70.626000000000005</v>
      </c>
      <c r="L17" s="2852">
        <v>70.603999999999999</v>
      </c>
      <c r="M17" s="2852">
        <v>2.1999999999999999E-2</v>
      </c>
      <c r="N17" s="2845">
        <f t="shared" si="44"/>
        <v>206.76599999999999</v>
      </c>
      <c r="O17" s="2845">
        <f t="shared" si="45"/>
        <v>206.678</v>
      </c>
      <c r="P17" s="2845">
        <f t="shared" si="45"/>
        <v>8.7999999999999995E-2</v>
      </c>
      <c r="Q17" s="2845">
        <f t="shared" si="46"/>
        <v>214.98195000000001</v>
      </c>
      <c r="R17" s="2845">
        <f t="shared" si="47"/>
        <v>214.5395</v>
      </c>
      <c r="S17" s="2845">
        <f t="shared" si="47"/>
        <v>0.44245000000000001</v>
      </c>
      <c r="T17" s="2845">
        <f t="shared" si="48"/>
        <v>74.539000000000001</v>
      </c>
      <c r="U17" s="2852">
        <v>74.385000000000005</v>
      </c>
      <c r="V17" s="2852">
        <v>0.154</v>
      </c>
      <c r="W17" s="2845">
        <f t="shared" si="49"/>
        <v>69.024999999999991</v>
      </c>
      <c r="X17" s="2852">
        <v>68.957999999999998</v>
      </c>
      <c r="Y17" s="2852">
        <v>6.7000000000000004E-2</v>
      </c>
      <c r="Z17" s="2845">
        <f t="shared" si="50"/>
        <v>73.551000000000002</v>
      </c>
      <c r="AA17" s="2852">
        <v>73.445999999999998</v>
      </c>
      <c r="AB17" s="2852">
        <v>0.105</v>
      </c>
      <c r="AC17" s="2845">
        <f t="shared" si="51"/>
        <v>217.11500000000001</v>
      </c>
      <c r="AD17" s="2845">
        <f t="shared" si="52"/>
        <v>216.78900000000002</v>
      </c>
      <c r="AE17" s="2845">
        <f t="shared" si="52"/>
        <v>0.32600000000000001</v>
      </c>
      <c r="AF17" s="2846">
        <f t="shared" si="53"/>
        <v>429.96390000000002</v>
      </c>
      <c r="AG17" s="2846">
        <f t="shared" si="54"/>
        <v>429.07900000000001</v>
      </c>
      <c r="AH17" s="2846">
        <f t="shared" si="54"/>
        <v>0.88490000000000002</v>
      </c>
      <c r="AI17" s="2846">
        <f t="shared" si="55"/>
        <v>423.88099999999997</v>
      </c>
      <c r="AJ17" s="2846">
        <f t="shared" si="56"/>
        <v>423.46699999999998</v>
      </c>
      <c r="AK17" s="2846">
        <f t="shared" si="56"/>
        <v>0.41400000000000003</v>
      </c>
      <c r="AL17" s="2846">
        <f t="shared" si="57"/>
        <v>-6.0829000000000235</v>
      </c>
      <c r="AM17" s="2846">
        <f t="shared" si="58"/>
        <v>-5.6120000000000232</v>
      </c>
      <c r="AN17" s="2846">
        <f t="shared" si="58"/>
        <v>-0.47089999999999999</v>
      </c>
      <c r="AO17" s="2845">
        <f t="shared" si="59"/>
        <v>214.98195000000001</v>
      </c>
      <c r="AP17" s="2845">
        <f t="shared" si="60"/>
        <v>214.5395</v>
      </c>
      <c r="AQ17" s="2845">
        <f t="shared" si="60"/>
        <v>0.44245000000000001</v>
      </c>
      <c r="AR17" s="2845">
        <f t="shared" si="61"/>
        <v>61.969000000000001</v>
      </c>
      <c r="AS17" s="2852">
        <v>61.884999999999998</v>
      </c>
      <c r="AT17" s="2852">
        <v>8.4000000000000005E-2</v>
      </c>
      <c r="AU17" s="2845">
        <f t="shared" si="62"/>
        <v>66.372</v>
      </c>
      <c r="AV17" s="2852">
        <v>66.296999999999997</v>
      </c>
      <c r="AW17" s="2852">
        <v>7.4999999999999997E-2</v>
      </c>
      <c r="AX17" s="2845">
        <f t="shared" si="63"/>
        <v>76.216000000000008</v>
      </c>
      <c r="AY17" s="2852">
        <v>76.191000000000003</v>
      </c>
      <c r="AZ17" s="2852">
        <v>2.5000000000000001E-2</v>
      </c>
      <c r="BA17" s="2845">
        <f t="shared" si="64"/>
        <v>204.55699999999999</v>
      </c>
      <c r="BB17" s="2845">
        <f t="shared" si="65"/>
        <v>204.37299999999999</v>
      </c>
      <c r="BC17" s="2845">
        <f t="shared" si="65"/>
        <v>0.184</v>
      </c>
      <c r="BD17" s="2846">
        <f t="shared" si="66"/>
        <v>644.94585000000006</v>
      </c>
      <c r="BE17" s="2846">
        <f t="shared" si="67"/>
        <v>643.61850000000004</v>
      </c>
      <c r="BF17" s="2846">
        <f t="shared" si="67"/>
        <v>1.32735</v>
      </c>
      <c r="BG17" s="2846">
        <f t="shared" si="68"/>
        <v>628.43799999999987</v>
      </c>
      <c r="BH17" s="2846">
        <f t="shared" si="69"/>
        <v>627.83999999999992</v>
      </c>
      <c r="BI17" s="2846">
        <f t="shared" si="69"/>
        <v>0.59800000000000009</v>
      </c>
      <c r="BJ17" s="2846">
        <f t="shared" si="70"/>
        <v>-16.507850000000122</v>
      </c>
      <c r="BK17" s="2846">
        <f t="shared" si="71"/>
        <v>-15.778500000000122</v>
      </c>
      <c r="BL17" s="2846">
        <f t="shared" si="71"/>
        <v>-0.72934999999999994</v>
      </c>
      <c r="BM17" s="2845">
        <f t="shared" si="72"/>
        <v>214.98195000000001</v>
      </c>
      <c r="BN17" s="2845">
        <f t="shared" si="73"/>
        <v>214.5395</v>
      </c>
      <c r="BO17" s="2845">
        <f t="shared" si="73"/>
        <v>0.44245000000000001</v>
      </c>
      <c r="BP17" s="2845">
        <f t="shared" si="74"/>
        <v>73.271000000000001</v>
      </c>
      <c r="BQ17" s="2852">
        <v>73.244</v>
      </c>
      <c r="BR17" s="2852">
        <v>2.7E-2</v>
      </c>
      <c r="BS17" s="2845">
        <f t="shared" si="75"/>
        <v>63.855999999999995</v>
      </c>
      <c r="BT17" s="2852">
        <v>63.784999999999997</v>
      </c>
      <c r="BU17" s="2852">
        <v>7.0999999999999994E-2</v>
      </c>
      <c r="BV17" s="2845">
        <f t="shared" si="76"/>
        <v>76.539999999999992</v>
      </c>
      <c r="BW17" s="2852">
        <v>76.453999999999994</v>
      </c>
      <c r="BX17" s="2852">
        <v>8.5999999999999993E-2</v>
      </c>
      <c r="BY17" s="2845">
        <f t="shared" si="77"/>
        <v>213.667</v>
      </c>
      <c r="BZ17" s="2845">
        <f t="shared" si="78"/>
        <v>213.483</v>
      </c>
      <c r="CA17" s="2845">
        <f t="shared" si="78"/>
        <v>0.184</v>
      </c>
      <c r="CB17" s="2846">
        <f t="shared" si="79"/>
        <v>859.92780000000005</v>
      </c>
      <c r="CC17" s="2846">
        <f>SUM(объемы!BN52)</f>
        <v>858.15800000000002</v>
      </c>
      <c r="CD17" s="2846">
        <f>SUM(объемы!BO51)</f>
        <v>1.7698</v>
      </c>
      <c r="CE17" s="2846">
        <f t="shared" si="80"/>
        <v>842.1049999999999</v>
      </c>
      <c r="CF17" s="2846">
        <f t="shared" si="81"/>
        <v>841.32299999999987</v>
      </c>
      <c r="CG17" s="2846">
        <f t="shared" si="81"/>
        <v>0.78200000000000003</v>
      </c>
      <c r="CH17" s="2846">
        <f t="shared" si="82"/>
        <v>-17.82280000000015</v>
      </c>
      <c r="CI17" s="2846">
        <f t="shared" si="83"/>
        <v>-16.83500000000015</v>
      </c>
      <c r="CJ17" s="2846">
        <f t="shared" si="83"/>
        <v>-0.98780000000000001</v>
      </c>
      <c r="CK17" s="2841"/>
      <c r="CL17" s="4187">
        <f t="shared" si="3"/>
        <v>859.92780000000005</v>
      </c>
      <c r="CM17" s="2831"/>
      <c r="CN17" s="2831"/>
    </row>
    <row r="18" spans="1:92" ht="18.75" customHeight="1" x14ac:dyDescent="0.2">
      <c r="A18" s="2882" t="s">
        <v>3679</v>
      </c>
      <c r="B18" s="2853">
        <f t="shared" si="38"/>
        <v>72.080999999999989</v>
      </c>
      <c r="C18" s="2853">
        <f t="shared" si="39"/>
        <v>72.080999999999989</v>
      </c>
      <c r="D18" s="2853">
        <f t="shared" si="40"/>
        <v>0</v>
      </c>
      <c r="E18" s="2853">
        <f t="shared" si="41"/>
        <v>15.18</v>
      </c>
      <c r="F18" s="2853">
        <f>SUM(F19:F21)</f>
        <v>15.18</v>
      </c>
      <c r="G18" s="2853">
        <f>SUM(G19:G21)</f>
        <v>0</v>
      </c>
      <c r="H18" s="2853">
        <f t="shared" si="42"/>
        <v>31.128</v>
      </c>
      <c r="I18" s="2853">
        <f>SUM(I19:I21)</f>
        <v>31.128</v>
      </c>
      <c r="J18" s="2853">
        <f>SUM(J19:J21)</f>
        <v>0</v>
      </c>
      <c r="K18" s="2853">
        <f t="shared" si="43"/>
        <v>22.718</v>
      </c>
      <c r="L18" s="2853">
        <f>SUM(L19:L21)</f>
        <v>22.718</v>
      </c>
      <c r="M18" s="2853">
        <f>SUM(M19:M21)</f>
        <v>0</v>
      </c>
      <c r="N18" s="2854">
        <f t="shared" si="44"/>
        <v>69.025999999999996</v>
      </c>
      <c r="O18" s="2854">
        <f t="shared" si="45"/>
        <v>69.025999999999996</v>
      </c>
      <c r="P18" s="2854">
        <f t="shared" si="45"/>
        <v>0</v>
      </c>
      <c r="Q18" s="2853">
        <f t="shared" si="46"/>
        <v>72.080999999999989</v>
      </c>
      <c r="R18" s="2853">
        <f t="shared" ref="R18:R21" si="124">SUM(CC18/4)</f>
        <v>72.080999999999989</v>
      </c>
      <c r="S18" s="2853">
        <f t="shared" ref="S18:S21" si="125">SUM(CD18/4)</f>
        <v>0</v>
      </c>
      <c r="T18" s="2853">
        <f t="shared" si="48"/>
        <v>26.269000000000002</v>
      </c>
      <c r="U18" s="2853">
        <f>SUM(U19:U21)</f>
        <v>26.269000000000002</v>
      </c>
      <c r="V18" s="2853">
        <f>SUM(V19:V21)</f>
        <v>0</v>
      </c>
      <c r="W18" s="2853">
        <f t="shared" si="49"/>
        <v>23.625</v>
      </c>
      <c r="X18" s="2853">
        <f>SUM(X19:X21)</f>
        <v>23.625</v>
      </c>
      <c r="Y18" s="2853">
        <f>SUM(Y19:Y21)</f>
        <v>0</v>
      </c>
      <c r="Z18" s="2853">
        <f t="shared" si="50"/>
        <v>25.256</v>
      </c>
      <c r="AA18" s="2853">
        <f>SUM(AA19:AA21)</f>
        <v>25.256</v>
      </c>
      <c r="AB18" s="2853">
        <f>SUM(AB19:AB21)</f>
        <v>0</v>
      </c>
      <c r="AC18" s="2853">
        <f t="shared" si="51"/>
        <v>75.150000000000006</v>
      </c>
      <c r="AD18" s="2854">
        <f t="shared" si="52"/>
        <v>75.150000000000006</v>
      </c>
      <c r="AE18" s="2854">
        <f t="shared" si="52"/>
        <v>0</v>
      </c>
      <c r="AF18" s="2856">
        <f t="shared" si="53"/>
        <v>144.16199999999998</v>
      </c>
      <c r="AG18" s="2856">
        <f t="shared" si="54"/>
        <v>144.16199999999998</v>
      </c>
      <c r="AH18" s="2856">
        <f t="shared" si="54"/>
        <v>0</v>
      </c>
      <c r="AI18" s="2856">
        <f t="shared" si="55"/>
        <v>144.17599999999999</v>
      </c>
      <c r="AJ18" s="2856">
        <f t="shared" si="56"/>
        <v>144.17599999999999</v>
      </c>
      <c r="AK18" s="2856">
        <f t="shared" si="56"/>
        <v>0</v>
      </c>
      <c r="AL18" s="2851">
        <f t="shared" si="57"/>
        <v>1.4000000000010004E-2</v>
      </c>
      <c r="AM18" s="2851">
        <f t="shared" si="58"/>
        <v>1.4000000000010004E-2</v>
      </c>
      <c r="AN18" s="2851">
        <f t="shared" si="58"/>
        <v>0</v>
      </c>
      <c r="AO18" s="2853">
        <f t="shared" si="59"/>
        <v>72.080999999999989</v>
      </c>
      <c r="AP18" s="2853">
        <f t="shared" ref="AP18:AP21" si="126">SUM(CC18/4)</f>
        <v>72.080999999999989</v>
      </c>
      <c r="AQ18" s="2853">
        <f t="shared" ref="AQ18:AQ21" si="127">SUM(CD18/4)</f>
        <v>0</v>
      </c>
      <c r="AR18" s="2853">
        <f t="shared" si="61"/>
        <v>17.791</v>
      </c>
      <c r="AS18" s="2853">
        <f>SUM(AS19:AS21)</f>
        <v>17.791</v>
      </c>
      <c r="AT18" s="2853">
        <f>SUM(AT19:AT21)</f>
        <v>0</v>
      </c>
      <c r="AU18" s="2853">
        <f t="shared" si="62"/>
        <v>23.838000000000001</v>
      </c>
      <c r="AV18" s="2853">
        <f>SUM(AV19:AV21)</f>
        <v>23.838000000000001</v>
      </c>
      <c r="AW18" s="2853">
        <f>SUM(AW19:AW21)</f>
        <v>0</v>
      </c>
      <c r="AX18" s="2853">
        <f t="shared" si="63"/>
        <v>23.367999999999999</v>
      </c>
      <c r="AY18" s="2853">
        <f>SUM(AY19:AY21)</f>
        <v>23.367999999999999</v>
      </c>
      <c r="AZ18" s="2853">
        <f>SUM(AZ19:AZ21)</f>
        <v>0</v>
      </c>
      <c r="BA18" s="2854">
        <f t="shared" si="64"/>
        <v>64.997</v>
      </c>
      <c r="BB18" s="2854">
        <f t="shared" si="65"/>
        <v>64.997</v>
      </c>
      <c r="BC18" s="2854">
        <f t="shared" si="65"/>
        <v>0</v>
      </c>
      <c r="BD18" s="2856">
        <f t="shared" si="66"/>
        <v>216.24299999999997</v>
      </c>
      <c r="BE18" s="2856">
        <f t="shared" ref="BE18:BE21" si="128">SUM(AG18+AP18)</f>
        <v>216.24299999999997</v>
      </c>
      <c r="BF18" s="2856">
        <f t="shared" ref="BF18:BF21" si="129">SUM(AH18+AQ18)</f>
        <v>0</v>
      </c>
      <c r="BG18" s="2851">
        <f t="shared" si="68"/>
        <v>209.173</v>
      </c>
      <c r="BH18" s="2851">
        <f t="shared" si="69"/>
        <v>209.173</v>
      </c>
      <c r="BI18" s="2851">
        <f t="shared" si="69"/>
        <v>0</v>
      </c>
      <c r="BJ18" s="2851">
        <f t="shared" si="70"/>
        <v>-7.0699999999999648</v>
      </c>
      <c r="BK18" s="2851">
        <f t="shared" si="71"/>
        <v>-7.0699999999999648</v>
      </c>
      <c r="BL18" s="2851">
        <f t="shared" si="71"/>
        <v>0</v>
      </c>
      <c r="BM18" s="2853">
        <f t="shared" si="72"/>
        <v>72.080999999999989</v>
      </c>
      <c r="BN18" s="2853">
        <f t="shared" ref="BN18:BN21" si="130">SUM(CC18/4)</f>
        <v>72.080999999999989</v>
      </c>
      <c r="BO18" s="2853">
        <f t="shared" ref="BO18:BO21" si="131">SUM(CD18/4)</f>
        <v>0</v>
      </c>
      <c r="BP18" s="2853">
        <f t="shared" si="74"/>
        <v>27.381999999999998</v>
      </c>
      <c r="BQ18" s="2853">
        <f>SUM(BQ19:BQ21)</f>
        <v>27.381999999999998</v>
      </c>
      <c r="BR18" s="2853">
        <f>SUM(BR19:BR21)</f>
        <v>0</v>
      </c>
      <c r="BS18" s="2853">
        <f t="shared" si="75"/>
        <v>21.622</v>
      </c>
      <c r="BT18" s="2853">
        <f>SUM(BT19:BT21)</f>
        <v>21.622</v>
      </c>
      <c r="BU18" s="2853">
        <f>SUM(BU19:BU21)</f>
        <v>0</v>
      </c>
      <c r="BV18" s="2853">
        <f t="shared" si="76"/>
        <v>30.513000000000002</v>
      </c>
      <c r="BW18" s="2853">
        <f>SUM(BW19:BW21)</f>
        <v>30.513000000000002</v>
      </c>
      <c r="BX18" s="2853">
        <f>SUM(BX19:BX21)</f>
        <v>0</v>
      </c>
      <c r="BY18" s="2854">
        <f t="shared" si="77"/>
        <v>79.516999999999996</v>
      </c>
      <c r="BZ18" s="2854">
        <f t="shared" si="78"/>
        <v>79.516999999999996</v>
      </c>
      <c r="CA18" s="2854">
        <f t="shared" si="78"/>
        <v>0</v>
      </c>
      <c r="CB18" s="2856">
        <f t="shared" ref="CB18" si="132">SUM(CC18:CD18)</f>
        <v>288.32399999999996</v>
      </c>
      <c r="CC18" s="2856">
        <f>SUM(объемы!BN53)</f>
        <v>288.32399999999996</v>
      </c>
      <c r="CD18" s="2856">
        <f>SUM(объемы!BO52)</f>
        <v>0</v>
      </c>
      <c r="CE18" s="2856">
        <f t="shared" ref="CE18:CE21" si="133">SUM(CF18:CG18)</f>
        <v>288.69</v>
      </c>
      <c r="CF18" s="2856">
        <f t="shared" ref="CF18:CF21" si="134">SUM(BH18+BZ18)</f>
        <v>288.69</v>
      </c>
      <c r="CG18" s="2856">
        <f t="shared" ref="CG18:CG21" si="135">SUM(BI18+CA18)</f>
        <v>0</v>
      </c>
      <c r="CH18" s="2851">
        <f t="shared" ref="CH18:CH21" si="136">SUM(CI18:CJ18)</f>
        <v>0.36600000000004229</v>
      </c>
      <c r="CI18" s="2851">
        <f t="shared" ref="CI18:CI21" si="137">SUM(CF18-CC18)</f>
        <v>0.36600000000004229</v>
      </c>
      <c r="CJ18" s="2851">
        <f t="shared" ref="CJ18:CJ21" si="138">SUM(CG18-CD18)</f>
        <v>0</v>
      </c>
      <c r="CK18" s="2841"/>
      <c r="CL18" s="4187">
        <f t="shared" si="3"/>
        <v>288.32399999999996</v>
      </c>
      <c r="CM18" s="2831"/>
      <c r="CN18" s="2831"/>
    </row>
    <row r="19" spans="1:92" ht="18.75" customHeight="1" x14ac:dyDescent="0.2">
      <c r="A19" s="3057" t="s">
        <v>3681</v>
      </c>
      <c r="B19" s="2853">
        <f t="shared" si="38"/>
        <v>27.606999999999999</v>
      </c>
      <c r="C19" s="2853">
        <f t="shared" si="39"/>
        <v>27.606999999999999</v>
      </c>
      <c r="D19" s="2853">
        <f t="shared" si="40"/>
        <v>0</v>
      </c>
      <c r="E19" s="2853">
        <f t="shared" si="41"/>
        <v>1.8420000000000001</v>
      </c>
      <c r="F19" s="3051">
        <v>1.8420000000000001</v>
      </c>
      <c r="G19" s="3051"/>
      <c r="H19" s="2853">
        <f t="shared" si="42"/>
        <v>15.492000000000001</v>
      </c>
      <c r="I19" s="3051">
        <v>15.492000000000001</v>
      </c>
      <c r="J19" s="3051"/>
      <c r="K19" s="2853">
        <f t="shared" si="43"/>
        <v>8.593</v>
      </c>
      <c r="L19" s="3051">
        <v>8.593</v>
      </c>
      <c r="M19" s="3051"/>
      <c r="N19" s="2853">
        <f t="shared" si="44"/>
        <v>25.927</v>
      </c>
      <c r="O19" s="2854">
        <f t="shared" si="45"/>
        <v>25.927</v>
      </c>
      <c r="P19" s="2854">
        <f t="shared" si="45"/>
        <v>0</v>
      </c>
      <c r="Q19" s="2853">
        <f t="shared" si="46"/>
        <v>27.606999999999999</v>
      </c>
      <c r="R19" s="2853">
        <f t="shared" si="124"/>
        <v>27.606999999999999</v>
      </c>
      <c r="S19" s="2853">
        <f t="shared" si="125"/>
        <v>0</v>
      </c>
      <c r="T19" s="2853">
        <f t="shared" si="48"/>
        <v>9.5</v>
      </c>
      <c r="U19" s="3051">
        <v>9.5</v>
      </c>
      <c r="V19" s="3051"/>
      <c r="W19" s="2853">
        <f t="shared" si="49"/>
        <v>7.9059999999999997</v>
      </c>
      <c r="X19" s="3051">
        <v>7.9059999999999997</v>
      </c>
      <c r="Y19" s="3051"/>
      <c r="Z19" s="2853">
        <f t="shared" si="50"/>
        <v>7.88</v>
      </c>
      <c r="AA19" s="3051">
        <v>7.88</v>
      </c>
      <c r="AB19" s="3051"/>
      <c r="AC19" s="2854">
        <f t="shared" si="51"/>
        <v>25.285999999999998</v>
      </c>
      <c r="AD19" s="2853">
        <f t="shared" si="52"/>
        <v>25.285999999999998</v>
      </c>
      <c r="AE19" s="2854">
        <f t="shared" si="52"/>
        <v>0</v>
      </c>
      <c r="AF19" s="2856">
        <f t="shared" si="53"/>
        <v>55.213999999999999</v>
      </c>
      <c r="AG19" s="2856">
        <f t="shared" si="54"/>
        <v>55.213999999999999</v>
      </c>
      <c r="AH19" s="2856">
        <f t="shared" si="54"/>
        <v>0</v>
      </c>
      <c r="AI19" s="2856">
        <f t="shared" si="55"/>
        <v>51.212999999999994</v>
      </c>
      <c r="AJ19" s="2856">
        <f t="shared" si="56"/>
        <v>51.212999999999994</v>
      </c>
      <c r="AK19" s="2856">
        <f t="shared" si="56"/>
        <v>0</v>
      </c>
      <c r="AL19" s="2851">
        <f t="shared" si="57"/>
        <v>-4.0010000000000048</v>
      </c>
      <c r="AM19" s="2851">
        <f t="shared" si="58"/>
        <v>-4.0010000000000048</v>
      </c>
      <c r="AN19" s="2851">
        <f t="shared" si="58"/>
        <v>0</v>
      </c>
      <c r="AO19" s="2853">
        <f t="shared" si="59"/>
        <v>27.606999999999999</v>
      </c>
      <c r="AP19" s="2853">
        <f t="shared" si="126"/>
        <v>27.606999999999999</v>
      </c>
      <c r="AQ19" s="2853">
        <f t="shared" si="127"/>
        <v>0</v>
      </c>
      <c r="AR19" s="2853">
        <f t="shared" si="61"/>
        <v>7.2140000000000004</v>
      </c>
      <c r="AS19" s="3051">
        <v>7.2140000000000004</v>
      </c>
      <c r="AT19" s="3051"/>
      <c r="AU19" s="2853">
        <f t="shared" si="62"/>
        <v>6.7480000000000002</v>
      </c>
      <c r="AV19" s="3051">
        <v>6.7480000000000002</v>
      </c>
      <c r="AW19" s="3051"/>
      <c r="AX19" s="2853">
        <f t="shared" si="63"/>
        <v>8.2460000000000004</v>
      </c>
      <c r="AY19" s="3051">
        <v>8.2460000000000004</v>
      </c>
      <c r="AZ19" s="3051"/>
      <c r="BA19" s="2854">
        <f t="shared" si="64"/>
        <v>22.207999999999998</v>
      </c>
      <c r="BB19" s="2854">
        <f t="shared" si="65"/>
        <v>22.207999999999998</v>
      </c>
      <c r="BC19" s="2854">
        <f t="shared" si="65"/>
        <v>0</v>
      </c>
      <c r="BD19" s="2856">
        <f t="shared" si="66"/>
        <v>82.820999999999998</v>
      </c>
      <c r="BE19" s="2856">
        <f t="shared" si="128"/>
        <v>82.820999999999998</v>
      </c>
      <c r="BF19" s="2856">
        <f t="shared" si="129"/>
        <v>0</v>
      </c>
      <c r="BG19" s="2851">
        <f t="shared" si="68"/>
        <v>73.420999999999992</v>
      </c>
      <c r="BH19" s="2856">
        <f t="shared" si="69"/>
        <v>73.420999999999992</v>
      </c>
      <c r="BI19" s="2851">
        <f t="shared" si="69"/>
        <v>0</v>
      </c>
      <c r="BJ19" s="2851">
        <f t="shared" si="70"/>
        <v>-9.4000000000000057</v>
      </c>
      <c r="BK19" s="2851">
        <f t="shared" si="71"/>
        <v>-9.4000000000000057</v>
      </c>
      <c r="BL19" s="2851">
        <f t="shared" si="71"/>
        <v>0</v>
      </c>
      <c r="BM19" s="2853">
        <f t="shared" si="72"/>
        <v>27.606999999999999</v>
      </c>
      <c r="BN19" s="2853">
        <f t="shared" si="130"/>
        <v>27.606999999999999</v>
      </c>
      <c r="BO19" s="2853">
        <f t="shared" si="131"/>
        <v>0</v>
      </c>
      <c r="BP19" s="2853">
        <f t="shared" si="74"/>
        <v>9.5169999999999995</v>
      </c>
      <c r="BQ19" s="3051">
        <v>9.5169999999999995</v>
      </c>
      <c r="BR19" s="3051"/>
      <c r="BS19" s="2853">
        <f t="shared" si="75"/>
        <v>9.6020000000000003</v>
      </c>
      <c r="BT19" s="3051">
        <v>9.6020000000000003</v>
      </c>
      <c r="BU19" s="3051"/>
      <c r="BV19" s="2853">
        <f t="shared" si="76"/>
        <v>12.736000000000001</v>
      </c>
      <c r="BW19" s="3051">
        <v>12.736000000000001</v>
      </c>
      <c r="BX19" s="3051"/>
      <c r="BY19" s="2854">
        <f t="shared" si="77"/>
        <v>31.855</v>
      </c>
      <c r="BZ19" s="2854">
        <f t="shared" si="78"/>
        <v>31.855</v>
      </c>
      <c r="CA19" s="2854">
        <f t="shared" si="78"/>
        <v>0</v>
      </c>
      <c r="CB19" s="2856">
        <f t="shared" si="79"/>
        <v>110.428</v>
      </c>
      <c r="CC19" s="2856">
        <f>SUM(объемы!BN54)</f>
        <v>110.428</v>
      </c>
      <c r="CD19" s="2856">
        <f>SUM(объемы!BO53)</f>
        <v>0</v>
      </c>
      <c r="CE19" s="2856">
        <f t="shared" si="133"/>
        <v>105.276</v>
      </c>
      <c r="CF19" s="2856">
        <f t="shared" si="134"/>
        <v>105.276</v>
      </c>
      <c r="CG19" s="2856">
        <f t="shared" si="135"/>
        <v>0</v>
      </c>
      <c r="CH19" s="2851">
        <f t="shared" si="136"/>
        <v>-5.152000000000001</v>
      </c>
      <c r="CI19" s="2851">
        <f t="shared" si="137"/>
        <v>-5.152000000000001</v>
      </c>
      <c r="CJ19" s="2851">
        <f t="shared" si="138"/>
        <v>0</v>
      </c>
      <c r="CK19" s="2841"/>
      <c r="CL19" s="4187">
        <f t="shared" si="3"/>
        <v>110.428</v>
      </c>
      <c r="CM19" s="2831"/>
      <c r="CN19" s="2831"/>
    </row>
    <row r="20" spans="1:92" ht="18.75" customHeight="1" x14ac:dyDescent="0.2">
      <c r="A20" s="3057" t="s">
        <v>3680</v>
      </c>
      <c r="B20" s="2853">
        <f t="shared" si="38"/>
        <v>21.263999999999999</v>
      </c>
      <c r="C20" s="2853">
        <f t="shared" si="39"/>
        <v>21.263999999999999</v>
      </c>
      <c r="D20" s="2853">
        <f t="shared" si="40"/>
        <v>0</v>
      </c>
      <c r="E20" s="2853">
        <f t="shared" si="41"/>
        <v>7.6959999999999997</v>
      </c>
      <c r="F20" s="3051">
        <v>7.6959999999999997</v>
      </c>
      <c r="G20" s="3051"/>
      <c r="H20" s="2853">
        <f t="shared" si="42"/>
        <v>8.0289999999999999</v>
      </c>
      <c r="I20" s="3051">
        <v>8.0289999999999999</v>
      </c>
      <c r="J20" s="3051"/>
      <c r="K20" s="2853">
        <f t="shared" si="43"/>
        <v>7.4649999999999999</v>
      </c>
      <c r="L20" s="3051">
        <v>7.4649999999999999</v>
      </c>
      <c r="M20" s="3051"/>
      <c r="N20" s="2854">
        <f t="shared" si="44"/>
        <v>23.189999999999998</v>
      </c>
      <c r="O20" s="2853">
        <f t="shared" si="45"/>
        <v>23.189999999999998</v>
      </c>
      <c r="P20" s="2854">
        <f t="shared" si="45"/>
        <v>0</v>
      </c>
      <c r="Q20" s="2853">
        <f t="shared" si="46"/>
        <v>21.263999999999999</v>
      </c>
      <c r="R20" s="2853">
        <f t="shared" si="124"/>
        <v>21.263999999999999</v>
      </c>
      <c r="S20" s="2853">
        <f t="shared" si="125"/>
        <v>0</v>
      </c>
      <c r="T20" s="2853">
        <f t="shared" si="48"/>
        <v>8.673</v>
      </c>
      <c r="U20" s="3051">
        <v>8.673</v>
      </c>
      <c r="V20" s="3051"/>
      <c r="W20" s="2853">
        <f t="shared" si="49"/>
        <v>8.6310000000000002</v>
      </c>
      <c r="X20" s="3051">
        <v>8.6310000000000002</v>
      </c>
      <c r="Y20" s="3051"/>
      <c r="Z20" s="2853">
        <f t="shared" si="50"/>
        <v>10.673999999999999</v>
      </c>
      <c r="AA20" s="3051">
        <v>10.673999999999999</v>
      </c>
      <c r="AB20" s="3051"/>
      <c r="AC20" s="2854">
        <f t="shared" si="51"/>
        <v>27.978000000000002</v>
      </c>
      <c r="AD20" s="2853">
        <f t="shared" si="52"/>
        <v>27.978000000000002</v>
      </c>
      <c r="AE20" s="2854">
        <f t="shared" si="52"/>
        <v>0</v>
      </c>
      <c r="AF20" s="2856">
        <f t="shared" si="53"/>
        <v>42.527999999999999</v>
      </c>
      <c r="AG20" s="2856">
        <f t="shared" si="54"/>
        <v>42.527999999999999</v>
      </c>
      <c r="AH20" s="2856">
        <f t="shared" si="54"/>
        <v>0</v>
      </c>
      <c r="AI20" s="2856">
        <f t="shared" si="55"/>
        <v>51.167999999999999</v>
      </c>
      <c r="AJ20" s="2856">
        <f t="shared" si="56"/>
        <v>51.167999999999999</v>
      </c>
      <c r="AK20" s="2856">
        <f t="shared" si="56"/>
        <v>0</v>
      </c>
      <c r="AL20" s="2851">
        <f t="shared" si="57"/>
        <v>8.64</v>
      </c>
      <c r="AM20" s="2851">
        <f t="shared" si="58"/>
        <v>8.64</v>
      </c>
      <c r="AN20" s="2851">
        <f t="shared" si="58"/>
        <v>0</v>
      </c>
      <c r="AO20" s="2853">
        <f t="shared" si="59"/>
        <v>21.263999999999999</v>
      </c>
      <c r="AP20" s="2853">
        <f t="shared" si="126"/>
        <v>21.263999999999999</v>
      </c>
      <c r="AQ20" s="2853">
        <f t="shared" si="127"/>
        <v>0</v>
      </c>
      <c r="AR20" s="2853">
        <f t="shared" si="61"/>
        <v>6.4980000000000002</v>
      </c>
      <c r="AS20" s="3051">
        <v>6.4980000000000002</v>
      </c>
      <c r="AT20" s="3051"/>
      <c r="AU20" s="2853">
        <f t="shared" si="62"/>
        <v>13.285</v>
      </c>
      <c r="AV20" s="3051">
        <v>13.285</v>
      </c>
      <c r="AW20" s="3051"/>
      <c r="AX20" s="2853">
        <f t="shared" si="63"/>
        <v>10.419</v>
      </c>
      <c r="AY20" s="3051">
        <v>10.419</v>
      </c>
      <c r="AZ20" s="3051"/>
      <c r="BA20" s="2854">
        <f t="shared" si="64"/>
        <v>30.202000000000002</v>
      </c>
      <c r="BB20" s="2854">
        <f t="shared" si="65"/>
        <v>30.202000000000002</v>
      </c>
      <c r="BC20" s="2854">
        <f t="shared" si="65"/>
        <v>0</v>
      </c>
      <c r="BD20" s="2856">
        <f t="shared" si="66"/>
        <v>63.792000000000002</v>
      </c>
      <c r="BE20" s="2856">
        <f t="shared" si="128"/>
        <v>63.792000000000002</v>
      </c>
      <c r="BF20" s="2856">
        <f t="shared" si="129"/>
        <v>0</v>
      </c>
      <c r="BG20" s="2851">
        <f t="shared" si="68"/>
        <v>81.37</v>
      </c>
      <c r="BH20" s="2856">
        <f t="shared" si="69"/>
        <v>81.37</v>
      </c>
      <c r="BI20" s="2851">
        <f t="shared" si="69"/>
        <v>0</v>
      </c>
      <c r="BJ20" s="2851">
        <f t="shared" si="70"/>
        <v>17.578000000000003</v>
      </c>
      <c r="BK20" s="2851">
        <f t="shared" si="71"/>
        <v>17.578000000000003</v>
      </c>
      <c r="BL20" s="2851">
        <f t="shared" si="71"/>
        <v>0</v>
      </c>
      <c r="BM20" s="2853">
        <f t="shared" si="72"/>
        <v>21.263999999999999</v>
      </c>
      <c r="BN20" s="2853">
        <f t="shared" si="130"/>
        <v>21.263999999999999</v>
      </c>
      <c r="BO20" s="2853">
        <f t="shared" si="131"/>
        <v>0</v>
      </c>
      <c r="BP20" s="2853">
        <f t="shared" si="74"/>
        <v>10.544</v>
      </c>
      <c r="BQ20" s="3051">
        <v>10.544</v>
      </c>
      <c r="BR20" s="3051"/>
      <c r="BS20" s="2853">
        <f t="shared" si="75"/>
        <v>4.0220000000000002</v>
      </c>
      <c r="BT20" s="3051">
        <v>4.0220000000000002</v>
      </c>
      <c r="BU20" s="3051"/>
      <c r="BV20" s="2853">
        <f t="shared" si="76"/>
        <v>9.5069999999999997</v>
      </c>
      <c r="BW20" s="3051">
        <v>9.5069999999999997</v>
      </c>
      <c r="BX20" s="3051"/>
      <c r="BY20" s="2854">
        <f t="shared" si="77"/>
        <v>24.073</v>
      </c>
      <c r="BZ20" s="2854">
        <f t="shared" si="78"/>
        <v>24.073</v>
      </c>
      <c r="CA20" s="2854">
        <f t="shared" si="78"/>
        <v>0</v>
      </c>
      <c r="CB20" s="2856">
        <f t="shared" si="79"/>
        <v>85.055999999999997</v>
      </c>
      <c r="CC20" s="2856">
        <f>SUM(объемы!BN55)</f>
        <v>85.055999999999997</v>
      </c>
      <c r="CD20" s="2856">
        <f>SUM(объемы!BO54)</f>
        <v>0</v>
      </c>
      <c r="CE20" s="2856">
        <f t="shared" si="133"/>
        <v>105.44300000000001</v>
      </c>
      <c r="CF20" s="2856">
        <f t="shared" si="134"/>
        <v>105.44300000000001</v>
      </c>
      <c r="CG20" s="2856">
        <f t="shared" si="135"/>
        <v>0</v>
      </c>
      <c r="CH20" s="2851">
        <f t="shared" si="136"/>
        <v>20.387000000000015</v>
      </c>
      <c r="CI20" s="2851">
        <f t="shared" si="137"/>
        <v>20.387000000000015</v>
      </c>
      <c r="CJ20" s="2851">
        <f t="shared" si="138"/>
        <v>0</v>
      </c>
      <c r="CK20" s="2841"/>
      <c r="CL20" s="4187">
        <f t="shared" si="3"/>
        <v>85.055999999999997</v>
      </c>
      <c r="CM20" s="2831"/>
      <c r="CN20" s="2831"/>
    </row>
    <row r="21" spans="1:92" ht="18.75" customHeight="1" x14ac:dyDescent="0.2">
      <c r="A21" s="3057" t="s">
        <v>3682</v>
      </c>
      <c r="B21" s="2853">
        <f t="shared" si="38"/>
        <v>23.21</v>
      </c>
      <c r="C21" s="2853">
        <f t="shared" si="39"/>
        <v>23.21</v>
      </c>
      <c r="D21" s="2853">
        <f t="shared" si="40"/>
        <v>0</v>
      </c>
      <c r="E21" s="2853">
        <f t="shared" si="41"/>
        <v>5.6420000000000003</v>
      </c>
      <c r="F21" s="3051">
        <v>5.6420000000000003</v>
      </c>
      <c r="G21" s="3051"/>
      <c r="H21" s="2853">
        <f t="shared" si="42"/>
        <v>7.6070000000000002</v>
      </c>
      <c r="I21" s="3051">
        <v>7.6070000000000002</v>
      </c>
      <c r="J21" s="3051"/>
      <c r="K21" s="2853">
        <f t="shared" si="43"/>
        <v>6.66</v>
      </c>
      <c r="L21" s="3051">
        <v>6.66</v>
      </c>
      <c r="M21" s="3051"/>
      <c r="N21" s="2854">
        <f t="shared" si="44"/>
        <v>19.908999999999999</v>
      </c>
      <c r="O21" s="2854">
        <f t="shared" si="45"/>
        <v>19.908999999999999</v>
      </c>
      <c r="P21" s="2854">
        <f t="shared" si="45"/>
        <v>0</v>
      </c>
      <c r="Q21" s="2853">
        <f t="shared" si="46"/>
        <v>23.21</v>
      </c>
      <c r="R21" s="2853">
        <f t="shared" si="124"/>
        <v>23.21</v>
      </c>
      <c r="S21" s="2853">
        <f t="shared" si="125"/>
        <v>0</v>
      </c>
      <c r="T21" s="2853">
        <f t="shared" si="48"/>
        <v>8.0960000000000001</v>
      </c>
      <c r="U21" s="3051">
        <v>8.0960000000000001</v>
      </c>
      <c r="V21" s="3051"/>
      <c r="W21" s="2853">
        <f t="shared" si="49"/>
        <v>7.0880000000000001</v>
      </c>
      <c r="X21" s="3051">
        <v>7.0880000000000001</v>
      </c>
      <c r="Y21" s="3051"/>
      <c r="Z21" s="2853">
        <f t="shared" si="50"/>
        <v>6.702</v>
      </c>
      <c r="AA21" s="3051">
        <v>6.702</v>
      </c>
      <c r="AB21" s="3051"/>
      <c r="AC21" s="2854">
        <f t="shared" si="51"/>
        <v>21.886000000000003</v>
      </c>
      <c r="AD21" s="2853">
        <f t="shared" si="52"/>
        <v>21.886000000000003</v>
      </c>
      <c r="AE21" s="2854">
        <f t="shared" si="52"/>
        <v>0</v>
      </c>
      <c r="AF21" s="2856">
        <f t="shared" si="53"/>
        <v>46.42</v>
      </c>
      <c r="AG21" s="2856">
        <f t="shared" si="54"/>
        <v>46.42</v>
      </c>
      <c r="AH21" s="2856">
        <f t="shared" si="54"/>
        <v>0</v>
      </c>
      <c r="AI21" s="2856">
        <f t="shared" si="55"/>
        <v>41.795000000000002</v>
      </c>
      <c r="AJ21" s="2856">
        <f t="shared" si="56"/>
        <v>41.795000000000002</v>
      </c>
      <c r="AK21" s="2856">
        <f t="shared" si="56"/>
        <v>0</v>
      </c>
      <c r="AL21" s="2851">
        <f t="shared" si="57"/>
        <v>-4.625</v>
      </c>
      <c r="AM21" s="2851">
        <f t="shared" si="58"/>
        <v>-4.625</v>
      </c>
      <c r="AN21" s="2851">
        <f t="shared" si="58"/>
        <v>0</v>
      </c>
      <c r="AO21" s="2853">
        <f t="shared" si="59"/>
        <v>23.21</v>
      </c>
      <c r="AP21" s="2853">
        <f t="shared" si="126"/>
        <v>23.21</v>
      </c>
      <c r="AQ21" s="2853">
        <f t="shared" si="127"/>
        <v>0</v>
      </c>
      <c r="AR21" s="2853">
        <f t="shared" si="61"/>
        <v>4.0789999999999997</v>
      </c>
      <c r="AS21" s="3051">
        <v>4.0789999999999997</v>
      </c>
      <c r="AT21" s="3051"/>
      <c r="AU21" s="2853">
        <f t="shared" si="62"/>
        <v>3.8050000000000002</v>
      </c>
      <c r="AV21" s="3051">
        <v>3.8050000000000002</v>
      </c>
      <c r="AW21" s="3051"/>
      <c r="AX21" s="2853">
        <f t="shared" si="63"/>
        <v>4.7030000000000003</v>
      </c>
      <c r="AY21" s="3051">
        <v>4.7030000000000003</v>
      </c>
      <c r="AZ21" s="3051"/>
      <c r="BA21" s="2854">
        <f t="shared" si="64"/>
        <v>12.587</v>
      </c>
      <c r="BB21" s="2854">
        <f t="shared" si="65"/>
        <v>12.587</v>
      </c>
      <c r="BC21" s="2854">
        <f t="shared" si="65"/>
        <v>0</v>
      </c>
      <c r="BD21" s="2856">
        <f t="shared" si="66"/>
        <v>69.63</v>
      </c>
      <c r="BE21" s="2856">
        <f t="shared" si="128"/>
        <v>69.63</v>
      </c>
      <c r="BF21" s="2856">
        <f t="shared" si="129"/>
        <v>0</v>
      </c>
      <c r="BG21" s="2851">
        <f t="shared" si="68"/>
        <v>54.382000000000005</v>
      </c>
      <c r="BH21" s="2856">
        <f t="shared" si="69"/>
        <v>54.382000000000005</v>
      </c>
      <c r="BI21" s="2851">
        <f t="shared" si="69"/>
        <v>0</v>
      </c>
      <c r="BJ21" s="2851">
        <f t="shared" si="70"/>
        <v>-15.24799999999999</v>
      </c>
      <c r="BK21" s="2851">
        <f t="shared" si="71"/>
        <v>-15.24799999999999</v>
      </c>
      <c r="BL21" s="2851">
        <f t="shared" si="71"/>
        <v>0</v>
      </c>
      <c r="BM21" s="2853">
        <f t="shared" si="72"/>
        <v>23.21</v>
      </c>
      <c r="BN21" s="2853">
        <f t="shared" si="130"/>
        <v>23.21</v>
      </c>
      <c r="BO21" s="2853">
        <f t="shared" si="131"/>
        <v>0</v>
      </c>
      <c r="BP21" s="2853">
        <f t="shared" si="74"/>
        <v>7.3209999999999997</v>
      </c>
      <c r="BQ21" s="3051">
        <v>7.3209999999999997</v>
      </c>
      <c r="BR21" s="3051"/>
      <c r="BS21" s="2853">
        <f t="shared" si="75"/>
        <v>7.9980000000000002</v>
      </c>
      <c r="BT21" s="3051">
        <v>7.9980000000000002</v>
      </c>
      <c r="BU21" s="3051"/>
      <c r="BV21" s="2853">
        <f t="shared" si="76"/>
        <v>8.27</v>
      </c>
      <c r="BW21" s="3051">
        <v>8.27</v>
      </c>
      <c r="BX21" s="3051"/>
      <c r="BY21" s="2854">
        <f>SUM(BZ21:CA21)</f>
        <v>23.588999999999999</v>
      </c>
      <c r="BZ21" s="2854">
        <f t="shared" si="78"/>
        <v>23.588999999999999</v>
      </c>
      <c r="CA21" s="2854">
        <f t="shared" si="78"/>
        <v>0</v>
      </c>
      <c r="CB21" s="2856">
        <f t="shared" si="79"/>
        <v>92.84</v>
      </c>
      <c r="CC21" s="2856">
        <f>SUM(объемы!BN56)</f>
        <v>92.84</v>
      </c>
      <c r="CD21" s="2856">
        <f>SUM(объемы!BO55)</f>
        <v>0</v>
      </c>
      <c r="CE21" s="2856">
        <f t="shared" si="133"/>
        <v>77.971000000000004</v>
      </c>
      <c r="CF21" s="2856">
        <f t="shared" si="134"/>
        <v>77.971000000000004</v>
      </c>
      <c r="CG21" s="2856">
        <f t="shared" si="135"/>
        <v>0</v>
      </c>
      <c r="CH21" s="2851">
        <f t="shared" si="136"/>
        <v>-14.869</v>
      </c>
      <c r="CI21" s="2851">
        <f t="shared" si="137"/>
        <v>-14.869</v>
      </c>
      <c r="CJ21" s="2851">
        <f t="shared" si="138"/>
        <v>0</v>
      </c>
      <c r="CK21" s="2841"/>
      <c r="CL21" s="4187">
        <f t="shared" si="3"/>
        <v>92.84</v>
      </c>
      <c r="CM21" s="2831"/>
      <c r="CN21" s="2831"/>
    </row>
    <row r="22" spans="1:92" ht="18.75" customHeight="1" x14ac:dyDescent="0.2">
      <c r="A22" s="2842" t="s">
        <v>3728</v>
      </c>
      <c r="B22" s="2845">
        <f>SUM(C22:D22)</f>
        <v>68.123000000000005</v>
      </c>
      <c r="C22" s="2845">
        <f>SUM(C23:C24)</f>
        <v>68.123000000000005</v>
      </c>
      <c r="D22" s="2845">
        <f>SUM(D23:D24)</f>
        <v>0</v>
      </c>
      <c r="E22" s="2845">
        <f>SUM(F22:G22)</f>
        <v>23.672999999999998</v>
      </c>
      <c r="F22" s="2845">
        <f>SUM(F23:F24)</f>
        <v>23.672999999999998</v>
      </c>
      <c r="G22" s="2845">
        <f>SUM(G23:G24)</f>
        <v>0</v>
      </c>
      <c r="H22" s="2845">
        <f>SUM(I22:J22)</f>
        <v>25.335999999999999</v>
      </c>
      <c r="I22" s="2845">
        <f>SUM(I23:I24)</f>
        <v>25.335999999999999</v>
      </c>
      <c r="J22" s="2845">
        <f>SUM(J23:J24)</f>
        <v>0</v>
      </c>
      <c r="K22" s="2845">
        <f>SUM(L22:M22)</f>
        <v>29.074999999999999</v>
      </c>
      <c r="L22" s="2845">
        <f>SUM(L23:L24)</f>
        <v>29.074999999999999</v>
      </c>
      <c r="M22" s="2845">
        <f>SUM(M23:M24)</f>
        <v>0</v>
      </c>
      <c r="N22" s="2845">
        <f>SUM(O22:P22)</f>
        <v>78.084000000000003</v>
      </c>
      <c r="O22" s="2845">
        <f>SUM(O23:O24)</f>
        <v>78.084000000000003</v>
      </c>
      <c r="P22" s="2845">
        <f>SUM(P23:P24)</f>
        <v>0</v>
      </c>
      <c r="Q22" s="2845">
        <f>SUM(R22:S22)</f>
        <v>68.123000000000005</v>
      </c>
      <c r="R22" s="2845">
        <f>SUM(R23:R24)</f>
        <v>68.123000000000005</v>
      </c>
      <c r="S22" s="2845">
        <f>SUM(S23:S24)</f>
        <v>0</v>
      </c>
      <c r="T22" s="2845">
        <f>SUM(U22:V22)</f>
        <v>24.038</v>
      </c>
      <c r="U22" s="2845">
        <f>SUM(U23:U24)</f>
        <v>24.038</v>
      </c>
      <c r="V22" s="2845">
        <f>SUM(V23:V24)</f>
        <v>0</v>
      </c>
      <c r="W22" s="2845">
        <f>SUM(X22:Y22)</f>
        <v>21.379000000000001</v>
      </c>
      <c r="X22" s="2845">
        <f>SUM(X23:X24)</f>
        <v>21.379000000000001</v>
      </c>
      <c r="Y22" s="2845">
        <f>SUM(Y23:Y24)</f>
        <v>0</v>
      </c>
      <c r="Z22" s="2845">
        <f>SUM(AA22:AB22)</f>
        <v>20.396999999999998</v>
      </c>
      <c r="AA22" s="2845">
        <f>SUM(AA23:AA24)</f>
        <v>20.396999999999998</v>
      </c>
      <c r="AB22" s="2845">
        <f>SUM(AB23:AB24)</f>
        <v>0</v>
      </c>
      <c r="AC22" s="2845">
        <f>SUM(AD22:AE22)</f>
        <v>65.813999999999993</v>
      </c>
      <c r="AD22" s="2845">
        <f>SUM(AD23:AD24)</f>
        <v>65.813999999999993</v>
      </c>
      <c r="AE22" s="2845">
        <f>SUM(AE23:AE24)</f>
        <v>0</v>
      </c>
      <c r="AF22" s="2846">
        <f>SUM(AG22:AH22)</f>
        <v>136.24600000000001</v>
      </c>
      <c r="AG22" s="2846">
        <f>SUM(AG23:AG24)</f>
        <v>136.24600000000001</v>
      </c>
      <c r="AH22" s="2846">
        <f>SUM(AH23:AH24)</f>
        <v>0</v>
      </c>
      <c r="AI22" s="2846">
        <f>SUM(AJ22:AK22)</f>
        <v>143.898</v>
      </c>
      <c r="AJ22" s="2846">
        <f>SUM(AJ23:AJ24)</f>
        <v>143.898</v>
      </c>
      <c r="AK22" s="2846">
        <f>SUM(AK23:AK24)</f>
        <v>0</v>
      </c>
      <c r="AL22" s="2846">
        <f>SUM(AM22:AN22)</f>
        <v>7.6519999999999975</v>
      </c>
      <c r="AM22" s="2846">
        <f>SUM(AM23:AM24)</f>
        <v>7.6519999999999975</v>
      </c>
      <c r="AN22" s="2846">
        <f>SUM(AN23:AN24)</f>
        <v>0</v>
      </c>
      <c r="AO22" s="2845">
        <f>SUM(AP22:AQ22)</f>
        <v>68.123000000000005</v>
      </c>
      <c r="AP22" s="2845">
        <f>SUM(AP23:AP24)</f>
        <v>68.123000000000005</v>
      </c>
      <c r="AQ22" s="2845">
        <f>SUM(AQ23:AQ24)</f>
        <v>0</v>
      </c>
      <c r="AR22" s="2845">
        <f>SUM(AS22:AT22)</f>
        <v>16.035</v>
      </c>
      <c r="AS22" s="2845">
        <f>SUM(AS23:AS24)</f>
        <v>16.035</v>
      </c>
      <c r="AT22" s="2845">
        <f>SUM(AT23:AT24)</f>
        <v>0</v>
      </c>
      <c r="AU22" s="2845">
        <f>SUM(AV22:AW22)</f>
        <v>19.291</v>
      </c>
      <c r="AV22" s="2845">
        <f>SUM(AV23:AV24)</f>
        <v>19.291</v>
      </c>
      <c r="AW22" s="2845">
        <f>SUM(AW23:AW24)</f>
        <v>0</v>
      </c>
      <c r="AX22" s="2845">
        <f>SUM(AY22:AZ22)</f>
        <v>25.297999999999998</v>
      </c>
      <c r="AY22" s="2845">
        <f>SUM(AY23:AY24)</f>
        <v>25.297999999999998</v>
      </c>
      <c r="AZ22" s="2845">
        <f>SUM(AZ23:AZ24)</f>
        <v>0</v>
      </c>
      <c r="BA22" s="2845">
        <f>SUM(BB22:BC22)</f>
        <v>60.623999999999995</v>
      </c>
      <c r="BB22" s="2845">
        <f>SUM(BB23:BB24)</f>
        <v>60.623999999999995</v>
      </c>
      <c r="BC22" s="2845">
        <f>SUM(BC23:BC24)</f>
        <v>0</v>
      </c>
      <c r="BD22" s="2846">
        <f>SUM(BE22:BF22)</f>
        <v>204.369</v>
      </c>
      <c r="BE22" s="2846">
        <f>SUM(BE23:BE24)</f>
        <v>204.369</v>
      </c>
      <c r="BF22" s="2846">
        <f>SUM(BF23:BF24)</f>
        <v>0</v>
      </c>
      <c r="BG22" s="2846">
        <f>SUM(BH22:BI22)</f>
        <v>204.52199999999999</v>
      </c>
      <c r="BH22" s="2846">
        <f>SUM(BH23:BH24)</f>
        <v>204.52199999999999</v>
      </c>
      <c r="BI22" s="2846">
        <f>SUM(BI23:BI24)</f>
        <v>0</v>
      </c>
      <c r="BJ22" s="2846">
        <f>SUM(BK22:BL22)</f>
        <v>0.15299999999999869</v>
      </c>
      <c r="BK22" s="2846">
        <f>SUM(BK23:BK24)</f>
        <v>0.15299999999999869</v>
      </c>
      <c r="BL22" s="2846">
        <f>SUM(BL23:BL24)</f>
        <v>0</v>
      </c>
      <c r="BM22" s="2845">
        <f>SUM(BN22:BO22)</f>
        <v>68.123000000000005</v>
      </c>
      <c r="BN22" s="2845">
        <f>SUM(BN23:BN24)</f>
        <v>68.123000000000005</v>
      </c>
      <c r="BO22" s="2845">
        <f>SUM(BO23:BO24)</f>
        <v>0</v>
      </c>
      <c r="BP22" s="2845">
        <f>SUM(BQ22:BR22)</f>
        <v>24.393000000000001</v>
      </c>
      <c r="BQ22" s="2845">
        <f>SUM(BQ23:BQ24)</f>
        <v>24.393000000000001</v>
      </c>
      <c r="BR22" s="2845">
        <f>SUM(BR23:BR24)</f>
        <v>0</v>
      </c>
      <c r="BS22" s="2845">
        <f>SUM(BT22:BU22)</f>
        <v>25.355</v>
      </c>
      <c r="BT22" s="2845">
        <f>SUM(BT23:BT24)</f>
        <v>25.355</v>
      </c>
      <c r="BU22" s="2845">
        <f>SUM(BU23:BU24)</f>
        <v>0</v>
      </c>
      <c r="BV22" s="2845">
        <f>SUM(BW22:BX22)</f>
        <v>23.556000000000001</v>
      </c>
      <c r="BW22" s="2845">
        <f>SUM(BW23:BW24)</f>
        <v>23.556000000000001</v>
      </c>
      <c r="BX22" s="2845">
        <f>SUM(BX23:BX24)</f>
        <v>0</v>
      </c>
      <c r="BY22" s="2845">
        <f>SUM(BZ22:CA22)</f>
        <v>73.304000000000002</v>
      </c>
      <c r="BZ22" s="2845">
        <f>SUM(BZ23:BZ24)</f>
        <v>73.304000000000002</v>
      </c>
      <c r="CA22" s="2845">
        <f>SUM(CA23:CA24)</f>
        <v>0</v>
      </c>
      <c r="CB22" s="2846">
        <f>SUM(CC22:CD22)</f>
        <v>272.49200000000002</v>
      </c>
      <c r="CC22" s="2846">
        <f>SUM(CC23:CC24)</f>
        <v>272.49200000000002</v>
      </c>
      <c r="CD22" s="2846">
        <f>SUM(CD23:CD24)</f>
        <v>0</v>
      </c>
      <c r="CE22" s="2846">
        <f>SUM(CF22:CG22)</f>
        <v>277.82600000000002</v>
      </c>
      <c r="CF22" s="2846">
        <f>SUM(CF23:CF24)</f>
        <v>277.82600000000002</v>
      </c>
      <c r="CG22" s="2846">
        <f>SUM(CG23:CG24)</f>
        <v>0</v>
      </c>
      <c r="CH22" s="2846">
        <f>SUM(CI22:CJ22)</f>
        <v>5.3340000000000245</v>
      </c>
      <c r="CI22" s="2846">
        <f>SUM(CI23:CI24)</f>
        <v>5.3340000000000245</v>
      </c>
      <c r="CJ22" s="2846">
        <f>SUM(CJ23:CJ24)</f>
        <v>0</v>
      </c>
      <c r="CK22" s="2841"/>
      <c r="CL22" s="4187">
        <f t="shared" si="3"/>
        <v>272.49200000000002</v>
      </c>
      <c r="CM22" s="2831"/>
      <c r="CN22" s="2831"/>
    </row>
    <row r="23" spans="1:92" ht="18.75" customHeight="1" x14ac:dyDescent="0.2">
      <c r="A23" s="2848" t="s">
        <v>639</v>
      </c>
      <c r="B23" s="2853">
        <f>SUM(C23:D23)</f>
        <v>59.28575</v>
      </c>
      <c r="C23" s="2853">
        <f t="shared" ref="C23:C24" si="139">SUM(CC23/4)</f>
        <v>59.28575</v>
      </c>
      <c r="D23" s="2853">
        <f t="shared" ref="D23:D24" si="140">SUM(CD23/4)</f>
        <v>0</v>
      </c>
      <c r="E23" s="2853">
        <f>SUM(F23:G23)</f>
        <v>23.672999999999998</v>
      </c>
      <c r="F23" s="3051">
        <v>23.672999999999998</v>
      </c>
      <c r="G23" s="3051"/>
      <c r="H23" s="2853">
        <f>SUM(I23:J23)</f>
        <v>25.335999999999999</v>
      </c>
      <c r="I23" s="3051">
        <v>25.335999999999999</v>
      </c>
      <c r="J23" s="3051"/>
      <c r="K23" s="2853">
        <f>SUM(L23:M23)</f>
        <v>29.074999999999999</v>
      </c>
      <c r="L23" s="3051">
        <v>29.074999999999999</v>
      </c>
      <c r="M23" s="3051"/>
      <c r="N23" s="2853">
        <f>SUM(O23:P23)</f>
        <v>78.084000000000003</v>
      </c>
      <c r="O23" s="2853">
        <f t="shared" ref="O23:P24" si="141">SUM(F23+I23+L23)</f>
        <v>78.084000000000003</v>
      </c>
      <c r="P23" s="2853">
        <f t="shared" si="141"/>
        <v>0</v>
      </c>
      <c r="Q23" s="2853">
        <f>SUM(R23:S23)</f>
        <v>59.28575</v>
      </c>
      <c r="R23" s="2853">
        <f>SUM(CC23/4)</f>
        <v>59.28575</v>
      </c>
      <c r="S23" s="2853">
        <f>SUM(CD23/4)</f>
        <v>0</v>
      </c>
      <c r="T23" s="2853">
        <f>SUM(U23:V23)</f>
        <v>24.038</v>
      </c>
      <c r="U23" s="3051">
        <v>24.038</v>
      </c>
      <c r="V23" s="3051"/>
      <c r="W23" s="2853">
        <f>SUM(X23:Y23)</f>
        <v>21.379000000000001</v>
      </c>
      <c r="X23" s="3051">
        <v>21.379000000000001</v>
      </c>
      <c r="Y23" s="3051"/>
      <c r="Z23" s="2853">
        <f>SUM(AA23:AB23)</f>
        <v>20.396999999999998</v>
      </c>
      <c r="AA23" s="3051">
        <v>20.396999999999998</v>
      </c>
      <c r="AB23" s="3051"/>
      <c r="AC23" s="2853">
        <f>SUM(AD23:AE23)</f>
        <v>65.813999999999993</v>
      </c>
      <c r="AD23" s="2853">
        <f t="shared" ref="AD23:AE24" si="142">SUM(U23+X23+AA23)</f>
        <v>65.813999999999993</v>
      </c>
      <c r="AE23" s="2853">
        <f t="shared" si="142"/>
        <v>0</v>
      </c>
      <c r="AF23" s="2856">
        <f>SUM(AG23:AH23)</f>
        <v>118.5715</v>
      </c>
      <c r="AG23" s="2856">
        <f t="shared" ref="AG23:AH24" si="143">SUM(C23+R23)</f>
        <v>118.5715</v>
      </c>
      <c r="AH23" s="2856">
        <f t="shared" si="143"/>
        <v>0</v>
      </c>
      <c r="AI23" s="2856">
        <f>SUM(AJ23:AK23)</f>
        <v>143.898</v>
      </c>
      <c r="AJ23" s="2856">
        <f t="shared" ref="AJ23:AK24" si="144">SUM(O23+AD23)</f>
        <v>143.898</v>
      </c>
      <c r="AK23" s="2856">
        <f t="shared" si="144"/>
        <v>0</v>
      </c>
      <c r="AL23" s="2856">
        <f>SUM(AM23:AN23)</f>
        <v>25.326499999999996</v>
      </c>
      <c r="AM23" s="2856">
        <f t="shared" ref="AM23:AN24" si="145">SUM(AJ23-AG23)</f>
        <v>25.326499999999996</v>
      </c>
      <c r="AN23" s="2856">
        <f t="shared" si="145"/>
        <v>0</v>
      </c>
      <c r="AO23" s="2853">
        <f>SUM(AP23:AQ23)</f>
        <v>59.28575</v>
      </c>
      <c r="AP23" s="2853">
        <f>SUM(CC23/4)</f>
        <v>59.28575</v>
      </c>
      <c r="AQ23" s="2853">
        <f>SUM(CD23/4)</f>
        <v>0</v>
      </c>
      <c r="AR23" s="2853">
        <f>SUM(AS23:AT23)</f>
        <v>16.035</v>
      </c>
      <c r="AS23" s="3051">
        <v>16.035</v>
      </c>
      <c r="AT23" s="3051"/>
      <c r="AU23" s="2853">
        <f>SUM(AV23:AW23)</f>
        <v>19.291</v>
      </c>
      <c r="AV23" s="3051">
        <v>19.291</v>
      </c>
      <c r="AW23" s="3051"/>
      <c r="AX23" s="2853">
        <f>SUM(AY23:AZ23)</f>
        <v>25.297999999999998</v>
      </c>
      <c r="AY23" s="3051">
        <v>25.297999999999998</v>
      </c>
      <c r="AZ23" s="3051"/>
      <c r="BA23" s="2853">
        <f>SUM(BB23:BC23)</f>
        <v>60.623999999999995</v>
      </c>
      <c r="BB23" s="2853">
        <f t="shared" ref="BB23:BC24" si="146">SUM(AS23+AV23+AY23)</f>
        <v>60.623999999999995</v>
      </c>
      <c r="BC23" s="2853">
        <f t="shared" si="146"/>
        <v>0</v>
      </c>
      <c r="BD23" s="2856">
        <f>SUM(BE23:BF23)</f>
        <v>177.85724999999999</v>
      </c>
      <c r="BE23" s="2856">
        <f t="shared" ref="BE23:BF24" si="147">SUM(AG23+AP23)</f>
        <v>177.85724999999999</v>
      </c>
      <c r="BF23" s="2856">
        <f t="shared" si="147"/>
        <v>0</v>
      </c>
      <c r="BG23" s="2856">
        <f>SUM(BH23:BI23)</f>
        <v>204.52199999999999</v>
      </c>
      <c r="BH23" s="2856">
        <f t="shared" ref="BH23:BI24" si="148">SUM(AJ23+BB23)</f>
        <v>204.52199999999999</v>
      </c>
      <c r="BI23" s="2856">
        <f t="shared" si="148"/>
        <v>0</v>
      </c>
      <c r="BJ23" s="2856">
        <f>SUM(BK23:BL23)</f>
        <v>26.664749999999998</v>
      </c>
      <c r="BK23" s="2856">
        <f t="shared" ref="BK23:BL24" si="149">SUM(BH23-BE23)</f>
        <v>26.664749999999998</v>
      </c>
      <c r="BL23" s="2856">
        <f t="shared" si="149"/>
        <v>0</v>
      </c>
      <c r="BM23" s="2853">
        <f>SUM(BN23:BO23)</f>
        <v>59.28575</v>
      </c>
      <c r="BN23" s="2853">
        <f>SUM(CC23/4)</f>
        <v>59.28575</v>
      </c>
      <c r="BO23" s="2853">
        <f>SUM(CD23/4)</f>
        <v>0</v>
      </c>
      <c r="BP23" s="2853">
        <f>SUM(BQ23:BR23)</f>
        <v>24.393000000000001</v>
      </c>
      <c r="BQ23" s="3051">
        <v>24.393000000000001</v>
      </c>
      <c r="BR23" s="3051"/>
      <c r="BS23" s="2853">
        <f>SUM(BT23:BU23)</f>
        <v>25.355</v>
      </c>
      <c r="BT23" s="3051">
        <v>25.355</v>
      </c>
      <c r="BU23" s="3051"/>
      <c r="BV23" s="2853">
        <f>SUM(BW23:BX23)</f>
        <v>23.556000000000001</v>
      </c>
      <c r="BW23" s="3051">
        <v>23.556000000000001</v>
      </c>
      <c r="BX23" s="3051"/>
      <c r="BY23" s="2853">
        <f>SUM(BZ23:CA23)</f>
        <v>73.304000000000002</v>
      </c>
      <c r="BZ23" s="2853">
        <f t="shared" ref="BZ23:CA24" si="150">SUM(BQ23+BT23+BW23)</f>
        <v>73.304000000000002</v>
      </c>
      <c r="CA23" s="2853">
        <f t="shared" si="150"/>
        <v>0</v>
      </c>
      <c r="CB23" s="2856">
        <f>SUM(CC23:CD23)</f>
        <v>237.143</v>
      </c>
      <c r="CC23" s="2856">
        <f>SUM(объемы!BN58)</f>
        <v>237.143</v>
      </c>
      <c r="CD23" s="2856">
        <f>SUM(объемы!BO58)</f>
        <v>0</v>
      </c>
      <c r="CE23" s="2856">
        <f>SUM(CF23:CG23)</f>
        <v>277.82600000000002</v>
      </c>
      <c r="CF23" s="2856">
        <f t="shared" ref="CF23:CG24" si="151">SUM(BH23+BZ23)</f>
        <v>277.82600000000002</v>
      </c>
      <c r="CG23" s="2856">
        <f t="shared" si="151"/>
        <v>0</v>
      </c>
      <c r="CH23" s="2856">
        <f>SUM(CI23:CJ23)</f>
        <v>40.683000000000021</v>
      </c>
      <c r="CI23" s="2856">
        <f t="shared" ref="CI23:CJ24" si="152">SUM(CF23-CC23)</f>
        <v>40.683000000000021</v>
      </c>
      <c r="CJ23" s="2856">
        <f t="shared" si="152"/>
        <v>0</v>
      </c>
      <c r="CK23" s="2841"/>
      <c r="CL23" s="4187">
        <f t="shared" si="3"/>
        <v>237.143</v>
      </c>
      <c r="CM23" s="2831"/>
      <c r="CN23" s="2831"/>
    </row>
    <row r="24" spans="1:92" ht="18.75" customHeight="1" x14ac:dyDescent="0.2">
      <c r="A24" s="2848" t="s">
        <v>640</v>
      </c>
      <c r="B24" s="2853">
        <f>SUM(C24:D24)</f>
        <v>8.8372499999999992</v>
      </c>
      <c r="C24" s="2853">
        <f t="shared" si="139"/>
        <v>8.8372499999999992</v>
      </c>
      <c r="D24" s="2853">
        <f t="shared" si="140"/>
        <v>0</v>
      </c>
      <c r="E24" s="2853">
        <f>SUM(F24:G24)</f>
        <v>0</v>
      </c>
      <c r="F24" s="3051"/>
      <c r="G24" s="3051"/>
      <c r="H24" s="2853">
        <f>SUM(I24:J24)</f>
        <v>0</v>
      </c>
      <c r="I24" s="3051"/>
      <c r="J24" s="3051"/>
      <c r="K24" s="2853">
        <f>SUM(L24:M24)</f>
        <v>0</v>
      </c>
      <c r="L24" s="3051"/>
      <c r="M24" s="3051"/>
      <c r="N24" s="2853">
        <f>SUM(O24:P24)</f>
        <v>0</v>
      </c>
      <c r="O24" s="2853">
        <f t="shared" si="141"/>
        <v>0</v>
      </c>
      <c r="P24" s="2853">
        <f t="shared" si="141"/>
        <v>0</v>
      </c>
      <c r="Q24" s="2853">
        <f>SUM(R24:S24)</f>
        <v>8.8372499999999992</v>
      </c>
      <c r="R24" s="2853">
        <f>SUM(CC24/4)</f>
        <v>8.8372499999999992</v>
      </c>
      <c r="S24" s="2853">
        <f>SUM(CD24/4)</f>
        <v>0</v>
      </c>
      <c r="T24" s="2853">
        <f>SUM(U24:V24)</f>
        <v>0</v>
      </c>
      <c r="U24" s="3051"/>
      <c r="V24" s="3051"/>
      <c r="W24" s="2853">
        <f>SUM(X24:Y24)</f>
        <v>0</v>
      </c>
      <c r="X24" s="3051"/>
      <c r="Y24" s="3051"/>
      <c r="Z24" s="2853">
        <f>SUM(AA24:AB24)</f>
        <v>0</v>
      </c>
      <c r="AA24" s="3051"/>
      <c r="AB24" s="3051"/>
      <c r="AC24" s="2853">
        <f>SUM(AD24:AE24)</f>
        <v>0</v>
      </c>
      <c r="AD24" s="2853">
        <f t="shared" si="142"/>
        <v>0</v>
      </c>
      <c r="AE24" s="2853">
        <f t="shared" si="142"/>
        <v>0</v>
      </c>
      <c r="AF24" s="2856">
        <f>SUM(AG24:AH24)</f>
        <v>17.674499999999998</v>
      </c>
      <c r="AG24" s="2856">
        <f t="shared" si="143"/>
        <v>17.674499999999998</v>
      </c>
      <c r="AH24" s="2856">
        <f t="shared" si="143"/>
        <v>0</v>
      </c>
      <c r="AI24" s="2856">
        <f>SUM(AJ24:AK24)</f>
        <v>0</v>
      </c>
      <c r="AJ24" s="2856">
        <f t="shared" si="144"/>
        <v>0</v>
      </c>
      <c r="AK24" s="2856">
        <f t="shared" si="144"/>
        <v>0</v>
      </c>
      <c r="AL24" s="2856">
        <f>SUM(AM24:AN24)</f>
        <v>-17.674499999999998</v>
      </c>
      <c r="AM24" s="2856">
        <f t="shared" si="145"/>
        <v>-17.674499999999998</v>
      </c>
      <c r="AN24" s="2856">
        <f t="shared" si="145"/>
        <v>0</v>
      </c>
      <c r="AO24" s="2853">
        <f>SUM(AP24:AQ24)</f>
        <v>8.8372499999999992</v>
      </c>
      <c r="AP24" s="2853">
        <f>SUM(CC24/4)</f>
        <v>8.8372499999999992</v>
      </c>
      <c r="AQ24" s="2853">
        <f>SUM(CD24/4)</f>
        <v>0</v>
      </c>
      <c r="AR24" s="2853">
        <f>SUM(AS24:AT24)</f>
        <v>0</v>
      </c>
      <c r="AS24" s="3051"/>
      <c r="AT24" s="3051"/>
      <c r="AU24" s="2853">
        <f>SUM(AV24:AW24)</f>
        <v>0</v>
      </c>
      <c r="AV24" s="3051">
        <v>0</v>
      </c>
      <c r="AW24" s="3051"/>
      <c r="AX24" s="2853">
        <f>SUM(AY24:AZ24)</f>
        <v>0</v>
      </c>
      <c r="AY24" s="3051">
        <v>0</v>
      </c>
      <c r="AZ24" s="3051"/>
      <c r="BA24" s="2853">
        <f>SUM(BB24:BC24)</f>
        <v>0</v>
      </c>
      <c r="BB24" s="2853">
        <f t="shared" si="146"/>
        <v>0</v>
      </c>
      <c r="BC24" s="2853">
        <f t="shared" si="146"/>
        <v>0</v>
      </c>
      <c r="BD24" s="2856">
        <f>SUM(BE24:BF24)</f>
        <v>26.511749999999999</v>
      </c>
      <c r="BE24" s="2856">
        <f t="shared" si="147"/>
        <v>26.511749999999999</v>
      </c>
      <c r="BF24" s="2856">
        <f t="shared" si="147"/>
        <v>0</v>
      </c>
      <c r="BG24" s="2856">
        <f>SUM(BH24:BI24)</f>
        <v>0</v>
      </c>
      <c r="BH24" s="2856">
        <f t="shared" si="148"/>
        <v>0</v>
      </c>
      <c r="BI24" s="2856">
        <f t="shared" si="148"/>
        <v>0</v>
      </c>
      <c r="BJ24" s="2856">
        <f>SUM(BK24:BL24)</f>
        <v>-26.511749999999999</v>
      </c>
      <c r="BK24" s="2856">
        <f t="shared" si="149"/>
        <v>-26.511749999999999</v>
      </c>
      <c r="BL24" s="2856">
        <f t="shared" si="149"/>
        <v>0</v>
      </c>
      <c r="BM24" s="2853">
        <f>SUM(BN24:BO24)</f>
        <v>8.8372499999999992</v>
      </c>
      <c r="BN24" s="2853">
        <f>SUM(CC24/4)</f>
        <v>8.8372499999999992</v>
      </c>
      <c r="BO24" s="2853">
        <f>SUM(CD24/4)</f>
        <v>0</v>
      </c>
      <c r="BP24" s="2853">
        <f>SUM(BQ24:BR24)</f>
        <v>0</v>
      </c>
      <c r="BQ24" s="3051">
        <v>0</v>
      </c>
      <c r="BR24" s="3051"/>
      <c r="BS24" s="2853">
        <f>SUM(BT24:BU24)</f>
        <v>0</v>
      </c>
      <c r="BT24" s="3051">
        <v>0</v>
      </c>
      <c r="BU24" s="3051"/>
      <c r="BV24" s="2853">
        <f>SUM(BW24:BX24)</f>
        <v>0</v>
      </c>
      <c r="BW24" s="3051">
        <v>0</v>
      </c>
      <c r="BX24" s="3051"/>
      <c r="BY24" s="2853">
        <f>SUM(BZ24:CA24)</f>
        <v>0</v>
      </c>
      <c r="BZ24" s="2853">
        <f t="shared" si="150"/>
        <v>0</v>
      </c>
      <c r="CA24" s="2853">
        <f t="shared" si="150"/>
        <v>0</v>
      </c>
      <c r="CB24" s="2856">
        <f>SUM(CC24:CD24)</f>
        <v>35.348999999999997</v>
      </c>
      <c r="CC24" s="2856">
        <f>SUM(объемы!BN59)</f>
        <v>35.348999999999997</v>
      </c>
      <c r="CD24" s="2856">
        <f>SUM(объемы!BO59)</f>
        <v>0</v>
      </c>
      <c r="CE24" s="2856">
        <f>SUM(CF24:CG24)</f>
        <v>0</v>
      </c>
      <c r="CF24" s="2856">
        <f t="shared" si="151"/>
        <v>0</v>
      </c>
      <c r="CG24" s="2856">
        <f t="shared" si="151"/>
        <v>0</v>
      </c>
      <c r="CH24" s="2856">
        <f>SUM(CI24:CJ24)</f>
        <v>-35.348999999999997</v>
      </c>
      <c r="CI24" s="2856">
        <f t="shared" si="152"/>
        <v>-35.348999999999997</v>
      </c>
      <c r="CJ24" s="2856">
        <f t="shared" si="152"/>
        <v>0</v>
      </c>
      <c r="CK24" s="2841"/>
      <c r="CL24" s="4187">
        <f t="shared" si="3"/>
        <v>35.348999999999997</v>
      </c>
      <c r="CM24" s="2831"/>
      <c r="CN24" s="2831"/>
    </row>
    <row r="25" spans="1:92" ht="18.75" customHeight="1" x14ac:dyDescent="0.3">
      <c r="A25" s="2826" t="s">
        <v>3729</v>
      </c>
      <c r="B25" s="2857"/>
      <c r="C25" s="2857"/>
      <c r="D25" s="2857"/>
      <c r="E25" s="2857"/>
      <c r="F25" s="2857"/>
      <c r="G25" s="2857"/>
      <c r="H25" s="2857"/>
      <c r="I25" s="2857"/>
      <c r="J25" s="2857"/>
      <c r="K25" s="2857"/>
      <c r="L25" s="2857"/>
      <c r="M25" s="2857"/>
      <c r="N25" s="2857"/>
      <c r="O25" s="2857"/>
      <c r="P25" s="2857"/>
      <c r="Q25" s="2857"/>
      <c r="R25" s="2857"/>
      <c r="S25" s="2857"/>
      <c r="T25" s="2857"/>
      <c r="U25" s="2857"/>
      <c r="V25" s="2857"/>
      <c r="W25" s="2857"/>
      <c r="X25" s="2857"/>
      <c r="Y25" s="2857"/>
      <c r="Z25" s="2857"/>
      <c r="AA25" s="2857"/>
      <c r="AB25" s="2857"/>
      <c r="AC25" s="2857"/>
      <c r="AD25" s="2857"/>
      <c r="AE25" s="2857"/>
      <c r="AF25" s="2857"/>
      <c r="AG25" s="2857"/>
      <c r="AH25" s="2857"/>
      <c r="AI25" s="2857"/>
      <c r="AJ25" s="2857"/>
      <c r="AK25" s="2857"/>
      <c r="AL25" s="2857"/>
      <c r="AM25" s="2857"/>
      <c r="AN25" s="2857"/>
      <c r="AO25" s="2857"/>
      <c r="AP25" s="2857"/>
      <c r="AQ25" s="2857"/>
      <c r="AR25" s="2857"/>
      <c r="AS25" s="2857"/>
      <c r="AT25" s="2857"/>
      <c r="AU25" s="2857"/>
      <c r="AV25" s="2857"/>
      <c r="AW25" s="2857"/>
      <c r="AX25" s="2857"/>
      <c r="AY25" s="2857"/>
      <c r="AZ25" s="2857"/>
      <c r="BA25" s="2857"/>
      <c r="BB25" s="2857"/>
      <c r="BC25" s="2857"/>
      <c r="BD25" s="2857"/>
      <c r="BE25" s="2857"/>
      <c r="BF25" s="2857"/>
      <c r="BG25" s="2857"/>
      <c r="BH25" s="2857"/>
      <c r="BI25" s="2857"/>
      <c r="BJ25" s="2857"/>
      <c r="BK25" s="2857"/>
      <c r="BL25" s="2857"/>
      <c r="BM25" s="2857"/>
      <c r="BN25" s="2857"/>
      <c r="BO25" s="2857"/>
      <c r="BP25" s="2857"/>
      <c r="BQ25" s="2857"/>
      <c r="BR25" s="2857"/>
      <c r="BS25" s="2857"/>
      <c r="BT25" s="2857"/>
      <c r="BU25" s="2857"/>
      <c r="BV25" s="2857"/>
      <c r="BW25" s="2857"/>
      <c r="BX25" s="2857"/>
      <c r="BY25" s="2857"/>
      <c r="BZ25" s="2857"/>
      <c r="CA25" s="2857"/>
      <c r="CB25" s="2857"/>
      <c r="CC25" s="2857"/>
      <c r="CD25" s="2857"/>
      <c r="CE25" s="2857"/>
      <c r="CF25" s="2857"/>
      <c r="CG25" s="2857"/>
      <c r="CH25" s="2857"/>
      <c r="CI25" s="2858"/>
      <c r="CJ25" s="2859"/>
      <c r="CK25" s="2831"/>
      <c r="CL25" s="2831"/>
      <c r="CM25" s="2831"/>
      <c r="CN25" s="2831"/>
    </row>
    <row r="26" spans="1:92" ht="18.75" customHeight="1" x14ac:dyDescent="0.2">
      <c r="A26" s="4638" t="s">
        <v>527</v>
      </c>
      <c r="B26" s="4622" t="s">
        <v>3716</v>
      </c>
      <c r="C26" s="4623"/>
      <c r="D26" s="4623"/>
      <c r="E26" s="4623"/>
      <c r="F26" s="4623"/>
      <c r="G26" s="4623"/>
      <c r="H26" s="4623"/>
      <c r="I26" s="4623"/>
      <c r="J26" s="4623"/>
      <c r="K26" s="4623"/>
      <c r="L26" s="4623"/>
      <c r="M26" s="4623"/>
      <c r="N26" s="4623"/>
      <c r="O26" s="4623"/>
      <c r="P26" s="4624"/>
      <c r="Q26" s="4613" t="s">
        <v>3717</v>
      </c>
      <c r="R26" s="4614"/>
      <c r="S26" s="4614"/>
      <c r="T26" s="4614"/>
      <c r="U26" s="4614"/>
      <c r="V26" s="4614"/>
      <c r="W26" s="4614"/>
      <c r="X26" s="4614"/>
      <c r="Y26" s="4614"/>
      <c r="Z26" s="4614"/>
      <c r="AA26" s="4614"/>
      <c r="AB26" s="4614"/>
      <c r="AC26" s="4614"/>
      <c r="AD26" s="4568"/>
      <c r="AE26" s="4569"/>
      <c r="AF26" s="4609" t="s">
        <v>3718</v>
      </c>
      <c r="AG26" s="4610"/>
      <c r="AH26" s="4610"/>
      <c r="AI26" s="4610"/>
      <c r="AJ26" s="4610"/>
      <c r="AK26" s="4610"/>
      <c r="AL26" s="4610"/>
      <c r="AM26" s="4625"/>
      <c r="AN26" s="4626"/>
      <c r="AO26" s="4622" t="s">
        <v>3719</v>
      </c>
      <c r="AP26" s="4623"/>
      <c r="AQ26" s="4623"/>
      <c r="AR26" s="4623"/>
      <c r="AS26" s="4623"/>
      <c r="AT26" s="4623"/>
      <c r="AU26" s="4623"/>
      <c r="AV26" s="4623"/>
      <c r="AW26" s="4623"/>
      <c r="AX26" s="4623"/>
      <c r="AY26" s="4623"/>
      <c r="AZ26" s="4623"/>
      <c r="BA26" s="4623"/>
      <c r="BB26" s="4625"/>
      <c r="BC26" s="4626"/>
      <c r="BD26" s="4609" t="s">
        <v>3720</v>
      </c>
      <c r="BE26" s="4610"/>
      <c r="BF26" s="4610"/>
      <c r="BG26" s="4610"/>
      <c r="BH26" s="4610"/>
      <c r="BI26" s="4610"/>
      <c r="BJ26" s="4610"/>
      <c r="BK26" s="4625"/>
      <c r="BL26" s="4626"/>
      <c r="BM26" s="4616" t="s">
        <v>3721</v>
      </c>
      <c r="BN26" s="4617"/>
      <c r="BO26" s="4617"/>
      <c r="BP26" s="4617"/>
      <c r="BQ26" s="4617"/>
      <c r="BR26" s="4617"/>
      <c r="BS26" s="4617"/>
      <c r="BT26" s="4617"/>
      <c r="BU26" s="4617"/>
      <c r="BV26" s="4617"/>
      <c r="BW26" s="4617"/>
      <c r="BX26" s="4617"/>
      <c r="BY26" s="4617"/>
      <c r="BZ26" s="4687"/>
      <c r="CA26" s="4687"/>
      <c r="CB26" s="4609" t="s">
        <v>1992</v>
      </c>
      <c r="CC26" s="4610"/>
      <c r="CD26" s="4610"/>
      <c r="CE26" s="4610"/>
      <c r="CF26" s="4610"/>
      <c r="CG26" s="4610"/>
      <c r="CH26" s="4610"/>
      <c r="CI26" s="4611"/>
      <c r="CJ26" s="4612"/>
      <c r="CK26" s="2831"/>
      <c r="CL26" s="2831"/>
      <c r="CM26" s="2831"/>
      <c r="CN26" s="2831"/>
    </row>
    <row r="27" spans="1:92" ht="18.75" customHeight="1" x14ac:dyDescent="0.2">
      <c r="A27" s="4639"/>
      <c r="B27" s="4613" t="s">
        <v>3573</v>
      </c>
      <c r="C27" s="4614"/>
      <c r="D27" s="4615"/>
      <c r="E27" s="4616" t="s">
        <v>571</v>
      </c>
      <c r="F27" s="4617"/>
      <c r="G27" s="4618"/>
      <c r="H27" s="4616" t="s">
        <v>572</v>
      </c>
      <c r="I27" s="4617"/>
      <c r="J27" s="4618"/>
      <c r="K27" s="4616" t="s">
        <v>573</v>
      </c>
      <c r="L27" s="4617"/>
      <c r="M27" s="4618"/>
      <c r="N27" s="4613" t="s">
        <v>1677</v>
      </c>
      <c r="O27" s="4614"/>
      <c r="P27" s="4615"/>
      <c r="Q27" s="4613" t="s">
        <v>3573</v>
      </c>
      <c r="R27" s="4614"/>
      <c r="S27" s="4615"/>
      <c r="T27" s="4619" t="s">
        <v>3722</v>
      </c>
      <c r="U27" s="4620"/>
      <c r="V27" s="4621"/>
      <c r="W27" s="4619" t="s">
        <v>575</v>
      </c>
      <c r="X27" s="4620"/>
      <c r="Y27" s="4621"/>
      <c r="Z27" s="4619" t="s">
        <v>576</v>
      </c>
      <c r="AA27" s="4620"/>
      <c r="AB27" s="4621"/>
      <c r="AC27" s="4613" t="s">
        <v>1677</v>
      </c>
      <c r="AD27" s="4614"/>
      <c r="AE27" s="4615"/>
      <c r="AF27" s="4627" t="s">
        <v>3573</v>
      </c>
      <c r="AG27" s="4628"/>
      <c r="AH27" s="4629"/>
      <c r="AI27" s="4627" t="s">
        <v>1677</v>
      </c>
      <c r="AJ27" s="4628"/>
      <c r="AK27" s="4629"/>
      <c r="AL27" s="4627" t="s">
        <v>3723</v>
      </c>
      <c r="AM27" s="4628"/>
      <c r="AN27" s="4629"/>
      <c r="AO27" s="4643" t="s">
        <v>3573</v>
      </c>
      <c r="AP27" s="4644"/>
      <c r="AQ27" s="4645"/>
      <c r="AR27" s="4646" t="s">
        <v>577</v>
      </c>
      <c r="AS27" s="4647"/>
      <c r="AT27" s="4648"/>
      <c r="AU27" s="4646" t="s">
        <v>578</v>
      </c>
      <c r="AV27" s="4647"/>
      <c r="AW27" s="4648"/>
      <c r="AX27" s="4646" t="s">
        <v>579</v>
      </c>
      <c r="AY27" s="4647"/>
      <c r="AZ27" s="4648"/>
      <c r="BA27" s="4643" t="s">
        <v>1677</v>
      </c>
      <c r="BB27" s="4644"/>
      <c r="BC27" s="4645"/>
      <c r="BD27" s="4640" t="s">
        <v>3573</v>
      </c>
      <c r="BE27" s="4641"/>
      <c r="BF27" s="4642"/>
      <c r="BG27" s="4640" t="s">
        <v>1677</v>
      </c>
      <c r="BH27" s="4641"/>
      <c r="BI27" s="4642"/>
      <c r="BJ27" s="4640" t="s">
        <v>3723</v>
      </c>
      <c r="BK27" s="4641"/>
      <c r="BL27" s="4642"/>
      <c r="BM27" s="4684" t="s">
        <v>3573</v>
      </c>
      <c r="BN27" s="4685"/>
      <c r="BO27" s="4686"/>
      <c r="BP27" s="4630" t="s">
        <v>580</v>
      </c>
      <c r="BQ27" s="4631"/>
      <c r="BR27" s="4632"/>
      <c r="BS27" s="4630" t="s">
        <v>581</v>
      </c>
      <c r="BT27" s="4631"/>
      <c r="BU27" s="4632"/>
      <c r="BV27" s="4630" t="s">
        <v>582</v>
      </c>
      <c r="BW27" s="4631"/>
      <c r="BX27" s="4632"/>
      <c r="BY27" s="4684" t="s">
        <v>1677</v>
      </c>
      <c r="BZ27" s="4685"/>
      <c r="CA27" s="4685"/>
      <c r="CB27" s="4633" t="s">
        <v>3573</v>
      </c>
      <c r="CC27" s="4634"/>
      <c r="CD27" s="4635"/>
      <c r="CE27" s="4633" t="s">
        <v>1677</v>
      </c>
      <c r="CF27" s="4634"/>
      <c r="CG27" s="4635"/>
      <c r="CH27" s="4633" t="s">
        <v>3723</v>
      </c>
      <c r="CI27" s="4636"/>
      <c r="CJ27" s="4637"/>
      <c r="CK27" s="2831"/>
      <c r="CL27" s="2831"/>
      <c r="CM27" s="2831"/>
      <c r="CN27" s="2831"/>
    </row>
    <row r="28" spans="1:92" ht="18.75" customHeight="1" x14ac:dyDescent="0.2">
      <c r="A28" s="4639"/>
      <c r="B28" s="2832" t="s">
        <v>616</v>
      </c>
      <c r="C28" s="2832" t="s">
        <v>3724</v>
      </c>
      <c r="D28" s="2832" t="s">
        <v>3660</v>
      </c>
      <c r="E28" s="2832" t="s">
        <v>616</v>
      </c>
      <c r="F28" s="2832" t="s">
        <v>3724</v>
      </c>
      <c r="G28" s="2832" t="s">
        <v>3660</v>
      </c>
      <c r="H28" s="2832" t="s">
        <v>616</v>
      </c>
      <c r="I28" s="2832" t="s">
        <v>3724</v>
      </c>
      <c r="J28" s="2832" t="s">
        <v>3660</v>
      </c>
      <c r="K28" s="2832" t="s">
        <v>616</v>
      </c>
      <c r="L28" s="2832" t="s">
        <v>3724</v>
      </c>
      <c r="M28" s="2832" t="s">
        <v>3660</v>
      </c>
      <c r="N28" s="2832" t="s">
        <v>616</v>
      </c>
      <c r="O28" s="2832" t="s">
        <v>3724</v>
      </c>
      <c r="P28" s="2832" t="s">
        <v>3660</v>
      </c>
      <c r="Q28" s="2832" t="s">
        <v>616</v>
      </c>
      <c r="R28" s="2832" t="s">
        <v>3724</v>
      </c>
      <c r="S28" s="2832" t="s">
        <v>3660</v>
      </c>
      <c r="T28" s="2832" t="s">
        <v>616</v>
      </c>
      <c r="U28" s="2832" t="s">
        <v>3724</v>
      </c>
      <c r="V28" s="2832" t="s">
        <v>3660</v>
      </c>
      <c r="W28" s="2832" t="s">
        <v>616</v>
      </c>
      <c r="X28" s="2832" t="s">
        <v>3724</v>
      </c>
      <c r="Y28" s="2832" t="s">
        <v>3660</v>
      </c>
      <c r="Z28" s="2832" t="s">
        <v>616</v>
      </c>
      <c r="AA28" s="2832" t="s">
        <v>3724</v>
      </c>
      <c r="AB28" s="2832" t="s">
        <v>3660</v>
      </c>
      <c r="AC28" s="2832" t="s">
        <v>616</v>
      </c>
      <c r="AD28" s="2832" t="s">
        <v>3724</v>
      </c>
      <c r="AE28" s="2832" t="s">
        <v>3660</v>
      </c>
      <c r="AF28" s="2833" t="s">
        <v>616</v>
      </c>
      <c r="AG28" s="2833" t="s">
        <v>3724</v>
      </c>
      <c r="AH28" s="2833" t="s">
        <v>3660</v>
      </c>
      <c r="AI28" s="2833" t="s">
        <v>616</v>
      </c>
      <c r="AJ28" s="2833" t="s">
        <v>3724</v>
      </c>
      <c r="AK28" s="2833" t="s">
        <v>3660</v>
      </c>
      <c r="AL28" s="2833" t="s">
        <v>616</v>
      </c>
      <c r="AM28" s="2833" t="s">
        <v>3724</v>
      </c>
      <c r="AN28" s="2833" t="s">
        <v>3660</v>
      </c>
      <c r="AO28" s="2832" t="s">
        <v>616</v>
      </c>
      <c r="AP28" s="2832" t="s">
        <v>3724</v>
      </c>
      <c r="AQ28" s="2832" t="s">
        <v>3660</v>
      </c>
      <c r="AR28" s="2832" t="s">
        <v>616</v>
      </c>
      <c r="AS28" s="2832" t="s">
        <v>3724</v>
      </c>
      <c r="AT28" s="2832" t="s">
        <v>3660</v>
      </c>
      <c r="AU28" s="2832" t="s">
        <v>616</v>
      </c>
      <c r="AV28" s="2832" t="s">
        <v>3724</v>
      </c>
      <c r="AW28" s="2832" t="s">
        <v>3660</v>
      </c>
      <c r="AX28" s="2832" t="s">
        <v>616</v>
      </c>
      <c r="AY28" s="2832" t="s">
        <v>3724</v>
      </c>
      <c r="AZ28" s="2832" t="s">
        <v>3660</v>
      </c>
      <c r="BA28" s="2832" t="s">
        <v>616</v>
      </c>
      <c r="BB28" s="2832" t="s">
        <v>3724</v>
      </c>
      <c r="BC28" s="2832" t="s">
        <v>3660</v>
      </c>
      <c r="BD28" s="2833" t="s">
        <v>616</v>
      </c>
      <c r="BE28" s="2833" t="s">
        <v>3724</v>
      </c>
      <c r="BF28" s="2833" t="s">
        <v>3660</v>
      </c>
      <c r="BG28" s="2833" t="s">
        <v>616</v>
      </c>
      <c r="BH28" s="2833" t="s">
        <v>3724</v>
      </c>
      <c r="BI28" s="2833" t="s">
        <v>3660</v>
      </c>
      <c r="BJ28" s="2833" t="s">
        <v>616</v>
      </c>
      <c r="BK28" s="2833" t="s">
        <v>3724</v>
      </c>
      <c r="BL28" s="2833" t="s">
        <v>3660</v>
      </c>
      <c r="BM28" s="2832" t="s">
        <v>616</v>
      </c>
      <c r="BN28" s="2832" t="s">
        <v>3724</v>
      </c>
      <c r="BO28" s="2832" t="s">
        <v>3660</v>
      </c>
      <c r="BP28" s="2832" t="s">
        <v>616</v>
      </c>
      <c r="BQ28" s="2832" t="s">
        <v>3724</v>
      </c>
      <c r="BR28" s="2832" t="s">
        <v>3660</v>
      </c>
      <c r="BS28" s="2832" t="s">
        <v>616</v>
      </c>
      <c r="BT28" s="2832" t="s">
        <v>3724</v>
      </c>
      <c r="BU28" s="2832" t="s">
        <v>3660</v>
      </c>
      <c r="BV28" s="2832" t="s">
        <v>616</v>
      </c>
      <c r="BW28" s="2832" t="s">
        <v>3724</v>
      </c>
      <c r="BX28" s="2832" t="s">
        <v>3660</v>
      </c>
      <c r="BY28" s="2832" t="s">
        <v>616</v>
      </c>
      <c r="BZ28" s="2832" t="s">
        <v>3724</v>
      </c>
      <c r="CA28" s="2834" t="s">
        <v>3660</v>
      </c>
      <c r="CB28" s="2833" t="s">
        <v>616</v>
      </c>
      <c r="CC28" s="2833" t="s">
        <v>3724</v>
      </c>
      <c r="CD28" s="2833" t="s">
        <v>3660</v>
      </c>
      <c r="CE28" s="2833" t="s">
        <v>616</v>
      </c>
      <c r="CF28" s="2833" t="s">
        <v>3724</v>
      </c>
      <c r="CG28" s="2833" t="s">
        <v>3660</v>
      </c>
      <c r="CH28" s="2833" t="s">
        <v>616</v>
      </c>
      <c r="CI28" s="2833" t="s">
        <v>3724</v>
      </c>
      <c r="CJ28" s="2833" t="s">
        <v>3660</v>
      </c>
      <c r="CK28" s="2831"/>
      <c r="CL28" s="2831"/>
      <c r="CM28" s="2831"/>
      <c r="CN28" s="2831"/>
    </row>
    <row r="29" spans="1:92" ht="18.75" customHeight="1" x14ac:dyDescent="0.3">
      <c r="A29" s="2860" t="s">
        <v>15</v>
      </c>
      <c r="B29" s="2837">
        <f>SUM(C29:D29)</f>
        <v>4375.3172076108867</v>
      </c>
      <c r="C29" s="2837">
        <f t="shared" ref="C29:G29" si="153">SUM(C30:C35)+C37</f>
        <v>4369.5860547426282</v>
      </c>
      <c r="D29" s="2837">
        <f t="shared" si="153"/>
        <v>5.7311528682586612</v>
      </c>
      <c r="E29" s="2861">
        <f>SUM(F29:G29)</f>
        <v>1605.5589800000002</v>
      </c>
      <c r="F29" s="2836">
        <f>SUM(F30:F35)+F37</f>
        <v>1604.4900000000002</v>
      </c>
      <c r="G29" s="2837">
        <f t="shared" si="153"/>
        <v>1.06898</v>
      </c>
      <c r="H29" s="2861">
        <f>SUM(I29:J29)</f>
        <v>1393.2870399999997</v>
      </c>
      <c r="I29" s="2836">
        <f t="shared" ref="I29:J29" si="154">SUM(I30:I35)+I37</f>
        <v>1391.9789999999998</v>
      </c>
      <c r="J29" s="2836">
        <f t="shared" si="154"/>
        <v>1.3080399999999999</v>
      </c>
      <c r="K29" s="2861">
        <f>SUM(L29:M29)</f>
        <v>1556.6870000000001</v>
      </c>
      <c r="L29" s="2836">
        <f t="shared" ref="L29:M29" si="155">SUM(L30:L35)+L37</f>
        <v>1555.16</v>
      </c>
      <c r="M29" s="2836">
        <f t="shared" si="155"/>
        <v>1.5269999999999997</v>
      </c>
      <c r="N29" s="2861">
        <f>SUM(O29:P29)</f>
        <v>4555.5330200000008</v>
      </c>
      <c r="O29" s="2836">
        <f t="shared" ref="O29:P29" si="156">SUM(O30:O35)+O37</f>
        <v>4551.6290000000008</v>
      </c>
      <c r="P29" s="2836">
        <f t="shared" si="156"/>
        <v>3.9040199999999996</v>
      </c>
      <c r="Q29" s="2837">
        <f>SUM(R29:S29)</f>
        <v>4375.3172076108867</v>
      </c>
      <c r="R29" s="2837">
        <f t="shared" ref="R29:S29" si="157">SUM(R30:R35)+R37</f>
        <v>4369.5860547426282</v>
      </c>
      <c r="S29" s="2837">
        <f t="shared" si="157"/>
        <v>5.7311528682586612</v>
      </c>
      <c r="T29" s="2861">
        <f>SUM(U29:V29)</f>
        <v>1606.5000000000002</v>
      </c>
      <c r="U29" s="2836">
        <f t="shared" ref="U29:V29" si="158">SUM(U30:U35)+U37</f>
        <v>1604.8400000000001</v>
      </c>
      <c r="V29" s="2836">
        <f t="shared" si="158"/>
        <v>1.6599999999999997</v>
      </c>
      <c r="W29" s="2861">
        <f>SUM(X29:Y29)</f>
        <v>1958.1420000000001</v>
      </c>
      <c r="X29" s="2836">
        <f t="shared" ref="X29:Y29" si="159">SUM(X30:X35)+X37</f>
        <v>1956.8700000000001</v>
      </c>
      <c r="Y29" s="2836">
        <f t="shared" si="159"/>
        <v>1.272</v>
      </c>
      <c r="Z29" s="2861">
        <f>SUM(AA29:AB29)</f>
        <v>1483.7949999999996</v>
      </c>
      <c r="AA29" s="2836">
        <f t="shared" ref="AA29:AB29" si="160">SUM(AA30:AA35)+AA37</f>
        <v>1482.8689999999997</v>
      </c>
      <c r="AB29" s="2836">
        <f t="shared" si="160"/>
        <v>0.92599999999999993</v>
      </c>
      <c r="AC29" s="2861">
        <f>SUM(AD29:AE29)</f>
        <v>5048.4369999999999</v>
      </c>
      <c r="AD29" s="2836">
        <f t="shared" ref="AD29:AE29" si="161">SUM(AD30:AD35)+AD37</f>
        <v>5044.5789999999997</v>
      </c>
      <c r="AE29" s="2836">
        <f t="shared" si="161"/>
        <v>3.8580000000000005</v>
      </c>
      <c r="AF29" s="2839">
        <f>SUM(AG29:AH29)</f>
        <v>8750.6344152217735</v>
      </c>
      <c r="AG29" s="2839">
        <f t="shared" ref="AG29:AH29" si="162">SUM(AG30:AG35)+AG37</f>
        <v>8739.1721094852564</v>
      </c>
      <c r="AH29" s="2839">
        <f t="shared" si="162"/>
        <v>11.462305736517322</v>
      </c>
      <c r="AI29" s="2862">
        <f t="shared" ref="AI29:AK29" si="163">SUM(AC29+N29)</f>
        <v>9603.9700200000007</v>
      </c>
      <c r="AJ29" s="2862">
        <f t="shared" si="163"/>
        <v>9596.2080000000005</v>
      </c>
      <c r="AK29" s="2862">
        <f t="shared" si="163"/>
        <v>7.7620199999999997</v>
      </c>
      <c r="AL29" s="2862">
        <f t="shared" ref="AL29:AN44" si="164">SUM(AI29-AF29)</f>
        <v>853.33560477822721</v>
      </c>
      <c r="AM29" s="2862">
        <f t="shared" si="164"/>
        <v>857.0358905147441</v>
      </c>
      <c r="AN29" s="2862">
        <f t="shared" si="164"/>
        <v>-3.7002857365173227</v>
      </c>
      <c r="AO29" s="2837">
        <f>SUM(AP29:AQ29)</f>
        <v>4424.2869035717131</v>
      </c>
      <c r="AP29" s="2837">
        <f t="shared" ref="AP29:AQ29" si="165">SUM(AP30:AP35)+AP37</f>
        <v>4418.5346083219374</v>
      </c>
      <c r="AQ29" s="2837">
        <f t="shared" si="165"/>
        <v>5.7522952497756368</v>
      </c>
      <c r="AR29" s="2861">
        <f>SUM(AS29:AT29)</f>
        <v>1413.633</v>
      </c>
      <c r="AS29" s="2836">
        <f t="shared" ref="AS29:AT29" si="166">SUM(AS30:AS35)+AS37</f>
        <v>1412.72</v>
      </c>
      <c r="AT29" s="2836">
        <f t="shared" si="166"/>
        <v>0.91300000000000003</v>
      </c>
      <c r="AU29" s="2861">
        <f>SUM(AV29:AW29)</f>
        <v>1400.6089999999999</v>
      </c>
      <c r="AV29" s="2836">
        <f t="shared" ref="AV29:AW29" si="167">SUM(AV30:AV35)+AV37</f>
        <v>1399.0049999999999</v>
      </c>
      <c r="AW29" s="2836">
        <f t="shared" si="167"/>
        <v>1.6040000000000001</v>
      </c>
      <c r="AX29" s="2861">
        <f>SUM(AY29:AZ29)</f>
        <v>1525.829</v>
      </c>
      <c r="AY29" s="2836">
        <f t="shared" ref="AY29:AZ29" si="168">SUM(AY30:AY35)+AY37</f>
        <v>1523.711</v>
      </c>
      <c r="AZ29" s="2836">
        <f t="shared" si="168"/>
        <v>2.1179999999999999</v>
      </c>
      <c r="BA29" s="2861">
        <f>SUM(BB29:BC29)</f>
        <v>4340.0709999999999</v>
      </c>
      <c r="BB29" s="2836">
        <f t="shared" ref="BB29:BC29" si="169">SUM(BB30:BB35)+BB37</f>
        <v>4335.4359999999997</v>
      </c>
      <c r="BC29" s="2836">
        <f t="shared" si="169"/>
        <v>4.6349999999999998</v>
      </c>
      <c r="BD29" s="2839">
        <f>SUM(BE29:BF29)</f>
        <v>13174.921318793489</v>
      </c>
      <c r="BE29" s="2839">
        <f t="shared" ref="BE29:BF29" si="170">SUM(BE30:BE35)+BE37</f>
        <v>13157.706717807196</v>
      </c>
      <c r="BF29" s="2839">
        <f t="shared" si="170"/>
        <v>17.214600986292957</v>
      </c>
      <c r="BG29" s="2862">
        <f t="shared" ref="BG29:BI29" si="171">SUM(AI29+BA29)</f>
        <v>13944.041020000001</v>
      </c>
      <c r="BH29" s="2862">
        <f t="shared" si="171"/>
        <v>13931.644</v>
      </c>
      <c r="BI29" s="2862">
        <f t="shared" si="171"/>
        <v>12.397019999999999</v>
      </c>
      <c r="BJ29" s="2862">
        <f t="shared" ref="BJ29:BL44" si="172">SUM(BG29-BD29)</f>
        <v>769.11970120651131</v>
      </c>
      <c r="BK29" s="2862">
        <f t="shared" si="172"/>
        <v>773.93728219280456</v>
      </c>
      <c r="BL29" s="2862">
        <f t="shared" si="172"/>
        <v>-4.8175809862929579</v>
      </c>
      <c r="BM29" s="2837">
        <f>SUM(BN29:BO29)</f>
        <v>4424.2869035717131</v>
      </c>
      <c r="BN29" s="2837">
        <f t="shared" ref="BN29:BO29" si="173">SUM(BN30:BN35)+BN37</f>
        <v>4418.5346083219374</v>
      </c>
      <c r="BO29" s="2837">
        <f t="shared" si="173"/>
        <v>5.7522952497756368</v>
      </c>
      <c r="BP29" s="2861">
        <f>SUM(BQ29:BR29)</f>
        <v>1350.32431</v>
      </c>
      <c r="BQ29" s="2836">
        <f t="shared" ref="BQ29:BR29" si="174">SUM(BQ30:BQ35)+BQ37</f>
        <v>1349.355</v>
      </c>
      <c r="BR29" s="2836">
        <f t="shared" si="174"/>
        <v>0.96931000000000012</v>
      </c>
      <c r="BS29" s="2861">
        <f>SUM(BT29:BU29)</f>
        <v>1669.6529000000003</v>
      </c>
      <c r="BT29" s="2836">
        <f t="shared" ref="BT29:BU29" si="175">SUM(BT30:BT35)+BT37</f>
        <v>1668.1560000000002</v>
      </c>
      <c r="BU29" s="2836">
        <f t="shared" si="175"/>
        <v>1.4969000000000001</v>
      </c>
      <c r="BV29" s="2861">
        <f>SUM(BW29:BX29)</f>
        <v>1562.1551000000002</v>
      </c>
      <c r="BW29" s="2836">
        <f t="shared" ref="BW29:BX29" si="176">SUM(BW30:BW35)+BW37</f>
        <v>1560.6561000000002</v>
      </c>
      <c r="BX29" s="2836">
        <f t="shared" si="176"/>
        <v>1.4990000000000001</v>
      </c>
      <c r="BY29" s="2861">
        <f>SUM(BZ29:CA29)</f>
        <v>4582.13231</v>
      </c>
      <c r="BZ29" s="2836">
        <f t="shared" ref="BZ29:CA29" si="177">SUM(BZ30:BZ35)+BZ37</f>
        <v>4578.1670999999997</v>
      </c>
      <c r="CA29" s="2836">
        <f t="shared" si="177"/>
        <v>3.9652099999999999</v>
      </c>
      <c r="CB29" s="2839">
        <f>SUM(CC29:CD29)</f>
        <v>17599.207920392953</v>
      </c>
      <c r="CC29" s="2839">
        <f t="shared" ref="CC29:CD29" si="178">SUM(CC30:CC35)+CC37</f>
        <v>17576.241024156883</v>
      </c>
      <c r="CD29" s="2839">
        <f t="shared" si="178"/>
        <v>22.966896236068596</v>
      </c>
      <c r="CE29" s="2862">
        <f t="shared" ref="CE29" si="179">SUM(BY29+BG29)</f>
        <v>18526.173330000001</v>
      </c>
      <c r="CF29" s="2981">
        <f t="shared" ref="CF29:CG35" si="180">SUM(BZ29+BH29)</f>
        <v>18509.811099999999</v>
      </c>
      <c r="CG29" s="2981">
        <f t="shared" si="180"/>
        <v>16.36223</v>
      </c>
      <c r="CH29" s="2862">
        <f t="shared" ref="CH29:CJ44" si="181">SUM(CE29-CB29)</f>
        <v>926.96540960704806</v>
      </c>
      <c r="CI29" s="2862">
        <f t="shared" si="181"/>
        <v>933.57007584311577</v>
      </c>
      <c r="CJ29" s="2862">
        <f t="shared" si="181"/>
        <v>-6.6046662360685957</v>
      </c>
      <c r="CK29" s="2863"/>
      <c r="CL29" s="4189">
        <f t="shared" ref="CL29:CL92" si="182">SUM(B29+Q29+AO29+BM29)</f>
        <v>17599.2082223652</v>
      </c>
      <c r="CM29" s="4189">
        <f t="shared" ref="CM29:CM92" si="183">SUM(C29+R29+AP29+BN29)</f>
        <v>17576.241326129129</v>
      </c>
      <c r="CN29" s="4189">
        <f t="shared" ref="CN29:CN92" si="184">SUM(D29+S29+AQ29+BO29)</f>
        <v>22.966896236068592</v>
      </c>
    </row>
    <row r="30" spans="1:92" ht="18.75" customHeight="1" x14ac:dyDescent="0.3">
      <c r="A30" s="2864" t="s">
        <v>1</v>
      </c>
      <c r="B30" s="2845">
        <f t="shared" ref="B30:B35" si="185">SUM(C30:D30)</f>
        <v>1224.0721849321665</v>
      </c>
      <c r="C30" s="2845">
        <f>SUM(CC30/2)/(1+(104%*100-100)/2/100)/6*3</f>
        <v>1223.7138394827261</v>
      </c>
      <c r="D30" s="2845">
        <f>SUM(CD30/2)/(1+(105.9%*100-100)/2/100)/6*3</f>
        <v>0.35834544944025576</v>
      </c>
      <c r="E30" s="2865">
        <f t="shared" ref="E30:E93" si="186">SUM(F30:G30)</f>
        <v>451.47897999999998</v>
      </c>
      <c r="F30" s="2866">
        <v>451.44</v>
      </c>
      <c r="G30" s="2866">
        <v>3.8980000000000001E-2</v>
      </c>
      <c r="H30" s="2865">
        <f t="shared" ref="H30:H93" si="187">SUM(I30:J30)</f>
        <v>336.55854999999997</v>
      </c>
      <c r="I30" s="2866">
        <v>336.54599999999999</v>
      </c>
      <c r="J30" s="2866">
        <v>1.255E-2</v>
      </c>
      <c r="K30" s="2865">
        <f t="shared" ref="K30:K93" si="188">SUM(L30:M30)</f>
        <v>333.577</v>
      </c>
      <c r="L30" s="2866">
        <v>333.56</v>
      </c>
      <c r="M30" s="2866">
        <v>1.7000000000000001E-2</v>
      </c>
      <c r="N30" s="2865">
        <f>SUM(O30:P30)</f>
        <v>1121.6145300000001</v>
      </c>
      <c r="O30" s="2865">
        <f>SUM(F30+I30+L30)</f>
        <v>1121.546</v>
      </c>
      <c r="P30" s="2865">
        <f>SUM(G30+J30+M30)</f>
        <v>6.8530000000000008E-2</v>
      </c>
      <c r="Q30" s="2845">
        <f t="shared" ref="Q30:Q35" si="189">SUM(R30:S30)</f>
        <v>1224.0721849321665</v>
      </c>
      <c r="R30" s="2845">
        <f t="shared" ref="R30:S35" si="190">SUM(C30)</f>
        <v>1223.7138394827261</v>
      </c>
      <c r="S30" s="2845">
        <f t="shared" si="190"/>
        <v>0.35834544944025576</v>
      </c>
      <c r="T30" s="2865">
        <f t="shared" ref="T30:T35" si="191">SUM(U30:V30)</f>
        <v>454.58</v>
      </c>
      <c r="U30" s="2866">
        <v>454.46</v>
      </c>
      <c r="V30" s="2866">
        <v>0.12</v>
      </c>
      <c r="W30" s="2865">
        <f t="shared" ref="W30:W35" si="192">SUM(X30:Y30)</f>
        <v>547.76200000000006</v>
      </c>
      <c r="X30" s="2866">
        <v>547.71</v>
      </c>
      <c r="Y30" s="2866">
        <v>5.1999999999999998E-2</v>
      </c>
      <c r="Z30" s="2865">
        <f t="shared" ref="Z30:Z35" si="193">SUM(AA30:AB30)</f>
        <v>375.94200000000001</v>
      </c>
      <c r="AA30" s="2866">
        <v>375.85899999999998</v>
      </c>
      <c r="AB30" s="2866">
        <v>8.3000000000000004E-2</v>
      </c>
      <c r="AC30" s="2865">
        <f>SUM(AD30:AE30)</f>
        <v>1378.2840000000001</v>
      </c>
      <c r="AD30" s="2865">
        <f>SUM(U30+X30+AA30)</f>
        <v>1378.029</v>
      </c>
      <c r="AE30" s="2865">
        <f>SUM(V30+Y30+AB30)</f>
        <v>0.255</v>
      </c>
      <c r="AF30" s="2846">
        <f t="shared" ref="AF30:AF35" si="194">SUM(AG30:AH30)</f>
        <v>2448.1443698643329</v>
      </c>
      <c r="AG30" s="2846">
        <f t="shared" ref="AG30:AH35" si="195">SUM(C30+R30)</f>
        <v>2447.4276789654523</v>
      </c>
      <c r="AH30" s="2846">
        <f t="shared" si="195"/>
        <v>0.71669089888051152</v>
      </c>
      <c r="AI30" s="2867">
        <f t="shared" ref="AI30:AK35" si="196">SUM(AC30+N30)</f>
        <v>2499.8985300000004</v>
      </c>
      <c r="AJ30" s="2867">
        <f t="shared" si="196"/>
        <v>2499.5749999999998</v>
      </c>
      <c r="AK30" s="2867">
        <f t="shared" si="196"/>
        <v>0.32352999999999998</v>
      </c>
      <c r="AL30" s="2867">
        <f t="shared" si="164"/>
        <v>51.754160135667462</v>
      </c>
      <c r="AM30" s="2867">
        <f t="shared" si="164"/>
        <v>52.147321034547531</v>
      </c>
      <c r="AN30" s="2867">
        <f t="shared" si="164"/>
        <v>-0.39316089888051153</v>
      </c>
      <c r="AO30" s="2845">
        <f t="shared" ref="AO30:AO35" si="197">SUM(AP30:AQ30)</f>
        <v>1273.0418808929926</v>
      </c>
      <c r="AP30" s="2845">
        <f t="shared" ref="AP30:AQ35" si="198">SUM(CC30-AG30)/2</f>
        <v>1272.6623930620353</v>
      </c>
      <c r="AQ30" s="2845">
        <f t="shared" si="198"/>
        <v>0.37948783095723088</v>
      </c>
      <c r="AR30" s="2865">
        <f t="shared" ref="AR30:AR35" si="199">SUM(AS30:AT30)</f>
        <v>367.41800000000001</v>
      </c>
      <c r="AS30" s="2866">
        <v>367.35</v>
      </c>
      <c r="AT30" s="2866">
        <v>6.8000000000000005E-2</v>
      </c>
      <c r="AU30" s="2865">
        <f t="shared" ref="AU30:AU35" si="200">SUM(AV30:AW30)</f>
        <v>336.60899999999998</v>
      </c>
      <c r="AV30" s="2866">
        <v>336.54899999999998</v>
      </c>
      <c r="AW30" s="2866">
        <v>0.06</v>
      </c>
      <c r="AX30" s="2865">
        <f t="shared" ref="AX30:AX35" si="201">SUM(AY30:AZ30)</f>
        <v>358.57599999999996</v>
      </c>
      <c r="AY30" s="2866">
        <v>358.55599999999998</v>
      </c>
      <c r="AZ30" s="2866">
        <v>0.02</v>
      </c>
      <c r="BA30" s="2865">
        <f>SUM(BB30:BC30)</f>
        <v>1062.6029999999998</v>
      </c>
      <c r="BB30" s="2865">
        <f>SUM(AS30+AV30+AY30)</f>
        <v>1062.4549999999999</v>
      </c>
      <c r="BC30" s="2865">
        <f>SUM(AT30+AW30+AZ30)</f>
        <v>0.14799999999999999</v>
      </c>
      <c r="BD30" s="2846">
        <f t="shared" ref="BD30:BD35" si="202">SUM(BE30:BF30)</f>
        <v>3721.1862507573255</v>
      </c>
      <c r="BE30" s="2846">
        <f t="shared" ref="BE30:BF35" si="203">SUM(AG30+AP30)</f>
        <v>3720.0900720274876</v>
      </c>
      <c r="BF30" s="2846">
        <f t="shared" si="203"/>
        <v>1.0961787298377423</v>
      </c>
      <c r="BG30" s="2867">
        <f t="shared" ref="BG30:BI35" si="204">SUM(AI30+BA30)</f>
        <v>3562.5015300000005</v>
      </c>
      <c r="BH30" s="2867">
        <f t="shared" si="204"/>
        <v>3562.0299999999997</v>
      </c>
      <c r="BI30" s="2867">
        <f t="shared" si="204"/>
        <v>0.47153</v>
      </c>
      <c r="BJ30" s="2867">
        <f t="shared" si="172"/>
        <v>-158.68472075732507</v>
      </c>
      <c r="BK30" s="2867">
        <f t="shared" si="172"/>
        <v>-158.06007202748788</v>
      </c>
      <c r="BL30" s="2867">
        <f t="shared" si="172"/>
        <v>-0.62464872983774233</v>
      </c>
      <c r="BM30" s="2845">
        <f t="shared" ref="BM30:BM35" si="205">SUM(BN30:BO30)</f>
        <v>1273.0418808929926</v>
      </c>
      <c r="BN30" s="2845">
        <f t="shared" ref="BN30:BO35" si="206">SUM(AP30)</f>
        <v>1272.6623930620353</v>
      </c>
      <c r="BO30" s="2845">
        <f t="shared" si="206"/>
        <v>0.37948783095723088</v>
      </c>
      <c r="BP30" s="2865">
        <f t="shared" ref="BP30:BP35" si="207">SUM(BQ30:BR30)</f>
        <v>402.74173000000002</v>
      </c>
      <c r="BQ30" s="2866">
        <v>402.72</v>
      </c>
      <c r="BR30" s="2866">
        <v>2.1729999999999999E-2</v>
      </c>
      <c r="BS30" s="2865">
        <f t="shared" ref="BS30:BS35" si="208">SUM(BT30:BU30)</f>
        <v>658.76300000000003</v>
      </c>
      <c r="BT30" s="2866">
        <v>658.70600000000002</v>
      </c>
      <c r="BU30" s="2866">
        <v>5.7000000000000002E-2</v>
      </c>
      <c r="BV30" s="2865">
        <f t="shared" ref="BV30:BV35" si="209">SUM(BW30:BX30)</f>
        <v>428.49</v>
      </c>
      <c r="BW30" s="2866">
        <v>428.41899999999998</v>
      </c>
      <c r="BX30" s="2866">
        <v>7.0999999999999994E-2</v>
      </c>
      <c r="BY30" s="2865">
        <f>SUM(BZ30:CA30)</f>
        <v>1489.9947299999999</v>
      </c>
      <c r="BZ30" s="2865">
        <f>SUM(BQ30+BT30+BW30)</f>
        <v>1489.8449999999998</v>
      </c>
      <c r="CA30" s="2865">
        <f>SUM(BR30+BU30+BX30)</f>
        <v>0.14972999999999997</v>
      </c>
      <c r="CB30" s="2846">
        <f t="shared" ref="CB30:CB35" si="210">SUM(CC30:CD30)</f>
        <v>4994.2281316503177</v>
      </c>
      <c r="CC30" s="2846">
        <f>SUM(вода!CV9)</f>
        <v>4992.752465089523</v>
      </c>
      <c r="CD30" s="2846">
        <f>SUM(вода!CW9)</f>
        <v>1.4756665607949733</v>
      </c>
      <c r="CE30" s="2867">
        <f t="shared" ref="CE30:CE35" si="211">SUM(BY30+BG30)</f>
        <v>5052.4962599999999</v>
      </c>
      <c r="CF30" s="2982">
        <f t="shared" si="180"/>
        <v>5051.875</v>
      </c>
      <c r="CG30" s="2982">
        <f t="shared" si="180"/>
        <v>0.62125999999999992</v>
      </c>
      <c r="CH30" s="2867">
        <f t="shared" si="181"/>
        <v>58.268128349682229</v>
      </c>
      <c r="CI30" s="2867">
        <f t="shared" si="181"/>
        <v>59.122534910477043</v>
      </c>
      <c r="CJ30" s="2867">
        <f t="shared" si="181"/>
        <v>-0.85440656079497335</v>
      </c>
      <c r="CK30" s="2863"/>
      <c r="CL30" s="4187">
        <f t="shared" si="182"/>
        <v>4994.2281316503177</v>
      </c>
      <c r="CM30" s="4187">
        <f t="shared" si="183"/>
        <v>4992.752465089523</v>
      </c>
      <c r="CN30" s="4187">
        <f t="shared" si="184"/>
        <v>1.4756665607949733</v>
      </c>
    </row>
    <row r="31" spans="1:92" ht="18.75" customHeight="1" x14ac:dyDescent="0.3">
      <c r="A31" s="2864" t="s">
        <v>2</v>
      </c>
      <c r="B31" s="2845">
        <f t="shared" si="185"/>
        <v>312.91335055444625</v>
      </c>
      <c r="C31" s="2845">
        <f t="shared" ref="C31:D35" si="212">SUM(CC31/4)</f>
        <v>312.91335055444625</v>
      </c>
      <c r="D31" s="2845">
        <f t="shared" si="212"/>
        <v>0</v>
      </c>
      <c r="E31" s="2865">
        <f t="shared" si="186"/>
        <v>240.21</v>
      </c>
      <c r="F31" s="2866">
        <v>240.21</v>
      </c>
      <c r="G31" s="2866"/>
      <c r="H31" s="2865">
        <f t="shared" si="187"/>
        <v>240.215</v>
      </c>
      <c r="I31" s="2866">
        <v>240.215</v>
      </c>
      <c r="J31" s="2866"/>
      <c r="K31" s="2865">
        <f t="shared" si="188"/>
        <v>240.21</v>
      </c>
      <c r="L31" s="2866">
        <v>240.21</v>
      </c>
      <c r="M31" s="2866"/>
      <c r="N31" s="2865">
        <f t="shared" ref="N31:N35" si="213">SUM(O31:P31)</f>
        <v>720.63499999999999</v>
      </c>
      <c r="O31" s="2865">
        <f t="shared" ref="O31:P35" si="214">SUM(F31+I31+L31)</f>
        <v>720.63499999999999</v>
      </c>
      <c r="P31" s="2865">
        <f t="shared" si="214"/>
        <v>0</v>
      </c>
      <c r="Q31" s="2845">
        <f t="shared" si="189"/>
        <v>312.91335055444625</v>
      </c>
      <c r="R31" s="2845">
        <f t="shared" si="190"/>
        <v>312.91335055444625</v>
      </c>
      <c r="S31" s="2845">
        <f t="shared" si="190"/>
        <v>0</v>
      </c>
      <c r="T31" s="2865">
        <f t="shared" si="191"/>
        <v>240.19</v>
      </c>
      <c r="U31" s="2866">
        <v>240.19</v>
      </c>
      <c r="V31" s="2866"/>
      <c r="W31" s="2865">
        <f t="shared" si="192"/>
        <v>240.17</v>
      </c>
      <c r="X31" s="2866">
        <v>240.17</v>
      </c>
      <c r="Y31" s="2866"/>
      <c r="Z31" s="2865">
        <f t="shared" si="193"/>
        <v>187.042</v>
      </c>
      <c r="AA31" s="2866">
        <v>187.042</v>
      </c>
      <c r="AB31" s="2866"/>
      <c r="AC31" s="2865">
        <f t="shared" ref="AC31:AC35" si="215">SUM(AD31:AE31)</f>
        <v>667.40200000000004</v>
      </c>
      <c r="AD31" s="2865">
        <f t="shared" ref="AD31:AE35" si="216">SUM(U31+X31+AA31)</f>
        <v>667.40200000000004</v>
      </c>
      <c r="AE31" s="2865">
        <f t="shared" si="216"/>
        <v>0</v>
      </c>
      <c r="AF31" s="2846">
        <f t="shared" si="194"/>
        <v>625.82670110889251</v>
      </c>
      <c r="AG31" s="2846">
        <f t="shared" si="195"/>
        <v>625.82670110889251</v>
      </c>
      <c r="AH31" s="2846">
        <f t="shared" si="195"/>
        <v>0</v>
      </c>
      <c r="AI31" s="2867">
        <f t="shared" si="196"/>
        <v>1388.037</v>
      </c>
      <c r="AJ31" s="2867">
        <f t="shared" si="196"/>
        <v>1388.037</v>
      </c>
      <c r="AK31" s="2867">
        <f t="shared" si="196"/>
        <v>0</v>
      </c>
      <c r="AL31" s="2867">
        <f t="shared" si="164"/>
        <v>762.21029889110753</v>
      </c>
      <c r="AM31" s="2867">
        <f t="shared" si="164"/>
        <v>762.21029889110753</v>
      </c>
      <c r="AN31" s="2867">
        <f t="shared" si="164"/>
        <v>0</v>
      </c>
      <c r="AO31" s="2845">
        <f t="shared" si="197"/>
        <v>312.91335055444625</v>
      </c>
      <c r="AP31" s="2845">
        <f t="shared" si="198"/>
        <v>312.91335055444625</v>
      </c>
      <c r="AQ31" s="2845">
        <f t="shared" si="198"/>
        <v>0</v>
      </c>
      <c r="AR31" s="2865">
        <f t="shared" si="199"/>
        <v>99.2</v>
      </c>
      <c r="AS31" s="2866">
        <v>99.2</v>
      </c>
      <c r="AT31" s="2866"/>
      <c r="AU31" s="2865">
        <f t="shared" si="200"/>
        <v>86.278999999999996</v>
      </c>
      <c r="AV31" s="2866">
        <v>86.278999999999996</v>
      </c>
      <c r="AW31" s="2866"/>
      <c r="AX31" s="2865">
        <f t="shared" si="201"/>
        <v>83.7</v>
      </c>
      <c r="AY31" s="2866">
        <v>83.7</v>
      </c>
      <c r="AZ31" s="2866"/>
      <c r="BA31" s="2865">
        <f t="shared" ref="BA31:BA35" si="217">SUM(BB31:BC31)</f>
        <v>269.17899999999997</v>
      </c>
      <c r="BB31" s="2865">
        <f t="shared" ref="BB31:BC35" si="218">SUM(AS31+AV31+AY31)</f>
        <v>269.17899999999997</v>
      </c>
      <c r="BC31" s="2865">
        <f t="shared" si="218"/>
        <v>0</v>
      </c>
      <c r="BD31" s="2846">
        <f t="shared" si="202"/>
        <v>938.74005166333882</v>
      </c>
      <c r="BE31" s="2846">
        <f t="shared" si="203"/>
        <v>938.74005166333882</v>
      </c>
      <c r="BF31" s="2846">
        <f t="shared" si="203"/>
        <v>0</v>
      </c>
      <c r="BG31" s="2867">
        <f t="shared" si="204"/>
        <v>1657.2159999999999</v>
      </c>
      <c r="BH31" s="2867">
        <f t="shared" si="204"/>
        <v>1657.2159999999999</v>
      </c>
      <c r="BI31" s="2867">
        <f t="shared" si="204"/>
        <v>0</v>
      </c>
      <c r="BJ31" s="2867">
        <f t="shared" si="172"/>
        <v>718.47594833666108</v>
      </c>
      <c r="BK31" s="2867">
        <f t="shared" si="172"/>
        <v>718.47594833666108</v>
      </c>
      <c r="BL31" s="2867">
        <f t="shared" si="172"/>
        <v>0</v>
      </c>
      <c r="BM31" s="2845">
        <f t="shared" si="205"/>
        <v>312.91335055444625</v>
      </c>
      <c r="BN31" s="2845">
        <f t="shared" si="206"/>
        <v>312.91335055444625</v>
      </c>
      <c r="BO31" s="2845">
        <f t="shared" si="206"/>
        <v>0</v>
      </c>
      <c r="BP31" s="2865">
        <f t="shared" si="207"/>
        <v>83.7</v>
      </c>
      <c r="BQ31" s="2866">
        <v>83.7</v>
      </c>
      <c r="BR31" s="2866"/>
      <c r="BS31" s="2865">
        <f t="shared" si="208"/>
        <v>83.7</v>
      </c>
      <c r="BT31" s="2866">
        <v>83.7</v>
      </c>
      <c r="BU31" s="2866"/>
      <c r="BV31" s="2865">
        <f t="shared" si="209"/>
        <v>83.706999999999994</v>
      </c>
      <c r="BW31" s="2866">
        <v>83.706999999999994</v>
      </c>
      <c r="BX31" s="2866"/>
      <c r="BY31" s="2865">
        <f t="shared" ref="BY31:BY35" si="219">SUM(BZ31:CA31)</f>
        <v>251.107</v>
      </c>
      <c r="BZ31" s="2865">
        <f t="shared" ref="BZ31:CA35" si="220">SUM(BQ31+BT31+BW31)</f>
        <v>251.107</v>
      </c>
      <c r="CA31" s="2865">
        <f t="shared" si="220"/>
        <v>0</v>
      </c>
      <c r="CB31" s="2846">
        <f t="shared" si="210"/>
        <v>1251.653402217785</v>
      </c>
      <c r="CC31" s="2846">
        <f>SUM(вода!CV10)</f>
        <v>1251.653402217785</v>
      </c>
      <c r="CD31" s="2846">
        <f>SUM(вода!CW10)</f>
        <v>0</v>
      </c>
      <c r="CE31" s="2867">
        <f t="shared" si="211"/>
        <v>1908.3229999999999</v>
      </c>
      <c r="CF31" s="2982">
        <f t="shared" si="180"/>
        <v>1908.3229999999999</v>
      </c>
      <c r="CG31" s="2982">
        <f t="shared" si="180"/>
        <v>0</v>
      </c>
      <c r="CH31" s="2867">
        <f t="shared" si="181"/>
        <v>656.66959778221485</v>
      </c>
      <c r="CI31" s="2867">
        <f t="shared" si="181"/>
        <v>656.66959778221485</v>
      </c>
      <c r="CJ31" s="2867">
        <f t="shared" si="181"/>
        <v>0</v>
      </c>
      <c r="CK31" s="2863"/>
      <c r="CL31" s="4187">
        <f t="shared" si="182"/>
        <v>1251.653402217785</v>
      </c>
      <c r="CM31" s="4187">
        <f t="shared" si="183"/>
        <v>1251.653402217785</v>
      </c>
      <c r="CN31" s="4187">
        <f t="shared" si="184"/>
        <v>0</v>
      </c>
    </row>
    <row r="32" spans="1:92" ht="18" customHeight="1" x14ac:dyDescent="0.3">
      <c r="A32" s="2868" t="s">
        <v>3730</v>
      </c>
      <c r="B32" s="2845">
        <f t="shared" si="185"/>
        <v>0</v>
      </c>
      <c r="C32" s="2845">
        <f t="shared" si="212"/>
        <v>0</v>
      </c>
      <c r="D32" s="2845">
        <f t="shared" si="212"/>
        <v>0</v>
      </c>
      <c r="E32" s="2865">
        <f t="shared" si="186"/>
        <v>0</v>
      </c>
      <c r="F32" s="2866"/>
      <c r="G32" s="2866"/>
      <c r="H32" s="2865">
        <f t="shared" si="187"/>
        <v>0</v>
      </c>
      <c r="I32" s="2866"/>
      <c r="J32" s="2866"/>
      <c r="K32" s="2865">
        <f t="shared" si="188"/>
        <v>0</v>
      </c>
      <c r="L32" s="2866"/>
      <c r="M32" s="2866"/>
      <c r="N32" s="2865">
        <f t="shared" si="213"/>
        <v>0</v>
      </c>
      <c r="O32" s="2865">
        <f t="shared" si="214"/>
        <v>0</v>
      </c>
      <c r="P32" s="2865">
        <f t="shared" si="214"/>
        <v>0</v>
      </c>
      <c r="Q32" s="2845">
        <f t="shared" si="189"/>
        <v>0</v>
      </c>
      <c r="R32" s="2845">
        <f t="shared" si="190"/>
        <v>0</v>
      </c>
      <c r="S32" s="2845">
        <f t="shared" si="190"/>
        <v>0</v>
      </c>
      <c r="T32" s="2865">
        <f t="shared" si="191"/>
        <v>0</v>
      </c>
      <c r="U32" s="2866"/>
      <c r="V32" s="2866"/>
      <c r="W32" s="2865">
        <f t="shared" si="192"/>
        <v>0</v>
      </c>
      <c r="X32" s="2866"/>
      <c r="Y32" s="2866"/>
      <c r="Z32" s="2865">
        <f t="shared" si="193"/>
        <v>0</v>
      </c>
      <c r="AA32" s="2866"/>
      <c r="AB32" s="2866"/>
      <c r="AC32" s="2865">
        <f t="shared" si="215"/>
        <v>0</v>
      </c>
      <c r="AD32" s="2865">
        <f t="shared" si="216"/>
        <v>0</v>
      </c>
      <c r="AE32" s="2865">
        <f t="shared" si="216"/>
        <v>0</v>
      </c>
      <c r="AF32" s="2846">
        <f t="shared" si="194"/>
        <v>0</v>
      </c>
      <c r="AG32" s="2846">
        <f t="shared" si="195"/>
        <v>0</v>
      </c>
      <c r="AH32" s="2846">
        <f t="shared" si="195"/>
        <v>0</v>
      </c>
      <c r="AI32" s="2867">
        <f t="shared" si="196"/>
        <v>0</v>
      </c>
      <c r="AJ32" s="2867">
        <f t="shared" si="196"/>
        <v>0</v>
      </c>
      <c r="AK32" s="2867">
        <f t="shared" si="196"/>
        <v>0</v>
      </c>
      <c r="AL32" s="2867">
        <f t="shared" si="164"/>
        <v>0</v>
      </c>
      <c r="AM32" s="2867">
        <f t="shared" si="164"/>
        <v>0</v>
      </c>
      <c r="AN32" s="2867">
        <f t="shared" si="164"/>
        <v>0</v>
      </c>
      <c r="AO32" s="2845">
        <f t="shared" si="197"/>
        <v>0</v>
      </c>
      <c r="AP32" s="2845">
        <f t="shared" si="198"/>
        <v>0</v>
      </c>
      <c r="AQ32" s="2845">
        <f t="shared" si="198"/>
        <v>0</v>
      </c>
      <c r="AR32" s="2865">
        <f t="shared" si="199"/>
        <v>0</v>
      </c>
      <c r="AS32" s="2866"/>
      <c r="AT32" s="2866"/>
      <c r="AU32" s="2865">
        <f t="shared" si="200"/>
        <v>0</v>
      </c>
      <c r="AV32" s="2866"/>
      <c r="AW32" s="2866"/>
      <c r="AX32" s="2865">
        <f t="shared" si="201"/>
        <v>0</v>
      </c>
      <c r="AY32" s="2866"/>
      <c r="AZ32" s="2866"/>
      <c r="BA32" s="2865">
        <f t="shared" si="217"/>
        <v>0</v>
      </c>
      <c r="BB32" s="2865">
        <f t="shared" si="218"/>
        <v>0</v>
      </c>
      <c r="BC32" s="2865">
        <f t="shared" si="218"/>
        <v>0</v>
      </c>
      <c r="BD32" s="2846">
        <f t="shared" si="202"/>
        <v>0</v>
      </c>
      <c r="BE32" s="2846">
        <f t="shared" si="203"/>
        <v>0</v>
      </c>
      <c r="BF32" s="2846">
        <f t="shared" si="203"/>
        <v>0</v>
      </c>
      <c r="BG32" s="2867">
        <f t="shared" si="204"/>
        <v>0</v>
      </c>
      <c r="BH32" s="2867">
        <f t="shared" si="204"/>
        <v>0</v>
      </c>
      <c r="BI32" s="2867">
        <f t="shared" si="204"/>
        <v>0</v>
      </c>
      <c r="BJ32" s="2867">
        <f t="shared" si="172"/>
        <v>0</v>
      </c>
      <c r="BK32" s="2867">
        <f t="shared" si="172"/>
        <v>0</v>
      </c>
      <c r="BL32" s="2867">
        <f t="shared" si="172"/>
        <v>0</v>
      </c>
      <c r="BM32" s="2845">
        <f t="shared" si="205"/>
        <v>0</v>
      </c>
      <c r="BN32" s="2845">
        <f t="shared" si="206"/>
        <v>0</v>
      </c>
      <c r="BO32" s="2845">
        <f t="shared" si="206"/>
        <v>0</v>
      </c>
      <c r="BP32" s="2865">
        <f t="shared" si="207"/>
        <v>0</v>
      </c>
      <c r="BQ32" s="2866"/>
      <c r="BR32" s="2866"/>
      <c r="BS32" s="2865">
        <f t="shared" si="208"/>
        <v>0</v>
      </c>
      <c r="BT32" s="2866"/>
      <c r="BU32" s="2866"/>
      <c r="BV32" s="2865">
        <f t="shared" si="209"/>
        <v>0</v>
      </c>
      <c r="BW32" s="2866"/>
      <c r="BX32" s="2866"/>
      <c r="BY32" s="2865">
        <f t="shared" si="219"/>
        <v>0</v>
      </c>
      <c r="BZ32" s="2865">
        <f t="shared" si="220"/>
        <v>0</v>
      </c>
      <c r="CA32" s="2865">
        <f t="shared" si="220"/>
        <v>0</v>
      </c>
      <c r="CB32" s="2846">
        <f t="shared" si="210"/>
        <v>0</v>
      </c>
      <c r="CC32" s="2846">
        <f>SUM(вода!CV11)</f>
        <v>0</v>
      </c>
      <c r="CD32" s="2846">
        <f>SUM(вода!CW11)</f>
        <v>0</v>
      </c>
      <c r="CE32" s="2867">
        <f t="shared" si="211"/>
        <v>0</v>
      </c>
      <c r="CF32" s="2982">
        <f t="shared" si="180"/>
        <v>0</v>
      </c>
      <c r="CG32" s="2982">
        <f t="shared" si="180"/>
        <v>0</v>
      </c>
      <c r="CH32" s="2867">
        <f t="shared" si="181"/>
        <v>0</v>
      </c>
      <c r="CI32" s="2867">
        <f t="shared" si="181"/>
        <v>0</v>
      </c>
      <c r="CJ32" s="2867">
        <f t="shared" si="181"/>
        <v>0</v>
      </c>
      <c r="CK32" s="2863"/>
      <c r="CL32" s="4187">
        <f t="shared" si="182"/>
        <v>0</v>
      </c>
      <c r="CM32" s="4187">
        <f t="shared" si="183"/>
        <v>0</v>
      </c>
      <c r="CN32" s="4187">
        <f t="shared" si="184"/>
        <v>0</v>
      </c>
    </row>
    <row r="33" spans="1:92" ht="18.75" customHeight="1" x14ac:dyDescent="0.3">
      <c r="A33" s="2864" t="s">
        <v>3</v>
      </c>
      <c r="B33" s="2845">
        <f t="shared" si="185"/>
        <v>0</v>
      </c>
      <c r="C33" s="2845">
        <f t="shared" si="212"/>
        <v>0</v>
      </c>
      <c r="D33" s="2845">
        <f t="shared" si="212"/>
        <v>0</v>
      </c>
      <c r="E33" s="2865">
        <f t="shared" si="186"/>
        <v>0</v>
      </c>
      <c r="F33" s="2866"/>
      <c r="G33" s="2866"/>
      <c r="H33" s="2865">
        <f t="shared" si="187"/>
        <v>0</v>
      </c>
      <c r="I33" s="2866"/>
      <c r="J33" s="2866"/>
      <c r="K33" s="2865">
        <f t="shared" si="188"/>
        <v>0</v>
      </c>
      <c r="L33" s="2866"/>
      <c r="M33" s="2866"/>
      <c r="N33" s="2865">
        <f t="shared" si="213"/>
        <v>0</v>
      </c>
      <c r="O33" s="2865">
        <f t="shared" si="214"/>
        <v>0</v>
      </c>
      <c r="P33" s="2865">
        <f t="shared" si="214"/>
        <v>0</v>
      </c>
      <c r="Q33" s="2845">
        <f t="shared" si="189"/>
        <v>0</v>
      </c>
      <c r="R33" s="2845">
        <f t="shared" si="190"/>
        <v>0</v>
      </c>
      <c r="S33" s="2845">
        <f t="shared" si="190"/>
        <v>0</v>
      </c>
      <c r="T33" s="2865">
        <f t="shared" si="191"/>
        <v>0</v>
      </c>
      <c r="U33" s="2866"/>
      <c r="V33" s="2866"/>
      <c r="W33" s="2865">
        <f t="shared" si="192"/>
        <v>0</v>
      </c>
      <c r="X33" s="2866"/>
      <c r="Y33" s="2866"/>
      <c r="Z33" s="2865">
        <f t="shared" si="193"/>
        <v>0</v>
      </c>
      <c r="AA33" s="2866"/>
      <c r="AB33" s="2866"/>
      <c r="AC33" s="2865">
        <f t="shared" si="215"/>
        <v>0</v>
      </c>
      <c r="AD33" s="2865">
        <f t="shared" si="216"/>
        <v>0</v>
      </c>
      <c r="AE33" s="2865">
        <f t="shared" si="216"/>
        <v>0</v>
      </c>
      <c r="AF33" s="2846">
        <f t="shared" si="194"/>
        <v>0</v>
      </c>
      <c r="AG33" s="2846">
        <f t="shared" si="195"/>
        <v>0</v>
      </c>
      <c r="AH33" s="2846">
        <f t="shared" si="195"/>
        <v>0</v>
      </c>
      <c r="AI33" s="2867">
        <f t="shared" si="196"/>
        <v>0</v>
      </c>
      <c r="AJ33" s="2867">
        <f t="shared" si="196"/>
        <v>0</v>
      </c>
      <c r="AK33" s="2867">
        <f t="shared" si="196"/>
        <v>0</v>
      </c>
      <c r="AL33" s="2867">
        <f t="shared" si="164"/>
        <v>0</v>
      </c>
      <c r="AM33" s="2867">
        <f t="shared" si="164"/>
        <v>0</v>
      </c>
      <c r="AN33" s="2867">
        <f t="shared" si="164"/>
        <v>0</v>
      </c>
      <c r="AO33" s="2845">
        <f t="shared" si="197"/>
        <v>0</v>
      </c>
      <c r="AP33" s="2845">
        <f t="shared" si="198"/>
        <v>0</v>
      </c>
      <c r="AQ33" s="2845">
        <f t="shared" si="198"/>
        <v>0</v>
      </c>
      <c r="AR33" s="2865">
        <f t="shared" si="199"/>
        <v>6.53</v>
      </c>
      <c r="AS33" s="2866">
        <v>6.53</v>
      </c>
      <c r="AT33" s="2866"/>
      <c r="AU33" s="2865">
        <f t="shared" si="200"/>
        <v>0</v>
      </c>
      <c r="AV33" s="2866"/>
      <c r="AW33" s="2866"/>
      <c r="AX33" s="2865">
        <f t="shared" si="201"/>
        <v>0</v>
      </c>
      <c r="AY33" s="2866"/>
      <c r="AZ33" s="2866"/>
      <c r="BA33" s="2865">
        <f t="shared" si="217"/>
        <v>6.53</v>
      </c>
      <c r="BB33" s="2865">
        <f t="shared" si="218"/>
        <v>6.53</v>
      </c>
      <c r="BC33" s="2865">
        <f t="shared" si="218"/>
        <v>0</v>
      </c>
      <c r="BD33" s="2846">
        <f t="shared" si="202"/>
        <v>0</v>
      </c>
      <c r="BE33" s="2846">
        <f t="shared" si="203"/>
        <v>0</v>
      </c>
      <c r="BF33" s="2846">
        <f t="shared" si="203"/>
        <v>0</v>
      </c>
      <c r="BG33" s="2867">
        <f t="shared" si="204"/>
        <v>6.53</v>
      </c>
      <c r="BH33" s="2867">
        <f t="shared" si="204"/>
        <v>6.53</v>
      </c>
      <c r="BI33" s="2867">
        <f t="shared" si="204"/>
        <v>0</v>
      </c>
      <c r="BJ33" s="2867">
        <f t="shared" si="172"/>
        <v>6.53</v>
      </c>
      <c r="BK33" s="2867">
        <f t="shared" si="172"/>
        <v>6.53</v>
      </c>
      <c r="BL33" s="2867">
        <f t="shared" si="172"/>
        <v>0</v>
      </c>
      <c r="BM33" s="2845">
        <f t="shared" si="205"/>
        <v>0</v>
      </c>
      <c r="BN33" s="2845">
        <f t="shared" si="206"/>
        <v>0</v>
      </c>
      <c r="BO33" s="2845">
        <f t="shared" si="206"/>
        <v>0</v>
      </c>
      <c r="BP33" s="2865">
        <f t="shared" si="207"/>
        <v>0</v>
      </c>
      <c r="BQ33" s="2866"/>
      <c r="BR33" s="2866"/>
      <c r="BS33" s="2865">
        <f t="shared" si="208"/>
        <v>1.657</v>
      </c>
      <c r="BT33" s="2866">
        <v>1.657</v>
      </c>
      <c r="BU33" s="2866"/>
      <c r="BV33" s="2865">
        <f t="shared" si="209"/>
        <v>9.82</v>
      </c>
      <c r="BW33" s="2866">
        <v>9.82</v>
      </c>
      <c r="BX33" s="2866"/>
      <c r="BY33" s="2865">
        <f t="shared" si="219"/>
        <v>11.477</v>
      </c>
      <c r="BZ33" s="2865">
        <f t="shared" si="220"/>
        <v>11.477</v>
      </c>
      <c r="CA33" s="2865">
        <f t="shared" si="220"/>
        <v>0</v>
      </c>
      <c r="CB33" s="2846">
        <f t="shared" si="210"/>
        <v>0</v>
      </c>
      <c r="CC33" s="2846">
        <f>SUM(вода!CV12)</f>
        <v>0</v>
      </c>
      <c r="CD33" s="2846">
        <f>SUM(вода!CW12)</f>
        <v>0</v>
      </c>
      <c r="CE33" s="2867">
        <f t="shared" si="211"/>
        <v>18.007000000000001</v>
      </c>
      <c r="CF33" s="2982">
        <f t="shared" si="180"/>
        <v>18.007000000000001</v>
      </c>
      <c r="CG33" s="2982">
        <f t="shared" si="180"/>
        <v>0</v>
      </c>
      <c r="CH33" s="2867">
        <f t="shared" si="181"/>
        <v>18.007000000000001</v>
      </c>
      <c r="CI33" s="2867">
        <f t="shared" si="181"/>
        <v>18.007000000000001</v>
      </c>
      <c r="CJ33" s="2867">
        <f t="shared" si="181"/>
        <v>0</v>
      </c>
      <c r="CK33" s="2863"/>
      <c r="CL33" s="4187">
        <f t="shared" si="182"/>
        <v>0</v>
      </c>
      <c r="CM33" s="4187">
        <f t="shared" si="183"/>
        <v>0</v>
      </c>
      <c r="CN33" s="4187">
        <f t="shared" si="184"/>
        <v>0</v>
      </c>
    </row>
    <row r="34" spans="1:92" ht="18.75" customHeight="1" x14ac:dyDescent="0.3">
      <c r="A34" s="2864" t="s">
        <v>4</v>
      </c>
      <c r="B34" s="2845">
        <f t="shared" si="185"/>
        <v>2057.3526584757155</v>
      </c>
      <c r="C34" s="2845">
        <f t="shared" si="212"/>
        <v>2053.2229084757155</v>
      </c>
      <c r="D34" s="2845">
        <f t="shared" si="212"/>
        <v>4.1297499999999996</v>
      </c>
      <c r="E34" s="2865">
        <f t="shared" si="186"/>
        <v>660.73100000000011</v>
      </c>
      <c r="F34" s="2866">
        <v>659.94</v>
      </c>
      <c r="G34" s="2866">
        <v>0.79100000000000004</v>
      </c>
      <c r="H34" s="2865">
        <f t="shared" si="187"/>
        <v>588.12599999999998</v>
      </c>
      <c r="I34" s="2866">
        <v>587.13099999999997</v>
      </c>
      <c r="J34" s="2866">
        <v>0.995</v>
      </c>
      <c r="K34" s="2865">
        <f t="shared" si="188"/>
        <v>696.62</v>
      </c>
      <c r="L34" s="2866">
        <v>695.46</v>
      </c>
      <c r="M34" s="2866">
        <v>1.1599999999999999</v>
      </c>
      <c r="N34" s="2865">
        <f t="shared" si="213"/>
        <v>1945.4769999999999</v>
      </c>
      <c r="O34" s="2865">
        <f t="shared" si="214"/>
        <v>1942.5309999999999</v>
      </c>
      <c r="P34" s="2865">
        <f t="shared" si="214"/>
        <v>2.9459999999999997</v>
      </c>
      <c r="Q34" s="2845">
        <f t="shared" si="189"/>
        <v>2057.3526584757155</v>
      </c>
      <c r="R34" s="2845">
        <f t="shared" si="190"/>
        <v>2053.2229084757155</v>
      </c>
      <c r="S34" s="2845">
        <f t="shared" si="190"/>
        <v>4.1297499999999996</v>
      </c>
      <c r="T34" s="2865">
        <f t="shared" si="191"/>
        <v>660.18</v>
      </c>
      <c r="U34" s="2866">
        <v>659</v>
      </c>
      <c r="V34" s="2866">
        <v>1.18</v>
      </c>
      <c r="W34" s="2865">
        <f t="shared" si="192"/>
        <v>866.56000000000006</v>
      </c>
      <c r="X34" s="2866">
        <v>865.62</v>
      </c>
      <c r="Y34" s="2866">
        <v>0.94</v>
      </c>
      <c r="Z34" s="2865">
        <f t="shared" si="193"/>
        <v>648.06000000000006</v>
      </c>
      <c r="AA34" s="2866">
        <v>647.41300000000001</v>
      </c>
      <c r="AB34" s="2866">
        <v>0.64700000000000002</v>
      </c>
      <c r="AC34" s="2865">
        <f t="shared" si="215"/>
        <v>2174.7999999999997</v>
      </c>
      <c r="AD34" s="2865">
        <f t="shared" si="216"/>
        <v>2172.0329999999999</v>
      </c>
      <c r="AE34" s="2865">
        <f t="shared" si="216"/>
        <v>2.7670000000000003</v>
      </c>
      <c r="AF34" s="2846">
        <f t="shared" si="194"/>
        <v>4114.7053169514311</v>
      </c>
      <c r="AG34" s="2846">
        <f t="shared" si="195"/>
        <v>4106.445816951431</v>
      </c>
      <c r="AH34" s="2846">
        <f t="shared" si="195"/>
        <v>8.2594999999999992</v>
      </c>
      <c r="AI34" s="2867">
        <f t="shared" si="196"/>
        <v>4120.277</v>
      </c>
      <c r="AJ34" s="2867">
        <f t="shared" si="196"/>
        <v>4114.5640000000003</v>
      </c>
      <c r="AK34" s="2867">
        <f t="shared" si="196"/>
        <v>5.7130000000000001</v>
      </c>
      <c r="AL34" s="2867">
        <f t="shared" si="164"/>
        <v>5.571683048568957</v>
      </c>
      <c r="AM34" s="2867">
        <f t="shared" si="164"/>
        <v>8.1181830485693354</v>
      </c>
      <c r="AN34" s="2867">
        <f t="shared" si="164"/>
        <v>-2.5464999999999991</v>
      </c>
      <c r="AO34" s="2845">
        <f t="shared" si="197"/>
        <v>2057.3526584757155</v>
      </c>
      <c r="AP34" s="2845">
        <f t="shared" si="198"/>
        <v>2053.2229084757155</v>
      </c>
      <c r="AQ34" s="2845">
        <f t="shared" si="198"/>
        <v>4.1297499999999996</v>
      </c>
      <c r="AR34" s="2865">
        <f t="shared" si="199"/>
        <v>682.12</v>
      </c>
      <c r="AS34" s="2866">
        <v>681.47</v>
      </c>
      <c r="AT34" s="2866">
        <v>0.65</v>
      </c>
      <c r="AU34" s="2865">
        <f t="shared" si="200"/>
        <v>711.553</v>
      </c>
      <c r="AV34" s="2866">
        <v>710.36699999999996</v>
      </c>
      <c r="AW34" s="2866">
        <v>1.1859999999999999</v>
      </c>
      <c r="AX34" s="2865">
        <f t="shared" si="201"/>
        <v>775.14800000000002</v>
      </c>
      <c r="AY34" s="2866">
        <v>773.53700000000003</v>
      </c>
      <c r="AZ34" s="2866">
        <v>1.611</v>
      </c>
      <c r="BA34" s="2865">
        <f t="shared" si="217"/>
        <v>2168.8209999999999</v>
      </c>
      <c r="BB34" s="2865">
        <f t="shared" si="218"/>
        <v>2165.3739999999998</v>
      </c>
      <c r="BC34" s="2865">
        <f t="shared" si="218"/>
        <v>3.4470000000000001</v>
      </c>
      <c r="BD34" s="2846">
        <f t="shared" si="202"/>
        <v>6172.0579754271466</v>
      </c>
      <c r="BE34" s="2846">
        <f t="shared" si="203"/>
        <v>6159.6687254271465</v>
      </c>
      <c r="BF34" s="2846">
        <f t="shared" si="203"/>
        <v>12.389249999999999</v>
      </c>
      <c r="BG34" s="2867">
        <f t="shared" si="204"/>
        <v>6289.098</v>
      </c>
      <c r="BH34" s="2867">
        <f t="shared" si="204"/>
        <v>6279.9380000000001</v>
      </c>
      <c r="BI34" s="2867">
        <f t="shared" si="204"/>
        <v>9.16</v>
      </c>
      <c r="BJ34" s="2867">
        <f t="shared" si="172"/>
        <v>117.04002457285333</v>
      </c>
      <c r="BK34" s="2867">
        <f t="shared" si="172"/>
        <v>120.26927457285365</v>
      </c>
      <c r="BL34" s="2867">
        <f t="shared" si="172"/>
        <v>-3.2292499999999986</v>
      </c>
      <c r="BM34" s="2845">
        <f t="shared" si="205"/>
        <v>2057.3526584757155</v>
      </c>
      <c r="BN34" s="2845">
        <f t="shared" si="206"/>
        <v>2053.2229084757155</v>
      </c>
      <c r="BO34" s="2845">
        <f t="shared" si="206"/>
        <v>4.1297499999999996</v>
      </c>
      <c r="BP34" s="2865">
        <f t="shared" si="207"/>
        <v>624.34478999999999</v>
      </c>
      <c r="BQ34" s="2866">
        <v>623.61699999999996</v>
      </c>
      <c r="BR34" s="2866">
        <v>0.72779000000000005</v>
      </c>
      <c r="BS34" s="2865">
        <f t="shared" si="208"/>
        <v>669.875</v>
      </c>
      <c r="BT34" s="2866">
        <v>668.76900000000001</v>
      </c>
      <c r="BU34" s="2866">
        <v>1.1060000000000001</v>
      </c>
      <c r="BV34" s="2865">
        <f t="shared" si="209"/>
        <v>739.51499999999999</v>
      </c>
      <c r="BW34" s="2866">
        <v>738.41899999999998</v>
      </c>
      <c r="BX34" s="2866">
        <v>1.0960000000000001</v>
      </c>
      <c r="BY34" s="2865">
        <f t="shared" si="219"/>
        <v>2033.7347899999997</v>
      </c>
      <c r="BZ34" s="2865">
        <f t="shared" si="220"/>
        <v>2030.8049999999998</v>
      </c>
      <c r="CA34" s="2865">
        <f t="shared" si="220"/>
        <v>2.9297900000000001</v>
      </c>
      <c r="CB34" s="2846">
        <f t="shared" si="210"/>
        <v>8229.4106339028622</v>
      </c>
      <c r="CC34" s="2846">
        <f>SUM(вода!CV13)</f>
        <v>8212.8916339028619</v>
      </c>
      <c r="CD34" s="2846">
        <f>SUM(вода!CW13)</f>
        <v>16.518999999999998</v>
      </c>
      <c r="CE34" s="2867">
        <f t="shared" si="211"/>
        <v>8322.8327900000004</v>
      </c>
      <c r="CF34" s="2982">
        <f t="shared" si="180"/>
        <v>8310.7430000000004</v>
      </c>
      <c r="CG34" s="2982">
        <f t="shared" si="180"/>
        <v>12.089790000000001</v>
      </c>
      <c r="CH34" s="2867">
        <f t="shared" si="181"/>
        <v>93.422156097138213</v>
      </c>
      <c r="CI34" s="2867">
        <f t="shared" si="181"/>
        <v>97.851366097138452</v>
      </c>
      <c r="CJ34" s="2867">
        <f t="shared" si="181"/>
        <v>-4.4292099999999976</v>
      </c>
      <c r="CK34" s="2863"/>
      <c r="CL34" s="4187">
        <f t="shared" si="182"/>
        <v>8229.4106339028622</v>
      </c>
      <c r="CM34" s="4187">
        <f t="shared" si="183"/>
        <v>8212.8916339028619</v>
      </c>
      <c r="CN34" s="4187">
        <f t="shared" si="184"/>
        <v>16.518999999999998</v>
      </c>
    </row>
    <row r="35" spans="1:92" ht="18.75" customHeight="1" x14ac:dyDescent="0.3">
      <c r="A35" s="2864" t="s">
        <v>5</v>
      </c>
      <c r="B35" s="2845">
        <f t="shared" si="185"/>
        <v>619.26447974913924</v>
      </c>
      <c r="C35" s="2845">
        <f t="shared" si="212"/>
        <v>618.02142233032089</v>
      </c>
      <c r="D35" s="2845">
        <f t="shared" si="212"/>
        <v>1.2430574188184058</v>
      </c>
      <c r="E35" s="2865">
        <f t="shared" si="186"/>
        <v>199.499</v>
      </c>
      <c r="F35" s="2866">
        <v>199.26</v>
      </c>
      <c r="G35" s="2866">
        <v>0.23899999999999999</v>
      </c>
      <c r="H35" s="2865">
        <f t="shared" si="187"/>
        <v>174.75248999999999</v>
      </c>
      <c r="I35" s="2866">
        <f>1.12+173.332</f>
        <v>174.452</v>
      </c>
      <c r="J35" s="2866">
        <f>0.30049</f>
        <v>0.30048999999999998</v>
      </c>
      <c r="K35" s="2865">
        <f t="shared" si="188"/>
        <v>210.32999999999998</v>
      </c>
      <c r="L35" s="2866">
        <v>209.98</v>
      </c>
      <c r="M35" s="2866">
        <v>0.35</v>
      </c>
      <c r="N35" s="2865">
        <f t="shared" si="213"/>
        <v>584.58149000000003</v>
      </c>
      <c r="O35" s="2865">
        <f t="shared" si="214"/>
        <v>583.69200000000001</v>
      </c>
      <c r="P35" s="2865">
        <f t="shared" si="214"/>
        <v>0.88949</v>
      </c>
      <c r="Q35" s="2845">
        <f t="shared" si="189"/>
        <v>619.26447974913924</v>
      </c>
      <c r="R35" s="2845">
        <f t="shared" si="190"/>
        <v>618.02142233032089</v>
      </c>
      <c r="S35" s="2845">
        <f t="shared" si="190"/>
        <v>1.2430574188184058</v>
      </c>
      <c r="T35" s="2865">
        <f t="shared" si="191"/>
        <v>197.91000000000003</v>
      </c>
      <c r="U35" s="2866">
        <v>197.55</v>
      </c>
      <c r="V35" s="2866">
        <v>0.36</v>
      </c>
      <c r="W35" s="2865">
        <f t="shared" si="192"/>
        <v>250.01</v>
      </c>
      <c r="X35" s="2866">
        <v>249.73</v>
      </c>
      <c r="Y35" s="2866">
        <v>0.28000000000000003</v>
      </c>
      <c r="Z35" s="2865">
        <f t="shared" si="193"/>
        <v>195.04400000000001</v>
      </c>
      <c r="AA35" s="2866">
        <v>194.84800000000001</v>
      </c>
      <c r="AB35" s="2866">
        <v>0.19600000000000001</v>
      </c>
      <c r="AC35" s="2865">
        <f t="shared" si="215"/>
        <v>642.96399999999994</v>
      </c>
      <c r="AD35" s="2865">
        <f t="shared" si="216"/>
        <v>642.12799999999993</v>
      </c>
      <c r="AE35" s="2865">
        <f t="shared" si="216"/>
        <v>0.83600000000000008</v>
      </c>
      <c r="AF35" s="2846">
        <f t="shared" si="194"/>
        <v>1238.5289594982785</v>
      </c>
      <c r="AG35" s="2846">
        <f t="shared" si="195"/>
        <v>1236.0428446606418</v>
      </c>
      <c r="AH35" s="2846">
        <f t="shared" si="195"/>
        <v>2.4861148376368116</v>
      </c>
      <c r="AI35" s="2867">
        <f t="shared" si="196"/>
        <v>1227.54549</v>
      </c>
      <c r="AJ35" s="2867">
        <f t="shared" si="196"/>
        <v>1225.82</v>
      </c>
      <c r="AK35" s="2867">
        <f t="shared" si="196"/>
        <v>1.7254900000000002</v>
      </c>
      <c r="AL35" s="2867">
        <f t="shared" si="164"/>
        <v>-10.983469498278509</v>
      </c>
      <c r="AM35" s="2867">
        <f t="shared" si="164"/>
        <v>-10.22284466064184</v>
      </c>
      <c r="AN35" s="2867">
        <f t="shared" si="164"/>
        <v>-0.76062483763681144</v>
      </c>
      <c r="AO35" s="2845">
        <f t="shared" si="197"/>
        <v>619.26447974913924</v>
      </c>
      <c r="AP35" s="2845">
        <f t="shared" si="198"/>
        <v>618.02142233032089</v>
      </c>
      <c r="AQ35" s="2845">
        <f t="shared" si="198"/>
        <v>1.2430574188184058</v>
      </c>
      <c r="AR35" s="2865">
        <f t="shared" si="199"/>
        <v>204.72499999999999</v>
      </c>
      <c r="AS35" s="2866">
        <v>204.53</v>
      </c>
      <c r="AT35" s="2866">
        <v>0.19500000000000001</v>
      </c>
      <c r="AU35" s="2865">
        <f t="shared" si="200"/>
        <v>212.53300000000002</v>
      </c>
      <c r="AV35" s="2866">
        <v>212.17500000000001</v>
      </c>
      <c r="AW35" s="2866">
        <v>0.35799999999999998</v>
      </c>
      <c r="AX35" s="2865">
        <f t="shared" si="201"/>
        <v>231.96</v>
      </c>
      <c r="AY35" s="2866">
        <v>231.47300000000001</v>
      </c>
      <c r="AZ35" s="2866">
        <v>0.48699999999999999</v>
      </c>
      <c r="BA35" s="2865">
        <f t="shared" si="217"/>
        <v>649.21800000000007</v>
      </c>
      <c r="BB35" s="2865">
        <f t="shared" si="218"/>
        <v>648.17800000000011</v>
      </c>
      <c r="BC35" s="2865">
        <f t="shared" si="218"/>
        <v>1.04</v>
      </c>
      <c r="BD35" s="2846">
        <f t="shared" si="202"/>
        <v>1857.7934392474178</v>
      </c>
      <c r="BE35" s="2846">
        <f t="shared" si="203"/>
        <v>1854.0642669909626</v>
      </c>
      <c r="BF35" s="2846">
        <f t="shared" si="203"/>
        <v>3.7291722564552172</v>
      </c>
      <c r="BG35" s="2867">
        <f t="shared" si="204"/>
        <v>1876.76349</v>
      </c>
      <c r="BH35" s="2867">
        <f t="shared" si="204"/>
        <v>1873.998</v>
      </c>
      <c r="BI35" s="2867">
        <f t="shared" si="204"/>
        <v>2.7654900000000002</v>
      </c>
      <c r="BJ35" s="2867">
        <f t="shared" si="172"/>
        <v>18.97005075258221</v>
      </c>
      <c r="BK35" s="2867">
        <f t="shared" si="172"/>
        <v>19.933733009037496</v>
      </c>
      <c r="BL35" s="2867">
        <f t="shared" si="172"/>
        <v>-0.96368225645521699</v>
      </c>
      <c r="BM35" s="2845">
        <f t="shared" si="205"/>
        <v>619.26447974913924</v>
      </c>
      <c r="BN35" s="2845">
        <f t="shared" si="206"/>
        <v>618.02142233032089</v>
      </c>
      <c r="BO35" s="2845">
        <f t="shared" si="206"/>
        <v>1.2430574188184058</v>
      </c>
      <c r="BP35" s="2865">
        <f t="shared" si="207"/>
        <v>185.90278999999998</v>
      </c>
      <c r="BQ35" s="2866">
        <v>185.68299999999999</v>
      </c>
      <c r="BR35" s="2866">
        <v>0.21979000000000001</v>
      </c>
      <c r="BS35" s="2865">
        <f t="shared" si="208"/>
        <v>198.92789999999999</v>
      </c>
      <c r="BT35" s="2866">
        <v>198.59399999999999</v>
      </c>
      <c r="BU35" s="2866">
        <v>0.33389999999999997</v>
      </c>
      <c r="BV35" s="2865">
        <f t="shared" si="209"/>
        <v>221.12609999999998</v>
      </c>
      <c r="BW35" s="2866">
        <v>220.79409999999999</v>
      </c>
      <c r="BX35" s="2866">
        <v>0.33200000000000002</v>
      </c>
      <c r="BY35" s="2865">
        <f t="shared" si="219"/>
        <v>605.95678999999996</v>
      </c>
      <c r="BZ35" s="2865">
        <f t="shared" si="220"/>
        <v>605.0711</v>
      </c>
      <c r="CA35" s="2865">
        <f t="shared" si="220"/>
        <v>0.88569000000000009</v>
      </c>
      <c r="CB35" s="2846">
        <f t="shared" si="210"/>
        <v>2477.057918996557</v>
      </c>
      <c r="CC35" s="2846">
        <f>SUM(вода!CV14)</f>
        <v>2472.0856893212836</v>
      </c>
      <c r="CD35" s="2846">
        <f>SUM(вода!CW14)</f>
        <v>4.9722296752736233</v>
      </c>
      <c r="CE35" s="2867">
        <f t="shared" si="211"/>
        <v>2482.72028</v>
      </c>
      <c r="CF35" s="2982">
        <f t="shared" si="180"/>
        <v>2479.0691000000002</v>
      </c>
      <c r="CG35" s="2982">
        <f t="shared" si="180"/>
        <v>3.6511800000000001</v>
      </c>
      <c r="CH35" s="2867">
        <f t="shared" si="181"/>
        <v>5.6623610034430385</v>
      </c>
      <c r="CI35" s="2867">
        <f t="shared" si="181"/>
        <v>6.9834106787166093</v>
      </c>
      <c r="CJ35" s="2867">
        <f t="shared" si="181"/>
        <v>-1.3210496752736232</v>
      </c>
      <c r="CK35" s="2863"/>
      <c r="CL35" s="4187">
        <f t="shared" si="182"/>
        <v>2477.057918996557</v>
      </c>
      <c r="CM35" s="4187">
        <f t="shared" si="183"/>
        <v>2472.0856893212836</v>
      </c>
      <c r="CN35" s="4187">
        <f t="shared" si="184"/>
        <v>4.9722296752736233</v>
      </c>
    </row>
    <row r="36" spans="1:92" ht="18.75" customHeight="1" x14ac:dyDescent="0.2">
      <c r="A36" s="2869" t="s">
        <v>310</v>
      </c>
      <c r="B36" s="2849">
        <f t="shared" ref="B36:AK36" si="221">SUM(B35/B34)</f>
        <v>0.30100064624212258</v>
      </c>
      <c r="C36" s="2849">
        <f t="shared" si="221"/>
        <v>0.30100064624212258</v>
      </c>
      <c r="D36" s="2849">
        <f t="shared" si="221"/>
        <v>0.30100064624212264</v>
      </c>
      <c r="E36" s="2849">
        <f t="shared" si="221"/>
        <v>0.3019367942475833</v>
      </c>
      <c r="F36" s="2849">
        <f t="shared" si="221"/>
        <v>0.30193653968542589</v>
      </c>
      <c r="G36" s="2849">
        <f t="shared" si="221"/>
        <v>0.30214917825537291</v>
      </c>
      <c r="H36" s="2849">
        <f t="shared" si="221"/>
        <v>0.29713444057905958</v>
      </c>
      <c r="I36" s="2849">
        <f t="shared" si="221"/>
        <v>0.29712619500588455</v>
      </c>
      <c r="J36" s="2849">
        <f t="shared" si="221"/>
        <v>0.30199999999999999</v>
      </c>
      <c r="K36" s="2849">
        <f t="shared" si="221"/>
        <v>0.30192931583933852</v>
      </c>
      <c r="L36" s="2849">
        <f t="shared" si="221"/>
        <v>0.30192965806804128</v>
      </c>
      <c r="M36" s="2849">
        <f t="shared" si="221"/>
        <v>0.30172413793103448</v>
      </c>
      <c r="N36" s="2849">
        <f t="shared" si="221"/>
        <v>0.30048234443275357</v>
      </c>
      <c r="O36" s="2849">
        <f t="shared" si="221"/>
        <v>0.30048014677758039</v>
      </c>
      <c r="P36" s="2849">
        <f t="shared" si="221"/>
        <v>0.30193143245078075</v>
      </c>
      <c r="Q36" s="2849">
        <f t="shared" si="221"/>
        <v>0.30100064624212258</v>
      </c>
      <c r="R36" s="2849">
        <f t="shared" si="221"/>
        <v>0.30100064624212258</v>
      </c>
      <c r="S36" s="2849">
        <f t="shared" si="221"/>
        <v>0.30100064624212264</v>
      </c>
      <c r="T36" s="2849">
        <f t="shared" si="221"/>
        <v>0.29978187766972653</v>
      </c>
      <c r="U36" s="2849">
        <f t="shared" si="221"/>
        <v>0.29977238239757209</v>
      </c>
      <c r="V36" s="2849">
        <f t="shared" si="221"/>
        <v>0.30508474576271188</v>
      </c>
      <c r="W36" s="2849">
        <f t="shared" si="221"/>
        <v>0.28850858567208271</v>
      </c>
      <c r="X36" s="2849">
        <f t="shared" si="221"/>
        <v>0.28849841731937803</v>
      </c>
      <c r="Y36" s="2849">
        <f t="shared" si="221"/>
        <v>0.29787234042553196</v>
      </c>
      <c r="Z36" s="2849">
        <f t="shared" si="221"/>
        <v>0.30096595994198067</v>
      </c>
      <c r="AA36" s="2849">
        <f t="shared" si="221"/>
        <v>0.30096399052845713</v>
      </c>
      <c r="AB36" s="2849">
        <f t="shared" si="221"/>
        <v>0.30293663060278209</v>
      </c>
      <c r="AC36" s="2849">
        <f t="shared" si="221"/>
        <v>0.29564281773036605</v>
      </c>
      <c r="AD36" s="2849">
        <f t="shared" si="221"/>
        <v>0.29563455067211225</v>
      </c>
      <c r="AE36" s="2849">
        <f t="shared" si="221"/>
        <v>0.30213227322009395</v>
      </c>
      <c r="AF36" s="2850">
        <f t="shared" si="221"/>
        <v>0.30100064624212258</v>
      </c>
      <c r="AG36" s="2850">
        <f t="shared" si="221"/>
        <v>0.30100064624212258</v>
      </c>
      <c r="AH36" s="2850">
        <f t="shared" si="221"/>
        <v>0.30100064624212264</v>
      </c>
      <c r="AI36" s="2850">
        <f t="shared" si="221"/>
        <v>0.29792790387636559</v>
      </c>
      <c r="AJ36" s="2850">
        <f t="shared" si="221"/>
        <v>0.29792220998385244</v>
      </c>
      <c r="AK36" s="2850">
        <f t="shared" si="221"/>
        <v>0.3020287064589533</v>
      </c>
      <c r="AL36" s="2870">
        <f t="shared" si="164"/>
        <v>-3.0727423657569974E-3</v>
      </c>
      <c r="AM36" s="2870">
        <f t="shared" si="164"/>
        <v>-3.0784362582701452E-3</v>
      </c>
      <c r="AN36" s="2870">
        <f t="shared" si="164"/>
        <v>1.0280602168306618E-3</v>
      </c>
      <c r="AO36" s="2849">
        <f t="shared" ref="AO36:BI36" si="222">SUM(AO35/AO34)</f>
        <v>0.30100064624212258</v>
      </c>
      <c r="AP36" s="2849">
        <f t="shared" si="222"/>
        <v>0.30100064624212258</v>
      </c>
      <c r="AQ36" s="2849">
        <f t="shared" si="222"/>
        <v>0.30100064624212264</v>
      </c>
      <c r="AR36" s="2849">
        <f t="shared" si="222"/>
        <v>0.30013047557614497</v>
      </c>
      <c r="AS36" s="2849">
        <f t="shared" si="222"/>
        <v>0.30013060002641345</v>
      </c>
      <c r="AT36" s="2849">
        <f t="shared" si="222"/>
        <v>0.3</v>
      </c>
      <c r="AU36" s="2849">
        <f t="shared" si="222"/>
        <v>0.29868892408576736</v>
      </c>
      <c r="AV36" s="2849">
        <f t="shared" si="222"/>
        <v>0.29868363817575988</v>
      </c>
      <c r="AW36" s="2849">
        <f t="shared" si="222"/>
        <v>0.30185497470489037</v>
      </c>
      <c r="AX36" s="2849">
        <f t="shared" si="222"/>
        <v>0.29924607945837439</v>
      </c>
      <c r="AY36" s="2849">
        <f t="shared" si="222"/>
        <v>0.29923972608937904</v>
      </c>
      <c r="AZ36" s="2849">
        <f t="shared" si="222"/>
        <v>0.30229671011793918</v>
      </c>
      <c r="BA36" s="2849">
        <f t="shared" si="222"/>
        <v>0.29934143942722802</v>
      </c>
      <c r="BB36" s="2849">
        <f t="shared" si="222"/>
        <v>0.29933766638003417</v>
      </c>
      <c r="BC36" s="2849">
        <f t="shared" si="222"/>
        <v>0.3017116333043226</v>
      </c>
      <c r="BD36" s="2850">
        <f t="shared" si="222"/>
        <v>0.30100064624212258</v>
      </c>
      <c r="BE36" s="2850">
        <f t="shared" si="222"/>
        <v>0.30100064624212258</v>
      </c>
      <c r="BF36" s="2850">
        <f t="shared" si="222"/>
        <v>0.30100064624212264</v>
      </c>
      <c r="BG36" s="2850">
        <f t="shared" si="222"/>
        <v>0.29841536735474627</v>
      </c>
      <c r="BH36" s="2850">
        <f t="shared" si="222"/>
        <v>0.2984102709294264</v>
      </c>
      <c r="BI36" s="2850">
        <f t="shared" si="222"/>
        <v>0.30190938864628825</v>
      </c>
      <c r="BJ36" s="2870">
        <f t="shared" si="172"/>
        <v>-2.5852788873763077E-3</v>
      </c>
      <c r="BK36" s="2870">
        <f t="shared" si="172"/>
        <v>-2.5903753126961804E-3</v>
      </c>
      <c r="BL36" s="2870">
        <f t="shared" si="172"/>
        <v>9.0874240416560781E-4</v>
      </c>
      <c r="BM36" s="2849">
        <f t="shared" ref="BM36:CG36" si="223">SUM(BM35/BM34)</f>
        <v>0.30100064624212258</v>
      </c>
      <c r="BN36" s="2849">
        <f t="shared" si="223"/>
        <v>0.30100064624212258</v>
      </c>
      <c r="BO36" s="2849">
        <f t="shared" si="223"/>
        <v>0.30100064624212264</v>
      </c>
      <c r="BP36" s="2849">
        <f t="shared" si="223"/>
        <v>0.29775661297662143</v>
      </c>
      <c r="BQ36" s="2849">
        <f t="shared" si="223"/>
        <v>0.29775166488405547</v>
      </c>
      <c r="BR36" s="2849">
        <f t="shared" si="223"/>
        <v>0.30199645502136607</v>
      </c>
      <c r="BS36" s="2849">
        <f t="shared" si="223"/>
        <v>0.29696271692479942</v>
      </c>
      <c r="BT36" s="2849">
        <f t="shared" si="223"/>
        <v>0.29695455381454583</v>
      </c>
      <c r="BU36" s="2849">
        <f t="shared" si="223"/>
        <v>0.30189873417721513</v>
      </c>
      <c r="BV36" s="2849">
        <f t="shared" si="223"/>
        <v>0.29901503012109287</v>
      </c>
      <c r="BW36" s="2849">
        <f t="shared" si="223"/>
        <v>0.29900923459445111</v>
      </c>
      <c r="BX36" s="2849">
        <f t="shared" si="223"/>
        <v>0.3029197080291971</v>
      </c>
      <c r="BY36" s="2849">
        <f t="shared" si="223"/>
        <v>0.2979527089665413</v>
      </c>
      <c r="BZ36" s="2849">
        <f t="shared" si="223"/>
        <v>0.29794643011022726</v>
      </c>
      <c r="CA36" s="2849">
        <f t="shared" si="223"/>
        <v>0.30230494335771507</v>
      </c>
      <c r="CB36" s="2850">
        <f t="shared" si="223"/>
        <v>0.30100064624212258</v>
      </c>
      <c r="CC36" s="2850">
        <f t="shared" si="223"/>
        <v>0.30100064624212258</v>
      </c>
      <c r="CD36" s="2850">
        <f t="shared" si="223"/>
        <v>0.30100064624212264</v>
      </c>
      <c r="CE36" s="2850">
        <f t="shared" si="223"/>
        <v>0.29830231396490664</v>
      </c>
      <c r="CF36" s="2856">
        <f t="shared" si="223"/>
        <v>0.29829692724224538</v>
      </c>
      <c r="CG36" s="2856">
        <f t="shared" si="223"/>
        <v>0.30200524574868542</v>
      </c>
      <c r="CH36" s="2870">
        <f t="shared" si="181"/>
        <v>-2.6983322772159424E-3</v>
      </c>
      <c r="CI36" s="2870">
        <f t="shared" si="181"/>
        <v>-2.7037189998772027E-3</v>
      </c>
      <c r="CJ36" s="2870">
        <f t="shared" si="181"/>
        <v>1.0045995065627866E-3</v>
      </c>
      <c r="CK36" s="2863"/>
      <c r="CL36" s="4187">
        <f t="shared" si="182"/>
        <v>1.2040025849684903</v>
      </c>
      <c r="CM36" s="4187">
        <f t="shared" si="183"/>
        <v>1.2040025849684903</v>
      </c>
      <c r="CN36" s="4187">
        <f t="shared" si="184"/>
        <v>1.2040025849684906</v>
      </c>
    </row>
    <row r="37" spans="1:92" ht="18.75" customHeight="1" x14ac:dyDescent="0.3">
      <c r="A37" s="2871" t="s">
        <v>3731</v>
      </c>
      <c r="B37" s="2837">
        <f>SUM(C37:D37)</f>
        <v>161.71453389942002</v>
      </c>
      <c r="C37" s="2837">
        <f t="shared" ref="C37:G37" si="224">SUM(C38:C46)+C50</f>
        <v>161.71453389942002</v>
      </c>
      <c r="D37" s="2837">
        <f t="shared" si="224"/>
        <v>0</v>
      </c>
      <c r="E37" s="2861">
        <f t="shared" si="186"/>
        <v>53.64</v>
      </c>
      <c r="F37" s="2836">
        <f>SUM(F38:F46)+F50</f>
        <v>53.64</v>
      </c>
      <c r="G37" s="2836">
        <f t="shared" si="224"/>
        <v>0</v>
      </c>
      <c r="H37" s="2861">
        <f t="shared" si="187"/>
        <v>53.634999999999998</v>
      </c>
      <c r="I37" s="2836">
        <f t="shared" ref="I37:J37" si="225">SUM(I38:I46)+I50</f>
        <v>53.634999999999998</v>
      </c>
      <c r="J37" s="2836">
        <f t="shared" si="225"/>
        <v>0</v>
      </c>
      <c r="K37" s="2861">
        <f t="shared" si="188"/>
        <v>75.95</v>
      </c>
      <c r="L37" s="2836">
        <f t="shared" ref="L37:M37" si="226">SUM(L38:L46)+L50</f>
        <v>75.95</v>
      </c>
      <c r="M37" s="2836">
        <f t="shared" si="226"/>
        <v>0</v>
      </c>
      <c r="N37" s="2861">
        <f>SUM(O37:P37)</f>
        <v>183.22499999999999</v>
      </c>
      <c r="O37" s="2836">
        <f t="shared" ref="O37:P37" si="227">SUM(O38:O46)+O50</f>
        <v>183.22499999999999</v>
      </c>
      <c r="P37" s="2836">
        <f t="shared" si="227"/>
        <v>0</v>
      </c>
      <c r="Q37" s="2837">
        <f>SUM(R37:S37)</f>
        <v>161.71453389942002</v>
      </c>
      <c r="R37" s="2837">
        <f t="shared" ref="R37:S37" si="228">SUM(R38:R46)+R50</f>
        <v>161.71453389942002</v>
      </c>
      <c r="S37" s="2837">
        <f t="shared" si="228"/>
        <v>0</v>
      </c>
      <c r="T37" s="2861">
        <f t="shared" ref="T37:T100" si="229">SUM(U37:V37)</f>
        <v>53.64</v>
      </c>
      <c r="U37" s="2836">
        <f t="shared" ref="U37:V37" si="230">SUM(U38:U46)+U50</f>
        <v>53.64</v>
      </c>
      <c r="V37" s="2836">
        <f t="shared" si="230"/>
        <v>0</v>
      </c>
      <c r="W37" s="2861">
        <f t="shared" ref="W37:W100" si="231">SUM(X37:Y37)</f>
        <v>53.64</v>
      </c>
      <c r="X37" s="2836">
        <f t="shared" ref="X37:Y37" si="232">SUM(X38:X46)+X50</f>
        <v>53.64</v>
      </c>
      <c r="Y37" s="2836">
        <f t="shared" si="232"/>
        <v>0</v>
      </c>
      <c r="Z37" s="2861">
        <f t="shared" ref="Z37:Z100" si="233">SUM(AA37:AB37)</f>
        <v>77.706999999999994</v>
      </c>
      <c r="AA37" s="2836">
        <f t="shared" ref="AA37:AB37" si="234">SUM(AA38:AA46)+AA50</f>
        <v>77.706999999999994</v>
      </c>
      <c r="AB37" s="2836">
        <f t="shared" si="234"/>
        <v>0</v>
      </c>
      <c r="AC37" s="2861">
        <f>SUM(AD37:AE37)</f>
        <v>184.98699999999999</v>
      </c>
      <c r="AD37" s="2836">
        <f t="shared" ref="AD37:AE37" si="235">SUM(AD38:AD46)+AD50</f>
        <v>184.98699999999999</v>
      </c>
      <c r="AE37" s="2836">
        <f t="shared" si="235"/>
        <v>0</v>
      </c>
      <c r="AF37" s="2839">
        <f>SUM(AG37:AH37)</f>
        <v>323.42906779884004</v>
      </c>
      <c r="AG37" s="2839">
        <f t="shared" ref="AG37:AH37" si="236">SUM(AG38:AG46)+AG50</f>
        <v>323.42906779884004</v>
      </c>
      <c r="AH37" s="2839">
        <f t="shared" si="236"/>
        <v>0</v>
      </c>
      <c r="AI37" s="2862">
        <f t="shared" ref="AI37:AI52" si="237">SUM(AC37+N37)</f>
        <v>368.21199999999999</v>
      </c>
      <c r="AJ37" s="2862">
        <f t="shared" ref="AJ37:AK52" si="238">SUM(AD37+O37)</f>
        <v>368.21199999999999</v>
      </c>
      <c r="AK37" s="2862">
        <f t="shared" si="238"/>
        <v>0</v>
      </c>
      <c r="AL37" s="2862">
        <f t="shared" si="164"/>
        <v>44.782932201159952</v>
      </c>
      <c r="AM37" s="2862">
        <f t="shared" si="164"/>
        <v>44.782932201159952</v>
      </c>
      <c r="AN37" s="2862">
        <f t="shared" si="164"/>
        <v>0</v>
      </c>
      <c r="AO37" s="2837">
        <f>SUM(AP37:AQ37)</f>
        <v>161.71453389942002</v>
      </c>
      <c r="AP37" s="2837">
        <f t="shared" ref="AP37:AQ37" si="239">SUM(AP38:AP46)+AP50</f>
        <v>161.71453389942002</v>
      </c>
      <c r="AQ37" s="2837">
        <f t="shared" si="239"/>
        <v>0</v>
      </c>
      <c r="AR37" s="2861">
        <f t="shared" ref="AR37:AR100" si="240">SUM(AS37:AT37)</f>
        <v>53.64</v>
      </c>
      <c r="AS37" s="2836">
        <f t="shared" ref="AS37:AT37" si="241">SUM(AS38:AS46)+AS50</f>
        <v>53.64</v>
      </c>
      <c r="AT37" s="2836">
        <f t="shared" si="241"/>
        <v>0</v>
      </c>
      <c r="AU37" s="2861">
        <f t="shared" ref="AU37:AU100" si="242">SUM(AV37:AW37)</f>
        <v>53.634999999999998</v>
      </c>
      <c r="AV37" s="2836">
        <f t="shared" ref="AV37:AW37" si="243">SUM(AV38:AV46)+AV50</f>
        <v>53.634999999999998</v>
      </c>
      <c r="AW37" s="2836">
        <f t="shared" si="243"/>
        <v>0</v>
      </c>
      <c r="AX37" s="2861">
        <f t="shared" ref="AX37:AX100" si="244">SUM(AY37:AZ37)</f>
        <v>76.444999999999993</v>
      </c>
      <c r="AY37" s="2836">
        <f t="shared" ref="AY37:AZ37" si="245">SUM(AY38:AY46)+AY50</f>
        <v>76.444999999999993</v>
      </c>
      <c r="AZ37" s="2836">
        <f t="shared" si="245"/>
        <v>0</v>
      </c>
      <c r="BA37" s="2861">
        <f>SUM(BB37:BC37)</f>
        <v>183.72</v>
      </c>
      <c r="BB37" s="2836">
        <f t="shared" ref="BB37:BC37" si="246">SUM(BB38:BB46)+BB50</f>
        <v>183.72</v>
      </c>
      <c r="BC37" s="2836">
        <f t="shared" si="246"/>
        <v>0</v>
      </c>
      <c r="BD37" s="2839">
        <f t="shared" ref="BD37" si="247">SUM(BE37:BF37)</f>
        <v>485.14360169826006</v>
      </c>
      <c r="BE37" s="2839">
        <f t="shared" ref="BE37" si="248">SUM(AG37+AP37)</f>
        <v>485.14360169826006</v>
      </c>
      <c r="BF37" s="2839">
        <f t="shared" ref="BF37:BF53" si="249">SUM(AH37+AQ37)</f>
        <v>0</v>
      </c>
      <c r="BG37" s="2862">
        <f t="shared" ref="BG37:BI52" si="250">SUM(AI37+BA37)</f>
        <v>551.93200000000002</v>
      </c>
      <c r="BH37" s="2862">
        <f t="shared" si="250"/>
        <v>551.93200000000002</v>
      </c>
      <c r="BI37" s="2862">
        <f t="shared" si="250"/>
        <v>0</v>
      </c>
      <c r="BJ37" s="2862">
        <f t="shared" si="172"/>
        <v>66.78839830173996</v>
      </c>
      <c r="BK37" s="2862">
        <f t="shared" si="172"/>
        <v>66.78839830173996</v>
      </c>
      <c r="BL37" s="2862">
        <f t="shared" si="172"/>
        <v>0</v>
      </c>
      <c r="BM37" s="2837">
        <f>SUM(BN37:BO37)</f>
        <v>161.71453389942002</v>
      </c>
      <c r="BN37" s="2837">
        <f t="shared" ref="BN37:BO37" si="251">SUM(BN38:BN46)+BN50</f>
        <v>161.71453389942002</v>
      </c>
      <c r="BO37" s="2837">
        <f t="shared" si="251"/>
        <v>0</v>
      </c>
      <c r="BP37" s="2861">
        <f t="shared" ref="BP37:BP100" si="252">SUM(BQ37:BR37)</f>
        <v>53.634999999999998</v>
      </c>
      <c r="BQ37" s="2836">
        <f t="shared" ref="BQ37:BR37" si="253">SUM(BQ38:BQ46)+BQ50</f>
        <v>53.634999999999998</v>
      </c>
      <c r="BR37" s="2836">
        <f t="shared" si="253"/>
        <v>0</v>
      </c>
      <c r="BS37" s="2861">
        <f t="shared" ref="BS37:BS100" si="254">SUM(BT37:BU37)</f>
        <v>56.73</v>
      </c>
      <c r="BT37" s="2836">
        <f t="shared" ref="BT37:BU37" si="255">SUM(BT38:BT46)+BT50</f>
        <v>56.73</v>
      </c>
      <c r="BU37" s="2836">
        <f t="shared" si="255"/>
        <v>0</v>
      </c>
      <c r="BV37" s="2861">
        <f t="shared" ref="BV37:BV100" si="256">SUM(BW37:BX37)</f>
        <v>79.497</v>
      </c>
      <c r="BW37" s="2836">
        <f t="shared" ref="BW37:BX37" si="257">SUM(BW38:BW46)+BW50</f>
        <v>79.497</v>
      </c>
      <c r="BX37" s="2836">
        <f t="shared" si="257"/>
        <v>0</v>
      </c>
      <c r="BY37" s="2861">
        <f>SUM(BZ37:CA37)</f>
        <v>189.86200000000002</v>
      </c>
      <c r="BZ37" s="2836">
        <f t="shared" ref="BZ37:CA37" si="258">SUM(BZ38:BZ46)+BZ50</f>
        <v>189.86200000000002</v>
      </c>
      <c r="CA37" s="2836">
        <f t="shared" si="258"/>
        <v>0</v>
      </c>
      <c r="CB37" s="2839">
        <f>SUM(CC37:CD37)</f>
        <v>646.85783362542975</v>
      </c>
      <c r="CC37" s="2839">
        <f>SUM(вода!CV16)</f>
        <v>646.85783362542975</v>
      </c>
      <c r="CD37" s="2839">
        <f>SUM(вода!CW16)</f>
        <v>0</v>
      </c>
      <c r="CE37" s="2862">
        <f t="shared" ref="CE37:CG52" si="259">SUM(BY37+BG37)</f>
        <v>741.7940000000001</v>
      </c>
      <c r="CF37" s="2981">
        <f t="shared" si="259"/>
        <v>741.7940000000001</v>
      </c>
      <c r="CG37" s="2981">
        <f t="shared" si="259"/>
        <v>0</v>
      </c>
      <c r="CH37" s="2862">
        <f t="shared" si="181"/>
        <v>94.936166374570348</v>
      </c>
      <c r="CI37" s="2862">
        <f t="shared" si="181"/>
        <v>94.936166374570348</v>
      </c>
      <c r="CJ37" s="2862">
        <f t="shared" si="181"/>
        <v>0</v>
      </c>
      <c r="CK37" s="2872"/>
      <c r="CL37" s="4187">
        <f t="shared" si="182"/>
        <v>646.85813559768008</v>
      </c>
      <c r="CM37" s="4187">
        <f t="shared" si="183"/>
        <v>646.85813559768008</v>
      </c>
      <c r="CN37" s="4187">
        <f t="shared" si="184"/>
        <v>0</v>
      </c>
    </row>
    <row r="38" spans="1:92" ht="18.75" customHeight="1" x14ac:dyDescent="0.3">
      <c r="A38" s="2873" t="s">
        <v>71</v>
      </c>
      <c r="B38" s="2845">
        <f t="shared" ref="B38:B45" si="260">SUM(C38:D38)</f>
        <v>0</v>
      </c>
      <c r="C38" s="2845">
        <f t="shared" ref="C38:D45" si="261">SUM(CC38/4)</f>
        <v>0</v>
      </c>
      <c r="D38" s="2845">
        <f t="shared" si="261"/>
        <v>0</v>
      </c>
      <c r="E38" s="2865">
        <f t="shared" si="186"/>
        <v>0</v>
      </c>
      <c r="F38" s="2866"/>
      <c r="G38" s="2866"/>
      <c r="H38" s="2865">
        <f t="shared" si="187"/>
        <v>0</v>
      </c>
      <c r="I38" s="2866"/>
      <c r="J38" s="2866"/>
      <c r="K38" s="2865">
        <f t="shared" si="188"/>
        <v>0</v>
      </c>
      <c r="L38" s="2866"/>
      <c r="M38" s="2866"/>
      <c r="N38" s="2865">
        <f t="shared" ref="N38:N52" si="262">SUM(O38:P38)</f>
        <v>0</v>
      </c>
      <c r="O38" s="2865">
        <f t="shared" ref="O38:P45" si="263">SUM(F38+I38+L38)</f>
        <v>0</v>
      </c>
      <c r="P38" s="2865">
        <f t="shared" si="263"/>
        <v>0</v>
      </c>
      <c r="Q38" s="2845">
        <f t="shared" ref="Q38:Q52" si="264">SUM(R38:S38)</f>
        <v>0</v>
      </c>
      <c r="R38" s="2845">
        <f t="shared" ref="R38:R52" si="265">SUM(C38)</f>
        <v>0</v>
      </c>
      <c r="S38" s="2845">
        <f t="shared" ref="S38:S52" si="266">SUM(D38)</f>
        <v>0</v>
      </c>
      <c r="T38" s="2865">
        <f t="shared" si="229"/>
        <v>0</v>
      </c>
      <c r="U38" s="2866"/>
      <c r="V38" s="2866"/>
      <c r="W38" s="2865">
        <f t="shared" si="231"/>
        <v>0</v>
      </c>
      <c r="X38" s="2866"/>
      <c r="Y38" s="2866"/>
      <c r="Z38" s="2865">
        <f t="shared" si="233"/>
        <v>0</v>
      </c>
      <c r="AA38" s="2866"/>
      <c r="AB38" s="2866"/>
      <c r="AC38" s="2865">
        <f t="shared" ref="AC38:AC60" si="267">SUM(AD38:AE38)</f>
        <v>0</v>
      </c>
      <c r="AD38" s="2865">
        <f t="shared" ref="AD38:AE45" si="268">SUM(U38+X38+AA38)</f>
        <v>0</v>
      </c>
      <c r="AE38" s="2865">
        <f t="shared" si="268"/>
        <v>0</v>
      </c>
      <c r="AF38" s="2846">
        <f t="shared" ref="AF38:AF52" si="269">SUM(AG38:AH38)</f>
        <v>0</v>
      </c>
      <c r="AG38" s="2846">
        <f t="shared" ref="AG38:AH53" si="270">SUM(C38+R38)</f>
        <v>0</v>
      </c>
      <c r="AH38" s="2846">
        <f t="shared" si="270"/>
        <v>0</v>
      </c>
      <c r="AI38" s="2867">
        <f t="shared" si="237"/>
        <v>0</v>
      </c>
      <c r="AJ38" s="2867">
        <f t="shared" si="238"/>
        <v>0</v>
      </c>
      <c r="AK38" s="2867">
        <f t="shared" si="238"/>
        <v>0</v>
      </c>
      <c r="AL38" s="2867">
        <f t="shared" si="164"/>
        <v>0</v>
      </c>
      <c r="AM38" s="2867">
        <f t="shared" si="164"/>
        <v>0</v>
      </c>
      <c r="AN38" s="2867">
        <f t="shared" si="164"/>
        <v>0</v>
      </c>
      <c r="AO38" s="2845">
        <f t="shared" ref="AO38:AO52" si="271">SUM(AP38:AQ38)</f>
        <v>0</v>
      </c>
      <c r="AP38" s="2845">
        <f t="shared" ref="AP38:AP52" si="272">SUM(CC38-AG38)/2</f>
        <v>0</v>
      </c>
      <c r="AQ38" s="2845">
        <f t="shared" ref="AQ38:AQ52" si="273">SUM(CD38-AH38)/2</f>
        <v>0</v>
      </c>
      <c r="AR38" s="2865">
        <f t="shared" si="240"/>
        <v>0</v>
      </c>
      <c r="AS38" s="2866"/>
      <c r="AT38" s="2866"/>
      <c r="AU38" s="2865">
        <f t="shared" si="242"/>
        <v>0</v>
      </c>
      <c r="AV38" s="2866"/>
      <c r="AW38" s="2866"/>
      <c r="AX38" s="2865">
        <f t="shared" si="244"/>
        <v>0</v>
      </c>
      <c r="AY38" s="2866"/>
      <c r="AZ38" s="2866"/>
      <c r="BA38" s="2865">
        <f t="shared" ref="BA38:BA60" si="274">SUM(BB38:BC38)</f>
        <v>0</v>
      </c>
      <c r="BB38" s="2865">
        <f t="shared" ref="BB38:BC45" si="275">SUM(AS38+AV38+AY38)</f>
        <v>0</v>
      </c>
      <c r="BC38" s="2865">
        <f t="shared" si="275"/>
        <v>0</v>
      </c>
      <c r="BD38" s="2846">
        <f t="shared" ref="BD38:BD52" si="276">SUM(BE38:BF38)</f>
        <v>0</v>
      </c>
      <c r="BE38" s="2846">
        <f t="shared" ref="BE38:BE52" si="277">SUM(AG38+AP38)</f>
        <v>0</v>
      </c>
      <c r="BF38" s="2846">
        <f t="shared" si="249"/>
        <v>0</v>
      </c>
      <c r="BG38" s="2867">
        <f t="shared" si="250"/>
        <v>0</v>
      </c>
      <c r="BH38" s="2867">
        <f t="shared" si="250"/>
        <v>0</v>
      </c>
      <c r="BI38" s="2867">
        <f t="shared" si="250"/>
        <v>0</v>
      </c>
      <c r="BJ38" s="2867">
        <f t="shared" si="172"/>
        <v>0</v>
      </c>
      <c r="BK38" s="2867">
        <f t="shared" si="172"/>
        <v>0</v>
      </c>
      <c r="BL38" s="2867">
        <f t="shared" si="172"/>
        <v>0</v>
      </c>
      <c r="BM38" s="2845">
        <f t="shared" ref="BM38:BM52" si="278">SUM(BN38:BO38)</f>
        <v>0</v>
      </c>
      <c r="BN38" s="2845">
        <f t="shared" ref="BN38:BN52" si="279">SUM(AP38)</f>
        <v>0</v>
      </c>
      <c r="BO38" s="2845">
        <f t="shared" ref="BO38:BO52" si="280">SUM(AQ38)</f>
        <v>0</v>
      </c>
      <c r="BP38" s="2865">
        <f t="shared" si="252"/>
        <v>0</v>
      </c>
      <c r="BQ38" s="2866"/>
      <c r="BR38" s="2866"/>
      <c r="BS38" s="2865">
        <f t="shared" si="254"/>
        <v>0</v>
      </c>
      <c r="BT38" s="2866"/>
      <c r="BU38" s="2866"/>
      <c r="BV38" s="2865">
        <f t="shared" si="256"/>
        <v>0</v>
      </c>
      <c r="BW38" s="2866"/>
      <c r="BX38" s="2866"/>
      <c r="BY38" s="2865">
        <f t="shared" ref="BY38:BY60" si="281">SUM(BZ38:CA38)</f>
        <v>0</v>
      </c>
      <c r="BZ38" s="2865">
        <f t="shared" ref="BZ38:CA45" si="282">SUM(BQ38+BT38+BW38)</f>
        <v>0</v>
      </c>
      <c r="CA38" s="2865">
        <f t="shared" si="282"/>
        <v>0</v>
      </c>
      <c r="CB38" s="2846">
        <f>SUM(CC38:CD38)</f>
        <v>0</v>
      </c>
      <c r="CC38" s="2846">
        <f>SUM(CC37*0)</f>
        <v>0</v>
      </c>
      <c r="CD38" s="2846">
        <v>0</v>
      </c>
      <c r="CE38" s="2867">
        <f t="shared" si="259"/>
        <v>0</v>
      </c>
      <c r="CF38" s="2982">
        <f t="shared" si="259"/>
        <v>0</v>
      </c>
      <c r="CG38" s="2982">
        <f t="shared" si="259"/>
        <v>0</v>
      </c>
      <c r="CH38" s="2867">
        <f t="shared" si="181"/>
        <v>0</v>
      </c>
      <c r="CI38" s="2867">
        <f t="shared" si="181"/>
        <v>0</v>
      </c>
      <c r="CJ38" s="2867">
        <f t="shared" si="181"/>
        <v>0</v>
      </c>
      <c r="CK38" s="2863"/>
      <c r="CL38" s="4187">
        <f t="shared" si="182"/>
        <v>0</v>
      </c>
      <c r="CM38" s="4187">
        <f t="shared" si="183"/>
        <v>0</v>
      </c>
      <c r="CN38" s="4187">
        <f t="shared" si="184"/>
        <v>0</v>
      </c>
    </row>
    <row r="39" spans="1:92" ht="18.75" customHeight="1" x14ac:dyDescent="0.3">
      <c r="A39" s="2873" t="s">
        <v>114</v>
      </c>
      <c r="B39" s="2845">
        <f t="shared" si="260"/>
        <v>0</v>
      </c>
      <c r="C39" s="2845">
        <f t="shared" si="261"/>
        <v>0</v>
      </c>
      <c r="D39" s="2845">
        <f t="shared" si="261"/>
        <v>0</v>
      </c>
      <c r="E39" s="2865">
        <f t="shared" si="186"/>
        <v>0</v>
      </c>
      <c r="F39" s="2866"/>
      <c r="G39" s="2866"/>
      <c r="H39" s="2865">
        <f t="shared" si="187"/>
        <v>0</v>
      </c>
      <c r="I39" s="2866"/>
      <c r="J39" s="2866"/>
      <c r="K39" s="2865">
        <f t="shared" si="188"/>
        <v>0</v>
      </c>
      <c r="L39" s="2866"/>
      <c r="M39" s="2866"/>
      <c r="N39" s="2865">
        <f t="shared" si="262"/>
        <v>0</v>
      </c>
      <c r="O39" s="2865">
        <f t="shared" si="263"/>
        <v>0</v>
      </c>
      <c r="P39" s="2865">
        <f t="shared" si="263"/>
        <v>0</v>
      </c>
      <c r="Q39" s="2845">
        <f t="shared" si="264"/>
        <v>0</v>
      </c>
      <c r="R39" s="2845">
        <f t="shared" si="265"/>
        <v>0</v>
      </c>
      <c r="S39" s="2845">
        <f t="shared" si="266"/>
        <v>0</v>
      </c>
      <c r="T39" s="2865">
        <f t="shared" si="229"/>
        <v>0</v>
      </c>
      <c r="U39" s="2866"/>
      <c r="V39" s="2866"/>
      <c r="W39" s="2865">
        <f t="shared" si="231"/>
        <v>0</v>
      </c>
      <c r="X39" s="2866"/>
      <c r="Y39" s="2866"/>
      <c r="Z39" s="2865">
        <f t="shared" si="233"/>
        <v>0</v>
      </c>
      <c r="AA39" s="2866"/>
      <c r="AB39" s="2866"/>
      <c r="AC39" s="2865">
        <f t="shared" si="267"/>
        <v>0</v>
      </c>
      <c r="AD39" s="2865">
        <f t="shared" si="268"/>
        <v>0</v>
      </c>
      <c r="AE39" s="2865">
        <f t="shared" si="268"/>
        <v>0</v>
      </c>
      <c r="AF39" s="2846">
        <f t="shared" si="269"/>
        <v>0</v>
      </c>
      <c r="AG39" s="2846">
        <f t="shared" si="270"/>
        <v>0</v>
      </c>
      <c r="AH39" s="2846">
        <f t="shared" si="270"/>
        <v>0</v>
      </c>
      <c r="AI39" s="2867">
        <f t="shared" si="237"/>
        <v>0</v>
      </c>
      <c r="AJ39" s="2867">
        <f t="shared" si="238"/>
        <v>0</v>
      </c>
      <c r="AK39" s="2867">
        <f t="shared" si="238"/>
        <v>0</v>
      </c>
      <c r="AL39" s="2867">
        <f t="shared" si="164"/>
        <v>0</v>
      </c>
      <c r="AM39" s="2867">
        <f t="shared" si="164"/>
        <v>0</v>
      </c>
      <c r="AN39" s="2867">
        <f t="shared" si="164"/>
        <v>0</v>
      </c>
      <c r="AO39" s="2845">
        <f t="shared" si="271"/>
        <v>0</v>
      </c>
      <c r="AP39" s="2845">
        <f t="shared" si="272"/>
        <v>0</v>
      </c>
      <c r="AQ39" s="2845">
        <f t="shared" si="273"/>
        <v>0</v>
      </c>
      <c r="AR39" s="2865">
        <f t="shared" si="240"/>
        <v>0</v>
      </c>
      <c r="AS39" s="2866"/>
      <c r="AT39" s="2866"/>
      <c r="AU39" s="2865">
        <f t="shared" si="242"/>
        <v>0</v>
      </c>
      <c r="AV39" s="4229"/>
      <c r="AW39" s="2866"/>
      <c r="AX39" s="2865">
        <f t="shared" si="244"/>
        <v>0</v>
      </c>
      <c r="AY39" s="2866"/>
      <c r="AZ39" s="2866"/>
      <c r="BA39" s="2865">
        <f t="shared" si="274"/>
        <v>0</v>
      </c>
      <c r="BB39" s="2865">
        <f t="shared" si="275"/>
        <v>0</v>
      </c>
      <c r="BC39" s="2865">
        <f t="shared" si="275"/>
        <v>0</v>
      </c>
      <c r="BD39" s="2846">
        <f t="shared" si="276"/>
        <v>0</v>
      </c>
      <c r="BE39" s="2846">
        <f t="shared" si="277"/>
        <v>0</v>
      </c>
      <c r="BF39" s="2846">
        <f t="shared" si="249"/>
        <v>0</v>
      </c>
      <c r="BG39" s="2867">
        <f t="shared" si="250"/>
        <v>0</v>
      </c>
      <c r="BH39" s="2867">
        <f t="shared" si="250"/>
        <v>0</v>
      </c>
      <c r="BI39" s="2867">
        <f t="shared" si="250"/>
        <v>0</v>
      </c>
      <c r="BJ39" s="2867">
        <f t="shared" si="172"/>
        <v>0</v>
      </c>
      <c r="BK39" s="2867">
        <f t="shared" si="172"/>
        <v>0</v>
      </c>
      <c r="BL39" s="2867">
        <f t="shared" si="172"/>
        <v>0</v>
      </c>
      <c r="BM39" s="2845">
        <f t="shared" si="278"/>
        <v>0</v>
      </c>
      <c r="BN39" s="2845">
        <f t="shared" si="279"/>
        <v>0</v>
      </c>
      <c r="BO39" s="2845">
        <f t="shared" si="280"/>
        <v>0</v>
      </c>
      <c r="BP39" s="2865">
        <f t="shared" si="252"/>
        <v>0</v>
      </c>
      <c r="BQ39" s="2866"/>
      <c r="BR39" s="2866"/>
      <c r="BS39" s="2865">
        <f t="shared" si="254"/>
        <v>0</v>
      </c>
      <c r="BT39" s="2866"/>
      <c r="BU39" s="2866"/>
      <c r="BV39" s="2865">
        <f t="shared" si="256"/>
        <v>0</v>
      </c>
      <c r="BW39" s="2866"/>
      <c r="BX39" s="2866"/>
      <c r="BY39" s="2865">
        <f t="shared" si="281"/>
        <v>0</v>
      </c>
      <c r="BZ39" s="2865">
        <f t="shared" si="282"/>
        <v>0</v>
      </c>
      <c r="CA39" s="2865">
        <f t="shared" si="282"/>
        <v>0</v>
      </c>
      <c r="CB39" s="2846">
        <f t="shared" ref="CB39:CB45" si="283">SUM(CC39:CD39)</f>
        <v>0</v>
      </c>
      <c r="CC39" s="2846">
        <f>SUM(CC37*0)</f>
        <v>0</v>
      </c>
      <c r="CD39" s="2846">
        <v>0</v>
      </c>
      <c r="CE39" s="2867">
        <f t="shared" si="259"/>
        <v>0</v>
      </c>
      <c r="CF39" s="2982">
        <f t="shared" si="259"/>
        <v>0</v>
      </c>
      <c r="CG39" s="2982">
        <f t="shared" si="259"/>
        <v>0</v>
      </c>
      <c r="CH39" s="2867">
        <f t="shared" si="181"/>
        <v>0</v>
      </c>
      <c r="CI39" s="2867">
        <f t="shared" si="181"/>
        <v>0</v>
      </c>
      <c r="CJ39" s="2867">
        <f t="shared" si="181"/>
        <v>0</v>
      </c>
      <c r="CK39" s="2863"/>
      <c r="CL39" s="4187">
        <f t="shared" si="182"/>
        <v>0</v>
      </c>
      <c r="CM39" s="4187">
        <f t="shared" si="183"/>
        <v>0</v>
      </c>
      <c r="CN39" s="4187">
        <f t="shared" si="184"/>
        <v>0</v>
      </c>
    </row>
    <row r="40" spans="1:92" ht="18.75" customHeight="1" x14ac:dyDescent="0.3">
      <c r="A40" s="2873" t="s">
        <v>3732</v>
      </c>
      <c r="B40" s="2845">
        <f t="shared" si="260"/>
        <v>152.84177435682003</v>
      </c>
      <c r="C40" s="2845">
        <f t="shared" si="261"/>
        <v>152.84177435682003</v>
      </c>
      <c r="D40" s="2845">
        <f t="shared" si="261"/>
        <v>0</v>
      </c>
      <c r="E40" s="2865">
        <f t="shared" si="186"/>
        <v>53.21</v>
      </c>
      <c r="F40" s="2866">
        <v>53.21</v>
      </c>
      <c r="G40" s="2866"/>
      <c r="H40" s="2865">
        <f t="shared" si="187"/>
        <v>53.21</v>
      </c>
      <c r="I40" s="2866">
        <v>53.21</v>
      </c>
      <c r="J40" s="2866"/>
      <c r="K40" s="2865">
        <f t="shared" si="188"/>
        <v>53.21</v>
      </c>
      <c r="L40" s="2866">
        <v>53.21</v>
      </c>
      <c r="M40" s="2866"/>
      <c r="N40" s="2865">
        <f t="shared" si="262"/>
        <v>159.63</v>
      </c>
      <c r="O40" s="2865">
        <f t="shared" si="263"/>
        <v>159.63</v>
      </c>
      <c r="P40" s="2865">
        <f t="shared" si="263"/>
        <v>0</v>
      </c>
      <c r="Q40" s="2845">
        <f t="shared" si="264"/>
        <v>152.84177435682003</v>
      </c>
      <c r="R40" s="2845">
        <f t="shared" si="265"/>
        <v>152.84177435682003</v>
      </c>
      <c r="S40" s="2845">
        <f t="shared" si="266"/>
        <v>0</v>
      </c>
      <c r="T40" s="2865">
        <f t="shared" si="229"/>
        <v>53.21</v>
      </c>
      <c r="U40" s="2866">
        <v>53.21</v>
      </c>
      <c r="V40" s="2866"/>
      <c r="W40" s="2865">
        <f t="shared" si="231"/>
        <v>53.21</v>
      </c>
      <c r="X40" s="2866">
        <v>53.21</v>
      </c>
      <c r="Y40" s="2866"/>
      <c r="Z40" s="2865">
        <f t="shared" si="233"/>
        <v>53.21</v>
      </c>
      <c r="AA40" s="2866">
        <v>53.21</v>
      </c>
      <c r="AB40" s="2866"/>
      <c r="AC40" s="2865">
        <f t="shared" si="267"/>
        <v>159.63</v>
      </c>
      <c r="AD40" s="2865">
        <f t="shared" si="268"/>
        <v>159.63</v>
      </c>
      <c r="AE40" s="2865">
        <f t="shared" si="268"/>
        <v>0</v>
      </c>
      <c r="AF40" s="2846">
        <f t="shared" si="269"/>
        <v>305.68354871364005</v>
      </c>
      <c r="AG40" s="2846">
        <f t="shared" si="270"/>
        <v>305.68354871364005</v>
      </c>
      <c r="AH40" s="2846">
        <f t="shared" si="270"/>
        <v>0</v>
      </c>
      <c r="AI40" s="2867">
        <f t="shared" si="237"/>
        <v>319.26</v>
      </c>
      <c r="AJ40" s="2867">
        <f t="shared" si="238"/>
        <v>319.26</v>
      </c>
      <c r="AK40" s="2867">
        <f t="shared" si="238"/>
        <v>0</v>
      </c>
      <c r="AL40" s="2867">
        <f t="shared" si="164"/>
        <v>13.576451286359941</v>
      </c>
      <c r="AM40" s="2867">
        <f t="shared" si="164"/>
        <v>13.576451286359941</v>
      </c>
      <c r="AN40" s="2867">
        <f t="shared" si="164"/>
        <v>0</v>
      </c>
      <c r="AO40" s="2845">
        <f t="shared" si="271"/>
        <v>152.84177435682003</v>
      </c>
      <c r="AP40" s="2845">
        <f t="shared" si="272"/>
        <v>152.84177435682003</v>
      </c>
      <c r="AQ40" s="2845">
        <f t="shared" si="273"/>
        <v>0</v>
      </c>
      <c r="AR40" s="2865">
        <f t="shared" si="240"/>
        <v>53.21</v>
      </c>
      <c r="AS40" s="2866">
        <v>53.21</v>
      </c>
      <c r="AT40" s="2866"/>
      <c r="AU40" s="2865">
        <f t="shared" si="242"/>
        <v>53.21</v>
      </c>
      <c r="AV40" s="2866">
        <v>53.21</v>
      </c>
      <c r="AW40" s="2866"/>
      <c r="AX40" s="2865">
        <f t="shared" si="244"/>
        <v>53.21</v>
      </c>
      <c r="AY40" s="2866">
        <v>53.21</v>
      </c>
      <c r="AZ40" s="2866"/>
      <c r="BA40" s="2865">
        <f t="shared" si="274"/>
        <v>159.63</v>
      </c>
      <c r="BB40" s="2865">
        <f t="shared" si="275"/>
        <v>159.63</v>
      </c>
      <c r="BC40" s="2865">
        <f t="shared" si="275"/>
        <v>0</v>
      </c>
      <c r="BD40" s="2846">
        <f t="shared" si="276"/>
        <v>458.5253230704601</v>
      </c>
      <c r="BE40" s="2846">
        <f t="shared" si="277"/>
        <v>458.5253230704601</v>
      </c>
      <c r="BF40" s="2846">
        <f t="shared" si="249"/>
        <v>0</v>
      </c>
      <c r="BG40" s="2867">
        <f t="shared" si="250"/>
        <v>478.89</v>
      </c>
      <c r="BH40" s="2867">
        <f t="shared" si="250"/>
        <v>478.89</v>
      </c>
      <c r="BI40" s="2867">
        <f t="shared" si="250"/>
        <v>0</v>
      </c>
      <c r="BJ40" s="2867">
        <f t="shared" si="172"/>
        <v>20.364676929539883</v>
      </c>
      <c r="BK40" s="2867">
        <f t="shared" si="172"/>
        <v>20.364676929539883</v>
      </c>
      <c r="BL40" s="2867">
        <f t="shared" si="172"/>
        <v>0</v>
      </c>
      <c r="BM40" s="2845">
        <f t="shared" si="278"/>
        <v>152.84177435682003</v>
      </c>
      <c r="BN40" s="2845">
        <f t="shared" si="279"/>
        <v>152.84177435682003</v>
      </c>
      <c r="BO40" s="2845">
        <f t="shared" si="280"/>
        <v>0</v>
      </c>
      <c r="BP40" s="2865">
        <f t="shared" si="252"/>
        <v>53.21</v>
      </c>
      <c r="BQ40" s="2866">
        <v>53.21</v>
      </c>
      <c r="BR40" s="2866"/>
      <c r="BS40" s="2865">
        <f t="shared" si="254"/>
        <v>53.21</v>
      </c>
      <c r="BT40" s="2866">
        <v>53.21</v>
      </c>
      <c r="BU40" s="2866"/>
      <c r="BV40" s="2865">
        <f t="shared" si="256"/>
        <v>53.206000000000003</v>
      </c>
      <c r="BW40" s="2866">
        <v>53.206000000000003</v>
      </c>
      <c r="BX40" s="2866"/>
      <c r="BY40" s="2865">
        <f t="shared" si="281"/>
        <v>159.626</v>
      </c>
      <c r="BZ40" s="2865">
        <f t="shared" si="282"/>
        <v>159.626</v>
      </c>
      <c r="CA40" s="2865">
        <f t="shared" si="282"/>
        <v>0</v>
      </c>
      <c r="CB40" s="2846">
        <f t="shared" si="283"/>
        <v>611.3670974272801</v>
      </c>
      <c r="CC40" s="2846">
        <f>656.998*0.93054636</f>
        <v>611.3670974272801</v>
      </c>
      <c r="CD40" s="2846">
        <v>0</v>
      </c>
      <c r="CE40" s="2867">
        <f t="shared" si="259"/>
        <v>638.51599999999996</v>
      </c>
      <c r="CF40" s="2982">
        <f t="shared" si="259"/>
        <v>638.51599999999996</v>
      </c>
      <c r="CG40" s="2982">
        <f t="shared" si="259"/>
        <v>0</v>
      </c>
      <c r="CH40" s="2867">
        <f t="shared" si="181"/>
        <v>27.148902572719862</v>
      </c>
      <c r="CI40" s="2867">
        <f t="shared" si="181"/>
        <v>27.148902572719862</v>
      </c>
      <c r="CJ40" s="2867">
        <f t="shared" si="181"/>
        <v>0</v>
      </c>
      <c r="CK40" s="2863"/>
      <c r="CL40" s="4187">
        <f t="shared" si="182"/>
        <v>611.3670974272801</v>
      </c>
      <c r="CM40" s="4187">
        <f t="shared" si="183"/>
        <v>611.3670974272801</v>
      </c>
      <c r="CN40" s="4187">
        <f t="shared" si="184"/>
        <v>0</v>
      </c>
    </row>
    <row r="41" spans="1:92" ht="18.75" customHeight="1" x14ac:dyDescent="0.3">
      <c r="A41" s="2873" t="s">
        <v>52</v>
      </c>
      <c r="B41" s="2845">
        <f t="shared" si="260"/>
        <v>1.1817938772000001</v>
      </c>
      <c r="C41" s="2845">
        <f t="shared" si="261"/>
        <v>1.1817938772000001</v>
      </c>
      <c r="D41" s="2845">
        <f t="shared" si="261"/>
        <v>0</v>
      </c>
      <c r="E41" s="2865">
        <f t="shared" si="186"/>
        <v>0.43</v>
      </c>
      <c r="F41" s="2866">
        <v>0.43</v>
      </c>
      <c r="G41" s="2866"/>
      <c r="H41" s="2865">
        <f t="shared" si="187"/>
        <v>0.42499999999999999</v>
      </c>
      <c r="I41" s="2866">
        <v>0.42499999999999999</v>
      </c>
      <c r="J41" s="2866"/>
      <c r="K41" s="2865">
        <f t="shared" si="188"/>
        <v>0.43</v>
      </c>
      <c r="L41" s="2866">
        <v>0.43</v>
      </c>
      <c r="M41" s="2866"/>
      <c r="N41" s="2865">
        <f t="shared" si="262"/>
        <v>1.2849999999999999</v>
      </c>
      <c r="O41" s="2865">
        <f t="shared" si="263"/>
        <v>1.2849999999999999</v>
      </c>
      <c r="P41" s="2865">
        <f t="shared" si="263"/>
        <v>0</v>
      </c>
      <c r="Q41" s="2845">
        <f t="shared" si="264"/>
        <v>1.1817938772000001</v>
      </c>
      <c r="R41" s="2845">
        <f t="shared" si="265"/>
        <v>1.1817938772000001</v>
      </c>
      <c r="S41" s="2845">
        <f t="shared" si="266"/>
        <v>0</v>
      </c>
      <c r="T41" s="2865">
        <f t="shared" si="229"/>
        <v>0.43</v>
      </c>
      <c r="U41" s="2866">
        <v>0.43</v>
      </c>
      <c r="V41" s="2866"/>
      <c r="W41" s="2865">
        <f t="shared" si="231"/>
        <v>0.43</v>
      </c>
      <c r="X41" s="2866">
        <v>0.43</v>
      </c>
      <c r="Y41" s="2866"/>
      <c r="Z41" s="2865">
        <f t="shared" si="233"/>
        <v>0.42499999999999999</v>
      </c>
      <c r="AA41" s="2866">
        <v>0.42499999999999999</v>
      </c>
      <c r="AB41" s="2866"/>
      <c r="AC41" s="2865">
        <f t="shared" si="267"/>
        <v>1.2849999999999999</v>
      </c>
      <c r="AD41" s="2865">
        <f t="shared" si="268"/>
        <v>1.2849999999999999</v>
      </c>
      <c r="AE41" s="2865">
        <f t="shared" si="268"/>
        <v>0</v>
      </c>
      <c r="AF41" s="2846">
        <f t="shared" si="269"/>
        <v>2.3635877544000001</v>
      </c>
      <c r="AG41" s="2846">
        <f t="shared" si="270"/>
        <v>2.3635877544000001</v>
      </c>
      <c r="AH41" s="2846">
        <f t="shared" si="270"/>
        <v>0</v>
      </c>
      <c r="AI41" s="2867">
        <f t="shared" si="237"/>
        <v>2.57</v>
      </c>
      <c r="AJ41" s="2867">
        <f t="shared" si="238"/>
        <v>2.57</v>
      </c>
      <c r="AK41" s="2867">
        <f t="shared" si="238"/>
        <v>0</v>
      </c>
      <c r="AL41" s="2867">
        <f t="shared" si="164"/>
        <v>0.20641224559999971</v>
      </c>
      <c r="AM41" s="2867">
        <f t="shared" si="164"/>
        <v>0.20641224559999971</v>
      </c>
      <c r="AN41" s="2867">
        <f t="shared" si="164"/>
        <v>0</v>
      </c>
      <c r="AO41" s="2845">
        <f t="shared" si="271"/>
        <v>1.1817938772000001</v>
      </c>
      <c r="AP41" s="2845">
        <f t="shared" si="272"/>
        <v>1.1817938772000001</v>
      </c>
      <c r="AQ41" s="2845">
        <f t="shared" si="273"/>
        <v>0</v>
      </c>
      <c r="AR41" s="2865">
        <f t="shared" si="240"/>
        <v>0.43</v>
      </c>
      <c r="AS41" s="2866">
        <v>0.43</v>
      </c>
      <c r="AT41" s="2866"/>
      <c r="AU41" s="2865">
        <f t="shared" si="242"/>
        <v>0.42499999999999999</v>
      </c>
      <c r="AV41" s="2866">
        <v>0.42499999999999999</v>
      </c>
      <c r="AW41" s="2866"/>
      <c r="AX41" s="2865">
        <f t="shared" si="244"/>
        <v>0.42499999999999999</v>
      </c>
      <c r="AY41" s="2866">
        <v>0.42499999999999999</v>
      </c>
      <c r="AZ41" s="2866"/>
      <c r="BA41" s="2865">
        <f t="shared" si="274"/>
        <v>1.28</v>
      </c>
      <c r="BB41" s="2865">
        <f t="shared" si="275"/>
        <v>1.28</v>
      </c>
      <c r="BC41" s="2865">
        <f t="shared" si="275"/>
        <v>0</v>
      </c>
      <c r="BD41" s="2846">
        <f t="shared" si="276"/>
        <v>3.5453816316000002</v>
      </c>
      <c r="BE41" s="2846">
        <f t="shared" si="277"/>
        <v>3.5453816316000002</v>
      </c>
      <c r="BF41" s="2846">
        <f t="shared" si="249"/>
        <v>0</v>
      </c>
      <c r="BG41" s="2867">
        <f t="shared" si="250"/>
        <v>3.8499999999999996</v>
      </c>
      <c r="BH41" s="2867">
        <f t="shared" si="250"/>
        <v>3.8499999999999996</v>
      </c>
      <c r="BI41" s="2867">
        <f t="shared" si="250"/>
        <v>0</v>
      </c>
      <c r="BJ41" s="2867">
        <f t="shared" si="172"/>
        <v>0.30461836839999945</v>
      </c>
      <c r="BK41" s="2867">
        <f t="shared" si="172"/>
        <v>0.30461836839999945</v>
      </c>
      <c r="BL41" s="2867">
        <f t="shared" si="172"/>
        <v>0</v>
      </c>
      <c r="BM41" s="2845">
        <f t="shared" si="278"/>
        <v>1.1817938772000001</v>
      </c>
      <c r="BN41" s="2845">
        <f t="shared" si="279"/>
        <v>1.1817938772000001</v>
      </c>
      <c r="BO41" s="2845">
        <f t="shared" si="280"/>
        <v>0</v>
      </c>
      <c r="BP41" s="2865">
        <f t="shared" si="252"/>
        <v>0.42499999999999999</v>
      </c>
      <c r="BQ41" s="2866">
        <v>0.42499999999999999</v>
      </c>
      <c r="BR41" s="2866"/>
      <c r="BS41" s="2865">
        <f t="shared" si="254"/>
        <v>0.42499999999999999</v>
      </c>
      <c r="BT41" s="2866">
        <v>0.42499999999999999</v>
      </c>
      <c r="BU41" s="2866"/>
      <c r="BV41" s="2865">
        <f t="shared" si="256"/>
        <v>0.4</v>
      </c>
      <c r="BW41" s="2866">
        <v>0.4</v>
      </c>
      <c r="BX41" s="2866"/>
      <c r="BY41" s="2865">
        <f t="shared" si="281"/>
        <v>1.25</v>
      </c>
      <c r="BZ41" s="2865">
        <f t="shared" si="282"/>
        <v>1.25</v>
      </c>
      <c r="CA41" s="2865">
        <f t="shared" si="282"/>
        <v>0</v>
      </c>
      <c r="CB41" s="2846">
        <f t="shared" si="283"/>
        <v>4.7271755088000003</v>
      </c>
      <c r="CC41" s="2846">
        <f>5.08*0.93054636</f>
        <v>4.7271755088000003</v>
      </c>
      <c r="CD41" s="2846">
        <v>0</v>
      </c>
      <c r="CE41" s="2867">
        <f t="shared" si="259"/>
        <v>5.0999999999999996</v>
      </c>
      <c r="CF41" s="2982">
        <f t="shared" si="259"/>
        <v>5.0999999999999996</v>
      </c>
      <c r="CG41" s="2982">
        <f t="shared" si="259"/>
        <v>0</v>
      </c>
      <c r="CH41" s="2867">
        <f t="shared" si="181"/>
        <v>0.37282449119999939</v>
      </c>
      <c r="CI41" s="2867">
        <f t="shared" si="181"/>
        <v>0.37282449119999939</v>
      </c>
      <c r="CJ41" s="2867">
        <f t="shared" si="181"/>
        <v>0</v>
      </c>
      <c r="CK41" s="2863"/>
      <c r="CL41" s="4187">
        <f t="shared" si="182"/>
        <v>4.7271755088000003</v>
      </c>
      <c r="CM41" s="4187">
        <f t="shared" si="183"/>
        <v>4.7271755088000003</v>
      </c>
      <c r="CN41" s="4187">
        <f t="shared" si="184"/>
        <v>0</v>
      </c>
    </row>
    <row r="42" spans="1:92" ht="18.75" customHeight="1" x14ac:dyDescent="0.3">
      <c r="A42" s="2873" t="s">
        <v>3733</v>
      </c>
      <c r="B42" s="2845">
        <f t="shared" si="260"/>
        <v>0</v>
      </c>
      <c r="C42" s="2845">
        <f t="shared" si="261"/>
        <v>0</v>
      </c>
      <c r="D42" s="2845">
        <f t="shared" si="261"/>
        <v>0</v>
      </c>
      <c r="E42" s="2865">
        <f t="shared" si="186"/>
        <v>0</v>
      </c>
      <c r="F42" s="2866"/>
      <c r="G42" s="2866"/>
      <c r="H42" s="2865">
        <f t="shared" si="187"/>
        <v>0</v>
      </c>
      <c r="I42" s="2866"/>
      <c r="J42" s="2866"/>
      <c r="K42" s="2865">
        <f t="shared" si="188"/>
        <v>0</v>
      </c>
      <c r="L42" s="2866"/>
      <c r="M42" s="2866"/>
      <c r="N42" s="2865">
        <f t="shared" si="262"/>
        <v>0</v>
      </c>
      <c r="O42" s="2865">
        <f t="shared" si="263"/>
        <v>0</v>
      </c>
      <c r="P42" s="2865">
        <f t="shared" si="263"/>
        <v>0</v>
      </c>
      <c r="Q42" s="2845">
        <f t="shared" si="264"/>
        <v>0</v>
      </c>
      <c r="R42" s="2845">
        <f t="shared" si="265"/>
        <v>0</v>
      </c>
      <c r="S42" s="2845">
        <f t="shared" si="266"/>
        <v>0</v>
      </c>
      <c r="T42" s="2865">
        <f t="shared" si="229"/>
        <v>0</v>
      </c>
      <c r="U42" s="2866"/>
      <c r="V42" s="2866"/>
      <c r="W42" s="2865">
        <f t="shared" si="231"/>
        <v>0</v>
      </c>
      <c r="X42" s="2866"/>
      <c r="Y42" s="2866"/>
      <c r="Z42" s="2865">
        <f t="shared" si="233"/>
        <v>1.07</v>
      </c>
      <c r="AA42" s="2866">
        <v>1.07</v>
      </c>
      <c r="AB42" s="2866"/>
      <c r="AC42" s="2865">
        <f t="shared" si="267"/>
        <v>1.07</v>
      </c>
      <c r="AD42" s="2865">
        <f t="shared" si="268"/>
        <v>1.07</v>
      </c>
      <c r="AE42" s="2865">
        <f t="shared" si="268"/>
        <v>0</v>
      </c>
      <c r="AF42" s="2846">
        <f t="shared" si="269"/>
        <v>0</v>
      </c>
      <c r="AG42" s="2846">
        <f t="shared" si="270"/>
        <v>0</v>
      </c>
      <c r="AH42" s="2846">
        <f t="shared" si="270"/>
        <v>0</v>
      </c>
      <c r="AI42" s="2867">
        <f t="shared" si="237"/>
        <v>1.07</v>
      </c>
      <c r="AJ42" s="2867">
        <f t="shared" si="238"/>
        <v>1.07</v>
      </c>
      <c r="AK42" s="2867">
        <f t="shared" si="238"/>
        <v>0</v>
      </c>
      <c r="AL42" s="2867">
        <f t="shared" si="164"/>
        <v>1.07</v>
      </c>
      <c r="AM42" s="2867">
        <f t="shared" si="164"/>
        <v>1.07</v>
      </c>
      <c r="AN42" s="2867">
        <f t="shared" si="164"/>
        <v>0</v>
      </c>
      <c r="AO42" s="2845">
        <f t="shared" si="271"/>
        <v>0</v>
      </c>
      <c r="AP42" s="2845">
        <f t="shared" si="272"/>
        <v>0</v>
      </c>
      <c r="AQ42" s="2845">
        <f t="shared" si="273"/>
        <v>0</v>
      </c>
      <c r="AR42" s="2865">
        <f t="shared" si="240"/>
        <v>0</v>
      </c>
      <c r="AS42" s="2866"/>
      <c r="AT42" s="2866"/>
      <c r="AU42" s="2865">
        <f t="shared" si="242"/>
        <v>0</v>
      </c>
      <c r="AV42" s="2866"/>
      <c r="AW42" s="2866"/>
      <c r="AX42" s="2865">
        <f t="shared" si="244"/>
        <v>0</v>
      </c>
      <c r="AY42" s="2866"/>
      <c r="AZ42" s="2866"/>
      <c r="BA42" s="2865">
        <f t="shared" si="274"/>
        <v>0</v>
      </c>
      <c r="BB42" s="2865">
        <f t="shared" si="275"/>
        <v>0</v>
      </c>
      <c r="BC42" s="2865">
        <f t="shared" si="275"/>
        <v>0</v>
      </c>
      <c r="BD42" s="2846">
        <f t="shared" si="276"/>
        <v>0</v>
      </c>
      <c r="BE42" s="2846">
        <f t="shared" si="277"/>
        <v>0</v>
      </c>
      <c r="BF42" s="2846">
        <f t="shared" si="249"/>
        <v>0</v>
      </c>
      <c r="BG42" s="2867">
        <f t="shared" si="250"/>
        <v>1.07</v>
      </c>
      <c r="BH42" s="2867">
        <f t="shared" si="250"/>
        <v>1.07</v>
      </c>
      <c r="BI42" s="2867">
        <f t="shared" si="250"/>
        <v>0</v>
      </c>
      <c r="BJ42" s="2867">
        <f t="shared" si="172"/>
        <v>1.07</v>
      </c>
      <c r="BK42" s="2867">
        <f t="shared" si="172"/>
        <v>1.07</v>
      </c>
      <c r="BL42" s="2867">
        <f t="shared" si="172"/>
        <v>0</v>
      </c>
      <c r="BM42" s="2845">
        <f t="shared" si="278"/>
        <v>0</v>
      </c>
      <c r="BN42" s="2845">
        <f t="shared" si="279"/>
        <v>0</v>
      </c>
      <c r="BO42" s="2845">
        <f t="shared" si="280"/>
        <v>0</v>
      </c>
      <c r="BP42" s="2865">
        <f t="shared" si="252"/>
        <v>0</v>
      </c>
      <c r="BQ42" s="2866"/>
      <c r="BR42" s="2866"/>
      <c r="BS42" s="2865">
        <f t="shared" si="254"/>
        <v>0</v>
      </c>
      <c r="BT42" s="2866"/>
      <c r="BU42" s="2866"/>
      <c r="BV42" s="2865">
        <f t="shared" si="256"/>
        <v>0</v>
      </c>
      <c r="BW42" s="2866"/>
      <c r="BX42" s="2866"/>
      <c r="BY42" s="2865">
        <f t="shared" si="281"/>
        <v>0</v>
      </c>
      <c r="BZ42" s="2865">
        <f t="shared" si="282"/>
        <v>0</v>
      </c>
      <c r="CA42" s="2865">
        <f t="shared" si="282"/>
        <v>0</v>
      </c>
      <c r="CB42" s="2846">
        <f t="shared" si="283"/>
        <v>0</v>
      </c>
      <c r="CC42" s="2846">
        <v>0</v>
      </c>
      <c r="CD42" s="2846">
        <v>0</v>
      </c>
      <c r="CE42" s="2867">
        <f t="shared" si="259"/>
        <v>1.07</v>
      </c>
      <c r="CF42" s="2982">
        <f t="shared" si="259"/>
        <v>1.07</v>
      </c>
      <c r="CG42" s="2982">
        <f t="shared" si="259"/>
        <v>0</v>
      </c>
      <c r="CH42" s="2867">
        <f t="shared" si="181"/>
        <v>1.07</v>
      </c>
      <c r="CI42" s="2867">
        <f t="shared" si="181"/>
        <v>1.07</v>
      </c>
      <c r="CJ42" s="2867">
        <f t="shared" si="181"/>
        <v>0</v>
      </c>
      <c r="CK42" s="2863"/>
      <c r="CL42" s="4187">
        <f t="shared" si="182"/>
        <v>0</v>
      </c>
      <c r="CM42" s="4187">
        <f t="shared" si="183"/>
        <v>0</v>
      </c>
      <c r="CN42" s="4187">
        <f t="shared" si="184"/>
        <v>0</v>
      </c>
    </row>
    <row r="43" spans="1:92" ht="18.75" customHeight="1" x14ac:dyDescent="0.3">
      <c r="A43" s="2873" t="s">
        <v>590</v>
      </c>
      <c r="B43" s="2845">
        <f t="shared" si="260"/>
        <v>0.651382452</v>
      </c>
      <c r="C43" s="2845">
        <f t="shared" si="261"/>
        <v>0.651382452</v>
      </c>
      <c r="D43" s="2845">
        <f t="shared" si="261"/>
        <v>0</v>
      </c>
      <c r="E43" s="2865">
        <f t="shared" si="186"/>
        <v>0</v>
      </c>
      <c r="F43" s="2866"/>
      <c r="G43" s="2866"/>
      <c r="H43" s="2865">
        <f t="shared" si="187"/>
        <v>0</v>
      </c>
      <c r="I43" s="2866"/>
      <c r="J43" s="2866"/>
      <c r="K43" s="2865">
        <f t="shared" si="188"/>
        <v>0</v>
      </c>
      <c r="L43" s="2866"/>
      <c r="M43" s="2866"/>
      <c r="N43" s="2865">
        <f t="shared" si="262"/>
        <v>0</v>
      </c>
      <c r="O43" s="2865">
        <f t="shared" si="263"/>
        <v>0</v>
      </c>
      <c r="P43" s="2865">
        <f t="shared" si="263"/>
        <v>0</v>
      </c>
      <c r="Q43" s="2845">
        <f t="shared" si="264"/>
        <v>0.651382452</v>
      </c>
      <c r="R43" s="2845">
        <f t="shared" si="265"/>
        <v>0.651382452</v>
      </c>
      <c r="S43" s="2845">
        <f t="shared" si="266"/>
        <v>0</v>
      </c>
      <c r="T43" s="2865">
        <f t="shared" si="229"/>
        <v>0</v>
      </c>
      <c r="U43" s="2866"/>
      <c r="V43" s="2866"/>
      <c r="W43" s="2865">
        <f t="shared" si="231"/>
        <v>0</v>
      </c>
      <c r="X43" s="2866"/>
      <c r="Y43" s="2866"/>
      <c r="Z43" s="2865">
        <f t="shared" si="233"/>
        <v>0.44</v>
      </c>
      <c r="AA43" s="2866">
        <v>0.44</v>
      </c>
      <c r="AB43" s="2866"/>
      <c r="AC43" s="2865">
        <f t="shared" si="267"/>
        <v>0.44</v>
      </c>
      <c r="AD43" s="2865">
        <f t="shared" si="268"/>
        <v>0.44</v>
      </c>
      <c r="AE43" s="2865">
        <f t="shared" si="268"/>
        <v>0</v>
      </c>
      <c r="AF43" s="2846">
        <f t="shared" si="269"/>
        <v>1.302764904</v>
      </c>
      <c r="AG43" s="2846">
        <f t="shared" si="270"/>
        <v>1.302764904</v>
      </c>
      <c r="AH43" s="2846">
        <f t="shared" si="270"/>
        <v>0</v>
      </c>
      <c r="AI43" s="2867">
        <f t="shared" si="237"/>
        <v>0.44</v>
      </c>
      <c r="AJ43" s="2867">
        <f t="shared" si="238"/>
        <v>0.44</v>
      </c>
      <c r="AK43" s="2867">
        <f t="shared" si="238"/>
        <v>0</v>
      </c>
      <c r="AL43" s="2867">
        <f t="shared" si="164"/>
        <v>-0.86276490400000005</v>
      </c>
      <c r="AM43" s="2867">
        <f t="shared" si="164"/>
        <v>-0.86276490400000005</v>
      </c>
      <c r="AN43" s="2867">
        <f t="shared" si="164"/>
        <v>0</v>
      </c>
      <c r="AO43" s="2845">
        <f t="shared" si="271"/>
        <v>0.651382452</v>
      </c>
      <c r="AP43" s="2845">
        <f t="shared" si="272"/>
        <v>0.651382452</v>
      </c>
      <c r="AQ43" s="2845">
        <f t="shared" si="273"/>
        <v>0</v>
      </c>
      <c r="AR43" s="2865">
        <f t="shared" si="240"/>
        <v>0</v>
      </c>
      <c r="AS43" s="2866"/>
      <c r="AT43" s="2866"/>
      <c r="AU43" s="2865">
        <f t="shared" si="242"/>
        <v>0</v>
      </c>
      <c r="AV43" s="2866"/>
      <c r="AW43" s="2866"/>
      <c r="AX43" s="2865">
        <f t="shared" si="244"/>
        <v>0</v>
      </c>
      <c r="AY43" s="2866"/>
      <c r="AZ43" s="2866"/>
      <c r="BA43" s="2865">
        <f t="shared" si="274"/>
        <v>0</v>
      </c>
      <c r="BB43" s="2865">
        <f t="shared" si="275"/>
        <v>0</v>
      </c>
      <c r="BC43" s="2865">
        <f t="shared" si="275"/>
        <v>0</v>
      </c>
      <c r="BD43" s="2846">
        <f t="shared" si="276"/>
        <v>1.954147356</v>
      </c>
      <c r="BE43" s="2846">
        <f t="shared" si="277"/>
        <v>1.954147356</v>
      </c>
      <c r="BF43" s="2846">
        <f t="shared" si="249"/>
        <v>0</v>
      </c>
      <c r="BG43" s="2867">
        <f t="shared" si="250"/>
        <v>0.44</v>
      </c>
      <c r="BH43" s="2867">
        <f t="shared" si="250"/>
        <v>0.44</v>
      </c>
      <c r="BI43" s="2867">
        <f t="shared" si="250"/>
        <v>0</v>
      </c>
      <c r="BJ43" s="2867">
        <f t="shared" si="172"/>
        <v>-1.5141473560000001</v>
      </c>
      <c r="BK43" s="2867">
        <f t="shared" si="172"/>
        <v>-1.5141473560000001</v>
      </c>
      <c r="BL43" s="2867">
        <f t="shared" si="172"/>
        <v>0</v>
      </c>
      <c r="BM43" s="2845">
        <f t="shared" si="278"/>
        <v>0.651382452</v>
      </c>
      <c r="BN43" s="2845">
        <f t="shared" si="279"/>
        <v>0.651382452</v>
      </c>
      <c r="BO43" s="2845">
        <f t="shared" si="280"/>
        <v>0</v>
      </c>
      <c r="BP43" s="2865">
        <f t="shared" si="252"/>
        <v>0</v>
      </c>
      <c r="BQ43" s="2866"/>
      <c r="BR43" s="2866"/>
      <c r="BS43" s="2865">
        <f t="shared" si="254"/>
        <v>0</v>
      </c>
      <c r="BT43" s="2866"/>
      <c r="BU43" s="2866"/>
      <c r="BV43" s="2865">
        <f t="shared" si="256"/>
        <v>3.08</v>
      </c>
      <c r="BW43" s="2866">
        <v>3.08</v>
      </c>
      <c r="BX43" s="2866"/>
      <c r="BY43" s="2865">
        <f t="shared" si="281"/>
        <v>3.08</v>
      </c>
      <c r="BZ43" s="2865">
        <f t="shared" si="282"/>
        <v>3.08</v>
      </c>
      <c r="CA43" s="2865">
        <f t="shared" si="282"/>
        <v>0</v>
      </c>
      <c r="CB43" s="2846">
        <f t="shared" si="283"/>
        <v>2.605529808</v>
      </c>
      <c r="CC43" s="2846">
        <f>2.8*0.93054636</f>
        <v>2.605529808</v>
      </c>
      <c r="CD43" s="2846">
        <v>0</v>
      </c>
      <c r="CE43" s="2867">
        <f t="shared" si="259"/>
        <v>3.52</v>
      </c>
      <c r="CF43" s="2982">
        <f t="shared" si="259"/>
        <v>3.52</v>
      </c>
      <c r="CG43" s="2982">
        <f t="shared" si="259"/>
        <v>0</v>
      </c>
      <c r="CH43" s="2867">
        <f t="shared" si="181"/>
        <v>0.91447019200000002</v>
      </c>
      <c r="CI43" s="2867">
        <f t="shared" si="181"/>
        <v>0.91447019200000002</v>
      </c>
      <c r="CJ43" s="2867">
        <f t="shared" si="181"/>
        <v>0</v>
      </c>
      <c r="CK43" s="2863"/>
      <c r="CL43" s="4187">
        <f t="shared" si="182"/>
        <v>2.605529808</v>
      </c>
      <c r="CM43" s="4187">
        <f t="shared" si="183"/>
        <v>2.605529808</v>
      </c>
      <c r="CN43" s="4187">
        <f t="shared" si="184"/>
        <v>0</v>
      </c>
    </row>
    <row r="44" spans="1:92" ht="18.75" customHeight="1" x14ac:dyDescent="0.3">
      <c r="A44" s="2873" t="s">
        <v>95</v>
      </c>
      <c r="B44" s="2845">
        <f t="shared" si="260"/>
        <v>7.0395832134000003</v>
      </c>
      <c r="C44" s="2845">
        <f t="shared" si="261"/>
        <v>7.0395832134000003</v>
      </c>
      <c r="D44" s="2845">
        <f t="shared" si="261"/>
        <v>0</v>
      </c>
      <c r="E44" s="2865">
        <f t="shared" si="186"/>
        <v>0</v>
      </c>
      <c r="F44" s="2866"/>
      <c r="G44" s="2866"/>
      <c r="H44" s="2865">
        <f t="shared" si="187"/>
        <v>0</v>
      </c>
      <c r="I44" s="2866"/>
      <c r="J44" s="2866"/>
      <c r="K44" s="2865">
        <f t="shared" si="188"/>
        <v>22.31</v>
      </c>
      <c r="L44" s="2866">
        <v>22.31</v>
      </c>
      <c r="M44" s="2866"/>
      <c r="N44" s="2865">
        <f t="shared" si="262"/>
        <v>22.31</v>
      </c>
      <c r="O44" s="2865">
        <f t="shared" si="263"/>
        <v>22.31</v>
      </c>
      <c r="P44" s="2865">
        <f t="shared" si="263"/>
        <v>0</v>
      </c>
      <c r="Q44" s="2845">
        <f t="shared" si="264"/>
        <v>7.0395832134000003</v>
      </c>
      <c r="R44" s="2845">
        <f t="shared" si="265"/>
        <v>7.0395832134000003</v>
      </c>
      <c r="S44" s="2845">
        <f t="shared" si="266"/>
        <v>0</v>
      </c>
      <c r="T44" s="2865">
        <f t="shared" si="229"/>
        <v>0</v>
      </c>
      <c r="U44" s="2866"/>
      <c r="V44" s="2866"/>
      <c r="W44" s="2865">
        <f t="shared" si="231"/>
        <v>0</v>
      </c>
      <c r="X44" s="2866"/>
      <c r="Y44" s="2866"/>
      <c r="Z44" s="2865">
        <f t="shared" si="233"/>
        <v>22.562000000000001</v>
      </c>
      <c r="AA44" s="2866">
        <v>22.562000000000001</v>
      </c>
      <c r="AB44" s="2866"/>
      <c r="AC44" s="2865">
        <f t="shared" si="267"/>
        <v>22.562000000000001</v>
      </c>
      <c r="AD44" s="2865">
        <f t="shared" si="268"/>
        <v>22.562000000000001</v>
      </c>
      <c r="AE44" s="2865">
        <f t="shared" si="268"/>
        <v>0</v>
      </c>
      <c r="AF44" s="2846">
        <f t="shared" si="269"/>
        <v>14.079166426800001</v>
      </c>
      <c r="AG44" s="2846">
        <f t="shared" si="270"/>
        <v>14.079166426800001</v>
      </c>
      <c r="AH44" s="2846">
        <f t="shared" si="270"/>
        <v>0</v>
      </c>
      <c r="AI44" s="2867">
        <f t="shared" si="237"/>
        <v>44.872</v>
      </c>
      <c r="AJ44" s="2867">
        <f t="shared" si="238"/>
        <v>44.872</v>
      </c>
      <c r="AK44" s="2867">
        <f t="shared" si="238"/>
        <v>0</v>
      </c>
      <c r="AL44" s="2867">
        <f t="shared" si="164"/>
        <v>30.792833573199999</v>
      </c>
      <c r="AM44" s="2867">
        <f t="shared" si="164"/>
        <v>30.792833573199999</v>
      </c>
      <c r="AN44" s="2867">
        <f t="shared" si="164"/>
        <v>0</v>
      </c>
      <c r="AO44" s="2845">
        <f t="shared" si="271"/>
        <v>7.0395832134000003</v>
      </c>
      <c r="AP44" s="2845">
        <f t="shared" si="272"/>
        <v>7.0395832134000003</v>
      </c>
      <c r="AQ44" s="2845">
        <f t="shared" si="273"/>
        <v>0</v>
      </c>
      <c r="AR44" s="2865">
        <f t="shared" si="240"/>
        <v>0</v>
      </c>
      <c r="AS44" s="2866"/>
      <c r="AT44" s="2866"/>
      <c r="AU44" s="2865">
        <f t="shared" si="242"/>
        <v>0</v>
      </c>
      <c r="AV44" s="2866"/>
      <c r="AW44" s="2866"/>
      <c r="AX44" s="2865">
        <f t="shared" si="244"/>
        <v>22.81</v>
      </c>
      <c r="AY44" s="2866">
        <v>22.81</v>
      </c>
      <c r="AZ44" s="2866"/>
      <c r="BA44" s="2865">
        <f t="shared" si="274"/>
        <v>22.81</v>
      </c>
      <c r="BB44" s="2865">
        <f t="shared" si="275"/>
        <v>22.81</v>
      </c>
      <c r="BC44" s="2865">
        <f t="shared" si="275"/>
        <v>0</v>
      </c>
      <c r="BD44" s="2846">
        <f t="shared" si="276"/>
        <v>21.118749640200001</v>
      </c>
      <c r="BE44" s="2846">
        <f t="shared" si="277"/>
        <v>21.118749640200001</v>
      </c>
      <c r="BF44" s="2846">
        <f t="shared" si="249"/>
        <v>0</v>
      </c>
      <c r="BG44" s="2867">
        <f t="shared" si="250"/>
        <v>67.682000000000002</v>
      </c>
      <c r="BH44" s="2867">
        <f t="shared" si="250"/>
        <v>67.682000000000002</v>
      </c>
      <c r="BI44" s="2867">
        <f t="shared" si="250"/>
        <v>0</v>
      </c>
      <c r="BJ44" s="2867">
        <f t="shared" si="172"/>
        <v>46.563250359800001</v>
      </c>
      <c r="BK44" s="2867">
        <f t="shared" si="172"/>
        <v>46.563250359800001</v>
      </c>
      <c r="BL44" s="2867">
        <f t="shared" si="172"/>
        <v>0</v>
      </c>
      <c r="BM44" s="2845">
        <f t="shared" si="278"/>
        <v>7.0395832134000003</v>
      </c>
      <c r="BN44" s="2845">
        <f t="shared" si="279"/>
        <v>7.0395832134000003</v>
      </c>
      <c r="BO44" s="2845">
        <f t="shared" si="280"/>
        <v>0</v>
      </c>
      <c r="BP44" s="2865">
        <f t="shared" si="252"/>
        <v>0</v>
      </c>
      <c r="BQ44" s="2866"/>
      <c r="BR44" s="2866"/>
      <c r="BS44" s="2865">
        <f t="shared" si="254"/>
        <v>0</v>
      </c>
      <c r="BT44" s="2866"/>
      <c r="BU44" s="2866"/>
      <c r="BV44" s="2865">
        <f t="shared" si="256"/>
        <v>22.811</v>
      </c>
      <c r="BW44" s="2866">
        <v>22.811</v>
      </c>
      <c r="BX44" s="2866"/>
      <c r="BY44" s="2865">
        <f t="shared" si="281"/>
        <v>22.811</v>
      </c>
      <c r="BZ44" s="2865">
        <f t="shared" si="282"/>
        <v>22.811</v>
      </c>
      <c r="CA44" s="2865">
        <f t="shared" si="282"/>
        <v>0</v>
      </c>
      <c r="CB44" s="2846">
        <f t="shared" si="283"/>
        <v>28.158332853600001</v>
      </c>
      <c r="CC44" s="2846">
        <f>30.26*0.93054636</f>
        <v>28.158332853600001</v>
      </c>
      <c r="CD44" s="2846">
        <v>0</v>
      </c>
      <c r="CE44" s="2867">
        <f t="shared" si="259"/>
        <v>90.492999999999995</v>
      </c>
      <c r="CF44" s="2982">
        <f t="shared" si="259"/>
        <v>90.492999999999995</v>
      </c>
      <c r="CG44" s="2982">
        <f t="shared" si="259"/>
        <v>0</v>
      </c>
      <c r="CH44" s="2867">
        <f t="shared" si="181"/>
        <v>62.334667146399994</v>
      </c>
      <c r="CI44" s="2867">
        <f t="shared" si="181"/>
        <v>62.334667146399994</v>
      </c>
      <c r="CJ44" s="2867">
        <f t="shared" si="181"/>
        <v>0</v>
      </c>
      <c r="CK44" s="2863"/>
      <c r="CL44" s="4187">
        <f t="shared" si="182"/>
        <v>28.158332853600001</v>
      </c>
      <c r="CM44" s="4187">
        <f t="shared" si="183"/>
        <v>28.158332853600001</v>
      </c>
      <c r="CN44" s="4187">
        <f t="shared" si="184"/>
        <v>0</v>
      </c>
    </row>
    <row r="45" spans="1:92" ht="18.75" customHeight="1" x14ac:dyDescent="0.3">
      <c r="A45" s="2873" t="s">
        <v>38</v>
      </c>
      <c r="B45" s="2845">
        <f t="shared" si="260"/>
        <v>0</v>
      </c>
      <c r="C45" s="2845">
        <f t="shared" si="261"/>
        <v>0</v>
      </c>
      <c r="D45" s="2845">
        <f t="shared" si="261"/>
        <v>0</v>
      </c>
      <c r="E45" s="2865">
        <f t="shared" si="186"/>
        <v>0</v>
      </c>
      <c r="F45" s="2866"/>
      <c r="G45" s="2866"/>
      <c r="H45" s="2865">
        <f t="shared" si="187"/>
        <v>0</v>
      </c>
      <c r="I45" s="2866"/>
      <c r="J45" s="2866"/>
      <c r="K45" s="2865">
        <f t="shared" si="188"/>
        <v>0</v>
      </c>
      <c r="L45" s="2866"/>
      <c r="M45" s="2866"/>
      <c r="N45" s="2865">
        <f t="shared" si="262"/>
        <v>0</v>
      </c>
      <c r="O45" s="2865">
        <f t="shared" si="263"/>
        <v>0</v>
      </c>
      <c r="P45" s="2865">
        <f t="shared" si="263"/>
        <v>0</v>
      </c>
      <c r="Q45" s="2845">
        <f t="shared" si="264"/>
        <v>0</v>
      </c>
      <c r="R45" s="2845">
        <f t="shared" si="265"/>
        <v>0</v>
      </c>
      <c r="S45" s="2845">
        <f t="shared" si="266"/>
        <v>0</v>
      </c>
      <c r="T45" s="2865">
        <f t="shared" si="229"/>
        <v>0</v>
      </c>
      <c r="U45" s="2866"/>
      <c r="V45" s="2866"/>
      <c r="W45" s="2865">
        <f t="shared" si="231"/>
        <v>0</v>
      </c>
      <c r="X45" s="2866"/>
      <c r="Y45" s="2866"/>
      <c r="Z45" s="2865">
        <f t="shared" si="233"/>
        <v>0</v>
      </c>
      <c r="AA45" s="2866"/>
      <c r="AB45" s="2866"/>
      <c r="AC45" s="2865">
        <f t="shared" si="267"/>
        <v>0</v>
      </c>
      <c r="AD45" s="2865">
        <f t="shared" si="268"/>
        <v>0</v>
      </c>
      <c r="AE45" s="2865">
        <f t="shared" si="268"/>
        <v>0</v>
      </c>
      <c r="AF45" s="2846">
        <f t="shared" si="269"/>
        <v>0</v>
      </c>
      <c r="AG45" s="2846">
        <f t="shared" si="270"/>
        <v>0</v>
      </c>
      <c r="AH45" s="2846">
        <f t="shared" si="270"/>
        <v>0</v>
      </c>
      <c r="AI45" s="2867">
        <f t="shared" si="237"/>
        <v>0</v>
      </c>
      <c r="AJ45" s="2867">
        <f t="shared" si="238"/>
        <v>0</v>
      </c>
      <c r="AK45" s="2867">
        <f t="shared" si="238"/>
        <v>0</v>
      </c>
      <c r="AL45" s="2867">
        <f t="shared" ref="AL45:AN60" si="284">SUM(AI45-AF45)</f>
        <v>0</v>
      </c>
      <c r="AM45" s="2867">
        <f t="shared" si="284"/>
        <v>0</v>
      </c>
      <c r="AN45" s="2867">
        <f t="shared" si="284"/>
        <v>0</v>
      </c>
      <c r="AO45" s="2845">
        <f t="shared" si="271"/>
        <v>0</v>
      </c>
      <c r="AP45" s="2845">
        <f t="shared" si="272"/>
        <v>0</v>
      </c>
      <c r="AQ45" s="2845">
        <f t="shared" si="273"/>
        <v>0</v>
      </c>
      <c r="AR45" s="2865">
        <f t="shared" si="240"/>
        <v>0</v>
      </c>
      <c r="AS45" s="2866"/>
      <c r="AT45" s="2866"/>
      <c r="AU45" s="2865">
        <f t="shared" si="242"/>
        <v>0</v>
      </c>
      <c r="AV45" s="2866"/>
      <c r="AW45" s="2866"/>
      <c r="AX45" s="2865">
        <f t="shared" si="244"/>
        <v>0</v>
      </c>
      <c r="AY45" s="2866"/>
      <c r="AZ45" s="2866"/>
      <c r="BA45" s="2865">
        <f t="shared" si="274"/>
        <v>0</v>
      </c>
      <c r="BB45" s="2865">
        <f t="shared" si="275"/>
        <v>0</v>
      </c>
      <c r="BC45" s="2865">
        <f t="shared" si="275"/>
        <v>0</v>
      </c>
      <c r="BD45" s="2846">
        <f t="shared" si="276"/>
        <v>0</v>
      </c>
      <c r="BE45" s="2846">
        <f t="shared" si="277"/>
        <v>0</v>
      </c>
      <c r="BF45" s="2846">
        <f t="shared" si="249"/>
        <v>0</v>
      </c>
      <c r="BG45" s="2867">
        <f t="shared" si="250"/>
        <v>0</v>
      </c>
      <c r="BH45" s="2867">
        <f t="shared" si="250"/>
        <v>0</v>
      </c>
      <c r="BI45" s="2867">
        <f t="shared" si="250"/>
        <v>0</v>
      </c>
      <c r="BJ45" s="2867">
        <f t="shared" ref="BJ45:BL60" si="285">SUM(BG45-BD45)</f>
        <v>0</v>
      </c>
      <c r="BK45" s="2867">
        <f t="shared" si="285"/>
        <v>0</v>
      </c>
      <c r="BL45" s="2867">
        <f t="shared" si="285"/>
        <v>0</v>
      </c>
      <c r="BM45" s="2845">
        <f t="shared" si="278"/>
        <v>0</v>
      </c>
      <c r="BN45" s="2845">
        <f t="shared" si="279"/>
        <v>0</v>
      </c>
      <c r="BO45" s="2845">
        <f t="shared" si="280"/>
        <v>0</v>
      </c>
      <c r="BP45" s="2865">
        <f t="shared" si="252"/>
        <v>0</v>
      </c>
      <c r="BQ45" s="2866"/>
      <c r="BR45" s="2866"/>
      <c r="BS45" s="2865">
        <f t="shared" si="254"/>
        <v>0</v>
      </c>
      <c r="BT45" s="2866"/>
      <c r="BU45" s="2866"/>
      <c r="BV45" s="2865">
        <f t="shared" si="256"/>
        <v>0</v>
      </c>
      <c r="BW45" s="2866"/>
      <c r="BX45" s="2866"/>
      <c r="BY45" s="2865">
        <f t="shared" si="281"/>
        <v>0</v>
      </c>
      <c r="BZ45" s="2865">
        <f t="shared" si="282"/>
        <v>0</v>
      </c>
      <c r="CA45" s="2865">
        <f t="shared" si="282"/>
        <v>0</v>
      </c>
      <c r="CB45" s="2846">
        <f t="shared" si="283"/>
        <v>0</v>
      </c>
      <c r="CC45" s="2846">
        <v>0</v>
      </c>
      <c r="CD45" s="2846">
        <v>0</v>
      </c>
      <c r="CE45" s="2867">
        <f t="shared" si="259"/>
        <v>0</v>
      </c>
      <c r="CF45" s="2982">
        <f t="shared" si="259"/>
        <v>0</v>
      </c>
      <c r="CG45" s="2982">
        <f t="shared" si="259"/>
        <v>0</v>
      </c>
      <c r="CH45" s="2867">
        <f t="shared" ref="CH45:CJ60" si="286">SUM(CE45-CB45)</f>
        <v>0</v>
      </c>
      <c r="CI45" s="2867">
        <f t="shared" si="286"/>
        <v>0</v>
      </c>
      <c r="CJ45" s="2867">
        <f t="shared" si="286"/>
        <v>0</v>
      </c>
      <c r="CK45" s="2863"/>
      <c r="CL45" s="4187">
        <f t="shared" si="182"/>
        <v>0</v>
      </c>
      <c r="CM45" s="4187">
        <f t="shared" si="183"/>
        <v>0</v>
      </c>
      <c r="CN45" s="4187">
        <f t="shared" si="184"/>
        <v>0</v>
      </c>
    </row>
    <row r="46" spans="1:92" ht="18.75" customHeight="1" x14ac:dyDescent="0.3">
      <c r="A46" s="2873" t="s">
        <v>591</v>
      </c>
      <c r="B46" s="2845">
        <f>SUM(C46:D46)</f>
        <v>0</v>
      </c>
      <c r="C46" s="2845">
        <f t="shared" ref="C46:G46" si="287">SUM(C47:C49)</f>
        <v>0</v>
      </c>
      <c r="D46" s="2845">
        <f t="shared" si="287"/>
        <v>0</v>
      </c>
      <c r="E46" s="2865">
        <f t="shared" si="186"/>
        <v>0</v>
      </c>
      <c r="F46" s="2843">
        <f t="shared" si="287"/>
        <v>0</v>
      </c>
      <c r="G46" s="2843">
        <f t="shared" si="287"/>
        <v>0</v>
      </c>
      <c r="H46" s="2865">
        <f t="shared" si="187"/>
        <v>0</v>
      </c>
      <c r="I46" s="2843">
        <f t="shared" ref="I46:J46" si="288">SUM(I47:I49)</f>
        <v>0</v>
      </c>
      <c r="J46" s="2843">
        <f t="shared" si="288"/>
        <v>0</v>
      </c>
      <c r="K46" s="2865">
        <f t="shared" si="188"/>
        <v>0</v>
      </c>
      <c r="L46" s="2843">
        <f t="shared" ref="L46:M46" si="289">SUM(L47:L49)</f>
        <v>0</v>
      </c>
      <c r="M46" s="2843">
        <f t="shared" si="289"/>
        <v>0</v>
      </c>
      <c r="N46" s="2865">
        <f t="shared" si="262"/>
        <v>0</v>
      </c>
      <c r="O46" s="2843">
        <f t="shared" ref="O46:P46" si="290">SUM(O47:O49)</f>
        <v>0</v>
      </c>
      <c r="P46" s="2843">
        <f t="shared" si="290"/>
        <v>0</v>
      </c>
      <c r="Q46" s="2845">
        <f>SUM(R46:S46)</f>
        <v>0</v>
      </c>
      <c r="R46" s="2845">
        <f t="shared" ref="R46:S46" si="291">SUM(R47:R49)</f>
        <v>0</v>
      </c>
      <c r="S46" s="2845">
        <f t="shared" si="291"/>
        <v>0</v>
      </c>
      <c r="T46" s="2865">
        <f t="shared" si="229"/>
        <v>0</v>
      </c>
      <c r="U46" s="2843">
        <f t="shared" ref="U46:V46" si="292">SUM(U47:U49)</f>
        <v>0</v>
      </c>
      <c r="V46" s="2843">
        <f t="shared" si="292"/>
        <v>0</v>
      </c>
      <c r="W46" s="2865">
        <f t="shared" si="231"/>
        <v>0</v>
      </c>
      <c r="X46" s="2843">
        <f t="shared" ref="X46:Y46" si="293">SUM(X47:X49)</f>
        <v>0</v>
      </c>
      <c r="Y46" s="2843">
        <f t="shared" si="293"/>
        <v>0</v>
      </c>
      <c r="Z46" s="2865">
        <f t="shared" si="233"/>
        <v>0</v>
      </c>
      <c r="AA46" s="2843">
        <f t="shared" ref="AA46:AB46" si="294">SUM(AA47:AA49)</f>
        <v>0</v>
      </c>
      <c r="AB46" s="2843">
        <f t="shared" si="294"/>
        <v>0</v>
      </c>
      <c r="AC46" s="2865">
        <f t="shared" si="267"/>
        <v>0</v>
      </c>
      <c r="AD46" s="2843">
        <f t="shared" ref="AD46:AE46" si="295">SUM(AD47:AD49)</f>
        <v>0</v>
      </c>
      <c r="AE46" s="2843">
        <f t="shared" si="295"/>
        <v>0</v>
      </c>
      <c r="AF46" s="2846">
        <f t="shared" si="269"/>
        <v>0</v>
      </c>
      <c r="AG46" s="2846">
        <f t="shared" si="270"/>
        <v>0</v>
      </c>
      <c r="AH46" s="2846">
        <f t="shared" si="270"/>
        <v>0</v>
      </c>
      <c r="AI46" s="2867">
        <f t="shared" si="237"/>
        <v>0</v>
      </c>
      <c r="AJ46" s="2867">
        <f t="shared" si="238"/>
        <v>0</v>
      </c>
      <c r="AK46" s="2867">
        <f t="shared" si="238"/>
        <v>0</v>
      </c>
      <c r="AL46" s="2867">
        <f t="shared" si="284"/>
        <v>0</v>
      </c>
      <c r="AM46" s="2867">
        <f t="shared" si="284"/>
        <v>0</v>
      </c>
      <c r="AN46" s="2867">
        <f t="shared" si="284"/>
        <v>0</v>
      </c>
      <c r="AO46" s="2845">
        <f>SUM(AP46:AQ46)</f>
        <v>0</v>
      </c>
      <c r="AP46" s="2845">
        <f t="shared" si="272"/>
        <v>0</v>
      </c>
      <c r="AQ46" s="2845">
        <f t="shared" si="273"/>
        <v>0</v>
      </c>
      <c r="AR46" s="2865">
        <f t="shared" si="240"/>
        <v>0</v>
      </c>
      <c r="AS46" s="2843">
        <f t="shared" ref="AS46:AT46" si="296">SUM(AS47:AS49)</f>
        <v>0</v>
      </c>
      <c r="AT46" s="2843">
        <f t="shared" si="296"/>
        <v>0</v>
      </c>
      <c r="AU46" s="2865">
        <f t="shared" si="242"/>
        <v>0</v>
      </c>
      <c r="AV46" s="2843">
        <f t="shared" ref="AV46:AW46" si="297">SUM(AV47:AV49)</f>
        <v>0</v>
      </c>
      <c r="AW46" s="2843">
        <f t="shared" si="297"/>
        <v>0</v>
      </c>
      <c r="AX46" s="2865">
        <f t="shared" si="244"/>
        <v>0</v>
      </c>
      <c r="AY46" s="2843">
        <f t="shared" ref="AY46:AZ46" si="298">SUM(AY47:AY49)</f>
        <v>0</v>
      </c>
      <c r="AZ46" s="2843">
        <f t="shared" si="298"/>
        <v>0</v>
      </c>
      <c r="BA46" s="2865">
        <f t="shared" si="274"/>
        <v>0</v>
      </c>
      <c r="BB46" s="2843">
        <f t="shared" ref="BB46:BC46" si="299">SUM(BB47:BB49)</f>
        <v>0</v>
      </c>
      <c r="BC46" s="2843">
        <f t="shared" si="299"/>
        <v>0</v>
      </c>
      <c r="BD46" s="2846">
        <f t="shared" si="276"/>
        <v>0</v>
      </c>
      <c r="BE46" s="2846">
        <f t="shared" si="277"/>
        <v>0</v>
      </c>
      <c r="BF46" s="2846">
        <f t="shared" si="249"/>
        <v>0</v>
      </c>
      <c r="BG46" s="2867">
        <f t="shared" si="250"/>
        <v>0</v>
      </c>
      <c r="BH46" s="2867">
        <f t="shared" si="250"/>
        <v>0</v>
      </c>
      <c r="BI46" s="2867">
        <f t="shared" si="250"/>
        <v>0</v>
      </c>
      <c r="BJ46" s="2867">
        <f t="shared" si="285"/>
        <v>0</v>
      </c>
      <c r="BK46" s="2867">
        <f t="shared" si="285"/>
        <v>0</v>
      </c>
      <c r="BL46" s="2867">
        <f t="shared" si="285"/>
        <v>0</v>
      </c>
      <c r="BM46" s="2845">
        <f>SUM(BN46:BO46)</f>
        <v>0</v>
      </c>
      <c r="BN46" s="2845">
        <f t="shared" ref="BN46:BO46" si="300">SUM(BN47:BN49)</f>
        <v>0</v>
      </c>
      <c r="BO46" s="2845">
        <f t="shared" si="300"/>
        <v>0</v>
      </c>
      <c r="BP46" s="2865">
        <f t="shared" si="252"/>
        <v>0</v>
      </c>
      <c r="BQ46" s="2843">
        <f t="shared" ref="BQ46:BR46" si="301">SUM(BQ47:BQ49)</f>
        <v>0</v>
      </c>
      <c r="BR46" s="2843">
        <f t="shared" si="301"/>
        <v>0</v>
      </c>
      <c r="BS46" s="2865">
        <f t="shared" si="254"/>
        <v>3.0950000000000002</v>
      </c>
      <c r="BT46" s="2843">
        <f t="shared" ref="BT46:BU46" si="302">SUM(BT47:BT49)</f>
        <v>3.0950000000000002</v>
      </c>
      <c r="BU46" s="2843">
        <f t="shared" si="302"/>
        <v>0</v>
      </c>
      <c r="BV46" s="2865">
        <f t="shared" si="256"/>
        <v>0</v>
      </c>
      <c r="BW46" s="2843">
        <f t="shared" ref="BW46:BX46" si="303">SUM(BW47:BW49)</f>
        <v>0</v>
      </c>
      <c r="BX46" s="2843">
        <f t="shared" si="303"/>
        <v>0</v>
      </c>
      <c r="BY46" s="2865">
        <f t="shared" si="281"/>
        <v>3.0950000000000002</v>
      </c>
      <c r="BZ46" s="2843">
        <f t="shared" ref="BZ46:CA46" si="304">SUM(BZ47:BZ49)</f>
        <v>3.0950000000000002</v>
      </c>
      <c r="CA46" s="2843">
        <f t="shared" si="304"/>
        <v>0</v>
      </c>
      <c r="CB46" s="2846">
        <f>SUM(CC46:CD46)</f>
        <v>0</v>
      </c>
      <c r="CC46" s="2846">
        <f>SUM(CC47:CC49)</f>
        <v>0</v>
      </c>
      <c r="CD46" s="2846">
        <f>SUM(CD47:CD49)</f>
        <v>0</v>
      </c>
      <c r="CE46" s="2867">
        <f t="shared" si="259"/>
        <v>3.0950000000000002</v>
      </c>
      <c r="CF46" s="2982">
        <f t="shared" si="259"/>
        <v>3.0950000000000002</v>
      </c>
      <c r="CG46" s="2982">
        <f t="shared" si="259"/>
        <v>0</v>
      </c>
      <c r="CH46" s="2867">
        <f t="shared" si="286"/>
        <v>3.0950000000000002</v>
      </c>
      <c r="CI46" s="2867">
        <f t="shared" si="286"/>
        <v>3.0950000000000002</v>
      </c>
      <c r="CJ46" s="2867">
        <f t="shared" si="286"/>
        <v>0</v>
      </c>
      <c r="CK46" s="2863"/>
      <c r="CL46" s="4187">
        <f t="shared" si="182"/>
        <v>0</v>
      </c>
      <c r="CM46" s="4187">
        <f t="shared" si="183"/>
        <v>0</v>
      </c>
      <c r="CN46" s="4187">
        <f t="shared" si="184"/>
        <v>0</v>
      </c>
    </row>
    <row r="47" spans="1:92" ht="18.75" customHeight="1" x14ac:dyDescent="0.3">
      <c r="A47" s="2874" t="s">
        <v>548</v>
      </c>
      <c r="B47" s="2853">
        <f t="shared" ref="B47:B49" si="305">SUM(C47:D47)</f>
        <v>0</v>
      </c>
      <c r="C47" s="2853">
        <f t="shared" ref="C47:C49" si="306">SUM(CC47/4)</f>
        <v>0</v>
      </c>
      <c r="D47" s="2853">
        <f t="shared" ref="D47:D49" si="307">SUM(CD47/4)</f>
        <v>0</v>
      </c>
      <c r="E47" s="2875">
        <f t="shared" si="186"/>
        <v>0</v>
      </c>
      <c r="F47" s="2876"/>
      <c r="G47" s="2876"/>
      <c r="H47" s="2875">
        <f t="shared" si="187"/>
        <v>0</v>
      </c>
      <c r="I47" s="2876"/>
      <c r="J47" s="2876"/>
      <c r="K47" s="2875">
        <f t="shared" si="188"/>
        <v>0</v>
      </c>
      <c r="L47" s="2876"/>
      <c r="M47" s="2876"/>
      <c r="N47" s="2875">
        <f t="shared" si="262"/>
        <v>0</v>
      </c>
      <c r="O47" s="2875">
        <f t="shared" ref="O47:P49" si="308">SUM(F47+I47+L47)</f>
        <v>0</v>
      </c>
      <c r="P47" s="2875">
        <f t="shared" si="308"/>
        <v>0</v>
      </c>
      <c r="Q47" s="2853">
        <f t="shared" si="264"/>
        <v>0</v>
      </c>
      <c r="R47" s="2853">
        <f t="shared" si="265"/>
        <v>0</v>
      </c>
      <c r="S47" s="2853">
        <f t="shared" si="266"/>
        <v>0</v>
      </c>
      <c r="T47" s="2875">
        <f t="shared" si="229"/>
        <v>0</v>
      </c>
      <c r="U47" s="2876"/>
      <c r="V47" s="2876"/>
      <c r="W47" s="2875">
        <f t="shared" si="231"/>
        <v>0</v>
      </c>
      <c r="X47" s="2876"/>
      <c r="Y47" s="2876"/>
      <c r="Z47" s="2875">
        <f t="shared" si="233"/>
        <v>0</v>
      </c>
      <c r="AA47" s="2876"/>
      <c r="AB47" s="2876"/>
      <c r="AC47" s="2875">
        <f t="shared" si="267"/>
        <v>0</v>
      </c>
      <c r="AD47" s="2875">
        <f t="shared" ref="AD47:AE49" si="309">SUM(U47+X47+AA47)</f>
        <v>0</v>
      </c>
      <c r="AE47" s="2875">
        <f t="shared" si="309"/>
        <v>0</v>
      </c>
      <c r="AF47" s="2856">
        <f t="shared" si="269"/>
        <v>0</v>
      </c>
      <c r="AG47" s="2856">
        <f t="shared" si="270"/>
        <v>0</v>
      </c>
      <c r="AH47" s="2856">
        <f t="shared" si="270"/>
        <v>0</v>
      </c>
      <c r="AI47" s="2870">
        <f t="shared" si="237"/>
        <v>0</v>
      </c>
      <c r="AJ47" s="2870">
        <f t="shared" si="238"/>
        <v>0</v>
      </c>
      <c r="AK47" s="2870">
        <f t="shared" si="238"/>
        <v>0</v>
      </c>
      <c r="AL47" s="2870">
        <f t="shared" si="284"/>
        <v>0</v>
      </c>
      <c r="AM47" s="2870">
        <f t="shared" si="284"/>
        <v>0</v>
      </c>
      <c r="AN47" s="2870">
        <f t="shared" si="284"/>
        <v>0</v>
      </c>
      <c r="AO47" s="2853">
        <f t="shared" si="271"/>
        <v>0</v>
      </c>
      <c r="AP47" s="2853">
        <f t="shared" si="272"/>
        <v>0</v>
      </c>
      <c r="AQ47" s="2853">
        <f t="shared" si="273"/>
        <v>0</v>
      </c>
      <c r="AR47" s="2875">
        <f t="shared" si="240"/>
        <v>0</v>
      </c>
      <c r="AS47" s="2876"/>
      <c r="AT47" s="2876"/>
      <c r="AU47" s="2875">
        <f t="shared" si="242"/>
        <v>0</v>
      </c>
      <c r="AV47" s="2876"/>
      <c r="AW47" s="2876"/>
      <c r="AX47" s="2875">
        <f t="shared" si="244"/>
        <v>0</v>
      </c>
      <c r="AY47" s="2876"/>
      <c r="AZ47" s="2876"/>
      <c r="BA47" s="2875">
        <f t="shared" si="274"/>
        <v>0</v>
      </c>
      <c r="BB47" s="2875">
        <f t="shared" ref="BB47:BC49" si="310">SUM(AS47+AV47+AY47)</f>
        <v>0</v>
      </c>
      <c r="BC47" s="2875">
        <f t="shared" si="310"/>
        <v>0</v>
      </c>
      <c r="BD47" s="2856">
        <f t="shared" si="276"/>
        <v>0</v>
      </c>
      <c r="BE47" s="2856">
        <f t="shared" si="277"/>
        <v>0</v>
      </c>
      <c r="BF47" s="2856">
        <f t="shared" si="249"/>
        <v>0</v>
      </c>
      <c r="BG47" s="2870">
        <f t="shared" si="250"/>
        <v>0</v>
      </c>
      <c r="BH47" s="2870">
        <f t="shared" si="250"/>
        <v>0</v>
      </c>
      <c r="BI47" s="2870">
        <f t="shared" si="250"/>
        <v>0</v>
      </c>
      <c r="BJ47" s="2870">
        <f t="shared" si="285"/>
        <v>0</v>
      </c>
      <c r="BK47" s="2870">
        <f t="shared" si="285"/>
        <v>0</v>
      </c>
      <c r="BL47" s="2870">
        <f t="shared" si="285"/>
        <v>0</v>
      </c>
      <c r="BM47" s="2853">
        <f t="shared" si="278"/>
        <v>0</v>
      </c>
      <c r="BN47" s="2853">
        <f t="shared" si="279"/>
        <v>0</v>
      </c>
      <c r="BO47" s="2853">
        <f t="shared" si="280"/>
        <v>0</v>
      </c>
      <c r="BP47" s="2875">
        <f t="shared" si="252"/>
        <v>0</v>
      </c>
      <c r="BQ47" s="2876"/>
      <c r="BR47" s="2876"/>
      <c r="BS47" s="2875">
        <f t="shared" si="254"/>
        <v>3.0950000000000002</v>
      </c>
      <c r="BT47" s="2876">
        <v>3.0950000000000002</v>
      </c>
      <c r="BU47" s="2876"/>
      <c r="BV47" s="2875">
        <f t="shared" si="256"/>
        <v>0</v>
      </c>
      <c r="BW47" s="2876"/>
      <c r="BX47" s="2876"/>
      <c r="BY47" s="2875">
        <f t="shared" si="281"/>
        <v>3.0950000000000002</v>
      </c>
      <c r="BZ47" s="2875">
        <f t="shared" ref="BZ47:CA49" si="311">SUM(BQ47+BT47+BW47)</f>
        <v>3.0950000000000002</v>
      </c>
      <c r="CA47" s="2875">
        <f t="shared" si="311"/>
        <v>0</v>
      </c>
      <c r="CB47" s="2856">
        <f>SUM(CC47:CD47)</f>
        <v>0</v>
      </c>
      <c r="CC47" s="2856">
        <v>0</v>
      </c>
      <c r="CD47" s="2856">
        <v>0</v>
      </c>
      <c r="CE47" s="2870">
        <f t="shared" si="259"/>
        <v>3.0950000000000002</v>
      </c>
      <c r="CF47" s="2991">
        <f t="shared" si="259"/>
        <v>3.0950000000000002</v>
      </c>
      <c r="CG47" s="2991">
        <f t="shared" si="259"/>
        <v>0</v>
      </c>
      <c r="CH47" s="2870">
        <f t="shared" si="286"/>
        <v>3.0950000000000002</v>
      </c>
      <c r="CI47" s="2870">
        <f t="shared" si="286"/>
        <v>3.0950000000000002</v>
      </c>
      <c r="CJ47" s="2870">
        <f t="shared" si="286"/>
        <v>0</v>
      </c>
      <c r="CK47" s="2863"/>
      <c r="CL47" s="4187">
        <f t="shared" si="182"/>
        <v>0</v>
      </c>
      <c r="CM47" s="4187">
        <f t="shared" si="183"/>
        <v>0</v>
      </c>
      <c r="CN47" s="4187">
        <f t="shared" si="184"/>
        <v>0</v>
      </c>
    </row>
    <row r="48" spans="1:92" ht="18.75" customHeight="1" x14ac:dyDescent="0.3">
      <c r="A48" s="2874" t="s">
        <v>547</v>
      </c>
      <c r="B48" s="2853">
        <f t="shared" si="305"/>
        <v>0</v>
      </c>
      <c r="C48" s="2853">
        <f t="shared" si="306"/>
        <v>0</v>
      </c>
      <c r="D48" s="2853">
        <f t="shared" si="307"/>
        <v>0</v>
      </c>
      <c r="E48" s="2875">
        <f t="shared" si="186"/>
        <v>0</v>
      </c>
      <c r="F48" s="2876"/>
      <c r="G48" s="2876"/>
      <c r="H48" s="2875">
        <f t="shared" si="187"/>
        <v>0</v>
      </c>
      <c r="I48" s="2876"/>
      <c r="J48" s="2876"/>
      <c r="K48" s="2875">
        <f t="shared" si="188"/>
        <v>0</v>
      </c>
      <c r="L48" s="2876"/>
      <c r="M48" s="2876"/>
      <c r="N48" s="2875">
        <f t="shared" si="262"/>
        <v>0</v>
      </c>
      <c r="O48" s="2875">
        <f t="shared" si="308"/>
        <v>0</v>
      </c>
      <c r="P48" s="2875">
        <f t="shared" si="308"/>
        <v>0</v>
      </c>
      <c r="Q48" s="2853">
        <f t="shared" si="264"/>
        <v>0</v>
      </c>
      <c r="R48" s="2853">
        <f t="shared" si="265"/>
        <v>0</v>
      </c>
      <c r="S48" s="2853">
        <f t="shared" si="266"/>
        <v>0</v>
      </c>
      <c r="T48" s="2875">
        <f t="shared" si="229"/>
        <v>0</v>
      </c>
      <c r="U48" s="2876"/>
      <c r="V48" s="2876"/>
      <c r="W48" s="2875">
        <f t="shared" si="231"/>
        <v>0</v>
      </c>
      <c r="X48" s="2876"/>
      <c r="Y48" s="2876"/>
      <c r="Z48" s="2875">
        <f t="shared" si="233"/>
        <v>0</v>
      </c>
      <c r="AA48" s="2876"/>
      <c r="AB48" s="2876"/>
      <c r="AC48" s="2875">
        <f t="shared" si="267"/>
        <v>0</v>
      </c>
      <c r="AD48" s="2875">
        <f t="shared" si="309"/>
        <v>0</v>
      </c>
      <c r="AE48" s="2875">
        <f t="shared" si="309"/>
        <v>0</v>
      </c>
      <c r="AF48" s="2856">
        <f t="shared" si="269"/>
        <v>0</v>
      </c>
      <c r="AG48" s="2856">
        <f t="shared" si="270"/>
        <v>0</v>
      </c>
      <c r="AH48" s="2856">
        <f t="shared" si="270"/>
        <v>0</v>
      </c>
      <c r="AI48" s="2870">
        <f t="shared" si="237"/>
        <v>0</v>
      </c>
      <c r="AJ48" s="2870">
        <f t="shared" si="238"/>
        <v>0</v>
      </c>
      <c r="AK48" s="2870">
        <f t="shared" si="238"/>
        <v>0</v>
      </c>
      <c r="AL48" s="2870">
        <f t="shared" si="284"/>
        <v>0</v>
      </c>
      <c r="AM48" s="2870">
        <f t="shared" si="284"/>
        <v>0</v>
      </c>
      <c r="AN48" s="2870">
        <f t="shared" si="284"/>
        <v>0</v>
      </c>
      <c r="AO48" s="2853">
        <f t="shared" si="271"/>
        <v>0</v>
      </c>
      <c r="AP48" s="2853">
        <f t="shared" si="272"/>
        <v>0</v>
      </c>
      <c r="AQ48" s="2853">
        <f t="shared" si="273"/>
        <v>0</v>
      </c>
      <c r="AR48" s="2875">
        <f t="shared" si="240"/>
        <v>0</v>
      </c>
      <c r="AS48" s="2876"/>
      <c r="AT48" s="2876"/>
      <c r="AU48" s="2875">
        <f t="shared" si="242"/>
        <v>0</v>
      </c>
      <c r="AV48" s="2876"/>
      <c r="AW48" s="2876"/>
      <c r="AX48" s="2875">
        <f t="shared" si="244"/>
        <v>0</v>
      </c>
      <c r="AY48" s="2876"/>
      <c r="AZ48" s="2876"/>
      <c r="BA48" s="2875">
        <f t="shared" si="274"/>
        <v>0</v>
      </c>
      <c r="BB48" s="2875">
        <f t="shared" si="310"/>
        <v>0</v>
      </c>
      <c r="BC48" s="2875">
        <f t="shared" si="310"/>
        <v>0</v>
      </c>
      <c r="BD48" s="2856">
        <f t="shared" si="276"/>
        <v>0</v>
      </c>
      <c r="BE48" s="2856">
        <f t="shared" si="277"/>
        <v>0</v>
      </c>
      <c r="BF48" s="2856">
        <f t="shared" si="249"/>
        <v>0</v>
      </c>
      <c r="BG48" s="2870">
        <f t="shared" si="250"/>
        <v>0</v>
      </c>
      <c r="BH48" s="2870">
        <f t="shared" si="250"/>
        <v>0</v>
      </c>
      <c r="BI48" s="2870">
        <f t="shared" si="250"/>
        <v>0</v>
      </c>
      <c r="BJ48" s="2870">
        <f t="shared" si="285"/>
        <v>0</v>
      </c>
      <c r="BK48" s="2870">
        <f t="shared" si="285"/>
        <v>0</v>
      </c>
      <c r="BL48" s="2870">
        <f t="shared" si="285"/>
        <v>0</v>
      </c>
      <c r="BM48" s="2853">
        <f t="shared" si="278"/>
        <v>0</v>
      </c>
      <c r="BN48" s="2853">
        <f t="shared" si="279"/>
        <v>0</v>
      </c>
      <c r="BO48" s="2853">
        <f t="shared" si="280"/>
        <v>0</v>
      </c>
      <c r="BP48" s="2875">
        <f t="shared" si="252"/>
        <v>0</v>
      </c>
      <c r="BQ48" s="2876"/>
      <c r="BR48" s="2876"/>
      <c r="BS48" s="2875">
        <f t="shared" si="254"/>
        <v>0</v>
      </c>
      <c r="BT48" s="2876"/>
      <c r="BU48" s="2876"/>
      <c r="BV48" s="2875">
        <f t="shared" si="256"/>
        <v>0</v>
      </c>
      <c r="BW48" s="2876"/>
      <c r="BX48" s="2876"/>
      <c r="BY48" s="2875">
        <f t="shared" si="281"/>
        <v>0</v>
      </c>
      <c r="BZ48" s="2875">
        <f t="shared" si="311"/>
        <v>0</v>
      </c>
      <c r="CA48" s="2875">
        <f t="shared" si="311"/>
        <v>0</v>
      </c>
      <c r="CB48" s="2856">
        <f t="shared" ref="CB48:CB49" si="312">SUM(CC48:CD48)</f>
        <v>0</v>
      </c>
      <c r="CC48" s="2856">
        <v>0</v>
      </c>
      <c r="CD48" s="2856">
        <v>0</v>
      </c>
      <c r="CE48" s="2870">
        <f t="shared" si="259"/>
        <v>0</v>
      </c>
      <c r="CF48" s="2991">
        <f t="shared" si="259"/>
        <v>0</v>
      </c>
      <c r="CG48" s="2991">
        <f t="shared" si="259"/>
        <v>0</v>
      </c>
      <c r="CH48" s="2870">
        <f t="shared" si="286"/>
        <v>0</v>
      </c>
      <c r="CI48" s="2870">
        <f t="shared" si="286"/>
        <v>0</v>
      </c>
      <c r="CJ48" s="2870">
        <f t="shared" si="286"/>
        <v>0</v>
      </c>
      <c r="CK48" s="2863"/>
      <c r="CL48" s="4187">
        <f t="shared" si="182"/>
        <v>0</v>
      </c>
      <c r="CM48" s="4187">
        <f t="shared" si="183"/>
        <v>0</v>
      </c>
      <c r="CN48" s="4187">
        <f t="shared" si="184"/>
        <v>0</v>
      </c>
    </row>
    <row r="49" spans="1:92" ht="18.75" customHeight="1" x14ac:dyDescent="0.3">
      <c r="A49" s="2874" t="s">
        <v>549</v>
      </c>
      <c r="B49" s="2853">
        <f t="shared" si="305"/>
        <v>0</v>
      </c>
      <c r="C49" s="2853">
        <f t="shared" si="306"/>
        <v>0</v>
      </c>
      <c r="D49" s="2853">
        <f t="shared" si="307"/>
        <v>0</v>
      </c>
      <c r="E49" s="2875">
        <f t="shared" si="186"/>
        <v>0</v>
      </c>
      <c r="F49" s="2876"/>
      <c r="G49" s="2876"/>
      <c r="H49" s="2875">
        <f t="shared" si="187"/>
        <v>0</v>
      </c>
      <c r="I49" s="2876"/>
      <c r="J49" s="2876"/>
      <c r="K49" s="2875">
        <f t="shared" si="188"/>
        <v>0</v>
      </c>
      <c r="L49" s="2876"/>
      <c r="M49" s="2876"/>
      <c r="N49" s="2875">
        <f t="shared" si="262"/>
        <v>0</v>
      </c>
      <c r="O49" s="2875">
        <f t="shared" si="308"/>
        <v>0</v>
      </c>
      <c r="P49" s="2875">
        <f t="shared" si="308"/>
        <v>0</v>
      </c>
      <c r="Q49" s="2853">
        <f t="shared" si="264"/>
        <v>0</v>
      </c>
      <c r="R49" s="2853">
        <f t="shared" si="265"/>
        <v>0</v>
      </c>
      <c r="S49" s="2853">
        <f t="shared" si="266"/>
        <v>0</v>
      </c>
      <c r="T49" s="2875">
        <f t="shared" si="229"/>
        <v>0</v>
      </c>
      <c r="U49" s="2876"/>
      <c r="V49" s="2876"/>
      <c r="W49" s="2875">
        <f t="shared" si="231"/>
        <v>0</v>
      </c>
      <c r="X49" s="2876"/>
      <c r="Y49" s="2876"/>
      <c r="Z49" s="2875">
        <f t="shared" si="233"/>
        <v>0</v>
      </c>
      <c r="AA49" s="2876"/>
      <c r="AB49" s="2876"/>
      <c r="AC49" s="2875">
        <f t="shared" si="267"/>
        <v>0</v>
      </c>
      <c r="AD49" s="2875">
        <f t="shared" si="309"/>
        <v>0</v>
      </c>
      <c r="AE49" s="2875">
        <f t="shared" si="309"/>
        <v>0</v>
      </c>
      <c r="AF49" s="2856">
        <f t="shared" si="269"/>
        <v>0</v>
      </c>
      <c r="AG49" s="2856">
        <f t="shared" si="270"/>
        <v>0</v>
      </c>
      <c r="AH49" s="2856">
        <f t="shared" si="270"/>
        <v>0</v>
      </c>
      <c r="AI49" s="2870">
        <f t="shared" si="237"/>
        <v>0</v>
      </c>
      <c r="AJ49" s="2870">
        <f t="shared" si="238"/>
        <v>0</v>
      </c>
      <c r="AK49" s="2870">
        <f t="shared" si="238"/>
        <v>0</v>
      </c>
      <c r="AL49" s="2870">
        <f t="shared" si="284"/>
        <v>0</v>
      </c>
      <c r="AM49" s="2870">
        <f t="shared" si="284"/>
        <v>0</v>
      </c>
      <c r="AN49" s="2870">
        <f t="shared" si="284"/>
        <v>0</v>
      </c>
      <c r="AO49" s="2853">
        <f t="shared" si="271"/>
        <v>0</v>
      </c>
      <c r="AP49" s="2853">
        <f t="shared" si="272"/>
        <v>0</v>
      </c>
      <c r="AQ49" s="2853">
        <f t="shared" si="273"/>
        <v>0</v>
      </c>
      <c r="AR49" s="2875">
        <f t="shared" si="240"/>
        <v>0</v>
      </c>
      <c r="AS49" s="2876"/>
      <c r="AT49" s="2876"/>
      <c r="AU49" s="2875">
        <f t="shared" si="242"/>
        <v>0</v>
      </c>
      <c r="AV49" s="2876"/>
      <c r="AW49" s="2876"/>
      <c r="AX49" s="2875">
        <f t="shared" si="244"/>
        <v>0</v>
      </c>
      <c r="AY49" s="2876"/>
      <c r="AZ49" s="2876"/>
      <c r="BA49" s="2875">
        <f t="shared" si="274"/>
        <v>0</v>
      </c>
      <c r="BB49" s="2875">
        <f t="shared" si="310"/>
        <v>0</v>
      </c>
      <c r="BC49" s="2875">
        <f t="shared" si="310"/>
        <v>0</v>
      </c>
      <c r="BD49" s="2856">
        <f t="shared" si="276"/>
        <v>0</v>
      </c>
      <c r="BE49" s="2856">
        <f t="shared" si="277"/>
        <v>0</v>
      </c>
      <c r="BF49" s="2856">
        <f t="shared" si="249"/>
        <v>0</v>
      </c>
      <c r="BG49" s="2870">
        <f t="shared" si="250"/>
        <v>0</v>
      </c>
      <c r="BH49" s="2870">
        <f t="shared" si="250"/>
        <v>0</v>
      </c>
      <c r="BI49" s="2870">
        <f t="shared" si="250"/>
        <v>0</v>
      </c>
      <c r="BJ49" s="2870">
        <f t="shared" si="285"/>
        <v>0</v>
      </c>
      <c r="BK49" s="2870">
        <f t="shared" si="285"/>
        <v>0</v>
      </c>
      <c r="BL49" s="2870">
        <f t="shared" si="285"/>
        <v>0</v>
      </c>
      <c r="BM49" s="2853">
        <f t="shared" si="278"/>
        <v>0</v>
      </c>
      <c r="BN49" s="2853">
        <f t="shared" si="279"/>
        <v>0</v>
      </c>
      <c r="BO49" s="2853">
        <f t="shared" si="280"/>
        <v>0</v>
      </c>
      <c r="BP49" s="2875">
        <f t="shared" si="252"/>
        <v>0</v>
      </c>
      <c r="BQ49" s="2876"/>
      <c r="BR49" s="2876"/>
      <c r="BS49" s="2875">
        <f t="shared" si="254"/>
        <v>0</v>
      </c>
      <c r="BT49" s="2876"/>
      <c r="BU49" s="2876"/>
      <c r="BV49" s="2875">
        <f t="shared" si="256"/>
        <v>0</v>
      </c>
      <c r="BW49" s="2876"/>
      <c r="BX49" s="2876"/>
      <c r="BY49" s="2875">
        <f t="shared" si="281"/>
        <v>0</v>
      </c>
      <c r="BZ49" s="2875">
        <f t="shared" si="311"/>
        <v>0</v>
      </c>
      <c r="CA49" s="2875">
        <f t="shared" si="311"/>
        <v>0</v>
      </c>
      <c r="CB49" s="2856">
        <f t="shared" si="312"/>
        <v>0</v>
      </c>
      <c r="CC49" s="2856">
        <v>0</v>
      </c>
      <c r="CD49" s="2856">
        <v>0</v>
      </c>
      <c r="CE49" s="2870">
        <f t="shared" si="259"/>
        <v>0</v>
      </c>
      <c r="CF49" s="2991">
        <f t="shared" si="259"/>
        <v>0</v>
      </c>
      <c r="CG49" s="2991">
        <f t="shared" si="259"/>
        <v>0</v>
      </c>
      <c r="CH49" s="2870">
        <f t="shared" si="286"/>
        <v>0</v>
      </c>
      <c r="CI49" s="2870">
        <f t="shared" si="286"/>
        <v>0</v>
      </c>
      <c r="CJ49" s="2870">
        <f t="shared" si="286"/>
        <v>0</v>
      </c>
      <c r="CK49" s="2863"/>
      <c r="CL49" s="4187">
        <f t="shared" si="182"/>
        <v>0</v>
      </c>
      <c r="CM49" s="4187">
        <f t="shared" si="183"/>
        <v>0</v>
      </c>
      <c r="CN49" s="4187">
        <f t="shared" si="184"/>
        <v>0</v>
      </c>
    </row>
    <row r="50" spans="1:92" ht="18.75" customHeight="1" x14ac:dyDescent="0.3">
      <c r="A50" s="2873" t="s">
        <v>594</v>
      </c>
      <c r="B50" s="2845">
        <f>SUM(C50:D50)</f>
        <v>0</v>
      </c>
      <c r="C50" s="2845">
        <f t="shared" ref="C50:P50" si="313">SUM(C51:C52)</f>
        <v>0</v>
      </c>
      <c r="D50" s="2845">
        <f t="shared" si="313"/>
        <v>0</v>
      </c>
      <c r="E50" s="2865">
        <f t="shared" si="186"/>
        <v>0</v>
      </c>
      <c r="F50" s="2843">
        <f t="shared" si="313"/>
        <v>0</v>
      </c>
      <c r="G50" s="2843">
        <f t="shared" si="313"/>
        <v>0</v>
      </c>
      <c r="H50" s="2865">
        <f t="shared" si="187"/>
        <v>0</v>
      </c>
      <c r="I50" s="2843">
        <f t="shared" ref="I50:J50" si="314">SUM(I51:I52)</f>
        <v>0</v>
      </c>
      <c r="J50" s="2843">
        <f t="shared" si="314"/>
        <v>0</v>
      </c>
      <c r="K50" s="2865">
        <f t="shared" si="188"/>
        <v>0</v>
      </c>
      <c r="L50" s="2843">
        <f t="shared" ref="L50:M50" si="315">SUM(L51:L52)</f>
        <v>0</v>
      </c>
      <c r="M50" s="2843">
        <f t="shared" si="315"/>
        <v>0</v>
      </c>
      <c r="N50" s="2865">
        <f t="shared" si="262"/>
        <v>0</v>
      </c>
      <c r="O50" s="2843">
        <f t="shared" si="313"/>
        <v>0</v>
      </c>
      <c r="P50" s="2843">
        <f t="shared" si="313"/>
        <v>0</v>
      </c>
      <c r="Q50" s="2845">
        <f>SUM(R50:S50)</f>
        <v>0</v>
      </c>
      <c r="R50" s="2845">
        <f t="shared" ref="R50:S50" si="316">SUM(R51:R52)</f>
        <v>0</v>
      </c>
      <c r="S50" s="2845">
        <f t="shared" si="316"/>
        <v>0</v>
      </c>
      <c r="T50" s="2865">
        <f t="shared" si="229"/>
        <v>0</v>
      </c>
      <c r="U50" s="2843">
        <f t="shared" ref="U50:V50" si="317">SUM(U51:U52)</f>
        <v>0</v>
      </c>
      <c r="V50" s="2843">
        <f t="shared" si="317"/>
        <v>0</v>
      </c>
      <c r="W50" s="2865">
        <f t="shared" si="231"/>
        <v>0</v>
      </c>
      <c r="X50" s="2843">
        <f t="shared" ref="X50:Y50" si="318">SUM(X51:X52)</f>
        <v>0</v>
      </c>
      <c r="Y50" s="2843">
        <f t="shared" si="318"/>
        <v>0</v>
      </c>
      <c r="Z50" s="2865">
        <f t="shared" si="233"/>
        <v>0</v>
      </c>
      <c r="AA50" s="2843">
        <f t="shared" ref="AA50:AB50" si="319">SUM(AA51:AA52)</f>
        <v>0</v>
      </c>
      <c r="AB50" s="2843">
        <f t="shared" si="319"/>
        <v>0</v>
      </c>
      <c r="AC50" s="2865">
        <f t="shared" si="267"/>
        <v>0</v>
      </c>
      <c r="AD50" s="2843">
        <f t="shared" ref="AD50:AE50" si="320">SUM(AD51:AD52)</f>
        <v>0</v>
      </c>
      <c r="AE50" s="2843">
        <f t="shared" si="320"/>
        <v>0</v>
      </c>
      <c r="AF50" s="2846">
        <f t="shared" si="269"/>
        <v>0</v>
      </c>
      <c r="AG50" s="2846">
        <f t="shared" si="270"/>
        <v>0</v>
      </c>
      <c r="AH50" s="2846">
        <f t="shared" si="270"/>
        <v>0</v>
      </c>
      <c r="AI50" s="2867">
        <f t="shared" si="237"/>
        <v>0</v>
      </c>
      <c r="AJ50" s="2867">
        <f t="shared" si="238"/>
        <v>0</v>
      </c>
      <c r="AK50" s="2867">
        <f t="shared" si="238"/>
        <v>0</v>
      </c>
      <c r="AL50" s="2867">
        <f t="shared" si="284"/>
        <v>0</v>
      </c>
      <c r="AM50" s="2867">
        <f t="shared" si="284"/>
        <v>0</v>
      </c>
      <c r="AN50" s="2867">
        <f t="shared" si="284"/>
        <v>0</v>
      </c>
      <c r="AO50" s="2845">
        <f t="shared" si="271"/>
        <v>0</v>
      </c>
      <c r="AP50" s="2845">
        <f t="shared" si="272"/>
        <v>0</v>
      </c>
      <c r="AQ50" s="2845">
        <f t="shared" si="273"/>
        <v>0</v>
      </c>
      <c r="AR50" s="2865">
        <f t="shared" si="240"/>
        <v>0</v>
      </c>
      <c r="AS50" s="2843">
        <f t="shared" ref="AS50:AT50" si="321">SUM(AS51:AS52)</f>
        <v>0</v>
      </c>
      <c r="AT50" s="2843">
        <f t="shared" si="321"/>
        <v>0</v>
      </c>
      <c r="AU50" s="2865">
        <f t="shared" si="242"/>
        <v>0</v>
      </c>
      <c r="AV50" s="2843">
        <f t="shared" ref="AV50:AW50" si="322">SUM(AV51:AV52)</f>
        <v>0</v>
      </c>
      <c r="AW50" s="2843">
        <f t="shared" si="322"/>
        <v>0</v>
      </c>
      <c r="AX50" s="2865">
        <f t="shared" si="244"/>
        <v>0</v>
      </c>
      <c r="AY50" s="2843">
        <f t="shared" ref="AY50:AZ50" si="323">SUM(AY51:AY52)</f>
        <v>0</v>
      </c>
      <c r="AZ50" s="2843">
        <f t="shared" si="323"/>
        <v>0</v>
      </c>
      <c r="BA50" s="2865">
        <f t="shared" si="274"/>
        <v>0</v>
      </c>
      <c r="BB50" s="2843">
        <f t="shared" ref="BB50:BC50" si="324">SUM(BB51:BB52)</f>
        <v>0</v>
      </c>
      <c r="BC50" s="2843">
        <f t="shared" si="324"/>
        <v>0</v>
      </c>
      <c r="BD50" s="2846">
        <f t="shared" si="276"/>
        <v>0</v>
      </c>
      <c r="BE50" s="2846">
        <f t="shared" si="277"/>
        <v>0</v>
      </c>
      <c r="BF50" s="2846">
        <f t="shared" si="249"/>
        <v>0</v>
      </c>
      <c r="BG50" s="2867">
        <f t="shared" si="250"/>
        <v>0</v>
      </c>
      <c r="BH50" s="2867">
        <f t="shared" si="250"/>
        <v>0</v>
      </c>
      <c r="BI50" s="2867">
        <f t="shared" si="250"/>
        <v>0</v>
      </c>
      <c r="BJ50" s="2867">
        <f t="shared" si="285"/>
        <v>0</v>
      </c>
      <c r="BK50" s="2867">
        <f t="shared" si="285"/>
        <v>0</v>
      </c>
      <c r="BL50" s="2867">
        <f t="shared" si="285"/>
        <v>0</v>
      </c>
      <c r="BM50" s="2845">
        <f t="shared" si="278"/>
        <v>0</v>
      </c>
      <c r="BN50" s="2845">
        <f t="shared" si="279"/>
        <v>0</v>
      </c>
      <c r="BO50" s="2845">
        <f t="shared" si="280"/>
        <v>0</v>
      </c>
      <c r="BP50" s="2865">
        <f t="shared" si="252"/>
        <v>0</v>
      </c>
      <c r="BQ50" s="2843">
        <f t="shared" ref="BQ50:BR50" si="325">SUM(BQ51:BQ52)</f>
        <v>0</v>
      </c>
      <c r="BR50" s="2843">
        <f t="shared" si="325"/>
        <v>0</v>
      </c>
      <c r="BS50" s="2865">
        <f t="shared" si="254"/>
        <v>0</v>
      </c>
      <c r="BT50" s="2843">
        <f t="shared" ref="BT50:BU50" si="326">SUM(BT51:BT52)</f>
        <v>0</v>
      </c>
      <c r="BU50" s="2843">
        <f t="shared" si="326"/>
        <v>0</v>
      </c>
      <c r="BV50" s="2865">
        <f t="shared" si="256"/>
        <v>0</v>
      </c>
      <c r="BW50" s="2843">
        <f t="shared" ref="BW50:BX50" si="327">SUM(BW51:BW52)</f>
        <v>0</v>
      </c>
      <c r="BX50" s="2843">
        <f t="shared" si="327"/>
        <v>0</v>
      </c>
      <c r="BY50" s="2865">
        <f t="shared" si="281"/>
        <v>0</v>
      </c>
      <c r="BZ50" s="2843">
        <f t="shared" ref="BZ50:CA50" si="328">SUM(BZ51:BZ52)</f>
        <v>0</v>
      </c>
      <c r="CA50" s="2843">
        <f t="shared" si="328"/>
        <v>0</v>
      </c>
      <c r="CB50" s="2846">
        <f>SUM(CC50:CD50)</f>
        <v>0</v>
      </c>
      <c r="CC50" s="2846">
        <f>SUM(CC51:CC52)</f>
        <v>0</v>
      </c>
      <c r="CD50" s="2846">
        <f>SUM(CD51:CD52)</f>
        <v>0</v>
      </c>
      <c r="CE50" s="2867">
        <f t="shared" si="259"/>
        <v>0</v>
      </c>
      <c r="CF50" s="2982">
        <f t="shared" si="259"/>
        <v>0</v>
      </c>
      <c r="CG50" s="2982">
        <f t="shared" si="259"/>
        <v>0</v>
      </c>
      <c r="CH50" s="2867">
        <f t="shared" si="286"/>
        <v>0</v>
      </c>
      <c r="CI50" s="2867">
        <f t="shared" si="286"/>
        <v>0</v>
      </c>
      <c r="CJ50" s="2867">
        <f t="shared" si="286"/>
        <v>0</v>
      </c>
      <c r="CK50" s="2863"/>
      <c r="CL50" s="4187">
        <f t="shared" si="182"/>
        <v>0</v>
      </c>
      <c r="CM50" s="4187">
        <f t="shared" si="183"/>
        <v>0</v>
      </c>
      <c r="CN50" s="4187">
        <f t="shared" si="184"/>
        <v>0</v>
      </c>
    </row>
    <row r="51" spans="1:92" ht="18.75" customHeight="1" x14ac:dyDescent="0.3">
      <c r="A51" s="2874" t="s">
        <v>534</v>
      </c>
      <c r="B51" s="2853">
        <f t="shared" ref="B51:B52" si="329">SUM(C51:D51)</f>
        <v>0</v>
      </c>
      <c r="C51" s="2853">
        <f t="shared" ref="C51:C52" si="330">SUM(CC51/4)</f>
        <v>0</v>
      </c>
      <c r="D51" s="2853">
        <f t="shared" ref="D51:D52" si="331">SUM(CD51/4)</f>
        <v>0</v>
      </c>
      <c r="E51" s="2875">
        <f t="shared" si="186"/>
        <v>0</v>
      </c>
      <c r="F51" s="2876"/>
      <c r="G51" s="2876"/>
      <c r="H51" s="2875">
        <f t="shared" si="187"/>
        <v>0</v>
      </c>
      <c r="I51" s="2876"/>
      <c r="J51" s="2876"/>
      <c r="K51" s="2875">
        <f t="shared" si="188"/>
        <v>0</v>
      </c>
      <c r="L51" s="2876"/>
      <c r="M51" s="2876"/>
      <c r="N51" s="2875">
        <f t="shared" si="262"/>
        <v>0</v>
      </c>
      <c r="O51" s="2875">
        <f t="shared" ref="O51:P52" si="332">SUM(F51+I51+L51)</f>
        <v>0</v>
      </c>
      <c r="P51" s="2875">
        <f t="shared" si="332"/>
        <v>0</v>
      </c>
      <c r="Q51" s="2853">
        <f t="shared" si="264"/>
        <v>0</v>
      </c>
      <c r="R51" s="2853">
        <f t="shared" si="265"/>
        <v>0</v>
      </c>
      <c r="S51" s="2853">
        <f t="shared" si="266"/>
        <v>0</v>
      </c>
      <c r="T51" s="2875">
        <f t="shared" si="229"/>
        <v>0</v>
      </c>
      <c r="U51" s="2876"/>
      <c r="V51" s="2876"/>
      <c r="W51" s="2875">
        <f t="shared" si="231"/>
        <v>0</v>
      </c>
      <c r="X51" s="2876"/>
      <c r="Y51" s="2876"/>
      <c r="Z51" s="2875">
        <f t="shared" si="233"/>
        <v>0</v>
      </c>
      <c r="AA51" s="2876"/>
      <c r="AB51" s="2876"/>
      <c r="AC51" s="2875">
        <f t="shared" si="267"/>
        <v>0</v>
      </c>
      <c r="AD51" s="2875">
        <f t="shared" ref="AD51:AE60" si="333">SUM(U51+X51+AA51)</f>
        <v>0</v>
      </c>
      <c r="AE51" s="2875">
        <f t="shared" si="333"/>
        <v>0</v>
      </c>
      <c r="AF51" s="2856">
        <f t="shared" si="269"/>
        <v>0</v>
      </c>
      <c r="AG51" s="2856">
        <f t="shared" si="270"/>
        <v>0</v>
      </c>
      <c r="AH51" s="2856">
        <f t="shared" si="270"/>
        <v>0</v>
      </c>
      <c r="AI51" s="2870">
        <f t="shared" si="237"/>
        <v>0</v>
      </c>
      <c r="AJ51" s="2870">
        <f t="shared" si="238"/>
        <v>0</v>
      </c>
      <c r="AK51" s="2870">
        <f t="shared" si="238"/>
        <v>0</v>
      </c>
      <c r="AL51" s="2870">
        <f t="shared" si="284"/>
        <v>0</v>
      </c>
      <c r="AM51" s="2870">
        <f t="shared" si="284"/>
        <v>0</v>
      </c>
      <c r="AN51" s="2870">
        <f t="shared" si="284"/>
        <v>0</v>
      </c>
      <c r="AO51" s="2853">
        <f t="shared" si="271"/>
        <v>0</v>
      </c>
      <c r="AP51" s="2853">
        <f t="shared" si="272"/>
        <v>0</v>
      </c>
      <c r="AQ51" s="2853">
        <f t="shared" si="273"/>
        <v>0</v>
      </c>
      <c r="AR51" s="2875">
        <f t="shared" si="240"/>
        <v>0</v>
      </c>
      <c r="AS51" s="2876"/>
      <c r="AT51" s="2876"/>
      <c r="AU51" s="2875">
        <f t="shared" si="242"/>
        <v>0</v>
      </c>
      <c r="AV51" s="2876"/>
      <c r="AW51" s="2876"/>
      <c r="AX51" s="2875">
        <f t="shared" si="244"/>
        <v>0</v>
      </c>
      <c r="AY51" s="2876"/>
      <c r="AZ51" s="2876"/>
      <c r="BA51" s="2875">
        <f t="shared" si="274"/>
        <v>0</v>
      </c>
      <c r="BB51" s="2875">
        <f t="shared" ref="BB51:BC60" si="334">SUM(AS51+AV51+AY51)</f>
        <v>0</v>
      </c>
      <c r="BC51" s="2875">
        <f t="shared" si="334"/>
        <v>0</v>
      </c>
      <c r="BD51" s="2856">
        <f t="shared" si="276"/>
        <v>0</v>
      </c>
      <c r="BE51" s="2856">
        <f t="shared" si="277"/>
        <v>0</v>
      </c>
      <c r="BF51" s="2856">
        <f t="shared" si="249"/>
        <v>0</v>
      </c>
      <c r="BG51" s="2870">
        <f t="shared" si="250"/>
        <v>0</v>
      </c>
      <c r="BH51" s="2870">
        <f t="shared" si="250"/>
        <v>0</v>
      </c>
      <c r="BI51" s="2870">
        <f t="shared" si="250"/>
        <v>0</v>
      </c>
      <c r="BJ51" s="2870">
        <f t="shared" si="285"/>
        <v>0</v>
      </c>
      <c r="BK51" s="2870">
        <f t="shared" si="285"/>
        <v>0</v>
      </c>
      <c r="BL51" s="2870">
        <f t="shared" si="285"/>
        <v>0</v>
      </c>
      <c r="BM51" s="2853">
        <f t="shared" si="278"/>
        <v>0</v>
      </c>
      <c r="BN51" s="2853">
        <f t="shared" si="279"/>
        <v>0</v>
      </c>
      <c r="BO51" s="2853">
        <f t="shared" si="280"/>
        <v>0</v>
      </c>
      <c r="BP51" s="2875">
        <f t="shared" si="252"/>
        <v>0</v>
      </c>
      <c r="BQ51" s="2876"/>
      <c r="BR51" s="2876"/>
      <c r="BS51" s="2875">
        <f t="shared" si="254"/>
        <v>0</v>
      </c>
      <c r="BT51" s="2876"/>
      <c r="BU51" s="2876"/>
      <c r="BV51" s="2875">
        <f t="shared" si="256"/>
        <v>0</v>
      </c>
      <c r="BW51" s="2876"/>
      <c r="BX51" s="2876"/>
      <c r="BY51" s="2875">
        <f t="shared" si="281"/>
        <v>0</v>
      </c>
      <c r="BZ51" s="2875">
        <f t="shared" ref="BZ51:CA60" si="335">SUM(BQ51+BT51+BW51)</f>
        <v>0</v>
      </c>
      <c r="CA51" s="2875">
        <f t="shared" si="335"/>
        <v>0</v>
      </c>
      <c r="CB51" s="2856">
        <f>SUM(CC51:CD51)</f>
        <v>0</v>
      </c>
      <c r="CC51" s="2856">
        <v>0</v>
      </c>
      <c r="CD51" s="2856">
        <v>0</v>
      </c>
      <c r="CE51" s="2870">
        <f t="shared" si="259"/>
        <v>0</v>
      </c>
      <c r="CF51" s="2991">
        <f t="shared" si="259"/>
        <v>0</v>
      </c>
      <c r="CG51" s="2991">
        <f t="shared" si="259"/>
        <v>0</v>
      </c>
      <c r="CH51" s="2870">
        <f t="shared" si="286"/>
        <v>0</v>
      </c>
      <c r="CI51" s="2870">
        <f t="shared" si="286"/>
        <v>0</v>
      </c>
      <c r="CJ51" s="2870">
        <f t="shared" si="286"/>
        <v>0</v>
      </c>
      <c r="CK51" s="2863"/>
      <c r="CL51" s="4187">
        <f t="shared" si="182"/>
        <v>0</v>
      </c>
      <c r="CM51" s="4187">
        <f t="shared" si="183"/>
        <v>0</v>
      </c>
      <c r="CN51" s="4187">
        <f t="shared" si="184"/>
        <v>0</v>
      </c>
    </row>
    <row r="52" spans="1:92" ht="18.75" customHeight="1" x14ac:dyDescent="0.3">
      <c r="A52" s="2874" t="s">
        <v>628</v>
      </c>
      <c r="B52" s="2853">
        <f t="shared" si="329"/>
        <v>0</v>
      </c>
      <c r="C52" s="2853">
        <f t="shared" si="330"/>
        <v>0</v>
      </c>
      <c r="D52" s="2853">
        <f t="shared" si="331"/>
        <v>0</v>
      </c>
      <c r="E52" s="2875">
        <f t="shared" si="186"/>
        <v>0</v>
      </c>
      <c r="F52" s="2876"/>
      <c r="G52" s="2876"/>
      <c r="H52" s="2875">
        <f t="shared" si="187"/>
        <v>0</v>
      </c>
      <c r="I52" s="2876"/>
      <c r="J52" s="2876"/>
      <c r="K52" s="2875">
        <f t="shared" si="188"/>
        <v>0</v>
      </c>
      <c r="L52" s="2876"/>
      <c r="M52" s="2876"/>
      <c r="N52" s="2875">
        <f t="shared" si="262"/>
        <v>0</v>
      </c>
      <c r="O52" s="2875">
        <f t="shared" si="332"/>
        <v>0</v>
      </c>
      <c r="P52" s="2875">
        <f t="shared" si="332"/>
        <v>0</v>
      </c>
      <c r="Q52" s="2853">
        <f t="shared" si="264"/>
        <v>0</v>
      </c>
      <c r="R52" s="2853">
        <f t="shared" si="265"/>
        <v>0</v>
      </c>
      <c r="S52" s="2853">
        <f t="shared" si="266"/>
        <v>0</v>
      </c>
      <c r="T52" s="2875">
        <f t="shared" si="229"/>
        <v>0</v>
      </c>
      <c r="U52" s="2876"/>
      <c r="V52" s="2876"/>
      <c r="W52" s="2875">
        <f t="shared" si="231"/>
        <v>0</v>
      </c>
      <c r="X52" s="2876"/>
      <c r="Y52" s="2876"/>
      <c r="Z52" s="2875">
        <f t="shared" si="233"/>
        <v>0</v>
      </c>
      <c r="AA52" s="2876"/>
      <c r="AB52" s="2876"/>
      <c r="AC52" s="2875">
        <f t="shared" si="267"/>
        <v>0</v>
      </c>
      <c r="AD52" s="2875">
        <f t="shared" si="333"/>
        <v>0</v>
      </c>
      <c r="AE52" s="2875">
        <f t="shared" si="333"/>
        <v>0</v>
      </c>
      <c r="AF52" s="2856">
        <f t="shared" si="269"/>
        <v>0</v>
      </c>
      <c r="AG52" s="2856">
        <f t="shared" si="270"/>
        <v>0</v>
      </c>
      <c r="AH52" s="2856">
        <f t="shared" si="270"/>
        <v>0</v>
      </c>
      <c r="AI52" s="2870">
        <f t="shared" si="237"/>
        <v>0</v>
      </c>
      <c r="AJ52" s="2870">
        <f t="shared" si="238"/>
        <v>0</v>
      </c>
      <c r="AK52" s="2870">
        <f t="shared" si="238"/>
        <v>0</v>
      </c>
      <c r="AL52" s="2870">
        <f t="shared" si="284"/>
        <v>0</v>
      </c>
      <c r="AM52" s="2870">
        <f t="shared" si="284"/>
        <v>0</v>
      </c>
      <c r="AN52" s="2870">
        <f t="shared" si="284"/>
        <v>0</v>
      </c>
      <c r="AO52" s="2853">
        <f t="shared" si="271"/>
        <v>0</v>
      </c>
      <c r="AP52" s="2853">
        <f t="shared" si="272"/>
        <v>0</v>
      </c>
      <c r="AQ52" s="2853">
        <f t="shared" si="273"/>
        <v>0</v>
      </c>
      <c r="AR52" s="2875">
        <f t="shared" si="240"/>
        <v>0</v>
      </c>
      <c r="AS52" s="2876"/>
      <c r="AT52" s="2876"/>
      <c r="AU52" s="2875">
        <f t="shared" si="242"/>
        <v>0</v>
      </c>
      <c r="AV52" s="2876"/>
      <c r="AW52" s="2876"/>
      <c r="AX52" s="2875">
        <f t="shared" si="244"/>
        <v>0</v>
      </c>
      <c r="AY52" s="2876"/>
      <c r="AZ52" s="2876"/>
      <c r="BA52" s="2875">
        <f t="shared" si="274"/>
        <v>0</v>
      </c>
      <c r="BB52" s="2875">
        <f t="shared" si="334"/>
        <v>0</v>
      </c>
      <c r="BC52" s="2875">
        <f t="shared" si="334"/>
        <v>0</v>
      </c>
      <c r="BD52" s="2856">
        <f t="shared" si="276"/>
        <v>0</v>
      </c>
      <c r="BE52" s="2856">
        <f t="shared" si="277"/>
        <v>0</v>
      </c>
      <c r="BF52" s="2856">
        <f t="shared" si="249"/>
        <v>0</v>
      </c>
      <c r="BG52" s="2870">
        <f t="shared" si="250"/>
        <v>0</v>
      </c>
      <c r="BH52" s="2870">
        <f t="shared" si="250"/>
        <v>0</v>
      </c>
      <c r="BI52" s="2870">
        <f t="shared" si="250"/>
        <v>0</v>
      </c>
      <c r="BJ52" s="2870">
        <f t="shared" si="285"/>
        <v>0</v>
      </c>
      <c r="BK52" s="2870">
        <f t="shared" si="285"/>
        <v>0</v>
      </c>
      <c r="BL52" s="2870">
        <f t="shared" si="285"/>
        <v>0</v>
      </c>
      <c r="BM52" s="2853">
        <f t="shared" si="278"/>
        <v>0</v>
      </c>
      <c r="BN52" s="2853">
        <f t="shared" si="279"/>
        <v>0</v>
      </c>
      <c r="BO52" s="2853">
        <f t="shared" si="280"/>
        <v>0</v>
      </c>
      <c r="BP52" s="2875">
        <f t="shared" si="252"/>
        <v>0</v>
      </c>
      <c r="BQ52" s="2876"/>
      <c r="BR52" s="2876"/>
      <c r="BS52" s="2875">
        <f t="shared" si="254"/>
        <v>0</v>
      </c>
      <c r="BT52" s="2876"/>
      <c r="BU52" s="2876"/>
      <c r="BV52" s="2875">
        <f t="shared" si="256"/>
        <v>0</v>
      </c>
      <c r="BW52" s="2876"/>
      <c r="BX52" s="2876"/>
      <c r="BY52" s="2875">
        <f t="shared" si="281"/>
        <v>0</v>
      </c>
      <c r="BZ52" s="2875">
        <f t="shared" si="335"/>
        <v>0</v>
      </c>
      <c r="CA52" s="2875">
        <f t="shared" si="335"/>
        <v>0</v>
      </c>
      <c r="CB52" s="2856">
        <f>SUM(CC52:CD52)</f>
        <v>0</v>
      </c>
      <c r="CC52" s="2856">
        <v>0</v>
      </c>
      <c r="CD52" s="2856">
        <v>0</v>
      </c>
      <c r="CE52" s="2870">
        <f t="shared" si="259"/>
        <v>0</v>
      </c>
      <c r="CF52" s="2991">
        <f t="shared" si="259"/>
        <v>0</v>
      </c>
      <c r="CG52" s="2991">
        <f t="shared" si="259"/>
        <v>0</v>
      </c>
      <c r="CH52" s="2870">
        <f t="shared" si="286"/>
        <v>0</v>
      </c>
      <c r="CI52" s="2870">
        <f t="shared" si="286"/>
        <v>0</v>
      </c>
      <c r="CJ52" s="2870">
        <f t="shared" si="286"/>
        <v>0</v>
      </c>
      <c r="CK52" s="2863"/>
      <c r="CL52" s="4187">
        <f t="shared" si="182"/>
        <v>0</v>
      </c>
      <c r="CM52" s="4187">
        <f t="shared" si="183"/>
        <v>0</v>
      </c>
      <c r="CN52" s="4187">
        <f t="shared" si="184"/>
        <v>0</v>
      </c>
    </row>
    <row r="53" spans="1:92" ht="18.75" customHeight="1" x14ac:dyDescent="0.3">
      <c r="A53" s="2871" t="s">
        <v>7</v>
      </c>
      <c r="B53" s="2837">
        <f>SUM(C53:D53)</f>
        <v>18542.232592334865</v>
      </c>
      <c r="C53" s="2837">
        <f>SUM(C54:C60)+C62+C71</f>
        <v>18542.232592334865</v>
      </c>
      <c r="D53" s="2837">
        <f>SUM(D54:D60)+D62+D71</f>
        <v>0</v>
      </c>
      <c r="E53" s="2861">
        <f>SUM(F53:G53)</f>
        <v>4730.9299999999994</v>
      </c>
      <c r="F53" s="2836">
        <f>SUM(F54:F60)+F62+F71</f>
        <v>4730.9299999999994</v>
      </c>
      <c r="G53" s="2836">
        <f>SUM(G54:G60)+G71+G62</f>
        <v>0</v>
      </c>
      <c r="H53" s="2861">
        <f t="shared" si="187"/>
        <v>4506.0339999999997</v>
      </c>
      <c r="I53" s="2836">
        <f>SUM(I54:I60)+I62+I71</f>
        <v>4506.0339999999997</v>
      </c>
      <c r="J53" s="2836">
        <f>SUM(J54:J60)+J62+J71</f>
        <v>0</v>
      </c>
      <c r="K53" s="2861">
        <f t="shared" si="188"/>
        <v>6721.6089999999995</v>
      </c>
      <c r="L53" s="2836">
        <f>SUM(L54:L60)+L62+L71</f>
        <v>6721.6089999999995</v>
      </c>
      <c r="M53" s="2836">
        <f>SUM(M54:M60)+M62+M71</f>
        <v>0</v>
      </c>
      <c r="N53" s="2861">
        <f t="shared" ref="N53:N60" si="336">SUM(O53:P53)</f>
        <v>15958.573</v>
      </c>
      <c r="O53" s="2861">
        <f t="shared" ref="O53:O60" si="337">SUM(F53+I53+L53)</f>
        <v>15958.573</v>
      </c>
      <c r="P53" s="2861">
        <f t="shared" ref="P53:P60" si="338">SUM(G53+J53+M53)</f>
        <v>0</v>
      </c>
      <c r="Q53" s="2837">
        <f>SUM(R53:S53)</f>
        <v>18542.232592334865</v>
      </c>
      <c r="R53" s="2837">
        <f>SUM(R54:R60)+R62+R71</f>
        <v>18542.232592334865</v>
      </c>
      <c r="S53" s="2837">
        <f>SUM(S54:S60)+S62+S71</f>
        <v>0</v>
      </c>
      <c r="T53" s="2861">
        <f t="shared" si="229"/>
        <v>6835.2249999999995</v>
      </c>
      <c r="U53" s="2836">
        <f>SUM(U54:U60)+U62+U71</f>
        <v>6835.2249999999995</v>
      </c>
      <c r="V53" s="2836">
        <f>SUM(V54:V60)+V62+V71</f>
        <v>0</v>
      </c>
      <c r="W53" s="2861">
        <f t="shared" si="231"/>
        <v>6177.9699999999993</v>
      </c>
      <c r="X53" s="2836">
        <f>SUM(X54:X60)+X62+X71</f>
        <v>6177.9699999999993</v>
      </c>
      <c r="Y53" s="2836">
        <f>SUM(Y54:Y60)+Y62+Y71</f>
        <v>0</v>
      </c>
      <c r="Z53" s="2861">
        <f t="shared" si="233"/>
        <v>4982.1530000000002</v>
      </c>
      <c r="AA53" s="2836">
        <f>SUM(AA54:AA60)+AA62+AA71</f>
        <v>4982.1530000000002</v>
      </c>
      <c r="AB53" s="2836">
        <f>SUM(AB54:AB60)+AB62+AB71</f>
        <v>0</v>
      </c>
      <c r="AC53" s="2861">
        <f t="shared" si="267"/>
        <v>17995.347999999998</v>
      </c>
      <c r="AD53" s="2861">
        <f t="shared" si="333"/>
        <v>17995.347999999998</v>
      </c>
      <c r="AE53" s="2861">
        <f t="shared" si="333"/>
        <v>0</v>
      </c>
      <c r="AF53" s="2839">
        <f t="shared" ref="AF53" si="339">SUM(AG53:AH53)</f>
        <v>37084.465184669731</v>
      </c>
      <c r="AG53" s="2839">
        <f t="shared" ref="AG53" si="340">SUM(C53+R53)</f>
        <v>37084.465184669731</v>
      </c>
      <c r="AH53" s="2839">
        <f t="shared" si="270"/>
        <v>0</v>
      </c>
      <c r="AI53" s="2862">
        <f t="shared" ref="AI53:AK60" si="341">SUM(AC53+N53)</f>
        <v>33953.921000000002</v>
      </c>
      <c r="AJ53" s="2862">
        <f t="shared" si="341"/>
        <v>33953.921000000002</v>
      </c>
      <c r="AK53" s="2862">
        <f t="shared" si="341"/>
        <v>0</v>
      </c>
      <c r="AL53" s="2862">
        <f t="shared" si="284"/>
        <v>-3130.5441846697286</v>
      </c>
      <c r="AM53" s="2862">
        <f t="shared" si="284"/>
        <v>-3130.5441846697286</v>
      </c>
      <c r="AN53" s="2862">
        <f t="shared" si="284"/>
        <v>0</v>
      </c>
      <c r="AO53" s="2837">
        <f>SUM(AP53:AQ53)</f>
        <v>18611.200353171615</v>
      </c>
      <c r="AP53" s="2837">
        <f>SUM(AP54:AP60)+AP62+AP71</f>
        <v>18611.200353171615</v>
      </c>
      <c r="AQ53" s="2837">
        <f>SUM(AQ54:AQ60)+AQ62+AQ71</f>
        <v>0</v>
      </c>
      <c r="AR53" s="2861">
        <f t="shared" si="240"/>
        <v>6137.527</v>
      </c>
      <c r="AS53" s="2836">
        <f>SUM(AS54:AS60)+AS62+AS71</f>
        <v>6137.527</v>
      </c>
      <c r="AT53" s="2836">
        <f>SUM(AT54:AT60)+AT62+AT71</f>
        <v>0</v>
      </c>
      <c r="AU53" s="2861">
        <f t="shared" si="242"/>
        <v>4517.07</v>
      </c>
      <c r="AV53" s="2836">
        <f>SUM(AV54:AV60)+AV62+AV71</f>
        <v>4517.07</v>
      </c>
      <c r="AW53" s="2836">
        <f>SUM(AW54:AW60)+AW62+AW71</f>
        <v>0</v>
      </c>
      <c r="AX53" s="2861">
        <f t="shared" si="244"/>
        <v>6731.1419999999998</v>
      </c>
      <c r="AY53" s="2836">
        <f>SUM(AY54:AY60)+AY62+AY71</f>
        <v>6731.1419999999998</v>
      </c>
      <c r="AZ53" s="2836">
        <f>SUM(AZ54:AZ60)+AZ62+AZ71</f>
        <v>0</v>
      </c>
      <c r="BA53" s="2861">
        <f t="shared" si="274"/>
        <v>17385.739000000001</v>
      </c>
      <c r="BB53" s="2861">
        <f t="shared" si="334"/>
        <v>17385.739000000001</v>
      </c>
      <c r="BC53" s="2861">
        <f t="shared" si="334"/>
        <v>0</v>
      </c>
      <c r="BD53" s="2839">
        <f t="shared" ref="BD53" si="342">SUM(BE53:BF53)</f>
        <v>55695.665537841342</v>
      </c>
      <c r="BE53" s="2839">
        <f t="shared" ref="BE53" si="343">SUM(AG53+AP53)</f>
        <v>55695.665537841342</v>
      </c>
      <c r="BF53" s="2839">
        <f t="shared" si="249"/>
        <v>0</v>
      </c>
      <c r="BG53" s="2862">
        <f t="shared" ref="BG53:BI60" si="344">SUM(AI53+BA53)</f>
        <v>51339.66</v>
      </c>
      <c r="BH53" s="2862">
        <f t="shared" si="344"/>
        <v>51339.66</v>
      </c>
      <c r="BI53" s="2862">
        <f t="shared" si="344"/>
        <v>0</v>
      </c>
      <c r="BJ53" s="2862">
        <f t="shared" si="285"/>
        <v>-4356.0055378413381</v>
      </c>
      <c r="BK53" s="2862">
        <f t="shared" si="285"/>
        <v>-4356.0055378413381</v>
      </c>
      <c r="BL53" s="2862">
        <f t="shared" si="285"/>
        <v>0</v>
      </c>
      <c r="BM53" s="2837">
        <f>SUM(BN53:BO53)</f>
        <v>18611.200353171615</v>
      </c>
      <c r="BN53" s="2837">
        <f>SUM(BN54:BN60)+BN62+BN71</f>
        <v>18611.200353171615</v>
      </c>
      <c r="BO53" s="2837">
        <f>SUM(BO54:BO60)+BO62+BO71</f>
        <v>0</v>
      </c>
      <c r="BP53" s="2861">
        <f t="shared" si="252"/>
        <v>5141.6059999999998</v>
      </c>
      <c r="BQ53" s="2836">
        <f>SUM(BQ54:BQ60)+BQ62+BQ71</f>
        <v>5141.6059999999998</v>
      </c>
      <c r="BR53" s="2836">
        <f>SUM(BR54:BR60)+BR62+BR71</f>
        <v>0</v>
      </c>
      <c r="BS53" s="2861">
        <f t="shared" si="254"/>
        <v>6146.2514000000001</v>
      </c>
      <c r="BT53" s="2836">
        <f>SUM(BT54:BT60)+BT62+BT71</f>
        <v>6146.2514000000001</v>
      </c>
      <c r="BU53" s="2836">
        <f>SUM(BU54:BU60)+BU62+BU71</f>
        <v>0</v>
      </c>
      <c r="BV53" s="2861">
        <f t="shared" si="256"/>
        <v>6618.4009400000004</v>
      </c>
      <c r="BW53" s="2836">
        <f>SUM(BW54:BW60)+BW62+BW71</f>
        <v>6618.4009400000004</v>
      </c>
      <c r="BX53" s="2836">
        <f>SUM(BX54:BX60)+BX62+BX71</f>
        <v>0</v>
      </c>
      <c r="BY53" s="2861">
        <f t="shared" si="281"/>
        <v>17906.25834</v>
      </c>
      <c r="BZ53" s="2861">
        <f t="shared" si="335"/>
        <v>17906.25834</v>
      </c>
      <c r="CA53" s="2861">
        <f t="shared" si="335"/>
        <v>0</v>
      </c>
      <c r="CB53" s="2839">
        <f>SUM(CC53:CD53)</f>
        <v>74306.865689267084</v>
      </c>
      <c r="CC53" s="2839">
        <f>SUM(CC54:CC60)+CC62+CC71</f>
        <v>74306.865689267084</v>
      </c>
      <c r="CD53" s="2839">
        <f>SUM(CD54:CD60)+CD62+CD71</f>
        <v>0</v>
      </c>
      <c r="CE53" s="2862">
        <f t="shared" ref="CE53:CE60" si="345">SUM(BY53+BG53)</f>
        <v>69245.918340000004</v>
      </c>
      <c r="CF53" s="2981">
        <f t="shared" ref="CF53:CG60" si="346">SUM(BZ53+BH53)</f>
        <v>69245.918340000004</v>
      </c>
      <c r="CG53" s="2981">
        <f t="shared" si="346"/>
        <v>0</v>
      </c>
      <c r="CH53" s="2862">
        <f t="shared" si="286"/>
        <v>-5060.9473492670804</v>
      </c>
      <c r="CI53" s="2862">
        <f t="shared" si="286"/>
        <v>-5060.9473492670804</v>
      </c>
      <c r="CJ53" s="2862">
        <f t="shared" si="286"/>
        <v>0</v>
      </c>
      <c r="CK53" s="2863"/>
      <c r="CL53" s="4189">
        <f t="shared" si="182"/>
        <v>74306.86589101296</v>
      </c>
      <c r="CM53" s="4189">
        <f t="shared" si="183"/>
        <v>74306.86589101296</v>
      </c>
      <c r="CN53" s="4189">
        <f t="shared" si="184"/>
        <v>0</v>
      </c>
    </row>
    <row r="54" spans="1:92" ht="18.75" customHeight="1" x14ac:dyDescent="0.3">
      <c r="A54" s="2864" t="s">
        <v>1</v>
      </c>
      <c r="B54" s="2845">
        <f t="shared" ref="B54:B55" si="347">SUM(C54:D54)</f>
        <v>1724.1940209187624</v>
      </c>
      <c r="C54" s="2845">
        <f>SUM(CC54/2)/(1+(104%*100-100)/2/100)/6*3</f>
        <v>1724.1940209187624</v>
      </c>
      <c r="D54" s="2845">
        <f>SUM(CD54/2)/(1+(105.9%*100-100)/2/100)/6*3</f>
        <v>0</v>
      </c>
      <c r="E54" s="2865">
        <f t="shared" si="186"/>
        <v>508.18</v>
      </c>
      <c r="F54" s="2866">
        <v>508.18</v>
      </c>
      <c r="G54" s="2866"/>
      <c r="H54" s="2865">
        <f t="shared" si="187"/>
        <v>480.29899999999998</v>
      </c>
      <c r="I54" s="2866">
        <v>480.29899999999998</v>
      </c>
      <c r="J54" s="2866"/>
      <c r="K54" s="2865">
        <f t="shared" si="188"/>
        <v>520.69000000000005</v>
      </c>
      <c r="L54" s="2866">
        <v>520.69000000000005</v>
      </c>
      <c r="M54" s="2866"/>
      <c r="N54" s="2865">
        <f t="shared" si="336"/>
        <v>1509.1690000000001</v>
      </c>
      <c r="O54" s="2865">
        <f t="shared" si="337"/>
        <v>1509.1690000000001</v>
      </c>
      <c r="P54" s="2865">
        <f t="shared" si="338"/>
        <v>0</v>
      </c>
      <c r="Q54" s="2845">
        <f t="shared" ref="Q54:Q55" si="348">SUM(R54:S54)</f>
        <v>1724.1940209187624</v>
      </c>
      <c r="R54" s="2845">
        <f t="shared" ref="R54:R60" si="349">SUM(C54)</f>
        <v>1724.1940209187624</v>
      </c>
      <c r="S54" s="2845">
        <f t="shared" ref="S54:S60" si="350">SUM(D54)</f>
        <v>0</v>
      </c>
      <c r="T54" s="2865">
        <f t="shared" si="229"/>
        <v>549.94000000000005</v>
      </c>
      <c r="U54" s="2866">
        <v>549.94000000000005</v>
      </c>
      <c r="V54" s="2866"/>
      <c r="W54" s="2865">
        <f t="shared" si="231"/>
        <v>613.54999999999995</v>
      </c>
      <c r="X54" s="2866">
        <v>613.54999999999995</v>
      </c>
      <c r="Y54" s="2866"/>
      <c r="Z54" s="2865">
        <f t="shared" si="233"/>
        <v>524.447</v>
      </c>
      <c r="AA54" s="2866">
        <v>524.447</v>
      </c>
      <c r="AB54" s="2866"/>
      <c r="AC54" s="2865">
        <f t="shared" si="267"/>
        <v>1687.9369999999999</v>
      </c>
      <c r="AD54" s="2865">
        <f t="shared" si="333"/>
        <v>1687.9369999999999</v>
      </c>
      <c r="AE54" s="2865">
        <f t="shared" si="333"/>
        <v>0</v>
      </c>
      <c r="AF54" s="2846">
        <f t="shared" ref="AF54" si="351">SUM(AG54:AH54)</f>
        <v>3448.3880418375247</v>
      </c>
      <c r="AG54" s="2846">
        <f t="shared" ref="AG54" si="352">SUM(C54+R54)</f>
        <v>3448.3880418375247</v>
      </c>
      <c r="AH54" s="2846">
        <f t="shared" ref="AH54" si="353">SUM(D54+S54)</f>
        <v>0</v>
      </c>
      <c r="AI54" s="2867">
        <f t="shared" si="341"/>
        <v>3197.1059999999998</v>
      </c>
      <c r="AJ54" s="2867">
        <f t="shared" si="341"/>
        <v>3197.1059999999998</v>
      </c>
      <c r="AK54" s="2867">
        <f t="shared" si="341"/>
        <v>0</v>
      </c>
      <c r="AL54" s="2867">
        <f t="shared" si="284"/>
        <v>-251.28204183752496</v>
      </c>
      <c r="AM54" s="2867">
        <f t="shared" si="284"/>
        <v>-251.28204183752496</v>
      </c>
      <c r="AN54" s="2867">
        <f t="shared" si="284"/>
        <v>0</v>
      </c>
      <c r="AO54" s="2845">
        <f t="shared" ref="AO54:AO55" si="354">SUM(AP54:AQ54)</f>
        <v>1793.1617817555125</v>
      </c>
      <c r="AP54" s="2845">
        <f t="shared" ref="AP54:AP55" si="355">SUM(CC54-AG54)/2</f>
        <v>1793.1617817555125</v>
      </c>
      <c r="AQ54" s="2845">
        <f t="shared" ref="AQ54:AQ55" si="356">SUM(CD54-AH54)/2</f>
        <v>0</v>
      </c>
      <c r="AR54" s="2865">
        <f t="shared" si="240"/>
        <v>492.65</v>
      </c>
      <c r="AS54" s="2866">
        <v>492.65</v>
      </c>
      <c r="AT54" s="2866"/>
      <c r="AU54" s="2865">
        <f t="shared" si="242"/>
        <v>475.17399999999998</v>
      </c>
      <c r="AV54" s="2866">
        <v>475.17399999999998</v>
      </c>
      <c r="AW54" s="2866"/>
      <c r="AX54" s="2865">
        <f t="shared" si="244"/>
        <v>509.58</v>
      </c>
      <c r="AY54" s="2866">
        <v>509.58</v>
      </c>
      <c r="AZ54" s="2866"/>
      <c r="BA54" s="2865">
        <f t="shared" si="274"/>
        <v>1477.404</v>
      </c>
      <c r="BB54" s="2865">
        <f t="shared" si="334"/>
        <v>1477.404</v>
      </c>
      <c r="BC54" s="2865">
        <f t="shared" si="334"/>
        <v>0</v>
      </c>
      <c r="BD54" s="2846">
        <f t="shared" ref="BD54:BD55" si="357">SUM(BE54:BF54)</f>
        <v>5241.5498235930372</v>
      </c>
      <c r="BE54" s="2846">
        <f t="shared" ref="BE54:BF60" si="358">SUM(AG54+AP54)</f>
        <v>5241.5498235930372</v>
      </c>
      <c r="BF54" s="2846">
        <f t="shared" si="358"/>
        <v>0</v>
      </c>
      <c r="BG54" s="2867">
        <f t="shared" si="344"/>
        <v>4674.51</v>
      </c>
      <c r="BH54" s="2867">
        <f t="shared" si="344"/>
        <v>4674.51</v>
      </c>
      <c r="BI54" s="2867">
        <f t="shared" si="344"/>
        <v>0</v>
      </c>
      <c r="BJ54" s="2867">
        <f t="shared" si="285"/>
        <v>-567.039823593037</v>
      </c>
      <c r="BK54" s="2867">
        <f t="shared" si="285"/>
        <v>-567.039823593037</v>
      </c>
      <c r="BL54" s="2867">
        <f t="shared" si="285"/>
        <v>0</v>
      </c>
      <c r="BM54" s="2845">
        <f t="shared" ref="BM54:BM60" si="359">SUM(BN54:BO54)</f>
        <v>1793.1617817555125</v>
      </c>
      <c r="BN54" s="2845">
        <f t="shared" ref="BN54:BN60" si="360">SUM(AP54)</f>
        <v>1793.1617817555125</v>
      </c>
      <c r="BO54" s="2845">
        <f t="shared" ref="BO54:BO60" si="361">SUM(AQ54)</f>
        <v>0</v>
      </c>
      <c r="BP54" s="2865">
        <f t="shared" si="252"/>
        <v>571.69399999999996</v>
      </c>
      <c r="BQ54" s="2866">
        <v>571.69399999999996</v>
      </c>
      <c r="BR54" s="2866"/>
      <c r="BS54" s="2865">
        <f t="shared" si="254"/>
        <v>653.74599999999998</v>
      </c>
      <c r="BT54" s="2866">
        <v>653.74599999999998</v>
      </c>
      <c r="BU54" s="2866"/>
      <c r="BV54" s="2865">
        <f t="shared" si="256"/>
        <v>527.62300000000005</v>
      </c>
      <c r="BW54" s="2866">
        <v>527.62300000000005</v>
      </c>
      <c r="BX54" s="2866"/>
      <c r="BY54" s="2865">
        <f t="shared" si="281"/>
        <v>1753.0630000000001</v>
      </c>
      <c r="BZ54" s="2865">
        <f t="shared" si="335"/>
        <v>1753.0630000000001</v>
      </c>
      <c r="CA54" s="2865">
        <f t="shared" si="335"/>
        <v>0</v>
      </c>
      <c r="CB54" s="2846">
        <f t="shared" ref="CB54:CB60" si="362">SUM(CC54:CD54)</f>
        <v>7034.7116053485497</v>
      </c>
      <c r="CC54" s="2846">
        <f>SUM(вода!CV18)</f>
        <v>7034.7116053485497</v>
      </c>
      <c r="CD54" s="2846">
        <v>0</v>
      </c>
      <c r="CE54" s="2867">
        <f t="shared" si="345"/>
        <v>6427.5730000000003</v>
      </c>
      <c r="CF54" s="2982">
        <f t="shared" si="346"/>
        <v>6427.5730000000003</v>
      </c>
      <c r="CG54" s="2982">
        <f t="shared" si="346"/>
        <v>0</v>
      </c>
      <c r="CH54" s="2867">
        <f t="shared" si="286"/>
        <v>-607.13860534854939</v>
      </c>
      <c r="CI54" s="2867">
        <f t="shared" si="286"/>
        <v>-607.13860534854939</v>
      </c>
      <c r="CJ54" s="2867">
        <f t="shared" si="286"/>
        <v>0</v>
      </c>
      <c r="CK54" s="2863"/>
      <c r="CL54" s="4187">
        <f t="shared" si="182"/>
        <v>7034.7116053485497</v>
      </c>
      <c r="CM54" s="4187">
        <f t="shared" si="183"/>
        <v>7034.7116053485497</v>
      </c>
      <c r="CN54" s="4187">
        <f t="shared" si="184"/>
        <v>0</v>
      </c>
    </row>
    <row r="55" spans="1:92" ht="18.75" customHeight="1" x14ac:dyDescent="0.3">
      <c r="A55" s="2864" t="s">
        <v>8</v>
      </c>
      <c r="B55" s="2845">
        <f t="shared" si="347"/>
        <v>3138.8682482340892</v>
      </c>
      <c r="C55" s="2845">
        <f t="shared" ref="C55" si="363">SUM(CC55/4)</f>
        <v>3138.8682482340892</v>
      </c>
      <c r="D55" s="2845">
        <f t="shared" ref="D55" si="364">SUM(CD55/4)</f>
        <v>0</v>
      </c>
      <c r="E55" s="2865">
        <f t="shared" si="186"/>
        <v>95.14</v>
      </c>
      <c r="F55" s="2866">
        <v>95.14</v>
      </c>
      <c r="G55" s="2866"/>
      <c r="H55" s="2865">
        <f t="shared" si="187"/>
        <v>0</v>
      </c>
      <c r="I55" s="2866"/>
      <c r="J55" s="2866"/>
      <c r="K55" s="2865">
        <f t="shared" si="188"/>
        <v>1577.43</v>
      </c>
      <c r="L55" s="2866">
        <v>1577.43</v>
      </c>
      <c r="M55" s="2866"/>
      <c r="N55" s="2865">
        <f t="shared" si="336"/>
        <v>1672.5700000000002</v>
      </c>
      <c r="O55" s="2865">
        <f t="shared" si="337"/>
        <v>1672.5700000000002</v>
      </c>
      <c r="P55" s="2865">
        <f t="shared" si="338"/>
        <v>0</v>
      </c>
      <c r="Q55" s="2845">
        <f t="shared" si="348"/>
        <v>3138.8682482340892</v>
      </c>
      <c r="R55" s="2845">
        <f t="shared" si="349"/>
        <v>3138.8682482340892</v>
      </c>
      <c r="S55" s="2845">
        <f t="shared" si="350"/>
        <v>0</v>
      </c>
      <c r="T55" s="2865">
        <f t="shared" si="229"/>
        <v>1825.97</v>
      </c>
      <c r="U55" s="2866">
        <v>1825.97</v>
      </c>
      <c r="V55" s="2866"/>
      <c r="W55" s="2865">
        <f t="shared" si="231"/>
        <v>1548.5</v>
      </c>
      <c r="X55" s="2866">
        <v>1548.5</v>
      </c>
      <c r="Y55" s="2866"/>
      <c r="Z55" s="2865">
        <f t="shared" si="233"/>
        <v>180.28</v>
      </c>
      <c r="AA55" s="2866">
        <v>180.28</v>
      </c>
      <c r="AB55" s="2866"/>
      <c r="AC55" s="2865">
        <f t="shared" si="267"/>
        <v>3554.7500000000005</v>
      </c>
      <c r="AD55" s="2865">
        <f t="shared" si="333"/>
        <v>3554.7500000000005</v>
      </c>
      <c r="AE55" s="2865">
        <f t="shared" si="333"/>
        <v>0</v>
      </c>
      <c r="AF55" s="2846">
        <f t="shared" ref="AF55:AF60" si="365">SUM(AG55:AH55)</f>
        <v>6277.7364964681783</v>
      </c>
      <c r="AG55" s="2846">
        <f t="shared" ref="AG55:AH60" si="366">SUM(C55+R55)</f>
        <v>6277.7364964681783</v>
      </c>
      <c r="AH55" s="2846">
        <f t="shared" si="366"/>
        <v>0</v>
      </c>
      <c r="AI55" s="2867">
        <f t="shared" si="341"/>
        <v>5227.3200000000006</v>
      </c>
      <c r="AJ55" s="2867">
        <f t="shared" si="341"/>
        <v>5227.3200000000006</v>
      </c>
      <c r="AK55" s="2867">
        <f t="shared" si="341"/>
        <v>0</v>
      </c>
      <c r="AL55" s="2867">
        <f t="shared" si="284"/>
        <v>-1050.4164964681777</v>
      </c>
      <c r="AM55" s="2867">
        <f t="shared" si="284"/>
        <v>-1050.4164964681777</v>
      </c>
      <c r="AN55" s="2867">
        <f t="shared" si="284"/>
        <v>0</v>
      </c>
      <c r="AO55" s="2845">
        <f t="shared" si="354"/>
        <v>3138.8682482340892</v>
      </c>
      <c r="AP55" s="2845">
        <f t="shared" si="355"/>
        <v>3138.8682482340892</v>
      </c>
      <c r="AQ55" s="2845">
        <f t="shared" si="356"/>
        <v>0</v>
      </c>
      <c r="AR55" s="2865">
        <f t="shared" si="240"/>
        <v>1354.56</v>
      </c>
      <c r="AS55" s="2866">
        <v>1354.56</v>
      </c>
      <c r="AT55" s="2866"/>
      <c r="AU55" s="2865">
        <f t="shared" si="242"/>
        <v>0</v>
      </c>
      <c r="AV55" s="2866"/>
      <c r="AW55" s="2866"/>
      <c r="AX55" s="2865">
        <f t="shared" si="244"/>
        <v>2032.1210000000001</v>
      </c>
      <c r="AY55" s="2866">
        <v>2032.1210000000001</v>
      </c>
      <c r="AZ55" s="2866"/>
      <c r="BA55" s="2865">
        <f t="shared" si="274"/>
        <v>3386.681</v>
      </c>
      <c r="BB55" s="2865">
        <f t="shared" si="334"/>
        <v>3386.681</v>
      </c>
      <c r="BC55" s="2865">
        <f t="shared" si="334"/>
        <v>0</v>
      </c>
      <c r="BD55" s="2846">
        <f t="shared" si="357"/>
        <v>9416.6047447022684</v>
      </c>
      <c r="BE55" s="2846">
        <f t="shared" si="358"/>
        <v>9416.6047447022684</v>
      </c>
      <c r="BF55" s="2846">
        <f t="shared" si="358"/>
        <v>0</v>
      </c>
      <c r="BG55" s="2867">
        <f t="shared" si="344"/>
        <v>8614.0010000000002</v>
      </c>
      <c r="BH55" s="2867">
        <f t="shared" si="344"/>
        <v>8614.0010000000002</v>
      </c>
      <c r="BI55" s="2867">
        <f t="shared" si="344"/>
        <v>0</v>
      </c>
      <c r="BJ55" s="2867">
        <f t="shared" si="285"/>
        <v>-802.60374470226816</v>
      </c>
      <c r="BK55" s="2867">
        <f t="shared" si="285"/>
        <v>-802.60374470226816</v>
      </c>
      <c r="BL55" s="2867">
        <f t="shared" si="285"/>
        <v>0</v>
      </c>
      <c r="BM55" s="2845">
        <f t="shared" si="359"/>
        <v>3138.8682482340892</v>
      </c>
      <c r="BN55" s="2845">
        <f t="shared" si="360"/>
        <v>3138.8682482340892</v>
      </c>
      <c r="BO55" s="2845">
        <f t="shared" si="361"/>
        <v>0</v>
      </c>
      <c r="BP55" s="2865">
        <f t="shared" si="252"/>
        <v>45.954999999999998</v>
      </c>
      <c r="BQ55" s="2866">
        <v>45.954999999999998</v>
      </c>
      <c r="BR55" s="2866"/>
      <c r="BS55" s="2865">
        <f t="shared" si="254"/>
        <v>1109.3520000000001</v>
      </c>
      <c r="BT55" s="2866">
        <v>1109.3520000000001</v>
      </c>
      <c r="BU55" s="2866"/>
      <c r="BV55" s="2865">
        <f t="shared" si="256"/>
        <v>1200.6030000000001</v>
      </c>
      <c r="BW55" s="2866">
        <v>1200.6030000000001</v>
      </c>
      <c r="BX55" s="2866"/>
      <c r="BY55" s="2865">
        <f t="shared" si="281"/>
        <v>2355.91</v>
      </c>
      <c r="BZ55" s="2865">
        <f t="shared" si="335"/>
        <v>2355.91</v>
      </c>
      <c r="CA55" s="2865">
        <f t="shared" si="335"/>
        <v>0</v>
      </c>
      <c r="CB55" s="2846">
        <f t="shared" si="362"/>
        <v>12555.472992936357</v>
      </c>
      <c r="CC55" s="2846">
        <f>SUM(вода!CV19)</f>
        <v>12555.472992936357</v>
      </c>
      <c r="CD55" s="2846">
        <v>0</v>
      </c>
      <c r="CE55" s="2867">
        <f t="shared" si="345"/>
        <v>10969.911</v>
      </c>
      <c r="CF55" s="2982">
        <f t="shared" si="346"/>
        <v>10969.911</v>
      </c>
      <c r="CG55" s="2982">
        <f t="shared" si="346"/>
        <v>0</v>
      </c>
      <c r="CH55" s="2867">
        <f t="shared" si="286"/>
        <v>-1585.5619929363565</v>
      </c>
      <c r="CI55" s="2867">
        <f t="shared" si="286"/>
        <v>-1585.5619929363565</v>
      </c>
      <c r="CJ55" s="2867">
        <f t="shared" si="286"/>
        <v>0</v>
      </c>
      <c r="CK55" s="2863"/>
      <c r="CL55" s="4187">
        <f t="shared" si="182"/>
        <v>12555.472992936357</v>
      </c>
      <c r="CM55" s="4187">
        <f t="shared" si="183"/>
        <v>12555.472992936357</v>
      </c>
      <c r="CN55" s="4187">
        <f t="shared" si="184"/>
        <v>0</v>
      </c>
    </row>
    <row r="56" spans="1:92" ht="18.75" customHeight="1" x14ac:dyDescent="0.3">
      <c r="A56" s="2864" t="s">
        <v>2</v>
      </c>
      <c r="B56" s="2845">
        <f t="shared" ref="B56" si="367">SUM(C56:D56)</f>
        <v>748.30994563360775</v>
      </c>
      <c r="C56" s="2845">
        <f t="shared" ref="C56:D56" si="368">SUM(CC56/4)</f>
        <v>748.30994563360775</v>
      </c>
      <c r="D56" s="2845">
        <f t="shared" si="368"/>
        <v>0</v>
      </c>
      <c r="E56" s="2865">
        <f t="shared" si="186"/>
        <v>414.68</v>
      </c>
      <c r="F56" s="2866">
        <v>414.68</v>
      </c>
      <c r="G56" s="2866"/>
      <c r="H56" s="2865">
        <f t="shared" si="187"/>
        <v>414.31</v>
      </c>
      <c r="I56" s="2866">
        <v>414.31</v>
      </c>
      <c r="J56" s="2866"/>
      <c r="K56" s="2865">
        <f t="shared" si="188"/>
        <v>417.15</v>
      </c>
      <c r="L56" s="2866">
        <v>417.15</v>
      </c>
      <c r="M56" s="2866"/>
      <c r="N56" s="2865">
        <f t="shared" si="336"/>
        <v>1246.1399999999999</v>
      </c>
      <c r="O56" s="2865">
        <f t="shared" si="337"/>
        <v>1246.1399999999999</v>
      </c>
      <c r="P56" s="2865">
        <f t="shared" si="338"/>
        <v>0</v>
      </c>
      <c r="Q56" s="2845">
        <f t="shared" ref="Q56:Q59" si="369">SUM(R56:S56)</f>
        <v>748.30994563360775</v>
      </c>
      <c r="R56" s="2845">
        <f t="shared" si="349"/>
        <v>748.30994563360775</v>
      </c>
      <c r="S56" s="2845">
        <f t="shared" si="350"/>
        <v>0</v>
      </c>
      <c r="T56" s="2865">
        <f t="shared" si="229"/>
        <v>416.38</v>
      </c>
      <c r="U56" s="2866">
        <v>416.38</v>
      </c>
      <c r="V56" s="2866"/>
      <c r="W56" s="2865">
        <f t="shared" si="231"/>
        <v>77.14</v>
      </c>
      <c r="X56" s="2866">
        <v>77.14</v>
      </c>
      <c r="Y56" s="2866"/>
      <c r="Z56" s="2865">
        <f t="shared" si="233"/>
        <v>400.41399999999999</v>
      </c>
      <c r="AA56" s="2866">
        <v>400.41399999999999</v>
      </c>
      <c r="AB56" s="2866"/>
      <c r="AC56" s="2865">
        <f t="shared" si="267"/>
        <v>893.93399999999997</v>
      </c>
      <c r="AD56" s="2865">
        <f t="shared" si="333"/>
        <v>893.93399999999997</v>
      </c>
      <c r="AE56" s="2865">
        <f t="shared" si="333"/>
        <v>0</v>
      </c>
      <c r="AF56" s="2846">
        <f t="shared" si="365"/>
        <v>1496.6198912672155</v>
      </c>
      <c r="AG56" s="2846">
        <f t="shared" si="366"/>
        <v>1496.6198912672155</v>
      </c>
      <c r="AH56" s="2846">
        <f t="shared" si="366"/>
        <v>0</v>
      </c>
      <c r="AI56" s="2867">
        <f t="shared" si="341"/>
        <v>2140.0739999999996</v>
      </c>
      <c r="AJ56" s="2867">
        <f t="shared" si="341"/>
        <v>2140.0739999999996</v>
      </c>
      <c r="AK56" s="2867">
        <f t="shared" si="341"/>
        <v>0</v>
      </c>
      <c r="AL56" s="2867">
        <f t="shared" si="284"/>
        <v>643.45410873278411</v>
      </c>
      <c r="AM56" s="2867">
        <f t="shared" si="284"/>
        <v>643.45410873278411</v>
      </c>
      <c r="AN56" s="2867">
        <f t="shared" si="284"/>
        <v>0</v>
      </c>
      <c r="AO56" s="2845">
        <f t="shared" ref="AO56:AO60" si="370">SUM(AP56:AQ56)</f>
        <v>748.30994563360775</v>
      </c>
      <c r="AP56" s="2845">
        <f t="shared" ref="AP56:AQ60" si="371">SUM(CC56-AG56)/2</f>
        <v>748.30994563360775</v>
      </c>
      <c r="AQ56" s="2845">
        <f t="shared" si="371"/>
        <v>0</v>
      </c>
      <c r="AR56" s="2865">
        <f t="shared" si="240"/>
        <v>397.42700000000002</v>
      </c>
      <c r="AS56" s="2866">
        <v>397.42700000000002</v>
      </c>
      <c r="AT56" s="2866"/>
      <c r="AU56" s="2865">
        <f t="shared" si="242"/>
        <v>397.64299999999997</v>
      </c>
      <c r="AV56" s="2866">
        <v>397.64299999999997</v>
      </c>
      <c r="AW56" s="2866"/>
      <c r="AX56" s="2865">
        <f t="shared" si="244"/>
        <v>397.86</v>
      </c>
      <c r="AY56" s="2866">
        <v>397.86</v>
      </c>
      <c r="AZ56" s="2866"/>
      <c r="BA56" s="2865">
        <f t="shared" si="274"/>
        <v>1192.9299999999998</v>
      </c>
      <c r="BB56" s="2865">
        <f t="shared" si="334"/>
        <v>1192.9299999999998</v>
      </c>
      <c r="BC56" s="2865">
        <f t="shared" si="334"/>
        <v>0</v>
      </c>
      <c r="BD56" s="2846">
        <f t="shared" ref="BD56:BD60" si="372">SUM(BE56:BF56)</f>
        <v>2244.9298369008234</v>
      </c>
      <c r="BE56" s="2846">
        <f t="shared" si="358"/>
        <v>2244.9298369008234</v>
      </c>
      <c r="BF56" s="2846">
        <f t="shared" si="358"/>
        <v>0</v>
      </c>
      <c r="BG56" s="2867">
        <f t="shared" si="344"/>
        <v>3333.0039999999995</v>
      </c>
      <c r="BH56" s="2867">
        <f t="shared" si="344"/>
        <v>3333.0039999999995</v>
      </c>
      <c r="BI56" s="2867">
        <f t="shared" si="344"/>
        <v>0</v>
      </c>
      <c r="BJ56" s="2867">
        <f t="shared" si="285"/>
        <v>1088.0741630991761</v>
      </c>
      <c r="BK56" s="2867">
        <f t="shared" si="285"/>
        <v>1088.0741630991761</v>
      </c>
      <c r="BL56" s="2867">
        <f t="shared" si="285"/>
        <v>0</v>
      </c>
      <c r="BM56" s="2845">
        <f t="shared" si="359"/>
        <v>748.30994563360775</v>
      </c>
      <c r="BN56" s="2845">
        <f t="shared" si="360"/>
        <v>748.30994563360775</v>
      </c>
      <c r="BO56" s="2845">
        <f t="shared" si="361"/>
        <v>0</v>
      </c>
      <c r="BP56" s="2865">
        <f t="shared" si="252"/>
        <v>398.11200000000002</v>
      </c>
      <c r="BQ56" s="2866">
        <v>398.11200000000002</v>
      </c>
      <c r="BR56" s="2866"/>
      <c r="BS56" s="2865">
        <f t="shared" si="254"/>
        <v>398.59899999999999</v>
      </c>
      <c r="BT56" s="2866">
        <v>398.59899999999999</v>
      </c>
      <c r="BU56" s="2866"/>
      <c r="BV56" s="2865">
        <f t="shared" si="256"/>
        <v>399.69099999999997</v>
      </c>
      <c r="BW56" s="2866">
        <v>399.69099999999997</v>
      </c>
      <c r="BX56" s="2866"/>
      <c r="BY56" s="2865">
        <f t="shared" si="281"/>
        <v>1196.402</v>
      </c>
      <c r="BZ56" s="2865">
        <f t="shared" si="335"/>
        <v>1196.402</v>
      </c>
      <c r="CA56" s="2865">
        <f t="shared" si="335"/>
        <v>0</v>
      </c>
      <c r="CB56" s="2846">
        <f t="shared" si="362"/>
        <v>2993.239782534431</v>
      </c>
      <c r="CC56" s="2846">
        <f>SUM(вода!CV20)</f>
        <v>2993.239782534431</v>
      </c>
      <c r="CD56" s="2846">
        <v>0</v>
      </c>
      <c r="CE56" s="2867">
        <f t="shared" si="345"/>
        <v>4529.405999999999</v>
      </c>
      <c r="CF56" s="2982">
        <f t="shared" si="346"/>
        <v>4529.405999999999</v>
      </c>
      <c r="CG56" s="2982">
        <f t="shared" si="346"/>
        <v>0</v>
      </c>
      <c r="CH56" s="2867">
        <f t="shared" si="286"/>
        <v>1536.166217465568</v>
      </c>
      <c r="CI56" s="2867">
        <f t="shared" si="286"/>
        <v>1536.166217465568</v>
      </c>
      <c r="CJ56" s="2867">
        <f t="shared" si="286"/>
        <v>0</v>
      </c>
      <c r="CK56" s="2863"/>
      <c r="CL56" s="4187">
        <f t="shared" si="182"/>
        <v>2993.239782534431</v>
      </c>
      <c r="CM56" s="4187">
        <f t="shared" si="183"/>
        <v>2993.239782534431</v>
      </c>
      <c r="CN56" s="4187">
        <f t="shared" si="184"/>
        <v>0</v>
      </c>
    </row>
    <row r="57" spans="1:92" ht="18.75" customHeight="1" x14ac:dyDescent="0.3">
      <c r="A57" s="2868" t="s">
        <v>3730</v>
      </c>
      <c r="B57" s="2845">
        <f t="shared" ref="B57:B60" si="373">SUM(C57:D57)</f>
        <v>0</v>
      </c>
      <c r="C57" s="2845">
        <f t="shared" ref="C57:C60" si="374">SUM(CC57/4)</f>
        <v>0</v>
      </c>
      <c r="D57" s="2845">
        <f t="shared" ref="D57:D60" si="375">SUM(CD57/4)</f>
        <v>0</v>
      </c>
      <c r="E57" s="2865">
        <f t="shared" si="186"/>
        <v>0</v>
      </c>
      <c r="F57" s="2866"/>
      <c r="G57" s="2866"/>
      <c r="H57" s="2865">
        <f t="shared" si="187"/>
        <v>0</v>
      </c>
      <c r="I57" s="2866"/>
      <c r="J57" s="2866"/>
      <c r="K57" s="2865">
        <f t="shared" si="188"/>
        <v>0</v>
      </c>
      <c r="L57" s="2866"/>
      <c r="M57" s="2866"/>
      <c r="N57" s="2865">
        <f t="shared" si="336"/>
        <v>0</v>
      </c>
      <c r="O57" s="2865">
        <f t="shared" si="337"/>
        <v>0</v>
      </c>
      <c r="P57" s="2865">
        <f t="shared" si="338"/>
        <v>0</v>
      </c>
      <c r="Q57" s="2845">
        <f t="shared" si="369"/>
        <v>0</v>
      </c>
      <c r="R57" s="2845">
        <f t="shared" si="349"/>
        <v>0</v>
      </c>
      <c r="S57" s="2845">
        <f t="shared" si="350"/>
        <v>0</v>
      </c>
      <c r="T57" s="2865">
        <f t="shared" si="229"/>
        <v>0</v>
      </c>
      <c r="U57" s="2866"/>
      <c r="V57" s="2866"/>
      <c r="W57" s="2865">
        <f t="shared" si="231"/>
        <v>0</v>
      </c>
      <c r="X57" s="2866"/>
      <c r="Y57" s="2866"/>
      <c r="Z57" s="2865">
        <f t="shared" si="233"/>
        <v>0</v>
      </c>
      <c r="AA57" s="2866"/>
      <c r="AB57" s="2866"/>
      <c r="AC57" s="2865">
        <f t="shared" si="267"/>
        <v>0</v>
      </c>
      <c r="AD57" s="2865">
        <f t="shared" si="333"/>
        <v>0</v>
      </c>
      <c r="AE57" s="2865">
        <f t="shared" si="333"/>
        <v>0</v>
      </c>
      <c r="AF57" s="2846">
        <f t="shared" si="365"/>
        <v>0</v>
      </c>
      <c r="AG57" s="2846">
        <f t="shared" si="366"/>
        <v>0</v>
      </c>
      <c r="AH57" s="2846">
        <f t="shared" si="366"/>
        <v>0</v>
      </c>
      <c r="AI57" s="2867">
        <f t="shared" si="341"/>
        <v>0</v>
      </c>
      <c r="AJ57" s="2867">
        <f t="shared" si="341"/>
        <v>0</v>
      </c>
      <c r="AK57" s="2867">
        <f t="shared" si="341"/>
        <v>0</v>
      </c>
      <c r="AL57" s="2867">
        <f t="shared" si="284"/>
        <v>0</v>
      </c>
      <c r="AM57" s="2867">
        <f t="shared" si="284"/>
        <v>0</v>
      </c>
      <c r="AN57" s="2867">
        <f t="shared" si="284"/>
        <v>0</v>
      </c>
      <c r="AO57" s="2845">
        <f t="shared" si="370"/>
        <v>0</v>
      </c>
      <c r="AP57" s="2845">
        <f t="shared" si="371"/>
        <v>0</v>
      </c>
      <c r="AQ57" s="2845">
        <f t="shared" si="371"/>
        <v>0</v>
      </c>
      <c r="AR57" s="2865">
        <f t="shared" si="240"/>
        <v>0</v>
      </c>
      <c r="AS57" s="2866"/>
      <c r="AT57" s="2866"/>
      <c r="AU57" s="2865">
        <f t="shared" si="242"/>
        <v>0</v>
      </c>
      <c r="AV57" s="2866"/>
      <c r="AW57" s="2866"/>
      <c r="AX57" s="2865">
        <f t="shared" si="244"/>
        <v>0</v>
      </c>
      <c r="AY57" s="2866"/>
      <c r="AZ57" s="2866"/>
      <c r="BA57" s="2865">
        <f t="shared" si="274"/>
        <v>0</v>
      </c>
      <c r="BB57" s="2865">
        <f t="shared" si="334"/>
        <v>0</v>
      </c>
      <c r="BC57" s="2865">
        <f t="shared" si="334"/>
        <v>0</v>
      </c>
      <c r="BD57" s="2846">
        <f t="shared" si="372"/>
        <v>0</v>
      </c>
      <c r="BE57" s="2846">
        <f t="shared" si="358"/>
        <v>0</v>
      </c>
      <c r="BF57" s="2846">
        <f t="shared" si="358"/>
        <v>0</v>
      </c>
      <c r="BG57" s="2867">
        <f t="shared" si="344"/>
        <v>0</v>
      </c>
      <c r="BH57" s="2867">
        <f t="shared" si="344"/>
        <v>0</v>
      </c>
      <c r="BI57" s="2867">
        <f t="shared" si="344"/>
        <v>0</v>
      </c>
      <c r="BJ57" s="2867">
        <f t="shared" si="285"/>
        <v>0</v>
      </c>
      <c r="BK57" s="2867">
        <f t="shared" si="285"/>
        <v>0</v>
      </c>
      <c r="BL57" s="2867">
        <f t="shared" si="285"/>
        <v>0</v>
      </c>
      <c r="BM57" s="2845">
        <f t="shared" si="359"/>
        <v>0</v>
      </c>
      <c r="BN57" s="2845">
        <f t="shared" si="360"/>
        <v>0</v>
      </c>
      <c r="BO57" s="2845">
        <f t="shared" si="361"/>
        <v>0</v>
      </c>
      <c r="BP57" s="2865">
        <f t="shared" si="252"/>
        <v>0</v>
      </c>
      <c r="BQ57" s="2866"/>
      <c r="BR57" s="2866"/>
      <c r="BS57" s="2865">
        <f t="shared" si="254"/>
        <v>0</v>
      </c>
      <c r="BT57" s="2866"/>
      <c r="BU57" s="2866"/>
      <c r="BV57" s="2865">
        <f t="shared" si="256"/>
        <v>0</v>
      </c>
      <c r="BW57" s="2866"/>
      <c r="BX57" s="2866"/>
      <c r="BY57" s="2865">
        <f t="shared" si="281"/>
        <v>0</v>
      </c>
      <c r="BZ57" s="2865">
        <f t="shared" si="335"/>
        <v>0</v>
      </c>
      <c r="CA57" s="2865">
        <f t="shared" si="335"/>
        <v>0</v>
      </c>
      <c r="CB57" s="2846">
        <f t="shared" si="362"/>
        <v>0</v>
      </c>
      <c r="CC57" s="2846">
        <f>SUM(вода!CV21)</f>
        <v>0</v>
      </c>
      <c r="CD57" s="2846">
        <v>0</v>
      </c>
      <c r="CE57" s="2867">
        <f t="shared" si="345"/>
        <v>0</v>
      </c>
      <c r="CF57" s="2982">
        <f t="shared" si="346"/>
        <v>0</v>
      </c>
      <c r="CG57" s="2982">
        <f t="shared" si="346"/>
        <v>0</v>
      </c>
      <c r="CH57" s="2867">
        <f t="shared" si="286"/>
        <v>0</v>
      </c>
      <c r="CI57" s="2867">
        <f t="shared" si="286"/>
        <v>0</v>
      </c>
      <c r="CJ57" s="2867">
        <f t="shared" si="286"/>
        <v>0</v>
      </c>
      <c r="CK57" s="2863"/>
      <c r="CL57" s="4187">
        <f t="shared" si="182"/>
        <v>0</v>
      </c>
      <c r="CM57" s="4187">
        <f t="shared" si="183"/>
        <v>0</v>
      </c>
      <c r="CN57" s="4187">
        <f t="shared" si="184"/>
        <v>0</v>
      </c>
    </row>
    <row r="58" spans="1:92" ht="18.75" customHeight="1" x14ac:dyDescent="0.3">
      <c r="A58" s="2864" t="s">
        <v>3</v>
      </c>
      <c r="B58" s="2845">
        <f t="shared" si="373"/>
        <v>0</v>
      </c>
      <c r="C58" s="2845">
        <f t="shared" si="374"/>
        <v>0</v>
      </c>
      <c r="D58" s="2845">
        <f t="shared" si="375"/>
        <v>0</v>
      </c>
      <c r="E58" s="2865">
        <f t="shared" si="186"/>
        <v>25.57</v>
      </c>
      <c r="F58" s="2866">
        <f>18.49+0.25+6.83</f>
        <v>25.57</v>
      </c>
      <c r="G58" s="2866"/>
      <c r="H58" s="2865">
        <f t="shared" si="187"/>
        <v>11.478</v>
      </c>
      <c r="I58" s="2866">
        <f>11.478</f>
        <v>11.478</v>
      </c>
      <c r="J58" s="2866"/>
      <c r="K58" s="2865">
        <f t="shared" si="188"/>
        <v>166.2</v>
      </c>
      <c r="L58" s="2866">
        <f>7.2+0.3+158.7</f>
        <v>166.2</v>
      </c>
      <c r="M58" s="2866"/>
      <c r="N58" s="2865">
        <f t="shared" si="336"/>
        <v>203.24799999999999</v>
      </c>
      <c r="O58" s="2865">
        <f t="shared" si="337"/>
        <v>203.24799999999999</v>
      </c>
      <c r="P58" s="2865">
        <f t="shared" si="338"/>
        <v>0</v>
      </c>
      <c r="Q58" s="2845">
        <f t="shared" si="369"/>
        <v>0</v>
      </c>
      <c r="R58" s="2845">
        <f t="shared" si="349"/>
        <v>0</v>
      </c>
      <c r="S58" s="2845">
        <f t="shared" si="350"/>
        <v>0</v>
      </c>
      <c r="T58" s="2865">
        <f t="shared" si="229"/>
        <v>72.52000000000001</v>
      </c>
      <c r="U58" s="2866">
        <f>47.17+25.35</f>
        <v>72.52000000000001</v>
      </c>
      <c r="V58" s="2866"/>
      <c r="W58" s="2865">
        <f t="shared" si="231"/>
        <v>142.63999999999999</v>
      </c>
      <c r="X58" s="2866">
        <f>142.64</f>
        <v>142.63999999999999</v>
      </c>
      <c r="Y58" s="2866"/>
      <c r="Z58" s="2865">
        <f t="shared" si="233"/>
        <v>143.68899999999999</v>
      </c>
      <c r="AA58" s="2866">
        <v>143.68899999999999</v>
      </c>
      <c r="AB58" s="2866"/>
      <c r="AC58" s="2865">
        <f t="shared" si="267"/>
        <v>358.84899999999999</v>
      </c>
      <c r="AD58" s="2865">
        <f t="shared" si="333"/>
        <v>358.84899999999999</v>
      </c>
      <c r="AE58" s="2865">
        <f t="shared" si="333"/>
        <v>0</v>
      </c>
      <c r="AF58" s="2846">
        <f t="shared" si="365"/>
        <v>0</v>
      </c>
      <c r="AG58" s="2846">
        <f t="shared" si="366"/>
        <v>0</v>
      </c>
      <c r="AH58" s="2846">
        <f t="shared" si="366"/>
        <v>0</v>
      </c>
      <c r="AI58" s="2867">
        <f t="shared" si="341"/>
        <v>562.09699999999998</v>
      </c>
      <c r="AJ58" s="2867">
        <f t="shared" si="341"/>
        <v>562.09699999999998</v>
      </c>
      <c r="AK58" s="2867">
        <f t="shared" si="341"/>
        <v>0</v>
      </c>
      <c r="AL58" s="2867">
        <f t="shared" si="284"/>
        <v>562.09699999999998</v>
      </c>
      <c r="AM58" s="2867">
        <f t="shared" si="284"/>
        <v>562.09699999999998</v>
      </c>
      <c r="AN58" s="2867">
        <f t="shared" si="284"/>
        <v>0</v>
      </c>
      <c r="AO58" s="2845">
        <f t="shared" si="370"/>
        <v>0</v>
      </c>
      <c r="AP58" s="2845">
        <f t="shared" si="371"/>
        <v>0</v>
      </c>
      <c r="AQ58" s="2845">
        <f t="shared" si="371"/>
        <v>0</v>
      </c>
      <c r="AR58" s="2865">
        <f t="shared" si="240"/>
        <v>69.56</v>
      </c>
      <c r="AS58" s="2866">
        <v>69.56</v>
      </c>
      <c r="AT58" s="2866"/>
      <c r="AU58" s="2865">
        <f t="shared" si="242"/>
        <v>32.473999999999997</v>
      </c>
      <c r="AV58" s="2866">
        <v>32.473999999999997</v>
      </c>
      <c r="AW58" s="2866"/>
      <c r="AX58" s="2865">
        <f t="shared" si="244"/>
        <v>51.17</v>
      </c>
      <c r="AY58" s="2866">
        <v>51.17</v>
      </c>
      <c r="AZ58" s="2866"/>
      <c r="BA58" s="2865">
        <f t="shared" si="274"/>
        <v>153.20400000000001</v>
      </c>
      <c r="BB58" s="2865">
        <f t="shared" si="334"/>
        <v>153.20400000000001</v>
      </c>
      <c r="BC58" s="2865">
        <f t="shared" si="334"/>
        <v>0</v>
      </c>
      <c r="BD58" s="2846">
        <f t="shared" si="372"/>
        <v>0</v>
      </c>
      <c r="BE58" s="2846">
        <f t="shared" si="358"/>
        <v>0</v>
      </c>
      <c r="BF58" s="2846">
        <f t="shared" si="358"/>
        <v>0</v>
      </c>
      <c r="BG58" s="2867">
        <f t="shared" si="344"/>
        <v>715.30099999999993</v>
      </c>
      <c r="BH58" s="2867">
        <f t="shared" si="344"/>
        <v>715.30099999999993</v>
      </c>
      <c r="BI58" s="2867">
        <f t="shared" si="344"/>
        <v>0</v>
      </c>
      <c r="BJ58" s="2867">
        <f t="shared" si="285"/>
        <v>715.30099999999993</v>
      </c>
      <c r="BK58" s="2867">
        <f t="shared" si="285"/>
        <v>715.30099999999993</v>
      </c>
      <c r="BL58" s="2867">
        <f t="shared" si="285"/>
        <v>0</v>
      </c>
      <c r="BM58" s="2845">
        <f t="shared" si="359"/>
        <v>0</v>
      </c>
      <c r="BN58" s="2845">
        <f t="shared" si="360"/>
        <v>0</v>
      </c>
      <c r="BO58" s="2845">
        <f t="shared" si="361"/>
        <v>0</v>
      </c>
      <c r="BP58" s="2865">
        <f t="shared" si="252"/>
        <v>213.69300000000001</v>
      </c>
      <c r="BQ58" s="2866">
        <f>200+13.693</f>
        <v>213.69300000000001</v>
      </c>
      <c r="BR58" s="2866"/>
      <c r="BS58" s="2865">
        <f t="shared" si="254"/>
        <v>36.200000000000003</v>
      </c>
      <c r="BT58" s="2866">
        <f>36.2</f>
        <v>36.200000000000003</v>
      </c>
      <c r="BU58" s="2866"/>
      <c r="BV58" s="2865">
        <f t="shared" si="256"/>
        <v>-5.9589999999999996</v>
      </c>
      <c r="BW58" s="2866">
        <v>-5.9589999999999996</v>
      </c>
      <c r="BX58" s="2866"/>
      <c r="BY58" s="2865">
        <f t="shared" si="281"/>
        <v>243.93400000000003</v>
      </c>
      <c r="BZ58" s="2865">
        <f t="shared" si="335"/>
        <v>243.93400000000003</v>
      </c>
      <c r="CA58" s="2865">
        <f t="shared" si="335"/>
        <v>0</v>
      </c>
      <c r="CB58" s="2846">
        <f t="shared" si="362"/>
        <v>0</v>
      </c>
      <c r="CC58" s="2846">
        <f>SUM(вода!CV22)</f>
        <v>0</v>
      </c>
      <c r="CD58" s="2846">
        <v>0</v>
      </c>
      <c r="CE58" s="2867">
        <f t="shared" si="345"/>
        <v>959.2349999999999</v>
      </c>
      <c r="CF58" s="2982">
        <f t="shared" si="346"/>
        <v>959.2349999999999</v>
      </c>
      <c r="CG58" s="2982">
        <f t="shared" si="346"/>
        <v>0</v>
      </c>
      <c r="CH58" s="2867">
        <f t="shared" si="286"/>
        <v>959.2349999999999</v>
      </c>
      <c r="CI58" s="2867">
        <f t="shared" si="286"/>
        <v>959.2349999999999</v>
      </c>
      <c r="CJ58" s="2867">
        <f t="shared" si="286"/>
        <v>0</v>
      </c>
      <c r="CK58" s="2863"/>
      <c r="CL58" s="4187">
        <f t="shared" si="182"/>
        <v>0</v>
      </c>
      <c r="CM58" s="4187">
        <f t="shared" si="183"/>
        <v>0</v>
      </c>
      <c r="CN58" s="4187">
        <f t="shared" si="184"/>
        <v>0</v>
      </c>
    </row>
    <row r="59" spans="1:92" ht="18.75" customHeight="1" x14ac:dyDescent="0.3">
      <c r="A59" s="2864" t="s">
        <v>4</v>
      </c>
      <c r="B59" s="2845">
        <f t="shared" si="373"/>
        <v>6783.5093141380567</v>
      </c>
      <c r="C59" s="2845">
        <f t="shared" si="374"/>
        <v>6783.5093141380567</v>
      </c>
      <c r="D59" s="2845">
        <f t="shared" si="375"/>
        <v>0</v>
      </c>
      <c r="E59" s="2865">
        <f t="shared" si="186"/>
        <v>1533.51</v>
      </c>
      <c r="F59" s="2866">
        <v>1533.51</v>
      </c>
      <c r="G59" s="2866"/>
      <c r="H59" s="2865">
        <f t="shared" si="187"/>
        <v>1562.3330000000001</v>
      </c>
      <c r="I59" s="2866">
        <v>1562.3330000000001</v>
      </c>
      <c r="J59" s="2866"/>
      <c r="K59" s="2865">
        <f t="shared" si="188"/>
        <v>1727.57</v>
      </c>
      <c r="L59" s="2866">
        <v>1727.57</v>
      </c>
      <c r="M59" s="2866"/>
      <c r="N59" s="2865">
        <f t="shared" si="336"/>
        <v>4823.4129999999996</v>
      </c>
      <c r="O59" s="2865">
        <f t="shared" si="337"/>
        <v>4823.4129999999996</v>
      </c>
      <c r="P59" s="2865">
        <f t="shared" si="338"/>
        <v>0</v>
      </c>
      <c r="Q59" s="2845">
        <f t="shared" si="369"/>
        <v>6783.5093141380567</v>
      </c>
      <c r="R59" s="2845">
        <f t="shared" si="349"/>
        <v>6783.5093141380567</v>
      </c>
      <c r="S59" s="2845">
        <f t="shared" si="350"/>
        <v>0</v>
      </c>
      <c r="T59" s="2865">
        <f t="shared" si="229"/>
        <v>1937.89</v>
      </c>
      <c r="U59" s="2866">
        <v>1937.89</v>
      </c>
      <c r="V59" s="2866"/>
      <c r="W59" s="2865">
        <f t="shared" si="231"/>
        <v>1983.43</v>
      </c>
      <c r="X59" s="2866">
        <v>1983.43</v>
      </c>
      <c r="Y59" s="2866"/>
      <c r="Z59" s="2865">
        <f t="shared" si="233"/>
        <v>1961.9290000000001</v>
      </c>
      <c r="AA59" s="2866">
        <v>1961.9290000000001</v>
      </c>
      <c r="AB59" s="2866"/>
      <c r="AC59" s="2865">
        <f t="shared" si="267"/>
        <v>5883.2489999999998</v>
      </c>
      <c r="AD59" s="2865">
        <f t="shared" si="333"/>
        <v>5883.2489999999998</v>
      </c>
      <c r="AE59" s="2865">
        <f t="shared" si="333"/>
        <v>0</v>
      </c>
      <c r="AF59" s="2846">
        <f t="shared" si="365"/>
        <v>13567.018628276113</v>
      </c>
      <c r="AG59" s="2846">
        <f t="shared" si="366"/>
        <v>13567.018628276113</v>
      </c>
      <c r="AH59" s="2846">
        <f t="shared" si="366"/>
        <v>0</v>
      </c>
      <c r="AI59" s="2867">
        <f t="shared" si="341"/>
        <v>10706.662</v>
      </c>
      <c r="AJ59" s="2867">
        <f t="shared" si="341"/>
        <v>10706.662</v>
      </c>
      <c r="AK59" s="2867">
        <f t="shared" si="341"/>
        <v>0</v>
      </c>
      <c r="AL59" s="2867">
        <f t="shared" si="284"/>
        <v>-2860.356628276113</v>
      </c>
      <c r="AM59" s="2867">
        <f t="shared" si="284"/>
        <v>-2860.356628276113</v>
      </c>
      <c r="AN59" s="2867">
        <f t="shared" si="284"/>
        <v>0</v>
      </c>
      <c r="AO59" s="2845">
        <f t="shared" si="370"/>
        <v>6783.5093141380567</v>
      </c>
      <c r="AP59" s="2845">
        <f t="shared" si="371"/>
        <v>6783.5093141380567</v>
      </c>
      <c r="AQ59" s="2845">
        <f t="shared" si="371"/>
        <v>0</v>
      </c>
      <c r="AR59" s="2865">
        <f t="shared" si="240"/>
        <v>1923.2180000000001</v>
      </c>
      <c r="AS59" s="2866">
        <v>1923.2180000000001</v>
      </c>
      <c r="AT59" s="2866"/>
      <c r="AU59" s="2865">
        <f t="shared" si="242"/>
        <v>1943.1659999999999</v>
      </c>
      <c r="AV59" s="2866">
        <v>1943.1659999999999</v>
      </c>
      <c r="AW59" s="2866"/>
      <c r="AX59" s="2865">
        <f t="shared" si="244"/>
        <v>1818.0409999999999</v>
      </c>
      <c r="AY59" s="2866">
        <v>1818.0409999999999</v>
      </c>
      <c r="AZ59" s="2866"/>
      <c r="BA59" s="2865">
        <f t="shared" si="274"/>
        <v>5684.4250000000002</v>
      </c>
      <c r="BB59" s="2865">
        <f t="shared" si="334"/>
        <v>5684.4250000000002</v>
      </c>
      <c r="BC59" s="2865">
        <f t="shared" si="334"/>
        <v>0</v>
      </c>
      <c r="BD59" s="2846">
        <f t="shared" si="372"/>
        <v>20350.52794241417</v>
      </c>
      <c r="BE59" s="2846">
        <f t="shared" si="358"/>
        <v>20350.52794241417</v>
      </c>
      <c r="BF59" s="2846">
        <f t="shared" si="358"/>
        <v>0</v>
      </c>
      <c r="BG59" s="2867">
        <f t="shared" si="344"/>
        <v>16391.087</v>
      </c>
      <c r="BH59" s="2867">
        <f t="shared" si="344"/>
        <v>16391.087</v>
      </c>
      <c r="BI59" s="2867">
        <f t="shared" si="344"/>
        <v>0</v>
      </c>
      <c r="BJ59" s="2867">
        <f t="shared" si="285"/>
        <v>-3959.4409424141704</v>
      </c>
      <c r="BK59" s="2867">
        <f t="shared" si="285"/>
        <v>-3959.4409424141704</v>
      </c>
      <c r="BL59" s="2867">
        <f t="shared" si="285"/>
        <v>0</v>
      </c>
      <c r="BM59" s="2845">
        <f t="shared" si="359"/>
        <v>6783.5093141380567</v>
      </c>
      <c r="BN59" s="2845">
        <f t="shared" si="360"/>
        <v>6783.5093141380567</v>
      </c>
      <c r="BO59" s="2845">
        <f t="shared" si="361"/>
        <v>0</v>
      </c>
      <c r="BP59" s="2865">
        <f t="shared" si="252"/>
        <v>1758.9739999999999</v>
      </c>
      <c r="BQ59" s="2866">
        <v>1758.9739999999999</v>
      </c>
      <c r="BR59" s="2866"/>
      <c r="BS59" s="2865">
        <f t="shared" si="254"/>
        <v>1907.47</v>
      </c>
      <c r="BT59" s="2866">
        <v>1907.47</v>
      </c>
      <c r="BU59" s="2866"/>
      <c r="BV59" s="2865">
        <f t="shared" si="256"/>
        <v>2251.7130000000002</v>
      </c>
      <c r="BW59" s="2866">
        <v>2251.7130000000002</v>
      </c>
      <c r="BX59" s="2866"/>
      <c r="BY59" s="2865">
        <f t="shared" si="281"/>
        <v>5918.1570000000002</v>
      </c>
      <c r="BZ59" s="2865">
        <f t="shared" si="335"/>
        <v>5918.1570000000002</v>
      </c>
      <c r="CA59" s="2865">
        <f t="shared" si="335"/>
        <v>0</v>
      </c>
      <c r="CB59" s="2846">
        <f t="shared" si="362"/>
        <v>27134.037256552227</v>
      </c>
      <c r="CC59" s="2846">
        <f>SUM(вода!CV23)</f>
        <v>27134.037256552227</v>
      </c>
      <c r="CD59" s="2846">
        <v>0</v>
      </c>
      <c r="CE59" s="2867">
        <f t="shared" si="345"/>
        <v>22309.243999999999</v>
      </c>
      <c r="CF59" s="2982">
        <f t="shared" si="346"/>
        <v>22309.243999999999</v>
      </c>
      <c r="CG59" s="2982">
        <f t="shared" si="346"/>
        <v>0</v>
      </c>
      <c r="CH59" s="2867">
        <f t="shared" si="286"/>
        <v>-4824.7932565522278</v>
      </c>
      <c r="CI59" s="2867">
        <f t="shared" si="286"/>
        <v>-4824.7932565522278</v>
      </c>
      <c r="CJ59" s="2867">
        <f t="shared" si="286"/>
        <v>0</v>
      </c>
      <c r="CK59" s="2863"/>
      <c r="CL59" s="4187">
        <f t="shared" si="182"/>
        <v>27134.037256552227</v>
      </c>
      <c r="CM59" s="4187">
        <f t="shared" si="183"/>
        <v>27134.037256552227</v>
      </c>
      <c r="CN59" s="4187">
        <f t="shared" si="184"/>
        <v>0</v>
      </c>
    </row>
    <row r="60" spans="1:92" ht="18.75" customHeight="1" x14ac:dyDescent="0.3">
      <c r="A60" s="2864" t="s">
        <v>5</v>
      </c>
      <c r="B60" s="2845">
        <f t="shared" si="373"/>
        <v>2022.8436592872513</v>
      </c>
      <c r="C60" s="2845">
        <f t="shared" si="374"/>
        <v>2022.8436592872513</v>
      </c>
      <c r="D60" s="2845">
        <f t="shared" si="375"/>
        <v>0</v>
      </c>
      <c r="E60" s="2865">
        <f t="shared" si="186"/>
        <v>460.24</v>
      </c>
      <c r="F60" s="2866">
        <v>460.24</v>
      </c>
      <c r="G60" s="2866"/>
      <c r="H60" s="2865">
        <f t="shared" si="187"/>
        <v>470.79200000000003</v>
      </c>
      <c r="I60" s="2866">
        <f>3.103+467.689</f>
        <v>470.79200000000003</v>
      </c>
      <c r="J60" s="2866"/>
      <c r="K60" s="2865">
        <f t="shared" si="188"/>
        <v>520.20000000000005</v>
      </c>
      <c r="L60" s="2866">
        <v>520.20000000000005</v>
      </c>
      <c r="M60" s="2866"/>
      <c r="N60" s="2865">
        <f t="shared" si="336"/>
        <v>1451.232</v>
      </c>
      <c r="O60" s="2865">
        <f t="shared" si="337"/>
        <v>1451.232</v>
      </c>
      <c r="P60" s="2865">
        <f t="shared" si="338"/>
        <v>0</v>
      </c>
      <c r="Q60" s="2845">
        <f t="shared" ref="Q60" si="376">SUM(R60:S60)</f>
        <v>2022.8436592872513</v>
      </c>
      <c r="R60" s="2845">
        <f t="shared" si="349"/>
        <v>2022.8436592872513</v>
      </c>
      <c r="S60" s="2845">
        <f t="shared" si="350"/>
        <v>0</v>
      </c>
      <c r="T60" s="2865">
        <f t="shared" si="229"/>
        <v>581.02</v>
      </c>
      <c r="U60" s="2866">
        <v>581.02</v>
      </c>
      <c r="V60" s="2866"/>
      <c r="W60" s="2865">
        <f t="shared" si="231"/>
        <v>597.55999999999995</v>
      </c>
      <c r="X60" s="2866">
        <v>597.55999999999995</v>
      </c>
      <c r="Y60" s="2866"/>
      <c r="Z60" s="2865">
        <f t="shared" si="233"/>
        <v>592.428</v>
      </c>
      <c r="AA60" s="2866">
        <v>592.428</v>
      </c>
      <c r="AB60" s="2866"/>
      <c r="AC60" s="2865">
        <f t="shared" si="267"/>
        <v>1771.0079999999998</v>
      </c>
      <c r="AD60" s="2865">
        <f t="shared" si="333"/>
        <v>1771.0079999999998</v>
      </c>
      <c r="AE60" s="2865">
        <f t="shared" si="333"/>
        <v>0</v>
      </c>
      <c r="AF60" s="2846">
        <f t="shared" si="365"/>
        <v>4045.6873185745026</v>
      </c>
      <c r="AG60" s="2846">
        <f t="shared" si="366"/>
        <v>4045.6873185745026</v>
      </c>
      <c r="AH60" s="2846">
        <f t="shared" si="366"/>
        <v>0</v>
      </c>
      <c r="AI60" s="2867">
        <f t="shared" si="341"/>
        <v>3222.24</v>
      </c>
      <c r="AJ60" s="2867">
        <f t="shared" si="341"/>
        <v>3222.24</v>
      </c>
      <c r="AK60" s="2867">
        <f t="shared" si="341"/>
        <v>0</v>
      </c>
      <c r="AL60" s="2867">
        <f t="shared" si="284"/>
        <v>-823.44731857450279</v>
      </c>
      <c r="AM60" s="2867">
        <f t="shared" si="284"/>
        <v>-823.44731857450279</v>
      </c>
      <c r="AN60" s="2867">
        <f t="shared" si="284"/>
        <v>0</v>
      </c>
      <c r="AO60" s="2845">
        <f t="shared" si="370"/>
        <v>2022.8436592872513</v>
      </c>
      <c r="AP60" s="2845">
        <f t="shared" si="371"/>
        <v>2022.8436592872513</v>
      </c>
      <c r="AQ60" s="2845">
        <f t="shared" si="371"/>
        <v>0</v>
      </c>
      <c r="AR60" s="2865">
        <f t="shared" si="240"/>
        <v>567.01900000000001</v>
      </c>
      <c r="AS60" s="2866">
        <v>567.01900000000001</v>
      </c>
      <c r="AT60" s="2866"/>
      <c r="AU60" s="2865">
        <f t="shared" si="242"/>
        <v>587.38400000000001</v>
      </c>
      <c r="AV60" s="2866">
        <v>587.38400000000001</v>
      </c>
      <c r="AW60" s="2866"/>
      <c r="AX60" s="2865">
        <f t="shared" si="244"/>
        <v>566.64499999999998</v>
      </c>
      <c r="AY60" s="2866">
        <v>566.64499999999998</v>
      </c>
      <c r="AZ60" s="2866"/>
      <c r="BA60" s="2865">
        <f t="shared" si="274"/>
        <v>1721.048</v>
      </c>
      <c r="BB60" s="2865">
        <f t="shared" si="334"/>
        <v>1721.048</v>
      </c>
      <c r="BC60" s="2865">
        <f t="shared" si="334"/>
        <v>0</v>
      </c>
      <c r="BD60" s="2846">
        <f t="shared" si="372"/>
        <v>6068.5309778617539</v>
      </c>
      <c r="BE60" s="2846">
        <f t="shared" si="358"/>
        <v>6068.5309778617539</v>
      </c>
      <c r="BF60" s="2846">
        <f t="shared" si="358"/>
        <v>0</v>
      </c>
      <c r="BG60" s="2867">
        <f t="shared" si="344"/>
        <v>4943.2879999999996</v>
      </c>
      <c r="BH60" s="2867">
        <f t="shared" si="344"/>
        <v>4943.2879999999996</v>
      </c>
      <c r="BI60" s="2867">
        <f t="shared" si="344"/>
        <v>0</v>
      </c>
      <c r="BJ60" s="2867">
        <f t="shared" si="285"/>
        <v>-1125.2429778617543</v>
      </c>
      <c r="BK60" s="2867">
        <f t="shared" si="285"/>
        <v>-1125.2429778617543</v>
      </c>
      <c r="BL60" s="2867">
        <f t="shared" si="285"/>
        <v>0</v>
      </c>
      <c r="BM60" s="2845">
        <f t="shared" si="359"/>
        <v>2022.8436592872513</v>
      </c>
      <c r="BN60" s="2845">
        <f t="shared" si="360"/>
        <v>2022.8436592872513</v>
      </c>
      <c r="BO60" s="2845">
        <f t="shared" si="361"/>
        <v>0</v>
      </c>
      <c r="BP60" s="2865">
        <f t="shared" si="252"/>
        <v>526.52800000000002</v>
      </c>
      <c r="BQ60" s="2866">
        <v>526.52800000000002</v>
      </c>
      <c r="BR60" s="2866"/>
      <c r="BS60" s="2865">
        <f t="shared" si="254"/>
        <v>609.28300000000002</v>
      </c>
      <c r="BT60" s="2866">
        <v>609.28300000000002</v>
      </c>
      <c r="BU60" s="2866"/>
      <c r="BV60" s="2865">
        <f t="shared" si="256"/>
        <v>513.49199999999996</v>
      </c>
      <c r="BW60" s="2866">
        <v>513.49199999999996</v>
      </c>
      <c r="BX60" s="2866"/>
      <c r="BY60" s="2865">
        <f t="shared" si="281"/>
        <v>1649.3030000000001</v>
      </c>
      <c r="BZ60" s="2865">
        <f t="shared" si="335"/>
        <v>1649.3030000000001</v>
      </c>
      <c r="CA60" s="2865">
        <f t="shared" si="335"/>
        <v>0</v>
      </c>
      <c r="CB60" s="2846">
        <f t="shared" si="362"/>
        <v>8091.3746371490051</v>
      </c>
      <c r="CC60" s="2846">
        <f>SUM(вода!CV24)</f>
        <v>8091.3746371490051</v>
      </c>
      <c r="CD60" s="2846">
        <v>0</v>
      </c>
      <c r="CE60" s="2867">
        <f t="shared" si="345"/>
        <v>6592.5909999999994</v>
      </c>
      <c r="CF60" s="2982">
        <f t="shared" si="346"/>
        <v>6592.5909999999994</v>
      </c>
      <c r="CG60" s="2982">
        <f t="shared" si="346"/>
        <v>0</v>
      </c>
      <c r="CH60" s="2867">
        <f t="shared" si="286"/>
        <v>-1498.7836371490057</v>
      </c>
      <c r="CI60" s="2867">
        <f t="shared" si="286"/>
        <v>-1498.7836371490057</v>
      </c>
      <c r="CJ60" s="2867">
        <f t="shared" si="286"/>
        <v>0</v>
      </c>
      <c r="CK60" s="2863"/>
      <c r="CL60" s="4187">
        <f t="shared" si="182"/>
        <v>8091.3746371490051</v>
      </c>
      <c r="CM60" s="4187">
        <f t="shared" si="183"/>
        <v>8091.3746371490051</v>
      </c>
      <c r="CN60" s="4187">
        <f t="shared" si="184"/>
        <v>0</v>
      </c>
    </row>
    <row r="61" spans="1:92" ht="18.75" customHeight="1" x14ac:dyDescent="0.3">
      <c r="A61" s="2869" t="str">
        <f>A36</f>
        <v>то же в %</v>
      </c>
      <c r="B61" s="2849">
        <f t="shared" ref="B61:D61" si="377">SUM(B60/B59)</f>
        <v>0.29820017421827377</v>
      </c>
      <c r="C61" s="2849">
        <f t="shared" si="377"/>
        <v>0.29820017421827377</v>
      </c>
      <c r="D61" s="2849" t="e">
        <f t="shared" si="377"/>
        <v>#DIV/0!</v>
      </c>
      <c r="E61" s="2877" t="e">
        <f t="shared" si="186"/>
        <v>#DIV/0!</v>
      </c>
      <c r="F61" s="2849">
        <f t="shared" ref="F61:S61" si="378">SUM(F60/F59)</f>
        <v>0.30012194247184565</v>
      </c>
      <c r="G61" s="2849" t="e">
        <f t="shared" si="378"/>
        <v>#DIV/0!</v>
      </c>
      <c r="H61" s="2877" t="e">
        <f t="shared" si="187"/>
        <v>#DIV/0!</v>
      </c>
      <c r="I61" s="2849">
        <f t="shared" ref="I61:J61" si="379">SUM(I60/I59)</f>
        <v>0.30133908712163154</v>
      </c>
      <c r="J61" s="2849" t="e">
        <f t="shared" si="379"/>
        <v>#DIV/0!</v>
      </c>
      <c r="K61" s="2877" t="e">
        <f t="shared" si="188"/>
        <v>#DIV/0!</v>
      </c>
      <c r="L61" s="2849">
        <f t="shared" ref="L61:M61" si="380">SUM(L60/L59)</f>
        <v>0.30111659730141183</v>
      </c>
      <c r="M61" s="2849" t="e">
        <f t="shared" si="380"/>
        <v>#DIV/0!</v>
      </c>
      <c r="N61" s="2849">
        <f t="shared" si="378"/>
        <v>0.3008724320310121</v>
      </c>
      <c r="O61" s="2849">
        <f t="shared" si="378"/>
        <v>0.3008724320310121</v>
      </c>
      <c r="P61" s="2849" t="e">
        <f t="shared" si="378"/>
        <v>#DIV/0!</v>
      </c>
      <c r="Q61" s="2849">
        <f t="shared" si="378"/>
        <v>0.29820017421827377</v>
      </c>
      <c r="R61" s="2849">
        <f t="shared" si="378"/>
        <v>0.29820017421827377</v>
      </c>
      <c r="S61" s="2849" t="e">
        <f t="shared" si="378"/>
        <v>#DIV/0!</v>
      </c>
      <c r="T61" s="2877" t="e">
        <f t="shared" si="229"/>
        <v>#DIV/0!</v>
      </c>
      <c r="U61" s="2849">
        <f t="shared" ref="U61:V61" si="381">SUM(U60/U59)</f>
        <v>0.29982093926899872</v>
      </c>
      <c r="V61" s="2849" t="e">
        <f t="shared" si="381"/>
        <v>#DIV/0!</v>
      </c>
      <c r="W61" s="2877" t="e">
        <f t="shared" si="231"/>
        <v>#DIV/0!</v>
      </c>
      <c r="X61" s="2849">
        <f t="shared" ref="X61:Y61" si="382">SUM(X60/X59)</f>
        <v>0.30127607225866299</v>
      </c>
      <c r="Y61" s="2849" t="e">
        <f t="shared" si="382"/>
        <v>#DIV/0!</v>
      </c>
      <c r="Z61" s="2877" t="e">
        <f t="shared" si="233"/>
        <v>#DIV/0!</v>
      </c>
      <c r="AA61" s="2849">
        <f t="shared" ref="AA61:AK61" si="383">SUM(AA60/AA59)</f>
        <v>0.30196199760541792</v>
      </c>
      <c r="AB61" s="2849" t="e">
        <f t="shared" si="383"/>
        <v>#DIV/0!</v>
      </c>
      <c r="AC61" s="2849">
        <f t="shared" si="383"/>
        <v>0.30102550478485612</v>
      </c>
      <c r="AD61" s="2849">
        <f t="shared" si="383"/>
        <v>0.30102550478485612</v>
      </c>
      <c r="AE61" s="2849" t="e">
        <f t="shared" si="383"/>
        <v>#DIV/0!</v>
      </c>
      <c r="AF61" s="2850">
        <f t="shared" si="383"/>
        <v>0.29820017421827377</v>
      </c>
      <c r="AG61" s="2850">
        <f t="shared" si="383"/>
        <v>0.29820017421827377</v>
      </c>
      <c r="AH61" s="2850" t="e">
        <f t="shared" si="383"/>
        <v>#DIV/0!</v>
      </c>
      <c r="AI61" s="2850">
        <f t="shared" si="383"/>
        <v>0.30095654462614024</v>
      </c>
      <c r="AJ61" s="2850">
        <f t="shared" si="383"/>
        <v>0.30095654462614024</v>
      </c>
      <c r="AK61" s="2850" t="e">
        <f t="shared" si="383"/>
        <v>#DIV/0!</v>
      </c>
      <c r="AL61" s="2870">
        <f t="shared" ref="AL61:AN76" si="384">SUM(AI61-AF61)</f>
        <v>2.7563704078664708E-3</v>
      </c>
      <c r="AM61" s="2870">
        <f t="shared" si="384"/>
        <v>2.7563704078664708E-3</v>
      </c>
      <c r="AN61" s="2870" t="e">
        <f t="shared" si="384"/>
        <v>#DIV/0!</v>
      </c>
      <c r="AO61" s="2849">
        <f t="shared" ref="AO61:AQ61" si="385">SUM(AO60/AO59)</f>
        <v>0.29820017421827377</v>
      </c>
      <c r="AP61" s="2849">
        <f t="shared" si="385"/>
        <v>0.29820017421827377</v>
      </c>
      <c r="AQ61" s="2849" t="e">
        <f t="shared" si="385"/>
        <v>#DIV/0!</v>
      </c>
      <c r="AR61" s="2877" t="e">
        <f t="shared" si="240"/>
        <v>#DIV/0!</v>
      </c>
      <c r="AS61" s="2849">
        <f t="shared" ref="AS61:AT61" si="386">SUM(AS60/AS59)</f>
        <v>0.29482825139947733</v>
      </c>
      <c r="AT61" s="2849" t="e">
        <f t="shared" si="386"/>
        <v>#DIV/0!</v>
      </c>
      <c r="AU61" s="2877" t="e">
        <f t="shared" si="242"/>
        <v>#DIV/0!</v>
      </c>
      <c r="AV61" s="2849">
        <f t="shared" ref="AV61:AW61" si="387">SUM(AV60/AV59)</f>
        <v>0.30228194606122177</v>
      </c>
      <c r="AW61" s="2849" t="e">
        <f t="shared" si="387"/>
        <v>#DIV/0!</v>
      </c>
      <c r="AX61" s="2877" t="e">
        <f t="shared" si="244"/>
        <v>#DIV/0!</v>
      </c>
      <c r="AY61" s="2849">
        <f t="shared" ref="AY61:BI61" si="388">SUM(AY60/AY59)</f>
        <v>0.31167888952999412</v>
      </c>
      <c r="AZ61" s="2849" t="e">
        <f t="shared" si="388"/>
        <v>#DIV/0!</v>
      </c>
      <c r="BA61" s="2849">
        <f t="shared" si="388"/>
        <v>0.30276553917062848</v>
      </c>
      <c r="BB61" s="2849">
        <f t="shared" si="388"/>
        <v>0.30276553917062848</v>
      </c>
      <c r="BC61" s="2849" t="e">
        <f t="shared" si="388"/>
        <v>#DIV/0!</v>
      </c>
      <c r="BD61" s="2850">
        <f t="shared" si="388"/>
        <v>0.29820017421827377</v>
      </c>
      <c r="BE61" s="2850">
        <f t="shared" si="388"/>
        <v>0.29820017421827377</v>
      </c>
      <c r="BF61" s="2850" t="e">
        <f t="shared" si="388"/>
        <v>#DIV/0!</v>
      </c>
      <c r="BG61" s="2850">
        <f t="shared" si="388"/>
        <v>0.30158390349584502</v>
      </c>
      <c r="BH61" s="2850">
        <f t="shared" si="388"/>
        <v>0.30158390349584502</v>
      </c>
      <c r="BI61" s="2850" t="e">
        <f t="shared" si="388"/>
        <v>#DIV/0!</v>
      </c>
      <c r="BJ61" s="2851">
        <f t="shared" ref="BJ61:BL61" si="389">SUM(BG61-BD61)</f>
        <v>3.3837292775712458E-3</v>
      </c>
      <c r="BK61" s="2851">
        <f t="shared" si="389"/>
        <v>3.3837292775712458E-3</v>
      </c>
      <c r="BL61" s="2851" t="e">
        <f t="shared" si="389"/>
        <v>#DIV/0!</v>
      </c>
      <c r="BM61" s="2849">
        <f t="shared" ref="BM61:BO61" si="390">SUM(BM60/BM59)</f>
        <v>0.29820017421827377</v>
      </c>
      <c r="BN61" s="2849">
        <f t="shared" si="390"/>
        <v>0.29820017421827377</v>
      </c>
      <c r="BO61" s="2849" t="e">
        <f t="shared" si="390"/>
        <v>#DIV/0!</v>
      </c>
      <c r="BP61" s="2877" t="e">
        <f t="shared" si="252"/>
        <v>#DIV/0!</v>
      </c>
      <c r="BQ61" s="2849">
        <f t="shared" ref="BQ61:BR61" si="391">SUM(BQ60/BQ59)</f>
        <v>0.29933813689116501</v>
      </c>
      <c r="BR61" s="2849" t="e">
        <f t="shared" si="391"/>
        <v>#DIV/0!</v>
      </c>
      <c r="BS61" s="2877" t="e">
        <f t="shared" si="254"/>
        <v>#DIV/0!</v>
      </c>
      <c r="BT61" s="2849">
        <f t="shared" ref="BT61:BU61" si="392">SUM(BT60/BT59)</f>
        <v>0.31941944041059622</v>
      </c>
      <c r="BU61" s="2849" t="e">
        <f t="shared" si="392"/>
        <v>#DIV/0!</v>
      </c>
      <c r="BV61" s="2877" t="e">
        <f t="shared" si="256"/>
        <v>#DIV/0!</v>
      </c>
      <c r="BW61" s="2849">
        <f t="shared" ref="BW61:CG61" si="393">SUM(BW60/BW59)</f>
        <v>0.22804504836984105</v>
      </c>
      <c r="BX61" s="2849" t="e">
        <f t="shared" si="393"/>
        <v>#DIV/0!</v>
      </c>
      <c r="BY61" s="2849">
        <f t="shared" si="393"/>
        <v>0.27868523934055822</v>
      </c>
      <c r="BZ61" s="2849">
        <f t="shared" si="393"/>
        <v>0.27868523934055822</v>
      </c>
      <c r="CA61" s="2849" t="e">
        <f t="shared" si="393"/>
        <v>#DIV/0!</v>
      </c>
      <c r="CB61" s="2850">
        <f t="shared" si="393"/>
        <v>0.29820017421827377</v>
      </c>
      <c r="CC61" s="2850">
        <f t="shared" si="393"/>
        <v>0.29820017421827377</v>
      </c>
      <c r="CD61" s="2850" t="e">
        <f t="shared" si="393"/>
        <v>#DIV/0!</v>
      </c>
      <c r="CE61" s="2850">
        <f t="shared" si="393"/>
        <v>0.29550938615400862</v>
      </c>
      <c r="CF61" s="2856">
        <f t="shared" si="393"/>
        <v>0.29550938615400862</v>
      </c>
      <c r="CG61" s="2856" t="e">
        <f t="shared" si="393"/>
        <v>#DIV/0!</v>
      </c>
      <c r="CH61" s="2851">
        <f t="shared" ref="CH61:CJ61" si="394">SUM(CE61-CB61)</f>
        <v>-2.6907880642651483E-3</v>
      </c>
      <c r="CI61" s="2851">
        <f t="shared" si="394"/>
        <v>-2.6907880642651483E-3</v>
      </c>
      <c r="CJ61" s="2851" t="e">
        <f t="shared" si="394"/>
        <v>#DIV/0!</v>
      </c>
      <c r="CK61" s="2863"/>
      <c r="CL61" s="4187">
        <f t="shared" si="182"/>
        <v>1.1928006968730951</v>
      </c>
      <c r="CM61" s="4187">
        <f t="shared" si="183"/>
        <v>1.1928006968730951</v>
      </c>
      <c r="CN61" s="4187" t="e">
        <f t="shared" si="184"/>
        <v>#DIV/0!</v>
      </c>
    </row>
    <row r="62" spans="1:92" ht="18.75" customHeight="1" x14ac:dyDescent="0.3">
      <c r="A62" s="2864" t="s">
        <v>3734</v>
      </c>
      <c r="B62" s="2845">
        <f>SUM(C62:D62)</f>
        <v>908.83258794325593</v>
      </c>
      <c r="C62" s="2845">
        <f>SUM(C63+C64+C66+C67+C68+C69)</f>
        <v>908.83258794325593</v>
      </c>
      <c r="D62" s="2845">
        <f t="shared" ref="D62" si="395">SUM(D63+D64+D66+D67+D68+D69)</f>
        <v>0</v>
      </c>
      <c r="E62" s="2865">
        <f>SUM(F62:G62)</f>
        <v>622.69999999999993</v>
      </c>
      <c r="F62" s="2843">
        <f>SUM(F63+F64+F66+F67+F68+F69)</f>
        <v>622.69999999999993</v>
      </c>
      <c r="G62" s="2843">
        <f>SUM(G63+G64+G66+G67+G68+G69)</f>
        <v>0</v>
      </c>
      <c r="H62" s="2865">
        <f t="shared" si="187"/>
        <v>531.68799999999999</v>
      </c>
      <c r="I62" s="2843">
        <f>SUM(I63+I64+I66+I67+I68+I69)</f>
        <v>531.68799999999999</v>
      </c>
      <c r="J62" s="2843">
        <f t="shared" ref="J62" si="396">SUM(J63+J64+J66+J67+J68+J69)</f>
        <v>0</v>
      </c>
      <c r="K62" s="2865">
        <f t="shared" si="188"/>
        <v>620.9</v>
      </c>
      <c r="L62" s="2843">
        <f>SUM(L63+L64+L66+L67+L68+L69)</f>
        <v>620.9</v>
      </c>
      <c r="M62" s="2843">
        <f t="shared" ref="M62" si="397">SUM(M63+M64+M66+M67+M68+M69)</f>
        <v>0</v>
      </c>
      <c r="N62" s="2865">
        <f t="shared" ref="N62:N98" si="398">SUM(O62:P62)</f>
        <v>1775.288</v>
      </c>
      <c r="O62" s="2865">
        <f t="shared" ref="O62:P97" si="399">SUM(F62+I62+L62)</f>
        <v>1775.288</v>
      </c>
      <c r="P62" s="2865">
        <f t="shared" si="399"/>
        <v>0</v>
      </c>
      <c r="Q62" s="2845">
        <f>SUM(R62:S62)</f>
        <v>908.83258794325593</v>
      </c>
      <c r="R62" s="2845">
        <f>SUM(R63+R64+R66+R67+R68+R69)</f>
        <v>908.83258794325593</v>
      </c>
      <c r="S62" s="2845">
        <f t="shared" ref="S62" si="400">SUM(S63+S64+S66+S67+S68+S69)</f>
        <v>0</v>
      </c>
      <c r="T62" s="2865">
        <f t="shared" si="229"/>
        <v>577.46500000000003</v>
      </c>
      <c r="U62" s="2843">
        <f>SUM(U63+U64+U66+U67+U68+U69)</f>
        <v>577.46500000000003</v>
      </c>
      <c r="V62" s="2843">
        <f t="shared" ref="V62" si="401">SUM(V63+V64+V66+V67+V68+V69)</f>
        <v>0</v>
      </c>
      <c r="W62" s="2865">
        <f t="shared" si="231"/>
        <v>603.24999999999989</v>
      </c>
      <c r="X62" s="2843">
        <f>SUM(X63+X64+X66+X67+X68+X69)</f>
        <v>603.24999999999989</v>
      </c>
      <c r="Y62" s="2843">
        <f t="shared" ref="Y62" si="402">SUM(Y63+Y64+Y66+Y67+Y68+Y69)</f>
        <v>0</v>
      </c>
      <c r="Z62" s="2865">
        <f t="shared" si="233"/>
        <v>596.43000000000006</v>
      </c>
      <c r="AA62" s="2843">
        <f>SUM(AA63+AA64+AA66+AA67+AA68+AA69)</f>
        <v>596.43000000000006</v>
      </c>
      <c r="AB62" s="2843">
        <f t="shared" ref="AB62" si="403">SUM(AB63+AB64+AB66+AB67+AB68+AB69)</f>
        <v>0</v>
      </c>
      <c r="AC62" s="2865">
        <f t="shared" ref="AC62:AC104" si="404">SUM(AD62:AE62)</f>
        <v>1777.145</v>
      </c>
      <c r="AD62" s="2865">
        <f t="shared" ref="AD62:AE97" si="405">SUM(U62+X62+AA62)</f>
        <v>1777.145</v>
      </c>
      <c r="AE62" s="2865">
        <f t="shared" si="405"/>
        <v>0</v>
      </c>
      <c r="AF62" s="2846">
        <f t="shared" ref="AF62:AF64" si="406">SUM(AG62:AH62)</f>
        <v>1817.6651758865119</v>
      </c>
      <c r="AG62" s="2846">
        <f t="shared" ref="AG62:AH64" si="407">SUM(C62+R62)</f>
        <v>1817.6651758865119</v>
      </c>
      <c r="AH62" s="2846">
        <f t="shared" si="407"/>
        <v>0</v>
      </c>
      <c r="AI62" s="2867">
        <f t="shared" ref="AI62:AK77" si="408">SUM(AC62+N62)</f>
        <v>3552.433</v>
      </c>
      <c r="AJ62" s="2867">
        <f t="shared" si="408"/>
        <v>3552.433</v>
      </c>
      <c r="AK62" s="2867">
        <f t="shared" si="408"/>
        <v>0</v>
      </c>
      <c r="AL62" s="2867">
        <f t="shared" si="384"/>
        <v>1734.7678241134881</v>
      </c>
      <c r="AM62" s="2867">
        <f t="shared" si="384"/>
        <v>1734.7678241134881</v>
      </c>
      <c r="AN62" s="2867">
        <f t="shared" si="384"/>
        <v>0</v>
      </c>
      <c r="AO62" s="2845">
        <f>SUM(AP62:AQ62)</f>
        <v>908.83258794325593</v>
      </c>
      <c r="AP62" s="2845">
        <f>SUM(AP63+AP64+AP66+AP67+AP68+AP69)</f>
        <v>908.83258794325593</v>
      </c>
      <c r="AQ62" s="2845">
        <f t="shared" ref="AQ62" si="409">SUM(AQ63+AQ64+AQ66+AQ67+AQ68+AQ69)</f>
        <v>0</v>
      </c>
      <c r="AR62" s="2865">
        <f t="shared" si="240"/>
        <v>617.41</v>
      </c>
      <c r="AS62" s="2843">
        <f>SUM(AS63+AS64+AS66+AS67+AS68+AS69)</f>
        <v>617.41</v>
      </c>
      <c r="AT62" s="2843">
        <f t="shared" ref="AT62" si="410">SUM(AT63+AT64+AT66+AT67+AT68+AT69)</f>
        <v>0</v>
      </c>
      <c r="AU62" s="2865">
        <f t="shared" si="242"/>
        <v>569.98800000000006</v>
      </c>
      <c r="AV62" s="2843">
        <f>SUM(AV63+AV64+AV66+AV67+AV68+AV69)</f>
        <v>569.98800000000006</v>
      </c>
      <c r="AW62" s="2843">
        <f t="shared" ref="AW62" si="411">SUM(AW63+AW64+AW66+AW67+AW68+AW69)</f>
        <v>0</v>
      </c>
      <c r="AX62" s="2865">
        <f t="shared" si="244"/>
        <v>519.03099999999995</v>
      </c>
      <c r="AY62" s="2843">
        <f>SUM(AY63+AY64+AY66+AY67+AY68+AY69)</f>
        <v>519.03099999999995</v>
      </c>
      <c r="AZ62" s="2843">
        <f t="shared" ref="AZ62" si="412">SUM(AZ63+AZ64+AZ66+AZ67+AZ68+AZ69)</f>
        <v>0</v>
      </c>
      <c r="BA62" s="2865">
        <f t="shared" ref="BA62:BA104" si="413">SUM(BB62:BC62)</f>
        <v>1706.4290000000001</v>
      </c>
      <c r="BB62" s="2865">
        <f t="shared" ref="BB62:BC97" si="414">SUM(AS62+AV62+AY62)</f>
        <v>1706.4290000000001</v>
      </c>
      <c r="BC62" s="2865">
        <f t="shared" si="414"/>
        <v>0</v>
      </c>
      <c r="BD62" s="2846">
        <f t="shared" ref="BD62" si="415">SUM(BE62:BF62)</f>
        <v>2726.4977638297678</v>
      </c>
      <c r="BE62" s="2846">
        <f t="shared" ref="BE62:BF62" si="416">SUM(AG62+AP62)</f>
        <v>2726.4977638297678</v>
      </c>
      <c r="BF62" s="2846">
        <f t="shared" si="416"/>
        <v>0</v>
      </c>
      <c r="BG62" s="2867">
        <f t="shared" ref="BG62:BI64" si="417">SUM(AI62+BA62)</f>
        <v>5258.8620000000001</v>
      </c>
      <c r="BH62" s="2867">
        <f t="shared" si="417"/>
        <v>5258.8620000000001</v>
      </c>
      <c r="BI62" s="2867">
        <f t="shared" si="417"/>
        <v>0</v>
      </c>
      <c r="BJ62" s="2867">
        <f t="shared" ref="BJ62:BL64" si="418">SUM(BG62-BD62)</f>
        <v>2532.3642361702323</v>
      </c>
      <c r="BK62" s="2867">
        <f t="shared" si="418"/>
        <v>2532.3642361702323</v>
      </c>
      <c r="BL62" s="2867">
        <f t="shared" si="418"/>
        <v>0</v>
      </c>
      <c r="BM62" s="2845">
        <f>SUM(BN62:BO62)</f>
        <v>908.83258794325593</v>
      </c>
      <c r="BN62" s="2845">
        <f>SUM(BN63+BN64+BN66+BN67+BN68+BN69)</f>
        <v>908.83258794325593</v>
      </c>
      <c r="BO62" s="2845">
        <f t="shared" ref="BO62" si="419">SUM(BO63+BO64+BO66+BO67+BO68+BO69)</f>
        <v>0</v>
      </c>
      <c r="BP62" s="2865">
        <f t="shared" si="252"/>
        <v>615.88599999999985</v>
      </c>
      <c r="BQ62" s="2843">
        <f>SUM(BQ63+BQ64+BQ66+BQ67+BQ68+BQ69)</f>
        <v>615.88599999999985</v>
      </c>
      <c r="BR62" s="2843">
        <f t="shared" ref="BR62" si="420">SUM(BR63+BR64+BR66+BR67+BR68+BR69)</f>
        <v>0</v>
      </c>
      <c r="BS62" s="2865">
        <f t="shared" si="254"/>
        <v>603.548</v>
      </c>
      <c r="BT62" s="2843">
        <f>SUM(BT63+BT64+BT66+BT67+BT68+BT69)</f>
        <v>603.548</v>
      </c>
      <c r="BU62" s="2843">
        <f t="shared" ref="BU62" si="421">SUM(BU63+BU64+BU66+BU67+BU68+BU69)</f>
        <v>0</v>
      </c>
      <c r="BV62" s="2865">
        <f t="shared" si="256"/>
        <v>616.40099999999995</v>
      </c>
      <c r="BW62" s="2843">
        <f>SUM(BW63+BW64+BW66+BW67+BW68+BW69)</f>
        <v>616.40099999999995</v>
      </c>
      <c r="BX62" s="2843">
        <f t="shared" ref="BX62" si="422">SUM(BX63+BX64+BX66+BX67+BX68+BX69)</f>
        <v>0</v>
      </c>
      <c r="BY62" s="2865">
        <f t="shared" ref="BY62:BY104" si="423">SUM(BZ62:CA62)</f>
        <v>1835.8349999999996</v>
      </c>
      <c r="BZ62" s="2865">
        <f t="shared" ref="BZ62:CA97" si="424">SUM(BQ62+BT62+BW62)</f>
        <v>1835.8349999999996</v>
      </c>
      <c r="CA62" s="2865">
        <f t="shared" si="424"/>
        <v>0</v>
      </c>
      <c r="CB62" s="2846">
        <f>SUM(CC62:CD62)</f>
        <v>3635.3303517730237</v>
      </c>
      <c r="CC62" s="2846">
        <f>SUM(CC63+CC64+CC66+CC67+CC68+CC69)</f>
        <v>3635.3303517730237</v>
      </c>
      <c r="CD62" s="2846">
        <f t="shared" ref="CD62" si="425">SUM(CD63+CD64+CD66+CD67+CD68+CD69)</f>
        <v>0</v>
      </c>
      <c r="CE62" s="2867">
        <f t="shared" ref="CE62:CG64" si="426">SUM(BY62+BG62)</f>
        <v>7094.6970000000001</v>
      </c>
      <c r="CF62" s="2982">
        <f t="shared" si="426"/>
        <v>7094.6970000000001</v>
      </c>
      <c r="CG62" s="2982">
        <f t="shared" si="426"/>
        <v>0</v>
      </c>
      <c r="CH62" s="2867">
        <f t="shared" ref="CH62:CJ64" si="427">SUM(CE62-CB62)</f>
        <v>3459.3666482269764</v>
      </c>
      <c r="CI62" s="2867">
        <f t="shared" si="427"/>
        <v>3459.3666482269764</v>
      </c>
      <c r="CJ62" s="2867">
        <f t="shared" si="427"/>
        <v>0</v>
      </c>
      <c r="CK62" s="2863"/>
      <c r="CL62" s="4187">
        <f t="shared" si="182"/>
        <v>3635.3303517730237</v>
      </c>
      <c r="CM62" s="4187">
        <f t="shared" si="183"/>
        <v>3635.3303517730237</v>
      </c>
      <c r="CN62" s="4187">
        <f t="shared" si="184"/>
        <v>0</v>
      </c>
    </row>
    <row r="63" spans="1:92" ht="18.75" customHeight="1" x14ac:dyDescent="0.3">
      <c r="A63" s="2869" t="s">
        <v>4</v>
      </c>
      <c r="B63" s="2853">
        <f t="shared" ref="B63" si="428">SUM(C63:D63)</f>
        <v>601.07291010779966</v>
      </c>
      <c r="C63" s="2853">
        <f t="shared" ref="C63:D63" si="429">SUM(CC63/4)</f>
        <v>601.07291010779966</v>
      </c>
      <c r="D63" s="2853">
        <f t="shared" si="429"/>
        <v>0</v>
      </c>
      <c r="E63" s="2875">
        <f t="shared" si="186"/>
        <v>158.47</v>
      </c>
      <c r="F63" s="2855">
        <v>158.47</v>
      </c>
      <c r="G63" s="2855"/>
      <c r="H63" s="2875">
        <f t="shared" si="187"/>
        <v>91.876000000000005</v>
      </c>
      <c r="I63" s="2855">
        <v>91.876000000000005</v>
      </c>
      <c r="J63" s="2855"/>
      <c r="K63" s="2875">
        <f t="shared" si="188"/>
        <v>159.99</v>
      </c>
      <c r="L63" s="2855">
        <v>159.99</v>
      </c>
      <c r="M63" s="2855"/>
      <c r="N63" s="2875">
        <f t="shared" si="398"/>
        <v>410.33600000000001</v>
      </c>
      <c r="O63" s="2875">
        <f t="shared" si="399"/>
        <v>410.33600000000001</v>
      </c>
      <c r="P63" s="2875">
        <f t="shared" si="399"/>
        <v>0</v>
      </c>
      <c r="Q63" s="2853">
        <f t="shared" ref="Q63:Q64" si="430">SUM(R63:S63)</f>
        <v>601.07291010779966</v>
      </c>
      <c r="R63" s="2853">
        <f t="shared" ref="R63:R64" si="431">SUM(C63)</f>
        <v>601.07291010779966</v>
      </c>
      <c r="S63" s="2853">
        <f t="shared" ref="S63:S64" si="432">SUM(D63)</f>
        <v>0</v>
      </c>
      <c r="T63" s="2875">
        <f t="shared" si="229"/>
        <v>140.18</v>
      </c>
      <c r="U63" s="2855">
        <v>140.18</v>
      </c>
      <c r="V63" s="2855"/>
      <c r="W63" s="2875">
        <f t="shared" si="231"/>
        <v>165.89</v>
      </c>
      <c r="X63" s="2855">
        <v>165.89</v>
      </c>
      <c r="Y63" s="2854"/>
      <c r="Z63" s="2875">
        <f t="shared" si="233"/>
        <v>165.77199999999999</v>
      </c>
      <c r="AA63" s="2855">
        <v>165.77199999999999</v>
      </c>
      <c r="AB63" s="2855"/>
      <c r="AC63" s="2875">
        <f t="shared" si="404"/>
        <v>471.84199999999998</v>
      </c>
      <c r="AD63" s="2875">
        <f t="shared" si="405"/>
        <v>471.84199999999998</v>
      </c>
      <c r="AE63" s="2875">
        <f t="shared" si="405"/>
        <v>0</v>
      </c>
      <c r="AF63" s="2856">
        <f t="shared" si="406"/>
        <v>1202.1458202155993</v>
      </c>
      <c r="AG63" s="2856">
        <f t="shared" si="407"/>
        <v>1202.1458202155993</v>
      </c>
      <c r="AH63" s="2856">
        <f t="shared" si="407"/>
        <v>0</v>
      </c>
      <c r="AI63" s="2870">
        <f t="shared" si="408"/>
        <v>882.178</v>
      </c>
      <c r="AJ63" s="2870">
        <f t="shared" si="408"/>
        <v>882.178</v>
      </c>
      <c r="AK63" s="2870">
        <f t="shared" si="408"/>
        <v>0</v>
      </c>
      <c r="AL63" s="2870">
        <f t="shared" si="384"/>
        <v>-319.96782021559932</v>
      </c>
      <c r="AM63" s="2870">
        <f t="shared" si="384"/>
        <v>-319.96782021559932</v>
      </c>
      <c r="AN63" s="2870">
        <f t="shared" si="384"/>
        <v>0</v>
      </c>
      <c r="AO63" s="2853">
        <f t="shared" ref="AO63:AO64" si="433">SUM(AP63:AQ63)</f>
        <v>601.07291010779966</v>
      </c>
      <c r="AP63" s="2853">
        <f t="shared" ref="AP63:AP64" si="434">SUM(CC63-AG63)/2</f>
        <v>601.07291010779966</v>
      </c>
      <c r="AQ63" s="2853">
        <f t="shared" ref="AQ63:AQ64" si="435">SUM(CD63-AH63)/2</f>
        <v>0</v>
      </c>
      <c r="AR63" s="2875">
        <f t="shared" si="240"/>
        <v>181.6</v>
      </c>
      <c r="AS63" s="2855">
        <v>181.6</v>
      </c>
      <c r="AT63" s="2855"/>
      <c r="AU63" s="2875">
        <f t="shared" si="242"/>
        <v>144.40899999999999</v>
      </c>
      <c r="AV63" s="2855">
        <v>144.40899999999999</v>
      </c>
      <c r="AW63" s="2855"/>
      <c r="AX63" s="2875">
        <f t="shared" si="244"/>
        <v>102</v>
      </c>
      <c r="AY63" s="2855">
        <v>102</v>
      </c>
      <c r="AZ63" s="2855"/>
      <c r="BA63" s="2875">
        <f t="shared" si="413"/>
        <v>428.00900000000001</v>
      </c>
      <c r="BB63" s="2875">
        <f t="shared" si="414"/>
        <v>428.00900000000001</v>
      </c>
      <c r="BC63" s="2875">
        <f t="shared" si="414"/>
        <v>0</v>
      </c>
      <c r="BD63" s="2856">
        <f t="shared" ref="BD63:BD70" si="436">SUM(BE63:BF63)</f>
        <v>1803.2187303233991</v>
      </c>
      <c r="BE63" s="2856">
        <f t="shared" ref="BE63:BF70" si="437">SUM(AG63+AP63)</f>
        <v>1803.2187303233991</v>
      </c>
      <c r="BF63" s="2856">
        <f t="shared" si="437"/>
        <v>0</v>
      </c>
      <c r="BG63" s="2870">
        <f t="shared" si="417"/>
        <v>1310.1869999999999</v>
      </c>
      <c r="BH63" s="2870">
        <f t="shared" si="417"/>
        <v>1310.1869999999999</v>
      </c>
      <c r="BI63" s="2870">
        <f t="shared" si="417"/>
        <v>0</v>
      </c>
      <c r="BJ63" s="2870">
        <f t="shared" si="418"/>
        <v>-493.03173032339919</v>
      </c>
      <c r="BK63" s="2870">
        <f t="shared" si="418"/>
        <v>-493.03173032339919</v>
      </c>
      <c r="BL63" s="2870">
        <f t="shared" si="418"/>
        <v>0</v>
      </c>
      <c r="BM63" s="2853">
        <f t="shared" ref="BM63:BM70" si="438">SUM(BN63:BO63)</f>
        <v>601.07291010779966</v>
      </c>
      <c r="BN63" s="2853">
        <f t="shared" ref="BN63:BN64" si="439">SUM(AP63)</f>
        <v>601.07291010779966</v>
      </c>
      <c r="BO63" s="2853">
        <f t="shared" ref="BO63:BO64" si="440">SUM(AQ63)</f>
        <v>0</v>
      </c>
      <c r="BP63" s="2875">
        <f t="shared" si="252"/>
        <v>169.04</v>
      </c>
      <c r="BQ63" s="2855">
        <v>169.04</v>
      </c>
      <c r="BR63" s="2855"/>
      <c r="BS63" s="2875">
        <f t="shared" si="254"/>
        <v>151.221</v>
      </c>
      <c r="BT63" s="2855">
        <v>151.221</v>
      </c>
      <c r="BU63" s="2855"/>
      <c r="BV63" s="2875">
        <f t="shared" si="256"/>
        <v>162.934</v>
      </c>
      <c r="BW63" s="2855">
        <v>162.934</v>
      </c>
      <c r="BX63" s="2855"/>
      <c r="BY63" s="2875">
        <f t="shared" si="423"/>
        <v>483.19499999999994</v>
      </c>
      <c r="BZ63" s="2875">
        <f t="shared" si="424"/>
        <v>483.19499999999994</v>
      </c>
      <c r="CA63" s="2875">
        <f t="shared" si="424"/>
        <v>0</v>
      </c>
      <c r="CB63" s="2856">
        <f t="shared" ref="CB63:CB98" si="441">SUM(CC63:CD63)</f>
        <v>2404.2916404311986</v>
      </c>
      <c r="CC63" s="2856">
        <f>SUM(вода!CV48)</f>
        <v>2404.2916404311986</v>
      </c>
      <c r="CD63" s="2856">
        <v>0</v>
      </c>
      <c r="CE63" s="2870">
        <f t="shared" si="426"/>
        <v>1793.3819999999998</v>
      </c>
      <c r="CF63" s="2991">
        <f t="shared" si="426"/>
        <v>1793.3819999999998</v>
      </c>
      <c r="CG63" s="2991">
        <f t="shared" si="426"/>
        <v>0</v>
      </c>
      <c r="CH63" s="2870">
        <f t="shared" si="427"/>
        <v>-610.9096404311988</v>
      </c>
      <c r="CI63" s="2870">
        <f t="shared" si="427"/>
        <v>-610.9096404311988</v>
      </c>
      <c r="CJ63" s="2870">
        <f t="shared" si="427"/>
        <v>0</v>
      </c>
      <c r="CK63" s="2863"/>
      <c r="CL63" s="4187">
        <f t="shared" si="182"/>
        <v>2404.2916404311986</v>
      </c>
      <c r="CM63" s="4187">
        <f t="shared" si="183"/>
        <v>2404.2916404311986</v>
      </c>
      <c r="CN63" s="4187">
        <f t="shared" si="184"/>
        <v>0</v>
      </c>
    </row>
    <row r="64" spans="1:92" ht="18.75" customHeight="1" x14ac:dyDescent="0.3">
      <c r="A64" s="2869" t="s">
        <v>5</v>
      </c>
      <c r="B64" s="2853">
        <f t="shared" ref="B64" si="442">SUM(C64:D64)</f>
        <v>180.91964481469441</v>
      </c>
      <c r="C64" s="2853">
        <f t="shared" ref="C64" si="443">SUM(CC64/4)</f>
        <v>180.91964481469441</v>
      </c>
      <c r="D64" s="2853">
        <f t="shared" ref="D64" si="444">SUM(CD64/4)</f>
        <v>0</v>
      </c>
      <c r="E64" s="2875">
        <f t="shared" si="186"/>
        <v>47.11</v>
      </c>
      <c r="F64" s="2855">
        <v>47.11</v>
      </c>
      <c r="G64" s="2855"/>
      <c r="H64" s="2875">
        <f t="shared" si="187"/>
        <v>27.74</v>
      </c>
      <c r="I64" s="2855">
        <f>0.177+27.563</f>
        <v>27.74</v>
      </c>
      <c r="J64" s="2855"/>
      <c r="K64" s="2875">
        <f t="shared" si="188"/>
        <v>48.29</v>
      </c>
      <c r="L64" s="2855">
        <v>48.29</v>
      </c>
      <c r="M64" s="2855"/>
      <c r="N64" s="2875">
        <f t="shared" si="398"/>
        <v>123.13999999999999</v>
      </c>
      <c r="O64" s="2875">
        <f t="shared" si="399"/>
        <v>123.13999999999999</v>
      </c>
      <c r="P64" s="2875">
        <f t="shared" si="399"/>
        <v>0</v>
      </c>
      <c r="Q64" s="2853">
        <f t="shared" si="430"/>
        <v>180.91964481469441</v>
      </c>
      <c r="R64" s="2853">
        <f t="shared" si="431"/>
        <v>180.91964481469441</v>
      </c>
      <c r="S64" s="2853">
        <f t="shared" si="432"/>
        <v>0</v>
      </c>
      <c r="T64" s="2875">
        <f t="shared" si="229"/>
        <v>42.32</v>
      </c>
      <c r="U64" s="2855">
        <v>42.32</v>
      </c>
      <c r="V64" s="2855"/>
      <c r="W64" s="2875">
        <f t="shared" si="231"/>
        <v>50.08</v>
      </c>
      <c r="X64" s="2855">
        <v>50.08</v>
      </c>
      <c r="Y64" s="2854"/>
      <c r="Z64" s="2875">
        <f t="shared" si="233"/>
        <v>50.042999999999999</v>
      </c>
      <c r="AA64" s="2855">
        <v>50.042999999999999</v>
      </c>
      <c r="AB64" s="2854"/>
      <c r="AC64" s="2875">
        <f t="shared" si="404"/>
        <v>142.44300000000001</v>
      </c>
      <c r="AD64" s="2875">
        <f t="shared" si="405"/>
        <v>142.44300000000001</v>
      </c>
      <c r="AE64" s="2875">
        <f t="shared" si="405"/>
        <v>0</v>
      </c>
      <c r="AF64" s="2856">
        <f t="shared" si="406"/>
        <v>361.83928962938882</v>
      </c>
      <c r="AG64" s="2856">
        <f t="shared" si="407"/>
        <v>361.83928962938882</v>
      </c>
      <c r="AH64" s="2856">
        <f t="shared" si="407"/>
        <v>0</v>
      </c>
      <c r="AI64" s="2870">
        <f t="shared" si="408"/>
        <v>265.58299999999997</v>
      </c>
      <c r="AJ64" s="2870">
        <f t="shared" si="408"/>
        <v>265.58299999999997</v>
      </c>
      <c r="AK64" s="2870">
        <f t="shared" si="408"/>
        <v>0</v>
      </c>
      <c r="AL64" s="2870">
        <f t="shared" si="384"/>
        <v>-96.256289629388846</v>
      </c>
      <c r="AM64" s="2870">
        <f t="shared" si="384"/>
        <v>-96.256289629388846</v>
      </c>
      <c r="AN64" s="2870">
        <f t="shared" si="384"/>
        <v>0</v>
      </c>
      <c r="AO64" s="2853">
        <f t="shared" si="433"/>
        <v>180.91964481469441</v>
      </c>
      <c r="AP64" s="2853">
        <f t="shared" si="434"/>
        <v>180.91964481469441</v>
      </c>
      <c r="AQ64" s="2853">
        <f t="shared" si="435"/>
        <v>0</v>
      </c>
      <c r="AR64" s="2875">
        <f t="shared" si="240"/>
        <v>54.08</v>
      </c>
      <c r="AS64" s="2855">
        <v>54.08</v>
      </c>
      <c r="AT64" s="2854"/>
      <c r="AU64" s="2875">
        <f t="shared" si="242"/>
        <v>42.811999999999998</v>
      </c>
      <c r="AV64" s="2855">
        <v>42.811999999999998</v>
      </c>
      <c r="AW64" s="2854"/>
      <c r="AX64" s="2875">
        <f t="shared" si="244"/>
        <v>30.803000000000001</v>
      </c>
      <c r="AY64" s="2855">
        <v>30.803000000000001</v>
      </c>
      <c r="AZ64" s="2854"/>
      <c r="BA64" s="2875">
        <f t="shared" si="413"/>
        <v>127.69499999999999</v>
      </c>
      <c r="BB64" s="2875">
        <f t="shared" si="414"/>
        <v>127.69499999999999</v>
      </c>
      <c r="BC64" s="2875">
        <f t="shared" si="414"/>
        <v>0</v>
      </c>
      <c r="BD64" s="2856">
        <f t="shared" si="436"/>
        <v>542.75893444408325</v>
      </c>
      <c r="BE64" s="2856">
        <f t="shared" si="437"/>
        <v>542.75893444408325</v>
      </c>
      <c r="BF64" s="2856">
        <f t="shared" si="437"/>
        <v>0</v>
      </c>
      <c r="BG64" s="2870">
        <f t="shared" si="417"/>
        <v>393.27799999999996</v>
      </c>
      <c r="BH64" s="2870">
        <f t="shared" si="417"/>
        <v>393.27799999999996</v>
      </c>
      <c r="BI64" s="2870">
        <f t="shared" si="417"/>
        <v>0</v>
      </c>
      <c r="BJ64" s="2870">
        <f t="shared" si="418"/>
        <v>-149.48093444408329</v>
      </c>
      <c r="BK64" s="2870">
        <f t="shared" si="418"/>
        <v>-149.48093444408329</v>
      </c>
      <c r="BL64" s="2870">
        <f t="shared" si="418"/>
        <v>0</v>
      </c>
      <c r="BM64" s="2853">
        <f t="shared" si="438"/>
        <v>180.91964481469441</v>
      </c>
      <c r="BN64" s="2853">
        <f t="shared" si="439"/>
        <v>180.91964481469441</v>
      </c>
      <c r="BO64" s="2853">
        <f t="shared" si="440"/>
        <v>0</v>
      </c>
      <c r="BP64" s="2875">
        <f t="shared" si="252"/>
        <v>51.03</v>
      </c>
      <c r="BQ64" s="2855">
        <v>51.03</v>
      </c>
      <c r="BR64" s="2854"/>
      <c r="BS64" s="2875">
        <f t="shared" si="254"/>
        <v>53.719000000000001</v>
      </c>
      <c r="BT64" s="2855">
        <v>53.719000000000001</v>
      </c>
      <c r="BU64" s="2854"/>
      <c r="BV64" s="2875">
        <f t="shared" si="256"/>
        <v>40.375</v>
      </c>
      <c r="BW64" s="2855">
        <v>40.375</v>
      </c>
      <c r="BX64" s="2855"/>
      <c r="BY64" s="2875">
        <f t="shared" si="423"/>
        <v>145.124</v>
      </c>
      <c r="BZ64" s="2875">
        <f t="shared" si="424"/>
        <v>145.124</v>
      </c>
      <c r="CA64" s="2875">
        <f t="shared" si="424"/>
        <v>0</v>
      </c>
      <c r="CB64" s="2856">
        <f t="shared" si="441"/>
        <v>723.67857925877763</v>
      </c>
      <c r="CC64" s="2856">
        <f>SUM(вода!CV49)</f>
        <v>723.67857925877763</v>
      </c>
      <c r="CD64" s="2856">
        <v>0</v>
      </c>
      <c r="CE64" s="2870">
        <f t="shared" si="426"/>
        <v>538.40199999999993</v>
      </c>
      <c r="CF64" s="2991">
        <f t="shared" si="426"/>
        <v>538.40199999999993</v>
      </c>
      <c r="CG64" s="2991">
        <f t="shared" si="426"/>
        <v>0</v>
      </c>
      <c r="CH64" s="2870">
        <f t="shared" si="427"/>
        <v>-185.2765792587777</v>
      </c>
      <c r="CI64" s="2870">
        <f t="shared" si="427"/>
        <v>-185.2765792587777</v>
      </c>
      <c r="CJ64" s="2870">
        <f t="shared" si="427"/>
        <v>0</v>
      </c>
      <c r="CK64" s="2863"/>
      <c r="CL64" s="4187">
        <f t="shared" si="182"/>
        <v>723.67857925877763</v>
      </c>
      <c r="CM64" s="4187">
        <f t="shared" si="183"/>
        <v>723.67857925877763</v>
      </c>
      <c r="CN64" s="4187">
        <f t="shared" si="184"/>
        <v>0</v>
      </c>
    </row>
    <row r="65" spans="1:92" ht="18.75" customHeight="1" x14ac:dyDescent="0.2">
      <c r="A65" s="2869" t="s">
        <v>310</v>
      </c>
      <c r="B65" s="2849">
        <f t="shared" ref="B65:AK65" si="445">SUM(B64/B63)</f>
        <v>0.30099450794122012</v>
      </c>
      <c r="C65" s="2849">
        <f t="shared" si="445"/>
        <v>0.30099450794122012</v>
      </c>
      <c r="D65" s="2849" t="e">
        <f t="shared" si="445"/>
        <v>#DIV/0!</v>
      </c>
      <c r="E65" s="2849">
        <f t="shared" si="445"/>
        <v>0.29728024231715783</v>
      </c>
      <c r="F65" s="2849">
        <f t="shared" si="445"/>
        <v>0.29728024231715783</v>
      </c>
      <c r="G65" s="2849" t="e">
        <f t="shared" si="445"/>
        <v>#DIV/0!</v>
      </c>
      <c r="H65" s="2849">
        <f t="shared" si="445"/>
        <v>0.30192868649048715</v>
      </c>
      <c r="I65" s="2849">
        <f t="shared" si="445"/>
        <v>0.30192868649048715</v>
      </c>
      <c r="J65" s="2849" t="e">
        <f t="shared" si="445"/>
        <v>#DIV/0!</v>
      </c>
      <c r="K65" s="2849">
        <f t="shared" si="445"/>
        <v>0.30183136446027875</v>
      </c>
      <c r="L65" s="2849">
        <f t="shared" si="445"/>
        <v>0.30183136446027875</v>
      </c>
      <c r="M65" s="2849" t="e">
        <f t="shared" si="445"/>
        <v>#DIV/0!</v>
      </c>
      <c r="N65" s="2849">
        <f t="shared" si="445"/>
        <v>0.30009553146689538</v>
      </c>
      <c r="O65" s="2849">
        <f t="shared" si="445"/>
        <v>0.30009553146689538</v>
      </c>
      <c r="P65" s="2849" t="e">
        <f t="shared" si="445"/>
        <v>#DIV/0!</v>
      </c>
      <c r="Q65" s="2849">
        <f t="shared" si="445"/>
        <v>0.30099450794122012</v>
      </c>
      <c r="R65" s="2849">
        <f t="shared" si="445"/>
        <v>0.30099450794122012</v>
      </c>
      <c r="S65" s="2849" t="e">
        <f t="shared" si="445"/>
        <v>#DIV/0!</v>
      </c>
      <c r="T65" s="2849">
        <f t="shared" si="445"/>
        <v>0.30189756027964043</v>
      </c>
      <c r="U65" s="2849">
        <f t="shared" si="445"/>
        <v>0.30189756027964043</v>
      </c>
      <c r="V65" s="2849" t="e">
        <f t="shared" si="445"/>
        <v>#DIV/0!</v>
      </c>
      <c r="W65" s="2849">
        <f t="shared" si="445"/>
        <v>0.30188679245283018</v>
      </c>
      <c r="X65" s="2849">
        <f t="shared" si="445"/>
        <v>0.30188679245283018</v>
      </c>
      <c r="Y65" s="2849" t="e">
        <f t="shared" si="445"/>
        <v>#DIV/0!</v>
      </c>
      <c r="Z65" s="2849">
        <f t="shared" si="445"/>
        <v>0.3018784837005043</v>
      </c>
      <c r="AA65" s="2849">
        <f t="shared" si="445"/>
        <v>0.3018784837005043</v>
      </c>
      <c r="AB65" s="2849" t="e">
        <f t="shared" si="445"/>
        <v>#DIV/0!</v>
      </c>
      <c r="AC65" s="2849">
        <f t="shared" si="445"/>
        <v>0.30188707236744505</v>
      </c>
      <c r="AD65" s="2849">
        <f t="shared" si="445"/>
        <v>0.30188707236744505</v>
      </c>
      <c r="AE65" s="2849" t="e">
        <f t="shared" si="445"/>
        <v>#DIV/0!</v>
      </c>
      <c r="AF65" s="2850">
        <f t="shared" si="445"/>
        <v>0.30099450794122012</v>
      </c>
      <c r="AG65" s="2850">
        <f t="shared" si="445"/>
        <v>0.30099450794122012</v>
      </c>
      <c r="AH65" s="2850" t="e">
        <f t="shared" si="445"/>
        <v>#DIV/0!</v>
      </c>
      <c r="AI65" s="2850">
        <f t="shared" si="445"/>
        <v>0.30105375559127517</v>
      </c>
      <c r="AJ65" s="2850">
        <f t="shared" si="445"/>
        <v>0.30105375559127517</v>
      </c>
      <c r="AK65" s="2850" t="e">
        <f t="shared" si="445"/>
        <v>#DIV/0!</v>
      </c>
      <c r="AL65" s="2870">
        <f t="shared" si="384"/>
        <v>5.9247650055049839E-5</v>
      </c>
      <c r="AM65" s="2870">
        <f t="shared" si="384"/>
        <v>5.9247650055049839E-5</v>
      </c>
      <c r="AN65" s="2870" t="e">
        <f t="shared" si="384"/>
        <v>#DIV/0!</v>
      </c>
      <c r="AO65" s="2849">
        <f t="shared" ref="AO65:BI65" si="446">SUM(AO64/AO63)</f>
        <v>0.30099450794122012</v>
      </c>
      <c r="AP65" s="2849">
        <f t="shared" si="446"/>
        <v>0.30099450794122012</v>
      </c>
      <c r="AQ65" s="2849" t="e">
        <f t="shared" si="446"/>
        <v>#DIV/0!</v>
      </c>
      <c r="AR65" s="2849">
        <f t="shared" si="446"/>
        <v>0.29779735682819386</v>
      </c>
      <c r="AS65" s="2849">
        <f t="shared" si="446"/>
        <v>0.29779735682819386</v>
      </c>
      <c r="AT65" s="2849" t="e">
        <f t="shared" si="446"/>
        <v>#DIV/0!</v>
      </c>
      <c r="AU65" s="2849">
        <f t="shared" si="446"/>
        <v>0.29646351681681887</v>
      </c>
      <c r="AV65" s="2849">
        <f t="shared" si="446"/>
        <v>0.29646351681681887</v>
      </c>
      <c r="AW65" s="2849" t="e">
        <f t="shared" si="446"/>
        <v>#DIV/0!</v>
      </c>
      <c r="AX65" s="2849">
        <f t="shared" si="446"/>
        <v>0.30199019607843136</v>
      </c>
      <c r="AY65" s="2849">
        <f t="shared" si="446"/>
        <v>0.30199019607843136</v>
      </c>
      <c r="AZ65" s="2849" t="e">
        <f t="shared" si="446"/>
        <v>#DIV/0!</v>
      </c>
      <c r="BA65" s="2849">
        <f t="shared" si="446"/>
        <v>0.29834653009632972</v>
      </c>
      <c r="BB65" s="2849">
        <f t="shared" si="446"/>
        <v>0.29834653009632972</v>
      </c>
      <c r="BC65" s="2849" t="e">
        <f t="shared" si="446"/>
        <v>#DIV/0!</v>
      </c>
      <c r="BD65" s="2850">
        <f t="shared" si="446"/>
        <v>0.30099450794122012</v>
      </c>
      <c r="BE65" s="2850">
        <f t="shared" si="446"/>
        <v>0.30099450794122012</v>
      </c>
      <c r="BF65" s="2850" t="e">
        <f t="shared" si="446"/>
        <v>#DIV/0!</v>
      </c>
      <c r="BG65" s="2850">
        <f t="shared" si="446"/>
        <v>0.30016936513642711</v>
      </c>
      <c r="BH65" s="2850">
        <f t="shared" si="446"/>
        <v>0.30016936513642711</v>
      </c>
      <c r="BI65" s="2850" t="e">
        <f t="shared" si="446"/>
        <v>#DIV/0!</v>
      </c>
      <c r="BJ65" s="2851">
        <f t="shared" ref="BJ65:BL80" si="447">SUM(BG65-BD65)</f>
        <v>-8.2514280479301094E-4</v>
      </c>
      <c r="BK65" s="2851">
        <f t="shared" si="447"/>
        <v>-8.2514280479301094E-4</v>
      </c>
      <c r="BL65" s="2851" t="e">
        <f t="shared" si="447"/>
        <v>#DIV/0!</v>
      </c>
      <c r="BM65" s="2849">
        <f t="shared" ref="BM65:CG65" si="448">SUM(BM64/BM63)</f>
        <v>0.30099450794122012</v>
      </c>
      <c r="BN65" s="2849">
        <f t="shared" si="448"/>
        <v>0.30099450794122012</v>
      </c>
      <c r="BO65" s="2849" t="e">
        <f t="shared" si="448"/>
        <v>#DIV/0!</v>
      </c>
      <c r="BP65" s="2849">
        <f t="shared" si="448"/>
        <v>0.30188121154756276</v>
      </c>
      <c r="BQ65" s="2849">
        <f t="shared" si="448"/>
        <v>0.30188121154756276</v>
      </c>
      <c r="BR65" s="2849" t="e">
        <f t="shared" si="448"/>
        <v>#DIV/0!</v>
      </c>
      <c r="BS65" s="2849">
        <f t="shared" si="448"/>
        <v>0.3552350533325398</v>
      </c>
      <c r="BT65" s="2849">
        <f t="shared" si="448"/>
        <v>0.3552350533325398</v>
      </c>
      <c r="BU65" s="2849" t="e">
        <f t="shared" si="448"/>
        <v>#DIV/0!</v>
      </c>
      <c r="BV65" s="2849">
        <f t="shared" si="448"/>
        <v>0.24779972258705979</v>
      </c>
      <c r="BW65" s="2849">
        <f t="shared" si="448"/>
        <v>0.24779972258705979</v>
      </c>
      <c r="BX65" s="2849" t="e">
        <f t="shared" si="448"/>
        <v>#DIV/0!</v>
      </c>
      <c r="BY65" s="2849">
        <f t="shared" si="448"/>
        <v>0.30034251182234917</v>
      </c>
      <c r="BZ65" s="2849">
        <f t="shared" si="448"/>
        <v>0.30034251182234917</v>
      </c>
      <c r="CA65" s="2849" t="e">
        <f t="shared" si="448"/>
        <v>#DIV/0!</v>
      </c>
      <c r="CB65" s="2850">
        <f t="shared" si="448"/>
        <v>0.30099450794122012</v>
      </c>
      <c r="CC65" s="2850">
        <f t="shared" si="448"/>
        <v>0.30099450794122012</v>
      </c>
      <c r="CD65" s="2850" t="e">
        <f t="shared" si="448"/>
        <v>#DIV/0!</v>
      </c>
      <c r="CE65" s="2850">
        <f t="shared" si="448"/>
        <v>0.30021601644267643</v>
      </c>
      <c r="CF65" s="2856">
        <f t="shared" si="448"/>
        <v>0.30021601644267643</v>
      </c>
      <c r="CG65" s="2856" t="e">
        <f t="shared" si="448"/>
        <v>#DIV/0!</v>
      </c>
      <c r="CH65" s="2870">
        <f t="shared" ref="CH65:CJ80" si="449">SUM(CE65-CB65)</f>
        <v>-7.7849149854369859E-4</v>
      </c>
      <c r="CI65" s="2870">
        <f t="shared" si="449"/>
        <v>-7.7849149854369859E-4</v>
      </c>
      <c r="CJ65" s="2870" t="e">
        <f t="shared" si="449"/>
        <v>#DIV/0!</v>
      </c>
      <c r="CK65" s="2863"/>
      <c r="CL65" s="4187">
        <f t="shared" si="182"/>
        <v>1.2039780317648805</v>
      </c>
      <c r="CM65" s="4187">
        <f t="shared" si="183"/>
        <v>1.2039780317648805</v>
      </c>
      <c r="CN65" s="4187" t="e">
        <f t="shared" si="184"/>
        <v>#DIV/0!</v>
      </c>
    </row>
    <row r="66" spans="1:92" ht="18.75" customHeight="1" x14ac:dyDescent="0.3">
      <c r="A66" s="2869" t="s">
        <v>2</v>
      </c>
      <c r="B66" s="2853">
        <f t="shared" ref="B66:B69" si="450">SUM(C66:D66)</f>
        <v>0</v>
      </c>
      <c r="C66" s="2853">
        <f t="shared" ref="C66:D68" si="451">SUM(CC66/4)</f>
        <v>0</v>
      </c>
      <c r="D66" s="2853">
        <f t="shared" si="451"/>
        <v>0</v>
      </c>
      <c r="E66" s="2875">
        <f t="shared" si="186"/>
        <v>330.7</v>
      </c>
      <c r="F66" s="2855">
        <v>330.7</v>
      </c>
      <c r="G66" s="2855"/>
      <c r="H66" s="2875">
        <f t="shared" si="187"/>
        <v>330.702</v>
      </c>
      <c r="I66" s="2855">
        <v>330.702</v>
      </c>
      <c r="J66" s="2855"/>
      <c r="K66" s="2875">
        <f t="shared" si="188"/>
        <v>330.7</v>
      </c>
      <c r="L66" s="2855">
        <v>330.7</v>
      </c>
      <c r="M66" s="2855"/>
      <c r="N66" s="2875">
        <f t="shared" si="398"/>
        <v>992.10200000000009</v>
      </c>
      <c r="O66" s="2875">
        <f t="shared" si="399"/>
        <v>992.10200000000009</v>
      </c>
      <c r="P66" s="2875">
        <f t="shared" si="399"/>
        <v>0</v>
      </c>
      <c r="Q66" s="2853">
        <f t="shared" ref="Q66:Q88" si="452">SUM(R66:S66)</f>
        <v>0</v>
      </c>
      <c r="R66" s="2853">
        <f t="shared" ref="R66:R70" si="453">SUM(C66)</f>
        <v>0</v>
      </c>
      <c r="S66" s="2853">
        <f t="shared" ref="S66:S68" si="454">SUM(D66)</f>
        <v>0</v>
      </c>
      <c r="T66" s="2875">
        <f t="shared" si="229"/>
        <v>330.7</v>
      </c>
      <c r="U66" s="2855">
        <v>330.7</v>
      </c>
      <c r="V66" s="2855"/>
      <c r="W66" s="2875">
        <f t="shared" si="231"/>
        <v>330.7</v>
      </c>
      <c r="X66" s="2855">
        <v>330.7</v>
      </c>
      <c r="Y66" s="2855"/>
      <c r="Z66" s="2875">
        <f t="shared" si="233"/>
        <v>330.702</v>
      </c>
      <c r="AA66" s="2855">
        <v>330.702</v>
      </c>
      <c r="AB66" s="2855"/>
      <c r="AC66" s="2875">
        <f t="shared" si="404"/>
        <v>992.10199999999998</v>
      </c>
      <c r="AD66" s="2875">
        <f t="shared" si="405"/>
        <v>992.10199999999998</v>
      </c>
      <c r="AE66" s="2875">
        <f t="shared" si="405"/>
        <v>0</v>
      </c>
      <c r="AF66" s="2856">
        <f t="shared" ref="AF66:AF70" si="455">SUM(AG66:AH66)</f>
        <v>0</v>
      </c>
      <c r="AG66" s="2856">
        <f t="shared" ref="AG66:AH70" si="456">SUM(C66+R66)</f>
        <v>0</v>
      </c>
      <c r="AH66" s="2856">
        <f t="shared" si="456"/>
        <v>0</v>
      </c>
      <c r="AI66" s="2870">
        <f t="shared" si="408"/>
        <v>1984.2040000000002</v>
      </c>
      <c r="AJ66" s="2870">
        <f t="shared" si="408"/>
        <v>1984.2040000000002</v>
      </c>
      <c r="AK66" s="2870">
        <f t="shared" si="408"/>
        <v>0</v>
      </c>
      <c r="AL66" s="2870">
        <f t="shared" si="384"/>
        <v>1984.2040000000002</v>
      </c>
      <c r="AM66" s="2870">
        <f t="shared" si="384"/>
        <v>1984.2040000000002</v>
      </c>
      <c r="AN66" s="2870">
        <f t="shared" si="384"/>
        <v>0</v>
      </c>
      <c r="AO66" s="2853">
        <f t="shared" ref="AO66:AO68" si="457">SUM(AP66:AQ66)</f>
        <v>0</v>
      </c>
      <c r="AP66" s="2853">
        <f t="shared" ref="AP66:AQ68" si="458">SUM(CC66-AG66)/2</f>
        <v>0</v>
      </c>
      <c r="AQ66" s="2853">
        <f t="shared" si="458"/>
        <v>0</v>
      </c>
      <c r="AR66" s="2875">
        <f t="shared" si="240"/>
        <v>330.7</v>
      </c>
      <c r="AS66" s="2855">
        <v>330.7</v>
      </c>
      <c r="AT66" s="2855"/>
      <c r="AU66" s="2875">
        <f t="shared" si="242"/>
        <v>330.702</v>
      </c>
      <c r="AV66" s="2855">
        <v>330.702</v>
      </c>
      <c r="AW66" s="2855"/>
      <c r="AX66" s="2875">
        <f t="shared" si="244"/>
        <v>330.702</v>
      </c>
      <c r="AY66" s="2855">
        <v>330.702</v>
      </c>
      <c r="AZ66" s="2855"/>
      <c r="BA66" s="2875">
        <f t="shared" si="413"/>
        <v>992.10400000000004</v>
      </c>
      <c r="BB66" s="2875">
        <f t="shared" si="414"/>
        <v>992.10400000000004</v>
      </c>
      <c r="BC66" s="2875">
        <f t="shared" si="414"/>
        <v>0</v>
      </c>
      <c r="BD66" s="2856">
        <f t="shared" si="436"/>
        <v>0</v>
      </c>
      <c r="BE66" s="2856">
        <f t="shared" si="437"/>
        <v>0</v>
      </c>
      <c r="BF66" s="2856">
        <f t="shared" si="437"/>
        <v>0</v>
      </c>
      <c r="BG66" s="2870">
        <f t="shared" ref="BG66:BI98" si="459">SUM(AI66+BA66)</f>
        <v>2976.308</v>
      </c>
      <c r="BH66" s="2870">
        <f t="shared" si="459"/>
        <v>2976.308</v>
      </c>
      <c r="BI66" s="2870">
        <f t="shared" si="459"/>
        <v>0</v>
      </c>
      <c r="BJ66" s="2870">
        <f t="shared" si="447"/>
        <v>2976.308</v>
      </c>
      <c r="BK66" s="2870">
        <f t="shared" si="447"/>
        <v>2976.308</v>
      </c>
      <c r="BL66" s="2870">
        <f t="shared" si="447"/>
        <v>0</v>
      </c>
      <c r="BM66" s="2853">
        <f t="shared" si="438"/>
        <v>0</v>
      </c>
      <c r="BN66" s="2853">
        <f t="shared" ref="BN66:BO68" si="460">SUM(AP66)</f>
        <v>0</v>
      </c>
      <c r="BO66" s="2853">
        <f t="shared" si="460"/>
        <v>0</v>
      </c>
      <c r="BP66" s="2875">
        <f t="shared" si="252"/>
        <v>330.702</v>
      </c>
      <c r="BQ66" s="2855">
        <v>330.702</v>
      </c>
      <c r="BR66" s="2855"/>
      <c r="BS66" s="2875">
        <f t="shared" si="254"/>
        <v>330.702</v>
      </c>
      <c r="BT66" s="2855">
        <v>330.702</v>
      </c>
      <c r="BU66" s="2855"/>
      <c r="BV66" s="2875">
        <f t="shared" si="256"/>
        <v>330.71499999999997</v>
      </c>
      <c r="BW66" s="2855">
        <v>330.71499999999997</v>
      </c>
      <c r="BX66" s="2855"/>
      <c r="BY66" s="2875">
        <f t="shared" si="423"/>
        <v>992.11899999999991</v>
      </c>
      <c r="BZ66" s="2875">
        <f t="shared" si="424"/>
        <v>992.11899999999991</v>
      </c>
      <c r="CA66" s="2875">
        <f t="shared" si="424"/>
        <v>0</v>
      </c>
      <c r="CB66" s="2856">
        <f t="shared" si="441"/>
        <v>0</v>
      </c>
      <c r="CC66" s="2856">
        <f>SUM(вода!CV44)</f>
        <v>0</v>
      </c>
      <c r="CD66" s="2856">
        <v>0</v>
      </c>
      <c r="CE66" s="2870">
        <f t="shared" ref="CE66:CG98" si="461">SUM(BY66+BG66)</f>
        <v>3968.4269999999997</v>
      </c>
      <c r="CF66" s="2991">
        <f t="shared" si="461"/>
        <v>3968.4269999999997</v>
      </c>
      <c r="CG66" s="2991">
        <f t="shared" si="461"/>
        <v>0</v>
      </c>
      <c r="CH66" s="2870">
        <f t="shared" si="449"/>
        <v>3968.4269999999997</v>
      </c>
      <c r="CI66" s="2870">
        <f t="shared" si="449"/>
        <v>3968.4269999999997</v>
      </c>
      <c r="CJ66" s="2870">
        <f t="shared" si="449"/>
        <v>0</v>
      </c>
      <c r="CK66" s="2863"/>
      <c r="CL66" s="4187">
        <f t="shared" si="182"/>
        <v>0</v>
      </c>
      <c r="CM66" s="4187">
        <f t="shared" si="183"/>
        <v>0</v>
      </c>
      <c r="CN66" s="4187">
        <f t="shared" si="184"/>
        <v>0</v>
      </c>
    </row>
    <row r="67" spans="1:92" ht="18.75" customHeight="1" x14ac:dyDescent="0.3">
      <c r="A67" s="2869" t="s">
        <v>9</v>
      </c>
      <c r="B67" s="2853">
        <f t="shared" si="450"/>
        <v>0</v>
      </c>
      <c r="C67" s="2853">
        <f t="shared" si="451"/>
        <v>0</v>
      </c>
      <c r="D67" s="2853">
        <f t="shared" si="451"/>
        <v>0</v>
      </c>
      <c r="E67" s="2875">
        <f t="shared" si="186"/>
        <v>0</v>
      </c>
      <c r="F67" s="2855"/>
      <c r="G67" s="2855"/>
      <c r="H67" s="2875">
        <f t="shared" si="187"/>
        <v>0</v>
      </c>
      <c r="I67" s="2855"/>
      <c r="J67" s="2855"/>
      <c r="K67" s="2875">
        <f t="shared" si="188"/>
        <v>0</v>
      </c>
      <c r="L67" s="2855"/>
      <c r="M67" s="2855"/>
      <c r="N67" s="2875">
        <f t="shared" si="398"/>
        <v>0</v>
      </c>
      <c r="O67" s="2875">
        <f t="shared" si="399"/>
        <v>0</v>
      </c>
      <c r="P67" s="2875">
        <f t="shared" si="399"/>
        <v>0</v>
      </c>
      <c r="Q67" s="2853">
        <f t="shared" si="452"/>
        <v>0</v>
      </c>
      <c r="R67" s="2853">
        <f t="shared" si="453"/>
        <v>0</v>
      </c>
      <c r="S67" s="2853">
        <f t="shared" si="454"/>
        <v>0</v>
      </c>
      <c r="T67" s="2875">
        <f t="shared" si="229"/>
        <v>0.29499999999999998</v>
      </c>
      <c r="U67" s="2855">
        <v>0.29499999999999998</v>
      </c>
      <c r="V67" s="2855"/>
      <c r="W67" s="2875">
        <f t="shared" si="231"/>
        <v>0</v>
      </c>
      <c r="X67" s="2855"/>
      <c r="Y67" s="2855"/>
      <c r="Z67" s="2875">
        <f t="shared" si="233"/>
        <v>0</v>
      </c>
      <c r="AA67" s="2855"/>
      <c r="AB67" s="2855"/>
      <c r="AC67" s="2875">
        <f t="shared" si="404"/>
        <v>0.29499999999999998</v>
      </c>
      <c r="AD67" s="2875">
        <f t="shared" si="405"/>
        <v>0.29499999999999998</v>
      </c>
      <c r="AE67" s="2875">
        <f t="shared" si="405"/>
        <v>0</v>
      </c>
      <c r="AF67" s="2856">
        <f t="shared" si="455"/>
        <v>0</v>
      </c>
      <c r="AG67" s="2856">
        <f t="shared" si="456"/>
        <v>0</v>
      </c>
      <c r="AH67" s="2856">
        <f t="shared" si="456"/>
        <v>0</v>
      </c>
      <c r="AI67" s="2870">
        <f t="shared" si="408"/>
        <v>0.29499999999999998</v>
      </c>
      <c r="AJ67" s="2870">
        <f t="shared" si="408"/>
        <v>0.29499999999999998</v>
      </c>
      <c r="AK67" s="2870">
        <f t="shared" si="408"/>
        <v>0</v>
      </c>
      <c r="AL67" s="2870">
        <f t="shared" si="384"/>
        <v>0.29499999999999998</v>
      </c>
      <c r="AM67" s="2870">
        <f t="shared" si="384"/>
        <v>0.29499999999999998</v>
      </c>
      <c r="AN67" s="2870">
        <f t="shared" si="384"/>
        <v>0</v>
      </c>
      <c r="AO67" s="2853">
        <f t="shared" si="457"/>
        <v>0</v>
      </c>
      <c r="AP67" s="2853">
        <f t="shared" si="458"/>
        <v>0</v>
      </c>
      <c r="AQ67" s="2853">
        <f t="shared" si="458"/>
        <v>0</v>
      </c>
      <c r="AR67" s="2875">
        <f t="shared" si="240"/>
        <v>0</v>
      </c>
      <c r="AS67" s="2855"/>
      <c r="AT67" s="2855"/>
      <c r="AU67" s="2875">
        <f t="shared" si="242"/>
        <v>0</v>
      </c>
      <c r="AV67" s="2855"/>
      <c r="AW67" s="2855"/>
      <c r="AX67" s="2875">
        <f t="shared" si="244"/>
        <v>0</v>
      </c>
      <c r="AY67" s="2855"/>
      <c r="AZ67" s="2855"/>
      <c r="BA67" s="2875">
        <f t="shared" si="413"/>
        <v>0</v>
      </c>
      <c r="BB67" s="2875">
        <f t="shared" si="414"/>
        <v>0</v>
      </c>
      <c r="BC67" s="2875">
        <f t="shared" si="414"/>
        <v>0</v>
      </c>
      <c r="BD67" s="2856">
        <f t="shared" si="436"/>
        <v>0</v>
      </c>
      <c r="BE67" s="2856">
        <f t="shared" si="437"/>
        <v>0</v>
      </c>
      <c r="BF67" s="2856">
        <f t="shared" si="437"/>
        <v>0</v>
      </c>
      <c r="BG67" s="2870">
        <f t="shared" si="459"/>
        <v>0.29499999999999998</v>
      </c>
      <c r="BH67" s="2870">
        <f t="shared" si="459"/>
        <v>0.29499999999999998</v>
      </c>
      <c r="BI67" s="2870">
        <f t="shared" si="459"/>
        <v>0</v>
      </c>
      <c r="BJ67" s="2870">
        <f t="shared" si="447"/>
        <v>0.29499999999999998</v>
      </c>
      <c r="BK67" s="2870">
        <f t="shared" si="447"/>
        <v>0.29499999999999998</v>
      </c>
      <c r="BL67" s="2870">
        <f t="shared" si="447"/>
        <v>0</v>
      </c>
      <c r="BM67" s="2853">
        <f t="shared" si="438"/>
        <v>0</v>
      </c>
      <c r="BN67" s="2853">
        <f t="shared" si="460"/>
        <v>0</v>
      </c>
      <c r="BO67" s="2853">
        <f t="shared" si="460"/>
        <v>0</v>
      </c>
      <c r="BP67" s="2875">
        <f t="shared" si="252"/>
        <v>0</v>
      </c>
      <c r="BQ67" s="2855"/>
      <c r="BR67" s="2855"/>
      <c r="BS67" s="2875">
        <f t="shared" si="254"/>
        <v>0</v>
      </c>
      <c r="BT67" s="2855"/>
      <c r="BU67" s="2855"/>
      <c r="BV67" s="2875">
        <f t="shared" si="256"/>
        <v>0</v>
      </c>
      <c r="BW67" s="2855"/>
      <c r="BX67" s="2855"/>
      <c r="BY67" s="2875">
        <f t="shared" si="423"/>
        <v>0</v>
      </c>
      <c r="BZ67" s="2875">
        <f t="shared" si="424"/>
        <v>0</v>
      </c>
      <c r="CA67" s="2875">
        <f t="shared" si="424"/>
        <v>0</v>
      </c>
      <c r="CB67" s="2856">
        <f t="shared" si="441"/>
        <v>0</v>
      </c>
      <c r="CC67" s="2856">
        <f>SUM(вода!CV46)</f>
        <v>0</v>
      </c>
      <c r="CD67" s="2856">
        <v>0</v>
      </c>
      <c r="CE67" s="2870">
        <f t="shared" si="461"/>
        <v>0.29499999999999998</v>
      </c>
      <c r="CF67" s="2991">
        <f t="shared" si="461"/>
        <v>0.29499999999999998</v>
      </c>
      <c r="CG67" s="2991">
        <f t="shared" si="461"/>
        <v>0</v>
      </c>
      <c r="CH67" s="2870">
        <f t="shared" si="449"/>
        <v>0.29499999999999998</v>
      </c>
      <c r="CI67" s="2870">
        <f t="shared" si="449"/>
        <v>0.29499999999999998</v>
      </c>
      <c r="CJ67" s="2870">
        <f t="shared" si="449"/>
        <v>0</v>
      </c>
      <c r="CK67" s="2863"/>
      <c r="CL67" s="4187">
        <f t="shared" si="182"/>
        <v>0</v>
      </c>
      <c r="CM67" s="4187">
        <f t="shared" si="183"/>
        <v>0</v>
      </c>
      <c r="CN67" s="4187">
        <f t="shared" si="184"/>
        <v>0</v>
      </c>
    </row>
    <row r="68" spans="1:92" ht="18.75" customHeight="1" x14ac:dyDescent="0.3">
      <c r="A68" s="2869" t="s">
        <v>1</v>
      </c>
      <c r="B68" s="2853">
        <f t="shared" si="450"/>
        <v>102.38414539576195</v>
      </c>
      <c r="C68" s="2853">
        <f t="shared" si="451"/>
        <v>102.38414539576195</v>
      </c>
      <c r="D68" s="2853">
        <f t="shared" si="451"/>
        <v>0</v>
      </c>
      <c r="E68" s="2875">
        <f t="shared" si="186"/>
        <v>49.15</v>
      </c>
      <c r="F68" s="2855">
        <v>49.15</v>
      </c>
      <c r="G68" s="2855"/>
      <c r="H68" s="2875">
        <f t="shared" si="187"/>
        <v>45.857999999999997</v>
      </c>
      <c r="I68" s="2855">
        <v>45.857999999999997</v>
      </c>
      <c r="J68" s="2855"/>
      <c r="K68" s="2875">
        <f t="shared" si="188"/>
        <v>45.25</v>
      </c>
      <c r="L68" s="2855">
        <v>45.25</v>
      </c>
      <c r="M68" s="2855"/>
      <c r="N68" s="2875">
        <f t="shared" si="398"/>
        <v>140.25799999999998</v>
      </c>
      <c r="O68" s="2875">
        <f t="shared" si="399"/>
        <v>140.25799999999998</v>
      </c>
      <c r="P68" s="2875">
        <f t="shared" si="399"/>
        <v>0</v>
      </c>
      <c r="Q68" s="2853">
        <f t="shared" si="452"/>
        <v>102.38414539576195</v>
      </c>
      <c r="R68" s="2853">
        <f t="shared" si="453"/>
        <v>102.38414539576195</v>
      </c>
      <c r="S68" s="2853">
        <f t="shared" si="454"/>
        <v>0</v>
      </c>
      <c r="T68" s="2875">
        <f t="shared" si="229"/>
        <v>43.1</v>
      </c>
      <c r="U68" s="2855">
        <v>43.1</v>
      </c>
      <c r="V68" s="2855"/>
      <c r="W68" s="2875">
        <f t="shared" si="231"/>
        <v>45.05</v>
      </c>
      <c r="X68" s="2855">
        <v>45.05</v>
      </c>
      <c r="Y68" s="2855"/>
      <c r="Z68" s="2875">
        <f t="shared" si="233"/>
        <v>49.912999999999997</v>
      </c>
      <c r="AA68" s="2855">
        <v>49.912999999999997</v>
      </c>
      <c r="AB68" s="2855"/>
      <c r="AC68" s="2875">
        <f t="shared" si="404"/>
        <v>138.06299999999999</v>
      </c>
      <c r="AD68" s="2875">
        <f t="shared" si="405"/>
        <v>138.06299999999999</v>
      </c>
      <c r="AE68" s="2875">
        <f t="shared" si="405"/>
        <v>0</v>
      </c>
      <c r="AF68" s="2856">
        <f t="shared" si="455"/>
        <v>204.7682907915239</v>
      </c>
      <c r="AG68" s="2856">
        <f t="shared" si="456"/>
        <v>204.7682907915239</v>
      </c>
      <c r="AH68" s="2856">
        <f t="shared" si="456"/>
        <v>0</v>
      </c>
      <c r="AI68" s="2870">
        <f t="shared" si="408"/>
        <v>278.32099999999997</v>
      </c>
      <c r="AJ68" s="2870">
        <f t="shared" si="408"/>
        <v>278.32099999999997</v>
      </c>
      <c r="AK68" s="2870">
        <f t="shared" si="408"/>
        <v>0</v>
      </c>
      <c r="AL68" s="2870">
        <f t="shared" si="384"/>
        <v>73.552709208476074</v>
      </c>
      <c r="AM68" s="2870">
        <f t="shared" si="384"/>
        <v>73.552709208476074</v>
      </c>
      <c r="AN68" s="2870">
        <f t="shared" si="384"/>
        <v>0</v>
      </c>
      <c r="AO68" s="2853">
        <f t="shared" si="457"/>
        <v>102.38414539576195</v>
      </c>
      <c r="AP68" s="2853">
        <f t="shared" si="458"/>
        <v>102.38414539576195</v>
      </c>
      <c r="AQ68" s="2853">
        <f t="shared" si="458"/>
        <v>0</v>
      </c>
      <c r="AR68" s="2875">
        <f t="shared" si="240"/>
        <v>51.03</v>
      </c>
      <c r="AS68" s="2855">
        <v>51.03</v>
      </c>
      <c r="AT68" s="2855"/>
      <c r="AU68" s="2875">
        <f t="shared" si="242"/>
        <v>52.064999999999998</v>
      </c>
      <c r="AV68" s="2855">
        <v>52.064999999999998</v>
      </c>
      <c r="AW68" s="2855"/>
      <c r="AX68" s="2875">
        <f t="shared" si="244"/>
        <v>48.649000000000001</v>
      </c>
      <c r="AY68" s="2855">
        <v>48.649000000000001</v>
      </c>
      <c r="AZ68" s="2855"/>
      <c r="BA68" s="2875">
        <f t="shared" si="413"/>
        <v>151.744</v>
      </c>
      <c r="BB68" s="2875">
        <f t="shared" si="414"/>
        <v>151.744</v>
      </c>
      <c r="BC68" s="2875">
        <f t="shared" si="414"/>
        <v>0</v>
      </c>
      <c r="BD68" s="2856">
        <f t="shared" si="436"/>
        <v>307.15243618728584</v>
      </c>
      <c r="BE68" s="2856">
        <f t="shared" si="437"/>
        <v>307.15243618728584</v>
      </c>
      <c r="BF68" s="2856">
        <f t="shared" si="437"/>
        <v>0</v>
      </c>
      <c r="BG68" s="2870">
        <f t="shared" si="459"/>
        <v>430.06499999999994</v>
      </c>
      <c r="BH68" s="2870">
        <f t="shared" si="459"/>
        <v>430.06499999999994</v>
      </c>
      <c r="BI68" s="2870">
        <f t="shared" si="459"/>
        <v>0</v>
      </c>
      <c r="BJ68" s="2870">
        <f t="shared" si="447"/>
        <v>122.9125638127141</v>
      </c>
      <c r="BK68" s="2870">
        <f t="shared" si="447"/>
        <v>122.9125638127141</v>
      </c>
      <c r="BL68" s="2870">
        <f t="shared" si="447"/>
        <v>0</v>
      </c>
      <c r="BM68" s="2853">
        <f t="shared" si="438"/>
        <v>102.38414539576195</v>
      </c>
      <c r="BN68" s="2853">
        <f t="shared" si="460"/>
        <v>102.38414539576195</v>
      </c>
      <c r="BO68" s="2853">
        <f t="shared" si="460"/>
        <v>0</v>
      </c>
      <c r="BP68" s="2875">
        <f t="shared" si="252"/>
        <v>44.631</v>
      </c>
      <c r="BQ68" s="2855">
        <v>44.631</v>
      </c>
      <c r="BR68" s="2855"/>
      <c r="BS68" s="2875">
        <f t="shared" si="254"/>
        <v>43.521000000000001</v>
      </c>
      <c r="BT68" s="2855">
        <v>43.521000000000001</v>
      </c>
      <c r="BU68" s="2855"/>
      <c r="BV68" s="2875">
        <f t="shared" si="256"/>
        <v>50.244999999999997</v>
      </c>
      <c r="BW68" s="2855">
        <v>50.244999999999997</v>
      </c>
      <c r="BX68" s="2855"/>
      <c r="BY68" s="2875">
        <f t="shared" si="423"/>
        <v>138.39699999999999</v>
      </c>
      <c r="BZ68" s="2875">
        <f t="shared" si="424"/>
        <v>138.39699999999999</v>
      </c>
      <c r="CA68" s="2875">
        <f t="shared" si="424"/>
        <v>0</v>
      </c>
      <c r="CB68" s="2856">
        <f t="shared" si="441"/>
        <v>409.53658158304779</v>
      </c>
      <c r="CC68" s="2856">
        <f>SUM(вода!CV45)</f>
        <v>409.53658158304779</v>
      </c>
      <c r="CD68" s="2856">
        <v>0</v>
      </c>
      <c r="CE68" s="2870">
        <f t="shared" si="461"/>
        <v>568.46199999999999</v>
      </c>
      <c r="CF68" s="2991">
        <f t="shared" si="461"/>
        <v>568.46199999999999</v>
      </c>
      <c r="CG68" s="2991">
        <f t="shared" si="461"/>
        <v>0</v>
      </c>
      <c r="CH68" s="2870">
        <f t="shared" si="449"/>
        <v>158.9254184169522</v>
      </c>
      <c r="CI68" s="2870">
        <f t="shared" si="449"/>
        <v>158.9254184169522</v>
      </c>
      <c r="CJ68" s="2870">
        <f t="shared" si="449"/>
        <v>0</v>
      </c>
      <c r="CK68" s="2863"/>
      <c r="CL68" s="4187">
        <f t="shared" si="182"/>
        <v>409.53658158304779</v>
      </c>
      <c r="CM68" s="4187">
        <f t="shared" si="183"/>
        <v>409.53658158304779</v>
      </c>
      <c r="CN68" s="4187">
        <f t="shared" si="184"/>
        <v>0</v>
      </c>
    </row>
    <row r="69" spans="1:92" ht="18.75" customHeight="1" x14ac:dyDescent="0.3">
      <c r="A69" s="2869" t="s">
        <v>3731</v>
      </c>
      <c r="B69" s="2853">
        <f t="shared" si="450"/>
        <v>24.455887624999999</v>
      </c>
      <c r="C69" s="2853">
        <f>SUM(C70)</f>
        <v>24.455887624999999</v>
      </c>
      <c r="D69" s="2853">
        <f t="shared" ref="D69" si="462">SUM(D70)</f>
        <v>0</v>
      </c>
      <c r="E69" s="2875">
        <f>SUM(F69:G69)</f>
        <v>37.270000000000003</v>
      </c>
      <c r="F69" s="2854">
        <f>SUM(F70)</f>
        <v>37.270000000000003</v>
      </c>
      <c r="G69" s="2854">
        <f>SUM(G70)</f>
        <v>0</v>
      </c>
      <c r="H69" s="2875">
        <f t="shared" si="187"/>
        <v>35.512</v>
      </c>
      <c r="I69" s="2854">
        <f>SUM(I70)</f>
        <v>35.512</v>
      </c>
      <c r="J69" s="2854">
        <f>SUM(J70)</f>
        <v>0</v>
      </c>
      <c r="K69" s="2875">
        <f t="shared" si="188"/>
        <v>36.67</v>
      </c>
      <c r="L69" s="2854">
        <f>SUM(L70)</f>
        <v>36.67</v>
      </c>
      <c r="M69" s="2854">
        <f>SUM(M70)</f>
        <v>0</v>
      </c>
      <c r="N69" s="2875">
        <f t="shared" si="398"/>
        <v>109.45200000000001</v>
      </c>
      <c r="O69" s="2875">
        <f t="shared" si="399"/>
        <v>109.45200000000001</v>
      </c>
      <c r="P69" s="2875">
        <f t="shared" si="399"/>
        <v>0</v>
      </c>
      <c r="Q69" s="2853">
        <f t="shared" si="452"/>
        <v>24.455887624999999</v>
      </c>
      <c r="R69" s="2853">
        <f t="shared" ref="R69:S69" si="463">SUM(R70)</f>
        <v>24.455887624999999</v>
      </c>
      <c r="S69" s="2853">
        <f t="shared" si="463"/>
        <v>0</v>
      </c>
      <c r="T69" s="2875">
        <f t="shared" si="229"/>
        <v>20.87</v>
      </c>
      <c r="U69" s="2854">
        <f>SUM(U70)</f>
        <v>20.87</v>
      </c>
      <c r="V69" s="2854">
        <f>SUM(V70)</f>
        <v>0</v>
      </c>
      <c r="W69" s="2875">
        <f t="shared" si="231"/>
        <v>11.53</v>
      </c>
      <c r="X69" s="2854">
        <f>SUM(X70)</f>
        <v>11.53</v>
      </c>
      <c r="Y69" s="2854">
        <f>SUM(Y70)</f>
        <v>0</v>
      </c>
      <c r="Z69" s="2875">
        <f t="shared" si="233"/>
        <v>0</v>
      </c>
      <c r="AA69" s="2854">
        <f>SUM(AA70)</f>
        <v>0</v>
      </c>
      <c r="AB69" s="2854">
        <f>SUM(AB70)</f>
        <v>0</v>
      </c>
      <c r="AC69" s="2875">
        <f t="shared" si="404"/>
        <v>32.4</v>
      </c>
      <c r="AD69" s="2875">
        <f t="shared" si="405"/>
        <v>32.4</v>
      </c>
      <c r="AE69" s="2875">
        <f t="shared" si="405"/>
        <v>0</v>
      </c>
      <c r="AF69" s="2856">
        <f t="shared" si="455"/>
        <v>48.911775249999998</v>
      </c>
      <c r="AG69" s="2856">
        <f t="shared" si="456"/>
        <v>48.911775249999998</v>
      </c>
      <c r="AH69" s="2856">
        <f t="shared" si="456"/>
        <v>0</v>
      </c>
      <c r="AI69" s="2870">
        <f t="shared" si="408"/>
        <v>141.852</v>
      </c>
      <c r="AJ69" s="2870">
        <f t="shared" si="408"/>
        <v>141.852</v>
      </c>
      <c r="AK69" s="2870">
        <f t="shared" si="408"/>
        <v>0</v>
      </c>
      <c r="AL69" s="2870">
        <f t="shared" si="384"/>
        <v>92.940224749999999</v>
      </c>
      <c r="AM69" s="2870">
        <f t="shared" si="384"/>
        <v>92.940224749999999</v>
      </c>
      <c r="AN69" s="2870">
        <f t="shared" si="384"/>
        <v>0</v>
      </c>
      <c r="AO69" s="2853">
        <f t="shared" ref="AO69:AO70" si="464">SUM(AP69:AQ69)</f>
        <v>24.455887624999999</v>
      </c>
      <c r="AP69" s="2853">
        <f t="shared" ref="AP69:AQ69" si="465">SUM(AP70)</f>
        <v>24.455887624999999</v>
      </c>
      <c r="AQ69" s="2853">
        <f t="shared" si="465"/>
        <v>0</v>
      </c>
      <c r="AR69" s="2875">
        <f t="shared" si="240"/>
        <v>0</v>
      </c>
      <c r="AS69" s="2854">
        <f>SUM(AS70)</f>
        <v>0</v>
      </c>
      <c r="AT69" s="2854">
        <f>SUM(AT70)</f>
        <v>0</v>
      </c>
      <c r="AU69" s="2875">
        <f t="shared" si="242"/>
        <v>0</v>
      </c>
      <c r="AV69" s="2854">
        <f>SUM(AV70)</f>
        <v>0</v>
      </c>
      <c r="AW69" s="2854">
        <f>SUM(AW70)</f>
        <v>0</v>
      </c>
      <c r="AX69" s="2875">
        <f t="shared" si="244"/>
        <v>6.8769999999999998</v>
      </c>
      <c r="AY69" s="2854">
        <f>SUM(AY70)</f>
        <v>6.8769999999999998</v>
      </c>
      <c r="AZ69" s="2854">
        <f>SUM(AZ70)</f>
        <v>0</v>
      </c>
      <c r="BA69" s="2875">
        <f t="shared" si="413"/>
        <v>6.8769999999999998</v>
      </c>
      <c r="BB69" s="2875">
        <f t="shared" si="414"/>
        <v>6.8769999999999998</v>
      </c>
      <c r="BC69" s="2875">
        <f t="shared" si="414"/>
        <v>0</v>
      </c>
      <c r="BD69" s="2856">
        <f t="shared" si="436"/>
        <v>73.367662874999994</v>
      </c>
      <c r="BE69" s="2856">
        <f t="shared" si="437"/>
        <v>73.367662874999994</v>
      </c>
      <c r="BF69" s="2856">
        <f t="shared" si="437"/>
        <v>0</v>
      </c>
      <c r="BG69" s="2870">
        <f t="shared" si="459"/>
        <v>148.72900000000001</v>
      </c>
      <c r="BH69" s="2870">
        <f t="shared" si="459"/>
        <v>148.72900000000001</v>
      </c>
      <c r="BI69" s="2870">
        <f t="shared" si="459"/>
        <v>0</v>
      </c>
      <c r="BJ69" s="2870">
        <f t="shared" si="447"/>
        <v>75.36133712500002</v>
      </c>
      <c r="BK69" s="2870">
        <f t="shared" si="447"/>
        <v>75.36133712500002</v>
      </c>
      <c r="BL69" s="2870">
        <f t="shared" si="447"/>
        <v>0</v>
      </c>
      <c r="BM69" s="2853">
        <f t="shared" si="438"/>
        <v>24.455887624999999</v>
      </c>
      <c r="BN69" s="2853">
        <f t="shared" ref="BN69:BO69" si="466">SUM(BN70)</f>
        <v>24.455887624999999</v>
      </c>
      <c r="BO69" s="2853">
        <f t="shared" si="466"/>
        <v>0</v>
      </c>
      <c r="BP69" s="2875">
        <f t="shared" si="252"/>
        <v>20.483000000000001</v>
      </c>
      <c r="BQ69" s="2854">
        <f>SUM(BQ70)</f>
        <v>20.483000000000001</v>
      </c>
      <c r="BR69" s="2854">
        <f>SUM(BR70)</f>
        <v>0</v>
      </c>
      <c r="BS69" s="2875">
        <f t="shared" si="254"/>
        <v>24.385000000000002</v>
      </c>
      <c r="BT69" s="2854">
        <f>SUM(BT70)</f>
        <v>24.385000000000002</v>
      </c>
      <c r="BU69" s="2854">
        <f>SUM(BU70)</f>
        <v>0</v>
      </c>
      <c r="BV69" s="2875">
        <f t="shared" si="256"/>
        <v>32.131999999999998</v>
      </c>
      <c r="BW69" s="2854">
        <f>SUM(BW70)</f>
        <v>32.131999999999998</v>
      </c>
      <c r="BX69" s="2854">
        <f>SUM(BX70)</f>
        <v>0</v>
      </c>
      <c r="BY69" s="2875">
        <f t="shared" si="423"/>
        <v>77</v>
      </c>
      <c r="BZ69" s="2875">
        <f t="shared" si="424"/>
        <v>77</v>
      </c>
      <c r="CA69" s="2875">
        <f t="shared" si="424"/>
        <v>0</v>
      </c>
      <c r="CB69" s="2856">
        <f t="shared" si="441"/>
        <v>97.823550499999996</v>
      </c>
      <c r="CC69" s="2856">
        <f t="shared" ref="CC69:CD69" si="467">SUM(CC70)</f>
        <v>97.823550499999996</v>
      </c>
      <c r="CD69" s="2856">
        <f t="shared" si="467"/>
        <v>0</v>
      </c>
      <c r="CE69" s="2870">
        <f t="shared" si="461"/>
        <v>225.72900000000001</v>
      </c>
      <c r="CF69" s="2991">
        <f t="shared" si="461"/>
        <v>225.72900000000001</v>
      </c>
      <c r="CG69" s="2991">
        <f t="shared" si="461"/>
        <v>0</v>
      </c>
      <c r="CH69" s="2870">
        <f t="shared" si="449"/>
        <v>127.90544950000002</v>
      </c>
      <c r="CI69" s="2870">
        <f t="shared" si="449"/>
        <v>127.90544950000002</v>
      </c>
      <c r="CJ69" s="2870">
        <f t="shared" si="449"/>
        <v>0</v>
      </c>
      <c r="CK69" s="2863"/>
      <c r="CL69" s="4187">
        <f t="shared" si="182"/>
        <v>97.823550499999996</v>
      </c>
      <c r="CM69" s="4187">
        <f t="shared" si="183"/>
        <v>97.823550499999996</v>
      </c>
      <c r="CN69" s="4187">
        <f t="shared" si="184"/>
        <v>0</v>
      </c>
    </row>
    <row r="70" spans="1:92" ht="18.75" customHeight="1" x14ac:dyDescent="0.3">
      <c r="A70" s="2869" t="s">
        <v>3963</v>
      </c>
      <c r="B70" s="2853">
        <f t="shared" ref="B70:B72" si="468">SUM(C70:D70)</f>
        <v>24.455887624999999</v>
      </c>
      <c r="C70" s="2853">
        <f t="shared" ref="C70" si="469">SUM(CC70/4)</f>
        <v>24.455887624999999</v>
      </c>
      <c r="D70" s="2853">
        <f t="shared" ref="D70" si="470">SUM(CD70/4)</f>
        <v>0</v>
      </c>
      <c r="E70" s="2875">
        <f t="shared" si="186"/>
        <v>37.270000000000003</v>
      </c>
      <c r="F70" s="2855">
        <v>37.270000000000003</v>
      </c>
      <c r="G70" s="2855"/>
      <c r="H70" s="2875">
        <f t="shared" si="187"/>
        <v>35.512</v>
      </c>
      <c r="I70" s="2855">
        <v>35.512</v>
      </c>
      <c r="J70" s="2855"/>
      <c r="K70" s="2875">
        <f t="shared" si="188"/>
        <v>36.67</v>
      </c>
      <c r="L70" s="2855">
        <v>36.67</v>
      </c>
      <c r="M70" s="2855"/>
      <c r="N70" s="2875">
        <f t="shared" si="398"/>
        <v>109.45200000000001</v>
      </c>
      <c r="O70" s="2875">
        <f t="shared" si="399"/>
        <v>109.45200000000001</v>
      </c>
      <c r="P70" s="2875">
        <f t="shared" si="399"/>
        <v>0</v>
      </c>
      <c r="Q70" s="2853">
        <f t="shared" si="452"/>
        <v>24.455887624999999</v>
      </c>
      <c r="R70" s="2853">
        <f t="shared" si="453"/>
        <v>24.455887624999999</v>
      </c>
      <c r="S70" s="2853">
        <f t="shared" ref="S70" si="471">SUM(CS70/4)</f>
        <v>0</v>
      </c>
      <c r="T70" s="2875">
        <f t="shared" si="229"/>
        <v>20.87</v>
      </c>
      <c r="U70" s="2855">
        <v>20.87</v>
      </c>
      <c r="V70" s="2855"/>
      <c r="W70" s="2875">
        <f t="shared" si="231"/>
        <v>11.53</v>
      </c>
      <c r="X70" s="2855">
        <v>11.53</v>
      </c>
      <c r="Y70" s="2855"/>
      <c r="Z70" s="2875">
        <f t="shared" si="233"/>
        <v>0</v>
      </c>
      <c r="AA70" s="2855"/>
      <c r="AB70" s="2855"/>
      <c r="AC70" s="2875">
        <f t="shared" si="404"/>
        <v>32.4</v>
      </c>
      <c r="AD70" s="2875">
        <f t="shared" si="405"/>
        <v>32.4</v>
      </c>
      <c r="AE70" s="2875">
        <f t="shared" si="405"/>
        <v>0</v>
      </c>
      <c r="AF70" s="2856">
        <f t="shared" si="455"/>
        <v>48.911775249999998</v>
      </c>
      <c r="AG70" s="2856">
        <f t="shared" si="456"/>
        <v>48.911775249999998</v>
      </c>
      <c r="AH70" s="2856">
        <f t="shared" si="456"/>
        <v>0</v>
      </c>
      <c r="AI70" s="2870">
        <f t="shared" si="408"/>
        <v>141.852</v>
      </c>
      <c r="AJ70" s="2870">
        <f t="shared" si="408"/>
        <v>141.852</v>
      </c>
      <c r="AK70" s="2870">
        <f t="shared" si="408"/>
        <v>0</v>
      </c>
      <c r="AL70" s="2870">
        <f t="shared" si="384"/>
        <v>92.940224749999999</v>
      </c>
      <c r="AM70" s="2870">
        <f t="shared" si="384"/>
        <v>92.940224749999999</v>
      </c>
      <c r="AN70" s="2870">
        <f t="shared" si="384"/>
        <v>0</v>
      </c>
      <c r="AO70" s="2853">
        <f t="shared" si="464"/>
        <v>24.455887624999999</v>
      </c>
      <c r="AP70" s="2853">
        <f t="shared" ref="AP70:AQ70" si="472">SUM(CC70-AG70)/2</f>
        <v>24.455887624999999</v>
      </c>
      <c r="AQ70" s="2853">
        <f t="shared" si="472"/>
        <v>0</v>
      </c>
      <c r="AR70" s="2875">
        <f t="shared" si="240"/>
        <v>0</v>
      </c>
      <c r="AS70" s="2855"/>
      <c r="AT70" s="2855"/>
      <c r="AU70" s="2875">
        <f t="shared" si="242"/>
        <v>0</v>
      </c>
      <c r="AV70" s="2855"/>
      <c r="AW70" s="2855"/>
      <c r="AX70" s="2875">
        <f t="shared" si="244"/>
        <v>6.8769999999999998</v>
      </c>
      <c r="AY70" s="2855">
        <v>6.8769999999999998</v>
      </c>
      <c r="AZ70" s="2855"/>
      <c r="BA70" s="2875">
        <f t="shared" si="413"/>
        <v>6.8769999999999998</v>
      </c>
      <c r="BB70" s="2875">
        <f t="shared" si="414"/>
        <v>6.8769999999999998</v>
      </c>
      <c r="BC70" s="2875">
        <f t="shared" si="414"/>
        <v>0</v>
      </c>
      <c r="BD70" s="2856">
        <f t="shared" si="436"/>
        <v>73.367662874999994</v>
      </c>
      <c r="BE70" s="2856">
        <f t="shared" si="437"/>
        <v>73.367662874999994</v>
      </c>
      <c r="BF70" s="2856">
        <f t="shared" si="437"/>
        <v>0</v>
      </c>
      <c r="BG70" s="2870">
        <f t="shared" si="459"/>
        <v>148.72900000000001</v>
      </c>
      <c r="BH70" s="2870">
        <f t="shared" si="459"/>
        <v>148.72900000000001</v>
      </c>
      <c r="BI70" s="2870">
        <f t="shared" si="459"/>
        <v>0</v>
      </c>
      <c r="BJ70" s="2870">
        <f t="shared" si="447"/>
        <v>75.36133712500002</v>
      </c>
      <c r="BK70" s="2870">
        <f t="shared" si="447"/>
        <v>75.36133712500002</v>
      </c>
      <c r="BL70" s="2870">
        <f t="shared" si="447"/>
        <v>0</v>
      </c>
      <c r="BM70" s="2853">
        <f t="shared" si="438"/>
        <v>24.455887624999999</v>
      </c>
      <c r="BN70" s="2853">
        <f t="shared" ref="BN70:BO70" si="473">SUM(AP70)</f>
        <v>24.455887624999999</v>
      </c>
      <c r="BO70" s="2853">
        <f t="shared" si="473"/>
        <v>0</v>
      </c>
      <c r="BP70" s="2875">
        <f t="shared" si="252"/>
        <v>20.483000000000001</v>
      </c>
      <c r="BQ70" s="2855">
        <v>20.483000000000001</v>
      </c>
      <c r="BR70" s="2855"/>
      <c r="BS70" s="2875">
        <f t="shared" si="254"/>
        <v>24.385000000000002</v>
      </c>
      <c r="BT70" s="2855">
        <v>24.385000000000002</v>
      </c>
      <c r="BU70" s="2855"/>
      <c r="BV70" s="2875">
        <f t="shared" si="256"/>
        <v>32.131999999999998</v>
      </c>
      <c r="BW70" s="2855">
        <v>32.131999999999998</v>
      </c>
      <c r="BX70" s="2855"/>
      <c r="BY70" s="2875">
        <f t="shared" si="423"/>
        <v>77</v>
      </c>
      <c r="BZ70" s="2875">
        <f t="shared" si="424"/>
        <v>77</v>
      </c>
      <c r="CA70" s="2875">
        <f t="shared" si="424"/>
        <v>0</v>
      </c>
      <c r="CB70" s="2856">
        <f t="shared" si="441"/>
        <v>97.823550499999996</v>
      </c>
      <c r="CC70" s="2856">
        <f>SUM(вода!CV47)</f>
        <v>97.823550499999996</v>
      </c>
      <c r="CD70" s="2856">
        <v>0</v>
      </c>
      <c r="CE70" s="2870">
        <f t="shared" si="461"/>
        <v>225.72900000000001</v>
      </c>
      <c r="CF70" s="2991">
        <f t="shared" si="461"/>
        <v>225.72900000000001</v>
      </c>
      <c r="CG70" s="2991">
        <f t="shared" si="461"/>
        <v>0</v>
      </c>
      <c r="CH70" s="2870">
        <f t="shared" si="449"/>
        <v>127.90544950000002</v>
      </c>
      <c r="CI70" s="2870">
        <f t="shared" si="449"/>
        <v>127.90544950000002</v>
      </c>
      <c r="CJ70" s="2870">
        <f t="shared" si="449"/>
        <v>0</v>
      </c>
      <c r="CK70" s="2863"/>
      <c r="CL70" s="4187">
        <f t="shared" si="182"/>
        <v>97.823550499999996</v>
      </c>
      <c r="CM70" s="4187">
        <f t="shared" si="183"/>
        <v>97.823550499999996</v>
      </c>
      <c r="CN70" s="4187">
        <f t="shared" si="184"/>
        <v>0</v>
      </c>
    </row>
    <row r="71" spans="1:92" ht="18.75" customHeight="1" x14ac:dyDescent="0.3">
      <c r="A71" s="2871" t="s">
        <v>3731</v>
      </c>
      <c r="B71" s="2837">
        <f t="shared" si="468"/>
        <v>3215.6748161798409</v>
      </c>
      <c r="C71" s="2837">
        <f t="shared" ref="C71:D71" si="474">SUM(C72:C89)+C94</f>
        <v>3215.6748161798409</v>
      </c>
      <c r="D71" s="2837">
        <f t="shared" si="474"/>
        <v>0</v>
      </c>
      <c r="E71" s="2861">
        <f t="shared" si="186"/>
        <v>1070.9099999999999</v>
      </c>
      <c r="F71" s="2836">
        <f>SUM(F72:F89)+F94</f>
        <v>1070.9099999999999</v>
      </c>
      <c r="G71" s="2836">
        <f t="shared" ref="G71" si="475">SUM(G72:G89)+G94</f>
        <v>0</v>
      </c>
      <c r="H71" s="2861">
        <f t="shared" si="187"/>
        <v>1035.1339999999998</v>
      </c>
      <c r="I71" s="2836">
        <f t="shared" ref="I71:J71" si="476">SUM(I72:I89)+I94</f>
        <v>1035.1339999999998</v>
      </c>
      <c r="J71" s="2836">
        <f t="shared" si="476"/>
        <v>0</v>
      </c>
      <c r="K71" s="2861">
        <f t="shared" si="188"/>
        <v>1171.4690000000001</v>
      </c>
      <c r="L71" s="2836">
        <f t="shared" ref="L71:M71" si="477">SUM(L72:L89)+L94</f>
        <v>1171.4690000000001</v>
      </c>
      <c r="M71" s="2836">
        <f t="shared" si="477"/>
        <v>0</v>
      </c>
      <c r="N71" s="2861">
        <f t="shared" si="398"/>
        <v>3277.5129999999999</v>
      </c>
      <c r="O71" s="2861">
        <f t="shared" si="399"/>
        <v>3277.5129999999999</v>
      </c>
      <c r="P71" s="2861">
        <f t="shared" si="399"/>
        <v>0</v>
      </c>
      <c r="Q71" s="2837">
        <f t="shared" si="452"/>
        <v>3215.6748161798409</v>
      </c>
      <c r="R71" s="2837">
        <f t="shared" ref="R71:S71" si="478">SUM(R72:R89)+R94</f>
        <v>3215.6748161798409</v>
      </c>
      <c r="S71" s="2837">
        <f t="shared" si="478"/>
        <v>0</v>
      </c>
      <c r="T71" s="2861">
        <f t="shared" si="229"/>
        <v>874.04</v>
      </c>
      <c r="U71" s="2836">
        <f t="shared" ref="U71:V71" si="479">SUM(U72:U89)+U94</f>
        <v>874.04</v>
      </c>
      <c r="V71" s="2836">
        <f t="shared" si="479"/>
        <v>0</v>
      </c>
      <c r="W71" s="2861">
        <f t="shared" si="231"/>
        <v>611.90000000000009</v>
      </c>
      <c r="X71" s="2836">
        <f t="shared" ref="X71:Y71" si="480">SUM(X72:X89)+X94</f>
        <v>611.90000000000009</v>
      </c>
      <c r="Y71" s="2836">
        <f t="shared" si="480"/>
        <v>0</v>
      </c>
      <c r="Z71" s="2861">
        <f t="shared" si="233"/>
        <v>582.53599999999994</v>
      </c>
      <c r="AA71" s="2836">
        <f t="shared" ref="AA71:AB71" si="481">SUM(AA72:AA89)+AA94</f>
        <v>582.53599999999994</v>
      </c>
      <c r="AB71" s="2836">
        <f t="shared" si="481"/>
        <v>0</v>
      </c>
      <c r="AC71" s="2861">
        <f t="shared" si="404"/>
        <v>2068.4760000000001</v>
      </c>
      <c r="AD71" s="2861">
        <f t="shared" si="405"/>
        <v>2068.4760000000001</v>
      </c>
      <c r="AE71" s="2861">
        <f t="shared" si="405"/>
        <v>0</v>
      </c>
      <c r="AF71" s="2839">
        <f t="shared" ref="AF71:AF104" si="482">SUM(AG71:AH71)</f>
        <v>6431.3496323596819</v>
      </c>
      <c r="AG71" s="2839">
        <f t="shared" ref="AG71:AG104" si="483">SUM(C71+R71)</f>
        <v>6431.3496323596819</v>
      </c>
      <c r="AH71" s="2839">
        <f t="shared" ref="AH71:AH104" si="484">SUM(D71+S71)</f>
        <v>0</v>
      </c>
      <c r="AI71" s="2862">
        <f t="shared" si="408"/>
        <v>5345.9889999999996</v>
      </c>
      <c r="AJ71" s="2862">
        <f t="shared" si="408"/>
        <v>5345.9889999999996</v>
      </c>
      <c r="AK71" s="2862">
        <f t="shared" si="408"/>
        <v>0</v>
      </c>
      <c r="AL71" s="2862">
        <f t="shared" si="384"/>
        <v>-1085.3606323596823</v>
      </c>
      <c r="AM71" s="2862">
        <f t="shared" si="384"/>
        <v>-1085.3606323596823</v>
      </c>
      <c r="AN71" s="2862">
        <f t="shared" si="384"/>
        <v>0</v>
      </c>
      <c r="AO71" s="2837">
        <f t="shared" ref="AO71" si="485">SUM(AP71:AQ71)</f>
        <v>3215.6748161798409</v>
      </c>
      <c r="AP71" s="2837">
        <f t="shared" ref="AP71:AQ71" si="486">SUM(AP72:AP89)+AP94</f>
        <v>3215.6748161798409</v>
      </c>
      <c r="AQ71" s="2837">
        <f t="shared" si="486"/>
        <v>0</v>
      </c>
      <c r="AR71" s="2861">
        <f t="shared" si="240"/>
        <v>715.68300000000011</v>
      </c>
      <c r="AS71" s="2836">
        <f t="shared" ref="AS71:AT71" si="487">SUM(AS72:AS89)+AS94</f>
        <v>715.68300000000011</v>
      </c>
      <c r="AT71" s="2836">
        <f t="shared" si="487"/>
        <v>0</v>
      </c>
      <c r="AU71" s="2861">
        <f t="shared" si="242"/>
        <v>511.24099999999999</v>
      </c>
      <c r="AV71" s="2836">
        <f t="shared" ref="AV71:AW71" si="488">SUM(AV72:AV89)+AV94</f>
        <v>511.24099999999999</v>
      </c>
      <c r="AW71" s="2836">
        <f t="shared" si="488"/>
        <v>0</v>
      </c>
      <c r="AX71" s="2861">
        <f t="shared" si="244"/>
        <v>836.69399999999996</v>
      </c>
      <c r="AY71" s="2836">
        <f t="shared" ref="AY71:AZ71" si="489">SUM(AY72:AY89)+AY94</f>
        <v>836.69399999999996</v>
      </c>
      <c r="AZ71" s="2836">
        <f t="shared" si="489"/>
        <v>0</v>
      </c>
      <c r="BA71" s="2861">
        <f t="shared" si="413"/>
        <v>2063.6179999999999</v>
      </c>
      <c r="BB71" s="2861">
        <f t="shared" si="414"/>
        <v>2063.6179999999999</v>
      </c>
      <c r="BC71" s="2861">
        <f t="shared" si="414"/>
        <v>0</v>
      </c>
      <c r="BD71" s="2839">
        <f t="shared" ref="BD71:BD98" si="490">SUM(BE71:BF71)</f>
        <v>9647.0244485395233</v>
      </c>
      <c r="BE71" s="2839">
        <f t="shared" ref="BE71:BE98" si="491">SUM(AG71+AP71)</f>
        <v>9647.0244485395233</v>
      </c>
      <c r="BF71" s="2839">
        <f t="shared" ref="BF71:BF104" si="492">SUM(AH71+AQ71)</f>
        <v>0</v>
      </c>
      <c r="BG71" s="2862">
        <f t="shared" si="459"/>
        <v>7409.607</v>
      </c>
      <c r="BH71" s="2862">
        <f t="shared" si="459"/>
        <v>7409.607</v>
      </c>
      <c r="BI71" s="2862">
        <f t="shared" si="459"/>
        <v>0</v>
      </c>
      <c r="BJ71" s="2862">
        <f t="shared" si="447"/>
        <v>-2237.4174485395233</v>
      </c>
      <c r="BK71" s="2862">
        <f t="shared" si="447"/>
        <v>-2237.4174485395233</v>
      </c>
      <c r="BL71" s="2862">
        <f t="shared" si="447"/>
        <v>0</v>
      </c>
      <c r="BM71" s="2837">
        <f t="shared" ref="BM71" si="493">SUM(BN71:BO71)</f>
        <v>3215.6748161798409</v>
      </c>
      <c r="BN71" s="2837">
        <f t="shared" ref="BN71:BO71" si="494">SUM(BN72:BN89)+BN94</f>
        <v>3215.6748161798409</v>
      </c>
      <c r="BO71" s="2837">
        <f t="shared" si="494"/>
        <v>0</v>
      </c>
      <c r="BP71" s="2861">
        <f t="shared" si="252"/>
        <v>1010.7640000000001</v>
      </c>
      <c r="BQ71" s="2836">
        <f t="shared" ref="BQ71:BR71" si="495">SUM(BQ72:BQ89)+BQ94</f>
        <v>1010.7640000000001</v>
      </c>
      <c r="BR71" s="2836">
        <f t="shared" si="495"/>
        <v>0</v>
      </c>
      <c r="BS71" s="2861">
        <f t="shared" si="254"/>
        <v>828.0533999999999</v>
      </c>
      <c r="BT71" s="2836">
        <f t="shared" ref="BT71:BU71" si="496">SUM(BT72:BT89)+BT94</f>
        <v>828.0533999999999</v>
      </c>
      <c r="BU71" s="2836">
        <f t="shared" si="496"/>
        <v>0</v>
      </c>
      <c r="BV71" s="2861">
        <f t="shared" si="256"/>
        <v>1114.8369400000001</v>
      </c>
      <c r="BW71" s="2836">
        <f t="shared" ref="BW71:BX71" si="497">SUM(BW72:BW89)+BW94</f>
        <v>1114.8369400000001</v>
      </c>
      <c r="BX71" s="2836">
        <f t="shared" si="497"/>
        <v>0</v>
      </c>
      <c r="BY71" s="2861">
        <f t="shared" si="423"/>
        <v>2953.65434</v>
      </c>
      <c r="BZ71" s="2861">
        <f t="shared" si="424"/>
        <v>2953.65434</v>
      </c>
      <c r="CA71" s="2861">
        <f t="shared" si="424"/>
        <v>0</v>
      </c>
      <c r="CB71" s="2839">
        <f>SUM(CC71:CD71)</f>
        <v>12862.699062973488</v>
      </c>
      <c r="CC71" s="2839">
        <f>SUM(вода!CV26-вода!CV47)</f>
        <v>12862.699062973488</v>
      </c>
      <c r="CD71" s="2839">
        <v>0</v>
      </c>
      <c r="CE71" s="2862">
        <f t="shared" si="461"/>
        <v>10363.261340000001</v>
      </c>
      <c r="CF71" s="2981">
        <f t="shared" si="461"/>
        <v>10363.261340000001</v>
      </c>
      <c r="CG71" s="2981">
        <f t="shared" si="461"/>
        <v>0</v>
      </c>
      <c r="CH71" s="2862">
        <f t="shared" si="449"/>
        <v>-2499.4377229734873</v>
      </c>
      <c r="CI71" s="2862">
        <f t="shared" si="449"/>
        <v>-2499.4377229734873</v>
      </c>
      <c r="CJ71" s="2862">
        <f t="shared" si="449"/>
        <v>0</v>
      </c>
      <c r="CK71" s="2863"/>
      <c r="CL71" s="4187">
        <f t="shared" si="182"/>
        <v>12862.699264719364</v>
      </c>
      <c r="CM71" s="4187">
        <f t="shared" si="183"/>
        <v>12862.699264719364</v>
      </c>
      <c r="CN71" s="4187">
        <f t="shared" si="184"/>
        <v>0</v>
      </c>
    </row>
    <row r="72" spans="1:92" ht="18.75" customHeight="1" x14ac:dyDescent="0.3">
      <c r="A72" s="2873" t="s">
        <v>71</v>
      </c>
      <c r="B72" s="2845">
        <f t="shared" si="468"/>
        <v>1414.4029467033313</v>
      </c>
      <c r="C72" s="2845">
        <f t="shared" ref="C72:D72" si="498">SUM(CC72/4)</f>
        <v>1414.4029467033313</v>
      </c>
      <c r="D72" s="2845">
        <f t="shared" si="498"/>
        <v>0</v>
      </c>
      <c r="E72" s="2865">
        <f t="shared" si="186"/>
        <v>399.52</v>
      </c>
      <c r="F72" s="2866">
        <v>399.52</v>
      </c>
      <c r="G72" s="2866"/>
      <c r="H72" s="2865">
        <f t="shared" si="187"/>
        <v>362.43599999999998</v>
      </c>
      <c r="I72" s="2866">
        <v>362.43599999999998</v>
      </c>
      <c r="J72" s="2866"/>
      <c r="K72" s="2865">
        <f t="shared" si="188"/>
        <v>377.55</v>
      </c>
      <c r="L72" s="2866">
        <v>377.55</v>
      </c>
      <c r="M72" s="2866"/>
      <c r="N72" s="2865">
        <f t="shared" si="398"/>
        <v>1139.5059999999999</v>
      </c>
      <c r="O72" s="2865">
        <f t="shared" si="399"/>
        <v>1139.5059999999999</v>
      </c>
      <c r="P72" s="2865">
        <f t="shared" si="399"/>
        <v>0</v>
      </c>
      <c r="Q72" s="2845">
        <f t="shared" si="452"/>
        <v>1414.4029467033313</v>
      </c>
      <c r="R72" s="2845">
        <f t="shared" ref="R72:R88" si="499">SUM(C72)</f>
        <v>1414.4029467033313</v>
      </c>
      <c r="S72" s="2845">
        <f t="shared" ref="S72:S88" si="500">SUM(D72)</f>
        <v>0</v>
      </c>
      <c r="T72" s="2865">
        <f t="shared" si="229"/>
        <v>321.48</v>
      </c>
      <c r="U72" s="2866">
        <v>321.48</v>
      </c>
      <c r="V72" s="2866"/>
      <c r="W72" s="2865">
        <f t="shared" si="231"/>
        <v>263.62</v>
      </c>
      <c r="X72" s="2866">
        <v>263.62</v>
      </c>
      <c r="Y72" s="2866"/>
      <c r="Z72" s="2865">
        <f t="shared" si="233"/>
        <v>248.10599999999999</v>
      </c>
      <c r="AA72" s="2866">
        <v>248.10599999999999</v>
      </c>
      <c r="AB72" s="2866"/>
      <c r="AC72" s="2865">
        <f t="shared" si="404"/>
        <v>833.20600000000002</v>
      </c>
      <c r="AD72" s="2865">
        <f t="shared" si="405"/>
        <v>833.20600000000002</v>
      </c>
      <c r="AE72" s="2865">
        <f t="shared" si="405"/>
        <v>0</v>
      </c>
      <c r="AF72" s="2846">
        <f t="shared" si="482"/>
        <v>2828.8058934066626</v>
      </c>
      <c r="AG72" s="2846">
        <f t="shared" si="483"/>
        <v>2828.8058934066626</v>
      </c>
      <c r="AH72" s="2846">
        <f t="shared" si="484"/>
        <v>0</v>
      </c>
      <c r="AI72" s="2867">
        <f t="shared" si="408"/>
        <v>1972.712</v>
      </c>
      <c r="AJ72" s="2867">
        <f t="shared" si="408"/>
        <v>1972.712</v>
      </c>
      <c r="AK72" s="2867">
        <f t="shared" si="408"/>
        <v>0</v>
      </c>
      <c r="AL72" s="2867">
        <f t="shared" si="384"/>
        <v>-856.09389340666257</v>
      </c>
      <c r="AM72" s="2867">
        <f t="shared" si="384"/>
        <v>-856.09389340666257</v>
      </c>
      <c r="AN72" s="2867">
        <f t="shared" si="384"/>
        <v>0</v>
      </c>
      <c r="AO72" s="2845">
        <f t="shared" ref="AO72:AO88" si="501">SUM(AP72:AQ72)</f>
        <v>1414.4029467033313</v>
      </c>
      <c r="AP72" s="2845">
        <f t="shared" ref="AP72:AP88" si="502">SUM(CC72-AG72)/2</f>
        <v>1414.4029467033313</v>
      </c>
      <c r="AQ72" s="2845">
        <f t="shared" ref="AQ72:AQ88" si="503">SUM(CD72-AH72)/2</f>
        <v>0</v>
      </c>
      <c r="AR72" s="2865">
        <f t="shared" si="240"/>
        <v>293.13</v>
      </c>
      <c r="AS72" s="2866">
        <v>293.13</v>
      </c>
      <c r="AT72" s="2866"/>
      <c r="AU72" s="2865">
        <f t="shared" si="242"/>
        <v>207.39599999999999</v>
      </c>
      <c r="AV72" s="2866">
        <v>207.39599999999999</v>
      </c>
      <c r="AW72" s="2866"/>
      <c r="AX72" s="2865">
        <f t="shared" si="244"/>
        <v>276.233</v>
      </c>
      <c r="AY72" s="2866">
        <v>276.233</v>
      </c>
      <c r="AZ72" s="2866"/>
      <c r="BA72" s="2865">
        <f t="shared" si="413"/>
        <v>776.75900000000001</v>
      </c>
      <c r="BB72" s="2865">
        <f t="shared" si="414"/>
        <v>776.75900000000001</v>
      </c>
      <c r="BC72" s="2865">
        <f t="shared" si="414"/>
        <v>0</v>
      </c>
      <c r="BD72" s="2846">
        <f t="shared" si="490"/>
        <v>4243.2088401099936</v>
      </c>
      <c r="BE72" s="2846">
        <f t="shared" si="491"/>
        <v>4243.2088401099936</v>
      </c>
      <c r="BF72" s="2846">
        <f t="shared" si="492"/>
        <v>0</v>
      </c>
      <c r="BG72" s="2867">
        <f t="shared" si="459"/>
        <v>2749.471</v>
      </c>
      <c r="BH72" s="2867">
        <f t="shared" si="459"/>
        <v>2749.471</v>
      </c>
      <c r="BI72" s="2867">
        <f t="shared" si="459"/>
        <v>0</v>
      </c>
      <c r="BJ72" s="2867">
        <f t="shared" si="447"/>
        <v>-1493.7378401099936</v>
      </c>
      <c r="BK72" s="2867">
        <f t="shared" si="447"/>
        <v>-1493.7378401099936</v>
      </c>
      <c r="BL72" s="2867">
        <f t="shared" si="447"/>
        <v>0</v>
      </c>
      <c r="BM72" s="2845">
        <f t="shared" ref="BM72:BM88" si="504">SUM(BN72:BO72)</f>
        <v>1414.4029467033313</v>
      </c>
      <c r="BN72" s="2845">
        <f t="shared" ref="BN72:BN88" si="505">SUM(AP72)</f>
        <v>1414.4029467033313</v>
      </c>
      <c r="BO72" s="2845">
        <f t="shared" ref="BO72:BO88" si="506">SUM(AQ72)</f>
        <v>0</v>
      </c>
      <c r="BP72" s="2865">
        <f t="shared" si="252"/>
        <v>224.596</v>
      </c>
      <c r="BQ72" s="2866">
        <v>224.596</v>
      </c>
      <c r="BR72" s="2866"/>
      <c r="BS72" s="2865">
        <f t="shared" si="254"/>
        <v>256.53140000000002</v>
      </c>
      <c r="BT72" s="2866">
        <v>256.53140000000002</v>
      </c>
      <c r="BU72" s="2866"/>
      <c r="BV72" s="2865">
        <f t="shared" si="256"/>
        <v>263.28500000000003</v>
      </c>
      <c r="BW72" s="2866">
        <v>263.28500000000003</v>
      </c>
      <c r="BX72" s="2866"/>
      <c r="BY72" s="2865">
        <f t="shared" si="423"/>
        <v>744.41240000000005</v>
      </c>
      <c r="BZ72" s="2865">
        <f t="shared" si="424"/>
        <v>744.41240000000005</v>
      </c>
      <c r="CA72" s="2865">
        <f t="shared" si="424"/>
        <v>0</v>
      </c>
      <c r="CB72" s="2846">
        <f t="shared" si="441"/>
        <v>5657.6117868133251</v>
      </c>
      <c r="CC72" s="2846">
        <f>5399.124*(1+0.032)*0.99*(1+0.036)*0.99</f>
        <v>5657.6117868133251</v>
      </c>
      <c r="CD72" s="2846">
        <v>0</v>
      </c>
      <c r="CE72" s="2867">
        <f t="shared" si="461"/>
        <v>3493.8834000000002</v>
      </c>
      <c r="CF72" s="2982">
        <f t="shared" si="461"/>
        <v>3493.8834000000002</v>
      </c>
      <c r="CG72" s="2982">
        <f t="shared" si="461"/>
        <v>0</v>
      </c>
      <c r="CH72" s="2867">
        <f t="shared" si="449"/>
        <v>-2163.728386813325</v>
      </c>
      <c r="CI72" s="2867">
        <f t="shared" si="449"/>
        <v>-2163.728386813325</v>
      </c>
      <c r="CJ72" s="2867">
        <f t="shared" si="449"/>
        <v>0</v>
      </c>
      <c r="CK72" s="2863"/>
      <c r="CL72" s="4187">
        <f t="shared" si="182"/>
        <v>5657.6117868133251</v>
      </c>
      <c r="CM72" s="4187">
        <f t="shared" si="183"/>
        <v>5657.6117868133251</v>
      </c>
      <c r="CN72" s="4187">
        <f t="shared" si="184"/>
        <v>0</v>
      </c>
    </row>
    <row r="73" spans="1:92" ht="18.75" customHeight="1" x14ac:dyDescent="0.3">
      <c r="A73" s="2873" t="s">
        <v>114</v>
      </c>
      <c r="B73" s="2845">
        <f t="shared" ref="B73:B88" si="507">SUM(C73:D73)</f>
        <v>425.186115121152</v>
      </c>
      <c r="C73" s="2845">
        <f t="shared" ref="C73:C88" si="508">SUM(CC73/4)</f>
        <v>425.186115121152</v>
      </c>
      <c r="D73" s="2845">
        <f t="shared" ref="D73:D88" si="509">SUM(CD73/4)</f>
        <v>0</v>
      </c>
      <c r="E73" s="2865">
        <f t="shared" si="186"/>
        <v>120.66</v>
      </c>
      <c r="F73" s="2866">
        <v>120.66</v>
      </c>
      <c r="G73" s="2866"/>
      <c r="H73" s="2865">
        <f t="shared" si="187"/>
        <v>109.315</v>
      </c>
      <c r="I73" s="2866">
        <f>0.716+108.599</f>
        <v>109.315</v>
      </c>
      <c r="J73" s="2866"/>
      <c r="K73" s="2865">
        <f t="shared" si="188"/>
        <v>111.92</v>
      </c>
      <c r="L73" s="2866">
        <v>111.92</v>
      </c>
      <c r="M73" s="2866"/>
      <c r="N73" s="2865">
        <f t="shared" si="398"/>
        <v>341.89499999999998</v>
      </c>
      <c r="O73" s="2865">
        <f t="shared" si="399"/>
        <v>341.89499999999998</v>
      </c>
      <c r="P73" s="2865">
        <f t="shared" si="399"/>
        <v>0</v>
      </c>
      <c r="Q73" s="2845">
        <f t="shared" si="452"/>
        <v>425.186115121152</v>
      </c>
      <c r="R73" s="2845">
        <f t="shared" si="499"/>
        <v>425.186115121152</v>
      </c>
      <c r="S73" s="2845">
        <f t="shared" si="500"/>
        <v>0</v>
      </c>
      <c r="T73" s="2865">
        <f t="shared" si="229"/>
        <v>96.95</v>
      </c>
      <c r="U73" s="2866">
        <v>96.95</v>
      </c>
      <c r="V73" s="2866"/>
      <c r="W73" s="2865">
        <f t="shared" si="231"/>
        <v>79.61</v>
      </c>
      <c r="X73" s="2866">
        <v>79.61</v>
      </c>
      <c r="Y73" s="2866"/>
      <c r="Z73" s="2865">
        <f t="shared" si="233"/>
        <v>74.927999999999997</v>
      </c>
      <c r="AA73" s="2866">
        <v>74.927999999999997</v>
      </c>
      <c r="AB73" s="2866"/>
      <c r="AC73" s="2865">
        <f t="shared" si="404"/>
        <v>251.488</v>
      </c>
      <c r="AD73" s="2865">
        <f t="shared" si="405"/>
        <v>251.488</v>
      </c>
      <c r="AE73" s="2865">
        <f t="shared" si="405"/>
        <v>0</v>
      </c>
      <c r="AF73" s="2846">
        <f t="shared" si="482"/>
        <v>850.372230242304</v>
      </c>
      <c r="AG73" s="2846">
        <f t="shared" si="483"/>
        <v>850.372230242304</v>
      </c>
      <c r="AH73" s="2846">
        <f t="shared" si="484"/>
        <v>0</v>
      </c>
      <c r="AI73" s="2867">
        <f t="shared" si="408"/>
        <v>593.38300000000004</v>
      </c>
      <c r="AJ73" s="2867">
        <f t="shared" si="408"/>
        <v>593.38300000000004</v>
      </c>
      <c r="AK73" s="2867">
        <f t="shared" si="408"/>
        <v>0</v>
      </c>
      <c r="AL73" s="2867">
        <f t="shared" si="384"/>
        <v>-256.98923024230396</v>
      </c>
      <c r="AM73" s="2867">
        <f t="shared" si="384"/>
        <v>-256.98923024230396</v>
      </c>
      <c r="AN73" s="2867">
        <f t="shared" si="384"/>
        <v>0</v>
      </c>
      <c r="AO73" s="2845">
        <f t="shared" si="501"/>
        <v>425.186115121152</v>
      </c>
      <c r="AP73" s="2845">
        <f t="shared" si="502"/>
        <v>425.186115121152</v>
      </c>
      <c r="AQ73" s="2845">
        <f t="shared" si="503"/>
        <v>0</v>
      </c>
      <c r="AR73" s="2865">
        <f t="shared" si="240"/>
        <v>86.86</v>
      </c>
      <c r="AS73" s="2866">
        <v>86.86</v>
      </c>
      <c r="AT73" s="2866"/>
      <c r="AU73" s="2865">
        <f t="shared" si="242"/>
        <v>62.634</v>
      </c>
      <c r="AV73" s="2866">
        <v>62.634</v>
      </c>
      <c r="AW73" s="2866"/>
      <c r="AX73" s="2865">
        <f t="shared" si="244"/>
        <v>83.421999999999997</v>
      </c>
      <c r="AY73" s="2866">
        <v>83.421999999999997</v>
      </c>
      <c r="AZ73" s="2866"/>
      <c r="BA73" s="2865">
        <f t="shared" si="413"/>
        <v>232.916</v>
      </c>
      <c r="BB73" s="2865">
        <f t="shared" si="414"/>
        <v>232.916</v>
      </c>
      <c r="BC73" s="2865">
        <f t="shared" si="414"/>
        <v>0</v>
      </c>
      <c r="BD73" s="2846">
        <f t="shared" si="490"/>
        <v>1275.5583453634561</v>
      </c>
      <c r="BE73" s="2846">
        <f t="shared" si="491"/>
        <v>1275.5583453634561</v>
      </c>
      <c r="BF73" s="2846">
        <f t="shared" si="492"/>
        <v>0</v>
      </c>
      <c r="BG73" s="2867">
        <f t="shared" si="459"/>
        <v>826.29899999999998</v>
      </c>
      <c r="BH73" s="2867">
        <f t="shared" si="459"/>
        <v>826.29899999999998</v>
      </c>
      <c r="BI73" s="2867">
        <f t="shared" si="459"/>
        <v>0</v>
      </c>
      <c r="BJ73" s="2867">
        <f t="shared" si="447"/>
        <v>-449.25934536345608</v>
      </c>
      <c r="BK73" s="2867">
        <f t="shared" si="447"/>
        <v>-449.25934536345608</v>
      </c>
      <c r="BL73" s="2867">
        <f t="shared" si="447"/>
        <v>0</v>
      </c>
      <c r="BM73" s="2845">
        <f t="shared" si="504"/>
        <v>425.186115121152</v>
      </c>
      <c r="BN73" s="2845">
        <f t="shared" si="505"/>
        <v>425.186115121152</v>
      </c>
      <c r="BO73" s="2845">
        <f t="shared" si="506"/>
        <v>0</v>
      </c>
      <c r="BP73" s="2865">
        <f t="shared" si="252"/>
        <v>66.162999999999997</v>
      </c>
      <c r="BQ73" s="2866">
        <v>66.162999999999997</v>
      </c>
      <c r="BR73" s="2866"/>
      <c r="BS73" s="2865">
        <f t="shared" si="254"/>
        <v>84.334999999999994</v>
      </c>
      <c r="BT73" s="2866">
        <v>84.334999999999994</v>
      </c>
      <c r="BU73" s="2866"/>
      <c r="BV73" s="2865">
        <f t="shared" si="256"/>
        <v>70.844999999999999</v>
      </c>
      <c r="BW73" s="2866">
        <v>70.844999999999999</v>
      </c>
      <c r="BX73" s="2866"/>
      <c r="BY73" s="2865">
        <f t="shared" si="423"/>
        <v>221.34299999999999</v>
      </c>
      <c r="BZ73" s="2865">
        <f t="shared" si="424"/>
        <v>221.34299999999999</v>
      </c>
      <c r="CA73" s="2865">
        <f t="shared" si="424"/>
        <v>0</v>
      </c>
      <c r="CB73" s="2846">
        <f t="shared" si="441"/>
        <v>1700.744460484608</v>
      </c>
      <c r="CC73" s="2846">
        <f>1623.04*(1+0.032)*0.99*(1+0.036)*0.99</f>
        <v>1700.744460484608</v>
      </c>
      <c r="CD73" s="2846">
        <v>0</v>
      </c>
      <c r="CE73" s="2867">
        <f t="shared" si="461"/>
        <v>1047.6420000000001</v>
      </c>
      <c r="CF73" s="2982">
        <f t="shared" si="461"/>
        <v>1047.6420000000001</v>
      </c>
      <c r="CG73" s="2982">
        <f t="shared" si="461"/>
        <v>0</v>
      </c>
      <c r="CH73" s="2867">
        <f t="shared" si="449"/>
        <v>-653.10246048460795</v>
      </c>
      <c r="CI73" s="2867">
        <f t="shared" si="449"/>
        <v>-653.10246048460795</v>
      </c>
      <c r="CJ73" s="2867">
        <f t="shared" si="449"/>
        <v>0</v>
      </c>
      <c r="CK73" s="2863"/>
      <c r="CL73" s="4187">
        <f t="shared" si="182"/>
        <v>1700.744460484608</v>
      </c>
      <c r="CM73" s="4187">
        <f t="shared" si="183"/>
        <v>1700.744460484608</v>
      </c>
      <c r="CN73" s="4187">
        <f t="shared" si="184"/>
        <v>0</v>
      </c>
    </row>
    <row r="74" spans="1:92" ht="18.75" customHeight="1" x14ac:dyDescent="0.3">
      <c r="A74" s="2873" t="s">
        <v>52</v>
      </c>
      <c r="B74" s="2845">
        <f t="shared" si="507"/>
        <v>38.458728324607499</v>
      </c>
      <c r="C74" s="2845">
        <f t="shared" si="508"/>
        <v>38.458728324607499</v>
      </c>
      <c r="D74" s="2845">
        <f t="shared" si="509"/>
        <v>0</v>
      </c>
      <c r="E74" s="2865">
        <f t="shared" si="186"/>
        <v>22.81</v>
      </c>
      <c r="F74" s="2866">
        <v>22.81</v>
      </c>
      <c r="G74" s="2866"/>
      <c r="H74" s="2865">
        <f t="shared" si="187"/>
        <v>22.005000000000003</v>
      </c>
      <c r="I74" s="2866">
        <f>1.885+20.12</f>
        <v>22.005000000000003</v>
      </c>
      <c r="J74" s="2866"/>
      <c r="K74" s="2865">
        <f t="shared" si="188"/>
        <v>22.64</v>
      </c>
      <c r="L74" s="2866">
        <f>2.08+20.56</f>
        <v>22.64</v>
      </c>
      <c r="M74" s="2866"/>
      <c r="N74" s="2865">
        <f t="shared" si="398"/>
        <v>67.454999999999998</v>
      </c>
      <c r="O74" s="2865">
        <f t="shared" si="399"/>
        <v>67.454999999999998</v>
      </c>
      <c r="P74" s="2865">
        <f t="shared" si="399"/>
        <v>0</v>
      </c>
      <c r="Q74" s="2845">
        <f t="shared" si="452"/>
        <v>38.458728324607499</v>
      </c>
      <c r="R74" s="2845">
        <f t="shared" si="499"/>
        <v>38.458728324607499</v>
      </c>
      <c r="S74" s="2845">
        <f t="shared" si="500"/>
        <v>0</v>
      </c>
      <c r="T74" s="2865">
        <f t="shared" si="229"/>
        <v>22.65</v>
      </c>
      <c r="U74" s="2866">
        <v>22.65</v>
      </c>
      <c r="V74" s="2866"/>
      <c r="W74" s="2865">
        <f t="shared" si="231"/>
        <v>22.42</v>
      </c>
      <c r="X74" s="2866">
        <v>22.42</v>
      </c>
      <c r="Y74" s="2866"/>
      <c r="Z74" s="2865">
        <f t="shared" si="233"/>
        <v>21.925999999999998</v>
      </c>
      <c r="AA74" s="2866">
        <v>21.925999999999998</v>
      </c>
      <c r="AB74" s="2866"/>
      <c r="AC74" s="2865">
        <f t="shared" si="404"/>
        <v>66.995999999999995</v>
      </c>
      <c r="AD74" s="2865">
        <f t="shared" si="405"/>
        <v>66.995999999999995</v>
      </c>
      <c r="AE74" s="2865">
        <f t="shared" si="405"/>
        <v>0</v>
      </c>
      <c r="AF74" s="2846">
        <f t="shared" si="482"/>
        <v>76.917456649214998</v>
      </c>
      <c r="AG74" s="2846">
        <f t="shared" si="483"/>
        <v>76.917456649214998</v>
      </c>
      <c r="AH74" s="2846">
        <f t="shared" si="484"/>
        <v>0</v>
      </c>
      <c r="AI74" s="2867">
        <f t="shared" si="408"/>
        <v>134.45099999999999</v>
      </c>
      <c r="AJ74" s="2867">
        <f t="shared" si="408"/>
        <v>134.45099999999999</v>
      </c>
      <c r="AK74" s="2867">
        <f t="shared" si="408"/>
        <v>0</v>
      </c>
      <c r="AL74" s="2867">
        <f t="shared" si="384"/>
        <v>57.533543350784996</v>
      </c>
      <c r="AM74" s="2867">
        <f t="shared" si="384"/>
        <v>57.533543350784996</v>
      </c>
      <c r="AN74" s="2867">
        <f t="shared" si="384"/>
        <v>0</v>
      </c>
      <c r="AO74" s="2845">
        <f t="shared" si="501"/>
        <v>38.458728324607499</v>
      </c>
      <c r="AP74" s="2845">
        <f t="shared" si="502"/>
        <v>38.458728324607499</v>
      </c>
      <c r="AQ74" s="2845">
        <f t="shared" si="503"/>
        <v>0</v>
      </c>
      <c r="AR74" s="2865">
        <f t="shared" si="240"/>
        <v>21.9</v>
      </c>
      <c r="AS74" s="2866">
        <v>21.9</v>
      </c>
      <c r="AT74" s="2866"/>
      <c r="AU74" s="2865">
        <f t="shared" si="242"/>
        <v>22.196999999999999</v>
      </c>
      <c r="AV74" s="2866">
        <v>22.196999999999999</v>
      </c>
      <c r="AW74" s="2866"/>
      <c r="AX74" s="2865">
        <f t="shared" si="244"/>
        <v>22.459</v>
      </c>
      <c r="AY74" s="2866">
        <v>22.459</v>
      </c>
      <c r="AZ74" s="2866"/>
      <c r="BA74" s="2865">
        <f t="shared" si="413"/>
        <v>66.555999999999997</v>
      </c>
      <c r="BB74" s="2865">
        <f t="shared" si="414"/>
        <v>66.555999999999997</v>
      </c>
      <c r="BC74" s="2865">
        <f t="shared" si="414"/>
        <v>0</v>
      </c>
      <c r="BD74" s="2846">
        <f t="shared" si="490"/>
        <v>115.37618497382249</v>
      </c>
      <c r="BE74" s="2846">
        <f t="shared" si="491"/>
        <v>115.37618497382249</v>
      </c>
      <c r="BF74" s="2846">
        <f t="shared" si="492"/>
        <v>0</v>
      </c>
      <c r="BG74" s="2867">
        <f t="shared" si="459"/>
        <v>201.00700000000001</v>
      </c>
      <c r="BH74" s="2867">
        <f t="shared" si="459"/>
        <v>201.00700000000001</v>
      </c>
      <c r="BI74" s="2867">
        <f t="shared" si="459"/>
        <v>0</v>
      </c>
      <c r="BJ74" s="2867">
        <f t="shared" si="447"/>
        <v>85.630815026177515</v>
      </c>
      <c r="BK74" s="2867">
        <f t="shared" si="447"/>
        <v>85.630815026177515</v>
      </c>
      <c r="BL74" s="2867">
        <f t="shared" si="447"/>
        <v>0</v>
      </c>
      <c r="BM74" s="2845">
        <f t="shared" si="504"/>
        <v>38.458728324607499</v>
      </c>
      <c r="BN74" s="2845">
        <f t="shared" si="505"/>
        <v>38.458728324607499</v>
      </c>
      <c r="BO74" s="2845">
        <f t="shared" si="506"/>
        <v>0</v>
      </c>
      <c r="BP74" s="2865">
        <f t="shared" si="252"/>
        <v>23.184999999999999</v>
      </c>
      <c r="BQ74" s="2866">
        <v>23.184999999999999</v>
      </c>
      <c r="BR74" s="2866"/>
      <c r="BS74" s="2865">
        <f t="shared" si="254"/>
        <v>22.152999999999999</v>
      </c>
      <c r="BT74" s="2866">
        <v>22.152999999999999</v>
      </c>
      <c r="BU74" s="2866"/>
      <c r="BV74" s="2865">
        <f t="shared" si="256"/>
        <v>21.962</v>
      </c>
      <c r="BW74" s="2866">
        <v>21.962</v>
      </c>
      <c r="BX74" s="2866"/>
      <c r="BY74" s="2865">
        <f t="shared" si="423"/>
        <v>67.3</v>
      </c>
      <c r="BZ74" s="2865">
        <f t="shared" si="424"/>
        <v>67.3</v>
      </c>
      <c r="CA74" s="2865">
        <f t="shared" si="424"/>
        <v>0</v>
      </c>
      <c r="CB74" s="2846">
        <f t="shared" si="441"/>
        <v>153.83491329843</v>
      </c>
      <c r="CC74" s="2846">
        <f>181.8397*0.8459919</f>
        <v>153.83491329843</v>
      </c>
      <c r="CD74" s="2846">
        <v>0</v>
      </c>
      <c r="CE74" s="2867">
        <f t="shared" si="461"/>
        <v>268.30700000000002</v>
      </c>
      <c r="CF74" s="2982">
        <f t="shared" si="461"/>
        <v>268.30700000000002</v>
      </c>
      <c r="CG74" s="2982">
        <f t="shared" si="461"/>
        <v>0</v>
      </c>
      <c r="CH74" s="2867">
        <f t="shared" si="449"/>
        <v>114.47208670157002</v>
      </c>
      <c r="CI74" s="2867">
        <f t="shared" si="449"/>
        <v>114.47208670157002</v>
      </c>
      <c r="CJ74" s="2867">
        <f t="shared" si="449"/>
        <v>0</v>
      </c>
      <c r="CK74" s="2863"/>
      <c r="CL74" s="4187">
        <f t="shared" si="182"/>
        <v>153.83491329843</v>
      </c>
      <c r="CM74" s="4187">
        <f t="shared" si="183"/>
        <v>153.83491329843</v>
      </c>
      <c r="CN74" s="4187">
        <f t="shared" si="184"/>
        <v>0</v>
      </c>
    </row>
    <row r="75" spans="1:92" ht="18.75" customHeight="1" x14ac:dyDescent="0.3">
      <c r="A75" s="2873" t="s">
        <v>3733</v>
      </c>
      <c r="B75" s="2845">
        <f t="shared" si="507"/>
        <v>3.7435141574999999</v>
      </c>
      <c r="C75" s="2845">
        <f t="shared" si="508"/>
        <v>3.7435141574999999</v>
      </c>
      <c r="D75" s="2845">
        <f t="shared" si="509"/>
        <v>0</v>
      </c>
      <c r="E75" s="2865">
        <f t="shared" si="186"/>
        <v>2.2200000000000002</v>
      </c>
      <c r="F75" s="2866">
        <v>2.2200000000000002</v>
      </c>
      <c r="G75" s="2866"/>
      <c r="H75" s="2865">
        <f t="shared" si="187"/>
        <v>2.25</v>
      </c>
      <c r="I75" s="2866">
        <v>2.25</v>
      </c>
      <c r="J75" s="2866"/>
      <c r="K75" s="2865">
        <f t="shared" si="188"/>
        <v>1.88</v>
      </c>
      <c r="L75" s="2866">
        <v>1.88</v>
      </c>
      <c r="M75" s="2866"/>
      <c r="N75" s="2865">
        <f t="shared" si="398"/>
        <v>6.3500000000000005</v>
      </c>
      <c r="O75" s="2865">
        <f t="shared" si="399"/>
        <v>6.3500000000000005</v>
      </c>
      <c r="P75" s="2865">
        <f t="shared" si="399"/>
        <v>0</v>
      </c>
      <c r="Q75" s="2845">
        <f t="shared" si="452"/>
        <v>3.7435141574999999</v>
      </c>
      <c r="R75" s="2845">
        <f t="shared" si="499"/>
        <v>3.7435141574999999</v>
      </c>
      <c r="S75" s="2845">
        <f t="shared" si="500"/>
        <v>0</v>
      </c>
      <c r="T75" s="2865">
        <f t="shared" si="229"/>
        <v>1.43</v>
      </c>
      <c r="U75" s="2866">
        <v>1.43</v>
      </c>
      <c r="V75" s="2866"/>
      <c r="W75" s="2865">
        <f t="shared" si="231"/>
        <v>1.37</v>
      </c>
      <c r="X75" s="2866">
        <v>1.37</v>
      </c>
      <c r="Y75" s="2866"/>
      <c r="Z75" s="2865">
        <f t="shared" si="233"/>
        <v>0</v>
      </c>
      <c r="AA75" s="2866"/>
      <c r="AB75" s="2866"/>
      <c r="AC75" s="2865">
        <f t="shared" si="404"/>
        <v>2.8</v>
      </c>
      <c r="AD75" s="2865">
        <f t="shared" si="405"/>
        <v>2.8</v>
      </c>
      <c r="AE75" s="2865">
        <f t="shared" si="405"/>
        <v>0</v>
      </c>
      <c r="AF75" s="2846">
        <f t="shared" si="482"/>
        <v>7.4870283149999999</v>
      </c>
      <c r="AG75" s="2846">
        <f t="shared" si="483"/>
        <v>7.4870283149999999</v>
      </c>
      <c r="AH75" s="2846">
        <f t="shared" si="484"/>
        <v>0</v>
      </c>
      <c r="AI75" s="2867">
        <f t="shared" si="408"/>
        <v>9.15</v>
      </c>
      <c r="AJ75" s="2867">
        <f t="shared" si="408"/>
        <v>9.15</v>
      </c>
      <c r="AK75" s="2867">
        <f t="shared" si="408"/>
        <v>0</v>
      </c>
      <c r="AL75" s="2867">
        <f t="shared" si="384"/>
        <v>1.6629716850000005</v>
      </c>
      <c r="AM75" s="2867">
        <f t="shared" si="384"/>
        <v>1.6629716850000005</v>
      </c>
      <c r="AN75" s="2867">
        <f t="shared" si="384"/>
        <v>0</v>
      </c>
      <c r="AO75" s="2845">
        <f t="shared" si="501"/>
        <v>3.7435141574999999</v>
      </c>
      <c r="AP75" s="2845">
        <f t="shared" si="502"/>
        <v>3.7435141574999999</v>
      </c>
      <c r="AQ75" s="2845">
        <f t="shared" si="503"/>
        <v>0</v>
      </c>
      <c r="AR75" s="2865">
        <f t="shared" si="240"/>
        <v>1.07</v>
      </c>
      <c r="AS75" s="2866">
        <v>1.07</v>
      </c>
      <c r="AT75" s="2866"/>
      <c r="AU75" s="2865">
        <f t="shared" si="242"/>
        <v>1.07</v>
      </c>
      <c r="AV75" s="2866">
        <v>1.07</v>
      </c>
      <c r="AW75" s="2866"/>
      <c r="AX75" s="2865">
        <f t="shared" si="244"/>
        <v>1.07</v>
      </c>
      <c r="AY75" s="2866">
        <v>1.07</v>
      </c>
      <c r="AZ75" s="2866"/>
      <c r="BA75" s="2865">
        <f t="shared" si="413"/>
        <v>3.21</v>
      </c>
      <c r="BB75" s="2865">
        <f t="shared" si="414"/>
        <v>3.21</v>
      </c>
      <c r="BC75" s="2865">
        <f t="shared" si="414"/>
        <v>0</v>
      </c>
      <c r="BD75" s="2846">
        <f t="shared" si="490"/>
        <v>11.2305424725</v>
      </c>
      <c r="BE75" s="2846">
        <f t="shared" si="491"/>
        <v>11.2305424725</v>
      </c>
      <c r="BF75" s="2846">
        <f t="shared" si="492"/>
        <v>0</v>
      </c>
      <c r="BG75" s="2867">
        <f t="shared" si="459"/>
        <v>12.36</v>
      </c>
      <c r="BH75" s="2867">
        <f t="shared" si="459"/>
        <v>12.36</v>
      </c>
      <c r="BI75" s="2867">
        <f t="shared" si="459"/>
        <v>0</v>
      </c>
      <c r="BJ75" s="2867">
        <f t="shared" si="447"/>
        <v>1.1294575274999996</v>
      </c>
      <c r="BK75" s="2867">
        <f t="shared" si="447"/>
        <v>1.1294575274999996</v>
      </c>
      <c r="BL75" s="2867">
        <f t="shared" si="447"/>
        <v>0</v>
      </c>
      <c r="BM75" s="2845">
        <f t="shared" si="504"/>
        <v>3.7435141574999999</v>
      </c>
      <c r="BN75" s="2845">
        <f t="shared" si="505"/>
        <v>3.7435141574999999</v>
      </c>
      <c r="BO75" s="2845">
        <f t="shared" si="506"/>
        <v>0</v>
      </c>
      <c r="BP75" s="2865">
        <f t="shared" si="252"/>
        <v>1.07</v>
      </c>
      <c r="BQ75" s="2866">
        <v>1.07</v>
      </c>
      <c r="BR75" s="2866"/>
      <c r="BS75" s="2865">
        <f t="shared" si="254"/>
        <v>1.07</v>
      </c>
      <c r="BT75" s="2866">
        <v>1.07</v>
      </c>
      <c r="BU75" s="2866"/>
      <c r="BV75" s="2865">
        <f t="shared" si="256"/>
        <v>2.16</v>
      </c>
      <c r="BW75" s="2866">
        <v>2.16</v>
      </c>
      <c r="BX75" s="2866"/>
      <c r="BY75" s="2865">
        <f t="shared" si="423"/>
        <v>4.3000000000000007</v>
      </c>
      <c r="BZ75" s="2865">
        <f t="shared" si="424"/>
        <v>4.3000000000000007</v>
      </c>
      <c r="CA75" s="2865">
        <f t="shared" si="424"/>
        <v>0</v>
      </c>
      <c r="CB75" s="2846">
        <f t="shared" si="441"/>
        <v>14.97405663</v>
      </c>
      <c r="CC75" s="2846">
        <f>17.7*0.8459919</f>
        <v>14.97405663</v>
      </c>
      <c r="CD75" s="2846">
        <v>0</v>
      </c>
      <c r="CE75" s="2867">
        <f t="shared" si="461"/>
        <v>16.66</v>
      </c>
      <c r="CF75" s="2982">
        <f t="shared" si="461"/>
        <v>16.66</v>
      </c>
      <c r="CG75" s="2982">
        <f t="shared" si="461"/>
        <v>0</v>
      </c>
      <c r="CH75" s="2867">
        <f t="shared" si="449"/>
        <v>1.6859433700000004</v>
      </c>
      <c r="CI75" s="2867">
        <f t="shared" si="449"/>
        <v>1.6859433700000004</v>
      </c>
      <c r="CJ75" s="2867">
        <f t="shared" si="449"/>
        <v>0</v>
      </c>
      <c r="CK75" s="2863"/>
      <c r="CL75" s="4187">
        <f t="shared" si="182"/>
        <v>14.97405663</v>
      </c>
      <c r="CM75" s="4187">
        <f t="shared" si="183"/>
        <v>14.97405663</v>
      </c>
      <c r="CN75" s="4187">
        <f t="shared" si="184"/>
        <v>0</v>
      </c>
    </row>
    <row r="76" spans="1:92" ht="18.75" customHeight="1" x14ac:dyDescent="0.3">
      <c r="A76" s="2873" t="s">
        <v>590</v>
      </c>
      <c r="B76" s="2845">
        <f t="shared" si="507"/>
        <v>130.69517365125</v>
      </c>
      <c r="C76" s="2845">
        <f t="shared" si="508"/>
        <v>130.69517365125</v>
      </c>
      <c r="D76" s="2845">
        <f t="shared" si="509"/>
        <v>0</v>
      </c>
      <c r="E76" s="2865">
        <f t="shared" si="186"/>
        <v>43.22</v>
      </c>
      <c r="F76" s="2866">
        <f>7.85+35.37</f>
        <v>43.22</v>
      </c>
      <c r="G76" s="2866"/>
      <c r="H76" s="2865">
        <f t="shared" si="187"/>
        <v>46.957000000000001</v>
      </c>
      <c r="I76" s="2866">
        <f>7.476+39.481</f>
        <v>46.957000000000001</v>
      </c>
      <c r="J76" s="2866"/>
      <c r="K76" s="2865">
        <f t="shared" si="188"/>
        <v>164.38</v>
      </c>
      <c r="L76" s="2866">
        <f>4.89+159.49</f>
        <v>164.38</v>
      </c>
      <c r="M76" s="2866"/>
      <c r="N76" s="2865">
        <f t="shared" si="398"/>
        <v>254.55699999999999</v>
      </c>
      <c r="O76" s="2865">
        <f t="shared" si="399"/>
        <v>254.55699999999999</v>
      </c>
      <c r="P76" s="2865">
        <f t="shared" si="399"/>
        <v>0</v>
      </c>
      <c r="Q76" s="2845">
        <f t="shared" si="452"/>
        <v>130.69517365125</v>
      </c>
      <c r="R76" s="2845">
        <f t="shared" si="499"/>
        <v>130.69517365125</v>
      </c>
      <c r="S76" s="2845">
        <f t="shared" si="500"/>
        <v>0</v>
      </c>
      <c r="T76" s="2865">
        <f t="shared" si="229"/>
        <v>36.76</v>
      </c>
      <c r="U76" s="2866">
        <v>36.76</v>
      </c>
      <c r="V76" s="2866"/>
      <c r="W76" s="2865">
        <f t="shared" si="231"/>
        <v>39.39</v>
      </c>
      <c r="X76" s="2866">
        <f>38.64+0.75</f>
        <v>39.39</v>
      </c>
      <c r="Y76" s="2866"/>
      <c r="Z76" s="2865">
        <f t="shared" si="233"/>
        <v>21.277000000000001</v>
      </c>
      <c r="AA76" s="2866">
        <v>21.277000000000001</v>
      </c>
      <c r="AB76" s="2866"/>
      <c r="AC76" s="2865">
        <f t="shared" si="404"/>
        <v>97.427000000000007</v>
      </c>
      <c r="AD76" s="2865">
        <f t="shared" si="405"/>
        <v>97.427000000000007</v>
      </c>
      <c r="AE76" s="2865">
        <f t="shared" si="405"/>
        <v>0</v>
      </c>
      <c r="AF76" s="2846">
        <f t="shared" si="482"/>
        <v>261.3903473025</v>
      </c>
      <c r="AG76" s="2846">
        <f t="shared" si="483"/>
        <v>261.3903473025</v>
      </c>
      <c r="AH76" s="2846">
        <f t="shared" si="484"/>
        <v>0</v>
      </c>
      <c r="AI76" s="2867">
        <f t="shared" si="408"/>
        <v>351.98399999999998</v>
      </c>
      <c r="AJ76" s="2867">
        <f t="shared" si="408"/>
        <v>351.98399999999998</v>
      </c>
      <c r="AK76" s="2867">
        <f t="shared" si="408"/>
        <v>0</v>
      </c>
      <c r="AL76" s="2867">
        <f t="shared" si="384"/>
        <v>90.593652697499977</v>
      </c>
      <c r="AM76" s="2867">
        <f t="shared" si="384"/>
        <v>90.593652697499977</v>
      </c>
      <c r="AN76" s="2867">
        <f t="shared" si="384"/>
        <v>0</v>
      </c>
      <c r="AO76" s="2845">
        <f t="shared" si="501"/>
        <v>130.69517365125</v>
      </c>
      <c r="AP76" s="2845">
        <f t="shared" si="502"/>
        <v>130.69517365125</v>
      </c>
      <c r="AQ76" s="2845">
        <f t="shared" si="503"/>
        <v>0</v>
      </c>
      <c r="AR76" s="2865">
        <f t="shared" si="240"/>
        <v>38.074999999999996</v>
      </c>
      <c r="AS76" s="2866">
        <f>39.22-1.145</f>
        <v>38.074999999999996</v>
      </c>
      <c r="AT76" s="2866"/>
      <c r="AU76" s="2865">
        <f t="shared" si="242"/>
        <v>26.262</v>
      </c>
      <c r="AV76" s="2866">
        <v>26.262</v>
      </c>
      <c r="AW76" s="2866"/>
      <c r="AX76" s="2865">
        <f t="shared" si="244"/>
        <v>25.895</v>
      </c>
      <c r="AY76" s="2866">
        <v>25.895</v>
      </c>
      <c r="AZ76" s="2866"/>
      <c r="BA76" s="2865">
        <f t="shared" si="413"/>
        <v>90.231999999999985</v>
      </c>
      <c r="BB76" s="2865">
        <f t="shared" si="414"/>
        <v>90.231999999999985</v>
      </c>
      <c r="BC76" s="2865">
        <f t="shared" si="414"/>
        <v>0</v>
      </c>
      <c r="BD76" s="2846">
        <f t="shared" si="490"/>
        <v>392.08552095375001</v>
      </c>
      <c r="BE76" s="2846">
        <f t="shared" si="491"/>
        <v>392.08552095375001</v>
      </c>
      <c r="BF76" s="2846">
        <f t="shared" si="492"/>
        <v>0</v>
      </c>
      <c r="BG76" s="2867">
        <f t="shared" si="459"/>
        <v>442.21599999999995</v>
      </c>
      <c r="BH76" s="2867">
        <f t="shared" si="459"/>
        <v>442.21599999999995</v>
      </c>
      <c r="BI76" s="2867">
        <f t="shared" si="459"/>
        <v>0</v>
      </c>
      <c r="BJ76" s="2867">
        <f t="shared" si="447"/>
        <v>50.130479046249945</v>
      </c>
      <c r="BK76" s="2867">
        <f t="shared" si="447"/>
        <v>50.130479046249945</v>
      </c>
      <c r="BL76" s="2867">
        <f t="shared" si="447"/>
        <v>0</v>
      </c>
      <c r="BM76" s="2845">
        <f t="shared" si="504"/>
        <v>130.69517365125</v>
      </c>
      <c r="BN76" s="2845">
        <f t="shared" si="505"/>
        <v>130.69517365125</v>
      </c>
      <c r="BO76" s="2845">
        <f t="shared" si="506"/>
        <v>0</v>
      </c>
      <c r="BP76" s="2865">
        <f t="shared" si="252"/>
        <v>54.616999999999997</v>
      </c>
      <c r="BQ76" s="2866">
        <f>2+52.617</f>
        <v>54.616999999999997</v>
      </c>
      <c r="BR76" s="2866"/>
      <c r="BS76" s="2865">
        <f t="shared" si="254"/>
        <v>68.739999999999995</v>
      </c>
      <c r="BT76" s="2866">
        <v>68.739999999999995</v>
      </c>
      <c r="BU76" s="2866"/>
      <c r="BV76" s="2865">
        <f t="shared" si="256"/>
        <v>78.786000000000001</v>
      </c>
      <c r="BW76" s="2866">
        <v>78.786000000000001</v>
      </c>
      <c r="BX76" s="2866"/>
      <c r="BY76" s="2865">
        <f t="shared" si="423"/>
        <v>202.143</v>
      </c>
      <c r="BZ76" s="2865">
        <f t="shared" si="424"/>
        <v>202.143</v>
      </c>
      <c r="CA76" s="2865">
        <f t="shared" si="424"/>
        <v>0</v>
      </c>
      <c r="CB76" s="2846">
        <f t="shared" si="441"/>
        <v>522.78069460500001</v>
      </c>
      <c r="CC76" s="2846">
        <f>617.95*0.8459919</f>
        <v>522.78069460500001</v>
      </c>
      <c r="CD76" s="2846">
        <v>0</v>
      </c>
      <c r="CE76" s="2867">
        <f t="shared" si="461"/>
        <v>644.35899999999992</v>
      </c>
      <c r="CF76" s="2982">
        <f t="shared" si="461"/>
        <v>644.35899999999992</v>
      </c>
      <c r="CG76" s="2982">
        <f t="shared" si="461"/>
        <v>0</v>
      </c>
      <c r="CH76" s="2867">
        <f t="shared" si="449"/>
        <v>121.57830539499992</v>
      </c>
      <c r="CI76" s="2867">
        <f t="shared" si="449"/>
        <v>121.57830539499992</v>
      </c>
      <c r="CJ76" s="2867">
        <f t="shared" si="449"/>
        <v>0</v>
      </c>
      <c r="CK76" s="2863"/>
      <c r="CL76" s="4187">
        <f t="shared" si="182"/>
        <v>522.78069460500001</v>
      </c>
      <c r="CM76" s="4187">
        <f t="shared" si="183"/>
        <v>522.78069460500001</v>
      </c>
      <c r="CN76" s="4187">
        <f t="shared" si="184"/>
        <v>0</v>
      </c>
    </row>
    <row r="77" spans="1:92" ht="18.75" customHeight="1" x14ac:dyDescent="0.3">
      <c r="A77" s="2873" t="s">
        <v>3735</v>
      </c>
      <c r="B77" s="2845">
        <f t="shared" si="507"/>
        <v>0</v>
      </c>
      <c r="C77" s="2845">
        <f t="shared" si="508"/>
        <v>0</v>
      </c>
      <c r="D77" s="2845">
        <f t="shared" si="509"/>
        <v>0</v>
      </c>
      <c r="E77" s="2865">
        <f t="shared" si="186"/>
        <v>0</v>
      </c>
      <c r="F77" s="2866"/>
      <c r="G77" s="2866"/>
      <c r="H77" s="2865">
        <f t="shared" si="187"/>
        <v>0</v>
      </c>
      <c r="I77" s="2866"/>
      <c r="J77" s="2866"/>
      <c r="K77" s="2865">
        <f t="shared" si="188"/>
        <v>0</v>
      </c>
      <c r="L77" s="2866"/>
      <c r="M77" s="2866"/>
      <c r="N77" s="2865">
        <f t="shared" si="398"/>
        <v>0</v>
      </c>
      <c r="O77" s="2865">
        <f t="shared" si="399"/>
        <v>0</v>
      </c>
      <c r="P77" s="2865">
        <f t="shared" si="399"/>
        <v>0</v>
      </c>
      <c r="Q77" s="2845">
        <f t="shared" si="452"/>
        <v>0</v>
      </c>
      <c r="R77" s="2845">
        <f t="shared" si="499"/>
        <v>0</v>
      </c>
      <c r="S77" s="2845">
        <f t="shared" si="500"/>
        <v>0</v>
      </c>
      <c r="T77" s="2865">
        <f t="shared" si="229"/>
        <v>0</v>
      </c>
      <c r="U77" s="2866"/>
      <c r="V77" s="2866"/>
      <c r="W77" s="2865">
        <f t="shared" si="231"/>
        <v>0</v>
      </c>
      <c r="X77" s="2866"/>
      <c r="Y77" s="2866"/>
      <c r="Z77" s="2865">
        <f t="shared" si="233"/>
        <v>0</v>
      </c>
      <c r="AA77" s="2866"/>
      <c r="AB77" s="2866"/>
      <c r="AC77" s="2865">
        <f t="shared" si="404"/>
        <v>0</v>
      </c>
      <c r="AD77" s="2865">
        <f t="shared" si="405"/>
        <v>0</v>
      </c>
      <c r="AE77" s="2865">
        <f t="shared" si="405"/>
        <v>0</v>
      </c>
      <c r="AF77" s="2846">
        <f t="shared" si="482"/>
        <v>0</v>
      </c>
      <c r="AG77" s="2846">
        <f t="shared" si="483"/>
        <v>0</v>
      </c>
      <c r="AH77" s="2846">
        <f t="shared" si="484"/>
        <v>0</v>
      </c>
      <c r="AI77" s="2867">
        <f t="shared" si="408"/>
        <v>0</v>
      </c>
      <c r="AJ77" s="2867">
        <f t="shared" si="408"/>
        <v>0</v>
      </c>
      <c r="AK77" s="2867">
        <f t="shared" si="408"/>
        <v>0</v>
      </c>
      <c r="AL77" s="2867">
        <f t="shared" ref="AL77:AN104" si="510">SUM(AI77-AF77)</f>
        <v>0</v>
      </c>
      <c r="AM77" s="2867">
        <f t="shared" si="510"/>
        <v>0</v>
      </c>
      <c r="AN77" s="2867">
        <f t="shared" si="510"/>
        <v>0</v>
      </c>
      <c r="AO77" s="2845">
        <f t="shared" si="501"/>
        <v>0</v>
      </c>
      <c r="AP77" s="2845">
        <f t="shared" si="502"/>
        <v>0</v>
      </c>
      <c r="AQ77" s="2845">
        <f t="shared" si="503"/>
        <v>0</v>
      </c>
      <c r="AR77" s="2865">
        <f t="shared" si="240"/>
        <v>0</v>
      </c>
      <c r="AS77" s="2866"/>
      <c r="AT77" s="2866"/>
      <c r="AU77" s="2865">
        <f t="shared" si="242"/>
        <v>0</v>
      </c>
      <c r="AV77" s="2866"/>
      <c r="AW77" s="2866"/>
      <c r="AX77" s="2865">
        <f t="shared" si="244"/>
        <v>0</v>
      </c>
      <c r="AY77" s="2866"/>
      <c r="AZ77" s="2866"/>
      <c r="BA77" s="2865">
        <f t="shared" si="413"/>
        <v>0</v>
      </c>
      <c r="BB77" s="2865">
        <f t="shared" si="414"/>
        <v>0</v>
      </c>
      <c r="BC77" s="2865">
        <f t="shared" si="414"/>
        <v>0</v>
      </c>
      <c r="BD77" s="2846">
        <f t="shared" si="490"/>
        <v>0</v>
      </c>
      <c r="BE77" s="2846">
        <f t="shared" si="491"/>
        <v>0</v>
      </c>
      <c r="BF77" s="2846">
        <f t="shared" si="492"/>
        <v>0</v>
      </c>
      <c r="BG77" s="2867">
        <f t="shared" si="459"/>
        <v>0</v>
      </c>
      <c r="BH77" s="2867">
        <f t="shared" si="459"/>
        <v>0</v>
      </c>
      <c r="BI77" s="2867">
        <f t="shared" si="459"/>
        <v>0</v>
      </c>
      <c r="BJ77" s="2867">
        <f t="shared" si="447"/>
        <v>0</v>
      </c>
      <c r="BK77" s="2867">
        <f t="shared" si="447"/>
        <v>0</v>
      </c>
      <c r="BL77" s="2867">
        <f t="shared" si="447"/>
        <v>0</v>
      </c>
      <c r="BM77" s="2845">
        <f t="shared" si="504"/>
        <v>0</v>
      </c>
      <c r="BN77" s="2845">
        <f t="shared" si="505"/>
        <v>0</v>
      </c>
      <c r="BO77" s="2845">
        <f t="shared" si="506"/>
        <v>0</v>
      </c>
      <c r="BP77" s="2865">
        <f t="shared" si="252"/>
        <v>0</v>
      </c>
      <c r="BQ77" s="2866"/>
      <c r="BR77" s="2866"/>
      <c r="BS77" s="2865">
        <f t="shared" si="254"/>
        <v>0</v>
      </c>
      <c r="BT77" s="2866"/>
      <c r="BU77" s="2866"/>
      <c r="BV77" s="2865">
        <f t="shared" si="256"/>
        <v>0</v>
      </c>
      <c r="BW77" s="2866"/>
      <c r="BX77" s="2866"/>
      <c r="BY77" s="2865">
        <f t="shared" si="423"/>
        <v>0</v>
      </c>
      <c r="BZ77" s="2865">
        <f t="shared" si="424"/>
        <v>0</v>
      </c>
      <c r="CA77" s="2865">
        <f t="shared" si="424"/>
        <v>0</v>
      </c>
      <c r="CB77" s="2846">
        <f t="shared" si="441"/>
        <v>0</v>
      </c>
      <c r="CC77" s="2846">
        <f>0*0.7811796</f>
        <v>0</v>
      </c>
      <c r="CD77" s="2846">
        <v>0</v>
      </c>
      <c r="CE77" s="2867">
        <f t="shared" si="461"/>
        <v>0</v>
      </c>
      <c r="CF77" s="2982">
        <f t="shared" si="461"/>
        <v>0</v>
      </c>
      <c r="CG77" s="2982">
        <f t="shared" si="461"/>
        <v>0</v>
      </c>
      <c r="CH77" s="2867">
        <f t="shared" si="449"/>
        <v>0</v>
      </c>
      <c r="CI77" s="2867">
        <f t="shared" si="449"/>
        <v>0</v>
      </c>
      <c r="CJ77" s="2867">
        <f t="shared" si="449"/>
        <v>0</v>
      </c>
      <c r="CK77" s="2863"/>
      <c r="CL77" s="4187">
        <f t="shared" si="182"/>
        <v>0</v>
      </c>
      <c r="CM77" s="4187">
        <f t="shared" si="183"/>
        <v>0</v>
      </c>
      <c r="CN77" s="4187">
        <f t="shared" si="184"/>
        <v>0</v>
      </c>
    </row>
    <row r="78" spans="1:92" ht="18.75" customHeight="1" x14ac:dyDescent="0.3">
      <c r="A78" s="2873" t="s">
        <v>592</v>
      </c>
      <c r="B78" s="2845">
        <f t="shared" si="507"/>
        <v>18.984058236000003</v>
      </c>
      <c r="C78" s="2845">
        <f t="shared" si="508"/>
        <v>18.984058236000003</v>
      </c>
      <c r="D78" s="2845">
        <f t="shared" si="509"/>
        <v>0</v>
      </c>
      <c r="E78" s="2865">
        <f t="shared" si="186"/>
        <v>0</v>
      </c>
      <c r="F78" s="2866"/>
      <c r="G78" s="2866"/>
      <c r="H78" s="2865">
        <f t="shared" si="187"/>
        <v>0</v>
      </c>
      <c r="I78" s="2866"/>
      <c r="J78" s="2866"/>
      <c r="K78" s="2865">
        <f t="shared" si="188"/>
        <v>0</v>
      </c>
      <c r="L78" s="2866"/>
      <c r="M78" s="2866"/>
      <c r="N78" s="2865">
        <f t="shared" si="398"/>
        <v>0</v>
      </c>
      <c r="O78" s="2865">
        <f t="shared" si="399"/>
        <v>0</v>
      </c>
      <c r="P78" s="2865">
        <f t="shared" si="399"/>
        <v>0</v>
      </c>
      <c r="Q78" s="2845">
        <f t="shared" si="452"/>
        <v>18.984058236000003</v>
      </c>
      <c r="R78" s="2845">
        <f t="shared" si="499"/>
        <v>18.984058236000003</v>
      </c>
      <c r="S78" s="2845">
        <f t="shared" si="500"/>
        <v>0</v>
      </c>
      <c r="T78" s="2865">
        <f t="shared" si="229"/>
        <v>0</v>
      </c>
      <c r="U78" s="2866"/>
      <c r="V78" s="2866"/>
      <c r="W78" s="2865">
        <f t="shared" si="231"/>
        <v>0</v>
      </c>
      <c r="X78" s="2866"/>
      <c r="Y78" s="2866"/>
      <c r="Z78" s="2865">
        <f t="shared" si="233"/>
        <v>0</v>
      </c>
      <c r="AA78" s="2866"/>
      <c r="AB78" s="2866"/>
      <c r="AC78" s="2865">
        <f t="shared" si="404"/>
        <v>0</v>
      </c>
      <c r="AD78" s="2865">
        <f t="shared" si="405"/>
        <v>0</v>
      </c>
      <c r="AE78" s="2865">
        <f t="shared" si="405"/>
        <v>0</v>
      </c>
      <c r="AF78" s="2846">
        <f t="shared" si="482"/>
        <v>37.968116472000006</v>
      </c>
      <c r="AG78" s="2846">
        <f t="shared" si="483"/>
        <v>37.968116472000006</v>
      </c>
      <c r="AH78" s="2846">
        <f t="shared" si="484"/>
        <v>0</v>
      </c>
      <c r="AI78" s="2867">
        <f t="shared" ref="AI78:AK104" si="511">SUM(AC78+N78)</f>
        <v>0</v>
      </c>
      <c r="AJ78" s="2867">
        <f t="shared" si="511"/>
        <v>0</v>
      </c>
      <c r="AK78" s="2867">
        <f t="shared" si="511"/>
        <v>0</v>
      </c>
      <c r="AL78" s="2867">
        <f t="shared" si="510"/>
        <v>-37.968116472000006</v>
      </c>
      <c r="AM78" s="2867">
        <f t="shared" si="510"/>
        <v>-37.968116472000006</v>
      </c>
      <c r="AN78" s="2867">
        <f t="shared" si="510"/>
        <v>0</v>
      </c>
      <c r="AO78" s="2845">
        <f t="shared" si="501"/>
        <v>18.984058236000003</v>
      </c>
      <c r="AP78" s="2845">
        <f t="shared" si="502"/>
        <v>18.984058236000003</v>
      </c>
      <c r="AQ78" s="2845">
        <f t="shared" si="503"/>
        <v>0</v>
      </c>
      <c r="AR78" s="2865">
        <f t="shared" si="240"/>
        <v>0</v>
      </c>
      <c r="AS78" s="2866"/>
      <c r="AT78" s="2866"/>
      <c r="AU78" s="2865">
        <f t="shared" si="242"/>
        <v>0</v>
      </c>
      <c r="AV78" s="2866"/>
      <c r="AW78" s="2866"/>
      <c r="AX78" s="2865">
        <f t="shared" si="244"/>
        <v>0</v>
      </c>
      <c r="AY78" s="2866"/>
      <c r="AZ78" s="2866"/>
      <c r="BA78" s="2865">
        <f t="shared" si="413"/>
        <v>0</v>
      </c>
      <c r="BB78" s="2865">
        <f t="shared" si="414"/>
        <v>0</v>
      </c>
      <c r="BC78" s="2865">
        <f t="shared" si="414"/>
        <v>0</v>
      </c>
      <c r="BD78" s="2846">
        <f t="shared" si="490"/>
        <v>56.952174708000008</v>
      </c>
      <c r="BE78" s="2846">
        <f t="shared" si="491"/>
        <v>56.952174708000008</v>
      </c>
      <c r="BF78" s="2846">
        <f t="shared" si="492"/>
        <v>0</v>
      </c>
      <c r="BG78" s="2867">
        <f t="shared" si="459"/>
        <v>0</v>
      </c>
      <c r="BH78" s="2867">
        <f t="shared" si="459"/>
        <v>0</v>
      </c>
      <c r="BI78" s="2867">
        <f t="shared" si="459"/>
        <v>0</v>
      </c>
      <c r="BJ78" s="2867">
        <f t="shared" si="447"/>
        <v>-56.952174708000008</v>
      </c>
      <c r="BK78" s="2867">
        <f t="shared" si="447"/>
        <v>-56.952174708000008</v>
      </c>
      <c r="BL78" s="2867">
        <f t="shared" si="447"/>
        <v>0</v>
      </c>
      <c r="BM78" s="2845">
        <f t="shared" si="504"/>
        <v>18.984058236000003</v>
      </c>
      <c r="BN78" s="2845">
        <f t="shared" si="505"/>
        <v>18.984058236000003</v>
      </c>
      <c r="BO78" s="2845">
        <f t="shared" si="506"/>
        <v>0</v>
      </c>
      <c r="BP78" s="2865">
        <f t="shared" si="252"/>
        <v>0</v>
      </c>
      <c r="BQ78" s="2866"/>
      <c r="BR78" s="2866"/>
      <c r="BS78" s="2865">
        <f t="shared" si="254"/>
        <v>0</v>
      </c>
      <c r="BT78" s="2866"/>
      <c r="BU78" s="2866"/>
      <c r="BV78" s="2865">
        <f t="shared" si="256"/>
        <v>0</v>
      </c>
      <c r="BW78" s="2866"/>
      <c r="BX78" s="2866"/>
      <c r="BY78" s="2865">
        <f t="shared" si="423"/>
        <v>0</v>
      </c>
      <c r="BZ78" s="2865">
        <f t="shared" si="424"/>
        <v>0</v>
      </c>
      <c r="CA78" s="2865">
        <f t="shared" si="424"/>
        <v>0</v>
      </c>
      <c r="CB78" s="2846">
        <f t="shared" si="441"/>
        <v>75.936232944000011</v>
      </c>
      <c r="CC78" s="2846">
        <f>89.76*0.8459919</f>
        <v>75.936232944000011</v>
      </c>
      <c r="CD78" s="2846">
        <v>0</v>
      </c>
      <c r="CE78" s="2867">
        <f t="shared" si="461"/>
        <v>0</v>
      </c>
      <c r="CF78" s="2982">
        <f t="shared" si="461"/>
        <v>0</v>
      </c>
      <c r="CG78" s="2982">
        <f t="shared" si="461"/>
        <v>0</v>
      </c>
      <c r="CH78" s="2867">
        <f t="shared" si="449"/>
        <v>-75.936232944000011</v>
      </c>
      <c r="CI78" s="2867">
        <f t="shared" si="449"/>
        <v>-75.936232944000011</v>
      </c>
      <c r="CJ78" s="2867">
        <f t="shared" si="449"/>
        <v>0</v>
      </c>
      <c r="CK78" s="2863"/>
      <c r="CL78" s="4187">
        <f t="shared" si="182"/>
        <v>75.936232944000011</v>
      </c>
      <c r="CM78" s="4187">
        <f t="shared" si="183"/>
        <v>75.936232944000011</v>
      </c>
      <c r="CN78" s="4187">
        <f t="shared" si="184"/>
        <v>0</v>
      </c>
    </row>
    <row r="79" spans="1:92" ht="18.75" customHeight="1" x14ac:dyDescent="0.3">
      <c r="A79" s="2873" t="s">
        <v>95</v>
      </c>
      <c r="B79" s="2845">
        <f t="shared" si="507"/>
        <v>10.67007283875</v>
      </c>
      <c r="C79" s="2845">
        <f t="shared" si="508"/>
        <v>10.67007283875</v>
      </c>
      <c r="D79" s="2845">
        <f t="shared" si="509"/>
        <v>0</v>
      </c>
      <c r="E79" s="2865">
        <f t="shared" si="186"/>
        <v>0</v>
      </c>
      <c r="F79" s="2866"/>
      <c r="G79" s="2866"/>
      <c r="H79" s="2865">
        <f t="shared" si="187"/>
        <v>0</v>
      </c>
      <c r="I79" s="2866"/>
      <c r="J79" s="2866"/>
      <c r="K79" s="2865">
        <f t="shared" si="188"/>
        <v>6.65</v>
      </c>
      <c r="L79" s="2866">
        <v>6.65</v>
      </c>
      <c r="M79" s="2866"/>
      <c r="N79" s="2865">
        <f t="shared" si="398"/>
        <v>6.65</v>
      </c>
      <c r="O79" s="2865">
        <f t="shared" si="399"/>
        <v>6.65</v>
      </c>
      <c r="P79" s="2865">
        <f t="shared" si="399"/>
        <v>0</v>
      </c>
      <c r="Q79" s="2845">
        <f t="shared" si="452"/>
        <v>10.67007283875</v>
      </c>
      <c r="R79" s="2845">
        <f t="shared" si="499"/>
        <v>10.67007283875</v>
      </c>
      <c r="S79" s="2845">
        <f t="shared" si="500"/>
        <v>0</v>
      </c>
      <c r="T79" s="2865">
        <f t="shared" si="229"/>
        <v>0</v>
      </c>
      <c r="U79" s="2866"/>
      <c r="V79" s="2866"/>
      <c r="W79" s="2865">
        <f t="shared" si="231"/>
        <v>0</v>
      </c>
      <c r="X79" s="2866"/>
      <c r="Y79" s="2866"/>
      <c r="Z79" s="2865">
        <f t="shared" si="233"/>
        <v>6.7270000000000003</v>
      </c>
      <c r="AA79" s="2866">
        <v>6.7270000000000003</v>
      </c>
      <c r="AB79" s="2866"/>
      <c r="AC79" s="2865">
        <f t="shared" si="404"/>
        <v>6.7270000000000003</v>
      </c>
      <c r="AD79" s="2865">
        <f t="shared" si="405"/>
        <v>6.7270000000000003</v>
      </c>
      <c r="AE79" s="2865">
        <f t="shared" si="405"/>
        <v>0</v>
      </c>
      <c r="AF79" s="2846">
        <f t="shared" si="482"/>
        <v>21.340145677500001</v>
      </c>
      <c r="AG79" s="2846">
        <f t="shared" si="483"/>
        <v>21.340145677500001</v>
      </c>
      <c r="AH79" s="2846">
        <f t="shared" si="484"/>
        <v>0</v>
      </c>
      <c r="AI79" s="2867">
        <f t="shared" si="511"/>
        <v>13.377000000000001</v>
      </c>
      <c r="AJ79" s="2867">
        <f t="shared" si="511"/>
        <v>13.377000000000001</v>
      </c>
      <c r="AK79" s="2867">
        <f t="shared" si="511"/>
        <v>0</v>
      </c>
      <c r="AL79" s="2867">
        <f t="shared" si="510"/>
        <v>-7.9631456775</v>
      </c>
      <c r="AM79" s="2867">
        <f t="shared" si="510"/>
        <v>-7.9631456775</v>
      </c>
      <c r="AN79" s="2867">
        <f t="shared" si="510"/>
        <v>0</v>
      </c>
      <c r="AO79" s="2845">
        <f t="shared" si="501"/>
        <v>10.67007283875</v>
      </c>
      <c r="AP79" s="2845">
        <f t="shared" si="502"/>
        <v>10.67007283875</v>
      </c>
      <c r="AQ79" s="2845">
        <f t="shared" si="503"/>
        <v>0</v>
      </c>
      <c r="AR79" s="2865">
        <f t="shared" si="240"/>
        <v>8.0000000000000002E-3</v>
      </c>
      <c r="AS79" s="2866">
        <v>8.0000000000000002E-3</v>
      </c>
      <c r="AT79" s="2866"/>
      <c r="AU79" s="2865">
        <f t="shared" si="242"/>
        <v>0</v>
      </c>
      <c r="AV79" s="2866"/>
      <c r="AW79" s="2866"/>
      <c r="AX79" s="2865">
        <f t="shared" si="244"/>
        <v>6.8</v>
      </c>
      <c r="AY79" s="2866">
        <v>6.8</v>
      </c>
      <c r="AZ79" s="2866"/>
      <c r="BA79" s="2865">
        <f t="shared" si="413"/>
        <v>6.8079999999999998</v>
      </c>
      <c r="BB79" s="2865">
        <f t="shared" si="414"/>
        <v>6.8079999999999998</v>
      </c>
      <c r="BC79" s="2865">
        <f t="shared" si="414"/>
        <v>0</v>
      </c>
      <c r="BD79" s="2846">
        <f t="shared" si="490"/>
        <v>32.010218516249999</v>
      </c>
      <c r="BE79" s="2846">
        <f t="shared" si="491"/>
        <v>32.010218516249999</v>
      </c>
      <c r="BF79" s="2846">
        <f t="shared" si="492"/>
        <v>0</v>
      </c>
      <c r="BG79" s="2867">
        <f t="shared" si="459"/>
        <v>20.185000000000002</v>
      </c>
      <c r="BH79" s="2867">
        <f t="shared" si="459"/>
        <v>20.185000000000002</v>
      </c>
      <c r="BI79" s="2867">
        <f t="shared" si="459"/>
        <v>0</v>
      </c>
      <c r="BJ79" s="2867">
        <f t="shared" si="447"/>
        <v>-11.825218516249997</v>
      </c>
      <c r="BK79" s="2867">
        <f t="shared" si="447"/>
        <v>-11.825218516249997</v>
      </c>
      <c r="BL79" s="2867">
        <f t="shared" si="447"/>
        <v>0</v>
      </c>
      <c r="BM79" s="2845">
        <f t="shared" si="504"/>
        <v>10.67007283875</v>
      </c>
      <c r="BN79" s="2845">
        <f t="shared" si="505"/>
        <v>10.67007283875</v>
      </c>
      <c r="BO79" s="2845">
        <f t="shared" si="506"/>
        <v>0</v>
      </c>
      <c r="BP79" s="2865">
        <f t="shared" si="252"/>
        <v>0</v>
      </c>
      <c r="BQ79" s="2866"/>
      <c r="BR79" s="2866"/>
      <c r="BS79" s="2865">
        <f t="shared" si="254"/>
        <v>0</v>
      </c>
      <c r="BT79" s="2866"/>
      <c r="BU79" s="2866"/>
      <c r="BV79" s="2865">
        <f t="shared" si="256"/>
        <v>6.8010000000000002</v>
      </c>
      <c r="BW79" s="2866">
        <v>6.8010000000000002</v>
      </c>
      <c r="BX79" s="2866"/>
      <c r="BY79" s="2865">
        <f t="shared" si="423"/>
        <v>6.8010000000000002</v>
      </c>
      <c r="BZ79" s="2865">
        <f t="shared" si="424"/>
        <v>6.8010000000000002</v>
      </c>
      <c r="CA79" s="2865">
        <f t="shared" si="424"/>
        <v>0</v>
      </c>
      <c r="CB79" s="2846">
        <f t="shared" si="441"/>
        <v>42.680291355000001</v>
      </c>
      <c r="CC79" s="2846">
        <f>50.45*0.8459919</f>
        <v>42.680291355000001</v>
      </c>
      <c r="CD79" s="2846">
        <v>0</v>
      </c>
      <c r="CE79" s="2867">
        <f t="shared" si="461"/>
        <v>26.986000000000004</v>
      </c>
      <c r="CF79" s="2982">
        <f t="shared" si="461"/>
        <v>26.986000000000004</v>
      </c>
      <c r="CG79" s="2982">
        <f t="shared" si="461"/>
        <v>0</v>
      </c>
      <c r="CH79" s="2867">
        <f t="shared" si="449"/>
        <v>-15.694291354999997</v>
      </c>
      <c r="CI79" s="2867">
        <f t="shared" si="449"/>
        <v>-15.694291354999997</v>
      </c>
      <c r="CJ79" s="2867">
        <f t="shared" si="449"/>
        <v>0</v>
      </c>
      <c r="CK79" s="2863"/>
      <c r="CL79" s="4187">
        <f t="shared" si="182"/>
        <v>42.680291355000001</v>
      </c>
      <c r="CM79" s="4187">
        <f t="shared" si="183"/>
        <v>42.680291355000001</v>
      </c>
      <c r="CN79" s="4187">
        <f t="shared" si="184"/>
        <v>0</v>
      </c>
    </row>
    <row r="80" spans="1:92" ht="18.75" customHeight="1" x14ac:dyDescent="0.3">
      <c r="A80" s="2873" t="s">
        <v>42</v>
      </c>
      <c r="B80" s="2845">
        <f t="shared" si="507"/>
        <v>15.1813246455</v>
      </c>
      <c r="C80" s="2845">
        <f t="shared" si="508"/>
        <v>15.1813246455</v>
      </c>
      <c r="D80" s="2845">
        <f t="shared" si="509"/>
        <v>0</v>
      </c>
      <c r="E80" s="2865">
        <f t="shared" si="186"/>
        <v>0</v>
      </c>
      <c r="F80" s="2866"/>
      <c r="G80" s="2866"/>
      <c r="H80" s="2865">
        <f t="shared" si="187"/>
        <v>0</v>
      </c>
      <c r="I80" s="2866"/>
      <c r="J80" s="2866"/>
      <c r="K80" s="2865">
        <f t="shared" si="188"/>
        <v>6.0759999999999996</v>
      </c>
      <c r="L80" s="2866">
        <v>6.0759999999999996</v>
      </c>
      <c r="M80" s="2866"/>
      <c r="N80" s="2865">
        <f t="shared" si="398"/>
        <v>6.0759999999999996</v>
      </c>
      <c r="O80" s="2865">
        <f t="shared" si="399"/>
        <v>6.0759999999999996</v>
      </c>
      <c r="P80" s="2865">
        <f t="shared" si="399"/>
        <v>0</v>
      </c>
      <c r="Q80" s="2845">
        <f t="shared" si="452"/>
        <v>15.1813246455</v>
      </c>
      <c r="R80" s="2845">
        <f t="shared" si="499"/>
        <v>15.1813246455</v>
      </c>
      <c r="S80" s="2845">
        <f t="shared" si="500"/>
        <v>0</v>
      </c>
      <c r="T80" s="2865">
        <f t="shared" si="229"/>
        <v>0</v>
      </c>
      <c r="U80" s="2866"/>
      <c r="V80" s="2866"/>
      <c r="W80" s="2865">
        <f t="shared" si="231"/>
        <v>0</v>
      </c>
      <c r="X80" s="2866"/>
      <c r="Y80" s="2866"/>
      <c r="Z80" s="2865">
        <f t="shared" si="233"/>
        <v>50.335999999999999</v>
      </c>
      <c r="AA80" s="2866">
        <f>14.852+35.484</f>
        <v>50.335999999999999</v>
      </c>
      <c r="AB80" s="2866"/>
      <c r="AC80" s="2865">
        <f t="shared" si="404"/>
        <v>50.335999999999999</v>
      </c>
      <c r="AD80" s="2865">
        <f t="shared" si="405"/>
        <v>50.335999999999999</v>
      </c>
      <c r="AE80" s="2865">
        <f t="shared" si="405"/>
        <v>0</v>
      </c>
      <c r="AF80" s="2846">
        <f t="shared" si="482"/>
        <v>30.362649291</v>
      </c>
      <c r="AG80" s="2846">
        <f t="shared" si="483"/>
        <v>30.362649291</v>
      </c>
      <c r="AH80" s="2846">
        <f t="shared" si="484"/>
        <v>0</v>
      </c>
      <c r="AI80" s="2867">
        <f t="shared" si="511"/>
        <v>56.411999999999999</v>
      </c>
      <c r="AJ80" s="2867">
        <f t="shared" si="511"/>
        <v>56.411999999999999</v>
      </c>
      <c r="AK80" s="2867">
        <f t="shared" si="511"/>
        <v>0</v>
      </c>
      <c r="AL80" s="2867">
        <f t="shared" si="510"/>
        <v>26.049350708999999</v>
      </c>
      <c r="AM80" s="2867">
        <f t="shared" si="510"/>
        <v>26.049350708999999</v>
      </c>
      <c r="AN80" s="2867">
        <f t="shared" si="510"/>
        <v>0</v>
      </c>
      <c r="AO80" s="2845">
        <f t="shared" si="501"/>
        <v>15.1813246455</v>
      </c>
      <c r="AP80" s="2845">
        <f t="shared" si="502"/>
        <v>15.1813246455</v>
      </c>
      <c r="AQ80" s="2845">
        <f t="shared" si="503"/>
        <v>0</v>
      </c>
      <c r="AR80" s="2865">
        <f t="shared" si="240"/>
        <v>0</v>
      </c>
      <c r="AS80" s="2866"/>
      <c r="AT80" s="2866"/>
      <c r="AU80" s="2865">
        <f t="shared" si="242"/>
        <v>0</v>
      </c>
      <c r="AV80" s="2866"/>
      <c r="AW80" s="2866"/>
      <c r="AX80" s="2865">
        <f t="shared" si="244"/>
        <v>34.158999999999999</v>
      </c>
      <c r="AY80" s="2866">
        <v>34.158999999999999</v>
      </c>
      <c r="AZ80" s="2866"/>
      <c r="BA80" s="2865">
        <f t="shared" si="413"/>
        <v>34.158999999999999</v>
      </c>
      <c r="BB80" s="2865">
        <f t="shared" si="414"/>
        <v>34.158999999999999</v>
      </c>
      <c r="BC80" s="2865">
        <f t="shared" si="414"/>
        <v>0</v>
      </c>
      <c r="BD80" s="2846">
        <f t="shared" si="490"/>
        <v>45.543973936500002</v>
      </c>
      <c r="BE80" s="2846">
        <f t="shared" si="491"/>
        <v>45.543973936500002</v>
      </c>
      <c r="BF80" s="2846">
        <f t="shared" si="492"/>
        <v>0</v>
      </c>
      <c r="BG80" s="2867">
        <f t="shared" si="459"/>
        <v>90.570999999999998</v>
      </c>
      <c r="BH80" s="2867">
        <f t="shared" si="459"/>
        <v>90.570999999999998</v>
      </c>
      <c r="BI80" s="2867">
        <f t="shared" si="459"/>
        <v>0</v>
      </c>
      <c r="BJ80" s="2867">
        <f t="shared" si="447"/>
        <v>45.027026063499996</v>
      </c>
      <c r="BK80" s="2867">
        <f t="shared" si="447"/>
        <v>45.027026063499996</v>
      </c>
      <c r="BL80" s="2867">
        <f t="shared" si="447"/>
        <v>0</v>
      </c>
      <c r="BM80" s="2845">
        <f t="shared" si="504"/>
        <v>15.1813246455</v>
      </c>
      <c r="BN80" s="2845">
        <f t="shared" si="505"/>
        <v>15.1813246455</v>
      </c>
      <c r="BO80" s="2845">
        <f t="shared" si="506"/>
        <v>0</v>
      </c>
      <c r="BP80" s="2865">
        <f t="shared" si="252"/>
        <v>0</v>
      </c>
      <c r="BQ80" s="2866"/>
      <c r="BR80" s="2866"/>
      <c r="BS80" s="2865">
        <f t="shared" si="254"/>
        <v>0</v>
      </c>
      <c r="BT80" s="2866"/>
      <c r="BU80" s="2866"/>
      <c r="BV80" s="2865">
        <f t="shared" si="256"/>
        <v>15.468</v>
      </c>
      <c r="BW80" s="2866">
        <v>15.468</v>
      </c>
      <c r="BX80" s="2866"/>
      <c r="BY80" s="2865">
        <f t="shared" si="423"/>
        <v>15.468</v>
      </c>
      <c r="BZ80" s="2865">
        <f t="shared" si="424"/>
        <v>15.468</v>
      </c>
      <c r="CA80" s="2865">
        <f t="shared" si="424"/>
        <v>0</v>
      </c>
      <c r="CB80" s="2846">
        <f t="shared" si="441"/>
        <v>60.725298582000001</v>
      </c>
      <c r="CC80" s="2846">
        <f>71.78*0.8459919</f>
        <v>60.725298582000001</v>
      </c>
      <c r="CD80" s="2846">
        <v>0</v>
      </c>
      <c r="CE80" s="2867">
        <f t="shared" si="461"/>
        <v>106.039</v>
      </c>
      <c r="CF80" s="2982">
        <f t="shared" si="461"/>
        <v>106.039</v>
      </c>
      <c r="CG80" s="2982">
        <f t="shared" si="461"/>
        <v>0</v>
      </c>
      <c r="CH80" s="2867">
        <f t="shared" si="449"/>
        <v>45.313701418000001</v>
      </c>
      <c r="CI80" s="2867">
        <f t="shared" si="449"/>
        <v>45.313701418000001</v>
      </c>
      <c r="CJ80" s="2867">
        <f t="shared" si="449"/>
        <v>0</v>
      </c>
      <c r="CK80" s="2863"/>
      <c r="CL80" s="4187">
        <f t="shared" si="182"/>
        <v>60.725298582000001</v>
      </c>
      <c r="CM80" s="4187">
        <f t="shared" si="183"/>
        <v>60.725298582000001</v>
      </c>
      <c r="CN80" s="4187">
        <f t="shared" si="184"/>
        <v>0</v>
      </c>
    </row>
    <row r="81" spans="1:92" ht="18.75" customHeight="1" x14ac:dyDescent="0.3">
      <c r="A81" s="2873" t="s">
        <v>593</v>
      </c>
      <c r="B81" s="2845">
        <f t="shared" si="507"/>
        <v>35.398416075749999</v>
      </c>
      <c r="C81" s="2845">
        <f t="shared" si="508"/>
        <v>35.398416075749999</v>
      </c>
      <c r="D81" s="2845">
        <f t="shared" si="509"/>
        <v>0</v>
      </c>
      <c r="E81" s="2865">
        <f t="shared" si="186"/>
        <v>0</v>
      </c>
      <c r="F81" s="2866"/>
      <c r="G81" s="2866"/>
      <c r="H81" s="2865">
        <f t="shared" si="187"/>
        <v>0</v>
      </c>
      <c r="I81" s="2866"/>
      <c r="J81" s="2866"/>
      <c r="K81" s="2865">
        <f t="shared" si="188"/>
        <v>19.43</v>
      </c>
      <c r="L81" s="2866">
        <v>19.43</v>
      </c>
      <c r="M81" s="2866"/>
      <c r="N81" s="2865">
        <f t="shared" si="398"/>
        <v>19.43</v>
      </c>
      <c r="O81" s="2865">
        <f t="shared" si="399"/>
        <v>19.43</v>
      </c>
      <c r="P81" s="2865">
        <f t="shared" si="399"/>
        <v>0</v>
      </c>
      <c r="Q81" s="2845">
        <f t="shared" si="452"/>
        <v>35.398416075749999</v>
      </c>
      <c r="R81" s="2845">
        <f t="shared" si="499"/>
        <v>35.398416075749999</v>
      </c>
      <c r="S81" s="2845">
        <f t="shared" si="500"/>
        <v>0</v>
      </c>
      <c r="T81" s="2865">
        <f t="shared" si="229"/>
        <v>0.23</v>
      </c>
      <c r="U81" s="2866">
        <v>0.23</v>
      </c>
      <c r="V81" s="2866"/>
      <c r="W81" s="2865">
        <f t="shared" si="231"/>
        <v>17.8</v>
      </c>
      <c r="X81" s="2866">
        <v>17.8</v>
      </c>
      <c r="Y81" s="2866"/>
      <c r="Z81" s="2865">
        <f t="shared" si="233"/>
        <v>22.361000000000001</v>
      </c>
      <c r="AA81" s="2866">
        <v>22.361000000000001</v>
      </c>
      <c r="AB81" s="2866"/>
      <c r="AC81" s="2865">
        <f t="shared" si="404"/>
        <v>40.391000000000005</v>
      </c>
      <c r="AD81" s="2865">
        <f t="shared" si="405"/>
        <v>40.391000000000005</v>
      </c>
      <c r="AE81" s="2865">
        <f t="shared" si="405"/>
        <v>0</v>
      </c>
      <c r="AF81" s="2846">
        <f t="shared" si="482"/>
        <v>70.796832151499999</v>
      </c>
      <c r="AG81" s="2846">
        <f t="shared" si="483"/>
        <v>70.796832151499999</v>
      </c>
      <c r="AH81" s="2846">
        <f t="shared" si="484"/>
        <v>0</v>
      </c>
      <c r="AI81" s="2867">
        <f t="shared" si="511"/>
        <v>59.821000000000005</v>
      </c>
      <c r="AJ81" s="2867">
        <f t="shared" si="511"/>
        <v>59.821000000000005</v>
      </c>
      <c r="AK81" s="2867">
        <f t="shared" si="511"/>
        <v>0</v>
      </c>
      <c r="AL81" s="2867">
        <f t="shared" si="510"/>
        <v>-10.975832151499993</v>
      </c>
      <c r="AM81" s="2867">
        <f t="shared" si="510"/>
        <v>-10.975832151499993</v>
      </c>
      <c r="AN81" s="2867">
        <f t="shared" si="510"/>
        <v>0</v>
      </c>
      <c r="AO81" s="2845">
        <f t="shared" si="501"/>
        <v>35.398416075749999</v>
      </c>
      <c r="AP81" s="2845">
        <f t="shared" si="502"/>
        <v>35.398416075749999</v>
      </c>
      <c r="AQ81" s="2845">
        <f t="shared" si="503"/>
        <v>0</v>
      </c>
      <c r="AR81" s="2865">
        <f t="shared" si="240"/>
        <v>0</v>
      </c>
      <c r="AS81" s="2866"/>
      <c r="AT81" s="2866"/>
      <c r="AU81" s="2865">
        <f t="shared" si="242"/>
        <v>23.45</v>
      </c>
      <c r="AV81" s="2866">
        <f>22.725+0.325+0.4</f>
        <v>23.45</v>
      </c>
      <c r="AW81" s="2866"/>
      <c r="AX81" s="2865">
        <f t="shared" si="244"/>
        <v>10.589</v>
      </c>
      <c r="AY81" s="2866">
        <v>10.589</v>
      </c>
      <c r="AZ81" s="2866"/>
      <c r="BA81" s="2865">
        <f t="shared" si="413"/>
        <v>34.039000000000001</v>
      </c>
      <c r="BB81" s="2865">
        <f t="shared" si="414"/>
        <v>34.039000000000001</v>
      </c>
      <c r="BC81" s="2865">
        <f t="shared" si="414"/>
        <v>0</v>
      </c>
      <c r="BD81" s="2846">
        <f t="shared" si="490"/>
        <v>106.19524822725</v>
      </c>
      <c r="BE81" s="2846">
        <f t="shared" si="491"/>
        <v>106.19524822725</v>
      </c>
      <c r="BF81" s="2846">
        <f t="shared" si="492"/>
        <v>0</v>
      </c>
      <c r="BG81" s="2867">
        <f t="shared" si="459"/>
        <v>93.860000000000014</v>
      </c>
      <c r="BH81" s="2867">
        <f t="shared" si="459"/>
        <v>93.860000000000014</v>
      </c>
      <c r="BI81" s="2867">
        <f t="shared" si="459"/>
        <v>0</v>
      </c>
      <c r="BJ81" s="2867">
        <f t="shared" ref="BJ81:BL98" si="512">SUM(BG81-BD81)</f>
        <v>-12.335248227249991</v>
      </c>
      <c r="BK81" s="2867">
        <f t="shared" si="512"/>
        <v>-12.335248227249991</v>
      </c>
      <c r="BL81" s="2867">
        <f t="shared" si="512"/>
        <v>0</v>
      </c>
      <c r="BM81" s="2845">
        <f t="shared" si="504"/>
        <v>35.398416075749999</v>
      </c>
      <c r="BN81" s="2845">
        <f t="shared" si="505"/>
        <v>35.398416075749999</v>
      </c>
      <c r="BO81" s="2845">
        <f t="shared" si="506"/>
        <v>0</v>
      </c>
      <c r="BP81" s="2865">
        <f t="shared" si="252"/>
        <v>0</v>
      </c>
      <c r="BQ81" s="2866"/>
      <c r="BR81" s="2866"/>
      <c r="BS81" s="2865">
        <f t="shared" si="254"/>
        <v>1.167</v>
      </c>
      <c r="BT81" s="2866">
        <v>1.167</v>
      </c>
      <c r="BU81" s="2866"/>
      <c r="BV81" s="2865">
        <f t="shared" si="256"/>
        <v>44.667000000000002</v>
      </c>
      <c r="BW81" s="2866">
        <v>44.667000000000002</v>
      </c>
      <c r="BX81" s="2866"/>
      <c r="BY81" s="2865">
        <f t="shared" si="423"/>
        <v>45.834000000000003</v>
      </c>
      <c r="BZ81" s="2865">
        <f t="shared" si="424"/>
        <v>45.834000000000003</v>
      </c>
      <c r="CA81" s="2865">
        <f t="shared" si="424"/>
        <v>0</v>
      </c>
      <c r="CB81" s="2846">
        <f t="shared" si="441"/>
        <v>141.593664303</v>
      </c>
      <c r="CC81" s="2846">
        <f>167.37*0.8459919</f>
        <v>141.593664303</v>
      </c>
      <c r="CD81" s="2846">
        <v>0</v>
      </c>
      <c r="CE81" s="2867">
        <f t="shared" si="461"/>
        <v>139.69400000000002</v>
      </c>
      <c r="CF81" s="2982">
        <f t="shared" si="461"/>
        <v>139.69400000000002</v>
      </c>
      <c r="CG81" s="2982">
        <f t="shared" si="461"/>
        <v>0</v>
      </c>
      <c r="CH81" s="2867">
        <f t="shared" ref="CH81:CJ98" si="513">SUM(CE81-CB81)</f>
        <v>-1.8996643029999802</v>
      </c>
      <c r="CI81" s="2867">
        <f t="shared" si="513"/>
        <v>-1.8996643029999802</v>
      </c>
      <c r="CJ81" s="2867">
        <f t="shared" si="513"/>
        <v>0</v>
      </c>
      <c r="CK81" s="2863"/>
      <c r="CL81" s="4187">
        <f t="shared" si="182"/>
        <v>141.593664303</v>
      </c>
      <c r="CM81" s="4187">
        <f t="shared" si="183"/>
        <v>141.593664303</v>
      </c>
      <c r="CN81" s="4187">
        <f t="shared" si="184"/>
        <v>0</v>
      </c>
    </row>
    <row r="82" spans="1:92" ht="18.75" customHeight="1" x14ac:dyDescent="0.3">
      <c r="A82" s="2873" t="s">
        <v>3736</v>
      </c>
      <c r="B82" s="2845">
        <f t="shared" si="507"/>
        <v>0</v>
      </c>
      <c r="C82" s="2845">
        <f t="shared" si="508"/>
        <v>0</v>
      </c>
      <c r="D82" s="2845">
        <f t="shared" si="509"/>
        <v>0</v>
      </c>
      <c r="E82" s="2865">
        <f t="shared" si="186"/>
        <v>0</v>
      </c>
      <c r="F82" s="2866"/>
      <c r="G82" s="2866"/>
      <c r="H82" s="2865">
        <f t="shared" si="187"/>
        <v>0</v>
      </c>
      <c r="I82" s="2866"/>
      <c r="J82" s="2866"/>
      <c r="K82" s="2865">
        <f t="shared" si="188"/>
        <v>0</v>
      </c>
      <c r="L82" s="2866"/>
      <c r="M82" s="2866"/>
      <c r="N82" s="2865">
        <f t="shared" si="398"/>
        <v>0</v>
      </c>
      <c r="O82" s="2865">
        <f t="shared" si="399"/>
        <v>0</v>
      </c>
      <c r="P82" s="2865">
        <f t="shared" si="399"/>
        <v>0</v>
      </c>
      <c r="Q82" s="2845">
        <f t="shared" si="452"/>
        <v>0</v>
      </c>
      <c r="R82" s="2845">
        <f t="shared" si="499"/>
        <v>0</v>
      </c>
      <c r="S82" s="2845">
        <f t="shared" si="500"/>
        <v>0</v>
      </c>
      <c r="T82" s="2865">
        <f t="shared" si="229"/>
        <v>0</v>
      </c>
      <c r="U82" s="2866"/>
      <c r="V82" s="2866"/>
      <c r="W82" s="2865">
        <f t="shared" si="231"/>
        <v>0</v>
      </c>
      <c r="X82" s="2866"/>
      <c r="Y82" s="2866"/>
      <c r="Z82" s="2865">
        <f t="shared" si="233"/>
        <v>0</v>
      </c>
      <c r="AA82" s="2866"/>
      <c r="AB82" s="2866"/>
      <c r="AC82" s="2865">
        <f t="shared" si="404"/>
        <v>0</v>
      </c>
      <c r="AD82" s="2865">
        <f t="shared" si="405"/>
        <v>0</v>
      </c>
      <c r="AE82" s="2865">
        <f t="shared" si="405"/>
        <v>0</v>
      </c>
      <c r="AF82" s="2846">
        <f t="shared" si="482"/>
        <v>0</v>
      </c>
      <c r="AG82" s="2846">
        <f t="shared" si="483"/>
        <v>0</v>
      </c>
      <c r="AH82" s="2846">
        <f t="shared" si="484"/>
        <v>0</v>
      </c>
      <c r="AI82" s="2867">
        <f t="shared" si="511"/>
        <v>0</v>
      </c>
      <c r="AJ82" s="2867">
        <f t="shared" si="511"/>
        <v>0</v>
      </c>
      <c r="AK82" s="2867">
        <f t="shared" si="511"/>
        <v>0</v>
      </c>
      <c r="AL82" s="2867">
        <f t="shared" si="510"/>
        <v>0</v>
      </c>
      <c r="AM82" s="2867">
        <f t="shared" si="510"/>
        <v>0</v>
      </c>
      <c r="AN82" s="2867">
        <f t="shared" si="510"/>
        <v>0</v>
      </c>
      <c r="AO82" s="2845">
        <f t="shared" si="501"/>
        <v>0</v>
      </c>
      <c r="AP82" s="2845">
        <f t="shared" si="502"/>
        <v>0</v>
      </c>
      <c r="AQ82" s="2845">
        <f t="shared" si="503"/>
        <v>0</v>
      </c>
      <c r="AR82" s="2865">
        <f t="shared" si="240"/>
        <v>0</v>
      </c>
      <c r="AS82" s="2866"/>
      <c r="AT82" s="2866"/>
      <c r="AU82" s="2865">
        <f t="shared" si="242"/>
        <v>0</v>
      </c>
      <c r="AV82" s="2866"/>
      <c r="AW82" s="2866"/>
      <c r="AX82" s="2865">
        <f t="shared" si="244"/>
        <v>0</v>
      </c>
      <c r="AY82" s="2866"/>
      <c r="AZ82" s="2866"/>
      <c r="BA82" s="2865">
        <f t="shared" si="413"/>
        <v>0</v>
      </c>
      <c r="BB82" s="2865">
        <f t="shared" si="414"/>
        <v>0</v>
      </c>
      <c r="BC82" s="2865">
        <f t="shared" si="414"/>
        <v>0</v>
      </c>
      <c r="BD82" s="2846">
        <f t="shared" si="490"/>
        <v>0</v>
      </c>
      <c r="BE82" s="2846">
        <f t="shared" si="491"/>
        <v>0</v>
      </c>
      <c r="BF82" s="2846">
        <f t="shared" si="492"/>
        <v>0</v>
      </c>
      <c r="BG82" s="2867">
        <f t="shared" si="459"/>
        <v>0</v>
      </c>
      <c r="BH82" s="2867">
        <f t="shared" si="459"/>
        <v>0</v>
      </c>
      <c r="BI82" s="2867">
        <f t="shared" si="459"/>
        <v>0</v>
      </c>
      <c r="BJ82" s="2867">
        <f t="shared" si="512"/>
        <v>0</v>
      </c>
      <c r="BK82" s="2867">
        <f t="shared" si="512"/>
        <v>0</v>
      </c>
      <c r="BL82" s="2867">
        <f t="shared" si="512"/>
        <v>0</v>
      </c>
      <c r="BM82" s="2845">
        <f t="shared" si="504"/>
        <v>0</v>
      </c>
      <c r="BN82" s="2845">
        <f t="shared" si="505"/>
        <v>0</v>
      </c>
      <c r="BO82" s="2845">
        <f t="shared" si="506"/>
        <v>0</v>
      </c>
      <c r="BP82" s="2865">
        <f t="shared" si="252"/>
        <v>0</v>
      </c>
      <c r="BQ82" s="2866"/>
      <c r="BR82" s="2866"/>
      <c r="BS82" s="2865">
        <f t="shared" si="254"/>
        <v>0</v>
      </c>
      <c r="BT82" s="2866"/>
      <c r="BU82" s="2866"/>
      <c r="BV82" s="2865">
        <f t="shared" si="256"/>
        <v>0</v>
      </c>
      <c r="BW82" s="2866"/>
      <c r="BX82" s="2866"/>
      <c r="BY82" s="2865">
        <f t="shared" si="423"/>
        <v>0</v>
      </c>
      <c r="BZ82" s="2865">
        <f t="shared" si="424"/>
        <v>0</v>
      </c>
      <c r="CA82" s="2865">
        <f t="shared" si="424"/>
        <v>0</v>
      </c>
      <c r="CB82" s="2846">
        <f t="shared" si="441"/>
        <v>0</v>
      </c>
      <c r="CC82" s="2846">
        <f>0*0.7811796</f>
        <v>0</v>
      </c>
      <c r="CD82" s="2846">
        <v>0</v>
      </c>
      <c r="CE82" s="2867">
        <f t="shared" si="461"/>
        <v>0</v>
      </c>
      <c r="CF82" s="2982">
        <f t="shared" si="461"/>
        <v>0</v>
      </c>
      <c r="CG82" s="2982">
        <f t="shared" si="461"/>
        <v>0</v>
      </c>
      <c r="CH82" s="2867">
        <f t="shared" si="513"/>
        <v>0</v>
      </c>
      <c r="CI82" s="2867">
        <f t="shared" si="513"/>
        <v>0</v>
      </c>
      <c r="CJ82" s="2867">
        <f t="shared" si="513"/>
        <v>0</v>
      </c>
      <c r="CK82" s="2863"/>
      <c r="CL82" s="4187">
        <f t="shared" si="182"/>
        <v>0</v>
      </c>
      <c r="CM82" s="4187">
        <f t="shared" si="183"/>
        <v>0</v>
      </c>
      <c r="CN82" s="4187">
        <f t="shared" si="184"/>
        <v>0</v>
      </c>
    </row>
    <row r="83" spans="1:92" ht="18.75" customHeight="1" x14ac:dyDescent="0.3">
      <c r="A83" s="2873" t="s">
        <v>596</v>
      </c>
      <c r="B83" s="2845">
        <f t="shared" si="507"/>
        <v>71.033709883500009</v>
      </c>
      <c r="C83" s="2845">
        <f t="shared" si="508"/>
        <v>71.033709883500009</v>
      </c>
      <c r="D83" s="2845">
        <f t="shared" si="509"/>
        <v>0</v>
      </c>
      <c r="E83" s="2865">
        <f t="shared" si="186"/>
        <v>0</v>
      </c>
      <c r="F83" s="2866"/>
      <c r="G83" s="2866"/>
      <c r="H83" s="2865">
        <f t="shared" si="187"/>
        <v>0</v>
      </c>
      <c r="I83" s="2866"/>
      <c r="J83" s="2866"/>
      <c r="K83" s="2865">
        <f t="shared" si="188"/>
        <v>0</v>
      </c>
      <c r="L83" s="2866"/>
      <c r="M83" s="2866"/>
      <c r="N83" s="2865">
        <f t="shared" si="398"/>
        <v>0</v>
      </c>
      <c r="O83" s="2865">
        <f t="shared" si="399"/>
        <v>0</v>
      </c>
      <c r="P83" s="2865">
        <f t="shared" si="399"/>
        <v>0</v>
      </c>
      <c r="Q83" s="2845">
        <f t="shared" si="452"/>
        <v>71.033709883500009</v>
      </c>
      <c r="R83" s="2845">
        <f t="shared" si="499"/>
        <v>71.033709883500009</v>
      </c>
      <c r="S83" s="2845">
        <f t="shared" si="500"/>
        <v>0</v>
      </c>
      <c r="T83" s="2865">
        <f t="shared" si="229"/>
        <v>68.55</v>
      </c>
      <c r="U83" s="2866">
        <v>68.55</v>
      </c>
      <c r="V83" s="2866"/>
      <c r="W83" s="2865">
        <f t="shared" si="231"/>
        <v>25.54</v>
      </c>
      <c r="X83" s="2866">
        <v>25.54</v>
      </c>
      <c r="Y83" s="2866"/>
      <c r="Z83" s="2865">
        <f t="shared" si="233"/>
        <v>0</v>
      </c>
      <c r="AA83" s="2866"/>
      <c r="AB83" s="2866"/>
      <c r="AC83" s="2865">
        <f t="shared" si="404"/>
        <v>94.09</v>
      </c>
      <c r="AD83" s="2865">
        <f t="shared" si="405"/>
        <v>94.09</v>
      </c>
      <c r="AE83" s="2865">
        <f t="shared" si="405"/>
        <v>0</v>
      </c>
      <c r="AF83" s="2846">
        <f t="shared" si="482"/>
        <v>142.06741976700002</v>
      </c>
      <c r="AG83" s="2846">
        <f t="shared" si="483"/>
        <v>142.06741976700002</v>
      </c>
      <c r="AH83" s="2846">
        <f t="shared" si="484"/>
        <v>0</v>
      </c>
      <c r="AI83" s="2867">
        <f t="shared" si="511"/>
        <v>94.09</v>
      </c>
      <c r="AJ83" s="2867">
        <f t="shared" si="511"/>
        <v>94.09</v>
      </c>
      <c r="AK83" s="2867">
        <f t="shared" si="511"/>
        <v>0</v>
      </c>
      <c r="AL83" s="2867">
        <f t="shared" si="510"/>
        <v>-47.977419767000015</v>
      </c>
      <c r="AM83" s="2867">
        <f t="shared" si="510"/>
        <v>-47.977419767000015</v>
      </c>
      <c r="AN83" s="2867">
        <f t="shared" si="510"/>
        <v>0</v>
      </c>
      <c r="AO83" s="2845">
        <f t="shared" si="501"/>
        <v>71.033709883500009</v>
      </c>
      <c r="AP83" s="2845">
        <f t="shared" si="502"/>
        <v>71.033709883500009</v>
      </c>
      <c r="AQ83" s="2845">
        <f t="shared" si="503"/>
        <v>0</v>
      </c>
      <c r="AR83" s="2865">
        <f t="shared" si="240"/>
        <v>7</v>
      </c>
      <c r="AS83" s="2866">
        <v>7</v>
      </c>
      <c r="AT83" s="2866"/>
      <c r="AU83" s="2865">
        <f t="shared" si="242"/>
        <v>26.692</v>
      </c>
      <c r="AV83" s="2866">
        <v>26.692</v>
      </c>
      <c r="AW83" s="2866"/>
      <c r="AX83" s="2865">
        <f t="shared" si="244"/>
        <v>0</v>
      </c>
      <c r="AY83" s="2866"/>
      <c r="AZ83" s="2866"/>
      <c r="BA83" s="2865">
        <f t="shared" si="413"/>
        <v>33.692</v>
      </c>
      <c r="BB83" s="2865">
        <f t="shared" si="414"/>
        <v>33.692</v>
      </c>
      <c r="BC83" s="2865">
        <f t="shared" si="414"/>
        <v>0</v>
      </c>
      <c r="BD83" s="2846">
        <f t="shared" si="490"/>
        <v>213.10112965050001</v>
      </c>
      <c r="BE83" s="2846">
        <f t="shared" si="491"/>
        <v>213.10112965050001</v>
      </c>
      <c r="BF83" s="2846">
        <f t="shared" si="492"/>
        <v>0</v>
      </c>
      <c r="BG83" s="2867">
        <f t="shared" si="459"/>
        <v>127.78200000000001</v>
      </c>
      <c r="BH83" s="2867">
        <f t="shared" si="459"/>
        <v>127.78200000000001</v>
      </c>
      <c r="BI83" s="2867">
        <f t="shared" si="459"/>
        <v>0</v>
      </c>
      <c r="BJ83" s="2867">
        <f t="shared" si="512"/>
        <v>-85.319129650500003</v>
      </c>
      <c r="BK83" s="2867">
        <f t="shared" si="512"/>
        <v>-85.319129650500003</v>
      </c>
      <c r="BL83" s="2867">
        <f t="shared" si="512"/>
        <v>0</v>
      </c>
      <c r="BM83" s="2845">
        <f t="shared" si="504"/>
        <v>71.033709883500009</v>
      </c>
      <c r="BN83" s="2845">
        <f t="shared" si="505"/>
        <v>71.033709883500009</v>
      </c>
      <c r="BO83" s="2845">
        <f t="shared" si="506"/>
        <v>0</v>
      </c>
      <c r="BP83" s="2865">
        <f t="shared" si="252"/>
        <v>1.333</v>
      </c>
      <c r="BQ83" s="2866">
        <v>1.333</v>
      </c>
      <c r="BR83" s="2866"/>
      <c r="BS83" s="2865">
        <f t="shared" si="254"/>
        <v>0</v>
      </c>
      <c r="BT83" s="2866"/>
      <c r="BU83" s="2866"/>
      <c r="BV83" s="2865">
        <f t="shared" si="256"/>
        <v>195.63900000000001</v>
      </c>
      <c r="BW83" s="2866">
        <v>195.63900000000001</v>
      </c>
      <c r="BX83" s="2866"/>
      <c r="BY83" s="2865">
        <f t="shared" si="423"/>
        <v>196.97200000000001</v>
      </c>
      <c r="BZ83" s="2865">
        <f t="shared" si="424"/>
        <v>196.97200000000001</v>
      </c>
      <c r="CA83" s="2865">
        <f t="shared" si="424"/>
        <v>0</v>
      </c>
      <c r="CB83" s="2846">
        <f t="shared" si="441"/>
        <v>284.13483953400004</v>
      </c>
      <c r="CC83" s="2846">
        <f>335.86*0.8459919</f>
        <v>284.13483953400004</v>
      </c>
      <c r="CD83" s="2846">
        <v>0</v>
      </c>
      <c r="CE83" s="2867">
        <f t="shared" si="461"/>
        <v>324.75400000000002</v>
      </c>
      <c r="CF83" s="2982">
        <f t="shared" si="461"/>
        <v>324.75400000000002</v>
      </c>
      <c r="CG83" s="2982">
        <f t="shared" si="461"/>
        <v>0</v>
      </c>
      <c r="CH83" s="2867">
        <f t="shared" si="513"/>
        <v>40.619160465999983</v>
      </c>
      <c r="CI83" s="2867">
        <f t="shared" si="513"/>
        <v>40.619160465999983</v>
      </c>
      <c r="CJ83" s="2867">
        <f t="shared" si="513"/>
        <v>0</v>
      </c>
      <c r="CK83" s="2863"/>
      <c r="CL83" s="4187">
        <f t="shared" si="182"/>
        <v>284.13483953400004</v>
      </c>
      <c r="CM83" s="4187">
        <f t="shared" si="183"/>
        <v>284.13483953400004</v>
      </c>
      <c r="CN83" s="4187">
        <f t="shared" si="184"/>
        <v>0</v>
      </c>
    </row>
    <row r="84" spans="1:92" ht="18.75" customHeight="1" x14ac:dyDescent="0.3">
      <c r="A84" s="2873" t="s">
        <v>600</v>
      </c>
      <c r="B84" s="2845">
        <f t="shared" si="507"/>
        <v>0</v>
      </c>
      <c r="C84" s="2845">
        <f t="shared" si="508"/>
        <v>0</v>
      </c>
      <c r="D84" s="2845">
        <f t="shared" si="509"/>
        <v>0</v>
      </c>
      <c r="E84" s="2865">
        <f t="shared" si="186"/>
        <v>26.83</v>
      </c>
      <c r="F84" s="2866">
        <v>26.83</v>
      </c>
      <c r="G84" s="2866"/>
      <c r="H84" s="2865">
        <f t="shared" si="187"/>
        <v>29.486000000000001</v>
      </c>
      <c r="I84" s="2866">
        <v>29.486000000000001</v>
      </c>
      <c r="J84" s="2866"/>
      <c r="K84" s="2865">
        <f t="shared" si="188"/>
        <v>29.3</v>
      </c>
      <c r="L84" s="2866">
        <v>29.3</v>
      </c>
      <c r="M84" s="2866"/>
      <c r="N84" s="2865">
        <f t="shared" si="398"/>
        <v>85.616</v>
      </c>
      <c r="O84" s="2865">
        <f t="shared" si="399"/>
        <v>85.616</v>
      </c>
      <c r="P84" s="2865">
        <f t="shared" si="399"/>
        <v>0</v>
      </c>
      <c r="Q84" s="2845">
        <f t="shared" si="452"/>
        <v>0</v>
      </c>
      <c r="R84" s="2845">
        <f t="shared" si="499"/>
        <v>0</v>
      </c>
      <c r="S84" s="2845">
        <f t="shared" si="500"/>
        <v>0</v>
      </c>
      <c r="T84" s="2865">
        <f t="shared" si="229"/>
        <v>27.34</v>
      </c>
      <c r="U84" s="2866">
        <v>27.34</v>
      </c>
      <c r="V84" s="2866"/>
      <c r="W84" s="2865">
        <f t="shared" si="231"/>
        <v>29.95</v>
      </c>
      <c r="X84" s="2866">
        <v>29.95</v>
      </c>
      <c r="Y84" s="2866"/>
      <c r="Z84" s="2865">
        <f t="shared" si="233"/>
        <v>28.774999999999999</v>
      </c>
      <c r="AA84" s="2866">
        <v>28.774999999999999</v>
      </c>
      <c r="AB84" s="2866"/>
      <c r="AC84" s="2865">
        <f t="shared" si="404"/>
        <v>86.064999999999998</v>
      </c>
      <c r="AD84" s="2865">
        <f t="shared" si="405"/>
        <v>86.064999999999998</v>
      </c>
      <c r="AE84" s="2865">
        <f t="shared" si="405"/>
        <v>0</v>
      </c>
      <c r="AF84" s="2846">
        <f t="shared" si="482"/>
        <v>0</v>
      </c>
      <c r="AG84" s="2846">
        <f t="shared" si="483"/>
        <v>0</v>
      </c>
      <c r="AH84" s="2846">
        <f t="shared" si="484"/>
        <v>0</v>
      </c>
      <c r="AI84" s="2867">
        <f t="shared" si="511"/>
        <v>171.68099999999998</v>
      </c>
      <c r="AJ84" s="2867">
        <f t="shared" si="511"/>
        <v>171.68099999999998</v>
      </c>
      <c r="AK84" s="2867">
        <f t="shared" si="511"/>
        <v>0</v>
      </c>
      <c r="AL84" s="2867">
        <f t="shared" si="510"/>
        <v>171.68099999999998</v>
      </c>
      <c r="AM84" s="2867">
        <f t="shared" si="510"/>
        <v>171.68099999999998</v>
      </c>
      <c r="AN84" s="2867">
        <f t="shared" si="510"/>
        <v>0</v>
      </c>
      <c r="AO84" s="2845">
        <f t="shared" si="501"/>
        <v>0</v>
      </c>
      <c r="AP84" s="2845">
        <f t="shared" si="502"/>
        <v>0</v>
      </c>
      <c r="AQ84" s="2845">
        <f t="shared" si="503"/>
        <v>0</v>
      </c>
      <c r="AR84" s="2865">
        <f t="shared" si="240"/>
        <v>27.36</v>
      </c>
      <c r="AS84" s="2866">
        <v>27.36</v>
      </c>
      <c r="AT84" s="2866"/>
      <c r="AU84" s="2865">
        <f t="shared" si="242"/>
        <v>26.748999999999999</v>
      </c>
      <c r="AV84" s="2866">
        <v>26.748999999999999</v>
      </c>
      <c r="AW84" s="2866"/>
      <c r="AX84" s="2865">
        <f t="shared" si="244"/>
        <v>28.06</v>
      </c>
      <c r="AY84" s="2866">
        <v>28.06</v>
      </c>
      <c r="AZ84" s="2866"/>
      <c r="BA84" s="2865">
        <f t="shared" si="413"/>
        <v>82.168999999999997</v>
      </c>
      <c r="BB84" s="2865">
        <f t="shared" si="414"/>
        <v>82.168999999999997</v>
      </c>
      <c r="BC84" s="2865">
        <f t="shared" si="414"/>
        <v>0</v>
      </c>
      <c r="BD84" s="2846">
        <f t="shared" si="490"/>
        <v>0</v>
      </c>
      <c r="BE84" s="2846">
        <f t="shared" si="491"/>
        <v>0</v>
      </c>
      <c r="BF84" s="2846">
        <f t="shared" si="492"/>
        <v>0</v>
      </c>
      <c r="BG84" s="2867">
        <f t="shared" si="459"/>
        <v>253.84999999999997</v>
      </c>
      <c r="BH84" s="2867">
        <f t="shared" si="459"/>
        <v>253.84999999999997</v>
      </c>
      <c r="BI84" s="2867">
        <f t="shared" si="459"/>
        <v>0</v>
      </c>
      <c r="BJ84" s="2867">
        <f t="shared" si="512"/>
        <v>253.84999999999997</v>
      </c>
      <c r="BK84" s="2867">
        <f t="shared" si="512"/>
        <v>253.84999999999997</v>
      </c>
      <c r="BL84" s="2867">
        <f t="shared" si="512"/>
        <v>0</v>
      </c>
      <c r="BM84" s="2845">
        <f t="shared" si="504"/>
        <v>0</v>
      </c>
      <c r="BN84" s="2845">
        <f t="shared" si="505"/>
        <v>0</v>
      </c>
      <c r="BO84" s="2845">
        <f t="shared" si="506"/>
        <v>0</v>
      </c>
      <c r="BP84" s="2865">
        <f t="shared" si="252"/>
        <v>27.905999999999999</v>
      </c>
      <c r="BQ84" s="2866">
        <v>27.905999999999999</v>
      </c>
      <c r="BR84" s="2866"/>
      <c r="BS84" s="2865">
        <f t="shared" si="254"/>
        <v>26.199000000000002</v>
      </c>
      <c r="BT84" s="2866">
        <v>26.199000000000002</v>
      </c>
      <c r="BU84" s="2866"/>
      <c r="BV84" s="2865">
        <f t="shared" si="256"/>
        <v>28.036000000000001</v>
      </c>
      <c r="BW84" s="2866">
        <v>28.036000000000001</v>
      </c>
      <c r="BX84" s="2866"/>
      <c r="BY84" s="2865">
        <f t="shared" si="423"/>
        <v>82.141000000000005</v>
      </c>
      <c r="BZ84" s="2865">
        <f t="shared" si="424"/>
        <v>82.141000000000005</v>
      </c>
      <c r="CA84" s="2865">
        <f t="shared" si="424"/>
        <v>0</v>
      </c>
      <c r="CB84" s="2846">
        <f t="shared" si="441"/>
        <v>0</v>
      </c>
      <c r="CC84" s="2846">
        <f>0*0.7811796</f>
        <v>0</v>
      </c>
      <c r="CD84" s="2846">
        <v>0</v>
      </c>
      <c r="CE84" s="2867">
        <f t="shared" si="461"/>
        <v>335.99099999999999</v>
      </c>
      <c r="CF84" s="2982">
        <f t="shared" si="461"/>
        <v>335.99099999999999</v>
      </c>
      <c r="CG84" s="2982">
        <f t="shared" si="461"/>
        <v>0</v>
      </c>
      <c r="CH84" s="2867">
        <f t="shared" si="513"/>
        <v>335.99099999999999</v>
      </c>
      <c r="CI84" s="2867">
        <f t="shared" si="513"/>
        <v>335.99099999999999</v>
      </c>
      <c r="CJ84" s="2867">
        <f t="shared" si="513"/>
        <v>0</v>
      </c>
      <c r="CK84" s="2863"/>
      <c r="CL84" s="4187">
        <f t="shared" si="182"/>
        <v>0</v>
      </c>
      <c r="CM84" s="4187">
        <f t="shared" si="183"/>
        <v>0</v>
      </c>
      <c r="CN84" s="4187">
        <f t="shared" si="184"/>
        <v>0</v>
      </c>
    </row>
    <row r="85" spans="1:92" ht="18.75" customHeight="1" x14ac:dyDescent="0.3">
      <c r="A85" s="2873" t="s">
        <v>597</v>
      </c>
      <c r="B85" s="2845">
        <f t="shared" si="507"/>
        <v>0</v>
      </c>
      <c r="C85" s="2845">
        <f t="shared" si="508"/>
        <v>0</v>
      </c>
      <c r="D85" s="2845">
        <f t="shared" si="509"/>
        <v>0</v>
      </c>
      <c r="E85" s="2865">
        <f t="shared" si="186"/>
        <v>0</v>
      </c>
      <c r="F85" s="2866"/>
      <c r="G85" s="2866"/>
      <c r="H85" s="2865">
        <f t="shared" si="187"/>
        <v>10.06</v>
      </c>
      <c r="I85" s="2866">
        <v>10.06</v>
      </c>
      <c r="J85" s="2866"/>
      <c r="K85" s="2865">
        <f t="shared" si="188"/>
        <v>10.14</v>
      </c>
      <c r="L85" s="2866">
        <v>10.14</v>
      </c>
      <c r="M85" s="2866"/>
      <c r="N85" s="2865">
        <f t="shared" si="398"/>
        <v>20.200000000000003</v>
      </c>
      <c r="O85" s="2865">
        <f t="shared" si="399"/>
        <v>20.200000000000003</v>
      </c>
      <c r="P85" s="2865">
        <f t="shared" si="399"/>
        <v>0</v>
      </c>
      <c r="Q85" s="2845">
        <f t="shared" si="452"/>
        <v>0</v>
      </c>
      <c r="R85" s="2845">
        <f t="shared" si="499"/>
        <v>0</v>
      </c>
      <c r="S85" s="2845">
        <f t="shared" si="500"/>
        <v>0</v>
      </c>
      <c r="T85" s="2865">
        <f t="shared" si="229"/>
        <v>10.06</v>
      </c>
      <c r="U85" s="2866">
        <v>10.06</v>
      </c>
      <c r="V85" s="2866"/>
      <c r="W85" s="2865">
        <f t="shared" si="231"/>
        <v>9.5299999999999994</v>
      </c>
      <c r="X85" s="2866">
        <v>9.5299999999999994</v>
      </c>
      <c r="Y85" s="2866"/>
      <c r="Z85" s="2865">
        <f t="shared" si="233"/>
        <v>9.6509999999999998</v>
      </c>
      <c r="AA85" s="2866">
        <v>9.6509999999999998</v>
      </c>
      <c r="AB85" s="2866"/>
      <c r="AC85" s="2865">
        <f t="shared" si="404"/>
        <v>29.241</v>
      </c>
      <c r="AD85" s="2865">
        <f t="shared" si="405"/>
        <v>29.241</v>
      </c>
      <c r="AE85" s="2865">
        <f t="shared" si="405"/>
        <v>0</v>
      </c>
      <c r="AF85" s="2846">
        <f t="shared" si="482"/>
        <v>0</v>
      </c>
      <c r="AG85" s="2846">
        <f t="shared" si="483"/>
        <v>0</v>
      </c>
      <c r="AH85" s="2846">
        <f t="shared" si="484"/>
        <v>0</v>
      </c>
      <c r="AI85" s="2867">
        <f t="shared" si="511"/>
        <v>49.441000000000003</v>
      </c>
      <c r="AJ85" s="2867">
        <f t="shared" si="511"/>
        <v>49.441000000000003</v>
      </c>
      <c r="AK85" s="2867">
        <f t="shared" si="511"/>
        <v>0</v>
      </c>
      <c r="AL85" s="2867">
        <f t="shared" si="510"/>
        <v>49.441000000000003</v>
      </c>
      <c r="AM85" s="2867">
        <f t="shared" si="510"/>
        <v>49.441000000000003</v>
      </c>
      <c r="AN85" s="2867">
        <f t="shared" si="510"/>
        <v>0</v>
      </c>
      <c r="AO85" s="2845">
        <f t="shared" si="501"/>
        <v>0</v>
      </c>
      <c r="AP85" s="2845">
        <f t="shared" si="502"/>
        <v>0</v>
      </c>
      <c r="AQ85" s="2845">
        <f t="shared" si="503"/>
        <v>0</v>
      </c>
      <c r="AR85" s="2865">
        <f t="shared" si="240"/>
        <v>9.57</v>
      </c>
      <c r="AS85" s="2866">
        <v>9.57</v>
      </c>
      <c r="AT85" s="2866"/>
      <c r="AU85" s="2865">
        <f t="shared" si="242"/>
        <v>9.6419999999999995</v>
      </c>
      <c r="AV85" s="2866">
        <v>9.6419999999999995</v>
      </c>
      <c r="AW85" s="2866"/>
      <c r="AX85" s="2865">
        <f t="shared" si="244"/>
        <v>9.5860000000000003</v>
      </c>
      <c r="AY85" s="2866">
        <v>9.5860000000000003</v>
      </c>
      <c r="AZ85" s="2866"/>
      <c r="BA85" s="2865">
        <f t="shared" si="413"/>
        <v>28.798000000000002</v>
      </c>
      <c r="BB85" s="2865">
        <f t="shared" si="414"/>
        <v>28.798000000000002</v>
      </c>
      <c r="BC85" s="2865">
        <f t="shared" si="414"/>
        <v>0</v>
      </c>
      <c r="BD85" s="2846">
        <f t="shared" si="490"/>
        <v>0</v>
      </c>
      <c r="BE85" s="2846">
        <f t="shared" si="491"/>
        <v>0</v>
      </c>
      <c r="BF85" s="2846">
        <f t="shared" si="492"/>
        <v>0</v>
      </c>
      <c r="BG85" s="2867">
        <f t="shared" si="459"/>
        <v>78.239000000000004</v>
      </c>
      <c r="BH85" s="2867">
        <f t="shared" si="459"/>
        <v>78.239000000000004</v>
      </c>
      <c r="BI85" s="2867">
        <f t="shared" si="459"/>
        <v>0</v>
      </c>
      <c r="BJ85" s="2867">
        <f t="shared" si="512"/>
        <v>78.239000000000004</v>
      </c>
      <c r="BK85" s="2867">
        <f t="shared" si="512"/>
        <v>78.239000000000004</v>
      </c>
      <c r="BL85" s="2867">
        <f t="shared" si="512"/>
        <v>0</v>
      </c>
      <c r="BM85" s="2845">
        <f t="shared" si="504"/>
        <v>0</v>
      </c>
      <c r="BN85" s="2845">
        <f t="shared" si="505"/>
        <v>0</v>
      </c>
      <c r="BO85" s="2845">
        <f t="shared" si="506"/>
        <v>0</v>
      </c>
      <c r="BP85" s="2865">
        <f t="shared" si="252"/>
        <v>9.5039999999999996</v>
      </c>
      <c r="BQ85" s="2866">
        <v>9.5039999999999996</v>
      </c>
      <c r="BR85" s="2866"/>
      <c r="BS85" s="2865">
        <f t="shared" si="254"/>
        <v>9.5210000000000008</v>
      </c>
      <c r="BT85" s="2866">
        <v>9.5210000000000008</v>
      </c>
      <c r="BU85" s="2866"/>
      <c r="BV85" s="2865">
        <f t="shared" si="256"/>
        <v>9.5670000000000002</v>
      </c>
      <c r="BW85" s="2866">
        <v>9.5670000000000002</v>
      </c>
      <c r="BX85" s="2866"/>
      <c r="BY85" s="2865">
        <f t="shared" si="423"/>
        <v>28.591999999999999</v>
      </c>
      <c r="BZ85" s="2865">
        <f t="shared" si="424"/>
        <v>28.591999999999999</v>
      </c>
      <c r="CA85" s="2865">
        <f t="shared" si="424"/>
        <v>0</v>
      </c>
      <c r="CB85" s="2846">
        <f t="shared" si="441"/>
        <v>0</v>
      </c>
      <c r="CC85" s="2846">
        <f>0*0.7811796</f>
        <v>0</v>
      </c>
      <c r="CD85" s="2846">
        <v>0</v>
      </c>
      <c r="CE85" s="2867">
        <f t="shared" si="461"/>
        <v>106.831</v>
      </c>
      <c r="CF85" s="2982">
        <f t="shared" si="461"/>
        <v>106.831</v>
      </c>
      <c r="CG85" s="2982">
        <f t="shared" si="461"/>
        <v>0</v>
      </c>
      <c r="CH85" s="2867">
        <f t="shared" si="513"/>
        <v>106.831</v>
      </c>
      <c r="CI85" s="2867">
        <f t="shared" si="513"/>
        <v>106.831</v>
      </c>
      <c r="CJ85" s="2867">
        <f t="shared" si="513"/>
        <v>0</v>
      </c>
      <c r="CK85" s="2863"/>
      <c r="CL85" s="4187">
        <f t="shared" si="182"/>
        <v>0</v>
      </c>
      <c r="CM85" s="4187">
        <f t="shared" si="183"/>
        <v>0</v>
      </c>
      <c r="CN85" s="4187">
        <f t="shared" si="184"/>
        <v>0</v>
      </c>
    </row>
    <row r="86" spans="1:92" ht="18.75" customHeight="1" x14ac:dyDescent="0.3">
      <c r="A86" s="2873" t="s">
        <v>3737</v>
      </c>
      <c r="B86" s="2845">
        <f t="shared" si="507"/>
        <v>0</v>
      </c>
      <c r="C86" s="2845">
        <f t="shared" si="508"/>
        <v>0</v>
      </c>
      <c r="D86" s="2845">
        <f t="shared" si="509"/>
        <v>0</v>
      </c>
      <c r="E86" s="2865">
        <f t="shared" si="186"/>
        <v>0</v>
      </c>
      <c r="F86" s="2866"/>
      <c r="G86" s="2866"/>
      <c r="H86" s="2865">
        <f t="shared" si="187"/>
        <v>0</v>
      </c>
      <c r="I86" s="2866"/>
      <c r="J86" s="2866"/>
      <c r="K86" s="2865">
        <f t="shared" si="188"/>
        <v>0</v>
      </c>
      <c r="L86" s="2866"/>
      <c r="M86" s="2866"/>
      <c r="N86" s="2865">
        <f t="shared" si="398"/>
        <v>0</v>
      </c>
      <c r="O86" s="2865">
        <f t="shared" si="399"/>
        <v>0</v>
      </c>
      <c r="P86" s="2865">
        <f t="shared" si="399"/>
        <v>0</v>
      </c>
      <c r="Q86" s="2845">
        <f t="shared" si="452"/>
        <v>0</v>
      </c>
      <c r="R86" s="2845">
        <f t="shared" si="499"/>
        <v>0</v>
      </c>
      <c r="S86" s="2845">
        <f t="shared" si="500"/>
        <v>0</v>
      </c>
      <c r="T86" s="2865">
        <f t="shared" si="229"/>
        <v>0</v>
      </c>
      <c r="U86" s="2866"/>
      <c r="V86" s="2866"/>
      <c r="W86" s="2865">
        <f t="shared" si="231"/>
        <v>0</v>
      </c>
      <c r="X86" s="2866"/>
      <c r="Y86" s="2866"/>
      <c r="Z86" s="2865">
        <f t="shared" si="233"/>
        <v>0</v>
      </c>
      <c r="AA86" s="2866"/>
      <c r="AB86" s="2866"/>
      <c r="AC86" s="2865">
        <f t="shared" si="404"/>
        <v>0</v>
      </c>
      <c r="AD86" s="2865">
        <f t="shared" si="405"/>
        <v>0</v>
      </c>
      <c r="AE86" s="2865">
        <f t="shared" si="405"/>
        <v>0</v>
      </c>
      <c r="AF86" s="2846">
        <f t="shared" si="482"/>
        <v>0</v>
      </c>
      <c r="AG86" s="2846">
        <f t="shared" si="483"/>
        <v>0</v>
      </c>
      <c r="AH86" s="2846">
        <f t="shared" si="484"/>
        <v>0</v>
      </c>
      <c r="AI86" s="2867">
        <f t="shared" si="511"/>
        <v>0</v>
      </c>
      <c r="AJ86" s="2867">
        <f t="shared" si="511"/>
        <v>0</v>
      </c>
      <c r="AK86" s="2867">
        <f t="shared" si="511"/>
        <v>0</v>
      </c>
      <c r="AL86" s="2867">
        <f t="shared" si="510"/>
        <v>0</v>
      </c>
      <c r="AM86" s="2867">
        <f t="shared" si="510"/>
        <v>0</v>
      </c>
      <c r="AN86" s="2867">
        <f t="shared" si="510"/>
        <v>0</v>
      </c>
      <c r="AO86" s="2845">
        <f t="shared" si="501"/>
        <v>0</v>
      </c>
      <c r="AP86" s="2845">
        <f t="shared" si="502"/>
        <v>0</v>
      </c>
      <c r="AQ86" s="2845">
        <f t="shared" si="503"/>
        <v>0</v>
      </c>
      <c r="AR86" s="2865">
        <f t="shared" si="240"/>
        <v>0</v>
      </c>
      <c r="AS86" s="2866"/>
      <c r="AT86" s="2866"/>
      <c r="AU86" s="2865">
        <f t="shared" si="242"/>
        <v>0</v>
      </c>
      <c r="AV86" s="2866"/>
      <c r="AW86" s="2866"/>
      <c r="AX86" s="2865">
        <f t="shared" si="244"/>
        <v>0</v>
      </c>
      <c r="AY86" s="2866"/>
      <c r="AZ86" s="2866"/>
      <c r="BA86" s="2865">
        <f t="shared" si="413"/>
        <v>0</v>
      </c>
      <c r="BB86" s="2865">
        <f t="shared" si="414"/>
        <v>0</v>
      </c>
      <c r="BC86" s="2865">
        <f t="shared" si="414"/>
        <v>0</v>
      </c>
      <c r="BD86" s="2846">
        <f t="shared" si="490"/>
        <v>0</v>
      </c>
      <c r="BE86" s="2846">
        <f t="shared" si="491"/>
        <v>0</v>
      </c>
      <c r="BF86" s="2846">
        <f t="shared" si="492"/>
        <v>0</v>
      </c>
      <c r="BG86" s="2867">
        <f t="shared" si="459"/>
        <v>0</v>
      </c>
      <c r="BH86" s="2867">
        <f t="shared" si="459"/>
        <v>0</v>
      </c>
      <c r="BI86" s="2867">
        <f t="shared" si="459"/>
        <v>0</v>
      </c>
      <c r="BJ86" s="2867">
        <f t="shared" si="512"/>
        <v>0</v>
      </c>
      <c r="BK86" s="2867">
        <f t="shared" si="512"/>
        <v>0</v>
      </c>
      <c r="BL86" s="2867">
        <f t="shared" si="512"/>
        <v>0</v>
      </c>
      <c r="BM86" s="2845">
        <f t="shared" si="504"/>
        <v>0</v>
      </c>
      <c r="BN86" s="2845">
        <f t="shared" si="505"/>
        <v>0</v>
      </c>
      <c r="BO86" s="2845">
        <f t="shared" si="506"/>
        <v>0</v>
      </c>
      <c r="BP86" s="2865">
        <f t="shared" si="252"/>
        <v>0</v>
      </c>
      <c r="BQ86" s="2866"/>
      <c r="BR86" s="2866"/>
      <c r="BS86" s="2865">
        <f t="shared" si="254"/>
        <v>0</v>
      </c>
      <c r="BT86" s="2866"/>
      <c r="BU86" s="2866"/>
      <c r="BV86" s="2865">
        <f t="shared" si="256"/>
        <v>0</v>
      </c>
      <c r="BW86" s="2866"/>
      <c r="BX86" s="2866"/>
      <c r="BY86" s="2865">
        <f t="shared" si="423"/>
        <v>0</v>
      </c>
      <c r="BZ86" s="2865">
        <f t="shared" si="424"/>
        <v>0</v>
      </c>
      <c r="CA86" s="2865">
        <f t="shared" si="424"/>
        <v>0</v>
      </c>
      <c r="CB86" s="2846">
        <f t="shared" si="441"/>
        <v>0</v>
      </c>
      <c r="CC86" s="2846">
        <f>0*0.7811796</f>
        <v>0</v>
      </c>
      <c r="CD86" s="2846">
        <v>0</v>
      </c>
      <c r="CE86" s="2867">
        <f t="shared" si="461"/>
        <v>0</v>
      </c>
      <c r="CF86" s="2982">
        <f t="shared" si="461"/>
        <v>0</v>
      </c>
      <c r="CG86" s="2982">
        <f t="shared" si="461"/>
        <v>0</v>
      </c>
      <c r="CH86" s="2867">
        <f t="shared" si="513"/>
        <v>0</v>
      </c>
      <c r="CI86" s="2867">
        <f t="shared" si="513"/>
        <v>0</v>
      </c>
      <c r="CJ86" s="2867">
        <f t="shared" si="513"/>
        <v>0</v>
      </c>
      <c r="CK86" s="2863"/>
      <c r="CL86" s="4187">
        <f t="shared" si="182"/>
        <v>0</v>
      </c>
      <c r="CM86" s="4187">
        <f t="shared" si="183"/>
        <v>0</v>
      </c>
      <c r="CN86" s="4187">
        <f t="shared" si="184"/>
        <v>0</v>
      </c>
    </row>
    <row r="87" spans="1:92" ht="18.75" customHeight="1" x14ac:dyDescent="0.3">
      <c r="A87" s="2873" t="s">
        <v>38</v>
      </c>
      <c r="B87" s="2845">
        <f t="shared" si="507"/>
        <v>20.989059039000001</v>
      </c>
      <c r="C87" s="2845">
        <f t="shared" si="508"/>
        <v>20.989059039000001</v>
      </c>
      <c r="D87" s="2845">
        <f t="shared" si="509"/>
        <v>0</v>
      </c>
      <c r="E87" s="2865">
        <f t="shared" si="186"/>
        <v>0</v>
      </c>
      <c r="F87" s="2866"/>
      <c r="G87" s="2866"/>
      <c r="H87" s="2865">
        <f t="shared" si="187"/>
        <v>22.85</v>
      </c>
      <c r="I87" s="2866">
        <v>22.85</v>
      </c>
      <c r="J87" s="2866"/>
      <c r="K87" s="2865">
        <f t="shared" si="188"/>
        <v>0</v>
      </c>
      <c r="L87" s="2866"/>
      <c r="M87" s="2866"/>
      <c r="N87" s="2865">
        <f t="shared" si="398"/>
        <v>22.85</v>
      </c>
      <c r="O87" s="2865">
        <f t="shared" si="399"/>
        <v>22.85</v>
      </c>
      <c r="P87" s="2865">
        <f t="shared" si="399"/>
        <v>0</v>
      </c>
      <c r="Q87" s="2845">
        <f t="shared" si="452"/>
        <v>20.989059039000001</v>
      </c>
      <c r="R87" s="2845">
        <f t="shared" si="499"/>
        <v>20.989059039000001</v>
      </c>
      <c r="S87" s="2845">
        <f t="shared" si="500"/>
        <v>0</v>
      </c>
      <c r="T87" s="2865">
        <f t="shared" si="229"/>
        <v>2.2999999999999998</v>
      </c>
      <c r="U87" s="2866">
        <v>2.2999999999999998</v>
      </c>
      <c r="V87" s="2866"/>
      <c r="W87" s="2865">
        <f t="shared" si="231"/>
        <v>0</v>
      </c>
      <c r="X87" s="2866"/>
      <c r="Y87" s="2866"/>
      <c r="Z87" s="2865">
        <f t="shared" si="233"/>
        <v>17</v>
      </c>
      <c r="AA87" s="2866">
        <v>17</v>
      </c>
      <c r="AB87" s="2866"/>
      <c r="AC87" s="2865">
        <f t="shared" si="404"/>
        <v>19.3</v>
      </c>
      <c r="AD87" s="2865">
        <f t="shared" si="405"/>
        <v>19.3</v>
      </c>
      <c r="AE87" s="2865">
        <f t="shared" si="405"/>
        <v>0</v>
      </c>
      <c r="AF87" s="2846">
        <f t="shared" si="482"/>
        <v>41.978118078000001</v>
      </c>
      <c r="AG87" s="2846">
        <f t="shared" si="483"/>
        <v>41.978118078000001</v>
      </c>
      <c r="AH87" s="2846">
        <f t="shared" si="484"/>
        <v>0</v>
      </c>
      <c r="AI87" s="2867">
        <f t="shared" si="511"/>
        <v>42.150000000000006</v>
      </c>
      <c r="AJ87" s="2867">
        <f t="shared" si="511"/>
        <v>42.150000000000006</v>
      </c>
      <c r="AK87" s="2867">
        <f t="shared" si="511"/>
        <v>0</v>
      </c>
      <c r="AL87" s="2867">
        <f t="shared" si="510"/>
        <v>0.17188192200000429</v>
      </c>
      <c r="AM87" s="2867">
        <f t="shared" si="510"/>
        <v>0.17188192200000429</v>
      </c>
      <c r="AN87" s="2867">
        <f t="shared" si="510"/>
        <v>0</v>
      </c>
      <c r="AO87" s="2845">
        <f t="shared" si="501"/>
        <v>20.989059039000001</v>
      </c>
      <c r="AP87" s="2845">
        <f t="shared" si="502"/>
        <v>20.989059039000001</v>
      </c>
      <c r="AQ87" s="2845">
        <f t="shared" si="503"/>
        <v>0</v>
      </c>
      <c r="AR87" s="2865">
        <f t="shared" si="240"/>
        <v>29.08</v>
      </c>
      <c r="AS87" s="2866">
        <f>4.08+25</f>
        <v>29.08</v>
      </c>
      <c r="AT87" s="2866"/>
      <c r="AU87" s="2865">
        <f t="shared" si="242"/>
        <v>0</v>
      </c>
      <c r="AV87" s="2866"/>
      <c r="AW87" s="2866"/>
      <c r="AX87" s="2865">
        <f t="shared" si="244"/>
        <v>0</v>
      </c>
      <c r="AY87" s="2866"/>
      <c r="AZ87" s="2866"/>
      <c r="BA87" s="2865">
        <f t="shared" si="413"/>
        <v>29.08</v>
      </c>
      <c r="BB87" s="2865">
        <f t="shared" si="414"/>
        <v>29.08</v>
      </c>
      <c r="BC87" s="2865">
        <f t="shared" si="414"/>
        <v>0</v>
      </c>
      <c r="BD87" s="2846">
        <f t="shared" si="490"/>
        <v>62.967177117000006</v>
      </c>
      <c r="BE87" s="2846">
        <f t="shared" si="491"/>
        <v>62.967177117000006</v>
      </c>
      <c r="BF87" s="2846">
        <f t="shared" si="492"/>
        <v>0</v>
      </c>
      <c r="BG87" s="2867">
        <f t="shared" si="459"/>
        <v>71.23</v>
      </c>
      <c r="BH87" s="2867">
        <f t="shared" si="459"/>
        <v>71.23</v>
      </c>
      <c r="BI87" s="2867">
        <f t="shared" si="459"/>
        <v>0</v>
      </c>
      <c r="BJ87" s="2867">
        <f t="shared" si="512"/>
        <v>8.2628228829999983</v>
      </c>
      <c r="BK87" s="2867">
        <f t="shared" si="512"/>
        <v>8.2628228829999983</v>
      </c>
      <c r="BL87" s="2867">
        <f t="shared" si="512"/>
        <v>0</v>
      </c>
      <c r="BM87" s="2845">
        <f t="shared" si="504"/>
        <v>20.989059039000001</v>
      </c>
      <c r="BN87" s="2845">
        <f t="shared" si="505"/>
        <v>20.989059039000001</v>
      </c>
      <c r="BO87" s="2845">
        <f t="shared" si="506"/>
        <v>0</v>
      </c>
      <c r="BP87" s="2865">
        <f t="shared" si="252"/>
        <v>6.2</v>
      </c>
      <c r="BQ87" s="2866">
        <v>6.2</v>
      </c>
      <c r="BR87" s="2866"/>
      <c r="BS87" s="2865">
        <f t="shared" si="254"/>
        <v>0</v>
      </c>
      <c r="BT87" s="2866"/>
      <c r="BU87" s="2866"/>
      <c r="BV87" s="2865">
        <f t="shared" si="256"/>
        <v>1.3240000000000001</v>
      </c>
      <c r="BW87" s="2866">
        <v>1.3240000000000001</v>
      </c>
      <c r="BX87" s="2866"/>
      <c r="BY87" s="2865">
        <f t="shared" si="423"/>
        <v>7.524</v>
      </c>
      <c r="BZ87" s="2865">
        <f t="shared" si="424"/>
        <v>7.524</v>
      </c>
      <c r="CA87" s="2865">
        <f t="shared" si="424"/>
        <v>0</v>
      </c>
      <c r="CB87" s="2846">
        <f t="shared" si="441"/>
        <v>83.956236156000003</v>
      </c>
      <c r="CC87" s="2846">
        <f>99.24*0.8459919</f>
        <v>83.956236156000003</v>
      </c>
      <c r="CD87" s="2846">
        <v>0</v>
      </c>
      <c r="CE87" s="2867">
        <f t="shared" si="461"/>
        <v>78.754000000000005</v>
      </c>
      <c r="CF87" s="2982">
        <f t="shared" si="461"/>
        <v>78.754000000000005</v>
      </c>
      <c r="CG87" s="2982">
        <f t="shared" si="461"/>
        <v>0</v>
      </c>
      <c r="CH87" s="2867">
        <f t="shared" si="513"/>
        <v>-5.2022361559999979</v>
      </c>
      <c r="CI87" s="2867">
        <f t="shared" si="513"/>
        <v>-5.2022361559999979</v>
      </c>
      <c r="CJ87" s="2867">
        <f t="shared" si="513"/>
        <v>0</v>
      </c>
      <c r="CK87" s="2863"/>
      <c r="CL87" s="4187">
        <f t="shared" si="182"/>
        <v>83.956236156000003</v>
      </c>
      <c r="CM87" s="4187">
        <f t="shared" si="183"/>
        <v>83.956236156000003</v>
      </c>
      <c r="CN87" s="4187">
        <f t="shared" si="184"/>
        <v>0</v>
      </c>
    </row>
    <row r="88" spans="1:92" ht="18.75" customHeight="1" x14ac:dyDescent="0.3">
      <c r="A88" s="2873" t="s">
        <v>3738</v>
      </c>
      <c r="B88" s="2845">
        <f t="shared" si="507"/>
        <v>13.631044488750002</v>
      </c>
      <c r="C88" s="2845">
        <f t="shared" si="508"/>
        <v>13.631044488750002</v>
      </c>
      <c r="D88" s="2845">
        <f t="shared" si="509"/>
        <v>0</v>
      </c>
      <c r="E88" s="2865">
        <f t="shared" si="186"/>
        <v>3.29</v>
      </c>
      <c r="F88" s="2866">
        <f>3.33-0.04</f>
        <v>3.29</v>
      </c>
      <c r="G88" s="2866"/>
      <c r="H88" s="2865">
        <f t="shared" si="187"/>
        <v>3.3330000000000002</v>
      </c>
      <c r="I88" s="2866">
        <v>3.3330000000000002</v>
      </c>
      <c r="J88" s="2866"/>
      <c r="K88" s="2865">
        <f t="shared" si="188"/>
        <v>7.8330000000000002</v>
      </c>
      <c r="L88" s="2866">
        <v>7.8330000000000002</v>
      </c>
      <c r="M88" s="2866"/>
      <c r="N88" s="2865">
        <f t="shared" si="398"/>
        <v>14.456</v>
      </c>
      <c r="O88" s="2865">
        <f t="shared" si="399"/>
        <v>14.456</v>
      </c>
      <c r="P88" s="2865">
        <f t="shared" si="399"/>
        <v>0</v>
      </c>
      <c r="Q88" s="2845">
        <f t="shared" si="452"/>
        <v>13.631044488750002</v>
      </c>
      <c r="R88" s="2845">
        <f t="shared" si="499"/>
        <v>13.631044488750002</v>
      </c>
      <c r="S88" s="2845">
        <f t="shared" si="500"/>
        <v>0</v>
      </c>
      <c r="T88" s="2865">
        <f t="shared" si="229"/>
        <v>3.33</v>
      </c>
      <c r="U88" s="2866">
        <v>3.33</v>
      </c>
      <c r="V88" s="2866"/>
      <c r="W88" s="2865">
        <f t="shared" si="231"/>
        <v>4.2300000000000004</v>
      </c>
      <c r="X88" s="2866">
        <v>4.2300000000000004</v>
      </c>
      <c r="Y88" s="2866"/>
      <c r="Z88" s="2865">
        <f t="shared" si="233"/>
        <v>3.3330000000000002</v>
      </c>
      <c r="AA88" s="2866">
        <v>3.3330000000000002</v>
      </c>
      <c r="AB88" s="2866"/>
      <c r="AC88" s="2865">
        <f t="shared" si="404"/>
        <v>10.893000000000001</v>
      </c>
      <c r="AD88" s="2865">
        <f t="shared" si="405"/>
        <v>10.893000000000001</v>
      </c>
      <c r="AE88" s="2865">
        <f t="shared" si="405"/>
        <v>0</v>
      </c>
      <c r="AF88" s="2846">
        <f t="shared" si="482"/>
        <v>27.262088977500003</v>
      </c>
      <c r="AG88" s="2846">
        <f t="shared" si="483"/>
        <v>27.262088977500003</v>
      </c>
      <c r="AH88" s="2846">
        <f t="shared" si="484"/>
        <v>0</v>
      </c>
      <c r="AI88" s="2867">
        <f t="shared" si="511"/>
        <v>25.349</v>
      </c>
      <c r="AJ88" s="2867">
        <f t="shared" si="511"/>
        <v>25.349</v>
      </c>
      <c r="AK88" s="2867">
        <f t="shared" si="511"/>
        <v>0</v>
      </c>
      <c r="AL88" s="2867">
        <f t="shared" si="510"/>
        <v>-1.9130889775000028</v>
      </c>
      <c r="AM88" s="2867">
        <f t="shared" si="510"/>
        <v>-1.9130889775000028</v>
      </c>
      <c r="AN88" s="2867">
        <f t="shared" si="510"/>
        <v>0</v>
      </c>
      <c r="AO88" s="2845">
        <f t="shared" si="501"/>
        <v>13.631044488750002</v>
      </c>
      <c r="AP88" s="2845">
        <f t="shared" si="502"/>
        <v>13.631044488750002</v>
      </c>
      <c r="AQ88" s="2845">
        <f t="shared" si="503"/>
        <v>0</v>
      </c>
      <c r="AR88" s="2865">
        <f t="shared" si="240"/>
        <v>3.33</v>
      </c>
      <c r="AS88" s="2866">
        <v>3.33</v>
      </c>
      <c r="AT88" s="2866"/>
      <c r="AU88" s="2865">
        <f t="shared" si="242"/>
        <v>5.5830000000000002</v>
      </c>
      <c r="AV88" s="2866">
        <f>3.333+2.25</f>
        <v>5.5830000000000002</v>
      </c>
      <c r="AW88" s="2866"/>
      <c r="AX88" s="2865">
        <f t="shared" si="244"/>
        <v>3.33</v>
      </c>
      <c r="AY88" s="2866">
        <v>3.33</v>
      </c>
      <c r="AZ88" s="2866"/>
      <c r="BA88" s="2865">
        <f t="shared" si="413"/>
        <v>12.243</v>
      </c>
      <c r="BB88" s="2865">
        <f t="shared" si="414"/>
        <v>12.243</v>
      </c>
      <c r="BC88" s="2865">
        <f t="shared" si="414"/>
        <v>0</v>
      </c>
      <c r="BD88" s="2846">
        <f t="shared" si="490"/>
        <v>40.893133466250006</v>
      </c>
      <c r="BE88" s="2846">
        <f t="shared" si="491"/>
        <v>40.893133466250006</v>
      </c>
      <c r="BF88" s="2846">
        <f t="shared" si="492"/>
        <v>0</v>
      </c>
      <c r="BG88" s="2867">
        <f t="shared" si="459"/>
        <v>37.591999999999999</v>
      </c>
      <c r="BH88" s="2867">
        <f t="shared" si="459"/>
        <v>37.591999999999999</v>
      </c>
      <c r="BI88" s="2867">
        <f t="shared" si="459"/>
        <v>0</v>
      </c>
      <c r="BJ88" s="2867">
        <f t="shared" si="512"/>
        <v>-3.3011334662500076</v>
      </c>
      <c r="BK88" s="2867">
        <f t="shared" si="512"/>
        <v>-3.3011334662500076</v>
      </c>
      <c r="BL88" s="2867">
        <f t="shared" si="512"/>
        <v>0</v>
      </c>
      <c r="BM88" s="2845">
        <f t="shared" si="504"/>
        <v>13.631044488750002</v>
      </c>
      <c r="BN88" s="2845">
        <f t="shared" si="505"/>
        <v>13.631044488750002</v>
      </c>
      <c r="BO88" s="2845">
        <f t="shared" si="506"/>
        <v>0</v>
      </c>
      <c r="BP88" s="2865">
        <f t="shared" si="252"/>
        <v>3.3330000000000002</v>
      </c>
      <c r="BQ88" s="2866">
        <v>3.3330000000000002</v>
      </c>
      <c r="BR88" s="2866"/>
      <c r="BS88" s="2865">
        <f t="shared" si="254"/>
        <v>3.33</v>
      </c>
      <c r="BT88" s="2866">
        <v>3.33</v>
      </c>
      <c r="BU88" s="2866"/>
      <c r="BV88" s="2865">
        <f t="shared" si="256"/>
        <v>11.945</v>
      </c>
      <c r="BW88" s="2866">
        <v>11.945</v>
      </c>
      <c r="BX88" s="2866"/>
      <c r="BY88" s="2865">
        <f t="shared" si="423"/>
        <v>18.608000000000001</v>
      </c>
      <c r="BZ88" s="2865">
        <f t="shared" si="424"/>
        <v>18.608000000000001</v>
      </c>
      <c r="CA88" s="2865">
        <f t="shared" si="424"/>
        <v>0</v>
      </c>
      <c r="CB88" s="2846">
        <f t="shared" si="441"/>
        <v>54.524177955000006</v>
      </c>
      <c r="CC88" s="2846">
        <f>64.45*0.8459919</f>
        <v>54.524177955000006</v>
      </c>
      <c r="CD88" s="2846">
        <v>0</v>
      </c>
      <c r="CE88" s="2867">
        <f t="shared" si="461"/>
        <v>56.2</v>
      </c>
      <c r="CF88" s="2982">
        <f t="shared" si="461"/>
        <v>56.2</v>
      </c>
      <c r="CG88" s="2982">
        <f t="shared" si="461"/>
        <v>0</v>
      </c>
      <c r="CH88" s="2867">
        <f t="shared" si="513"/>
        <v>1.6758220449999968</v>
      </c>
      <c r="CI88" s="2867">
        <f t="shared" si="513"/>
        <v>1.6758220449999968</v>
      </c>
      <c r="CJ88" s="2867">
        <f t="shared" si="513"/>
        <v>0</v>
      </c>
      <c r="CK88" s="2863"/>
      <c r="CL88" s="4187">
        <f t="shared" si="182"/>
        <v>54.524177955000006</v>
      </c>
      <c r="CM88" s="4187">
        <f t="shared" si="183"/>
        <v>54.524177955000006</v>
      </c>
      <c r="CN88" s="4187">
        <f t="shared" si="184"/>
        <v>0</v>
      </c>
    </row>
    <row r="89" spans="1:92" ht="18.75" customHeight="1" x14ac:dyDescent="0.3">
      <c r="A89" s="2873" t="s">
        <v>591</v>
      </c>
      <c r="B89" s="2845">
        <f t="shared" ref="B89:B94" si="514">SUM(C89:D89)</f>
        <v>837.95037021475025</v>
      </c>
      <c r="C89" s="2845">
        <f t="shared" ref="C89:D89" si="515">SUM(C90:C93)</f>
        <v>837.95037021475025</v>
      </c>
      <c r="D89" s="2845">
        <f t="shared" si="515"/>
        <v>0</v>
      </c>
      <c r="E89" s="2865">
        <f t="shared" si="186"/>
        <v>452.36</v>
      </c>
      <c r="F89" s="2843">
        <f>SUM(F90:F93)</f>
        <v>452.36</v>
      </c>
      <c r="G89" s="2843">
        <f t="shared" ref="G89" si="516">SUM(G90:G93)</f>
        <v>0</v>
      </c>
      <c r="H89" s="2865">
        <f t="shared" si="187"/>
        <v>386.44199999999995</v>
      </c>
      <c r="I89" s="2843">
        <f t="shared" ref="I89:J89" si="517">SUM(I90:I93)</f>
        <v>386.44199999999995</v>
      </c>
      <c r="J89" s="2843">
        <f t="shared" si="517"/>
        <v>0</v>
      </c>
      <c r="K89" s="2865">
        <f t="shared" si="188"/>
        <v>409.03999999999996</v>
      </c>
      <c r="L89" s="2843">
        <f t="shared" ref="L89:M89" si="518">SUM(L90:L93)</f>
        <v>409.03999999999996</v>
      </c>
      <c r="M89" s="2843">
        <f t="shared" si="518"/>
        <v>0</v>
      </c>
      <c r="N89" s="2865">
        <f t="shared" si="398"/>
        <v>1247.8419999999999</v>
      </c>
      <c r="O89" s="2865">
        <f t="shared" si="399"/>
        <v>1247.8419999999999</v>
      </c>
      <c r="P89" s="2865">
        <f t="shared" si="399"/>
        <v>0</v>
      </c>
      <c r="Q89" s="2845">
        <f t="shared" ref="Q89:Q98" si="519">SUM(R89:S89)</f>
        <v>837.95037021475025</v>
      </c>
      <c r="R89" s="2845">
        <f t="shared" ref="R89:S89" si="520">SUM(R90:R93)</f>
        <v>837.95037021475025</v>
      </c>
      <c r="S89" s="2845">
        <f t="shared" si="520"/>
        <v>0</v>
      </c>
      <c r="T89" s="2865">
        <f t="shared" si="229"/>
        <v>274.7</v>
      </c>
      <c r="U89" s="2843">
        <f t="shared" ref="U89:V89" si="521">SUM(U90:U93)</f>
        <v>274.7</v>
      </c>
      <c r="V89" s="2843">
        <f t="shared" si="521"/>
        <v>0</v>
      </c>
      <c r="W89" s="2865">
        <f t="shared" si="231"/>
        <v>96.84</v>
      </c>
      <c r="X89" s="2843">
        <f t="shared" ref="X89:Y89" si="522">SUM(X90:X93)</f>
        <v>96.84</v>
      </c>
      <c r="Y89" s="2843">
        <f t="shared" si="522"/>
        <v>0</v>
      </c>
      <c r="Z89" s="2865">
        <f t="shared" si="233"/>
        <v>13.904</v>
      </c>
      <c r="AA89" s="2843">
        <f t="shared" ref="AA89:AB89" si="523">SUM(AA90:AA93)</f>
        <v>13.904</v>
      </c>
      <c r="AB89" s="2843">
        <f t="shared" si="523"/>
        <v>0</v>
      </c>
      <c r="AC89" s="2865">
        <f t="shared" si="404"/>
        <v>385.44399999999996</v>
      </c>
      <c r="AD89" s="2865">
        <f t="shared" si="405"/>
        <v>385.44399999999996</v>
      </c>
      <c r="AE89" s="2865">
        <f t="shared" si="405"/>
        <v>0</v>
      </c>
      <c r="AF89" s="2846">
        <f t="shared" si="482"/>
        <v>1675.9007404295005</v>
      </c>
      <c r="AG89" s="2846">
        <f t="shared" si="483"/>
        <v>1675.9007404295005</v>
      </c>
      <c r="AH89" s="2846">
        <f t="shared" si="484"/>
        <v>0</v>
      </c>
      <c r="AI89" s="2867">
        <f t="shared" si="511"/>
        <v>1633.2859999999998</v>
      </c>
      <c r="AJ89" s="2867">
        <f t="shared" si="511"/>
        <v>1633.2859999999998</v>
      </c>
      <c r="AK89" s="2867">
        <f t="shared" si="511"/>
        <v>0</v>
      </c>
      <c r="AL89" s="2867">
        <f t="shared" si="510"/>
        <v>-42.614740429500671</v>
      </c>
      <c r="AM89" s="2867">
        <f t="shared" si="510"/>
        <v>-42.614740429500671</v>
      </c>
      <c r="AN89" s="2867">
        <f t="shared" si="510"/>
        <v>0</v>
      </c>
      <c r="AO89" s="2845">
        <f t="shared" ref="AO89:AO94" si="524">SUM(AP89:AQ89)</f>
        <v>837.95037021475025</v>
      </c>
      <c r="AP89" s="2845">
        <f t="shared" ref="AP89:AQ89" si="525">SUM(AP90:AP93)</f>
        <v>837.95037021475025</v>
      </c>
      <c r="AQ89" s="2845">
        <f t="shared" si="525"/>
        <v>0</v>
      </c>
      <c r="AR89" s="2865">
        <f t="shared" si="240"/>
        <v>30.439999999999998</v>
      </c>
      <c r="AS89" s="2843">
        <f t="shared" ref="AS89:AT89" si="526">SUM(AS90:AS93)</f>
        <v>30.439999999999998</v>
      </c>
      <c r="AT89" s="2843">
        <f t="shared" si="526"/>
        <v>0</v>
      </c>
      <c r="AU89" s="2865">
        <f t="shared" si="242"/>
        <v>7.8440000000000003</v>
      </c>
      <c r="AV89" s="2843">
        <f t="shared" ref="AV89:AW89" si="527">SUM(AV90:AV93)</f>
        <v>7.8440000000000003</v>
      </c>
      <c r="AW89" s="2843">
        <f t="shared" si="527"/>
        <v>0</v>
      </c>
      <c r="AX89" s="2865">
        <f t="shared" si="244"/>
        <v>96.387</v>
      </c>
      <c r="AY89" s="2843">
        <f t="shared" ref="AY89:AZ89" si="528">SUM(AY90:AY93)</f>
        <v>96.387</v>
      </c>
      <c r="AZ89" s="2843">
        <f t="shared" si="528"/>
        <v>0</v>
      </c>
      <c r="BA89" s="2865">
        <f t="shared" si="413"/>
        <v>134.67099999999999</v>
      </c>
      <c r="BB89" s="2865">
        <f t="shared" si="414"/>
        <v>134.67099999999999</v>
      </c>
      <c r="BC89" s="2865">
        <f t="shared" si="414"/>
        <v>0</v>
      </c>
      <c r="BD89" s="2846">
        <f t="shared" si="490"/>
        <v>2513.8511106442506</v>
      </c>
      <c r="BE89" s="2846">
        <f t="shared" si="491"/>
        <v>2513.8511106442506</v>
      </c>
      <c r="BF89" s="2846">
        <f t="shared" si="492"/>
        <v>0</v>
      </c>
      <c r="BG89" s="2867">
        <f t="shared" si="459"/>
        <v>1767.9569999999999</v>
      </c>
      <c r="BH89" s="2867">
        <f t="shared" si="459"/>
        <v>1767.9569999999999</v>
      </c>
      <c r="BI89" s="2867">
        <f t="shared" si="459"/>
        <v>0</v>
      </c>
      <c r="BJ89" s="2867">
        <f t="shared" si="512"/>
        <v>-745.89411064425076</v>
      </c>
      <c r="BK89" s="2867">
        <f t="shared" si="512"/>
        <v>-745.89411064425076</v>
      </c>
      <c r="BL89" s="2867">
        <f t="shared" si="512"/>
        <v>0</v>
      </c>
      <c r="BM89" s="2845">
        <f t="shared" ref="BM89:BM94" si="529">SUM(BN89:BO89)</f>
        <v>837.95037021475025</v>
      </c>
      <c r="BN89" s="2845">
        <f t="shared" ref="BN89:BO89" si="530">SUM(BN90:BN93)</f>
        <v>837.95037021475025</v>
      </c>
      <c r="BO89" s="2845">
        <f t="shared" si="530"/>
        <v>0</v>
      </c>
      <c r="BP89" s="2865">
        <f t="shared" si="252"/>
        <v>380.74300000000005</v>
      </c>
      <c r="BQ89" s="2843">
        <f t="shared" ref="BQ89:BR89" si="531">SUM(BQ90:BQ93)</f>
        <v>380.74300000000005</v>
      </c>
      <c r="BR89" s="2843">
        <f t="shared" si="531"/>
        <v>0</v>
      </c>
      <c r="BS89" s="2865">
        <f t="shared" si="254"/>
        <v>323.42799999999994</v>
      </c>
      <c r="BT89" s="2843">
        <f t="shared" ref="BT89:BU89" si="532">SUM(BT90:BT93)</f>
        <v>323.42799999999994</v>
      </c>
      <c r="BU89" s="2843">
        <f t="shared" si="532"/>
        <v>0</v>
      </c>
      <c r="BV89" s="2865">
        <f t="shared" si="256"/>
        <v>363.35699999999997</v>
      </c>
      <c r="BW89" s="2843">
        <f t="shared" ref="BW89:BX89" si="533">SUM(BW90:BW93)</f>
        <v>363.35699999999997</v>
      </c>
      <c r="BX89" s="2843">
        <f t="shared" si="533"/>
        <v>0</v>
      </c>
      <c r="BY89" s="2865">
        <f t="shared" si="423"/>
        <v>1067.528</v>
      </c>
      <c r="BZ89" s="2865">
        <f t="shared" si="424"/>
        <v>1067.528</v>
      </c>
      <c r="CA89" s="2865">
        <f t="shared" si="424"/>
        <v>0</v>
      </c>
      <c r="CB89" s="2846">
        <f t="shared" ref="CB89:CD89" si="534">SUM(CB90:CB93)</f>
        <v>3351.801480859001</v>
      </c>
      <c r="CC89" s="2846">
        <f t="shared" si="534"/>
        <v>3351.801480859001</v>
      </c>
      <c r="CD89" s="2846">
        <f t="shared" si="534"/>
        <v>0</v>
      </c>
      <c r="CE89" s="2867">
        <f t="shared" si="461"/>
        <v>2835.4849999999997</v>
      </c>
      <c r="CF89" s="2982">
        <f t="shared" si="461"/>
        <v>2835.4849999999997</v>
      </c>
      <c r="CG89" s="2982">
        <f t="shared" si="461"/>
        <v>0</v>
      </c>
      <c r="CH89" s="2867">
        <f t="shared" si="513"/>
        <v>-516.31648085900133</v>
      </c>
      <c r="CI89" s="2867">
        <f t="shared" si="513"/>
        <v>-516.31648085900133</v>
      </c>
      <c r="CJ89" s="2867">
        <f t="shared" si="513"/>
        <v>0</v>
      </c>
      <c r="CK89" s="2872"/>
      <c r="CL89" s="4187">
        <f t="shared" si="182"/>
        <v>3351.801480859001</v>
      </c>
      <c r="CM89" s="4187">
        <f t="shared" si="183"/>
        <v>3351.801480859001</v>
      </c>
      <c r="CN89" s="4187">
        <f t="shared" si="184"/>
        <v>0</v>
      </c>
    </row>
    <row r="90" spans="1:92" ht="18.75" customHeight="1" x14ac:dyDescent="0.3">
      <c r="A90" s="2874" t="s">
        <v>3964</v>
      </c>
      <c r="B90" s="2853">
        <f t="shared" si="514"/>
        <v>643.93693280800017</v>
      </c>
      <c r="C90" s="2853">
        <f t="shared" ref="C90:C93" si="535">SUM(CC90/4)</f>
        <v>643.93693280800017</v>
      </c>
      <c r="D90" s="2853">
        <f t="shared" ref="D90:D93" si="536">SUM(CD90/4)</f>
        <v>0</v>
      </c>
      <c r="E90" s="2875">
        <f t="shared" si="186"/>
        <v>380.56</v>
      </c>
      <c r="F90" s="2876">
        <f>326.24+54.32</f>
        <v>380.56</v>
      </c>
      <c r="G90" s="2876"/>
      <c r="H90" s="2875">
        <f t="shared" si="187"/>
        <v>382.83499999999998</v>
      </c>
      <c r="I90" s="2876">
        <f>328.611+54.224</f>
        <v>382.83499999999998</v>
      </c>
      <c r="J90" s="2876"/>
      <c r="K90" s="2875">
        <f t="shared" si="188"/>
        <v>293.84999999999997</v>
      </c>
      <c r="L90" s="2876">
        <f>250.95+42.9</f>
        <v>293.84999999999997</v>
      </c>
      <c r="M90" s="2876"/>
      <c r="N90" s="2875">
        <f t="shared" si="398"/>
        <v>1057.2449999999999</v>
      </c>
      <c r="O90" s="2875">
        <f t="shared" si="399"/>
        <v>1057.2449999999999</v>
      </c>
      <c r="P90" s="2875">
        <f t="shared" si="399"/>
        <v>0</v>
      </c>
      <c r="Q90" s="2853">
        <f t="shared" si="519"/>
        <v>643.93693280800017</v>
      </c>
      <c r="R90" s="2853">
        <f t="shared" ref="R90:R93" si="537">SUM(C90)</f>
        <v>643.93693280800017</v>
      </c>
      <c r="S90" s="2853">
        <f t="shared" ref="S90:S93" si="538">SUM(D90)</f>
        <v>0</v>
      </c>
      <c r="T90" s="2875">
        <f t="shared" si="229"/>
        <v>204.69</v>
      </c>
      <c r="U90" s="2876">
        <f>177.34+27.35</f>
        <v>204.69</v>
      </c>
      <c r="V90" s="2876"/>
      <c r="W90" s="2875">
        <f t="shared" si="231"/>
        <v>84.97</v>
      </c>
      <c r="X90" s="2876">
        <f>73.08+11.89</f>
        <v>84.97</v>
      </c>
      <c r="Y90" s="2876"/>
      <c r="Z90" s="2875">
        <f t="shared" si="233"/>
        <v>6.4210000000000003</v>
      </c>
      <c r="AA90" s="2876">
        <v>6.4210000000000003</v>
      </c>
      <c r="AB90" s="2876"/>
      <c r="AC90" s="2875">
        <f t="shared" si="404"/>
        <v>296.08099999999996</v>
      </c>
      <c r="AD90" s="2875">
        <f t="shared" si="405"/>
        <v>296.08099999999996</v>
      </c>
      <c r="AE90" s="2875">
        <f t="shared" si="405"/>
        <v>0</v>
      </c>
      <c r="AF90" s="2856">
        <f t="shared" si="482"/>
        <v>1287.8738656160003</v>
      </c>
      <c r="AG90" s="2856">
        <f t="shared" si="483"/>
        <v>1287.8738656160003</v>
      </c>
      <c r="AH90" s="2856">
        <f t="shared" si="484"/>
        <v>0</v>
      </c>
      <c r="AI90" s="2870">
        <f t="shared" si="511"/>
        <v>1353.3259999999998</v>
      </c>
      <c r="AJ90" s="2870">
        <f t="shared" si="511"/>
        <v>1353.3259999999998</v>
      </c>
      <c r="AK90" s="2870">
        <f t="shared" si="511"/>
        <v>0</v>
      </c>
      <c r="AL90" s="2870">
        <f t="shared" si="510"/>
        <v>65.452134383999464</v>
      </c>
      <c r="AM90" s="2870">
        <f t="shared" si="510"/>
        <v>65.452134383999464</v>
      </c>
      <c r="AN90" s="2870">
        <f t="shared" si="510"/>
        <v>0</v>
      </c>
      <c r="AO90" s="2853">
        <f t="shared" si="524"/>
        <v>643.93693280800017</v>
      </c>
      <c r="AP90" s="2853">
        <f t="shared" ref="AP90:AP93" si="539">SUM(CC90-AG90)/2</f>
        <v>643.93693280800017</v>
      </c>
      <c r="AQ90" s="2853">
        <f t="shared" ref="AQ90:AQ93" si="540">SUM(CD90-AH90)/2</f>
        <v>0</v>
      </c>
      <c r="AR90" s="2875">
        <f t="shared" si="240"/>
        <v>4.4400000000000004</v>
      </c>
      <c r="AS90" s="2876">
        <v>4.4400000000000004</v>
      </c>
      <c r="AT90" s="2876"/>
      <c r="AU90" s="2875">
        <f t="shared" si="242"/>
        <v>5.1920000000000002</v>
      </c>
      <c r="AV90" s="2876">
        <v>5.1920000000000002</v>
      </c>
      <c r="AW90" s="2876"/>
      <c r="AX90" s="2875">
        <f t="shared" si="244"/>
        <v>83.543999999999997</v>
      </c>
      <c r="AY90" s="2876">
        <f>73.166+10.378</f>
        <v>83.543999999999997</v>
      </c>
      <c r="AZ90" s="2876"/>
      <c r="BA90" s="2875">
        <f t="shared" si="413"/>
        <v>93.176000000000002</v>
      </c>
      <c r="BB90" s="2875">
        <f t="shared" si="414"/>
        <v>93.176000000000002</v>
      </c>
      <c r="BC90" s="2875">
        <f t="shared" si="414"/>
        <v>0</v>
      </c>
      <c r="BD90" s="2856">
        <f t="shared" si="490"/>
        <v>1931.8107984240005</v>
      </c>
      <c r="BE90" s="2856">
        <f t="shared" si="491"/>
        <v>1931.8107984240005</v>
      </c>
      <c r="BF90" s="2856">
        <f t="shared" si="492"/>
        <v>0</v>
      </c>
      <c r="BG90" s="2870">
        <f t="shared" si="459"/>
        <v>1446.5019999999997</v>
      </c>
      <c r="BH90" s="2870">
        <f t="shared" si="459"/>
        <v>1446.5019999999997</v>
      </c>
      <c r="BI90" s="2870">
        <f t="shared" si="459"/>
        <v>0</v>
      </c>
      <c r="BJ90" s="2870">
        <f t="shared" si="512"/>
        <v>-485.30879842400077</v>
      </c>
      <c r="BK90" s="2870">
        <f t="shared" si="512"/>
        <v>-485.30879842400077</v>
      </c>
      <c r="BL90" s="2870">
        <f t="shared" si="512"/>
        <v>0</v>
      </c>
      <c r="BM90" s="2853">
        <f t="shared" si="529"/>
        <v>643.93693280800017</v>
      </c>
      <c r="BN90" s="2853">
        <f t="shared" ref="BN90:BO93" si="541">SUM(AP90)</f>
        <v>643.93693280800017</v>
      </c>
      <c r="BO90" s="2853">
        <f t="shared" si="541"/>
        <v>0</v>
      </c>
      <c r="BP90" s="2875">
        <f t="shared" si="252"/>
        <v>164.095</v>
      </c>
      <c r="BQ90" s="2876">
        <f>147.536+16.559</f>
        <v>164.095</v>
      </c>
      <c r="BR90" s="2876"/>
      <c r="BS90" s="2875">
        <f t="shared" si="254"/>
        <v>247.55099999999999</v>
      </c>
      <c r="BT90" s="2876">
        <f>220.065+27.486</f>
        <v>247.55099999999999</v>
      </c>
      <c r="BU90" s="2876"/>
      <c r="BV90" s="2875">
        <f t="shared" si="256"/>
        <v>337.49</v>
      </c>
      <c r="BW90" s="2876">
        <v>337.49</v>
      </c>
      <c r="BX90" s="2876"/>
      <c r="BY90" s="2875">
        <f t="shared" si="423"/>
        <v>749.13599999999997</v>
      </c>
      <c r="BZ90" s="2875">
        <f t="shared" si="424"/>
        <v>749.13599999999997</v>
      </c>
      <c r="CA90" s="2875">
        <f t="shared" si="424"/>
        <v>0</v>
      </c>
      <c r="CB90" s="2856">
        <f t="shared" si="441"/>
        <v>2575.7477312320007</v>
      </c>
      <c r="CC90" s="2856">
        <f>3160.28*0.8459919-CC69</f>
        <v>2575.7477312320007</v>
      </c>
      <c r="CD90" s="2856">
        <v>0</v>
      </c>
      <c r="CE90" s="2870">
        <f t="shared" si="461"/>
        <v>2195.6379999999999</v>
      </c>
      <c r="CF90" s="2991">
        <f t="shared" si="461"/>
        <v>2195.6379999999999</v>
      </c>
      <c r="CG90" s="2991">
        <f t="shared" si="461"/>
        <v>0</v>
      </c>
      <c r="CH90" s="2870">
        <f t="shared" si="513"/>
        <v>-380.10973123200074</v>
      </c>
      <c r="CI90" s="2870">
        <f t="shared" si="513"/>
        <v>-380.10973123200074</v>
      </c>
      <c r="CJ90" s="2870">
        <f t="shared" si="513"/>
        <v>0</v>
      </c>
      <c r="CK90" s="2863"/>
      <c r="CL90" s="4187">
        <f t="shared" si="182"/>
        <v>2575.7477312320007</v>
      </c>
      <c r="CM90" s="4187">
        <f t="shared" si="183"/>
        <v>2575.7477312320007</v>
      </c>
      <c r="CN90" s="4187">
        <f t="shared" si="184"/>
        <v>0</v>
      </c>
    </row>
    <row r="91" spans="1:92" ht="18.75" customHeight="1" x14ac:dyDescent="0.3">
      <c r="A91" s="2874" t="s">
        <v>548</v>
      </c>
      <c r="B91" s="2853">
        <f t="shared" si="514"/>
        <v>185.65926739425001</v>
      </c>
      <c r="C91" s="2853">
        <f t="shared" si="535"/>
        <v>185.65926739425001</v>
      </c>
      <c r="D91" s="2853">
        <f t="shared" si="536"/>
        <v>0</v>
      </c>
      <c r="E91" s="2875">
        <f t="shared" si="186"/>
        <v>70.63</v>
      </c>
      <c r="F91" s="2876">
        <v>70.63</v>
      </c>
      <c r="G91" s="2876"/>
      <c r="H91" s="2875">
        <f t="shared" si="187"/>
        <v>2.44</v>
      </c>
      <c r="I91" s="2876">
        <f>0.42+2.02</f>
        <v>2.44</v>
      </c>
      <c r="J91" s="2876"/>
      <c r="K91" s="2875">
        <f t="shared" si="188"/>
        <v>113.44</v>
      </c>
      <c r="L91" s="2876">
        <v>113.44</v>
      </c>
      <c r="M91" s="2876"/>
      <c r="N91" s="2875">
        <f t="shared" si="398"/>
        <v>186.51</v>
      </c>
      <c r="O91" s="2875">
        <f t="shared" si="399"/>
        <v>186.51</v>
      </c>
      <c r="P91" s="2875">
        <f t="shared" si="399"/>
        <v>0</v>
      </c>
      <c r="Q91" s="2853">
        <f t="shared" si="519"/>
        <v>185.65926739425001</v>
      </c>
      <c r="R91" s="2853">
        <f t="shared" si="537"/>
        <v>185.65926739425001</v>
      </c>
      <c r="S91" s="2853">
        <f t="shared" si="538"/>
        <v>0</v>
      </c>
      <c r="T91" s="2875">
        <f t="shared" si="229"/>
        <v>68.260000000000005</v>
      </c>
      <c r="U91" s="2876">
        <v>68.260000000000005</v>
      </c>
      <c r="V91" s="2876"/>
      <c r="W91" s="2875">
        <f t="shared" si="231"/>
        <v>10.119999999999999</v>
      </c>
      <c r="X91" s="2876">
        <v>10.119999999999999</v>
      </c>
      <c r="Y91" s="2876"/>
      <c r="Z91" s="2875">
        <f t="shared" si="233"/>
        <v>5.7320000000000002</v>
      </c>
      <c r="AA91" s="2876">
        <v>5.7320000000000002</v>
      </c>
      <c r="AB91" s="2876"/>
      <c r="AC91" s="2875">
        <f t="shared" si="404"/>
        <v>84.112000000000009</v>
      </c>
      <c r="AD91" s="2875">
        <f t="shared" si="405"/>
        <v>84.112000000000009</v>
      </c>
      <c r="AE91" s="2875">
        <f t="shared" si="405"/>
        <v>0</v>
      </c>
      <c r="AF91" s="2856">
        <f t="shared" si="482"/>
        <v>371.31853478850002</v>
      </c>
      <c r="AG91" s="2856">
        <f t="shared" si="483"/>
        <v>371.31853478850002</v>
      </c>
      <c r="AH91" s="2856">
        <f t="shared" si="484"/>
        <v>0</v>
      </c>
      <c r="AI91" s="2870">
        <f t="shared" si="511"/>
        <v>270.62200000000001</v>
      </c>
      <c r="AJ91" s="2870">
        <f t="shared" si="511"/>
        <v>270.62200000000001</v>
      </c>
      <c r="AK91" s="2870">
        <f t="shared" si="511"/>
        <v>0</v>
      </c>
      <c r="AL91" s="2870">
        <f t="shared" si="510"/>
        <v>-100.6965347885</v>
      </c>
      <c r="AM91" s="2870">
        <f t="shared" si="510"/>
        <v>-100.6965347885</v>
      </c>
      <c r="AN91" s="2870">
        <f t="shared" si="510"/>
        <v>0</v>
      </c>
      <c r="AO91" s="2853">
        <f t="shared" si="524"/>
        <v>185.65926739425001</v>
      </c>
      <c r="AP91" s="2853">
        <f t="shared" si="539"/>
        <v>185.65926739425001</v>
      </c>
      <c r="AQ91" s="2853">
        <f t="shared" si="540"/>
        <v>0</v>
      </c>
      <c r="AR91" s="2875">
        <f t="shared" si="240"/>
        <v>24.83</v>
      </c>
      <c r="AS91" s="2876">
        <v>24.83</v>
      </c>
      <c r="AT91" s="2876"/>
      <c r="AU91" s="2875">
        <f t="shared" si="242"/>
        <v>1.4850000000000001</v>
      </c>
      <c r="AV91" s="2876">
        <v>1.4850000000000001</v>
      </c>
      <c r="AW91" s="2876"/>
      <c r="AX91" s="2875">
        <f t="shared" si="244"/>
        <v>9.3420000000000005</v>
      </c>
      <c r="AY91" s="2876">
        <v>9.3420000000000005</v>
      </c>
      <c r="AZ91" s="2876"/>
      <c r="BA91" s="2875">
        <f t="shared" si="413"/>
        <v>35.656999999999996</v>
      </c>
      <c r="BB91" s="2875">
        <f t="shared" si="414"/>
        <v>35.656999999999996</v>
      </c>
      <c r="BC91" s="2875">
        <f t="shared" si="414"/>
        <v>0</v>
      </c>
      <c r="BD91" s="2856">
        <f t="shared" si="490"/>
        <v>556.97780218275</v>
      </c>
      <c r="BE91" s="2856">
        <f t="shared" si="491"/>
        <v>556.97780218275</v>
      </c>
      <c r="BF91" s="2856">
        <f t="shared" si="492"/>
        <v>0</v>
      </c>
      <c r="BG91" s="2870">
        <f t="shared" si="459"/>
        <v>306.279</v>
      </c>
      <c r="BH91" s="2870">
        <f t="shared" si="459"/>
        <v>306.279</v>
      </c>
      <c r="BI91" s="2870">
        <f t="shared" si="459"/>
        <v>0</v>
      </c>
      <c r="BJ91" s="2870">
        <f t="shared" si="512"/>
        <v>-250.69880218275</v>
      </c>
      <c r="BK91" s="2870">
        <f t="shared" si="512"/>
        <v>-250.69880218275</v>
      </c>
      <c r="BL91" s="2870">
        <f t="shared" si="512"/>
        <v>0</v>
      </c>
      <c r="BM91" s="2853">
        <f t="shared" si="529"/>
        <v>185.65926739425001</v>
      </c>
      <c r="BN91" s="2853">
        <f t="shared" si="541"/>
        <v>185.65926739425001</v>
      </c>
      <c r="BO91" s="2853">
        <f t="shared" si="541"/>
        <v>0</v>
      </c>
      <c r="BP91" s="2875">
        <f t="shared" si="252"/>
        <v>204.827</v>
      </c>
      <c r="BQ91" s="2876">
        <v>204.827</v>
      </c>
      <c r="BR91" s="2876"/>
      <c r="BS91" s="2875">
        <f t="shared" si="254"/>
        <v>74.709999999999994</v>
      </c>
      <c r="BT91" s="2876">
        <v>74.709999999999994</v>
      </c>
      <c r="BU91" s="2876"/>
      <c r="BV91" s="2875">
        <f t="shared" si="256"/>
        <v>23.245999999999999</v>
      </c>
      <c r="BW91" s="2876">
        <v>23.245999999999999</v>
      </c>
      <c r="BX91" s="2876"/>
      <c r="BY91" s="2875">
        <f t="shared" si="423"/>
        <v>302.78299999999996</v>
      </c>
      <c r="BZ91" s="2875">
        <f t="shared" si="424"/>
        <v>302.78299999999996</v>
      </c>
      <c r="CA91" s="2875">
        <f t="shared" si="424"/>
        <v>0</v>
      </c>
      <c r="CB91" s="2856">
        <f t="shared" si="441"/>
        <v>742.63706957700003</v>
      </c>
      <c r="CC91" s="2856">
        <f>877.83*0.8459919</f>
        <v>742.63706957700003</v>
      </c>
      <c r="CD91" s="2856">
        <v>0</v>
      </c>
      <c r="CE91" s="2870">
        <f t="shared" si="461"/>
        <v>609.0619999999999</v>
      </c>
      <c r="CF91" s="2991">
        <f t="shared" si="461"/>
        <v>609.0619999999999</v>
      </c>
      <c r="CG91" s="2991">
        <f t="shared" si="461"/>
        <v>0</v>
      </c>
      <c r="CH91" s="2870">
        <f t="shared" si="513"/>
        <v>-133.57506957700014</v>
      </c>
      <c r="CI91" s="2870">
        <f t="shared" si="513"/>
        <v>-133.57506957700014</v>
      </c>
      <c r="CJ91" s="2870">
        <f t="shared" si="513"/>
        <v>0</v>
      </c>
      <c r="CK91" s="2863"/>
      <c r="CL91" s="4187">
        <f t="shared" si="182"/>
        <v>742.63706957700003</v>
      </c>
      <c r="CM91" s="4187">
        <f t="shared" si="183"/>
        <v>742.63706957700003</v>
      </c>
      <c r="CN91" s="4187">
        <f t="shared" si="184"/>
        <v>0</v>
      </c>
    </row>
    <row r="92" spans="1:92" ht="18.75" customHeight="1" x14ac:dyDescent="0.3">
      <c r="A92" s="2874" t="s">
        <v>547</v>
      </c>
      <c r="B92" s="2853">
        <f t="shared" si="514"/>
        <v>0</v>
      </c>
      <c r="C92" s="2853">
        <f t="shared" si="535"/>
        <v>0</v>
      </c>
      <c r="D92" s="2853">
        <f t="shared" si="536"/>
        <v>0</v>
      </c>
      <c r="E92" s="2875">
        <f t="shared" si="186"/>
        <v>0</v>
      </c>
      <c r="F92" s="2876"/>
      <c r="G92" s="2876"/>
      <c r="H92" s="2875">
        <f t="shared" si="187"/>
        <v>0</v>
      </c>
      <c r="I92" s="2876"/>
      <c r="J92" s="2876"/>
      <c r="K92" s="2875">
        <f t="shared" si="188"/>
        <v>0</v>
      </c>
      <c r="L92" s="2876"/>
      <c r="M92" s="2876"/>
      <c r="N92" s="2875">
        <f t="shared" si="398"/>
        <v>0</v>
      </c>
      <c r="O92" s="2875">
        <f t="shared" si="399"/>
        <v>0</v>
      </c>
      <c r="P92" s="2875">
        <f t="shared" si="399"/>
        <v>0</v>
      </c>
      <c r="Q92" s="2853">
        <f t="shared" si="519"/>
        <v>0</v>
      </c>
      <c r="R92" s="2853">
        <f t="shared" si="537"/>
        <v>0</v>
      </c>
      <c r="S92" s="2853">
        <f t="shared" si="538"/>
        <v>0</v>
      </c>
      <c r="T92" s="2875">
        <f t="shared" si="229"/>
        <v>0</v>
      </c>
      <c r="U92" s="2876"/>
      <c r="V92" s="2876"/>
      <c r="W92" s="2875">
        <f t="shared" si="231"/>
        <v>0</v>
      </c>
      <c r="X92" s="2876"/>
      <c r="Y92" s="2876"/>
      <c r="Z92" s="2875">
        <f t="shared" si="233"/>
        <v>0</v>
      </c>
      <c r="AA92" s="2876"/>
      <c r="AB92" s="2876"/>
      <c r="AC92" s="2875">
        <f t="shared" si="404"/>
        <v>0</v>
      </c>
      <c r="AD92" s="2875">
        <f t="shared" si="405"/>
        <v>0</v>
      </c>
      <c r="AE92" s="2875">
        <f t="shared" si="405"/>
        <v>0</v>
      </c>
      <c r="AF92" s="2856">
        <f t="shared" si="482"/>
        <v>0</v>
      </c>
      <c r="AG92" s="2856">
        <f t="shared" si="483"/>
        <v>0</v>
      </c>
      <c r="AH92" s="2856">
        <f t="shared" si="484"/>
        <v>0</v>
      </c>
      <c r="AI92" s="2870">
        <f t="shared" si="511"/>
        <v>0</v>
      </c>
      <c r="AJ92" s="2870">
        <f t="shared" si="511"/>
        <v>0</v>
      </c>
      <c r="AK92" s="2870">
        <f t="shared" si="511"/>
        <v>0</v>
      </c>
      <c r="AL92" s="2870">
        <f t="shared" si="510"/>
        <v>0</v>
      </c>
      <c r="AM92" s="2870">
        <f t="shared" si="510"/>
        <v>0</v>
      </c>
      <c r="AN92" s="2870">
        <f t="shared" si="510"/>
        <v>0</v>
      </c>
      <c r="AO92" s="2853">
        <f t="shared" si="524"/>
        <v>0</v>
      </c>
      <c r="AP92" s="2853">
        <f t="shared" si="539"/>
        <v>0</v>
      </c>
      <c r="AQ92" s="2853">
        <f t="shared" si="540"/>
        <v>0</v>
      </c>
      <c r="AR92" s="2875">
        <f t="shared" si="240"/>
        <v>0</v>
      </c>
      <c r="AS92" s="2876"/>
      <c r="AT92" s="2876"/>
      <c r="AU92" s="2875">
        <f t="shared" si="242"/>
        <v>0</v>
      </c>
      <c r="AV92" s="2876"/>
      <c r="AW92" s="2876"/>
      <c r="AX92" s="2875">
        <f t="shared" si="244"/>
        <v>0</v>
      </c>
      <c r="AY92" s="2876"/>
      <c r="AZ92" s="2876"/>
      <c r="BA92" s="2875">
        <f t="shared" si="413"/>
        <v>0</v>
      </c>
      <c r="BB92" s="2875">
        <f t="shared" si="414"/>
        <v>0</v>
      </c>
      <c r="BC92" s="2875">
        <f t="shared" si="414"/>
        <v>0</v>
      </c>
      <c r="BD92" s="2856">
        <f t="shared" si="490"/>
        <v>0</v>
      </c>
      <c r="BE92" s="2856">
        <f t="shared" si="491"/>
        <v>0</v>
      </c>
      <c r="BF92" s="2856">
        <f t="shared" si="492"/>
        <v>0</v>
      </c>
      <c r="BG92" s="2870">
        <f t="shared" si="459"/>
        <v>0</v>
      </c>
      <c r="BH92" s="2870">
        <f t="shared" si="459"/>
        <v>0</v>
      </c>
      <c r="BI92" s="2870">
        <f t="shared" si="459"/>
        <v>0</v>
      </c>
      <c r="BJ92" s="2870">
        <f t="shared" si="512"/>
        <v>0</v>
      </c>
      <c r="BK92" s="2870">
        <f t="shared" si="512"/>
        <v>0</v>
      </c>
      <c r="BL92" s="2870">
        <f t="shared" si="512"/>
        <v>0</v>
      </c>
      <c r="BM92" s="2853">
        <f t="shared" si="529"/>
        <v>0</v>
      </c>
      <c r="BN92" s="2853">
        <f t="shared" si="541"/>
        <v>0</v>
      </c>
      <c r="BO92" s="2853">
        <f t="shared" si="541"/>
        <v>0</v>
      </c>
      <c r="BP92" s="2875">
        <f t="shared" si="252"/>
        <v>0</v>
      </c>
      <c r="BQ92" s="2876"/>
      <c r="BR92" s="2876"/>
      <c r="BS92" s="2875">
        <f t="shared" si="254"/>
        <v>0</v>
      </c>
      <c r="BT92" s="2876"/>
      <c r="BU92" s="2876"/>
      <c r="BV92" s="2875">
        <f t="shared" si="256"/>
        <v>0</v>
      </c>
      <c r="BW92" s="2876"/>
      <c r="BX92" s="2876"/>
      <c r="BY92" s="2875">
        <f t="shared" si="423"/>
        <v>0</v>
      </c>
      <c r="BZ92" s="2875">
        <f t="shared" si="424"/>
        <v>0</v>
      </c>
      <c r="CA92" s="2875">
        <f t="shared" si="424"/>
        <v>0</v>
      </c>
      <c r="CB92" s="2856">
        <f t="shared" si="441"/>
        <v>0</v>
      </c>
      <c r="CC92" s="2856">
        <f>0*0.8459919</f>
        <v>0</v>
      </c>
      <c r="CD92" s="2856">
        <v>0</v>
      </c>
      <c r="CE92" s="2870">
        <f t="shared" si="461"/>
        <v>0</v>
      </c>
      <c r="CF92" s="2991">
        <f t="shared" si="461"/>
        <v>0</v>
      </c>
      <c r="CG92" s="2991">
        <f t="shared" si="461"/>
        <v>0</v>
      </c>
      <c r="CH92" s="2870">
        <f t="shared" si="513"/>
        <v>0</v>
      </c>
      <c r="CI92" s="2870">
        <f t="shared" si="513"/>
        <v>0</v>
      </c>
      <c r="CJ92" s="2870">
        <f t="shared" si="513"/>
        <v>0</v>
      </c>
      <c r="CK92" s="2863"/>
      <c r="CL92" s="4187">
        <f t="shared" si="182"/>
        <v>0</v>
      </c>
      <c r="CM92" s="4187">
        <f t="shared" si="183"/>
        <v>0</v>
      </c>
      <c r="CN92" s="4187">
        <f t="shared" si="184"/>
        <v>0</v>
      </c>
    </row>
    <row r="93" spans="1:92" ht="18.75" customHeight="1" x14ac:dyDescent="0.3">
      <c r="A93" s="2874" t="s">
        <v>3739</v>
      </c>
      <c r="B93" s="2853">
        <f t="shared" si="514"/>
        <v>8.3541700125000009</v>
      </c>
      <c r="C93" s="2853">
        <f t="shared" si="535"/>
        <v>8.3541700125000009</v>
      </c>
      <c r="D93" s="2853">
        <f t="shared" si="536"/>
        <v>0</v>
      </c>
      <c r="E93" s="2875">
        <f t="shared" si="186"/>
        <v>1.17</v>
      </c>
      <c r="F93" s="2876">
        <v>1.17</v>
      </c>
      <c r="G93" s="2876"/>
      <c r="H93" s="2875">
        <f t="shared" si="187"/>
        <v>1.167</v>
      </c>
      <c r="I93" s="2876">
        <v>1.167</v>
      </c>
      <c r="J93" s="2876"/>
      <c r="K93" s="2875">
        <f t="shared" si="188"/>
        <v>1.75</v>
      </c>
      <c r="L93" s="2876">
        <v>1.75</v>
      </c>
      <c r="M93" s="2876"/>
      <c r="N93" s="2875">
        <f t="shared" si="398"/>
        <v>4.0869999999999997</v>
      </c>
      <c r="O93" s="2875">
        <f t="shared" si="399"/>
        <v>4.0869999999999997</v>
      </c>
      <c r="P93" s="2875">
        <f t="shared" si="399"/>
        <v>0</v>
      </c>
      <c r="Q93" s="2853">
        <f t="shared" si="519"/>
        <v>8.3541700125000009</v>
      </c>
      <c r="R93" s="2853">
        <f t="shared" si="537"/>
        <v>8.3541700125000009</v>
      </c>
      <c r="S93" s="2853">
        <f t="shared" si="538"/>
        <v>0</v>
      </c>
      <c r="T93" s="2875">
        <f t="shared" si="229"/>
        <v>1.75</v>
      </c>
      <c r="U93" s="2876">
        <v>1.75</v>
      </c>
      <c r="V93" s="2876"/>
      <c r="W93" s="2875">
        <f t="shared" si="231"/>
        <v>1.75</v>
      </c>
      <c r="X93" s="2876">
        <v>1.75</v>
      </c>
      <c r="Y93" s="2876"/>
      <c r="Z93" s="2875">
        <f t="shared" si="233"/>
        <v>1.7509999999999999</v>
      </c>
      <c r="AA93" s="2876">
        <v>1.7509999999999999</v>
      </c>
      <c r="AB93" s="2876"/>
      <c r="AC93" s="2875">
        <f t="shared" si="404"/>
        <v>5.2509999999999994</v>
      </c>
      <c r="AD93" s="2875">
        <f t="shared" si="405"/>
        <v>5.2509999999999994</v>
      </c>
      <c r="AE93" s="2875">
        <f t="shared" si="405"/>
        <v>0</v>
      </c>
      <c r="AF93" s="2856">
        <f t="shared" si="482"/>
        <v>16.708340025000002</v>
      </c>
      <c r="AG93" s="2856">
        <f t="shared" si="483"/>
        <v>16.708340025000002</v>
      </c>
      <c r="AH93" s="2856">
        <f t="shared" si="484"/>
        <v>0</v>
      </c>
      <c r="AI93" s="2870">
        <f t="shared" si="511"/>
        <v>9.3379999999999992</v>
      </c>
      <c r="AJ93" s="2870">
        <f t="shared" si="511"/>
        <v>9.3379999999999992</v>
      </c>
      <c r="AK93" s="2870">
        <f t="shared" si="511"/>
        <v>0</v>
      </c>
      <c r="AL93" s="2870">
        <f t="shared" si="510"/>
        <v>-7.3703400250000026</v>
      </c>
      <c r="AM93" s="2870">
        <f t="shared" si="510"/>
        <v>-7.3703400250000026</v>
      </c>
      <c r="AN93" s="2870">
        <f t="shared" si="510"/>
        <v>0</v>
      </c>
      <c r="AO93" s="2853">
        <f t="shared" si="524"/>
        <v>8.3541700125000009</v>
      </c>
      <c r="AP93" s="2853">
        <f t="shared" si="539"/>
        <v>8.3541700125000009</v>
      </c>
      <c r="AQ93" s="2853">
        <f t="shared" si="540"/>
        <v>0</v>
      </c>
      <c r="AR93" s="2875">
        <f t="shared" si="240"/>
        <v>1.17</v>
      </c>
      <c r="AS93" s="2876">
        <v>1.17</v>
      </c>
      <c r="AT93" s="2876"/>
      <c r="AU93" s="2875">
        <f t="shared" si="242"/>
        <v>1.167</v>
      </c>
      <c r="AV93" s="2876">
        <v>1.167</v>
      </c>
      <c r="AW93" s="2876"/>
      <c r="AX93" s="2875">
        <f t="shared" si="244"/>
        <v>3.5009999999999999</v>
      </c>
      <c r="AY93" s="2876">
        <v>3.5009999999999999</v>
      </c>
      <c r="AZ93" s="2876"/>
      <c r="BA93" s="2875">
        <f t="shared" si="413"/>
        <v>5.8379999999999992</v>
      </c>
      <c r="BB93" s="2875">
        <f t="shared" si="414"/>
        <v>5.8379999999999992</v>
      </c>
      <c r="BC93" s="2875">
        <f t="shared" si="414"/>
        <v>0</v>
      </c>
      <c r="BD93" s="2856">
        <f t="shared" si="490"/>
        <v>25.062510037500005</v>
      </c>
      <c r="BE93" s="2856">
        <f t="shared" si="491"/>
        <v>25.062510037500005</v>
      </c>
      <c r="BF93" s="2856">
        <f t="shared" si="492"/>
        <v>0</v>
      </c>
      <c r="BG93" s="2870">
        <f t="shared" si="459"/>
        <v>15.175999999999998</v>
      </c>
      <c r="BH93" s="2870">
        <f t="shared" si="459"/>
        <v>15.175999999999998</v>
      </c>
      <c r="BI93" s="2870">
        <f t="shared" si="459"/>
        <v>0</v>
      </c>
      <c r="BJ93" s="2870">
        <f t="shared" si="512"/>
        <v>-9.8865100375000061</v>
      </c>
      <c r="BK93" s="2870">
        <f t="shared" si="512"/>
        <v>-9.8865100375000061</v>
      </c>
      <c r="BL93" s="2870">
        <f t="shared" si="512"/>
        <v>0</v>
      </c>
      <c r="BM93" s="2853">
        <f t="shared" si="529"/>
        <v>8.3541700125000009</v>
      </c>
      <c r="BN93" s="2853">
        <f t="shared" si="541"/>
        <v>8.3541700125000009</v>
      </c>
      <c r="BO93" s="2853">
        <f t="shared" si="541"/>
        <v>0</v>
      </c>
      <c r="BP93" s="2875">
        <f t="shared" si="252"/>
        <v>11.821</v>
      </c>
      <c r="BQ93" s="2876">
        <f>1.167+10.654</f>
        <v>11.821</v>
      </c>
      <c r="BR93" s="2876"/>
      <c r="BS93" s="2875">
        <f t="shared" si="254"/>
        <v>1.167</v>
      </c>
      <c r="BT93" s="2876">
        <v>1.167</v>
      </c>
      <c r="BU93" s="2876"/>
      <c r="BV93" s="2875">
        <f t="shared" si="256"/>
        <v>2.621</v>
      </c>
      <c r="BW93" s="2876">
        <v>2.621</v>
      </c>
      <c r="BX93" s="2876"/>
      <c r="BY93" s="2875">
        <f t="shared" si="423"/>
        <v>15.609</v>
      </c>
      <c r="BZ93" s="2875">
        <f t="shared" si="424"/>
        <v>15.609</v>
      </c>
      <c r="CA93" s="2875">
        <f t="shared" si="424"/>
        <v>0</v>
      </c>
      <c r="CB93" s="2856">
        <f t="shared" si="441"/>
        <v>33.416680050000004</v>
      </c>
      <c r="CC93" s="2856">
        <f>39.5*0.8459919</f>
        <v>33.416680050000004</v>
      </c>
      <c r="CD93" s="2856">
        <v>0</v>
      </c>
      <c r="CE93" s="2870">
        <f t="shared" si="461"/>
        <v>30.784999999999997</v>
      </c>
      <c r="CF93" s="2991">
        <f t="shared" si="461"/>
        <v>30.784999999999997</v>
      </c>
      <c r="CG93" s="2991">
        <f t="shared" si="461"/>
        <v>0</v>
      </c>
      <c r="CH93" s="2870">
        <f t="shared" si="513"/>
        <v>-2.631680050000007</v>
      </c>
      <c r="CI93" s="2870">
        <f t="shared" si="513"/>
        <v>-2.631680050000007</v>
      </c>
      <c r="CJ93" s="2870">
        <f t="shared" si="513"/>
        <v>0</v>
      </c>
      <c r="CK93" s="2863"/>
      <c r="CL93" s="4187">
        <f t="shared" ref="CL93:CL156" si="542">SUM(B93+Q93+AO93+BM93)</f>
        <v>33.416680050000004</v>
      </c>
      <c r="CM93" s="4187">
        <f t="shared" ref="CM93:CM156" si="543">SUM(C93+R93+AP93+BN93)</f>
        <v>33.416680050000004</v>
      </c>
      <c r="CN93" s="4187">
        <f t="shared" ref="CN93:CN156" si="544">SUM(D93+S93+AQ93+BO93)</f>
        <v>0</v>
      </c>
    </row>
    <row r="94" spans="1:92" ht="18.75" customHeight="1" x14ac:dyDescent="0.3">
      <c r="A94" s="2873" t="s">
        <v>594</v>
      </c>
      <c r="B94" s="2845">
        <f t="shared" si="514"/>
        <v>179.3502828</v>
      </c>
      <c r="C94" s="2845">
        <f t="shared" ref="C94:G94" si="545">SUM(C95:C98)</f>
        <v>179.3502828</v>
      </c>
      <c r="D94" s="2845">
        <f t="shared" si="545"/>
        <v>0</v>
      </c>
      <c r="E94" s="2865">
        <f t="shared" ref="E94:E104" si="546">SUM(F94:G94)</f>
        <v>0</v>
      </c>
      <c r="F94" s="2843">
        <f>SUM(F95:F98)</f>
        <v>0</v>
      </c>
      <c r="G94" s="2843">
        <f t="shared" si="545"/>
        <v>0</v>
      </c>
      <c r="H94" s="2865">
        <f t="shared" ref="H94:H104" si="547">SUM(I94:J94)</f>
        <v>40</v>
      </c>
      <c r="I94" s="2843">
        <f t="shared" ref="I94:J94" si="548">SUM(I95:I98)</f>
        <v>40</v>
      </c>
      <c r="J94" s="2843">
        <f t="shared" si="548"/>
        <v>0</v>
      </c>
      <c r="K94" s="2865">
        <f t="shared" ref="K94:K104" si="549">SUM(L94:M94)</f>
        <v>4.63</v>
      </c>
      <c r="L94" s="2843">
        <f t="shared" ref="L94:M94" si="550">SUM(L95:L98)</f>
        <v>4.63</v>
      </c>
      <c r="M94" s="2843">
        <f t="shared" si="550"/>
        <v>0</v>
      </c>
      <c r="N94" s="2865">
        <f t="shared" si="398"/>
        <v>44.63</v>
      </c>
      <c r="O94" s="2865">
        <f t="shared" si="399"/>
        <v>44.63</v>
      </c>
      <c r="P94" s="2865">
        <f t="shared" si="399"/>
        <v>0</v>
      </c>
      <c r="Q94" s="2845">
        <f t="shared" si="519"/>
        <v>179.3502828</v>
      </c>
      <c r="R94" s="2845">
        <f t="shared" ref="R94:S94" si="551">SUM(R95:R98)</f>
        <v>179.3502828</v>
      </c>
      <c r="S94" s="2845">
        <f t="shared" si="551"/>
        <v>0</v>
      </c>
      <c r="T94" s="2865">
        <f t="shared" si="229"/>
        <v>8.26</v>
      </c>
      <c r="U94" s="2843">
        <f t="shared" ref="U94:V94" si="552">SUM(U95:U98)</f>
        <v>8.26</v>
      </c>
      <c r="V94" s="2843">
        <f t="shared" si="552"/>
        <v>0</v>
      </c>
      <c r="W94" s="2865">
        <f t="shared" si="231"/>
        <v>21.599999999999998</v>
      </c>
      <c r="X94" s="2843">
        <f t="shared" ref="X94:Y94" si="553">SUM(X95:X98)</f>
        <v>21.599999999999998</v>
      </c>
      <c r="Y94" s="2843">
        <f t="shared" si="553"/>
        <v>0</v>
      </c>
      <c r="Z94" s="2865">
        <f t="shared" si="233"/>
        <v>64.212000000000003</v>
      </c>
      <c r="AA94" s="2843">
        <f t="shared" ref="AA94:AB94" si="554">SUM(AA95:AA98)</f>
        <v>64.212000000000003</v>
      </c>
      <c r="AB94" s="2843">
        <f t="shared" si="554"/>
        <v>0</v>
      </c>
      <c r="AC94" s="2865">
        <f t="shared" si="404"/>
        <v>94.072000000000003</v>
      </c>
      <c r="AD94" s="2865">
        <f t="shared" si="405"/>
        <v>94.072000000000003</v>
      </c>
      <c r="AE94" s="2865">
        <f t="shared" si="405"/>
        <v>0</v>
      </c>
      <c r="AF94" s="2846">
        <f t="shared" si="482"/>
        <v>358.7005656</v>
      </c>
      <c r="AG94" s="2846">
        <f t="shared" si="483"/>
        <v>358.7005656</v>
      </c>
      <c r="AH94" s="2846">
        <f t="shared" si="484"/>
        <v>0</v>
      </c>
      <c r="AI94" s="2867">
        <f t="shared" si="511"/>
        <v>138.702</v>
      </c>
      <c r="AJ94" s="2867">
        <f t="shared" si="511"/>
        <v>138.702</v>
      </c>
      <c r="AK94" s="2867">
        <f t="shared" si="511"/>
        <v>0</v>
      </c>
      <c r="AL94" s="2867">
        <f t="shared" si="510"/>
        <v>-219.99856560000001</v>
      </c>
      <c r="AM94" s="2867">
        <f t="shared" si="510"/>
        <v>-219.99856560000001</v>
      </c>
      <c r="AN94" s="2867">
        <f t="shared" si="510"/>
        <v>0</v>
      </c>
      <c r="AO94" s="2845">
        <f t="shared" si="524"/>
        <v>179.3502828</v>
      </c>
      <c r="AP94" s="2845">
        <f t="shared" ref="AP94:AQ94" si="555">SUM(AP95:AP98)</f>
        <v>179.3502828</v>
      </c>
      <c r="AQ94" s="2845">
        <f t="shared" si="555"/>
        <v>0</v>
      </c>
      <c r="AR94" s="2865">
        <f t="shared" si="240"/>
        <v>167.86</v>
      </c>
      <c r="AS94" s="2843">
        <f t="shared" ref="AS94:AT94" si="556">SUM(AS95:AS98)</f>
        <v>167.86</v>
      </c>
      <c r="AT94" s="2843">
        <f t="shared" si="556"/>
        <v>0</v>
      </c>
      <c r="AU94" s="2865">
        <f t="shared" si="242"/>
        <v>91.721999999999994</v>
      </c>
      <c r="AV94" s="2843">
        <f t="shared" ref="AV94:AW94" si="557">SUM(AV95:AV98)</f>
        <v>91.721999999999994</v>
      </c>
      <c r="AW94" s="2843">
        <f t="shared" si="557"/>
        <v>0</v>
      </c>
      <c r="AX94" s="2865">
        <f t="shared" si="244"/>
        <v>238.70399999999998</v>
      </c>
      <c r="AY94" s="2843">
        <f t="shared" ref="AY94:AZ94" si="558">SUM(AY95:AY98)</f>
        <v>238.70399999999998</v>
      </c>
      <c r="AZ94" s="2843">
        <f t="shared" si="558"/>
        <v>0</v>
      </c>
      <c r="BA94" s="2865">
        <f t="shared" si="413"/>
        <v>498.28599999999994</v>
      </c>
      <c r="BB94" s="2865">
        <f t="shared" si="414"/>
        <v>498.28599999999994</v>
      </c>
      <c r="BC94" s="2865">
        <f t="shared" si="414"/>
        <v>0</v>
      </c>
      <c r="BD94" s="2846">
        <f t="shared" si="490"/>
        <v>538.05084839999995</v>
      </c>
      <c r="BE94" s="2846">
        <f t="shared" si="491"/>
        <v>538.05084839999995</v>
      </c>
      <c r="BF94" s="2846">
        <f t="shared" si="492"/>
        <v>0</v>
      </c>
      <c r="BG94" s="2867">
        <f t="shared" si="459"/>
        <v>636.98799999999994</v>
      </c>
      <c r="BH94" s="2867">
        <f t="shared" si="459"/>
        <v>636.98799999999994</v>
      </c>
      <c r="BI94" s="2867">
        <f t="shared" si="459"/>
        <v>0</v>
      </c>
      <c r="BJ94" s="2867">
        <f t="shared" si="512"/>
        <v>98.937151599999993</v>
      </c>
      <c r="BK94" s="2867">
        <f t="shared" si="512"/>
        <v>98.937151599999993</v>
      </c>
      <c r="BL94" s="2867">
        <f t="shared" si="512"/>
        <v>0</v>
      </c>
      <c r="BM94" s="2845">
        <f t="shared" si="529"/>
        <v>179.3502828</v>
      </c>
      <c r="BN94" s="2845">
        <f t="shared" ref="BN94:BO94" si="559">SUM(BN95:BN98)</f>
        <v>179.3502828</v>
      </c>
      <c r="BO94" s="2845">
        <f t="shared" si="559"/>
        <v>0</v>
      </c>
      <c r="BP94" s="2865">
        <f t="shared" si="252"/>
        <v>212.114</v>
      </c>
      <c r="BQ94" s="2843">
        <f t="shared" ref="BQ94:BR94" si="560">SUM(BQ95:BQ98)</f>
        <v>212.114</v>
      </c>
      <c r="BR94" s="2843">
        <f t="shared" si="560"/>
        <v>0</v>
      </c>
      <c r="BS94" s="2865">
        <f t="shared" si="254"/>
        <v>31.579000000000001</v>
      </c>
      <c r="BT94" s="2843">
        <f t="shared" ref="BT94:BU94" si="561">SUM(BT95:BT98)</f>
        <v>31.579000000000001</v>
      </c>
      <c r="BU94" s="2843">
        <f t="shared" si="561"/>
        <v>0</v>
      </c>
      <c r="BV94" s="2865">
        <f t="shared" si="256"/>
        <v>0.99494000000000016</v>
      </c>
      <c r="BW94" s="2843">
        <f t="shared" ref="BW94:BX94" si="562">SUM(BW95:BW98)</f>
        <v>0.99494000000000016</v>
      </c>
      <c r="BX94" s="2843">
        <f t="shared" si="562"/>
        <v>0</v>
      </c>
      <c r="BY94" s="2865">
        <f t="shared" si="423"/>
        <v>244.68794000000003</v>
      </c>
      <c r="BZ94" s="2865">
        <f t="shared" si="424"/>
        <v>244.68794000000003</v>
      </c>
      <c r="CA94" s="2865">
        <f t="shared" si="424"/>
        <v>0</v>
      </c>
      <c r="CB94" s="2846">
        <f t="shared" ref="CB94:CD94" si="563">SUM(CB95:CB98)</f>
        <v>717.40113120000001</v>
      </c>
      <c r="CC94" s="2846">
        <f t="shared" si="563"/>
        <v>717.40113120000001</v>
      </c>
      <c r="CD94" s="2846">
        <f t="shared" si="563"/>
        <v>0</v>
      </c>
      <c r="CE94" s="2867">
        <f t="shared" si="461"/>
        <v>881.67593999999997</v>
      </c>
      <c r="CF94" s="2982">
        <f t="shared" si="461"/>
        <v>881.67593999999997</v>
      </c>
      <c r="CG94" s="2982">
        <f t="shared" si="461"/>
        <v>0</v>
      </c>
      <c r="CH94" s="2867">
        <f t="shared" si="513"/>
        <v>164.27480879999996</v>
      </c>
      <c r="CI94" s="2867">
        <f t="shared" si="513"/>
        <v>164.27480879999996</v>
      </c>
      <c r="CJ94" s="2867">
        <f t="shared" si="513"/>
        <v>0</v>
      </c>
      <c r="CK94" s="2872"/>
      <c r="CL94" s="4187">
        <f t="shared" si="542"/>
        <v>717.40113120000001</v>
      </c>
      <c r="CM94" s="4187">
        <f t="shared" si="543"/>
        <v>717.40113120000001</v>
      </c>
      <c r="CN94" s="4187">
        <f t="shared" si="544"/>
        <v>0</v>
      </c>
    </row>
    <row r="95" spans="1:92" ht="18.75" customHeight="1" x14ac:dyDescent="0.3">
      <c r="A95" s="2874" t="s">
        <v>534</v>
      </c>
      <c r="B95" s="2853">
        <f t="shared" ref="B95:B98" si="564">SUM(C95:D95)</f>
        <v>126.34889026499999</v>
      </c>
      <c r="C95" s="2853">
        <f t="shared" ref="C95:C98" si="565">SUM(CC95/4)</f>
        <v>126.34889026499999</v>
      </c>
      <c r="D95" s="2853">
        <f t="shared" ref="D95:D98" si="566">SUM(CD95/4)</f>
        <v>0</v>
      </c>
      <c r="E95" s="2875">
        <f t="shared" si="546"/>
        <v>0</v>
      </c>
      <c r="F95" s="2876"/>
      <c r="G95" s="2876"/>
      <c r="H95" s="2875">
        <f t="shared" si="547"/>
        <v>0</v>
      </c>
      <c r="I95" s="2876"/>
      <c r="J95" s="2876"/>
      <c r="K95" s="2875">
        <f t="shared" si="549"/>
        <v>0</v>
      </c>
      <c r="L95" s="2876"/>
      <c r="M95" s="2876"/>
      <c r="N95" s="2875">
        <f t="shared" si="398"/>
        <v>0</v>
      </c>
      <c r="O95" s="2875">
        <f t="shared" si="399"/>
        <v>0</v>
      </c>
      <c r="P95" s="2875">
        <f t="shared" si="399"/>
        <v>0</v>
      </c>
      <c r="Q95" s="2853">
        <f t="shared" si="519"/>
        <v>126.34889026499999</v>
      </c>
      <c r="R95" s="2853">
        <f t="shared" ref="R95:R98" si="567">SUM(C95)</f>
        <v>126.34889026499999</v>
      </c>
      <c r="S95" s="2853">
        <f t="shared" ref="S95:S98" si="568">SUM(D95)</f>
        <v>0</v>
      </c>
      <c r="T95" s="2875">
        <f t="shared" si="229"/>
        <v>0</v>
      </c>
      <c r="U95" s="2876"/>
      <c r="V95" s="2876"/>
      <c r="W95" s="2875">
        <f t="shared" si="231"/>
        <v>13.69</v>
      </c>
      <c r="X95" s="2876">
        <v>13.69</v>
      </c>
      <c r="Y95" s="2876"/>
      <c r="Z95" s="2875">
        <f t="shared" si="233"/>
        <v>62.790999999999997</v>
      </c>
      <c r="AA95" s="2876">
        <f>26.287+36.504</f>
        <v>62.790999999999997</v>
      </c>
      <c r="AB95" s="2876"/>
      <c r="AC95" s="2875">
        <f t="shared" si="404"/>
        <v>76.480999999999995</v>
      </c>
      <c r="AD95" s="2875">
        <f t="shared" si="405"/>
        <v>76.480999999999995</v>
      </c>
      <c r="AE95" s="2875">
        <f t="shared" si="405"/>
        <v>0</v>
      </c>
      <c r="AF95" s="2856">
        <f t="shared" si="482"/>
        <v>252.69778052999999</v>
      </c>
      <c r="AG95" s="2856">
        <f t="shared" si="483"/>
        <v>252.69778052999999</v>
      </c>
      <c r="AH95" s="2856">
        <f t="shared" si="484"/>
        <v>0</v>
      </c>
      <c r="AI95" s="2870">
        <f t="shared" si="511"/>
        <v>76.480999999999995</v>
      </c>
      <c r="AJ95" s="2870">
        <f t="shared" si="511"/>
        <v>76.480999999999995</v>
      </c>
      <c r="AK95" s="2870">
        <f t="shared" si="511"/>
        <v>0</v>
      </c>
      <c r="AL95" s="2870">
        <f t="shared" si="510"/>
        <v>-176.21678052999999</v>
      </c>
      <c r="AM95" s="2870">
        <f t="shared" si="510"/>
        <v>-176.21678052999999</v>
      </c>
      <c r="AN95" s="2870">
        <f t="shared" si="510"/>
        <v>0</v>
      </c>
      <c r="AO95" s="2853">
        <f t="shared" ref="AO95:AO98" si="569">SUM(AP95:AQ95)</f>
        <v>126.34889026499999</v>
      </c>
      <c r="AP95" s="2853">
        <f t="shared" ref="AP95:AP98" si="570">SUM(CC95-AG95)/2</f>
        <v>126.34889026499999</v>
      </c>
      <c r="AQ95" s="2853">
        <f t="shared" ref="AQ95:AQ98" si="571">SUM(CD95-AH95)/2</f>
        <v>0</v>
      </c>
      <c r="AR95" s="2875">
        <f t="shared" si="240"/>
        <v>162.21</v>
      </c>
      <c r="AS95" s="2876">
        <v>162.21</v>
      </c>
      <c r="AT95" s="2876"/>
      <c r="AU95" s="2875">
        <f t="shared" si="242"/>
        <v>83.882999999999996</v>
      </c>
      <c r="AV95" s="2876">
        <f>79.163+4.72</f>
        <v>83.882999999999996</v>
      </c>
      <c r="AW95" s="2876"/>
      <c r="AX95" s="2875">
        <f t="shared" si="244"/>
        <v>214.39599999999999</v>
      </c>
      <c r="AY95" s="2876">
        <v>214.39599999999999</v>
      </c>
      <c r="AZ95" s="2876"/>
      <c r="BA95" s="2875">
        <f t="shared" si="413"/>
        <v>460.48900000000003</v>
      </c>
      <c r="BB95" s="2875">
        <f t="shared" si="414"/>
        <v>460.48900000000003</v>
      </c>
      <c r="BC95" s="2875">
        <f t="shared" si="414"/>
        <v>0</v>
      </c>
      <c r="BD95" s="2856">
        <f t="shared" si="490"/>
        <v>379.04667079499995</v>
      </c>
      <c r="BE95" s="2856">
        <f t="shared" si="491"/>
        <v>379.04667079499995</v>
      </c>
      <c r="BF95" s="2856">
        <f t="shared" si="492"/>
        <v>0</v>
      </c>
      <c r="BG95" s="2870">
        <f t="shared" si="459"/>
        <v>536.97</v>
      </c>
      <c r="BH95" s="2870">
        <f t="shared" si="459"/>
        <v>536.97</v>
      </c>
      <c r="BI95" s="2870">
        <f t="shared" si="459"/>
        <v>0</v>
      </c>
      <c r="BJ95" s="2870">
        <f t="shared" si="512"/>
        <v>157.92332920500007</v>
      </c>
      <c r="BK95" s="2870">
        <f t="shared" si="512"/>
        <v>157.92332920500007</v>
      </c>
      <c r="BL95" s="2870">
        <f t="shared" si="512"/>
        <v>0</v>
      </c>
      <c r="BM95" s="2853">
        <f t="shared" ref="BM95:BM98" si="572">SUM(BN95:BO95)</f>
        <v>126.34889026499999</v>
      </c>
      <c r="BN95" s="2853">
        <f t="shared" ref="BN95:BN98" si="573">SUM(AP95)</f>
        <v>126.34889026499999</v>
      </c>
      <c r="BO95" s="2853">
        <f t="shared" ref="BO95:BO98" si="574">SUM(AQ95)</f>
        <v>0</v>
      </c>
      <c r="BP95" s="2875">
        <f t="shared" si="252"/>
        <v>183.798</v>
      </c>
      <c r="BQ95" s="2876">
        <v>183.798</v>
      </c>
      <c r="BR95" s="2876"/>
      <c r="BS95" s="2875">
        <f t="shared" si="254"/>
        <v>30.802</v>
      </c>
      <c r="BT95" s="2876">
        <v>30.802</v>
      </c>
      <c r="BU95" s="2876"/>
      <c r="BV95" s="2875">
        <f t="shared" si="256"/>
        <v>-1.06E-3</v>
      </c>
      <c r="BW95" s="2876">
        <v>-1.06E-3</v>
      </c>
      <c r="BX95" s="2876"/>
      <c r="BY95" s="2875">
        <f t="shared" si="423"/>
        <v>214.59894</v>
      </c>
      <c r="BZ95" s="2875">
        <f t="shared" si="424"/>
        <v>214.59894</v>
      </c>
      <c r="CA95" s="2875">
        <f t="shared" si="424"/>
        <v>0</v>
      </c>
      <c r="CB95" s="2856">
        <f t="shared" si="441"/>
        <v>505.39556105999998</v>
      </c>
      <c r="CC95" s="2856">
        <f>597.4*0.8459919</f>
        <v>505.39556105999998</v>
      </c>
      <c r="CD95" s="2856">
        <v>0</v>
      </c>
      <c r="CE95" s="2870">
        <f t="shared" si="461"/>
        <v>751.56894</v>
      </c>
      <c r="CF95" s="2991">
        <f t="shared" si="461"/>
        <v>751.56894</v>
      </c>
      <c r="CG95" s="2991">
        <f t="shared" si="461"/>
        <v>0</v>
      </c>
      <c r="CH95" s="2870">
        <f t="shared" si="513"/>
        <v>246.17337894000002</v>
      </c>
      <c r="CI95" s="2870">
        <f t="shared" si="513"/>
        <v>246.17337894000002</v>
      </c>
      <c r="CJ95" s="2870">
        <f t="shared" si="513"/>
        <v>0</v>
      </c>
      <c r="CK95" s="2863"/>
      <c r="CL95" s="4187">
        <f t="shared" si="542"/>
        <v>505.39556105999998</v>
      </c>
      <c r="CM95" s="4187">
        <f t="shared" si="543"/>
        <v>505.39556105999998</v>
      </c>
      <c r="CN95" s="4187">
        <f t="shared" si="544"/>
        <v>0</v>
      </c>
    </row>
    <row r="96" spans="1:92" ht="18.75" customHeight="1" x14ac:dyDescent="0.3">
      <c r="A96" s="2874" t="s">
        <v>628</v>
      </c>
      <c r="B96" s="2853">
        <f t="shared" si="564"/>
        <v>32.230176410249996</v>
      </c>
      <c r="C96" s="2853">
        <f t="shared" si="565"/>
        <v>32.230176410249996</v>
      </c>
      <c r="D96" s="2853">
        <f t="shared" si="566"/>
        <v>0</v>
      </c>
      <c r="E96" s="2875">
        <f t="shared" si="546"/>
        <v>0</v>
      </c>
      <c r="F96" s="2876"/>
      <c r="G96" s="2876"/>
      <c r="H96" s="2875">
        <f t="shared" si="547"/>
        <v>40</v>
      </c>
      <c r="I96" s="2876">
        <v>40</v>
      </c>
      <c r="J96" s="2876"/>
      <c r="K96" s="2875">
        <f t="shared" si="549"/>
        <v>3.28</v>
      </c>
      <c r="L96" s="2876">
        <v>3.28</v>
      </c>
      <c r="M96" s="2876"/>
      <c r="N96" s="2875">
        <f t="shared" si="398"/>
        <v>43.28</v>
      </c>
      <c r="O96" s="2875">
        <f t="shared" si="399"/>
        <v>43.28</v>
      </c>
      <c r="P96" s="2875">
        <f t="shared" si="399"/>
        <v>0</v>
      </c>
      <c r="Q96" s="2853">
        <f t="shared" si="519"/>
        <v>32.230176410249996</v>
      </c>
      <c r="R96" s="2853">
        <f t="shared" si="567"/>
        <v>32.230176410249996</v>
      </c>
      <c r="S96" s="2853">
        <f t="shared" si="568"/>
        <v>0</v>
      </c>
      <c r="T96" s="2875">
        <f t="shared" si="229"/>
        <v>7.41</v>
      </c>
      <c r="U96" s="2876">
        <v>7.41</v>
      </c>
      <c r="V96" s="2876"/>
      <c r="W96" s="2875">
        <f t="shared" si="231"/>
        <v>7.33</v>
      </c>
      <c r="X96" s="2876">
        <f>1.63+5.7</f>
        <v>7.33</v>
      </c>
      <c r="Y96" s="2876"/>
      <c r="Z96" s="2875">
        <f t="shared" si="233"/>
        <v>1.421</v>
      </c>
      <c r="AA96" s="2876">
        <v>1.421</v>
      </c>
      <c r="AB96" s="2876"/>
      <c r="AC96" s="2875">
        <f t="shared" si="404"/>
        <v>16.161000000000001</v>
      </c>
      <c r="AD96" s="2875">
        <f t="shared" si="405"/>
        <v>16.161000000000001</v>
      </c>
      <c r="AE96" s="2875">
        <f t="shared" si="405"/>
        <v>0</v>
      </c>
      <c r="AF96" s="2856">
        <f t="shared" si="482"/>
        <v>64.460352820499992</v>
      </c>
      <c r="AG96" s="2856">
        <f t="shared" si="483"/>
        <v>64.460352820499992</v>
      </c>
      <c r="AH96" s="2856">
        <f t="shared" si="484"/>
        <v>0</v>
      </c>
      <c r="AI96" s="2870">
        <f t="shared" si="511"/>
        <v>59.441000000000003</v>
      </c>
      <c r="AJ96" s="2870">
        <f t="shared" si="511"/>
        <v>59.441000000000003</v>
      </c>
      <c r="AK96" s="2870">
        <f t="shared" si="511"/>
        <v>0</v>
      </c>
      <c r="AL96" s="2870">
        <f t="shared" si="510"/>
        <v>-5.0193528204999893</v>
      </c>
      <c r="AM96" s="2870">
        <f t="shared" si="510"/>
        <v>-5.0193528204999893</v>
      </c>
      <c r="AN96" s="2870">
        <f t="shared" si="510"/>
        <v>0</v>
      </c>
      <c r="AO96" s="2853">
        <f t="shared" si="569"/>
        <v>32.230176410249996</v>
      </c>
      <c r="AP96" s="2853">
        <f t="shared" si="570"/>
        <v>32.230176410249996</v>
      </c>
      <c r="AQ96" s="2853">
        <f t="shared" si="571"/>
        <v>0</v>
      </c>
      <c r="AR96" s="2875">
        <f t="shared" si="240"/>
        <v>5.53</v>
      </c>
      <c r="AS96" s="2876">
        <v>5.53</v>
      </c>
      <c r="AT96" s="2876"/>
      <c r="AU96" s="2875">
        <f t="shared" si="242"/>
        <v>1.5189999999999999</v>
      </c>
      <c r="AV96" s="2876">
        <v>1.5189999999999999</v>
      </c>
      <c r="AW96" s="2876"/>
      <c r="AX96" s="2875">
        <f t="shared" si="244"/>
        <v>4.3609999999999998</v>
      </c>
      <c r="AY96" s="2876">
        <v>4.3609999999999998</v>
      </c>
      <c r="AZ96" s="2876"/>
      <c r="BA96" s="2875">
        <f t="shared" si="413"/>
        <v>11.41</v>
      </c>
      <c r="BB96" s="2875">
        <f t="shared" si="414"/>
        <v>11.41</v>
      </c>
      <c r="BC96" s="2875">
        <f t="shared" si="414"/>
        <v>0</v>
      </c>
      <c r="BD96" s="2856">
        <f t="shared" si="490"/>
        <v>96.690529230749988</v>
      </c>
      <c r="BE96" s="2856">
        <f t="shared" si="491"/>
        <v>96.690529230749988</v>
      </c>
      <c r="BF96" s="2856">
        <f t="shared" si="492"/>
        <v>0</v>
      </c>
      <c r="BG96" s="2870">
        <f t="shared" si="459"/>
        <v>70.850999999999999</v>
      </c>
      <c r="BH96" s="2870">
        <f t="shared" si="459"/>
        <v>70.850999999999999</v>
      </c>
      <c r="BI96" s="2870">
        <f t="shared" si="459"/>
        <v>0</v>
      </c>
      <c r="BJ96" s="2870">
        <f t="shared" si="512"/>
        <v>-25.839529230749989</v>
      </c>
      <c r="BK96" s="2870">
        <f t="shared" si="512"/>
        <v>-25.839529230749989</v>
      </c>
      <c r="BL96" s="2870">
        <f t="shared" si="512"/>
        <v>0</v>
      </c>
      <c r="BM96" s="2853">
        <f t="shared" si="572"/>
        <v>32.230176410249996</v>
      </c>
      <c r="BN96" s="2853">
        <f t="shared" si="573"/>
        <v>32.230176410249996</v>
      </c>
      <c r="BO96" s="2853">
        <f t="shared" si="574"/>
        <v>0</v>
      </c>
      <c r="BP96" s="2875">
        <f t="shared" si="252"/>
        <v>9.8170000000000002</v>
      </c>
      <c r="BQ96" s="2876">
        <v>9.8170000000000002</v>
      </c>
      <c r="BR96" s="2876"/>
      <c r="BS96" s="2875">
        <f t="shared" si="254"/>
        <v>0.77700000000000002</v>
      </c>
      <c r="BT96" s="2876">
        <v>0.77700000000000002</v>
      </c>
      <c r="BU96" s="2876"/>
      <c r="BV96" s="2875">
        <f t="shared" si="256"/>
        <v>0.55000000000000004</v>
      </c>
      <c r="BW96" s="2876">
        <v>0.55000000000000004</v>
      </c>
      <c r="BX96" s="2876"/>
      <c r="BY96" s="2875">
        <f t="shared" si="423"/>
        <v>11.144</v>
      </c>
      <c r="BZ96" s="2875">
        <f t="shared" si="424"/>
        <v>11.144</v>
      </c>
      <c r="CA96" s="2875">
        <f t="shared" si="424"/>
        <v>0</v>
      </c>
      <c r="CB96" s="2856">
        <f t="shared" si="441"/>
        <v>128.92070564099998</v>
      </c>
      <c r="CC96" s="2856">
        <f>152.39*0.8459919</f>
        <v>128.92070564099998</v>
      </c>
      <c r="CD96" s="2856">
        <v>0</v>
      </c>
      <c r="CE96" s="2870">
        <f t="shared" si="461"/>
        <v>81.995000000000005</v>
      </c>
      <c r="CF96" s="2991">
        <f t="shared" si="461"/>
        <v>81.995000000000005</v>
      </c>
      <c r="CG96" s="2991">
        <f t="shared" si="461"/>
        <v>0</v>
      </c>
      <c r="CH96" s="2870">
        <f t="shared" si="513"/>
        <v>-46.925705640999979</v>
      </c>
      <c r="CI96" s="2870">
        <f t="shared" si="513"/>
        <v>-46.925705640999979</v>
      </c>
      <c r="CJ96" s="2870">
        <f t="shared" si="513"/>
        <v>0</v>
      </c>
      <c r="CK96" s="2863"/>
      <c r="CL96" s="4187">
        <f t="shared" si="542"/>
        <v>128.92070564099998</v>
      </c>
      <c r="CM96" s="4187">
        <f t="shared" si="543"/>
        <v>128.92070564099998</v>
      </c>
      <c r="CN96" s="4187">
        <f t="shared" si="544"/>
        <v>0</v>
      </c>
    </row>
    <row r="97" spans="1:92" ht="18.75" customHeight="1" x14ac:dyDescent="0.3">
      <c r="A97" s="2874" t="s">
        <v>543</v>
      </c>
      <c r="B97" s="2853">
        <f t="shared" si="564"/>
        <v>18.332644473000002</v>
      </c>
      <c r="C97" s="2853">
        <f t="shared" si="565"/>
        <v>18.332644473000002</v>
      </c>
      <c r="D97" s="2853">
        <f t="shared" si="566"/>
        <v>0</v>
      </c>
      <c r="E97" s="2875">
        <f t="shared" si="546"/>
        <v>0</v>
      </c>
      <c r="F97" s="2876"/>
      <c r="G97" s="2876"/>
      <c r="H97" s="2875">
        <f t="shared" si="547"/>
        <v>0</v>
      </c>
      <c r="I97" s="2876"/>
      <c r="J97" s="2876"/>
      <c r="K97" s="2875">
        <f t="shared" si="549"/>
        <v>0</v>
      </c>
      <c r="L97" s="2876"/>
      <c r="M97" s="2876"/>
      <c r="N97" s="2875">
        <f t="shared" si="398"/>
        <v>0</v>
      </c>
      <c r="O97" s="2875">
        <f t="shared" si="399"/>
        <v>0</v>
      </c>
      <c r="P97" s="2875">
        <f t="shared" si="399"/>
        <v>0</v>
      </c>
      <c r="Q97" s="2853">
        <f t="shared" si="519"/>
        <v>18.332644473000002</v>
      </c>
      <c r="R97" s="2853">
        <f t="shared" si="567"/>
        <v>18.332644473000002</v>
      </c>
      <c r="S97" s="2853">
        <f t="shared" si="568"/>
        <v>0</v>
      </c>
      <c r="T97" s="2875">
        <f t="shared" si="229"/>
        <v>0</v>
      </c>
      <c r="U97" s="2876"/>
      <c r="V97" s="2876"/>
      <c r="W97" s="2875">
        <f t="shared" si="231"/>
        <v>0</v>
      </c>
      <c r="X97" s="2876"/>
      <c r="Y97" s="2876"/>
      <c r="Z97" s="2875">
        <f t="shared" si="233"/>
        <v>0</v>
      </c>
      <c r="AA97" s="2876"/>
      <c r="AB97" s="2876"/>
      <c r="AC97" s="2875">
        <f t="shared" si="404"/>
        <v>0</v>
      </c>
      <c r="AD97" s="2875">
        <f t="shared" si="405"/>
        <v>0</v>
      </c>
      <c r="AE97" s="2875">
        <f t="shared" si="405"/>
        <v>0</v>
      </c>
      <c r="AF97" s="2856">
        <f t="shared" si="482"/>
        <v>36.665288946000004</v>
      </c>
      <c r="AG97" s="2856">
        <f t="shared" si="483"/>
        <v>36.665288946000004</v>
      </c>
      <c r="AH97" s="2856">
        <f t="shared" si="484"/>
        <v>0</v>
      </c>
      <c r="AI97" s="2870">
        <f t="shared" si="511"/>
        <v>0</v>
      </c>
      <c r="AJ97" s="2870">
        <f t="shared" si="511"/>
        <v>0</v>
      </c>
      <c r="AK97" s="2870">
        <f t="shared" si="511"/>
        <v>0</v>
      </c>
      <c r="AL97" s="2870">
        <f t="shared" si="510"/>
        <v>-36.665288946000004</v>
      </c>
      <c r="AM97" s="2870">
        <f t="shared" si="510"/>
        <v>-36.665288946000004</v>
      </c>
      <c r="AN97" s="2870">
        <f t="shared" si="510"/>
        <v>0</v>
      </c>
      <c r="AO97" s="2853">
        <f t="shared" si="569"/>
        <v>18.332644473000002</v>
      </c>
      <c r="AP97" s="2853">
        <f t="shared" si="570"/>
        <v>18.332644473000002</v>
      </c>
      <c r="AQ97" s="2853">
        <f t="shared" si="571"/>
        <v>0</v>
      </c>
      <c r="AR97" s="2875">
        <f t="shared" si="240"/>
        <v>0</v>
      </c>
      <c r="AS97" s="2876"/>
      <c r="AT97" s="2876"/>
      <c r="AU97" s="2875">
        <f t="shared" si="242"/>
        <v>5.85</v>
      </c>
      <c r="AV97" s="2876">
        <f>3.75+2.1</f>
        <v>5.85</v>
      </c>
      <c r="AW97" s="2876"/>
      <c r="AX97" s="2875">
        <f t="shared" si="244"/>
        <v>19.946999999999999</v>
      </c>
      <c r="AY97" s="2876">
        <f>7.9+9.247+2.8</f>
        <v>19.946999999999999</v>
      </c>
      <c r="AZ97" s="2876"/>
      <c r="BA97" s="2875">
        <f t="shared" si="413"/>
        <v>25.796999999999997</v>
      </c>
      <c r="BB97" s="2875">
        <f t="shared" si="414"/>
        <v>25.796999999999997</v>
      </c>
      <c r="BC97" s="2875">
        <f t="shared" si="414"/>
        <v>0</v>
      </c>
      <c r="BD97" s="2856">
        <f t="shared" si="490"/>
        <v>54.997933419000006</v>
      </c>
      <c r="BE97" s="2856">
        <f t="shared" si="491"/>
        <v>54.997933419000006</v>
      </c>
      <c r="BF97" s="2856">
        <f t="shared" si="492"/>
        <v>0</v>
      </c>
      <c r="BG97" s="2870">
        <f t="shared" si="459"/>
        <v>25.796999999999997</v>
      </c>
      <c r="BH97" s="2870">
        <f t="shared" si="459"/>
        <v>25.796999999999997</v>
      </c>
      <c r="BI97" s="2870">
        <f t="shared" si="459"/>
        <v>0</v>
      </c>
      <c r="BJ97" s="2870">
        <f t="shared" si="512"/>
        <v>-29.200933419000009</v>
      </c>
      <c r="BK97" s="2870">
        <f t="shared" si="512"/>
        <v>-29.200933419000009</v>
      </c>
      <c r="BL97" s="2870">
        <f t="shared" si="512"/>
        <v>0</v>
      </c>
      <c r="BM97" s="2853">
        <f t="shared" si="572"/>
        <v>18.332644473000002</v>
      </c>
      <c r="BN97" s="2853">
        <f t="shared" si="573"/>
        <v>18.332644473000002</v>
      </c>
      <c r="BO97" s="2853">
        <f t="shared" si="574"/>
        <v>0</v>
      </c>
      <c r="BP97" s="2875">
        <f t="shared" si="252"/>
        <v>17.417000000000002</v>
      </c>
      <c r="BQ97" s="2876">
        <f>10.792+3.825+2.8</f>
        <v>17.417000000000002</v>
      </c>
      <c r="BR97" s="2876"/>
      <c r="BS97" s="2875">
        <f t="shared" si="254"/>
        <v>0</v>
      </c>
      <c r="BT97" s="2876"/>
      <c r="BU97" s="2876"/>
      <c r="BV97" s="2875">
        <f t="shared" si="256"/>
        <v>0</v>
      </c>
      <c r="BW97" s="2876"/>
      <c r="BX97" s="2876"/>
      <c r="BY97" s="2875">
        <f t="shared" si="423"/>
        <v>17.417000000000002</v>
      </c>
      <c r="BZ97" s="2875">
        <f t="shared" si="424"/>
        <v>17.417000000000002</v>
      </c>
      <c r="CA97" s="2875">
        <f t="shared" si="424"/>
        <v>0</v>
      </c>
      <c r="CB97" s="2856">
        <f t="shared" si="441"/>
        <v>73.330577892000008</v>
      </c>
      <c r="CC97" s="2856">
        <f>86.68*0.8459919</f>
        <v>73.330577892000008</v>
      </c>
      <c r="CD97" s="2856">
        <v>0</v>
      </c>
      <c r="CE97" s="2870">
        <f t="shared" si="461"/>
        <v>43.213999999999999</v>
      </c>
      <c r="CF97" s="2991">
        <f t="shared" si="461"/>
        <v>43.213999999999999</v>
      </c>
      <c r="CG97" s="2991">
        <f t="shared" si="461"/>
        <v>0</v>
      </c>
      <c r="CH97" s="2870">
        <f t="shared" si="513"/>
        <v>-30.116577892000009</v>
      </c>
      <c r="CI97" s="2870">
        <f t="shared" si="513"/>
        <v>-30.116577892000009</v>
      </c>
      <c r="CJ97" s="2870">
        <f t="shared" si="513"/>
        <v>0</v>
      </c>
      <c r="CK97" s="2863"/>
      <c r="CL97" s="4187">
        <f t="shared" si="542"/>
        <v>73.330577892000008</v>
      </c>
      <c r="CM97" s="4187">
        <f t="shared" si="543"/>
        <v>73.330577892000008</v>
      </c>
      <c r="CN97" s="4187">
        <f t="shared" si="544"/>
        <v>0</v>
      </c>
    </row>
    <row r="98" spans="1:92" ht="18.75" customHeight="1" x14ac:dyDescent="0.3">
      <c r="A98" s="2874" t="s">
        <v>598</v>
      </c>
      <c r="B98" s="2853">
        <f t="shared" si="564"/>
        <v>2.4385716517499998</v>
      </c>
      <c r="C98" s="2853">
        <f t="shared" si="565"/>
        <v>2.4385716517499998</v>
      </c>
      <c r="D98" s="2853">
        <f t="shared" si="566"/>
        <v>0</v>
      </c>
      <c r="E98" s="2875">
        <f t="shared" si="546"/>
        <v>0</v>
      </c>
      <c r="F98" s="2876"/>
      <c r="G98" s="2876"/>
      <c r="H98" s="2875">
        <f t="shared" si="547"/>
        <v>0</v>
      </c>
      <c r="I98" s="2876"/>
      <c r="J98" s="2876"/>
      <c r="K98" s="2875">
        <f t="shared" si="549"/>
        <v>1.35</v>
      </c>
      <c r="L98" s="2876">
        <v>1.35</v>
      </c>
      <c r="M98" s="2876"/>
      <c r="N98" s="2875">
        <f t="shared" si="398"/>
        <v>1.35</v>
      </c>
      <c r="O98" s="2875">
        <f>SUM(F98+I98+L98)</f>
        <v>1.35</v>
      </c>
      <c r="P98" s="2875">
        <f t="shared" ref="P98" si="575">SUM(G98+J98+M98)</f>
        <v>0</v>
      </c>
      <c r="Q98" s="2853">
        <f t="shared" si="519"/>
        <v>2.4385716517499998</v>
      </c>
      <c r="R98" s="2853">
        <f t="shared" si="567"/>
        <v>2.4385716517499998</v>
      </c>
      <c r="S98" s="2853">
        <f t="shared" si="568"/>
        <v>0</v>
      </c>
      <c r="T98" s="2875">
        <f t="shared" si="229"/>
        <v>0.85</v>
      </c>
      <c r="U98" s="2876">
        <v>0.85</v>
      </c>
      <c r="V98" s="2876"/>
      <c r="W98" s="2875">
        <f t="shared" si="231"/>
        <v>0.57999999999999996</v>
      </c>
      <c r="X98" s="2876">
        <v>0.57999999999999996</v>
      </c>
      <c r="Y98" s="2876"/>
      <c r="Z98" s="2875">
        <f t="shared" si="233"/>
        <v>0</v>
      </c>
      <c r="AA98" s="2876"/>
      <c r="AB98" s="2876"/>
      <c r="AC98" s="2875">
        <f t="shared" si="404"/>
        <v>1.43</v>
      </c>
      <c r="AD98" s="2875">
        <f>SUM(U98+X98+AA98)</f>
        <v>1.43</v>
      </c>
      <c r="AE98" s="2875">
        <f t="shared" ref="AE98:AE104" si="576">SUM(V98+Y98+AB98)</f>
        <v>0</v>
      </c>
      <c r="AF98" s="2856">
        <f t="shared" si="482"/>
        <v>4.8771433034999996</v>
      </c>
      <c r="AG98" s="2856">
        <f t="shared" si="483"/>
        <v>4.8771433034999996</v>
      </c>
      <c r="AH98" s="2856">
        <f t="shared" si="484"/>
        <v>0</v>
      </c>
      <c r="AI98" s="2870">
        <f t="shared" si="511"/>
        <v>2.7800000000000002</v>
      </c>
      <c r="AJ98" s="2870">
        <f t="shared" si="511"/>
        <v>2.7800000000000002</v>
      </c>
      <c r="AK98" s="2870">
        <f t="shared" si="511"/>
        <v>0</v>
      </c>
      <c r="AL98" s="2870">
        <f t="shared" si="510"/>
        <v>-2.0971433034999993</v>
      </c>
      <c r="AM98" s="2870">
        <f t="shared" si="510"/>
        <v>-2.0971433034999993</v>
      </c>
      <c r="AN98" s="2870">
        <f t="shared" si="510"/>
        <v>0</v>
      </c>
      <c r="AO98" s="2853">
        <f t="shared" si="569"/>
        <v>2.4385716517499998</v>
      </c>
      <c r="AP98" s="2853">
        <f t="shared" si="570"/>
        <v>2.4385716517499998</v>
      </c>
      <c r="AQ98" s="2853">
        <f t="shared" si="571"/>
        <v>0</v>
      </c>
      <c r="AR98" s="2875">
        <f t="shared" si="240"/>
        <v>0.12</v>
      </c>
      <c r="AS98" s="2876">
        <v>0.12</v>
      </c>
      <c r="AT98" s="2876"/>
      <c r="AU98" s="2875">
        <f t="shared" si="242"/>
        <v>0.47</v>
      </c>
      <c r="AV98" s="2876">
        <v>0.47</v>
      </c>
      <c r="AW98" s="2876"/>
      <c r="AX98" s="2875">
        <f t="shared" si="244"/>
        <v>0</v>
      </c>
      <c r="AY98" s="2876"/>
      <c r="AZ98" s="2876"/>
      <c r="BA98" s="2875">
        <f t="shared" si="413"/>
        <v>0.59</v>
      </c>
      <c r="BB98" s="2875">
        <f>SUM(AS98+AV98+AY98)</f>
        <v>0.59</v>
      </c>
      <c r="BC98" s="2875">
        <f t="shared" ref="BC98:BC104" si="577">SUM(AT98+AW98+AZ98)</f>
        <v>0</v>
      </c>
      <c r="BD98" s="2856">
        <f t="shared" si="490"/>
        <v>7.3157149552499998</v>
      </c>
      <c r="BE98" s="2856">
        <f t="shared" si="491"/>
        <v>7.3157149552499998</v>
      </c>
      <c r="BF98" s="2856">
        <f t="shared" si="492"/>
        <v>0</v>
      </c>
      <c r="BG98" s="2870">
        <f t="shared" si="459"/>
        <v>3.37</v>
      </c>
      <c r="BH98" s="2870">
        <f t="shared" si="459"/>
        <v>3.37</v>
      </c>
      <c r="BI98" s="2870">
        <f t="shared" si="459"/>
        <v>0</v>
      </c>
      <c r="BJ98" s="2870">
        <f t="shared" si="512"/>
        <v>-3.9457149552499997</v>
      </c>
      <c r="BK98" s="2870">
        <f t="shared" si="512"/>
        <v>-3.9457149552499997</v>
      </c>
      <c r="BL98" s="2870">
        <f t="shared" si="512"/>
        <v>0</v>
      </c>
      <c r="BM98" s="2853">
        <f t="shared" si="572"/>
        <v>2.4385716517499998</v>
      </c>
      <c r="BN98" s="2853">
        <f t="shared" si="573"/>
        <v>2.4385716517499998</v>
      </c>
      <c r="BO98" s="2853">
        <f t="shared" si="574"/>
        <v>0</v>
      </c>
      <c r="BP98" s="2875">
        <f t="shared" si="252"/>
        <v>1.0820000000000001</v>
      </c>
      <c r="BQ98" s="2876">
        <v>1.0820000000000001</v>
      </c>
      <c r="BR98" s="2876"/>
      <c r="BS98" s="2875">
        <f t="shared" si="254"/>
        <v>0</v>
      </c>
      <c r="BT98" s="2876"/>
      <c r="BU98" s="2876"/>
      <c r="BV98" s="2875">
        <f t="shared" si="256"/>
        <v>0.44600000000000001</v>
      </c>
      <c r="BW98" s="2876">
        <v>0.44600000000000001</v>
      </c>
      <c r="BX98" s="2876"/>
      <c r="BY98" s="2875">
        <f t="shared" si="423"/>
        <v>1.528</v>
      </c>
      <c r="BZ98" s="2875">
        <f>SUM(BQ98+BT98+BW98)</f>
        <v>1.528</v>
      </c>
      <c r="CA98" s="2875">
        <f t="shared" ref="CA98:CA104" si="578">SUM(BR98+BU98+BX98)</f>
        <v>0</v>
      </c>
      <c r="CB98" s="2856">
        <f t="shared" si="441"/>
        <v>9.7542866069999992</v>
      </c>
      <c r="CC98" s="2856">
        <f>11.53*0.8459919</f>
        <v>9.7542866069999992</v>
      </c>
      <c r="CD98" s="2856">
        <v>0</v>
      </c>
      <c r="CE98" s="2870">
        <f t="shared" si="461"/>
        <v>4.8979999999999997</v>
      </c>
      <c r="CF98" s="2991">
        <f t="shared" si="461"/>
        <v>4.8979999999999997</v>
      </c>
      <c r="CG98" s="2991">
        <f t="shared" si="461"/>
        <v>0</v>
      </c>
      <c r="CH98" s="2870">
        <f t="shared" si="513"/>
        <v>-4.8562866069999995</v>
      </c>
      <c r="CI98" s="2870">
        <f t="shared" si="513"/>
        <v>-4.8562866069999995</v>
      </c>
      <c r="CJ98" s="2870">
        <f t="shared" si="513"/>
        <v>0</v>
      </c>
      <c r="CK98" s="2863"/>
      <c r="CL98" s="4187">
        <f t="shared" si="542"/>
        <v>9.7542866069999992</v>
      </c>
      <c r="CM98" s="4187">
        <f t="shared" si="543"/>
        <v>9.7542866069999992</v>
      </c>
      <c r="CN98" s="4187">
        <f t="shared" si="544"/>
        <v>0</v>
      </c>
    </row>
    <row r="99" spans="1:92" ht="18.75" customHeight="1" x14ac:dyDescent="0.3">
      <c r="A99" s="2871" t="s">
        <v>16</v>
      </c>
      <c r="B99" s="2837">
        <f>SUM(C99:D99)</f>
        <v>4810.0174314350897</v>
      </c>
      <c r="C99" s="2837">
        <f t="shared" ref="C99:D99" si="579">SUM(C100:C104)+C106</f>
        <v>4810.0174314350897</v>
      </c>
      <c r="D99" s="2837">
        <f t="shared" si="579"/>
        <v>0</v>
      </c>
      <c r="E99" s="2861">
        <f t="shared" si="546"/>
        <v>1113.55</v>
      </c>
      <c r="F99" s="2836">
        <f>SUM(F100:F104)+F106</f>
        <v>1113.55</v>
      </c>
      <c r="G99" s="2836">
        <f t="shared" ref="G99" si="580">SUM(G100:G104)+G106</f>
        <v>0</v>
      </c>
      <c r="H99" s="2861">
        <f t="shared" si="547"/>
        <v>1453.8609099999999</v>
      </c>
      <c r="I99" s="2836">
        <f t="shared" ref="I99:J99" si="581">SUM(I100:I104)+I106</f>
        <v>1453.8609099999999</v>
      </c>
      <c r="J99" s="2836">
        <f t="shared" si="581"/>
        <v>0</v>
      </c>
      <c r="K99" s="2861">
        <f t="shared" si="549"/>
        <v>1692.42</v>
      </c>
      <c r="L99" s="2836">
        <f t="shared" ref="L99:M99" si="582">SUM(L100:L104)+L106</f>
        <v>1692.42</v>
      </c>
      <c r="M99" s="2836">
        <f t="shared" si="582"/>
        <v>0</v>
      </c>
      <c r="N99" s="2861">
        <f t="shared" ref="N99:N104" si="583">SUM(O99:P99)</f>
        <v>4259.8309099999997</v>
      </c>
      <c r="O99" s="2861">
        <f t="shared" ref="O99:P104" si="584">SUM(F99+I99+L99)</f>
        <v>4259.8309099999997</v>
      </c>
      <c r="P99" s="2861">
        <f t="shared" si="584"/>
        <v>0</v>
      </c>
      <c r="Q99" s="2837">
        <f>SUM(R99:S99)</f>
        <v>4810.0174314350897</v>
      </c>
      <c r="R99" s="2837">
        <f t="shared" ref="R99:S99" si="585">SUM(R100:R104)+R106</f>
        <v>4810.0174314350897</v>
      </c>
      <c r="S99" s="2837">
        <f t="shared" si="585"/>
        <v>0</v>
      </c>
      <c r="T99" s="2861">
        <f t="shared" si="229"/>
        <v>1427.4</v>
      </c>
      <c r="U99" s="2836">
        <f t="shared" ref="U99:V99" si="586">SUM(U100:U104)+U106</f>
        <v>1427.4</v>
      </c>
      <c r="V99" s="2836">
        <f t="shared" si="586"/>
        <v>0</v>
      </c>
      <c r="W99" s="2861">
        <f t="shared" si="231"/>
        <v>1450.5</v>
      </c>
      <c r="X99" s="2836">
        <f t="shared" ref="X99:Y99" si="587">SUM(X100:X104)+X106</f>
        <v>1450.5</v>
      </c>
      <c r="Y99" s="2836">
        <f t="shared" si="587"/>
        <v>0</v>
      </c>
      <c r="Z99" s="2861">
        <f t="shared" si="233"/>
        <v>1217.8980000000001</v>
      </c>
      <c r="AA99" s="2836">
        <f t="shared" ref="AA99:AB99" si="588">SUM(AA100:AA104)+AA106</f>
        <v>1217.8980000000001</v>
      </c>
      <c r="AB99" s="2836">
        <f t="shared" si="588"/>
        <v>0</v>
      </c>
      <c r="AC99" s="2861">
        <f t="shared" si="404"/>
        <v>4095.7980000000002</v>
      </c>
      <c r="AD99" s="2861">
        <f t="shared" ref="AD99:AD104" si="589">SUM(U99+X99+AA99)</f>
        <v>4095.7980000000002</v>
      </c>
      <c r="AE99" s="2861">
        <f t="shared" si="576"/>
        <v>0</v>
      </c>
      <c r="AF99" s="2839">
        <f t="shared" si="482"/>
        <v>9620.0348628701795</v>
      </c>
      <c r="AG99" s="2839">
        <f t="shared" si="483"/>
        <v>9620.0348628701795</v>
      </c>
      <c r="AH99" s="2839">
        <f t="shared" si="484"/>
        <v>0</v>
      </c>
      <c r="AI99" s="2862">
        <f t="shared" si="511"/>
        <v>8355.6289099999995</v>
      </c>
      <c r="AJ99" s="2862">
        <f t="shared" si="511"/>
        <v>8355.6289099999995</v>
      </c>
      <c r="AK99" s="2862">
        <f t="shared" si="511"/>
        <v>0</v>
      </c>
      <c r="AL99" s="2862">
        <f t="shared" si="510"/>
        <v>-1264.40595287018</v>
      </c>
      <c r="AM99" s="2862">
        <f t="shared" si="510"/>
        <v>-1264.40595287018</v>
      </c>
      <c r="AN99" s="2862">
        <f t="shared" si="510"/>
        <v>0</v>
      </c>
      <c r="AO99" s="2837">
        <f>SUM(AP99:AQ99)</f>
        <v>4810.0174314350897</v>
      </c>
      <c r="AP99" s="2837">
        <f t="shared" ref="AP99:AQ99" si="590">SUM(AP100:AP104)+AP106</f>
        <v>4810.0174314350897</v>
      </c>
      <c r="AQ99" s="2837">
        <f t="shared" si="590"/>
        <v>0</v>
      </c>
      <c r="AR99" s="2861">
        <f t="shared" si="240"/>
        <v>1648.7070000000001</v>
      </c>
      <c r="AS99" s="2836">
        <f t="shared" ref="AS99:AT99" si="591">SUM(AS100:AS104)+AS106</f>
        <v>1648.7070000000001</v>
      </c>
      <c r="AT99" s="2836">
        <f t="shared" si="591"/>
        <v>0</v>
      </c>
      <c r="AU99" s="2861">
        <f t="shared" si="242"/>
        <v>1147.8869999999999</v>
      </c>
      <c r="AV99" s="2836">
        <f>SUM(AV100:AV104)+AV106</f>
        <v>1147.8869999999999</v>
      </c>
      <c r="AW99" s="2836">
        <f t="shared" ref="AW99" si="592">SUM(AW100:AW104)+AW106</f>
        <v>0</v>
      </c>
      <c r="AX99" s="2861">
        <f t="shared" si="244"/>
        <v>1375.019</v>
      </c>
      <c r="AY99" s="2836">
        <f t="shared" ref="AY99:AZ99" si="593">SUM(AY100:AY104)+AY106</f>
        <v>1375.019</v>
      </c>
      <c r="AZ99" s="2836">
        <f t="shared" si="593"/>
        <v>0</v>
      </c>
      <c r="BA99" s="2861">
        <f t="shared" si="413"/>
        <v>4171.6130000000003</v>
      </c>
      <c r="BB99" s="2861">
        <f t="shared" ref="BB99:BB104" si="594">SUM(AS99+AV99+AY99)</f>
        <v>4171.6130000000003</v>
      </c>
      <c r="BC99" s="2861">
        <f t="shared" si="577"/>
        <v>0</v>
      </c>
      <c r="BD99" s="2839">
        <f t="shared" ref="BD99:BD104" si="595">SUM(BE99:BF99)</f>
        <v>14430.052294305269</v>
      </c>
      <c r="BE99" s="2839">
        <f t="shared" ref="BE99:BE104" si="596">SUM(AG99+AP99)</f>
        <v>14430.052294305269</v>
      </c>
      <c r="BF99" s="2839">
        <f t="shared" si="492"/>
        <v>0</v>
      </c>
      <c r="BG99" s="2862">
        <f t="shared" ref="BG99:BI104" si="597">SUM(AI99+BA99)</f>
        <v>12527.241910000001</v>
      </c>
      <c r="BH99" s="2862">
        <f t="shared" si="597"/>
        <v>12527.241910000001</v>
      </c>
      <c r="BI99" s="2862">
        <f t="shared" si="597"/>
        <v>0</v>
      </c>
      <c r="BJ99" s="2862">
        <f t="shared" ref="BJ99:BL104" si="598">SUM(BG99-BD99)</f>
        <v>-1902.8103843052686</v>
      </c>
      <c r="BK99" s="2862">
        <f t="shared" si="598"/>
        <v>-1902.8103843052686</v>
      </c>
      <c r="BL99" s="2862">
        <f t="shared" si="598"/>
        <v>0</v>
      </c>
      <c r="BM99" s="2837">
        <f>SUM(BN99:BO99)</f>
        <v>4810.0174314350897</v>
      </c>
      <c r="BN99" s="2837">
        <f t="shared" ref="BN99:BO99" si="599">SUM(BN100:BN104)+BN106</f>
        <v>4810.0174314350897</v>
      </c>
      <c r="BO99" s="2837">
        <f t="shared" si="599"/>
        <v>0</v>
      </c>
      <c r="BP99" s="2861">
        <f t="shared" si="252"/>
        <v>1337.0219999999999</v>
      </c>
      <c r="BQ99" s="2836">
        <f t="shared" ref="BQ99:BR99" si="600">SUM(BQ100:BQ104)+BQ106</f>
        <v>1337.0219999999999</v>
      </c>
      <c r="BR99" s="2836">
        <f t="shared" si="600"/>
        <v>0</v>
      </c>
      <c r="BS99" s="2861">
        <f t="shared" si="254"/>
        <v>1243.229</v>
      </c>
      <c r="BT99" s="2836">
        <f t="shared" ref="BT99:BU99" si="601">SUM(BT100:BT104)+BT106</f>
        <v>1243.229</v>
      </c>
      <c r="BU99" s="2836">
        <f t="shared" si="601"/>
        <v>0</v>
      </c>
      <c r="BV99" s="2861">
        <f t="shared" si="256"/>
        <v>1435.8389999999999</v>
      </c>
      <c r="BW99" s="2836">
        <f t="shared" ref="BW99:BX99" si="602">SUM(BW100:BW104)+BW106</f>
        <v>1435.8389999999999</v>
      </c>
      <c r="BX99" s="2836">
        <f t="shared" si="602"/>
        <v>0</v>
      </c>
      <c r="BY99" s="2861">
        <f t="shared" si="423"/>
        <v>4016.09</v>
      </c>
      <c r="BZ99" s="2861">
        <f t="shared" ref="BZ99:BZ104" si="603">SUM(BQ99+BT99+BW99)</f>
        <v>4016.09</v>
      </c>
      <c r="CA99" s="2861">
        <f t="shared" si="578"/>
        <v>0</v>
      </c>
      <c r="CB99" s="2839">
        <f>SUM(CC99:CD99)</f>
        <v>19240.069710719687</v>
      </c>
      <c r="CC99" s="2839">
        <f>SUM(вода!CV27)</f>
        <v>19240.069710719687</v>
      </c>
      <c r="CD99" s="2839">
        <f>SUM(вода!CW27)</f>
        <v>0</v>
      </c>
      <c r="CE99" s="2862">
        <f t="shared" ref="CE99:CG104" si="604">SUM(BY99+BG99)</f>
        <v>16543.331910000001</v>
      </c>
      <c r="CF99" s="2981">
        <f t="shared" si="604"/>
        <v>16543.331910000001</v>
      </c>
      <c r="CG99" s="2981">
        <f t="shared" si="604"/>
        <v>0</v>
      </c>
      <c r="CH99" s="2862">
        <f t="shared" ref="CH99:CJ104" si="605">SUM(CE99-CB99)</f>
        <v>-2696.7378007196858</v>
      </c>
      <c r="CI99" s="2862">
        <f t="shared" si="605"/>
        <v>-2696.7378007196858</v>
      </c>
      <c r="CJ99" s="2862">
        <f t="shared" si="605"/>
        <v>0</v>
      </c>
      <c r="CK99" s="2863"/>
      <c r="CL99" s="4189">
        <f t="shared" si="542"/>
        <v>19240.069725740359</v>
      </c>
      <c r="CM99" s="4189">
        <f t="shared" si="543"/>
        <v>19240.069725740359</v>
      </c>
      <c r="CN99" s="4189">
        <f t="shared" si="544"/>
        <v>0</v>
      </c>
    </row>
    <row r="100" spans="1:92" ht="18.75" customHeight="1" x14ac:dyDescent="0.3">
      <c r="A100" s="2864" t="s">
        <v>3</v>
      </c>
      <c r="B100" s="2845">
        <f t="shared" ref="B100:B104" si="606">SUM(C100:D100)</f>
        <v>274.95378819978305</v>
      </c>
      <c r="C100" s="2845">
        <f t="shared" ref="C100:D104" si="607">SUM(CC100/4)</f>
        <v>274.95378819978305</v>
      </c>
      <c r="D100" s="2845">
        <f t="shared" si="607"/>
        <v>0</v>
      </c>
      <c r="E100" s="2865">
        <f t="shared" si="546"/>
        <v>82.79</v>
      </c>
      <c r="F100" s="2866">
        <v>82.79</v>
      </c>
      <c r="G100" s="2866"/>
      <c r="H100" s="2865">
        <f t="shared" si="547"/>
        <v>105.955</v>
      </c>
      <c r="I100" s="2866">
        <f>105.955</f>
        <v>105.955</v>
      </c>
      <c r="J100" s="2866"/>
      <c r="K100" s="2865">
        <f t="shared" si="549"/>
        <v>7.4</v>
      </c>
      <c r="L100" s="2866">
        <f>7.15+0.25</f>
        <v>7.4</v>
      </c>
      <c r="M100" s="2866"/>
      <c r="N100" s="2865">
        <f t="shared" si="583"/>
        <v>196.14500000000001</v>
      </c>
      <c r="O100" s="2865">
        <f t="shared" si="584"/>
        <v>196.14500000000001</v>
      </c>
      <c r="P100" s="2865">
        <f t="shared" si="584"/>
        <v>0</v>
      </c>
      <c r="Q100" s="2845">
        <f t="shared" ref="Q100:Q104" si="608">SUM(R100:S100)</f>
        <v>274.95378819978305</v>
      </c>
      <c r="R100" s="2845">
        <f t="shared" ref="R100:R104" si="609">SUM(C100)</f>
        <v>274.95378819978305</v>
      </c>
      <c r="S100" s="2845">
        <f t="shared" ref="S100:S104" si="610">SUM(D100)</f>
        <v>0</v>
      </c>
      <c r="T100" s="2865">
        <f t="shared" si="229"/>
        <v>39.82</v>
      </c>
      <c r="U100" s="2866">
        <v>39.82</v>
      </c>
      <c r="V100" s="2866"/>
      <c r="W100" s="2865">
        <f t="shared" si="231"/>
        <v>117.37</v>
      </c>
      <c r="X100" s="2866">
        <f>114.56+0.25+2.56</f>
        <v>117.37</v>
      </c>
      <c r="Y100" s="2866"/>
      <c r="Z100" s="2865">
        <f t="shared" si="233"/>
        <v>2.0499999999999998</v>
      </c>
      <c r="AA100" s="2866">
        <v>2.0499999999999998</v>
      </c>
      <c r="AB100" s="2866"/>
      <c r="AC100" s="2865">
        <f t="shared" si="404"/>
        <v>159.24</v>
      </c>
      <c r="AD100" s="2865">
        <f t="shared" si="589"/>
        <v>159.24</v>
      </c>
      <c r="AE100" s="2865">
        <f t="shared" si="576"/>
        <v>0</v>
      </c>
      <c r="AF100" s="2846">
        <f t="shared" si="482"/>
        <v>549.9075763995661</v>
      </c>
      <c r="AG100" s="2846">
        <f t="shared" si="483"/>
        <v>549.9075763995661</v>
      </c>
      <c r="AH100" s="2846">
        <f t="shared" si="484"/>
        <v>0</v>
      </c>
      <c r="AI100" s="2867">
        <f t="shared" si="511"/>
        <v>355.38499999999999</v>
      </c>
      <c r="AJ100" s="2867">
        <f t="shared" si="511"/>
        <v>355.38499999999999</v>
      </c>
      <c r="AK100" s="2867">
        <f t="shared" si="511"/>
        <v>0</v>
      </c>
      <c r="AL100" s="2867">
        <f t="shared" si="510"/>
        <v>-194.52257639956611</v>
      </c>
      <c r="AM100" s="2867">
        <f t="shared" si="510"/>
        <v>-194.52257639956611</v>
      </c>
      <c r="AN100" s="2867">
        <f t="shared" si="510"/>
        <v>0</v>
      </c>
      <c r="AO100" s="2845">
        <f t="shared" ref="AO100:AO104" si="611">SUM(AP100:AQ100)</f>
        <v>274.95378819978305</v>
      </c>
      <c r="AP100" s="2845">
        <f t="shared" ref="AP100:AP104" si="612">SUM(CC100-AG100)/2</f>
        <v>274.95378819978305</v>
      </c>
      <c r="AQ100" s="2845">
        <f t="shared" ref="AQ100:AQ104" si="613">SUM(CD100-AH100)/2</f>
        <v>0</v>
      </c>
      <c r="AR100" s="2865">
        <f t="shared" si="240"/>
        <v>78.3</v>
      </c>
      <c r="AS100" s="2866">
        <v>78.3</v>
      </c>
      <c r="AT100" s="2866"/>
      <c r="AU100" s="2865">
        <f t="shared" si="242"/>
        <v>86.375</v>
      </c>
      <c r="AV100" s="2866">
        <v>86.375</v>
      </c>
      <c r="AW100" s="2866"/>
      <c r="AX100" s="2865">
        <f t="shared" si="244"/>
        <v>75.45</v>
      </c>
      <c r="AY100" s="2866">
        <f>74.1+1.15+0.2</f>
        <v>75.45</v>
      </c>
      <c r="AZ100" s="2866"/>
      <c r="BA100" s="2865">
        <f t="shared" si="413"/>
        <v>240.125</v>
      </c>
      <c r="BB100" s="2865">
        <f t="shared" si="594"/>
        <v>240.125</v>
      </c>
      <c r="BC100" s="2865">
        <f t="shared" si="577"/>
        <v>0</v>
      </c>
      <c r="BD100" s="2846">
        <f t="shared" si="595"/>
        <v>824.86136459934914</v>
      </c>
      <c r="BE100" s="2846">
        <f t="shared" si="596"/>
        <v>824.86136459934914</v>
      </c>
      <c r="BF100" s="2846">
        <f t="shared" si="492"/>
        <v>0</v>
      </c>
      <c r="BG100" s="2867">
        <f t="shared" si="597"/>
        <v>595.51</v>
      </c>
      <c r="BH100" s="2867">
        <f t="shared" si="597"/>
        <v>595.51</v>
      </c>
      <c r="BI100" s="2867">
        <f t="shared" si="597"/>
        <v>0</v>
      </c>
      <c r="BJ100" s="2867">
        <f t="shared" si="598"/>
        <v>-229.35136459934915</v>
      </c>
      <c r="BK100" s="2867">
        <f t="shared" si="598"/>
        <v>-229.35136459934915</v>
      </c>
      <c r="BL100" s="2867">
        <f t="shared" si="598"/>
        <v>0</v>
      </c>
      <c r="BM100" s="2845">
        <f t="shared" ref="BM100:BM104" si="614">SUM(BN100:BO100)</f>
        <v>274.95378819978305</v>
      </c>
      <c r="BN100" s="2845">
        <f t="shared" ref="BN100:BN104" si="615">SUM(AP100)</f>
        <v>274.95378819978305</v>
      </c>
      <c r="BO100" s="2845">
        <f t="shared" ref="BO100:BO104" si="616">SUM(AQ100)</f>
        <v>0</v>
      </c>
      <c r="BP100" s="2865">
        <f t="shared" si="252"/>
        <v>116.735</v>
      </c>
      <c r="BQ100" s="2866">
        <v>116.735</v>
      </c>
      <c r="BR100" s="2866"/>
      <c r="BS100" s="2865">
        <f t="shared" si="254"/>
        <v>77.239999999999995</v>
      </c>
      <c r="BT100" s="2866">
        <v>77.239999999999995</v>
      </c>
      <c r="BU100" s="2866"/>
      <c r="BV100" s="2865">
        <f t="shared" si="256"/>
        <v>1.052</v>
      </c>
      <c r="BW100" s="2866">
        <v>1.052</v>
      </c>
      <c r="BX100" s="2866"/>
      <c r="BY100" s="2865">
        <f t="shared" si="423"/>
        <v>195.02699999999999</v>
      </c>
      <c r="BZ100" s="2865">
        <f t="shared" si="603"/>
        <v>195.02699999999999</v>
      </c>
      <c r="CA100" s="2865">
        <f t="shared" si="578"/>
        <v>0</v>
      </c>
      <c r="CB100" s="2846">
        <f t="shared" ref="CB100:CB106" si="617">SUM(CC100:CD100)</f>
        <v>1099.8151527991322</v>
      </c>
      <c r="CC100" s="2846">
        <f>SUM(вода!CV28)</f>
        <v>1099.8151527991322</v>
      </c>
      <c r="CD100" s="2846">
        <f>SUM(вода!CW28)</f>
        <v>0</v>
      </c>
      <c r="CE100" s="2867">
        <f t="shared" si="604"/>
        <v>790.53700000000003</v>
      </c>
      <c r="CF100" s="2982">
        <f t="shared" si="604"/>
        <v>790.53700000000003</v>
      </c>
      <c r="CG100" s="2982">
        <f t="shared" si="604"/>
        <v>0</v>
      </c>
      <c r="CH100" s="2867">
        <f t="shared" si="605"/>
        <v>-309.27815279913216</v>
      </c>
      <c r="CI100" s="2867">
        <f t="shared" si="605"/>
        <v>-309.27815279913216</v>
      </c>
      <c r="CJ100" s="2867">
        <f t="shared" si="605"/>
        <v>0</v>
      </c>
      <c r="CK100" s="2863"/>
      <c r="CL100" s="4187">
        <f t="shared" si="542"/>
        <v>1099.8151527991322</v>
      </c>
      <c r="CM100" s="4187">
        <f t="shared" si="543"/>
        <v>1099.8151527991322</v>
      </c>
      <c r="CN100" s="4187">
        <f t="shared" si="544"/>
        <v>0</v>
      </c>
    </row>
    <row r="101" spans="1:92" ht="18.75" customHeight="1" x14ac:dyDescent="0.3">
      <c r="A101" s="2864" t="s">
        <v>2</v>
      </c>
      <c r="B101" s="2845">
        <f t="shared" si="606"/>
        <v>5.5019029091346985</v>
      </c>
      <c r="C101" s="2845">
        <f t="shared" si="607"/>
        <v>5.5019029091346985</v>
      </c>
      <c r="D101" s="2845">
        <f t="shared" si="607"/>
        <v>0</v>
      </c>
      <c r="E101" s="2865">
        <f t="shared" si="546"/>
        <v>10.5</v>
      </c>
      <c r="F101" s="2866">
        <v>10.5</v>
      </c>
      <c r="G101" s="2866"/>
      <c r="H101" s="2865">
        <f t="shared" si="547"/>
        <v>10.497</v>
      </c>
      <c r="I101" s="2866">
        <v>10.497</v>
      </c>
      <c r="J101" s="2866"/>
      <c r="K101" s="2865">
        <f t="shared" si="549"/>
        <v>10.5</v>
      </c>
      <c r="L101" s="2866">
        <v>10.5</v>
      </c>
      <c r="M101" s="2866"/>
      <c r="N101" s="2865">
        <f t="shared" si="583"/>
        <v>31.497</v>
      </c>
      <c r="O101" s="2865">
        <f t="shared" si="584"/>
        <v>31.497</v>
      </c>
      <c r="P101" s="2865">
        <f t="shared" si="584"/>
        <v>0</v>
      </c>
      <c r="Q101" s="2845">
        <f t="shared" si="608"/>
        <v>5.5019029091346985</v>
      </c>
      <c r="R101" s="2845">
        <f t="shared" si="609"/>
        <v>5.5019029091346985</v>
      </c>
      <c r="S101" s="2845">
        <f t="shared" si="610"/>
        <v>0</v>
      </c>
      <c r="T101" s="2865">
        <f t="shared" ref="T101:T104" si="618">SUM(U101:V101)</f>
        <v>10.5</v>
      </c>
      <c r="U101" s="2866">
        <v>10.5</v>
      </c>
      <c r="V101" s="2866"/>
      <c r="W101" s="2865">
        <f t="shared" ref="W101:W104" si="619">SUM(X101:Y101)</f>
        <v>10.5</v>
      </c>
      <c r="X101" s="2866">
        <v>10.5</v>
      </c>
      <c r="Y101" s="2866"/>
      <c r="Z101" s="2865">
        <f t="shared" ref="Z101:Z104" si="620">SUM(AA101:AB101)</f>
        <v>10.497</v>
      </c>
      <c r="AA101" s="2866">
        <v>10.497</v>
      </c>
      <c r="AB101" s="2866"/>
      <c r="AC101" s="2865">
        <f t="shared" si="404"/>
        <v>31.497</v>
      </c>
      <c r="AD101" s="2865">
        <f t="shared" si="589"/>
        <v>31.497</v>
      </c>
      <c r="AE101" s="2865">
        <f t="shared" si="576"/>
        <v>0</v>
      </c>
      <c r="AF101" s="2846">
        <f t="shared" si="482"/>
        <v>11.003805818269397</v>
      </c>
      <c r="AG101" s="2846">
        <f t="shared" si="483"/>
        <v>11.003805818269397</v>
      </c>
      <c r="AH101" s="2846">
        <f t="shared" si="484"/>
        <v>0</v>
      </c>
      <c r="AI101" s="2867">
        <f t="shared" si="511"/>
        <v>62.994</v>
      </c>
      <c r="AJ101" s="2867">
        <f t="shared" si="511"/>
        <v>62.994</v>
      </c>
      <c r="AK101" s="2867">
        <f t="shared" si="511"/>
        <v>0</v>
      </c>
      <c r="AL101" s="2867">
        <f t="shared" si="510"/>
        <v>51.990194181730601</v>
      </c>
      <c r="AM101" s="2867">
        <f t="shared" si="510"/>
        <v>51.990194181730601</v>
      </c>
      <c r="AN101" s="2867">
        <f t="shared" si="510"/>
        <v>0</v>
      </c>
      <c r="AO101" s="2845">
        <f t="shared" si="611"/>
        <v>5.5019029091346985</v>
      </c>
      <c r="AP101" s="2845">
        <f t="shared" si="612"/>
        <v>5.5019029091346985</v>
      </c>
      <c r="AQ101" s="2845">
        <f t="shared" si="613"/>
        <v>0</v>
      </c>
      <c r="AR101" s="2865">
        <f t="shared" ref="AR101:AR104" si="621">SUM(AS101:AT101)</f>
        <v>10.5</v>
      </c>
      <c r="AS101" s="2866">
        <v>10.5</v>
      </c>
      <c r="AT101" s="2866"/>
      <c r="AU101" s="2865">
        <f t="shared" ref="AU101:AU104" si="622">SUM(AV101:AW101)</f>
        <v>10.497</v>
      </c>
      <c r="AV101" s="2866">
        <v>10.497</v>
      </c>
      <c r="AW101" s="2866"/>
      <c r="AX101" s="2865">
        <f t="shared" ref="AX101:AX104" si="623">SUM(AY101:AZ101)</f>
        <v>10.497</v>
      </c>
      <c r="AY101" s="2866">
        <v>10.497</v>
      </c>
      <c r="AZ101" s="2866"/>
      <c r="BA101" s="2865">
        <f t="shared" si="413"/>
        <v>31.494</v>
      </c>
      <c r="BB101" s="2865">
        <f t="shared" si="594"/>
        <v>31.494</v>
      </c>
      <c r="BC101" s="2865">
        <f t="shared" si="577"/>
        <v>0</v>
      </c>
      <c r="BD101" s="2846">
        <f t="shared" si="595"/>
        <v>16.505708727404095</v>
      </c>
      <c r="BE101" s="2846">
        <f t="shared" si="596"/>
        <v>16.505708727404095</v>
      </c>
      <c r="BF101" s="2846">
        <f t="shared" si="492"/>
        <v>0</v>
      </c>
      <c r="BG101" s="2867">
        <f t="shared" si="597"/>
        <v>94.488</v>
      </c>
      <c r="BH101" s="2867">
        <f t="shared" si="597"/>
        <v>94.488</v>
      </c>
      <c r="BI101" s="2867">
        <f t="shared" si="597"/>
        <v>0</v>
      </c>
      <c r="BJ101" s="2867">
        <f t="shared" si="598"/>
        <v>77.982291272595901</v>
      </c>
      <c r="BK101" s="2867">
        <f t="shared" si="598"/>
        <v>77.982291272595901</v>
      </c>
      <c r="BL101" s="2867">
        <f t="shared" si="598"/>
        <v>0</v>
      </c>
      <c r="BM101" s="2845">
        <f t="shared" si="614"/>
        <v>5.5019029091346985</v>
      </c>
      <c r="BN101" s="2845">
        <f t="shared" si="615"/>
        <v>5.5019029091346985</v>
      </c>
      <c r="BO101" s="2845">
        <f t="shared" si="616"/>
        <v>0</v>
      </c>
      <c r="BP101" s="2865">
        <f t="shared" ref="BP101:BP104" si="624">SUM(BQ101:BR101)</f>
        <v>10.497</v>
      </c>
      <c r="BQ101" s="2866">
        <v>10.497</v>
      </c>
      <c r="BR101" s="2866"/>
      <c r="BS101" s="2865">
        <f t="shared" ref="BS101:BS104" si="625">SUM(BT101:BU101)</f>
        <v>10.497</v>
      </c>
      <c r="BT101" s="2866">
        <v>10.497</v>
      </c>
      <c r="BU101" s="2866"/>
      <c r="BV101" s="2865">
        <f t="shared" ref="BV101:BV104" si="626">SUM(BW101:BX101)</f>
        <v>17.797999999999998</v>
      </c>
      <c r="BW101" s="2866">
        <v>17.797999999999998</v>
      </c>
      <c r="BX101" s="2866"/>
      <c r="BY101" s="2865">
        <f t="shared" si="423"/>
        <v>38.792000000000002</v>
      </c>
      <c r="BZ101" s="2865">
        <f t="shared" si="603"/>
        <v>38.792000000000002</v>
      </c>
      <c r="CA101" s="2865">
        <f t="shared" si="578"/>
        <v>0</v>
      </c>
      <c r="CB101" s="2846">
        <f t="shared" si="617"/>
        <v>22.007611636538794</v>
      </c>
      <c r="CC101" s="2846">
        <f>SUM(вода!CV29)</f>
        <v>22.007611636538794</v>
      </c>
      <c r="CD101" s="2846">
        <f>SUM(вода!CW29)</f>
        <v>0</v>
      </c>
      <c r="CE101" s="2867">
        <f t="shared" si="604"/>
        <v>133.28</v>
      </c>
      <c r="CF101" s="2982">
        <f t="shared" si="604"/>
        <v>133.28</v>
      </c>
      <c r="CG101" s="2982">
        <f t="shared" si="604"/>
        <v>0</v>
      </c>
      <c r="CH101" s="2867">
        <f t="shared" si="605"/>
        <v>111.2723883634612</v>
      </c>
      <c r="CI101" s="2867">
        <f t="shared" si="605"/>
        <v>111.2723883634612</v>
      </c>
      <c r="CJ101" s="2867">
        <f t="shared" si="605"/>
        <v>0</v>
      </c>
      <c r="CK101" s="2863"/>
      <c r="CL101" s="4187">
        <f t="shared" si="542"/>
        <v>22.007611636538794</v>
      </c>
      <c r="CM101" s="4187">
        <f t="shared" si="543"/>
        <v>22.007611636538794</v>
      </c>
      <c r="CN101" s="4187">
        <f t="shared" si="544"/>
        <v>0</v>
      </c>
    </row>
    <row r="102" spans="1:92" ht="18.75" customHeight="1" x14ac:dyDescent="0.3">
      <c r="A102" s="2864" t="s">
        <v>3740</v>
      </c>
      <c r="B102" s="2845">
        <f t="shared" si="606"/>
        <v>0</v>
      </c>
      <c r="C102" s="2845">
        <f t="shared" si="607"/>
        <v>0</v>
      </c>
      <c r="D102" s="2845">
        <f t="shared" si="607"/>
        <v>0</v>
      </c>
      <c r="E102" s="2865">
        <f t="shared" si="546"/>
        <v>0</v>
      </c>
      <c r="F102" s="2866"/>
      <c r="G102" s="2866"/>
      <c r="H102" s="2865">
        <f t="shared" si="547"/>
        <v>0</v>
      </c>
      <c r="I102" s="2866"/>
      <c r="J102" s="2866"/>
      <c r="K102" s="2865">
        <f t="shared" si="549"/>
        <v>0</v>
      </c>
      <c r="L102" s="2866"/>
      <c r="M102" s="2866"/>
      <c r="N102" s="2865">
        <f t="shared" si="583"/>
        <v>0</v>
      </c>
      <c r="O102" s="2865">
        <f t="shared" si="584"/>
        <v>0</v>
      </c>
      <c r="P102" s="2865">
        <f t="shared" si="584"/>
        <v>0</v>
      </c>
      <c r="Q102" s="2845">
        <f t="shared" si="608"/>
        <v>0</v>
      </c>
      <c r="R102" s="2845">
        <f t="shared" si="609"/>
        <v>0</v>
      </c>
      <c r="S102" s="2845">
        <f t="shared" si="610"/>
        <v>0</v>
      </c>
      <c r="T102" s="2865">
        <f t="shared" si="618"/>
        <v>0</v>
      </c>
      <c r="U102" s="2866"/>
      <c r="V102" s="2866"/>
      <c r="W102" s="2865">
        <f t="shared" si="619"/>
        <v>0</v>
      </c>
      <c r="X102" s="2866"/>
      <c r="Y102" s="2866"/>
      <c r="Z102" s="2865">
        <f t="shared" si="620"/>
        <v>0</v>
      </c>
      <c r="AA102" s="2866"/>
      <c r="AB102" s="2866"/>
      <c r="AC102" s="2865">
        <f t="shared" si="404"/>
        <v>0</v>
      </c>
      <c r="AD102" s="2865">
        <f t="shared" si="589"/>
        <v>0</v>
      </c>
      <c r="AE102" s="2865">
        <f t="shared" si="576"/>
        <v>0</v>
      </c>
      <c r="AF102" s="2846">
        <f t="shared" si="482"/>
        <v>0</v>
      </c>
      <c r="AG102" s="2846">
        <f t="shared" si="483"/>
        <v>0</v>
      </c>
      <c r="AH102" s="2846">
        <f t="shared" si="484"/>
        <v>0</v>
      </c>
      <c r="AI102" s="2867">
        <f t="shared" si="511"/>
        <v>0</v>
      </c>
      <c r="AJ102" s="2867">
        <f t="shared" si="511"/>
        <v>0</v>
      </c>
      <c r="AK102" s="2867">
        <f t="shared" si="511"/>
        <v>0</v>
      </c>
      <c r="AL102" s="2867">
        <f t="shared" si="510"/>
        <v>0</v>
      </c>
      <c r="AM102" s="2867">
        <f t="shared" si="510"/>
        <v>0</v>
      </c>
      <c r="AN102" s="2867">
        <f t="shared" si="510"/>
        <v>0</v>
      </c>
      <c r="AO102" s="2845">
        <f t="shared" si="611"/>
        <v>0</v>
      </c>
      <c r="AP102" s="2845">
        <f t="shared" si="612"/>
        <v>0</v>
      </c>
      <c r="AQ102" s="2845">
        <f t="shared" si="613"/>
        <v>0</v>
      </c>
      <c r="AR102" s="2865">
        <f t="shared" si="621"/>
        <v>0</v>
      </c>
      <c r="AS102" s="2866"/>
      <c r="AT102" s="2866"/>
      <c r="AU102" s="2865">
        <f t="shared" si="622"/>
        <v>0</v>
      </c>
      <c r="AV102" s="2866"/>
      <c r="AW102" s="2866"/>
      <c r="AX102" s="2865">
        <f t="shared" si="623"/>
        <v>0</v>
      </c>
      <c r="AY102" s="2866"/>
      <c r="AZ102" s="2866"/>
      <c r="BA102" s="2865">
        <f t="shared" si="413"/>
        <v>0</v>
      </c>
      <c r="BB102" s="2865">
        <f t="shared" si="594"/>
        <v>0</v>
      </c>
      <c r="BC102" s="2865">
        <f t="shared" si="577"/>
        <v>0</v>
      </c>
      <c r="BD102" s="2846">
        <f t="shared" si="595"/>
        <v>0</v>
      </c>
      <c r="BE102" s="2846">
        <f t="shared" si="596"/>
        <v>0</v>
      </c>
      <c r="BF102" s="2846">
        <f t="shared" si="492"/>
        <v>0</v>
      </c>
      <c r="BG102" s="2867">
        <f t="shared" si="597"/>
        <v>0</v>
      </c>
      <c r="BH102" s="2867">
        <f t="shared" si="597"/>
        <v>0</v>
      </c>
      <c r="BI102" s="2867">
        <f t="shared" si="597"/>
        <v>0</v>
      </c>
      <c r="BJ102" s="2867">
        <f t="shared" si="598"/>
        <v>0</v>
      </c>
      <c r="BK102" s="2867">
        <f t="shared" si="598"/>
        <v>0</v>
      </c>
      <c r="BL102" s="2867">
        <f t="shared" si="598"/>
        <v>0</v>
      </c>
      <c r="BM102" s="2845">
        <f t="shared" si="614"/>
        <v>0</v>
      </c>
      <c r="BN102" s="2845">
        <f t="shared" si="615"/>
        <v>0</v>
      </c>
      <c r="BO102" s="2845">
        <f t="shared" si="616"/>
        <v>0</v>
      </c>
      <c r="BP102" s="2865">
        <f t="shared" si="624"/>
        <v>0</v>
      </c>
      <c r="BQ102" s="2866"/>
      <c r="BR102" s="2866"/>
      <c r="BS102" s="2865">
        <f t="shared" si="625"/>
        <v>0</v>
      </c>
      <c r="BT102" s="2866"/>
      <c r="BU102" s="2866"/>
      <c r="BV102" s="2865">
        <f t="shared" si="626"/>
        <v>0</v>
      </c>
      <c r="BW102" s="2866"/>
      <c r="BX102" s="2866"/>
      <c r="BY102" s="2865">
        <f t="shared" si="423"/>
        <v>0</v>
      </c>
      <c r="BZ102" s="2865">
        <f t="shared" si="603"/>
        <v>0</v>
      </c>
      <c r="CA102" s="2865">
        <f t="shared" si="578"/>
        <v>0</v>
      </c>
      <c r="CB102" s="2846">
        <f t="shared" si="617"/>
        <v>0</v>
      </c>
      <c r="CC102" s="2846">
        <f>SUM(вода!CV30)</f>
        <v>0</v>
      </c>
      <c r="CD102" s="2846">
        <f>SUM(вода!CW30)</f>
        <v>0</v>
      </c>
      <c r="CE102" s="2867">
        <f t="shared" si="604"/>
        <v>0</v>
      </c>
      <c r="CF102" s="2982">
        <f t="shared" si="604"/>
        <v>0</v>
      </c>
      <c r="CG102" s="2982">
        <f t="shared" si="604"/>
        <v>0</v>
      </c>
      <c r="CH102" s="2867">
        <f t="shared" si="605"/>
        <v>0</v>
      </c>
      <c r="CI102" s="2867">
        <f t="shared" si="605"/>
        <v>0</v>
      </c>
      <c r="CJ102" s="2867">
        <f t="shared" si="605"/>
        <v>0</v>
      </c>
      <c r="CK102" s="2863"/>
      <c r="CL102" s="4187">
        <f t="shared" si="542"/>
        <v>0</v>
      </c>
      <c r="CM102" s="4187">
        <f t="shared" si="543"/>
        <v>0</v>
      </c>
      <c r="CN102" s="4187">
        <f t="shared" si="544"/>
        <v>0</v>
      </c>
    </row>
    <row r="103" spans="1:92" ht="18.75" customHeight="1" x14ac:dyDescent="0.3">
      <c r="A103" s="2864" t="s">
        <v>4</v>
      </c>
      <c r="B103" s="2845">
        <f t="shared" si="606"/>
        <v>3052.5791913621247</v>
      </c>
      <c r="C103" s="2845">
        <f t="shared" si="607"/>
        <v>3052.5791913621247</v>
      </c>
      <c r="D103" s="2845">
        <f t="shared" si="607"/>
        <v>0</v>
      </c>
      <c r="E103" s="2865">
        <f t="shared" si="546"/>
        <v>638.53</v>
      </c>
      <c r="F103" s="2866">
        <v>638.53</v>
      </c>
      <c r="G103" s="2866"/>
      <c r="H103" s="2865">
        <f t="shared" si="547"/>
        <v>820.75800000000004</v>
      </c>
      <c r="I103" s="2866">
        <v>820.75800000000004</v>
      </c>
      <c r="J103" s="2866"/>
      <c r="K103" s="2865">
        <f t="shared" si="549"/>
        <v>965.12</v>
      </c>
      <c r="L103" s="2866">
        <v>965.12</v>
      </c>
      <c r="M103" s="2866"/>
      <c r="N103" s="2865">
        <f t="shared" si="583"/>
        <v>2424.4079999999999</v>
      </c>
      <c r="O103" s="2865">
        <f t="shared" si="584"/>
        <v>2424.4079999999999</v>
      </c>
      <c r="P103" s="2865">
        <f t="shared" si="584"/>
        <v>0</v>
      </c>
      <c r="Q103" s="2845">
        <f t="shared" si="608"/>
        <v>3052.5791913621247</v>
      </c>
      <c r="R103" s="2845">
        <f t="shared" si="609"/>
        <v>3052.5791913621247</v>
      </c>
      <c r="S103" s="2845">
        <f t="shared" si="610"/>
        <v>0</v>
      </c>
      <c r="T103" s="2865">
        <f t="shared" si="618"/>
        <v>857.26</v>
      </c>
      <c r="U103" s="2866">
        <v>857.26</v>
      </c>
      <c r="V103" s="2866"/>
      <c r="W103" s="2865">
        <f t="shared" si="619"/>
        <v>867</v>
      </c>
      <c r="X103" s="2866">
        <v>867</v>
      </c>
      <c r="Y103" s="2866"/>
      <c r="Z103" s="2865">
        <f t="shared" si="620"/>
        <v>747.404</v>
      </c>
      <c r="AA103" s="2866">
        <v>747.404</v>
      </c>
      <c r="AB103" s="2866"/>
      <c r="AC103" s="2865">
        <f t="shared" si="404"/>
        <v>2471.6639999999998</v>
      </c>
      <c r="AD103" s="2865">
        <f t="shared" si="589"/>
        <v>2471.6639999999998</v>
      </c>
      <c r="AE103" s="2865">
        <f t="shared" si="576"/>
        <v>0</v>
      </c>
      <c r="AF103" s="2846">
        <f t="shared" si="482"/>
        <v>6105.1583827242493</v>
      </c>
      <c r="AG103" s="2846">
        <f t="shared" si="483"/>
        <v>6105.1583827242493</v>
      </c>
      <c r="AH103" s="2846">
        <f t="shared" si="484"/>
        <v>0</v>
      </c>
      <c r="AI103" s="2867">
        <f t="shared" si="511"/>
        <v>4896.0720000000001</v>
      </c>
      <c r="AJ103" s="2867">
        <f t="shared" si="511"/>
        <v>4896.0720000000001</v>
      </c>
      <c r="AK103" s="2867">
        <f t="shared" si="511"/>
        <v>0</v>
      </c>
      <c r="AL103" s="2867">
        <f t="shared" si="510"/>
        <v>-1209.0863827242492</v>
      </c>
      <c r="AM103" s="2867">
        <f t="shared" si="510"/>
        <v>-1209.0863827242492</v>
      </c>
      <c r="AN103" s="2867">
        <f t="shared" si="510"/>
        <v>0</v>
      </c>
      <c r="AO103" s="2845">
        <f t="shared" si="611"/>
        <v>3052.5791913621247</v>
      </c>
      <c r="AP103" s="2845">
        <f t="shared" si="612"/>
        <v>3052.5791913621247</v>
      </c>
      <c r="AQ103" s="2845">
        <f t="shared" si="613"/>
        <v>0</v>
      </c>
      <c r="AR103" s="2865">
        <f t="shared" si="621"/>
        <v>1003.38</v>
      </c>
      <c r="AS103" s="2866">
        <v>1003.38</v>
      </c>
      <c r="AT103" s="2866"/>
      <c r="AU103" s="2865">
        <f t="shared" si="622"/>
        <v>660.62900000000002</v>
      </c>
      <c r="AV103" s="2866">
        <v>660.62900000000002</v>
      </c>
      <c r="AW103" s="2866"/>
      <c r="AX103" s="2865">
        <f t="shared" si="623"/>
        <v>834.69399999999996</v>
      </c>
      <c r="AY103" s="2866">
        <v>834.69399999999996</v>
      </c>
      <c r="AZ103" s="2866"/>
      <c r="BA103" s="2865">
        <f t="shared" si="413"/>
        <v>2498.703</v>
      </c>
      <c r="BB103" s="2865">
        <f t="shared" si="594"/>
        <v>2498.703</v>
      </c>
      <c r="BC103" s="2865">
        <f t="shared" si="577"/>
        <v>0</v>
      </c>
      <c r="BD103" s="2846">
        <f t="shared" si="595"/>
        <v>9157.7375740863736</v>
      </c>
      <c r="BE103" s="2846">
        <f t="shared" si="596"/>
        <v>9157.7375740863736</v>
      </c>
      <c r="BF103" s="2846">
        <f t="shared" si="492"/>
        <v>0</v>
      </c>
      <c r="BG103" s="2867">
        <f t="shared" si="597"/>
        <v>7394.7749999999996</v>
      </c>
      <c r="BH103" s="2867">
        <f t="shared" si="597"/>
        <v>7394.7749999999996</v>
      </c>
      <c r="BI103" s="2867">
        <f t="shared" si="597"/>
        <v>0</v>
      </c>
      <c r="BJ103" s="2867">
        <f t="shared" si="598"/>
        <v>-1762.9625740863739</v>
      </c>
      <c r="BK103" s="2867">
        <f t="shared" si="598"/>
        <v>-1762.9625740863739</v>
      </c>
      <c r="BL103" s="2867">
        <f t="shared" si="598"/>
        <v>0</v>
      </c>
      <c r="BM103" s="2845">
        <f t="shared" si="614"/>
        <v>3052.5791913621247</v>
      </c>
      <c r="BN103" s="2845">
        <f t="shared" si="615"/>
        <v>3052.5791913621247</v>
      </c>
      <c r="BO103" s="2845">
        <f t="shared" si="616"/>
        <v>0</v>
      </c>
      <c r="BP103" s="2865">
        <f t="shared" si="624"/>
        <v>700.38599999999997</v>
      </c>
      <c r="BQ103" s="2866">
        <v>700.38599999999997</v>
      </c>
      <c r="BR103" s="2866"/>
      <c r="BS103" s="2865">
        <f t="shared" si="625"/>
        <v>682.75400000000002</v>
      </c>
      <c r="BT103" s="2866">
        <v>682.75400000000002</v>
      </c>
      <c r="BU103" s="2866"/>
      <c r="BV103" s="2865">
        <f t="shared" si="626"/>
        <v>903.28499999999997</v>
      </c>
      <c r="BW103" s="2866">
        <v>903.28499999999997</v>
      </c>
      <c r="BX103" s="2866"/>
      <c r="BY103" s="2865">
        <f t="shared" si="423"/>
        <v>2286.4249999999997</v>
      </c>
      <c r="BZ103" s="2865">
        <f t="shared" si="603"/>
        <v>2286.4249999999997</v>
      </c>
      <c r="CA103" s="2865">
        <f t="shared" si="578"/>
        <v>0</v>
      </c>
      <c r="CB103" s="2846">
        <f t="shared" si="617"/>
        <v>12210.316765448499</v>
      </c>
      <c r="CC103" s="2846">
        <f>SUM(вода!CV31)</f>
        <v>12210.316765448499</v>
      </c>
      <c r="CD103" s="2846">
        <f>SUM(вода!CW31)</f>
        <v>0</v>
      </c>
      <c r="CE103" s="2867">
        <f t="shared" si="604"/>
        <v>9681.1999999999989</v>
      </c>
      <c r="CF103" s="2982">
        <f t="shared" si="604"/>
        <v>9681.1999999999989</v>
      </c>
      <c r="CG103" s="2982">
        <f t="shared" si="604"/>
        <v>0</v>
      </c>
      <c r="CH103" s="2867">
        <f t="shared" si="605"/>
        <v>-2529.1167654484998</v>
      </c>
      <c r="CI103" s="2867">
        <f t="shared" si="605"/>
        <v>-2529.1167654484998</v>
      </c>
      <c r="CJ103" s="2867">
        <f t="shared" si="605"/>
        <v>0</v>
      </c>
      <c r="CK103" s="2863"/>
      <c r="CL103" s="4187">
        <f t="shared" si="542"/>
        <v>12210.316765448499</v>
      </c>
      <c r="CM103" s="4187">
        <f t="shared" si="543"/>
        <v>12210.316765448499</v>
      </c>
      <c r="CN103" s="4187">
        <f t="shared" si="544"/>
        <v>0</v>
      </c>
    </row>
    <row r="104" spans="1:92" ht="18.75" customHeight="1" x14ac:dyDescent="0.3">
      <c r="A104" s="2864" t="s">
        <v>5</v>
      </c>
      <c r="B104" s="2845">
        <f t="shared" si="606"/>
        <v>916.68849725684686</v>
      </c>
      <c r="C104" s="2845">
        <f t="shared" si="607"/>
        <v>916.68849725684686</v>
      </c>
      <c r="D104" s="2845">
        <f t="shared" si="607"/>
        <v>0</v>
      </c>
      <c r="E104" s="2865">
        <f t="shared" si="546"/>
        <v>191.97</v>
      </c>
      <c r="F104" s="2866">
        <v>191.97</v>
      </c>
      <c r="G104" s="2866"/>
      <c r="H104" s="2865">
        <f t="shared" si="547"/>
        <v>247.453</v>
      </c>
      <c r="I104" s="2866">
        <f>1.639+245.814</f>
        <v>247.453</v>
      </c>
      <c r="J104" s="2866"/>
      <c r="K104" s="2865">
        <f t="shared" si="549"/>
        <v>290.79000000000002</v>
      </c>
      <c r="L104" s="2866">
        <v>290.79000000000002</v>
      </c>
      <c r="M104" s="2866"/>
      <c r="N104" s="2865">
        <f t="shared" si="583"/>
        <v>730.21299999999997</v>
      </c>
      <c r="O104" s="2865">
        <f t="shared" si="584"/>
        <v>730.21299999999997</v>
      </c>
      <c r="P104" s="2865">
        <f t="shared" si="584"/>
        <v>0</v>
      </c>
      <c r="Q104" s="2845">
        <f t="shared" si="608"/>
        <v>916.68849725684686</v>
      </c>
      <c r="R104" s="2845">
        <f t="shared" si="609"/>
        <v>916.68849725684686</v>
      </c>
      <c r="S104" s="2845">
        <f t="shared" si="610"/>
        <v>0</v>
      </c>
      <c r="T104" s="2865">
        <f t="shared" si="618"/>
        <v>257.44</v>
      </c>
      <c r="U104" s="2866">
        <v>257.44</v>
      </c>
      <c r="V104" s="2866"/>
      <c r="W104" s="2865">
        <f t="shared" si="619"/>
        <v>261.83</v>
      </c>
      <c r="X104" s="2866">
        <v>261.83</v>
      </c>
      <c r="Y104" s="2866"/>
      <c r="Z104" s="2865">
        <f t="shared" si="620"/>
        <v>224.88900000000001</v>
      </c>
      <c r="AA104" s="2866">
        <v>224.88900000000001</v>
      </c>
      <c r="AB104" s="2866"/>
      <c r="AC104" s="2865">
        <f t="shared" si="404"/>
        <v>744.15899999999999</v>
      </c>
      <c r="AD104" s="2865">
        <f t="shared" si="589"/>
        <v>744.15899999999999</v>
      </c>
      <c r="AE104" s="2865">
        <f t="shared" si="576"/>
        <v>0</v>
      </c>
      <c r="AF104" s="2846">
        <f t="shared" si="482"/>
        <v>1833.3769945136937</v>
      </c>
      <c r="AG104" s="2846">
        <f t="shared" si="483"/>
        <v>1833.3769945136937</v>
      </c>
      <c r="AH104" s="2846">
        <f t="shared" si="484"/>
        <v>0</v>
      </c>
      <c r="AI104" s="2867">
        <f t="shared" si="511"/>
        <v>1474.3719999999998</v>
      </c>
      <c r="AJ104" s="2867">
        <f t="shared" si="511"/>
        <v>1474.3719999999998</v>
      </c>
      <c r="AK104" s="2867">
        <f t="shared" si="511"/>
        <v>0</v>
      </c>
      <c r="AL104" s="2867">
        <f t="shared" si="510"/>
        <v>-359.00499451369387</v>
      </c>
      <c r="AM104" s="2867">
        <f t="shared" si="510"/>
        <v>-359.00499451369387</v>
      </c>
      <c r="AN104" s="2867">
        <f t="shared" si="510"/>
        <v>0</v>
      </c>
      <c r="AO104" s="2845">
        <f t="shared" si="611"/>
        <v>916.68849725684686</v>
      </c>
      <c r="AP104" s="2845">
        <f t="shared" si="612"/>
        <v>916.68849725684686</v>
      </c>
      <c r="AQ104" s="2845">
        <f t="shared" si="613"/>
        <v>0</v>
      </c>
      <c r="AR104" s="2865">
        <f t="shared" si="621"/>
        <v>300.94</v>
      </c>
      <c r="AS104" s="2866">
        <v>300.94</v>
      </c>
      <c r="AT104" s="2866"/>
      <c r="AU104" s="2865">
        <f t="shared" si="622"/>
        <v>198.63399999999999</v>
      </c>
      <c r="AV104" s="2866">
        <v>198.63399999999999</v>
      </c>
      <c r="AW104" s="2866"/>
      <c r="AX104" s="2865">
        <f t="shared" si="623"/>
        <v>250.334</v>
      </c>
      <c r="AY104" s="2866">
        <v>250.334</v>
      </c>
      <c r="AZ104" s="2866"/>
      <c r="BA104" s="2865">
        <f t="shared" si="413"/>
        <v>749.9079999999999</v>
      </c>
      <c r="BB104" s="2865">
        <f t="shared" si="594"/>
        <v>749.9079999999999</v>
      </c>
      <c r="BC104" s="2865">
        <f t="shared" si="577"/>
        <v>0</v>
      </c>
      <c r="BD104" s="2846">
        <f t="shared" si="595"/>
        <v>2750.0654917705406</v>
      </c>
      <c r="BE104" s="2846">
        <f t="shared" si="596"/>
        <v>2750.0654917705406</v>
      </c>
      <c r="BF104" s="2846">
        <f t="shared" si="492"/>
        <v>0</v>
      </c>
      <c r="BG104" s="2867">
        <f t="shared" si="597"/>
        <v>2224.2799999999997</v>
      </c>
      <c r="BH104" s="2867">
        <f t="shared" si="597"/>
        <v>2224.2799999999997</v>
      </c>
      <c r="BI104" s="2867">
        <f t="shared" si="597"/>
        <v>0</v>
      </c>
      <c r="BJ104" s="2867">
        <f t="shared" si="598"/>
        <v>-525.78549177054083</v>
      </c>
      <c r="BK104" s="2867">
        <f t="shared" si="598"/>
        <v>-525.78549177054083</v>
      </c>
      <c r="BL104" s="2867">
        <f t="shared" si="598"/>
        <v>0</v>
      </c>
      <c r="BM104" s="2845">
        <f t="shared" si="614"/>
        <v>916.68849725684686</v>
      </c>
      <c r="BN104" s="2845">
        <f t="shared" si="615"/>
        <v>916.68849725684686</v>
      </c>
      <c r="BO104" s="2845">
        <f t="shared" si="616"/>
        <v>0</v>
      </c>
      <c r="BP104" s="2865">
        <f t="shared" si="624"/>
        <v>209.04499999999999</v>
      </c>
      <c r="BQ104" s="2866">
        <v>209.04499999999999</v>
      </c>
      <c r="BR104" s="2866"/>
      <c r="BS104" s="2865">
        <f t="shared" si="625"/>
        <v>209.50899999999999</v>
      </c>
      <c r="BT104" s="2866">
        <v>209.50899999999999</v>
      </c>
      <c r="BU104" s="2866"/>
      <c r="BV104" s="2865">
        <f t="shared" si="626"/>
        <v>258.93599999999998</v>
      </c>
      <c r="BW104" s="2866">
        <v>258.93599999999998</v>
      </c>
      <c r="BX104" s="2866"/>
      <c r="BY104" s="2865">
        <f t="shared" si="423"/>
        <v>677.49</v>
      </c>
      <c r="BZ104" s="2865">
        <f t="shared" si="603"/>
        <v>677.49</v>
      </c>
      <c r="CA104" s="2865">
        <f t="shared" si="578"/>
        <v>0</v>
      </c>
      <c r="CB104" s="2846">
        <f t="shared" si="617"/>
        <v>3666.7539890273874</v>
      </c>
      <c r="CC104" s="2846">
        <f>SUM(вода!CV32)</f>
        <v>3666.7539890273874</v>
      </c>
      <c r="CD104" s="2846">
        <f>SUM(вода!CW32)</f>
        <v>0</v>
      </c>
      <c r="CE104" s="2867">
        <f t="shared" si="604"/>
        <v>2901.7699999999995</v>
      </c>
      <c r="CF104" s="2982">
        <f t="shared" si="604"/>
        <v>2901.7699999999995</v>
      </c>
      <c r="CG104" s="2982">
        <f t="shared" si="604"/>
        <v>0</v>
      </c>
      <c r="CH104" s="2867">
        <f t="shared" si="605"/>
        <v>-764.98398902738791</v>
      </c>
      <c r="CI104" s="2867">
        <f t="shared" si="605"/>
        <v>-764.98398902738791</v>
      </c>
      <c r="CJ104" s="2867">
        <f t="shared" si="605"/>
        <v>0</v>
      </c>
      <c r="CK104" s="2863"/>
      <c r="CL104" s="4187">
        <f t="shared" si="542"/>
        <v>3666.7539890273874</v>
      </c>
      <c r="CM104" s="4187">
        <f t="shared" si="543"/>
        <v>3666.7539890273874</v>
      </c>
      <c r="CN104" s="4187">
        <f t="shared" si="544"/>
        <v>0</v>
      </c>
    </row>
    <row r="105" spans="1:92" ht="18.75" customHeight="1" x14ac:dyDescent="0.2">
      <c r="A105" s="2869" t="str">
        <f>A61</f>
        <v>то же в %</v>
      </c>
      <c r="B105" s="2849">
        <f t="shared" ref="B105:D105" si="627">SUM(B104/B103)</f>
        <v>0.30029966129979457</v>
      </c>
      <c r="C105" s="2849">
        <f t="shared" si="627"/>
        <v>0.30029966129979457</v>
      </c>
      <c r="D105" s="2849" t="e">
        <f t="shared" si="627"/>
        <v>#DIV/0!</v>
      </c>
      <c r="E105" s="2849">
        <f t="shared" ref="E105:AK105" si="628">SUM(E104/E103)</f>
        <v>0.3006436659201604</v>
      </c>
      <c r="F105" s="2849">
        <f t="shared" si="628"/>
        <v>0.3006436659201604</v>
      </c>
      <c r="G105" s="2849" t="e">
        <f t="shared" si="628"/>
        <v>#DIV/0!</v>
      </c>
      <c r="H105" s="2849">
        <f t="shared" si="628"/>
        <v>0.30149325379709974</v>
      </c>
      <c r="I105" s="2849">
        <f t="shared" si="628"/>
        <v>0.30149325379709974</v>
      </c>
      <c r="J105" s="2849" t="e">
        <f t="shared" si="628"/>
        <v>#DIV/0!</v>
      </c>
      <c r="K105" s="2849">
        <f t="shared" si="628"/>
        <v>0.3012993202917772</v>
      </c>
      <c r="L105" s="2849">
        <f t="shared" si="628"/>
        <v>0.3012993202917772</v>
      </c>
      <c r="M105" s="2849" t="e">
        <f t="shared" si="628"/>
        <v>#DIV/0!</v>
      </c>
      <c r="N105" s="2849">
        <f t="shared" si="628"/>
        <v>0.30119229106652018</v>
      </c>
      <c r="O105" s="2849">
        <f t="shared" si="628"/>
        <v>0.30119229106652018</v>
      </c>
      <c r="P105" s="2849" t="e">
        <f t="shared" si="628"/>
        <v>#DIV/0!</v>
      </c>
      <c r="Q105" s="2849">
        <f t="shared" si="628"/>
        <v>0.30029966129979457</v>
      </c>
      <c r="R105" s="2849">
        <f t="shared" si="628"/>
        <v>0.30029966129979457</v>
      </c>
      <c r="S105" s="2849" t="e">
        <f t="shared" si="628"/>
        <v>#DIV/0!</v>
      </c>
      <c r="T105" s="2849">
        <f t="shared" si="628"/>
        <v>0.30030562489793061</v>
      </c>
      <c r="U105" s="2849">
        <f t="shared" si="628"/>
        <v>0.30030562489793061</v>
      </c>
      <c r="V105" s="2849" t="e">
        <f t="shared" si="628"/>
        <v>#DIV/0!</v>
      </c>
      <c r="W105" s="2849">
        <f t="shared" si="628"/>
        <v>0.30199538638985002</v>
      </c>
      <c r="X105" s="2849">
        <f t="shared" si="628"/>
        <v>0.30199538638985002</v>
      </c>
      <c r="Y105" s="2849" t="e">
        <f t="shared" si="628"/>
        <v>#DIV/0!</v>
      </c>
      <c r="Z105" s="2849">
        <f t="shared" si="628"/>
        <v>0.30089349267598248</v>
      </c>
      <c r="AA105" s="2849">
        <f t="shared" si="628"/>
        <v>0.30089349267598248</v>
      </c>
      <c r="AB105" s="2849" t="e">
        <f t="shared" si="628"/>
        <v>#DIV/0!</v>
      </c>
      <c r="AC105" s="2849">
        <f t="shared" si="628"/>
        <v>0.30107611714213584</v>
      </c>
      <c r="AD105" s="2849">
        <f t="shared" si="628"/>
        <v>0.30107611714213584</v>
      </c>
      <c r="AE105" s="2849" t="e">
        <f t="shared" si="628"/>
        <v>#DIV/0!</v>
      </c>
      <c r="AF105" s="2850">
        <f t="shared" si="628"/>
        <v>0.30029966129979457</v>
      </c>
      <c r="AG105" s="2850">
        <f t="shared" si="628"/>
        <v>0.30029966129979457</v>
      </c>
      <c r="AH105" s="2850" t="e">
        <f t="shared" si="628"/>
        <v>#DIV/0!</v>
      </c>
      <c r="AI105" s="2850">
        <f t="shared" si="628"/>
        <v>0.30113364345949156</v>
      </c>
      <c r="AJ105" s="2850">
        <f t="shared" si="628"/>
        <v>0.30113364345949156</v>
      </c>
      <c r="AK105" s="2850" t="e">
        <f t="shared" si="628"/>
        <v>#DIV/0!</v>
      </c>
      <c r="AL105" s="2851">
        <f t="shared" ref="AL105:AN129" si="629">SUM(AI105-AF105)</f>
        <v>8.3398215969698875E-4</v>
      </c>
      <c r="AM105" s="2851">
        <f t="shared" si="629"/>
        <v>8.3398215969698875E-4</v>
      </c>
      <c r="AN105" s="2851" t="e">
        <f t="shared" si="629"/>
        <v>#DIV/0!</v>
      </c>
      <c r="AO105" s="2849">
        <f t="shared" ref="AO105:BI105" si="630">SUM(AO104/AO103)</f>
        <v>0.30029966129979457</v>
      </c>
      <c r="AP105" s="2849">
        <f t="shared" si="630"/>
        <v>0.30029966129979457</v>
      </c>
      <c r="AQ105" s="2849" t="e">
        <f t="shared" si="630"/>
        <v>#DIV/0!</v>
      </c>
      <c r="AR105" s="2849">
        <f t="shared" si="630"/>
        <v>0.29992624927744227</v>
      </c>
      <c r="AS105" s="2849">
        <f t="shared" si="630"/>
        <v>0.29992624927744227</v>
      </c>
      <c r="AT105" s="2849" t="e">
        <f t="shared" si="630"/>
        <v>#DIV/0!</v>
      </c>
      <c r="AU105" s="2849">
        <f t="shared" si="630"/>
        <v>0.30067405457526081</v>
      </c>
      <c r="AV105" s="2849">
        <f t="shared" si="630"/>
        <v>0.30067405457526081</v>
      </c>
      <c r="AW105" s="2849" t="e">
        <f t="shared" si="630"/>
        <v>#DIV/0!</v>
      </c>
      <c r="AX105" s="2849">
        <f t="shared" si="630"/>
        <v>0.29991110514751518</v>
      </c>
      <c r="AY105" s="2849">
        <f t="shared" si="630"/>
        <v>0.29991110514751518</v>
      </c>
      <c r="AZ105" s="2849" t="e">
        <f t="shared" si="630"/>
        <v>#DIV/0!</v>
      </c>
      <c r="BA105" s="2849">
        <f t="shared" si="630"/>
        <v>0.30011890168619476</v>
      </c>
      <c r="BB105" s="2849">
        <f t="shared" si="630"/>
        <v>0.30011890168619476</v>
      </c>
      <c r="BC105" s="2849" t="e">
        <f t="shared" si="630"/>
        <v>#DIV/0!</v>
      </c>
      <c r="BD105" s="2850">
        <f t="shared" si="630"/>
        <v>0.30029966129979457</v>
      </c>
      <c r="BE105" s="2850">
        <f t="shared" si="630"/>
        <v>0.30029966129979457</v>
      </c>
      <c r="BF105" s="2850" t="e">
        <f t="shared" si="630"/>
        <v>#DIV/0!</v>
      </c>
      <c r="BG105" s="2850">
        <f t="shared" si="630"/>
        <v>0.30079076104411556</v>
      </c>
      <c r="BH105" s="2850">
        <f t="shared" si="630"/>
        <v>0.30079076104411556</v>
      </c>
      <c r="BI105" s="2850" t="e">
        <f t="shared" si="630"/>
        <v>#DIV/0!</v>
      </c>
      <c r="BJ105" s="2851">
        <f t="shared" ref="BJ105:BL129" si="631">SUM(BG105-BD105)</f>
        <v>4.9109974432098857E-4</v>
      </c>
      <c r="BK105" s="2851">
        <f t="shared" si="631"/>
        <v>4.9109974432098857E-4</v>
      </c>
      <c r="BL105" s="2851" t="e">
        <f t="shared" si="631"/>
        <v>#DIV/0!</v>
      </c>
      <c r="BM105" s="2849">
        <f t="shared" ref="BM105:CG105" si="632">SUM(BM104/BM103)</f>
        <v>0.30029966129979457</v>
      </c>
      <c r="BN105" s="2849">
        <f t="shared" si="632"/>
        <v>0.30029966129979457</v>
      </c>
      <c r="BO105" s="2849" t="e">
        <f t="shared" si="632"/>
        <v>#DIV/0!</v>
      </c>
      <c r="BP105" s="2849">
        <f t="shared" si="632"/>
        <v>0.29847112877755982</v>
      </c>
      <c r="BQ105" s="2849">
        <f t="shared" si="632"/>
        <v>0.29847112877755982</v>
      </c>
      <c r="BR105" s="2849" t="e">
        <f t="shared" si="632"/>
        <v>#DIV/0!</v>
      </c>
      <c r="BS105" s="2849">
        <f t="shared" si="632"/>
        <v>0.30685869288206291</v>
      </c>
      <c r="BT105" s="2849">
        <f t="shared" si="632"/>
        <v>0.30685869288206291</v>
      </c>
      <c r="BU105" s="2849" t="e">
        <f t="shared" si="632"/>
        <v>#DIV/0!</v>
      </c>
      <c r="BV105" s="2849">
        <f t="shared" si="632"/>
        <v>0.28666035636593101</v>
      </c>
      <c r="BW105" s="2849">
        <f t="shared" si="632"/>
        <v>0.28666035636593101</v>
      </c>
      <c r="BX105" s="2849" t="e">
        <f t="shared" si="632"/>
        <v>#DIV/0!</v>
      </c>
      <c r="BY105" s="2849">
        <f t="shared" si="632"/>
        <v>0.29630974118984882</v>
      </c>
      <c r="BZ105" s="2849">
        <f t="shared" si="632"/>
        <v>0.29630974118984882</v>
      </c>
      <c r="CA105" s="2849" t="e">
        <f t="shared" si="632"/>
        <v>#DIV/0!</v>
      </c>
      <c r="CB105" s="2850">
        <f t="shared" si="632"/>
        <v>0.30029966129979457</v>
      </c>
      <c r="CC105" s="2850">
        <f t="shared" si="632"/>
        <v>0.30029966129979457</v>
      </c>
      <c r="CD105" s="2850" t="e">
        <f t="shared" si="632"/>
        <v>#DIV/0!</v>
      </c>
      <c r="CE105" s="2850">
        <f t="shared" si="632"/>
        <v>0.29973247118125851</v>
      </c>
      <c r="CF105" s="2856">
        <f t="shared" si="632"/>
        <v>0.29973247118125851</v>
      </c>
      <c r="CG105" s="2856" t="e">
        <f t="shared" si="632"/>
        <v>#DIV/0!</v>
      </c>
      <c r="CH105" s="2851">
        <f t="shared" ref="CH105:CJ129" si="633">SUM(CE105-CB105)</f>
        <v>-5.6719011853606505E-4</v>
      </c>
      <c r="CI105" s="2851">
        <f t="shared" si="633"/>
        <v>-5.6719011853606505E-4</v>
      </c>
      <c r="CJ105" s="2851" t="e">
        <f t="shared" si="633"/>
        <v>#DIV/0!</v>
      </c>
      <c r="CK105" s="2863"/>
      <c r="CL105" s="4187">
        <f t="shared" si="542"/>
        <v>1.2011986451991783</v>
      </c>
      <c r="CM105" s="4187">
        <f t="shared" si="543"/>
        <v>1.2011986451991783</v>
      </c>
      <c r="CN105" s="4187" t="e">
        <f t="shared" si="544"/>
        <v>#DIV/0!</v>
      </c>
    </row>
    <row r="106" spans="1:92" ht="18.75" customHeight="1" x14ac:dyDescent="0.3">
      <c r="A106" s="2871" t="s">
        <v>3731</v>
      </c>
      <c r="B106" s="2837">
        <f t="shared" ref="B106:B122" si="634">SUM(C106:D106)</f>
        <v>560.29405170719997</v>
      </c>
      <c r="C106" s="2837">
        <f t="shared" ref="C106:D106" si="635">SUM(C107:C117)+C119</f>
        <v>560.29405170719997</v>
      </c>
      <c r="D106" s="2837">
        <f t="shared" si="635"/>
        <v>0</v>
      </c>
      <c r="E106" s="2836">
        <f t="shared" ref="E106:G106" si="636">SUM(E107:E117)+E119</f>
        <v>189.76</v>
      </c>
      <c r="F106" s="2836">
        <f>SUM(F107:F117)+F119</f>
        <v>189.76</v>
      </c>
      <c r="G106" s="2836">
        <f t="shared" si="636"/>
        <v>0</v>
      </c>
      <c r="H106" s="2836">
        <f t="shared" ref="H106:J106" si="637">SUM(H107:H117)+H119</f>
        <v>269.19790999999992</v>
      </c>
      <c r="I106" s="2836">
        <f t="shared" si="637"/>
        <v>269.19790999999992</v>
      </c>
      <c r="J106" s="2836">
        <f t="shared" si="637"/>
        <v>0</v>
      </c>
      <c r="K106" s="2836">
        <f t="shared" ref="K106:M106" si="638">SUM(K107:K117)+K119</f>
        <v>418.61</v>
      </c>
      <c r="L106" s="2836">
        <f t="shared" si="638"/>
        <v>418.61</v>
      </c>
      <c r="M106" s="2836">
        <f t="shared" si="638"/>
        <v>0</v>
      </c>
      <c r="N106" s="2861">
        <f t="shared" ref="N106:N128" si="639">SUM(O106:P106)</f>
        <v>877.56790999999998</v>
      </c>
      <c r="O106" s="2861">
        <f t="shared" ref="O106:O122" si="640">SUM(F106+I106+L106)</f>
        <v>877.56790999999998</v>
      </c>
      <c r="P106" s="2861">
        <f t="shared" ref="P106:P128" si="641">SUM(G106+J106+M106)</f>
        <v>0</v>
      </c>
      <c r="Q106" s="2837">
        <f t="shared" ref="Q106:Q116" si="642">SUM(R106:S106)</f>
        <v>560.29405170719997</v>
      </c>
      <c r="R106" s="2837">
        <f t="shared" ref="R106:S106" si="643">SUM(R107:R117)+R119</f>
        <v>560.29405170719997</v>
      </c>
      <c r="S106" s="2837">
        <f t="shared" si="643"/>
        <v>0</v>
      </c>
      <c r="T106" s="2836">
        <f t="shared" ref="T106:AB106" si="644">SUM(T107:T117)+T119</f>
        <v>262.38</v>
      </c>
      <c r="U106" s="2836">
        <f t="shared" si="644"/>
        <v>262.38</v>
      </c>
      <c r="V106" s="2836">
        <f t="shared" si="644"/>
        <v>0</v>
      </c>
      <c r="W106" s="2836">
        <f t="shared" si="644"/>
        <v>193.8</v>
      </c>
      <c r="X106" s="2836">
        <f t="shared" si="644"/>
        <v>193.8</v>
      </c>
      <c r="Y106" s="2836">
        <f t="shared" si="644"/>
        <v>0</v>
      </c>
      <c r="Z106" s="2836">
        <f t="shared" si="644"/>
        <v>233.05800000000002</v>
      </c>
      <c r="AA106" s="2836">
        <f t="shared" si="644"/>
        <v>233.05800000000002</v>
      </c>
      <c r="AB106" s="2836">
        <f t="shared" si="644"/>
        <v>0</v>
      </c>
      <c r="AC106" s="2861">
        <f t="shared" ref="AC106:AC128" si="645">SUM(AD106:AE106)</f>
        <v>689.23800000000006</v>
      </c>
      <c r="AD106" s="2861">
        <f t="shared" ref="AD106:AE128" si="646">SUM(U106+X106+AA106)</f>
        <v>689.23800000000006</v>
      </c>
      <c r="AE106" s="2861">
        <f t="shared" si="646"/>
        <v>0</v>
      </c>
      <c r="AF106" s="2839">
        <f t="shared" ref="AF106:AF157" si="647">SUM(AG106:AH106)</f>
        <v>1120.5881034143999</v>
      </c>
      <c r="AG106" s="2839">
        <f t="shared" ref="AG106:AH142" si="648">SUM(C106+R106)</f>
        <v>1120.5881034143999</v>
      </c>
      <c r="AH106" s="2839">
        <f t="shared" si="648"/>
        <v>0</v>
      </c>
      <c r="AI106" s="2862">
        <f t="shared" ref="AI106:AK122" si="649">SUM(AC106+N106)</f>
        <v>1566.80591</v>
      </c>
      <c r="AJ106" s="2862">
        <f t="shared" si="649"/>
        <v>1566.80591</v>
      </c>
      <c r="AK106" s="2862">
        <f t="shared" si="649"/>
        <v>0</v>
      </c>
      <c r="AL106" s="2862">
        <f t="shared" ref="AL106:AN122" si="650">SUM(AI106-AF106)</f>
        <v>446.2178065856001</v>
      </c>
      <c r="AM106" s="2862">
        <f t="shared" si="650"/>
        <v>446.2178065856001</v>
      </c>
      <c r="AN106" s="2862">
        <f t="shared" si="650"/>
        <v>0</v>
      </c>
      <c r="AO106" s="2837">
        <f t="shared" ref="AO106" si="651">SUM(AP106:AQ106)</f>
        <v>560.29405170719997</v>
      </c>
      <c r="AP106" s="2837">
        <f t="shared" ref="AP106:AQ106" si="652">SUM(AP107:AP117)+AP119</f>
        <v>560.29405170719997</v>
      </c>
      <c r="AQ106" s="2837">
        <f t="shared" si="652"/>
        <v>0</v>
      </c>
      <c r="AR106" s="2836">
        <f t="shared" ref="AR106:AZ106" si="653">SUM(AR107:AR117)+AR119</f>
        <v>255.58699999999999</v>
      </c>
      <c r="AS106" s="2836">
        <f t="shared" si="653"/>
        <v>255.58699999999999</v>
      </c>
      <c r="AT106" s="2836">
        <f t="shared" si="653"/>
        <v>0</v>
      </c>
      <c r="AU106" s="2836">
        <f t="shared" si="653"/>
        <v>191.75200000000001</v>
      </c>
      <c r="AV106" s="2836">
        <f>SUM(AV107:AV117)+AV119</f>
        <v>191.75200000000001</v>
      </c>
      <c r="AW106" s="2836">
        <f t="shared" si="653"/>
        <v>0</v>
      </c>
      <c r="AX106" s="2836">
        <f t="shared" si="653"/>
        <v>204.04400000000004</v>
      </c>
      <c r="AY106" s="2836">
        <f t="shared" si="653"/>
        <v>204.04400000000004</v>
      </c>
      <c r="AZ106" s="2836">
        <f t="shared" si="653"/>
        <v>0</v>
      </c>
      <c r="BA106" s="2861">
        <f t="shared" ref="BA106:BA128" si="654">SUM(BB106:BC106)</f>
        <v>651.38300000000004</v>
      </c>
      <c r="BB106" s="2861">
        <f t="shared" ref="BB106:BC128" si="655">SUM(AS106+AV106+AY106)</f>
        <v>651.38300000000004</v>
      </c>
      <c r="BC106" s="2861">
        <f t="shared" si="655"/>
        <v>0</v>
      </c>
      <c r="BD106" s="2839">
        <f t="shared" ref="BD106:BD122" si="656">SUM(BE106:BF106)</f>
        <v>1680.8821551215999</v>
      </c>
      <c r="BE106" s="2839">
        <f t="shared" ref="BE106:BF122" si="657">SUM(AG106+AP106)</f>
        <v>1680.8821551215999</v>
      </c>
      <c r="BF106" s="2839">
        <f t="shared" si="657"/>
        <v>0</v>
      </c>
      <c r="BG106" s="2862">
        <f t="shared" ref="BG106:BI122" si="658">SUM(AI106+BA106)</f>
        <v>2218.1889099999999</v>
      </c>
      <c r="BH106" s="2862">
        <f t="shared" si="658"/>
        <v>2218.1889099999999</v>
      </c>
      <c r="BI106" s="2862">
        <f t="shared" si="658"/>
        <v>0</v>
      </c>
      <c r="BJ106" s="2862">
        <f t="shared" ref="BJ106:BL122" si="659">SUM(BG106-BD106)</f>
        <v>537.30675487839994</v>
      </c>
      <c r="BK106" s="2862">
        <f t="shared" si="659"/>
        <v>537.30675487839994</v>
      </c>
      <c r="BL106" s="2862">
        <f t="shared" si="659"/>
        <v>0</v>
      </c>
      <c r="BM106" s="2837">
        <f t="shared" ref="BM106" si="660">SUM(BN106:BO106)</f>
        <v>560.29405170719997</v>
      </c>
      <c r="BN106" s="2837">
        <f t="shared" ref="BN106:BO106" si="661">SUM(BN107:BN117)+BN119</f>
        <v>560.29405170719997</v>
      </c>
      <c r="BO106" s="2837">
        <f t="shared" si="661"/>
        <v>0</v>
      </c>
      <c r="BP106" s="2836">
        <f t="shared" ref="BP106:BX106" si="662">SUM(BP107:BP117)+BP119</f>
        <v>300.35899999999998</v>
      </c>
      <c r="BQ106" s="2836">
        <f t="shared" si="662"/>
        <v>300.35899999999998</v>
      </c>
      <c r="BR106" s="2836">
        <f t="shared" si="662"/>
        <v>0</v>
      </c>
      <c r="BS106" s="2836">
        <f t="shared" si="662"/>
        <v>263.22900000000004</v>
      </c>
      <c r="BT106" s="2836">
        <f t="shared" si="662"/>
        <v>263.22900000000004</v>
      </c>
      <c r="BU106" s="2836">
        <f t="shared" si="662"/>
        <v>0</v>
      </c>
      <c r="BV106" s="2836">
        <f t="shared" si="662"/>
        <v>254.768</v>
      </c>
      <c r="BW106" s="2836">
        <f t="shared" si="662"/>
        <v>254.768</v>
      </c>
      <c r="BX106" s="2836">
        <f t="shared" si="662"/>
        <v>0</v>
      </c>
      <c r="BY106" s="2861">
        <f t="shared" ref="BY106:BY128" si="663">SUM(BZ106:CA106)</f>
        <v>818.35599999999999</v>
      </c>
      <c r="BZ106" s="2861">
        <f t="shared" ref="BZ106:CA128" si="664">SUM(BQ106+BT106+BW106)</f>
        <v>818.35599999999999</v>
      </c>
      <c r="CA106" s="2861">
        <f t="shared" si="664"/>
        <v>0</v>
      </c>
      <c r="CB106" s="2839">
        <f t="shared" si="617"/>
        <v>2241.1761918081293</v>
      </c>
      <c r="CC106" s="2839">
        <f>SUM(вода!CV34)</f>
        <v>2241.1761918081293</v>
      </c>
      <c r="CD106" s="2839">
        <f>SUM(вода!CW34)</f>
        <v>0</v>
      </c>
      <c r="CE106" s="2862">
        <f t="shared" ref="CE106:CG122" si="665">SUM(BY106+BG106)</f>
        <v>3036.5449099999996</v>
      </c>
      <c r="CF106" s="2981">
        <f t="shared" si="665"/>
        <v>3036.5449099999996</v>
      </c>
      <c r="CG106" s="2981">
        <f t="shared" si="665"/>
        <v>0</v>
      </c>
      <c r="CH106" s="2862">
        <f t="shared" ref="CH106:CJ122" si="666">SUM(CE106-CB106)</f>
        <v>795.36871819187036</v>
      </c>
      <c r="CI106" s="2862">
        <f t="shared" si="666"/>
        <v>795.36871819187036</v>
      </c>
      <c r="CJ106" s="2862">
        <f t="shared" si="666"/>
        <v>0</v>
      </c>
      <c r="CK106" s="2863"/>
      <c r="CL106" s="4187">
        <f t="shared" si="542"/>
        <v>2241.1762068287999</v>
      </c>
      <c r="CM106" s="4187">
        <f t="shared" si="543"/>
        <v>2241.1762068287999</v>
      </c>
      <c r="CN106" s="4187">
        <f t="shared" si="544"/>
        <v>0</v>
      </c>
    </row>
    <row r="107" spans="1:92" ht="18.75" customHeight="1" x14ac:dyDescent="0.3">
      <c r="A107" s="2873" t="s">
        <v>71</v>
      </c>
      <c r="B107" s="2845">
        <f t="shared" si="634"/>
        <v>0</v>
      </c>
      <c r="C107" s="2845">
        <f t="shared" ref="C107:C116" si="667">SUM(CC107/4)</f>
        <v>0</v>
      </c>
      <c r="D107" s="2845">
        <f t="shared" ref="D107:D116" si="668">SUM(CD107/4)</f>
        <v>0</v>
      </c>
      <c r="E107" s="2865">
        <f t="shared" ref="E107:E157" si="669">SUM(F107:G107)</f>
        <v>0</v>
      </c>
      <c r="F107" s="2866"/>
      <c r="G107" s="2866"/>
      <c r="H107" s="2865">
        <f t="shared" ref="H107:H116" si="670">SUM(I107:J107)</f>
        <v>0</v>
      </c>
      <c r="I107" s="2866"/>
      <c r="J107" s="2866"/>
      <c r="K107" s="2865">
        <f t="shared" ref="K107:K116" si="671">SUM(L107:M107)</f>
        <v>0</v>
      </c>
      <c r="L107" s="2866"/>
      <c r="M107" s="2866"/>
      <c r="N107" s="2865">
        <f t="shared" si="639"/>
        <v>0</v>
      </c>
      <c r="O107" s="2865">
        <f t="shared" si="640"/>
        <v>0</v>
      </c>
      <c r="P107" s="2865">
        <f t="shared" si="641"/>
        <v>0</v>
      </c>
      <c r="Q107" s="2845">
        <f t="shared" si="642"/>
        <v>0</v>
      </c>
      <c r="R107" s="2845">
        <f t="shared" ref="R107:R116" si="672">SUM(C107)</f>
        <v>0</v>
      </c>
      <c r="S107" s="2845">
        <f t="shared" ref="S107:S116" si="673">SUM(D107)</f>
        <v>0</v>
      </c>
      <c r="T107" s="2865">
        <f t="shared" ref="T107:T116" si="674">SUM(U107:V107)</f>
        <v>0</v>
      </c>
      <c r="U107" s="2866"/>
      <c r="V107" s="2866"/>
      <c r="W107" s="2865">
        <f t="shared" ref="W107:W116" si="675">SUM(X107:Y107)</f>
        <v>0</v>
      </c>
      <c r="X107" s="2866"/>
      <c r="Y107" s="2866"/>
      <c r="Z107" s="2865">
        <f t="shared" ref="Z107:Z116" si="676">SUM(AA107:AB107)</f>
        <v>0</v>
      </c>
      <c r="AA107" s="2866"/>
      <c r="AB107" s="2866"/>
      <c r="AC107" s="2865">
        <f t="shared" si="645"/>
        <v>0</v>
      </c>
      <c r="AD107" s="2865">
        <f t="shared" si="646"/>
        <v>0</v>
      </c>
      <c r="AE107" s="2865">
        <f t="shared" si="646"/>
        <v>0</v>
      </c>
      <c r="AF107" s="2846">
        <f t="shared" si="647"/>
        <v>0</v>
      </c>
      <c r="AG107" s="2846">
        <f t="shared" si="648"/>
        <v>0</v>
      </c>
      <c r="AH107" s="2846">
        <f t="shared" si="648"/>
        <v>0</v>
      </c>
      <c r="AI107" s="2867">
        <f t="shared" si="649"/>
        <v>0</v>
      </c>
      <c r="AJ107" s="2867">
        <f t="shared" si="649"/>
        <v>0</v>
      </c>
      <c r="AK107" s="2867">
        <f t="shared" si="649"/>
        <v>0</v>
      </c>
      <c r="AL107" s="2867">
        <f t="shared" si="650"/>
        <v>0</v>
      </c>
      <c r="AM107" s="2867">
        <f t="shared" si="650"/>
        <v>0</v>
      </c>
      <c r="AN107" s="2867">
        <f t="shared" si="650"/>
        <v>0</v>
      </c>
      <c r="AO107" s="2845">
        <f t="shared" ref="AO107:AO119" si="677">SUM(AP107:AQ107)</f>
        <v>0</v>
      </c>
      <c r="AP107" s="2845">
        <f t="shared" ref="AP107:AP116" si="678">SUM(CC107-AG107)/2</f>
        <v>0</v>
      </c>
      <c r="AQ107" s="2845">
        <f t="shared" ref="AQ107:AQ116" si="679">SUM(CD107-AH107)/2</f>
        <v>0</v>
      </c>
      <c r="AR107" s="2865">
        <f t="shared" ref="AR107:AR116" si="680">SUM(AS107:AT107)</f>
        <v>0</v>
      </c>
      <c r="AS107" s="2866"/>
      <c r="AT107" s="2866"/>
      <c r="AU107" s="2865">
        <f t="shared" ref="AU107:AU116" si="681">SUM(AV107:AW107)</f>
        <v>0</v>
      </c>
      <c r="AV107" s="2866"/>
      <c r="AW107" s="2866"/>
      <c r="AX107" s="2865">
        <f t="shared" ref="AX107:AX116" si="682">SUM(AY107:AZ107)</f>
        <v>0</v>
      </c>
      <c r="AY107" s="2866"/>
      <c r="AZ107" s="2866"/>
      <c r="BA107" s="2865">
        <f t="shared" si="654"/>
        <v>0</v>
      </c>
      <c r="BB107" s="2865">
        <f t="shared" si="655"/>
        <v>0</v>
      </c>
      <c r="BC107" s="2865">
        <f t="shared" si="655"/>
        <v>0</v>
      </c>
      <c r="BD107" s="2846">
        <f t="shared" si="656"/>
        <v>0</v>
      </c>
      <c r="BE107" s="2846">
        <f t="shared" si="657"/>
        <v>0</v>
      </c>
      <c r="BF107" s="2846">
        <f t="shared" si="657"/>
        <v>0</v>
      </c>
      <c r="BG107" s="2867">
        <f t="shared" si="658"/>
        <v>0</v>
      </c>
      <c r="BH107" s="2867">
        <f t="shared" si="658"/>
        <v>0</v>
      </c>
      <c r="BI107" s="2867">
        <f t="shared" si="658"/>
        <v>0</v>
      </c>
      <c r="BJ107" s="2867">
        <f t="shared" si="659"/>
        <v>0</v>
      </c>
      <c r="BK107" s="2867">
        <f t="shared" si="659"/>
        <v>0</v>
      </c>
      <c r="BL107" s="2867">
        <f t="shared" si="659"/>
        <v>0</v>
      </c>
      <c r="BM107" s="2845">
        <f t="shared" ref="BM107:BM130" si="683">SUM(BN107:BO107)</f>
        <v>0</v>
      </c>
      <c r="BN107" s="2845">
        <f t="shared" ref="BN107:BN116" si="684">SUM(AP107)</f>
        <v>0</v>
      </c>
      <c r="BO107" s="2845">
        <f t="shared" ref="BO107:BO116" si="685">SUM(AQ107)</f>
        <v>0</v>
      </c>
      <c r="BP107" s="2865">
        <f t="shared" ref="BP107:BP116" si="686">SUM(BQ107:BR107)</f>
        <v>0</v>
      </c>
      <c r="BQ107" s="2866"/>
      <c r="BR107" s="2866"/>
      <c r="BS107" s="2865">
        <f t="shared" ref="BS107:BS116" si="687">SUM(BT107:BU107)</f>
        <v>0</v>
      </c>
      <c r="BT107" s="2866"/>
      <c r="BU107" s="2866"/>
      <c r="BV107" s="2865">
        <f t="shared" ref="BV107:BV116" si="688">SUM(BW107:BX107)</f>
        <v>0</v>
      </c>
      <c r="BW107" s="2866"/>
      <c r="BX107" s="2866"/>
      <c r="BY107" s="2865">
        <f t="shared" si="663"/>
        <v>0</v>
      </c>
      <c r="BZ107" s="2865">
        <f t="shared" si="664"/>
        <v>0</v>
      </c>
      <c r="CA107" s="2865">
        <f t="shared" si="664"/>
        <v>0</v>
      </c>
      <c r="CB107" s="2846">
        <f>SUM(CC107:CD107)</f>
        <v>0</v>
      </c>
      <c r="CC107" s="2846">
        <f>SUM(CC106*0)</f>
        <v>0</v>
      </c>
      <c r="CD107" s="2846">
        <v>0</v>
      </c>
      <c r="CE107" s="2867">
        <f t="shared" si="665"/>
        <v>0</v>
      </c>
      <c r="CF107" s="2982">
        <f t="shared" si="665"/>
        <v>0</v>
      </c>
      <c r="CG107" s="2982">
        <f t="shared" si="665"/>
        <v>0</v>
      </c>
      <c r="CH107" s="2867">
        <f t="shared" si="666"/>
        <v>0</v>
      </c>
      <c r="CI107" s="2867">
        <f t="shared" si="666"/>
        <v>0</v>
      </c>
      <c r="CJ107" s="2867">
        <f t="shared" si="666"/>
        <v>0</v>
      </c>
      <c r="CK107" s="2863"/>
      <c r="CL107" s="4187">
        <f t="shared" si="542"/>
        <v>0</v>
      </c>
      <c r="CM107" s="4187">
        <f t="shared" si="543"/>
        <v>0</v>
      </c>
      <c r="CN107" s="4187">
        <f t="shared" si="544"/>
        <v>0</v>
      </c>
    </row>
    <row r="108" spans="1:92" ht="18.75" customHeight="1" x14ac:dyDescent="0.3">
      <c r="A108" s="2873" t="s">
        <v>114</v>
      </c>
      <c r="B108" s="2845">
        <f t="shared" si="634"/>
        <v>0</v>
      </c>
      <c r="C108" s="2845">
        <f t="shared" si="667"/>
        <v>0</v>
      </c>
      <c r="D108" s="2845">
        <f t="shared" si="668"/>
        <v>0</v>
      </c>
      <c r="E108" s="2865">
        <f t="shared" si="669"/>
        <v>0</v>
      </c>
      <c r="F108" s="2866"/>
      <c r="G108" s="2866"/>
      <c r="H108" s="2865">
        <f t="shared" si="670"/>
        <v>0</v>
      </c>
      <c r="I108" s="2866"/>
      <c r="J108" s="2866"/>
      <c r="K108" s="2865">
        <f t="shared" si="671"/>
        <v>0</v>
      </c>
      <c r="L108" s="2866"/>
      <c r="M108" s="2866"/>
      <c r="N108" s="2865">
        <f t="shared" si="639"/>
        <v>0</v>
      </c>
      <c r="O108" s="2865">
        <f t="shared" si="640"/>
        <v>0</v>
      </c>
      <c r="P108" s="2865">
        <f t="shared" si="641"/>
        <v>0</v>
      </c>
      <c r="Q108" s="2845">
        <f t="shared" si="642"/>
        <v>0</v>
      </c>
      <c r="R108" s="2845">
        <f t="shared" si="672"/>
        <v>0</v>
      </c>
      <c r="S108" s="2845">
        <f t="shared" si="673"/>
        <v>0</v>
      </c>
      <c r="T108" s="2865">
        <f t="shared" si="674"/>
        <v>0</v>
      </c>
      <c r="U108" s="2866"/>
      <c r="V108" s="2866"/>
      <c r="W108" s="2865">
        <f t="shared" si="675"/>
        <v>0</v>
      </c>
      <c r="X108" s="2866"/>
      <c r="Y108" s="2866"/>
      <c r="Z108" s="2865">
        <f t="shared" si="676"/>
        <v>0</v>
      </c>
      <c r="AA108" s="2866"/>
      <c r="AB108" s="2866"/>
      <c r="AC108" s="2865">
        <f t="shared" si="645"/>
        <v>0</v>
      </c>
      <c r="AD108" s="2865">
        <f t="shared" si="646"/>
        <v>0</v>
      </c>
      <c r="AE108" s="2865">
        <f t="shared" si="646"/>
        <v>0</v>
      </c>
      <c r="AF108" s="2846">
        <f t="shared" si="647"/>
        <v>0</v>
      </c>
      <c r="AG108" s="2846">
        <f t="shared" si="648"/>
        <v>0</v>
      </c>
      <c r="AH108" s="2846">
        <f t="shared" si="648"/>
        <v>0</v>
      </c>
      <c r="AI108" s="2867">
        <f t="shared" si="649"/>
        <v>0</v>
      </c>
      <c r="AJ108" s="2867">
        <f t="shared" si="649"/>
        <v>0</v>
      </c>
      <c r="AK108" s="2867">
        <f t="shared" si="649"/>
        <v>0</v>
      </c>
      <c r="AL108" s="2867">
        <f t="shared" si="650"/>
        <v>0</v>
      </c>
      <c r="AM108" s="2867">
        <f t="shared" si="650"/>
        <v>0</v>
      </c>
      <c r="AN108" s="2867">
        <f t="shared" si="650"/>
        <v>0</v>
      </c>
      <c r="AO108" s="2845">
        <f t="shared" si="677"/>
        <v>0</v>
      </c>
      <c r="AP108" s="2845">
        <f t="shared" si="678"/>
        <v>0</v>
      </c>
      <c r="AQ108" s="2845">
        <f t="shared" si="679"/>
        <v>0</v>
      </c>
      <c r="AR108" s="2865">
        <f t="shared" si="680"/>
        <v>0</v>
      </c>
      <c r="AS108" s="2866"/>
      <c r="AT108" s="2866"/>
      <c r="AU108" s="2865">
        <f t="shared" si="681"/>
        <v>0</v>
      </c>
      <c r="AV108" s="2866"/>
      <c r="AW108" s="2866"/>
      <c r="AX108" s="2865">
        <f t="shared" si="682"/>
        <v>0</v>
      </c>
      <c r="AY108" s="2866"/>
      <c r="AZ108" s="2866"/>
      <c r="BA108" s="2865">
        <f t="shared" si="654"/>
        <v>0</v>
      </c>
      <c r="BB108" s="2865">
        <f t="shared" si="655"/>
        <v>0</v>
      </c>
      <c r="BC108" s="2865">
        <f t="shared" si="655"/>
        <v>0</v>
      </c>
      <c r="BD108" s="2846">
        <f t="shared" si="656"/>
        <v>0</v>
      </c>
      <c r="BE108" s="2846">
        <f t="shared" si="657"/>
        <v>0</v>
      </c>
      <c r="BF108" s="2846">
        <f t="shared" si="657"/>
        <v>0</v>
      </c>
      <c r="BG108" s="2867">
        <f t="shared" si="658"/>
        <v>0</v>
      </c>
      <c r="BH108" s="2867">
        <f t="shared" si="658"/>
        <v>0</v>
      </c>
      <c r="BI108" s="2867">
        <f t="shared" si="658"/>
        <v>0</v>
      </c>
      <c r="BJ108" s="2867">
        <f t="shared" si="659"/>
        <v>0</v>
      </c>
      <c r="BK108" s="2867">
        <f t="shared" si="659"/>
        <v>0</v>
      </c>
      <c r="BL108" s="2867">
        <f t="shared" si="659"/>
        <v>0</v>
      </c>
      <c r="BM108" s="2845">
        <f t="shared" si="683"/>
        <v>0</v>
      </c>
      <c r="BN108" s="2845">
        <f t="shared" si="684"/>
        <v>0</v>
      </c>
      <c r="BO108" s="2845">
        <f t="shared" si="685"/>
        <v>0</v>
      </c>
      <c r="BP108" s="2865">
        <f t="shared" si="686"/>
        <v>0</v>
      </c>
      <c r="BQ108" s="2866"/>
      <c r="BR108" s="2866"/>
      <c r="BS108" s="2865">
        <f t="shared" si="687"/>
        <v>0</v>
      </c>
      <c r="BT108" s="2866"/>
      <c r="BU108" s="2866"/>
      <c r="BV108" s="2865">
        <f t="shared" si="688"/>
        <v>0</v>
      </c>
      <c r="BW108" s="2866"/>
      <c r="BX108" s="2866"/>
      <c r="BY108" s="2865">
        <f t="shared" si="663"/>
        <v>0</v>
      </c>
      <c r="BZ108" s="2865">
        <f t="shared" si="664"/>
        <v>0</v>
      </c>
      <c r="CA108" s="2865">
        <f t="shared" si="664"/>
        <v>0</v>
      </c>
      <c r="CB108" s="2846">
        <f t="shared" ref="CB108:CB116" si="689">SUM(CC108:CD108)</f>
        <v>0</v>
      </c>
      <c r="CC108" s="2846">
        <f>SUM(CC106*0)</f>
        <v>0</v>
      </c>
      <c r="CD108" s="2846">
        <v>0</v>
      </c>
      <c r="CE108" s="2867">
        <f t="shared" si="665"/>
        <v>0</v>
      </c>
      <c r="CF108" s="2982">
        <f t="shared" si="665"/>
        <v>0</v>
      </c>
      <c r="CG108" s="2982">
        <f t="shared" si="665"/>
        <v>0</v>
      </c>
      <c r="CH108" s="2867">
        <f t="shared" si="666"/>
        <v>0</v>
      </c>
      <c r="CI108" s="2867">
        <f t="shared" si="666"/>
        <v>0</v>
      </c>
      <c r="CJ108" s="2867">
        <f t="shared" si="666"/>
        <v>0</v>
      </c>
      <c r="CK108" s="2863"/>
      <c r="CL108" s="4187">
        <f t="shared" si="542"/>
        <v>0</v>
      </c>
      <c r="CM108" s="4187">
        <f t="shared" si="543"/>
        <v>0</v>
      </c>
      <c r="CN108" s="4187">
        <f t="shared" si="544"/>
        <v>0</v>
      </c>
    </row>
    <row r="109" spans="1:92" ht="18.75" customHeight="1" x14ac:dyDescent="0.3">
      <c r="A109" s="2873" t="s">
        <v>52</v>
      </c>
      <c r="B109" s="2845">
        <f t="shared" si="634"/>
        <v>1.6610224679999999</v>
      </c>
      <c r="C109" s="2845">
        <f t="shared" si="667"/>
        <v>1.6610224679999999</v>
      </c>
      <c r="D109" s="2845">
        <f t="shared" si="668"/>
        <v>0</v>
      </c>
      <c r="E109" s="2865">
        <f t="shared" si="669"/>
        <v>0.53</v>
      </c>
      <c r="F109" s="2866">
        <v>0.53</v>
      </c>
      <c r="G109" s="2866"/>
      <c r="H109" s="2865">
        <f t="shared" si="670"/>
        <v>0.75700000000000001</v>
      </c>
      <c r="I109" s="2866">
        <v>0.75700000000000001</v>
      </c>
      <c r="J109" s="2866"/>
      <c r="K109" s="2865">
        <f t="shared" si="671"/>
        <v>0.85</v>
      </c>
      <c r="L109" s="2866">
        <v>0.85</v>
      </c>
      <c r="M109" s="2866"/>
      <c r="N109" s="2865">
        <f t="shared" si="639"/>
        <v>2.137</v>
      </c>
      <c r="O109" s="2865">
        <f t="shared" si="640"/>
        <v>2.137</v>
      </c>
      <c r="P109" s="2865">
        <f t="shared" si="641"/>
        <v>0</v>
      </c>
      <c r="Q109" s="2845">
        <f t="shared" si="642"/>
        <v>1.6610224679999999</v>
      </c>
      <c r="R109" s="2845">
        <f t="shared" si="672"/>
        <v>1.6610224679999999</v>
      </c>
      <c r="S109" s="2845">
        <f t="shared" si="673"/>
        <v>0</v>
      </c>
      <c r="T109" s="2865">
        <f t="shared" si="674"/>
        <v>0.73</v>
      </c>
      <c r="U109" s="2866">
        <v>0.73</v>
      </c>
      <c r="V109" s="2866"/>
      <c r="W109" s="2865">
        <f t="shared" si="675"/>
        <v>0.67</v>
      </c>
      <c r="X109" s="2866">
        <v>0.67</v>
      </c>
      <c r="Y109" s="2866"/>
      <c r="Z109" s="2865">
        <f t="shared" si="676"/>
        <v>0.67400000000000004</v>
      </c>
      <c r="AA109" s="2866">
        <v>0.67400000000000004</v>
      </c>
      <c r="AB109" s="2866"/>
      <c r="AC109" s="2865">
        <f t="shared" si="645"/>
        <v>2.0739999999999998</v>
      </c>
      <c r="AD109" s="2865">
        <f t="shared" si="646"/>
        <v>2.0739999999999998</v>
      </c>
      <c r="AE109" s="2865">
        <f t="shared" si="646"/>
        <v>0</v>
      </c>
      <c r="AF109" s="2846">
        <f t="shared" si="647"/>
        <v>3.3220449359999997</v>
      </c>
      <c r="AG109" s="2846">
        <f t="shared" si="648"/>
        <v>3.3220449359999997</v>
      </c>
      <c r="AH109" s="2846">
        <f t="shared" si="648"/>
        <v>0</v>
      </c>
      <c r="AI109" s="2867">
        <f t="shared" si="649"/>
        <v>4.2110000000000003</v>
      </c>
      <c r="AJ109" s="2867">
        <f t="shared" si="649"/>
        <v>4.2110000000000003</v>
      </c>
      <c r="AK109" s="2867">
        <f t="shared" si="649"/>
        <v>0</v>
      </c>
      <c r="AL109" s="2867">
        <f t="shared" si="650"/>
        <v>0.88895506400000057</v>
      </c>
      <c r="AM109" s="2867">
        <f t="shared" si="650"/>
        <v>0.88895506400000057</v>
      </c>
      <c r="AN109" s="2867">
        <f t="shared" si="650"/>
        <v>0</v>
      </c>
      <c r="AO109" s="2845">
        <f t="shared" si="677"/>
        <v>1.6610224679999999</v>
      </c>
      <c r="AP109" s="2845">
        <f t="shared" si="678"/>
        <v>1.6610224679999999</v>
      </c>
      <c r="AQ109" s="2845">
        <f t="shared" si="679"/>
        <v>0</v>
      </c>
      <c r="AR109" s="2865">
        <f t="shared" si="680"/>
        <v>0.76</v>
      </c>
      <c r="AS109" s="2866">
        <v>0.76</v>
      </c>
      <c r="AT109" s="2866"/>
      <c r="AU109" s="2865">
        <f t="shared" si="681"/>
        <v>0.63900000000000001</v>
      </c>
      <c r="AV109" s="2866">
        <v>0.63900000000000001</v>
      </c>
      <c r="AW109" s="2866"/>
      <c r="AX109" s="2865">
        <f t="shared" si="682"/>
        <v>0.79800000000000004</v>
      </c>
      <c r="AY109" s="2866">
        <v>0.79800000000000004</v>
      </c>
      <c r="AZ109" s="2866"/>
      <c r="BA109" s="2865">
        <f t="shared" si="654"/>
        <v>2.1970000000000001</v>
      </c>
      <c r="BB109" s="2865">
        <f t="shared" si="655"/>
        <v>2.1970000000000001</v>
      </c>
      <c r="BC109" s="2865">
        <f t="shared" si="655"/>
        <v>0</v>
      </c>
      <c r="BD109" s="2846">
        <f t="shared" si="656"/>
        <v>4.9830674039999998</v>
      </c>
      <c r="BE109" s="2846">
        <f t="shared" si="657"/>
        <v>4.9830674039999998</v>
      </c>
      <c r="BF109" s="2846">
        <f t="shared" si="657"/>
        <v>0</v>
      </c>
      <c r="BG109" s="2867">
        <f t="shared" si="658"/>
        <v>6.4080000000000004</v>
      </c>
      <c r="BH109" s="2867">
        <f t="shared" si="658"/>
        <v>6.4080000000000004</v>
      </c>
      <c r="BI109" s="2867">
        <f t="shared" si="658"/>
        <v>0</v>
      </c>
      <c r="BJ109" s="2867">
        <f t="shared" si="659"/>
        <v>1.4249325960000006</v>
      </c>
      <c r="BK109" s="2867">
        <f t="shared" si="659"/>
        <v>1.4249325960000006</v>
      </c>
      <c r="BL109" s="2867">
        <f t="shared" si="659"/>
        <v>0</v>
      </c>
      <c r="BM109" s="2845">
        <f t="shared" si="683"/>
        <v>1.6610224679999999</v>
      </c>
      <c r="BN109" s="2845">
        <f t="shared" si="684"/>
        <v>1.6610224679999999</v>
      </c>
      <c r="BO109" s="2845">
        <f t="shared" si="685"/>
        <v>0</v>
      </c>
      <c r="BP109" s="2865">
        <f t="shared" si="686"/>
        <v>0.53700000000000003</v>
      </c>
      <c r="BQ109" s="2866">
        <v>0.53700000000000003</v>
      </c>
      <c r="BR109" s="2866"/>
      <c r="BS109" s="2865">
        <f t="shared" si="687"/>
        <v>0.61599999999999999</v>
      </c>
      <c r="BT109" s="2866">
        <v>0.61599999999999999</v>
      </c>
      <c r="BU109" s="2866"/>
      <c r="BV109" s="2865">
        <f t="shared" si="688"/>
        <v>0.77</v>
      </c>
      <c r="BW109" s="2866">
        <v>0.77</v>
      </c>
      <c r="BX109" s="2866"/>
      <c r="BY109" s="2865">
        <f t="shared" si="663"/>
        <v>1.923</v>
      </c>
      <c r="BZ109" s="2865">
        <f t="shared" si="664"/>
        <v>1.923</v>
      </c>
      <c r="CA109" s="2865">
        <f t="shared" si="664"/>
        <v>0</v>
      </c>
      <c r="CB109" s="2846">
        <f t="shared" si="689"/>
        <v>6.6440898719999995</v>
      </c>
      <c r="CC109" s="2846">
        <f>7.14*0.9305448</f>
        <v>6.6440898719999995</v>
      </c>
      <c r="CD109" s="2846">
        <v>0</v>
      </c>
      <c r="CE109" s="2867">
        <f t="shared" si="665"/>
        <v>8.3309999999999995</v>
      </c>
      <c r="CF109" s="2982">
        <f t="shared" si="665"/>
        <v>8.3309999999999995</v>
      </c>
      <c r="CG109" s="2982">
        <f t="shared" si="665"/>
        <v>0</v>
      </c>
      <c r="CH109" s="2867">
        <f t="shared" si="666"/>
        <v>1.6869101280000001</v>
      </c>
      <c r="CI109" s="2867">
        <f t="shared" si="666"/>
        <v>1.6869101280000001</v>
      </c>
      <c r="CJ109" s="2867">
        <f t="shared" si="666"/>
        <v>0</v>
      </c>
      <c r="CK109" s="2863"/>
      <c r="CL109" s="4187">
        <f t="shared" si="542"/>
        <v>6.6440898719999995</v>
      </c>
      <c r="CM109" s="4187">
        <f t="shared" si="543"/>
        <v>6.6440898719999995</v>
      </c>
      <c r="CN109" s="4187">
        <f t="shared" si="544"/>
        <v>0</v>
      </c>
    </row>
    <row r="110" spans="1:92" ht="18.75" customHeight="1" x14ac:dyDescent="0.3">
      <c r="A110" s="2873" t="s">
        <v>588</v>
      </c>
      <c r="B110" s="2845">
        <f t="shared" si="634"/>
        <v>390.02063784119997</v>
      </c>
      <c r="C110" s="2845">
        <f t="shared" si="667"/>
        <v>390.02063784119997</v>
      </c>
      <c r="D110" s="2845">
        <f t="shared" si="668"/>
        <v>0</v>
      </c>
      <c r="E110" s="2865">
        <f t="shared" si="669"/>
        <v>167.14999999999998</v>
      </c>
      <c r="F110" s="2866">
        <f>0.72+0.72-3.02+168.73</f>
        <v>167.14999999999998</v>
      </c>
      <c r="G110" s="2866"/>
      <c r="H110" s="2865">
        <f t="shared" si="670"/>
        <v>217.94490999999999</v>
      </c>
      <c r="I110" s="2866">
        <f>217.725+0.21991</f>
        <v>217.94490999999999</v>
      </c>
      <c r="J110" s="2866"/>
      <c r="K110" s="2865">
        <f t="shared" si="671"/>
        <v>329.55</v>
      </c>
      <c r="L110" s="2866">
        <f>1.09+0.73+327.73</f>
        <v>329.55</v>
      </c>
      <c r="M110" s="2866"/>
      <c r="N110" s="2865">
        <f t="shared" si="639"/>
        <v>714.64490999999998</v>
      </c>
      <c r="O110" s="2865">
        <f t="shared" si="640"/>
        <v>714.64490999999998</v>
      </c>
      <c r="P110" s="2865">
        <f t="shared" si="641"/>
        <v>0</v>
      </c>
      <c r="Q110" s="2845">
        <f t="shared" si="642"/>
        <v>390.02063784119997</v>
      </c>
      <c r="R110" s="2845">
        <f t="shared" si="672"/>
        <v>390.02063784119997</v>
      </c>
      <c r="S110" s="2845">
        <f t="shared" si="673"/>
        <v>0</v>
      </c>
      <c r="T110" s="2865">
        <f t="shared" si="674"/>
        <v>195.9</v>
      </c>
      <c r="U110" s="2866">
        <f>1.1+0.73+194.07</f>
        <v>195.9</v>
      </c>
      <c r="V110" s="2866"/>
      <c r="W110" s="2865">
        <f t="shared" si="675"/>
        <v>159.32000000000002</v>
      </c>
      <c r="X110" s="2866">
        <f>1.49+0.75+157.08</f>
        <v>159.32000000000002</v>
      </c>
      <c r="Y110" s="2866"/>
      <c r="Z110" s="2865">
        <f t="shared" si="676"/>
        <v>170.47</v>
      </c>
      <c r="AA110" s="2866">
        <f>0.752+1.087+168.631</f>
        <v>170.47</v>
      </c>
      <c r="AB110" s="2866"/>
      <c r="AC110" s="2865">
        <f t="shared" si="645"/>
        <v>525.69000000000005</v>
      </c>
      <c r="AD110" s="2865">
        <f t="shared" si="646"/>
        <v>525.69000000000005</v>
      </c>
      <c r="AE110" s="2865">
        <f t="shared" si="646"/>
        <v>0</v>
      </c>
      <c r="AF110" s="2846">
        <f t="shared" si="647"/>
        <v>780.04127568239994</v>
      </c>
      <c r="AG110" s="2846">
        <f t="shared" si="648"/>
        <v>780.04127568239994</v>
      </c>
      <c r="AH110" s="2846">
        <f t="shared" si="648"/>
        <v>0</v>
      </c>
      <c r="AI110" s="2867">
        <f t="shared" si="649"/>
        <v>1240.33491</v>
      </c>
      <c r="AJ110" s="2867">
        <f t="shared" si="649"/>
        <v>1240.33491</v>
      </c>
      <c r="AK110" s="2867">
        <f t="shared" si="649"/>
        <v>0</v>
      </c>
      <c r="AL110" s="2867">
        <f t="shared" si="650"/>
        <v>460.29363431760009</v>
      </c>
      <c r="AM110" s="2867">
        <f t="shared" si="650"/>
        <v>460.29363431760009</v>
      </c>
      <c r="AN110" s="2867">
        <f t="shared" si="650"/>
        <v>0</v>
      </c>
      <c r="AO110" s="2845">
        <f t="shared" si="677"/>
        <v>390.02063784119997</v>
      </c>
      <c r="AP110" s="2845">
        <f t="shared" si="678"/>
        <v>390.02063784119997</v>
      </c>
      <c r="AQ110" s="2845">
        <f t="shared" si="679"/>
        <v>0</v>
      </c>
      <c r="AR110" s="2865">
        <f t="shared" si="680"/>
        <v>156.49699999999999</v>
      </c>
      <c r="AS110" s="2866">
        <f>1.52+1.96+153.017</f>
        <v>156.49699999999999</v>
      </c>
      <c r="AT110" s="2866"/>
      <c r="AU110" s="2865">
        <f t="shared" si="681"/>
        <v>168.511</v>
      </c>
      <c r="AV110" s="2866">
        <v>168.511</v>
      </c>
      <c r="AW110" s="2866"/>
      <c r="AX110" s="2865">
        <f t="shared" si="682"/>
        <v>167.02500000000001</v>
      </c>
      <c r="AY110" s="2866">
        <f>1.53+6.12+159.375</f>
        <v>167.02500000000001</v>
      </c>
      <c r="AZ110" s="2866"/>
      <c r="BA110" s="2865">
        <f t="shared" si="654"/>
        <v>492.03300000000002</v>
      </c>
      <c r="BB110" s="2865">
        <f t="shared" si="655"/>
        <v>492.03300000000002</v>
      </c>
      <c r="BC110" s="2865">
        <f t="shared" si="655"/>
        <v>0</v>
      </c>
      <c r="BD110" s="2846">
        <f t="shared" si="656"/>
        <v>1170.0619135236</v>
      </c>
      <c r="BE110" s="2846">
        <f t="shared" si="657"/>
        <v>1170.0619135236</v>
      </c>
      <c r="BF110" s="2846">
        <f t="shared" si="657"/>
        <v>0</v>
      </c>
      <c r="BG110" s="2867">
        <f t="shared" si="658"/>
        <v>1732.3679099999999</v>
      </c>
      <c r="BH110" s="2867">
        <f t="shared" si="658"/>
        <v>1732.3679099999999</v>
      </c>
      <c r="BI110" s="2867">
        <f t="shared" si="658"/>
        <v>0</v>
      </c>
      <c r="BJ110" s="2867">
        <f t="shared" si="659"/>
        <v>562.30599647639997</v>
      </c>
      <c r="BK110" s="2867">
        <f t="shared" si="659"/>
        <v>562.30599647639997</v>
      </c>
      <c r="BL110" s="2867">
        <f t="shared" si="659"/>
        <v>0</v>
      </c>
      <c r="BM110" s="2845">
        <f t="shared" si="683"/>
        <v>390.02063784119997</v>
      </c>
      <c r="BN110" s="2845">
        <f t="shared" si="684"/>
        <v>390.02063784119997</v>
      </c>
      <c r="BO110" s="2845">
        <f t="shared" si="685"/>
        <v>0</v>
      </c>
      <c r="BP110" s="2865">
        <f t="shared" si="686"/>
        <v>193.96800000000002</v>
      </c>
      <c r="BQ110" s="2866">
        <f>0.963+0.766+192.239</f>
        <v>193.96800000000002</v>
      </c>
      <c r="BR110" s="2866"/>
      <c r="BS110" s="2865">
        <f t="shared" si="687"/>
        <v>190.40699999999998</v>
      </c>
      <c r="BT110" s="2866">
        <f>1.158+2.234+187.015</f>
        <v>190.40699999999998</v>
      </c>
      <c r="BU110" s="2866"/>
      <c r="BV110" s="2865">
        <f t="shared" si="688"/>
        <v>211.96899999999999</v>
      </c>
      <c r="BW110" s="2866">
        <v>211.96899999999999</v>
      </c>
      <c r="BX110" s="2866"/>
      <c r="BY110" s="2865">
        <f t="shared" si="663"/>
        <v>596.34400000000005</v>
      </c>
      <c r="BZ110" s="2865">
        <f t="shared" si="664"/>
        <v>596.34400000000005</v>
      </c>
      <c r="CA110" s="2865">
        <f t="shared" si="664"/>
        <v>0</v>
      </c>
      <c r="CB110" s="2846">
        <f t="shared" si="689"/>
        <v>1560.0825513647999</v>
      </c>
      <c r="CC110" s="2846">
        <f>1676.526*0.9305448</f>
        <v>1560.0825513647999</v>
      </c>
      <c r="CD110" s="2846">
        <v>0</v>
      </c>
      <c r="CE110" s="2867">
        <f t="shared" si="665"/>
        <v>2328.71191</v>
      </c>
      <c r="CF110" s="2982">
        <f t="shared" si="665"/>
        <v>2328.71191</v>
      </c>
      <c r="CG110" s="2982">
        <f t="shared" si="665"/>
        <v>0</v>
      </c>
      <c r="CH110" s="2867">
        <f t="shared" si="666"/>
        <v>768.62935863520011</v>
      </c>
      <c r="CI110" s="2867">
        <f t="shared" si="666"/>
        <v>768.62935863520011</v>
      </c>
      <c r="CJ110" s="2867">
        <f t="shared" si="666"/>
        <v>0</v>
      </c>
      <c r="CK110" s="2863"/>
      <c r="CL110" s="4187">
        <f t="shared" si="542"/>
        <v>1560.0825513647999</v>
      </c>
      <c r="CM110" s="4187">
        <f t="shared" si="543"/>
        <v>1560.0825513647999</v>
      </c>
      <c r="CN110" s="4187">
        <f t="shared" si="544"/>
        <v>0</v>
      </c>
    </row>
    <row r="111" spans="1:92" ht="18.75" customHeight="1" x14ac:dyDescent="0.3">
      <c r="A111" s="2873" t="s">
        <v>590</v>
      </c>
      <c r="B111" s="2845">
        <f t="shared" si="634"/>
        <v>41.874516</v>
      </c>
      <c r="C111" s="2845">
        <f t="shared" si="667"/>
        <v>41.874516</v>
      </c>
      <c r="D111" s="2845">
        <f t="shared" si="668"/>
        <v>0</v>
      </c>
      <c r="E111" s="2865">
        <f t="shared" si="669"/>
        <v>11.66</v>
      </c>
      <c r="F111" s="2866">
        <v>11.66</v>
      </c>
      <c r="G111" s="2866"/>
      <c r="H111" s="2865">
        <f t="shared" si="670"/>
        <v>30.716999999999999</v>
      </c>
      <c r="I111" s="2866">
        <v>30.716999999999999</v>
      </c>
      <c r="J111" s="2866"/>
      <c r="K111" s="2865">
        <f t="shared" si="671"/>
        <v>8.06</v>
      </c>
      <c r="L111" s="2866">
        <v>8.06</v>
      </c>
      <c r="M111" s="2866"/>
      <c r="N111" s="2865">
        <f t="shared" si="639"/>
        <v>50.436999999999998</v>
      </c>
      <c r="O111" s="2865">
        <f t="shared" si="640"/>
        <v>50.436999999999998</v>
      </c>
      <c r="P111" s="2865">
        <f t="shared" si="641"/>
        <v>0</v>
      </c>
      <c r="Q111" s="2845">
        <f t="shared" si="642"/>
        <v>41.874516</v>
      </c>
      <c r="R111" s="2845">
        <f t="shared" si="672"/>
        <v>41.874516</v>
      </c>
      <c r="S111" s="2845">
        <f t="shared" si="673"/>
        <v>0</v>
      </c>
      <c r="T111" s="2865">
        <f t="shared" si="674"/>
        <v>11.43</v>
      </c>
      <c r="U111" s="2866">
        <v>11.43</v>
      </c>
      <c r="V111" s="2866"/>
      <c r="W111" s="2865">
        <f t="shared" si="675"/>
        <v>20.85</v>
      </c>
      <c r="X111" s="2866">
        <v>20.85</v>
      </c>
      <c r="Y111" s="2866"/>
      <c r="Z111" s="2865">
        <f t="shared" si="676"/>
        <v>13.914999999999999</v>
      </c>
      <c r="AA111" s="2866">
        <v>13.914999999999999</v>
      </c>
      <c r="AB111" s="2866"/>
      <c r="AC111" s="2865">
        <f t="shared" si="645"/>
        <v>46.195</v>
      </c>
      <c r="AD111" s="2865">
        <f t="shared" si="646"/>
        <v>46.195</v>
      </c>
      <c r="AE111" s="2865">
        <f t="shared" si="646"/>
        <v>0</v>
      </c>
      <c r="AF111" s="2846">
        <f t="shared" si="647"/>
        <v>83.749032</v>
      </c>
      <c r="AG111" s="2846">
        <f t="shared" si="648"/>
        <v>83.749032</v>
      </c>
      <c r="AH111" s="2846">
        <f t="shared" si="648"/>
        <v>0</v>
      </c>
      <c r="AI111" s="2867">
        <f t="shared" si="649"/>
        <v>96.632000000000005</v>
      </c>
      <c r="AJ111" s="2867">
        <f t="shared" si="649"/>
        <v>96.632000000000005</v>
      </c>
      <c r="AK111" s="2867">
        <f t="shared" si="649"/>
        <v>0</v>
      </c>
      <c r="AL111" s="2867">
        <f t="shared" si="650"/>
        <v>12.882968000000005</v>
      </c>
      <c r="AM111" s="2867">
        <f t="shared" si="650"/>
        <v>12.882968000000005</v>
      </c>
      <c r="AN111" s="2867">
        <f t="shared" si="650"/>
        <v>0</v>
      </c>
      <c r="AO111" s="2845">
        <f t="shared" si="677"/>
        <v>41.874516</v>
      </c>
      <c r="AP111" s="2845">
        <f t="shared" si="678"/>
        <v>41.874516</v>
      </c>
      <c r="AQ111" s="2845">
        <f t="shared" si="679"/>
        <v>0</v>
      </c>
      <c r="AR111" s="2865">
        <f t="shared" si="680"/>
        <v>9.7200000000000006</v>
      </c>
      <c r="AS111" s="2866">
        <v>9.7200000000000006</v>
      </c>
      <c r="AT111" s="2866"/>
      <c r="AU111" s="2865">
        <f t="shared" si="681"/>
        <v>6.585</v>
      </c>
      <c r="AV111" s="2866">
        <v>6.585</v>
      </c>
      <c r="AW111" s="2866"/>
      <c r="AX111" s="2865">
        <f t="shared" si="682"/>
        <v>11.03</v>
      </c>
      <c r="AY111" s="2866">
        <v>11.03</v>
      </c>
      <c r="AZ111" s="2866"/>
      <c r="BA111" s="2865">
        <f t="shared" si="654"/>
        <v>27.335000000000001</v>
      </c>
      <c r="BB111" s="2865">
        <f t="shared" si="655"/>
        <v>27.335000000000001</v>
      </c>
      <c r="BC111" s="2865">
        <f t="shared" si="655"/>
        <v>0</v>
      </c>
      <c r="BD111" s="2846">
        <f t="shared" si="656"/>
        <v>125.623548</v>
      </c>
      <c r="BE111" s="2846">
        <f t="shared" si="657"/>
        <v>125.623548</v>
      </c>
      <c r="BF111" s="2846">
        <f t="shared" si="657"/>
        <v>0</v>
      </c>
      <c r="BG111" s="2867">
        <f t="shared" si="658"/>
        <v>123.96700000000001</v>
      </c>
      <c r="BH111" s="2867">
        <f t="shared" si="658"/>
        <v>123.96700000000001</v>
      </c>
      <c r="BI111" s="2867">
        <f t="shared" si="658"/>
        <v>0</v>
      </c>
      <c r="BJ111" s="2867">
        <f t="shared" si="659"/>
        <v>-1.6565479999999866</v>
      </c>
      <c r="BK111" s="2867">
        <f t="shared" si="659"/>
        <v>-1.6565479999999866</v>
      </c>
      <c r="BL111" s="2867">
        <f t="shared" si="659"/>
        <v>0</v>
      </c>
      <c r="BM111" s="2845">
        <f t="shared" si="683"/>
        <v>41.874516</v>
      </c>
      <c r="BN111" s="2845">
        <f t="shared" si="684"/>
        <v>41.874516</v>
      </c>
      <c r="BO111" s="2845">
        <f t="shared" si="685"/>
        <v>0</v>
      </c>
      <c r="BP111" s="2865">
        <f t="shared" si="686"/>
        <v>91.147999999999996</v>
      </c>
      <c r="BQ111" s="2866">
        <f>2+89.148</f>
        <v>91.147999999999996</v>
      </c>
      <c r="BR111" s="2866"/>
      <c r="BS111" s="2865">
        <f t="shared" si="687"/>
        <v>17.245000000000001</v>
      </c>
      <c r="BT111" s="2866">
        <v>17.245000000000001</v>
      </c>
      <c r="BU111" s="2866"/>
      <c r="BV111" s="2865">
        <f t="shared" si="688"/>
        <v>15.958</v>
      </c>
      <c r="BW111" s="2866">
        <v>15.958</v>
      </c>
      <c r="BX111" s="2866"/>
      <c r="BY111" s="2865">
        <f t="shared" si="663"/>
        <v>124.351</v>
      </c>
      <c r="BZ111" s="2865">
        <f t="shared" si="664"/>
        <v>124.351</v>
      </c>
      <c r="CA111" s="2865">
        <f t="shared" si="664"/>
        <v>0</v>
      </c>
      <c r="CB111" s="2846">
        <f t="shared" si="689"/>
        <v>167.498064</v>
      </c>
      <c r="CC111" s="2846">
        <f>180*0.9305448</f>
        <v>167.498064</v>
      </c>
      <c r="CD111" s="2846">
        <v>0</v>
      </c>
      <c r="CE111" s="2867">
        <f t="shared" si="665"/>
        <v>248.31800000000001</v>
      </c>
      <c r="CF111" s="2982">
        <f t="shared" si="665"/>
        <v>248.31800000000001</v>
      </c>
      <c r="CG111" s="2982">
        <f t="shared" si="665"/>
        <v>0</v>
      </c>
      <c r="CH111" s="2867">
        <f t="shared" si="666"/>
        <v>80.819936000000013</v>
      </c>
      <c r="CI111" s="2867">
        <f t="shared" si="666"/>
        <v>80.819936000000013</v>
      </c>
      <c r="CJ111" s="2867">
        <f t="shared" si="666"/>
        <v>0</v>
      </c>
      <c r="CK111" s="2863"/>
      <c r="CL111" s="4187">
        <f t="shared" si="542"/>
        <v>167.498064</v>
      </c>
      <c r="CM111" s="4187">
        <f t="shared" si="543"/>
        <v>167.498064</v>
      </c>
      <c r="CN111" s="4187">
        <f t="shared" si="544"/>
        <v>0</v>
      </c>
    </row>
    <row r="112" spans="1:92" ht="18.75" customHeight="1" x14ac:dyDescent="0.3">
      <c r="A112" s="2873" t="s">
        <v>589</v>
      </c>
      <c r="B112" s="2845">
        <f t="shared" si="634"/>
        <v>25.785396408</v>
      </c>
      <c r="C112" s="2845">
        <f t="shared" si="667"/>
        <v>25.785396408</v>
      </c>
      <c r="D112" s="2845">
        <f t="shared" si="668"/>
        <v>0</v>
      </c>
      <c r="E112" s="2865">
        <f t="shared" si="669"/>
        <v>7.72</v>
      </c>
      <c r="F112" s="2866">
        <v>7.72</v>
      </c>
      <c r="G112" s="2866"/>
      <c r="H112" s="2865">
        <f t="shared" si="670"/>
        <v>7.7389999999999999</v>
      </c>
      <c r="I112" s="2866">
        <v>7.7389999999999999</v>
      </c>
      <c r="J112" s="2866"/>
      <c r="K112" s="2865">
        <f t="shared" si="671"/>
        <v>7.38</v>
      </c>
      <c r="L112" s="2866">
        <v>7.38</v>
      </c>
      <c r="M112" s="2866"/>
      <c r="N112" s="2865">
        <f t="shared" si="639"/>
        <v>22.838999999999999</v>
      </c>
      <c r="O112" s="2865">
        <f t="shared" si="640"/>
        <v>22.838999999999999</v>
      </c>
      <c r="P112" s="2865">
        <f t="shared" si="641"/>
        <v>0</v>
      </c>
      <c r="Q112" s="2845">
        <f t="shared" si="642"/>
        <v>25.785396408</v>
      </c>
      <c r="R112" s="2845">
        <f t="shared" si="672"/>
        <v>25.785396408</v>
      </c>
      <c r="S112" s="2845">
        <f t="shared" si="673"/>
        <v>0</v>
      </c>
      <c r="T112" s="2865">
        <f t="shared" si="674"/>
        <v>7.74</v>
      </c>
      <c r="U112" s="2866">
        <v>7.74</v>
      </c>
      <c r="V112" s="2866"/>
      <c r="W112" s="2865">
        <f t="shared" si="675"/>
        <v>7.74</v>
      </c>
      <c r="X112" s="2866">
        <v>7.74</v>
      </c>
      <c r="Y112" s="2866"/>
      <c r="Z112" s="2865">
        <f t="shared" si="676"/>
        <v>7.7380000000000004</v>
      </c>
      <c r="AA112" s="2866">
        <v>7.7380000000000004</v>
      </c>
      <c r="AB112" s="2866"/>
      <c r="AC112" s="2865">
        <f t="shared" si="645"/>
        <v>23.218</v>
      </c>
      <c r="AD112" s="2865">
        <f t="shared" si="646"/>
        <v>23.218</v>
      </c>
      <c r="AE112" s="2865">
        <f t="shared" si="646"/>
        <v>0</v>
      </c>
      <c r="AF112" s="2846">
        <f t="shared" si="647"/>
        <v>51.570792816000001</v>
      </c>
      <c r="AG112" s="2846">
        <f t="shared" si="648"/>
        <v>51.570792816000001</v>
      </c>
      <c r="AH112" s="2846">
        <f t="shared" si="648"/>
        <v>0</v>
      </c>
      <c r="AI112" s="2867">
        <f t="shared" si="649"/>
        <v>46.057000000000002</v>
      </c>
      <c r="AJ112" s="2867">
        <f t="shared" si="649"/>
        <v>46.057000000000002</v>
      </c>
      <c r="AK112" s="2867">
        <f t="shared" si="649"/>
        <v>0</v>
      </c>
      <c r="AL112" s="2867">
        <f t="shared" si="650"/>
        <v>-5.5137928159999987</v>
      </c>
      <c r="AM112" s="2867">
        <f t="shared" si="650"/>
        <v>-5.5137928159999987</v>
      </c>
      <c r="AN112" s="2867">
        <f t="shared" si="650"/>
        <v>0</v>
      </c>
      <c r="AO112" s="2845">
        <f t="shared" si="677"/>
        <v>25.785396408</v>
      </c>
      <c r="AP112" s="2845">
        <f t="shared" si="678"/>
        <v>25.785396408</v>
      </c>
      <c r="AQ112" s="2845">
        <f t="shared" si="679"/>
        <v>0</v>
      </c>
      <c r="AR112" s="2865">
        <f t="shared" si="680"/>
        <v>7.74</v>
      </c>
      <c r="AS112" s="2866">
        <v>7.74</v>
      </c>
      <c r="AT112" s="2866"/>
      <c r="AU112" s="2865">
        <f t="shared" si="681"/>
        <v>7.7359999999999998</v>
      </c>
      <c r="AV112" s="2866">
        <v>7.7359999999999998</v>
      </c>
      <c r="AW112" s="2866"/>
      <c r="AX112" s="2865">
        <f t="shared" si="682"/>
        <v>7.74</v>
      </c>
      <c r="AY112" s="2866">
        <v>7.74</v>
      </c>
      <c r="AZ112" s="2866"/>
      <c r="BA112" s="2865">
        <f t="shared" si="654"/>
        <v>23.216000000000001</v>
      </c>
      <c r="BB112" s="2865">
        <f t="shared" si="655"/>
        <v>23.216000000000001</v>
      </c>
      <c r="BC112" s="2865">
        <f t="shared" si="655"/>
        <v>0</v>
      </c>
      <c r="BD112" s="2846">
        <f t="shared" si="656"/>
        <v>77.356189224000005</v>
      </c>
      <c r="BE112" s="2846">
        <f t="shared" si="657"/>
        <v>77.356189224000005</v>
      </c>
      <c r="BF112" s="2846">
        <f t="shared" si="657"/>
        <v>0</v>
      </c>
      <c r="BG112" s="2867">
        <f t="shared" si="658"/>
        <v>69.272999999999996</v>
      </c>
      <c r="BH112" s="2867">
        <f t="shared" si="658"/>
        <v>69.272999999999996</v>
      </c>
      <c r="BI112" s="2867">
        <f t="shared" si="658"/>
        <v>0</v>
      </c>
      <c r="BJ112" s="2867">
        <f t="shared" si="659"/>
        <v>-8.0831892240000087</v>
      </c>
      <c r="BK112" s="2867">
        <f t="shared" si="659"/>
        <v>-8.0831892240000087</v>
      </c>
      <c r="BL112" s="2867">
        <f t="shared" si="659"/>
        <v>0</v>
      </c>
      <c r="BM112" s="2845">
        <f t="shared" si="683"/>
        <v>25.785396408</v>
      </c>
      <c r="BN112" s="2845">
        <f t="shared" si="684"/>
        <v>25.785396408</v>
      </c>
      <c r="BO112" s="2845">
        <f t="shared" si="685"/>
        <v>0</v>
      </c>
      <c r="BP112" s="2865">
        <f t="shared" si="686"/>
        <v>7.7359999999999998</v>
      </c>
      <c r="BQ112" s="2866">
        <v>7.7359999999999998</v>
      </c>
      <c r="BR112" s="2866"/>
      <c r="BS112" s="2865">
        <f t="shared" si="687"/>
        <v>7.6749999999999998</v>
      </c>
      <c r="BT112" s="2866">
        <v>7.6749999999999998</v>
      </c>
      <c r="BU112" s="2866"/>
      <c r="BV112" s="2865">
        <f t="shared" si="688"/>
        <v>7.8209999999999997</v>
      </c>
      <c r="BW112" s="2866">
        <v>7.8209999999999997</v>
      </c>
      <c r="BX112" s="2866"/>
      <c r="BY112" s="2865">
        <f t="shared" si="663"/>
        <v>23.231999999999999</v>
      </c>
      <c r="BZ112" s="2865">
        <f t="shared" si="664"/>
        <v>23.231999999999999</v>
      </c>
      <c r="CA112" s="2865">
        <f t="shared" si="664"/>
        <v>0</v>
      </c>
      <c r="CB112" s="2846">
        <f t="shared" si="689"/>
        <v>103.141585632</v>
      </c>
      <c r="CC112" s="2846">
        <f>110.84*0.9305448</f>
        <v>103.141585632</v>
      </c>
      <c r="CD112" s="2846">
        <v>0</v>
      </c>
      <c r="CE112" s="2867">
        <f t="shared" si="665"/>
        <v>92.504999999999995</v>
      </c>
      <c r="CF112" s="2982">
        <f t="shared" si="665"/>
        <v>92.504999999999995</v>
      </c>
      <c r="CG112" s="2982">
        <f t="shared" si="665"/>
        <v>0</v>
      </c>
      <c r="CH112" s="2867">
        <f t="shared" si="666"/>
        <v>-10.636585632000006</v>
      </c>
      <c r="CI112" s="2867">
        <f t="shared" si="666"/>
        <v>-10.636585632000006</v>
      </c>
      <c r="CJ112" s="2867">
        <f t="shared" si="666"/>
        <v>0</v>
      </c>
      <c r="CK112" s="2863"/>
      <c r="CL112" s="4187">
        <f t="shared" si="542"/>
        <v>103.141585632</v>
      </c>
      <c r="CM112" s="4187">
        <f t="shared" si="543"/>
        <v>103.141585632</v>
      </c>
      <c r="CN112" s="4187">
        <f t="shared" si="544"/>
        <v>0</v>
      </c>
    </row>
    <row r="113" spans="1:92" ht="18.75" customHeight="1" x14ac:dyDescent="0.3">
      <c r="A113" s="2873" t="s">
        <v>599</v>
      </c>
      <c r="B113" s="2845">
        <f t="shared" si="634"/>
        <v>3.657041064</v>
      </c>
      <c r="C113" s="2845">
        <f t="shared" si="667"/>
        <v>3.657041064</v>
      </c>
      <c r="D113" s="2845">
        <f t="shared" si="668"/>
        <v>0</v>
      </c>
      <c r="E113" s="2865">
        <f t="shared" si="669"/>
        <v>2.52</v>
      </c>
      <c r="F113" s="2866">
        <f>2.52</f>
        <v>2.52</v>
      </c>
      <c r="G113" s="2866"/>
      <c r="H113" s="2865">
        <f t="shared" si="670"/>
        <v>1.9</v>
      </c>
      <c r="I113" s="2866">
        <f>1.9</f>
        <v>1.9</v>
      </c>
      <c r="J113" s="2866"/>
      <c r="K113" s="2865">
        <f t="shared" si="671"/>
        <v>3.12</v>
      </c>
      <c r="L113" s="2866">
        <v>3.12</v>
      </c>
      <c r="M113" s="2866"/>
      <c r="N113" s="2865">
        <f t="shared" si="639"/>
        <v>7.54</v>
      </c>
      <c r="O113" s="2865">
        <f t="shared" si="640"/>
        <v>7.54</v>
      </c>
      <c r="P113" s="2865">
        <f t="shared" si="641"/>
        <v>0</v>
      </c>
      <c r="Q113" s="2845">
        <f t="shared" si="642"/>
        <v>3.657041064</v>
      </c>
      <c r="R113" s="2845">
        <f t="shared" si="672"/>
        <v>3.657041064</v>
      </c>
      <c r="S113" s="2845">
        <f t="shared" si="673"/>
        <v>0</v>
      </c>
      <c r="T113" s="2865">
        <f t="shared" si="674"/>
        <v>1.26</v>
      </c>
      <c r="U113" s="2866">
        <v>1.26</v>
      </c>
      <c r="V113" s="2866"/>
      <c r="W113" s="2865">
        <f t="shared" si="675"/>
        <v>0</v>
      </c>
      <c r="X113" s="2866"/>
      <c r="Y113" s="2866"/>
      <c r="Z113" s="2865">
        <f t="shared" si="676"/>
        <v>2.52</v>
      </c>
      <c r="AA113" s="2866">
        <v>2.52</v>
      </c>
      <c r="AB113" s="2866"/>
      <c r="AC113" s="2865">
        <f t="shared" si="645"/>
        <v>3.7800000000000002</v>
      </c>
      <c r="AD113" s="2865">
        <f t="shared" si="646"/>
        <v>3.7800000000000002</v>
      </c>
      <c r="AE113" s="2865">
        <f t="shared" si="646"/>
        <v>0</v>
      </c>
      <c r="AF113" s="2846">
        <f t="shared" si="647"/>
        <v>7.3140821279999999</v>
      </c>
      <c r="AG113" s="2846">
        <f t="shared" si="648"/>
        <v>7.3140821279999999</v>
      </c>
      <c r="AH113" s="2846">
        <f t="shared" si="648"/>
        <v>0</v>
      </c>
      <c r="AI113" s="2867">
        <f t="shared" si="649"/>
        <v>11.32</v>
      </c>
      <c r="AJ113" s="2867">
        <f t="shared" si="649"/>
        <v>11.32</v>
      </c>
      <c r="AK113" s="2867">
        <f t="shared" si="649"/>
        <v>0</v>
      </c>
      <c r="AL113" s="2867">
        <f t="shared" si="650"/>
        <v>4.0059178720000004</v>
      </c>
      <c r="AM113" s="2867">
        <f t="shared" si="650"/>
        <v>4.0059178720000004</v>
      </c>
      <c r="AN113" s="2867">
        <f t="shared" si="650"/>
        <v>0</v>
      </c>
      <c r="AO113" s="2845">
        <f t="shared" si="677"/>
        <v>3.657041064</v>
      </c>
      <c r="AP113" s="2845">
        <f t="shared" si="678"/>
        <v>3.657041064</v>
      </c>
      <c r="AQ113" s="2845">
        <f t="shared" si="679"/>
        <v>0</v>
      </c>
      <c r="AR113" s="2865">
        <f t="shared" si="680"/>
        <v>1.26</v>
      </c>
      <c r="AS113" s="2866">
        <v>1.26</v>
      </c>
      <c r="AT113" s="2866"/>
      <c r="AU113" s="2865">
        <f t="shared" si="681"/>
        <v>1.9</v>
      </c>
      <c r="AV113" s="2866">
        <v>1.9</v>
      </c>
      <c r="AW113" s="2866"/>
      <c r="AX113" s="2865">
        <f t="shared" si="682"/>
        <v>3.02</v>
      </c>
      <c r="AY113" s="2866">
        <f>3.02</f>
        <v>3.02</v>
      </c>
      <c r="AZ113" s="2866"/>
      <c r="BA113" s="2865">
        <f t="shared" si="654"/>
        <v>6.18</v>
      </c>
      <c r="BB113" s="2865">
        <f t="shared" si="655"/>
        <v>6.18</v>
      </c>
      <c r="BC113" s="2865">
        <f t="shared" si="655"/>
        <v>0</v>
      </c>
      <c r="BD113" s="2846">
        <f t="shared" si="656"/>
        <v>10.971123192</v>
      </c>
      <c r="BE113" s="2846">
        <f t="shared" si="657"/>
        <v>10.971123192</v>
      </c>
      <c r="BF113" s="2846">
        <f t="shared" si="657"/>
        <v>0</v>
      </c>
      <c r="BG113" s="2867">
        <f t="shared" si="658"/>
        <v>17.5</v>
      </c>
      <c r="BH113" s="2867">
        <f t="shared" si="658"/>
        <v>17.5</v>
      </c>
      <c r="BI113" s="2867">
        <f t="shared" si="658"/>
        <v>0</v>
      </c>
      <c r="BJ113" s="2867">
        <f t="shared" si="659"/>
        <v>6.5288768079999997</v>
      </c>
      <c r="BK113" s="2867">
        <f t="shared" si="659"/>
        <v>6.5288768079999997</v>
      </c>
      <c r="BL113" s="2867">
        <f t="shared" si="659"/>
        <v>0</v>
      </c>
      <c r="BM113" s="2845">
        <f t="shared" si="683"/>
        <v>3.657041064</v>
      </c>
      <c r="BN113" s="2845">
        <f t="shared" si="684"/>
        <v>3.657041064</v>
      </c>
      <c r="BO113" s="2845">
        <f t="shared" si="685"/>
        <v>0</v>
      </c>
      <c r="BP113" s="2865">
        <f t="shared" si="686"/>
        <v>6.94</v>
      </c>
      <c r="BQ113" s="2866">
        <f>6.94</f>
        <v>6.94</v>
      </c>
      <c r="BR113" s="2866"/>
      <c r="BS113" s="2865">
        <f t="shared" si="687"/>
        <v>0</v>
      </c>
      <c r="BT113" s="2866"/>
      <c r="BU113" s="2866"/>
      <c r="BV113" s="2865">
        <f t="shared" si="688"/>
        <v>3.9</v>
      </c>
      <c r="BW113" s="2866">
        <v>3.9</v>
      </c>
      <c r="BX113" s="2866"/>
      <c r="BY113" s="2865">
        <f t="shared" si="663"/>
        <v>10.84</v>
      </c>
      <c r="BZ113" s="2865">
        <f t="shared" si="664"/>
        <v>10.84</v>
      </c>
      <c r="CA113" s="2865">
        <f t="shared" si="664"/>
        <v>0</v>
      </c>
      <c r="CB113" s="2846">
        <f t="shared" si="689"/>
        <v>14.628164256</v>
      </c>
      <c r="CC113" s="2846">
        <f>15.72*0.9305448</f>
        <v>14.628164256</v>
      </c>
      <c r="CD113" s="2846">
        <v>0</v>
      </c>
      <c r="CE113" s="2867">
        <f t="shared" si="665"/>
        <v>28.34</v>
      </c>
      <c r="CF113" s="2982">
        <f t="shared" si="665"/>
        <v>28.34</v>
      </c>
      <c r="CG113" s="2982">
        <f t="shared" si="665"/>
        <v>0</v>
      </c>
      <c r="CH113" s="2867">
        <f t="shared" si="666"/>
        <v>13.711835744</v>
      </c>
      <c r="CI113" s="2867">
        <f t="shared" si="666"/>
        <v>13.711835744</v>
      </c>
      <c r="CJ113" s="2867">
        <f t="shared" si="666"/>
        <v>0</v>
      </c>
      <c r="CK113" s="2863"/>
      <c r="CL113" s="4187">
        <f t="shared" si="542"/>
        <v>14.628164256</v>
      </c>
      <c r="CM113" s="4187">
        <f t="shared" si="543"/>
        <v>14.628164256</v>
      </c>
      <c r="CN113" s="4187">
        <f t="shared" si="544"/>
        <v>0</v>
      </c>
    </row>
    <row r="114" spans="1:92" ht="18.75" customHeight="1" x14ac:dyDescent="0.3">
      <c r="A114" s="2873" t="s">
        <v>41</v>
      </c>
      <c r="B114" s="2845">
        <f t="shared" si="634"/>
        <v>0</v>
      </c>
      <c r="C114" s="2845">
        <f t="shared" si="667"/>
        <v>0</v>
      </c>
      <c r="D114" s="2845">
        <f t="shared" si="668"/>
        <v>0</v>
      </c>
      <c r="E114" s="2865">
        <f t="shared" si="669"/>
        <v>0</v>
      </c>
      <c r="F114" s="2866"/>
      <c r="G114" s="2866"/>
      <c r="H114" s="2865">
        <f t="shared" si="670"/>
        <v>0</v>
      </c>
      <c r="I114" s="2866"/>
      <c r="J114" s="2866"/>
      <c r="K114" s="2865">
        <f t="shared" si="671"/>
        <v>0</v>
      </c>
      <c r="L114" s="2866"/>
      <c r="M114" s="2866"/>
      <c r="N114" s="2865">
        <f t="shared" si="639"/>
        <v>0</v>
      </c>
      <c r="O114" s="2865">
        <f t="shared" si="640"/>
        <v>0</v>
      </c>
      <c r="P114" s="2865">
        <f t="shared" si="641"/>
        <v>0</v>
      </c>
      <c r="Q114" s="2845">
        <f t="shared" si="642"/>
        <v>0</v>
      </c>
      <c r="R114" s="2845">
        <f t="shared" si="672"/>
        <v>0</v>
      </c>
      <c r="S114" s="2845">
        <f t="shared" si="673"/>
        <v>0</v>
      </c>
      <c r="T114" s="2865">
        <f t="shared" si="674"/>
        <v>0</v>
      </c>
      <c r="U114" s="2866"/>
      <c r="V114" s="2866"/>
      <c r="W114" s="2865">
        <f t="shared" si="675"/>
        <v>0</v>
      </c>
      <c r="X114" s="2866"/>
      <c r="Y114" s="2866"/>
      <c r="Z114" s="2865">
        <f t="shared" si="676"/>
        <v>0</v>
      </c>
      <c r="AA114" s="2866"/>
      <c r="AB114" s="2866"/>
      <c r="AC114" s="2865">
        <f t="shared" si="645"/>
        <v>0</v>
      </c>
      <c r="AD114" s="2865">
        <f t="shared" si="646"/>
        <v>0</v>
      </c>
      <c r="AE114" s="2865">
        <f t="shared" si="646"/>
        <v>0</v>
      </c>
      <c r="AF114" s="2846">
        <f t="shared" si="647"/>
        <v>0</v>
      </c>
      <c r="AG114" s="2846">
        <f t="shared" si="648"/>
        <v>0</v>
      </c>
      <c r="AH114" s="2846">
        <f t="shared" si="648"/>
        <v>0</v>
      </c>
      <c r="AI114" s="2867">
        <f t="shared" si="649"/>
        <v>0</v>
      </c>
      <c r="AJ114" s="2867">
        <f t="shared" si="649"/>
        <v>0</v>
      </c>
      <c r="AK114" s="2867">
        <f t="shared" si="649"/>
        <v>0</v>
      </c>
      <c r="AL114" s="2867">
        <f t="shared" si="650"/>
        <v>0</v>
      </c>
      <c r="AM114" s="2867">
        <f t="shared" si="650"/>
        <v>0</v>
      </c>
      <c r="AN114" s="2867">
        <f t="shared" si="650"/>
        <v>0</v>
      </c>
      <c r="AO114" s="2845">
        <f t="shared" si="677"/>
        <v>0</v>
      </c>
      <c r="AP114" s="2845">
        <f t="shared" si="678"/>
        <v>0</v>
      </c>
      <c r="AQ114" s="2845">
        <f t="shared" si="679"/>
        <v>0</v>
      </c>
      <c r="AR114" s="2865">
        <f t="shared" si="680"/>
        <v>0</v>
      </c>
      <c r="AS114" s="2866"/>
      <c r="AT114" s="2866"/>
      <c r="AU114" s="2865">
        <f t="shared" si="681"/>
        <v>0</v>
      </c>
      <c r="AV114" s="2866"/>
      <c r="AW114" s="2866"/>
      <c r="AX114" s="2865">
        <f t="shared" si="682"/>
        <v>0</v>
      </c>
      <c r="AY114" s="2866"/>
      <c r="AZ114" s="2866"/>
      <c r="BA114" s="2865">
        <f t="shared" si="654"/>
        <v>0</v>
      </c>
      <c r="BB114" s="2865">
        <f t="shared" si="655"/>
        <v>0</v>
      </c>
      <c r="BC114" s="2865">
        <f t="shared" si="655"/>
        <v>0</v>
      </c>
      <c r="BD114" s="2846">
        <f t="shared" si="656"/>
        <v>0</v>
      </c>
      <c r="BE114" s="2846">
        <f t="shared" si="657"/>
        <v>0</v>
      </c>
      <c r="BF114" s="2846">
        <f t="shared" si="657"/>
        <v>0</v>
      </c>
      <c r="BG114" s="2867">
        <f t="shared" si="658"/>
        <v>0</v>
      </c>
      <c r="BH114" s="2867">
        <f t="shared" si="658"/>
        <v>0</v>
      </c>
      <c r="BI114" s="2867">
        <f t="shared" si="658"/>
        <v>0</v>
      </c>
      <c r="BJ114" s="2867">
        <f t="shared" si="659"/>
        <v>0</v>
      </c>
      <c r="BK114" s="2867">
        <f t="shared" si="659"/>
        <v>0</v>
      </c>
      <c r="BL114" s="2867">
        <f t="shared" si="659"/>
        <v>0</v>
      </c>
      <c r="BM114" s="2845">
        <f t="shared" si="683"/>
        <v>0</v>
      </c>
      <c r="BN114" s="2845">
        <f t="shared" si="684"/>
        <v>0</v>
      </c>
      <c r="BO114" s="2845">
        <f t="shared" si="685"/>
        <v>0</v>
      </c>
      <c r="BP114" s="2865">
        <f t="shared" si="686"/>
        <v>0</v>
      </c>
      <c r="BQ114" s="2866"/>
      <c r="BR114" s="2866"/>
      <c r="BS114" s="2865">
        <f t="shared" si="687"/>
        <v>0</v>
      </c>
      <c r="BT114" s="2866"/>
      <c r="BU114" s="2866"/>
      <c r="BV114" s="2865">
        <f t="shared" si="688"/>
        <v>0</v>
      </c>
      <c r="BW114" s="2866"/>
      <c r="BX114" s="2866"/>
      <c r="BY114" s="2865">
        <f t="shared" si="663"/>
        <v>0</v>
      </c>
      <c r="BZ114" s="2865">
        <f t="shared" si="664"/>
        <v>0</v>
      </c>
      <c r="CA114" s="2865">
        <f t="shared" si="664"/>
        <v>0</v>
      </c>
      <c r="CB114" s="2846">
        <f t="shared" si="689"/>
        <v>0</v>
      </c>
      <c r="CC114" s="2846">
        <f>0*0.9305448</f>
        <v>0</v>
      </c>
      <c r="CD114" s="2846">
        <v>0</v>
      </c>
      <c r="CE114" s="2867">
        <f t="shared" si="665"/>
        <v>0</v>
      </c>
      <c r="CF114" s="2982">
        <f t="shared" si="665"/>
        <v>0</v>
      </c>
      <c r="CG114" s="2982">
        <f t="shared" si="665"/>
        <v>0</v>
      </c>
      <c r="CH114" s="2867">
        <f t="shared" si="666"/>
        <v>0</v>
      </c>
      <c r="CI114" s="2867">
        <f t="shared" si="666"/>
        <v>0</v>
      </c>
      <c r="CJ114" s="2867">
        <f t="shared" si="666"/>
        <v>0</v>
      </c>
      <c r="CK114" s="2863"/>
      <c r="CL114" s="4187">
        <f t="shared" si="542"/>
        <v>0</v>
      </c>
      <c r="CM114" s="4187">
        <f t="shared" si="543"/>
        <v>0</v>
      </c>
      <c r="CN114" s="4187">
        <f t="shared" si="544"/>
        <v>0</v>
      </c>
    </row>
    <row r="115" spans="1:92" ht="18.75" customHeight="1" x14ac:dyDescent="0.3">
      <c r="A115" s="2873" t="s">
        <v>38</v>
      </c>
      <c r="B115" s="2845">
        <f t="shared" si="634"/>
        <v>6.9790859999999997</v>
      </c>
      <c r="C115" s="2845">
        <f t="shared" si="667"/>
        <v>6.9790859999999997</v>
      </c>
      <c r="D115" s="2845">
        <f t="shared" si="668"/>
        <v>0</v>
      </c>
      <c r="E115" s="2865">
        <f t="shared" si="669"/>
        <v>0</v>
      </c>
      <c r="F115" s="2866"/>
      <c r="G115" s="2866"/>
      <c r="H115" s="2865">
        <f t="shared" si="670"/>
        <v>0</v>
      </c>
      <c r="I115" s="2866"/>
      <c r="J115" s="2866"/>
      <c r="K115" s="2865">
        <f t="shared" si="671"/>
        <v>0</v>
      </c>
      <c r="L115" s="2866"/>
      <c r="M115" s="2866"/>
      <c r="N115" s="2865">
        <f t="shared" si="639"/>
        <v>0</v>
      </c>
      <c r="O115" s="2865">
        <f t="shared" si="640"/>
        <v>0</v>
      </c>
      <c r="P115" s="2865">
        <f t="shared" si="641"/>
        <v>0</v>
      </c>
      <c r="Q115" s="2845">
        <f t="shared" si="642"/>
        <v>6.9790859999999997</v>
      </c>
      <c r="R115" s="2845">
        <f t="shared" si="672"/>
        <v>6.9790859999999997</v>
      </c>
      <c r="S115" s="2845">
        <f t="shared" si="673"/>
        <v>0</v>
      </c>
      <c r="T115" s="2865">
        <f t="shared" si="674"/>
        <v>0</v>
      </c>
      <c r="U115" s="2866"/>
      <c r="V115" s="2866"/>
      <c r="W115" s="2865">
        <f t="shared" si="675"/>
        <v>0</v>
      </c>
      <c r="X115" s="2866"/>
      <c r="Y115" s="2866"/>
      <c r="Z115" s="2865">
        <f t="shared" si="676"/>
        <v>0</v>
      </c>
      <c r="AA115" s="2866"/>
      <c r="AB115" s="2866"/>
      <c r="AC115" s="2865">
        <f t="shared" si="645"/>
        <v>0</v>
      </c>
      <c r="AD115" s="2865">
        <f t="shared" si="646"/>
        <v>0</v>
      </c>
      <c r="AE115" s="2865">
        <f t="shared" si="646"/>
        <v>0</v>
      </c>
      <c r="AF115" s="2846">
        <f t="shared" si="647"/>
        <v>13.958171999999999</v>
      </c>
      <c r="AG115" s="2846">
        <f t="shared" si="648"/>
        <v>13.958171999999999</v>
      </c>
      <c r="AH115" s="2846">
        <f t="shared" si="648"/>
        <v>0</v>
      </c>
      <c r="AI115" s="2867">
        <f t="shared" si="649"/>
        <v>0</v>
      </c>
      <c r="AJ115" s="2867">
        <f t="shared" si="649"/>
        <v>0</v>
      </c>
      <c r="AK115" s="2867">
        <f t="shared" si="649"/>
        <v>0</v>
      </c>
      <c r="AL115" s="2867">
        <f t="shared" si="650"/>
        <v>-13.958171999999999</v>
      </c>
      <c r="AM115" s="2867">
        <f t="shared" si="650"/>
        <v>-13.958171999999999</v>
      </c>
      <c r="AN115" s="2867">
        <f t="shared" si="650"/>
        <v>0</v>
      </c>
      <c r="AO115" s="2845">
        <f t="shared" si="677"/>
        <v>6.9790859999999997</v>
      </c>
      <c r="AP115" s="2845">
        <f t="shared" si="678"/>
        <v>6.9790859999999997</v>
      </c>
      <c r="AQ115" s="2845">
        <f t="shared" si="679"/>
        <v>0</v>
      </c>
      <c r="AR115" s="2865">
        <f t="shared" si="680"/>
        <v>0</v>
      </c>
      <c r="AS115" s="2866"/>
      <c r="AT115" s="2866"/>
      <c r="AU115" s="2865">
        <f t="shared" si="681"/>
        <v>0</v>
      </c>
      <c r="AV115" s="2866"/>
      <c r="AW115" s="2866"/>
      <c r="AX115" s="2865">
        <f t="shared" si="682"/>
        <v>0</v>
      </c>
      <c r="AY115" s="2866"/>
      <c r="AZ115" s="2866"/>
      <c r="BA115" s="2865">
        <f t="shared" si="654"/>
        <v>0</v>
      </c>
      <c r="BB115" s="2865">
        <f t="shared" si="655"/>
        <v>0</v>
      </c>
      <c r="BC115" s="2865">
        <f t="shared" si="655"/>
        <v>0</v>
      </c>
      <c r="BD115" s="2846">
        <f t="shared" si="656"/>
        <v>20.937258</v>
      </c>
      <c r="BE115" s="2846">
        <f t="shared" si="657"/>
        <v>20.937258</v>
      </c>
      <c r="BF115" s="2846">
        <f t="shared" si="657"/>
        <v>0</v>
      </c>
      <c r="BG115" s="2867">
        <f t="shared" si="658"/>
        <v>0</v>
      </c>
      <c r="BH115" s="2867">
        <f t="shared" si="658"/>
        <v>0</v>
      </c>
      <c r="BI115" s="2867">
        <f t="shared" si="658"/>
        <v>0</v>
      </c>
      <c r="BJ115" s="2867">
        <f t="shared" si="659"/>
        <v>-20.937258</v>
      </c>
      <c r="BK115" s="2867">
        <f t="shared" si="659"/>
        <v>-20.937258</v>
      </c>
      <c r="BL115" s="2867">
        <f t="shared" si="659"/>
        <v>0</v>
      </c>
      <c r="BM115" s="2845">
        <f t="shared" si="683"/>
        <v>6.9790859999999997</v>
      </c>
      <c r="BN115" s="2845">
        <f t="shared" si="684"/>
        <v>6.9790859999999997</v>
      </c>
      <c r="BO115" s="2845">
        <f t="shared" si="685"/>
        <v>0</v>
      </c>
      <c r="BP115" s="2865">
        <f t="shared" si="686"/>
        <v>0</v>
      </c>
      <c r="BQ115" s="2866"/>
      <c r="BR115" s="2866"/>
      <c r="BS115" s="2865">
        <f t="shared" si="687"/>
        <v>0</v>
      </c>
      <c r="BT115" s="2866"/>
      <c r="BU115" s="2866"/>
      <c r="BV115" s="2865">
        <f t="shared" si="688"/>
        <v>0</v>
      </c>
      <c r="BW115" s="2866"/>
      <c r="BX115" s="2866"/>
      <c r="BY115" s="2865">
        <f t="shared" si="663"/>
        <v>0</v>
      </c>
      <c r="BZ115" s="2865">
        <f t="shared" si="664"/>
        <v>0</v>
      </c>
      <c r="CA115" s="2865">
        <f t="shared" si="664"/>
        <v>0</v>
      </c>
      <c r="CB115" s="2846">
        <f t="shared" si="689"/>
        <v>27.916343999999999</v>
      </c>
      <c r="CC115" s="2846">
        <f>30*0.9305448</f>
        <v>27.916343999999999</v>
      </c>
      <c r="CD115" s="2846">
        <v>0</v>
      </c>
      <c r="CE115" s="2867">
        <f t="shared" si="665"/>
        <v>0</v>
      </c>
      <c r="CF115" s="2982">
        <f t="shared" si="665"/>
        <v>0</v>
      </c>
      <c r="CG115" s="2982">
        <f t="shared" si="665"/>
        <v>0</v>
      </c>
      <c r="CH115" s="2867">
        <f t="shared" si="666"/>
        <v>-27.916343999999999</v>
      </c>
      <c r="CI115" s="2867">
        <f t="shared" si="666"/>
        <v>-27.916343999999999</v>
      </c>
      <c r="CJ115" s="2867">
        <f t="shared" si="666"/>
        <v>0</v>
      </c>
      <c r="CK115" s="2863"/>
      <c r="CL115" s="4187">
        <f t="shared" si="542"/>
        <v>27.916343999999999</v>
      </c>
      <c r="CM115" s="4187">
        <f t="shared" si="543"/>
        <v>27.916343999999999</v>
      </c>
      <c r="CN115" s="4187">
        <f t="shared" si="544"/>
        <v>0</v>
      </c>
    </row>
    <row r="116" spans="1:92" ht="18.75" customHeight="1" x14ac:dyDescent="0.3">
      <c r="A116" s="2873" t="s">
        <v>32</v>
      </c>
      <c r="B116" s="2845">
        <f t="shared" si="634"/>
        <v>13.39984512</v>
      </c>
      <c r="C116" s="2845">
        <f t="shared" si="667"/>
        <v>13.39984512</v>
      </c>
      <c r="D116" s="2845">
        <f t="shared" si="668"/>
        <v>0</v>
      </c>
      <c r="E116" s="2865">
        <f t="shared" si="669"/>
        <v>0</v>
      </c>
      <c r="F116" s="2866"/>
      <c r="G116" s="2866"/>
      <c r="H116" s="2865">
        <f t="shared" si="670"/>
        <v>0</v>
      </c>
      <c r="I116" s="2866"/>
      <c r="J116" s="2866"/>
      <c r="K116" s="2865">
        <f t="shared" si="671"/>
        <v>42.7</v>
      </c>
      <c r="L116" s="2866">
        <v>42.7</v>
      </c>
      <c r="M116" s="2866"/>
      <c r="N116" s="2865">
        <f t="shared" si="639"/>
        <v>42.7</v>
      </c>
      <c r="O116" s="2865">
        <f t="shared" si="640"/>
        <v>42.7</v>
      </c>
      <c r="P116" s="2865">
        <f t="shared" si="641"/>
        <v>0</v>
      </c>
      <c r="Q116" s="2845">
        <f t="shared" si="642"/>
        <v>13.39984512</v>
      </c>
      <c r="R116" s="2845">
        <f t="shared" si="672"/>
        <v>13.39984512</v>
      </c>
      <c r="S116" s="2845">
        <f t="shared" si="673"/>
        <v>0</v>
      </c>
      <c r="T116" s="2865">
        <f t="shared" si="674"/>
        <v>0</v>
      </c>
      <c r="U116" s="2866"/>
      <c r="V116" s="2866"/>
      <c r="W116" s="2865">
        <f t="shared" si="675"/>
        <v>0</v>
      </c>
      <c r="X116" s="2866"/>
      <c r="Y116" s="2866"/>
      <c r="Z116" s="2865">
        <f t="shared" si="676"/>
        <v>14.4</v>
      </c>
      <c r="AA116" s="2866">
        <v>14.4</v>
      </c>
      <c r="AB116" s="2866"/>
      <c r="AC116" s="2865">
        <f t="shared" si="645"/>
        <v>14.4</v>
      </c>
      <c r="AD116" s="2865">
        <f t="shared" si="646"/>
        <v>14.4</v>
      </c>
      <c r="AE116" s="2865">
        <f t="shared" si="646"/>
        <v>0</v>
      </c>
      <c r="AF116" s="2846">
        <f t="shared" si="647"/>
        <v>26.79969024</v>
      </c>
      <c r="AG116" s="2846">
        <f t="shared" si="648"/>
        <v>26.79969024</v>
      </c>
      <c r="AH116" s="2846">
        <f t="shared" si="648"/>
        <v>0</v>
      </c>
      <c r="AI116" s="2867">
        <f t="shared" si="649"/>
        <v>57.1</v>
      </c>
      <c r="AJ116" s="2867">
        <f t="shared" si="649"/>
        <v>57.1</v>
      </c>
      <c r="AK116" s="2867">
        <f t="shared" si="649"/>
        <v>0</v>
      </c>
      <c r="AL116" s="2867">
        <f t="shared" si="650"/>
        <v>30.300309760000001</v>
      </c>
      <c r="AM116" s="2867">
        <f t="shared" si="650"/>
        <v>30.300309760000001</v>
      </c>
      <c r="AN116" s="2867">
        <f t="shared" si="650"/>
        <v>0</v>
      </c>
      <c r="AO116" s="2845">
        <f t="shared" si="677"/>
        <v>13.39984512</v>
      </c>
      <c r="AP116" s="2845">
        <f t="shared" si="678"/>
        <v>13.39984512</v>
      </c>
      <c r="AQ116" s="2845">
        <f t="shared" si="679"/>
        <v>0</v>
      </c>
      <c r="AR116" s="2865">
        <f t="shared" si="680"/>
        <v>0</v>
      </c>
      <c r="AS116" s="2866"/>
      <c r="AT116" s="2866"/>
      <c r="AU116" s="2865">
        <f t="shared" si="681"/>
        <v>0</v>
      </c>
      <c r="AV116" s="2866"/>
      <c r="AW116" s="2866"/>
      <c r="AX116" s="2865">
        <f t="shared" si="682"/>
        <v>14.4</v>
      </c>
      <c r="AY116" s="2866">
        <v>14.4</v>
      </c>
      <c r="AZ116" s="2866"/>
      <c r="BA116" s="2865">
        <f t="shared" si="654"/>
        <v>14.4</v>
      </c>
      <c r="BB116" s="2865">
        <f t="shared" si="655"/>
        <v>14.4</v>
      </c>
      <c r="BC116" s="2865">
        <f t="shared" si="655"/>
        <v>0</v>
      </c>
      <c r="BD116" s="2846">
        <f t="shared" si="656"/>
        <v>40.199535359999999</v>
      </c>
      <c r="BE116" s="2846">
        <f t="shared" si="657"/>
        <v>40.199535359999999</v>
      </c>
      <c r="BF116" s="2846">
        <f t="shared" si="657"/>
        <v>0</v>
      </c>
      <c r="BG116" s="2867">
        <f t="shared" si="658"/>
        <v>71.5</v>
      </c>
      <c r="BH116" s="2867">
        <f t="shared" si="658"/>
        <v>71.5</v>
      </c>
      <c r="BI116" s="2867">
        <f t="shared" si="658"/>
        <v>0</v>
      </c>
      <c r="BJ116" s="2867">
        <f t="shared" si="659"/>
        <v>31.300464640000001</v>
      </c>
      <c r="BK116" s="2867">
        <f t="shared" si="659"/>
        <v>31.300464640000001</v>
      </c>
      <c r="BL116" s="2867">
        <f t="shared" si="659"/>
        <v>0</v>
      </c>
      <c r="BM116" s="2845">
        <f t="shared" si="683"/>
        <v>13.39984512</v>
      </c>
      <c r="BN116" s="2845">
        <f t="shared" si="684"/>
        <v>13.39984512</v>
      </c>
      <c r="BO116" s="2845">
        <f t="shared" si="685"/>
        <v>0</v>
      </c>
      <c r="BP116" s="2865">
        <f t="shared" si="686"/>
        <v>0</v>
      </c>
      <c r="BQ116" s="2866"/>
      <c r="BR116" s="2866"/>
      <c r="BS116" s="2865">
        <f t="shared" si="687"/>
        <v>2</v>
      </c>
      <c r="BT116" s="2866">
        <v>2</v>
      </c>
      <c r="BU116" s="2866"/>
      <c r="BV116" s="2865">
        <f t="shared" si="688"/>
        <v>14.4</v>
      </c>
      <c r="BW116" s="2866">
        <v>14.4</v>
      </c>
      <c r="BX116" s="2866"/>
      <c r="BY116" s="2865">
        <f t="shared" si="663"/>
        <v>16.399999999999999</v>
      </c>
      <c r="BZ116" s="2865">
        <f t="shared" si="664"/>
        <v>16.399999999999999</v>
      </c>
      <c r="CA116" s="2865">
        <f t="shared" si="664"/>
        <v>0</v>
      </c>
      <c r="CB116" s="2846">
        <f t="shared" si="689"/>
        <v>53.599380480000001</v>
      </c>
      <c r="CC116" s="2846">
        <f>57.6*0.9305448</f>
        <v>53.599380480000001</v>
      </c>
      <c r="CD116" s="2846">
        <v>0</v>
      </c>
      <c r="CE116" s="2867">
        <f t="shared" si="665"/>
        <v>87.9</v>
      </c>
      <c r="CF116" s="2982">
        <f t="shared" si="665"/>
        <v>87.9</v>
      </c>
      <c r="CG116" s="2982">
        <f t="shared" si="665"/>
        <v>0</v>
      </c>
      <c r="CH116" s="2867">
        <f t="shared" si="666"/>
        <v>34.300619520000005</v>
      </c>
      <c r="CI116" s="2867">
        <f t="shared" si="666"/>
        <v>34.300619520000005</v>
      </c>
      <c r="CJ116" s="2867">
        <f t="shared" si="666"/>
        <v>0</v>
      </c>
      <c r="CK116" s="2863"/>
      <c r="CL116" s="4187">
        <f t="shared" si="542"/>
        <v>53.599380480000001</v>
      </c>
      <c r="CM116" s="4187">
        <f t="shared" si="543"/>
        <v>53.599380480000001</v>
      </c>
      <c r="CN116" s="4187">
        <f t="shared" si="544"/>
        <v>0</v>
      </c>
    </row>
    <row r="117" spans="1:92" ht="18.75" customHeight="1" x14ac:dyDescent="0.3">
      <c r="A117" s="2873" t="s">
        <v>591</v>
      </c>
      <c r="B117" s="2845">
        <f t="shared" si="634"/>
        <v>12.308781341999998</v>
      </c>
      <c r="C117" s="2845">
        <f t="shared" ref="C117:M117" si="690">SUM(C118)</f>
        <v>12.308781341999998</v>
      </c>
      <c r="D117" s="2845">
        <f t="shared" si="690"/>
        <v>0</v>
      </c>
      <c r="E117" s="2843">
        <f t="shared" si="690"/>
        <v>0.18</v>
      </c>
      <c r="F117" s="2843">
        <f t="shared" si="690"/>
        <v>0.18</v>
      </c>
      <c r="G117" s="2843">
        <f t="shared" si="690"/>
        <v>0</v>
      </c>
      <c r="H117" s="2843">
        <f t="shared" si="690"/>
        <v>1.34</v>
      </c>
      <c r="I117" s="2843">
        <f t="shared" si="690"/>
        <v>1.34</v>
      </c>
      <c r="J117" s="2843">
        <f t="shared" si="690"/>
        <v>0</v>
      </c>
      <c r="K117" s="2843">
        <f t="shared" si="690"/>
        <v>0.05</v>
      </c>
      <c r="L117" s="2843">
        <f t="shared" si="690"/>
        <v>0.05</v>
      </c>
      <c r="M117" s="2843">
        <f t="shared" si="690"/>
        <v>0</v>
      </c>
      <c r="N117" s="2865">
        <f t="shared" si="639"/>
        <v>1.57</v>
      </c>
      <c r="O117" s="2865">
        <f t="shared" si="640"/>
        <v>1.57</v>
      </c>
      <c r="P117" s="2865">
        <f t="shared" si="641"/>
        <v>0</v>
      </c>
      <c r="Q117" s="2845">
        <f t="shared" ref="Q117:Q118" si="691">SUM(R117:S117)</f>
        <v>12.308781341999998</v>
      </c>
      <c r="R117" s="2845">
        <f t="shared" ref="R117:S117" si="692">SUM(R118)</f>
        <v>12.308781341999998</v>
      </c>
      <c r="S117" s="2845">
        <f t="shared" si="692"/>
        <v>0</v>
      </c>
      <c r="T117" s="2843">
        <f t="shared" ref="T117:AB117" si="693">SUM(T118)</f>
        <v>2.5099999999999998</v>
      </c>
      <c r="U117" s="2843">
        <f t="shared" si="693"/>
        <v>2.5099999999999998</v>
      </c>
      <c r="V117" s="2843">
        <f t="shared" si="693"/>
        <v>0</v>
      </c>
      <c r="W117" s="2843">
        <f t="shared" si="693"/>
        <v>0.02</v>
      </c>
      <c r="X117" s="2843">
        <f t="shared" si="693"/>
        <v>0.02</v>
      </c>
      <c r="Y117" s="2843">
        <f t="shared" si="693"/>
        <v>0</v>
      </c>
      <c r="Z117" s="2843">
        <f t="shared" si="693"/>
        <v>0</v>
      </c>
      <c r="AA117" s="2843">
        <f t="shared" si="693"/>
        <v>0</v>
      </c>
      <c r="AB117" s="2843">
        <f t="shared" si="693"/>
        <v>0</v>
      </c>
      <c r="AC117" s="2865">
        <f t="shared" si="645"/>
        <v>2.5299999999999998</v>
      </c>
      <c r="AD117" s="2865">
        <f t="shared" si="646"/>
        <v>2.5299999999999998</v>
      </c>
      <c r="AE117" s="2865">
        <f t="shared" si="646"/>
        <v>0</v>
      </c>
      <c r="AF117" s="2846">
        <f t="shared" si="647"/>
        <v>24.617562683999996</v>
      </c>
      <c r="AG117" s="2846">
        <f t="shared" si="648"/>
        <v>24.617562683999996</v>
      </c>
      <c r="AH117" s="2846">
        <f t="shared" si="648"/>
        <v>0</v>
      </c>
      <c r="AI117" s="2867">
        <f t="shared" si="649"/>
        <v>4.0999999999999996</v>
      </c>
      <c r="AJ117" s="2867">
        <f t="shared" si="649"/>
        <v>4.0999999999999996</v>
      </c>
      <c r="AK117" s="2867">
        <f t="shared" si="649"/>
        <v>0</v>
      </c>
      <c r="AL117" s="2867">
        <f t="shared" si="650"/>
        <v>-20.517562683999998</v>
      </c>
      <c r="AM117" s="2867">
        <f t="shared" si="650"/>
        <v>-20.517562683999998</v>
      </c>
      <c r="AN117" s="2867">
        <f t="shared" si="650"/>
        <v>0</v>
      </c>
      <c r="AO117" s="2845">
        <f t="shared" si="677"/>
        <v>12.308781341999998</v>
      </c>
      <c r="AP117" s="2845">
        <f t="shared" ref="AP117:AQ117" si="694">SUM(AP118)</f>
        <v>12.308781341999998</v>
      </c>
      <c r="AQ117" s="2845">
        <f t="shared" si="694"/>
        <v>0</v>
      </c>
      <c r="AR117" s="2843">
        <f t="shared" ref="AR117:AZ117" si="695">SUM(AR118)</f>
        <v>0.06</v>
      </c>
      <c r="AS117" s="2843">
        <f t="shared" si="695"/>
        <v>0.06</v>
      </c>
      <c r="AT117" s="2843">
        <f t="shared" si="695"/>
        <v>0</v>
      </c>
      <c r="AU117" s="2843">
        <f t="shared" si="695"/>
        <v>0.93100000000000005</v>
      </c>
      <c r="AV117" s="2843">
        <f>SUM(AV118)</f>
        <v>0.93100000000000005</v>
      </c>
      <c r="AW117" s="2843">
        <f t="shared" si="695"/>
        <v>0</v>
      </c>
      <c r="AX117" s="2843">
        <f t="shared" si="695"/>
        <v>3.1E-2</v>
      </c>
      <c r="AY117" s="2843">
        <f t="shared" si="695"/>
        <v>3.1E-2</v>
      </c>
      <c r="AZ117" s="2843">
        <f t="shared" si="695"/>
        <v>0</v>
      </c>
      <c r="BA117" s="2865">
        <f t="shared" si="654"/>
        <v>1.022</v>
      </c>
      <c r="BB117" s="2865">
        <f t="shared" si="655"/>
        <v>1.022</v>
      </c>
      <c r="BC117" s="2865">
        <f t="shared" si="655"/>
        <v>0</v>
      </c>
      <c r="BD117" s="2846">
        <f t="shared" si="656"/>
        <v>36.926344025999995</v>
      </c>
      <c r="BE117" s="2846">
        <f t="shared" si="657"/>
        <v>36.926344025999995</v>
      </c>
      <c r="BF117" s="2846">
        <f t="shared" si="657"/>
        <v>0</v>
      </c>
      <c r="BG117" s="2867">
        <f t="shared" si="658"/>
        <v>5.1219999999999999</v>
      </c>
      <c r="BH117" s="2867">
        <f t="shared" si="658"/>
        <v>5.1219999999999999</v>
      </c>
      <c r="BI117" s="2867">
        <f t="shared" si="658"/>
        <v>0</v>
      </c>
      <c r="BJ117" s="2867">
        <f t="shared" si="659"/>
        <v>-31.804344025999995</v>
      </c>
      <c r="BK117" s="2867">
        <f t="shared" si="659"/>
        <v>-31.804344025999995</v>
      </c>
      <c r="BL117" s="2867">
        <f t="shared" si="659"/>
        <v>0</v>
      </c>
      <c r="BM117" s="2845">
        <f t="shared" si="683"/>
        <v>12.308781341999998</v>
      </c>
      <c r="BN117" s="2845">
        <f t="shared" ref="BN117:BO117" si="696">SUM(BN118)</f>
        <v>12.308781341999998</v>
      </c>
      <c r="BO117" s="2845">
        <f t="shared" si="696"/>
        <v>0</v>
      </c>
      <c r="BP117" s="2843">
        <f t="shared" ref="BP117:BX117" si="697">SUM(BP118)</f>
        <v>0.03</v>
      </c>
      <c r="BQ117" s="2843">
        <f t="shared" si="697"/>
        <v>0.03</v>
      </c>
      <c r="BR117" s="2843">
        <f t="shared" si="697"/>
        <v>0</v>
      </c>
      <c r="BS117" s="2843">
        <f t="shared" si="697"/>
        <v>15.675000000000001</v>
      </c>
      <c r="BT117" s="2843">
        <f t="shared" si="697"/>
        <v>15.675000000000001</v>
      </c>
      <c r="BU117" s="2843">
        <f t="shared" si="697"/>
        <v>0</v>
      </c>
      <c r="BV117" s="2843">
        <f t="shared" si="697"/>
        <v>-0.05</v>
      </c>
      <c r="BW117" s="2843">
        <f t="shared" si="697"/>
        <v>-0.05</v>
      </c>
      <c r="BX117" s="2843">
        <f t="shared" si="697"/>
        <v>0</v>
      </c>
      <c r="BY117" s="2865">
        <f t="shared" si="663"/>
        <v>15.654999999999999</v>
      </c>
      <c r="BZ117" s="2865">
        <f t="shared" si="664"/>
        <v>15.654999999999999</v>
      </c>
      <c r="CA117" s="2865">
        <f t="shared" si="664"/>
        <v>0</v>
      </c>
      <c r="CB117" s="2846">
        <f>SUM(CC117:CD117)</f>
        <v>49.235125367999991</v>
      </c>
      <c r="CC117" s="2846">
        <f>SUM(CC118)</f>
        <v>49.235125367999991</v>
      </c>
      <c r="CD117" s="2846">
        <f>SUM(CD118)</f>
        <v>0</v>
      </c>
      <c r="CE117" s="2867">
        <f t="shared" si="665"/>
        <v>20.777000000000001</v>
      </c>
      <c r="CF117" s="2982">
        <f t="shared" si="665"/>
        <v>20.777000000000001</v>
      </c>
      <c r="CG117" s="2982">
        <f t="shared" si="665"/>
        <v>0</v>
      </c>
      <c r="CH117" s="2867">
        <f t="shared" si="666"/>
        <v>-28.45812536799999</v>
      </c>
      <c r="CI117" s="2867">
        <f t="shared" si="666"/>
        <v>-28.45812536799999</v>
      </c>
      <c r="CJ117" s="2867">
        <f t="shared" si="666"/>
        <v>0</v>
      </c>
      <c r="CK117" s="2863"/>
      <c r="CL117" s="4187">
        <f t="shared" si="542"/>
        <v>49.235125367999991</v>
      </c>
      <c r="CM117" s="4187">
        <f t="shared" si="543"/>
        <v>49.235125367999991</v>
      </c>
      <c r="CN117" s="4187">
        <f t="shared" si="544"/>
        <v>0</v>
      </c>
    </row>
    <row r="118" spans="1:92" ht="18.75" customHeight="1" x14ac:dyDescent="0.3">
      <c r="A118" s="2874" t="s">
        <v>548</v>
      </c>
      <c r="B118" s="2853">
        <f t="shared" ref="B118" si="698">SUM(C118:D118)</f>
        <v>12.308781341999998</v>
      </c>
      <c r="C118" s="2853">
        <f t="shared" ref="C118" si="699">SUM(CC118/4)</f>
        <v>12.308781341999998</v>
      </c>
      <c r="D118" s="2853">
        <f t="shared" ref="D118" si="700">SUM(CD118/4)</f>
        <v>0</v>
      </c>
      <c r="E118" s="2875">
        <f t="shared" si="669"/>
        <v>0.18</v>
      </c>
      <c r="F118" s="2876">
        <v>0.18</v>
      </c>
      <c r="G118" s="2876"/>
      <c r="H118" s="2875">
        <f t="shared" ref="H118" si="701">SUM(I118:J118)</f>
        <v>1.34</v>
      </c>
      <c r="I118" s="2876">
        <v>1.34</v>
      </c>
      <c r="J118" s="2876"/>
      <c r="K118" s="2875">
        <f t="shared" ref="K118" si="702">SUM(L118:M118)</f>
        <v>0.05</v>
      </c>
      <c r="L118" s="2876">
        <v>0.05</v>
      </c>
      <c r="M118" s="2876"/>
      <c r="N118" s="2875">
        <f t="shared" si="639"/>
        <v>1.57</v>
      </c>
      <c r="O118" s="2875">
        <f t="shared" si="640"/>
        <v>1.57</v>
      </c>
      <c r="P118" s="2875">
        <f t="shared" si="641"/>
        <v>0</v>
      </c>
      <c r="Q118" s="2853">
        <f t="shared" si="691"/>
        <v>12.308781341999998</v>
      </c>
      <c r="R118" s="2853">
        <f t="shared" ref="R118" si="703">SUM(C118)</f>
        <v>12.308781341999998</v>
      </c>
      <c r="S118" s="2853">
        <f t="shared" ref="S118" si="704">SUM(D118)</f>
        <v>0</v>
      </c>
      <c r="T118" s="2875">
        <f t="shared" ref="T118" si="705">SUM(U118:V118)</f>
        <v>2.5099999999999998</v>
      </c>
      <c r="U118" s="2876">
        <v>2.5099999999999998</v>
      </c>
      <c r="V118" s="2876"/>
      <c r="W118" s="2875">
        <f t="shared" ref="W118" si="706">SUM(X118:Y118)</f>
        <v>0.02</v>
      </c>
      <c r="X118" s="2876">
        <v>0.02</v>
      </c>
      <c r="Y118" s="2876"/>
      <c r="Z118" s="2875">
        <f t="shared" ref="Z118" si="707">SUM(AA118:AB118)</f>
        <v>0</v>
      </c>
      <c r="AA118" s="2876"/>
      <c r="AB118" s="2876"/>
      <c r="AC118" s="2875">
        <f t="shared" si="645"/>
        <v>2.5299999999999998</v>
      </c>
      <c r="AD118" s="2875">
        <f t="shared" si="646"/>
        <v>2.5299999999999998</v>
      </c>
      <c r="AE118" s="2875">
        <f t="shared" si="646"/>
        <v>0</v>
      </c>
      <c r="AF118" s="2856">
        <f t="shared" si="647"/>
        <v>24.617562683999996</v>
      </c>
      <c r="AG118" s="2856">
        <f t="shared" si="648"/>
        <v>24.617562683999996</v>
      </c>
      <c r="AH118" s="2856">
        <f t="shared" si="648"/>
        <v>0</v>
      </c>
      <c r="AI118" s="2870">
        <f t="shared" si="649"/>
        <v>4.0999999999999996</v>
      </c>
      <c r="AJ118" s="2870">
        <f t="shared" si="649"/>
        <v>4.0999999999999996</v>
      </c>
      <c r="AK118" s="2870">
        <f t="shared" si="649"/>
        <v>0</v>
      </c>
      <c r="AL118" s="2870">
        <f t="shared" si="650"/>
        <v>-20.517562683999998</v>
      </c>
      <c r="AM118" s="2870">
        <f t="shared" si="650"/>
        <v>-20.517562683999998</v>
      </c>
      <c r="AN118" s="2870">
        <f t="shared" si="650"/>
        <v>0</v>
      </c>
      <c r="AO118" s="2853">
        <f t="shared" si="677"/>
        <v>12.308781341999998</v>
      </c>
      <c r="AP118" s="2853">
        <f t="shared" ref="AP118" si="708">SUM(CC118-AG118)/2</f>
        <v>12.308781341999998</v>
      </c>
      <c r="AQ118" s="2853">
        <f t="shared" ref="AQ118" si="709">SUM(CD118-AH118)/2</f>
        <v>0</v>
      </c>
      <c r="AR118" s="2875">
        <f t="shared" ref="AR118" si="710">SUM(AS118:AT118)</f>
        <v>0.06</v>
      </c>
      <c r="AS118" s="2876">
        <v>0.06</v>
      </c>
      <c r="AT118" s="2876"/>
      <c r="AU118" s="2875">
        <f t="shared" ref="AU118" si="711">SUM(AV118:AW118)</f>
        <v>0.93100000000000005</v>
      </c>
      <c r="AV118" s="2876">
        <v>0.93100000000000005</v>
      </c>
      <c r="AW118" s="2876"/>
      <c r="AX118" s="2875">
        <f t="shared" ref="AX118" si="712">SUM(AY118:AZ118)</f>
        <v>3.1E-2</v>
      </c>
      <c r="AY118" s="2876">
        <v>3.1E-2</v>
      </c>
      <c r="AZ118" s="2876"/>
      <c r="BA118" s="2875">
        <f t="shared" si="654"/>
        <v>1.022</v>
      </c>
      <c r="BB118" s="2875">
        <f t="shared" si="655"/>
        <v>1.022</v>
      </c>
      <c r="BC118" s="2875">
        <f t="shared" si="655"/>
        <v>0</v>
      </c>
      <c r="BD118" s="2856">
        <f t="shared" si="656"/>
        <v>36.926344025999995</v>
      </c>
      <c r="BE118" s="2856">
        <f t="shared" si="657"/>
        <v>36.926344025999995</v>
      </c>
      <c r="BF118" s="2856">
        <f t="shared" si="657"/>
        <v>0</v>
      </c>
      <c r="BG118" s="2870">
        <f t="shared" si="658"/>
        <v>5.1219999999999999</v>
      </c>
      <c r="BH118" s="2870">
        <f t="shared" si="658"/>
        <v>5.1219999999999999</v>
      </c>
      <c r="BI118" s="2870">
        <f t="shared" si="658"/>
        <v>0</v>
      </c>
      <c r="BJ118" s="2870">
        <f t="shared" si="659"/>
        <v>-31.804344025999995</v>
      </c>
      <c r="BK118" s="2870">
        <f t="shared" si="659"/>
        <v>-31.804344025999995</v>
      </c>
      <c r="BL118" s="2870">
        <f t="shared" si="659"/>
        <v>0</v>
      </c>
      <c r="BM118" s="2853">
        <f t="shared" si="683"/>
        <v>12.308781341999998</v>
      </c>
      <c r="BN118" s="2853">
        <f t="shared" ref="BN118" si="713">SUM(AP118)</f>
        <v>12.308781341999998</v>
      </c>
      <c r="BO118" s="2853">
        <f t="shared" ref="BO118" si="714">SUM(AQ118)</f>
        <v>0</v>
      </c>
      <c r="BP118" s="2875">
        <f t="shared" ref="BP118" si="715">SUM(BQ118:BR118)</f>
        <v>0.03</v>
      </c>
      <c r="BQ118" s="2876">
        <v>0.03</v>
      </c>
      <c r="BR118" s="2876"/>
      <c r="BS118" s="2875">
        <f t="shared" ref="BS118" si="716">SUM(BT118:BU118)</f>
        <v>15.675000000000001</v>
      </c>
      <c r="BT118" s="2876">
        <v>15.675000000000001</v>
      </c>
      <c r="BU118" s="2876"/>
      <c r="BV118" s="2875">
        <f t="shared" ref="BV118" si="717">SUM(BW118:BX118)</f>
        <v>-0.05</v>
      </c>
      <c r="BW118" s="2876">
        <v>-0.05</v>
      </c>
      <c r="BX118" s="2876"/>
      <c r="BY118" s="2875">
        <f t="shared" si="663"/>
        <v>15.654999999999999</v>
      </c>
      <c r="BZ118" s="2875">
        <f t="shared" si="664"/>
        <v>15.654999999999999</v>
      </c>
      <c r="CA118" s="2875">
        <f t="shared" si="664"/>
        <v>0</v>
      </c>
      <c r="CB118" s="2856">
        <f>SUM(CC118:CD118)</f>
        <v>49.235125367999991</v>
      </c>
      <c r="CC118" s="2856">
        <f>52.91*0.9305448</f>
        <v>49.235125367999991</v>
      </c>
      <c r="CD118" s="2856">
        <v>0</v>
      </c>
      <c r="CE118" s="2870">
        <f t="shared" si="665"/>
        <v>20.777000000000001</v>
      </c>
      <c r="CF118" s="2991">
        <f t="shared" si="665"/>
        <v>20.777000000000001</v>
      </c>
      <c r="CG118" s="2991">
        <f t="shared" si="665"/>
        <v>0</v>
      </c>
      <c r="CH118" s="2870">
        <f t="shared" si="666"/>
        <v>-28.45812536799999</v>
      </c>
      <c r="CI118" s="2870">
        <f t="shared" si="666"/>
        <v>-28.45812536799999</v>
      </c>
      <c r="CJ118" s="2870">
        <f t="shared" si="666"/>
        <v>0</v>
      </c>
      <c r="CK118" s="2863"/>
      <c r="CL118" s="4187">
        <f t="shared" si="542"/>
        <v>49.235125367999991</v>
      </c>
      <c r="CM118" s="4187">
        <f t="shared" si="543"/>
        <v>49.235125367999991</v>
      </c>
      <c r="CN118" s="4187">
        <f t="shared" si="544"/>
        <v>0</v>
      </c>
    </row>
    <row r="119" spans="1:92" ht="18.75" customHeight="1" x14ac:dyDescent="0.3">
      <c r="A119" s="2873" t="s">
        <v>594</v>
      </c>
      <c r="B119" s="2845">
        <f t="shared" si="634"/>
        <v>64.607725463999998</v>
      </c>
      <c r="C119" s="2845">
        <f t="shared" ref="C119:D119" si="718">SUM(C120:C122)</f>
        <v>64.607725463999998</v>
      </c>
      <c r="D119" s="2845">
        <f t="shared" si="718"/>
        <v>0</v>
      </c>
      <c r="E119" s="2843">
        <f t="shared" ref="E119:M119" si="719">SUM(E120:E122)</f>
        <v>0</v>
      </c>
      <c r="F119" s="2843">
        <f>SUM(F120:F122)</f>
        <v>0</v>
      </c>
      <c r="G119" s="2843">
        <f t="shared" si="719"/>
        <v>0</v>
      </c>
      <c r="H119" s="2843">
        <f t="shared" si="719"/>
        <v>8.8000000000000007</v>
      </c>
      <c r="I119" s="2843">
        <f t="shared" si="719"/>
        <v>8.8000000000000007</v>
      </c>
      <c r="J119" s="2843">
        <f t="shared" si="719"/>
        <v>0</v>
      </c>
      <c r="K119" s="2843">
        <f t="shared" si="719"/>
        <v>26.900000000000002</v>
      </c>
      <c r="L119" s="2843">
        <f t="shared" si="719"/>
        <v>26.900000000000002</v>
      </c>
      <c r="M119" s="2843">
        <f t="shared" si="719"/>
        <v>0</v>
      </c>
      <c r="N119" s="2865">
        <f t="shared" si="639"/>
        <v>35.700000000000003</v>
      </c>
      <c r="O119" s="2865">
        <f t="shared" si="640"/>
        <v>35.700000000000003</v>
      </c>
      <c r="P119" s="2865">
        <f t="shared" si="641"/>
        <v>0</v>
      </c>
      <c r="Q119" s="2845">
        <f t="shared" ref="Q119:Q149" si="720">SUM(R119:S119)</f>
        <v>64.607725463999998</v>
      </c>
      <c r="R119" s="2845">
        <f t="shared" ref="R119:AB119" si="721">SUM(R120:R122)</f>
        <v>64.607725463999998</v>
      </c>
      <c r="S119" s="2845">
        <f t="shared" si="721"/>
        <v>0</v>
      </c>
      <c r="T119" s="2843">
        <f t="shared" si="721"/>
        <v>42.81</v>
      </c>
      <c r="U119" s="2843">
        <f t="shared" si="721"/>
        <v>42.81</v>
      </c>
      <c r="V119" s="2843">
        <f t="shared" si="721"/>
        <v>0</v>
      </c>
      <c r="W119" s="2843">
        <f t="shared" si="721"/>
        <v>5.1999999999999993</v>
      </c>
      <c r="X119" s="2843">
        <f t="shared" si="721"/>
        <v>5.1999999999999993</v>
      </c>
      <c r="Y119" s="2843">
        <f t="shared" si="721"/>
        <v>0</v>
      </c>
      <c r="Z119" s="2843">
        <f t="shared" si="721"/>
        <v>23.340999999999998</v>
      </c>
      <c r="AA119" s="2843">
        <f t="shared" si="721"/>
        <v>23.340999999999998</v>
      </c>
      <c r="AB119" s="2843">
        <f t="shared" si="721"/>
        <v>0</v>
      </c>
      <c r="AC119" s="2865">
        <f t="shared" si="645"/>
        <v>71.350999999999999</v>
      </c>
      <c r="AD119" s="2865">
        <f t="shared" si="646"/>
        <v>71.350999999999999</v>
      </c>
      <c r="AE119" s="2865">
        <f t="shared" si="646"/>
        <v>0</v>
      </c>
      <c r="AF119" s="2846">
        <f t="shared" si="647"/>
        <v>129.215450928</v>
      </c>
      <c r="AG119" s="2846">
        <f t="shared" si="648"/>
        <v>129.215450928</v>
      </c>
      <c r="AH119" s="2846">
        <f t="shared" si="648"/>
        <v>0</v>
      </c>
      <c r="AI119" s="2867">
        <f t="shared" si="649"/>
        <v>107.051</v>
      </c>
      <c r="AJ119" s="2867">
        <f t="shared" si="649"/>
        <v>107.051</v>
      </c>
      <c r="AK119" s="2867">
        <f t="shared" si="649"/>
        <v>0</v>
      </c>
      <c r="AL119" s="2867">
        <f t="shared" si="650"/>
        <v>-22.164450927999994</v>
      </c>
      <c r="AM119" s="2867">
        <f t="shared" si="650"/>
        <v>-22.164450927999994</v>
      </c>
      <c r="AN119" s="2867">
        <f t="shared" si="650"/>
        <v>0</v>
      </c>
      <c r="AO119" s="2845">
        <f t="shared" si="677"/>
        <v>64.607725463999998</v>
      </c>
      <c r="AP119" s="2845">
        <f t="shared" ref="AP119:AZ119" si="722">SUM(AP120:AP122)</f>
        <v>64.607725463999998</v>
      </c>
      <c r="AQ119" s="2845">
        <f t="shared" si="722"/>
        <v>0</v>
      </c>
      <c r="AR119" s="2843">
        <f t="shared" si="722"/>
        <v>79.55</v>
      </c>
      <c r="AS119" s="2843">
        <f t="shared" si="722"/>
        <v>79.55</v>
      </c>
      <c r="AT119" s="2843">
        <f t="shared" si="722"/>
        <v>0</v>
      </c>
      <c r="AU119" s="2843">
        <f t="shared" si="722"/>
        <v>5.4499999999999993</v>
      </c>
      <c r="AV119" s="2843">
        <f t="shared" si="722"/>
        <v>5.4499999999999993</v>
      </c>
      <c r="AW119" s="2843">
        <f t="shared" si="722"/>
        <v>0</v>
      </c>
      <c r="AX119" s="2843">
        <f t="shared" si="722"/>
        <v>0</v>
      </c>
      <c r="AY119" s="2843">
        <f t="shared" si="722"/>
        <v>0</v>
      </c>
      <c r="AZ119" s="2843">
        <f t="shared" si="722"/>
        <v>0</v>
      </c>
      <c r="BA119" s="2865">
        <f t="shared" si="654"/>
        <v>85</v>
      </c>
      <c r="BB119" s="2865">
        <f t="shared" si="655"/>
        <v>85</v>
      </c>
      <c r="BC119" s="2865">
        <f t="shared" si="655"/>
        <v>0</v>
      </c>
      <c r="BD119" s="2846">
        <f t="shared" si="656"/>
        <v>193.82317639199999</v>
      </c>
      <c r="BE119" s="2846">
        <f t="shared" si="657"/>
        <v>193.82317639199999</v>
      </c>
      <c r="BF119" s="2846">
        <f t="shared" si="657"/>
        <v>0</v>
      </c>
      <c r="BG119" s="2867">
        <f t="shared" si="658"/>
        <v>192.05099999999999</v>
      </c>
      <c r="BH119" s="2867">
        <f t="shared" si="658"/>
        <v>192.05099999999999</v>
      </c>
      <c r="BI119" s="2867">
        <f t="shared" si="658"/>
        <v>0</v>
      </c>
      <c r="BJ119" s="2867">
        <f t="shared" si="659"/>
        <v>-1.7721763920000058</v>
      </c>
      <c r="BK119" s="2867">
        <f t="shared" si="659"/>
        <v>-1.7721763920000058</v>
      </c>
      <c r="BL119" s="2867">
        <f t="shared" si="659"/>
        <v>0</v>
      </c>
      <c r="BM119" s="2845">
        <f t="shared" si="683"/>
        <v>64.607725463999998</v>
      </c>
      <c r="BN119" s="2845">
        <f t="shared" ref="BN119:BX119" si="723">SUM(BN120:BN122)</f>
        <v>64.607725463999998</v>
      </c>
      <c r="BO119" s="2845">
        <f t="shared" si="723"/>
        <v>0</v>
      </c>
      <c r="BP119" s="2843">
        <f t="shared" si="723"/>
        <v>0</v>
      </c>
      <c r="BQ119" s="2843">
        <f t="shared" si="723"/>
        <v>0</v>
      </c>
      <c r="BR119" s="2843">
        <f t="shared" si="723"/>
        <v>0</v>
      </c>
      <c r="BS119" s="2843">
        <f t="shared" si="723"/>
        <v>29.611000000000001</v>
      </c>
      <c r="BT119" s="2843">
        <f t="shared" si="723"/>
        <v>29.611000000000001</v>
      </c>
      <c r="BU119" s="2843">
        <f t="shared" si="723"/>
        <v>0</v>
      </c>
      <c r="BV119" s="2843">
        <f t="shared" si="723"/>
        <v>0</v>
      </c>
      <c r="BW119" s="2843">
        <f t="shared" si="723"/>
        <v>0</v>
      </c>
      <c r="BX119" s="2843">
        <f t="shared" si="723"/>
        <v>0</v>
      </c>
      <c r="BY119" s="2865">
        <f t="shared" si="663"/>
        <v>29.611000000000001</v>
      </c>
      <c r="BZ119" s="2865">
        <f t="shared" si="664"/>
        <v>29.611000000000001</v>
      </c>
      <c r="CA119" s="2865">
        <f t="shared" si="664"/>
        <v>0</v>
      </c>
      <c r="CB119" s="2846">
        <f>SUM(CC119:CD119)</f>
        <v>258.43090185599999</v>
      </c>
      <c r="CC119" s="2846">
        <f>SUM(CC120:CC122)</f>
        <v>258.43090185599999</v>
      </c>
      <c r="CD119" s="2846">
        <f>SUM(CD120:CD122)</f>
        <v>0</v>
      </c>
      <c r="CE119" s="2867">
        <f t="shared" si="665"/>
        <v>221.66199999999998</v>
      </c>
      <c r="CF119" s="2982">
        <f t="shared" si="665"/>
        <v>221.66199999999998</v>
      </c>
      <c r="CG119" s="2982">
        <f t="shared" si="665"/>
        <v>0</v>
      </c>
      <c r="CH119" s="2867">
        <f t="shared" si="666"/>
        <v>-36.768901856000014</v>
      </c>
      <c r="CI119" s="2867">
        <f t="shared" si="666"/>
        <v>-36.768901856000014</v>
      </c>
      <c r="CJ119" s="2867">
        <f t="shared" si="666"/>
        <v>0</v>
      </c>
      <c r="CK119" s="2863"/>
      <c r="CL119" s="4187">
        <f t="shared" si="542"/>
        <v>258.43090185599999</v>
      </c>
      <c r="CM119" s="4187">
        <f t="shared" si="543"/>
        <v>258.43090185599999</v>
      </c>
      <c r="CN119" s="4187">
        <f t="shared" si="544"/>
        <v>0</v>
      </c>
    </row>
    <row r="120" spans="1:92" ht="18.75" customHeight="1" x14ac:dyDescent="0.3">
      <c r="A120" s="2874" t="s">
        <v>534</v>
      </c>
      <c r="B120" s="2853">
        <f t="shared" si="634"/>
        <v>25.992442625999999</v>
      </c>
      <c r="C120" s="2853">
        <f t="shared" ref="C120:C122" si="724">SUM(CC120/4)</f>
        <v>25.992442625999999</v>
      </c>
      <c r="D120" s="2853">
        <f t="shared" ref="D120:D122" si="725">SUM(CD120/4)</f>
        <v>0</v>
      </c>
      <c r="E120" s="2875">
        <f t="shared" si="669"/>
        <v>0</v>
      </c>
      <c r="F120" s="2876"/>
      <c r="G120" s="2876"/>
      <c r="H120" s="2875">
        <f t="shared" ref="H120:H128" si="726">SUM(I120:J120)</f>
        <v>0</v>
      </c>
      <c r="I120" s="2876"/>
      <c r="J120" s="2876"/>
      <c r="K120" s="2875">
        <f t="shared" ref="K120:K128" si="727">SUM(L120:M120)</f>
        <v>0</v>
      </c>
      <c r="L120" s="2876"/>
      <c r="M120" s="2876"/>
      <c r="N120" s="2875">
        <f t="shared" si="639"/>
        <v>0</v>
      </c>
      <c r="O120" s="2875">
        <f t="shared" si="640"/>
        <v>0</v>
      </c>
      <c r="P120" s="2875">
        <f t="shared" si="641"/>
        <v>0</v>
      </c>
      <c r="Q120" s="2853">
        <f t="shared" si="720"/>
        <v>25.992442625999999</v>
      </c>
      <c r="R120" s="2853">
        <f t="shared" ref="R120:R122" si="728">SUM(C120)</f>
        <v>25.992442625999999</v>
      </c>
      <c r="S120" s="2853">
        <f t="shared" ref="S120:S122" si="729">SUM(D120)</f>
        <v>0</v>
      </c>
      <c r="T120" s="2875">
        <f t="shared" ref="T120:T128" si="730">SUM(U120:V120)</f>
        <v>37.36</v>
      </c>
      <c r="U120" s="2876">
        <f>26.96+10.4</f>
        <v>37.36</v>
      </c>
      <c r="V120" s="2876"/>
      <c r="W120" s="2875">
        <f t="shared" ref="W120:W128" si="731">SUM(X120:Y120)</f>
        <v>0</v>
      </c>
      <c r="X120" s="2876"/>
      <c r="Y120" s="2876"/>
      <c r="Z120" s="2875">
        <f t="shared" ref="Z120:Z128" si="732">SUM(AA120:AB120)</f>
        <v>22.640999999999998</v>
      </c>
      <c r="AA120" s="2876">
        <v>22.640999999999998</v>
      </c>
      <c r="AB120" s="2876"/>
      <c r="AC120" s="2875">
        <f t="shared" si="645"/>
        <v>60.000999999999998</v>
      </c>
      <c r="AD120" s="2875">
        <f t="shared" si="646"/>
        <v>60.000999999999998</v>
      </c>
      <c r="AE120" s="2875">
        <f t="shared" si="646"/>
        <v>0</v>
      </c>
      <c r="AF120" s="2856">
        <f t="shared" si="647"/>
        <v>51.984885251999998</v>
      </c>
      <c r="AG120" s="2856">
        <f t="shared" si="648"/>
        <v>51.984885251999998</v>
      </c>
      <c r="AH120" s="2856">
        <f t="shared" si="648"/>
        <v>0</v>
      </c>
      <c r="AI120" s="2870">
        <f t="shared" si="649"/>
        <v>60.000999999999998</v>
      </c>
      <c r="AJ120" s="2870">
        <f t="shared" si="649"/>
        <v>60.000999999999998</v>
      </c>
      <c r="AK120" s="2870">
        <f t="shared" si="649"/>
        <v>0</v>
      </c>
      <c r="AL120" s="2870">
        <f t="shared" si="650"/>
        <v>8.0161147479999997</v>
      </c>
      <c r="AM120" s="2870">
        <f t="shared" si="650"/>
        <v>8.0161147479999997</v>
      </c>
      <c r="AN120" s="2870">
        <f t="shared" si="650"/>
        <v>0</v>
      </c>
      <c r="AO120" s="2853">
        <f t="shared" ref="AO120:AO123" si="733">SUM(AP120:AQ120)</f>
        <v>25.992442625999999</v>
      </c>
      <c r="AP120" s="2853">
        <f t="shared" ref="AP120:AP122" si="734">SUM(CC120-AG120)/2</f>
        <v>25.992442625999999</v>
      </c>
      <c r="AQ120" s="2853">
        <f t="shared" ref="AQ120:AQ122" si="735">SUM(CD120-AH120)/2</f>
        <v>0</v>
      </c>
      <c r="AR120" s="2875">
        <f t="shared" ref="AR120:AR128" si="736">SUM(AS120:AT120)</f>
        <v>79.55</v>
      </c>
      <c r="AS120" s="2876">
        <v>79.55</v>
      </c>
      <c r="AT120" s="2876"/>
      <c r="AU120" s="2875">
        <f t="shared" ref="AU120:AU128" si="737">SUM(AV120:AW120)</f>
        <v>0</v>
      </c>
      <c r="AV120" s="2876"/>
      <c r="AW120" s="2876"/>
      <c r="AX120" s="2875">
        <f t="shared" ref="AX120:AX128" si="738">SUM(AY120:AZ120)</f>
        <v>0</v>
      </c>
      <c r="AY120" s="2876"/>
      <c r="AZ120" s="2876"/>
      <c r="BA120" s="2875">
        <f t="shared" si="654"/>
        <v>79.55</v>
      </c>
      <c r="BB120" s="2875">
        <f t="shared" si="655"/>
        <v>79.55</v>
      </c>
      <c r="BC120" s="2875">
        <f t="shared" si="655"/>
        <v>0</v>
      </c>
      <c r="BD120" s="2856">
        <f t="shared" si="656"/>
        <v>77.977327877999997</v>
      </c>
      <c r="BE120" s="2856">
        <f t="shared" si="657"/>
        <v>77.977327877999997</v>
      </c>
      <c r="BF120" s="2856">
        <f t="shared" si="657"/>
        <v>0</v>
      </c>
      <c r="BG120" s="2870">
        <f t="shared" si="658"/>
        <v>139.55099999999999</v>
      </c>
      <c r="BH120" s="2870">
        <f t="shared" si="658"/>
        <v>139.55099999999999</v>
      </c>
      <c r="BI120" s="2870">
        <f t="shared" si="658"/>
        <v>0</v>
      </c>
      <c r="BJ120" s="2870">
        <f t="shared" si="659"/>
        <v>61.573672121999991</v>
      </c>
      <c r="BK120" s="2870">
        <f t="shared" si="659"/>
        <v>61.573672121999991</v>
      </c>
      <c r="BL120" s="2870">
        <f t="shared" si="659"/>
        <v>0</v>
      </c>
      <c r="BM120" s="2853">
        <f t="shared" si="683"/>
        <v>25.992442625999999</v>
      </c>
      <c r="BN120" s="2853">
        <f t="shared" ref="BN120:BN122" si="739">SUM(AP120)</f>
        <v>25.992442625999999</v>
      </c>
      <c r="BO120" s="2853">
        <f t="shared" ref="BO120:BO122" si="740">SUM(AQ120)</f>
        <v>0</v>
      </c>
      <c r="BP120" s="2875">
        <f t="shared" ref="BP120:BP128" si="741">SUM(BQ120:BR120)</f>
        <v>0</v>
      </c>
      <c r="BQ120" s="2876"/>
      <c r="BR120" s="2876"/>
      <c r="BS120" s="2875">
        <f t="shared" ref="BS120:BS128" si="742">SUM(BT120:BU120)</f>
        <v>29.611000000000001</v>
      </c>
      <c r="BT120" s="2876">
        <v>29.611000000000001</v>
      </c>
      <c r="BU120" s="2876"/>
      <c r="BV120" s="2875">
        <f t="shared" ref="BV120:BV128" si="743">SUM(BW120:BX120)</f>
        <v>0</v>
      </c>
      <c r="BW120" s="2876"/>
      <c r="BX120" s="2876"/>
      <c r="BY120" s="2875">
        <f t="shared" si="663"/>
        <v>29.611000000000001</v>
      </c>
      <c r="BZ120" s="2875">
        <f t="shared" si="664"/>
        <v>29.611000000000001</v>
      </c>
      <c r="CA120" s="2875">
        <f t="shared" si="664"/>
        <v>0</v>
      </c>
      <c r="CB120" s="2856">
        <f t="shared" ref="CB120:CB122" si="744">SUM(CC120:CD120)</f>
        <v>103.969770504</v>
      </c>
      <c r="CC120" s="2856">
        <f>111.73*0.9305448</f>
        <v>103.969770504</v>
      </c>
      <c r="CD120" s="2856">
        <v>0</v>
      </c>
      <c r="CE120" s="2870">
        <f t="shared" si="665"/>
        <v>169.16199999999998</v>
      </c>
      <c r="CF120" s="2991">
        <f t="shared" si="665"/>
        <v>169.16199999999998</v>
      </c>
      <c r="CG120" s="2991">
        <f t="shared" si="665"/>
        <v>0</v>
      </c>
      <c r="CH120" s="2870">
        <f t="shared" si="666"/>
        <v>65.192229495999982</v>
      </c>
      <c r="CI120" s="2870">
        <f t="shared" si="666"/>
        <v>65.192229495999982</v>
      </c>
      <c r="CJ120" s="2870">
        <f t="shared" si="666"/>
        <v>0</v>
      </c>
      <c r="CK120" s="2863"/>
      <c r="CL120" s="4187">
        <f t="shared" si="542"/>
        <v>103.969770504</v>
      </c>
      <c r="CM120" s="4187">
        <f t="shared" si="543"/>
        <v>103.969770504</v>
      </c>
      <c r="CN120" s="4187">
        <f t="shared" si="544"/>
        <v>0</v>
      </c>
    </row>
    <row r="121" spans="1:92" ht="18.75" customHeight="1" x14ac:dyDescent="0.3">
      <c r="A121" s="2874" t="s">
        <v>543</v>
      </c>
      <c r="B121" s="2853">
        <f t="shared" si="634"/>
        <v>38.615282837999999</v>
      </c>
      <c r="C121" s="2853">
        <f t="shared" si="724"/>
        <v>38.615282837999999</v>
      </c>
      <c r="D121" s="2853">
        <f t="shared" si="725"/>
        <v>0</v>
      </c>
      <c r="E121" s="2875">
        <f t="shared" si="669"/>
        <v>0</v>
      </c>
      <c r="F121" s="2876"/>
      <c r="G121" s="2876"/>
      <c r="H121" s="2875">
        <f t="shared" si="726"/>
        <v>8.8000000000000007</v>
      </c>
      <c r="I121" s="2876">
        <f>6+2.8</f>
        <v>8.8000000000000007</v>
      </c>
      <c r="J121" s="2876"/>
      <c r="K121" s="2875">
        <f t="shared" si="727"/>
        <v>26.6</v>
      </c>
      <c r="L121" s="2876">
        <f>21+5.6</f>
        <v>26.6</v>
      </c>
      <c r="M121" s="2876"/>
      <c r="N121" s="2875">
        <f t="shared" si="639"/>
        <v>35.400000000000006</v>
      </c>
      <c r="O121" s="2875">
        <f t="shared" si="640"/>
        <v>35.400000000000006</v>
      </c>
      <c r="P121" s="2875">
        <f t="shared" si="641"/>
        <v>0</v>
      </c>
      <c r="Q121" s="2853">
        <f t="shared" si="720"/>
        <v>38.615282837999999</v>
      </c>
      <c r="R121" s="2853">
        <f t="shared" si="728"/>
        <v>38.615282837999999</v>
      </c>
      <c r="S121" s="2853">
        <f t="shared" si="729"/>
        <v>0</v>
      </c>
      <c r="T121" s="2875">
        <f t="shared" si="730"/>
        <v>5.4499999999999993</v>
      </c>
      <c r="U121" s="2876">
        <f>4.05+1.4</f>
        <v>5.4499999999999993</v>
      </c>
      <c r="V121" s="2876"/>
      <c r="W121" s="2875">
        <f t="shared" si="731"/>
        <v>5.1999999999999993</v>
      </c>
      <c r="X121" s="2876">
        <f>3.8+1.4</f>
        <v>5.1999999999999993</v>
      </c>
      <c r="Y121" s="2876"/>
      <c r="Z121" s="2875">
        <f t="shared" si="732"/>
        <v>0.7</v>
      </c>
      <c r="AA121" s="2876">
        <v>0.7</v>
      </c>
      <c r="AB121" s="2876"/>
      <c r="AC121" s="2875">
        <f t="shared" si="645"/>
        <v>11.349999999999998</v>
      </c>
      <c r="AD121" s="2875">
        <f t="shared" si="646"/>
        <v>11.349999999999998</v>
      </c>
      <c r="AE121" s="2875">
        <f t="shared" si="646"/>
        <v>0</v>
      </c>
      <c r="AF121" s="2856">
        <f t="shared" si="647"/>
        <v>77.230565675999998</v>
      </c>
      <c r="AG121" s="2856">
        <f t="shared" si="648"/>
        <v>77.230565675999998</v>
      </c>
      <c r="AH121" s="2856">
        <f t="shared" si="648"/>
        <v>0</v>
      </c>
      <c r="AI121" s="2870">
        <f t="shared" si="649"/>
        <v>46.75</v>
      </c>
      <c r="AJ121" s="2870">
        <f t="shared" si="649"/>
        <v>46.75</v>
      </c>
      <c r="AK121" s="2870">
        <f t="shared" si="649"/>
        <v>0</v>
      </c>
      <c r="AL121" s="2870">
        <f t="shared" si="650"/>
        <v>-30.480565675999998</v>
      </c>
      <c r="AM121" s="2870">
        <f t="shared" si="650"/>
        <v>-30.480565675999998</v>
      </c>
      <c r="AN121" s="2870">
        <f t="shared" si="650"/>
        <v>0</v>
      </c>
      <c r="AO121" s="2853">
        <f t="shared" si="733"/>
        <v>38.615282837999999</v>
      </c>
      <c r="AP121" s="2853">
        <f t="shared" si="734"/>
        <v>38.615282837999999</v>
      </c>
      <c r="AQ121" s="2853">
        <f t="shared" si="735"/>
        <v>0</v>
      </c>
      <c r="AR121" s="2875">
        <f t="shared" si="736"/>
        <v>0</v>
      </c>
      <c r="AS121" s="2876"/>
      <c r="AT121" s="2876"/>
      <c r="AU121" s="2875">
        <f t="shared" si="737"/>
        <v>5.4499999999999993</v>
      </c>
      <c r="AV121" s="2876">
        <f>4.05+1.4</f>
        <v>5.4499999999999993</v>
      </c>
      <c r="AW121" s="2876"/>
      <c r="AX121" s="2875">
        <f t="shared" si="738"/>
        <v>0</v>
      </c>
      <c r="AY121" s="2876"/>
      <c r="AZ121" s="2876"/>
      <c r="BA121" s="2875">
        <f t="shared" si="654"/>
        <v>5.4499999999999993</v>
      </c>
      <c r="BB121" s="2875">
        <f t="shared" si="655"/>
        <v>5.4499999999999993</v>
      </c>
      <c r="BC121" s="2875">
        <f t="shared" si="655"/>
        <v>0</v>
      </c>
      <c r="BD121" s="2856">
        <f t="shared" si="656"/>
        <v>115.845848514</v>
      </c>
      <c r="BE121" s="2856">
        <f t="shared" si="657"/>
        <v>115.845848514</v>
      </c>
      <c r="BF121" s="2856">
        <f t="shared" si="657"/>
        <v>0</v>
      </c>
      <c r="BG121" s="2870">
        <f t="shared" si="658"/>
        <v>52.2</v>
      </c>
      <c r="BH121" s="2870">
        <f t="shared" si="658"/>
        <v>52.2</v>
      </c>
      <c r="BI121" s="2870">
        <f t="shared" si="658"/>
        <v>0</v>
      </c>
      <c r="BJ121" s="2870">
        <f t="shared" si="659"/>
        <v>-63.645848513999994</v>
      </c>
      <c r="BK121" s="2870">
        <f t="shared" si="659"/>
        <v>-63.645848513999994</v>
      </c>
      <c r="BL121" s="2870">
        <f t="shared" si="659"/>
        <v>0</v>
      </c>
      <c r="BM121" s="2853">
        <f t="shared" si="683"/>
        <v>38.615282837999999</v>
      </c>
      <c r="BN121" s="2853">
        <f t="shared" si="739"/>
        <v>38.615282837999999</v>
      </c>
      <c r="BO121" s="2853">
        <f t="shared" si="740"/>
        <v>0</v>
      </c>
      <c r="BP121" s="2875">
        <f t="shared" si="741"/>
        <v>0</v>
      </c>
      <c r="BQ121" s="2876"/>
      <c r="BR121" s="2876"/>
      <c r="BS121" s="2875">
        <f t="shared" si="742"/>
        <v>0</v>
      </c>
      <c r="BT121" s="2876"/>
      <c r="BU121" s="2876"/>
      <c r="BV121" s="2875">
        <f t="shared" si="743"/>
        <v>0</v>
      </c>
      <c r="BW121" s="2876"/>
      <c r="BX121" s="2876"/>
      <c r="BY121" s="2875">
        <f t="shared" si="663"/>
        <v>0</v>
      </c>
      <c r="BZ121" s="2875">
        <f t="shared" si="664"/>
        <v>0</v>
      </c>
      <c r="CA121" s="2875">
        <f t="shared" si="664"/>
        <v>0</v>
      </c>
      <c r="CB121" s="2856">
        <f t="shared" si="744"/>
        <v>154.461131352</v>
      </c>
      <c r="CC121" s="2856">
        <f>165.99*0.9305448</f>
        <v>154.461131352</v>
      </c>
      <c r="CD121" s="2856">
        <v>0</v>
      </c>
      <c r="CE121" s="2870">
        <f t="shared" si="665"/>
        <v>52.2</v>
      </c>
      <c r="CF121" s="2991">
        <f t="shared" si="665"/>
        <v>52.2</v>
      </c>
      <c r="CG121" s="2991">
        <f t="shared" si="665"/>
        <v>0</v>
      </c>
      <c r="CH121" s="2870">
        <f t="shared" si="666"/>
        <v>-102.26113135199999</v>
      </c>
      <c r="CI121" s="2870">
        <f t="shared" si="666"/>
        <v>-102.26113135199999</v>
      </c>
      <c r="CJ121" s="2870">
        <f t="shared" si="666"/>
        <v>0</v>
      </c>
      <c r="CK121" s="2863"/>
      <c r="CL121" s="4187">
        <f t="shared" si="542"/>
        <v>154.461131352</v>
      </c>
      <c r="CM121" s="4187">
        <f t="shared" si="543"/>
        <v>154.461131352</v>
      </c>
      <c r="CN121" s="4187">
        <f t="shared" si="544"/>
        <v>0</v>
      </c>
    </row>
    <row r="122" spans="1:92" ht="18.75" customHeight="1" x14ac:dyDescent="0.3">
      <c r="A122" s="2874" t="s">
        <v>598</v>
      </c>
      <c r="B122" s="2853">
        <f t="shared" si="634"/>
        <v>0</v>
      </c>
      <c r="C122" s="2853">
        <f t="shared" si="724"/>
        <v>0</v>
      </c>
      <c r="D122" s="2853">
        <f t="shared" si="725"/>
        <v>0</v>
      </c>
      <c r="E122" s="2875">
        <f t="shared" si="669"/>
        <v>0</v>
      </c>
      <c r="F122" s="2876"/>
      <c r="G122" s="2876"/>
      <c r="H122" s="2875">
        <f t="shared" si="726"/>
        <v>0</v>
      </c>
      <c r="I122" s="2876"/>
      <c r="J122" s="2876"/>
      <c r="K122" s="2875">
        <f t="shared" si="727"/>
        <v>0.3</v>
      </c>
      <c r="L122" s="2876">
        <v>0.3</v>
      </c>
      <c r="M122" s="2876"/>
      <c r="N122" s="2875">
        <f t="shared" si="639"/>
        <v>0.3</v>
      </c>
      <c r="O122" s="2875">
        <f t="shared" si="640"/>
        <v>0.3</v>
      </c>
      <c r="P122" s="2875">
        <f t="shared" si="641"/>
        <v>0</v>
      </c>
      <c r="Q122" s="2853">
        <f t="shared" si="720"/>
        <v>0</v>
      </c>
      <c r="R122" s="2853">
        <f t="shared" si="728"/>
        <v>0</v>
      </c>
      <c r="S122" s="2853">
        <f t="shared" si="729"/>
        <v>0</v>
      </c>
      <c r="T122" s="2875">
        <f t="shared" si="730"/>
        <v>0</v>
      </c>
      <c r="U122" s="2876"/>
      <c r="V122" s="2876"/>
      <c r="W122" s="2875">
        <f t="shared" si="731"/>
        <v>0</v>
      </c>
      <c r="X122" s="2876"/>
      <c r="Y122" s="2876"/>
      <c r="Z122" s="2875">
        <f t="shared" si="732"/>
        <v>0</v>
      </c>
      <c r="AA122" s="2876"/>
      <c r="AB122" s="2876"/>
      <c r="AC122" s="2875">
        <f t="shared" si="645"/>
        <v>0</v>
      </c>
      <c r="AD122" s="2875">
        <f t="shared" si="646"/>
        <v>0</v>
      </c>
      <c r="AE122" s="2875">
        <f t="shared" si="646"/>
        <v>0</v>
      </c>
      <c r="AF122" s="2856">
        <f t="shared" si="647"/>
        <v>0</v>
      </c>
      <c r="AG122" s="2856">
        <f t="shared" si="648"/>
        <v>0</v>
      </c>
      <c r="AH122" s="2856">
        <f t="shared" si="648"/>
        <v>0</v>
      </c>
      <c r="AI122" s="2870">
        <f t="shared" si="649"/>
        <v>0.3</v>
      </c>
      <c r="AJ122" s="2870">
        <f t="shared" si="649"/>
        <v>0.3</v>
      </c>
      <c r="AK122" s="2870">
        <f t="shared" si="649"/>
        <v>0</v>
      </c>
      <c r="AL122" s="2870">
        <f t="shared" si="650"/>
        <v>0.3</v>
      </c>
      <c r="AM122" s="2870">
        <f t="shared" si="650"/>
        <v>0.3</v>
      </c>
      <c r="AN122" s="2870">
        <f t="shared" si="650"/>
        <v>0</v>
      </c>
      <c r="AO122" s="2853">
        <f t="shared" si="733"/>
        <v>0</v>
      </c>
      <c r="AP122" s="2853">
        <f t="shared" si="734"/>
        <v>0</v>
      </c>
      <c r="AQ122" s="2853">
        <f t="shared" si="735"/>
        <v>0</v>
      </c>
      <c r="AR122" s="2875">
        <f t="shared" si="736"/>
        <v>0</v>
      </c>
      <c r="AS122" s="2876"/>
      <c r="AT122" s="2876"/>
      <c r="AU122" s="2875">
        <f t="shared" si="737"/>
        <v>0</v>
      </c>
      <c r="AV122" s="2876"/>
      <c r="AW122" s="2876"/>
      <c r="AX122" s="2875">
        <f t="shared" si="738"/>
        <v>0</v>
      </c>
      <c r="AY122" s="2876"/>
      <c r="AZ122" s="2876"/>
      <c r="BA122" s="2875">
        <f t="shared" si="654"/>
        <v>0</v>
      </c>
      <c r="BB122" s="2875">
        <f t="shared" si="655"/>
        <v>0</v>
      </c>
      <c r="BC122" s="2875">
        <f t="shared" si="655"/>
        <v>0</v>
      </c>
      <c r="BD122" s="2856">
        <f t="shared" si="656"/>
        <v>0</v>
      </c>
      <c r="BE122" s="2856">
        <f t="shared" si="657"/>
        <v>0</v>
      </c>
      <c r="BF122" s="2856">
        <f t="shared" si="657"/>
        <v>0</v>
      </c>
      <c r="BG122" s="2870">
        <f t="shared" si="658"/>
        <v>0.3</v>
      </c>
      <c r="BH122" s="2870">
        <f t="shared" si="658"/>
        <v>0.3</v>
      </c>
      <c r="BI122" s="2870">
        <f t="shared" si="658"/>
        <v>0</v>
      </c>
      <c r="BJ122" s="2870">
        <f t="shared" si="659"/>
        <v>0.3</v>
      </c>
      <c r="BK122" s="2870">
        <f t="shared" si="659"/>
        <v>0.3</v>
      </c>
      <c r="BL122" s="2870">
        <f t="shared" si="659"/>
        <v>0</v>
      </c>
      <c r="BM122" s="2853">
        <f t="shared" si="683"/>
        <v>0</v>
      </c>
      <c r="BN122" s="2853">
        <f t="shared" si="739"/>
        <v>0</v>
      </c>
      <c r="BO122" s="2853">
        <f t="shared" si="740"/>
        <v>0</v>
      </c>
      <c r="BP122" s="2875">
        <f t="shared" si="741"/>
        <v>0</v>
      </c>
      <c r="BQ122" s="2876"/>
      <c r="BR122" s="2876"/>
      <c r="BS122" s="2875">
        <f t="shared" si="742"/>
        <v>0</v>
      </c>
      <c r="BT122" s="2876"/>
      <c r="BU122" s="2876"/>
      <c r="BV122" s="2875">
        <f t="shared" si="743"/>
        <v>0</v>
      </c>
      <c r="BW122" s="2876"/>
      <c r="BX122" s="2876"/>
      <c r="BY122" s="2875">
        <f t="shared" si="663"/>
        <v>0</v>
      </c>
      <c r="BZ122" s="2875">
        <f t="shared" si="664"/>
        <v>0</v>
      </c>
      <c r="CA122" s="2875">
        <f t="shared" si="664"/>
        <v>0</v>
      </c>
      <c r="CB122" s="2856">
        <f t="shared" si="744"/>
        <v>0</v>
      </c>
      <c r="CC122" s="2856">
        <f>0*0.9305448</f>
        <v>0</v>
      </c>
      <c r="CD122" s="2856">
        <v>0</v>
      </c>
      <c r="CE122" s="2870">
        <f t="shared" si="665"/>
        <v>0.3</v>
      </c>
      <c r="CF122" s="2991">
        <f t="shared" si="665"/>
        <v>0.3</v>
      </c>
      <c r="CG122" s="2991">
        <f t="shared" si="665"/>
        <v>0</v>
      </c>
      <c r="CH122" s="2870">
        <f t="shared" si="666"/>
        <v>0.3</v>
      </c>
      <c r="CI122" s="2870">
        <f t="shared" si="666"/>
        <v>0.3</v>
      </c>
      <c r="CJ122" s="2870">
        <f t="shared" si="666"/>
        <v>0</v>
      </c>
      <c r="CK122" s="2863"/>
      <c r="CL122" s="4187">
        <f t="shared" si="542"/>
        <v>0</v>
      </c>
      <c r="CM122" s="4187">
        <f t="shared" si="543"/>
        <v>0</v>
      </c>
      <c r="CN122" s="4187">
        <f t="shared" si="544"/>
        <v>0</v>
      </c>
    </row>
    <row r="123" spans="1:92" ht="18.75" customHeight="1" x14ac:dyDescent="0.3">
      <c r="A123" s="2835" t="s">
        <v>523</v>
      </c>
      <c r="B123" s="2837">
        <f>SUM(C123:D123)</f>
        <v>3785.3903912819123</v>
      </c>
      <c r="C123" s="2837">
        <f t="shared" ref="C123:D123" si="745">SUM(C124:C128)+C130</f>
        <v>3785.3903912819123</v>
      </c>
      <c r="D123" s="2837">
        <f t="shared" si="745"/>
        <v>0</v>
      </c>
      <c r="E123" s="2861">
        <f t="shared" si="669"/>
        <v>1583.12779</v>
      </c>
      <c r="F123" s="2836">
        <f>SUM(F124:F128)+F130</f>
        <v>1583.12779</v>
      </c>
      <c r="G123" s="2836">
        <f t="shared" ref="G123" si="746">SUM(G124:G128)+G130</f>
        <v>0</v>
      </c>
      <c r="H123" s="2861">
        <f t="shared" si="726"/>
        <v>1527.5658800000001</v>
      </c>
      <c r="I123" s="2836">
        <f t="shared" ref="I123:J123" si="747">SUM(I124:I128)+I130</f>
        <v>1527.5658800000001</v>
      </c>
      <c r="J123" s="2836">
        <f t="shared" si="747"/>
        <v>0</v>
      </c>
      <c r="K123" s="2861">
        <f t="shared" si="727"/>
        <v>1967.2944299999999</v>
      </c>
      <c r="L123" s="2836">
        <f t="shared" ref="L123:M123" si="748">SUM(L124:L128)+L130</f>
        <v>1967.2944299999999</v>
      </c>
      <c r="M123" s="2836">
        <f t="shared" si="748"/>
        <v>0</v>
      </c>
      <c r="N123" s="2861">
        <f t="shared" si="639"/>
        <v>5077.9881000000005</v>
      </c>
      <c r="O123" s="2861">
        <f t="shared" ref="O123:O128" si="749">SUM(F123+I123+L123)</f>
        <v>5077.9881000000005</v>
      </c>
      <c r="P123" s="2861">
        <f t="shared" si="641"/>
        <v>0</v>
      </c>
      <c r="Q123" s="2837">
        <f t="shared" si="720"/>
        <v>3785.3903912819123</v>
      </c>
      <c r="R123" s="2837">
        <f t="shared" ref="R123:S123" si="750">SUM(R124:R128)+R130</f>
        <v>3785.3903912819123</v>
      </c>
      <c r="S123" s="2837">
        <f t="shared" si="750"/>
        <v>0</v>
      </c>
      <c r="T123" s="2861">
        <f t="shared" si="730"/>
        <v>1530.95</v>
      </c>
      <c r="U123" s="2836">
        <f t="shared" ref="U123:V123" si="751">SUM(U124:U128)+U130</f>
        <v>1530.95</v>
      </c>
      <c r="V123" s="2836">
        <f t="shared" si="751"/>
        <v>0</v>
      </c>
      <c r="W123" s="2861">
        <f t="shared" si="731"/>
        <v>1774.8650000000002</v>
      </c>
      <c r="X123" s="2836">
        <f t="shared" ref="X123:Y123" si="752">SUM(X124:X128)+X130</f>
        <v>1774.8650000000002</v>
      </c>
      <c r="Y123" s="2836">
        <f t="shared" si="752"/>
        <v>0</v>
      </c>
      <c r="Z123" s="2861">
        <f t="shared" si="732"/>
        <v>1721.355</v>
      </c>
      <c r="AA123" s="2836">
        <f t="shared" ref="AA123:AB123" si="753">SUM(AA124:AA128)+AA130</f>
        <v>1721.355</v>
      </c>
      <c r="AB123" s="2836">
        <f t="shared" si="753"/>
        <v>0</v>
      </c>
      <c r="AC123" s="2861">
        <f t="shared" si="645"/>
        <v>5027.17</v>
      </c>
      <c r="AD123" s="2861">
        <f t="shared" si="646"/>
        <v>5027.17</v>
      </c>
      <c r="AE123" s="2861">
        <f t="shared" si="646"/>
        <v>0</v>
      </c>
      <c r="AF123" s="2839">
        <f t="shared" si="647"/>
        <v>7570.7807825638247</v>
      </c>
      <c r="AG123" s="2839">
        <f t="shared" si="648"/>
        <v>7570.7807825638247</v>
      </c>
      <c r="AH123" s="2839">
        <f t="shared" si="648"/>
        <v>0</v>
      </c>
      <c r="AI123" s="2862">
        <f t="shared" ref="AI123:AI128" si="754">SUM(AC123+N123)</f>
        <v>10105.158100000001</v>
      </c>
      <c r="AJ123" s="2862">
        <f t="shared" ref="AJ123:AK128" si="755">SUM(AD123+O123)</f>
        <v>10105.158100000001</v>
      </c>
      <c r="AK123" s="2862">
        <f t="shared" si="755"/>
        <v>0</v>
      </c>
      <c r="AL123" s="2862">
        <f t="shared" ref="AL123:AN128" si="756">SUM(AI123-AF123)</f>
        <v>2534.3773174361759</v>
      </c>
      <c r="AM123" s="2862">
        <f t="shared" si="756"/>
        <v>2534.3773174361759</v>
      </c>
      <c r="AN123" s="2862">
        <f t="shared" si="756"/>
        <v>0</v>
      </c>
      <c r="AO123" s="2837">
        <f t="shared" si="733"/>
        <v>3785.3903912819123</v>
      </c>
      <c r="AP123" s="2837">
        <f t="shared" ref="AP123:AQ123" si="757">SUM(AP124:AP128)+AP130</f>
        <v>3785.3903912819123</v>
      </c>
      <c r="AQ123" s="2837">
        <f t="shared" si="757"/>
        <v>0</v>
      </c>
      <c r="AR123" s="2861">
        <f t="shared" si="736"/>
        <v>1789.8820000000001</v>
      </c>
      <c r="AS123" s="2836">
        <f t="shared" ref="AS123:AT123" si="758">SUM(AS124:AS128)+AS130</f>
        <v>1789.8820000000001</v>
      </c>
      <c r="AT123" s="2836">
        <f t="shared" si="758"/>
        <v>0</v>
      </c>
      <c r="AU123" s="2861">
        <f t="shared" si="737"/>
        <v>1914.1329999999998</v>
      </c>
      <c r="AV123" s="2836">
        <f t="shared" ref="AV123:AW123" si="759">SUM(AV124:AV128)+AV130</f>
        <v>1914.1329999999998</v>
      </c>
      <c r="AW123" s="2836">
        <f t="shared" si="759"/>
        <v>0</v>
      </c>
      <c r="AX123" s="2861">
        <f t="shared" si="738"/>
        <v>1911.6800000000003</v>
      </c>
      <c r="AY123" s="2836">
        <f t="shared" ref="AY123:AZ123" si="760">SUM(AY124:AY128)+AY130</f>
        <v>1911.6800000000003</v>
      </c>
      <c r="AZ123" s="2836">
        <f t="shared" si="760"/>
        <v>0</v>
      </c>
      <c r="BA123" s="2861">
        <f t="shared" si="654"/>
        <v>5615.6949999999997</v>
      </c>
      <c r="BB123" s="2861">
        <f t="shared" si="655"/>
        <v>5615.6949999999997</v>
      </c>
      <c r="BC123" s="2861">
        <f t="shared" si="655"/>
        <v>0</v>
      </c>
      <c r="BD123" s="2839">
        <f t="shared" ref="BD123:BD142" si="761">SUM(BE123:BF123)</f>
        <v>11356.171173845738</v>
      </c>
      <c r="BE123" s="2839">
        <f t="shared" ref="BE123:BE142" si="762">SUM(AG123+AP123)</f>
        <v>11356.171173845738</v>
      </c>
      <c r="BF123" s="2839">
        <f t="shared" ref="BF123:BF148" si="763">SUM(AH123+AQ123)</f>
        <v>0</v>
      </c>
      <c r="BG123" s="2862">
        <f t="shared" ref="BG123:BI128" si="764">SUM(AI123+BA123)</f>
        <v>15720.8531</v>
      </c>
      <c r="BH123" s="2862">
        <f t="shared" si="764"/>
        <v>15720.8531</v>
      </c>
      <c r="BI123" s="2862">
        <f t="shared" si="764"/>
        <v>0</v>
      </c>
      <c r="BJ123" s="2862">
        <f t="shared" ref="BJ123:BL128" si="765">SUM(BG123-BD123)</f>
        <v>4364.6819261542623</v>
      </c>
      <c r="BK123" s="2862">
        <f t="shared" si="765"/>
        <v>4364.6819261542623</v>
      </c>
      <c r="BL123" s="2862">
        <f t="shared" si="765"/>
        <v>0</v>
      </c>
      <c r="BM123" s="2837">
        <f t="shared" si="683"/>
        <v>3785.3903912819123</v>
      </c>
      <c r="BN123" s="2837">
        <f t="shared" ref="BN123:BO123" si="766">SUM(BN124:BN128)+BN130</f>
        <v>3785.3903912819123</v>
      </c>
      <c r="BO123" s="2837">
        <f t="shared" si="766"/>
        <v>0</v>
      </c>
      <c r="BP123" s="2861">
        <f t="shared" si="741"/>
        <v>1708.42</v>
      </c>
      <c r="BQ123" s="2836">
        <f t="shared" ref="BQ123:BR123" si="767">SUM(BQ124:BQ128)+BQ130</f>
        <v>1708.42</v>
      </c>
      <c r="BR123" s="2836">
        <f t="shared" si="767"/>
        <v>0</v>
      </c>
      <c r="BS123" s="2861">
        <f t="shared" si="742"/>
        <v>1899.049</v>
      </c>
      <c r="BT123" s="2836">
        <f t="shared" ref="BT123:BU123" si="768">SUM(BT124:BT128)+BT130</f>
        <v>1899.049</v>
      </c>
      <c r="BU123" s="2836">
        <f t="shared" si="768"/>
        <v>0</v>
      </c>
      <c r="BV123" s="2861">
        <f t="shared" si="743"/>
        <v>1996.0059999999999</v>
      </c>
      <c r="BW123" s="2836">
        <f t="shared" ref="BW123:BX123" si="769">SUM(BW124:BW128)+BW130</f>
        <v>1996.0059999999999</v>
      </c>
      <c r="BX123" s="2836">
        <f t="shared" si="769"/>
        <v>0</v>
      </c>
      <c r="BY123" s="2861">
        <f t="shared" si="663"/>
        <v>5603.4750000000004</v>
      </c>
      <c r="BZ123" s="2861">
        <f t="shared" si="664"/>
        <v>5603.4750000000004</v>
      </c>
      <c r="CA123" s="2861">
        <f t="shared" si="664"/>
        <v>0</v>
      </c>
      <c r="CB123" s="2839">
        <f>SUM(CC123:CD123)</f>
        <v>15141.562196626362</v>
      </c>
      <c r="CC123" s="2839">
        <f>SUM(вода!CV35)</f>
        <v>15141.562196626362</v>
      </c>
      <c r="CD123" s="2839">
        <f>SUM(вода!CW35)</f>
        <v>0</v>
      </c>
      <c r="CE123" s="2862">
        <f t="shared" ref="CE123:CE128" si="770">SUM(BY123+BG123)</f>
        <v>21324.328099999999</v>
      </c>
      <c r="CF123" s="2981">
        <f t="shared" ref="CF123:CG128" si="771">SUM(BZ123+BH123)</f>
        <v>21324.328099999999</v>
      </c>
      <c r="CG123" s="2981">
        <f t="shared" si="771"/>
        <v>0</v>
      </c>
      <c r="CH123" s="2862">
        <f t="shared" ref="CH123:CJ128" si="772">SUM(CE123-CB123)</f>
        <v>6182.7659033736363</v>
      </c>
      <c r="CI123" s="2862">
        <f t="shared" si="772"/>
        <v>6182.7659033736363</v>
      </c>
      <c r="CJ123" s="2862">
        <f t="shared" si="772"/>
        <v>0</v>
      </c>
      <c r="CK123" s="2863"/>
      <c r="CL123" s="4189">
        <f t="shared" si="542"/>
        <v>15141.561565127649</v>
      </c>
      <c r="CM123" s="4189">
        <f t="shared" si="543"/>
        <v>15141.561565127649</v>
      </c>
      <c r="CN123" s="4189">
        <f t="shared" si="544"/>
        <v>0</v>
      </c>
    </row>
    <row r="124" spans="1:92" ht="18.75" customHeight="1" x14ac:dyDescent="0.3">
      <c r="A124" s="2864" t="s">
        <v>2</v>
      </c>
      <c r="B124" s="2845">
        <f t="shared" ref="B124" si="773">SUM(C124:D124)</f>
        <v>468.95230090281137</v>
      </c>
      <c r="C124" s="2845">
        <f t="shared" ref="C124:D124" si="774">SUM(CC124/4)</f>
        <v>468.95230090281137</v>
      </c>
      <c r="D124" s="2845">
        <f t="shared" si="774"/>
        <v>0</v>
      </c>
      <c r="E124" s="2865">
        <f t="shared" si="669"/>
        <v>305.95</v>
      </c>
      <c r="F124" s="2866">
        <v>305.95</v>
      </c>
      <c r="G124" s="2866"/>
      <c r="H124" s="2865">
        <f t="shared" si="726"/>
        <v>306.23</v>
      </c>
      <c r="I124" s="2866">
        <v>306.23</v>
      </c>
      <c r="J124" s="2866"/>
      <c r="K124" s="2865">
        <f t="shared" si="727"/>
        <v>310.33999999999997</v>
      </c>
      <c r="L124" s="2866">
        <v>310.33999999999997</v>
      </c>
      <c r="M124" s="2866"/>
      <c r="N124" s="2865">
        <f t="shared" si="639"/>
        <v>922.52</v>
      </c>
      <c r="O124" s="2865">
        <f t="shared" si="749"/>
        <v>922.52</v>
      </c>
      <c r="P124" s="2865">
        <f t="shared" si="641"/>
        <v>0</v>
      </c>
      <c r="Q124" s="2845">
        <f t="shared" si="720"/>
        <v>468.95230090281137</v>
      </c>
      <c r="R124" s="2845">
        <f t="shared" ref="R124:R128" si="775">SUM(C124)</f>
        <v>468.95230090281137</v>
      </c>
      <c r="S124" s="2845">
        <f t="shared" ref="S124:S128" si="776">SUM(D124)</f>
        <v>0</v>
      </c>
      <c r="T124" s="2865">
        <f t="shared" si="730"/>
        <v>311.06</v>
      </c>
      <c r="U124" s="2866">
        <v>311.06</v>
      </c>
      <c r="V124" s="2866"/>
      <c r="W124" s="2865">
        <f t="shared" si="731"/>
        <v>311.06</v>
      </c>
      <c r="X124" s="2866">
        <v>311.06</v>
      </c>
      <c r="Y124" s="2866"/>
      <c r="Z124" s="2865">
        <f t="shared" si="732"/>
        <v>311.06</v>
      </c>
      <c r="AA124" s="2866">
        <v>311.06</v>
      </c>
      <c r="AB124" s="2866"/>
      <c r="AC124" s="2865">
        <f t="shared" si="645"/>
        <v>933.18000000000006</v>
      </c>
      <c r="AD124" s="2865">
        <f t="shared" si="646"/>
        <v>933.18000000000006</v>
      </c>
      <c r="AE124" s="2865">
        <f t="shared" si="646"/>
        <v>0</v>
      </c>
      <c r="AF124" s="2846">
        <f t="shared" si="647"/>
        <v>937.90460180562275</v>
      </c>
      <c r="AG124" s="2846">
        <f t="shared" si="648"/>
        <v>937.90460180562275</v>
      </c>
      <c r="AH124" s="2846">
        <f t="shared" si="648"/>
        <v>0</v>
      </c>
      <c r="AI124" s="2867">
        <f t="shared" si="754"/>
        <v>1855.7</v>
      </c>
      <c r="AJ124" s="2867">
        <f t="shared" si="755"/>
        <v>1855.7</v>
      </c>
      <c r="AK124" s="2867">
        <f t="shared" si="755"/>
        <v>0</v>
      </c>
      <c r="AL124" s="2867">
        <f t="shared" si="756"/>
        <v>917.7953981943773</v>
      </c>
      <c r="AM124" s="2867">
        <f t="shared" si="756"/>
        <v>917.7953981943773</v>
      </c>
      <c r="AN124" s="2867">
        <f t="shared" si="756"/>
        <v>0</v>
      </c>
      <c r="AO124" s="2845">
        <f t="shared" ref="AO124:AO128" si="777">SUM(AP124:AQ124)</f>
        <v>468.95230090281137</v>
      </c>
      <c r="AP124" s="2845">
        <f t="shared" ref="AP124:AP128" si="778">SUM(CC124-AG124)/2</f>
        <v>468.95230090281137</v>
      </c>
      <c r="AQ124" s="2845">
        <f t="shared" ref="AQ124:AQ128" si="779">SUM(CD124-AH124)/2</f>
        <v>0</v>
      </c>
      <c r="AR124" s="2865">
        <f t="shared" si="736"/>
        <v>311.06</v>
      </c>
      <c r="AS124" s="2866">
        <v>311.06</v>
      </c>
      <c r="AT124" s="2866"/>
      <c r="AU124" s="2865">
        <f t="shared" si="737"/>
        <v>311.06</v>
      </c>
      <c r="AV124" s="2866">
        <v>311.06</v>
      </c>
      <c r="AW124" s="2866"/>
      <c r="AX124" s="2865">
        <f t="shared" si="738"/>
        <v>362.22199999999998</v>
      </c>
      <c r="AY124" s="2866">
        <v>362.22199999999998</v>
      </c>
      <c r="AZ124" s="2866"/>
      <c r="BA124" s="2865">
        <f t="shared" si="654"/>
        <v>984.34199999999998</v>
      </c>
      <c r="BB124" s="2865">
        <f t="shared" si="655"/>
        <v>984.34199999999998</v>
      </c>
      <c r="BC124" s="2865">
        <f t="shared" si="655"/>
        <v>0</v>
      </c>
      <c r="BD124" s="2846">
        <f t="shared" si="761"/>
        <v>1406.8569027084341</v>
      </c>
      <c r="BE124" s="2846">
        <f t="shared" si="762"/>
        <v>1406.8569027084341</v>
      </c>
      <c r="BF124" s="2846">
        <f t="shared" si="763"/>
        <v>0</v>
      </c>
      <c r="BG124" s="2867">
        <f t="shared" si="764"/>
        <v>2840.0419999999999</v>
      </c>
      <c r="BH124" s="2867">
        <f t="shared" si="764"/>
        <v>2840.0419999999999</v>
      </c>
      <c r="BI124" s="2867">
        <f t="shared" si="764"/>
        <v>0</v>
      </c>
      <c r="BJ124" s="2867">
        <f t="shared" si="765"/>
        <v>1433.1850972915659</v>
      </c>
      <c r="BK124" s="2867">
        <f t="shared" si="765"/>
        <v>1433.1850972915659</v>
      </c>
      <c r="BL124" s="2867">
        <f t="shared" si="765"/>
        <v>0</v>
      </c>
      <c r="BM124" s="2845">
        <f t="shared" si="683"/>
        <v>468.95230090281137</v>
      </c>
      <c r="BN124" s="2845">
        <f t="shared" ref="BN124:BO128" si="780">SUM(AP124)</f>
        <v>468.95230090281137</v>
      </c>
      <c r="BO124" s="2845">
        <f t="shared" si="780"/>
        <v>0</v>
      </c>
      <c r="BP124" s="2865">
        <f t="shared" si="741"/>
        <v>362.22199999999998</v>
      </c>
      <c r="BQ124" s="2866">
        <v>362.22199999999998</v>
      </c>
      <c r="BR124" s="2866"/>
      <c r="BS124" s="2865">
        <f t="shared" si="742"/>
        <v>362.22199999999998</v>
      </c>
      <c r="BT124" s="2866">
        <v>362.22199999999998</v>
      </c>
      <c r="BU124" s="2866"/>
      <c r="BV124" s="2865">
        <f t="shared" si="743"/>
        <v>362.22300000000001</v>
      </c>
      <c r="BW124" s="2866">
        <v>362.22300000000001</v>
      </c>
      <c r="BX124" s="2866"/>
      <c r="BY124" s="2865">
        <f t="shared" si="663"/>
        <v>1086.6669999999999</v>
      </c>
      <c r="BZ124" s="2865">
        <f t="shared" si="664"/>
        <v>1086.6669999999999</v>
      </c>
      <c r="CA124" s="2865">
        <f t="shared" si="664"/>
        <v>0</v>
      </c>
      <c r="CB124" s="2846">
        <f t="shared" ref="CB124:CB149" si="781">SUM(CC124:CD124)</f>
        <v>1875.8092036112455</v>
      </c>
      <c r="CC124" s="2846">
        <f>SUM(вода!CV36)</f>
        <v>1875.8092036112455</v>
      </c>
      <c r="CD124" s="2846">
        <f>SUM(вода!CW36)</f>
        <v>0</v>
      </c>
      <c r="CE124" s="2867">
        <f t="shared" si="770"/>
        <v>3926.7089999999998</v>
      </c>
      <c r="CF124" s="2982">
        <f t="shared" si="771"/>
        <v>3926.7089999999998</v>
      </c>
      <c r="CG124" s="2982">
        <f t="shared" si="771"/>
        <v>0</v>
      </c>
      <c r="CH124" s="2867">
        <f t="shared" si="772"/>
        <v>2050.8997963887541</v>
      </c>
      <c r="CI124" s="2867">
        <f t="shared" si="772"/>
        <v>2050.8997963887541</v>
      </c>
      <c r="CJ124" s="2867">
        <f t="shared" si="772"/>
        <v>0</v>
      </c>
      <c r="CK124" s="2863"/>
      <c r="CL124" s="4187">
        <f t="shared" si="542"/>
        <v>1875.8092036112455</v>
      </c>
      <c r="CM124" s="4187">
        <f t="shared" si="543"/>
        <v>1875.8092036112455</v>
      </c>
      <c r="CN124" s="4187">
        <f t="shared" si="544"/>
        <v>0</v>
      </c>
    </row>
    <row r="125" spans="1:92" ht="18.75" customHeight="1" x14ac:dyDescent="0.3">
      <c r="A125" s="2864" t="s">
        <v>210</v>
      </c>
      <c r="B125" s="2845">
        <f t="shared" ref="B125:B130" si="782">SUM(C125:D125)</f>
        <v>0</v>
      </c>
      <c r="C125" s="2845">
        <f t="shared" ref="C125:C128" si="783">SUM(CC125/4)</f>
        <v>0</v>
      </c>
      <c r="D125" s="2845">
        <f t="shared" ref="D125:D128" si="784">SUM(CD125/4)</f>
        <v>0</v>
      </c>
      <c r="E125" s="2865">
        <f t="shared" si="669"/>
        <v>0</v>
      </c>
      <c r="F125" s="2866"/>
      <c r="G125" s="2866"/>
      <c r="H125" s="2865">
        <f t="shared" si="726"/>
        <v>0</v>
      </c>
      <c r="I125" s="2866"/>
      <c r="J125" s="2866"/>
      <c r="K125" s="2865">
        <f t="shared" si="727"/>
        <v>0</v>
      </c>
      <c r="L125" s="2866"/>
      <c r="M125" s="2866"/>
      <c r="N125" s="2865">
        <f t="shared" si="639"/>
        <v>0</v>
      </c>
      <c r="O125" s="2865">
        <f t="shared" si="749"/>
        <v>0</v>
      </c>
      <c r="P125" s="2865">
        <f t="shared" si="641"/>
        <v>0</v>
      </c>
      <c r="Q125" s="2845">
        <f t="shared" si="720"/>
        <v>0</v>
      </c>
      <c r="R125" s="2845">
        <f t="shared" si="775"/>
        <v>0</v>
      </c>
      <c r="S125" s="2845">
        <f t="shared" si="776"/>
        <v>0</v>
      </c>
      <c r="T125" s="2865">
        <f t="shared" si="730"/>
        <v>0</v>
      </c>
      <c r="U125" s="2866"/>
      <c r="V125" s="2866"/>
      <c r="W125" s="2865">
        <f t="shared" si="731"/>
        <v>0</v>
      </c>
      <c r="X125" s="2866"/>
      <c r="Y125" s="2866"/>
      <c r="Z125" s="2865">
        <f t="shared" si="732"/>
        <v>0</v>
      </c>
      <c r="AA125" s="2866"/>
      <c r="AB125" s="2866"/>
      <c r="AC125" s="2865">
        <f t="shared" si="645"/>
        <v>0</v>
      </c>
      <c r="AD125" s="2865">
        <f t="shared" si="646"/>
        <v>0</v>
      </c>
      <c r="AE125" s="2865">
        <f t="shared" si="646"/>
        <v>0</v>
      </c>
      <c r="AF125" s="2846">
        <f t="shared" si="647"/>
        <v>0</v>
      </c>
      <c r="AG125" s="2846">
        <f t="shared" si="648"/>
        <v>0</v>
      </c>
      <c r="AH125" s="2846">
        <f t="shared" si="648"/>
        <v>0</v>
      </c>
      <c r="AI125" s="2867">
        <f t="shared" si="754"/>
        <v>0</v>
      </c>
      <c r="AJ125" s="2867">
        <f t="shared" si="755"/>
        <v>0</v>
      </c>
      <c r="AK125" s="2867">
        <f t="shared" si="755"/>
        <v>0</v>
      </c>
      <c r="AL125" s="2867">
        <f t="shared" si="756"/>
        <v>0</v>
      </c>
      <c r="AM125" s="2867">
        <f t="shared" si="756"/>
        <v>0</v>
      </c>
      <c r="AN125" s="2867">
        <f t="shared" si="756"/>
        <v>0</v>
      </c>
      <c r="AO125" s="2845">
        <f t="shared" si="777"/>
        <v>0</v>
      </c>
      <c r="AP125" s="2845">
        <f t="shared" si="778"/>
        <v>0</v>
      </c>
      <c r="AQ125" s="2845">
        <f t="shared" si="779"/>
        <v>0</v>
      </c>
      <c r="AR125" s="2865">
        <f t="shared" si="736"/>
        <v>0</v>
      </c>
      <c r="AS125" s="2866"/>
      <c r="AT125" s="2866"/>
      <c r="AU125" s="2865">
        <f t="shared" si="737"/>
        <v>0</v>
      </c>
      <c r="AV125" s="2866"/>
      <c r="AW125" s="2866"/>
      <c r="AX125" s="2865">
        <f t="shared" si="738"/>
        <v>0</v>
      </c>
      <c r="AY125" s="2866"/>
      <c r="AZ125" s="2866"/>
      <c r="BA125" s="2865">
        <f t="shared" si="654"/>
        <v>0</v>
      </c>
      <c r="BB125" s="2865">
        <f t="shared" si="655"/>
        <v>0</v>
      </c>
      <c r="BC125" s="2865">
        <f t="shared" si="655"/>
        <v>0</v>
      </c>
      <c r="BD125" s="2846">
        <f t="shared" si="761"/>
        <v>0</v>
      </c>
      <c r="BE125" s="2846">
        <f t="shared" si="762"/>
        <v>0</v>
      </c>
      <c r="BF125" s="2846">
        <f t="shared" si="763"/>
        <v>0</v>
      </c>
      <c r="BG125" s="2867">
        <f t="shared" si="764"/>
        <v>0</v>
      </c>
      <c r="BH125" s="2867">
        <f t="shared" si="764"/>
        <v>0</v>
      </c>
      <c r="BI125" s="2867">
        <f t="shared" si="764"/>
        <v>0</v>
      </c>
      <c r="BJ125" s="2867">
        <f t="shared" si="765"/>
        <v>0</v>
      </c>
      <c r="BK125" s="2867">
        <f t="shared" si="765"/>
        <v>0</v>
      </c>
      <c r="BL125" s="2867">
        <f t="shared" si="765"/>
        <v>0</v>
      </c>
      <c r="BM125" s="2845">
        <f t="shared" si="683"/>
        <v>0</v>
      </c>
      <c r="BN125" s="2845">
        <f t="shared" si="780"/>
        <v>0</v>
      </c>
      <c r="BO125" s="2845">
        <f t="shared" si="780"/>
        <v>0</v>
      </c>
      <c r="BP125" s="2865">
        <f t="shared" si="741"/>
        <v>0</v>
      </c>
      <c r="BQ125" s="2866"/>
      <c r="BR125" s="2866"/>
      <c r="BS125" s="2865">
        <f t="shared" si="742"/>
        <v>0</v>
      </c>
      <c r="BT125" s="2866"/>
      <c r="BU125" s="2866"/>
      <c r="BV125" s="2865">
        <f t="shared" si="743"/>
        <v>0</v>
      </c>
      <c r="BW125" s="2866"/>
      <c r="BX125" s="2866"/>
      <c r="BY125" s="2865">
        <f t="shared" si="663"/>
        <v>0</v>
      </c>
      <c r="BZ125" s="2865">
        <f t="shared" si="664"/>
        <v>0</v>
      </c>
      <c r="CA125" s="2865">
        <f t="shared" si="664"/>
        <v>0</v>
      </c>
      <c r="CB125" s="2846">
        <f t="shared" si="781"/>
        <v>0</v>
      </c>
      <c r="CC125" s="2846">
        <f>SUM(вода!CV37)</f>
        <v>0</v>
      </c>
      <c r="CD125" s="2846">
        <f>SUM(вода!CW37)</f>
        <v>0</v>
      </c>
      <c r="CE125" s="2867">
        <f t="shared" si="770"/>
        <v>0</v>
      </c>
      <c r="CF125" s="2982">
        <f t="shared" si="771"/>
        <v>0</v>
      </c>
      <c r="CG125" s="2982">
        <f t="shared" si="771"/>
        <v>0</v>
      </c>
      <c r="CH125" s="2867">
        <f t="shared" si="772"/>
        <v>0</v>
      </c>
      <c r="CI125" s="2867">
        <f t="shared" si="772"/>
        <v>0</v>
      </c>
      <c r="CJ125" s="2867">
        <f t="shared" si="772"/>
        <v>0</v>
      </c>
      <c r="CK125" s="2863"/>
      <c r="CL125" s="4187">
        <f t="shared" si="542"/>
        <v>0</v>
      </c>
      <c r="CM125" s="4187">
        <f t="shared" si="543"/>
        <v>0</v>
      </c>
      <c r="CN125" s="4187">
        <f t="shared" si="544"/>
        <v>0</v>
      </c>
    </row>
    <row r="126" spans="1:92" ht="18.75" customHeight="1" x14ac:dyDescent="0.3">
      <c r="A126" s="2864" t="s">
        <v>3</v>
      </c>
      <c r="B126" s="2845">
        <f t="shared" si="782"/>
        <v>152.60478339506403</v>
      </c>
      <c r="C126" s="2845">
        <f t="shared" si="783"/>
        <v>152.60478339506403</v>
      </c>
      <c r="D126" s="2845">
        <f t="shared" si="784"/>
        <v>0</v>
      </c>
      <c r="E126" s="2865">
        <f t="shared" si="669"/>
        <v>60.66</v>
      </c>
      <c r="F126" s="2866">
        <f>47.91+12.75</f>
        <v>60.66</v>
      </c>
      <c r="G126" s="2866"/>
      <c r="H126" s="2865">
        <f t="shared" si="726"/>
        <v>0</v>
      </c>
      <c r="I126" s="2866"/>
      <c r="J126" s="2866"/>
      <c r="K126" s="2865">
        <f t="shared" si="727"/>
        <v>157.88</v>
      </c>
      <c r="L126" s="2866">
        <f>135.37+22.51</f>
        <v>157.88</v>
      </c>
      <c r="M126" s="2866"/>
      <c r="N126" s="2865">
        <f t="shared" si="639"/>
        <v>218.54</v>
      </c>
      <c r="O126" s="2865">
        <f t="shared" si="749"/>
        <v>218.54</v>
      </c>
      <c r="P126" s="2865">
        <f t="shared" si="641"/>
        <v>0</v>
      </c>
      <c r="Q126" s="2845">
        <f t="shared" si="720"/>
        <v>152.60478339506403</v>
      </c>
      <c r="R126" s="2845">
        <f t="shared" si="775"/>
        <v>152.60478339506403</v>
      </c>
      <c r="S126" s="2845">
        <f t="shared" si="776"/>
        <v>0</v>
      </c>
      <c r="T126" s="2865">
        <f t="shared" si="730"/>
        <v>105.16</v>
      </c>
      <c r="U126" s="2866">
        <f>65.67+39.49</f>
        <v>105.16</v>
      </c>
      <c r="V126" s="2866"/>
      <c r="W126" s="2865">
        <f t="shared" si="731"/>
        <v>132.56</v>
      </c>
      <c r="X126" s="2866">
        <f>86.03+46.53</f>
        <v>132.56</v>
      </c>
      <c r="Y126" s="2866"/>
      <c r="Z126" s="2865">
        <f t="shared" si="732"/>
        <v>127.49700000000001</v>
      </c>
      <c r="AA126" s="2866">
        <f>11.198+116.299</f>
        <v>127.49700000000001</v>
      </c>
      <c r="AB126" s="2866"/>
      <c r="AC126" s="2865">
        <f t="shared" si="645"/>
        <v>365.21699999999998</v>
      </c>
      <c r="AD126" s="2865">
        <f t="shared" si="646"/>
        <v>365.21699999999998</v>
      </c>
      <c r="AE126" s="2865">
        <f t="shared" si="646"/>
        <v>0</v>
      </c>
      <c r="AF126" s="2846">
        <f t="shared" si="647"/>
        <v>305.20956679012806</v>
      </c>
      <c r="AG126" s="2846">
        <f t="shared" si="648"/>
        <v>305.20956679012806</v>
      </c>
      <c r="AH126" s="2846">
        <f t="shared" si="648"/>
        <v>0</v>
      </c>
      <c r="AI126" s="2867">
        <f t="shared" si="754"/>
        <v>583.75699999999995</v>
      </c>
      <c r="AJ126" s="2867">
        <f t="shared" si="755"/>
        <v>583.75699999999995</v>
      </c>
      <c r="AK126" s="2867">
        <f t="shared" si="755"/>
        <v>0</v>
      </c>
      <c r="AL126" s="2867">
        <f t="shared" si="756"/>
        <v>278.54743320987188</v>
      </c>
      <c r="AM126" s="2867">
        <f t="shared" si="756"/>
        <v>278.54743320987188</v>
      </c>
      <c r="AN126" s="2867">
        <f t="shared" si="756"/>
        <v>0</v>
      </c>
      <c r="AO126" s="2845">
        <f t="shared" si="777"/>
        <v>152.60478339506403</v>
      </c>
      <c r="AP126" s="2845">
        <f t="shared" si="778"/>
        <v>152.60478339506403</v>
      </c>
      <c r="AQ126" s="2845">
        <f t="shared" si="779"/>
        <v>0</v>
      </c>
      <c r="AR126" s="2865">
        <f t="shared" si="736"/>
        <v>104.16</v>
      </c>
      <c r="AS126" s="2866">
        <v>104.16</v>
      </c>
      <c r="AT126" s="2866"/>
      <c r="AU126" s="2865">
        <f t="shared" si="737"/>
        <v>286.07299999999998</v>
      </c>
      <c r="AV126" s="2866">
        <f>246.101+39.972</f>
        <v>286.07299999999998</v>
      </c>
      <c r="AW126" s="2866"/>
      <c r="AX126" s="2865">
        <f t="shared" si="738"/>
        <v>194.04</v>
      </c>
      <c r="AY126" s="2866">
        <f>38.4+155.64</f>
        <v>194.04</v>
      </c>
      <c r="AZ126" s="2866"/>
      <c r="BA126" s="2865">
        <f t="shared" si="654"/>
        <v>584.27299999999991</v>
      </c>
      <c r="BB126" s="2865">
        <f t="shared" si="655"/>
        <v>584.27299999999991</v>
      </c>
      <c r="BC126" s="2865">
        <f t="shared" si="655"/>
        <v>0</v>
      </c>
      <c r="BD126" s="2846">
        <f t="shared" si="761"/>
        <v>457.8143501851921</v>
      </c>
      <c r="BE126" s="2846">
        <f t="shared" si="762"/>
        <v>457.8143501851921</v>
      </c>
      <c r="BF126" s="2846">
        <f t="shared" si="763"/>
        <v>0</v>
      </c>
      <c r="BG126" s="2867">
        <f t="shared" si="764"/>
        <v>1168.0299999999997</v>
      </c>
      <c r="BH126" s="2867">
        <f t="shared" si="764"/>
        <v>1168.0299999999997</v>
      </c>
      <c r="BI126" s="2867">
        <f t="shared" si="764"/>
        <v>0</v>
      </c>
      <c r="BJ126" s="2867">
        <f t="shared" si="765"/>
        <v>710.21564981480765</v>
      </c>
      <c r="BK126" s="2867">
        <f t="shared" si="765"/>
        <v>710.21564981480765</v>
      </c>
      <c r="BL126" s="2867">
        <f t="shared" si="765"/>
        <v>0</v>
      </c>
      <c r="BM126" s="2845">
        <f t="shared" si="683"/>
        <v>152.60478339506403</v>
      </c>
      <c r="BN126" s="2845">
        <f t="shared" si="780"/>
        <v>152.60478339506403</v>
      </c>
      <c r="BO126" s="2845">
        <f t="shared" si="780"/>
        <v>0</v>
      </c>
      <c r="BP126" s="2865">
        <f t="shared" si="741"/>
        <v>92.087000000000003</v>
      </c>
      <c r="BQ126" s="2866">
        <f>35.676+56.411</f>
        <v>92.087000000000003</v>
      </c>
      <c r="BR126" s="2866"/>
      <c r="BS126" s="2865">
        <f t="shared" si="742"/>
        <v>163.36700000000002</v>
      </c>
      <c r="BT126" s="2866">
        <f>65.798+97.569</f>
        <v>163.36700000000002</v>
      </c>
      <c r="BU126" s="2866"/>
      <c r="BV126" s="2865">
        <f t="shared" si="743"/>
        <v>141.88499999999999</v>
      </c>
      <c r="BW126" s="2866">
        <v>141.88499999999999</v>
      </c>
      <c r="BX126" s="2866"/>
      <c r="BY126" s="2865">
        <f t="shared" si="663"/>
        <v>397.339</v>
      </c>
      <c r="BZ126" s="2865">
        <f t="shared" si="664"/>
        <v>397.339</v>
      </c>
      <c r="CA126" s="2865">
        <f t="shared" si="664"/>
        <v>0</v>
      </c>
      <c r="CB126" s="2846">
        <f t="shared" si="781"/>
        <v>610.41913358025613</v>
      </c>
      <c r="CC126" s="2846">
        <f>SUM(вода!CV38)</f>
        <v>610.41913358025613</v>
      </c>
      <c r="CD126" s="2846">
        <f>SUM(вода!CW38)</f>
        <v>0</v>
      </c>
      <c r="CE126" s="2867">
        <f t="shared" si="770"/>
        <v>1565.3689999999997</v>
      </c>
      <c r="CF126" s="2982">
        <f t="shared" si="771"/>
        <v>1565.3689999999997</v>
      </c>
      <c r="CG126" s="2982">
        <f t="shared" si="771"/>
        <v>0</v>
      </c>
      <c r="CH126" s="2867">
        <f t="shared" si="772"/>
        <v>954.94986641974356</v>
      </c>
      <c r="CI126" s="2867">
        <f t="shared" si="772"/>
        <v>954.94986641974356</v>
      </c>
      <c r="CJ126" s="2867">
        <f t="shared" si="772"/>
        <v>0</v>
      </c>
      <c r="CK126" s="2863"/>
      <c r="CL126" s="4187">
        <f t="shared" si="542"/>
        <v>610.41913358025613</v>
      </c>
      <c r="CM126" s="4187">
        <f t="shared" si="543"/>
        <v>610.41913358025613</v>
      </c>
      <c r="CN126" s="4187">
        <f t="shared" si="544"/>
        <v>0</v>
      </c>
    </row>
    <row r="127" spans="1:92" ht="18.75" customHeight="1" x14ac:dyDescent="0.3">
      <c r="A127" s="2864" t="s">
        <v>4</v>
      </c>
      <c r="B127" s="2845">
        <f t="shared" si="782"/>
        <v>1744.330966492643</v>
      </c>
      <c r="C127" s="2845">
        <f t="shared" si="783"/>
        <v>1744.330966492643</v>
      </c>
      <c r="D127" s="2845">
        <f t="shared" si="784"/>
        <v>0</v>
      </c>
      <c r="E127" s="2865">
        <f t="shared" si="669"/>
        <v>430.53</v>
      </c>
      <c r="F127" s="2866">
        <v>430.53</v>
      </c>
      <c r="G127" s="2866"/>
      <c r="H127" s="2865">
        <f t="shared" si="726"/>
        <v>611.08000000000004</v>
      </c>
      <c r="I127" s="2866">
        <v>611.08000000000004</v>
      </c>
      <c r="J127" s="2866"/>
      <c r="K127" s="2865">
        <f t="shared" si="727"/>
        <v>731.79499999999996</v>
      </c>
      <c r="L127" s="2866">
        <v>731.79499999999996</v>
      </c>
      <c r="M127" s="2866"/>
      <c r="N127" s="2865">
        <f t="shared" si="639"/>
        <v>1773.4050000000002</v>
      </c>
      <c r="O127" s="2865">
        <f t="shared" si="749"/>
        <v>1773.4050000000002</v>
      </c>
      <c r="P127" s="2865">
        <f t="shared" si="641"/>
        <v>0</v>
      </c>
      <c r="Q127" s="2845">
        <f t="shared" si="720"/>
        <v>1744.330966492643</v>
      </c>
      <c r="R127" s="2845">
        <f t="shared" si="775"/>
        <v>1744.330966492643</v>
      </c>
      <c r="S127" s="2845">
        <f t="shared" si="776"/>
        <v>0</v>
      </c>
      <c r="T127" s="2865">
        <f t="shared" si="730"/>
        <v>508.34</v>
      </c>
      <c r="U127" s="2866">
        <v>508.34</v>
      </c>
      <c r="V127" s="2866"/>
      <c r="W127" s="2865">
        <f t="shared" si="731"/>
        <v>553.48</v>
      </c>
      <c r="X127" s="2866">
        <v>553.48</v>
      </c>
      <c r="Y127" s="2866"/>
      <c r="Z127" s="2865">
        <f t="shared" si="732"/>
        <v>640.59400000000005</v>
      </c>
      <c r="AA127" s="2866">
        <v>640.59400000000005</v>
      </c>
      <c r="AB127" s="2866"/>
      <c r="AC127" s="2865">
        <f t="shared" si="645"/>
        <v>1702.414</v>
      </c>
      <c r="AD127" s="2865">
        <f t="shared" si="646"/>
        <v>1702.414</v>
      </c>
      <c r="AE127" s="2865">
        <f t="shared" si="646"/>
        <v>0</v>
      </c>
      <c r="AF127" s="2846">
        <f t="shared" si="647"/>
        <v>3488.6619329852861</v>
      </c>
      <c r="AG127" s="2846">
        <f t="shared" si="648"/>
        <v>3488.6619329852861</v>
      </c>
      <c r="AH127" s="2846">
        <f t="shared" si="648"/>
        <v>0</v>
      </c>
      <c r="AI127" s="2867">
        <f t="shared" si="754"/>
        <v>3475.8190000000004</v>
      </c>
      <c r="AJ127" s="2867">
        <f t="shared" si="755"/>
        <v>3475.8190000000004</v>
      </c>
      <c r="AK127" s="2867">
        <f t="shared" si="755"/>
        <v>0</v>
      </c>
      <c r="AL127" s="2867">
        <f t="shared" si="756"/>
        <v>-12.842932985285643</v>
      </c>
      <c r="AM127" s="2867">
        <f t="shared" si="756"/>
        <v>-12.842932985285643</v>
      </c>
      <c r="AN127" s="2867">
        <f t="shared" si="756"/>
        <v>0</v>
      </c>
      <c r="AO127" s="2845">
        <f t="shared" si="777"/>
        <v>1744.330966492643</v>
      </c>
      <c r="AP127" s="2845">
        <f t="shared" si="778"/>
        <v>1744.330966492643</v>
      </c>
      <c r="AQ127" s="2845">
        <f t="shared" si="779"/>
        <v>0</v>
      </c>
      <c r="AR127" s="2865">
        <f t="shared" si="736"/>
        <v>545.79999999999995</v>
      </c>
      <c r="AS127" s="2866">
        <v>545.79999999999995</v>
      </c>
      <c r="AT127" s="2866"/>
      <c r="AU127" s="2865">
        <f t="shared" si="737"/>
        <v>567.65899999999999</v>
      </c>
      <c r="AV127" s="2866">
        <v>567.65899999999999</v>
      </c>
      <c r="AW127" s="2866"/>
      <c r="AX127" s="2865">
        <f t="shared" si="738"/>
        <v>560.49300000000005</v>
      </c>
      <c r="AY127" s="2866">
        <v>560.49300000000005</v>
      </c>
      <c r="AZ127" s="2866"/>
      <c r="BA127" s="2865">
        <f t="shared" si="654"/>
        <v>1673.9519999999998</v>
      </c>
      <c r="BB127" s="2865">
        <f t="shared" si="655"/>
        <v>1673.9519999999998</v>
      </c>
      <c r="BC127" s="2865">
        <f t="shared" si="655"/>
        <v>0</v>
      </c>
      <c r="BD127" s="2846">
        <f t="shared" si="761"/>
        <v>5232.9928994779293</v>
      </c>
      <c r="BE127" s="2846">
        <f t="shared" si="762"/>
        <v>5232.9928994779293</v>
      </c>
      <c r="BF127" s="2846">
        <f t="shared" si="763"/>
        <v>0</v>
      </c>
      <c r="BG127" s="2867">
        <f t="shared" si="764"/>
        <v>5149.7710000000006</v>
      </c>
      <c r="BH127" s="2867">
        <f t="shared" si="764"/>
        <v>5149.7710000000006</v>
      </c>
      <c r="BI127" s="2867">
        <f t="shared" si="764"/>
        <v>0</v>
      </c>
      <c r="BJ127" s="2867">
        <f t="shared" si="765"/>
        <v>-83.221899477928673</v>
      </c>
      <c r="BK127" s="2867">
        <f t="shared" si="765"/>
        <v>-83.221899477928673</v>
      </c>
      <c r="BL127" s="2867">
        <f t="shared" si="765"/>
        <v>0</v>
      </c>
      <c r="BM127" s="2845">
        <f t="shared" si="683"/>
        <v>1744.330966492643</v>
      </c>
      <c r="BN127" s="2845">
        <f t="shared" si="780"/>
        <v>1744.330966492643</v>
      </c>
      <c r="BO127" s="2845">
        <f t="shared" si="780"/>
        <v>0</v>
      </c>
      <c r="BP127" s="2865">
        <f t="shared" si="741"/>
        <v>479.00799999999998</v>
      </c>
      <c r="BQ127" s="2866">
        <v>479.00799999999998</v>
      </c>
      <c r="BR127" s="2866"/>
      <c r="BS127" s="2865">
        <f t="shared" si="742"/>
        <v>588.11400000000003</v>
      </c>
      <c r="BT127" s="2866">
        <v>588.11400000000003</v>
      </c>
      <c r="BU127" s="2866"/>
      <c r="BV127" s="2865">
        <f t="shared" si="743"/>
        <v>617.99099999999999</v>
      </c>
      <c r="BW127" s="2866">
        <v>617.99099999999999</v>
      </c>
      <c r="BX127" s="2866"/>
      <c r="BY127" s="2865">
        <f t="shared" si="663"/>
        <v>1685.1130000000001</v>
      </c>
      <c r="BZ127" s="2865">
        <f t="shared" si="664"/>
        <v>1685.1130000000001</v>
      </c>
      <c r="CA127" s="2865">
        <f t="shared" si="664"/>
        <v>0</v>
      </c>
      <c r="CB127" s="2846">
        <f t="shared" si="781"/>
        <v>6977.3238659705721</v>
      </c>
      <c r="CC127" s="2846">
        <f>SUM(вода!CV39)</f>
        <v>6977.3238659705721</v>
      </c>
      <c r="CD127" s="2846">
        <f>SUM(вода!CW39)</f>
        <v>0</v>
      </c>
      <c r="CE127" s="2867">
        <f t="shared" si="770"/>
        <v>6834.8840000000009</v>
      </c>
      <c r="CF127" s="2982">
        <f t="shared" si="771"/>
        <v>6834.8840000000009</v>
      </c>
      <c r="CG127" s="2982">
        <f t="shared" si="771"/>
        <v>0</v>
      </c>
      <c r="CH127" s="2867">
        <f t="shared" si="772"/>
        <v>-142.43986597057119</v>
      </c>
      <c r="CI127" s="2867">
        <f t="shared" si="772"/>
        <v>-142.43986597057119</v>
      </c>
      <c r="CJ127" s="2867">
        <f t="shared" si="772"/>
        <v>0</v>
      </c>
      <c r="CK127" s="2863"/>
      <c r="CL127" s="4187">
        <f t="shared" si="542"/>
        <v>6977.3238659705721</v>
      </c>
      <c r="CM127" s="4187">
        <f t="shared" si="543"/>
        <v>6977.3238659705721</v>
      </c>
      <c r="CN127" s="4187">
        <f t="shared" si="544"/>
        <v>0</v>
      </c>
    </row>
    <row r="128" spans="1:92" ht="18.75" customHeight="1" x14ac:dyDescent="0.3">
      <c r="A128" s="2864" t="s">
        <v>5</v>
      </c>
      <c r="B128" s="2845">
        <f t="shared" si="782"/>
        <v>525.04339087402741</v>
      </c>
      <c r="C128" s="2845">
        <f t="shared" si="783"/>
        <v>525.04339087402741</v>
      </c>
      <c r="D128" s="2845">
        <f t="shared" si="784"/>
        <v>0</v>
      </c>
      <c r="E128" s="2865">
        <f t="shared" si="669"/>
        <v>134.4</v>
      </c>
      <c r="F128" s="2866">
        <v>134.4</v>
      </c>
      <c r="G128" s="2866"/>
      <c r="H128" s="2865">
        <f t="shared" si="726"/>
        <v>189.15</v>
      </c>
      <c r="I128" s="2866">
        <f>1.21+187.94</f>
        <v>189.15</v>
      </c>
      <c r="J128" s="2866"/>
      <c r="K128" s="2865">
        <f t="shared" si="727"/>
        <v>226.32</v>
      </c>
      <c r="L128" s="2866">
        <v>226.32</v>
      </c>
      <c r="M128" s="2866"/>
      <c r="N128" s="2865">
        <f t="shared" si="639"/>
        <v>549.87</v>
      </c>
      <c r="O128" s="2865">
        <f t="shared" si="749"/>
        <v>549.87</v>
      </c>
      <c r="P128" s="2865">
        <f t="shared" si="641"/>
        <v>0</v>
      </c>
      <c r="Q128" s="2845">
        <f t="shared" si="720"/>
        <v>525.04339087402741</v>
      </c>
      <c r="R128" s="2845">
        <f t="shared" si="775"/>
        <v>525.04339087402741</v>
      </c>
      <c r="S128" s="2845">
        <f t="shared" si="776"/>
        <v>0</v>
      </c>
      <c r="T128" s="2865">
        <f t="shared" si="730"/>
        <v>156.94999999999999</v>
      </c>
      <c r="U128" s="2866">
        <v>156.94999999999999</v>
      </c>
      <c r="V128" s="2866"/>
      <c r="W128" s="2865">
        <f t="shared" si="731"/>
        <v>172.35</v>
      </c>
      <c r="X128" s="2866">
        <v>172.35</v>
      </c>
      <c r="Y128" s="2866"/>
      <c r="Z128" s="2865">
        <f t="shared" si="732"/>
        <v>192.619</v>
      </c>
      <c r="AA128" s="2866">
        <v>192.619</v>
      </c>
      <c r="AB128" s="2866"/>
      <c r="AC128" s="2865">
        <f t="shared" si="645"/>
        <v>521.91899999999998</v>
      </c>
      <c r="AD128" s="2865">
        <f t="shared" si="646"/>
        <v>521.91899999999998</v>
      </c>
      <c r="AE128" s="2865">
        <f t="shared" si="646"/>
        <v>0</v>
      </c>
      <c r="AF128" s="2846">
        <f t="shared" si="647"/>
        <v>1050.0867817480548</v>
      </c>
      <c r="AG128" s="2846">
        <f t="shared" si="648"/>
        <v>1050.0867817480548</v>
      </c>
      <c r="AH128" s="2846">
        <f t="shared" si="648"/>
        <v>0</v>
      </c>
      <c r="AI128" s="2867">
        <f t="shared" si="754"/>
        <v>1071.789</v>
      </c>
      <c r="AJ128" s="2867">
        <f t="shared" si="755"/>
        <v>1071.789</v>
      </c>
      <c r="AK128" s="2867">
        <f t="shared" si="755"/>
        <v>0</v>
      </c>
      <c r="AL128" s="2867">
        <f t="shared" si="756"/>
        <v>21.702218251945169</v>
      </c>
      <c r="AM128" s="2867">
        <f t="shared" si="756"/>
        <v>21.702218251945169</v>
      </c>
      <c r="AN128" s="2867">
        <f t="shared" si="756"/>
        <v>0</v>
      </c>
      <c r="AO128" s="2845">
        <f t="shared" si="777"/>
        <v>525.04339087402741</v>
      </c>
      <c r="AP128" s="2845">
        <f t="shared" si="778"/>
        <v>525.04339087402741</v>
      </c>
      <c r="AQ128" s="2845">
        <f t="shared" si="779"/>
        <v>0</v>
      </c>
      <c r="AR128" s="2865">
        <f t="shared" si="736"/>
        <v>168.67</v>
      </c>
      <c r="AS128" s="2866">
        <v>168.67</v>
      </c>
      <c r="AT128" s="2866"/>
      <c r="AU128" s="2865">
        <f t="shared" si="737"/>
        <v>175.10499999999999</v>
      </c>
      <c r="AV128" s="2866">
        <v>175.10499999999999</v>
      </c>
      <c r="AW128" s="2866"/>
      <c r="AX128" s="2865">
        <f t="shared" si="738"/>
        <v>173.07300000000001</v>
      </c>
      <c r="AY128" s="2866">
        <v>173.07300000000001</v>
      </c>
      <c r="AZ128" s="2866"/>
      <c r="BA128" s="2865">
        <f t="shared" si="654"/>
        <v>516.84799999999996</v>
      </c>
      <c r="BB128" s="2865">
        <f t="shared" si="655"/>
        <v>516.84799999999996</v>
      </c>
      <c r="BC128" s="2865">
        <f t="shared" si="655"/>
        <v>0</v>
      </c>
      <c r="BD128" s="2846">
        <f t="shared" si="761"/>
        <v>1575.1301726220822</v>
      </c>
      <c r="BE128" s="2846">
        <f t="shared" si="762"/>
        <v>1575.1301726220822</v>
      </c>
      <c r="BF128" s="2846">
        <f t="shared" si="763"/>
        <v>0</v>
      </c>
      <c r="BG128" s="2867">
        <f t="shared" si="764"/>
        <v>1588.6369999999999</v>
      </c>
      <c r="BH128" s="2867">
        <f t="shared" si="764"/>
        <v>1588.6369999999999</v>
      </c>
      <c r="BI128" s="2867">
        <f t="shared" si="764"/>
        <v>0</v>
      </c>
      <c r="BJ128" s="2867">
        <f t="shared" si="765"/>
        <v>13.506827377917716</v>
      </c>
      <c r="BK128" s="2867">
        <f t="shared" si="765"/>
        <v>13.506827377917716</v>
      </c>
      <c r="BL128" s="2867">
        <f t="shared" si="765"/>
        <v>0</v>
      </c>
      <c r="BM128" s="2845">
        <f t="shared" si="683"/>
        <v>525.04339087402741</v>
      </c>
      <c r="BN128" s="2845">
        <f t="shared" si="780"/>
        <v>525.04339087402741</v>
      </c>
      <c r="BO128" s="2845">
        <f t="shared" si="780"/>
        <v>0</v>
      </c>
      <c r="BP128" s="2865">
        <f t="shared" si="741"/>
        <v>148.96299999999999</v>
      </c>
      <c r="BQ128" s="2866">
        <v>148.96299999999999</v>
      </c>
      <c r="BR128" s="2866"/>
      <c r="BS128" s="2865">
        <f t="shared" si="742"/>
        <v>181.06700000000001</v>
      </c>
      <c r="BT128" s="2866">
        <v>181.06700000000001</v>
      </c>
      <c r="BU128" s="2866"/>
      <c r="BV128" s="2865">
        <f t="shared" si="743"/>
        <v>189.83099999999999</v>
      </c>
      <c r="BW128" s="2866">
        <v>189.83099999999999</v>
      </c>
      <c r="BX128" s="2866"/>
      <c r="BY128" s="2865">
        <f t="shared" si="663"/>
        <v>519.86099999999999</v>
      </c>
      <c r="BZ128" s="2865">
        <f t="shared" si="664"/>
        <v>519.86099999999999</v>
      </c>
      <c r="CA128" s="2865">
        <f t="shared" si="664"/>
        <v>0</v>
      </c>
      <c r="CB128" s="2846">
        <f t="shared" si="781"/>
        <v>2100.1735634961096</v>
      </c>
      <c r="CC128" s="2846">
        <f>SUM(вода!CV40)</f>
        <v>2100.1735634961096</v>
      </c>
      <c r="CD128" s="2846">
        <f>SUM(вода!CW40)</f>
        <v>0</v>
      </c>
      <c r="CE128" s="2867">
        <f t="shared" si="770"/>
        <v>2108.498</v>
      </c>
      <c r="CF128" s="2982">
        <f t="shared" si="771"/>
        <v>2108.498</v>
      </c>
      <c r="CG128" s="2982">
        <f t="shared" si="771"/>
        <v>0</v>
      </c>
      <c r="CH128" s="2867">
        <f t="shared" si="772"/>
        <v>8.3244365038904107</v>
      </c>
      <c r="CI128" s="2867">
        <f t="shared" si="772"/>
        <v>8.3244365038904107</v>
      </c>
      <c r="CJ128" s="2867">
        <f t="shared" si="772"/>
        <v>0</v>
      </c>
      <c r="CK128" s="2863"/>
      <c r="CL128" s="4187">
        <f t="shared" si="542"/>
        <v>2100.1735634961096</v>
      </c>
      <c r="CM128" s="4187">
        <f t="shared" si="543"/>
        <v>2100.1735634961096</v>
      </c>
      <c r="CN128" s="4187">
        <f t="shared" si="544"/>
        <v>0</v>
      </c>
    </row>
    <row r="129" spans="1:92" ht="18.75" customHeight="1" x14ac:dyDescent="0.2">
      <c r="A129" s="2869" t="str">
        <f>A61</f>
        <v>то же в %</v>
      </c>
      <c r="B129" s="2849">
        <f t="shared" ref="B129:D129" si="785">SUM(B128/B127)</f>
        <v>0.30099986812120949</v>
      </c>
      <c r="C129" s="2849">
        <f t="shared" si="785"/>
        <v>0.30099986812120949</v>
      </c>
      <c r="D129" s="2849" t="e">
        <f t="shared" si="785"/>
        <v>#DIV/0!</v>
      </c>
      <c r="E129" s="2849">
        <f t="shared" ref="E129:AK129" si="786">SUM(E128/E127)</f>
        <v>0.31217336770956733</v>
      </c>
      <c r="F129" s="2849">
        <f t="shared" si="786"/>
        <v>0.31217336770956733</v>
      </c>
      <c r="G129" s="2849" t="e">
        <f t="shared" si="786"/>
        <v>#DIV/0!</v>
      </c>
      <c r="H129" s="2849">
        <f t="shared" si="786"/>
        <v>0.3095339399096681</v>
      </c>
      <c r="I129" s="2849">
        <f t="shared" si="786"/>
        <v>0.3095339399096681</v>
      </c>
      <c r="J129" s="2849" t="e">
        <f t="shared" si="786"/>
        <v>#DIV/0!</v>
      </c>
      <c r="K129" s="2849">
        <f t="shared" si="786"/>
        <v>0.3092669395117485</v>
      </c>
      <c r="L129" s="2849">
        <f t="shared" si="786"/>
        <v>0.3092669395117485</v>
      </c>
      <c r="M129" s="2849" t="e">
        <f t="shared" si="786"/>
        <v>#DIV/0!</v>
      </c>
      <c r="N129" s="2849">
        <f t="shared" si="786"/>
        <v>0.31006453686552138</v>
      </c>
      <c r="O129" s="2849">
        <f t="shared" si="786"/>
        <v>0.31006453686552138</v>
      </c>
      <c r="P129" s="2849" t="e">
        <f t="shared" si="786"/>
        <v>#DIV/0!</v>
      </c>
      <c r="Q129" s="2849">
        <f t="shared" si="786"/>
        <v>0.30099986812120949</v>
      </c>
      <c r="R129" s="2849">
        <f t="shared" si="786"/>
        <v>0.30099986812120949</v>
      </c>
      <c r="S129" s="2849" t="e">
        <f t="shared" si="786"/>
        <v>#DIV/0!</v>
      </c>
      <c r="T129" s="2849">
        <f t="shared" si="786"/>
        <v>0.30875004917968291</v>
      </c>
      <c r="U129" s="2849">
        <f t="shared" si="786"/>
        <v>0.30875004917968291</v>
      </c>
      <c r="V129" s="2849" t="e">
        <f t="shared" si="786"/>
        <v>#DIV/0!</v>
      </c>
      <c r="W129" s="2849">
        <f t="shared" si="786"/>
        <v>0.31139336561393366</v>
      </c>
      <c r="X129" s="2849">
        <f t="shared" si="786"/>
        <v>0.31139336561393366</v>
      </c>
      <c r="Y129" s="2849" t="e">
        <f t="shared" si="786"/>
        <v>#DIV/0!</v>
      </c>
      <c r="Z129" s="2849">
        <f t="shared" si="786"/>
        <v>0.30068811134665635</v>
      </c>
      <c r="AA129" s="2849">
        <f t="shared" si="786"/>
        <v>0.30068811134665635</v>
      </c>
      <c r="AB129" s="2849" t="e">
        <f t="shared" si="786"/>
        <v>#DIV/0!</v>
      </c>
      <c r="AC129" s="2849">
        <f t="shared" si="786"/>
        <v>0.30657583877952133</v>
      </c>
      <c r="AD129" s="2849">
        <f t="shared" si="786"/>
        <v>0.30657583877952133</v>
      </c>
      <c r="AE129" s="2849" t="e">
        <f t="shared" si="786"/>
        <v>#DIV/0!</v>
      </c>
      <c r="AF129" s="2850">
        <f t="shared" si="786"/>
        <v>0.30099986812120949</v>
      </c>
      <c r="AG129" s="2850">
        <f t="shared" si="786"/>
        <v>0.30099986812120949</v>
      </c>
      <c r="AH129" s="2850" t="e">
        <f t="shared" si="786"/>
        <v>#DIV/0!</v>
      </c>
      <c r="AI129" s="2850">
        <f t="shared" si="786"/>
        <v>0.30835581484536445</v>
      </c>
      <c r="AJ129" s="2850">
        <f t="shared" si="786"/>
        <v>0.30835581484536445</v>
      </c>
      <c r="AK129" s="2850" t="e">
        <f t="shared" si="786"/>
        <v>#DIV/0!</v>
      </c>
      <c r="AL129" s="2851">
        <f t="shared" si="629"/>
        <v>7.3559467241549603E-3</v>
      </c>
      <c r="AM129" s="2851">
        <f t="shared" si="629"/>
        <v>7.3559467241549603E-3</v>
      </c>
      <c r="AN129" s="2851" t="e">
        <f t="shared" si="629"/>
        <v>#DIV/0!</v>
      </c>
      <c r="AO129" s="2849">
        <f t="shared" ref="AO129:BI129" si="787">SUM(AO128/AO127)</f>
        <v>0.30099986812120949</v>
      </c>
      <c r="AP129" s="2849">
        <f t="shared" si="787"/>
        <v>0.30099986812120949</v>
      </c>
      <c r="AQ129" s="2849" t="e">
        <f t="shared" si="787"/>
        <v>#DIV/0!</v>
      </c>
      <c r="AR129" s="2849">
        <f t="shared" si="787"/>
        <v>0.30903261267863685</v>
      </c>
      <c r="AS129" s="2849">
        <f t="shared" si="787"/>
        <v>0.30903261267863685</v>
      </c>
      <c r="AT129" s="2849" t="e">
        <f t="shared" si="787"/>
        <v>#DIV/0!</v>
      </c>
      <c r="AU129" s="2849">
        <f t="shared" si="787"/>
        <v>0.30846864050424638</v>
      </c>
      <c r="AV129" s="2849">
        <f t="shared" si="787"/>
        <v>0.30846864050424638</v>
      </c>
      <c r="AW129" s="2849" t="e">
        <f t="shared" si="787"/>
        <v>#DIV/0!</v>
      </c>
      <c r="AX129" s="2849">
        <f t="shared" si="787"/>
        <v>0.30878708565495017</v>
      </c>
      <c r="AY129" s="2849">
        <f t="shared" si="787"/>
        <v>0.30878708565495017</v>
      </c>
      <c r="AZ129" s="2849" t="e">
        <f t="shared" si="787"/>
        <v>#DIV/0!</v>
      </c>
      <c r="BA129" s="2849">
        <f t="shared" si="787"/>
        <v>0.30875915199480036</v>
      </c>
      <c r="BB129" s="2849">
        <f t="shared" si="787"/>
        <v>0.30875915199480036</v>
      </c>
      <c r="BC129" s="2849" t="e">
        <f t="shared" si="787"/>
        <v>#DIV/0!</v>
      </c>
      <c r="BD129" s="2850">
        <f t="shared" si="787"/>
        <v>0.30099986812120944</v>
      </c>
      <c r="BE129" s="2850">
        <f t="shared" si="787"/>
        <v>0.30099986812120944</v>
      </c>
      <c r="BF129" s="2850" t="e">
        <f t="shared" si="787"/>
        <v>#DIV/0!</v>
      </c>
      <c r="BG129" s="2850">
        <f t="shared" si="787"/>
        <v>0.3084869210689174</v>
      </c>
      <c r="BH129" s="2850">
        <f t="shared" si="787"/>
        <v>0.3084869210689174</v>
      </c>
      <c r="BI129" s="2850" t="e">
        <f t="shared" si="787"/>
        <v>#DIV/0!</v>
      </c>
      <c r="BJ129" s="2851">
        <f t="shared" si="631"/>
        <v>7.4870529477079617E-3</v>
      </c>
      <c r="BK129" s="2851">
        <f t="shared" si="631"/>
        <v>7.4870529477079617E-3</v>
      </c>
      <c r="BL129" s="2851" t="e">
        <f t="shared" si="631"/>
        <v>#DIV/0!</v>
      </c>
      <c r="BM129" s="2849">
        <f t="shared" ref="BM129:CG129" si="788">SUM(BM128/BM127)</f>
        <v>0.30099986812120949</v>
      </c>
      <c r="BN129" s="2849">
        <f t="shared" si="788"/>
        <v>0.30099986812120949</v>
      </c>
      <c r="BO129" s="2849" t="e">
        <f t="shared" si="788"/>
        <v>#DIV/0!</v>
      </c>
      <c r="BP129" s="2849">
        <f t="shared" si="788"/>
        <v>0.31098228004542722</v>
      </c>
      <c r="BQ129" s="2849">
        <f t="shared" si="788"/>
        <v>0.31098228004542722</v>
      </c>
      <c r="BR129" s="2849" t="e">
        <f t="shared" si="788"/>
        <v>#DIV/0!</v>
      </c>
      <c r="BS129" s="2849">
        <f t="shared" si="788"/>
        <v>0.30787738431664607</v>
      </c>
      <c r="BT129" s="2849">
        <f t="shared" si="788"/>
        <v>0.30787738431664607</v>
      </c>
      <c r="BU129" s="2849" t="e">
        <f t="shared" si="788"/>
        <v>#DIV/0!</v>
      </c>
      <c r="BV129" s="2849">
        <f t="shared" si="788"/>
        <v>0.3071743763258688</v>
      </c>
      <c r="BW129" s="2849">
        <f t="shared" si="788"/>
        <v>0.3071743763258688</v>
      </c>
      <c r="BX129" s="2849" t="e">
        <f t="shared" si="788"/>
        <v>#DIV/0!</v>
      </c>
      <c r="BY129" s="2849">
        <f t="shared" si="788"/>
        <v>0.30850215979581191</v>
      </c>
      <c r="BZ129" s="2849">
        <f t="shared" si="788"/>
        <v>0.30850215979581191</v>
      </c>
      <c r="CA129" s="2849" t="e">
        <f t="shared" si="788"/>
        <v>#DIV/0!</v>
      </c>
      <c r="CB129" s="2850">
        <f t="shared" si="788"/>
        <v>0.30099986812120949</v>
      </c>
      <c r="CC129" s="2850">
        <f t="shared" si="788"/>
        <v>0.30099986812120949</v>
      </c>
      <c r="CD129" s="2850" t="e">
        <f t="shared" si="788"/>
        <v>#DIV/0!</v>
      </c>
      <c r="CE129" s="2850">
        <f t="shared" si="788"/>
        <v>0.30849067811538566</v>
      </c>
      <c r="CF129" s="2856">
        <f t="shared" si="788"/>
        <v>0.30849067811538566</v>
      </c>
      <c r="CG129" s="2856" t="e">
        <f t="shared" si="788"/>
        <v>#DIV/0!</v>
      </c>
      <c r="CH129" s="2851">
        <f t="shared" si="633"/>
        <v>7.490809994176173E-3</v>
      </c>
      <c r="CI129" s="2851">
        <f t="shared" si="633"/>
        <v>7.490809994176173E-3</v>
      </c>
      <c r="CJ129" s="2851" t="e">
        <f t="shared" si="633"/>
        <v>#DIV/0!</v>
      </c>
      <c r="CK129" s="2863"/>
      <c r="CL129" s="4187">
        <f t="shared" si="542"/>
        <v>1.203999472484838</v>
      </c>
      <c r="CM129" s="4187">
        <f t="shared" si="543"/>
        <v>1.203999472484838</v>
      </c>
      <c r="CN129" s="4187" t="e">
        <f t="shared" si="544"/>
        <v>#DIV/0!</v>
      </c>
    </row>
    <row r="130" spans="1:92" ht="18.75" customHeight="1" x14ac:dyDescent="0.3">
      <c r="A130" s="2871" t="s">
        <v>3731</v>
      </c>
      <c r="B130" s="2837">
        <f t="shared" si="782"/>
        <v>894.45894961736622</v>
      </c>
      <c r="C130" s="2837">
        <f t="shared" ref="C130:D130" si="789">SUM(C131:C137)+C139</f>
        <v>894.45894961736622</v>
      </c>
      <c r="D130" s="2837">
        <f t="shared" si="789"/>
        <v>0</v>
      </c>
      <c r="E130" s="2861">
        <f t="shared" si="669"/>
        <v>651.58779000000004</v>
      </c>
      <c r="F130" s="2836">
        <f>SUM(F131:F137)+F139</f>
        <v>651.58779000000004</v>
      </c>
      <c r="G130" s="2836">
        <f t="shared" ref="G130" si="790">SUM(G131:G137)+G139</f>
        <v>0</v>
      </c>
      <c r="H130" s="2861">
        <f t="shared" ref="H130:H157" si="791">SUM(I130:J130)</f>
        <v>421.10588000000001</v>
      </c>
      <c r="I130" s="2836">
        <f t="shared" ref="I130:J130" si="792">SUM(I131:I137)+I139</f>
        <v>421.10588000000001</v>
      </c>
      <c r="J130" s="2836">
        <f t="shared" si="792"/>
        <v>0</v>
      </c>
      <c r="K130" s="2861">
        <f t="shared" ref="K130:K157" si="793">SUM(L130:M130)</f>
        <v>540.95943000000011</v>
      </c>
      <c r="L130" s="2836">
        <f t="shared" ref="L130:M130" si="794">SUM(L131:L137)+L139</f>
        <v>540.95943000000011</v>
      </c>
      <c r="M130" s="2836">
        <f t="shared" si="794"/>
        <v>0</v>
      </c>
      <c r="N130" s="2861">
        <f t="shared" ref="N130:N156" si="795">SUM(O130:P130)</f>
        <v>1613.6531000000002</v>
      </c>
      <c r="O130" s="2861">
        <f t="shared" ref="O130:P156" si="796">SUM(F130+I130+L130)</f>
        <v>1613.6531000000002</v>
      </c>
      <c r="P130" s="2861">
        <f t="shared" si="796"/>
        <v>0</v>
      </c>
      <c r="Q130" s="2837">
        <f t="shared" si="720"/>
        <v>894.45894961736622</v>
      </c>
      <c r="R130" s="2837">
        <f t="shared" ref="R130:S130" si="797">SUM(R131:R137)+R139</f>
        <v>894.45894961736622</v>
      </c>
      <c r="S130" s="2837">
        <f t="shared" si="797"/>
        <v>0</v>
      </c>
      <c r="T130" s="2861">
        <f t="shared" ref="T130:T157" si="798">SUM(U130:V130)</f>
        <v>449.44</v>
      </c>
      <c r="U130" s="2836">
        <f t="shared" ref="U130:V130" si="799">SUM(U131:U137)+U139</f>
        <v>449.44</v>
      </c>
      <c r="V130" s="2836">
        <f t="shared" si="799"/>
        <v>0</v>
      </c>
      <c r="W130" s="2861">
        <f t="shared" ref="W130:W157" si="800">SUM(X130:Y130)</f>
        <v>605.41500000000008</v>
      </c>
      <c r="X130" s="2836">
        <f t="shared" ref="X130:Y130" si="801">SUM(X131:X137)+X139</f>
        <v>605.41500000000008</v>
      </c>
      <c r="Y130" s="2836">
        <f t="shared" si="801"/>
        <v>0</v>
      </c>
      <c r="Z130" s="2861">
        <f t="shared" ref="Z130:Z157" si="802">SUM(AA130:AB130)</f>
        <v>449.58500000000004</v>
      </c>
      <c r="AA130" s="2836">
        <f t="shared" ref="AA130:AB130" si="803">SUM(AA131:AA137)+AA139</f>
        <v>449.58500000000004</v>
      </c>
      <c r="AB130" s="2836">
        <f t="shared" si="803"/>
        <v>0</v>
      </c>
      <c r="AC130" s="2861">
        <f t="shared" ref="AC130:AC159" si="804">SUM(AD130:AE130)</f>
        <v>1504.44</v>
      </c>
      <c r="AD130" s="2861">
        <f t="shared" ref="AD130:AE159" si="805">SUM(U130+X130+AA130)</f>
        <v>1504.44</v>
      </c>
      <c r="AE130" s="2861">
        <f t="shared" si="805"/>
        <v>0</v>
      </c>
      <c r="AF130" s="2839">
        <f t="shared" si="647"/>
        <v>1788.9178992347324</v>
      </c>
      <c r="AG130" s="2839">
        <f t="shared" si="648"/>
        <v>1788.9178992347324</v>
      </c>
      <c r="AH130" s="2839">
        <f t="shared" si="648"/>
        <v>0</v>
      </c>
      <c r="AI130" s="2862">
        <f t="shared" ref="AI130:AK159" si="806">SUM(AC130+N130)</f>
        <v>3118.0931</v>
      </c>
      <c r="AJ130" s="2862">
        <f t="shared" si="806"/>
        <v>3118.0931</v>
      </c>
      <c r="AK130" s="2862">
        <f t="shared" si="806"/>
        <v>0</v>
      </c>
      <c r="AL130" s="2862">
        <f t="shared" ref="AL130:AN159" si="807">SUM(AI130-AF130)</f>
        <v>1329.1752007652676</v>
      </c>
      <c r="AM130" s="2862">
        <f t="shared" si="807"/>
        <v>1329.1752007652676</v>
      </c>
      <c r="AN130" s="2862">
        <f t="shared" si="807"/>
        <v>0</v>
      </c>
      <c r="AO130" s="2837">
        <f t="shared" ref="AO130:AO139" si="808">SUM(AP130:AQ130)</f>
        <v>894.45894961736622</v>
      </c>
      <c r="AP130" s="2837">
        <f t="shared" ref="AP130:AQ130" si="809">SUM(AP131:AP137)+AP139</f>
        <v>894.45894961736622</v>
      </c>
      <c r="AQ130" s="2837">
        <f t="shared" si="809"/>
        <v>0</v>
      </c>
      <c r="AR130" s="2861">
        <f t="shared" ref="AR130:AR157" si="810">SUM(AS130:AT130)</f>
        <v>660.19200000000001</v>
      </c>
      <c r="AS130" s="2836">
        <f t="shared" ref="AS130:AT130" si="811">SUM(AS131:AS137)+AS139</f>
        <v>660.19200000000001</v>
      </c>
      <c r="AT130" s="2836">
        <f t="shared" si="811"/>
        <v>0</v>
      </c>
      <c r="AU130" s="2861">
        <f t="shared" ref="AU130:AU157" si="812">SUM(AV130:AW130)</f>
        <v>574.23599999999988</v>
      </c>
      <c r="AV130" s="2836">
        <f t="shared" ref="AV130:AW130" si="813">SUM(AV131:AV137)+AV139</f>
        <v>574.23599999999988</v>
      </c>
      <c r="AW130" s="2836">
        <f t="shared" si="813"/>
        <v>0</v>
      </c>
      <c r="AX130" s="2861">
        <f t="shared" ref="AX130:AX157" si="814">SUM(AY130:AZ130)</f>
        <v>621.85199999999998</v>
      </c>
      <c r="AY130" s="2836">
        <f t="shared" ref="AY130:AZ130" si="815">SUM(AY131:AY137)+AY139</f>
        <v>621.85199999999998</v>
      </c>
      <c r="AZ130" s="2836">
        <f t="shared" si="815"/>
        <v>0</v>
      </c>
      <c r="BA130" s="2861">
        <f t="shared" ref="BA130:BA159" si="816">SUM(BB130:BC130)</f>
        <v>1856.2799999999997</v>
      </c>
      <c r="BB130" s="2861">
        <f t="shared" ref="BB130:BC159" si="817">SUM(AS130+AV130+AY130)</f>
        <v>1856.2799999999997</v>
      </c>
      <c r="BC130" s="2861">
        <f t="shared" si="817"/>
        <v>0</v>
      </c>
      <c r="BD130" s="2839">
        <f t="shared" si="761"/>
        <v>2683.3768488520986</v>
      </c>
      <c r="BE130" s="2839">
        <f t="shared" si="762"/>
        <v>2683.3768488520986</v>
      </c>
      <c r="BF130" s="2839">
        <f t="shared" si="763"/>
        <v>0</v>
      </c>
      <c r="BG130" s="2862">
        <f t="shared" ref="BG130:BI159" si="818">SUM(AI130+BA130)</f>
        <v>4974.3730999999998</v>
      </c>
      <c r="BH130" s="2862">
        <f t="shared" si="818"/>
        <v>4974.3730999999998</v>
      </c>
      <c r="BI130" s="2862">
        <f t="shared" si="818"/>
        <v>0</v>
      </c>
      <c r="BJ130" s="2862">
        <f t="shared" ref="BJ130:BL159" si="819">SUM(BG130-BD130)</f>
        <v>2290.9962511479011</v>
      </c>
      <c r="BK130" s="2862">
        <f t="shared" si="819"/>
        <v>2290.9962511479011</v>
      </c>
      <c r="BL130" s="2862">
        <f t="shared" si="819"/>
        <v>0</v>
      </c>
      <c r="BM130" s="2837">
        <f t="shared" si="683"/>
        <v>894.45894961736622</v>
      </c>
      <c r="BN130" s="2837">
        <f t="shared" ref="BN130:BO130" si="820">SUM(BN131:BN137)+BN139</f>
        <v>894.45894961736622</v>
      </c>
      <c r="BO130" s="2837">
        <f t="shared" si="820"/>
        <v>0</v>
      </c>
      <c r="BP130" s="2861">
        <f t="shared" ref="BP130:BP157" si="821">SUM(BQ130:BR130)</f>
        <v>626.14</v>
      </c>
      <c r="BQ130" s="2836">
        <f t="shared" ref="BQ130:BR130" si="822">SUM(BQ131:BQ137)+BQ139</f>
        <v>626.14</v>
      </c>
      <c r="BR130" s="2836">
        <f t="shared" si="822"/>
        <v>0</v>
      </c>
      <c r="BS130" s="2861">
        <f t="shared" ref="BS130:BS157" si="823">SUM(BT130:BU130)</f>
        <v>604.279</v>
      </c>
      <c r="BT130" s="2836">
        <f t="shared" ref="BT130:BU130" si="824">SUM(BT131:BT137)+BT139</f>
        <v>604.279</v>
      </c>
      <c r="BU130" s="2836">
        <f t="shared" si="824"/>
        <v>0</v>
      </c>
      <c r="BV130" s="2861">
        <f t="shared" ref="BV130:BV157" si="825">SUM(BW130:BX130)</f>
        <v>684.07600000000002</v>
      </c>
      <c r="BW130" s="2836">
        <f t="shared" ref="BW130:BX130" si="826">SUM(BW131:BW137)+BW139</f>
        <v>684.07600000000002</v>
      </c>
      <c r="BX130" s="2836">
        <f t="shared" si="826"/>
        <v>0</v>
      </c>
      <c r="BY130" s="2861">
        <f t="shared" ref="BY130:BY159" si="827">SUM(BZ130:CA130)</f>
        <v>1914.4949999999999</v>
      </c>
      <c r="BZ130" s="2861">
        <f t="shared" ref="BZ130:CA159" si="828">SUM(BQ130+BT130+BW130)</f>
        <v>1914.4949999999999</v>
      </c>
      <c r="CA130" s="2861">
        <f t="shared" si="828"/>
        <v>0</v>
      </c>
      <c r="CB130" s="2839">
        <f t="shared" si="781"/>
        <v>3577.8364299681775</v>
      </c>
      <c r="CC130" s="2839">
        <f>SUM(вода!CV42)</f>
        <v>3577.8364299681775</v>
      </c>
      <c r="CD130" s="2839">
        <f>SUM(вода!CW42)</f>
        <v>0</v>
      </c>
      <c r="CE130" s="2862">
        <f t="shared" ref="CE130:CG159" si="829">SUM(BY130+BG130)</f>
        <v>6888.8680999999997</v>
      </c>
      <c r="CF130" s="2981">
        <f t="shared" si="829"/>
        <v>6888.8680999999997</v>
      </c>
      <c r="CG130" s="2981">
        <f t="shared" si="829"/>
        <v>0</v>
      </c>
      <c r="CH130" s="2862">
        <f t="shared" ref="CH130:CJ159" si="830">SUM(CE130-CB130)</f>
        <v>3311.0316700318222</v>
      </c>
      <c r="CI130" s="2862">
        <f t="shared" si="830"/>
        <v>3311.0316700318222</v>
      </c>
      <c r="CJ130" s="2862">
        <f t="shared" si="830"/>
        <v>0</v>
      </c>
      <c r="CK130" s="2863"/>
      <c r="CL130" s="4187">
        <f t="shared" si="542"/>
        <v>3577.8357984694649</v>
      </c>
      <c r="CM130" s="4187">
        <f t="shared" si="543"/>
        <v>3577.8357984694649</v>
      </c>
      <c r="CN130" s="4187">
        <f t="shared" si="544"/>
        <v>0</v>
      </c>
    </row>
    <row r="131" spans="1:92" ht="18.75" customHeight="1" x14ac:dyDescent="0.3">
      <c r="A131" s="2873" t="s">
        <v>71</v>
      </c>
      <c r="B131" s="2845">
        <f t="shared" ref="B131:B139" si="831">SUM(C131:D131)</f>
        <v>429.17013919866241</v>
      </c>
      <c r="C131" s="2845">
        <f t="shared" ref="C131:D136" si="832">SUM(CC131/4)</f>
        <v>429.17013919866241</v>
      </c>
      <c r="D131" s="2845">
        <f t="shared" si="832"/>
        <v>0</v>
      </c>
      <c r="E131" s="2865">
        <f t="shared" si="669"/>
        <v>474.31</v>
      </c>
      <c r="F131" s="2866">
        <v>474.31</v>
      </c>
      <c r="G131" s="2866"/>
      <c r="H131" s="2865">
        <f t="shared" si="791"/>
        <v>316.07</v>
      </c>
      <c r="I131" s="2866">
        <v>316.07</v>
      </c>
      <c r="J131" s="2866"/>
      <c r="K131" s="2865">
        <f t="shared" si="793"/>
        <v>369.91</v>
      </c>
      <c r="L131" s="2866">
        <v>369.91</v>
      </c>
      <c r="M131" s="2866"/>
      <c r="N131" s="2865">
        <f t="shared" si="795"/>
        <v>1160.29</v>
      </c>
      <c r="O131" s="2865">
        <f t="shared" si="796"/>
        <v>1160.29</v>
      </c>
      <c r="P131" s="2865">
        <f t="shared" si="796"/>
        <v>0</v>
      </c>
      <c r="Q131" s="2845">
        <f t="shared" si="720"/>
        <v>429.17013919866241</v>
      </c>
      <c r="R131" s="2845">
        <f t="shared" ref="R131:R136" si="833">SUM(C131)</f>
        <v>429.17013919866241</v>
      </c>
      <c r="S131" s="2845">
        <f t="shared" ref="S131:S136" si="834">SUM(D131)</f>
        <v>0</v>
      </c>
      <c r="T131" s="2865">
        <f t="shared" si="798"/>
        <v>332.62</v>
      </c>
      <c r="U131" s="2866">
        <v>332.62</v>
      </c>
      <c r="V131" s="2866"/>
      <c r="W131" s="2865">
        <f t="shared" si="800"/>
        <v>436.52</v>
      </c>
      <c r="X131" s="2866">
        <v>436.52</v>
      </c>
      <c r="Y131" s="2866"/>
      <c r="Z131" s="2865">
        <f t="shared" si="802"/>
        <v>338.654</v>
      </c>
      <c r="AA131" s="2866">
        <v>338.654</v>
      </c>
      <c r="AB131" s="2866"/>
      <c r="AC131" s="2865">
        <f t="shared" si="804"/>
        <v>1107.7939999999999</v>
      </c>
      <c r="AD131" s="2865">
        <f t="shared" si="805"/>
        <v>1107.7939999999999</v>
      </c>
      <c r="AE131" s="2865">
        <f t="shared" si="805"/>
        <v>0</v>
      </c>
      <c r="AF131" s="2846">
        <f t="shared" si="647"/>
        <v>858.34027839732482</v>
      </c>
      <c r="AG131" s="2846">
        <f t="shared" si="648"/>
        <v>858.34027839732482</v>
      </c>
      <c r="AH131" s="2846">
        <f t="shared" si="648"/>
        <v>0</v>
      </c>
      <c r="AI131" s="2867">
        <f t="shared" si="806"/>
        <v>2268.0839999999998</v>
      </c>
      <c r="AJ131" s="2867">
        <f t="shared" si="806"/>
        <v>2268.0839999999998</v>
      </c>
      <c r="AK131" s="2867">
        <f t="shared" si="806"/>
        <v>0</v>
      </c>
      <c r="AL131" s="2867">
        <f t="shared" si="807"/>
        <v>1409.7437216026751</v>
      </c>
      <c r="AM131" s="2867">
        <f t="shared" si="807"/>
        <v>1409.7437216026751</v>
      </c>
      <c r="AN131" s="2867">
        <f t="shared" si="807"/>
        <v>0</v>
      </c>
      <c r="AO131" s="2845">
        <f t="shared" si="808"/>
        <v>429.17013919866241</v>
      </c>
      <c r="AP131" s="2845">
        <f t="shared" ref="AP131:AP136" si="835">SUM(CC131-AG131)/2</f>
        <v>429.17013919866241</v>
      </c>
      <c r="AQ131" s="2845">
        <f t="shared" ref="AQ131:AQ136" si="836">SUM(CD131-AH131)/2</f>
        <v>0</v>
      </c>
      <c r="AR131" s="2865">
        <f t="shared" si="810"/>
        <v>451</v>
      </c>
      <c r="AS131" s="2866">
        <v>451</v>
      </c>
      <c r="AT131" s="2866"/>
      <c r="AU131" s="2865">
        <f t="shared" si="812"/>
        <v>393.89299999999997</v>
      </c>
      <c r="AV131" s="2866">
        <v>393.89299999999997</v>
      </c>
      <c r="AW131" s="2866"/>
      <c r="AX131" s="2865">
        <f t="shared" si="814"/>
        <v>387.39299999999997</v>
      </c>
      <c r="AY131" s="2866">
        <v>387.39299999999997</v>
      </c>
      <c r="AZ131" s="2866"/>
      <c r="BA131" s="2865">
        <f t="shared" si="816"/>
        <v>1232.2860000000001</v>
      </c>
      <c r="BB131" s="2865">
        <f t="shared" si="817"/>
        <v>1232.2860000000001</v>
      </c>
      <c r="BC131" s="2865">
        <f t="shared" si="817"/>
        <v>0</v>
      </c>
      <c r="BD131" s="2846">
        <f t="shared" si="761"/>
        <v>1287.5104175959873</v>
      </c>
      <c r="BE131" s="2846">
        <f t="shared" si="762"/>
        <v>1287.5104175959873</v>
      </c>
      <c r="BF131" s="2846">
        <f t="shared" si="763"/>
        <v>0</v>
      </c>
      <c r="BG131" s="2867">
        <f t="shared" si="818"/>
        <v>3500.37</v>
      </c>
      <c r="BH131" s="2867">
        <f t="shared" si="818"/>
        <v>3500.37</v>
      </c>
      <c r="BI131" s="2867">
        <f t="shared" si="818"/>
        <v>0</v>
      </c>
      <c r="BJ131" s="2867">
        <f t="shared" si="819"/>
        <v>2212.8595824040126</v>
      </c>
      <c r="BK131" s="2867">
        <f t="shared" si="819"/>
        <v>2212.8595824040126</v>
      </c>
      <c r="BL131" s="2867">
        <f t="shared" si="819"/>
        <v>0</v>
      </c>
      <c r="BM131" s="2845">
        <f t="shared" ref="BM131:BM148" si="837">SUM(BN131:BO131)</f>
        <v>429.17013919866241</v>
      </c>
      <c r="BN131" s="2845">
        <f t="shared" ref="BN131:BN136" si="838">SUM(AP131)</f>
        <v>429.17013919866241</v>
      </c>
      <c r="BO131" s="2845">
        <f t="shared" ref="BO131:BO136" si="839">SUM(AQ131)</f>
        <v>0</v>
      </c>
      <c r="BP131" s="2865">
        <f t="shared" si="821"/>
        <v>452.89699999999999</v>
      </c>
      <c r="BQ131" s="2866">
        <v>452.89699999999999</v>
      </c>
      <c r="BR131" s="2866"/>
      <c r="BS131" s="2865">
        <f t="shared" si="823"/>
        <v>431.10500000000002</v>
      </c>
      <c r="BT131" s="2866">
        <v>431.10500000000002</v>
      </c>
      <c r="BU131" s="2866"/>
      <c r="BV131" s="2865">
        <f t="shared" si="825"/>
        <v>450.66899999999998</v>
      </c>
      <c r="BW131" s="2866">
        <v>450.66899999999998</v>
      </c>
      <c r="BX131" s="2866"/>
      <c r="BY131" s="2865">
        <f t="shared" si="827"/>
        <v>1334.6709999999998</v>
      </c>
      <c r="BZ131" s="2865">
        <f t="shared" si="828"/>
        <v>1334.6709999999998</v>
      </c>
      <c r="CA131" s="2865">
        <f t="shared" si="828"/>
        <v>0</v>
      </c>
      <c r="CB131" s="2846">
        <f t="shared" ref="CB131:CB142" si="840">SUM(CC131:CD131)</f>
        <v>1716.6805567946496</v>
      </c>
      <c r="CC131" s="2846">
        <f>1638.248*(1+0.032)*0.99*(1+0.036)*0.99</f>
        <v>1716.6805567946496</v>
      </c>
      <c r="CD131" s="2846">
        <v>0</v>
      </c>
      <c r="CE131" s="2867">
        <f t="shared" si="829"/>
        <v>4835.0409999999993</v>
      </c>
      <c r="CF131" s="2982">
        <f t="shared" si="829"/>
        <v>4835.0409999999993</v>
      </c>
      <c r="CG131" s="2982">
        <f t="shared" si="829"/>
        <v>0</v>
      </c>
      <c r="CH131" s="2867">
        <f t="shared" si="830"/>
        <v>3118.3604432053498</v>
      </c>
      <c r="CI131" s="2867">
        <f t="shared" si="830"/>
        <v>3118.3604432053498</v>
      </c>
      <c r="CJ131" s="2867">
        <f t="shared" si="830"/>
        <v>0</v>
      </c>
      <c r="CK131" s="2863"/>
      <c r="CL131" s="4187">
        <f t="shared" si="542"/>
        <v>1716.6805567946496</v>
      </c>
      <c r="CM131" s="4187">
        <f t="shared" si="543"/>
        <v>1716.6805567946496</v>
      </c>
      <c r="CN131" s="4187">
        <f t="shared" si="544"/>
        <v>0</v>
      </c>
    </row>
    <row r="132" spans="1:92" ht="18.75" customHeight="1" x14ac:dyDescent="0.3">
      <c r="A132" s="2873" t="s">
        <v>114</v>
      </c>
      <c r="B132" s="2845">
        <f t="shared" si="831"/>
        <v>129.59631083432882</v>
      </c>
      <c r="C132" s="2845">
        <f t="shared" si="832"/>
        <v>129.59631083432882</v>
      </c>
      <c r="D132" s="2845">
        <f t="shared" si="832"/>
        <v>0</v>
      </c>
      <c r="E132" s="2865">
        <f t="shared" si="669"/>
        <v>143.24</v>
      </c>
      <c r="F132" s="2866">
        <v>143.24</v>
      </c>
      <c r="G132" s="2866"/>
      <c r="H132" s="2865">
        <f t="shared" si="791"/>
        <v>94.26</v>
      </c>
      <c r="I132" s="2866">
        <f>0.62+93.64</f>
        <v>94.26</v>
      </c>
      <c r="J132" s="2866"/>
      <c r="K132" s="2865">
        <f t="shared" si="793"/>
        <v>110.81</v>
      </c>
      <c r="L132" s="2866">
        <v>110.81</v>
      </c>
      <c r="M132" s="2866"/>
      <c r="N132" s="2865">
        <f t="shared" si="795"/>
        <v>348.31</v>
      </c>
      <c r="O132" s="2865">
        <f t="shared" si="796"/>
        <v>348.31</v>
      </c>
      <c r="P132" s="2865">
        <f t="shared" si="796"/>
        <v>0</v>
      </c>
      <c r="Q132" s="2845">
        <f t="shared" si="720"/>
        <v>129.59631083432882</v>
      </c>
      <c r="R132" s="2845">
        <f t="shared" si="833"/>
        <v>129.59631083432882</v>
      </c>
      <c r="S132" s="2845">
        <f t="shared" si="834"/>
        <v>0</v>
      </c>
      <c r="T132" s="2865">
        <f t="shared" si="798"/>
        <v>100.45</v>
      </c>
      <c r="U132" s="2866">
        <v>100.45</v>
      </c>
      <c r="V132" s="2866"/>
      <c r="W132" s="2865">
        <f t="shared" si="800"/>
        <v>131.83000000000001</v>
      </c>
      <c r="X132" s="2866">
        <v>131.83000000000001</v>
      </c>
      <c r="Y132" s="2866"/>
      <c r="Z132" s="2865">
        <f t="shared" si="802"/>
        <v>101.062</v>
      </c>
      <c r="AA132" s="2866">
        <v>101.062</v>
      </c>
      <c r="AB132" s="2866"/>
      <c r="AC132" s="2865">
        <f t="shared" si="804"/>
        <v>333.34200000000004</v>
      </c>
      <c r="AD132" s="2865">
        <f t="shared" si="805"/>
        <v>333.34200000000004</v>
      </c>
      <c r="AE132" s="2865">
        <f t="shared" si="805"/>
        <v>0</v>
      </c>
      <c r="AF132" s="2846">
        <f t="shared" si="647"/>
        <v>259.19262166865764</v>
      </c>
      <c r="AG132" s="2846">
        <f t="shared" si="648"/>
        <v>259.19262166865764</v>
      </c>
      <c r="AH132" s="2846">
        <f t="shared" si="648"/>
        <v>0</v>
      </c>
      <c r="AI132" s="2867">
        <f t="shared" si="806"/>
        <v>681.65200000000004</v>
      </c>
      <c r="AJ132" s="2867">
        <f t="shared" si="806"/>
        <v>681.65200000000004</v>
      </c>
      <c r="AK132" s="2867">
        <f t="shared" si="806"/>
        <v>0</v>
      </c>
      <c r="AL132" s="2867">
        <f t="shared" si="807"/>
        <v>422.45937833134241</v>
      </c>
      <c r="AM132" s="2867">
        <f t="shared" si="807"/>
        <v>422.45937833134241</v>
      </c>
      <c r="AN132" s="2867">
        <f t="shared" si="807"/>
        <v>0</v>
      </c>
      <c r="AO132" s="2845">
        <f t="shared" si="808"/>
        <v>129.59631083432882</v>
      </c>
      <c r="AP132" s="2845">
        <f t="shared" si="835"/>
        <v>129.59631083432882</v>
      </c>
      <c r="AQ132" s="2845">
        <f t="shared" si="836"/>
        <v>0</v>
      </c>
      <c r="AR132" s="2865">
        <f t="shared" si="810"/>
        <v>136.16</v>
      </c>
      <c r="AS132" s="2866">
        <v>136.16</v>
      </c>
      <c r="AT132" s="2866"/>
      <c r="AU132" s="2865">
        <f t="shared" si="812"/>
        <v>118.907</v>
      </c>
      <c r="AV132" s="2866">
        <v>118.907</v>
      </c>
      <c r="AW132" s="2866"/>
      <c r="AX132" s="2865">
        <f t="shared" si="814"/>
        <v>115.655</v>
      </c>
      <c r="AY132" s="2866">
        <v>115.655</v>
      </c>
      <c r="AZ132" s="2866"/>
      <c r="BA132" s="2865">
        <f t="shared" si="816"/>
        <v>370.72199999999998</v>
      </c>
      <c r="BB132" s="2865">
        <f t="shared" si="817"/>
        <v>370.72199999999998</v>
      </c>
      <c r="BC132" s="2865">
        <f t="shared" si="817"/>
        <v>0</v>
      </c>
      <c r="BD132" s="2846">
        <f t="shared" si="761"/>
        <v>388.78893250298643</v>
      </c>
      <c r="BE132" s="2846">
        <f t="shared" si="762"/>
        <v>388.78893250298643</v>
      </c>
      <c r="BF132" s="2846">
        <f t="shared" si="763"/>
        <v>0</v>
      </c>
      <c r="BG132" s="2867">
        <f t="shared" si="818"/>
        <v>1052.374</v>
      </c>
      <c r="BH132" s="2867">
        <f t="shared" si="818"/>
        <v>1052.374</v>
      </c>
      <c r="BI132" s="2867">
        <f t="shared" si="818"/>
        <v>0</v>
      </c>
      <c r="BJ132" s="2867">
        <f t="shared" si="819"/>
        <v>663.5850674970136</v>
      </c>
      <c r="BK132" s="2867">
        <f t="shared" si="819"/>
        <v>663.5850674970136</v>
      </c>
      <c r="BL132" s="2867">
        <f t="shared" si="819"/>
        <v>0</v>
      </c>
      <c r="BM132" s="2845">
        <f t="shared" si="837"/>
        <v>129.59631083432882</v>
      </c>
      <c r="BN132" s="2845">
        <f t="shared" si="838"/>
        <v>129.59631083432882</v>
      </c>
      <c r="BO132" s="2845">
        <f t="shared" si="839"/>
        <v>0</v>
      </c>
      <c r="BP132" s="2865">
        <f t="shared" si="821"/>
        <v>136.73699999999999</v>
      </c>
      <c r="BQ132" s="2866">
        <v>136.73699999999999</v>
      </c>
      <c r="BR132" s="2866"/>
      <c r="BS132" s="2865">
        <f t="shared" si="823"/>
        <v>130.13300000000001</v>
      </c>
      <c r="BT132" s="2866">
        <v>130.13300000000001</v>
      </c>
      <c r="BU132" s="2866"/>
      <c r="BV132" s="2865">
        <f t="shared" si="825"/>
        <v>135.14699999999999</v>
      </c>
      <c r="BW132" s="2866">
        <v>135.14699999999999</v>
      </c>
      <c r="BX132" s="2866"/>
      <c r="BY132" s="2865">
        <f t="shared" si="827"/>
        <v>402.017</v>
      </c>
      <c r="BZ132" s="2865">
        <f t="shared" si="828"/>
        <v>402.017</v>
      </c>
      <c r="CA132" s="2865">
        <f t="shared" si="828"/>
        <v>0</v>
      </c>
      <c r="CB132" s="2846">
        <f t="shared" si="840"/>
        <v>518.38524333731527</v>
      </c>
      <c r="CC132" s="2846">
        <f>494.701*(1+0.032)*0.99*(1+0.036)*0.99</f>
        <v>518.38524333731527</v>
      </c>
      <c r="CD132" s="2846">
        <v>0</v>
      </c>
      <c r="CE132" s="2867">
        <f t="shared" si="829"/>
        <v>1454.3910000000001</v>
      </c>
      <c r="CF132" s="2982">
        <f t="shared" si="829"/>
        <v>1454.3910000000001</v>
      </c>
      <c r="CG132" s="2982">
        <f t="shared" si="829"/>
        <v>0</v>
      </c>
      <c r="CH132" s="2867">
        <f t="shared" si="830"/>
        <v>936.0057566626848</v>
      </c>
      <c r="CI132" s="2867">
        <f t="shared" si="830"/>
        <v>936.0057566626848</v>
      </c>
      <c r="CJ132" s="2867">
        <f t="shared" si="830"/>
        <v>0</v>
      </c>
      <c r="CK132" s="2863"/>
      <c r="CL132" s="4187">
        <f t="shared" si="542"/>
        <v>518.38524333731527</v>
      </c>
      <c r="CM132" s="4187">
        <f t="shared" si="543"/>
        <v>518.38524333731527</v>
      </c>
      <c r="CN132" s="4187">
        <f t="shared" si="544"/>
        <v>0</v>
      </c>
    </row>
    <row r="133" spans="1:92" ht="18.75" customHeight="1" x14ac:dyDescent="0.3">
      <c r="A133" s="2873" t="s">
        <v>52</v>
      </c>
      <c r="B133" s="2845">
        <f t="shared" si="831"/>
        <v>4.7434975156250001</v>
      </c>
      <c r="C133" s="2845">
        <f t="shared" si="832"/>
        <v>4.7434975156250001</v>
      </c>
      <c r="D133" s="2845">
        <f t="shared" si="832"/>
        <v>0</v>
      </c>
      <c r="E133" s="2865">
        <f t="shared" si="669"/>
        <v>0.9</v>
      </c>
      <c r="F133" s="2866">
        <v>0.9</v>
      </c>
      <c r="G133" s="2866"/>
      <c r="H133" s="2865">
        <f t="shared" si="791"/>
        <v>0.91</v>
      </c>
      <c r="I133" s="2866">
        <v>0.91</v>
      </c>
      <c r="J133" s="2866"/>
      <c r="K133" s="2865">
        <f t="shared" si="793"/>
        <v>0.9</v>
      </c>
      <c r="L133" s="2866">
        <v>0.9</v>
      </c>
      <c r="M133" s="2866"/>
      <c r="N133" s="2865">
        <f t="shared" si="795"/>
        <v>2.71</v>
      </c>
      <c r="O133" s="2865">
        <f t="shared" si="796"/>
        <v>2.71</v>
      </c>
      <c r="P133" s="2865">
        <f t="shared" si="796"/>
        <v>0</v>
      </c>
      <c r="Q133" s="2845">
        <f t="shared" si="720"/>
        <v>4.7434975156250001</v>
      </c>
      <c r="R133" s="2845">
        <f t="shared" si="833"/>
        <v>4.7434975156250001</v>
      </c>
      <c r="S133" s="2845">
        <f t="shared" si="834"/>
        <v>0</v>
      </c>
      <c r="T133" s="2865">
        <f t="shared" si="798"/>
        <v>0.89</v>
      </c>
      <c r="U133" s="2866">
        <v>0.89</v>
      </c>
      <c r="V133" s="2866"/>
      <c r="W133" s="2865">
        <f t="shared" si="800"/>
        <v>0.9</v>
      </c>
      <c r="X133" s="2866">
        <v>0.9</v>
      </c>
      <c r="Y133" s="2866"/>
      <c r="Z133" s="2865">
        <f t="shared" si="802"/>
        <v>0.84299999999999997</v>
      </c>
      <c r="AA133" s="2866">
        <v>0.84299999999999997</v>
      </c>
      <c r="AB133" s="2866"/>
      <c r="AC133" s="2865">
        <f t="shared" si="804"/>
        <v>2.633</v>
      </c>
      <c r="AD133" s="2865">
        <f t="shared" si="805"/>
        <v>2.633</v>
      </c>
      <c r="AE133" s="2865">
        <f t="shared" si="805"/>
        <v>0</v>
      </c>
      <c r="AF133" s="2846">
        <f t="shared" si="647"/>
        <v>9.4869950312500002</v>
      </c>
      <c r="AG133" s="2846">
        <f t="shared" si="648"/>
        <v>9.4869950312500002</v>
      </c>
      <c r="AH133" s="2846">
        <f t="shared" si="648"/>
        <v>0</v>
      </c>
      <c r="AI133" s="2867">
        <f t="shared" si="806"/>
        <v>5.343</v>
      </c>
      <c r="AJ133" s="2867">
        <f t="shared" si="806"/>
        <v>5.343</v>
      </c>
      <c r="AK133" s="2867">
        <f t="shared" si="806"/>
        <v>0</v>
      </c>
      <c r="AL133" s="2867">
        <f t="shared" si="807"/>
        <v>-4.1439950312500002</v>
      </c>
      <c r="AM133" s="2867">
        <f t="shared" si="807"/>
        <v>-4.1439950312500002</v>
      </c>
      <c r="AN133" s="2867">
        <f t="shared" si="807"/>
        <v>0</v>
      </c>
      <c r="AO133" s="2845">
        <f t="shared" si="808"/>
        <v>4.7434975156250001</v>
      </c>
      <c r="AP133" s="2845">
        <f t="shared" si="835"/>
        <v>4.7434975156250001</v>
      </c>
      <c r="AQ133" s="2845">
        <f t="shared" si="836"/>
        <v>0</v>
      </c>
      <c r="AR133" s="2865">
        <f t="shared" si="810"/>
        <v>0.92</v>
      </c>
      <c r="AS133" s="2866">
        <v>0.92</v>
      </c>
      <c r="AT133" s="2866"/>
      <c r="AU133" s="2865">
        <f t="shared" si="812"/>
        <v>0.84699999999999998</v>
      </c>
      <c r="AV133" s="2866">
        <v>0.84699999999999998</v>
      </c>
      <c r="AW133" s="2866"/>
      <c r="AX133" s="2865">
        <f t="shared" si="814"/>
        <v>0.83199999999999996</v>
      </c>
      <c r="AY133" s="2866">
        <v>0.83199999999999996</v>
      </c>
      <c r="AZ133" s="2866"/>
      <c r="BA133" s="2865">
        <f t="shared" si="816"/>
        <v>2.5989999999999998</v>
      </c>
      <c r="BB133" s="2865">
        <f t="shared" si="817"/>
        <v>2.5989999999999998</v>
      </c>
      <c r="BC133" s="2865">
        <f t="shared" si="817"/>
        <v>0</v>
      </c>
      <c r="BD133" s="2846">
        <f t="shared" si="761"/>
        <v>14.230492546875</v>
      </c>
      <c r="BE133" s="2846">
        <f t="shared" si="762"/>
        <v>14.230492546875</v>
      </c>
      <c r="BF133" s="2846">
        <f t="shared" si="763"/>
        <v>0</v>
      </c>
      <c r="BG133" s="2867">
        <f t="shared" si="818"/>
        <v>7.9420000000000002</v>
      </c>
      <c r="BH133" s="2867">
        <f t="shared" si="818"/>
        <v>7.9420000000000002</v>
      </c>
      <c r="BI133" s="2867">
        <f t="shared" si="818"/>
        <v>0</v>
      </c>
      <c r="BJ133" s="2867">
        <f t="shared" si="819"/>
        <v>-6.2884925468750001</v>
      </c>
      <c r="BK133" s="2867">
        <f t="shared" si="819"/>
        <v>-6.2884925468750001</v>
      </c>
      <c r="BL133" s="2867">
        <f t="shared" si="819"/>
        <v>0</v>
      </c>
      <c r="BM133" s="2845">
        <f t="shared" si="837"/>
        <v>4.7434975156250001</v>
      </c>
      <c r="BN133" s="2845">
        <f t="shared" si="838"/>
        <v>4.7434975156250001</v>
      </c>
      <c r="BO133" s="2845">
        <f t="shared" si="839"/>
        <v>0</v>
      </c>
      <c r="BP133" s="2865">
        <f t="shared" si="821"/>
        <v>0.84399999999999997</v>
      </c>
      <c r="BQ133" s="2866">
        <v>0.84399999999999997</v>
      </c>
      <c r="BR133" s="2866"/>
      <c r="BS133" s="2865">
        <f t="shared" si="823"/>
        <v>0.88700000000000001</v>
      </c>
      <c r="BT133" s="2866">
        <v>0.88700000000000001</v>
      </c>
      <c r="BU133" s="2866"/>
      <c r="BV133" s="2865">
        <f t="shared" si="825"/>
        <v>0.90700000000000003</v>
      </c>
      <c r="BW133" s="2866">
        <v>0.90700000000000003</v>
      </c>
      <c r="BX133" s="2866"/>
      <c r="BY133" s="2865">
        <f t="shared" si="827"/>
        <v>2.6379999999999999</v>
      </c>
      <c r="BZ133" s="2865">
        <f t="shared" si="828"/>
        <v>2.6379999999999999</v>
      </c>
      <c r="CA133" s="2865">
        <f t="shared" si="828"/>
        <v>0</v>
      </c>
      <c r="CB133" s="2846">
        <f t="shared" si="840"/>
        <v>18.9739900625</v>
      </c>
      <c r="CC133" s="2846">
        <f>9.35*2.02930375</f>
        <v>18.9739900625</v>
      </c>
      <c r="CD133" s="2846">
        <v>0</v>
      </c>
      <c r="CE133" s="2867">
        <f t="shared" si="829"/>
        <v>10.58</v>
      </c>
      <c r="CF133" s="2982">
        <f t="shared" si="829"/>
        <v>10.58</v>
      </c>
      <c r="CG133" s="2982">
        <f t="shared" si="829"/>
        <v>0</v>
      </c>
      <c r="CH133" s="2867">
        <f t="shared" si="830"/>
        <v>-8.3939900625000003</v>
      </c>
      <c r="CI133" s="2867">
        <f t="shared" si="830"/>
        <v>-8.3939900625000003</v>
      </c>
      <c r="CJ133" s="2867">
        <f t="shared" si="830"/>
        <v>0</v>
      </c>
      <c r="CK133" s="2863"/>
      <c r="CL133" s="4187">
        <f t="shared" si="542"/>
        <v>18.9739900625</v>
      </c>
      <c r="CM133" s="4187">
        <f t="shared" si="543"/>
        <v>18.9739900625</v>
      </c>
      <c r="CN133" s="4187">
        <f t="shared" si="544"/>
        <v>0</v>
      </c>
    </row>
    <row r="134" spans="1:92" ht="18.75" customHeight="1" x14ac:dyDescent="0.3">
      <c r="A134" s="2873" t="s">
        <v>590</v>
      </c>
      <c r="B134" s="2845">
        <f t="shared" si="831"/>
        <v>101.348502534375</v>
      </c>
      <c r="C134" s="2845">
        <f t="shared" si="832"/>
        <v>101.348502534375</v>
      </c>
      <c r="D134" s="2845">
        <f t="shared" si="832"/>
        <v>0</v>
      </c>
      <c r="E134" s="2865">
        <f t="shared" si="669"/>
        <v>27.96</v>
      </c>
      <c r="F134" s="2866">
        <v>27.96</v>
      </c>
      <c r="G134" s="2866"/>
      <c r="H134" s="2865">
        <f t="shared" si="791"/>
        <v>6.5358799999999997</v>
      </c>
      <c r="I134" s="2866">
        <f>6.52+0.01588</f>
        <v>6.5358799999999997</v>
      </c>
      <c r="J134" s="2866"/>
      <c r="K134" s="2865">
        <f t="shared" si="793"/>
        <v>34.07</v>
      </c>
      <c r="L134" s="2866">
        <v>34.07</v>
      </c>
      <c r="M134" s="2866"/>
      <c r="N134" s="2865">
        <f t="shared" si="795"/>
        <v>68.565879999999993</v>
      </c>
      <c r="O134" s="2865">
        <f t="shared" si="796"/>
        <v>68.565879999999993</v>
      </c>
      <c r="P134" s="2865">
        <f t="shared" si="796"/>
        <v>0</v>
      </c>
      <c r="Q134" s="2845">
        <f t="shared" si="720"/>
        <v>101.348502534375</v>
      </c>
      <c r="R134" s="2845">
        <f t="shared" si="833"/>
        <v>101.348502534375</v>
      </c>
      <c r="S134" s="2845">
        <f t="shared" si="834"/>
        <v>0</v>
      </c>
      <c r="T134" s="2865">
        <f t="shared" si="798"/>
        <v>10.6</v>
      </c>
      <c r="U134" s="2866">
        <v>10.6</v>
      </c>
      <c r="V134" s="2866"/>
      <c r="W134" s="2865">
        <f t="shared" si="800"/>
        <v>16.420000000000002</v>
      </c>
      <c r="X134" s="2866">
        <v>16.420000000000002</v>
      </c>
      <c r="Y134" s="2866"/>
      <c r="Z134" s="2865">
        <f t="shared" si="802"/>
        <v>0</v>
      </c>
      <c r="AA134" s="2866"/>
      <c r="AB134" s="2866"/>
      <c r="AC134" s="2865">
        <f t="shared" si="804"/>
        <v>27.020000000000003</v>
      </c>
      <c r="AD134" s="2865">
        <f t="shared" si="805"/>
        <v>27.020000000000003</v>
      </c>
      <c r="AE134" s="2865">
        <f t="shared" si="805"/>
        <v>0</v>
      </c>
      <c r="AF134" s="2846">
        <f t="shared" si="647"/>
        <v>202.69700506875</v>
      </c>
      <c r="AG134" s="2846">
        <f t="shared" si="648"/>
        <v>202.69700506875</v>
      </c>
      <c r="AH134" s="2846">
        <f t="shared" si="648"/>
        <v>0</v>
      </c>
      <c r="AI134" s="2867">
        <f t="shared" si="806"/>
        <v>95.585880000000003</v>
      </c>
      <c r="AJ134" s="2867">
        <f t="shared" si="806"/>
        <v>95.585880000000003</v>
      </c>
      <c r="AK134" s="2867">
        <f t="shared" si="806"/>
        <v>0</v>
      </c>
      <c r="AL134" s="2867">
        <f t="shared" si="807"/>
        <v>-107.11112506875</v>
      </c>
      <c r="AM134" s="2867">
        <f t="shared" si="807"/>
        <v>-107.11112506875</v>
      </c>
      <c r="AN134" s="2867">
        <f t="shared" si="807"/>
        <v>0</v>
      </c>
      <c r="AO134" s="2845">
        <f t="shared" si="808"/>
        <v>101.348502534375</v>
      </c>
      <c r="AP134" s="2845">
        <f t="shared" si="835"/>
        <v>101.348502534375</v>
      </c>
      <c r="AQ134" s="2845">
        <f t="shared" si="836"/>
        <v>0</v>
      </c>
      <c r="AR134" s="2865">
        <f t="shared" si="810"/>
        <v>14.84</v>
      </c>
      <c r="AS134" s="2866">
        <v>14.84</v>
      </c>
      <c r="AT134" s="2866"/>
      <c r="AU134" s="2865">
        <f t="shared" si="812"/>
        <v>13.282</v>
      </c>
      <c r="AV134" s="2866">
        <v>13.282</v>
      </c>
      <c r="AW134" s="2866"/>
      <c r="AX134" s="2865">
        <f t="shared" si="814"/>
        <v>24.62</v>
      </c>
      <c r="AY134" s="2866">
        <v>24.62</v>
      </c>
      <c r="AZ134" s="2866"/>
      <c r="BA134" s="2865">
        <f t="shared" si="816"/>
        <v>52.742000000000004</v>
      </c>
      <c r="BB134" s="2865">
        <f t="shared" si="817"/>
        <v>52.742000000000004</v>
      </c>
      <c r="BC134" s="2865">
        <f t="shared" si="817"/>
        <v>0</v>
      </c>
      <c r="BD134" s="2846">
        <f t="shared" si="761"/>
        <v>304.04550760312497</v>
      </c>
      <c r="BE134" s="2846">
        <f t="shared" si="762"/>
        <v>304.04550760312497</v>
      </c>
      <c r="BF134" s="2846">
        <f t="shared" si="763"/>
        <v>0</v>
      </c>
      <c r="BG134" s="2867">
        <f t="shared" si="818"/>
        <v>148.32787999999999</v>
      </c>
      <c r="BH134" s="2867">
        <f t="shared" si="818"/>
        <v>148.32787999999999</v>
      </c>
      <c r="BI134" s="2867">
        <f t="shared" si="818"/>
        <v>0</v>
      </c>
      <c r="BJ134" s="2867">
        <f t="shared" si="819"/>
        <v>-155.71762760312498</v>
      </c>
      <c r="BK134" s="2867">
        <f t="shared" si="819"/>
        <v>-155.71762760312498</v>
      </c>
      <c r="BL134" s="2867">
        <f t="shared" si="819"/>
        <v>0</v>
      </c>
      <c r="BM134" s="2845">
        <f t="shared" si="837"/>
        <v>101.348502534375</v>
      </c>
      <c r="BN134" s="2845">
        <f t="shared" si="838"/>
        <v>101.348502534375</v>
      </c>
      <c r="BO134" s="2845">
        <f t="shared" si="839"/>
        <v>0</v>
      </c>
      <c r="BP134" s="2865">
        <f t="shared" si="821"/>
        <v>32.329000000000001</v>
      </c>
      <c r="BQ134" s="2866">
        <v>32.329000000000001</v>
      </c>
      <c r="BR134" s="2866"/>
      <c r="BS134" s="2865">
        <f t="shared" si="823"/>
        <v>27.663</v>
      </c>
      <c r="BT134" s="2866">
        <v>27.663</v>
      </c>
      <c r="BU134" s="2866"/>
      <c r="BV134" s="2865">
        <f t="shared" si="825"/>
        <v>43.265000000000001</v>
      </c>
      <c r="BW134" s="2866">
        <v>43.265000000000001</v>
      </c>
      <c r="BX134" s="2866"/>
      <c r="BY134" s="2865">
        <f t="shared" si="827"/>
        <v>103.25700000000001</v>
      </c>
      <c r="BZ134" s="2865">
        <f t="shared" si="828"/>
        <v>103.25700000000001</v>
      </c>
      <c r="CA134" s="2865">
        <f t="shared" si="828"/>
        <v>0</v>
      </c>
      <c r="CB134" s="2846">
        <f t="shared" si="840"/>
        <v>405.3940101375</v>
      </c>
      <c r="CC134" s="2846">
        <f>199.77*2.02930375</f>
        <v>405.3940101375</v>
      </c>
      <c r="CD134" s="2846">
        <v>0</v>
      </c>
      <c r="CE134" s="2867">
        <f t="shared" si="829"/>
        <v>251.58488</v>
      </c>
      <c r="CF134" s="2982">
        <f t="shared" si="829"/>
        <v>251.58488</v>
      </c>
      <c r="CG134" s="2982">
        <f t="shared" si="829"/>
        <v>0</v>
      </c>
      <c r="CH134" s="2867">
        <f t="shared" si="830"/>
        <v>-153.80913013750001</v>
      </c>
      <c r="CI134" s="2867">
        <f t="shared" si="830"/>
        <v>-153.80913013750001</v>
      </c>
      <c r="CJ134" s="2867">
        <f t="shared" si="830"/>
        <v>0</v>
      </c>
      <c r="CK134" s="2863"/>
      <c r="CL134" s="4187">
        <f t="shared" si="542"/>
        <v>405.3940101375</v>
      </c>
      <c r="CM134" s="4187">
        <f t="shared" si="543"/>
        <v>405.3940101375</v>
      </c>
      <c r="CN134" s="4187">
        <f t="shared" si="544"/>
        <v>0</v>
      </c>
    </row>
    <row r="135" spans="1:92" ht="18.75" customHeight="1" x14ac:dyDescent="0.3">
      <c r="A135" s="2873" t="s">
        <v>38</v>
      </c>
      <c r="B135" s="2845">
        <f t="shared" si="831"/>
        <v>1.420512625</v>
      </c>
      <c r="C135" s="2845">
        <f t="shared" si="832"/>
        <v>1.420512625</v>
      </c>
      <c r="D135" s="2845">
        <f t="shared" si="832"/>
        <v>0</v>
      </c>
      <c r="E135" s="2865">
        <f t="shared" si="669"/>
        <v>0</v>
      </c>
      <c r="F135" s="2866"/>
      <c r="G135" s="2866"/>
      <c r="H135" s="2865">
        <f t="shared" si="791"/>
        <v>0</v>
      </c>
      <c r="I135" s="2866"/>
      <c r="J135" s="2866"/>
      <c r="K135" s="2865">
        <f t="shared" si="793"/>
        <v>0</v>
      </c>
      <c r="L135" s="2866"/>
      <c r="M135" s="2866"/>
      <c r="N135" s="2865">
        <f t="shared" si="795"/>
        <v>0</v>
      </c>
      <c r="O135" s="2865">
        <f t="shared" si="796"/>
        <v>0</v>
      </c>
      <c r="P135" s="2865">
        <f t="shared" si="796"/>
        <v>0</v>
      </c>
      <c r="Q135" s="2845">
        <f t="shared" si="720"/>
        <v>1.420512625</v>
      </c>
      <c r="R135" s="2845">
        <f t="shared" si="833"/>
        <v>1.420512625</v>
      </c>
      <c r="S135" s="2845">
        <f t="shared" si="834"/>
        <v>0</v>
      </c>
      <c r="T135" s="2865">
        <f t="shared" si="798"/>
        <v>0</v>
      </c>
      <c r="U135" s="2866"/>
      <c r="V135" s="2866"/>
      <c r="W135" s="2865">
        <f t="shared" si="800"/>
        <v>0</v>
      </c>
      <c r="X135" s="2866"/>
      <c r="Y135" s="2866"/>
      <c r="Z135" s="2865">
        <f t="shared" si="802"/>
        <v>0</v>
      </c>
      <c r="AA135" s="2866"/>
      <c r="AB135" s="2866"/>
      <c r="AC135" s="2865">
        <f t="shared" si="804"/>
        <v>0</v>
      </c>
      <c r="AD135" s="2865">
        <f t="shared" si="805"/>
        <v>0</v>
      </c>
      <c r="AE135" s="2865">
        <f t="shared" si="805"/>
        <v>0</v>
      </c>
      <c r="AF135" s="2846">
        <f t="shared" si="647"/>
        <v>2.8410252499999999</v>
      </c>
      <c r="AG135" s="2846">
        <f t="shared" si="648"/>
        <v>2.8410252499999999</v>
      </c>
      <c r="AH135" s="2846">
        <f t="shared" si="648"/>
        <v>0</v>
      </c>
      <c r="AI135" s="2867">
        <f t="shared" si="806"/>
        <v>0</v>
      </c>
      <c r="AJ135" s="2867">
        <f t="shared" si="806"/>
        <v>0</v>
      </c>
      <c r="AK135" s="2867">
        <f t="shared" si="806"/>
        <v>0</v>
      </c>
      <c r="AL135" s="2867">
        <f t="shared" si="807"/>
        <v>-2.8410252499999999</v>
      </c>
      <c r="AM135" s="2867">
        <f t="shared" si="807"/>
        <v>-2.8410252499999999</v>
      </c>
      <c r="AN135" s="2867">
        <f t="shared" si="807"/>
        <v>0</v>
      </c>
      <c r="AO135" s="2845">
        <f t="shared" si="808"/>
        <v>1.420512625</v>
      </c>
      <c r="AP135" s="2845">
        <f t="shared" si="835"/>
        <v>1.420512625</v>
      </c>
      <c r="AQ135" s="2845">
        <f t="shared" si="836"/>
        <v>0</v>
      </c>
      <c r="AR135" s="2865">
        <f t="shared" si="810"/>
        <v>1.1519999999999999</v>
      </c>
      <c r="AS135" s="2866">
        <v>1.1519999999999999</v>
      </c>
      <c r="AT135" s="2866"/>
      <c r="AU135" s="2865">
        <f t="shared" si="812"/>
        <v>0</v>
      </c>
      <c r="AV135" s="2866"/>
      <c r="AW135" s="2866"/>
      <c r="AX135" s="2865">
        <f t="shared" si="814"/>
        <v>0</v>
      </c>
      <c r="AY135" s="2866"/>
      <c r="AZ135" s="2866"/>
      <c r="BA135" s="2865">
        <f t="shared" si="816"/>
        <v>1.1519999999999999</v>
      </c>
      <c r="BB135" s="2865">
        <f t="shared" si="817"/>
        <v>1.1519999999999999</v>
      </c>
      <c r="BC135" s="2865">
        <f t="shared" si="817"/>
        <v>0</v>
      </c>
      <c r="BD135" s="2846">
        <f t="shared" si="761"/>
        <v>4.2615378750000001</v>
      </c>
      <c r="BE135" s="2846">
        <f t="shared" si="762"/>
        <v>4.2615378750000001</v>
      </c>
      <c r="BF135" s="2846">
        <f t="shared" si="763"/>
        <v>0</v>
      </c>
      <c r="BG135" s="2867">
        <f t="shared" si="818"/>
        <v>1.1519999999999999</v>
      </c>
      <c r="BH135" s="2867">
        <f t="shared" si="818"/>
        <v>1.1519999999999999</v>
      </c>
      <c r="BI135" s="2867">
        <f t="shared" si="818"/>
        <v>0</v>
      </c>
      <c r="BJ135" s="2867">
        <f t="shared" si="819"/>
        <v>-3.109537875</v>
      </c>
      <c r="BK135" s="2867">
        <f t="shared" si="819"/>
        <v>-3.109537875</v>
      </c>
      <c r="BL135" s="2867">
        <f t="shared" si="819"/>
        <v>0</v>
      </c>
      <c r="BM135" s="2845">
        <f t="shared" si="837"/>
        <v>1.420512625</v>
      </c>
      <c r="BN135" s="2845">
        <f t="shared" si="838"/>
        <v>1.420512625</v>
      </c>
      <c r="BO135" s="2845">
        <f t="shared" si="839"/>
        <v>0</v>
      </c>
      <c r="BP135" s="2865">
        <f t="shared" si="821"/>
        <v>0</v>
      </c>
      <c r="BQ135" s="2866"/>
      <c r="BR135" s="2866"/>
      <c r="BS135" s="2865">
        <f t="shared" si="823"/>
        <v>0</v>
      </c>
      <c r="BT135" s="2866"/>
      <c r="BU135" s="2866"/>
      <c r="BV135" s="2865">
        <f t="shared" si="825"/>
        <v>0</v>
      </c>
      <c r="BW135" s="2866"/>
      <c r="BX135" s="2866"/>
      <c r="BY135" s="2865">
        <f t="shared" si="827"/>
        <v>0</v>
      </c>
      <c r="BZ135" s="2865">
        <f t="shared" si="828"/>
        <v>0</v>
      </c>
      <c r="CA135" s="2865">
        <f t="shared" si="828"/>
        <v>0</v>
      </c>
      <c r="CB135" s="2846">
        <f t="shared" si="840"/>
        <v>5.6820504999999999</v>
      </c>
      <c r="CC135" s="2846">
        <f>2.8*2.02930375</f>
        <v>5.6820504999999999</v>
      </c>
      <c r="CD135" s="2846">
        <v>0</v>
      </c>
      <c r="CE135" s="2867">
        <f t="shared" si="829"/>
        <v>1.1519999999999999</v>
      </c>
      <c r="CF135" s="2982">
        <f t="shared" si="829"/>
        <v>1.1519999999999999</v>
      </c>
      <c r="CG135" s="2982">
        <f t="shared" si="829"/>
        <v>0</v>
      </c>
      <c r="CH135" s="2867">
        <f t="shared" si="830"/>
        <v>-4.5300504999999998</v>
      </c>
      <c r="CI135" s="2867">
        <f t="shared" si="830"/>
        <v>-4.5300504999999998</v>
      </c>
      <c r="CJ135" s="2867">
        <f t="shared" si="830"/>
        <v>0</v>
      </c>
      <c r="CK135" s="2863"/>
      <c r="CL135" s="4187">
        <f t="shared" si="542"/>
        <v>5.6820504999999999</v>
      </c>
      <c r="CM135" s="4187">
        <f t="shared" si="543"/>
        <v>5.6820504999999999</v>
      </c>
      <c r="CN135" s="4187">
        <f t="shared" si="544"/>
        <v>0</v>
      </c>
    </row>
    <row r="136" spans="1:92" ht="18.75" customHeight="1" x14ac:dyDescent="0.3">
      <c r="A136" s="2873" t="s">
        <v>32</v>
      </c>
      <c r="B136" s="2845">
        <f t="shared" si="831"/>
        <v>9.5529474031249997</v>
      </c>
      <c r="C136" s="2845">
        <f t="shared" si="832"/>
        <v>9.5529474031249997</v>
      </c>
      <c r="D136" s="2845">
        <f t="shared" si="832"/>
        <v>0</v>
      </c>
      <c r="E136" s="2865">
        <f t="shared" si="669"/>
        <v>3.33</v>
      </c>
      <c r="F136" s="2866">
        <v>3.33</v>
      </c>
      <c r="G136" s="2866"/>
      <c r="H136" s="2865">
        <f t="shared" si="791"/>
        <v>3.33</v>
      </c>
      <c r="I136" s="2866">
        <v>3.33</v>
      </c>
      <c r="J136" s="2866"/>
      <c r="K136" s="2865">
        <f t="shared" si="793"/>
        <v>3.33</v>
      </c>
      <c r="L136" s="2866">
        <v>3.33</v>
      </c>
      <c r="M136" s="2866"/>
      <c r="N136" s="2865">
        <f t="shared" si="795"/>
        <v>9.99</v>
      </c>
      <c r="O136" s="2865">
        <f t="shared" si="796"/>
        <v>9.99</v>
      </c>
      <c r="P136" s="2865">
        <f t="shared" si="796"/>
        <v>0</v>
      </c>
      <c r="Q136" s="2845">
        <f t="shared" si="720"/>
        <v>9.5529474031249997</v>
      </c>
      <c r="R136" s="2845">
        <f t="shared" si="833"/>
        <v>9.5529474031249997</v>
      </c>
      <c r="S136" s="2845">
        <f t="shared" si="834"/>
        <v>0</v>
      </c>
      <c r="T136" s="2865">
        <f t="shared" si="798"/>
        <v>3.33</v>
      </c>
      <c r="U136" s="2866">
        <v>3.33</v>
      </c>
      <c r="V136" s="2866"/>
      <c r="W136" s="2865">
        <f t="shared" si="800"/>
        <v>3.33</v>
      </c>
      <c r="X136" s="2866">
        <v>3.33</v>
      </c>
      <c r="Y136" s="2866"/>
      <c r="Z136" s="2865">
        <f t="shared" si="802"/>
        <v>3.3330000000000002</v>
      </c>
      <c r="AA136" s="2866">
        <v>3.3330000000000002</v>
      </c>
      <c r="AB136" s="2866"/>
      <c r="AC136" s="2865">
        <f t="shared" si="804"/>
        <v>9.9930000000000003</v>
      </c>
      <c r="AD136" s="2865">
        <f t="shared" si="805"/>
        <v>9.9930000000000003</v>
      </c>
      <c r="AE136" s="2865">
        <f t="shared" si="805"/>
        <v>0</v>
      </c>
      <c r="AF136" s="2846">
        <f t="shared" si="647"/>
        <v>19.105894806249999</v>
      </c>
      <c r="AG136" s="2846">
        <f t="shared" si="648"/>
        <v>19.105894806249999</v>
      </c>
      <c r="AH136" s="2846">
        <f t="shared" si="648"/>
        <v>0</v>
      </c>
      <c r="AI136" s="2867">
        <f t="shared" si="806"/>
        <v>19.983000000000001</v>
      </c>
      <c r="AJ136" s="2867">
        <f t="shared" si="806"/>
        <v>19.983000000000001</v>
      </c>
      <c r="AK136" s="2867">
        <f t="shared" si="806"/>
        <v>0</v>
      </c>
      <c r="AL136" s="2867">
        <f t="shared" si="807"/>
        <v>0.87710519375000118</v>
      </c>
      <c r="AM136" s="2867">
        <f t="shared" si="807"/>
        <v>0.87710519375000118</v>
      </c>
      <c r="AN136" s="2867">
        <f t="shared" si="807"/>
        <v>0</v>
      </c>
      <c r="AO136" s="2845">
        <f t="shared" si="808"/>
        <v>9.5529474031249997</v>
      </c>
      <c r="AP136" s="2845">
        <f t="shared" si="835"/>
        <v>9.5529474031249997</v>
      </c>
      <c r="AQ136" s="2845">
        <f t="shared" si="836"/>
        <v>0</v>
      </c>
      <c r="AR136" s="2865">
        <f t="shared" si="810"/>
        <v>4.08</v>
      </c>
      <c r="AS136" s="2866">
        <f>3.33+0.75</f>
        <v>4.08</v>
      </c>
      <c r="AT136" s="2866"/>
      <c r="AU136" s="2865">
        <f t="shared" si="812"/>
        <v>5.5830000000000002</v>
      </c>
      <c r="AV136" s="2866">
        <f>3.333+2.25</f>
        <v>5.5830000000000002</v>
      </c>
      <c r="AW136" s="2866"/>
      <c r="AX136" s="2865">
        <f t="shared" si="814"/>
        <v>3.3330000000000002</v>
      </c>
      <c r="AY136" s="2866">
        <v>3.3330000000000002</v>
      </c>
      <c r="AZ136" s="2866"/>
      <c r="BA136" s="2865">
        <f t="shared" si="816"/>
        <v>12.996</v>
      </c>
      <c r="BB136" s="2865">
        <f t="shared" si="817"/>
        <v>12.996</v>
      </c>
      <c r="BC136" s="2865">
        <f t="shared" si="817"/>
        <v>0</v>
      </c>
      <c r="BD136" s="2846">
        <f t="shared" si="761"/>
        <v>28.658842209374999</v>
      </c>
      <c r="BE136" s="2846">
        <f t="shared" si="762"/>
        <v>28.658842209374999</v>
      </c>
      <c r="BF136" s="2846">
        <f t="shared" si="763"/>
        <v>0</v>
      </c>
      <c r="BG136" s="2867">
        <f t="shared" si="818"/>
        <v>32.978999999999999</v>
      </c>
      <c r="BH136" s="2867">
        <f t="shared" si="818"/>
        <v>32.978999999999999</v>
      </c>
      <c r="BI136" s="2867">
        <f t="shared" si="818"/>
        <v>0</v>
      </c>
      <c r="BJ136" s="2867">
        <f t="shared" si="819"/>
        <v>4.3201577906250002</v>
      </c>
      <c r="BK136" s="2867">
        <f t="shared" si="819"/>
        <v>4.3201577906250002</v>
      </c>
      <c r="BL136" s="2867">
        <f t="shared" si="819"/>
        <v>0</v>
      </c>
      <c r="BM136" s="2845">
        <f t="shared" si="837"/>
        <v>9.5529474031249997</v>
      </c>
      <c r="BN136" s="2845">
        <f t="shared" si="838"/>
        <v>9.5529474031249997</v>
      </c>
      <c r="BO136" s="2845">
        <f t="shared" si="839"/>
        <v>0</v>
      </c>
      <c r="BP136" s="2865">
        <f t="shared" si="821"/>
        <v>3.3330000000000002</v>
      </c>
      <c r="BQ136" s="2866">
        <v>3.3330000000000002</v>
      </c>
      <c r="BR136" s="2866"/>
      <c r="BS136" s="2865">
        <f t="shared" si="823"/>
        <v>3.33</v>
      </c>
      <c r="BT136" s="2866">
        <v>3.33</v>
      </c>
      <c r="BU136" s="2866"/>
      <c r="BV136" s="2865">
        <f t="shared" si="825"/>
        <v>3.3580000000000001</v>
      </c>
      <c r="BW136" s="2866">
        <v>3.3580000000000001</v>
      </c>
      <c r="BX136" s="2866"/>
      <c r="BY136" s="2865">
        <f t="shared" si="827"/>
        <v>10.021000000000001</v>
      </c>
      <c r="BZ136" s="2865">
        <f t="shared" si="828"/>
        <v>10.021000000000001</v>
      </c>
      <c r="CA136" s="2865">
        <f t="shared" si="828"/>
        <v>0</v>
      </c>
      <c r="CB136" s="2846">
        <f t="shared" si="840"/>
        <v>38.211789612499999</v>
      </c>
      <c r="CC136" s="2846">
        <f>18.83*2.02930375</f>
        <v>38.211789612499999</v>
      </c>
      <c r="CD136" s="2846">
        <v>0</v>
      </c>
      <c r="CE136" s="2867">
        <f t="shared" si="829"/>
        <v>43</v>
      </c>
      <c r="CF136" s="2982">
        <f t="shared" si="829"/>
        <v>43</v>
      </c>
      <c r="CG136" s="2982">
        <f t="shared" si="829"/>
        <v>0</v>
      </c>
      <c r="CH136" s="2867">
        <f t="shared" si="830"/>
        <v>4.7882103875000013</v>
      </c>
      <c r="CI136" s="2867">
        <f t="shared" si="830"/>
        <v>4.7882103875000013</v>
      </c>
      <c r="CJ136" s="2867">
        <f t="shared" si="830"/>
        <v>0</v>
      </c>
      <c r="CK136" s="2863"/>
      <c r="CL136" s="4187">
        <f t="shared" si="542"/>
        <v>38.211789612499999</v>
      </c>
      <c r="CM136" s="4187">
        <f t="shared" si="543"/>
        <v>38.211789612499999</v>
      </c>
      <c r="CN136" s="4187">
        <f t="shared" si="544"/>
        <v>0</v>
      </c>
    </row>
    <row r="137" spans="1:92" ht="18.75" customHeight="1" x14ac:dyDescent="0.3">
      <c r="A137" s="2873" t="s">
        <v>591</v>
      </c>
      <c r="B137" s="2845">
        <f t="shared" si="831"/>
        <v>35.025782724999999</v>
      </c>
      <c r="C137" s="2845">
        <f t="shared" ref="C137:D137" si="841">SUM(C138)</f>
        <v>35.025782724999999</v>
      </c>
      <c r="D137" s="2845">
        <f t="shared" si="841"/>
        <v>0</v>
      </c>
      <c r="E137" s="2865">
        <f t="shared" si="669"/>
        <v>1.75779</v>
      </c>
      <c r="F137" s="2843">
        <f t="shared" ref="F137:M137" si="842">SUM(F138)</f>
        <v>1.75779</v>
      </c>
      <c r="G137" s="2843">
        <f t="shared" si="842"/>
        <v>0</v>
      </c>
      <c r="H137" s="2865">
        <f t="shared" si="791"/>
        <v>0</v>
      </c>
      <c r="I137" s="2843">
        <f t="shared" si="842"/>
        <v>0</v>
      </c>
      <c r="J137" s="2843">
        <f t="shared" si="842"/>
        <v>0</v>
      </c>
      <c r="K137" s="2865">
        <f t="shared" si="793"/>
        <v>19.08943</v>
      </c>
      <c r="L137" s="2843">
        <f t="shared" si="842"/>
        <v>19.08943</v>
      </c>
      <c r="M137" s="2843">
        <f t="shared" si="842"/>
        <v>0</v>
      </c>
      <c r="N137" s="2865">
        <f t="shared" si="795"/>
        <v>20.84722</v>
      </c>
      <c r="O137" s="2865">
        <f t="shared" si="796"/>
        <v>20.84722</v>
      </c>
      <c r="P137" s="2865">
        <f t="shared" si="796"/>
        <v>0</v>
      </c>
      <c r="Q137" s="2845">
        <f t="shared" si="720"/>
        <v>35.025782724999999</v>
      </c>
      <c r="R137" s="2845">
        <f t="shared" ref="R137:S137" si="843">SUM(R138)</f>
        <v>35.025782724999999</v>
      </c>
      <c r="S137" s="2845">
        <f t="shared" si="843"/>
        <v>0</v>
      </c>
      <c r="T137" s="2865">
        <f t="shared" si="798"/>
        <v>1.55</v>
      </c>
      <c r="U137" s="2843">
        <f t="shared" ref="U137:AB137" si="844">SUM(U138)</f>
        <v>1.55</v>
      </c>
      <c r="V137" s="2843">
        <f t="shared" si="844"/>
        <v>0</v>
      </c>
      <c r="W137" s="2865">
        <f t="shared" si="800"/>
        <v>2.8149999999999999</v>
      </c>
      <c r="X137" s="2843">
        <f t="shared" si="844"/>
        <v>2.8149999999999999</v>
      </c>
      <c r="Y137" s="2843">
        <f t="shared" si="844"/>
        <v>0</v>
      </c>
      <c r="Z137" s="2865">
        <f t="shared" si="802"/>
        <v>5.6929999999999996</v>
      </c>
      <c r="AA137" s="2843">
        <f t="shared" si="844"/>
        <v>5.6929999999999996</v>
      </c>
      <c r="AB137" s="2843">
        <f t="shared" si="844"/>
        <v>0</v>
      </c>
      <c r="AC137" s="2865">
        <f t="shared" si="804"/>
        <v>10.058</v>
      </c>
      <c r="AD137" s="2865">
        <f t="shared" si="805"/>
        <v>10.058</v>
      </c>
      <c r="AE137" s="2865">
        <f t="shared" si="805"/>
        <v>0</v>
      </c>
      <c r="AF137" s="2846">
        <f t="shared" si="647"/>
        <v>70.051565449999998</v>
      </c>
      <c r="AG137" s="2846">
        <f t="shared" si="648"/>
        <v>70.051565449999998</v>
      </c>
      <c r="AH137" s="2846">
        <f t="shared" si="648"/>
        <v>0</v>
      </c>
      <c r="AI137" s="2867">
        <f t="shared" si="806"/>
        <v>30.90522</v>
      </c>
      <c r="AJ137" s="2867">
        <f t="shared" si="806"/>
        <v>30.90522</v>
      </c>
      <c r="AK137" s="2867">
        <f t="shared" si="806"/>
        <v>0</v>
      </c>
      <c r="AL137" s="2867">
        <f t="shared" si="807"/>
        <v>-39.146345449999998</v>
      </c>
      <c r="AM137" s="2867">
        <f t="shared" si="807"/>
        <v>-39.146345449999998</v>
      </c>
      <c r="AN137" s="2867">
        <f t="shared" si="807"/>
        <v>0</v>
      </c>
      <c r="AO137" s="2845">
        <f t="shared" si="808"/>
        <v>35.025782724999999</v>
      </c>
      <c r="AP137" s="2845">
        <f t="shared" ref="AP137:AQ137" si="845">SUM(AP138)</f>
        <v>35.025782724999999</v>
      </c>
      <c r="AQ137" s="2845">
        <f t="shared" si="845"/>
        <v>0</v>
      </c>
      <c r="AR137" s="2865">
        <f t="shared" si="810"/>
        <v>11.36</v>
      </c>
      <c r="AS137" s="2843">
        <f t="shared" ref="AS137:AZ137" si="846">SUM(AS138)</f>
        <v>11.36</v>
      </c>
      <c r="AT137" s="2843">
        <f t="shared" si="846"/>
        <v>0</v>
      </c>
      <c r="AU137" s="2865">
        <f t="shared" si="812"/>
        <v>1.415</v>
      </c>
      <c r="AV137" s="2843">
        <f t="shared" si="846"/>
        <v>1.415</v>
      </c>
      <c r="AW137" s="2843">
        <f t="shared" si="846"/>
        <v>0</v>
      </c>
      <c r="AX137" s="2865">
        <f t="shared" si="814"/>
        <v>1.4139999999999999</v>
      </c>
      <c r="AY137" s="2843">
        <f t="shared" si="846"/>
        <v>1.4139999999999999</v>
      </c>
      <c r="AZ137" s="2843">
        <f t="shared" si="846"/>
        <v>0</v>
      </c>
      <c r="BA137" s="2865">
        <f t="shared" si="816"/>
        <v>14.188999999999998</v>
      </c>
      <c r="BB137" s="2865">
        <f t="shared" si="817"/>
        <v>14.188999999999998</v>
      </c>
      <c r="BC137" s="2865">
        <f t="shared" si="817"/>
        <v>0</v>
      </c>
      <c r="BD137" s="2846">
        <f t="shared" si="761"/>
        <v>105.077348175</v>
      </c>
      <c r="BE137" s="2846">
        <f t="shared" si="762"/>
        <v>105.077348175</v>
      </c>
      <c r="BF137" s="2846">
        <f t="shared" si="763"/>
        <v>0</v>
      </c>
      <c r="BG137" s="2867">
        <f t="shared" si="818"/>
        <v>45.09422</v>
      </c>
      <c r="BH137" s="2867">
        <f t="shared" si="818"/>
        <v>45.09422</v>
      </c>
      <c r="BI137" s="2867">
        <f t="shared" si="818"/>
        <v>0</v>
      </c>
      <c r="BJ137" s="2867">
        <f t="shared" si="819"/>
        <v>-59.983128174999997</v>
      </c>
      <c r="BK137" s="2867">
        <f t="shared" si="819"/>
        <v>-59.983128174999997</v>
      </c>
      <c r="BL137" s="2867">
        <f t="shared" si="819"/>
        <v>0</v>
      </c>
      <c r="BM137" s="2845">
        <f t="shared" si="837"/>
        <v>35.025782724999999</v>
      </c>
      <c r="BN137" s="2845">
        <f t="shared" ref="BN137:BO137" si="847">SUM(BN138)</f>
        <v>35.025782724999999</v>
      </c>
      <c r="BO137" s="2845">
        <f t="shared" si="847"/>
        <v>0</v>
      </c>
      <c r="BP137" s="2865">
        <f t="shared" si="821"/>
        <v>0</v>
      </c>
      <c r="BQ137" s="2843">
        <f t="shared" ref="BQ137:BX137" si="848">SUM(BQ138)</f>
        <v>0</v>
      </c>
      <c r="BR137" s="2843">
        <f t="shared" si="848"/>
        <v>0</v>
      </c>
      <c r="BS137" s="2865">
        <f t="shared" si="823"/>
        <v>11.161</v>
      </c>
      <c r="BT137" s="2843">
        <f t="shared" si="848"/>
        <v>11.161</v>
      </c>
      <c r="BU137" s="2843">
        <f t="shared" si="848"/>
        <v>0</v>
      </c>
      <c r="BV137" s="2865">
        <f t="shared" si="825"/>
        <v>36.886000000000003</v>
      </c>
      <c r="BW137" s="2843">
        <f t="shared" si="848"/>
        <v>36.886000000000003</v>
      </c>
      <c r="BX137" s="2843">
        <f t="shared" si="848"/>
        <v>0</v>
      </c>
      <c r="BY137" s="2865">
        <f t="shared" si="827"/>
        <v>48.047000000000004</v>
      </c>
      <c r="BZ137" s="2865">
        <f t="shared" si="828"/>
        <v>48.047000000000004</v>
      </c>
      <c r="CA137" s="2865">
        <f t="shared" si="828"/>
        <v>0</v>
      </c>
      <c r="CB137" s="2846">
        <f t="shared" si="781"/>
        <v>140.1031309</v>
      </c>
      <c r="CC137" s="2846">
        <f t="shared" ref="CC137:CD137" si="849">SUM(CC138)</f>
        <v>140.1031309</v>
      </c>
      <c r="CD137" s="2846">
        <f t="shared" si="849"/>
        <v>0</v>
      </c>
      <c r="CE137" s="2867">
        <f t="shared" si="829"/>
        <v>93.141220000000004</v>
      </c>
      <c r="CF137" s="2982">
        <f t="shared" si="829"/>
        <v>93.141220000000004</v>
      </c>
      <c r="CG137" s="2982">
        <f t="shared" si="829"/>
        <v>0</v>
      </c>
      <c r="CH137" s="2867">
        <f t="shared" si="830"/>
        <v>-46.961910899999992</v>
      </c>
      <c r="CI137" s="2867">
        <f t="shared" si="830"/>
        <v>-46.961910899999992</v>
      </c>
      <c r="CJ137" s="2867">
        <f t="shared" si="830"/>
        <v>0</v>
      </c>
      <c r="CK137" s="2863"/>
      <c r="CL137" s="4187">
        <f t="shared" si="542"/>
        <v>140.1031309</v>
      </c>
      <c r="CM137" s="4187">
        <f t="shared" si="543"/>
        <v>140.1031309</v>
      </c>
      <c r="CN137" s="4187">
        <f t="shared" si="544"/>
        <v>0</v>
      </c>
    </row>
    <row r="138" spans="1:92" ht="18.75" customHeight="1" x14ac:dyDescent="0.3">
      <c r="A138" s="2874" t="s">
        <v>548</v>
      </c>
      <c r="B138" s="2853">
        <f t="shared" si="831"/>
        <v>35.025782724999999</v>
      </c>
      <c r="C138" s="2853">
        <f t="shared" ref="C138" si="850">SUM(CC138/4)</f>
        <v>35.025782724999999</v>
      </c>
      <c r="D138" s="2853">
        <f t="shared" ref="D138" si="851">SUM(CD138/4)</f>
        <v>0</v>
      </c>
      <c r="E138" s="2875">
        <f t="shared" si="669"/>
        <v>1.75779</v>
      </c>
      <c r="F138" s="2876">
        <f>1.66+0.054+0.04379</f>
        <v>1.75779</v>
      </c>
      <c r="G138" s="2876"/>
      <c r="H138" s="2875">
        <f t="shared" si="791"/>
        <v>0</v>
      </c>
      <c r="I138" s="2876"/>
      <c r="J138" s="2876"/>
      <c r="K138" s="2875">
        <f t="shared" si="793"/>
        <v>19.08943</v>
      </c>
      <c r="L138" s="2876">
        <f>18.73+0.35943</f>
        <v>19.08943</v>
      </c>
      <c r="M138" s="2876"/>
      <c r="N138" s="2875">
        <f t="shared" si="795"/>
        <v>20.84722</v>
      </c>
      <c r="O138" s="2875">
        <f t="shared" si="796"/>
        <v>20.84722</v>
      </c>
      <c r="P138" s="2875">
        <f t="shared" si="796"/>
        <v>0</v>
      </c>
      <c r="Q138" s="2853">
        <f t="shared" si="720"/>
        <v>35.025782724999999</v>
      </c>
      <c r="R138" s="2853">
        <f t="shared" ref="R138" si="852">SUM(C138)</f>
        <v>35.025782724999999</v>
      </c>
      <c r="S138" s="2853">
        <f t="shared" ref="S138" si="853">SUM(D138)</f>
        <v>0</v>
      </c>
      <c r="T138" s="2875">
        <f t="shared" si="798"/>
        <v>1.55</v>
      </c>
      <c r="U138" s="2876">
        <v>1.55</v>
      </c>
      <c r="V138" s="2876"/>
      <c r="W138" s="2875">
        <f t="shared" si="800"/>
        <v>2.8149999999999999</v>
      </c>
      <c r="X138" s="2876">
        <v>2.8149999999999999</v>
      </c>
      <c r="Y138" s="2876"/>
      <c r="Z138" s="2875">
        <f t="shared" si="802"/>
        <v>5.6929999999999996</v>
      </c>
      <c r="AA138" s="2876">
        <v>5.6929999999999996</v>
      </c>
      <c r="AB138" s="2876"/>
      <c r="AC138" s="2875">
        <f t="shared" si="804"/>
        <v>10.058</v>
      </c>
      <c r="AD138" s="2875">
        <f t="shared" si="805"/>
        <v>10.058</v>
      </c>
      <c r="AE138" s="2875">
        <f t="shared" si="805"/>
        <v>0</v>
      </c>
      <c r="AF138" s="2856">
        <f t="shared" si="647"/>
        <v>70.051565449999998</v>
      </c>
      <c r="AG138" s="2856">
        <f t="shared" si="648"/>
        <v>70.051565449999998</v>
      </c>
      <c r="AH138" s="2856">
        <f t="shared" si="648"/>
        <v>0</v>
      </c>
      <c r="AI138" s="2870">
        <f t="shared" si="806"/>
        <v>30.90522</v>
      </c>
      <c r="AJ138" s="2870">
        <f t="shared" si="806"/>
        <v>30.90522</v>
      </c>
      <c r="AK138" s="2870">
        <f t="shared" si="806"/>
        <v>0</v>
      </c>
      <c r="AL138" s="2870">
        <f t="shared" si="807"/>
        <v>-39.146345449999998</v>
      </c>
      <c r="AM138" s="2870">
        <f t="shared" si="807"/>
        <v>-39.146345449999998</v>
      </c>
      <c r="AN138" s="2870">
        <f t="shared" si="807"/>
        <v>0</v>
      </c>
      <c r="AO138" s="2853">
        <f t="shared" ref="AO138" si="854">SUM(AP138:AQ138)</f>
        <v>35.025782724999999</v>
      </c>
      <c r="AP138" s="2853">
        <f t="shared" ref="AP138" si="855">SUM(CC138-AG138)/2</f>
        <v>35.025782724999999</v>
      </c>
      <c r="AQ138" s="2853">
        <f t="shared" ref="AQ138" si="856">SUM(CD138-AH138)/2</f>
        <v>0</v>
      </c>
      <c r="AR138" s="2875">
        <f t="shared" si="810"/>
        <v>11.36</v>
      </c>
      <c r="AS138" s="2876">
        <v>11.36</v>
      </c>
      <c r="AT138" s="2876"/>
      <c r="AU138" s="2875">
        <f t="shared" si="812"/>
        <v>1.415</v>
      </c>
      <c r="AV138" s="2876">
        <v>1.415</v>
      </c>
      <c r="AW138" s="2876"/>
      <c r="AX138" s="2875">
        <f t="shared" si="814"/>
        <v>1.4139999999999999</v>
      </c>
      <c r="AY138" s="2876">
        <v>1.4139999999999999</v>
      </c>
      <c r="AZ138" s="2876"/>
      <c r="BA138" s="2875">
        <f t="shared" si="816"/>
        <v>14.188999999999998</v>
      </c>
      <c r="BB138" s="2875">
        <f t="shared" si="817"/>
        <v>14.188999999999998</v>
      </c>
      <c r="BC138" s="2875">
        <f t="shared" si="817"/>
        <v>0</v>
      </c>
      <c r="BD138" s="2856">
        <f t="shared" si="761"/>
        <v>105.077348175</v>
      </c>
      <c r="BE138" s="2856">
        <f t="shared" si="762"/>
        <v>105.077348175</v>
      </c>
      <c r="BF138" s="2856">
        <f t="shared" si="763"/>
        <v>0</v>
      </c>
      <c r="BG138" s="2870">
        <f t="shared" si="818"/>
        <v>45.09422</v>
      </c>
      <c r="BH138" s="2870">
        <f t="shared" si="818"/>
        <v>45.09422</v>
      </c>
      <c r="BI138" s="2870">
        <f t="shared" si="818"/>
        <v>0</v>
      </c>
      <c r="BJ138" s="2870">
        <f t="shared" si="819"/>
        <v>-59.983128174999997</v>
      </c>
      <c r="BK138" s="2870">
        <f t="shared" si="819"/>
        <v>-59.983128174999997</v>
      </c>
      <c r="BL138" s="2870">
        <f t="shared" si="819"/>
        <v>0</v>
      </c>
      <c r="BM138" s="2853">
        <f t="shared" si="837"/>
        <v>35.025782724999999</v>
      </c>
      <c r="BN138" s="2853">
        <f t="shared" ref="BN138" si="857">SUM(AP138)</f>
        <v>35.025782724999999</v>
      </c>
      <c r="BO138" s="2853">
        <f t="shared" ref="BO138" si="858">SUM(AQ138)</f>
        <v>0</v>
      </c>
      <c r="BP138" s="2875">
        <f t="shared" si="821"/>
        <v>0</v>
      </c>
      <c r="BQ138" s="2876"/>
      <c r="BR138" s="2876"/>
      <c r="BS138" s="2875">
        <f t="shared" si="823"/>
        <v>11.161</v>
      </c>
      <c r="BT138" s="2876">
        <v>11.161</v>
      </c>
      <c r="BU138" s="2876"/>
      <c r="BV138" s="2875">
        <f t="shared" si="825"/>
        <v>36.886000000000003</v>
      </c>
      <c r="BW138" s="2876">
        <v>36.886000000000003</v>
      </c>
      <c r="BX138" s="2876"/>
      <c r="BY138" s="2875">
        <f t="shared" si="827"/>
        <v>48.047000000000004</v>
      </c>
      <c r="BZ138" s="2875">
        <f t="shared" si="828"/>
        <v>48.047000000000004</v>
      </c>
      <c r="CA138" s="2875">
        <f t="shared" si="828"/>
        <v>0</v>
      </c>
      <c r="CB138" s="2856">
        <f t="shared" si="840"/>
        <v>140.1031309</v>
      </c>
      <c r="CC138" s="2856">
        <f>69.04*2.02930375</f>
        <v>140.1031309</v>
      </c>
      <c r="CD138" s="2856">
        <v>0</v>
      </c>
      <c r="CE138" s="2870">
        <f t="shared" si="829"/>
        <v>93.141220000000004</v>
      </c>
      <c r="CF138" s="2991">
        <f t="shared" si="829"/>
        <v>93.141220000000004</v>
      </c>
      <c r="CG138" s="2991">
        <f t="shared" si="829"/>
        <v>0</v>
      </c>
      <c r="CH138" s="2870">
        <f t="shared" si="830"/>
        <v>-46.961910899999992</v>
      </c>
      <c r="CI138" s="2870">
        <f t="shared" si="830"/>
        <v>-46.961910899999992</v>
      </c>
      <c r="CJ138" s="2870">
        <f t="shared" si="830"/>
        <v>0</v>
      </c>
      <c r="CK138" s="2863"/>
      <c r="CL138" s="4187">
        <f t="shared" si="542"/>
        <v>140.1031309</v>
      </c>
      <c r="CM138" s="4187">
        <f t="shared" si="543"/>
        <v>140.1031309</v>
      </c>
      <c r="CN138" s="4187">
        <f t="shared" si="544"/>
        <v>0</v>
      </c>
    </row>
    <row r="139" spans="1:92" ht="18.75" customHeight="1" x14ac:dyDescent="0.3">
      <c r="A139" s="2873" t="s">
        <v>594</v>
      </c>
      <c r="B139" s="2845">
        <f t="shared" si="831"/>
        <v>183.60125678125002</v>
      </c>
      <c r="C139" s="2845">
        <f>SUM(C140:C142)</f>
        <v>183.60125678125002</v>
      </c>
      <c r="D139" s="2845">
        <f>SUM(D140:D142)</f>
        <v>0</v>
      </c>
      <c r="E139" s="2865">
        <f t="shared" si="669"/>
        <v>0.09</v>
      </c>
      <c r="F139" s="2843">
        <f>SUM(F140:F142)</f>
        <v>0.09</v>
      </c>
      <c r="G139" s="2843">
        <f t="shared" ref="G139" si="859">SUM(G140:G142)</f>
        <v>0</v>
      </c>
      <c r="H139" s="2865">
        <f t="shared" si="791"/>
        <v>0</v>
      </c>
      <c r="I139" s="2843">
        <f t="shared" ref="I139:J139" si="860">SUM(I140:I142)</f>
        <v>0</v>
      </c>
      <c r="J139" s="2843">
        <f t="shared" si="860"/>
        <v>0</v>
      </c>
      <c r="K139" s="2865">
        <f t="shared" si="793"/>
        <v>2.85</v>
      </c>
      <c r="L139" s="2843">
        <f t="shared" ref="L139:M139" si="861">SUM(L140:L142)</f>
        <v>2.85</v>
      </c>
      <c r="M139" s="2843">
        <f t="shared" si="861"/>
        <v>0</v>
      </c>
      <c r="N139" s="2865">
        <f t="shared" si="795"/>
        <v>2.94</v>
      </c>
      <c r="O139" s="2865">
        <f t="shared" si="796"/>
        <v>2.94</v>
      </c>
      <c r="P139" s="2865">
        <f t="shared" si="796"/>
        <v>0</v>
      </c>
      <c r="Q139" s="2845">
        <f t="shared" si="720"/>
        <v>183.60125678125002</v>
      </c>
      <c r="R139" s="2845">
        <f>SUM(R140:R142)</f>
        <v>183.60125678125002</v>
      </c>
      <c r="S139" s="2845">
        <f>SUM(S140:S142)</f>
        <v>0</v>
      </c>
      <c r="T139" s="2865">
        <f t="shared" si="798"/>
        <v>0</v>
      </c>
      <c r="U139" s="2843">
        <f t="shared" ref="U139:V139" si="862">SUM(U140:U142)</f>
        <v>0</v>
      </c>
      <c r="V139" s="2843">
        <f t="shared" si="862"/>
        <v>0</v>
      </c>
      <c r="W139" s="2865">
        <f t="shared" si="800"/>
        <v>13.6</v>
      </c>
      <c r="X139" s="2843">
        <f t="shared" ref="X139:Y139" si="863">SUM(X140:X142)</f>
        <v>13.6</v>
      </c>
      <c r="Y139" s="2843">
        <f t="shared" si="863"/>
        <v>0</v>
      </c>
      <c r="Z139" s="2865">
        <f t="shared" si="802"/>
        <v>0</v>
      </c>
      <c r="AA139" s="2843">
        <f t="shared" ref="AA139:AB139" si="864">SUM(AA140:AA142)</f>
        <v>0</v>
      </c>
      <c r="AB139" s="2843">
        <f t="shared" si="864"/>
        <v>0</v>
      </c>
      <c r="AC139" s="2865">
        <f t="shared" si="804"/>
        <v>13.6</v>
      </c>
      <c r="AD139" s="2865">
        <f t="shared" si="805"/>
        <v>13.6</v>
      </c>
      <c r="AE139" s="2865">
        <f t="shared" si="805"/>
        <v>0</v>
      </c>
      <c r="AF139" s="2846">
        <f t="shared" si="647"/>
        <v>367.20251356250003</v>
      </c>
      <c r="AG139" s="2846">
        <f t="shared" si="648"/>
        <v>367.20251356250003</v>
      </c>
      <c r="AH139" s="2846">
        <f t="shared" si="648"/>
        <v>0</v>
      </c>
      <c r="AI139" s="2867">
        <f t="shared" si="806"/>
        <v>16.54</v>
      </c>
      <c r="AJ139" s="2867">
        <f t="shared" si="806"/>
        <v>16.54</v>
      </c>
      <c r="AK139" s="2867">
        <f t="shared" si="806"/>
        <v>0</v>
      </c>
      <c r="AL139" s="2867">
        <f t="shared" si="807"/>
        <v>-350.66251356250001</v>
      </c>
      <c r="AM139" s="2867">
        <f t="shared" si="807"/>
        <v>-350.66251356250001</v>
      </c>
      <c r="AN139" s="2867">
        <f t="shared" si="807"/>
        <v>0</v>
      </c>
      <c r="AO139" s="2845">
        <f t="shared" si="808"/>
        <v>183.60125678125002</v>
      </c>
      <c r="AP139" s="2845">
        <f>SUM(AP140:AP142)</f>
        <v>183.60125678125002</v>
      </c>
      <c r="AQ139" s="2845">
        <f>SUM(AQ140:AQ142)</f>
        <v>0</v>
      </c>
      <c r="AR139" s="2865">
        <f t="shared" si="810"/>
        <v>40.68</v>
      </c>
      <c r="AS139" s="2843">
        <f t="shared" ref="AS139:AT139" si="865">SUM(AS140:AS142)</f>
        <v>40.68</v>
      </c>
      <c r="AT139" s="2843">
        <f t="shared" si="865"/>
        <v>0</v>
      </c>
      <c r="AU139" s="2865">
        <f t="shared" si="812"/>
        <v>40.308999999999997</v>
      </c>
      <c r="AV139" s="2843">
        <f t="shared" ref="AV139:AW139" si="866">SUM(AV140:AV142)</f>
        <v>40.308999999999997</v>
      </c>
      <c r="AW139" s="2843">
        <f t="shared" si="866"/>
        <v>0</v>
      </c>
      <c r="AX139" s="2865">
        <f t="shared" si="814"/>
        <v>88.605000000000004</v>
      </c>
      <c r="AY139" s="2843">
        <f t="shared" ref="AY139:AZ139" si="867">SUM(AY140:AY142)</f>
        <v>88.605000000000004</v>
      </c>
      <c r="AZ139" s="2843">
        <f t="shared" si="867"/>
        <v>0</v>
      </c>
      <c r="BA139" s="2865">
        <f t="shared" si="816"/>
        <v>169.59399999999999</v>
      </c>
      <c r="BB139" s="2865">
        <f t="shared" si="817"/>
        <v>169.59399999999999</v>
      </c>
      <c r="BC139" s="2865">
        <f t="shared" si="817"/>
        <v>0</v>
      </c>
      <c r="BD139" s="2846">
        <f t="shared" si="761"/>
        <v>550.8037703437501</v>
      </c>
      <c r="BE139" s="2846">
        <f t="shared" si="762"/>
        <v>550.8037703437501</v>
      </c>
      <c r="BF139" s="2846">
        <f t="shared" si="763"/>
        <v>0</v>
      </c>
      <c r="BG139" s="2867">
        <f t="shared" si="818"/>
        <v>186.13399999999999</v>
      </c>
      <c r="BH139" s="2867">
        <f t="shared" si="818"/>
        <v>186.13399999999999</v>
      </c>
      <c r="BI139" s="2867">
        <f t="shared" si="818"/>
        <v>0</v>
      </c>
      <c r="BJ139" s="2867">
        <f t="shared" si="819"/>
        <v>-364.66977034375009</v>
      </c>
      <c r="BK139" s="2867">
        <f t="shared" si="819"/>
        <v>-364.66977034375009</v>
      </c>
      <c r="BL139" s="2867">
        <f t="shared" si="819"/>
        <v>0</v>
      </c>
      <c r="BM139" s="2845">
        <f t="shared" si="837"/>
        <v>183.60125678125002</v>
      </c>
      <c r="BN139" s="2845">
        <f>SUM(BN140:BN142)</f>
        <v>183.60125678125002</v>
      </c>
      <c r="BO139" s="2845">
        <f>SUM(BO140:BO142)</f>
        <v>0</v>
      </c>
      <c r="BP139" s="2865">
        <f t="shared" si="821"/>
        <v>0</v>
      </c>
      <c r="BQ139" s="2843">
        <f t="shared" ref="BQ139:BR139" si="868">SUM(BQ140:BQ142)</f>
        <v>0</v>
      </c>
      <c r="BR139" s="2843">
        <f t="shared" si="868"/>
        <v>0</v>
      </c>
      <c r="BS139" s="2865">
        <f t="shared" si="823"/>
        <v>0</v>
      </c>
      <c r="BT139" s="2843">
        <f t="shared" ref="BT139:BU139" si="869">SUM(BT140:BT142)</f>
        <v>0</v>
      </c>
      <c r="BU139" s="2843">
        <f t="shared" si="869"/>
        <v>0</v>
      </c>
      <c r="BV139" s="2865">
        <f t="shared" si="825"/>
        <v>13.843999999999999</v>
      </c>
      <c r="BW139" s="2843">
        <f t="shared" ref="BW139:BX139" si="870">SUM(BW140:BW142)</f>
        <v>13.843999999999999</v>
      </c>
      <c r="BX139" s="2843">
        <f t="shared" si="870"/>
        <v>0</v>
      </c>
      <c r="BY139" s="2865">
        <f t="shared" si="827"/>
        <v>13.843999999999999</v>
      </c>
      <c r="BZ139" s="2865">
        <f t="shared" si="828"/>
        <v>13.843999999999999</v>
      </c>
      <c r="CA139" s="2865">
        <f t="shared" si="828"/>
        <v>0</v>
      </c>
      <c r="CB139" s="2846">
        <f t="shared" si="781"/>
        <v>734.40502712500006</v>
      </c>
      <c r="CC139" s="2846">
        <f t="shared" ref="CC139:CD139" si="871">SUM(CC140:CC142)</f>
        <v>734.40502712500006</v>
      </c>
      <c r="CD139" s="2846">
        <f t="shared" si="871"/>
        <v>0</v>
      </c>
      <c r="CE139" s="2867">
        <f t="shared" si="829"/>
        <v>199.97799999999998</v>
      </c>
      <c r="CF139" s="2982">
        <f t="shared" si="829"/>
        <v>199.97799999999998</v>
      </c>
      <c r="CG139" s="2982">
        <f t="shared" si="829"/>
        <v>0</v>
      </c>
      <c r="CH139" s="2867">
        <f t="shared" si="830"/>
        <v>-534.42702712500011</v>
      </c>
      <c r="CI139" s="2867">
        <f t="shared" si="830"/>
        <v>-534.42702712500011</v>
      </c>
      <c r="CJ139" s="2867">
        <f t="shared" si="830"/>
        <v>0</v>
      </c>
      <c r="CK139" s="2863"/>
      <c r="CL139" s="4187">
        <f t="shared" si="542"/>
        <v>734.40502712500006</v>
      </c>
      <c r="CM139" s="4187">
        <f t="shared" si="543"/>
        <v>734.40502712500006</v>
      </c>
      <c r="CN139" s="4187">
        <f t="shared" si="544"/>
        <v>0</v>
      </c>
    </row>
    <row r="140" spans="1:92" ht="18.75" customHeight="1" x14ac:dyDescent="0.3">
      <c r="A140" s="2874" t="s">
        <v>534</v>
      </c>
      <c r="B140" s="2853">
        <f t="shared" ref="B140:B155" si="872">SUM(C140:D140)</f>
        <v>58.053307028125005</v>
      </c>
      <c r="C140" s="2853">
        <f t="shared" ref="C140:C142" si="873">SUM(CC140/4)</f>
        <v>58.053307028125005</v>
      </c>
      <c r="D140" s="2853">
        <f t="shared" ref="D140:D142" si="874">SUM(CD140/4)</f>
        <v>0</v>
      </c>
      <c r="E140" s="2875">
        <f t="shared" si="669"/>
        <v>0</v>
      </c>
      <c r="F140" s="2876"/>
      <c r="G140" s="2876"/>
      <c r="H140" s="2875">
        <f t="shared" si="791"/>
        <v>0</v>
      </c>
      <c r="I140" s="2876"/>
      <c r="J140" s="2876"/>
      <c r="K140" s="2875">
        <f t="shared" si="793"/>
        <v>0</v>
      </c>
      <c r="L140" s="2876"/>
      <c r="M140" s="2876"/>
      <c r="N140" s="2875">
        <f t="shared" si="795"/>
        <v>0</v>
      </c>
      <c r="O140" s="2875">
        <f t="shared" si="796"/>
        <v>0</v>
      </c>
      <c r="P140" s="2875">
        <f t="shared" si="796"/>
        <v>0</v>
      </c>
      <c r="Q140" s="2853">
        <f t="shared" si="720"/>
        <v>58.053307028125005</v>
      </c>
      <c r="R140" s="2853">
        <f t="shared" ref="R140:R142" si="875">SUM(C140)</f>
        <v>58.053307028125005</v>
      </c>
      <c r="S140" s="2853">
        <f t="shared" ref="S140:S142" si="876">SUM(D140)</f>
        <v>0</v>
      </c>
      <c r="T140" s="2875">
        <f t="shared" si="798"/>
        <v>0</v>
      </c>
      <c r="U140" s="2876"/>
      <c r="V140" s="2876"/>
      <c r="W140" s="2875">
        <f t="shared" si="800"/>
        <v>0</v>
      </c>
      <c r="X140" s="2876"/>
      <c r="Y140" s="2876"/>
      <c r="Z140" s="2875">
        <f t="shared" si="802"/>
        <v>0</v>
      </c>
      <c r="AA140" s="2876"/>
      <c r="AB140" s="2876"/>
      <c r="AC140" s="2875">
        <f t="shared" si="804"/>
        <v>0</v>
      </c>
      <c r="AD140" s="2875">
        <f t="shared" si="805"/>
        <v>0</v>
      </c>
      <c r="AE140" s="2875">
        <f t="shared" si="805"/>
        <v>0</v>
      </c>
      <c r="AF140" s="2856">
        <f t="shared" si="647"/>
        <v>116.10661405625001</v>
      </c>
      <c r="AG140" s="2856">
        <f t="shared" si="648"/>
        <v>116.10661405625001</v>
      </c>
      <c r="AH140" s="2856">
        <f t="shared" si="648"/>
        <v>0</v>
      </c>
      <c r="AI140" s="2870">
        <f t="shared" si="806"/>
        <v>0</v>
      </c>
      <c r="AJ140" s="2870">
        <f t="shared" si="806"/>
        <v>0</v>
      </c>
      <c r="AK140" s="2870">
        <f t="shared" si="806"/>
        <v>0</v>
      </c>
      <c r="AL140" s="2870">
        <f t="shared" si="807"/>
        <v>-116.10661405625001</v>
      </c>
      <c r="AM140" s="2870">
        <f t="shared" si="807"/>
        <v>-116.10661405625001</v>
      </c>
      <c r="AN140" s="2870">
        <f t="shared" si="807"/>
        <v>0</v>
      </c>
      <c r="AO140" s="2853">
        <f t="shared" ref="AO140:AO148" si="877">SUM(AP140:AQ140)</f>
        <v>58.053307028125005</v>
      </c>
      <c r="AP140" s="2853">
        <f t="shared" ref="AP140:AP142" si="878">SUM(CC140-AG140)/2</f>
        <v>58.053307028125005</v>
      </c>
      <c r="AQ140" s="2853">
        <f t="shared" ref="AQ140:AQ142" si="879">SUM(CD140-AH140)/2</f>
        <v>0</v>
      </c>
      <c r="AR140" s="2875">
        <f t="shared" si="810"/>
        <v>27.08</v>
      </c>
      <c r="AS140" s="2876">
        <v>27.08</v>
      </c>
      <c r="AT140" s="2876"/>
      <c r="AU140" s="2875">
        <f t="shared" si="812"/>
        <v>40.308999999999997</v>
      </c>
      <c r="AV140" s="2876">
        <f>19.923+20.386</f>
        <v>40.308999999999997</v>
      </c>
      <c r="AW140" s="2876"/>
      <c r="AX140" s="2875">
        <f t="shared" si="814"/>
        <v>77.272000000000006</v>
      </c>
      <c r="AY140" s="2876">
        <v>77.272000000000006</v>
      </c>
      <c r="AZ140" s="2876"/>
      <c r="BA140" s="2875">
        <f t="shared" si="816"/>
        <v>144.661</v>
      </c>
      <c r="BB140" s="2875">
        <f t="shared" si="817"/>
        <v>144.661</v>
      </c>
      <c r="BC140" s="2875">
        <f t="shared" si="817"/>
        <v>0</v>
      </c>
      <c r="BD140" s="2856">
        <f t="shared" si="761"/>
        <v>174.15992108437501</v>
      </c>
      <c r="BE140" s="2856">
        <f t="shared" si="762"/>
        <v>174.15992108437501</v>
      </c>
      <c r="BF140" s="2856">
        <f t="shared" si="763"/>
        <v>0</v>
      </c>
      <c r="BG140" s="2870">
        <f t="shared" si="818"/>
        <v>144.661</v>
      </c>
      <c r="BH140" s="2870">
        <f t="shared" si="818"/>
        <v>144.661</v>
      </c>
      <c r="BI140" s="2870">
        <f t="shared" si="818"/>
        <v>0</v>
      </c>
      <c r="BJ140" s="2870">
        <f t="shared" si="819"/>
        <v>-29.498921084375013</v>
      </c>
      <c r="BK140" s="2870">
        <f t="shared" si="819"/>
        <v>-29.498921084375013</v>
      </c>
      <c r="BL140" s="2870">
        <f t="shared" si="819"/>
        <v>0</v>
      </c>
      <c r="BM140" s="2853">
        <f t="shared" si="837"/>
        <v>58.053307028125005</v>
      </c>
      <c r="BN140" s="2853">
        <f t="shared" ref="BN140:BO142" si="880">SUM(AP140)</f>
        <v>58.053307028125005</v>
      </c>
      <c r="BO140" s="2853">
        <f t="shared" si="880"/>
        <v>0</v>
      </c>
      <c r="BP140" s="2875">
        <f t="shared" si="821"/>
        <v>0</v>
      </c>
      <c r="BQ140" s="2876"/>
      <c r="BR140" s="2876"/>
      <c r="BS140" s="2875">
        <f t="shared" si="823"/>
        <v>0</v>
      </c>
      <c r="BT140" s="2876"/>
      <c r="BU140" s="2876"/>
      <c r="BV140" s="2875">
        <f t="shared" si="825"/>
        <v>13.843999999999999</v>
      </c>
      <c r="BW140" s="2876">
        <v>13.843999999999999</v>
      </c>
      <c r="BX140" s="2876"/>
      <c r="BY140" s="2875">
        <f t="shared" si="827"/>
        <v>13.843999999999999</v>
      </c>
      <c r="BZ140" s="2875">
        <f t="shared" si="828"/>
        <v>13.843999999999999</v>
      </c>
      <c r="CA140" s="2875">
        <f t="shared" si="828"/>
        <v>0</v>
      </c>
      <c r="CB140" s="2856">
        <f t="shared" si="840"/>
        <v>232.21322811250002</v>
      </c>
      <c r="CC140" s="2856">
        <f>114.43*2.02930375</f>
        <v>232.21322811250002</v>
      </c>
      <c r="CD140" s="2856">
        <v>0</v>
      </c>
      <c r="CE140" s="2870">
        <f t="shared" si="829"/>
        <v>158.505</v>
      </c>
      <c r="CF140" s="2991">
        <f t="shared" si="829"/>
        <v>158.505</v>
      </c>
      <c r="CG140" s="2991">
        <f t="shared" si="829"/>
        <v>0</v>
      </c>
      <c r="CH140" s="2870">
        <f t="shared" si="830"/>
        <v>-73.708228112500024</v>
      </c>
      <c r="CI140" s="2870">
        <f t="shared" si="830"/>
        <v>-73.708228112500024</v>
      </c>
      <c r="CJ140" s="2870">
        <f t="shared" si="830"/>
        <v>0</v>
      </c>
      <c r="CK140" s="2863"/>
      <c r="CL140" s="4187">
        <f t="shared" si="542"/>
        <v>232.21322811250002</v>
      </c>
      <c r="CM140" s="4187">
        <f t="shared" si="543"/>
        <v>232.21322811250002</v>
      </c>
      <c r="CN140" s="4187">
        <f t="shared" si="544"/>
        <v>0</v>
      </c>
    </row>
    <row r="141" spans="1:92" ht="18.75" customHeight="1" x14ac:dyDescent="0.3">
      <c r="A141" s="2874" t="s">
        <v>628</v>
      </c>
      <c r="B141" s="2853">
        <f t="shared" si="872"/>
        <v>125.35516589687499</v>
      </c>
      <c r="C141" s="2853">
        <f t="shared" si="873"/>
        <v>125.35516589687499</v>
      </c>
      <c r="D141" s="2853">
        <f t="shared" si="874"/>
        <v>0</v>
      </c>
      <c r="E141" s="2875">
        <f t="shared" si="669"/>
        <v>0</v>
      </c>
      <c r="F141" s="2876"/>
      <c r="G141" s="2876"/>
      <c r="H141" s="2875">
        <f t="shared" si="791"/>
        <v>0</v>
      </c>
      <c r="I141" s="2876"/>
      <c r="J141" s="2876"/>
      <c r="K141" s="2875">
        <f t="shared" si="793"/>
        <v>2.85</v>
      </c>
      <c r="L141" s="2876">
        <v>2.85</v>
      </c>
      <c r="M141" s="2876"/>
      <c r="N141" s="2875">
        <f t="shared" si="795"/>
        <v>2.85</v>
      </c>
      <c r="O141" s="2875">
        <f t="shared" si="796"/>
        <v>2.85</v>
      </c>
      <c r="P141" s="2875">
        <f t="shared" si="796"/>
        <v>0</v>
      </c>
      <c r="Q141" s="2853">
        <f t="shared" si="720"/>
        <v>125.35516589687499</v>
      </c>
      <c r="R141" s="2853">
        <f t="shared" si="875"/>
        <v>125.35516589687499</v>
      </c>
      <c r="S141" s="2853">
        <f t="shared" si="876"/>
        <v>0</v>
      </c>
      <c r="T141" s="2875">
        <f t="shared" si="798"/>
        <v>0</v>
      </c>
      <c r="U141" s="2876"/>
      <c r="V141" s="2876"/>
      <c r="W141" s="2875">
        <f t="shared" si="800"/>
        <v>13.6</v>
      </c>
      <c r="X141" s="2876">
        <v>13.6</v>
      </c>
      <c r="Y141" s="2876"/>
      <c r="Z141" s="2875">
        <f t="shared" si="802"/>
        <v>0</v>
      </c>
      <c r="AA141" s="2876"/>
      <c r="AB141" s="2876"/>
      <c r="AC141" s="2875">
        <f t="shared" si="804"/>
        <v>13.6</v>
      </c>
      <c r="AD141" s="2875">
        <f t="shared" si="805"/>
        <v>13.6</v>
      </c>
      <c r="AE141" s="2875">
        <f t="shared" si="805"/>
        <v>0</v>
      </c>
      <c r="AF141" s="2856">
        <f t="shared" si="647"/>
        <v>250.71033179374999</v>
      </c>
      <c r="AG141" s="2856">
        <f t="shared" si="648"/>
        <v>250.71033179374999</v>
      </c>
      <c r="AH141" s="2856">
        <f t="shared" si="648"/>
        <v>0</v>
      </c>
      <c r="AI141" s="2870">
        <f t="shared" si="806"/>
        <v>16.45</v>
      </c>
      <c r="AJ141" s="2870">
        <f t="shared" si="806"/>
        <v>16.45</v>
      </c>
      <c r="AK141" s="2870">
        <f t="shared" si="806"/>
        <v>0</v>
      </c>
      <c r="AL141" s="2870">
        <f t="shared" si="807"/>
        <v>-234.26033179375</v>
      </c>
      <c r="AM141" s="2870">
        <f t="shared" si="807"/>
        <v>-234.26033179375</v>
      </c>
      <c r="AN141" s="2870">
        <f t="shared" si="807"/>
        <v>0</v>
      </c>
      <c r="AO141" s="2853">
        <f t="shared" si="877"/>
        <v>125.35516589687499</v>
      </c>
      <c r="AP141" s="2853">
        <f t="shared" si="878"/>
        <v>125.35516589687499</v>
      </c>
      <c r="AQ141" s="2853">
        <f t="shared" si="879"/>
        <v>0</v>
      </c>
      <c r="AR141" s="2875">
        <f t="shared" si="810"/>
        <v>13.6</v>
      </c>
      <c r="AS141" s="2876">
        <v>13.6</v>
      </c>
      <c r="AT141" s="2876"/>
      <c r="AU141" s="2875">
        <f t="shared" si="812"/>
        <v>0</v>
      </c>
      <c r="AV141" s="2876"/>
      <c r="AW141" s="2876"/>
      <c r="AX141" s="2875">
        <f t="shared" si="814"/>
        <v>11.333</v>
      </c>
      <c r="AY141" s="2876">
        <v>11.333</v>
      </c>
      <c r="AZ141" s="2876"/>
      <c r="BA141" s="2875">
        <f t="shared" si="816"/>
        <v>24.933</v>
      </c>
      <c r="BB141" s="2875">
        <f t="shared" si="817"/>
        <v>24.933</v>
      </c>
      <c r="BC141" s="2875">
        <f t="shared" si="817"/>
        <v>0</v>
      </c>
      <c r="BD141" s="2856">
        <f t="shared" si="761"/>
        <v>376.06549769062497</v>
      </c>
      <c r="BE141" s="2856">
        <f t="shared" si="762"/>
        <v>376.06549769062497</v>
      </c>
      <c r="BF141" s="2856">
        <f t="shared" si="763"/>
        <v>0</v>
      </c>
      <c r="BG141" s="2870">
        <f t="shared" si="818"/>
        <v>41.382999999999996</v>
      </c>
      <c r="BH141" s="2870">
        <f t="shared" si="818"/>
        <v>41.382999999999996</v>
      </c>
      <c r="BI141" s="2870">
        <f t="shared" si="818"/>
        <v>0</v>
      </c>
      <c r="BJ141" s="2870">
        <f t="shared" si="819"/>
        <v>-334.68249769062498</v>
      </c>
      <c r="BK141" s="2870">
        <f t="shared" si="819"/>
        <v>-334.68249769062498</v>
      </c>
      <c r="BL141" s="2870">
        <f t="shared" si="819"/>
        <v>0</v>
      </c>
      <c r="BM141" s="2853">
        <f t="shared" si="837"/>
        <v>125.35516589687499</v>
      </c>
      <c r="BN141" s="2853">
        <f t="shared" si="880"/>
        <v>125.35516589687499</v>
      </c>
      <c r="BO141" s="2853">
        <f t="shared" si="880"/>
        <v>0</v>
      </c>
      <c r="BP141" s="2875">
        <f t="shared" si="821"/>
        <v>0</v>
      </c>
      <c r="BQ141" s="2876"/>
      <c r="BR141" s="2876"/>
      <c r="BS141" s="2875">
        <f t="shared" si="823"/>
        <v>0</v>
      </c>
      <c r="BT141" s="2876"/>
      <c r="BU141" s="2876"/>
      <c r="BV141" s="2875">
        <f t="shared" si="825"/>
        <v>0</v>
      </c>
      <c r="BW141" s="2876"/>
      <c r="BX141" s="2876"/>
      <c r="BY141" s="2875">
        <f t="shared" si="827"/>
        <v>0</v>
      </c>
      <c r="BZ141" s="2875">
        <f t="shared" si="828"/>
        <v>0</v>
      </c>
      <c r="CA141" s="2875">
        <f t="shared" si="828"/>
        <v>0</v>
      </c>
      <c r="CB141" s="2856">
        <f t="shared" si="840"/>
        <v>501.42066358749997</v>
      </c>
      <c r="CC141" s="2856">
        <f>247.09*2.02930375</f>
        <v>501.42066358749997</v>
      </c>
      <c r="CD141" s="2856">
        <v>0</v>
      </c>
      <c r="CE141" s="2870">
        <f t="shared" si="829"/>
        <v>41.382999999999996</v>
      </c>
      <c r="CF141" s="2991">
        <f t="shared" si="829"/>
        <v>41.382999999999996</v>
      </c>
      <c r="CG141" s="2991">
        <f t="shared" si="829"/>
        <v>0</v>
      </c>
      <c r="CH141" s="2870">
        <f t="shared" si="830"/>
        <v>-460.03766358749999</v>
      </c>
      <c r="CI141" s="2870">
        <f t="shared" si="830"/>
        <v>-460.03766358749999</v>
      </c>
      <c r="CJ141" s="2870">
        <f t="shared" si="830"/>
        <v>0</v>
      </c>
      <c r="CK141" s="2863"/>
      <c r="CL141" s="4187">
        <f t="shared" si="542"/>
        <v>501.42066358749997</v>
      </c>
      <c r="CM141" s="4187">
        <f t="shared" si="543"/>
        <v>501.42066358749997</v>
      </c>
      <c r="CN141" s="4187">
        <f t="shared" si="544"/>
        <v>0</v>
      </c>
    </row>
    <row r="142" spans="1:92" ht="18.75" customHeight="1" x14ac:dyDescent="0.3">
      <c r="A142" s="2874" t="s">
        <v>598</v>
      </c>
      <c r="B142" s="2853">
        <f t="shared" si="872"/>
        <v>0.19278385625</v>
      </c>
      <c r="C142" s="2853">
        <f t="shared" si="873"/>
        <v>0.19278385625</v>
      </c>
      <c r="D142" s="2853">
        <f t="shared" si="874"/>
        <v>0</v>
      </c>
      <c r="E142" s="2875">
        <f t="shared" si="669"/>
        <v>0.09</v>
      </c>
      <c r="F142" s="2876">
        <v>0.09</v>
      </c>
      <c r="G142" s="2876"/>
      <c r="H142" s="2875">
        <f t="shared" si="791"/>
        <v>0</v>
      </c>
      <c r="I142" s="2876"/>
      <c r="J142" s="2876"/>
      <c r="K142" s="2875">
        <f t="shared" si="793"/>
        <v>0</v>
      </c>
      <c r="L142" s="2876"/>
      <c r="M142" s="2876"/>
      <c r="N142" s="2875">
        <f t="shared" si="795"/>
        <v>0.09</v>
      </c>
      <c r="O142" s="2875">
        <f t="shared" si="796"/>
        <v>0.09</v>
      </c>
      <c r="P142" s="2875">
        <f t="shared" si="796"/>
        <v>0</v>
      </c>
      <c r="Q142" s="2853">
        <f t="shared" si="720"/>
        <v>0.19278385625</v>
      </c>
      <c r="R142" s="2853">
        <f t="shared" si="875"/>
        <v>0.19278385625</v>
      </c>
      <c r="S142" s="2853">
        <f t="shared" si="876"/>
        <v>0</v>
      </c>
      <c r="T142" s="2875">
        <f t="shared" si="798"/>
        <v>0</v>
      </c>
      <c r="U142" s="2876"/>
      <c r="V142" s="2876"/>
      <c r="W142" s="2875">
        <f t="shared" si="800"/>
        <v>0</v>
      </c>
      <c r="X142" s="2876"/>
      <c r="Y142" s="2876"/>
      <c r="Z142" s="2875">
        <f t="shared" si="802"/>
        <v>0</v>
      </c>
      <c r="AA142" s="2876"/>
      <c r="AB142" s="2876"/>
      <c r="AC142" s="2875">
        <f t="shared" si="804"/>
        <v>0</v>
      </c>
      <c r="AD142" s="2875">
        <f t="shared" si="805"/>
        <v>0</v>
      </c>
      <c r="AE142" s="2875">
        <f t="shared" si="805"/>
        <v>0</v>
      </c>
      <c r="AF142" s="2856">
        <f t="shared" si="647"/>
        <v>0.38556771249999999</v>
      </c>
      <c r="AG142" s="2856">
        <f t="shared" si="648"/>
        <v>0.38556771249999999</v>
      </c>
      <c r="AH142" s="2856">
        <f t="shared" si="648"/>
        <v>0</v>
      </c>
      <c r="AI142" s="2870">
        <f t="shared" si="806"/>
        <v>0.09</v>
      </c>
      <c r="AJ142" s="2870">
        <f t="shared" si="806"/>
        <v>0.09</v>
      </c>
      <c r="AK142" s="2870">
        <f t="shared" si="806"/>
        <v>0</v>
      </c>
      <c r="AL142" s="2870">
        <f t="shared" si="807"/>
        <v>-0.29556771250000002</v>
      </c>
      <c r="AM142" s="2870">
        <f t="shared" si="807"/>
        <v>-0.29556771250000002</v>
      </c>
      <c r="AN142" s="2870">
        <f t="shared" si="807"/>
        <v>0</v>
      </c>
      <c r="AO142" s="2853">
        <f t="shared" si="877"/>
        <v>0.19278385625</v>
      </c>
      <c r="AP142" s="2853">
        <f t="shared" si="878"/>
        <v>0.19278385625</v>
      </c>
      <c r="AQ142" s="2853">
        <f t="shared" si="879"/>
        <v>0</v>
      </c>
      <c r="AR142" s="2875">
        <f t="shared" si="810"/>
        <v>0</v>
      </c>
      <c r="AS142" s="2876"/>
      <c r="AT142" s="2876"/>
      <c r="AU142" s="2875">
        <f t="shared" si="812"/>
        <v>0</v>
      </c>
      <c r="AV142" s="2876"/>
      <c r="AW142" s="2876"/>
      <c r="AX142" s="2875">
        <f t="shared" si="814"/>
        <v>0</v>
      </c>
      <c r="AY142" s="2876"/>
      <c r="AZ142" s="2876"/>
      <c r="BA142" s="2875">
        <f t="shared" si="816"/>
        <v>0</v>
      </c>
      <c r="BB142" s="2875">
        <f t="shared" si="817"/>
        <v>0</v>
      </c>
      <c r="BC142" s="2875">
        <f t="shared" si="817"/>
        <v>0</v>
      </c>
      <c r="BD142" s="2856">
        <f t="shared" si="761"/>
        <v>0.57835156875000004</v>
      </c>
      <c r="BE142" s="2856">
        <f t="shared" si="762"/>
        <v>0.57835156875000004</v>
      </c>
      <c r="BF142" s="2856">
        <f t="shared" si="763"/>
        <v>0</v>
      </c>
      <c r="BG142" s="2870">
        <f t="shared" si="818"/>
        <v>0.09</v>
      </c>
      <c r="BH142" s="2870">
        <f t="shared" si="818"/>
        <v>0.09</v>
      </c>
      <c r="BI142" s="2870">
        <f t="shared" si="818"/>
        <v>0</v>
      </c>
      <c r="BJ142" s="2870">
        <f t="shared" si="819"/>
        <v>-0.48835156875000008</v>
      </c>
      <c r="BK142" s="2870">
        <f t="shared" si="819"/>
        <v>-0.48835156875000008</v>
      </c>
      <c r="BL142" s="2870">
        <f t="shared" si="819"/>
        <v>0</v>
      </c>
      <c r="BM142" s="2853">
        <f t="shared" si="837"/>
        <v>0.19278385625</v>
      </c>
      <c r="BN142" s="2853">
        <f t="shared" si="880"/>
        <v>0.19278385625</v>
      </c>
      <c r="BO142" s="2853">
        <f t="shared" si="880"/>
        <v>0</v>
      </c>
      <c r="BP142" s="2875">
        <f t="shared" si="821"/>
        <v>0</v>
      </c>
      <c r="BQ142" s="2876"/>
      <c r="BR142" s="2876"/>
      <c r="BS142" s="2875">
        <f t="shared" si="823"/>
        <v>0</v>
      </c>
      <c r="BT142" s="2876"/>
      <c r="BU142" s="2876"/>
      <c r="BV142" s="2875">
        <f t="shared" si="825"/>
        <v>0</v>
      </c>
      <c r="BW142" s="2876"/>
      <c r="BX142" s="2876"/>
      <c r="BY142" s="2875">
        <f t="shared" si="827"/>
        <v>0</v>
      </c>
      <c r="BZ142" s="2875">
        <f t="shared" si="828"/>
        <v>0</v>
      </c>
      <c r="CA142" s="2875">
        <f t="shared" si="828"/>
        <v>0</v>
      </c>
      <c r="CB142" s="2856">
        <f t="shared" si="840"/>
        <v>0.77113542499999999</v>
      </c>
      <c r="CC142" s="2856">
        <f>0.38*2.02930375</f>
        <v>0.77113542499999999</v>
      </c>
      <c r="CD142" s="2856">
        <v>0</v>
      </c>
      <c r="CE142" s="2870">
        <f t="shared" si="829"/>
        <v>0.09</v>
      </c>
      <c r="CF142" s="2991">
        <f t="shared" si="829"/>
        <v>0.09</v>
      </c>
      <c r="CG142" s="2991">
        <f t="shared" si="829"/>
        <v>0</v>
      </c>
      <c r="CH142" s="2870">
        <f t="shared" si="830"/>
        <v>-0.68113542500000002</v>
      </c>
      <c r="CI142" s="2870">
        <f t="shared" si="830"/>
        <v>-0.68113542500000002</v>
      </c>
      <c r="CJ142" s="2870">
        <f t="shared" si="830"/>
        <v>0</v>
      </c>
      <c r="CK142" s="2863"/>
      <c r="CL142" s="4187">
        <f t="shared" si="542"/>
        <v>0.77113542499999999</v>
      </c>
      <c r="CM142" s="4187">
        <f t="shared" si="543"/>
        <v>0.77113542499999999</v>
      </c>
      <c r="CN142" s="4187">
        <f t="shared" si="544"/>
        <v>0</v>
      </c>
    </row>
    <row r="143" spans="1:92" ht="18.75" customHeight="1" x14ac:dyDescent="0.3">
      <c r="A143" s="2871" t="s">
        <v>3741</v>
      </c>
      <c r="B143" s="2837">
        <f t="shared" si="872"/>
        <v>1267.71658</v>
      </c>
      <c r="C143" s="2837">
        <f t="shared" ref="C143:D143" si="881">SUM(C144:C148)</f>
        <v>1267.5330799999999</v>
      </c>
      <c r="D143" s="2837">
        <f t="shared" si="881"/>
        <v>0.1835</v>
      </c>
      <c r="E143" s="2861">
        <f t="shared" si="669"/>
        <v>0</v>
      </c>
      <c r="F143" s="2836">
        <f>SUM(F144:F148)</f>
        <v>0</v>
      </c>
      <c r="G143" s="2836">
        <f t="shared" ref="G143" si="882">SUM(G144:G148)</f>
        <v>0</v>
      </c>
      <c r="H143" s="2861">
        <f t="shared" si="791"/>
        <v>0</v>
      </c>
      <c r="I143" s="2836">
        <f t="shared" ref="I143:J143" si="883">SUM(I144:I148)</f>
        <v>0</v>
      </c>
      <c r="J143" s="2836">
        <f t="shared" si="883"/>
        <v>0</v>
      </c>
      <c r="K143" s="2861">
        <f t="shared" si="793"/>
        <v>796.16</v>
      </c>
      <c r="L143" s="2836">
        <f t="shared" ref="L143:M143" si="884">SUM(L144:L148)</f>
        <v>796.16</v>
      </c>
      <c r="M143" s="2836">
        <f t="shared" si="884"/>
        <v>0</v>
      </c>
      <c r="N143" s="2861">
        <f t="shared" si="795"/>
        <v>796.16</v>
      </c>
      <c r="O143" s="2861">
        <f t="shared" si="796"/>
        <v>796.16</v>
      </c>
      <c r="P143" s="2861">
        <f t="shared" si="796"/>
        <v>0</v>
      </c>
      <c r="Q143" s="2837">
        <f t="shared" si="720"/>
        <v>1267.71658</v>
      </c>
      <c r="R143" s="2837">
        <f>SUM(R144:R148)</f>
        <v>1267.5330799999999</v>
      </c>
      <c r="S143" s="2837">
        <f>SUM(S144:S148)</f>
        <v>0.1835</v>
      </c>
      <c r="T143" s="2861">
        <f t="shared" si="798"/>
        <v>0</v>
      </c>
      <c r="U143" s="2836">
        <f t="shared" ref="U143:V143" si="885">SUM(U144:U148)</f>
        <v>0</v>
      </c>
      <c r="V143" s="2836">
        <f t="shared" si="885"/>
        <v>0</v>
      </c>
      <c r="W143" s="2861">
        <f t="shared" si="800"/>
        <v>0</v>
      </c>
      <c r="X143" s="2836">
        <f t="shared" ref="X143:Y143" si="886">SUM(X144:X148)</f>
        <v>0</v>
      </c>
      <c r="Y143" s="2836">
        <f t="shared" si="886"/>
        <v>0</v>
      </c>
      <c r="Z143" s="2861">
        <f t="shared" si="802"/>
        <v>341.55600000000004</v>
      </c>
      <c r="AA143" s="2836">
        <f t="shared" ref="AA143:AB143" si="887">SUM(AA144:AA148)</f>
        <v>341.55600000000004</v>
      </c>
      <c r="AB143" s="2836">
        <f t="shared" si="887"/>
        <v>0</v>
      </c>
      <c r="AC143" s="2861">
        <f t="shared" si="804"/>
        <v>341.55600000000004</v>
      </c>
      <c r="AD143" s="2861">
        <f t="shared" si="805"/>
        <v>341.55600000000004</v>
      </c>
      <c r="AE143" s="2861">
        <f t="shared" si="805"/>
        <v>0</v>
      </c>
      <c r="AF143" s="2839">
        <f t="shared" si="647"/>
        <v>2535.43316</v>
      </c>
      <c r="AG143" s="2839">
        <f t="shared" ref="AG143:AH148" si="888">SUM(C143+R143)</f>
        <v>2535.0661599999999</v>
      </c>
      <c r="AH143" s="2839">
        <f t="shared" si="888"/>
        <v>0.36699999999999999</v>
      </c>
      <c r="AI143" s="2862">
        <f t="shared" si="806"/>
        <v>1137.7159999999999</v>
      </c>
      <c r="AJ143" s="2862">
        <f t="shared" si="806"/>
        <v>1137.7159999999999</v>
      </c>
      <c r="AK143" s="2862">
        <f t="shared" si="806"/>
        <v>0</v>
      </c>
      <c r="AL143" s="2862">
        <f t="shared" si="807"/>
        <v>-1397.7171600000001</v>
      </c>
      <c r="AM143" s="2862">
        <f t="shared" si="807"/>
        <v>-1397.35016</v>
      </c>
      <c r="AN143" s="2862">
        <f t="shared" si="807"/>
        <v>-0.36699999999999999</v>
      </c>
      <c r="AO143" s="2837">
        <f t="shared" si="877"/>
        <v>1267.71658</v>
      </c>
      <c r="AP143" s="2837">
        <f>SUM(AP144:AP148)</f>
        <v>1267.5330799999999</v>
      </c>
      <c r="AQ143" s="2837">
        <f>SUM(AQ144:AQ148)</f>
        <v>0.1835</v>
      </c>
      <c r="AR143" s="2861">
        <f t="shared" si="810"/>
        <v>369.16</v>
      </c>
      <c r="AS143" s="2836">
        <f t="shared" ref="AS143:AT143" si="889">SUM(AS144:AS148)</f>
        <v>369.16</v>
      </c>
      <c r="AT143" s="2836">
        <f t="shared" si="889"/>
        <v>0</v>
      </c>
      <c r="AU143" s="2861">
        <f t="shared" si="812"/>
        <v>-314.90199999999999</v>
      </c>
      <c r="AV143" s="2836">
        <f t="shared" ref="AV143:AW143" si="890">SUM(AV144:AV148)</f>
        <v>-314.90199999999999</v>
      </c>
      <c r="AW143" s="2836">
        <f t="shared" si="890"/>
        <v>0</v>
      </c>
      <c r="AX143" s="2861">
        <f t="shared" si="814"/>
        <v>580.31299999999999</v>
      </c>
      <c r="AY143" s="2836">
        <f t="shared" ref="AY143:AZ143" si="891">SUM(AY144:AY148)</f>
        <v>580.31299999999999</v>
      </c>
      <c r="AZ143" s="2836">
        <f t="shared" si="891"/>
        <v>0</v>
      </c>
      <c r="BA143" s="2861">
        <f t="shared" si="816"/>
        <v>634.57100000000003</v>
      </c>
      <c r="BB143" s="2861">
        <f t="shared" si="817"/>
        <v>634.57100000000003</v>
      </c>
      <c r="BC143" s="2861">
        <f t="shared" si="817"/>
        <v>0</v>
      </c>
      <c r="BD143" s="2839">
        <f t="shared" ref="BD143:BD148" si="892">SUM(BE143:BF143)</f>
        <v>3803.1497399999994</v>
      </c>
      <c r="BE143" s="2839">
        <f t="shared" ref="BE143:BE148" si="893">SUM(AG143+AP143)</f>
        <v>3802.5992399999996</v>
      </c>
      <c r="BF143" s="2839">
        <f t="shared" si="763"/>
        <v>0.55049999999999999</v>
      </c>
      <c r="BG143" s="2862">
        <f t="shared" si="818"/>
        <v>1772.2869999999998</v>
      </c>
      <c r="BH143" s="2862">
        <f t="shared" si="818"/>
        <v>1772.2869999999998</v>
      </c>
      <c r="BI143" s="2862">
        <f t="shared" si="818"/>
        <v>0</v>
      </c>
      <c r="BJ143" s="2862">
        <f t="shared" si="819"/>
        <v>-2030.8627399999996</v>
      </c>
      <c r="BK143" s="2862">
        <f t="shared" si="819"/>
        <v>-2030.3122399999997</v>
      </c>
      <c r="BL143" s="2862">
        <f t="shared" si="819"/>
        <v>-0.55049999999999999</v>
      </c>
      <c r="BM143" s="2837">
        <f t="shared" si="837"/>
        <v>1267.71658</v>
      </c>
      <c r="BN143" s="2837">
        <f>SUM(BN144:BN148)</f>
        <v>1267.5330799999999</v>
      </c>
      <c r="BO143" s="2837">
        <f>SUM(BO144:BO148)</f>
        <v>0.1835</v>
      </c>
      <c r="BP143" s="2861">
        <f t="shared" si="821"/>
        <v>0</v>
      </c>
      <c r="BQ143" s="2836">
        <f t="shared" ref="BQ143:BR143" si="894">SUM(BQ144:BQ148)</f>
        <v>0</v>
      </c>
      <c r="BR143" s="2836">
        <f t="shared" si="894"/>
        <v>0</v>
      </c>
      <c r="BS143" s="2861">
        <f t="shared" si="823"/>
        <v>0</v>
      </c>
      <c r="BT143" s="2836">
        <f t="shared" ref="BT143:BU143" si="895">SUM(BT144:BT148)</f>
        <v>0</v>
      </c>
      <c r="BU143" s="2836">
        <f t="shared" si="895"/>
        <v>0</v>
      </c>
      <c r="BV143" s="2861">
        <f t="shared" si="825"/>
        <v>696.13600000000008</v>
      </c>
      <c r="BW143" s="2836">
        <f t="shared" ref="BW143:BX143" si="896">SUM(BW144:BW148)</f>
        <v>696.13600000000008</v>
      </c>
      <c r="BX143" s="2836">
        <f t="shared" si="896"/>
        <v>0</v>
      </c>
      <c r="BY143" s="2861">
        <f t="shared" si="827"/>
        <v>696.13600000000008</v>
      </c>
      <c r="BZ143" s="2861">
        <f t="shared" si="828"/>
        <v>696.13600000000008</v>
      </c>
      <c r="CA143" s="2861">
        <f t="shared" si="828"/>
        <v>0</v>
      </c>
      <c r="CB143" s="2839">
        <f t="shared" si="781"/>
        <v>5070.8663200000001</v>
      </c>
      <c r="CC143" s="2839">
        <f>SUM(вода!CV52)</f>
        <v>5070.1323199999997</v>
      </c>
      <c r="CD143" s="2839">
        <f>SUM(вода!CW52)</f>
        <v>0.73399999999999999</v>
      </c>
      <c r="CE143" s="2862">
        <f t="shared" si="829"/>
        <v>2468.4229999999998</v>
      </c>
      <c r="CF143" s="2981">
        <f t="shared" si="829"/>
        <v>2468.4229999999998</v>
      </c>
      <c r="CG143" s="2981">
        <f t="shared" si="829"/>
        <v>0</v>
      </c>
      <c r="CH143" s="2862">
        <f t="shared" si="830"/>
        <v>-2602.4433200000003</v>
      </c>
      <c r="CI143" s="2862">
        <f t="shared" si="830"/>
        <v>-2601.7093199999999</v>
      </c>
      <c r="CJ143" s="2862">
        <f t="shared" si="830"/>
        <v>-0.73399999999999999</v>
      </c>
      <c r="CK143" s="2863"/>
      <c r="CL143" s="4187">
        <f t="shared" si="542"/>
        <v>5070.8663200000001</v>
      </c>
      <c r="CM143" s="4187">
        <f t="shared" si="543"/>
        <v>5070.1323199999997</v>
      </c>
      <c r="CN143" s="4187">
        <f t="shared" si="544"/>
        <v>0.73399999999999999</v>
      </c>
    </row>
    <row r="144" spans="1:92" ht="18.75" customHeight="1" x14ac:dyDescent="0.3">
      <c r="A144" s="2869" t="s">
        <v>3742</v>
      </c>
      <c r="B144" s="2853">
        <f t="shared" si="872"/>
        <v>617.24599999999998</v>
      </c>
      <c r="C144" s="2853">
        <f t="shared" ref="C144:C148" si="897">SUM(CC144/4)</f>
        <v>617.0625</v>
      </c>
      <c r="D144" s="2853">
        <f t="shared" ref="D144:D148" si="898">SUM(CD144/4)</f>
        <v>0.1835</v>
      </c>
      <c r="E144" s="2875">
        <f t="shared" si="669"/>
        <v>0</v>
      </c>
      <c r="F144" s="2876"/>
      <c r="G144" s="2876"/>
      <c r="H144" s="2875">
        <f t="shared" si="791"/>
        <v>0</v>
      </c>
      <c r="I144" s="2876"/>
      <c r="J144" s="2876"/>
      <c r="K144" s="2875">
        <f t="shared" si="793"/>
        <v>773.54</v>
      </c>
      <c r="L144" s="2876">
        <v>773.54</v>
      </c>
      <c r="M144" s="2876"/>
      <c r="N144" s="2875">
        <f t="shared" si="795"/>
        <v>773.54</v>
      </c>
      <c r="O144" s="2875">
        <f t="shared" si="796"/>
        <v>773.54</v>
      </c>
      <c r="P144" s="2875">
        <f t="shared" si="796"/>
        <v>0</v>
      </c>
      <c r="Q144" s="2853">
        <f t="shared" si="720"/>
        <v>617.24599999999998</v>
      </c>
      <c r="R144" s="2853">
        <f t="shared" ref="R144:R148" si="899">SUM(C144)</f>
        <v>617.0625</v>
      </c>
      <c r="S144" s="2853">
        <f t="shared" ref="S144:S148" si="900">SUM(D144)</f>
        <v>0.1835</v>
      </c>
      <c r="T144" s="2875">
        <f t="shared" si="798"/>
        <v>0</v>
      </c>
      <c r="U144" s="2876"/>
      <c r="V144" s="2876"/>
      <c r="W144" s="2875">
        <f t="shared" si="800"/>
        <v>0</v>
      </c>
      <c r="X144" s="2876"/>
      <c r="Y144" s="2876"/>
      <c r="Z144" s="2875">
        <f t="shared" si="802"/>
        <v>318.95800000000003</v>
      </c>
      <c r="AA144" s="2876">
        <v>318.95800000000003</v>
      </c>
      <c r="AB144" s="2876"/>
      <c r="AC144" s="2875">
        <f t="shared" si="804"/>
        <v>318.95800000000003</v>
      </c>
      <c r="AD144" s="2875">
        <f t="shared" si="805"/>
        <v>318.95800000000003</v>
      </c>
      <c r="AE144" s="2875">
        <f t="shared" si="805"/>
        <v>0</v>
      </c>
      <c r="AF144" s="2856">
        <f t="shared" si="647"/>
        <v>1234.492</v>
      </c>
      <c r="AG144" s="2856">
        <f t="shared" si="888"/>
        <v>1234.125</v>
      </c>
      <c r="AH144" s="2856">
        <f t="shared" si="888"/>
        <v>0.36699999999999999</v>
      </c>
      <c r="AI144" s="2870">
        <f t="shared" si="806"/>
        <v>1092.498</v>
      </c>
      <c r="AJ144" s="2870">
        <f t="shared" si="806"/>
        <v>1092.498</v>
      </c>
      <c r="AK144" s="2870">
        <f t="shared" si="806"/>
        <v>0</v>
      </c>
      <c r="AL144" s="2870">
        <f t="shared" si="807"/>
        <v>-141.99399999999991</v>
      </c>
      <c r="AM144" s="2870">
        <f t="shared" si="807"/>
        <v>-141.62699999999995</v>
      </c>
      <c r="AN144" s="2870">
        <f t="shared" si="807"/>
        <v>-0.36699999999999999</v>
      </c>
      <c r="AO144" s="2853">
        <f t="shared" si="877"/>
        <v>617.24599999999998</v>
      </c>
      <c r="AP144" s="2853">
        <f t="shared" ref="AP144:AP148" si="901">SUM(CC144-AG144)/2</f>
        <v>617.0625</v>
      </c>
      <c r="AQ144" s="2853">
        <f t="shared" ref="AQ144:AQ148" si="902">SUM(CD144-AH144)/2</f>
        <v>0.1835</v>
      </c>
      <c r="AR144" s="2875">
        <f t="shared" si="810"/>
        <v>369.16</v>
      </c>
      <c r="AS144" s="2876">
        <v>369.16</v>
      </c>
      <c r="AT144" s="2876"/>
      <c r="AU144" s="2875">
        <f t="shared" si="812"/>
        <v>-314.90199999999999</v>
      </c>
      <c r="AV144" s="2876">
        <v>-314.90199999999999</v>
      </c>
      <c r="AW144" s="2876"/>
      <c r="AX144" s="2875">
        <f t="shared" si="814"/>
        <v>557.49199999999996</v>
      </c>
      <c r="AY144" s="2876">
        <v>557.49199999999996</v>
      </c>
      <c r="AZ144" s="2876"/>
      <c r="BA144" s="2875">
        <f t="shared" si="816"/>
        <v>611.75</v>
      </c>
      <c r="BB144" s="2875">
        <f t="shared" si="817"/>
        <v>611.75</v>
      </c>
      <c r="BC144" s="2875">
        <f t="shared" si="817"/>
        <v>0</v>
      </c>
      <c r="BD144" s="2856">
        <f t="shared" si="892"/>
        <v>1851.7380000000001</v>
      </c>
      <c r="BE144" s="2856">
        <f t="shared" si="893"/>
        <v>1851.1875</v>
      </c>
      <c r="BF144" s="2856">
        <f t="shared" si="763"/>
        <v>0.55049999999999999</v>
      </c>
      <c r="BG144" s="2870">
        <f t="shared" si="818"/>
        <v>1704.248</v>
      </c>
      <c r="BH144" s="2870">
        <f t="shared" si="818"/>
        <v>1704.248</v>
      </c>
      <c r="BI144" s="2870">
        <f t="shared" si="818"/>
        <v>0</v>
      </c>
      <c r="BJ144" s="2870">
        <f t="shared" si="819"/>
        <v>-147.49</v>
      </c>
      <c r="BK144" s="2870">
        <f t="shared" si="819"/>
        <v>-146.93949999999995</v>
      </c>
      <c r="BL144" s="2870">
        <f t="shared" si="819"/>
        <v>-0.55049999999999999</v>
      </c>
      <c r="BM144" s="2853">
        <f t="shared" si="837"/>
        <v>617.24599999999998</v>
      </c>
      <c r="BN144" s="2853">
        <f t="shared" ref="BN144:BO148" si="903">SUM(AP144)</f>
        <v>617.0625</v>
      </c>
      <c r="BO144" s="2853">
        <f t="shared" si="903"/>
        <v>0.1835</v>
      </c>
      <c r="BP144" s="2875">
        <f t="shared" si="821"/>
        <v>0</v>
      </c>
      <c r="BQ144" s="2876"/>
      <c r="BR144" s="2876"/>
      <c r="BS144" s="2875">
        <f t="shared" si="823"/>
        <v>0</v>
      </c>
      <c r="BT144" s="2876"/>
      <c r="BU144" s="2876"/>
      <c r="BV144" s="2875">
        <f t="shared" si="825"/>
        <v>673.78700000000003</v>
      </c>
      <c r="BW144" s="2876">
        <v>673.78700000000003</v>
      </c>
      <c r="BX144" s="2876"/>
      <c r="BY144" s="2875">
        <f t="shared" si="827"/>
        <v>673.78700000000003</v>
      </c>
      <c r="BZ144" s="2875">
        <f t="shared" si="828"/>
        <v>673.78700000000003</v>
      </c>
      <c r="CA144" s="2875">
        <f t="shared" si="828"/>
        <v>0</v>
      </c>
      <c r="CB144" s="2856">
        <f t="shared" si="781"/>
        <v>2468.9839999999999</v>
      </c>
      <c r="CC144" s="2856">
        <f>SUM(вода!CV53)</f>
        <v>2468.25</v>
      </c>
      <c r="CD144" s="2856">
        <f>SUM(вода!CW53)</f>
        <v>0.73399999999999999</v>
      </c>
      <c r="CE144" s="2870">
        <f t="shared" si="829"/>
        <v>2378.0349999999999</v>
      </c>
      <c r="CF144" s="2991">
        <f t="shared" si="829"/>
        <v>2378.0349999999999</v>
      </c>
      <c r="CG144" s="2991">
        <f t="shared" si="829"/>
        <v>0</v>
      </c>
      <c r="CH144" s="2870">
        <f t="shared" si="830"/>
        <v>-90.949000000000069</v>
      </c>
      <c r="CI144" s="2870">
        <f t="shared" si="830"/>
        <v>-90.215000000000146</v>
      </c>
      <c r="CJ144" s="2870">
        <f t="shared" si="830"/>
        <v>-0.73399999999999999</v>
      </c>
      <c r="CK144" s="2863"/>
      <c r="CL144" s="4187">
        <f t="shared" si="542"/>
        <v>2468.9839999999999</v>
      </c>
      <c r="CM144" s="4187">
        <f t="shared" si="543"/>
        <v>2468.25</v>
      </c>
      <c r="CN144" s="4187">
        <f t="shared" si="544"/>
        <v>0.73399999999999999</v>
      </c>
    </row>
    <row r="145" spans="1:92" ht="18.75" customHeight="1" x14ac:dyDescent="0.3">
      <c r="A145" s="2869" t="s">
        <v>524</v>
      </c>
      <c r="B145" s="2853">
        <f t="shared" si="872"/>
        <v>19.79</v>
      </c>
      <c r="C145" s="2853">
        <f t="shared" si="897"/>
        <v>19.79</v>
      </c>
      <c r="D145" s="2853">
        <f t="shared" si="898"/>
        <v>0</v>
      </c>
      <c r="E145" s="2875">
        <f t="shared" si="669"/>
        <v>0</v>
      </c>
      <c r="F145" s="2876"/>
      <c r="G145" s="2876"/>
      <c r="H145" s="2875">
        <f t="shared" si="791"/>
        <v>0</v>
      </c>
      <c r="I145" s="2876"/>
      <c r="J145" s="2876"/>
      <c r="K145" s="2875">
        <f t="shared" si="793"/>
        <v>22.62</v>
      </c>
      <c r="L145" s="2876">
        <v>22.62</v>
      </c>
      <c r="M145" s="2876"/>
      <c r="N145" s="2875">
        <f t="shared" si="795"/>
        <v>22.62</v>
      </c>
      <c r="O145" s="2875">
        <f t="shared" si="796"/>
        <v>22.62</v>
      </c>
      <c r="P145" s="2875">
        <f t="shared" si="796"/>
        <v>0</v>
      </c>
      <c r="Q145" s="2853">
        <f t="shared" si="720"/>
        <v>19.79</v>
      </c>
      <c r="R145" s="2853">
        <f t="shared" si="899"/>
        <v>19.79</v>
      </c>
      <c r="S145" s="2853">
        <f t="shared" si="900"/>
        <v>0</v>
      </c>
      <c r="T145" s="2875">
        <f t="shared" si="798"/>
        <v>0</v>
      </c>
      <c r="U145" s="2876"/>
      <c r="V145" s="2876"/>
      <c r="W145" s="2875">
        <f t="shared" si="800"/>
        <v>0</v>
      </c>
      <c r="X145" s="2876"/>
      <c r="Y145" s="2876"/>
      <c r="Z145" s="2875">
        <f t="shared" si="802"/>
        <v>22.597999999999999</v>
      </c>
      <c r="AA145" s="2876">
        <v>22.597999999999999</v>
      </c>
      <c r="AB145" s="2876"/>
      <c r="AC145" s="2875">
        <f t="shared" si="804"/>
        <v>22.597999999999999</v>
      </c>
      <c r="AD145" s="2875">
        <f t="shared" si="805"/>
        <v>22.597999999999999</v>
      </c>
      <c r="AE145" s="2875">
        <f t="shared" si="805"/>
        <v>0</v>
      </c>
      <c r="AF145" s="2856">
        <f t="shared" si="647"/>
        <v>39.58</v>
      </c>
      <c r="AG145" s="2856">
        <f t="shared" si="888"/>
        <v>39.58</v>
      </c>
      <c r="AH145" s="2856">
        <f t="shared" si="888"/>
        <v>0</v>
      </c>
      <c r="AI145" s="2870">
        <f t="shared" si="806"/>
        <v>45.218000000000004</v>
      </c>
      <c r="AJ145" s="2870">
        <f t="shared" si="806"/>
        <v>45.218000000000004</v>
      </c>
      <c r="AK145" s="2870">
        <f t="shared" si="806"/>
        <v>0</v>
      </c>
      <c r="AL145" s="2870">
        <f t="shared" si="807"/>
        <v>5.6380000000000052</v>
      </c>
      <c r="AM145" s="2870">
        <f t="shared" si="807"/>
        <v>5.6380000000000052</v>
      </c>
      <c r="AN145" s="2870">
        <f t="shared" si="807"/>
        <v>0</v>
      </c>
      <c r="AO145" s="2853">
        <f t="shared" si="877"/>
        <v>19.79</v>
      </c>
      <c r="AP145" s="2853">
        <f t="shared" si="901"/>
        <v>19.79</v>
      </c>
      <c r="AQ145" s="2853">
        <f t="shared" si="902"/>
        <v>0</v>
      </c>
      <c r="AR145" s="2875">
        <f t="shared" si="810"/>
        <v>0</v>
      </c>
      <c r="AS145" s="2876"/>
      <c r="AT145" s="2876"/>
      <c r="AU145" s="2875">
        <f t="shared" si="812"/>
        <v>0</v>
      </c>
      <c r="AV145" s="2876"/>
      <c r="AW145" s="2876"/>
      <c r="AX145" s="2875">
        <f t="shared" si="814"/>
        <v>22.821000000000002</v>
      </c>
      <c r="AY145" s="2876">
        <v>22.821000000000002</v>
      </c>
      <c r="AZ145" s="2876"/>
      <c r="BA145" s="2875">
        <f t="shared" si="816"/>
        <v>22.821000000000002</v>
      </c>
      <c r="BB145" s="2875">
        <f t="shared" si="817"/>
        <v>22.821000000000002</v>
      </c>
      <c r="BC145" s="2875">
        <f t="shared" si="817"/>
        <v>0</v>
      </c>
      <c r="BD145" s="2856">
        <f t="shared" si="892"/>
        <v>59.37</v>
      </c>
      <c r="BE145" s="2856">
        <f t="shared" si="893"/>
        <v>59.37</v>
      </c>
      <c r="BF145" s="2856">
        <f t="shared" si="763"/>
        <v>0</v>
      </c>
      <c r="BG145" s="2870">
        <f t="shared" si="818"/>
        <v>68.039000000000001</v>
      </c>
      <c r="BH145" s="2870">
        <f t="shared" si="818"/>
        <v>68.039000000000001</v>
      </c>
      <c r="BI145" s="2870">
        <f t="shared" si="818"/>
        <v>0</v>
      </c>
      <c r="BJ145" s="2870">
        <f t="shared" si="819"/>
        <v>8.669000000000004</v>
      </c>
      <c r="BK145" s="2870">
        <f t="shared" si="819"/>
        <v>8.669000000000004</v>
      </c>
      <c r="BL145" s="2870">
        <f t="shared" si="819"/>
        <v>0</v>
      </c>
      <c r="BM145" s="2853">
        <f t="shared" si="837"/>
        <v>19.79</v>
      </c>
      <c r="BN145" s="2853">
        <f t="shared" si="903"/>
        <v>19.79</v>
      </c>
      <c r="BO145" s="2853">
        <f t="shared" si="903"/>
        <v>0</v>
      </c>
      <c r="BP145" s="2875">
        <f t="shared" si="821"/>
        <v>0</v>
      </c>
      <c r="BQ145" s="2876"/>
      <c r="BR145" s="2876"/>
      <c r="BS145" s="2875">
        <f t="shared" si="823"/>
        <v>0</v>
      </c>
      <c r="BT145" s="2876"/>
      <c r="BU145" s="2876"/>
      <c r="BV145" s="2875">
        <f t="shared" si="825"/>
        <v>22.349</v>
      </c>
      <c r="BW145" s="2876">
        <v>22.349</v>
      </c>
      <c r="BX145" s="2876"/>
      <c r="BY145" s="2875">
        <f t="shared" si="827"/>
        <v>22.349</v>
      </c>
      <c r="BZ145" s="2875">
        <f t="shared" si="828"/>
        <v>22.349</v>
      </c>
      <c r="CA145" s="2875">
        <f t="shared" si="828"/>
        <v>0</v>
      </c>
      <c r="CB145" s="2856">
        <f t="shared" si="781"/>
        <v>79.16</v>
      </c>
      <c r="CC145" s="2856">
        <f>SUM(вода!CV54)</f>
        <v>79.16</v>
      </c>
      <c r="CD145" s="2856">
        <f>SUM(вода!CW54)</f>
        <v>0</v>
      </c>
      <c r="CE145" s="2870">
        <f t="shared" si="829"/>
        <v>90.388000000000005</v>
      </c>
      <c r="CF145" s="2991">
        <f t="shared" si="829"/>
        <v>90.388000000000005</v>
      </c>
      <c r="CG145" s="2991">
        <f t="shared" si="829"/>
        <v>0</v>
      </c>
      <c r="CH145" s="2870">
        <f t="shared" si="830"/>
        <v>11.228000000000009</v>
      </c>
      <c r="CI145" s="2870">
        <f t="shared" si="830"/>
        <v>11.228000000000009</v>
      </c>
      <c r="CJ145" s="2870">
        <f t="shared" si="830"/>
        <v>0</v>
      </c>
      <c r="CK145" s="2863"/>
      <c r="CL145" s="4187">
        <f t="shared" si="542"/>
        <v>79.16</v>
      </c>
      <c r="CM145" s="4187">
        <f t="shared" si="543"/>
        <v>79.16</v>
      </c>
      <c r="CN145" s="4187">
        <f t="shared" si="544"/>
        <v>0</v>
      </c>
    </row>
    <row r="146" spans="1:92" ht="18.75" customHeight="1" x14ac:dyDescent="0.3">
      <c r="A146" s="2869" t="s">
        <v>525</v>
      </c>
      <c r="B146" s="2853">
        <f t="shared" si="872"/>
        <v>0</v>
      </c>
      <c r="C146" s="2853">
        <f t="shared" si="897"/>
        <v>0</v>
      </c>
      <c r="D146" s="2853">
        <f t="shared" si="898"/>
        <v>0</v>
      </c>
      <c r="E146" s="2875">
        <f t="shared" si="669"/>
        <v>0</v>
      </c>
      <c r="F146" s="2876"/>
      <c r="G146" s="2876"/>
      <c r="H146" s="2875">
        <f t="shared" si="791"/>
        <v>0</v>
      </c>
      <c r="I146" s="2876"/>
      <c r="J146" s="2876"/>
      <c r="K146" s="2875">
        <f t="shared" si="793"/>
        <v>0</v>
      </c>
      <c r="L146" s="2876"/>
      <c r="M146" s="2876"/>
      <c r="N146" s="2875">
        <f t="shared" si="795"/>
        <v>0</v>
      </c>
      <c r="O146" s="2875">
        <f t="shared" si="796"/>
        <v>0</v>
      </c>
      <c r="P146" s="2875">
        <f t="shared" si="796"/>
        <v>0</v>
      </c>
      <c r="Q146" s="2853">
        <f t="shared" si="720"/>
        <v>0</v>
      </c>
      <c r="R146" s="2853">
        <f t="shared" si="899"/>
        <v>0</v>
      </c>
      <c r="S146" s="2853">
        <f t="shared" si="900"/>
        <v>0</v>
      </c>
      <c r="T146" s="2875">
        <f t="shared" si="798"/>
        <v>0</v>
      </c>
      <c r="U146" s="2876"/>
      <c r="V146" s="2876"/>
      <c r="W146" s="2875">
        <f t="shared" si="800"/>
        <v>0</v>
      </c>
      <c r="X146" s="2876"/>
      <c r="Y146" s="2876"/>
      <c r="Z146" s="2875">
        <f t="shared" si="802"/>
        <v>0</v>
      </c>
      <c r="AA146" s="2876"/>
      <c r="AB146" s="2876"/>
      <c r="AC146" s="2875">
        <f t="shared" si="804"/>
        <v>0</v>
      </c>
      <c r="AD146" s="2875">
        <f t="shared" si="805"/>
        <v>0</v>
      </c>
      <c r="AE146" s="2875">
        <f t="shared" si="805"/>
        <v>0</v>
      </c>
      <c r="AF146" s="2856">
        <f t="shared" si="647"/>
        <v>0</v>
      </c>
      <c r="AG146" s="2856">
        <f t="shared" si="888"/>
        <v>0</v>
      </c>
      <c r="AH146" s="2856">
        <f t="shared" si="888"/>
        <v>0</v>
      </c>
      <c r="AI146" s="2870">
        <f t="shared" si="806"/>
        <v>0</v>
      </c>
      <c r="AJ146" s="2870">
        <f t="shared" si="806"/>
        <v>0</v>
      </c>
      <c r="AK146" s="2870">
        <f t="shared" si="806"/>
        <v>0</v>
      </c>
      <c r="AL146" s="2870">
        <f t="shared" si="807"/>
        <v>0</v>
      </c>
      <c r="AM146" s="2870">
        <f t="shared" si="807"/>
        <v>0</v>
      </c>
      <c r="AN146" s="2870">
        <f t="shared" si="807"/>
        <v>0</v>
      </c>
      <c r="AO146" s="2853">
        <f t="shared" si="877"/>
        <v>0</v>
      </c>
      <c r="AP146" s="2853">
        <f t="shared" si="901"/>
        <v>0</v>
      </c>
      <c r="AQ146" s="2853">
        <f t="shared" si="902"/>
        <v>0</v>
      </c>
      <c r="AR146" s="2875">
        <f t="shared" si="810"/>
        <v>0</v>
      </c>
      <c r="AS146" s="2876"/>
      <c r="AT146" s="2876"/>
      <c r="AU146" s="2875">
        <f t="shared" si="812"/>
        <v>0</v>
      </c>
      <c r="AV146" s="2876"/>
      <c r="AW146" s="2876"/>
      <c r="AX146" s="2875">
        <f t="shared" si="814"/>
        <v>0</v>
      </c>
      <c r="AY146" s="2876"/>
      <c r="AZ146" s="2876"/>
      <c r="BA146" s="2875">
        <f t="shared" si="816"/>
        <v>0</v>
      </c>
      <c r="BB146" s="2875">
        <f t="shared" si="817"/>
        <v>0</v>
      </c>
      <c r="BC146" s="2875">
        <f t="shared" si="817"/>
        <v>0</v>
      </c>
      <c r="BD146" s="2856">
        <f t="shared" si="892"/>
        <v>0</v>
      </c>
      <c r="BE146" s="2856">
        <f t="shared" si="893"/>
        <v>0</v>
      </c>
      <c r="BF146" s="2856">
        <f t="shared" si="763"/>
        <v>0</v>
      </c>
      <c r="BG146" s="2870">
        <f t="shared" si="818"/>
        <v>0</v>
      </c>
      <c r="BH146" s="2870">
        <f t="shared" si="818"/>
        <v>0</v>
      </c>
      <c r="BI146" s="2870">
        <f t="shared" si="818"/>
        <v>0</v>
      </c>
      <c r="BJ146" s="2870">
        <f t="shared" si="819"/>
        <v>0</v>
      </c>
      <c r="BK146" s="2870">
        <f t="shared" si="819"/>
        <v>0</v>
      </c>
      <c r="BL146" s="2870">
        <f t="shared" si="819"/>
        <v>0</v>
      </c>
      <c r="BM146" s="2853">
        <f t="shared" si="837"/>
        <v>0</v>
      </c>
      <c r="BN146" s="2853">
        <f t="shared" si="903"/>
        <v>0</v>
      </c>
      <c r="BO146" s="2853">
        <f t="shared" si="903"/>
        <v>0</v>
      </c>
      <c r="BP146" s="2875">
        <f t="shared" si="821"/>
        <v>0</v>
      </c>
      <c r="BQ146" s="2876"/>
      <c r="BR146" s="2876"/>
      <c r="BS146" s="2875">
        <f t="shared" si="823"/>
        <v>0</v>
      </c>
      <c r="BT146" s="2876"/>
      <c r="BU146" s="2876"/>
      <c r="BV146" s="2875">
        <f t="shared" si="825"/>
        <v>0</v>
      </c>
      <c r="BW146" s="2876"/>
      <c r="BX146" s="2876"/>
      <c r="BY146" s="2875">
        <f t="shared" si="827"/>
        <v>0</v>
      </c>
      <c r="BZ146" s="2875">
        <f t="shared" si="828"/>
        <v>0</v>
      </c>
      <c r="CA146" s="2875">
        <f t="shared" si="828"/>
        <v>0</v>
      </c>
      <c r="CB146" s="2856">
        <f t="shared" si="781"/>
        <v>0</v>
      </c>
      <c r="CC146" s="2856">
        <f>SUM(вода!CV55)</f>
        <v>0</v>
      </c>
      <c r="CD146" s="2856">
        <f>SUM(вода!CW55)</f>
        <v>0</v>
      </c>
      <c r="CE146" s="2870">
        <f t="shared" si="829"/>
        <v>0</v>
      </c>
      <c r="CF146" s="2991">
        <f t="shared" si="829"/>
        <v>0</v>
      </c>
      <c r="CG146" s="2991">
        <f t="shared" si="829"/>
        <v>0</v>
      </c>
      <c r="CH146" s="2870">
        <f t="shared" si="830"/>
        <v>0</v>
      </c>
      <c r="CI146" s="2870">
        <f t="shared" si="830"/>
        <v>0</v>
      </c>
      <c r="CJ146" s="2870">
        <f t="shared" si="830"/>
        <v>0</v>
      </c>
      <c r="CK146" s="2863"/>
      <c r="CL146" s="4187">
        <f t="shared" si="542"/>
        <v>0</v>
      </c>
      <c r="CM146" s="4187">
        <f t="shared" si="543"/>
        <v>0</v>
      </c>
      <c r="CN146" s="4187">
        <f t="shared" si="544"/>
        <v>0</v>
      </c>
    </row>
    <row r="147" spans="1:92" ht="18.75" customHeight="1" x14ac:dyDescent="0.3">
      <c r="A147" s="2869" t="s">
        <v>526</v>
      </c>
      <c r="B147" s="2853">
        <f t="shared" si="872"/>
        <v>630.68057999999996</v>
      </c>
      <c r="C147" s="2853">
        <f t="shared" si="897"/>
        <v>630.68057999999996</v>
      </c>
      <c r="D147" s="2853">
        <f t="shared" si="898"/>
        <v>0</v>
      </c>
      <c r="E147" s="2875">
        <f t="shared" si="669"/>
        <v>0</v>
      </c>
      <c r="F147" s="2876"/>
      <c r="G147" s="2876"/>
      <c r="H147" s="2875">
        <f t="shared" si="791"/>
        <v>0</v>
      </c>
      <c r="I147" s="2876"/>
      <c r="J147" s="2876"/>
      <c r="K147" s="2875">
        <f t="shared" si="793"/>
        <v>0</v>
      </c>
      <c r="L147" s="2876"/>
      <c r="M147" s="2876"/>
      <c r="N147" s="2875">
        <f t="shared" si="795"/>
        <v>0</v>
      </c>
      <c r="O147" s="2875">
        <f t="shared" si="796"/>
        <v>0</v>
      </c>
      <c r="P147" s="2875">
        <f t="shared" si="796"/>
        <v>0</v>
      </c>
      <c r="Q147" s="2853">
        <f t="shared" si="720"/>
        <v>630.68057999999996</v>
      </c>
      <c r="R147" s="2853">
        <f t="shared" si="899"/>
        <v>630.68057999999996</v>
      </c>
      <c r="S147" s="2853">
        <f t="shared" si="900"/>
        <v>0</v>
      </c>
      <c r="T147" s="2875">
        <f t="shared" si="798"/>
        <v>0</v>
      </c>
      <c r="U147" s="2876"/>
      <c r="V147" s="2876"/>
      <c r="W147" s="2875">
        <f t="shared" si="800"/>
        <v>0</v>
      </c>
      <c r="X147" s="2876"/>
      <c r="Y147" s="2876"/>
      <c r="Z147" s="2875">
        <f t="shared" si="802"/>
        <v>0</v>
      </c>
      <c r="AA147" s="2876"/>
      <c r="AB147" s="2876"/>
      <c r="AC147" s="2875">
        <f t="shared" si="804"/>
        <v>0</v>
      </c>
      <c r="AD147" s="2875">
        <f t="shared" si="805"/>
        <v>0</v>
      </c>
      <c r="AE147" s="2875">
        <f t="shared" si="805"/>
        <v>0</v>
      </c>
      <c r="AF147" s="2856">
        <f t="shared" si="647"/>
        <v>1261.3611599999999</v>
      </c>
      <c r="AG147" s="2856">
        <f t="shared" si="888"/>
        <v>1261.3611599999999</v>
      </c>
      <c r="AH147" s="2856">
        <f t="shared" si="888"/>
        <v>0</v>
      </c>
      <c r="AI147" s="2870">
        <f t="shared" si="806"/>
        <v>0</v>
      </c>
      <c r="AJ147" s="2870">
        <f t="shared" si="806"/>
        <v>0</v>
      </c>
      <c r="AK147" s="2870">
        <f t="shared" si="806"/>
        <v>0</v>
      </c>
      <c r="AL147" s="2870">
        <f t="shared" si="807"/>
        <v>-1261.3611599999999</v>
      </c>
      <c r="AM147" s="2870">
        <f t="shared" si="807"/>
        <v>-1261.3611599999999</v>
      </c>
      <c r="AN147" s="2870">
        <f t="shared" si="807"/>
        <v>0</v>
      </c>
      <c r="AO147" s="2853">
        <f t="shared" si="877"/>
        <v>630.68057999999996</v>
      </c>
      <c r="AP147" s="2853">
        <f t="shared" si="901"/>
        <v>630.68057999999996</v>
      </c>
      <c r="AQ147" s="2853">
        <f t="shared" si="902"/>
        <v>0</v>
      </c>
      <c r="AR147" s="2875">
        <f t="shared" si="810"/>
        <v>0</v>
      </c>
      <c r="AS147" s="2876"/>
      <c r="AT147" s="2876"/>
      <c r="AU147" s="2875">
        <f t="shared" si="812"/>
        <v>0</v>
      </c>
      <c r="AV147" s="2876"/>
      <c r="AW147" s="2876"/>
      <c r="AX147" s="2875">
        <f t="shared" si="814"/>
        <v>0</v>
      </c>
      <c r="AY147" s="2876"/>
      <c r="AZ147" s="2876"/>
      <c r="BA147" s="2875">
        <f t="shared" si="816"/>
        <v>0</v>
      </c>
      <c r="BB147" s="2875">
        <f t="shared" si="817"/>
        <v>0</v>
      </c>
      <c r="BC147" s="2875">
        <f t="shared" si="817"/>
        <v>0</v>
      </c>
      <c r="BD147" s="2856">
        <f t="shared" si="892"/>
        <v>1892.0417399999999</v>
      </c>
      <c r="BE147" s="2856">
        <f t="shared" si="893"/>
        <v>1892.0417399999999</v>
      </c>
      <c r="BF147" s="2856">
        <f t="shared" si="763"/>
        <v>0</v>
      </c>
      <c r="BG147" s="2870">
        <f t="shared" si="818"/>
        <v>0</v>
      </c>
      <c r="BH147" s="2870">
        <f t="shared" si="818"/>
        <v>0</v>
      </c>
      <c r="BI147" s="2870">
        <f t="shared" si="818"/>
        <v>0</v>
      </c>
      <c r="BJ147" s="2870">
        <f t="shared" si="819"/>
        <v>-1892.0417399999999</v>
      </c>
      <c r="BK147" s="2870">
        <f t="shared" si="819"/>
        <v>-1892.0417399999999</v>
      </c>
      <c r="BL147" s="2870">
        <f t="shared" si="819"/>
        <v>0</v>
      </c>
      <c r="BM147" s="2853">
        <f t="shared" si="837"/>
        <v>630.68057999999996</v>
      </c>
      <c r="BN147" s="2853">
        <f t="shared" si="903"/>
        <v>630.68057999999996</v>
      </c>
      <c r="BO147" s="2853">
        <f t="shared" si="903"/>
        <v>0</v>
      </c>
      <c r="BP147" s="2875">
        <f t="shared" si="821"/>
        <v>0</v>
      </c>
      <c r="BQ147" s="2876"/>
      <c r="BR147" s="2876"/>
      <c r="BS147" s="2875">
        <f t="shared" si="823"/>
        <v>0</v>
      </c>
      <c r="BT147" s="2876"/>
      <c r="BU147" s="2876"/>
      <c r="BV147" s="2875">
        <f t="shared" si="825"/>
        <v>0</v>
      </c>
      <c r="BW147" s="2876"/>
      <c r="BX147" s="2876"/>
      <c r="BY147" s="2875">
        <f t="shared" si="827"/>
        <v>0</v>
      </c>
      <c r="BZ147" s="2875">
        <f t="shared" si="828"/>
        <v>0</v>
      </c>
      <c r="CA147" s="2875">
        <f t="shared" si="828"/>
        <v>0</v>
      </c>
      <c r="CB147" s="2856">
        <f t="shared" si="781"/>
        <v>2522.7223199999999</v>
      </c>
      <c r="CC147" s="2856">
        <f>SUM(вода!CV56)</f>
        <v>2522.7223199999999</v>
      </c>
      <c r="CD147" s="2856">
        <f>SUM(вода!CW56)</f>
        <v>0</v>
      </c>
      <c r="CE147" s="2870">
        <f t="shared" si="829"/>
        <v>0</v>
      </c>
      <c r="CF147" s="2991">
        <f t="shared" si="829"/>
        <v>0</v>
      </c>
      <c r="CG147" s="2991">
        <f t="shared" si="829"/>
        <v>0</v>
      </c>
      <c r="CH147" s="2870">
        <f t="shared" si="830"/>
        <v>-2522.7223199999999</v>
      </c>
      <c r="CI147" s="2870">
        <f t="shared" si="830"/>
        <v>-2522.7223199999999</v>
      </c>
      <c r="CJ147" s="2870">
        <f t="shared" si="830"/>
        <v>0</v>
      </c>
      <c r="CK147" s="2863"/>
      <c r="CL147" s="4187">
        <f t="shared" si="542"/>
        <v>2522.7223199999999</v>
      </c>
      <c r="CM147" s="4187">
        <f t="shared" si="543"/>
        <v>2522.7223199999999</v>
      </c>
      <c r="CN147" s="4187">
        <f t="shared" si="544"/>
        <v>0</v>
      </c>
    </row>
    <row r="148" spans="1:92" ht="18.75" customHeight="1" x14ac:dyDescent="0.3">
      <c r="A148" s="2869" t="s">
        <v>3743</v>
      </c>
      <c r="B148" s="2853">
        <f t="shared" si="872"/>
        <v>0</v>
      </c>
      <c r="C148" s="2853">
        <f t="shared" si="897"/>
        <v>0</v>
      </c>
      <c r="D148" s="2853">
        <f t="shared" si="898"/>
        <v>0</v>
      </c>
      <c r="E148" s="2875">
        <f t="shared" si="669"/>
        <v>0</v>
      </c>
      <c r="F148" s="2876"/>
      <c r="G148" s="2876"/>
      <c r="H148" s="2875">
        <f t="shared" si="791"/>
        <v>0</v>
      </c>
      <c r="I148" s="2876"/>
      <c r="J148" s="2876"/>
      <c r="K148" s="2875">
        <f t="shared" si="793"/>
        <v>0</v>
      </c>
      <c r="L148" s="2876"/>
      <c r="M148" s="2876"/>
      <c r="N148" s="2875">
        <f t="shared" si="795"/>
        <v>0</v>
      </c>
      <c r="O148" s="2875">
        <f t="shared" si="796"/>
        <v>0</v>
      </c>
      <c r="P148" s="2875">
        <f t="shared" si="796"/>
        <v>0</v>
      </c>
      <c r="Q148" s="2853">
        <f t="shared" si="720"/>
        <v>0</v>
      </c>
      <c r="R148" s="2853">
        <f t="shared" si="899"/>
        <v>0</v>
      </c>
      <c r="S148" s="2853">
        <f t="shared" si="900"/>
        <v>0</v>
      </c>
      <c r="T148" s="2875">
        <f t="shared" si="798"/>
        <v>0</v>
      </c>
      <c r="U148" s="2876"/>
      <c r="V148" s="2876"/>
      <c r="W148" s="2875">
        <f t="shared" si="800"/>
        <v>0</v>
      </c>
      <c r="X148" s="2876"/>
      <c r="Y148" s="2876"/>
      <c r="Z148" s="2875">
        <f t="shared" si="802"/>
        <v>0</v>
      </c>
      <c r="AA148" s="2876"/>
      <c r="AB148" s="2876"/>
      <c r="AC148" s="2875">
        <f t="shared" si="804"/>
        <v>0</v>
      </c>
      <c r="AD148" s="2875">
        <f t="shared" si="805"/>
        <v>0</v>
      </c>
      <c r="AE148" s="2875">
        <f t="shared" si="805"/>
        <v>0</v>
      </c>
      <c r="AF148" s="2856">
        <f t="shared" si="647"/>
        <v>0</v>
      </c>
      <c r="AG148" s="2856">
        <f t="shared" si="888"/>
        <v>0</v>
      </c>
      <c r="AH148" s="2856">
        <f t="shared" si="888"/>
        <v>0</v>
      </c>
      <c r="AI148" s="2870">
        <f t="shared" si="806"/>
        <v>0</v>
      </c>
      <c r="AJ148" s="2870">
        <f t="shared" si="806"/>
        <v>0</v>
      </c>
      <c r="AK148" s="2870">
        <f t="shared" si="806"/>
        <v>0</v>
      </c>
      <c r="AL148" s="2870">
        <f t="shared" si="807"/>
        <v>0</v>
      </c>
      <c r="AM148" s="2870">
        <f t="shared" si="807"/>
        <v>0</v>
      </c>
      <c r="AN148" s="2870">
        <f t="shared" si="807"/>
        <v>0</v>
      </c>
      <c r="AO148" s="2853">
        <f t="shared" si="877"/>
        <v>0</v>
      </c>
      <c r="AP148" s="2853">
        <f t="shared" si="901"/>
        <v>0</v>
      </c>
      <c r="AQ148" s="2853">
        <f t="shared" si="902"/>
        <v>0</v>
      </c>
      <c r="AR148" s="2875">
        <f t="shared" si="810"/>
        <v>0</v>
      </c>
      <c r="AS148" s="2876"/>
      <c r="AT148" s="2876"/>
      <c r="AU148" s="2875">
        <f t="shared" si="812"/>
        <v>0</v>
      </c>
      <c r="AV148" s="2876"/>
      <c r="AW148" s="2876"/>
      <c r="AX148" s="2875">
        <f t="shared" si="814"/>
        <v>0</v>
      </c>
      <c r="AY148" s="2876"/>
      <c r="AZ148" s="2876"/>
      <c r="BA148" s="2875">
        <f t="shared" si="816"/>
        <v>0</v>
      </c>
      <c r="BB148" s="2875">
        <f t="shared" si="817"/>
        <v>0</v>
      </c>
      <c r="BC148" s="2875">
        <f t="shared" si="817"/>
        <v>0</v>
      </c>
      <c r="BD148" s="2856">
        <f t="shared" si="892"/>
        <v>0</v>
      </c>
      <c r="BE148" s="2856">
        <f t="shared" si="893"/>
        <v>0</v>
      </c>
      <c r="BF148" s="2856">
        <f t="shared" si="763"/>
        <v>0</v>
      </c>
      <c r="BG148" s="2870">
        <f t="shared" si="818"/>
        <v>0</v>
      </c>
      <c r="BH148" s="2870">
        <f t="shared" si="818"/>
        <v>0</v>
      </c>
      <c r="BI148" s="2870">
        <f t="shared" si="818"/>
        <v>0</v>
      </c>
      <c r="BJ148" s="2870">
        <f t="shared" si="819"/>
        <v>0</v>
      </c>
      <c r="BK148" s="2870">
        <f t="shared" si="819"/>
        <v>0</v>
      </c>
      <c r="BL148" s="2870">
        <f t="shared" si="819"/>
        <v>0</v>
      </c>
      <c r="BM148" s="2853">
        <f t="shared" si="837"/>
        <v>0</v>
      </c>
      <c r="BN148" s="2853">
        <f t="shared" si="903"/>
        <v>0</v>
      </c>
      <c r="BO148" s="2853">
        <f t="shared" si="903"/>
        <v>0</v>
      </c>
      <c r="BP148" s="2875">
        <f t="shared" si="821"/>
        <v>0</v>
      </c>
      <c r="BQ148" s="2876"/>
      <c r="BR148" s="2876"/>
      <c r="BS148" s="2875">
        <f t="shared" si="823"/>
        <v>0</v>
      </c>
      <c r="BT148" s="2876"/>
      <c r="BU148" s="2876"/>
      <c r="BV148" s="2875">
        <f t="shared" si="825"/>
        <v>0</v>
      </c>
      <c r="BW148" s="2876"/>
      <c r="BX148" s="2876"/>
      <c r="BY148" s="2875">
        <f t="shared" si="827"/>
        <v>0</v>
      </c>
      <c r="BZ148" s="2875">
        <f t="shared" si="828"/>
        <v>0</v>
      </c>
      <c r="CA148" s="2875">
        <f t="shared" si="828"/>
        <v>0</v>
      </c>
      <c r="CB148" s="2856">
        <f t="shared" si="781"/>
        <v>0</v>
      </c>
      <c r="CC148" s="2856">
        <v>0</v>
      </c>
      <c r="CD148" s="2856">
        <f>SUM(вода!CW57)</f>
        <v>0</v>
      </c>
      <c r="CE148" s="2870">
        <f t="shared" si="829"/>
        <v>0</v>
      </c>
      <c r="CF148" s="2991">
        <f t="shared" si="829"/>
        <v>0</v>
      </c>
      <c r="CG148" s="2991">
        <f t="shared" si="829"/>
        <v>0</v>
      </c>
      <c r="CH148" s="2870">
        <f t="shared" si="830"/>
        <v>0</v>
      </c>
      <c r="CI148" s="2870">
        <f t="shared" si="830"/>
        <v>0</v>
      </c>
      <c r="CJ148" s="2870">
        <f t="shared" si="830"/>
        <v>0</v>
      </c>
      <c r="CK148" s="2863"/>
      <c r="CL148" s="4187">
        <f t="shared" si="542"/>
        <v>0</v>
      </c>
      <c r="CM148" s="4187">
        <f t="shared" si="543"/>
        <v>0</v>
      </c>
      <c r="CN148" s="4187">
        <f t="shared" si="544"/>
        <v>0</v>
      </c>
    </row>
    <row r="149" spans="1:92" ht="18.75" customHeight="1" x14ac:dyDescent="0.3">
      <c r="A149" s="2871" t="s">
        <v>3744</v>
      </c>
      <c r="B149" s="2837">
        <f t="shared" si="872"/>
        <v>3753.8627186128615</v>
      </c>
      <c r="C149" s="2837">
        <f t="shared" ref="C149:G149" si="904">SUM(C150:C155)</f>
        <v>3752.5547081237514</v>
      </c>
      <c r="D149" s="2837">
        <f t="shared" si="904"/>
        <v>1.30801048911</v>
      </c>
      <c r="E149" s="2861">
        <f t="shared" si="669"/>
        <v>1252.13339</v>
      </c>
      <c r="F149" s="2837">
        <f>SUM(F150:F155)</f>
        <v>1251.9029399999999</v>
      </c>
      <c r="G149" s="2837">
        <f t="shared" si="904"/>
        <v>0.23044999999999999</v>
      </c>
      <c r="H149" s="2861">
        <f t="shared" si="791"/>
        <v>1267.5971200000001</v>
      </c>
      <c r="I149" s="2837">
        <f t="shared" ref="I149:J149" si="905">SUM(I150:I155)</f>
        <v>1267.3070000000002</v>
      </c>
      <c r="J149" s="2837">
        <f t="shared" si="905"/>
        <v>0.29011999999999999</v>
      </c>
      <c r="K149" s="2861">
        <f t="shared" si="793"/>
        <v>1448.3210200000001</v>
      </c>
      <c r="L149" s="2836">
        <f t="shared" ref="L149:M149" si="906">SUM(L150:L155)</f>
        <v>1447.9870000000001</v>
      </c>
      <c r="M149" s="2837">
        <f t="shared" si="906"/>
        <v>0.33401999999999998</v>
      </c>
      <c r="N149" s="2861">
        <f t="shared" si="795"/>
        <v>3968.0515300000002</v>
      </c>
      <c r="O149" s="2861">
        <f t="shared" si="796"/>
        <v>3967.1969400000003</v>
      </c>
      <c r="P149" s="2861">
        <f t="shared" si="796"/>
        <v>0.85458999999999996</v>
      </c>
      <c r="Q149" s="2837">
        <f t="shared" si="720"/>
        <v>3753.8627186128615</v>
      </c>
      <c r="R149" s="2837">
        <f t="shared" ref="R149:S149" si="907">SUM(R150:R155)</f>
        <v>3752.5547081237514</v>
      </c>
      <c r="S149" s="2837">
        <f t="shared" si="907"/>
        <v>1.30801048911</v>
      </c>
      <c r="T149" s="2861">
        <f t="shared" si="798"/>
        <v>1446.67634</v>
      </c>
      <c r="U149" s="2836">
        <f t="shared" ref="U149:V149" si="908">SUM(U150:U155)</f>
        <v>1446.32</v>
      </c>
      <c r="V149" s="2837">
        <f t="shared" si="908"/>
        <v>0.35634000000000005</v>
      </c>
      <c r="W149" s="2861">
        <f t="shared" si="800"/>
        <v>1961.8807599999998</v>
      </c>
      <c r="X149" s="2836">
        <f t="shared" ref="X149:Y149" si="909">SUM(X150:X155)</f>
        <v>1961.5239999999999</v>
      </c>
      <c r="Y149" s="2837">
        <f t="shared" si="909"/>
        <v>0.35676000000000002</v>
      </c>
      <c r="Z149" s="2861">
        <f t="shared" si="802"/>
        <v>1396.4252000000001</v>
      </c>
      <c r="AA149" s="2836">
        <f t="shared" ref="AA149:AB149" si="910">SUM(AA150:AA155)</f>
        <v>1396.2350000000001</v>
      </c>
      <c r="AB149" s="2837">
        <f t="shared" si="910"/>
        <v>0.19020000000000001</v>
      </c>
      <c r="AC149" s="2861">
        <f t="shared" si="804"/>
        <v>4804.9822999999997</v>
      </c>
      <c r="AD149" s="2861">
        <f t="shared" si="805"/>
        <v>4804.0789999999997</v>
      </c>
      <c r="AE149" s="2861">
        <f t="shared" si="805"/>
        <v>0.9033000000000001</v>
      </c>
      <c r="AF149" s="2839">
        <f t="shared" si="647"/>
        <v>7507.725437225723</v>
      </c>
      <c r="AG149" s="2839">
        <f t="shared" ref="AG149:AH155" si="911">SUM(C149+R149)</f>
        <v>7505.1094162475028</v>
      </c>
      <c r="AH149" s="2839">
        <f t="shared" si="911"/>
        <v>2.6160209782199999</v>
      </c>
      <c r="AI149" s="2862">
        <f t="shared" si="806"/>
        <v>8773.0338300000003</v>
      </c>
      <c r="AJ149" s="2862">
        <f t="shared" si="806"/>
        <v>8771.2759399999995</v>
      </c>
      <c r="AK149" s="2862">
        <f t="shared" si="806"/>
        <v>1.7578900000000002</v>
      </c>
      <c r="AL149" s="2862">
        <f t="shared" si="807"/>
        <v>1265.3083927742773</v>
      </c>
      <c r="AM149" s="2862">
        <f t="shared" si="807"/>
        <v>1266.1665237524967</v>
      </c>
      <c r="AN149" s="2862">
        <f t="shared" si="807"/>
        <v>-0.85813097821999973</v>
      </c>
      <c r="AO149" s="2837">
        <f t="shared" ref="AO149" si="912">SUM(AP149:AQ149)</f>
        <v>3753.8627186128615</v>
      </c>
      <c r="AP149" s="2837">
        <f t="shared" ref="AP149:AQ149" si="913">SUM(AP150:AP155)</f>
        <v>3752.5547081237514</v>
      </c>
      <c r="AQ149" s="2837">
        <f t="shared" si="913"/>
        <v>1.30801048911</v>
      </c>
      <c r="AR149" s="2861">
        <f t="shared" si="810"/>
        <v>1308.31349</v>
      </c>
      <c r="AS149" s="2836">
        <f t="shared" ref="AS149:AT149" si="914">SUM(AS150:AS155)</f>
        <v>1308.1469999999999</v>
      </c>
      <c r="AT149" s="2837">
        <f t="shared" si="914"/>
        <v>0.16649000000000003</v>
      </c>
      <c r="AU149" s="2861">
        <f t="shared" si="812"/>
        <v>1046.6428000000001</v>
      </c>
      <c r="AV149" s="2837">
        <f t="shared" ref="AV149:AW149" si="915">SUM(AV150:AV155)</f>
        <v>1046.375</v>
      </c>
      <c r="AW149" s="2837">
        <f t="shared" si="915"/>
        <v>0.26779999999999998</v>
      </c>
      <c r="AX149" s="2861">
        <f t="shared" si="814"/>
        <v>1552.96739</v>
      </c>
      <c r="AY149" s="2836">
        <f t="shared" ref="AY149:AZ149" si="916">SUM(AY150:AY155)</f>
        <v>1552.4416200000001</v>
      </c>
      <c r="AZ149" s="2837">
        <f t="shared" si="916"/>
        <v>0.52576999999999996</v>
      </c>
      <c r="BA149" s="2861">
        <f t="shared" si="816"/>
        <v>3907.9236799999999</v>
      </c>
      <c r="BB149" s="2861">
        <f t="shared" si="817"/>
        <v>3906.96362</v>
      </c>
      <c r="BC149" s="2861">
        <f t="shared" si="817"/>
        <v>0.96005999999999991</v>
      </c>
      <c r="BD149" s="2839">
        <f t="shared" ref="BD149:BD155" si="917">SUM(BE149:BF149)</f>
        <v>11261.588155838584</v>
      </c>
      <c r="BE149" s="2839">
        <f t="shared" ref="BE149:BF157" si="918">SUM(AG149+AP149)</f>
        <v>11257.664124371255</v>
      </c>
      <c r="BF149" s="2839">
        <f t="shared" si="918"/>
        <v>3.9240314673299999</v>
      </c>
      <c r="BG149" s="2862">
        <f t="shared" si="818"/>
        <v>12680.95751</v>
      </c>
      <c r="BH149" s="2862">
        <f t="shared" si="818"/>
        <v>12678.23956</v>
      </c>
      <c r="BI149" s="2862">
        <f t="shared" si="818"/>
        <v>2.7179500000000001</v>
      </c>
      <c r="BJ149" s="2862">
        <f t="shared" si="819"/>
        <v>1419.3693541614157</v>
      </c>
      <c r="BK149" s="2862">
        <f t="shared" si="819"/>
        <v>1420.5754356287453</v>
      </c>
      <c r="BL149" s="2862">
        <f t="shared" si="819"/>
        <v>-1.2060814673299998</v>
      </c>
      <c r="BM149" s="2837">
        <f t="shared" ref="BM149:BM157" si="919">SUM(BN149:BO149)</f>
        <v>3753.8627186128615</v>
      </c>
      <c r="BN149" s="2837">
        <f t="shared" ref="BN149:BO149" si="920">SUM(BN150:BN155)</f>
        <v>3752.5547081237514</v>
      </c>
      <c r="BO149" s="2837">
        <f t="shared" si="920"/>
        <v>1.30801048911</v>
      </c>
      <c r="BP149" s="2861">
        <f t="shared" si="821"/>
        <v>1161.1300600000002</v>
      </c>
      <c r="BQ149" s="2836">
        <f t="shared" ref="BQ149:BR149" si="921">SUM(BQ150:BQ155)</f>
        <v>1160.9380000000001</v>
      </c>
      <c r="BR149" s="2837">
        <f t="shared" si="921"/>
        <v>0.19205999999999998</v>
      </c>
      <c r="BS149" s="2861">
        <f t="shared" si="823"/>
        <v>1265.5212999999999</v>
      </c>
      <c r="BT149" s="2836">
        <f t="shared" ref="BT149:BU149" si="922">SUM(BT150:BT155)</f>
        <v>1265.223</v>
      </c>
      <c r="BU149" s="2837">
        <f t="shared" si="922"/>
        <v>0.29830000000000001</v>
      </c>
      <c r="BV149" s="2861">
        <f t="shared" si="825"/>
        <v>1234.3949500000001</v>
      </c>
      <c r="BW149" s="2836">
        <f t="shared" ref="BW149:BX149" si="923">SUM(BW150:BW155)</f>
        <v>1234.1390000000001</v>
      </c>
      <c r="BX149" s="2837">
        <f t="shared" si="923"/>
        <v>0.25595000000000001</v>
      </c>
      <c r="BY149" s="2861">
        <f t="shared" si="827"/>
        <v>3661.0463100000002</v>
      </c>
      <c r="BZ149" s="2861">
        <f t="shared" si="828"/>
        <v>3660.3</v>
      </c>
      <c r="CA149" s="2861">
        <f t="shared" si="828"/>
        <v>0.74631000000000003</v>
      </c>
      <c r="CB149" s="2839">
        <f t="shared" si="781"/>
        <v>15015.45108188538</v>
      </c>
      <c r="CC149" s="2839">
        <f>SUM(вода!CV58)</f>
        <v>15010.218832495006</v>
      </c>
      <c r="CD149" s="2839">
        <f>SUM(вода!CW58)</f>
        <v>5.2322493903738136</v>
      </c>
      <c r="CE149" s="2862">
        <f t="shared" si="829"/>
        <v>16342.00382</v>
      </c>
      <c r="CF149" s="2981">
        <f t="shared" si="829"/>
        <v>16338.539560000001</v>
      </c>
      <c r="CG149" s="2981">
        <f t="shared" si="829"/>
        <v>3.4642600000000003</v>
      </c>
      <c r="CH149" s="2862">
        <f t="shared" si="830"/>
        <v>1326.5527381146203</v>
      </c>
      <c r="CI149" s="2862">
        <f t="shared" si="830"/>
        <v>1328.3207275049954</v>
      </c>
      <c r="CJ149" s="2862">
        <f t="shared" si="830"/>
        <v>-1.7679893903738133</v>
      </c>
      <c r="CK149" s="2863"/>
      <c r="CL149" s="4187">
        <f t="shared" si="542"/>
        <v>15015.450874451446</v>
      </c>
      <c r="CM149" s="4187">
        <f t="shared" si="543"/>
        <v>15010.218832495006</v>
      </c>
      <c r="CN149" s="4187">
        <f t="shared" si="544"/>
        <v>5.2320419564399998</v>
      </c>
    </row>
    <row r="150" spans="1:92" ht="18.75" customHeight="1" x14ac:dyDescent="0.3">
      <c r="A150" s="2874" t="s">
        <v>3745</v>
      </c>
      <c r="B150" s="2853">
        <f t="shared" si="872"/>
        <v>2523.4076018812893</v>
      </c>
      <c r="C150" s="2853">
        <f t="shared" ref="C150:C155" si="924">SUM(CC150/4)</f>
        <v>2522.587434049512</v>
      </c>
      <c r="D150" s="2853">
        <f t="shared" ref="D150:D155" si="925">SUM(CD150/4)</f>
        <v>0.82016783177749997</v>
      </c>
      <c r="E150" s="2875">
        <f t="shared" si="669"/>
        <v>800.31600000000003</v>
      </c>
      <c r="F150" s="2878">
        <v>800.16899999999998</v>
      </c>
      <c r="G150" s="2878">
        <v>0.14699999999999999</v>
      </c>
      <c r="H150" s="2875">
        <f t="shared" si="791"/>
        <v>801.99800000000005</v>
      </c>
      <c r="I150" s="2878">
        <v>801.81500000000005</v>
      </c>
      <c r="J150" s="2878">
        <v>0.183</v>
      </c>
      <c r="K150" s="2875">
        <f t="shared" si="793"/>
        <v>792.17899999999997</v>
      </c>
      <c r="L150" s="2876">
        <v>791.99599999999998</v>
      </c>
      <c r="M150" s="2878">
        <v>0.183</v>
      </c>
      <c r="N150" s="2875">
        <f t="shared" si="795"/>
        <v>2394.4929999999999</v>
      </c>
      <c r="O150" s="2875">
        <f t="shared" si="796"/>
        <v>2393.98</v>
      </c>
      <c r="P150" s="2875">
        <f t="shared" si="796"/>
        <v>0.5129999999999999</v>
      </c>
      <c r="Q150" s="2853">
        <f t="shared" ref="Q150:Q155" si="926">SUM(R150:S150)</f>
        <v>2523.4076018812893</v>
      </c>
      <c r="R150" s="2853">
        <f t="shared" ref="R150:R157" si="927">SUM(C150)</f>
        <v>2522.587434049512</v>
      </c>
      <c r="S150" s="2853">
        <f t="shared" ref="S150:S157" si="928">SUM(D150)</f>
        <v>0.82016783177749997</v>
      </c>
      <c r="T150" s="2875">
        <f t="shared" si="798"/>
        <v>927.88</v>
      </c>
      <c r="U150" s="2876">
        <v>927.65</v>
      </c>
      <c r="V150" s="2878">
        <v>0.23</v>
      </c>
      <c r="W150" s="2875">
        <f t="shared" si="800"/>
        <v>1359.126</v>
      </c>
      <c r="X150" s="2876">
        <v>1358.8789999999999</v>
      </c>
      <c r="Y150" s="2878">
        <v>0.247</v>
      </c>
      <c r="Z150" s="2875">
        <f t="shared" si="802"/>
        <v>910.14200000000005</v>
      </c>
      <c r="AA150" s="2876">
        <v>910.01800000000003</v>
      </c>
      <c r="AB150" s="2878">
        <v>0.124</v>
      </c>
      <c r="AC150" s="2875">
        <f t="shared" si="804"/>
        <v>3197.1480000000001</v>
      </c>
      <c r="AD150" s="2875">
        <f t="shared" si="805"/>
        <v>3196.547</v>
      </c>
      <c r="AE150" s="2875">
        <f t="shared" si="805"/>
        <v>0.60099999999999998</v>
      </c>
      <c r="AF150" s="2856">
        <f t="shared" si="647"/>
        <v>5046.8152037625787</v>
      </c>
      <c r="AG150" s="2856">
        <f t="shared" si="911"/>
        <v>5045.174868099024</v>
      </c>
      <c r="AH150" s="2856">
        <f t="shared" si="911"/>
        <v>1.6403356635549999</v>
      </c>
      <c r="AI150" s="2870">
        <f t="shared" si="806"/>
        <v>5591.6409999999996</v>
      </c>
      <c r="AJ150" s="2870">
        <f t="shared" si="806"/>
        <v>5590.527</v>
      </c>
      <c r="AK150" s="2870">
        <f t="shared" si="806"/>
        <v>1.1139999999999999</v>
      </c>
      <c r="AL150" s="2870">
        <f t="shared" si="807"/>
        <v>544.82579623742095</v>
      </c>
      <c r="AM150" s="2870">
        <f t="shared" si="807"/>
        <v>545.35213190097602</v>
      </c>
      <c r="AN150" s="2870">
        <f t="shared" si="807"/>
        <v>-0.52633566355500006</v>
      </c>
      <c r="AO150" s="2853">
        <f t="shared" ref="AO150:AO155" si="929">SUM(AP150:AQ150)</f>
        <v>2523.4076018812893</v>
      </c>
      <c r="AP150" s="2853">
        <f t="shared" ref="AP150:AQ155" si="930">SUM(CC150-AG150)/2</f>
        <v>2522.587434049512</v>
      </c>
      <c r="AQ150" s="2853">
        <f t="shared" si="930"/>
        <v>0.82016783177749997</v>
      </c>
      <c r="AR150" s="2875">
        <f t="shared" si="810"/>
        <v>861.60799999999995</v>
      </c>
      <c r="AS150" s="2876">
        <v>861.49699999999996</v>
      </c>
      <c r="AT150" s="2878">
        <v>0.111</v>
      </c>
      <c r="AU150" s="2875">
        <f t="shared" si="812"/>
        <v>728.18799999999999</v>
      </c>
      <c r="AV150" s="2876">
        <v>728.00099999999998</v>
      </c>
      <c r="AW150" s="2878">
        <v>0.187</v>
      </c>
      <c r="AX150" s="2875">
        <f t="shared" si="814"/>
        <v>911.76095999999995</v>
      </c>
      <c r="AY150" s="2876">
        <v>911.452</v>
      </c>
      <c r="AZ150" s="2878">
        <v>0.30896000000000001</v>
      </c>
      <c r="BA150" s="2875">
        <f t="shared" si="816"/>
        <v>2501.5569599999999</v>
      </c>
      <c r="BB150" s="2875">
        <f t="shared" si="817"/>
        <v>2500.9499999999998</v>
      </c>
      <c r="BC150" s="2875">
        <f t="shared" si="817"/>
        <v>0.60695999999999994</v>
      </c>
      <c r="BD150" s="2856">
        <f t="shared" si="917"/>
        <v>7570.2228056438689</v>
      </c>
      <c r="BE150" s="2856">
        <f t="shared" si="918"/>
        <v>7567.762302148536</v>
      </c>
      <c r="BF150" s="2856">
        <f t="shared" si="918"/>
        <v>2.4605034953325</v>
      </c>
      <c r="BG150" s="2870">
        <f t="shared" si="818"/>
        <v>8093.1979599999995</v>
      </c>
      <c r="BH150" s="2870">
        <f t="shared" si="818"/>
        <v>8091.4769999999999</v>
      </c>
      <c r="BI150" s="2870">
        <f t="shared" si="818"/>
        <v>1.7209599999999998</v>
      </c>
      <c r="BJ150" s="2870">
        <f t="shared" si="819"/>
        <v>522.97515435613059</v>
      </c>
      <c r="BK150" s="2870">
        <f t="shared" si="819"/>
        <v>523.71469785146382</v>
      </c>
      <c r="BL150" s="2870">
        <f t="shared" si="819"/>
        <v>-0.73954349533250019</v>
      </c>
      <c r="BM150" s="2853">
        <f t="shared" si="919"/>
        <v>2523.4076018812893</v>
      </c>
      <c r="BN150" s="2853">
        <f t="shared" ref="BN150:BN157" si="931">SUM(AP150)</f>
        <v>2522.587434049512</v>
      </c>
      <c r="BO150" s="2853">
        <f t="shared" ref="BO150:BO157" si="932">SUM(AQ150)</f>
        <v>0.82016783177749997</v>
      </c>
      <c r="BP150" s="2875">
        <f t="shared" si="821"/>
        <v>742.67400000000009</v>
      </c>
      <c r="BQ150" s="2876">
        <v>742.55100000000004</v>
      </c>
      <c r="BR150" s="2878">
        <v>0.123</v>
      </c>
      <c r="BS150" s="2875">
        <f t="shared" si="823"/>
        <v>778.29099999999994</v>
      </c>
      <c r="BT150" s="2876">
        <v>778.10699999999997</v>
      </c>
      <c r="BU150" s="2878">
        <v>0.184</v>
      </c>
      <c r="BV150" s="2875">
        <f t="shared" si="825"/>
        <v>807.09399999999994</v>
      </c>
      <c r="BW150" s="2876">
        <v>806.93</v>
      </c>
      <c r="BX150" s="2878">
        <v>0.16400000000000001</v>
      </c>
      <c r="BY150" s="2875">
        <f t="shared" si="827"/>
        <v>2328.0589999999997</v>
      </c>
      <c r="BZ150" s="2875">
        <f t="shared" si="828"/>
        <v>2327.5879999999997</v>
      </c>
      <c r="CA150" s="2875">
        <f t="shared" si="828"/>
        <v>0.47099999999999997</v>
      </c>
      <c r="CB150" s="2856">
        <f>SUM(CC150:CD150)</f>
        <v>10093.630407525157</v>
      </c>
      <c r="CC150" s="2856">
        <f>SUM('ОХР '!DD10)</f>
        <v>10090.349736198048</v>
      </c>
      <c r="CD150" s="2856">
        <f>2.69*1.219580419</f>
        <v>3.2806713271099999</v>
      </c>
      <c r="CE150" s="2870">
        <f t="shared" si="829"/>
        <v>10421.256959999999</v>
      </c>
      <c r="CF150" s="2991">
        <f t="shared" si="829"/>
        <v>10419.064999999999</v>
      </c>
      <c r="CG150" s="2991">
        <f t="shared" si="829"/>
        <v>2.1919599999999999</v>
      </c>
      <c r="CH150" s="2870">
        <f t="shared" si="830"/>
        <v>327.62655247484145</v>
      </c>
      <c r="CI150" s="2870">
        <f t="shared" si="830"/>
        <v>328.71526380195064</v>
      </c>
      <c r="CJ150" s="2870">
        <f t="shared" si="830"/>
        <v>-1.08871132711</v>
      </c>
      <c r="CK150" s="2863"/>
      <c r="CL150" s="4187">
        <f t="shared" si="542"/>
        <v>10093.630407525157</v>
      </c>
      <c r="CM150" s="4187">
        <f t="shared" si="543"/>
        <v>10090.349736198048</v>
      </c>
      <c r="CN150" s="4187">
        <f t="shared" si="544"/>
        <v>3.2806713271099999</v>
      </c>
    </row>
    <row r="151" spans="1:92" ht="18.75" customHeight="1" x14ac:dyDescent="0.3">
      <c r="A151" s="2874" t="s">
        <v>3746</v>
      </c>
      <c r="B151" s="2853">
        <f t="shared" si="872"/>
        <v>757.02223021485361</v>
      </c>
      <c r="C151" s="2853">
        <f t="shared" si="924"/>
        <v>756.77623021485363</v>
      </c>
      <c r="D151" s="2853">
        <f t="shared" si="925"/>
        <v>0.246</v>
      </c>
      <c r="E151" s="2875">
        <f t="shared" si="669"/>
        <v>239.46300000000002</v>
      </c>
      <c r="F151" s="2878">
        <v>239.41900000000001</v>
      </c>
      <c r="G151" s="2878">
        <v>4.3999999999999997E-2</v>
      </c>
      <c r="H151" s="2875">
        <f t="shared" si="791"/>
        <v>240.91510000000002</v>
      </c>
      <c r="I151" s="2878">
        <f>1.562+239.298</f>
        <v>240.86</v>
      </c>
      <c r="J151" s="2878">
        <v>5.5100000000000003E-2</v>
      </c>
      <c r="K151" s="2875">
        <f t="shared" si="793"/>
        <v>236.13400000000001</v>
      </c>
      <c r="L151" s="2876">
        <v>236.08</v>
      </c>
      <c r="M151" s="2878">
        <v>5.3999999999999999E-2</v>
      </c>
      <c r="N151" s="2875">
        <f t="shared" si="795"/>
        <v>716.51210000000003</v>
      </c>
      <c r="O151" s="2875">
        <f t="shared" si="796"/>
        <v>716.35900000000004</v>
      </c>
      <c r="P151" s="2875">
        <f t="shared" si="796"/>
        <v>0.15309999999999999</v>
      </c>
      <c r="Q151" s="2853">
        <f t="shared" si="926"/>
        <v>757.02223021485361</v>
      </c>
      <c r="R151" s="2853">
        <f t="shared" si="927"/>
        <v>756.77623021485363</v>
      </c>
      <c r="S151" s="2853">
        <f t="shared" si="928"/>
        <v>0.246</v>
      </c>
      <c r="T151" s="2875">
        <f t="shared" si="798"/>
        <v>278.709</v>
      </c>
      <c r="U151" s="2876">
        <v>278.64</v>
      </c>
      <c r="V151" s="2878">
        <v>6.9000000000000006E-2</v>
      </c>
      <c r="W151" s="2875">
        <f t="shared" si="800"/>
        <v>390.53347000000002</v>
      </c>
      <c r="X151" s="2876">
        <v>390.46100000000001</v>
      </c>
      <c r="Y151" s="2878">
        <v>7.2470000000000007E-2</v>
      </c>
      <c r="Z151" s="2875">
        <f t="shared" si="802"/>
        <v>273.38</v>
      </c>
      <c r="AA151" s="2876">
        <v>273.34300000000002</v>
      </c>
      <c r="AB151" s="2878">
        <v>3.6999999999999998E-2</v>
      </c>
      <c r="AC151" s="2875">
        <f t="shared" si="804"/>
        <v>942.62246999999991</v>
      </c>
      <c r="AD151" s="2875">
        <f t="shared" si="805"/>
        <v>942.44399999999996</v>
      </c>
      <c r="AE151" s="2875">
        <f t="shared" si="805"/>
        <v>0.17847000000000002</v>
      </c>
      <c r="AF151" s="2856">
        <f t="shared" si="647"/>
        <v>1514.0444604297072</v>
      </c>
      <c r="AG151" s="2856">
        <f t="shared" si="911"/>
        <v>1513.5524604297073</v>
      </c>
      <c r="AH151" s="2856">
        <f t="shared" si="911"/>
        <v>0.49199999999999999</v>
      </c>
      <c r="AI151" s="2870">
        <f t="shared" si="806"/>
        <v>1659.1345699999999</v>
      </c>
      <c r="AJ151" s="2870">
        <f t="shared" si="806"/>
        <v>1658.8029999999999</v>
      </c>
      <c r="AK151" s="2870">
        <f t="shared" si="806"/>
        <v>0.33157000000000003</v>
      </c>
      <c r="AL151" s="2870">
        <f t="shared" si="807"/>
        <v>145.09010957029273</v>
      </c>
      <c r="AM151" s="2870">
        <f t="shared" si="807"/>
        <v>145.25053957029263</v>
      </c>
      <c r="AN151" s="2870">
        <f t="shared" si="807"/>
        <v>-0.16042999999999996</v>
      </c>
      <c r="AO151" s="2853">
        <f t="shared" si="929"/>
        <v>757.02223021485361</v>
      </c>
      <c r="AP151" s="2853">
        <f t="shared" si="930"/>
        <v>756.77623021485363</v>
      </c>
      <c r="AQ151" s="2853">
        <f t="shared" si="930"/>
        <v>0.246</v>
      </c>
      <c r="AR151" s="2875">
        <f t="shared" si="810"/>
        <v>257.95300000000003</v>
      </c>
      <c r="AS151" s="2876">
        <v>257.92</v>
      </c>
      <c r="AT151" s="2878">
        <v>3.3000000000000002E-2</v>
      </c>
      <c r="AU151" s="2875">
        <f t="shared" si="812"/>
        <v>219.18</v>
      </c>
      <c r="AV151" s="2876">
        <v>219.124</v>
      </c>
      <c r="AW151" s="2878">
        <v>5.6000000000000001E-2</v>
      </c>
      <c r="AX151" s="2875">
        <f t="shared" si="814"/>
        <v>274.71208000000001</v>
      </c>
      <c r="AY151" s="2876">
        <v>274.61900000000003</v>
      </c>
      <c r="AZ151" s="2878">
        <v>9.3079999999999996E-2</v>
      </c>
      <c r="BA151" s="2875">
        <f t="shared" si="816"/>
        <v>751.84508000000005</v>
      </c>
      <c r="BB151" s="2875">
        <f t="shared" si="817"/>
        <v>751.66300000000001</v>
      </c>
      <c r="BC151" s="2875">
        <f t="shared" si="817"/>
        <v>0.18207999999999999</v>
      </c>
      <c r="BD151" s="2856">
        <f t="shared" si="917"/>
        <v>2271.0666906445608</v>
      </c>
      <c r="BE151" s="2856">
        <f t="shared" si="918"/>
        <v>2270.328690644561</v>
      </c>
      <c r="BF151" s="2856">
        <f t="shared" si="918"/>
        <v>0.73799999999999999</v>
      </c>
      <c r="BG151" s="2870">
        <f t="shared" si="818"/>
        <v>2410.9796500000002</v>
      </c>
      <c r="BH151" s="2870">
        <f t="shared" si="818"/>
        <v>2410.4659999999999</v>
      </c>
      <c r="BI151" s="2870">
        <f t="shared" si="818"/>
        <v>0.51365000000000005</v>
      </c>
      <c r="BJ151" s="2870">
        <f t="shared" si="819"/>
        <v>139.9129593554394</v>
      </c>
      <c r="BK151" s="2870">
        <f t="shared" si="819"/>
        <v>140.1373093554389</v>
      </c>
      <c r="BL151" s="2870">
        <f t="shared" si="819"/>
        <v>-0.22434999999999994</v>
      </c>
      <c r="BM151" s="2853">
        <f t="shared" si="919"/>
        <v>757.02223021485361</v>
      </c>
      <c r="BN151" s="2853">
        <f t="shared" si="931"/>
        <v>756.77623021485363</v>
      </c>
      <c r="BO151" s="2853">
        <f t="shared" si="932"/>
        <v>0.246</v>
      </c>
      <c r="BP151" s="2875">
        <f t="shared" si="821"/>
        <v>222.47272000000001</v>
      </c>
      <c r="BQ151" s="2876">
        <v>222.43600000000001</v>
      </c>
      <c r="BR151" s="2878">
        <v>3.6720000000000003E-2</v>
      </c>
      <c r="BS151" s="2875">
        <f t="shared" si="823"/>
        <v>251.26499999999999</v>
      </c>
      <c r="BT151" s="2876">
        <v>251.20599999999999</v>
      </c>
      <c r="BU151" s="2878">
        <v>5.8999999999999997E-2</v>
      </c>
      <c r="BV151" s="2875">
        <f t="shared" si="825"/>
        <v>212.42998</v>
      </c>
      <c r="BW151" s="2876">
        <v>212.387</v>
      </c>
      <c r="BX151" s="2878">
        <v>4.2979999999999997E-2</v>
      </c>
      <c r="BY151" s="2875">
        <f t="shared" si="827"/>
        <v>686.16769999999997</v>
      </c>
      <c r="BZ151" s="2875">
        <f t="shared" si="828"/>
        <v>686.029</v>
      </c>
      <c r="CA151" s="2875">
        <f t="shared" si="828"/>
        <v>0.13869999999999999</v>
      </c>
      <c r="CB151" s="2856">
        <f t="shared" ref="CB151:CB155" si="933">SUM(CC151:CD151)</f>
        <v>3028.0889208594144</v>
      </c>
      <c r="CC151" s="2856">
        <f>SUM('ОХР '!DD11)</f>
        <v>3027.1049208594145</v>
      </c>
      <c r="CD151" s="2856">
        <v>0.98399999999999999</v>
      </c>
      <c r="CE151" s="2870">
        <f t="shared" si="829"/>
        <v>3097.1473500000002</v>
      </c>
      <c r="CF151" s="2991">
        <f t="shared" si="829"/>
        <v>3096.4949999999999</v>
      </c>
      <c r="CG151" s="2991">
        <f t="shared" si="829"/>
        <v>0.65234999999999999</v>
      </c>
      <c r="CH151" s="2870">
        <f t="shared" si="830"/>
        <v>69.058429140585758</v>
      </c>
      <c r="CI151" s="2870">
        <f t="shared" si="830"/>
        <v>69.390079140585385</v>
      </c>
      <c r="CJ151" s="2870">
        <f t="shared" si="830"/>
        <v>-0.33165</v>
      </c>
      <c r="CK151" s="2863"/>
      <c r="CL151" s="4187">
        <f t="shared" si="542"/>
        <v>3028.0889208594144</v>
      </c>
      <c r="CM151" s="4187">
        <f t="shared" si="543"/>
        <v>3027.1049208594145</v>
      </c>
      <c r="CN151" s="4187">
        <f t="shared" si="544"/>
        <v>0.98399999999999999</v>
      </c>
    </row>
    <row r="152" spans="1:92" ht="18.75" customHeight="1" x14ac:dyDescent="0.3">
      <c r="A152" s="2879" t="s">
        <v>274</v>
      </c>
      <c r="B152" s="2853">
        <f t="shared" si="872"/>
        <v>4.0826757298606422</v>
      </c>
      <c r="C152" s="2853">
        <f t="shared" si="924"/>
        <v>4.0765778277656421</v>
      </c>
      <c r="D152" s="2853">
        <f t="shared" si="925"/>
        <v>6.0979020949999997E-3</v>
      </c>
      <c r="E152" s="2875">
        <f t="shared" si="669"/>
        <v>0.25105</v>
      </c>
      <c r="F152" s="2878">
        <v>0.251</v>
      </c>
      <c r="G152" s="2878">
        <v>5.0000000000000002E-5</v>
      </c>
      <c r="H152" s="2875">
        <f t="shared" si="791"/>
        <v>0.15003</v>
      </c>
      <c r="I152" s="2878">
        <v>0.15</v>
      </c>
      <c r="J152" s="2878">
        <v>3.0000000000000001E-5</v>
      </c>
      <c r="K152" s="2875">
        <f t="shared" si="793"/>
        <v>6.8465999999999996</v>
      </c>
      <c r="L152" s="2876">
        <v>6.8449999999999998</v>
      </c>
      <c r="M152" s="2878">
        <v>1.6000000000000001E-3</v>
      </c>
      <c r="N152" s="2875">
        <f t="shared" si="795"/>
        <v>7.2476799999999999</v>
      </c>
      <c r="O152" s="2875">
        <f t="shared" si="796"/>
        <v>7.2459999999999996</v>
      </c>
      <c r="P152" s="2875">
        <f t="shared" si="796"/>
        <v>1.6800000000000001E-3</v>
      </c>
      <c r="Q152" s="2853">
        <f t="shared" si="926"/>
        <v>4.0826757298606422</v>
      </c>
      <c r="R152" s="2853">
        <f t="shared" si="927"/>
        <v>4.0765778277656421</v>
      </c>
      <c r="S152" s="2853">
        <f t="shared" si="928"/>
        <v>6.0979020949999997E-3</v>
      </c>
      <c r="T152" s="2875">
        <f t="shared" si="798"/>
        <v>6.83169</v>
      </c>
      <c r="U152" s="2876">
        <v>6.83</v>
      </c>
      <c r="V152" s="2878">
        <v>1.6900000000000001E-3</v>
      </c>
      <c r="W152" s="2875">
        <f t="shared" si="800"/>
        <v>5.7260399999999994</v>
      </c>
      <c r="X152" s="2876">
        <v>5.7249999999999996</v>
      </c>
      <c r="Y152" s="2878">
        <v>1.0399999999999999E-3</v>
      </c>
      <c r="Z152" s="2875">
        <f t="shared" si="802"/>
        <v>6.31</v>
      </c>
      <c r="AA152" s="2876">
        <v>6.31</v>
      </c>
      <c r="AB152" s="2878">
        <v>0</v>
      </c>
      <c r="AC152" s="2875">
        <f t="shared" si="804"/>
        <v>18.867729999999998</v>
      </c>
      <c r="AD152" s="2875">
        <f t="shared" si="805"/>
        <v>18.864999999999998</v>
      </c>
      <c r="AE152" s="2875">
        <f t="shared" si="805"/>
        <v>2.7299999999999998E-3</v>
      </c>
      <c r="AF152" s="2856">
        <f t="shared" si="647"/>
        <v>8.1653514597212844</v>
      </c>
      <c r="AG152" s="2856">
        <f t="shared" si="911"/>
        <v>8.1531556555312843</v>
      </c>
      <c r="AH152" s="2856">
        <f t="shared" si="911"/>
        <v>1.2195804189999999E-2</v>
      </c>
      <c r="AI152" s="2870">
        <f t="shared" si="806"/>
        <v>26.115409999999997</v>
      </c>
      <c r="AJ152" s="2870">
        <f t="shared" si="806"/>
        <v>26.110999999999997</v>
      </c>
      <c r="AK152" s="2870">
        <f t="shared" si="806"/>
        <v>4.4099999999999999E-3</v>
      </c>
      <c r="AL152" s="2870">
        <f t="shared" si="807"/>
        <v>17.950058540278711</v>
      </c>
      <c r="AM152" s="2870">
        <f t="shared" si="807"/>
        <v>17.957844344468711</v>
      </c>
      <c r="AN152" s="2870">
        <f t="shared" si="807"/>
        <v>-7.7858041899999996E-3</v>
      </c>
      <c r="AO152" s="2853">
        <f t="shared" si="929"/>
        <v>4.0826757298606422</v>
      </c>
      <c r="AP152" s="2853">
        <f t="shared" si="930"/>
        <v>4.0765778277656421</v>
      </c>
      <c r="AQ152" s="2853">
        <f t="shared" si="930"/>
        <v>6.0979020949999997E-3</v>
      </c>
      <c r="AR152" s="2875">
        <f t="shared" si="810"/>
        <v>5.9307599999999994</v>
      </c>
      <c r="AS152" s="2876">
        <v>5.93</v>
      </c>
      <c r="AT152" s="2878">
        <v>7.6000000000000004E-4</v>
      </c>
      <c r="AU152" s="2875">
        <f t="shared" si="812"/>
        <v>6.1246</v>
      </c>
      <c r="AV152" s="2876">
        <v>6.1230000000000002</v>
      </c>
      <c r="AW152" s="2878">
        <v>1.6000000000000001E-3</v>
      </c>
      <c r="AX152" s="2875">
        <f t="shared" si="814"/>
        <v>6.8653300000000002</v>
      </c>
      <c r="AY152" s="2876">
        <v>6.8630000000000004</v>
      </c>
      <c r="AZ152" s="2878">
        <v>2.33E-3</v>
      </c>
      <c r="BA152" s="2875">
        <f t="shared" si="816"/>
        <v>18.92069</v>
      </c>
      <c r="BB152" s="2875">
        <f t="shared" si="817"/>
        <v>18.916</v>
      </c>
      <c r="BC152" s="2875">
        <f t="shared" si="817"/>
        <v>4.6899999999999997E-3</v>
      </c>
      <c r="BD152" s="2856">
        <f t="shared" si="917"/>
        <v>12.248027189581926</v>
      </c>
      <c r="BE152" s="2856">
        <f t="shared" si="918"/>
        <v>12.229733483296926</v>
      </c>
      <c r="BF152" s="2856">
        <f t="shared" si="918"/>
        <v>1.8293706284999999E-2</v>
      </c>
      <c r="BG152" s="2870">
        <f t="shared" si="818"/>
        <v>45.036099999999998</v>
      </c>
      <c r="BH152" s="2870">
        <f t="shared" si="818"/>
        <v>45.027000000000001</v>
      </c>
      <c r="BI152" s="2870">
        <f t="shared" si="818"/>
        <v>9.1000000000000004E-3</v>
      </c>
      <c r="BJ152" s="2870">
        <f t="shared" si="819"/>
        <v>32.788072810418072</v>
      </c>
      <c r="BK152" s="2870">
        <f t="shared" si="819"/>
        <v>32.797266516703075</v>
      </c>
      <c r="BL152" s="2870">
        <f t="shared" si="819"/>
        <v>-9.1937062849999987E-3</v>
      </c>
      <c r="BM152" s="2853">
        <f t="shared" si="919"/>
        <v>4.0826757298606422</v>
      </c>
      <c r="BN152" s="2853">
        <f t="shared" si="931"/>
        <v>4.0765778277656421</v>
      </c>
      <c r="BO152" s="2853">
        <f t="shared" si="932"/>
        <v>6.0979020949999997E-3</v>
      </c>
      <c r="BP152" s="2875">
        <f t="shared" si="821"/>
        <v>7.12418</v>
      </c>
      <c r="BQ152" s="2876">
        <v>7.1230000000000002</v>
      </c>
      <c r="BR152" s="2878">
        <v>1.1800000000000001E-3</v>
      </c>
      <c r="BS152" s="2875">
        <f t="shared" si="823"/>
        <v>7.93187</v>
      </c>
      <c r="BT152" s="2876">
        <v>7.93</v>
      </c>
      <c r="BU152" s="2878">
        <v>1.8699999999999999E-3</v>
      </c>
      <c r="BV152" s="2875">
        <f t="shared" si="825"/>
        <v>8.8697700000000008</v>
      </c>
      <c r="BW152" s="2876">
        <v>8.8670000000000009</v>
      </c>
      <c r="BX152" s="2878">
        <v>2.7699999999999999E-3</v>
      </c>
      <c r="BY152" s="2875">
        <f t="shared" si="827"/>
        <v>23.925820000000002</v>
      </c>
      <c r="BZ152" s="2875">
        <f t="shared" si="828"/>
        <v>23.92</v>
      </c>
      <c r="CA152" s="2875">
        <f t="shared" si="828"/>
        <v>5.8199999999999997E-3</v>
      </c>
      <c r="CB152" s="2856">
        <f t="shared" si="933"/>
        <v>16.330702919442569</v>
      </c>
      <c r="CC152" s="2856">
        <f>SUM('ОХР '!DD21)</f>
        <v>16.306311311062569</v>
      </c>
      <c r="CD152" s="2856">
        <f>0.02*1.219580419</f>
        <v>2.4391608379999999E-2</v>
      </c>
      <c r="CE152" s="2870">
        <f t="shared" si="829"/>
        <v>68.961919999999992</v>
      </c>
      <c r="CF152" s="2991">
        <f t="shared" si="829"/>
        <v>68.947000000000003</v>
      </c>
      <c r="CG152" s="2991">
        <f t="shared" si="829"/>
        <v>1.4919999999999999E-2</v>
      </c>
      <c r="CH152" s="2870">
        <f t="shared" si="830"/>
        <v>52.63121708055742</v>
      </c>
      <c r="CI152" s="2870">
        <f t="shared" si="830"/>
        <v>52.640688688937431</v>
      </c>
      <c r="CJ152" s="2870">
        <f t="shared" si="830"/>
        <v>-9.4716083799999996E-3</v>
      </c>
      <c r="CK152" s="2863"/>
      <c r="CL152" s="4187">
        <f t="shared" si="542"/>
        <v>16.330702919442569</v>
      </c>
      <c r="CM152" s="4187">
        <f t="shared" si="543"/>
        <v>16.306311311062569</v>
      </c>
      <c r="CN152" s="4187">
        <f t="shared" si="544"/>
        <v>2.4391608379999999E-2</v>
      </c>
    </row>
    <row r="153" spans="1:92" ht="18.75" customHeight="1" x14ac:dyDescent="0.3">
      <c r="A153" s="2879" t="s">
        <v>1546</v>
      </c>
      <c r="B153" s="2853">
        <f t="shared" si="872"/>
        <v>16.930698953817409</v>
      </c>
      <c r="C153" s="2853">
        <f t="shared" si="924"/>
        <v>16.924601051722409</v>
      </c>
      <c r="D153" s="2853">
        <f t="shared" si="925"/>
        <v>6.0979020949999997E-3</v>
      </c>
      <c r="E153" s="2875">
        <f t="shared" si="669"/>
        <v>12.820359999999999</v>
      </c>
      <c r="F153" s="2878">
        <v>12.818</v>
      </c>
      <c r="G153" s="2878">
        <v>2.3600000000000001E-3</v>
      </c>
      <c r="H153" s="2875">
        <f t="shared" si="791"/>
        <v>14.0092</v>
      </c>
      <c r="I153" s="2878">
        <v>14.006</v>
      </c>
      <c r="J153" s="2878">
        <v>3.2000000000000002E-3</v>
      </c>
      <c r="K153" s="2875">
        <f t="shared" si="793"/>
        <v>10.22236</v>
      </c>
      <c r="L153" s="2876">
        <v>10.220000000000001</v>
      </c>
      <c r="M153" s="2878">
        <v>2.3600000000000001E-3</v>
      </c>
      <c r="N153" s="2875">
        <f t="shared" si="795"/>
        <v>37.051919999999996</v>
      </c>
      <c r="O153" s="2875">
        <f t="shared" si="796"/>
        <v>37.043999999999997</v>
      </c>
      <c r="P153" s="2875">
        <f t="shared" si="796"/>
        <v>7.92E-3</v>
      </c>
      <c r="Q153" s="2853">
        <f t="shared" si="926"/>
        <v>16.930698953817409</v>
      </c>
      <c r="R153" s="2853">
        <f t="shared" si="927"/>
        <v>16.924601051722409</v>
      </c>
      <c r="S153" s="2853">
        <f t="shared" si="928"/>
        <v>6.0979020949999997E-3</v>
      </c>
      <c r="T153" s="2875">
        <f t="shared" si="798"/>
        <v>5.9914900000000006</v>
      </c>
      <c r="U153" s="2876">
        <v>5.99</v>
      </c>
      <c r="V153" s="2878">
        <v>1.49E-3</v>
      </c>
      <c r="W153" s="2875">
        <f t="shared" si="800"/>
        <v>2.67049</v>
      </c>
      <c r="X153" s="2876">
        <v>2.67</v>
      </c>
      <c r="Y153" s="2878">
        <v>4.8999999999999998E-4</v>
      </c>
      <c r="Z153" s="2875">
        <f t="shared" si="802"/>
        <v>0</v>
      </c>
      <c r="AA153" s="2876">
        <v>0</v>
      </c>
      <c r="AB153" s="2878">
        <v>0</v>
      </c>
      <c r="AC153" s="2875">
        <f t="shared" si="804"/>
        <v>8.6619799999999998</v>
      </c>
      <c r="AD153" s="2875">
        <f t="shared" si="805"/>
        <v>8.66</v>
      </c>
      <c r="AE153" s="2875">
        <f t="shared" si="805"/>
        <v>1.98E-3</v>
      </c>
      <c r="AF153" s="2856">
        <f t="shared" si="647"/>
        <v>33.861397907634817</v>
      </c>
      <c r="AG153" s="2856">
        <f t="shared" si="911"/>
        <v>33.849202103444817</v>
      </c>
      <c r="AH153" s="2856">
        <f t="shared" si="911"/>
        <v>1.2195804189999999E-2</v>
      </c>
      <c r="AI153" s="2870">
        <f t="shared" si="806"/>
        <v>45.713899999999995</v>
      </c>
      <c r="AJ153" s="2870">
        <f t="shared" si="806"/>
        <v>45.703999999999994</v>
      </c>
      <c r="AK153" s="2870">
        <f t="shared" si="806"/>
        <v>9.8999999999999991E-3</v>
      </c>
      <c r="AL153" s="2870">
        <f t="shared" si="807"/>
        <v>11.852502092365178</v>
      </c>
      <c r="AM153" s="2870">
        <f t="shared" si="807"/>
        <v>11.854797896555176</v>
      </c>
      <c r="AN153" s="2870">
        <f t="shared" si="807"/>
        <v>-2.2958041900000004E-3</v>
      </c>
      <c r="AO153" s="2853">
        <f t="shared" si="929"/>
        <v>16.930698953817409</v>
      </c>
      <c r="AP153" s="2853">
        <f t="shared" si="930"/>
        <v>16.924601051722409</v>
      </c>
      <c r="AQ153" s="2853">
        <f t="shared" si="930"/>
        <v>6.0979020949999997E-3</v>
      </c>
      <c r="AR153" s="2875">
        <f t="shared" si="810"/>
        <v>0</v>
      </c>
      <c r="AS153" s="2876">
        <v>0</v>
      </c>
      <c r="AT153" s="2878">
        <v>0</v>
      </c>
      <c r="AU153" s="2875">
        <f t="shared" si="812"/>
        <v>0</v>
      </c>
      <c r="AV153" s="2876">
        <v>0</v>
      </c>
      <c r="AW153" s="2878">
        <v>0</v>
      </c>
      <c r="AX153" s="2875">
        <f t="shared" si="814"/>
        <v>3.7692799999999997</v>
      </c>
      <c r="AY153" s="2876">
        <v>3.7679999999999998</v>
      </c>
      <c r="AZ153" s="2878">
        <v>1.2800000000000001E-3</v>
      </c>
      <c r="BA153" s="2875">
        <f t="shared" si="816"/>
        <v>3.7692799999999997</v>
      </c>
      <c r="BB153" s="2875">
        <f t="shared" si="817"/>
        <v>3.7679999999999998</v>
      </c>
      <c r="BC153" s="2875">
        <f t="shared" si="817"/>
        <v>1.2800000000000001E-3</v>
      </c>
      <c r="BD153" s="2856">
        <f t="shared" si="917"/>
        <v>50.792096861452229</v>
      </c>
      <c r="BE153" s="2856">
        <f t="shared" si="918"/>
        <v>50.773803155167229</v>
      </c>
      <c r="BF153" s="2856">
        <f t="shared" si="918"/>
        <v>1.8293706284999999E-2</v>
      </c>
      <c r="BG153" s="2870">
        <f t="shared" si="818"/>
        <v>49.483179999999997</v>
      </c>
      <c r="BH153" s="2870">
        <f t="shared" si="818"/>
        <v>49.471999999999994</v>
      </c>
      <c r="BI153" s="2870">
        <f t="shared" si="818"/>
        <v>1.1179999999999999E-2</v>
      </c>
      <c r="BJ153" s="2870">
        <f t="shared" si="819"/>
        <v>-1.3089168614522322</v>
      </c>
      <c r="BK153" s="2870">
        <f t="shared" si="819"/>
        <v>-1.3018031551672351</v>
      </c>
      <c r="BL153" s="2870">
        <f t="shared" si="819"/>
        <v>-7.1137062850000002E-3</v>
      </c>
      <c r="BM153" s="2853">
        <f t="shared" si="919"/>
        <v>16.930698953817409</v>
      </c>
      <c r="BN153" s="2853">
        <f t="shared" si="931"/>
        <v>16.924601051722409</v>
      </c>
      <c r="BO153" s="2853">
        <f t="shared" si="932"/>
        <v>6.0979020949999997E-3</v>
      </c>
      <c r="BP153" s="2875">
        <f t="shared" si="821"/>
        <v>5.84396</v>
      </c>
      <c r="BQ153" s="2876">
        <v>5.843</v>
      </c>
      <c r="BR153" s="2878">
        <v>9.6000000000000002E-4</v>
      </c>
      <c r="BS153" s="2875">
        <f t="shared" si="823"/>
        <v>7.9638799999999996</v>
      </c>
      <c r="BT153" s="2876">
        <v>7.9619999999999997</v>
      </c>
      <c r="BU153" s="2878">
        <v>1.8799999999999999E-3</v>
      </c>
      <c r="BV153" s="2875">
        <f t="shared" si="825"/>
        <v>9.7780299999999993</v>
      </c>
      <c r="BW153" s="2876">
        <v>9.7759999999999998</v>
      </c>
      <c r="BX153" s="2878">
        <v>2.0300000000000001E-3</v>
      </c>
      <c r="BY153" s="2875">
        <f t="shared" si="827"/>
        <v>23.58587</v>
      </c>
      <c r="BZ153" s="2875">
        <f t="shared" si="828"/>
        <v>23.581</v>
      </c>
      <c r="CA153" s="2875">
        <f t="shared" si="828"/>
        <v>4.8700000000000002E-3</v>
      </c>
      <c r="CB153" s="2856">
        <f t="shared" si="933"/>
        <v>67.722795815269635</v>
      </c>
      <c r="CC153" s="2856">
        <f>SUM('ОХР '!DD17)</f>
        <v>67.698404206889634</v>
      </c>
      <c r="CD153" s="2856">
        <f>0.02*1.219580419</f>
        <v>2.4391608379999999E-2</v>
      </c>
      <c r="CE153" s="2870">
        <f t="shared" si="829"/>
        <v>73.069050000000004</v>
      </c>
      <c r="CF153" s="2991">
        <f t="shared" si="829"/>
        <v>73.052999999999997</v>
      </c>
      <c r="CG153" s="2991">
        <f t="shared" si="829"/>
        <v>1.6049999999999998E-2</v>
      </c>
      <c r="CH153" s="2870">
        <f t="shared" si="830"/>
        <v>5.3462541847303697</v>
      </c>
      <c r="CI153" s="2870">
        <f t="shared" si="830"/>
        <v>5.3545957931103629</v>
      </c>
      <c r="CJ153" s="2870">
        <f t="shared" si="830"/>
        <v>-8.3416083800000006E-3</v>
      </c>
      <c r="CK153" s="2863"/>
      <c r="CL153" s="4187">
        <f t="shared" si="542"/>
        <v>67.722795815269635</v>
      </c>
      <c r="CM153" s="4187">
        <f t="shared" si="543"/>
        <v>67.698404206889634</v>
      </c>
      <c r="CN153" s="4187">
        <f t="shared" si="544"/>
        <v>2.4391608379999999E-2</v>
      </c>
    </row>
    <row r="154" spans="1:92" ht="18.75" customHeight="1" x14ac:dyDescent="0.3">
      <c r="A154" s="2879" t="s">
        <v>275</v>
      </c>
      <c r="B154" s="2853">
        <f t="shared" si="872"/>
        <v>20.001566187618014</v>
      </c>
      <c r="C154" s="2853">
        <f t="shared" si="924"/>
        <v>19.992419334475514</v>
      </c>
      <c r="D154" s="2853">
        <f t="shared" si="925"/>
        <v>9.1468531424999996E-3</v>
      </c>
      <c r="E154" s="2875">
        <f t="shared" si="669"/>
        <v>8.8956400000000002</v>
      </c>
      <c r="F154" s="2878">
        <v>8.8940000000000001</v>
      </c>
      <c r="G154" s="2878">
        <v>1.64E-3</v>
      </c>
      <c r="H154" s="2875">
        <f t="shared" si="791"/>
        <v>8.8520199999999996</v>
      </c>
      <c r="I154" s="2878">
        <v>8.85</v>
      </c>
      <c r="J154" s="2878">
        <v>2.0200000000000001E-3</v>
      </c>
      <c r="K154" s="2875">
        <f t="shared" si="793"/>
        <v>8.9480599999999999</v>
      </c>
      <c r="L154" s="2876">
        <v>8.9459999999999997</v>
      </c>
      <c r="M154" s="2878">
        <v>2.0600000000000002E-3</v>
      </c>
      <c r="N154" s="2875">
        <f t="shared" si="795"/>
        <v>26.695719999999998</v>
      </c>
      <c r="O154" s="2875">
        <f t="shared" si="796"/>
        <v>26.689999999999998</v>
      </c>
      <c r="P154" s="2875">
        <f t="shared" si="796"/>
        <v>5.7200000000000003E-3</v>
      </c>
      <c r="Q154" s="2853">
        <f t="shared" si="926"/>
        <v>20.001566187618014</v>
      </c>
      <c r="R154" s="2853">
        <f t="shared" si="927"/>
        <v>19.992419334475514</v>
      </c>
      <c r="S154" s="2853">
        <f t="shared" si="928"/>
        <v>9.1468531424999996E-3</v>
      </c>
      <c r="T154" s="2875">
        <f t="shared" si="798"/>
        <v>8.7021599999999992</v>
      </c>
      <c r="U154" s="2876">
        <v>8.6999999999999993</v>
      </c>
      <c r="V154" s="2878">
        <v>2.16E-3</v>
      </c>
      <c r="W154" s="2875">
        <f t="shared" si="800"/>
        <v>8.6605800000000013</v>
      </c>
      <c r="X154" s="2876">
        <v>8.6590000000000007</v>
      </c>
      <c r="Y154" s="2878">
        <v>1.58E-3</v>
      </c>
      <c r="Z154" s="2875">
        <f t="shared" si="802"/>
        <v>8.7672000000000008</v>
      </c>
      <c r="AA154" s="2876">
        <v>8.766</v>
      </c>
      <c r="AB154" s="2878">
        <v>1.1999999999999999E-3</v>
      </c>
      <c r="AC154" s="2875">
        <f t="shared" si="804"/>
        <v>26.129940000000001</v>
      </c>
      <c r="AD154" s="2875">
        <f t="shared" si="805"/>
        <v>26.125</v>
      </c>
      <c r="AE154" s="2875">
        <f t="shared" si="805"/>
        <v>4.9399999999999999E-3</v>
      </c>
      <c r="AF154" s="2856">
        <f t="shared" si="647"/>
        <v>40.003132375236028</v>
      </c>
      <c r="AG154" s="2856">
        <f t="shared" si="911"/>
        <v>39.984838668951028</v>
      </c>
      <c r="AH154" s="2856">
        <f t="shared" si="911"/>
        <v>1.8293706284999999E-2</v>
      </c>
      <c r="AI154" s="2870">
        <f t="shared" si="806"/>
        <v>52.825659999999999</v>
      </c>
      <c r="AJ154" s="2870">
        <f t="shared" si="806"/>
        <v>52.814999999999998</v>
      </c>
      <c r="AK154" s="2870">
        <f t="shared" si="806"/>
        <v>1.0659999999999999E-2</v>
      </c>
      <c r="AL154" s="2870">
        <f t="shared" si="807"/>
        <v>12.822527624763971</v>
      </c>
      <c r="AM154" s="2870">
        <f t="shared" si="807"/>
        <v>12.83016133104897</v>
      </c>
      <c r="AN154" s="2870">
        <f t="shared" si="807"/>
        <v>-7.6337062849999998E-3</v>
      </c>
      <c r="AO154" s="2853">
        <f t="shared" si="929"/>
        <v>20.001566187618014</v>
      </c>
      <c r="AP154" s="2853">
        <f t="shared" si="930"/>
        <v>19.992419334475514</v>
      </c>
      <c r="AQ154" s="2853">
        <f t="shared" si="930"/>
        <v>9.1468531424999996E-3</v>
      </c>
      <c r="AR154" s="2875">
        <f t="shared" si="810"/>
        <v>8.9211399999999994</v>
      </c>
      <c r="AS154" s="2876">
        <v>8.92</v>
      </c>
      <c r="AT154" s="2878">
        <v>1.14E-3</v>
      </c>
      <c r="AU154" s="2875">
        <f t="shared" si="812"/>
        <v>8.616200000000001</v>
      </c>
      <c r="AV154" s="2876">
        <v>8.6140000000000008</v>
      </c>
      <c r="AW154" s="2878">
        <v>2.2000000000000001E-3</v>
      </c>
      <c r="AX154" s="2875">
        <f t="shared" si="814"/>
        <v>8.5034999999999989</v>
      </c>
      <c r="AY154" s="2876">
        <v>8.5006199999999996</v>
      </c>
      <c r="AZ154" s="2878">
        <v>2.8800000000000002E-3</v>
      </c>
      <c r="BA154" s="2875">
        <f t="shared" si="816"/>
        <v>26.040839999999996</v>
      </c>
      <c r="BB154" s="2875">
        <f t="shared" si="817"/>
        <v>26.034619999999997</v>
      </c>
      <c r="BC154" s="2875">
        <f t="shared" si="817"/>
        <v>6.2199999999999998E-3</v>
      </c>
      <c r="BD154" s="2856">
        <f t="shared" si="917"/>
        <v>60.004698562854038</v>
      </c>
      <c r="BE154" s="2856">
        <f t="shared" si="918"/>
        <v>59.977258003426542</v>
      </c>
      <c r="BF154" s="2856">
        <f t="shared" si="918"/>
        <v>2.7440559427499997E-2</v>
      </c>
      <c r="BG154" s="2870">
        <f t="shared" si="818"/>
        <v>78.866500000000002</v>
      </c>
      <c r="BH154" s="2870">
        <f t="shared" si="818"/>
        <v>78.849619999999987</v>
      </c>
      <c r="BI154" s="2870">
        <f t="shared" si="818"/>
        <v>1.6879999999999999E-2</v>
      </c>
      <c r="BJ154" s="2870">
        <f t="shared" si="819"/>
        <v>18.861801437145964</v>
      </c>
      <c r="BK154" s="2870">
        <f t="shared" si="819"/>
        <v>18.872361996573446</v>
      </c>
      <c r="BL154" s="2870">
        <f t="shared" si="819"/>
        <v>-1.0560559427499998E-2</v>
      </c>
      <c r="BM154" s="2853">
        <f t="shared" si="919"/>
        <v>20.001566187618014</v>
      </c>
      <c r="BN154" s="2853">
        <f t="shared" si="931"/>
        <v>19.992419334475514</v>
      </c>
      <c r="BO154" s="2853">
        <f t="shared" si="932"/>
        <v>9.1468531424999996E-3</v>
      </c>
      <c r="BP154" s="2875">
        <f t="shared" si="821"/>
        <v>8.7964500000000001</v>
      </c>
      <c r="BQ154" s="2876">
        <v>8.7949999999999999</v>
      </c>
      <c r="BR154" s="2878">
        <v>1.4499999999999999E-3</v>
      </c>
      <c r="BS154" s="2875">
        <f t="shared" si="823"/>
        <v>8.6950500000000002</v>
      </c>
      <c r="BT154" s="2876">
        <v>8.6929999999999996</v>
      </c>
      <c r="BU154" s="2878">
        <v>2.0500000000000002E-3</v>
      </c>
      <c r="BV154" s="2875">
        <f t="shared" si="825"/>
        <v>8.74817</v>
      </c>
      <c r="BW154" s="2876">
        <v>8.7460000000000004</v>
      </c>
      <c r="BX154" s="2878">
        <v>2.1700000000000001E-3</v>
      </c>
      <c r="BY154" s="2875">
        <f t="shared" si="827"/>
        <v>26.23967</v>
      </c>
      <c r="BZ154" s="2875">
        <f t="shared" si="828"/>
        <v>26.234000000000002</v>
      </c>
      <c r="CA154" s="2875">
        <f t="shared" si="828"/>
        <v>5.6699999999999997E-3</v>
      </c>
      <c r="CB154" s="2856">
        <f t="shared" si="933"/>
        <v>80.006264750472056</v>
      </c>
      <c r="CC154" s="2856">
        <f>SUM('ОХР '!DD24)</f>
        <v>79.969677337902056</v>
      </c>
      <c r="CD154" s="2856">
        <f>0.03*1.219580419</f>
        <v>3.6587412569999998E-2</v>
      </c>
      <c r="CE154" s="2870">
        <f t="shared" si="829"/>
        <v>105.10617000000001</v>
      </c>
      <c r="CF154" s="2991">
        <f t="shared" si="829"/>
        <v>105.08362</v>
      </c>
      <c r="CG154" s="2991">
        <f t="shared" si="829"/>
        <v>2.2550000000000001E-2</v>
      </c>
      <c r="CH154" s="2870">
        <f t="shared" si="830"/>
        <v>25.09990524952795</v>
      </c>
      <c r="CI154" s="2870">
        <f t="shared" si="830"/>
        <v>25.113942662097941</v>
      </c>
      <c r="CJ154" s="2870">
        <f t="shared" si="830"/>
        <v>-1.4037412569999998E-2</v>
      </c>
      <c r="CK154" s="2863"/>
      <c r="CL154" s="4187">
        <f t="shared" si="542"/>
        <v>80.006264750472056</v>
      </c>
      <c r="CM154" s="4187">
        <f t="shared" si="543"/>
        <v>79.969677337902056</v>
      </c>
      <c r="CN154" s="4187">
        <f t="shared" si="544"/>
        <v>3.6587412569999998E-2</v>
      </c>
    </row>
    <row r="155" spans="1:92" ht="18.75" customHeight="1" x14ac:dyDescent="0.3">
      <c r="A155" s="2869" t="s">
        <v>3747</v>
      </c>
      <c r="B155" s="2853">
        <f t="shared" si="872"/>
        <v>432.41794564542272</v>
      </c>
      <c r="C155" s="2853">
        <f t="shared" si="924"/>
        <v>432.1974456454227</v>
      </c>
      <c r="D155" s="2853">
        <f t="shared" si="925"/>
        <v>0.2205</v>
      </c>
      <c r="E155" s="2875">
        <f t="shared" si="669"/>
        <v>190.38733999999999</v>
      </c>
      <c r="F155" s="2878">
        <f>190.155+0.188+0.00894</f>
        <v>190.35193999999998</v>
      </c>
      <c r="G155" s="2878">
        <v>3.5400000000000001E-2</v>
      </c>
      <c r="H155" s="2875">
        <f t="shared" si="791"/>
        <v>201.67277000000001</v>
      </c>
      <c r="I155" s="2878">
        <v>201.626</v>
      </c>
      <c r="J155" s="2878">
        <v>4.6769999999999999E-2</v>
      </c>
      <c r="K155" s="2875">
        <f t="shared" si="793"/>
        <v>393.99099999999999</v>
      </c>
      <c r="L155" s="2876">
        <v>393.9</v>
      </c>
      <c r="M155" s="2878">
        <v>9.0999999999999998E-2</v>
      </c>
      <c r="N155" s="2875">
        <f t="shared" si="795"/>
        <v>786.05110999999999</v>
      </c>
      <c r="O155" s="2875">
        <f t="shared" si="796"/>
        <v>785.87793999999997</v>
      </c>
      <c r="P155" s="2875">
        <f t="shared" si="796"/>
        <v>0.17316999999999999</v>
      </c>
      <c r="Q155" s="2853">
        <f t="shared" si="926"/>
        <v>432.41794564542272</v>
      </c>
      <c r="R155" s="2853">
        <f t="shared" si="927"/>
        <v>432.1974456454227</v>
      </c>
      <c r="S155" s="2853">
        <f t="shared" si="928"/>
        <v>0.2205</v>
      </c>
      <c r="T155" s="2875">
        <f t="shared" si="798"/>
        <v>218.56199999999998</v>
      </c>
      <c r="U155" s="2876">
        <v>218.51</v>
      </c>
      <c r="V155" s="2878">
        <v>5.1999999999999998E-2</v>
      </c>
      <c r="W155" s="2875">
        <f t="shared" si="800"/>
        <v>195.16417999999999</v>
      </c>
      <c r="X155" s="2876">
        <v>195.13</v>
      </c>
      <c r="Y155" s="2878">
        <v>3.4180000000000002E-2</v>
      </c>
      <c r="Z155" s="2875">
        <f t="shared" si="802"/>
        <v>197.82599999999999</v>
      </c>
      <c r="AA155" s="2876">
        <v>197.798</v>
      </c>
      <c r="AB155" s="2878">
        <v>2.8000000000000001E-2</v>
      </c>
      <c r="AC155" s="2875">
        <f t="shared" si="804"/>
        <v>611.55218000000002</v>
      </c>
      <c r="AD155" s="2875">
        <f t="shared" si="805"/>
        <v>611.43799999999999</v>
      </c>
      <c r="AE155" s="2875">
        <f t="shared" si="805"/>
        <v>0.11418</v>
      </c>
      <c r="AF155" s="2856">
        <f t="shared" si="647"/>
        <v>864.83589129084544</v>
      </c>
      <c r="AG155" s="2856">
        <f t="shared" si="911"/>
        <v>864.39489129084541</v>
      </c>
      <c r="AH155" s="2856">
        <f t="shared" si="911"/>
        <v>0.441</v>
      </c>
      <c r="AI155" s="2870">
        <f t="shared" si="806"/>
        <v>1397.60329</v>
      </c>
      <c r="AJ155" s="2870">
        <f t="shared" si="806"/>
        <v>1397.31594</v>
      </c>
      <c r="AK155" s="2870">
        <f t="shared" si="806"/>
        <v>0.28734999999999999</v>
      </c>
      <c r="AL155" s="2870">
        <f t="shared" si="807"/>
        <v>532.76739870915458</v>
      </c>
      <c r="AM155" s="2870">
        <f t="shared" si="807"/>
        <v>532.92104870915455</v>
      </c>
      <c r="AN155" s="2870">
        <f t="shared" si="807"/>
        <v>-0.15365000000000001</v>
      </c>
      <c r="AO155" s="2853">
        <f t="shared" si="929"/>
        <v>432.41794564542272</v>
      </c>
      <c r="AP155" s="2853">
        <f t="shared" si="930"/>
        <v>432.1974456454227</v>
      </c>
      <c r="AQ155" s="2853">
        <f t="shared" si="930"/>
        <v>0.2205</v>
      </c>
      <c r="AR155" s="2875">
        <f t="shared" si="810"/>
        <v>173.90058999999999</v>
      </c>
      <c r="AS155" s="2876">
        <v>173.88</v>
      </c>
      <c r="AT155" s="2878">
        <v>2.0590000000000001E-2</v>
      </c>
      <c r="AU155" s="2875">
        <f t="shared" si="812"/>
        <v>84.534000000000006</v>
      </c>
      <c r="AV155" s="2876">
        <v>84.513000000000005</v>
      </c>
      <c r="AW155" s="2878">
        <v>2.1000000000000001E-2</v>
      </c>
      <c r="AX155" s="2875">
        <f t="shared" si="814"/>
        <v>347.35623999999996</v>
      </c>
      <c r="AY155" s="2876">
        <v>347.23899999999998</v>
      </c>
      <c r="AZ155" s="2878">
        <v>0.11724</v>
      </c>
      <c r="BA155" s="2875">
        <f t="shared" si="816"/>
        <v>605.79083000000003</v>
      </c>
      <c r="BB155" s="2875">
        <f t="shared" si="817"/>
        <v>605.63200000000006</v>
      </c>
      <c r="BC155" s="2875">
        <f t="shared" si="817"/>
        <v>0.15883</v>
      </c>
      <c r="BD155" s="2856">
        <f t="shared" si="917"/>
        <v>1297.253836936268</v>
      </c>
      <c r="BE155" s="2856">
        <f t="shared" si="918"/>
        <v>1296.5923369362681</v>
      </c>
      <c r="BF155" s="2856">
        <f t="shared" si="918"/>
        <v>0.66149999999999998</v>
      </c>
      <c r="BG155" s="2870">
        <f t="shared" si="818"/>
        <v>2003.3941199999999</v>
      </c>
      <c r="BH155" s="2870">
        <f t="shared" si="818"/>
        <v>2002.94794</v>
      </c>
      <c r="BI155" s="2870">
        <f t="shared" si="818"/>
        <v>0.44618000000000002</v>
      </c>
      <c r="BJ155" s="2870">
        <f t="shared" si="819"/>
        <v>706.14028306373189</v>
      </c>
      <c r="BK155" s="2870">
        <f t="shared" si="819"/>
        <v>706.35560306373191</v>
      </c>
      <c r="BL155" s="2870">
        <f t="shared" si="819"/>
        <v>-0.21531999999999996</v>
      </c>
      <c r="BM155" s="2853">
        <f t="shared" si="919"/>
        <v>432.41794564542272</v>
      </c>
      <c r="BN155" s="2853">
        <f t="shared" si="931"/>
        <v>432.1974456454227</v>
      </c>
      <c r="BO155" s="2853">
        <f t="shared" si="932"/>
        <v>0.2205</v>
      </c>
      <c r="BP155" s="2875">
        <f t="shared" si="821"/>
        <v>174.21875</v>
      </c>
      <c r="BQ155" s="2876">
        <v>174.19</v>
      </c>
      <c r="BR155" s="2878">
        <v>2.8750000000000001E-2</v>
      </c>
      <c r="BS155" s="2875">
        <f t="shared" si="823"/>
        <v>211.37449999999998</v>
      </c>
      <c r="BT155" s="2876">
        <v>211.32499999999999</v>
      </c>
      <c r="BU155" s="2878">
        <v>4.9500000000000002E-2</v>
      </c>
      <c r="BV155" s="2875">
        <f t="shared" si="825"/>
        <v>187.47499999999999</v>
      </c>
      <c r="BW155" s="2876">
        <v>187.43299999999999</v>
      </c>
      <c r="BX155" s="2878">
        <v>4.2000000000000003E-2</v>
      </c>
      <c r="BY155" s="2875">
        <f t="shared" si="827"/>
        <v>573.06825000000003</v>
      </c>
      <c r="BZ155" s="2875">
        <f t="shared" si="828"/>
        <v>572.94799999999998</v>
      </c>
      <c r="CA155" s="2875">
        <f t="shared" si="828"/>
        <v>0.12025</v>
      </c>
      <c r="CB155" s="2856">
        <f t="shared" si="933"/>
        <v>1729.6717825816909</v>
      </c>
      <c r="CC155" s="4190">
        <f>SUM(CC149-((CC150+CC151+CC152+CC153+CC154)))</f>
        <v>1728.7897825816908</v>
      </c>
      <c r="CD155" s="2856">
        <v>0.88200000000000001</v>
      </c>
      <c r="CE155" s="2870">
        <f t="shared" si="829"/>
        <v>2576.4623700000002</v>
      </c>
      <c r="CF155" s="2991">
        <f t="shared" si="829"/>
        <v>2575.8959399999999</v>
      </c>
      <c r="CG155" s="2991">
        <f t="shared" si="829"/>
        <v>0.56642999999999999</v>
      </c>
      <c r="CH155" s="2870">
        <f t="shared" si="830"/>
        <v>846.79058741830931</v>
      </c>
      <c r="CI155" s="2870">
        <f t="shared" si="830"/>
        <v>847.10615741830907</v>
      </c>
      <c r="CJ155" s="2870">
        <f t="shared" si="830"/>
        <v>-0.31557000000000002</v>
      </c>
      <c r="CK155" s="2863"/>
      <c r="CL155" s="4187">
        <f t="shared" si="542"/>
        <v>1729.6717825816909</v>
      </c>
      <c r="CM155" s="4187">
        <f t="shared" si="543"/>
        <v>1728.7897825816908</v>
      </c>
      <c r="CN155" s="4187">
        <f t="shared" si="544"/>
        <v>0.88200000000000001</v>
      </c>
    </row>
    <row r="156" spans="1:92" ht="18.75" customHeight="1" x14ac:dyDescent="0.3">
      <c r="A156" s="2842" t="s">
        <v>3748</v>
      </c>
      <c r="B156" s="2845">
        <f t="shared" ref="B156:B158" si="934">SUM(C156:D156)</f>
        <v>0</v>
      </c>
      <c r="C156" s="2845">
        <f t="shared" ref="C156:C157" si="935">SUM(CC156/4)</f>
        <v>0</v>
      </c>
      <c r="D156" s="2845">
        <f t="shared" ref="D156:D157" si="936">SUM(CD156/4)</f>
        <v>0</v>
      </c>
      <c r="E156" s="2865">
        <f t="shared" si="669"/>
        <v>0</v>
      </c>
      <c r="F156" s="2843"/>
      <c r="G156" s="2843"/>
      <c r="H156" s="2865">
        <f t="shared" si="791"/>
        <v>0</v>
      </c>
      <c r="I156" s="2843"/>
      <c r="J156" s="2843"/>
      <c r="K156" s="2865">
        <f t="shared" si="793"/>
        <v>0</v>
      </c>
      <c r="L156" s="2843"/>
      <c r="M156" s="2843"/>
      <c r="N156" s="2865">
        <f t="shared" si="795"/>
        <v>0</v>
      </c>
      <c r="O156" s="2865">
        <f t="shared" si="796"/>
        <v>0</v>
      </c>
      <c r="P156" s="2865">
        <f t="shared" si="796"/>
        <v>0</v>
      </c>
      <c r="Q156" s="2845">
        <f t="shared" ref="Q156:Q157" si="937">SUM(R156:S156)</f>
        <v>0</v>
      </c>
      <c r="R156" s="2845">
        <f t="shared" si="927"/>
        <v>0</v>
      </c>
      <c r="S156" s="2845">
        <f t="shared" si="928"/>
        <v>0</v>
      </c>
      <c r="T156" s="2865">
        <f t="shared" si="798"/>
        <v>0</v>
      </c>
      <c r="U156" s="2843"/>
      <c r="V156" s="2845"/>
      <c r="W156" s="2865">
        <f t="shared" si="800"/>
        <v>0</v>
      </c>
      <c r="X156" s="2843"/>
      <c r="Y156" s="2843"/>
      <c r="Z156" s="2865">
        <f t="shared" si="802"/>
        <v>0</v>
      </c>
      <c r="AA156" s="2843"/>
      <c r="AB156" s="2843"/>
      <c r="AC156" s="2865">
        <f t="shared" si="804"/>
        <v>0</v>
      </c>
      <c r="AD156" s="2865">
        <f t="shared" si="805"/>
        <v>0</v>
      </c>
      <c r="AE156" s="2865">
        <f t="shared" si="805"/>
        <v>0</v>
      </c>
      <c r="AF156" s="2846">
        <f t="shared" si="647"/>
        <v>0</v>
      </c>
      <c r="AG156" s="2846">
        <f t="shared" ref="AG156:AH159" si="938">SUM(C156+R156)</f>
        <v>0</v>
      </c>
      <c r="AH156" s="2846">
        <f t="shared" si="938"/>
        <v>0</v>
      </c>
      <c r="AI156" s="2867">
        <f t="shared" si="806"/>
        <v>0</v>
      </c>
      <c r="AJ156" s="2867">
        <f t="shared" si="806"/>
        <v>0</v>
      </c>
      <c r="AK156" s="2867">
        <f t="shared" si="806"/>
        <v>0</v>
      </c>
      <c r="AL156" s="2867">
        <f t="shared" si="807"/>
        <v>0</v>
      </c>
      <c r="AM156" s="2867">
        <f t="shared" si="807"/>
        <v>0</v>
      </c>
      <c r="AN156" s="2867">
        <f t="shared" si="807"/>
        <v>0</v>
      </c>
      <c r="AO156" s="2845">
        <f t="shared" ref="AO156:AO158" si="939">SUM(AP156:AQ156)</f>
        <v>0</v>
      </c>
      <c r="AP156" s="2845">
        <f t="shared" ref="AP156:AP157" si="940">SUM(CC156-AG156)/2</f>
        <v>0</v>
      </c>
      <c r="AQ156" s="2845">
        <f t="shared" ref="AQ156:AQ157" si="941">SUM(CD156-AH156)/2</f>
        <v>0</v>
      </c>
      <c r="AR156" s="2865">
        <f t="shared" si="810"/>
        <v>0</v>
      </c>
      <c r="AS156" s="2843"/>
      <c r="AT156" s="2845"/>
      <c r="AU156" s="2865">
        <f t="shared" si="812"/>
        <v>0</v>
      </c>
      <c r="AV156" s="2843"/>
      <c r="AW156" s="2843"/>
      <c r="AX156" s="2865">
        <f t="shared" si="814"/>
        <v>0</v>
      </c>
      <c r="AY156" s="2843"/>
      <c r="AZ156" s="2843"/>
      <c r="BA156" s="2865">
        <f t="shared" si="816"/>
        <v>0</v>
      </c>
      <c r="BB156" s="2865">
        <f t="shared" si="817"/>
        <v>0</v>
      </c>
      <c r="BC156" s="2865">
        <f t="shared" si="817"/>
        <v>0</v>
      </c>
      <c r="BD156" s="2846">
        <f t="shared" ref="BD156:BD157" si="942">SUM(BE156:BF156)</f>
        <v>0</v>
      </c>
      <c r="BE156" s="2846">
        <f t="shared" si="918"/>
        <v>0</v>
      </c>
      <c r="BF156" s="2846">
        <f t="shared" si="918"/>
        <v>0</v>
      </c>
      <c r="BG156" s="2867">
        <f t="shared" si="818"/>
        <v>0</v>
      </c>
      <c r="BH156" s="2867">
        <f t="shared" si="818"/>
        <v>0</v>
      </c>
      <c r="BI156" s="2867">
        <f t="shared" si="818"/>
        <v>0</v>
      </c>
      <c r="BJ156" s="2867">
        <f t="shared" si="819"/>
        <v>0</v>
      </c>
      <c r="BK156" s="2867">
        <f t="shared" si="819"/>
        <v>0</v>
      </c>
      <c r="BL156" s="2867">
        <f t="shared" si="819"/>
        <v>0</v>
      </c>
      <c r="BM156" s="2845">
        <f t="shared" si="919"/>
        <v>0</v>
      </c>
      <c r="BN156" s="2845">
        <f t="shared" si="931"/>
        <v>0</v>
      </c>
      <c r="BO156" s="2845">
        <f t="shared" si="932"/>
        <v>0</v>
      </c>
      <c r="BP156" s="2865">
        <f t="shared" si="821"/>
        <v>0</v>
      </c>
      <c r="BQ156" s="2843"/>
      <c r="BR156" s="2843"/>
      <c r="BS156" s="2865">
        <f t="shared" si="823"/>
        <v>0</v>
      </c>
      <c r="BT156" s="2843"/>
      <c r="BU156" s="2843"/>
      <c r="BV156" s="2865">
        <f t="shared" si="825"/>
        <v>0</v>
      </c>
      <c r="BW156" s="2843"/>
      <c r="BX156" s="2843"/>
      <c r="BY156" s="2865">
        <f t="shared" si="827"/>
        <v>0</v>
      </c>
      <c r="BZ156" s="2865">
        <f t="shared" si="828"/>
        <v>0</v>
      </c>
      <c r="CA156" s="2865">
        <f t="shared" si="828"/>
        <v>0</v>
      </c>
      <c r="CB156" s="2846">
        <v>0</v>
      </c>
      <c r="CC156" s="2846">
        <v>0</v>
      </c>
      <c r="CD156" s="2846">
        <v>0</v>
      </c>
      <c r="CE156" s="2867">
        <f t="shared" si="829"/>
        <v>0</v>
      </c>
      <c r="CF156" s="2982">
        <f t="shared" si="829"/>
        <v>0</v>
      </c>
      <c r="CG156" s="2982">
        <f t="shared" si="829"/>
        <v>0</v>
      </c>
      <c r="CH156" s="2867">
        <f t="shared" si="830"/>
        <v>0</v>
      </c>
      <c r="CI156" s="2867">
        <f t="shared" si="830"/>
        <v>0</v>
      </c>
      <c r="CJ156" s="2867">
        <f t="shared" si="830"/>
        <v>0</v>
      </c>
      <c r="CK156" s="2863"/>
      <c r="CL156" s="4187">
        <f t="shared" si="542"/>
        <v>0</v>
      </c>
      <c r="CM156" s="4187">
        <f t="shared" si="543"/>
        <v>0</v>
      </c>
      <c r="CN156" s="4187">
        <f t="shared" si="544"/>
        <v>0</v>
      </c>
    </row>
    <row r="157" spans="1:92" ht="18.75" customHeight="1" x14ac:dyDescent="0.3">
      <c r="A157" s="2842" t="s">
        <v>3749</v>
      </c>
      <c r="B157" s="2845">
        <f t="shared" si="934"/>
        <v>0</v>
      </c>
      <c r="C157" s="2845">
        <f t="shared" si="935"/>
        <v>0</v>
      </c>
      <c r="D157" s="2845">
        <f t="shared" si="936"/>
        <v>0</v>
      </c>
      <c r="E157" s="2865">
        <f t="shared" si="669"/>
        <v>0</v>
      </c>
      <c r="F157" s="2866"/>
      <c r="G157" s="2866"/>
      <c r="H157" s="2865">
        <f t="shared" si="791"/>
        <v>0</v>
      </c>
      <c r="I157" s="2866"/>
      <c r="J157" s="2866"/>
      <c r="K157" s="2865">
        <f t="shared" si="793"/>
        <v>0</v>
      </c>
      <c r="L157" s="2866"/>
      <c r="M157" s="2866"/>
      <c r="N157" s="2865">
        <f t="shared" ref="N157:N159" si="943">SUM(O157:P157)</f>
        <v>0</v>
      </c>
      <c r="O157" s="2865">
        <f t="shared" ref="O157:P159" si="944">SUM(F157+I157+L157)</f>
        <v>0</v>
      </c>
      <c r="P157" s="2865">
        <f t="shared" si="944"/>
        <v>0</v>
      </c>
      <c r="Q157" s="2845">
        <f t="shared" si="937"/>
        <v>0</v>
      </c>
      <c r="R157" s="2845">
        <f t="shared" si="927"/>
        <v>0</v>
      </c>
      <c r="S157" s="2845">
        <f t="shared" si="928"/>
        <v>0</v>
      </c>
      <c r="T157" s="2865">
        <f t="shared" si="798"/>
        <v>0</v>
      </c>
      <c r="U157" s="2866"/>
      <c r="V157" s="4224"/>
      <c r="W157" s="2865">
        <f t="shared" si="800"/>
        <v>0</v>
      </c>
      <c r="X157" s="2866"/>
      <c r="Y157" s="2866"/>
      <c r="Z157" s="2865">
        <f t="shared" si="802"/>
        <v>0</v>
      </c>
      <c r="AA157" s="2866"/>
      <c r="AB157" s="2866"/>
      <c r="AC157" s="2865">
        <f t="shared" si="804"/>
        <v>0</v>
      </c>
      <c r="AD157" s="2865">
        <f t="shared" si="805"/>
        <v>0</v>
      </c>
      <c r="AE157" s="2865">
        <f t="shared" si="805"/>
        <v>0</v>
      </c>
      <c r="AF157" s="2846">
        <f t="shared" si="647"/>
        <v>0</v>
      </c>
      <c r="AG157" s="2846">
        <f t="shared" si="938"/>
        <v>0</v>
      </c>
      <c r="AH157" s="2846">
        <f t="shared" si="938"/>
        <v>0</v>
      </c>
      <c r="AI157" s="2867">
        <f t="shared" si="806"/>
        <v>0</v>
      </c>
      <c r="AJ157" s="2867">
        <f t="shared" si="806"/>
        <v>0</v>
      </c>
      <c r="AK157" s="2867">
        <f t="shared" si="806"/>
        <v>0</v>
      </c>
      <c r="AL157" s="2867">
        <f t="shared" si="807"/>
        <v>0</v>
      </c>
      <c r="AM157" s="2867">
        <f t="shared" si="807"/>
        <v>0</v>
      </c>
      <c r="AN157" s="2867">
        <f t="shared" si="807"/>
        <v>0</v>
      </c>
      <c r="AO157" s="2845">
        <f t="shared" si="939"/>
        <v>0</v>
      </c>
      <c r="AP157" s="2845">
        <f t="shared" si="940"/>
        <v>0</v>
      </c>
      <c r="AQ157" s="2845">
        <f t="shared" si="941"/>
        <v>0</v>
      </c>
      <c r="AR157" s="2865">
        <f t="shared" si="810"/>
        <v>0</v>
      </c>
      <c r="AS157" s="2866"/>
      <c r="AT157" s="4224"/>
      <c r="AU157" s="2865">
        <f t="shared" si="812"/>
        <v>0</v>
      </c>
      <c r="AV157" s="2866"/>
      <c r="AW157" s="2866"/>
      <c r="AX157" s="2865">
        <f t="shared" si="814"/>
        <v>0</v>
      </c>
      <c r="AY157" s="2866"/>
      <c r="AZ157" s="2866"/>
      <c r="BA157" s="2865">
        <f t="shared" si="816"/>
        <v>0</v>
      </c>
      <c r="BB157" s="2865">
        <f t="shared" si="817"/>
        <v>0</v>
      </c>
      <c r="BC157" s="2865">
        <f t="shared" si="817"/>
        <v>0</v>
      </c>
      <c r="BD157" s="2846">
        <f t="shared" si="942"/>
        <v>0</v>
      </c>
      <c r="BE157" s="2846">
        <f t="shared" si="918"/>
        <v>0</v>
      </c>
      <c r="BF157" s="2846">
        <f t="shared" si="918"/>
        <v>0</v>
      </c>
      <c r="BG157" s="2867">
        <f t="shared" si="818"/>
        <v>0</v>
      </c>
      <c r="BH157" s="2867">
        <f t="shared" si="818"/>
        <v>0</v>
      </c>
      <c r="BI157" s="2867">
        <f t="shared" si="818"/>
        <v>0</v>
      </c>
      <c r="BJ157" s="2867">
        <f t="shared" si="819"/>
        <v>0</v>
      </c>
      <c r="BK157" s="2867">
        <f t="shared" si="819"/>
        <v>0</v>
      </c>
      <c r="BL157" s="2867">
        <f t="shared" si="819"/>
        <v>0</v>
      </c>
      <c r="BM157" s="2845">
        <f t="shared" si="919"/>
        <v>0</v>
      </c>
      <c r="BN157" s="2845">
        <f t="shared" si="931"/>
        <v>0</v>
      </c>
      <c r="BO157" s="2845">
        <f t="shared" si="932"/>
        <v>0</v>
      </c>
      <c r="BP157" s="2865">
        <f t="shared" si="821"/>
        <v>0</v>
      </c>
      <c r="BQ157" s="2866"/>
      <c r="BR157" s="2866"/>
      <c r="BS157" s="2865">
        <f t="shared" si="823"/>
        <v>0</v>
      </c>
      <c r="BT157" s="2866"/>
      <c r="BU157" s="2866"/>
      <c r="BV157" s="2865">
        <f t="shared" si="825"/>
        <v>0</v>
      </c>
      <c r="BW157" s="2866"/>
      <c r="BX157" s="2866"/>
      <c r="BY157" s="2865">
        <f t="shared" si="827"/>
        <v>0</v>
      </c>
      <c r="BZ157" s="2865">
        <f t="shared" si="828"/>
        <v>0</v>
      </c>
      <c r="CA157" s="2865">
        <f t="shared" si="828"/>
        <v>0</v>
      </c>
      <c r="CB157" s="2846">
        <f t="shared" ref="CB157" si="945">SUM(CC157:CD157)</f>
        <v>0</v>
      </c>
      <c r="CC157" s="2846">
        <f>SUM(вода!CV61)</f>
        <v>0</v>
      </c>
      <c r="CD157" s="2846">
        <v>0</v>
      </c>
      <c r="CE157" s="2867">
        <f t="shared" si="829"/>
        <v>0</v>
      </c>
      <c r="CF157" s="2982">
        <f t="shared" si="829"/>
        <v>0</v>
      </c>
      <c r="CG157" s="2982">
        <f t="shared" si="829"/>
        <v>0</v>
      </c>
      <c r="CH157" s="2867">
        <f t="shared" si="830"/>
        <v>0</v>
      </c>
      <c r="CI157" s="2867">
        <f t="shared" si="830"/>
        <v>0</v>
      </c>
      <c r="CJ157" s="2867">
        <f t="shared" si="830"/>
        <v>0</v>
      </c>
      <c r="CK157" s="2863"/>
      <c r="CL157" s="4187">
        <f t="shared" ref="CL157:CL161" si="946">SUM(B157+Q157+AO157+BM157)</f>
        <v>0</v>
      </c>
      <c r="CM157" s="4187">
        <f t="shared" ref="CM157:CM161" si="947">SUM(C157+R157+AP157+BN157)</f>
        <v>0</v>
      </c>
      <c r="CN157" s="4187">
        <f t="shared" ref="CN157:CN161" si="948">SUM(D157+S157+AQ157+BO157)</f>
        <v>0</v>
      </c>
    </row>
    <row r="158" spans="1:92" ht="18.75" customHeight="1" x14ac:dyDescent="0.3">
      <c r="A158" s="2871" t="s">
        <v>12</v>
      </c>
      <c r="B158" s="2837">
        <f t="shared" si="934"/>
        <v>36534.536921275612</v>
      </c>
      <c r="C158" s="2837">
        <f t="shared" ref="C158:D158" si="949">SUM(C29+C53+C99+C123+C143+C149+C156+C157)</f>
        <v>36527.314257918246</v>
      </c>
      <c r="D158" s="2837">
        <f t="shared" si="949"/>
        <v>7.2226633573686616</v>
      </c>
      <c r="E158" s="2836">
        <f>SUM(E29+E53+E99+E123+E143+E149+E156+E157)</f>
        <v>10285.300159999999</v>
      </c>
      <c r="F158" s="2837">
        <f>SUM(F29+F53+F99+F123+F143+F149+F156+F157)</f>
        <v>10284.00073</v>
      </c>
      <c r="G158" s="2837">
        <f t="shared" ref="G158:M158" si="950">SUM(G29+G53+G99+G123+G143+G149+G156+G157)</f>
        <v>1.2994300000000001</v>
      </c>
      <c r="H158" s="2836">
        <f t="shared" si="950"/>
        <v>10148.344949999999</v>
      </c>
      <c r="I158" s="2837">
        <f t="shared" si="950"/>
        <v>10146.746789999999</v>
      </c>
      <c r="J158" s="2837">
        <f t="shared" si="950"/>
        <v>1.5981599999999998</v>
      </c>
      <c r="K158" s="2836">
        <f t="shared" si="950"/>
        <v>14182.49145</v>
      </c>
      <c r="L158" s="2836">
        <f t="shared" si="950"/>
        <v>14180.630430000001</v>
      </c>
      <c r="M158" s="2837">
        <f t="shared" si="950"/>
        <v>1.8610199999999997</v>
      </c>
      <c r="N158" s="2959">
        <f t="shared" si="943"/>
        <v>34616.136559999992</v>
      </c>
      <c r="O158" s="2959">
        <f t="shared" si="944"/>
        <v>34611.377949999995</v>
      </c>
      <c r="P158" s="2959">
        <f t="shared" si="944"/>
        <v>4.75861</v>
      </c>
      <c r="Q158" s="2837">
        <f t="shared" ref="Q158" si="951">SUM(R158:S158)</f>
        <v>36534.536921275612</v>
      </c>
      <c r="R158" s="2837">
        <f t="shared" ref="R158:S158" si="952">SUM(R29+R53+R99+R123+R143+R149+R156+R157)</f>
        <v>36527.314257918246</v>
      </c>
      <c r="S158" s="2837">
        <f t="shared" si="952"/>
        <v>7.2226633573686616</v>
      </c>
      <c r="T158" s="2836">
        <f>SUM(T29+T53+T99+T123+T143+T149+T156+T157)</f>
        <v>12846.751340000001</v>
      </c>
      <c r="U158" s="2836">
        <f t="shared" ref="U158:AB158" si="953">SUM(U29+U53+U99+U123+U143+U149+U156+U157)</f>
        <v>12844.734999999999</v>
      </c>
      <c r="V158" s="2837">
        <f t="shared" si="953"/>
        <v>2.0163399999999996</v>
      </c>
      <c r="W158" s="2836">
        <f t="shared" si="953"/>
        <v>13323.357759999999</v>
      </c>
      <c r="X158" s="2836">
        <f t="shared" si="953"/>
        <v>13321.728999999999</v>
      </c>
      <c r="Y158" s="2836">
        <f t="shared" si="953"/>
        <v>1.62876</v>
      </c>
      <c r="Z158" s="2836">
        <f t="shared" si="953"/>
        <v>11143.182200000001</v>
      </c>
      <c r="AA158" s="2837">
        <f t="shared" si="953"/>
        <v>11142.066000000001</v>
      </c>
      <c r="AB158" s="2837">
        <f t="shared" si="953"/>
        <v>1.1161999999999999</v>
      </c>
      <c r="AC158" s="2861">
        <f t="shared" si="804"/>
        <v>37313.291299999997</v>
      </c>
      <c r="AD158" s="2861">
        <f t="shared" si="805"/>
        <v>37308.53</v>
      </c>
      <c r="AE158" s="2861">
        <f t="shared" si="805"/>
        <v>4.7612999999999994</v>
      </c>
      <c r="AF158" s="2839">
        <f t="shared" ref="AF158" si="954">SUM(AG158:AH158)</f>
        <v>73069.073842551225</v>
      </c>
      <c r="AG158" s="2839">
        <f t="shared" ref="AG158:AG159" si="955">SUM(C158+R158)</f>
        <v>73054.628515836492</v>
      </c>
      <c r="AH158" s="2839">
        <f t="shared" si="938"/>
        <v>14.445326714737323</v>
      </c>
      <c r="AI158" s="2862">
        <f t="shared" si="806"/>
        <v>71929.427859999996</v>
      </c>
      <c r="AJ158" s="2981">
        <f t="shared" si="806"/>
        <v>71919.907949999993</v>
      </c>
      <c r="AK158" s="2862">
        <f t="shared" si="806"/>
        <v>9.5199099999999994</v>
      </c>
      <c r="AL158" s="2862">
        <f t="shared" si="807"/>
        <v>-1139.6459825512284</v>
      </c>
      <c r="AM158" s="2862">
        <f t="shared" si="807"/>
        <v>-1134.7205658364983</v>
      </c>
      <c r="AN158" s="2862">
        <f t="shared" si="807"/>
        <v>-4.9254167147373238</v>
      </c>
      <c r="AO158" s="2837">
        <f t="shared" si="939"/>
        <v>36652.474378073188</v>
      </c>
      <c r="AP158" s="2837">
        <f t="shared" ref="AP158:AQ158" si="956">SUM(AP29+AP53+AP99+AP123+AP143+AP149+AP156+AP157)</f>
        <v>36645.230572334302</v>
      </c>
      <c r="AQ158" s="2837">
        <f t="shared" si="956"/>
        <v>7.2438057388856372</v>
      </c>
      <c r="AR158" s="2836">
        <f>SUM(AR29+AR53+AR99+AR123+AR143+AR149+AR156+AR157)</f>
        <v>12667.22249</v>
      </c>
      <c r="AS158" s="2836">
        <f t="shared" ref="AS158:AZ158" si="957">SUM(AS29+AS53+AS99+AS123+AS143+AS149+AS156+AS157)</f>
        <v>12666.143</v>
      </c>
      <c r="AT158" s="2836">
        <f t="shared" si="957"/>
        <v>1.0794900000000001</v>
      </c>
      <c r="AU158" s="2836">
        <f t="shared" si="957"/>
        <v>9711.4398000000001</v>
      </c>
      <c r="AV158" s="2837">
        <f t="shared" si="957"/>
        <v>9709.5679999999993</v>
      </c>
      <c r="AW158" s="2837">
        <f t="shared" si="957"/>
        <v>1.8718000000000001</v>
      </c>
      <c r="AX158" s="2836">
        <f t="shared" si="957"/>
        <v>13676.95039</v>
      </c>
      <c r="AY158" s="2836">
        <f t="shared" si="957"/>
        <v>13674.306619999999</v>
      </c>
      <c r="AZ158" s="2836">
        <f t="shared" si="957"/>
        <v>2.64377</v>
      </c>
      <c r="BA158" s="2861">
        <f t="shared" si="816"/>
        <v>36055.612679999998</v>
      </c>
      <c r="BB158" s="2861">
        <f t="shared" si="817"/>
        <v>36050.017619999999</v>
      </c>
      <c r="BC158" s="2861">
        <f t="shared" si="817"/>
        <v>5.5950600000000001</v>
      </c>
      <c r="BD158" s="2839">
        <f t="shared" ref="BD158" si="958">SUM(BE158:BF158)</f>
        <v>109721.54822062442</v>
      </c>
      <c r="BE158" s="2839">
        <f t="shared" ref="BE158" si="959">SUM(AG158+AP158)</f>
        <v>109699.85908817079</v>
      </c>
      <c r="BF158" s="2839">
        <f t="shared" ref="BF158:BF159" si="960">SUM(AH158+AQ158)</f>
        <v>21.68913245362296</v>
      </c>
      <c r="BG158" s="2862">
        <f t="shared" si="818"/>
        <v>107985.04053999999</v>
      </c>
      <c r="BH158" s="2862">
        <f t="shared" si="818"/>
        <v>107969.92556999999</v>
      </c>
      <c r="BI158" s="2862">
        <f t="shared" si="818"/>
        <v>15.11497</v>
      </c>
      <c r="BJ158" s="2862">
        <f t="shared" si="819"/>
        <v>-1736.5076806244324</v>
      </c>
      <c r="BK158" s="2862">
        <f t="shared" si="819"/>
        <v>-1729.9335181708011</v>
      </c>
      <c r="BL158" s="2862">
        <f t="shared" si="819"/>
        <v>-6.5741624536229608</v>
      </c>
      <c r="BM158" s="2837">
        <f t="shared" ref="BM158" si="961">SUM(BN158:BO158)</f>
        <v>36652.474378073188</v>
      </c>
      <c r="BN158" s="2837">
        <f t="shared" ref="BN158:BO158" si="962">SUM(BN29+BN53+BN99+BN123+BN143+BN149+BN156+BN157)</f>
        <v>36645.230572334302</v>
      </c>
      <c r="BO158" s="2837">
        <f t="shared" si="962"/>
        <v>7.2438057388856372</v>
      </c>
      <c r="BP158" s="2836">
        <f>SUM(BP29+BP53+BP99+BP123+BP143+BP149+BP156+BP157)</f>
        <v>10698.502369999998</v>
      </c>
      <c r="BQ158" s="2836">
        <f t="shared" ref="BQ158:BX158" si="963">SUM(BQ29+BQ53+BQ99+BQ123+BQ143+BQ149+BQ156+BQ157)</f>
        <v>10697.340999999999</v>
      </c>
      <c r="BR158" s="2837">
        <f t="shared" si="963"/>
        <v>1.16137</v>
      </c>
      <c r="BS158" s="2836">
        <f t="shared" si="963"/>
        <v>12223.703600000001</v>
      </c>
      <c r="BT158" s="2836">
        <f t="shared" si="963"/>
        <v>12221.908399999998</v>
      </c>
      <c r="BU158" s="2837">
        <f t="shared" si="963"/>
        <v>1.7952000000000001</v>
      </c>
      <c r="BV158" s="2836">
        <f t="shared" si="963"/>
        <v>13542.931989999999</v>
      </c>
      <c r="BW158" s="2836">
        <f t="shared" si="963"/>
        <v>13541.177039999999</v>
      </c>
      <c r="BX158" s="2836">
        <f t="shared" si="963"/>
        <v>1.75495</v>
      </c>
      <c r="BY158" s="2861">
        <f t="shared" si="827"/>
        <v>36465.137959999993</v>
      </c>
      <c r="BZ158" s="2861">
        <f t="shared" si="828"/>
        <v>36460.426439999996</v>
      </c>
      <c r="CA158" s="2861">
        <f t="shared" si="828"/>
        <v>4.7115200000000002</v>
      </c>
      <c r="CB158" s="2839">
        <f>SUM(CB29+CB53+CB99+CB123+CB143+CB149+CB156+CB157)</f>
        <v>146374.02291889145</v>
      </c>
      <c r="CC158" s="2839">
        <f t="shared" ref="CC158:CD158" si="964">SUM(CC29+CC53+CC99+CC123+CC143+CC149+CC156+CC157)</f>
        <v>146345.08977326503</v>
      </c>
      <c r="CD158" s="2839">
        <f t="shared" si="964"/>
        <v>28.933145626442407</v>
      </c>
      <c r="CE158" s="2862">
        <f t="shared" si="829"/>
        <v>144450.17849999998</v>
      </c>
      <c r="CF158" s="2981">
        <f t="shared" si="829"/>
        <v>144430.35200999997</v>
      </c>
      <c r="CG158" s="2981">
        <f t="shared" si="829"/>
        <v>19.82649</v>
      </c>
      <c r="CH158" s="2862">
        <f t="shared" si="830"/>
        <v>-1923.8444188914727</v>
      </c>
      <c r="CI158" s="2862">
        <f t="shared" si="830"/>
        <v>-1914.7377632650605</v>
      </c>
      <c r="CJ158" s="2862">
        <f t="shared" si="830"/>
        <v>-9.1066556264424072</v>
      </c>
      <c r="CK158" s="2863"/>
      <c r="CL158" s="4187">
        <f t="shared" si="946"/>
        <v>146374.0225986976</v>
      </c>
      <c r="CM158" s="4187">
        <f t="shared" si="947"/>
        <v>146345.08966050509</v>
      </c>
      <c r="CN158" s="4187">
        <f t="shared" si="948"/>
        <v>28.932938192508598</v>
      </c>
    </row>
    <row r="159" spans="1:92" ht="18.75" customHeight="1" x14ac:dyDescent="0.3">
      <c r="A159" s="2871" t="s">
        <v>13</v>
      </c>
      <c r="B159" s="2837">
        <f>SUM(C159:D159)</f>
        <v>876.60995000000003</v>
      </c>
      <c r="C159" s="2837">
        <f>SUM(C14)</f>
        <v>876.16750000000002</v>
      </c>
      <c r="D159" s="2837">
        <f>SUM(D14)</f>
        <v>0.44245000000000001</v>
      </c>
      <c r="E159" s="2836">
        <f t="shared" ref="E159:M159" si="965">SUM(E14)</f>
        <v>303.92900000000003</v>
      </c>
      <c r="F159" s="2836">
        <f t="shared" si="965"/>
        <v>303.87900000000002</v>
      </c>
      <c r="G159" s="2836">
        <f t="shared" si="965"/>
        <v>0.05</v>
      </c>
      <c r="H159" s="2836">
        <f t="shared" si="965"/>
        <v>307.42900000000003</v>
      </c>
      <c r="I159" s="2837">
        <f t="shared" si="965"/>
        <v>307.41300000000001</v>
      </c>
      <c r="J159" s="2837">
        <f t="shared" si="965"/>
        <v>1.6E-2</v>
      </c>
      <c r="K159" s="2836">
        <f t="shared" si="965"/>
        <v>295.52799999999996</v>
      </c>
      <c r="L159" s="2836">
        <f t="shared" si="965"/>
        <v>295.50599999999997</v>
      </c>
      <c r="M159" s="2836">
        <f t="shared" si="965"/>
        <v>2.1999999999999999E-2</v>
      </c>
      <c r="N159" s="2959">
        <f t="shared" si="943"/>
        <v>906.88599999999997</v>
      </c>
      <c r="O159" s="2959">
        <f t="shared" si="944"/>
        <v>906.798</v>
      </c>
      <c r="P159" s="2959">
        <f t="shared" si="944"/>
        <v>8.7999999999999995E-2</v>
      </c>
      <c r="Q159" s="2837">
        <f>SUM(R159:S159)</f>
        <v>876.60995000000003</v>
      </c>
      <c r="R159" s="2837">
        <f>SUM(R14)</f>
        <v>876.16750000000002</v>
      </c>
      <c r="S159" s="2837">
        <f>SUM(S14)</f>
        <v>0.44245000000000001</v>
      </c>
      <c r="T159" s="2836">
        <f t="shared" ref="T159:AB159" si="966">SUM(T14)</f>
        <v>310.28199999999998</v>
      </c>
      <c r="U159" s="2836">
        <f t="shared" si="966"/>
        <v>310.12799999999999</v>
      </c>
      <c r="V159" s="2836">
        <f t="shared" si="966"/>
        <v>0.154</v>
      </c>
      <c r="W159" s="2836">
        <f t="shared" si="966"/>
        <v>296.14935100000002</v>
      </c>
      <c r="X159" s="2836">
        <f t="shared" si="966"/>
        <v>296.08235100000002</v>
      </c>
      <c r="Y159" s="2836">
        <f t="shared" si="966"/>
        <v>6.7000000000000004E-2</v>
      </c>
      <c r="Z159" s="2836">
        <f t="shared" si="966"/>
        <v>297.09500000000003</v>
      </c>
      <c r="AA159" s="2836">
        <f t="shared" si="966"/>
        <v>296.99</v>
      </c>
      <c r="AB159" s="2836">
        <f t="shared" si="966"/>
        <v>0.105</v>
      </c>
      <c r="AC159" s="2861">
        <f t="shared" si="804"/>
        <v>903.52635099999998</v>
      </c>
      <c r="AD159" s="2861">
        <f t="shared" si="805"/>
        <v>903.20035099999996</v>
      </c>
      <c r="AE159" s="2861">
        <f t="shared" si="805"/>
        <v>0.32600000000000001</v>
      </c>
      <c r="AF159" s="2839">
        <f t="shared" ref="AF159" si="967">SUM(AG159:AH159)</f>
        <v>1753.2199000000001</v>
      </c>
      <c r="AG159" s="2839">
        <f t="shared" si="955"/>
        <v>1752.335</v>
      </c>
      <c r="AH159" s="2839">
        <f t="shared" si="938"/>
        <v>0.88490000000000002</v>
      </c>
      <c r="AI159" s="2862">
        <f t="shared" si="806"/>
        <v>1810.4123509999999</v>
      </c>
      <c r="AJ159" s="2862">
        <f t="shared" si="806"/>
        <v>1809.998351</v>
      </c>
      <c r="AK159" s="2862">
        <f t="shared" si="806"/>
        <v>0.41400000000000003</v>
      </c>
      <c r="AL159" s="2862">
        <f t="shared" si="807"/>
        <v>57.192450999999892</v>
      </c>
      <c r="AM159" s="2862">
        <f t="shared" si="807"/>
        <v>57.663350999999921</v>
      </c>
      <c r="AN159" s="2862">
        <f t="shared" si="807"/>
        <v>-0.47089999999999999</v>
      </c>
      <c r="AO159" s="2837">
        <f>SUM(AP159:AQ159)</f>
        <v>876.60995000000003</v>
      </c>
      <c r="AP159" s="2837">
        <f>SUM(AP14)</f>
        <v>876.16750000000002</v>
      </c>
      <c r="AQ159" s="2837">
        <f>SUM(AQ14)</f>
        <v>0.44245000000000001</v>
      </c>
      <c r="AR159" s="2836">
        <f t="shared" ref="AR159:AZ159" si="968">SUM(AR14)</f>
        <v>271.14100000000002</v>
      </c>
      <c r="AS159" s="2836">
        <f t="shared" si="968"/>
        <v>271.05700000000002</v>
      </c>
      <c r="AT159" s="2836">
        <f t="shared" si="968"/>
        <v>8.4000000000000005E-2</v>
      </c>
      <c r="AU159" s="2836">
        <f t="shared" si="968"/>
        <v>285.83499999999998</v>
      </c>
      <c r="AV159" s="2836">
        <f t="shared" si="968"/>
        <v>285.76</v>
      </c>
      <c r="AW159" s="2836">
        <f t="shared" si="968"/>
        <v>7.4999999999999997E-2</v>
      </c>
      <c r="AX159" s="2836">
        <f t="shared" si="968"/>
        <v>295.35500000000002</v>
      </c>
      <c r="AY159" s="2836">
        <f t="shared" si="968"/>
        <v>295.33000000000004</v>
      </c>
      <c r="AZ159" s="2836">
        <f t="shared" si="968"/>
        <v>2.5000000000000001E-2</v>
      </c>
      <c r="BA159" s="2861">
        <f t="shared" si="816"/>
        <v>852.33100000000002</v>
      </c>
      <c r="BB159" s="2861">
        <f t="shared" si="817"/>
        <v>852.14700000000005</v>
      </c>
      <c r="BC159" s="2861">
        <f t="shared" si="817"/>
        <v>0.184</v>
      </c>
      <c r="BD159" s="2839">
        <f t="shared" ref="BD159" si="969">SUM(BE159:BF159)</f>
        <v>2629.8298500000001</v>
      </c>
      <c r="BE159" s="2839">
        <f t="shared" ref="BE159" si="970">SUM(AG159+AP159)</f>
        <v>2628.5025000000001</v>
      </c>
      <c r="BF159" s="2839">
        <f t="shared" si="960"/>
        <v>1.32735</v>
      </c>
      <c r="BG159" s="2862">
        <f t="shared" si="818"/>
        <v>2662.7433510000001</v>
      </c>
      <c r="BH159" s="2862">
        <f t="shared" si="818"/>
        <v>2662.1453510000001</v>
      </c>
      <c r="BI159" s="2862">
        <f t="shared" si="818"/>
        <v>0.59800000000000009</v>
      </c>
      <c r="BJ159" s="2862">
        <f t="shared" si="819"/>
        <v>32.913500999999997</v>
      </c>
      <c r="BK159" s="2862">
        <f t="shared" si="819"/>
        <v>33.642851000000064</v>
      </c>
      <c r="BL159" s="2862">
        <f t="shared" si="819"/>
        <v>-0.72934999999999994</v>
      </c>
      <c r="BM159" s="2837">
        <f>SUM(BN159:BO159)</f>
        <v>876.60995000000003</v>
      </c>
      <c r="BN159" s="2837">
        <f>SUM(BN14)</f>
        <v>876.16750000000002</v>
      </c>
      <c r="BO159" s="2837">
        <f>SUM(BO14)</f>
        <v>0.44245000000000001</v>
      </c>
      <c r="BP159" s="2836">
        <f t="shared" ref="BP159:BX159" si="971">SUM(BP14)</f>
        <v>302.36200000000002</v>
      </c>
      <c r="BQ159" s="2836">
        <f t="shared" si="971"/>
        <v>302.33500000000004</v>
      </c>
      <c r="BR159" s="2836">
        <f t="shared" si="971"/>
        <v>2.7E-2</v>
      </c>
      <c r="BS159" s="2836">
        <f t="shared" si="971"/>
        <v>294.94000000000005</v>
      </c>
      <c r="BT159" s="2836">
        <f t="shared" si="971"/>
        <v>294.86900000000003</v>
      </c>
      <c r="BU159" s="2836">
        <f t="shared" si="971"/>
        <v>7.0999999999999994E-2</v>
      </c>
      <c r="BV159" s="2836">
        <f t="shared" si="971"/>
        <v>303.15300000000002</v>
      </c>
      <c r="BW159" s="2836">
        <f t="shared" si="971"/>
        <v>303.06700000000001</v>
      </c>
      <c r="BX159" s="2836">
        <f t="shared" si="971"/>
        <v>8.5999999999999993E-2</v>
      </c>
      <c r="BY159" s="2861">
        <f t="shared" si="827"/>
        <v>900.45500000000004</v>
      </c>
      <c r="BZ159" s="2861">
        <f t="shared" si="828"/>
        <v>900.27100000000007</v>
      </c>
      <c r="CA159" s="2861">
        <f t="shared" si="828"/>
        <v>0.184</v>
      </c>
      <c r="CB159" s="2839">
        <f>SUM(CC159:CD159)</f>
        <v>3506.4398000000001</v>
      </c>
      <c r="CC159" s="2839">
        <f>SUM(BE159+BN159)</f>
        <v>3504.67</v>
      </c>
      <c r="CD159" s="2839">
        <f>SUM(BF159+BO159)</f>
        <v>1.7698</v>
      </c>
      <c r="CE159" s="2862">
        <f t="shared" si="829"/>
        <v>3563.198351</v>
      </c>
      <c r="CF159" s="2981">
        <f t="shared" si="829"/>
        <v>3562.4163510000003</v>
      </c>
      <c r="CG159" s="2862">
        <f t="shared" si="829"/>
        <v>0.78200000000000003</v>
      </c>
      <c r="CH159" s="2862">
        <f t="shared" si="830"/>
        <v>56.758550999999898</v>
      </c>
      <c r="CI159" s="2862">
        <f t="shared" si="830"/>
        <v>57.746351000000232</v>
      </c>
      <c r="CJ159" s="2862">
        <f t="shared" si="830"/>
        <v>-0.98780000000000001</v>
      </c>
      <c r="CK159" s="2831"/>
      <c r="CL159" s="4187">
        <f t="shared" si="946"/>
        <v>3506.4398000000001</v>
      </c>
      <c r="CM159" s="4187">
        <f t="shared" si="947"/>
        <v>3504.67</v>
      </c>
      <c r="CN159" s="4187">
        <f t="shared" si="948"/>
        <v>1.7698</v>
      </c>
    </row>
    <row r="160" spans="1:92" ht="18.75" customHeight="1" x14ac:dyDescent="0.2">
      <c r="A160" s="2871" t="s">
        <v>14</v>
      </c>
      <c r="B160" s="2837">
        <f>SUM(B158/B159)</f>
        <v>41.67707304859546</v>
      </c>
      <c r="C160" s="2837">
        <f t="shared" ref="C160:P160" si="972">SUM(C158/C159)</f>
        <v>41.689875803334687</v>
      </c>
      <c r="D160" s="2837">
        <f t="shared" si="972"/>
        <v>16.324247615252936</v>
      </c>
      <c r="E160" s="2836">
        <f t="shared" si="972"/>
        <v>33.841127895001783</v>
      </c>
      <c r="F160" s="2836">
        <f t="shared" si="972"/>
        <v>33.842419943464336</v>
      </c>
      <c r="G160" s="2836">
        <f t="shared" si="972"/>
        <v>25.988600000000002</v>
      </c>
      <c r="H160" s="2836">
        <f t="shared" si="972"/>
        <v>33.010369711380505</v>
      </c>
      <c r="I160" s="2837">
        <f t="shared" si="972"/>
        <v>33.006889071054246</v>
      </c>
      <c r="J160" s="2837">
        <f t="shared" si="972"/>
        <v>99.884999999999991</v>
      </c>
      <c r="K160" s="2836">
        <f t="shared" si="972"/>
        <v>47.990347615116001</v>
      </c>
      <c r="L160" s="2836">
        <f t="shared" si="972"/>
        <v>47.987622687864217</v>
      </c>
      <c r="M160" s="2836">
        <f t="shared" si="972"/>
        <v>84.591818181818169</v>
      </c>
      <c r="N160" s="2836">
        <f t="shared" si="972"/>
        <v>38.170328530818637</v>
      </c>
      <c r="O160" s="2836">
        <f t="shared" si="972"/>
        <v>38.168785054664873</v>
      </c>
      <c r="P160" s="2836">
        <f t="shared" si="972"/>
        <v>54.075113636363639</v>
      </c>
      <c r="Q160" s="2837">
        <f>SUM(Q158/Q159)</f>
        <v>41.67707304859546</v>
      </c>
      <c r="R160" s="2837">
        <f t="shared" ref="R160:AE160" si="973">SUM(R158/R159)</f>
        <v>41.689875803334687</v>
      </c>
      <c r="S160" s="2837">
        <f t="shared" si="973"/>
        <v>16.324247615252936</v>
      </c>
      <c r="T160" s="2836">
        <f t="shared" si="973"/>
        <v>41.403469553502944</v>
      </c>
      <c r="U160" s="2836">
        <f t="shared" si="973"/>
        <v>41.417527601506471</v>
      </c>
      <c r="V160" s="2836">
        <f t="shared" si="973"/>
        <v>13.093116883116881</v>
      </c>
      <c r="W160" s="2836">
        <f t="shared" si="973"/>
        <v>44.988644125038107</v>
      </c>
      <c r="X160" s="2836">
        <f t="shared" si="973"/>
        <v>44.993323496002631</v>
      </c>
      <c r="Y160" s="2836">
        <f t="shared" si="973"/>
        <v>24.309850746268655</v>
      </c>
      <c r="Z160" s="2836">
        <f t="shared" si="973"/>
        <v>37.50713475487639</v>
      </c>
      <c r="AA160" s="2836">
        <f t="shared" si="973"/>
        <v>37.516636923802146</v>
      </c>
      <c r="AB160" s="2836">
        <f t="shared" si="973"/>
        <v>10.630476190476189</v>
      </c>
      <c r="AC160" s="2836">
        <f t="shared" si="973"/>
        <v>41.297402404149693</v>
      </c>
      <c r="AD160" s="2836">
        <f t="shared" si="973"/>
        <v>41.307036648837617</v>
      </c>
      <c r="AE160" s="2836">
        <f t="shared" si="973"/>
        <v>14.605214723926379</v>
      </c>
      <c r="AF160" s="2839">
        <f>SUM(AF158/AF159)</f>
        <v>41.67707304859546</v>
      </c>
      <c r="AG160" s="2839">
        <f t="shared" ref="AG160:AK160" si="974">SUM(AG158/AG159)</f>
        <v>41.689875803334687</v>
      </c>
      <c r="AH160" s="2839">
        <f t="shared" si="974"/>
        <v>16.324247615252936</v>
      </c>
      <c r="AI160" s="2840">
        <f t="shared" si="974"/>
        <v>39.73096395429971</v>
      </c>
      <c r="AJ160" s="2840">
        <f t="shared" si="974"/>
        <v>39.734791973851912</v>
      </c>
      <c r="AK160" s="2840">
        <f t="shared" si="974"/>
        <v>22.994951690821253</v>
      </c>
      <c r="AL160" s="2862">
        <f t="shared" ref="AL160:AN160" si="975">SUM(AI160-AF160)</f>
        <v>-1.9461090942957497</v>
      </c>
      <c r="AM160" s="2862">
        <f t="shared" si="975"/>
        <v>-1.9550838294827741</v>
      </c>
      <c r="AN160" s="2862">
        <f t="shared" si="975"/>
        <v>6.6707040755683167</v>
      </c>
      <c r="AO160" s="2837">
        <f>SUM(AO158/AO159)</f>
        <v>41.811611171049549</v>
      </c>
      <c r="AP160" s="2837">
        <f t="shared" ref="AP160:BC160" si="976">SUM(AP158/AP159)</f>
        <v>41.82445773477594</v>
      </c>
      <c r="AQ160" s="2837">
        <f t="shared" si="976"/>
        <v>16.372032407923239</v>
      </c>
      <c r="AR160" s="2836">
        <f t="shared" si="976"/>
        <v>46.718211152131175</v>
      </c>
      <c r="AS160" s="2836">
        <f t="shared" si="976"/>
        <v>46.728706508225201</v>
      </c>
      <c r="AT160" s="2836">
        <f t="shared" si="976"/>
        <v>12.851071428571428</v>
      </c>
      <c r="AU160" s="2836">
        <f t="shared" si="976"/>
        <v>33.975684573267799</v>
      </c>
      <c r="AV160" s="2836">
        <f t="shared" si="976"/>
        <v>33.978051511758117</v>
      </c>
      <c r="AW160" s="2836">
        <f t="shared" si="976"/>
        <v>24.957333333333334</v>
      </c>
      <c r="AX160" s="2836">
        <f t="shared" si="976"/>
        <v>46.306818540400535</v>
      </c>
      <c r="AY160" s="2836">
        <f t="shared" si="976"/>
        <v>46.301786543866172</v>
      </c>
      <c r="AZ160" s="2836">
        <f t="shared" si="976"/>
        <v>105.7508</v>
      </c>
      <c r="BA160" s="2836">
        <f t="shared" si="976"/>
        <v>42.30235985784865</v>
      </c>
      <c r="BB160" s="2836">
        <f t="shared" si="976"/>
        <v>42.304928163802721</v>
      </c>
      <c r="BC160" s="2836">
        <f t="shared" si="976"/>
        <v>30.407934782608695</v>
      </c>
      <c r="BD160" s="2839">
        <f>SUM(BD158/BD159)</f>
        <v>41.72191908941349</v>
      </c>
      <c r="BE160" s="2839">
        <f t="shared" ref="BE160:BI160" si="977">SUM(BE158/BE159)</f>
        <v>41.734736447148443</v>
      </c>
      <c r="BF160" s="2839">
        <f t="shared" si="977"/>
        <v>16.340175879476369</v>
      </c>
      <c r="BG160" s="2840">
        <f t="shared" si="977"/>
        <v>40.554055087376682</v>
      </c>
      <c r="BH160" s="2840">
        <f t="shared" si="977"/>
        <v>40.557487039331832</v>
      </c>
      <c r="BI160" s="2840">
        <f t="shared" si="977"/>
        <v>25.275869565217388</v>
      </c>
      <c r="BJ160" s="2862">
        <f t="shared" ref="BJ160:BL160" si="978">SUM(BG160-BD160)</f>
        <v>-1.1678640020368078</v>
      </c>
      <c r="BK160" s="2862">
        <f t="shared" si="978"/>
        <v>-1.1772494078166105</v>
      </c>
      <c r="BL160" s="2862">
        <f t="shared" si="978"/>
        <v>8.9356936857410183</v>
      </c>
      <c r="BM160" s="2837">
        <f>SUM(BM158/BM159)</f>
        <v>41.811611171049549</v>
      </c>
      <c r="BN160" s="2837">
        <f t="shared" ref="BN160:CA160" si="979">SUM(BN158/BN159)</f>
        <v>41.82445773477594</v>
      </c>
      <c r="BO160" s="2837">
        <f t="shared" si="979"/>
        <v>16.372032407923239</v>
      </c>
      <c r="BP160" s="2836">
        <f t="shared" si="979"/>
        <v>35.38309169141624</v>
      </c>
      <c r="BQ160" s="2836">
        <f t="shared" si="979"/>
        <v>35.382410240296352</v>
      </c>
      <c r="BR160" s="2836">
        <f t="shared" si="979"/>
        <v>43.013703703703705</v>
      </c>
      <c r="BS160" s="2836">
        <f t="shared" si="979"/>
        <v>41.444712822947032</v>
      </c>
      <c r="BT160" s="2836">
        <f t="shared" si="979"/>
        <v>41.448603956333145</v>
      </c>
      <c r="BU160" s="2836">
        <f t="shared" si="979"/>
        <v>25.284507042253527</v>
      </c>
      <c r="BV160" s="2836">
        <f t="shared" si="979"/>
        <v>44.67358723152995</v>
      </c>
      <c r="BW160" s="2836">
        <f t="shared" si="979"/>
        <v>44.680473426668023</v>
      </c>
      <c r="BX160" s="2836">
        <f t="shared" si="979"/>
        <v>20.406395348837211</v>
      </c>
      <c r="BY160" s="2836">
        <f t="shared" si="979"/>
        <v>40.496346802449864</v>
      </c>
      <c r="BZ160" s="2836">
        <f t="shared" si="979"/>
        <v>40.499390116975881</v>
      </c>
      <c r="CA160" s="2836">
        <f t="shared" si="979"/>
        <v>25.606086956521739</v>
      </c>
      <c r="CB160" s="2839">
        <f>SUM(CB158/CB159)</f>
        <v>41.744342201138444</v>
      </c>
      <c r="CC160" s="2839">
        <f t="shared" ref="CC160:CG160" si="980">SUM(CC158/CC159)</f>
        <v>41.757166801229509</v>
      </c>
      <c r="CD160" s="2839">
        <f t="shared" si="980"/>
        <v>16.348257219144767</v>
      </c>
      <c r="CE160" s="2840">
        <f t="shared" si="980"/>
        <v>40.539471640544654</v>
      </c>
      <c r="CF160" s="2839">
        <f t="shared" si="980"/>
        <v>40.542805157925223</v>
      </c>
      <c r="CG160" s="2840">
        <f t="shared" si="980"/>
        <v>25.35356777493606</v>
      </c>
      <c r="CH160" s="2862">
        <f t="shared" ref="CH160:CJ160" si="981">SUM(CE160-CB160)</f>
        <v>-1.2048705605937897</v>
      </c>
      <c r="CI160" s="2862">
        <f t="shared" si="981"/>
        <v>-1.2143616433042865</v>
      </c>
      <c r="CJ160" s="2862">
        <f t="shared" si="981"/>
        <v>9.0053105557912936</v>
      </c>
      <c r="CK160" s="2831"/>
      <c r="CL160" s="3052">
        <f t="shared" si="946"/>
        <v>166.97736843929002</v>
      </c>
      <c r="CM160" s="3052">
        <f t="shared" si="947"/>
        <v>167.02866707622124</v>
      </c>
      <c r="CN160" s="3052">
        <f t="shared" si="948"/>
        <v>65.392560046352358</v>
      </c>
    </row>
    <row r="161" spans="1:92" ht="18.75" customHeight="1" x14ac:dyDescent="0.3">
      <c r="A161" s="2880" t="s">
        <v>3750</v>
      </c>
      <c r="B161" s="4652">
        <f>SUM(B162:B164)</f>
        <v>238.05975000000001</v>
      </c>
      <c r="C161" s="4653"/>
      <c r="D161" s="4654"/>
      <c r="E161" s="4587">
        <f>SUM(E162:E164)</f>
        <v>93.233999999999995</v>
      </c>
      <c r="F161" s="4588"/>
      <c r="G161" s="4589"/>
      <c r="H161" s="4587">
        <f>SUM(H162:H164)</f>
        <v>183.72800000000001</v>
      </c>
      <c r="I161" s="4588"/>
      <c r="J161" s="4589"/>
      <c r="K161" s="4587">
        <f>SUM(K162:K164)</f>
        <v>90.635000000000005</v>
      </c>
      <c r="L161" s="4588"/>
      <c r="M161" s="4589"/>
      <c r="N161" s="4587">
        <f>SUM(N162:N164)</f>
        <v>367.59700000000004</v>
      </c>
      <c r="O161" s="4588"/>
      <c r="P161" s="4589"/>
      <c r="Q161" s="4652">
        <f>SUM(Q162:Q164)</f>
        <v>238.05975000000001</v>
      </c>
      <c r="R161" s="4653"/>
      <c r="S161" s="4654"/>
      <c r="T161" s="4587">
        <f>SUM(T162:T164)</f>
        <v>154.697</v>
      </c>
      <c r="U161" s="4588"/>
      <c r="V161" s="4589"/>
      <c r="W161" s="4587">
        <f>SUM(W162:W164)</f>
        <v>143.38579999999999</v>
      </c>
      <c r="X161" s="4588"/>
      <c r="Y161" s="4589"/>
      <c r="Z161" s="4587">
        <f>SUM(Z162:Z164)</f>
        <v>209.26</v>
      </c>
      <c r="AA161" s="4588"/>
      <c r="AB161" s="4589"/>
      <c r="AC161" s="4587">
        <f>SUM(AC162:AC164)</f>
        <v>507.34280000000001</v>
      </c>
      <c r="AD161" s="4588"/>
      <c r="AE161" s="4589"/>
      <c r="AF161" s="4649">
        <f>SUM(B161+Q161)</f>
        <v>476.11950000000002</v>
      </c>
      <c r="AG161" s="4650"/>
      <c r="AH161" s="4651"/>
      <c r="AI161" s="4606">
        <f>SUM(N161+AC161)</f>
        <v>874.9398000000001</v>
      </c>
      <c r="AJ161" s="4607"/>
      <c r="AK161" s="4608"/>
      <c r="AL161" s="4606">
        <f>SUM(AI161-AF161)</f>
        <v>398.82030000000009</v>
      </c>
      <c r="AM161" s="4607"/>
      <c r="AN161" s="4608"/>
      <c r="AO161" s="4652">
        <f>SUM(AO162:AO164)</f>
        <v>238.05975000000001</v>
      </c>
      <c r="AP161" s="4653"/>
      <c r="AQ161" s="4654"/>
      <c r="AR161" s="4587">
        <f>SUM(AR162:AR164)</f>
        <v>205.16399999999999</v>
      </c>
      <c r="AS161" s="4588"/>
      <c r="AT161" s="4589"/>
      <c r="AU161" s="4587">
        <f>SUM(AU162:AU164)</f>
        <v>263.40100000000001</v>
      </c>
      <c r="AV161" s="4588"/>
      <c r="AW161" s="4589"/>
      <c r="AX161" s="4587">
        <f>SUM(AX162:AX164)</f>
        <v>239.72431</v>
      </c>
      <c r="AY161" s="4588"/>
      <c r="AZ161" s="4589"/>
      <c r="BA161" s="4587">
        <f>SUM(BA162:BA164)</f>
        <v>708.28931</v>
      </c>
      <c r="BB161" s="4588"/>
      <c r="BC161" s="4589"/>
      <c r="BD161" s="4649">
        <f t="shared" ref="BD161:BD165" si="982">SUM(AF161+AO161)</f>
        <v>714.17925000000002</v>
      </c>
      <c r="BE161" s="4650"/>
      <c r="BF161" s="4651"/>
      <c r="BG161" s="4606">
        <f>SUM(BA161+AI161)</f>
        <v>1583.2291100000002</v>
      </c>
      <c r="BH161" s="4607"/>
      <c r="BI161" s="4608"/>
      <c r="BJ161" s="4606">
        <f>SUM(BG161-BD161)</f>
        <v>869.04986000000019</v>
      </c>
      <c r="BK161" s="4607"/>
      <c r="BL161" s="4608"/>
      <c r="BM161" s="4652">
        <f>SUM(BM162:BM164)</f>
        <v>238.05975000000001</v>
      </c>
      <c r="BN161" s="4653"/>
      <c r="BO161" s="4654"/>
      <c r="BP161" s="4587">
        <f>SUM(BP162:BP164)</f>
        <v>317.72800000000001</v>
      </c>
      <c r="BQ161" s="4588"/>
      <c r="BR161" s="4589"/>
      <c r="BS161" s="4587">
        <f>SUM(BS162:BS164)</f>
        <v>182.893</v>
      </c>
      <c r="BT161" s="4588"/>
      <c r="BU161" s="4589"/>
      <c r="BV161" s="4587">
        <f>SUM(BV162:BV164)</f>
        <v>156.18600000000001</v>
      </c>
      <c r="BW161" s="4588"/>
      <c r="BX161" s="4589"/>
      <c r="BY161" s="4587">
        <f>SUM(BY162:BY164)</f>
        <v>656.80700000000002</v>
      </c>
      <c r="BZ161" s="4588"/>
      <c r="CA161" s="4589"/>
      <c r="CB161" s="4649">
        <f t="shared" ref="CB161:CB165" si="983">SUM(BM161+BD161)</f>
        <v>952.23900000000003</v>
      </c>
      <c r="CC161" s="4650"/>
      <c r="CD161" s="4651"/>
      <c r="CE161" s="4606">
        <f>SUM(BY161+BG161)</f>
        <v>2240.03611</v>
      </c>
      <c r="CF161" s="4607"/>
      <c r="CG161" s="4608"/>
      <c r="CH161" s="4606">
        <f>SUM(CE161-CB161)</f>
        <v>1287.79711</v>
      </c>
      <c r="CI161" s="4607"/>
      <c r="CJ161" s="4608"/>
      <c r="CK161" s="2831"/>
      <c r="CL161" s="3052">
        <f t="shared" si="946"/>
        <v>952.23900000000003</v>
      </c>
      <c r="CM161" s="3052">
        <f t="shared" si="947"/>
        <v>0</v>
      </c>
      <c r="CN161" s="3052">
        <f t="shared" si="948"/>
        <v>0</v>
      </c>
    </row>
    <row r="162" spans="1:92" ht="36" customHeight="1" x14ac:dyDescent="0.3">
      <c r="A162" s="2881" t="s">
        <v>3751</v>
      </c>
      <c r="B162" s="4603">
        <f>SUM(952.239/4)</f>
        <v>238.05975000000001</v>
      </c>
      <c r="C162" s="4688"/>
      <c r="D162" s="4689"/>
      <c r="E162" s="4595">
        <v>73.539000000000001</v>
      </c>
      <c r="F162" s="4688"/>
      <c r="G162" s="4689"/>
      <c r="H162" s="4595">
        <v>119.477</v>
      </c>
      <c r="I162" s="4688"/>
      <c r="J162" s="4689"/>
      <c r="K162" s="4595">
        <v>61.13</v>
      </c>
      <c r="L162" s="4688"/>
      <c r="M162" s="4689"/>
      <c r="N162" s="4592">
        <f>SUM(E162+H162+K162)</f>
        <v>254.14600000000002</v>
      </c>
      <c r="O162" s="4593"/>
      <c r="P162" s="4594"/>
      <c r="Q162" s="4603">
        <f>SUM(B162)</f>
        <v>238.05975000000001</v>
      </c>
      <c r="R162" s="4688"/>
      <c r="S162" s="4689"/>
      <c r="T162" s="4595">
        <v>55.23</v>
      </c>
      <c r="U162" s="4688"/>
      <c r="V162" s="4689"/>
      <c r="W162" s="4595">
        <v>108.7238</v>
      </c>
      <c r="X162" s="4688"/>
      <c r="Y162" s="4689"/>
      <c r="Z162" s="4595">
        <v>56.332000000000001</v>
      </c>
      <c r="AA162" s="4688"/>
      <c r="AB162" s="4689"/>
      <c r="AC162" s="4592">
        <f>SUM(T162+W162+Z162)</f>
        <v>220.28579999999999</v>
      </c>
      <c r="AD162" s="4593"/>
      <c r="AE162" s="4594"/>
      <c r="AF162" s="4655">
        <f>SUM(B162+Q162)</f>
        <v>476.11950000000002</v>
      </c>
      <c r="AG162" s="4656"/>
      <c r="AH162" s="4657"/>
      <c r="AI162" s="4598">
        <f t="shared" ref="AI162:AI165" si="984">SUM(N162+AC162)</f>
        <v>474.43180000000001</v>
      </c>
      <c r="AJ162" s="4599"/>
      <c r="AK162" s="4600"/>
      <c r="AL162" s="4598">
        <f t="shared" ref="AL162:AL165" si="985">SUM(AI162-AF162)</f>
        <v>-1.6877000000000066</v>
      </c>
      <c r="AM162" s="4599"/>
      <c r="AN162" s="4600"/>
      <c r="AO162" s="4603">
        <f>SUM(Q162)</f>
        <v>238.05975000000001</v>
      </c>
      <c r="AP162" s="4688"/>
      <c r="AQ162" s="4689"/>
      <c r="AR162" s="4595">
        <v>90.542000000000002</v>
      </c>
      <c r="AS162" s="4688"/>
      <c r="AT162" s="4689"/>
      <c r="AU162" s="4595">
        <v>86.488</v>
      </c>
      <c r="AV162" s="4688"/>
      <c r="AW162" s="4689"/>
      <c r="AX162" s="4595">
        <v>122.18231</v>
      </c>
      <c r="AY162" s="4688"/>
      <c r="AZ162" s="4689"/>
      <c r="BA162" s="4592">
        <f>SUM(AR162+AU162+AX162)</f>
        <v>299.21231</v>
      </c>
      <c r="BB162" s="4593"/>
      <c r="BC162" s="4594"/>
      <c r="BD162" s="4655">
        <f>SUM(AF162+AO162)</f>
        <v>714.17925000000002</v>
      </c>
      <c r="BE162" s="4656"/>
      <c r="BF162" s="4657"/>
      <c r="BG162" s="4598">
        <f t="shared" ref="BG162:BG165" si="986">SUM(BA162+AI162)</f>
        <v>773.64410999999996</v>
      </c>
      <c r="BH162" s="4599"/>
      <c r="BI162" s="4600"/>
      <c r="BJ162" s="4598">
        <f>SUM(BG162-BD162)</f>
        <v>59.464859999999931</v>
      </c>
      <c r="BK162" s="4599"/>
      <c r="BL162" s="4600"/>
      <c r="BM162" s="4603">
        <f>SUM(AO162)</f>
        <v>238.05975000000001</v>
      </c>
      <c r="BN162" s="4688"/>
      <c r="BO162" s="4689"/>
      <c r="BP162" s="4595">
        <v>105.13500000000001</v>
      </c>
      <c r="BQ162" s="4688"/>
      <c r="BR162" s="4689"/>
      <c r="BS162" s="4595">
        <v>106.538</v>
      </c>
      <c r="BT162" s="4688"/>
      <c r="BU162" s="4689"/>
      <c r="BV162" s="4595">
        <v>57.302</v>
      </c>
      <c r="BW162" s="4688"/>
      <c r="BX162" s="4689"/>
      <c r="BY162" s="4592">
        <f>SUM(BP162+BS162+BV162)</f>
        <v>268.97500000000002</v>
      </c>
      <c r="BZ162" s="4593"/>
      <c r="CA162" s="4594"/>
      <c r="CB162" s="4655">
        <f t="shared" si="983"/>
        <v>952.23900000000003</v>
      </c>
      <c r="CC162" s="4656"/>
      <c r="CD162" s="4657"/>
      <c r="CE162" s="4690">
        <f t="shared" ref="CE162:CE165" si="987">SUM(BY162+BG162)</f>
        <v>1042.6191100000001</v>
      </c>
      <c r="CF162" s="4691"/>
      <c r="CG162" s="4692"/>
      <c r="CH162" s="4693">
        <f>SUM(CE162-CB162)</f>
        <v>90.380110000000059</v>
      </c>
      <c r="CI162" s="4694"/>
      <c r="CJ162" s="4695"/>
      <c r="CK162" s="2831"/>
      <c r="CL162" s="2831"/>
      <c r="CM162" s="2831"/>
      <c r="CN162" s="2831"/>
    </row>
    <row r="163" spans="1:92" ht="35.25" customHeight="1" x14ac:dyDescent="0.2">
      <c r="A163" s="2882" t="s">
        <v>3752</v>
      </c>
      <c r="B163" s="4603">
        <v>0</v>
      </c>
      <c r="C163" s="4604"/>
      <c r="D163" s="4605"/>
      <c r="E163" s="4595">
        <v>2.9630000000000001</v>
      </c>
      <c r="F163" s="4596"/>
      <c r="G163" s="4597"/>
      <c r="H163" s="4595">
        <v>27</v>
      </c>
      <c r="I163" s="4596"/>
      <c r="J163" s="4597"/>
      <c r="K163" s="4595">
        <v>0</v>
      </c>
      <c r="L163" s="4596"/>
      <c r="M163" s="4597"/>
      <c r="N163" s="4592">
        <f>SUM(E163+H163+K163)</f>
        <v>29.963000000000001</v>
      </c>
      <c r="O163" s="4593"/>
      <c r="P163" s="4594"/>
      <c r="Q163" s="4603">
        <v>0</v>
      </c>
      <c r="R163" s="4604"/>
      <c r="S163" s="4605"/>
      <c r="T163" s="4595">
        <v>27</v>
      </c>
      <c r="U163" s="4596"/>
      <c r="V163" s="4597"/>
      <c r="W163" s="4595">
        <v>7.2</v>
      </c>
      <c r="X163" s="4596"/>
      <c r="Y163" s="4597"/>
      <c r="Z163" s="4595">
        <v>0</v>
      </c>
      <c r="AA163" s="4596"/>
      <c r="AB163" s="4597"/>
      <c r="AC163" s="4592">
        <f>SUM(T163+W163+Z163)</f>
        <v>34.200000000000003</v>
      </c>
      <c r="AD163" s="4593"/>
      <c r="AE163" s="4594"/>
      <c r="AF163" s="4655">
        <f>SUM(B163+Q163)</f>
        <v>0</v>
      </c>
      <c r="AG163" s="4656"/>
      <c r="AH163" s="4657"/>
      <c r="AI163" s="4598">
        <f t="shared" si="984"/>
        <v>64.163000000000011</v>
      </c>
      <c r="AJ163" s="4599"/>
      <c r="AK163" s="4600"/>
      <c r="AL163" s="4598">
        <f t="shared" si="985"/>
        <v>64.163000000000011</v>
      </c>
      <c r="AM163" s="4599"/>
      <c r="AN163" s="4600"/>
      <c r="AO163" s="4603">
        <v>0</v>
      </c>
      <c r="AP163" s="4604"/>
      <c r="AQ163" s="4605"/>
      <c r="AR163" s="4595">
        <v>0</v>
      </c>
      <c r="AS163" s="4596"/>
      <c r="AT163" s="4597"/>
      <c r="AU163" s="4595">
        <v>75.599999999999994</v>
      </c>
      <c r="AV163" s="4596"/>
      <c r="AW163" s="4597"/>
      <c r="AX163" s="4595">
        <v>23.4</v>
      </c>
      <c r="AY163" s="4596"/>
      <c r="AZ163" s="4597"/>
      <c r="BA163" s="4592">
        <f>SUM(AR163+AU163+AX163)</f>
        <v>99</v>
      </c>
      <c r="BB163" s="4593"/>
      <c r="BC163" s="4594"/>
      <c r="BD163" s="4655">
        <f>SUM(AF163+AO163)</f>
        <v>0</v>
      </c>
      <c r="BE163" s="4656"/>
      <c r="BF163" s="4657"/>
      <c r="BG163" s="4598">
        <f t="shared" si="986"/>
        <v>163.16300000000001</v>
      </c>
      <c r="BH163" s="4599"/>
      <c r="BI163" s="4600"/>
      <c r="BJ163" s="4598">
        <f>SUM(BG163-BD163)</f>
        <v>163.16300000000001</v>
      </c>
      <c r="BK163" s="4599"/>
      <c r="BL163" s="4600"/>
      <c r="BM163" s="4603">
        <v>0</v>
      </c>
      <c r="BN163" s="4604"/>
      <c r="BO163" s="4605"/>
      <c r="BP163" s="4595">
        <v>135</v>
      </c>
      <c r="BQ163" s="4596"/>
      <c r="BR163" s="4597"/>
      <c r="BS163" s="4595">
        <v>25.177</v>
      </c>
      <c r="BT163" s="4596"/>
      <c r="BU163" s="4597"/>
      <c r="BV163" s="4595">
        <v>69.150000000000006</v>
      </c>
      <c r="BW163" s="4596"/>
      <c r="BX163" s="4597"/>
      <c r="BY163" s="4592">
        <f>SUM(BP163+BS163+BV163)</f>
        <v>229.327</v>
      </c>
      <c r="BZ163" s="4593"/>
      <c r="CA163" s="4594"/>
      <c r="CB163" s="4655">
        <f t="shared" si="983"/>
        <v>0</v>
      </c>
      <c r="CC163" s="4656"/>
      <c r="CD163" s="4657"/>
      <c r="CE163" s="4690">
        <f t="shared" si="987"/>
        <v>392.49</v>
      </c>
      <c r="CF163" s="4691"/>
      <c r="CG163" s="4692"/>
      <c r="CH163" s="4693">
        <f>SUM(CE163-CB163)</f>
        <v>392.49</v>
      </c>
      <c r="CI163" s="4694"/>
      <c r="CJ163" s="4695"/>
      <c r="CK163" s="2831"/>
      <c r="CL163" s="2831"/>
      <c r="CM163" s="2831"/>
      <c r="CN163" s="2831"/>
    </row>
    <row r="164" spans="1:92" ht="36" customHeight="1" x14ac:dyDescent="0.2">
      <c r="A164" s="2883" t="s">
        <v>3753</v>
      </c>
      <c r="B164" s="4603">
        <v>0</v>
      </c>
      <c r="C164" s="4604"/>
      <c r="D164" s="4605"/>
      <c r="E164" s="4595">
        <v>16.731999999999999</v>
      </c>
      <c r="F164" s="4596"/>
      <c r="G164" s="4597"/>
      <c r="H164" s="4595">
        <v>37.250999999999998</v>
      </c>
      <c r="I164" s="4596"/>
      <c r="J164" s="4597"/>
      <c r="K164" s="4595">
        <v>29.504999999999999</v>
      </c>
      <c r="L164" s="4596"/>
      <c r="M164" s="4597"/>
      <c r="N164" s="4603">
        <f>SUM(E164+H164+K164)</f>
        <v>83.488</v>
      </c>
      <c r="O164" s="4604"/>
      <c r="P164" s="4605"/>
      <c r="Q164" s="4603">
        <v>0</v>
      </c>
      <c r="R164" s="4604"/>
      <c r="S164" s="4605"/>
      <c r="T164" s="4595">
        <v>72.466999999999999</v>
      </c>
      <c r="U164" s="4596"/>
      <c r="V164" s="4597"/>
      <c r="W164" s="4595">
        <v>27.462</v>
      </c>
      <c r="X164" s="4596"/>
      <c r="Y164" s="4597"/>
      <c r="Z164" s="4595">
        <v>152.928</v>
      </c>
      <c r="AA164" s="4596"/>
      <c r="AB164" s="4597"/>
      <c r="AC164" s="4592">
        <f>SUM(T164+W164+Z164)</f>
        <v>252.857</v>
      </c>
      <c r="AD164" s="4593"/>
      <c r="AE164" s="4594"/>
      <c r="AF164" s="4655">
        <f>SUM(B164+Q164)</f>
        <v>0</v>
      </c>
      <c r="AG164" s="4656"/>
      <c r="AH164" s="4657"/>
      <c r="AI164" s="4598">
        <f t="shared" si="984"/>
        <v>336.34500000000003</v>
      </c>
      <c r="AJ164" s="4599"/>
      <c r="AK164" s="4600"/>
      <c r="AL164" s="4598">
        <f t="shared" si="985"/>
        <v>336.34500000000003</v>
      </c>
      <c r="AM164" s="4599"/>
      <c r="AN164" s="4600"/>
      <c r="AO164" s="4603">
        <v>0</v>
      </c>
      <c r="AP164" s="4604"/>
      <c r="AQ164" s="4605"/>
      <c r="AR164" s="4595">
        <v>114.622</v>
      </c>
      <c r="AS164" s="4596"/>
      <c r="AT164" s="4597"/>
      <c r="AU164" s="4595">
        <v>101.313</v>
      </c>
      <c r="AV164" s="4596"/>
      <c r="AW164" s="4597"/>
      <c r="AX164" s="4595">
        <v>94.141999999999996</v>
      </c>
      <c r="AY164" s="4596"/>
      <c r="AZ164" s="4597"/>
      <c r="BA164" s="4592">
        <f>SUM(AR164+AU164+AX164)</f>
        <v>310.077</v>
      </c>
      <c r="BB164" s="4593"/>
      <c r="BC164" s="4594"/>
      <c r="BD164" s="4655">
        <f>SUM(AF164+AO164)</f>
        <v>0</v>
      </c>
      <c r="BE164" s="4656"/>
      <c r="BF164" s="4657"/>
      <c r="BG164" s="4598">
        <f t="shared" si="986"/>
        <v>646.42200000000003</v>
      </c>
      <c r="BH164" s="4599"/>
      <c r="BI164" s="4600"/>
      <c r="BJ164" s="4598">
        <f>SUM(BG164-BD164)</f>
        <v>646.42200000000003</v>
      </c>
      <c r="BK164" s="4599"/>
      <c r="BL164" s="4600"/>
      <c r="BM164" s="4603">
        <v>0</v>
      </c>
      <c r="BN164" s="4604"/>
      <c r="BO164" s="4605"/>
      <c r="BP164" s="4595">
        <v>77.593000000000004</v>
      </c>
      <c r="BQ164" s="4596"/>
      <c r="BR164" s="4597"/>
      <c r="BS164" s="4595">
        <v>51.177999999999997</v>
      </c>
      <c r="BT164" s="4596"/>
      <c r="BU164" s="4597"/>
      <c r="BV164" s="4595">
        <v>29.734000000000002</v>
      </c>
      <c r="BW164" s="4596"/>
      <c r="BX164" s="4597"/>
      <c r="BY164" s="4592">
        <f>SUM(BP164+BS164+BV164)</f>
        <v>158.50500000000002</v>
      </c>
      <c r="BZ164" s="4593"/>
      <c r="CA164" s="4594"/>
      <c r="CB164" s="4655">
        <f t="shared" si="983"/>
        <v>0</v>
      </c>
      <c r="CC164" s="4656"/>
      <c r="CD164" s="4657"/>
      <c r="CE164" s="4690">
        <f t="shared" si="987"/>
        <v>804.92700000000002</v>
      </c>
      <c r="CF164" s="4691"/>
      <c r="CG164" s="4692"/>
      <c r="CH164" s="4693">
        <f>SUM(CE164-CB164)</f>
        <v>804.92700000000002</v>
      </c>
      <c r="CI164" s="4694"/>
      <c r="CJ164" s="4695"/>
      <c r="CK164" s="2831"/>
      <c r="CL164" s="2831"/>
      <c r="CM164" s="2831"/>
      <c r="CN164" s="2831"/>
    </row>
    <row r="165" spans="1:92" ht="18.75" customHeight="1" x14ac:dyDescent="0.3">
      <c r="A165" s="2880" t="s">
        <v>3754</v>
      </c>
      <c r="B165" s="4652">
        <f>SUM(B158+B161)</f>
        <v>36772.596671275613</v>
      </c>
      <c r="C165" s="4653"/>
      <c r="D165" s="4654"/>
      <c r="E165" s="4587">
        <f>SUM(E158+E161)</f>
        <v>10378.534159999999</v>
      </c>
      <c r="F165" s="4588"/>
      <c r="G165" s="4589"/>
      <c r="H165" s="4587">
        <f t="shared" ref="H165" si="988">SUM(H158+H161)</f>
        <v>10332.072949999998</v>
      </c>
      <c r="I165" s="4588"/>
      <c r="J165" s="4589"/>
      <c r="K165" s="4587">
        <f t="shared" ref="K165" si="989">SUM(K158+K161)</f>
        <v>14273.12645</v>
      </c>
      <c r="L165" s="4588"/>
      <c r="M165" s="4589"/>
      <c r="N165" s="4587">
        <f t="shared" ref="N165" si="990">SUM(N158+N161)</f>
        <v>34983.733559999993</v>
      </c>
      <c r="O165" s="4588"/>
      <c r="P165" s="4589"/>
      <c r="Q165" s="4652">
        <f>SUM(Q158+Q161)</f>
        <v>36772.596671275613</v>
      </c>
      <c r="R165" s="4653"/>
      <c r="S165" s="4654"/>
      <c r="T165" s="4587">
        <f>SUM(T158+T161)</f>
        <v>13001.448340000001</v>
      </c>
      <c r="U165" s="4588"/>
      <c r="V165" s="4589"/>
      <c r="W165" s="4587">
        <f t="shared" ref="W165" si="991">SUM(W158+W161)</f>
        <v>13466.743559999999</v>
      </c>
      <c r="X165" s="4588"/>
      <c r="Y165" s="4589"/>
      <c r="Z165" s="4587">
        <f t="shared" ref="Z165" si="992">SUM(Z158+Z161)</f>
        <v>11352.442200000001</v>
      </c>
      <c r="AA165" s="4588"/>
      <c r="AB165" s="4589"/>
      <c r="AC165" s="4587">
        <f t="shared" ref="AC165" si="993">SUM(AC158+AC161)</f>
        <v>37820.634099999996</v>
      </c>
      <c r="AD165" s="4588"/>
      <c r="AE165" s="4589"/>
      <c r="AF165" s="4649">
        <f>SUM(B165+Q165)</f>
        <v>73545.193342551225</v>
      </c>
      <c r="AG165" s="4650"/>
      <c r="AH165" s="4651"/>
      <c r="AI165" s="4606">
        <f t="shared" si="984"/>
        <v>72804.367659999989</v>
      </c>
      <c r="AJ165" s="4607"/>
      <c r="AK165" s="4608"/>
      <c r="AL165" s="4606">
        <f t="shared" si="985"/>
        <v>-740.82568255123624</v>
      </c>
      <c r="AM165" s="4607"/>
      <c r="AN165" s="4608"/>
      <c r="AO165" s="4652">
        <f>SUM(AO158+AO161)</f>
        <v>36890.534128073188</v>
      </c>
      <c r="AP165" s="4653"/>
      <c r="AQ165" s="4654"/>
      <c r="AR165" s="4587">
        <f>SUM(AR158+AR161)</f>
        <v>12872.386490000001</v>
      </c>
      <c r="AS165" s="4588"/>
      <c r="AT165" s="4589"/>
      <c r="AU165" s="4587">
        <f t="shared" ref="AU165" si="994">SUM(AU158+AU161)</f>
        <v>9974.8407999999999</v>
      </c>
      <c r="AV165" s="4588"/>
      <c r="AW165" s="4589"/>
      <c r="AX165" s="4587">
        <f t="shared" ref="AX165" si="995">SUM(AX158+AX161)</f>
        <v>13916.6747</v>
      </c>
      <c r="AY165" s="4588"/>
      <c r="AZ165" s="4589"/>
      <c r="BA165" s="4587">
        <f t="shared" ref="BA165" si="996">SUM(BA158+BA161)</f>
        <v>36763.901989999998</v>
      </c>
      <c r="BB165" s="4588"/>
      <c r="BC165" s="4589"/>
      <c r="BD165" s="4649">
        <f t="shared" si="982"/>
        <v>110435.72747062441</v>
      </c>
      <c r="BE165" s="4650"/>
      <c r="BF165" s="4651"/>
      <c r="BG165" s="4606">
        <f t="shared" si="986"/>
        <v>109568.26964999999</v>
      </c>
      <c r="BH165" s="4607"/>
      <c r="BI165" s="4608"/>
      <c r="BJ165" s="4606">
        <f>SUM(BG165-BD165)</f>
        <v>-867.45782062441867</v>
      </c>
      <c r="BK165" s="4607"/>
      <c r="BL165" s="4608"/>
      <c r="BM165" s="4652">
        <f>SUM(BM158+BM161)</f>
        <v>36890.534128073188</v>
      </c>
      <c r="BN165" s="4653"/>
      <c r="BO165" s="4654"/>
      <c r="BP165" s="4587">
        <f>SUM(BP158+BP161)</f>
        <v>11016.230369999997</v>
      </c>
      <c r="BQ165" s="4588"/>
      <c r="BR165" s="4589"/>
      <c r="BS165" s="4587">
        <f t="shared" ref="BS165" si="997">SUM(BS158+BS161)</f>
        <v>12406.596600000001</v>
      </c>
      <c r="BT165" s="4588"/>
      <c r="BU165" s="4589"/>
      <c r="BV165" s="4587">
        <f t="shared" ref="BV165" si="998">SUM(BV158+BV161)</f>
        <v>13699.117989999999</v>
      </c>
      <c r="BW165" s="4588"/>
      <c r="BX165" s="4589"/>
      <c r="BY165" s="4587">
        <f t="shared" ref="BY165" si="999">SUM(BY158+BY161)</f>
        <v>37121.944959999993</v>
      </c>
      <c r="BZ165" s="4588"/>
      <c r="CA165" s="4589"/>
      <c r="CB165" s="4649">
        <f t="shared" si="983"/>
        <v>147326.2615986976</v>
      </c>
      <c r="CC165" s="4650"/>
      <c r="CD165" s="4651"/>
      <c r="CE165" s="4606">
        <f t="shared" si="987"/>
        <v>146690.21460999997</v>
      </c>
      <c r="CF165" s="4607"/>
      <c r="CG165" s="4608"/>
      <c r="CH165" s="4606">
        <f>SUM(CE165-CB165)</f>
        <v>-636.04698869763524</v>
      </c>
      <c r="CI165" s="4607"/>
      <c r="CJ165" s="4608"/>
      <c r="CK165" s="2822"/>
      <c r="CL165" s="2822"/>
      <c r="CM165" s="2822"/>
      <c r="CN165" s="2822"/>
    </row>
    <row r="166" spans="1:92" x14ac:dyDescent="0.2">
      <c r="A166" s="2822"/>
      <c r="B166" s="2822"/>
      <c r="C166" s="2822"/>
      <c r="D166" s="2822"/>
      <c r="E166" s="2822"/>
      <c r="F166" s="2822"/>
      <c r="G166" s="2822"/>
      <c r="H166" s="2822"/>
      <c r="I166" s="2822"/>
      <c r="J166" s="2822"/>
      <c r="K166" s="2822"/>
      <c r="L166" s="2822"/>
      <c r="M166" s="2822"/>
      <c r="N166" s="2822"/>
      <c r="O166" s="2822"/>
      <c r="P166" s="2822"/>
      <c r="Q166" s="2822"/>
      <c r="R166" s="2822"/>
      <c r="S166" s="2822"/>
      <c r="T166" s="2822"/>
      <c r="U166" s="2822"/>
      <c r="V166" s="2822"/>
      <c r="W166" s="2822"/>
      <c r="X166" s="2822"/>
      <c r="Y166" s="2822"/>
      <c r="Z166" s="2822"/>
      <c r="AA166" s="2822"/>
      <c r="AB166" s="2822"/>
      <c r="AC166" s="2822"/>
      <c r="AD166" s="2822"/>
      <c r="AE166" s="2822"/>
      <c r="AF166" s="2822"/>
      <c r="AG166" s="2822"/>
      <c r="AH166" s="2822"/>
      <c r="AI166" s="2822"/>
      <c r="AJ166" s="2822"/>
      <c r="AK166" s="2822"/>
      <c r="AL166" s="2822"/>
      <c r="AM166" s="2822"/>
      <c r="AN166" s="2822"/>
      <c r="AO166" s="2822"/>
      <c r="AP166" s="2822"/>
      <c r="AQ166" s="2822"/>
      <c r="AR166" s="2822"/>
      <c r="AS166" s="2822"/>
      <c r="AT166" s="2822"/>
      <c r="AU166" s="2822"/>
      <c r="AV166" s="2822"/>
      <c r="AW166" s="2822"/>
      <c r="AX166" s="2822"/>
      <c r="AY166" s="2822"/>
      <c r="AZ166" s="2822"/>
      <c r="BA166" s="2822"/>
      <c r="BB166" s="2822"/>
      <c r="BC166" s="2822"/>
      <c r="BD166" s="2822"/>
      <c r="BE166" s="2822"/>
      <c r="BF166" s="2822"/>
      <c r="BG166" s="2822"/>
      <c r="BH166" s="2822"/>
      <c r="BI166" s="2822"/>
      <c r="BJ166" s="2822"/>
      <c r="BK166" s="2822"/>
      <c r="BL166" s="2822"/>
      <c r="BM166" s="2822"/>
      <c r="BN166" s="2822"/>
      <c r="BO166" s="2822"/>
      <c r="BP166" s="2822"/>
      <c r="BQ166" s="2822"/>
      <c r="BR166" s="2822"/>
      <c r="BS166" s="2822"/>
      <c r="BT166" s="2822"/>
      <c r="BU166" s="2822"/>
      <c r="BV166" s="2822"/>
      <c r="BW166" s="2822"/>
      <c r="BX166" s="2822"/>
      <c r="BY166" s="2822"/>
      <c r="BZ166" s="2822"/>
      <c r="CA166" s="2822"/>
      <c r="CB166" s="2822"/>
      <c r="CC166" s="2822"/>
      <c r="CD166" s="2822"/>
      <c r="CE166" s="2822"/>
      <c r="CF166" s="2822"/>
      <c r="CG166" s="2822"/>
      <c r="CH166" s="2822"/>
      <c r="CI166" s="2822"/>
      <c r="CJ166" s="2822"/>
      <c r="CK166" s="2822"/>
      <c r="CL166" s="2822"/>
      <c r="CM166" s="2822"/>
      <c r="CN166" s="2822"/>
    </row>
    <row r="167" spans="1:92" ht="15.75" x14ac:dyDescent="0.25">
      <c r="A167" s="2884"/>
      <c r="B167" s="2884"/>
      <c r="C167" s="2884"/>
      <c r="D167" s="2884"/>
      <c r="E167" s="2884"/>
      <c r="F167" s="2884"/>
      <c r="G167" s="2884"/>
      <c r="H167" s="2884"/>
      <c r="I167" s="2884"/>
      <c r="J167" s="2884"/>
      <c r="K167" s="2884"/>
      <c r="L167" s="2884"/>
      <c r="M167" s="2884"/>
      <c r="N167" s="2822"/>
      <c r="O167" s="2822"/>
      <c r="P167" s="2822"/>
      <c r="Q167" s="2822"/>
      <c r="R167" s="2822"/>
      <c r="S167" s="2822"/>
      <c r="T167" s="2822"/>
      <c r="U167" s="2822"/>
      <c r="V167" s="2822"/>
      <c r="W167" s="2822"/>
      <c r="X167" s="2822"/>
      <c r="Y167" s="2822"/>
      <c r="Z167" s="2822"/>
      <c r="AA167" s="2822"/>
      <c r="AB167" s="2822"/>
      <c r="AC167" s="2822"/>
      <c r="AD167" s="2822"/>
      <c r="AE167" s="2822"/>
      <c r="AF167" s="2822"/>
      <c r="AG167" s="2822"/>
      <c r="AH167" s="2822"/>
      <c r="AI167" s="2822"/>
      <c r="AJ167" s="2822"/>
      <c r="AK167" s="2822"/>
      <c r="AL167" s="2822"/>
      <c r="AM167" s="2822"/>
      <c r="AN167" s="2822"/>
      <c r="AO167" s="2822"/>
      <c r="AP167" s="2822"/>
      <c r="AQ167" s="2822"/>
      <c r="AR167" s="2822"/>
      <c r="AS167" s="2822"/>
      <c r="AT167" s="2822"/>
      <c r="AU167" s="2822"/>
      <c r="AV167" s="2822"/>
      <c r="AW167" s="2822"/>
      <c r="AX167" s="2822"/>
      <c r="AY167" s="2822"/>
      <c r="AZ167" s="2822"/>
      <c r="BA167" s="2822"/>
      <c r="BB167" s="2822"/>
      <c r="BC167" s="2822"/>
      <c r="BD167" s="2822"/>
      <c r="BE167" s="2822"/>
      <c r="BF167" s="2822"/>
      <c r="BG167" s="2822"/>
      <c r="BH167" s="2822"/>
      <c r="BI167" s="2822"/>
      <c r="BJ167" s="2822"/>
      <c r="BK167" s="2822"/>
      <c r="BL167" s="2822"/>
      <c r="BM167" s="2822"/>
      <c r="BN167" s="2822"/>
      <c r="BO167" s="2822"/>
      <c r="BP167" s="2822"/>
      <c r="BQ167" s="2822"/>
      <c r="BR167" s="2822"/>
      <c r="BS167" s="2822"/>
      <c r="BT167" s="2822"/>
      <c r="BU167" s="2822"/>
      <c r="BV167" s="2822"/>
      <c r="BW167" s="2822"/>
      <c r="BX167" s="2822"/>
      <c r="BY167" s="2822"/>
      <c r="BZ167" s="2822"/>
      <c r="CA167" s="2822"/>
      <c r="CB167" s="2885"/>
      <c r="CC167" s="2885"/>
      <c r="CD167" s="2885"/>
      <c r="CE167" s="2822"/>
      <c r="CF167" s="2822"/>
      <c r="CG167" s="2822"/>
      <c r="CH167" s="2822"/>
      <c r="CI167" s="2822"/>
      <c r="CJ167" s="2822"/>
      <c r="CK167" s="2822"/>
      <c r="CL167" s="2822"/>
      <c r="CM167" s="2822"/>
      <c r="CN167" s="2822"/>
    </row>
    <row r="168" spans="1:92" ht="20.25" x14ac:dyDescent="0.3">
      <c r="A168" s="2817" t="s">
        <v>3961</v>
      </c>
      <c r="B168" s="2822"/>
      <c r="C168" s="2822"/>
      <c r="D168" s="2822"/>
      <c r="E168" s="2822"/>
      <c r="F168" s="2885"/>
      <c r="G168" s="2822"/>
      <c r="H168" s="2822"/>
      <c r="I168" s="2822"/>
      <c r="J168" s="2822"/>
      <c r="K168" s="2822"/>
      <c r="L168" s="2822"/>
      <c r="M168" s="2822"/>
      <c r="N168" s="2822"/>
      <c r="O168" s="2822"/>
      <c r="P168" s="2822"/>
      <c r="Q168" s="2822"/>
      <c r="R168" s="2822"/>
      <c r="S168" s="2822"/>
      <c r="T168" s="2822"/>
      <c r="U168" s="2822"/>
      <c r="V168" s="2822"/>
      <c r="W168" s="2822"/>
      <c r="X168" s="2822"/>
      <c r="Y168" s="2822"/>
      <c r="Z168" s="2822"/>
      <c r="AA168" s="2822"/>
      <c r="AB168" s="2822"/>
      <c r="AC168" s="2822"/>
      <c r="AD168" s="2822"/>
      <c r="AE168" s="2822"/>
      <c r="AF168" s="2822"/>
      <c r="AG168" s="2822"/>
      <c r="AH168" s="2822"/>
      <c r="AI168" s="2822"/>
      <c r="AJ168" s="2822"/>
      <c r="AK168" s="2822"/>
      <c r="AL168" s="2822"/>
      <c r="AM168" s="2822"/>
      <c r="AN168" s="2822"/>
      <c r="AO168" s="2822"/>
      <c r="AP168" s="2822"/>
      <c r="AQ168" s="2822"/>
      <c r="AR168" s="2822"/>
      <c r="AS168" s="2885"/>
      <c r="AT168" s="2822"/>
      <c r="AU168" s="2822"/>
      <c r="AV168" s="2822"/>
      <c r="AW168" s="2822"/>
      <c r="AX168" s="2822"/>
      <c r="AY168" s="2822"/>
      <c r="AZ168" s="2822"/>
      <c r="BA168" s="2822"/>
      <c r="BB168" s="2822"/>
      <c r="BC168" s="2822"/>
      <c r="BD168" s="2822"/>
      <c r="BE168" s="2822"/>
      <c r="BF168" s="2822"/>
      <c r="BG168" s="2822"/>
      <c r="BH168" s="2822"/>
      <c r="BI168" s="2822"/>
      <c r="BJ168" s="2822"/>
      <c r="BK168" s="2822"/>
      <c r="BL168" s="2822"/>
      <c r="BM168" s="2822"/>
      <c r="BN168" s="2822"/>
      <c r="BO168" s="2822"/>
      <c r="BP168" s="2822"/>
      <c r="BQ168" s="2822"/>
      <c r="BR168" s="2822"/>
      <c r="BS168" s="2822"/>
      <c r="BT168" s="2822"/>
      <c r="BU168" s="2822"/>
      <c r="BV168" s="2822"/>
      <c r="BW168" s="2822"/>
      <c r="BX168" s="2822"/>
      <c r="BY168" s="2822"/>
      <c r="BZ168" s="2822"/>
      <c r="CA168" s="2822"/>
      <c r="CB168" s="2822"/>
      <c r="CC168" s="2822"/>
      <c r="CD168" s="2822"/>
      <c r="CE168" s="2822"/>
      <c r="CF168" s="2822"/>
      <c r="CG168" s="2822"/>
      <c r="CH168" s="2822"/>
      <c r="CI168" s="2822"/>
      <c r="CJ168" s="2822"/>
      <c r="CK168" s="2822"/>
      <c r="CL168" s="2822"/>
      <c r="CM168" s="2822"/>
      <c r="CN168" s="2822"/>
    </row>
    <row r="169" spans="1:92" ht="20.25" x14ac:dyDescent="0.3">
      <c r="A169" s="2823" t="s">
        <v>3755</v>
      </c>
      <c r="B169" s="2822"/>
      <c r="C169" s="2822"/>
      <c r="D169" s="2822"/>
      <c r="E169" s="2822"/>
      <c r="F169" s="2822"/>
      <c r="G169" s="2822"/>
      <c r="H169" s="2822"/>
      <c r="I169" s="2822"/>
      <c r="J169" s="2822"/>
      <c r="K169" s="2822"/>
      <c r="L169" s="2822"/>
      <c r="M169" s="2822"/>
      <c r="N169" s="2822"/>
      <c r="O169" s="2822"/>
      <c r="P169" s="2822"/>
      <c r="Q169" s="2822"/>
      <c r="R169" s="2822"/>
      <c r="S169" s="2822"/>
      <c r="T169" s="2822"/>
      <c r="U169" s="2822"/>
      <c r="V169" s="2822"/>
      <c r="W169" s="2822"/>
      <c r="X169" s="2822"/>
      <c r="Y169" s="2822"/>
      <c r="Z169" s="2822"/>
      <c r="AA169" s="2822"/>
      <c r="AB169" s="2822"/>
      <c r="AC169" s="2822"/>
      <c r="AD169" s="2822"/>
      <c r="AE169" s="2822"/>
      <c r="AF169" s="2822"/>
      <c r="AG169" s="2822"/>
      <c r="AH169" s="2822"/>
      <c r="AI169" s="2822"/>
      <c r="AJ169" s="2822"/>
      <c r="AK169" s="2822"/>
      <c r="AL169" s="2822"/>
      <c r="AM169" s="2822"/>
      <c r="AN169" s="2822"/>
      <c r="AO169" s="2822"/>
      <c r="AP169" s="2822"/>
      <c r="AQ169" s="2822"/>
      <c r="AR169" s="2822"/>
      <c r="AS169" s="2822"/>
      <c r="AT169" s="2822"/>
      <c r="AU169" s="2822"/>
      <c r="AV169" s="2822"/>
      <c r="AW169" s="2822"/>
      <c r="AX169" s="2822"/>
      <c r="AY169" s="2822"/>
      <c r="AZ169" s="2822"/>
      <c r="BA169" s="2822"/>
      <c r="BB169" s="2822"/>
      <c r="BC169" s="2822"/>
      <c r="BD169" s="2822"/>
      <c r="BE169" s="2822"/>
      <c r="BF169" s="2822"/>
      <c r="BG169" s="2822"/>
      <c r="BH169" s="2822"/>
      <c r="BI169" s="2822"/>
      <c r="BJ169" s="2822"/>
      <c r="BK169" s="2822"/>
      <c r="BL169" s="2822"/>
      <c r="BM169" s="2822"/>
      <c r="BN169" s="2822"/>
      <c r="BO169" s="2822"/>
      <c r="BP169" s="2822"/>
      <c r="BQ169" s="2822"/>
      <c r="BR169" s="2822"/>
      <c r="BS169" s="2822"/>
      <c r="BT169" s="2822"/>
      <c r="BU169" s="2822"/>
      <c r="BV169" s="2822"/>
      <c r="BW169" s="2822"/>
      <c r="BX169" s="2822"/>
      <c r="BY169" s="2822"/>
      <c r="BZ169" s="2822"/>
      <c r="CA169" s="2822"/>
      <c r="CB169" s="2822"/>
      <c r="CC169" s="2822"/>
      <c r="CD169" s="2822"/>
      <c r="CE169" s="2822"/>
      <c r="CF169" s="2822"/>
      <c r="CG169" s="2822"/>
      <c r="CH169" s="2822"/>
      <c r="CI169" s="2822"/>
      <c r="CJ169" s="2822"/>
      <c r="CK169" s="2822"/>
      <c r="CL169" s="2822"/>
      <c r="CM169" s="2822"/>
      <c r="CN169" s="2822"/>
    </row>
    <row r="170" spans="1:92" ht="20.25" x14ac:dyDescent="0.3">
      <c r="A170" s="2823"/>
      <c r="B170" s="2822"/>
      <c r="C170" s="2822"/>
      <c r="D170" s="2822"/>
      <c r="E170" s="2822"/>
      <c r="F170" s="2822"/>
      <c r="G170" s="2822"/>
      <c r="H170" s="2822"/>
      <c r="I170" s="2822"/>
      <c r="J170" s="2822"/>
      <c r="K170" s="2822"/>
      <c r="L170" s="2822"/>
      <c r="M170" s="2822"/>
      <c r="N170" s="2822"/>
      <c r="O170" s="2822"/>
      <c r="P170" s="2822"/>
      <c r="Q170" s="2822"/>
      <c r="R170" s="2822"/>
      <c r="S170" s="2822"/>
      <c r="T170" s="2822"/>
      <c r="U170" s="2822"/>
      <c r="V170" s="2822"/>
      <c r="W170" s="2822"/>
      <c r="X170" s="2822"/>
      <c r="Y170" s="2822"/>
      <c r="Z170" s="2822"/>
      <c r="AA170" s="2822"/>
      <c r="AB170" s="2822"/>
      <c r="AC170" s="2822"/>
      <c r="AD170" s="2822"/>
      <c r="AE170" s="2822"/>
      <c r="AF170" s="2822"/>
      <c r="AG170" s="2822"/>
      <c r="AH170" s="2822"/>
      <c r="AI170" s="2822"/>
      <c r="AJ170" s="2822"/>
      <c r="AK170" s="2822"/>
      <c r="AL170" s="2822"/>
      <c r="AM170" s="2822"/>
      <c r="AN170" s="2822"/>
      <c r="AO170" s="2822"/>
      <c r="AP170" s="2822"/>
      <c r="AQ170" s="2822"/>
      <c r="AR170" s="2822"/>
      <c r="AS170" s="2822"/>
      <c r="AT170" s="2822"/>
      <c r="AU170" s="2822"/>
      <c r="AV170" s="2822"/>
      <c r="AW170" s="2822"/>
      <c r="AX170" s="2822"/>
      <c r="AY170" s="2822"/>
      <c r="AZ170" s="2822"/>
      <c r="BA170" s="2822"/>
      <c r="BB170" s="2822"/>
      <c r="BC170" s="2822"/>
      <c r="BD170" s="2822"/>
      <c r="BE170" s="2822"/>
      <c r="BF170" s="2822"/>
      <c r="BG170" s="2822"/>
      <c r="BH170" s="2822"/>
      <c r="BI170" s="2822"/>
      <c r="BJ170" s="2822"/>
      <c r="BK170" s="2822"/>
      <c r="BL170" s="2822"/>
      <c r="BM170" s="2822"/>
      <c r="BN170" s="2822"/>
      <c r="BO170" s="2822"/>
      <c r="BP170" s="2822"/>
      <c r="BQ170" s="2822"/>
      <c r="BR170" s="2822"/>
      <c r="BS170" s="2822"/>
      <c r="BT170" s="2822"/>
      <c r="BU170" s="2822"/>
      <c r="BV170" s="2822"/>
      <c r="BW170" s="2822"/>
      <c r="BX170" s="2822"/>
      <c r="BY170" s="2822"/>
      <c r="BZ170" s="2822"/>
      <c r="CA170" s="2822"/>
      <c r="CB170" s="2822"/>
      <c r="CC170" s="2822"/>
      <c r="CD170" s="2822"/>
      <c r="CE170" s="2822"/>
      <c r="CF170" s="2822"/>
      <c r="CG170" s="2822"/>
      <c r="CH170" s="2822"/>
      <c r="CI170" s="2822"/>
      <c r="CJ170" s="2822"/>
      <c r="CK170" s="2822"/>
      <c r="CL170" s="2822"/>
      <c r="CM170" s="2822"/>
      <c r="CN170" s="2822"/>
    </row>
    <row r="171" spans="1:92" ht="18.75" x14ac:dyDescent="0.3">
      <c r="A171" s="2826" t="s">
        <v>3715</v>
      </c>
      <c r="B171" s="2886"/>
      <c r="C171" s="2886"/>
      <c r="D171" s="2886"/>
      <c r="E171" s="2886"/>
      <c r="F171" s="2886"/>
      <c r="G171" s="2886"/>
      <c r="H171" s="2886"/>
      <c r="I171" s="2886"/>
      <c r="J171" s="2886"/>
      <c r="K171" s="2886"/>
      <c r="L171" s="2886"/>
      <c r="M171" s="2886"/>
      <c r="N171" s="2886"/>
      <c r="O171" s="2886"/>
      <c r="P171" s="2886"/>
      <c r="Q171" s="2886"/>
      <c r="R171" s="2886"/>
      <c r="S171" s="2886"/>
      <c r="T171" s="2886"/>
      <c r="U171" s="2886"/>
      <c r="V171" s="2886"/>
      <c r="W171" s="2886"/>
      <c r="X171" s="2886"/>
      <c r="Y171" s="2886"/>
      <c r="Z171" s="2886"/>
      <c r="AA171" s="2886"/>
      <c r="AB171" s="2886"/>
      <c r="AC171" s="2886"/>
      <c r="AD171" s="2886"/>
      <c r="AE171" s="2886"/>
      <c r="AF171" s="2886"/>
      <c r="AG171" s="2886"/>
      <c r="AH171" s="2886"/>
      <c r="AI171" s="2886"/>
      <c r="AJ171" s="2886"/>
      <c r="AK171" s="2886"/>
      <c r="AL171" s="2886"/>
      <c r="AM171" s="2886"/>
      <c r="AN171" s="2886"/>
      <c r="AO171" s="2886"/>
      <c r="AP171" s="2886"/>
      <c r="AQ171" s="2886"/>
      <c r="AR171" s="2886"/>
      <c r="AS171" s="2886"/>
      <c r="AT171" s="2886"/>
      <c r="AU171" s="2886"/>
      <c r="AV171" s="2886"/>
      <c r="AW171" s="2886"/>
      <c r="AX171" s="2886"/>
      <c r="AY171" s="2886"/>
      <c r="AZ171" s="2886"/>
      <c r="BA171" s="2886"/>
      <c r="BB171" s="2886"/>
      <c r="BC171" s="2886"/>
      <c r="BD171" s="2886"/>
      <c r="BE171" s="2886"/>
      <c r="BF171" s="2886"/>
      <c r="BG171" s="2886"/>
      <c r="BH171" s="2886"/>
      <c r="BI171" s="2886"/>
      <c r="BJ171" s="2886"/>
      <c r="BK171" s="2886"/>
      <c r="BL171" s="2886"/>
      <c r="BM171" s="2886"/>
      <c r="BN171" s="2886"/>
      <c r="BO171" s="2886"/>
      <c r="BP171" s="2886"/>
      <c r="BQ171" s="2886"/>
      <c r="BR171" s="2886"/>
      <c r="BS171" s="2886"/>
      <c r="BT171" s="2886"/>
      <c r="BU171" s="2886"/>
      <c r="BV171" s="2886"/>
      <c r="BW171" s="2886"/>
      <c r="BX171" s="2886"/>
      <c r="BY171" s="2886"/>
      <c r="BZ171" s="2886"/>
      <c r="CA171" s="2886"/>
      <c r="CB171" s="2886"/>
      <c r="CC171" s="2886"/>
      <c r="CD171" s="2886"/>
      <c r="CE171" s="2886"/>
      <c r="CF171" s="2886"/>
      <c r="CG171" s="2886"/>
      <c r="CH171" s="2886"/>
      <c r="CI171" s="2886"/>
      <c r="CJ171" s="2887"/>
      <c r="CK171" s="2822"/>
      <c r="CL171" s="2822"/>
      <c r="CM171" s="2822"/>
      <c r="CN171" s="2822"/>
    </row>
    <row r="172" spans="1:92" ht="18.75" customHeight="1" x14ac:dyDescent="0.2">
      <c r="A172" s="4638" t="s">
        <v>527</v>
      </c>
      <c r="B172" s="4622" t="s">
        <v>3716</v>
      </c>
      <c r="C172" s="4623"/>
      <c r="D172" s="4623"/>
      <c r="E172" s="4623"/>
      <c r="F172" s="4623"/>
      <c r="G172" s="4623"/>
      <c r="H172" s="4623"/>
      <c r="I172" s="4623"/>
      <c r="J172" s="4623"/>
      <c r="K172" s="4623"/>
      <c r="L172" s="4623"/>
      <c r="M172" s="4623"/>
      <c r="N172" s="4623"/>
      <c r="O172" s="4623"/>
      <c r="P172" s="4624"/>
      <c r="Q172" s="4613" t="s">
        <v>3717</v>
      </c>
      <c r="R172" s="4614"/>
      <c r="S172" s="4614"/>
      <c r="T172" s="4614"/>
      <c r="U172" s="4614"/>
      <c r="V172" s="4614"/>
      <c r="W172" s="4614"/>
      <c r="X172" s="4614"/>
      <c r="Y172" s="4614"/>
      <c r="Z172" s="4614"/>
      <c r="AA172" s="4614"/>
      <c r="AB172" s="4614"/>
      <c r="AC172" s="4614"/>
      <c r="AD172" s="4568"/>
      <c r="AE172" s="4569"/>
      <c r="AF172" s="4609" t="s">
        <v>3718</v>
      </c>
      <c r="AG172" s="4610"/>
      <c r="AH172" s="4610"/>
      <c r="AI172" s="4610"/>
      <c r="AJ172" s="4610"/>
      <c r="AK172" s="4610"/>
      <c r="AL172" s="4610"/>
      <c r="AM172" s="4625"/>
      <c r="AN172" s="4626"/>
      <c r="AO172" s="4622" t="s">
        <v>3719</v>
      </c>
      <c r="AP172" s="4623"/>
      <c r="AQ172" s="4623"/>
      <c r="AR172" s="4623"/>
      <c r="AS172" s="4623"/>
      <c r="AT172" s="4623"/>
      <c r="AU172" s="4623"/>
      <c r="AV172" s="4623"/>
      <c r="AW172" s="4623"/>
      <c r="AX172" s="4623"/>
      <c r="AY172" s="4623"/>
      <c r="AZ172" s="4623"/>
      <c r="BA172" s="4623"/>
      <c r="BB172" s="4625"/>
      <c r="BC172" s="4626"/>
      <c r="BD172" s="4609" t="s">
        <v>3720</v>
      </c>
      <c r="BE172" s="4610"/>
      <c r="BF172" s="4610"/>
      <c r="BG172" s="4610"/>
      <c r="BH172" s="4610"/>
      <c r="BI172" s="4610"/>
      <c r="BJ172" s="4610"/>
      <c r="BK172" s="4625"/>
      <c r="BL172" s="4626"/>
      <c r="BM172" s="4616" t="s">
        <v>3721</v>
      </c>
      <c r="BN172" s="4617"/>
      <c r="BO172" s="4617"/>
      <c r="BP172" s="4617"/>
      <c r="BQ172" s="4617"/>
      <c r="BR172" s="4617"/>
      <c r="BS172" s="4617"/>
      <c r="BT172" s="4617"/>
      <c r="BU172" s="4617"/>
      <c r="BV172" s="4617"/>
      <c r="BW172" s="4617"/>
      <c r="BX172" s="4617"/>
      <c r="BY172" s="4617"/>
      <c r="BZ172" s="4687"/>
      <c r="CA172" s="4687"/>
      <c r="CB172" s="4609" t="s">
        <v>1992</v>
      </c>
      <c r="CC172" s="4610"/>
      <c r="CD172" s="4610"/>
      <c r="CE172" s="4610"/>
      <c r="CF172" s="4610"/>
      <c r="CG172" s="4610"/>
      <c r="CH172" s="4610"/>
      <c r="CI172" s="4611"/>
      <c r="CJ172" s="4612"/>
      <c r="CK172" s="2822"/>
      <c r="CL172" s="2822"/>
      <c r="CM172" s="2822"/>
      <c r="CN172" s="2822"/>
    </row>
    <row r="173" spans="1:92" ht="18.75" customHeight="1" x14ac:dyDescent="0.2">
      <c r="A173" s="4639"/>
      <c r="B173" s="4613" t="s">
        <v>3573</v>
      </c>
      <c r="C173" s="4614"/>
      <c r="D173" s="4615"/>
      <c r="E173" s="4616" t="s">
        <v>571</v>
      </c>
      <c r="F173" s="4617"/>
      <c r="G173" s="4618"/>
      <c r="H173" s="4616" t="s">
        <v>572</v>
      </c>
      <c r="I173" s="4617"/>
      <c r="J173" s="4618"/>
      <c r="K173" s="4616" t="s">
        <v>573</v>
      </c>
      <c r="L173" s="4617"/>
      <c r="M173" s="4618"/>
      <c r="N173" s="4613" t="s">
        <v>1677</v>
      </c>
      <c r="O173" s="4614"/>
      <c r="P173" s="4615"/>
      <c r="Q173" s="4613" t="s">
        <v>3573</v>
      </c>
      <c r="R173" s="4614"/>
      <c r="S173" s="4615"/>
      <c r="T173" s="4619" t="s">
        <v>3722</v>
      </c>
      <c r="U173" s="4620"/>
      <c r="V173" s="4621"/>
      <c r="W173" s="4619" t="s">
        <v>575</v>
      </c>
      <c r="X173" s="4620"/>
      <c r="Y173" s="4621"/>
      <c r="Z173" s="4619" t="s">
        <v>576</v>
      </c>
      <c r="AA173" s="4620"/>
      <c r="AB173" s="4621"/>
      <c r="AC173" s="4613" t="s">
        <v>1677</v>
      </c>
      <c r="AD173" s="4614"/>
      <c r="AE173" s="4615"/>
      <c r="AF173" s="4627" t="s">
        <v>3573</v>
      </c>
      <c r="AG173" s="4628"/>
      <c r="AH173" s="4629"/>
      <c r="AI173" s="4627" t="s">
        <v>1677</v>
      </c>
      <c r="AJ173" s="4628"/>
      <c r="AK173" s="4629"/>
      <c r="AL173" s="4627" t="s">
        <v>3723</v>
      </c>
      <c r="AM173" s="4628"/>
      <c r="AN173" s="4629"/>
      <c r="AO173" s="4643" t="s">
        <v>3573</v>
      </c>
      <c r="AP173" s="4644"/>
      <c r="AQ173" s="4645"/>
      <c r="AR173" s="4646" t="s">
        <v>577</v>
      </c>
      <c r="AS173" s="4647"/>
      <c r="AT173" s="4648"/>
      <c r="AU173" s="4646" t="s">
        <v>578</v>
      </c>
      <c r="AV173" s="4647"/>
      <c r="AW173" s="4648"/>
      <c r="AX173" s="4646" t="s">
        <v>579</v>
      </c>
      <c r="AY173" s="4647"/>
      <c r="AZ173" s="4648"/>
      <c r="BA173" s="4643" t="s">
        <v>1677</v>
      </c>
      <c r="BB173" s="4644"/>
      <c r="BC173" s="4645"/>
      <c r="BD173" s="4640" t="s">
        <v>3573</v>
      </c>
      <c r="BE173" s="4641"/>
      <c r="BF173" s="4642"/>
      <c r="BG173" s="4640" t="s">
        <v>1677</v>
      </c>
      <c r="BH173" s="4641"/>
      <c r="BI173" s="4642"/>
      <c r="BJ173" s="4640" t="s">
        <v>3723</v>
      </c>
      <c r="BK173" s="4641"/>
      <c r="BL173" s="4642"/>
      <c r="BM173" s="4684" t="s">
        <v>3573</v>
      </c>
      <c r="BN173" s="4685"/>
      <c r="BO173" s="4686"/>
      <c r="BP173" s="4630" t="s">
        <v>580</v>
      </c>
      <c r="BQ173" s="4631"/>
      <c r="BR173" s="4632"/>
      <c r="BS173" s="4630" t="s">
        <v>581</v>
      </c>
      <c r="BT173" s="4631"/>
      <c r="BU173" s="4632"/>
      <c r="BV173" s="4630" t="s">
        <v>582</v>
      </c>
      <c r="BW173" s="4631"/>
      <c r="BX173" s="4632"/>
      <c r="BY173" s="4684" t="s">
        <v>1677</v>
      </c>
      <c r="BZ173" s="4685"/>
      <c r="CA173" s="4685"/>
      <c r="CB173" s="4633" t="s">
        <v>3573</v>
      </c>
      <c r="CC173" s="4634"/>
      <c r="CD173" s="4635"/>
      <c r="CE173" s="4633" t="s">
        <v>1677</v>
      </c>
      <c r="CF173" s="4634"/>
      <c r="CG173" s="4635"/>
      <c r="CH173" s="4633" t="s">
        <v>3723</v>
      </c>
      <c r="CI173" s="4636"/>
      <c r="CJ173" s="4637"/>
      <c r="CK173" s="2822"/>
      <c r="CL173" s="2822"/>
      <c r="CM173" s="2822"/>
      <c r="CN173" s="2822"/>
    </row>
    <row r="174" spans="1:92" ht="18.75" customHeight="1" x14ac:dyDescent="0.2">
      <c r="A174" s="4639"/>
      <c r="B174" s="2832" t="s">
        <v>616</v>
      </c>
      <c r="C174" s="2832" t="s">
        <v>3724</v>
      </c>
      <c r="D174" s="2832" t="s">
        <v>3660</v>
      </c>
      <c r="E174" s="2832" t="s">
        <v>616</v>
      </c>
      <c r="F174" s="2832" t="s">
        <v>3724</v>
      </c>
      <c r="G174" s="2832" t="s">
        <v>3660</v>
      </c>
      <c r="H174" s="2832" t="s">
        <v>616</v>
      </c>
      <c r="I174" s="2832" t="s">
        <v>3724</v>
      </c>
      <c r="J174" s="2832" t="s">
        <v>3660</v>
      </c>
      <c r="K174" s="2832" t="s">
        <v>616</v>
      </c>
      <c r="L174" s="2832" t="s">
        <v>3724</v>
      </c>
      <c r="M174" s="2832" t="s">
        <v>3660</v>
      </c>
      <c r="N174" s="2832" t="s">
        <v>616</v>
      </c>
      <c r="O174" s="2832" t="s">
        <v>3724</v>
      </c>
      <c r="P174" s="2832" t="s">
        <v>3660</v>
      </c>
      <c r="Q174" s="2832" t="s">
        <v>616</v>
      </c>
      <c r="R174" s="2832" t="s">
        <v>3724</v>
      </c>
      <c r="S174" s="2832" t="s">
        <v>3660</v>
      </c>
      <c r="T174" s="2832" t="s">
        <v>616</v>
      </c>
      <c r="U174" s="2832" t="s">
        <v>3724</v>
      </c>
      <c r="V174" s="2832" t="s">
        <v>3660</v>
      </c>
      <c r="W174" s="2832" t="s">
        <v>616</v>
      </c>
      <c r="X174" s="2832" t="s">
        <v>3724</v>
      </c>
      <c r="Y174" s="2832" t="s">
        <v>3660</v>
      </c>
      <c r="Z174" s="2832" t="s">
        <v>616</v>
      </c>
      <c r="AA174" s="2832" t="s">
        <v>3724</v>
      </c>
      <c r="AB174" s="2832" t="s">
        <v>3660</v>
      </c>
      <c r="AC174" s="2832" t="s">
        <v>616</v>
      </c>
      <c r="AD174" s="2832" t="s">
        <v>3724</v>
      </c>
      <c r="AE174" s="2832" t="s">
        <v>3660</v>
      </c>
      <c r="AF174" s="2833" t="s">
        <v>616</v>
      </c>
      <c r="AG174" s="2833" t="s">
        <v>3724</v>
      </c>
      <c r="AH174" s="2833" t="s">
        <v>3660</v>
      </c>
      <c r="AI174" s="2833" t="s">
        <v>616</v>
      </c>
      <c r="AJ174" s="2833" t="s">
        <v>3724</v>
      </c>
      <c r="AK174" s="2833" t="s">
        <v>3660</v>
      </c>
      <c r="AL174" s="2833" t="s">
        <v>616</v>
      </c>
      <c r="AM174" s="2833" t="s">
        <v>3724</v>
      </c>
      <c r="AN174" s="2833" t="s">
        <v>3660</v>
      </c>
      <c r="AO174" s="2832" t="s">
        <v>616</v>
      </c>
      <c r="AP174" s="2832" t="s">
        <v>3724</v>
      </c>
      <c r="AQ174" s="2832" t="s">
        <v>3660</v>
      </c>
      <c r="AR174" s="2832" t="s">
        <v>616</v>
      </c>
      <c r="AS174" s="2832" t="s">
        <v>3724</v>
      </c>
      <c r="AT174" s="2832" t="s">
        <v>3660</v>
      </c>
      <c r="AU174" s="2832" t="s">
        <v>616</v>
      </c>
      <c r="AV174" s="2832" t="s">
        <v>3724</v>
      </c>
      <c r="AW174" s="2832" t="s">
        <v>3660</v>
      </c>
      <c r="AX174" s="2832" t="s">
        <v>616</v>
      </c>
      <c r="AY174" s="2832" t="s">
        <v>3724</v>
      </c>
      <c r="AZ174" s="2832" t="s">
        <v>3660</v>
      </c>
      <c r="BA174" s="2832" t="s">
        <v>616</v>
      </c>
      <c r="BB174" s="2832" t="s">
        <v>3724</v>
      </c>
      <c r="BC174" s="2832" t="s">
        <v>3660</v>
      </c>
      <c r="BD174" s="2833" t="s">
        <v>616</v>
      </c>
      <c r="BE174" s="2833" t="s">
        <v>3724</v>
      </c>
      <c r="BF174" s="2833" t="s">
        <v>3660</v>
      </c>
      <c r="BG174" s="2833" t="s">
        <v>616</v>
      </c>
      <c r="BH174" s="2833" t="s">
        <v>3724</v>
      </c>
      <c r="BI174" s="2833" t="s">
        <v>3660</v>
      </c>
      <c r="BJ174" s="2833" t="s">
        <v>616</v>
      </c>
      <c r="BK174" s="2833" t="s">
        <v>3724</v>
      </c>
      <c r="BL174" s="2833" t="s">
        <v>3660</v>
      </c>
      <c r="BM174" s="2832" t="s">
        <v>616</v>
      </c>
      <c r="BN174" s="2832" t="s">
        <v>3724</v>
      </c>
      <c r="BO174" s="2832" t="s">
        <v>3660</v>
      </c>
      <c r="BP174" s="2832" t="s">
        <v>616</v>
      </c>
      <c r="BQ174" s="2832" t="s">
        <v>3724</v>
      </c>
      <c r="BR174" s="2832" t="s">
        <v>3660</v>
      </c>
      <c r="BS174" s="2832" t="s">
        <v>616</v>
      </c>
      <c r="BT174" s="2832" t="s">
        <v>3724</v>
      </c>
      <c r="BU174" s="2832" t="s">
        <v>3660</v>
      </c>
      <c r="BV174" s="2832" t="s">
        <v>616</v>
      </c>
      <c r="BW174" s="2832" t="s">
        <v>3724</v>
      </c>
      <c r="BX174" s="2832" t="s">
        <v>3660</v>
      </c>
      <c r="BY174" s="2832" t="s">
        <v>616</v>
      </c>
      <c r="BZ174" s="2832" t="s">
        <v>3724</v>
      </c>
      <c r="CA174" s="2834" t="s">
        <v>3660</v>
      </c>
      <c r="CB174" s="2833" t="s">
        <v>616</v>
      </c>
      <c r="CC174" s="2833" t="s">
        <v>3724</v>
      </c>
      <c r="CD174" s="2833" t="s">
        <v>3660</v>
      </c>
      <c r="CE174" s="2833" t="s">
        <v>616</v>
      </c>
      <c r="CF174" s="2833" t="s">
        <v>3724</v>
      </c>
      <c r="CG174" s="2833" t="s">
        <v>3660</v>
      </c>
      <c r="CH174" s="2833" t="s">
        <v>616</v>
      </c>
      <c r="CI174" s="2833" t="s">
        <v>3724</v>
      </c>
      <c r="CJ174" s="2833" t="s">
        <v>3660</v>
      </c>
      <c r="CK174" s="2822"/>
      <c r="CL174" s="2822"/>
      <c r="CM174" s="2822"/>
      <c r="CN174" s="2822"/>
    </row>
    <row r="175" spans="1:92" ht="18.75" x14ac:dyDescent="0.2">
      <c r="A175" s="2835" t="s">
        <v>3725</v>
      </c>
      <c r="B175" s="2837">
        <f t="shared" ref="B175:AG175" si="1000">SUM(B8)</f>
        <v>1497.42245</v>
      </c>
      <c r="C175" s="2837">
        <f t="shared" si="1000"/>
        <v>1496.98</v>
      </c>
      <c r="D175" s="2837">
        <f t="shared" si="1000"/>
        <v>0.44245000000000001</v>
      </c>
      <c r="E175" s="2836">
        <f t="shared" si="1000"/>
        <v>489.70100000000002</v>
      </c>
      <c r="F175" s="2836">
        <f t="shared" si="1000"/>
        <v>489.65100000000001</v>
      </c>
      <c r="G175" s="2836">
        <f t="shared" si="1000"/>
        <v>0.05</v>
      </c>
      <c r="H175" s="2836">
        <f t="shared" si="1000"/>
        <v>477.80900000000003</v>
      </c>
      <c r="I175" s="2836">
        <f t="shared" si="1000"/>
        <v>477.79300000000001</v>
      </c>
      <c r="J175" s="2836">
        <f t="shared" si="1000"/>
        <v>1.6E-2</v>
      </c>
      <c r="K175" s="2836">
        <f t="shared" si="1000"/>
        <v>488.92399999999998</v>
      </c>
      <c r="L175" s="2836">
        <f t="shared" si="1000"/>
        <v>488.90199999999999</v>
      </c>
      <c r="M175" s="2836">
        <f t="shared" si="1000"/>
        <v>2.1999999999999999E-2</v>
      </c>
      <c r="N175" s="2836">
        <f t="shared" si="1000"/>
        <v>1456.434</v>
      </c>
      <c r="O175" s="2836">
        <f t="shared" si="1000"/>
        <v>1456.346</v>
      </c>
      <c r="P175" s="2836">
        <f t="shared" si="1000"/>
        <v>8.7999999999999995E-2</v>
      </c>
      <c r="Q175" s="2837">
        <f t="shared" si="1000"/>
        <v>1497.42245</v>
      </c>
      <c r="R175" s="2837">
        <f t="shared" si="1000"/>
        <v>1496.98</v>
      </c>
      <c r="S175" s="2837">
        <f t="shared" si="1000"/>
        <v>0.44245000000000001</v>
      </c>
      <c r="T175" s="2836">
        <f t="shared" si="1000"/>
        <v>461.238</v>
      </c>
      <c r="U175" s="2836">
        <f t="shared" si="1000"/>
        <v>461.084</v>
      </c>
      <c r="V175" s="2836">
        <f t="shared" si="1000"/>
        <v>0.154</v>
      </c>
      <c r="W175" s="2836">
        <f t="shared" si="1000"/>
        <v>535.15099999999995</v>
      </c>
      <c r="X175" s="2836">
        <f t="shared" si="1000"/>
        <v>535.08399999999995</v>
      </c>
      <c r="Y175" s="2836">
        <f t="shared" si="1000"/>
        <v>6.7000000000000004E-2</v>
      </c>
      <c r="Z175" s="2836">
        <f t="shared" si="1000"/>
        <v>464.96000000000004</v>
      </c>
      <c r="AA175" s="2836">
        <f t="shared" si="1000"/>
        <v>464.85500000000002</v>
      </c>
      <c r="AB175" s="2836">
        <f t="shared" si="1000"/>
        <v>0.105</v>
      </c>
      <c r="AC175" s="2836">
        <f t="shared" si="1000"/>
        <v>1461.3489999999999</v>
      </c>
      <c r="AD175" s="2836">
        <f t="shared" si="1000"/>
        <v>1461.0229999999999</v>
      </c>
      <c r="AE175" s="2836">
        <f t="shared" si="1000"/>
        <v>0.32600000000000001</v>
      </c>
      <c r="AF175" s="2839">
        <f t="shared" si="1000"/>
        <v>2994.8449000000001</v>
      </c>
      <c r="AG175" s="2839">
        <f t="shared" si="1000"/>
        <v>2993.96</v>
      </c>
      <c r="AH175" s="2839">
        <f t="shared" ref="AH175:BM175" si="1001">SUM(AH8)</f>
        <v>0.88490000000000002</v>
      </c>
      <c r="AI175" s="2840">
        <f t="shared" si="1001"/>
        <v>2917.7829999999999</v>
      </c>
      <c r="AJ175" s="2840">
        <f t="shared" si="1001"/>
        <v>2917.3689999999997</v>
      </c>
      <c r="AK175" s="2840">
        <f t="shared" si="1001"/>
        <v>0.41400000000000003</v>
      </c>
      <c r="AL175" s="2840">
        <f t="shared" si="1001"/>
        <v>-77.06190000000035</v>
      </c>
      <c r="AM175" s="2840">
        <f t="shared" si="1001"/>
        <v>-76.591000000000349</v>
      </c>
      <c r="AN175" s="2840">
        <f t="shared" si="1001"/>
        <v>-0.47089999999999999</v>
      </c>
      <c r="AO175" s="2837">
        <f t="shared" si="1001"/>
        <v>1497.42245</v>
      </c>
      <c r="AP175" s="2837">
        <f t="shared" si="1001"/>
        <v>1496.98</v>
      </c>
      <c r="AQ175" s="2837">
        <f t="shared" si="1001"/>
        <v>0.44245000000000001</v>
      </c>
      <c r="AR175" s="2836">
        <f t="shared" si="1001"/>
        <v>441.589</v>
      </c>
      <c r="AS175" s="2836">
        <f t="shared" si="1001"/>
        <v>441.505</v>
      </c>
      <c r="AT175" s="2836">
        <f t="shared" si="1001"/>
        <v>8.4000000000000005E-2</v>
      </c>
      <c r="AU175" s="2836">
        <f t="shared" si="1001"/>
        <v>388.53999999999996</v>
      </c>
      <c r="AV175" s="2836">
        <f t="shared" si="1001"/>
        <v>388.46499999999997</v>
      </c>
      <c r="AW175" s="2836">
        <f t="shared" si="1001"/>
        <v>7.4999999999999997E-2</v>
      </c>
      <c r="AX175" s="2836">
        <f t="shared" si="1001"/>
        <v>410.49299999999999</v>
      </c>
      <c r="AY175" s="2836">
        <f t="shared" si="1001"/>
        <v>410.46800000000002</v>
      </c>
      <c r="AZ175" s="2836">
        <f t="shared" si="1001"/>
        <v>2.5000000000000001E-2</v>
      </c>
      <c r="BA175" s="2836">
        <f t="shared" si="1001"/>
        <v>1240.6220000000001</v>
      </c>
      <c r="BB175" s="2836">
        <f t="shared" si="1001"/>
        <v>1240.4380000000001</v>
      </c>
      <c r="BC175" s="2836">
        <f t="shared" si="1001"/>
        <v>0.184</v>
      </c>
      <c r="BD175" s="2839">
        <f t="shared" si="1001"/>
        <v>4492.2673500000001</v>
      </c>
      <c r="BE175" s="2839">
        <f t="shared" si="1001"/>
        <v>4490.9400000000005</v>
      </c>
      <c r="BF175" s="2839">
        <f t="shared" si="1001"/>
        <v>1.32735</v>
      </c>
      <c r="BG175" s="2840">
        <f t="shared" si="1001"/>
        <v>4158.4049999999997</v>
      </c>
      <c r="BH175" s="2840">
        <f t="shared" si="1001"/>
        <v>4157.8069999999998</v>
      </c>
      <c r="BI175" s="2840">
        <f t="shared" si="1001"/>
        <v>0.59800000000000009</v>
      </c>
      <c r="BJ175" s="2840">
        <f t="shared" si="1001"/>
        <v>-333.86235000000073</v>
      </c>
      <c r="BK175" s="2840">
        <f t="shared" si="1001"/>
        <v>-333.13300000000072</v>
      </c>
      <c r="BL175" s="2840">
        <f t="shared" si="1001"/>
        <v>-0.72934999999999994</v>
      </c>
      <c r="BM175" s="2837">
        <f t="shared" si="1001"/>
        <v>1497.42245</v>
      </c>
      <c r="BN175" s="2837">
        <f t="shared" ref="BN175:CJ175" si="1002">SUM(BN8)</f>
        <v>1496.98</v>
      </c>
      <c r="BO175" s="2837">
        <f t="shared" si="1002"/>
        <v>0.44245000000000001</v>
      </c>
      <c r="BP175" s="2836">
        <f t="shared" si="1002"/>
        <v>449.41899999999998</v>
      </c>
      <c r="BQ175" s="2836">
        <f t="shared" si="1002"/>
        <v>449.392</v>
      </c>
      <c r="BR175" s="2836">
        <f t="shared" si="1002"/>
        <v>2.7E-2</v>
      </c>
      <c r="BS175" s="2836">
        <f t="shared" si="1002"/>
        <v>527.25900000000001</v>
      </c>
      <c r="BT175" s="2836">
        <f t="shared" si="1002"/>
        <v>527.18799999999999</v>
      </c>
      <c r="BU175" s="2836">
        <f t="shared" si="1002"/>
        <v>7.0999999999999994E-2</v>
      </c>
      <c r="BV175" s="2836">
        <f t="shared" si="1002"/>
        <v>452.66700000000003</v>
      </c>
      <c r="BW175" s="2836">
        <f t="shared" si="1002"/>
        <v>452.58100000000002</v>
      </c>
      <c r="BX175" s="2836">
        <f t="shared" si="1002"/>
        <v>8.5999999999999993E-2</v>
      </c>
      <c r="BY175" s="2836">
        <f t="shared" si="1002"/>
        <v>1429.345</v>
      </c>
      <c r="BZ175" s="2836">
        <f t="shared" si="1002"/>
        <v>1429.1610000000001</v>
      </c>
      <c r="CA175" s="2836">
        <f t="shared" si="1002"/>
        <v>0.184</v>
      </c>
      <c r="CB175" s="2839">
        <f t="shared" si="1002"/>
        <v>5989.6898000000001</v>
      </c>
      <c r="CC175" s="2839">
        <f t="shared" si="1002"/>
        <v>5987.92</v>
      </c>
      <c r="CD175" s="2839">
        <f t="shared" si="1002"/>
        <v>1.7698</v>
      </c>
      <c r="CE175" s="2840">
        <f t="shared" si="1002"/>
        <v>5587.75</v>
      </c>
      <c r="CF175" s="2840">
        <f t="shared" si="1002"/>
        <v>5586.9679999999998</v>
      </c>
      <c r="CG175" s="2840">
        <f t="shared" si="1002"/>
        <v>0.78200000000000003</v>
      </c>
      <c r="CH175" s="2840">
        <f t="shared" si="1002"/>
        <v>-401.93980000000022</v>
      </c>
      <c r="CI175" s="2840">
        <f t="shared" si="1002"/>
        <v>-400.95200000000023</v>
      </c>
      <c r="CJ175" s="2840">
        <f t="shared" si="1002"/>
        <v>-0.98780000000000001</v>
      </c>
      <c r="CK175" s="2822"/>
      <c r="CL175" s="2822"/>
      <c r="CM175" s="2822"/>
      <c r="CN175" s="2822"/>
    </row>
    <row r="176" spans="1:92" ht="18.75" x14ac:dyDescent="0.2">
      <c r="A176" s="2842" t="s">
        <v>20</v>
      </c>
      <c r="B176" s="2845">
        <f t="shared" ref="B176:AG176" si="1003">SUM(B9)</f>
        <v>285.92325</v>
      </c>
      <c r="C176" s="2845">
        <f t="shared" si="1003"/>
        <v>285.92325</v>
      </c>
      <c r="D176" s="2845">
        <f t="shared" si="1003"/>
        <v>0</v>
      </c>
      <c r="E176" s="2843">
        <f t="shared" si="1003"/>
        <v>43.868200000000002</v>
      </c>
      <c r="F176" s="2843">
        <f t="shared" si="1003"/>
        <v>43.868200000000002</v>
      </c>
      <c r="G176" s="2843">
        <f t="shared" si="1003"/>
        <v>0</v>
      </c>
      <c r="H176" s="2843">
        <f t="shared" si="1003"/>
        <v>14.89424</v>
      </c>
      <c r="I176" s="2843">
        <f t="shared" si="1003"/>
        <v>14.89424</v>
      </c>
      <c r="J176" s="2843">
        <f t="shared" si="1003"/>
        <v>0</v>
      </c>
      <c r="K176" s="2843">
        <f t="shared" si="1003"/>
        <v>20.629239999999999</v>
      </c>
      <c r="L176" s="2843">
        <f t="shared" si="1003"/>
        <v>20.629239999999999</v>
      </c>
      <c r="M176" s="2843">
        <f t="shared" si="1003"/>
        <v>0</v>
      </c>
      <c r="N176" s="2843">
        <f t="shared" si="1003"/>
        <v>79.391679999999994</v>
      </c>
      <c r="O176" s="2843">
        <f t="shared" si="1003"/>
        <v>79.391679999999994</v>
      </c>
      <c r="P176" s="2843">
        <f t="shared" si="1003"/>
        <v>0</v>
      </c>
      <c r="Q176" s="2845">
        <f t="shared" si="1003"/>
        <v>285.92325</v>
      </c>
      <c r="R176" s="2845">
        <f t="shared" si="1003"/>
        <v>285.92325</v>
      </c>
      <c r="S176" s="2845">
        <f t="shared" si="1003"/>
        <v>0</v>
      </c>
      <c r="T176" s="2843">
        <f t="shared" si="1003"/>
        <v>56.808239999999998</v>
      </c>
      <c r="U176" s="2843">
        <f t="shared" si="1003"/>
        <v>56.808239999999998</v>
      </c>
      <c r="V176" s="2843">
        <f t="shared" si="1003"/>
        <v>0</v>
      </c>
      <c r="W176" s="2843">
        <f t="shared" si="1003"/>
        <v>137.77024</v>
      </c>
      <c r="X176" s="2843">
        <f t="shared" si="1003"/>
        <v>137.77024</v>
      </c>
      <c r="Y176" s="2843">
        <f t="shared" si="1003"/>
        <v>0</v>
      </c>
      <c r="Z176" s="2843">
        <f t="shared" si="1003"/>
        <v>62.717239999999997</v>
      </c>
      <c r="AA176" s="2843">
        <f t="shared" si="1003"/>
        <v>62.717239999999997</v>
      </c>
      <c r="AB176" s="2843">
        <f t="shared" si="1003"/>
        <v>0</v>
      </c>
      <c r="AC176" s="2843">
        <f t="shared" si="1003"/>
        <v>257.29572000000002</v>
      </c>
      <c r="AD176" s="2843">
        <f t="shared" si="1003"/>
        <v>257.29572000000002</v>
      </c>
      <c r="AE176" s="2843">
        <f t="shared" si="1003"/>
        <v>0</v>
      </c>
      <c r="AF176" s="2846">
        <f t="shared" si="1003"/>
        <v>571.84649999999999</v>
      </c>
      <c r="AG176" s="2846">
        <f t="shared" si="1003"/>
        <v>571.84649999999999</v>
      </c>
      <c r="AH176" s="2846">
        <f t="shared" ref="AH176:BM176" si="1004">SUM(AH9)</f>
        <v>0</v>
      </c>
      <c r="AI176" s="2847">
        <f t="shared" si="1004"/>
        <v>336.68740000000003</v>
      </c>
      <c r="AJ176" s="2847">
        <f t="shared" si="1004"/>
        <v>336.68740000000003</v>
      </c>
      <c r="AK176" s="2847">
        <f t="shared" si="1004"/>
        <v>0</v>
      </c>
      <c r="AL176" s="2847">
        <f t="shared" si="1004"/>
        <v>-235.15909999999997</v>
      </c>
      <c r="AM176" s="2847">
        <f t="shared" si="1004"/>
        <v>-235.15909999999997</v>
      </c>
      <c r="AN176" s="2847">
        <f t="shared" si="1004"/>
        <v>0</v>
      </c>
      <c r="AO176" s="2845">
        <f t="shared" si="1004"/>
        <v>285.92325</v>
      </c>
      <c r="AP176" s="2845">
        <f t="shared" si="1004"/>
        <v>285.92325</v>
      </c>
      <c r="AQ176" s="2845">
        <f t="shared" si="1004"/>
        <v>0</v>
      </c>
      <c r="AR176" s="2843">
        <f t="shared" si="1004"/>
        <v>32.575200000000002</v>
      </c>
      <c r="AS176" s="2843">
        <f t="shared" si="1004"/>
        <v>32.575200000000002</v>
      </c>
      <c r="AT176" s="2843">
        <f t="shared" si="1004"/>
        <v>0</v>
      </c>
      <c r="AU176" s="2843">
        <f t="shared" si="1004"/>
        <v>29.5702</v>
      </c>
      <c r="AV176" s="2843">
        <f t="shared" si="1004"/>
        <v>29.5702</v>
      </c>
      <c r="AW176" s="2843">
        <f t="shared" si="1004"/>
        <v>0</v>
      </c>
      <c r="AX176" s="2843">
        <f t="shared" si="1004"/>
        <v>39.457999999999998</v>
      </c>
      <c r="AY176" s="2843">
        <f t="shared" si="1004"/>
        <v>39.457999999999998</v>
      </c>
      <c r="AZ176" s="2843">
        <f t="shared" si="1004"/>
        <v>0</v>
      </c>
      <c r="BA176" s="2843">
        <f t="shared" si="1004"/>
        <v>101.60339999999999</v>
      </c>
      <c r="BB176" s="2843">
        <f t="shared" si="1004"/>
        <v>101.60339999999999</v>
      </c>
      <c r="BC176" s="2843">
        <f t="shared" si="1004"/>
        <v>0</v>
      </c>
      <c r="BD176" s="2846">
        <f t="shared" si="1004"/>
        <v>857.76974999999993</v>
      </c>
      <c r="BE176" s="2846">
        <f t="shared" si="1004"/>
        <v>857.76974999999993</v>
      </c>
      <c r="BF176" s="2846">
        <f t="shared" si="1004"/>
        <v>0</v>
      </c>
      <c r="BG176" s="2847">
        <f t="shared" si="1004"/>
        <v>438.29079999999999</v>
      </c>
      <c r="BH176" s="2847">
        <f t="shared" si="1004"/>
        <v>438.29079999999999</v>
      </c>
      <c r="BI176" s="2847">
        <f t="shared" si="1004"/>
        <v>0</v>
      </c>
      <c r="BJ176" s="2847">
        <f t="shared" si="1004"/>
        <v>-419.47894999999994</v>
      </c>
      <c r="BK176" s="2847">
        <f t="shared" si="1004"/>
        <v>-419.47894999999994</v>
      </c>
      <c r="BL176" s="2847">
        <f t="shared" si="1004"/>
        <v>0</v>
      </c>
      <c r="BM176" s="2845">
        <f t="shared" si="1004"/>
        <v>285.92325</v>
      </c>
      <c r="BN176" s="2845">
        <f t="shared" ref="BN176:CJ176" si="1005">SUM(BN9)</f>
        <v>285.92325</v>
      </c>
      <c r="BO176" s="2845">
        <f t="shared" si="1005"/>
        <v>0</v>
      </c>
      <c r="BP176" s="2843">
        <f t="shared" si="1005"/>
        <v>71.697000000000003</v>
      </c>
      <c r="BQ176" s="2843">
        <f t="shared" si="1005"/>
        <v>71.697000000000003</v>
      </c>
      <c r="BR176" s="2843">
        <f t="shared" si="1005"/>
        <v>0</v>
      </c>
      <c r="BS176" s="2843">
        <f t="shared" si="1005"/>
        <v>150.77000000000001</v>
      </c>
      <c r="BT176" s="2843">
        <f t="shared" si="1005"/>
        <v>150.77000000000001</v>
      </c>
      <c r="BU176" s="2843">
        <f t="shared" si="1005"/>
        <v>0</v>
      </c>
      <c r="BV176" s="2843">
        <f t="shared" si="1005"/>
        <v>63.106699999999996</v>
      </c>
      <c r="BW176" s="2843">
        <f t="shared" si="1005"/>
        <v>63.106699999999996</v>
      </c>
      <c r="BX176" s="2843">
        <f t="shared" si="1005"/>
        <v>0</v>
      </c>
      <c r="BY176" s="2843">
        <f t="shared" si="1005"/>
        <v>285.57370000000003</v>
      </c>
      <c r="BZ176" s="2843">
        <f t="shared" si="1005"/>
        <v>285.57370000000003</v>
      </c>
      <c r="CA176" s="2843">
        <f t="shared" si="1005"/>
        <v>0</v>
      </c>
      <c r="CB176" s="2846">
        <f t="shared" si="1005"/>
        <v>1143.693</v>
      </c>
      <c r="CC176" s="2846">
        <f t="shared" si="1005"/>
        <v>1143.693</v>
      </c>
      <c r="CD176" s="2846">
        <f t="shared" si="1005"/>
        <v>0</v>
      </c>
      <c r="CE176" s="2847">
        <f t="shared" si="1005"/>
        <v>723.86450000000002</v>
      </c>
      <c r="CF176" s="2847">
        <f t="shared" si="1005"/>
        <v>723.86450000000002</v>
      </c>
      <c r="CG176" s="2847">
        <f t="shared" si="1005"/>
        <v>0</v>
      </c>
      <c r="CH176" s="2847">
        <f t="shared" si="1005"/>
        <v>-419.82849999999996</v>
      </c>
      <c r="CI176" s="2847">
        <f t="shared" si="1005"/>
        <v>-419.82849999999996</v>
      </c>
      <c r="CJ176" s="2847">
        <f t="shared" si="1005"/>
        <v>0</v>
      </c>
      <c r="CK176" s="2822"/>
      <c r="CL176" s="2822"/>
      <c r="CM176" s="2822"/>
      <c r="CN176" s="2822"/>
    </row>
    <row r="177" spans="1:92" ht="18.75" x14ac:dyDescent="0.2">
      <c r="A177" s="2848" t="s">
        <v>373</v>
      </c>
      <c r="B177" s="2849">
        <f>SUM(B176/B175)</f>
        <v>0.19094361113659009</v>
      </c>
      <c r="C177" s="2849">
        <f t="shared" ref="C177:AK177" si="1006">SUM(C176/C175)</f>
        <v>0.19100004676081175</v>
      </c>
      <c r="D177" s="2849">
        <f t="shared" si="1006"/>
        <v>0</v>
      </c>
      <c r="E177" s="2849">
        <f t="shared" si="1006"/>
        <v>8.9581601834588867E-2</v>
      </c>
      <c r="F177" s="2849">
        <f t="shared" si="1006"/>
        <v>8.9590749329624575E-2</v>
      </c>
      <c r="G177" s="2849">
        <f t="shared" si="1006"/>
        <v>0</v>
      </c>
      <c r="H177" s="2849">
        <f t="shared" si="1006"/>
        <v>3.1171953646750059E-2</v>
      </c>
      <c r="I177" s="2849">
        <f t="shared" si="1006"/>
        <v>3.1172997511474634E-2</v>
      </c>
      <c r="J177" s="2849">
        <f t="shared" si="1006"/>
        <v>0</v>
      </c>
      <c r="K177" s="2849">
        <f t="shared" si="1006"/>
        <v>4.2193142492493722E-2</v>
      </c>
      <c r="L177" s="2849">
        <f t="shared" si="1006"/>
        <v>4.2195041132987797E-2</v>
      </c>
      <c r="M177" s="2849">
        <f t="shared" si="1006"/>
        <v>0</v>
      </c>
      <c r="N177" s="2849">
        <f t="shared" si="1006"/>
        <v>5.4511004274824672E-2</v>
      </c>
      <c r="O177" s="2849">
        <f t="shared" si="1006"/>
        <v>5.4514298113223086E-2</v>
      </c>
      <c r="P177" s="2849">
        <f t="shared" si="1006"/>
        <v>0</v>
      </c>
      <c r="Q177" s="2849">
        <f t="shared" si="1006"/>
        <v>0.19094361113659009</v>
      </c>
      <c r="R177" s="2849">
        <f t="shared" si="1006"/>
        <v>0.19100004676081175</v>
      </c>
      <c r="S177" s="2849">
        <f t="shared" si="1006"/>
        <v>0</v>
      </c>
      <c r="T177" s="2849">
        <f t="shared" si="1006"/>
        <v>0.12316470021984312</v>
      </c>
      <c r="U177" s="2849">
        <f t="shared" si="1006"/>
        <v>0.12320583668051807</v>
      </c>
      <c r="V177" s="2849">
        <f t="shared" si="1006"/>
        <v>0</v>
      </c>
      <c r="W177" s="2849">
        <f t="shared" si="1006"/>
        <v>0.25744180614443402</v>
      </c>
      <c r="X177" s="2849">
        <f t="shared" si="1006"/>
        <v>0.25747404145891117</v>
      </c>
      <c r="Y177" s="2849">
        <f t="shared" si="1006"/>
        <v>0</v>
      </c>
      <c r="Z177" s="2849">
        <f t="shared" si="1006"/>
        <v>0.13488738816242254</v>
      </c>
      <c r="AA177" s="2849">
        <f t="shared" si="1006"/>
        <v>0.13491785610566734</v>
      </c>
      <c r="AB177" s="2849">
        <f t="shared" si="1006"/>
        <v>0</v>
      </c>
      <c r="AC177" s="2849">
        <f t="shared" si="1006"/>
        <v>0.17606726387741739</v>
      </c>
      <c r="AD177" s="2849">
        <f t="shared" si="1006"/>
        <v>0.17610654999955513</v>
      </c>
      <c r="AE177" s="2849">
        <f t="shared" si="1006"/>
        <v>0</v>
      </c>
      <c r="AF177" s="2850">
        <f t="shared" si="1006"/>
        <v>0.19094361113659009</v>
      </c>
      <c r="AG177" s="2850">
        <f t="shared" si="1006"/>
        <v>0.19100004676081175</v>
      </c>
      <c r="AH177" s="2850">
        <f t="shared" si="1006"/>
        <v>0</v>
      </c>
      <c r="AI177" s="2850">
        <f t="shared" si="1006"/>
        <v>0.11539151472196528</v>
      </c>
      <c r="AJ177" s="2850">
        <f t="shared" si="1006"/>
        <v>0.11540788978014097</v>
      </c>
      <c r="AK177" s="2850">
        <f t="shared" si="1006"/>
        <v>0</v>
      </c>
      <c r="AL177" s="2851">
        <f t="shared" ref="AL177:AN183" si="1007">SUM(AL10)</f>
        <v>-7.5552096414624806E-2</v>
      </c>
      <c r="AM177" s="2851">
        <f t="shared" si="1007"/>
        <v>-7.5592156980670788E-2</v>
      </c>
      <c r="AN177" s="2851">
        <f t="shared" si="1007"/>
        <v>0</v>
      </c>
      <c r="AO177" s="2849">
        <f t="shared" ref="AO177:BI177" si="1008">SUM(AO176/AO175)</f>
        <v>0.19094361113659009</v>
      </c>
      <c r="AP177" s="2849">
        <f t="shared" si="1008"/>
        <v>0.19100004676081175</v>
      </c>
      <c r="AQ177" s="2849">
        <f t="shared" si="1008"/>
        <v>0</v>
      </c>
      <c r="AR177" s="2849">
        <f t="shared" si="1008"/>
        <v>7.3768141869475917E-2</v>
      </c>
      <c r="AS177" s="2849">
        <f t="shared" si="1008"/>
        <v>7.3782176872289107E-2</v>
      </c>
      <c r="AT177" s="2849">
        <f t="shared" si="1008"/>
        <v>0</v>
      </c>
      <c r="AU177" s="2849">
        <f t="shared" si="1008"/>
        <v>7.610593503886344E-2</v>
      </c>
      <c r="AV177" s="2849">
        <f t="shared" si="1008"/>
        <v>7.6120628628061737E-2</v>
      </c>
      <c r="AW177" s="2849">
        <f t="shared" si="1008"/>
        <v>0</v>
      </c>
      <c r="AX177" s="2849">
        <f t="shared" si="1008"/>
        <v>9.612344181264966E-2</v>
      </c>
      <c r="AY177" s="2849">
        <f t="shared" si="1008"/>
        <v>9.6129296315425314E-2</v>
      </c>
      <c r="AZ177" s="2849">
        <f t="shared" si="1008"/>
        <v>0</v>
      </c>
      <c r="BA177" s="2849">
        <f t="shared" si="1008"/>
        <v>8.1897145141711161E-2</v>
      </c>
      <c r="BB177" s="2849">
        <f t="shared" si="1008"/>
        <v>8.1909293330259134E-2</v>
      </c>
      <c r="BC177" s="2849">
        <f t="shared" si="1008"/>
        <v>0</v>
      </c>
      <c r="BD177" s="2850">
        <f t="shared" si="1008"/>
        <v>0.19094361113659006</v>
      </c>
      <c r="BE177" s="2850">
        <f t="shared" si="1008"/>
        <v>0.19100004676081173</v>
      </c>
      <c r="BF177" s="2850">
        <f t="shared" si="1008"/>
        <v>0</v>
      </c>
      <c r="BG177" s="2850">
        <f t="shared" si="1008"/>
        <v>0.10539877669442972</v>
      </c>
      <c r="BH177" s="2850">
        <f t="shared" si="1008"/>
        <v>0.10541393575988496</v>
      </c>
      <c r="BI177" s="2850">
        <f t="shared" si="1008"/>
        <v>0</v>
      </c>
      <c r="BJ177" s="2851">
        <f t="shared" ref="BJ177:BL183" si="1009">SUM(BJ10)</f>
        <v>-8.5544834442160336E-2</v>
      </c>
      <c r="BK177" s="2851">
        <f t="shared" si="1009"/>
        <v>-8.5586111000926765E-2</v>
      </c>
      <c r="BL177" s="2851">
        <f t="shared" si="1009"/>
        <v>0</v>
      </c>
      <c r="BM177" s="2849">
        <f t="shared" ref="BM177:CJ177" si="1010">SUM(BM176/BM175)</f>
        <v>0.19094361113659009</v>
      </c>
      <c r="BN177" s="2849">
        <f t="shared" si="1010"/>
        <v>0.19100004676081175</v>
      </c>
      <c r="BO177" s="2849">
        <f t="shared" si="1010"/>
        <v>0</v>
      </c>
      <c r="BP177" s="2849">
        <f t="shared" si="1010"/>
        <v>0.15953264103208811</v>
      </c>
      <c r="BQ177" s="2849">
        <f t="shared" si="1010"/>
        <v>0.15954222594082673</v>
      </c>
      <c r="BR177" s="2849">
        <f t="shared" si="1010"/>
        <v>0</v>
      </c>
      <c r="BS177" s="2849">
        <f t="shared" si="1010"/>
        <v>0.28595054802288822</v>
      </c>
      <c r="BT177" s="2849">
        <f t="shared" si="1010"/>
        <v>0.2859890589315387</v>
      </c>
      <c r="BU177" s="2849">
        <f t="shared" si="1010"/>
        <v>0</v>
      </c>
      <c r="BV177" s="2849">
        <f t="shared" si="1010"/>
        <v>0.1394108693587118</v>
      </c>
      <c r="BW177" s="2849">
        <f t="shared" si="1010"/>
        <v>0.13943736038410803</v>
      </c>
      <c r="BX177" s="2849">
        <f t="shared" si="1010"/>
        <v>0</v>
      </c>
      <c r="BY177" s="2849">
        <f t="shared" si="1010"/>
        <v>0.19979340187288586</v>
      </c>
      <c r="BZ177" s="2849">
        <f t="shared" si="1010"/>
        <v>0.1998191246472581</v>
      </c>
      <c r="CA177" s="2849">
        <f t="shared" si="1010"/>
        <v>0</v>
      </c>
      <c r="CB177" s="2850">
        <f t="shared" si="1010"/>
        <v>0.19094361113659009</v>
      </c>
      <c r="CC177" s="2850">
        <f t="shared" si="1010"/>
        <v>0.19100004676081175</v>
      </c>
      <c r="CD177" s="2850">
        <f t="shared" si="1010"/>
        <v>0</v>
      </c>
      <c r="CE177" s="2850">
        <f t="shared" ref="CE177:CG179" si="1011">SUM(CE10)</f>
        <v>0.12954489732003044</v>
      </c>
      <c r="CF177" s="2850">
        <f t="shared" si="1011"/>
        <v>0.12956302953587706</v>
      </c>
      <c r="CG177" s="2850">
        <f t="shared" si="1011"/>
        <v>0</v>
      </c>
      <c r="CH177" s="2850">
        <f t="shared" si="1010"/>
        <v>1.0445059185480008</v>
      </c>
      <c r="CI177" s="2850">
        <f t="shared" si="1010"/>
        <v>1.0470792015004282</v>
      </c>
      <c r="CJ177" s="2850">
        <f t="shared" si="1010"/>
        <v>0</v>
      </c>
      <c r="CK177" s="2822"/>
      <c r="CL177" s="2822"/>
      <c r="CM177" s="2822"/>
      <c r="CN177" s="2822"/>
    </row>
    <row r="178" spans="1:92" ht="18.75" x14ac:dyDescent="0.2">
      <c r="A178" s="2835" t="s">
        <v>3726</v>
      </c>
      <c r="B178" s="2837">
        <f t="shared" ref="B178:AK178" si="1012">SUM(B11)</f>
        <v>1211.4992</v>
      </c>
      <c r="C178" s="2837">
        <f t="shared" si="1012"/>
        <v>1211.05675</v>
      </c>
      <c r="D178" s="2837">
        <f t="shared" si="1012"/>
        <v>0.44245000000000001</v>
      </c>
      <c r="E178" s="2836">
        <f t="shared" si="1012"/>
        <v>445.83280000000002</v>
      </c>
      <c r="F178" s="2836">
        <f t="shared" si="1012"/>
        <v>445.78280000000001</v>
      </c>
      <c r="G178" s="2836">
        <f t="shared" si="1012"/>
        <v>0.05</v>
      </c>
      <c r="H178" s="2836">
        <f t="shared" si="1012"/>
        <v>462.91476</v>
      </c>
      <c r="I178" s="2836">
        <f t="shared" si="1012"/>
        <v>462.89875999999998</v>
      </c>
      <c r="J178" s="2836">
        <f t="shared" si="1012"/>
        <v>1.6E-2</v>
      </c>
      <c r="K178" s="2836">
        <f t="shared" si="1012"/>
        <v>468.29476</v>
      </c>
      <c r="L178" s="2836">
        <f t="shared" si="1012"/>
        <v>468.27276000000001</v>
      </c>
      <c r="M178" s="2836">
        <f t="shared" si="1012"/>
        <v>2.1999999999999999E-2</v>
      </c>
      <c r="N178" s="2836">
        <f t="shared" si="1012"/>
        <v>1377.04232</v>
      </c>
      <c r="O178" s="2836">
        <f t="shared" si="1012"/>
        <v>1376.9543200000001</v>
      </c>
      <c r="P178" s="2836">
        <f t="shared" si="1012"/>
        <v>8.7999999999999995E-2</v>
      </c>
      <c r="Q178" s="2837">
        <f t="shared" si="1012"/>
        <v>1211.4992</v>
      </c>
      <c r="R178" s="2837">
        <f t="shared" si="1012"/>
        <v>1211.05675</v>
      </c>
      <c r="S178" s="2837">
        <f t="shared" si="1012"/>
        <v>0.44245000000000001</v>
      </c>
      <c r="T178" s="2836">
        <f t="shared" si="1012"/>
        <v>404.42975999999999</v>
      </c>
      <c r="U178" s="2836">
        <f t="shared" si="1012"/>
        <v>404.27575999999999</v>
      </c>
      <c r="V178" s="2836">
        <f t="shared" si="1012"/>
        <v>0.154</v>
      </c>
      <c r="W178" s="2836">
        <f t="shared" si="1012"/>
        <v>397.38075999999995</v>
      </c>
      <c r="X178" s="2836">
        <f t="shared" si="1012"/>
        <v>397.31375999999995</v>
      </c>
      <c r="Y178" s="2836">
        <f t="shared" si="1012"/>
        <v>6.7000000000000004E-2</v>
      </c>
      <c r="Z178" s="2836">
        <f t="shared" si="1012"/>
        <v>402.24276000000003</v>
      </c>
      <c r="AA178" s="2836">
        <f t="shared" si="1012"/>
        <v>402.13776000000001</v>
      </c>
      <c r="AB178" s="2836">
        <f t="shared" si="1012"/>
        <v>0.105</v>
      </c>
      <c r="AC178" s="2836">
        <f t="shared" si="1012"/>
        <v>1204.0532799999999</v>
      </c>
      <c r="AD178" s="2836">
        <f t="shared" si="1012"/>
        <v>1203.7272799999998</v>
      </c>
      <c r="AE178" s="2836">
        <f t="shared" si="1012"/>
        <v>0.32600000000000001</v>
      </c>
      <c r="AF178" s="2839">
        <f t="shared" si="1012"/>
        <v>2422.9983999999999</v>
      </c>
      <c r="AG178" s="2839">
        <f t="shared" si="1012"/>
        <v>2422.1134999999999</v>
      </c>
      <c r="AH178" s="2839">
        <f t="shared" si="1012"/>
        <v>0.88490000000000002</v>
      </c>
      <c r="AI178" s="2840">
        <f t="shared" si="1012"/>
        <v>2581.0956000000001</v>
      </c>
      <c r="AJ178" s="2840">
        <f t="shared" si="1012"/>
        <v>2580.6815999999999</v>
      </c>
      <c r="AK178" s="2840">
        <f t="shared" si="1012"/>
        <v>0.41400000000000003</v>
      </c>
      <c r="AL178" s="2840">
        <f t="shared" si="1007"/>
        <v>158.09719999999962</v>
      </c>
      <c r="AM178" s="2840">
        <f t="shared" si="1007"/>
        <v>158.56809999999962</v>
      </c>
      <c r="AN178" s="2840">
        <f t="shared" si="1007"/>
        <v>-0.47089999999999999</v>
      </c>
      <c r="AO178" s="2837">
        <f t="shared" ref="AO178:BI178" si="1013">SUM(AO11)</f>
        <v>1211.4992</v>
      </c>
      <c r="AP178" s="2837">
        <f t="shared" si="1013"/>
        <v>1211.05675</v>
      </c>
      <c r="AQ178" s="2837">
        <f t="shared" si="1013"/>
        <v>0.44245000000000001</v>
      </c>
      <c r="AR178" s="2836">
        <f t="shared" si="1013"/>
        <v>409.0138</v>
      </c>
      <c r="AS178" s="2836">
        <f t="shared" si="1013"/>
        <v>408.9298</v>
      </c>
      <c r="AT178" s="2836">
        <f t="shared" si="1013"/>
        <v>8.4000000000000005E-2</v>
      </c>
      <c r="AU178" s="2836">
        <f t="shared" si="1013"/>
        <v>358.96979999999996</v>
      </c>
      <c r="AV178" s="2836">
        <f t="shared" si="1013"/>
        <v>358.89479999999998</v>
      </c>
      <c r="AW178" s="2836">
        <f t="shared" si="1013"/>
        <v>7.4999999999999997E-2</v>
      </c>
      <c r="AX178" s="2836">
        <f t="shared" si="1013"/>
        <v>371.03499999999997</v>
      </c>
      <c r="AY178" s="2836">
        <f t="shared" si="1013"/>
        <v>371.01</v>
      </c>
      <c r="AZ178" s="2836">
        <f t="shared" si="1013"/>
        <v>2.5000000000000001E-2</v>
      </c>
      <c r="BA178" s="2836">
        <f t="shared" si="1013"/>
        <v>1139.0186000000001</v>
      </c>
      <c r="BB178" s="2836">
        <f t="shared" si="1013"/>
        <v>1138.8346000000001</v>
      </c>
      <c r="BC178" s="2836">
        <f t="shared" si="1013"/>
        <v>0.184</v>
      </c>
      <c r="BD178" s="2839">
        <f t="shared" si="1013"/>
        <v>3634.4976000000006</v>
      </c>
      <c r="BE178" s="2839">
        <f t="shared" si="1013"/>
        <v>3633.1702500000006</v>
      </c>
      <c r="BF178" s="2839">
        <f t="shared" si="1013"/>
        <v>1.32735</v>
      </c>
      <c r="BG178" s="2840">
        <f t="shared" si="1013"/>
        <v>3720.1142</v>
      </c>
      <c r="BH178" s="2840">
        <f t="shared" si="1013"/>
        <v>3719.5162</v>
      </c>
      <c r="BI178" s="2840">
        <f t="shared" si="1013"/>
        <v>0.59800000000000009</v>
      </c>
      <c r="BJ178" s="2840">
        <f t="shared" si="1009"/>
        <v>85.616599999999224</v>
      </c>
      <c r="BK178" s="2840">
        <f t="shared" si="1009"/>
        <v>86.34594999999922</v>
      </c>
      <c r="BL178" s="2840">
        <f t="shared" si="1009"/>
        <v>-0.72934999999999994</v>
      </c>
      <c r="BM178" s="2837">
        <f t="shared" ref="BM178:CD178" si="1014">SUM(BM11)</f>
        <v>1211.4992</v>
      </c>
      <c r="BN178" s="2837">
        <f t="shared" si="1014"/>
        <v>1211.05675</v>
      </c>
      <c r="BO178" s="2837">
        <f t="shared" si="1014"/>
        <v>0.44245000000000001</v>
      </c>
      <c r="BP178" s="2836">
        <f t="shared" si="1014"/>
        <v>377.72199999999998</v>
      </c>
      <c r="BQ178" s="2836">
        <f t="shared" si="1014"/>
        <v>377.69499999999999</v>
      </c>
      <c r="BR178" s="2836">
        <f t="shared" si="1014"/>
        <v>2.7E-2</v>
      </c>
      <c r="BS178" s="2836">
        <f t="shared" si="1014"/>
        <v>376.48900000000003</v>
      </c>
      <c r="BT178" s="2836">
        <f t="shared" si="1014"/>
        <v>376.41800000000001</v>
      </c>
      <c r="BU178" s="2836">
        <f t="shared" si="1014"/>
        <v>7.0999999999999994E-2</v>
      </c>
      <c r="BV178" s="2836">
        <f t="shared" si="1014"/>
        <v>389.56030000000004</v>
      </c>
      <c r="BW178" s="2836">
        <f t="shared" si="1014"/>
        <v>389.47430000000003</v>
      </c>
      <c r="BX178" s="2836">
        <f t="shared" si="1014"/>
        <v>8.5999999999999993E-2</v>
      </c>
      <c r="BY178" s="2836">
        <f t="shared" si="1014"/>
        <v>1143.7713000000001</v>
      </c>
      <c r="BZ178" s="2836">
        <f t="shared" si="1014"/>
        <v>1143.5873000000001</v>
      </c>
      <c r="CA178" s="2836">
        <f t="shared" si="1014"/>
        <v>0.184</v>
      </c>
      <c r="CB178" s="2839">
        <f t="shared" si="1014"/>
        <v>4845.9967999999999</v>
      </c>
      <c r="CC178" s="2839">
        <f t="shared" si="1014"/>
        <v>4844.2269999999999</v>
      </c>
      <c r="CD178" s="2839">
        <f t="shared" si="1014"/>
        <v>1.7698</v>
      </c>
      <c r="CE178" s="2840">
        <f t="shared" si="1011"/>
        <v>4863.8855000000003</v>
      </c>
      <c r="CF178" s="2840">
        <f t="shared" si="1011"/>
        <v>4863.1035000000002</v>
      </c>
      <c r="CG178" s="2840">
        <f t="shared" si="1011"/>
        <v>0.78200000000000003</v>
      </c>
      <c r="CH178" s="2840">
        <f t="shared" ref="CH178:CJ183" si="1015">SUM(CH11)</f>
        <v>17.888699999999737</v>
      </c>
      <c r="CI178" s="2840">
        <f t="shared" si="1015"/>
        <v>18.876499999999737</v>
      </c>
      <c r="CJ178" s="2840">
        <f t="shared" si="1015"/>
        <v>-0.98780000000000001</v>
      </c>
      <c r="CK178" s="2822"/>
      <c r="CL178" s="2822"/>
      <c r="CM178" s="2822"/>
      <c r="CN178" s="2822"/>
    </row>
    <row r="179" spans="1:92" ht="18.75" x14ac:dyDescent="0.2">
      <c r="A179" s="2842" t="s">
        <v>51</v>
      </c>
      <c r="B179" s="2845">
        <f t="shared" ref="B179:AK179" si="1016">SUM(B12)</f>
        <v>334.88924999999995</v>
      </c>
      <c r="C179" s="2845">
        <f t="shared" si="1016"/>
        <v>334.88924999999995</v>
      </c>
      <c r="D179" s="2845">
        <f t="shared" si="1016"/>
        <v>0</v>
      </c>
      <c r="E179" s="2843">
        <f t="shared" si="1016"/>
        <v>141.90379999999999</v>
      </c>
      <c r="F179" s="2843">
        <f t="shared" si="1016"/>
        <v>141.90379999999999</v>
      </c>
      <c r="G179" s="2843">
        <f t="shared" si="1016"/>
        <v>0</v>
      </c>
      <c r="H179" s="2843">
        <f t="shared" si="1016"/>
        <v>155.48575999999997</v>
      </c>
      <c r="I179" s="2843">
        <f t="shared" si="1016"/>
        <v>155.48575999999997</v>
      </c>
      <c r="J179" s="2843">
        <f t="shared" si="1016"/>
        <v>0</v>
      </c>
      <c r="K179" s="2843">
        <f t="shared" si="1016"/>
        <v>172.76676000000003</v>
      </c>
      <c r="L179" s="2843">
        <f t="shared" si="1016"/>
        <v>172.76676000000003</v>
      </c>
      <c r="M179" s="2843">
        <f t="shared" si="1016"/>
        <v>0</v>
      </c>
      <c r="N179" s="2843">
        <f t="shared" si="1016"/>
        <v>470.15632000000005</v>
      </c>
      <c r="O179" s="2843">
        <f t="shared" si="1016"/>
        <v>470.15632000000005</v>
      </c>
      <c r="P179" s="2843">
        <f t="shared" si="1016"/>
        <v>0</v>
      </c>
      <c r="Q179" s="2845">
        <f t="shared" si="1016"/>
        <v>334.88924999999995</v>
      </c>
      <c r="R179" s="2845">
        <f t="shared" si="1016"/>
        <v>334.88924999999995</v>
      </c>
      <c r="S179" s="2845">
        <f t="shared" si="1016"/>
        <v>0</v>
      </c>
      <c r="T179" s="2843">
        <f t="shared" si="1016"/>
        <v>94.147760000000005</v>
      </c>
      <c r="U179" s="2843">
        <f t="shared" si="1016"/>
        <v>94.147760000000005</v>
      </c>
      <c r="V179" s="2843">
        <f t="shared" si="1016"/>
        <v>0</v>
      </c>
      <c r="W179" s="2843">
        <f t="shared" si="1016"/>
        <v>101.23140899999993</v>
      </c>
      <c r="X179" s="2843">
        <f t="shared" si="1016"/>
        <v>101.23140899999993</v>
      </c>
      <c r="Y179" s="2843">
        <f t="shared" si="1016"/>
        <v>0</v>
      </c>
      <c r="Z179" s="2843">
        <f t="shared" si="1016"/>
        <v>105.14776000000001</v>
      </c>
      <c r="AA179" s="2843">
        <f t="shared" si="1016"/>
        <v>105.14776000000001</v>
      </c>
      <c r="AB179" s="2843">
        <f t="shared" si="1016"/>
        <v>0</v>
      </c>
      <c r="AC179" s="2843">
        <f t="shared" si="1016"/>
        <v>300.52692899999988</v>
      </c>
      <c r="AD179" s="2843">
        <f t="shared" si="1016"/>
        <v>300.52692899999988</v>
      </c>
      <c r="AE179" s="2843">
        <f t="shared" si="1016"/>
        <v>0</v>
      </c>
      <c r="AF179" s="2846">
        <f t="shared" si="1016"/>
        <v>669.77849999999989</v>
      </c>
      <c r="AG179" s="2846">
        <f t="shared" si="1016"/>
        <v>669.77849999999989</v>
      </c>
      <c r="AH179" s="2846">
        <f t="shared" si="1016"/>
        <v>0</v>
      </c>
      <c r="AI179" s="2847">
        <f t="shared" si="1016"/>
        <v>770.68324899999993</v>
      </c>
      <c r="AJ179" s="2847">
        <f t="shared" si="1016"/>
        <v>770.68324899999993</v>
      </c>
      <c r="AK179" s="2847">
        <f t="shared" si="1016"/>
        <v>0</v>
      </c>
      <c r="AL179" s="2847">
        <f t="shared" si="1007"/>
        <v>100.9047489999995</v>
      </c>
      <c r="AM179" s="2847">
        <f t="shared" si="1007"/>
        <v>100.9047489999995</v>
      </c>
      <c r="AN179" s="2847">
        <f t="shared" si="1007"/>
        <v>0</v>
      </c>
      <c r="AO179" s="2845">
        <f t="shared" ref="AO179:BI179" si="1017">SUM(AO12)</f>
        <v>334.88924999999995</v>
      </c>
      <c r="AP179" s="2845">
        <f t="shared" si="1017"/>
        <v>334.88924999999995</v>
      </c>
      <c r="AQ179" s="2845">
        <f t="shared" si="1017"/>
        <v>0</v>
      </c>
      <c r="AR179" s="2843">
        <f t="shared" si="1017"/>
        <v>137.87279999999998</v>
      </c>
      <c r="AS179" s="2843">
        <f t="shared" si="1017"/>
        <v>137.87279999999998</v>
      </c>
      <c r="AT179" s="2843">
        <f t="shared" si="1017"/>
        <v>0</v>
      </c>
      <c r="AU179" s="2843">
        <f t="shared" si="1017"/>
        <v>73.134799999999984</v>
      </c>
      <c r="AV179" s="2843">
        <f t="shared" si="1017"/>
        <v>73.134799999999984</v>
      </c>
      <c r="AW179" s="2843">
        <f t="shared" si="1017"/>
        <v>0</v>
      </c>
      <c r="AX179" s="2843">
        <f t="shared" si="1017"/>
        <v>75.67999999999995</v>
      </c>
      <c r="AY179" s="2843">
        <f t="shared" si="1017"/>
        <v>75.67999999999995</v>
      </c>
      <c r="AZ179" s="2843">
        <f t="shared" si="1017"/>
        <v>0</v>
      </c>
      <c r="BA179" s="2843">
        <f t="shared" si="1017"/>
        <v>286.6876000000002</v>
      </c>
      <c r="BB179" s="2843">
        <f t="shared" si="1017"/>
        <v>286.6876000000002</v>
      </c>
      <c r="BC179" s="2843">
        <f t="shared" si="1017"/>
        <v>0</v>
      </c>
      <c r="BD179" s="2846">
        <f t="shared" si="1017"/>
        <v>1004.6677500000005</v>
      </c>
      <c r="BE179" s="2846">
        <f t="shared" si="1017"/>
        <v>1004.6677500000005</v>
      </c>
      <c r="BF179" s="2846">
        <f t="shared" si="1017"/>
        <v>0</v>
      </c>
      <c r="BG179" s="2847">
        <f t="shared" si="1017"/>
        <v>1057.3708489999999</v>
      </c>
      <c r="BH179" s="2847">
        <f t="shared" si="1017"/>
        <v>1057.3708489999999</v>
      </c>
      <c r="BI179" s="2847">
        <f t="shared" si="1017"/>
        <v>0</v>
      </c>
      <c r="BJ179" s="2847">
        <f t="shared" si="1009"/>
        <v>52.70309899999917</v>
      </c>
      <c r="BK179" s="2847">
        <f t="shared" si="1009"/>
        <v>52.70309899999917</v>
      </c>
      <c r="BL179" s="2847">
        <f t="shared" si="1009"/>
        <v>0</v>
      </c>
      <c r="BM179" s="2845">
        <f t="shared" ref="BM179:CD179" si="1018">SUM(BM12)</f>
        <v>334.88924999999995</v>
      </c>
      <c r="BN179" s="2845">
        <f t="shared" si="1018"/>
        <v>334.88924999999995</v>
      </c>
      <c r="BO179" s="2845">
        <f t="shared" si="1018"/>
        <v>0</v>
      </c>
      <c r="BP179" s="2843">
        <f t="shared" si="1018"/>
        <v>75.359999999999957</v>
      </c>
      <c r="BQ179" s="2843">
        <f t="shared" si="1018"/>
        <v>75.359999999999957</v>
      </c>
      <c r="BR179" s="2843">
        <f t="shared" si="1018"/>
        <v>0</v>
      </c>
      <c r="BS179" s="2843">
        <f t="shared" si="1018"/>
        <v>81.548999999999978</v>
      </c>
      <c r="BT179" s="2843">
        <f t="shared" si="1018"/>
        <v>81.548999999999978</v>
      </c>
      <c r="BU179" s="2843">
        <f t="shared" si="1018"/>
        <v>0</v>
      </c>
      <c r="BV179" s="2843">
        <f t="shared" si="1018"/>
        <v>86.407300000000021</v>
      </c>
      <c r="BW179" s="2843">
        <f t="shared" si="1018"/>
        <v>86.407300000000021</v>
      </c>
      <c r="BX179" s="2843">
        <f t="shared" si="1018"/>
        <v>0</v>
      </c>
      <c r="BY179" s="2843">
        <f t="shared" si="1018"/>
        <v>243.31630000000007</v>
      </c>
      <c r="BZ179" s="2843">
        <f t="shared" si="1018"/>
        <v>243.31630000000007</v>
      </c>
      <c r="CA179" s="2843">
        <f t="shared" si="1018"/>
        <v>0</v>
      </c>
      <c r="CB179" s="2846">
        <f t="shared" si="1018"/>
        <v>1339.5569999999998</v>
      </c>
      <c r="CC179" s="2846">
        <f t="shared" si="1018"/>
        <v>1339.5569999999998</v>
      </c>
      <c r="CD179" s="2846">
        <f t="shared" si="1018"/>
        <v>0</v>
      </c>
      <c r="CE179" s="2847">
        <f t="shared" si="1011"/>
        <v>1300.6871490000003</v>
      </c>
      <c r="CF179" s="2847">
        <f t="shared" si="1011"/>
        <v>1300.6871490000003</v>
      </c>
      <c r="CG179" s="2847">
        <f t="shared" si="1011"/>
        <v>0</v>
      </c>
      <c r="CH179" s="2847">
        <f t="shared" si="1015"/>
        <v>-38.869851000000331</v>
      </c>
      <c r="CI179" s="2847">
        <f t="shared" si="1015"/>
        <v>-38.869851000000331</v>
      </c>
      <c r="CJ179" s="2847">
        <f t="shared" si="1015"/>
        <v>0</v>
      </c>
      <c r="CK179" s="2822"/>
      <c r="CL179" s="2822"/>
      <c r="CM179" s="2822"/>
      <c r="CN179" s="2822"/>
    </row>
    <row r="180" spans="1:92" ht="18.75" x14ac:dyDescent="0.2">
      <c r="A180" s="2848" t="s">
        <v>111</v>
      </c>
      <c r="B180" s="2849">
        <f>SUM(B179/B178)</f>
        <v>0.27642548175021492</v>
      </c>
      <c r="C180" s="2849">
        <f t="shared" ref="C180:AK180" si="1019">SUM(C179/C178)</f>
        <v>0.27652647161249871</v>
      </c>
      <c r="D180" s="2849">
        <f t="shared" si="1019"/>
        <v>0</v>
      </c>
      <c r="E180" s="2849">
        <f t="shared" si="1019"/>
        <v>0.31828927795352874</v>
      </c>
      <c r="F180" s="2849">
        <f t="shared" si="1019"/>
        <v>0.31832497799376736</v>
      </c>
      <c r="G180" s="2849">
        <f t="shared" si="1019"/>
        <v>0</v>
      </c>
      <c r="H180" s="2849">
        <f t="shared" si="1019"/>
        <v>0.33588421332687679</v>
      </c>
      <c r="I180" s="2849">
        <f t="shared" si="1019"/>
        <v>0.33589582309531352</v>
      </c>
      <c r="J180" s="2849">
        <f t="shared" si="1019"/>
        <v>0</v>
      </c>
      <c r="K180" s="2849">
        <f t="shared" si="1019"/>
        <v>0.36892738240333939</v>
      </c>
      <c r="L180" s="2849">
        <f t="shared" si="1019"/>
        <v>0.36894471504172061</v>
      </c>
      <c r="M180" s="2849">
        <f t="shared" si="1019"/>
        <v>0</v>
      </c>
      <c r="N180" s="2849">
        <f t="shared" si="1019"/>
        <v>0.34142474285031416</v>
      </c>
      <c r="O180" s="2849">
        <f t="shared" si="1019"/>
        <v>0.34144656302033322</v>
      </c>
      <c r="P180" s="2849">
        <f t="shared" si="1019"/>
        <v>0</v>
      </c>
      <c r="Q180" s="2849">
        <f t="shared" si="1019"/>
        <v>0.27642548175021492</v>
      </c>
      <c r="R180" s="2849">
        <f t="shared" si="1019"/>
        <v>0.27652647161249871</v>
      </c>
      <c r="S180" s="2849">
        <f t="shared" si="1019"/>
        <v>0</v>
      </c>
      <c r="T180" s="2849">
        <f t="shared" si="1019"/>
        <v>0.23279137519454554</v>
      </c>
      <c r="U180" s="2849">
        <f t="shared" si="1019"/>
        <v>0.23288005197244577</v>
      </c>
      <c r="V180" s="2849">
        <f t="shared" si="1019"/>
        <v>0</v>
      </c>
      <c r="W180" s="2849">
        <f t="shared" si="1019"/>
        <v>0.25474662890070454</v>
      </c>
      <c r="X180" s="2849">
        <f t="shared" si="1019"/>
        <v>0.25478958745350261</v>
      </c>
      <c r="Y180" s="2849">
        <f t="shared" si="1019"/>
        <v>0</v>
      </c>
      <c r="Z180" s="2849">
        <f t="shared" si="1019"/>
        <v>0.26140373539600814</v>
      </c>
      <c r="AA180" s="2849">
        <f t="shared" si="1019"/>
        <v>0.26147198910144626</v>
      </c>
      <c r="AB180" s="2849">
        <f t="shared" si="1019"/>
        <v>0</v>
      </c>
      <c r="AC180" s="2849">
        <f t="shared" si="1019"/>
        <v>0.24959603864041624</v>
      </c>
      <c r="AD180" s="2849">
        <f t="shared" si="1019"/>
        <v>0.24966363560357285</v>
      </c>
      <c r="AE180" s="2849">
        <f t="shared" si="1019"/>
        <v>0</v>
      </c>
      <c r="AF180" s="2850">
        <f t="shared" si="1019"/>
        <v>0.27642548175021492</v>
      </c>
      <c r="AG180" s="2850">
        <f t="shared" si="1019"/>
        <v>0.27652647161249871</v>
      </c>
      <c r="AH180" s="2850">
        <f t="shared" si="1019"/>
        <v>0</v>
      </c>
      <c r="AI180" s="2850">
        <f t="shared" si="1019"/>
        <v>0.29858764200752574</v>
      </c>
      <c r="AJ180" s="2850">
        <f t="shared" si="1019"/>
        <v>0.29863554225364336</v>
      </c>
      <c r="AK180" s="2850">
        <f t="shared" si="1019"/>
        <v>0</v>
      </c>
      <c r="AL180" s="2851">
        <f t="shared" si="1007"/>
        <v>2.2162160257310826E-2</v>
      </c>
      <c r="AM180" s="2851">
        <f t="shared" si="1007"/>
        <v>2.2109070641144646E-2</v>
      </c>
      <c r="AN180" s="2851">
        <f t="shared" si="1007"/>
        <v>0</v>
      </c>
      <c r="AO180" s="2849">
        <f t="shared" ref="AO180:CG180" si="1020">SUM(AO179/AO178)</f>
        <v>0.27642548175021492</v>
      </c>
      <c r="AP180" s="2849">
        <f t="shared" si="1020"/>
        <v>0.27652647161249871</v>
      </c>
      <c r="AQ180" s="2849">
        <f t="shared" si="1020"/>
        <v>0</v>
      </c>
      <c r="AR180" s="2849">
        <f t="shared" si="1020"/>
        <v>0.33708593695371641</v>
      </c>
      <c r="AS180" s="2849">
        <f t="shared" si="1020"/>
        <v>0.33715517920190696</v>
      </c>
      <c r="AT180" s="2849">
        <f t="shared" si="1020"/>
        <v>0</v>
      </c>
      <c r="AU180" s="2849">
        <f t="shared" si="1020"/>
        <v>0.2037352445804633</v>
      </c>
      <c r="AV180" s="2849">
        <f t="shared" si="1020"/>
        <v>0.20377782013002135</v>
      </c>
      <c r="AW180" s="2849">
        <f t="shared" si="1020"/>
        <v>0</v>
      </c>
      <c r="AX180" s="2849">
        <f t="shared" si="1020"/>
        <v>0.2039699758782863</v>
      </c>
      <c r="AY180" s="2849">
        <f t="shared" si="1020"/>
        <v>0.20398372011536064</v>
      </c>
      <c r="AZ180" s="2849">
        <f t="shared" si="1020"/>
        <v>0</v>
      </c>
      <c r="BA180" s="2849">
        <f t="shared" si="1020"/>
        <v>0.25169703111081781</v>
      </c>
      <c r="BB180" s="2849">
        <f t="shared" si="1020"/>
        <v>0.25173769746721797</v>
      </c>
      <c r="BC180" s="2849">
        <f t="shared" si="1020"/>
        <v>0</v>
      </c>
      <c r="BD180" s="2850">
        <f t="shared" si="1020"/>
        <v>0.27642548175021503</v>
      </c>
      <c r="BE180" s="2850">
        <f t="shared" si="1020"/>
        <v>0.27652647161249888</v>
      </c>
      <c r="BF180" s="2850">
        <f t="shared" si="1020"/>
        <v>0</v>
      </c>
      <c r="BG180" s="2850">
        <f t="shared" si="1020"/>
        <v>0.28423074995923509</v>
      </c>
      <c r="BH180" s="2850">
        <f t="shared" si="1020"/>
        <v>0.28427644675939301</v>
      </c>
      <c r="BI180" s="2850">
        <f t="shared" si="1020"/>
        <v>0</v>
      </c>
      <c r="BJ180" s="2851">
        <f t="shared" si="1009"/>
        <v>7.8052682090200554E-3</v>
      </c>
      <c r="BK180" s="2851">
        <f t="shared" si="1009"/>
        <v>7.749975146894128E-3</v>
      </c>
      <c r="BL180" s="2851">
        <f t="shared" si="1009"/>
        <v>0</v>
      </c>
      <c r="BM180" s="2849">
        <f t="shared" si="1020"/>
        <v>0.27642548175021492</v>
      </c>
      <c r="BN180" s="2849">
        <f t="shared" si="1020"/>
        <v>0.27652647161249871</v>
      </c>
      <c r="BO180" s="2849">
        <f t="shared" si="1020"/>
        <v>0</v>
      </c>
      <c r="BP180" s="2849">
        <f t="shared" si="1020"/>
        <v>0.19951181027316375</v>
      </c>
      <c r="BQ180" s="2849">
        <f t="shared" si="1020"/>
        <v>0.19952607262473679</v>
      </c>
      <c r="BR180" s="2849">
        <f t="shared" si="1020"/>
        <v>0</v>
      </c>
      <c r="BS180" s="2849">
        <f t="shared" si="1020"/>
        <v>0.2166039379636589</v>
      </c>
      <c r="BT180" s="2849">
        <f t="shared" si="1020"/>
        <v>0.21664479381963661</v>
      </c>
      <c r="BU180" s="2849">
        <f t="shared" si="1020"/>
        <v>0</v>
      </c>
      <c r="BV180" s="2849">
        <f t="shared" si="1020"/>
        <v>0.221807252946463</v>
      </c>
      <c r="BW180" s="2849">
        <f t="shared" si="1020"/>
        <v>0.22185623030839266</v>
      </c>
      <c r="BX180" s="2849">
        <f t="shared" si="1020"/>
        <v>0</v>
      </c>
      <c r="BY180" s="2849">
        <f t="shared" si="1020"/>
        <v>0.21273160115138406</v>
      </c>
      <c r="BZ180" s="2849">
        <f t="shared" si="1020"/>
        <v>0.2127658290713792</v>
      </c>
      <c r="CA180" s="2849">
        <f t="shared" si="1020"/>
        <v>0</v>
      </c>
      <c r="CB180" s="2850">
        <f t="shared" si="1020"/>
        <v>0.27642548175021492</v>
      </c>
      <c r="CC180" s="2850">
        <f t="shared" si="1020"/>
        <v>0.27652647161249871</v>
      </c>
      <c r="CD180" s="2850">
        <f t="shared" si="1020"/>
        <v>0</v>
      </c>
      <c r="CE180" s="2850">
        <f t="shared" si="1020"/>
        <v>0.26741730433415839</v>
      </c>
      <c r="CF180" s="2850">
        <f t="shared" si="1020"/>
        <v>0.2674603057491991</v>
      </c>
      <c r="CG180" s="2850">
        <f t="shared" si="1020"/>
        <v>0</v>
      </c>
      <c r="CH180" s="2851">
        <f t="shared" si="1015"/>
        <v>-9.0081774160565287E-3</v>
      </c>
      <c r="CI180" s="2851">
        <f t="shared" si="1015"/>
        <v>-9.0661658632996134E-3</v>
      </c>
      <c r="CJ180" s="2851">
        <f t="shared" si="1015"/>
        <v>0</v>
      </c>
      <c r="CK180" s="2822"/>
      <c r="CL180" s="2822"/>
      <c r="CM180" s="2822"/>
      <c r="CN180" s="2822"/>
    </row>
    <row r="181" spans="1:92" ht="18.75" x14ac:dyDescent="0.2">
      <c r="A181" s="2835" t="s">
        <v>3727</v>
      </c>
      <c r="B181" s="2837">
        <f t="shared" ref="B181:AK181" si="1021">SUM(B14)</f>
        <v>876.60995000000003</v>
      </c>
      <c r="C181" s="2837">
        <f t="shared" si="1021"/>
        <v>876.16750000000002</v>
      </c>
      <c r="D181" s="2837">
        <f t="shared" si="1021"/>
        <v>0.44245000000000001</v>
      </c>
      <c r="E181" s="2836">
        <f t="shared" si="1021"/>
        <v>303.92900000000003</v>
      </c>
      <c r="F181" s="2836">
        <f t="shared" si="1021"/>
        <v>303.87900000000002</v>
      </c>
      <c r="G181" s="2836">
        <f t="shared" si="1021"/>
        <v>0.05</v>
      </c>
      <c r="H181" s="2836">
        <f t="shared" si="1021"/>
        <v>307.42900000000003</v>
      </c>
      <c r="I181" s="2836">
        <f t="shared" si="1021"/>
        <v>307.41300000000001</v>
      </c>
      <c r="J181" s="2836">
        <f t="shared" si="1021"/>
        <v>1.6E-2</v>
      </c>
      <c r="K181" s="2836">
        <f t="shared" si="1021"/>
        <v>295.52799999999996</v>
      </c>
      <c r="L181" s="2836">
        <f t="shared" si="1021"/>
        <v>295.50599999999997</v>
      </c>
      <c r="M181" s="2836">
        <f t="shared" si="1021"/>
        <v>2.1999999999999999E-2</v>
      </c>
      <c r="N181" s="2836">
        <f t="shared" si="1021"/>
        <v>906.88599999999997</v>
      </c>
      <c r="O181" s="2836">
        <f t="shared" si="1021"/>
        <v>906.798</v>
      </c>
      <c r="P181" s="2836">
        <f t="shared" si="1021"/>
        <v>8.7999999999999995E-2</v>
      </c>
      <c r="Q181" s="2837">
        <f t="shared" si="1021"/>
        <v>876.60995000000003</v>
      </c>
      <c r="R181" s="2837">
        <f t="shared" si="1021"/>
        <v>876.16750000000002</v>
      </c>
      <c r="S181" s="2837">
        <f t="shared" si="1021"/>
        <v>0.44245000000000001</v>
      </c>
      <c r="T181" s="2836">
        <f t="shared" si="1021"/>
        <v>310.28199999999998</v>
      </c>
      <c r="U181" s="2836">
        <f t="shared" si="1021"/>
        <v>310.12799999999999</v>
      </c>
      <c r="V181" s="2836">
        <f t="shared" si="1021"/>
        <v>0.154</v>
      </c>
      <c r="W181" s="2836">
        <f t="shared" si="1021"/>
        <v>296.14935100000002</v>
      </c>
      <c r="X181" s="2836">
        <f t="shared" si="1021"/>
        <v>296.08235100000002</v>
      </c>
      <c r="Y181" s="2836">
        <f t="shared" si="1021"/>
        <v>6.7000000000000004E-2</v>
      </c>
      <c r="Z181" s="2836">
        <f t="shared" si="1021"/>
        <v>297.09500000000003</v>
      </c>
      <c r="AA181" s="2836">
        <f t="shared" si="1021"/>
        <v>296.99</v>
      </c>
      <c r="AB181" s="2836">
        <f t="shared" si="1021"/>
        <v>0.105</v>
      </c>
      <c r="AC181" s="2836">
        <f t="shared" si="1021"/>
        <v>903.52635099999998</v>
      </c>
      <c r="AD181" s="2836">
        <f t="shared" si="1021"/>
        <v>903.20035099999996</v>
      </c>
      <c r="AE181" s="2836">
        <f t="shared" si="1021"/>
        <v>0.32600000000000001</v>
      </c>
      <c r="AF181" s="2839">
        <f t="shared" si="1021"/>
        <v>1753.2199000000001</v>
      </c>
      <c r="AG181" s="2839">
        <f t="shared" si="1021"/>
        <v>1752.335</v>
      </c>
      <c r="AH181" s="2839">
        <f t="shared" si="1021"/>
        <v>0.88490000000000002</v>
      </c>
      <c r="AI181" s="2840">
        <f t="shared" si="1021"/>
        <v>1810.4123509999999</v>
      </c>
      <c r="AJ181" s="2840">
        <f t="shared" si="1021"/>
        <v>1809.998351</v>
      </c>
      <c r="AK181" s="2840">
        <f t="shared" si="1021"/>
        <v>0.41400000000000003</v>
      </c>
      <c r="AL181" s="2840">
        <f t="shared" si="1007"/>
        <v>57.192451000000119</v>
      </c>
      <c r="AM181" s="2840">
        <f t="shared" si="1007"/>
        <v>57.663351000000119</v>
      </c>
      <c r="AN181" s="2840">
        <f t="shared" si="1007"/>
        <v>-0.47089999999999999</v>
      </c>
      <c r="AO181" s="2837">
        <f t="shared" ref="AO181:BI181" si="1022">SUM(AO14)</f>
        <v>876.60995000000003</v>
      </c>
      <c r="AP181" s="2837">
        <f t="shared" si="1022"/>
        <v>876.16750000000002</v>
      </c>
      <c r="AQ181" s="2837">
        <f t="shared" si="1022"/>
        <v>0.44245000000000001</v>
      </c>
      <c r="AR181" s="2836">
        <f t="shared" si="1022"/>
        <v>271.14100000000002</v>
      </c>
      <c r="AS181" s="2836">
        <f t="shared" si="1022"/>
        <v>271.05700000000002</v>
      </c>
      <c r="AT181" s="2836">
        <f t="shared" si="1022"/>
        <v>8.4000000000000005E-2</v>
      </c>
      <c r="AU181" s="2836">
        <f t="shared" si="1022"/>
        <v>285.83499999999998</v>
      </c>
      <c r="AV181" s="2836">
        <f t="shared" si="1022"/>
        <v>285.76</v>
      </c>
      <c r="AW181" s="2836">
        <f t="shared" si="1022"/>
        <v>7.4999999999999997E-2</v>
      </c>
      <c r="AX181" s="2836">
        <f t="shared" si="1022"/>
        <v>295.35500000000002</v>
      </c>
      <c r="AY181" s="2836">
        <f t="shared" si="1022"/>
        <v>295.33000000000004</v>
      </c>
      <c r="AZ181" s="2836">
        <f t="shared" si="1022"/>
        <v>2.5000000000000001E-2</v>
      </c>
      <c r="BA181" s="2836">
        <f t="shared" si="1022"/>
        <v>852.3309999999999</v>
      </c>
      <c r="BB181" s="2836">
        <f t="shared" si="1022"/>
        <v>852.14699999999993</v>
      </c>
      <c r="BC181" s="2836">
        <f t="shared" si="1022"/>
        <v>0.184</v>
      </c>
      <c r="BD181" s="2839">
        <f t="shared" si="1022"/>
        <v>2629.8298500000001</v>
      </c>
      <c r="BE181" s="2839">
        <f t="shared" si="1022"/>
        <v>2628.5025000000001</v>
      </c>
      <c r="BF181" s="2839">
        <f t="shared" si="1022"/>
        <v>1.32735</v>
      </c>
      <c r="BG181" s="2840">
        <f t="shared" si="1022"/>
        <v>2662.7433510000001</v>
      </c>
      <c r="BH181" s="2840">
        <f t="shared" si="1022"/>
        <v>2662.1453510000001</v>
      </c>
      <c r="BI181" s="2840">
        <f t="shared" si="1022"/>
        <v>0.59800000000000009</v>
      </c>
      <c r="BJ181" s="2840">
        <f t="shared" si="1009"/>
        <v>32.913501000000053</v>
      </c>
      <c r="BK181" s="2840">
        <f t="shared" si="1009"/>
        <v>33.64285100000005</v>
      </c>
      <c r="BL181" s="2840">
        <f t="shared" si="1009"/>
        <v>-0.72934999999999994</v>
      </c>
      <c r="BM181" s="2837">
        <f t="shared" ref="BM181:CG181" si="1023">SUM(BM14)</f>
        <v>876.60995000000003</v>
      </c>
      <c r="BN181" s="2837">
        <f t="shared" si="1023"/>
        <v>876.16750000000002</v>
      </c>
      <c r="BO181" s="2837">
        <f t="shared" si="1023"/>
        <v>0.44245000000000001</v>
      </c>
      <c r="BP181" s="2836">
        <f t="shared" si="1023"/>
        <v>302.36200000000002</v>
      </c>
      <c r="BQ181" s="2836">
        <f t="shared" si="1023"/>
        <v>302.33500000000004</v>
      </c>
      <c r="BR181" s="2836">
        <f t="shared" si="1023"/>
        <v>2.7E-2</v>
      </c>
      <c r="BS181" s="2836">
        <f t="shared" si="1023"/>
        <v>294.94000000000005</v>
      </c>
      <c r="BT181" s="2836">
        <f t="shared" si="1023"/>
        <v>294.86900000000003</v>
      </c>
      <c r="BU181" s="2836">
        <f t="shared" si="1023"/>
        <v>7.0999999999999994E-2</v>
      </c>
      <c r="BV181" s="2836">
        <f t="shared" si="1023"/>
        <v>303.15300000000002</v>
      </c>
      <c r="BW181" s="2836">
        <f t="shared" si="1023"/>
        <v>303.06700000000001</v>
      </c>
      <c r="BX181" s="2836">
        <f t="shared" si="1023"/>
        <v>8.5999999999999993E-2</v>
      </c>
      <c r="BY181" s="2836">
        <f t="shared" si="1023"/>
        <v>900.45500000000004</v>
      </c>
      <c r="BZ181" s="2836">
        <f t="shared" si="1023"/>
        <v>900.27100000000007</v>
      </c>
      <c r="CA181" s="2836">
        <f t="shared" si="1023"/>
        <v>0.184</v>
      </c>
      <c r="CB181" s="2839">
        <f t="shared" si="1023"/>
        <v>3506.4398000000001</v>
      </c>
      <c r="CC181" s="2839">
        <f t="shared" si="1023"/>
        <v>3504.67</v>
      </c>
      <c r="CD181" s="2839">
        <f t="shared" si="1023"/>
        <v>1.7698</v>
      </c>
      <c r="CE181" s="2840">
        <f t="shared" si="1023"/>
        <v>3563.198351</v>
      </c>
      <c r="CF181" s="2840">
        <f t="shared" si="1023"/>
        <v>3562.4163509999998</v>
      </c>
      <c r="CG181" s="2840">
        <f t="shared" si="1023"/>
        <v>0.78200000000000003</v>
      </c>
      <c r="CH181" s="2840">
        <f t="shared" si="1015"/>
        <v>56.758551000000068</v>
      </c>
      <c r="CI181" s="2840">
        <f t="shared" si="1015"/>
        <v>57.746351000000068</v>
      </c>
      <c r="CJ181" s="2840">
        <f t="shared" si="1015"/>
        <v>-0.98780000000000001</v>
      </c>
      <c r="CK181" s="2822"/>
      <c r="CL181" s="2822"/>
      <c r="CM181" s="2822"/>
      <c r="CN181" s="2822"/>
    </row>
    <row r="182" spans="1:92" ht="18.75" x14ac:dyDescent="0.2">
      <c r="A182" s="2842" t="s">
        <v>24</v>
      </c>
      <c r="B182" s="2845">
        <f t="shared" ref="B182:AK183" si="1024">SUM(B15)</f>
        <v>593.505</v>
      </c>
      <c r="C182" s="2845">
        <f t="shared" si="1024"/>
        <v>593.505</v>
      </c>
      <c r="D182" s="2845">
        <f t="shared" si="1024"/>
        <v>0</v>
      </c>
      <c r="E182" s="2843">
        <f t="shared" si="1024"/>
        <v>219.27500000000001</v>
      </c>
      <c r="F182" s="2843">
        <f t="shared" si="1024"/>
        <v>219.27500000000001</v>
      </c>
      <c r="G182" s="2843">
        <f t="shared" si="1024"/>
        <v>0</v>
      </c>
      <c r="H182" s="2843">
        <f t="shared" si="1024"/>
        <v>205.98400000000001</v>
      </c>
      <c r="I182" s="2843">
        <f t="shared" si="1024"/>
        <v>205.98400000000001</v>
      </c>
      <c r="J182" s="2843">
        <f t="shared" si="1024"/>
        <v>0</v>
      </c>
      <c r="K182" s="2843">
        <f t="shared" si="1024"/>
        <v>195.35599999999999</v>
      </c>
      <c r="L182" s="2843">
        <f t="shared" si="1024"/>
        <v>195.35599999999999</v>
      </c>
      <c r="M182" s="2843">
        <f t="shared" si="1024"/>
        <v>0</v>
      </c>
      <c r="N182" s="2843">
        <f t="shared" si="1024"/>
        <v>620.61500000000001</v>
      </c>
      <c r="O182" s="2843">
        <f t="shared" si="1024"/>
        <v>620.61500000000001</v>
      </c>
      <c r="P182" s="2843">
        <f t="shared" si="1024"/>
        <v>0</v>
      </c>
      <c r="Q182" s="2845">
        <f t="shared" si="1024"/>
        <v>593.505</v>
      </c>
      <c r="R182" s="2845">
        <f t="shared" si="1024"/>
        <v>593.505</v>
      </c>
      <c r="S182" s="2845">
        <f t="shared" si="1024"/>
        <v>0</v>
      </c>
      <c r="T182" s="2843">
        <f t="shared" si="1024"/>
        <v>211.23</v>
      </c>
      <c r="U182" s="2843">
        <f t="shared" si="1024"/>
        <v>211.23</v>
      </c>
      <c r="V182" s="2843">
        <f t="shared" si="1024"/>
        <v>0</v>
      </c>
      <c r="W182" s="2843">
        <f t="shared" si="1024"/>
        <v>205.26575500000001</v>
      </c>
      <c r="X182" s="2843">
        <f t="shared" si="1024"/>
        <v>205.26575500000001</v>
      </c>
      <c r="Y182" s="2843">
        <f t="shared" si="1024"/>
        <v>0</v>
      </c>
      <c r="Z182" s="2843">
        <f t="shared" si="1024"/>
        <v>202.67400000000001</v>
      </c>
      <c r="AA182" s="2843">
        <f t="shared" si="1024"/>
        <v>202.67400000000001</v>
      </c>
      <c r="AB182" s="2843">
        <f t="shared" si="1024"/>
        <v>0</v>
      </c>
      <c r="AC182" s="2843">
        <f t="shared" si="1024"/>
        <v>619.16975500000001</v>
      </c>
      <c r="AD182" s="2843">
        <f t="shared" si="1024"/>
        <v>619.16975500000001</v>
      </c>
      <c r="AE182" s="2843">
        <f t="shared" si="1024"/>
        <v>0</v>
      </c>
      <c r="AF182" s="2846">
        <f t="shared" si="1024"/>
        <v>1187.01</v>
      </c>
      <c r="AG182" s="2846">
        <f t="shared" si="1024"/>
        <v>1187.01</v>
      </c>
      <c r="AH182" s="2846">
        <f t="shared" si="1024"/>
        <v>0</v>
      </c>
      <c r="AI182" s="2847">
        <f t="shared" si="1024"/>
        <v>1239.7847550000001</v>
      </c>
      <c r="AJ182" s="2847">
        <f t="shared" si="1024"/>
        <v>1239.7847550000001</v>
      </c>
      <c r="AK182" s="2847">
        <f t="shared" si="1024"/>
        <v>0</v>
      </c>
      <c r="AL182" s="2847">
        <f t="shared" si="1007"/>
        <v>52.774755000000141</v>
      </c>
      <c r="AM182" s="2847">
        <f t="shared" si="1007"/>
        <v>52.774755000000141</v>
      </c>
      <c r="AN182" s="2847">
        <f t="shared" si="1007"/>
        <v>0</v>
      </c>
      <c r="AO182" s="2845">
        <f t="shared" ref="AO182:BI183" si="1025">SUM(AO15)</f>
        <v>593.505</v>
      </c>
      <c r="AP182" s="2845">
        <f t="shared" si="1025"/>
        <v>593.505</v>
      </c>
      <c r="AQ182" s="2845">
        <f t="shared" si="1025"/>
        <v>0</v>
      </c>
      <c r="AR182" s="2843">
        <f t="shared" si="1025"/>
        <v>192.63300000000001</v>
      </c>
      <c r="AS182" s="2843">
        <f t="shared" si="1025"/>
        <v>192.63300000000001</v>
      </c>
      <c r="AT182" s="2843">
        <f t="shared" si="1025"/>
        <v>0</v>
      </c>
      <c r="AU182" s="2843">
        <f t="shared" si="1025"/>
        <v>199.72399999999999</v>
      </c>
      <c r="AV182" s="2843">
        <f t="shared" si="1025"/>
        <v>199.72399999999999</v>
      </c>
      <c r="AW182" s="2843">
        <f t="shared" si="1025"/>
        <v>0</v>
      </c>
      <c r="AX182" s="2843">
        <f t="shared" si="1025"/>
        <v>193.387</v>
      </c>
      <c r="AY182" s="2843">
        <f t="shared" si="1025"/>
        <v>193.387</v>
      </c>
      <c r="AZ182" s="2843">
        <f t="shared" si="1025"/>
        <v>0</v>
      </c>
      <c r="BA182" s="2843">
        <f t="shared" si="1025"/>
        <v>585.74399999999991</v>
      </c>
      <c r="BB182" s="2843">
        <f t="shared" si="1025"/>
        <v>585.74399999999991</v>
      </c>
      <c r="BC182" s="2843">
        <f t="shared" si="1025"/>
        <v>0</v>
      </c>
      <c r="BD182" s="2846">
        <f t="shared" si="1025"/>
        <v>1780.5149999999999</v>
      </c>
      <c r="BE182" s="2846">
        <f t="shared" si="1025"/>
        <v>1780.5149999999999</v>
      </c>
      <c r="BF182" s="2846">
        <f t="shared" si="1025"/>
        <v>0</v>
      </c>
      <c r="BG182" s="2847">
        <f t="shared" si="1025"/>
        <v>1825.528755</v>
      </c>
      <c r="BH182" s="2847">
        <f t="shared" si="1025"/>
        <v>1825.528755</v>
      </c>
      <c r="BI182" s="2847">
        <f t="shared" si="1025"/>
        <v>0</v>
      </c>
      <c r="BJ182" s="2847">
        <f t="shared" si="1009"/>
        <v>45.013755000000174</v>
      </c>
      <c r="BK182" s="2847">
        <f t="shared" si="1009"/>
        <v>45.013755000000174</v>
      </c>
      <c r="BL182" s="2847">
        <f t="shared" si="1009"/>
        <v>0</v>
      </c>
      <c r="BM182" s="2845">
        <f t="shared" ref="BM182:CG183" si="1026">SUM(BM15)</f>
        <v>593.505</v>
      </c>
      <c r="BN182" s="2845">
        <f t="shared" si="1026"/>
        <v>593.505</v>
      </c>
      <c r="BO182" s="2845">
        <f t="shared" si="1026"/>
        <v>0</v>
      </c>
      <c r="BP182" s="2843">
        <f t="shared" si="1026"/>
        <v>204.25700000000001</v>
      </c>
      <c r="BQ182" s="2843">
        <f t="shared" si="1026"/>
        <v>204.25700000000001</v>
      </c>
      <c r="BR182" s="2843">
        <f t="shared" si="1026"/>
        <v>0</v>
      </c>
      <c r="BS182" s="2843">
        <f t="shared" si="1026"/>
        <v>205.18600000000001</v>
      </c>
      <c r="BT182" s="2843">
        <f t="shared" si="1026"/>
        <v>205.18600000000001</v>
      </c>
      <c r="BU182" s="2843">
        <f t="shared" si="1026"/>
        <v>0</v>
      </c>
      <c r="BV182" s="2843">
        <f t="shared" si="1026"/>
        <v>201.81100000000001</v>
      </c>
      <c r="BW182" s="2843">
        <f t="shared" si="1026"/>
        <v>201.81100000000001</v>
      </c>
      <c r="BX182" s="2843">
        <f t="shared" si="1026"/>
        <v>0</v>
      </c>
      <c r="BY182" s="2843">
        <f t="shared" si="1026"/>
        <v>611.25400000000002</v>
      </c>
      <c r="BZ182" s="2843">
        <f t="shared" si="1026"/>
        <v>611.25400000000002</v>
      </c>
      <c r="CA182" s="2843">
        <f t="shared" si="1026"/>
        <v>0</v>
      </c>
      <c r="CB182" s="2846">
        <f t="shared" si="1026"/>
        <v>2374.02</v>
      </c>
      <c r="CC182" s="2846">
        <f t="shared" si="1026"/>
        <v>2374.02</v>
      </c>
      <c r="CD182" s="2846">
        <f t="shared" si="1026"/>
        <v>0</v>
      </c>
      <c r="CE182" s="2847">
        <f t="shared" si="1026"/>
        <v>2436.7827550000002</v>
      </c>
      <c r="CF182" s="2847">
        <f t="shared" si="1026"/>
        <v>2436.7827550000002</v>
      </c>
      <c r="CG182" s="2847">
        <f t="shared" si="1026"/>
        <v>0</v>
      </c>
      <c r="CH182" s="2847">
        <f t="shared" si="1015"/>
        <v>62.762755000000197</v>
      </c>
      <c r="CI182" s="2847">
        <f t="shared" si="1015"/>
        <v>62.762755000000197</v>
      </c>
      <c r="CJ182" s="2847">
        <f t="shared" si="1015"/>
        <v>0</v>
      </c>
      <c r="CK182" s="2822"/>
      <c r="CL182" s="2822"/>
      <c r="CM182" s="2822"/>
      <c r="CN182" s="2822"/>
    </row>
    <row r="183" spans="1:92" ht="18.75" x14ac:dyDescent="0.2">
      <c r="A183" s="2842" t="s">
        <v>3811</v>
      </c>
      <c r="B183" s="2845">
        <f t="shared" si="1024"/>
        <v>0</v>
      </c>
      <c r="C183" s="2845">
        <f t="shared" si="1024"/>
        <v>0</v>
      </c>
      <c r="D183" s="2845">
        <f t="shared" si="1024"/>
        <v>0</v>
      </c>
      <c r="E183" s="2843">
        <f t="shared" si="1024"/>
        <v>0.47</v>
      </c>
      <c r="F183" s="2843">
        <f t="shared" si="1024"/>
        <v>0.47</v>
      </c>
      <c r="G183" s="2843">
        <f t="shared" si="1024"/>
        <v>0</v>
      </c>
      <c r="H183" s="2843">
        <f t="shared" si="1024"/>
        <v>0.48</v>
      </c>
      <c r="I183" s="2843">
        <f t="shared" si="1024"/>
        <v>0.48</v>
      </c>
      <c r="J183" s="2843">
        <f t="shared" si="1024"/>
        <v>0</v>
      </c>
      <c r="K183" s="2843">
        <f t="shared" si="1024"/>
        <v>0.47099999999999997</v>
      </c>
      <c r="L183" s="2843">
        <f t="shared" si="1024"/>
        <v>0.47099999999999997</v>
      </c>
      <c r="M183" s="2843">
        <f t="shared" si="1024"/>
        <v>0</v>
      </c>
      <c r="N183" s="2843">
        <f t="shared" si="1024"/>
        <v>1.4209999999999998</v>
      </c>
      <c r="O183" s="2843">
        <f t="shared" si="1024"/>
        <v>1.4209999999999998</v>
      </c>
      <c r="P183" s="2843">
        <f t="shared" si="1024"/>
        <v>0</v>
      </c>
      <c r="Q183" s="2845">
        <f t="shared" si="1024"/>
        <v>0</v>
      </c>
      <c r="R183" s="2845">
        <f t="shared" si="1024"/>
        <v>0</v>
      </c>
      <c r="S183" s="2845">
        <f t="shared" si="1024"/>
        <v>0</v>
      </c>
      <c r="T183" s="2843">
        <f t="shared" si="1024"/>
        <v>0.47499999999999998</v>
      </c>
      <c r="U183" s="2843">
        <f t="shared" si="1024"/>
        <v>0.47499999999999998</v>
      </c>
      <c r="V183" s="2843">
        <f t="shared" si="1024"/>
        <v>0</v>
      </c>
      <c r="W183" s="2843">
        <f t="shared" si="1024"/>
        <v>0.47959600000000002</v>
      </c>
      <c r="X183" s="2843">
        <f t="shared" si="1024"/>
        <v>0.47959600000000002</v>
      </c>
      <c r="Y183" s="2843">
        <f t="shared" si="1024"/>
        <v>0</v>
      </c>
      <c r="Z183" s="2843">
        <f t="shared" si="1024"/>
        <v>0.47299999999999998</v>
      </c>
      <c r="AA183" s="2843">
        <f t="shared" si="1024"/>
        <v>0.47299999999999998</v>
      </c>
      <c r="AB183" s="2843">
        <f t="shared" si="1024"/>
        <v>0</v>
      </c>
      <c r="AC183" s="2843">
        <f t="shared" si="1024"/>
        <v>1.4275959999999999</v>
      </c>
      <c r="AD183" s="2843">
        <f t="shared" si="1024"/>
        <v>1.4275959999999999</v>
      </c>
      <c r="AE183" s="2843">
        <f t="shared" si="1024"/>
        <v>0</v>
      </c>
      <c r="AF183" s="2846">
        <f t="shared" si="1024"/>
        <v>0</v>
      </c>
      <c r="AG183" s="2846">
        <f t="shared" si="1024"/>
        <v>0</v>
      </c>
      <c r="AH183" s="2846">
        <f t="shared" si="1024"/>
        <v>0</v>
      </c>
      <c r="AI183" s="2847">
        <f t="shared" si="1024"/>
        <v>2.8485959999999997</v>
      </c>
      <c r="AJ183" s="2847">
        <f t="shared" si="1024"/>
        <v>2.8485959999999997</v>
      </c>
      <c r="AK183" s="2847">
        <f t="shared" si="1024"/>
        <v>0</v>
      </c>
      <c r="AL183" s="2847">
        <f t="shared" si="1007"/>
        <v>2.8485959999999997</v>
      </c>
      <c r="AM183" s="2847">
        <f t="shared" si="1007"/>
        <v>2.8485959999999997</v>
      </c>
      <c r="AN183" s="2847">
        <f t="shared" si="1007"/>
        <v>0</v>
      </c>
      <c r="AO183" s="2845">
        <f t="shared" si="1025"/>
        <v>0</v>
      </c>
      <c r="AP183" s="2845">
        <f t="shared" si="1025"/>
        <v>0</v>
      </c>
      <c r="AQ183" s="2845">
        <f t="shared" si="1025"/>
        <v>0</v>
      </c>
      <c r="AR183" s="2843">
        <f t="shared" si="1025"/>
        <v>0.504</v>
      </c>
      <c r="AS183" s="2843">
        <f t="shared" si="1025"/>
        <v>0.504</v>
      </c>
      <c r="AT183" s="2843">
        <f t="shared" si="1025"/>
        <v>0</v>
      </c>
      <c r="AU183" s="2843">
        <f t="shared" si="1025"/>
        <v>0.44800000000000001</v>
      </c>
      <c r="AV183" s="2843">
        <f t="shared" si="1025"/>
        <v>0.44800000000000001</v>
      </c>
      <c r="AW183" s="2843">
        <f t="shared" si="1025"/>
        <v>0</v>
      </c>
      <c r="AX183" s="2843">
        <f t="shared" si="1025"/>
        <v>0.45400000000000001</v>
      </c>
      <c r="AY183" s="2843">
        <f t="shared" si="1025"/>
        <v>0.45400000000000001</v>
      </c>
      <c r="AZ183" s="2843">
        <f t="shared" si="1025"/>
        <v>0</v>
      </c>
      <c r="BA183" s="2843">
        <f t="shared" si="1025"/>
        <v>1.4059999999999999</v>
      </c>
      <c r="BB183" s="2843">
        <f t="shared" si="1025"/>
        <v>1.4059999999999999</v>
      </c>
      <c r="BC183" s="2843">
        <f t="shared" si="1025"/>
        <v>0</v>
      </c>
      <c r="BD183" s="2846">
        <f t="shared" si="1025"/>
        <v>0</v>
      </c>
      <c r="BE183" s="2846">
        <f t="shared" si="1025"/>
        <v>0</v>
      </c>
      <c r="BF183" s="2846">
        <f t="shared" si="1025"/>
        <v>0</v>
      </c>
      <c r="BG183" s="2847">
        <f t="shared" si="1025"/>
        <v>4.2545959999999994</v>
      </c>
      <c r="BH183" s="2847">
        <f t="shared" si="1025"/>
        <v>4.2545959999999994</v>
      </c>
      <c r="BI183" s="2847">
        <f t="shared" si="1025"/>
        <v>0</v>
      </c>
      <c r="BJ183" s="2847">
        <f t="shared" si="1009"/>
        <v>4.2545959999999994</v>
      </c>
      <c r="BK183" s="2847">
        <f t="shared" si="1009"/>
        <v>4.2545959999999994</v>
      </c>
      <c r="BL183" s="2847">
        <f t="shared" si="1009"/>
        <v>0</v>
      </c>
      <c r="BM183" s="2845">
        <f t="shared" si="1026"/>
        <v>0</v>
      </c>
      <c r="BN183" s="2845">
        <f t="shared" si="1026"/>
        <v>0</v>
      </c>
      <c r="BO183" s="2845">
        <f t="shared" si="1026"/>
        <v>0</v>
      </c>
      <c r="BP183" s="2843">
        <f t="shared" si="1026"/>
        <v>0.441</v>
      </c>
      <c r="BQ183" s="2843">
        <f t="shared" si="1026"/>
        <v>0.441</v>
      </c>
      <c r="BR183" s="2843">
        <f t="shared" si="1026"/>
        <v>0</v>
      </c>
      <c r="BS183" s="2843">
        <f t="shared" si="1026"/>
        <v>0.54300000000000004</v>
      </c>
      <c r="BT183" s="2843">
        <f t="shared" si="1026"/>
        <v>0.54300000000000004</v>
      </c>
      <c r="BU183" s="2843">
        <f t="shared" si="1026"/>
        <v>0</v>
      </c>
      <c r="BV183" s="2843">
        <f t="shared" si="1026"/>
        <v>1.246</v>
      </c>
      <c r="BW183" s="2843">
        <f t="shared" si="1026"/>
        <v>1.246</v>
      </c>
      <c r="BX183" s="2843">
        <f t="shared" si="1026"/>
        <v>0</v>
      </c>
      <c r="BY183" s="2843">
        <f t="shared" si="1026"/>
        <v>2.23</v>
      </c>
      <c r="BZ183" s="2843">
        <f t="shared" si="1026"/>
        <v>2.23</v>
      </c>
      <c r="CA183" s="2843">
        <f t="shared" si="1026"/>
        <v>0</v>
      </c>
      <c r="CB183" s="2846">
        <f t="shared" si="1026"/>
        <v>0</v>
      </c>
      <c r="CC183" s="2846">
        <f t="shared" si="1026"/>
        <v>0</v>
      </c>
      <c r="CD183" s="2846">
        <f t="shared" si="1026"/>
        <v>0</v>
      </c>
      <c r="CE183" s="2847">
        <f t="shared" si="1026"/>
        <v>6.4845959999999998</v>
      </c>
      <c r="CF183" s="2847">
        <f t="shared" si="1026"/>
        <v>6.4845959999999998</v>
      </c>
      <c r="CG183" s="2847">
        <f t="shared" si="1026"/>
        <v>0</v>
      </c>
      <c r="CH183" s="2847">
        <f t="shared" si="1015"/>
        <v>6.4845959999999998</v>
      </c>
      <c r="CI183" s="2847">
        <f t="shared" si="1015"/>
        <v>6.4845959999999998</v>
      </c>
      <c r="CJ183" s="2847">
        <f t="shared" si="1015"/>
        <v>0</v>
      </c>
      <c r="CK183" s="2822"/>
      <c r="CL183" s="2822"/>
      <c r="CM183" s="2822"/>
      <c r="CN183" s="2822"/>
    </row>
    <row r="184" spans="1:92" ht="18.75" x14ac:dyDescent="0.2">
      <c r="A184" s="2842" t="s">
        <v>3678</v>
      </c>
      <c r="B184" s="2845">
        <f t="shared" ref="B184:AG184" si="1027">SUM(B17)</f>
        <v>214.98195000000001</v>
      </c>
      <c r="C184" s="2845">
        <f t="shared" si="1027"/>
        <v>214.5395</v>
      </c>
      <c r="D184" s="2845">
        <f t="shared" si="1027"/>
        <v>0.44245000000000001</v>
      </c>
      <c r="E184" s="2843">
        <f t="shared" si="1027"/>
        <v>60.510999999999996</v>
      </c>
      <c r="F184" s="2843">
        <f t="shared" si="1027"/>
        <v>60.460999999999999</v>
      </c>
      <c r="G184" s="2843">
        <f t="shared" si="1027"/>
        <v>0.05</v>
      </c>
      <c r="H184" s="2843">
        <f t="shared" si="1027"/>
        <v>75.629000000000005</v>
      </c>
      <c r="I184" s="2843">
        <f t="shared" si="1027"/>
        <v>75.613</v>
      </c>
      <c r="J184" s="2843">
        <f t="shared" si="1027"/>
        <v>1.6E-2</v>
      </c>
      <c r="K184" s="2843">
        <f t="shared" si="1027"/>
        <v>70.626000000000005</v>
      </c>
      <c r="L184" s="2843">
        <f t="shared" si="1027"/>
        <v>70.603999999999999</v>
      </c>
      <c r="M184" s="2843">
        <f t="shared" si="1027"/>
        <v>2.1999999999999999E-2</v>
      </c>
      <c r="N184" s="2843">
        <f t="shared" si="1027"/>
        <v>206.76599999999999</v>
      </c>
      <c r="O184" s="2843">
        <f t="shared" si="1027"/>
        <v>206.678</v>
      </c>
      <c r="P184" s="2843">
        <f t="shared" si="1027"/>
        <v>8.7999999999999995E-2</v>
      </c>
      <c r="Q184" s="2845">
        <f t="shared" si="1027"/>
        <v>214.98195000000001</v>
      </c>
      <c r="R184" s="2845">
        <f t="shared" si="1027"/>
        <v>214.5395</v>
      </c>
      <c r="S184" s="2845">
        <f t="shared" si="1027"/>
        <v>0.44245000000000001</v>
      </c>
      <c r="T184" s="2843">
        <f t="shared" si="1027"/>
        <v>74.539000000000001</v>
      </c>
      <c r="U184" s="2843">
        <f t="shared" si="1027"/>
        <v>74.385000000000005</v>
      </c>
      <c r="V184" s="2843">
        <f t="shared" si="1027"/>
        <v>0.154</v>
      </c>
      <c r="W184" s="2843">
        <f t="shared" si="1027"/>
        <v>69.024999999999991</v>
      </c>
      <c r="X184" s="2843">
        <f t="shared" si="1027"/>
        <v>68.957999999999998</v>
      </c>
      <c r="Y184" s="2843">
        <f t="shared" si="1027"/>
        <v>6.7000000000000004E-2</v>
      </c>
      <c r="Z184" s="2843">
        <f t="shared" si="1027"/>
        <v>73.551000000000002</v>
      </c>
      <c r="AA184" s="2843">
        <f t="shared" si="1027"/>
        <v>73.445999999999998</v>
      </c>
      <c r="AB184" s="2843">
        <f t="shared" si="1027"/>
        <v>0.105</v>
      </c>
      <c r="AC184" s="2843">
        <f t="shared" si="1027"/>
        <v>217.11500000000001</v>
      </c>
      <c r="AD184" s="2843">
        <f t="shared" si="1027"/>
        <v>216.78900000000002</v>
      </c>
      <c r="AE184" s="2843">
        <f t="shared" si="1027"/>
        <v>0.32600000000000001</v>
      </c>
      <c r="AF184" s="2846">
        <f t="shared" si="1027"/>
        <v>429.96390000000002</v>
      </c>
      <c r="AG184" s="2846">
        <f t="shared" si="1027"/>
        <v>429.07900000000001</v>
      </c>
      <c r="AH184" s="2846">
        <f t="shared" ref="AH184:BM184" si="1028">SUM(AH17)</f>
        <v>0.88490000000000002</v>
      </c>
      <c r="AI184" s="2847">
        <f t="shared" si="1028"/>
        <v>423.88099999999997</v>
      </c>
      <c r="AJ184" s="2847">
        <f t="shared" si="1028"/>
        <v>423.46699999999998</v>
      </c>
      <c r="AK184" s="2847">
        <f t="shared" si="1028"/>
        <v>0.41400000000000003</v>
      </c>
      <c r="AL184" s="2847">
        <f t="shared" si="1028"/>
        <v>-6.0829000000000235</v>
      </c>
      <c r="AM184" s="2847">
        <f t="shared" si="1028"/>
        <v>-5.6120000000000232</v>
      </c>
      <c r="AN184" s="2847">
        <f t="shared" si="1028"/>
        <v>-0.47089999999999999</v>
      </c>
      <c r="AO184" s="2845">
        <f t="shared" si="1028"/>
        <v>214.98195000000001</v>
      </c>
      <c r="AP184" s="2845">
        <f t="shared" si="1028"/>
        <v>214.5395</v>
      </c>
      <c r="AQ184" s="2845">
        <f t="shared" si="1028"/>
        <v>0.44245000000000001</v>
      </c>
      <c r="AR184" s="2843">
        <f t="shared" si="1028"/>
        <v>61.969000000000001</v>
      </c>
      <c r="AS184" s="2843">
        <f t="shared" si="1028"/>
        <v>61.884999999999998</v>
      </c>
      <c r="AT184" s="2843">
        <f t="shared" si="1028"/>
        <v>8.4000000000000005E-2</v>
      </c>
      <c r="AU184" s="2843">
        <f t="shared" si="1028"/>
        <v>66.372</v>
      </c>
      <c r="AV184" s="2843">
        <f t="shared" si="1028"/>
        <v>66.296999999999997</v>
      </c>
      <c r="AW184" s="2843">
        <f t="shared" si="1028"/>
        <v>7.4999999999999997E-2</v>
      </c>
      <c r="AX184" s="2843">
        <f t="shared" si="1028"/>
        <v>76.216000000000008</v>
      </c>
      <c r="AY184" s="2843">
        <f t="shared" si="1028"/>
        <v>76.191000000000003</v>
      </c>
      <c r="AZ184" s="2843">
        <f t="shared" si="1028"/>
        <v>2.5000000000000001E-2</v>
      </c>
      <c r="BA184" s="2843">
        <f t="shared" si="1028"/>
        <v>204.55699999999999</v>
      </c>
      <c r="BB184" s="2843">
        <f t="shared" si="1028"/>
        <v>204.37299999999999</v>
      </c>
      <c r="BC184" s="2843">
        <f t="shared" si="1028"/>
        <v>0.184</v>
      </c>
      <c r="BD184" s="2846">
        <f t="shared" si="1028"/>
        <v>644.94585000000006</v>
      </c>
      <c r="BE184" s="2846">
        <f t="shared" si="1028"/>
        <v>643.61850000000004</v>
      </c>
      <c r="BF184" s="2846">
        <f t="shared" si="1028"/>
        <v>1.32735</v>
      </c>
      <c r="BG184" s="2847">
        <f t="shared" si="1028"/>
        <v>628.43799999999987</v>
      </c>
      <c r="BH184" s="2847">
        <f t="shared" si="1028"/>
        <v>627.83999999999992</v>
      </c>
      <c r="BI184" s="2847">
        <f t="shared" si="1028"/>
        <v>0.59800000000000009</v>
      </c>
      <c r="BJ184" s="2847">
        <f t="shared" si="1028"/>
        <v>-16.507850000000122</v>
      </c>
      <c r="BK184" s="2847">
        <f t="shared" si="1028"/>
        <v>-15.778500000000122</v>
      </c>
      <c r="BL184" s="2847">
        <f t="shared" si="1028"/>
        <v>-0.72934999999999994</v>
      </c>
      <c r="BM184" s="2845">
        <f t="shared" si="1028"/>
        <v>214.98195000000001</v>
      </c>
      <c r="BN184" s="2845">
        <f t="shared" ref="BN184:CJ184" si="1029">SUM(BN17)</f>
        <v>214.5395</v>
      </c>
      <c r="BO184" s="2845">
        <f t="shared" si="1029"/>
        <v>0.44245000000000001</v>
      </c>
      <c r="BP184" s="2843">
        <f t="shared" si="1029"/>
        <v>73.271000000000001</v>
      </c>
      <c r="BQ184" s="2843">
        <f t="shared" si="1029"/>
        <v>73.244</v>
      </c>
      <c r="BR184" s="2843">
        <f t="shared" si="1029"/>
        <v>2.7E-2</v>
      </c>
      <c r="BS184" s="2843">
        <f t="shared" si="1029"/>
        <v>63.855999999999995</v>
      </c>
      <c r="BT184" s="2843">
        <f t="shared" si="1029"/>
        <v>63.784999999999997</v>
      </c>
      <c r="BU184" s="2843">
        <f t="shared" si="1029"/>
        <v>7.0999999999999994E-2</v>
      </c>
      <c r="BV184" s="2843">
        <f t="shared" si="1029"/>
        <v>76.539999999999992</v>
      </c>
      <c r="BW184" s="2843">
        <f t="shared" si="1029"/>
        <v>76.453999999999994</v>
      </c>
      <c r="BX184" s="2843">
        <f t="shared" si="1029"/>
        <v>8.5999999999999993E-2</v>
      </c>
      <c r="BY184" s="2843">
        <f t="shared" si="1029"/>
        <v>213.667</v>
      </c>
      <c r="BZ184" s="2843">
        <f t="shared" si="1029"/>
        <v>213.483</v>
      </c>
      <c r="CA184" s="2843">
        <f t="shared" si="1029"/>
        <v>0.184</v>
      </c>
      <c r="CB184" s="2846">
        <f t="shared" si="1029"/>
        <v>859.92780000000005</v>
      </c>
      <c r="CC184" s="2846">
        <f t="shared" si="1029"/>
        <v>858.15800000000002</v>
      </c>
      <c r="CD184" s="2846">
        <f t="shared" si="1029"/>
        <v>1.7698</v>
      </c>
      <c r="CE184" s="2847">
        <f t="shared" si="1029"/>
        <v>842.1049999999999</v>
      </c>
      <c r="CF184" s="2847">
        <f t="shared" si="1029"/>
        <v>841.32299999999987</v>
      </c>
      <c r="CG184" s="2847">
        <f t="shared" si="1029"/>
        <v>0.78200000000000003</v>
      </c>
      <c r="CH184" s="2847">
        <f t="shared" si="1029"/>
        <v>-17.82280000000015</v>
      </c>
      <c r="CI184" s="2847">
        <f t="shared" si="1029"/>
        <v>-16.83500000000015</v>
      </c>
      <c r="CJ184" s="2847">
        <f t="shared" si="1029"/>
        <v>-0.98780000000000001</v>
      </c>
      <c r="CK184" s="2822"/>
      <c r="CL184" s="2822"/>
      <c r="CM184" s="2822"/>
      <c r="CN184" s="2822"/>
    </row>
    <row r="185" spans="1:92" ht="18.75" x14ac:dyDescent="0.2">
      <c r="A185" s="2882" t="s">
        <v>3679</v>
      </c>
      <c r="B185" s="2853">
        <f t="shared" ref="B185:BM185" si="1030">SUM(B18)</f>
        <v>72.080999999999989</v>
      </c>
      <c r="C185" s="2853">
        <f t="shared" si="1030"/>
        <v>72.080999999999989</v>
      </c>
      <c r="D185" s="2853">
        <f t="shared" si="1030"/>
        <v>0</v>
      </c>
      <c r="E185" s="2854">
        <f t="shared" si="1030"/>
        <v>15.18</v>
      </c>
      <c r="F185" s="2854">
        <f t="shared" si="1030"/>
        <v>15.18</v>
      </c>
      <c r="G185" s="2854">
        <f t="shared" si="1030"/>
        <v>0</v>
      </c>
      <c r="H185" s="2854">
        <f t="shared" si="1030"/>
        <v>31.128</v>
      </c>
      <c r="I185" s="2854">
        <f t="shared" si="1030"/>
        <v>31.128</v>
      </c>
      <c r="J185" s="2854">
        <f t="shared" si="1030"/>
        <v>0</v>
      </c>
      <c r="K185" s="2854">
        <f t="shared" si="1030"/>
        <v>22.718</v>
      </c>
      <c r="L185" s="2854">
        <f t="shared" si="1030"/>
        <v>22.718</v>
      </c>
      <c r="M185" s="2854">
        <f t="shared" si="1030"/>
        <v>0</v>
      </c>
      <c r="N185" s="2854">
        <f t="shared" si="1030"/>
        <v>69.025999999999996</v>
      </c>
      <c r="O185" s="2854">
        <f t="shared" si="1030"/>
        <v>69.025999999999996</v>
      </c>
      <c r="P185" s="2854">
        <f t="shared" si="1030"/>
        <v>0</v>
      </c>
      <c r="Q185" s="2853">
        <f t="shared" si="1030"/>
        <v>72.080999999999989</v>
      </c>
      <c r="R185" s="2853">
        <f t="shared" si="1030"/>
        <v>72.080999999999989</v>
      </c>
      <c r="S185" s="2853">
        <f t="shared" si="1030"/>
        <v>0</v>
      </c>
      <c r="T185" s="2854">
        <f t="shared" si="1030"/>
        <v>26.269000000000002</v>
      </c>
      <c r="U185" s="2854">
        <f t="shared" si="1030"/>
        <v>26.269000000000002</v>
      </c>
      <c r="V185" s="2854">
        <f t="shared" si="1030"/>
        <v>0</v>
      </c>
      <c r="W185" s="2854">
        <f t="shared" si="1030"/>
        <v>23.625</v>
      </c>
      <c r="X185" s="2854">
        <f t="shared" si="1030"/>
        <v>23.625</v>
      </c>
      <c r="Y185" s="2854">
        <f t="shared" si="1030"/>
        <v>0</v>
      </c>
      <c r="Z185" s="2854">
        <f t="shared" si="1030"/>
        <v>25.256</v>
      </c>
      <c r="AA185" s="2854">
        <f t="shared" si="1030"/>
        <v>25.256</v>
      </c>
      <c r="AB185" s="2854">
        <f t="shared" si="1030"/>
        <v>0</v>
      </c>
      <c r="AC185" s="2854">
        <f t="shared" si="1030"/>
        <v>75.150000000000006</v>
      </c>
      <c r="AD185" s="2854">
        <f t="shared" si="1030"/>
        <v>75.150000000000006</v>
      </c>
      <c r="AE185" s="2854">
        <f t="shared" si="1030"/>
        <v>0</v>
      </c>
      <c r="AF185" s="2856">
        <f t="shared" si="1030"/>
        <v>144.16199999999998</v>
      </c>
      <c r="AG185" s="2856">
        <f t="shared" si="1030"/>
        <v>144.16199999999998</v>
      </c>
      <c r="AH185" s="2856">
        <f t="shared" si="1030"/>
        <v>0</v>
      </c>
      <c r="AI185" s="2851">
        <f t="shared" si="1030"/>
        <v>144.17599999999999</v>
      </c>
      <c r="AJ185" s="2851">
        <f t="shared" si="1030"/>
        <v>144.17599999999999</v>
      </c>
      <c r="AK185" s="2851">
        <f t="shared" si="1030"/>
        <v>0</v>
      </c>
      <c r="AL185" s="2851">
        <f t="shared" si="1030"/>
        <v>1.4000000000010004E-2</v>
      </c>
      <c r="AM185" s="2851">
        <f t="shared" si="1030"/>
        <v>1.4000000000010004E-2</v>
      </c>
      <c r="AN185" s="2851">
        <f t="shared" si="1030"/>
        <v>0</v>
      </c>
      <c r="AO185" s="2853">
        <f t="shared" si="1030"/>
        <v>72.080999999999989</v>
      </c>
      <c r="AP185" s="2853">
        <f t="shared" si="1030"/>
        <v>72.080999999999989</v>
      </c>
      <c r="AQ185" s="2853">
        <f t="shared" si="1030"/>
        <v>0</v>
      </c>
      <c r="AR185" s="2854">
        <f t="shared" si="1030"/>
        <v>17.791</v>
      </c>
      <c r="AS185" s="2854">
        <f t="shared" si="1030"/>
        <v>17.791</v>
      </c>
      <c r="AT185" s="2854">
        <f t="shared" si="1030"/>
        <v>0</v>
      </c>
      <c r="AU185" s="2854">
        <f t="shared" si="1030"/>
        <v>23.838000000000001</v>
      </c>
      <c r="AV185" s="2854">
        <f t="shared" si="1030"/>
        <v>23.838000000000001</v>
      </c>
      <c r="AW185" s="2854">
        <f t="shared" si="1030"/>
        <v>0</v>
      </c>
      <c r="AX185" s="2854">
        <f t="shared" si="1030"/>
        <v>23.367999999999999</v>
      </c>
      <c r="AY185" s="2854">
        <f t="shared" si="1030"/>
        <v>23.367999999999999</v>
      </c>
      <c r="AZ185" s="2854">
        <f t="shared" si="1030"/>
        <v>0</v>
      </c>
      <c r="BA185" s="2854">
        <f t="shared" si="1030"/>
        <v>64.997</v>
      </c>
      <c r="BB185" s="2854">
        <f t="shared" si="1030"/>
        <v>64.997</v>
      </c>
      <c r="BC185" s="2854">
        <f t="shared" si="1030"/>
        <v>0</v>
      </c>
      <c r="BD185" s="2856">
        <f t="shared" si="1030"/>
        <v>216.24299999999997</v>
      </c>
      <c r="BE185" s="2856">
        <f t="shared" si="1030"/>
        <v>216.24299999999997</v>
      </c>
      <c r="BF185" s="2856">
        <f t="shared" si="1030"/>
        <v>0</v>
      </c>
      <c r="BG185" s="2851">
        <f t="shared" si="1030"/>
        <v>209.173</v>
      </c>
      <c r="BH185" s="2851">
        <f t="shared" si="1030"/>
        <v>209.173</v>
      </c>
      <c r="BI185" s="2851">
        <f t="shared" si="1030"/>
        <v>0</v>
      </c>
      <c r="BJ185" s="2851">
        <f t="shared" si="1030"/>
        <v>-7.0699999999999648</v>
      </c>
      <c r="BK185" s="2851">
        <f t="shared" si="1030"/>
        <v>-7.0699999999999648</v>
      </c>
      <c r="BL185" s="2851">
        <f t="shared" si="1030"/>
        <v>0</v>
      </c>
      <c r="BM185" s="2853">
        <f t="shared" si="1030"/>
        <v>72.080999999999989</v>
      </c>
      <c r="BN185" s="2853">
        <f t="shared" ref="BN185:CJ185" si="1031">SUM(BN18)</f>
        <v>72.080999999999989</v>
      </c>
      <c r="BO185" s="2853">
        <f t="shared" si="1031"/>
        <v>0</v>
      </c>
      <c r="BP185" s="2854">
        <f t="shared" si="1031"/>
        <v>27.381999999999998</v>
      </c>
      <c r="BQ185" s="2854">
        <f t="shared" si="1031"/>
        <v>27.381999999999998</v>
      </c>
      <c r="BR185" s="2854">
        <f t="shared" si="1031"/>
        <v>0</v>
      </c>
      <c r="BS185" s="2854">
        <f t="shared" si="1031"/>
        <v>21.622</v>
      </c>
      <c r="BT185" s="2854">
        <f t="shared" si="1031"/>
        <v>21.622</v>
      </c>
      <c r="BU185" s="2854">
        <f t="shared" si="1031"/>
        <v>0</v>
      </c>
      <c r="BV185" s="2854">
        <f t="shared" si="1031"/>
        <v>30.513000000000002</v>
      </c>
      <c r="BW185" s="2854">
        <f t="shared" si="1031"/>
        <v>30.513000000000002</v>
      </c>
      <c r="BX185" s="2854">
        <f t="shared" si="1031"/>
        <v>0</v>
      </c>
      <c r="BY185" s="2854">
        <f t="shared" si="1031"/>
        <v>79.516999999999996</v>
      </c>
      <c r="BZ185" s="2854">
        <f t="shared" si="1031"/>
        <v>79.516999999999996</v>
      </c>
      <c r="CA185" s="2854">
        <f t="shared" si="1031"/>
        <v>0</v>
      </c>
      <c r="CB185" s="2856">
        <f t="shared" si="1031"/>
        <v>288.32399999999996</v>
      </c>
      <c r="CC185" s="2856">
        <f t="shared" si="1031"/>
        <v>288.32399999999996</v>
      </c>
      <c r="CD185" s="2856">
        <f t="shared" si="1031"/>
        <v>0</v>
      </c>
      <c r="CE185" s="2851">
        <f t="shared" si="1031"/>
        <v>288.69</v>
      </c>
      <c r="CF185" s="2851">
        <f t="shared" si="1031"/>
        <v>288.69</v>
      </c>
      <c r="CG185" s="2851">
        <f t="shared" si="1031"/>
        <v>0</v>
      </c>
      <c r="CH185" s="2851">
        <f t="shared" si="1031"/>
        <v>0.36600000000004229</v>
      </c>
      <c r="CI185" s="2851">
        <f t="shared" si="1031"/>
        <v>0.36600000000004229</v>
      </c>
      <c r="CJ185" s="2851">
        <f t="shared" si="1031"/>
        <v>0</v>
      </c>
      <c r="CK185" s="2822"/>
      <c r="CL185" s="2822"/>
      <c r="CM185" s="2822"/>
      <c r="CN185" s="2822"/>
    </row>
    <row r="186" spans="1:92" ht="18.75" x14ac:dyDescent="0.2">
      <c r="A186" s="3057" t="s">
        <v>3681</v>
      </c>
      <c r="B186" s="2853">
        <f t="shared" ref="B186:BM186" si="1032">SUM(B19)</f>
        <v>27.606999999999999</v>
      </c>
      <c r="C186" s="2853">
        <f t="shared" si="1032"/>
        <v>27.606999999999999</v>
      </c>
      <c r="D186" s="2853">
        <f t="shared" si="1032"/>
        <v>0</v>
      </c>
      <c r="E186" s="2854">
        <f t="shared" si="1032"/>
        <v>1.8420000000000001</v>
      </c>
      <c r="F186" s="2854">
        <f t="shared" si="1032"/>
        <v>1.8420000000000001</v>
      </c>
      <c r="G186" s="2854">
        <f t="shared" si="1032"/>
        <v>0</v>
      </c>
      <c r="H186" s="2854">
        <f t="shared" si="1032"/>
        <v>15.492000000000001</v>
      </c>
      <c r="I186" s="2854">
        <f t="shared" si="1032"/>
        <v>15.492000000000001</v>
      </c>
      <c r="J186" s="2854">
        <f t="shared" si="1032"/>
        <v>0</v>
      </c>
      <c r="K186" s="2854">
        <f t="shared" si="1032"/>
        <v>8.593</v>
      </c>
      <c r="L186" s="2854">
        <f t="shared" si="1032"/>
        <v>8.593</v>
      </c>
      <c r="M186" s="2854">
        <f t="shared" si="1032"/>
        <v>0</v>
      </c>
      <c r="N186" s="2854">
        <f t="shared" si="1032"/>
        <v>25.927</v>
      </c>
      <c r="O186" s="2854">
        <f t="shared" si="1032"/>
        <v>25.927</v>
      </c>
      <c r="P186" s="2854">
        <f t="shared" si="1032"/>
        <v>0</v>
      </c>
      <c r="Q186" s="2853">
        <f t="shared" si="1032"/>
        <v>27.606999999999999</v>
      </c>
      <c r="R186" s="2853">
        <f t="shared" si="1032"/>
        <v>27.606999999999999</v>
      </c>
      <c r="S186" s="2853">
        <f t="shared" si="1032"/>
        <v>0</v>
      </c>
      <c r="T186" s="2854">
        <f t="shared" si="1032"/>
        <v>9.5</v>
      </c>
      <c r="U186" s="2854">
        <f t="shared" si="1032"/>
        <v>9.5</v>
      </c>
      <c r="V186" s="2854">
        <f t="shared" si="1032"/>
        <v>0</v>
      </c>
      <c r="W186" s="2854">
        <f t="shared" si="1032"/>
        <v>7.9059999999999997</v>
      </c>
      <c r="X186" s="2854">
        <f t="shared" si="1032"/>
        <v>7.9059999999999997</v>
      </c>
      <c r="Y186" s="2854">
        <f t="shared" si="1032"/>
        <v>0</v>
      </c>
      <c r="Z186" s="2854">
        <f t="shared" si="1032"/>
        <v>7.88</v>
      </c>
      <c r="AA186" s="2854">
        <f t="shared" si="1032"/>
        <v>7.88</v>
      </c>
      <c r="AB186" s="2854">
        <f t="shared" si="1032"/>
        <v>0</v>
      </c>
      <c r="AC186" s="2854">
        <f t="shared" si="1032"/>
        <v>25.285999999999998</v>
      </c>
      <c r="AD186" s="2854">
        <f t="shared" si="1032"/>
        <v>25.285999999999998</v>
      </c>
      <c r="AE186" s="2854">
        <f t="shared" si="1032"/>
        <v>0</v>
      </c>
      <c r="AF186" s="2856">
        <f t="shared" si="1032"/>
        <v>55.213999999999999</v>
      </c>
      <c r="AG186" s="2856">
        <f t="shared" si="1032"/>
        <v>55.213999999999999</v>
      </c>
      <c r="AH186" s="2856">
        <f t="shared" si="1032"/>
        <v>0</v>
      </c>
      <c r="AI186" s="2851">
        <f t="shared" si="1032"/>
        <v>51.212999999999994</v>
      </c>
      <c r="AJ186" s="2851">
        <f t="shared" si="1032"/>
        <v>51.212999999999994</v>
      </c>
      <c r="AK186" s="2851">
        <f t="shared" si="1032"/>
        <v>0</v>
      </c>
      <c r="AL186" s="2851">
        <f t="shared" si="1032"/>
        <v>-4.0010000000000048</v>
      </c>
      <c r="AM186" s="2851">
        <f t="shared" si="1032"/>
        <v>-4.0010000000000048</v>
      </c>
      <c r="AN186" s="2851">
        <f t="shared" si="1032"/>
        <v>0</v>
      </c>
      <c r="AO186" s="2853">
        <f t="shared" si="1032"/>
        <v>27.606999999999999</v>
      </c>
      <c r="AP186" s="2853">
        <f t="shared" si="1032"/>
        <v>27.606999999999999</v>
      </c>
      <c r="AQ186" s="2853">
        <f t="shared" si="1032"/>
        <v>0</v>
      </c>
      <c r="AR186" s="2854">
        <f t="shared" si="1032"/>
        <v>7.2140000000000004</v>
      </c>
      <c r="AS186" s="2854">
        <f t="shared" si="1032"/>
        <v>7.2140000000000004</v>
      </c>
      <c r="AT186" s="2854">
        <f t="shared" si="1032"/>
        <v>0</v>
      </c>
      <c r="AU186" s="2854">
        <f t="shared" si="1032"/>
        <v>6.7480000000000002</v>
      </c>
      <c r="AV186" s="2854">
        <f t="shared" si="1032"/>
        <v>6.7480000000000002</v>
      </c>
      <c r="AW186" s="2854">
        <f t="shared" si="1032"/>
        <v>0</v>
      </c>
      <c r="AX186" s="2854">
        <f t="shared" si="1032"/>
        <v>8.2460000000000004</v>
      </c>
      <c r="AY186" s="2854">
        <f t="shared" si="1032"/>
        <v>8.2460000000000004</v>
      </c>
      <c r="AZ186" s="2854">
        <f t="shared" si="1032"/>
        <v>0</v>
      </c>
      <c r="BA186" s="2854">
        <f t="shared" si="1032"/>
        <v>22.207999999999998</v>
      </c>
      <c r="BB186" s="2854">
        <f t="shared" si="1032"/>
        <v>22.207999999999998</v>
      </c>
      <c r="BC186" s="2854">
        <f t="shared" si="1032"/>
        <v>0</v>
      </c>
      <c r="BD186" s="2856">
        <f t="shared" si="1032"/>
        <v>82.820999999999998</v>
      </c>
      <c r="BE186" s="2856">
        <f t="shared" si="1032"/>
        <v>82.820999999999998</v>
      </c>
      <c r="BF186" s="2856">
        <f t="shared" si="1032"/>
        <v>0</v>
      </c>
      <c r="BG186" s="2851">
        <f t="shared" si="1032"/>
        <v>73.420999999999992</v>
      </c>
      <c r="BH186" s="2851">
        <f t="shared" si="1032"/>
        <v>73.420999999999992</v>
      </c>
      <c r="BI186" s="2851">
        <f t="shared" si="1032"/>
        <v>0</v>
      </c>
      <c r="BJ186" s="2851">
        <f t="shared" si="1032"/>
        <v>-9.4000000000000057</v>
      </c>
      <c r="BK186" s="2851">
        <f t="shared" si="1032"/>
        <v>-9.4000000000000057</v>
      </c>
      <c r="BL186" s="2851">
        <f t="shared" si="1032"/>
        <v>0</v>
      </c>
      <c r="BM186" s="2853">
        <f t="shared" si="1032"/>
        <v>27.606999999999999</v>
      </c>
      <c r="BN186" s="2853">
        <f t="shared" ref="BN186:CJ186" si="1033">SUM(BN19)</f>
        <v>27.606999999999999</v>
      </c>
      <c r="BO186" s="2853">
        <f t="shared" si="1033"/>
        <v>0</v>
      </c>
      <c r="BP186" s="2854">
        <f t="shared" si="1033"/>
        <v>9.5169999999999995</v>
      </c>
      <c r="BQ186" s="2854">
        <f t="shared" si="1033"/>
        <v>9.5169999999999995</v>
      </c>
      <c r="BR186" s="2854">
        <f t="shared" si="1033"/>
        <v>0</v>
      </c>
      <c r="BS186" s="2854">
        <f t="shared" si="1033"/>
        <v>9.6020000000000003</v>
      </c>
      <c r="BT186" s="2854">
        <f t="shared" si="1033"/>
        <v>9.6020000000000003</v>
      </c>
      <c r="BU186" s="2854">
        <f t="shared" si="1033"/>
        <v>0</v>
      </c>
      <c r="BV186" s="2854">
        <f t="shared" si="1033"/>
        <v>12.736000000000001</v>
      </c>
      <c r="BW186" s="2854">
        <f t="shared" si="1033"/>
        <v>12.736000000000001</v>
      </c>
      <c r="BX186" s="2854">
        <f t="shared" si="1033"/>
        <v>0</v>
      </c>
      <c r="BY186" s="2854">
        <f t="shared" si="1033"/>
        <v>31.855</v>
      </c>
      <c r="BZ186" s="2854">
        <f t="shared" si="1033"/>
        <v>31.855</v>
      </c>
      <c r="CA186" s="2854">
        <f t="shared" si="1033"/>
        <v>0</v>
      </c>
      <c r="CB186" s="2856">
        <f t="shared" si="1033"/>
        <v>110.428</v>
      </c>
      <c r="CC186" s="2856">
        <f t="shared" si="1033"/>
        <v>110.428</v>
      </c>
      <c r="CD186" s="2856">
        <f t="shared" si="1033"/>
        <v>0</v>
      </c>
      <c r="CE186" s="2851">
        <f t="shared" si="1033"/>
        <v>105.276</v>
      </c>
      <c r="CF186" s="2851">
        <f t="shared" si="1033"/>
        <v>105.276</v>
      </c>
      <c r="CG186" s="2851">
        <f t="shared" si="1033"/>
        <v>0</v>
      </c>
      <c r="CH186" s="2851">
        <f t="shared" si="1033"/>
        <v>-5.152000000000001</v>
      </c>
      <c r="CI186" s="2851">
        <f t="shared" si="1033"/>
        <v>-5.152000000000001</v>
      </c>
      <c r="CJ186" s="2851">
        <f t="shared" si="1033"/>
        <v>0</v>
      </c>
      <c r="CK186" s="2822"/>
      <c r="CL186" s="2822"/>
      <c r="CM186" s="2822"/>
      <c r="CN186" s="2822"/>
    </row>
    <row r="187" spans="1:92" ht="18.75" x14ac:dyDescent="0.2">
      <c r="A187" s="3057" t="s">
        <v>3680</v>
      </c>
      <c r="B187" s="2853">
        <f t="shared" ref="B187:BM187" si="1034">SUM(B20)</f>
        <v>21.263999999999999</v>
      </c>
      <c r="C187" s="2853">
        <f t="shared" si="1034"/>
        <v>21.263999999999999</v>
      </c>
      <c r="D187" s="2853">
        <f t="shared" si="1034"/>
        <v>0</v>
      </c>
      <c r="E187" s="2854">
        <f t="shared" si="1034"/>
        <v>7.6959999999999997</v>
      </c>
      <c r="F187" s="2854">
        <f t="shared" si="1034"/>
        <v>7.6959999999999997</v>
      </c>
      <c r="G187" s="2854">
        <f t="shared" si="1034"/>
        <v>0</v>
      </c>
      <c r="H187" s="2854">
        <f t="shared" si="1034"/>
        <v>8.0289999999999999</v>
      </c>
      <c r="I187" s="2854">
        <f t="shared" si="1034"/>
        <v>8.0289999999999999</v>
      </c>
      <c r="J187" s="2854">
        <f t="shared" si="1034"/>
        <v>0</v>
      </c>
      <c r="K187" s="2854">
        <f t="shared" si="1034"/>
        <v>7.4649999999999999</v>
      </c>
      <c r="L187" s="2854">
        <f t="shared" si="1034"/>
        <v>7.4649999999999999</v>
      </c>
      <c r="M187" s="2854">
        <f t="shared" si="1034"/>
        <v>0</v>
      </c>
      <c r="N187" s="2854">
        <f t="shared" si="1034"/>
        <v>23.189999999999998</v>
      </c>
      <c r="O187" s="2854">
        <f t="shared" si="1034"/>
        <v>23.189999999999998</v>
      </c>
      <c r="P187" s="2854">
        <f t="shared" si="1034"/>
        <v>0</v>
      </c>
      <c r="Q187" s="2853">
        <f t="shared" si="1034"/>
        <v>21.263999999999999</v>
      </c>
      <c r="R187" s="2853">
        <f t="shared" si="1034"/>
        <v>21.263999999999999</v>
      </c>
      <c r="S187" s="2853">
        <f t="shared" si="1034"/>
        <v>0</v>
      </c>
      <c r="T187" s="2854">
        <f t="shared" si="1034"/>
        <v>8.673</v>
      </c>
      <c r="U187" s="2854">
        <f t="shared" si="1034"/>
        <v>8.673</v>
      </c>
      <c r="V187" s="2854">
        <f t="shared" si="1034"/>
        <v>0</v>
      </c>
      <c r="W187" s="2854">
        <f t="shared" si="1034"/>
        <v>8.6310000000000002</v>
      </c>
      <c r="X187" s="2854">
        <f t="shared" si="1034"/>
        <v>8.6310000000000002</v>
      </c>
      <c r="Y187" s="2854">
        <f t="shared" si="1034"/>
        <v>0</v>
      </c>
      <c r="Z187" s="2854">
        <f t="shared" si="1034"/>
        <v>10.673999999999999</v>
      </c>
      <c r="AA187" s="2854">
        <f t="shared" si="1034"/>
        <v>10.673999999999999</v>
      </c>
      <c r="AB187" s="2854">
        <f t="shared" si="1034"/>
        <v>0</v>
      </c>
      <c r="AC187" s="2854">
        <f t="shared" si="1034"/>
        <v>27.978000000000002</v>
      </c>
      <c r="AD187" s="2854">
        <f t="shared" si="1034"/>
        <v>27.978000000000002</v>
      </c>
      <c r="AE187" s="2854">
        <f t="shared" si="1034"/>
        <v>0</v>
      </c>
      <c r="AF187" s="2856">
        <f t="shared" si="1034"/>
        <v>42.527999999999999</v>
      </c>
      <c r="AG187" s="2856">
        <f t="shared" si="1034"/>
        <v>42.527999999999999</v>
      </c>
      <c r="AH187" s="2856">
        <f t="shared" si="1034"/>
        <v>0</v>
      </c>
      <c r="AI187" s="2851">
        <f t="shared" si="1034"/>
        <v>51.167999999999999</v>
      </c>
      <c r="AJ187" s="2851">
        <f t="shared" si="1034"/>
        <v>51.167999999999999</v>
      </c>
      <c r="AK187" s="2851">
        <f t="shared" si="1034"/>
        <v>0</v>
      </c>
      <c r="AL187" s="2851">
        <f t="shared" si="1034"/>
        <v>8.64</v>
      </c>
      <c r="AM187" s="2851">
        <f t="shared" si="1034"/>
        <v>8.64</v>
      </c>
      <c r="AN187" s="2851">
        <f t="shared" si="1034"/>
        <v>0</v>
      </c>
      <c r="AO187" s="2853">
        <f t="shared" si="1034"/>
        <v>21.263999999999999</v>
      </c>
      <c r="AP187" s="2853">
        <f t="shared" si="1034"/>
        <v>21.263999999999999</v>
      </c>
      <c r="AQ187" s="2853">
        <f t="shared" si="1034"/>
        <v>0</v>
      </c>
      <c r="AR187" s="2854">
        <f t="shared" si="1034"/>
        <v>6.4980000000000002</v>
      </c>
      <c r="AS187" s="2854">
        <f t="shared" si="1034"/>
        <v>6.4980000000000002</v>
      </c>
      <c r="AT187" s="2854">
        <f t="shared" si="1034"/>
        <v>0</v>
      </c>
      <c r="AU187" s="2854">
        <f t="shared" si="1034"/>
        <v>13.285</v>
      </c>
      <c r="AV187" s="2854">
        <f t="shared" si="1034"/>
        <v>13.285</v>
      </c>
      <c r="AW187" s="2854">
        <f t="shared" si="1034"/>
        <v>0</v>
      </c>
      <c r="AX187" s="2854">
        <f t="shared" si="1034"/>
        <v>10.419</v>
      </c>
      <c r="AY187" s="2854">
        <f t="shared" si="1034"/>
        <v>10.419</v>
      </c>
      <c r="AZ187" s="2854">
        <f t="shared" si="1034"/>
        <v>0</v>
      </c>
      <c r="BA187" s="2854">
        <f t="shared" si="1034"/>
        <v>30.202000000000002</v>
      </c>
      <c r="BB187" s="2854">
        <f t="shared" si="1034"/>
        <v>30.202000000000002</v>
      </c>
      <c r="BC187" s="2854">
        <f t="shared" si="1034"/>
        <v>0</v>
      </c>
      <c r="BD187" s="2856">
        <f t="shared" si="1034"/>
        <v>63.792000000000002</v>
      </c>
      <c r="BE187" s="2856">
        <f t="shared" si="1034"/>
        <v>63.792000000000002</v>
      </c>
      <c r="BF187" s="2856">
        <f t="shared" si="1034"/>
        <v>0</v>
      </c>
      <c r="BG187" s="2851">
        <f t="shared" si="1034"/>
        <v>81.37</v>
      </c>
      <c r="BH187" s="2851">
        <f t="shared" si="1034"/>
        <v>81.37</v>
      </c>
      <c r="BI187" s="2851">
        <f t="shared" si="1034"/>
        <v>0</v>
      </c>
      <c r="BJ187" s="2851">
        <f t="shared" si="1034"/>
        <v>17.578000000000003</v>
      </c>
      <c r="BK187" s="2851">
        <f t="shared" si="1034"/>
        <v>17.578000000000003</v>
      </c>
      <c r="BL187" s="2851">
        <f t="shared" si="1034"/>
        <v>0</v>
      </c>
      <c r="BM187" s="2853">
        <f t="shared" si="1034"/>
        <v>21.263999999999999</v>
      </c>
      <c r="BN187" s="2853">
        <f t="shared" ref="BN187:CJ187" si="1035">SUM(BN20)</f>
        <v>21.263999999999999</v>
      </c>
      <c r="BO187" s="2853">
        <f t="shared" si="1035"/>
        <v>0</v>
      </c>
      <c r="BP187" s="2854">
        <f t="shared" si="1035"/>
        <v>10.544</v>
      </c>
      <c r="BQ187" s="2854">
        <f t="shared" si="1035"/>
        <v>10.544</v>
      </c>
      <c r="BR187" s="2854">
        <f t="shared" si="1035"/>
        <v>0</v>
      </c>
      <c r="BS187" s="2854">
        <f t="shared" si="1035"/>
        <v>4.0220000000000002</v>
      </c>
      <c r="BT187" s="2854">
        <f t="shared" si="1035"/>
        <v>4.0220000000000002</v>
      </c>
      <c r="BU187" s="2854">
        <f t="shared" si="1035"/>
        <v>0</v>
      </c>
      <c r="BV187" s="2854">
        <f t="shared" si="1035"/>
        <v>9.5069999999999997</v>
      </c>
      <c r="BW187" s="2854">
        <f t="shared" si="1035"/>
        <v>9.5069999999999997</v>
      </c>
      <c r="BX187" s="2854">
        <f t="shared" si="1035"/>
        <v>0</v>
      </c>
      <c r="BY187" s="2854">
        <f t="shared" si="1035"/>
        <v>24.073</v>
      </c>
      <c r="BZ187" s="2854">
        <f t="shared" si="1035"/>
        <v>24.073</v>
      </c>
      <c r="CA187" s="2854">
        <f t="shared" si="1035"/>
        <v>0</v>
      </c>
      <c r="CB187" s="2856">
        <f t="shared" si="1035"/>
        <v>85.055999999999997</v>
      </c>
      <c r="CC187" s="2856">
        <f t="shared" si="1035"/>
        <v>85.055999999999997</v>
      </c>
      <c r="CD187" s="2856">
        <f t="shared" si="1035"/>
        <v>0</v>
      </c>
      <c r="CE187" s="2851">
        <f t="shared" si="1035"/>
        <v>105.44300000000001</v>
      </c>
      <c r="CF187" s="2851">
        <f t="shared" si="1035"/>
        <v>105.44300000000001</v>
      </c>
      <c r="CG187" s="2851">
        <f t="shared" si="1035"/>
        <v>0</v>
      </c>
      <c r="CH187" s="2851">
        <f t="shared" si="1035"/>
        <v>20.387000000000015</v>
      </c>
      <c r="CI187" s="2851">
        <f t="shared" si="1035"/>
        <v>20.387000000000015</v>
      </c>
      <c r="CJ187" s="2851">
        <f t="shared" si="1035"/>
        <v>0</v>
      </c>
      <c r="CK187" s="2822"/>
      <c r="CL187" s="2822"/>
      <c r="CM187" s="2822"/>
      <c r="CN187" s="2822"/>
    </row>
    <row r="188" spans="1:92" ht="18.75" x14ac:dyDescent="0.2">
      <c r="A188" s="3057" t="s">
        <v>3682</v>
      </c>
      <c r="B188" s="2853">
        <f t="shared" ref="B188:BM188" si="1036">SUM(B21)</f>
        <v>23.21</v>
      </c>
      <c r="C188" s="2853">
        <f t="shared" si="1036"/>
        <v>23.21</v>
      </c>
      <c r="D188" s="2853">
        <f t="shared" si="1036"/>
        <v>0</v>
      </c>
      <c r="E188" s="2854">
        <f t="shared" si="1036"/>
        <v>5.6420000000000003</v>
      </c>
      <c r="F188" s="2854">
        <f t="shared" si="1036"/>
        <v>5.6420000000000003</v>
      </c>
      <c r="G188" s="2854">
        <f t="shared" si="1036"/>
        <v>0</v>
      </c>
      <c r="H188" s="2854">
        <f t="shared" si="1036"/>
        <v>7.6070000000000002</v>
      </c>
      <c r="I188" s="2854">
        <f t="shared" si="1036"/>
        <v>7.6070000000000002</v>
      </c>
      <c r="J188" s="2854">
        <f t="shared" si="1036"/>
        <v>0</v>
      </c>
      <c r="K188" s="2854">
        <f t="shared" si="1036"/>
        <v>6.66</v>
      </c>
      <c r="L188" s="2854">
        <f t="shared" si="1036"/>
        <v>6.66</v>
      </c>
      <c r="M188" s="2854">
        <f t="shared" si="1036"/>
        <v>0</v>
      </c>
      <c r="N188" s="2854">
        <f t="shared" si="1036"/>
        <v>19.908999999999999</v>
      </c>
      <c r="O188" s="2854">
        <f t="shared" si="1036"/>
        <v>19.908999999999999</v>
      </c>
      <c r="P188" s="2854">
        <f t="shared" si="1036"/>
        <v>0</v>
      </c>
      <c r="Q188" s="2853">
        <f t="shared" si="1036"/>
        <v>23.21</v>
      </c>
      <c r="R188" s="2853">
        <f t="shared" si="1036"/>
        <v>23.21</v>
      </c>
      <c r="S188" s="2853">
        <f t="shared" si="1036"/>
        <v>0</v>
      </c>
      <c r="T188" s="2854">
        <f t="shared" si="1036"/>
        <v>8.0960000000000001</v>
      </c>
      <c r="U188" s="2854">
        <f t="shared" si="1036"/>
        <v>8.0960000000000001</v>
      </c>
      <c r="V188" s="2854">
        <f t="shared" si="1036"/>
        <v>0</v>
      </c>
      <c r="W188" s="2854">
        <f t="shared" si="1036"/>
        <v>7.0880000000000001</v>
      </c>
      <c r="X188" s="2854">
        <f t="shared" si="1036"/>
        <v>7.0880000000000001</v>
      </c>
      <c r="Y188" s="2854">
        <f t="shared" si="1036"/>
        <v>0</v>
      </c>
      <c r="Z188" s="2854">
        <f t="shared" si="1036"/>
        <v>6.702</v>
      </c>
      <c r="AA188" s="2854">
        <f t="shared" si="1036"/>
        <v>6.702</v>
      </c>
      <c r="AB188" s="2854">
        <f t="shared" si="1036"/>
        <v>0</v>
      </c>
      <c r="AC188" s="2854">
        <f t="shared" si="1036"/>
        <v>21.886000000000003</v>
      </c>
      <c r="AD188" s="2854">
        <f t="shared" si="1036"/>
        <v>21.886000000000003</v>
      </c>
      <c r="AE188" s="2854">
        <f t="shared" si="1036"/>
        <v>0</v>
      </c>
      <c r="AF188" s="2856">
        <f t="shared" si="1036"/>
        <v>46.42</v>
      </c>
      <c r="AG188" s="2856">
        <f t="shared" si="1036"/>
        <v>46.42</v>
      </c>
      <c r="AH188" s="2856">
        <f t="shared" si="1036"/>
        <v>0</v>
      </c>
      <c r="AI188" s="2851">
        <f t="shared" si="1036"/>
        <v>41.795000000000002</v>
      </c>
      <c r="AJ188" s="2851">
        <f t="shared" si="1036"/>
        <v>41.795000000000002</v>
      </c>
      <c r="AK188" s="2851">
        <f t="shared" si="1036"/>
        <v>0</v>
      </c>
      <c r="AL188" s="2851">
        <f t="shared" si="1036"/>
        <v>-4.625</v>
      </c>
      <c r="AM188" s="2851">
        <f t="shared" si="1036"/>
        <v>-4.625</v>
      </c>
      <c r="AN188" s="2851">
        <f t="shared" si="1036"/>
        <v>0</v>
      </c>
      <c r="AO188" s="2853">
        <f t="shared" si="1036"/>
        <v>23.21</v>
      </c>
      <c r="AP188" s="2853">
        <f t="shared" si="1036"/>
        <v>23.21</v>
      </c>
      <c r="AQ188" s="2853">
        <f t="shared" si="1036"/>
        <v>0</v>
      </c>
      <c r="AR188" s="2854">
        <f t="shared" si="1036"/>
        <v>4.0789999999999997</v>
      </c>
      <c r="AS188" s="2854">
        <f t="shared" si="1036"/>
        <v>4.0789999999999997</v>
      </c>
      <c r="AT188" s="2854">
        <f t="shared" si="1036"/>
        <v>0</v>
      </c>
      <c r="AU188" s="2854">
        <f t="shared" si="1036"/>
        <v>3.8050000000000002</v>
      </c>
      <c r="AV188" s="2854">
        <f t="shared" si="1036"/>
        <v>3.8050000000000002</v>
      </c>
      <c r="AW188" s="2854">
        <f t="shared" si="1036"/>
        <v>0</v>
      </c>
      <c r="AX188" s="2854">
        <f t="shared" si="1036"/>
        <v>4.7030000000000003</v>
      </c>
      <c r="AY188" s="2854">
        <f t="shared" si="1036"/>
        <v>4.7030000000000003</v>
      </c>
      <c r="AZ188" s="2854">
        <f t="shared" si="1036"/>
        <v>0</v>
      </c>
      <c r="BA188" s="2854">
        <f t="shared" si="1036"/>
        <v>12.587</v>
      </c>
      <c r="BB188" s="2854">
        <f t="shared" si="1036"/>
        <v>12.587</v>
      </c>
      <c r="BC188" s="2854">
        <f t="shared" si="1036"/>
        <v>0</v>
      </c>
      <c r="BD188" s="2856">
        <f t="shared" si="1036"/>
        <v>69.63</v>
      </c>
      <c r="BE188" s="2856">
        <f t="shared" si="1036"/>
        <v>69.63</v>
      </c>
      <c r="BF188" s="2856">
        <f t="shared" si="1036"/>
        <v>0</v>
      </c>
      <c r="BG188" s="2851">
        <f t="shared" si="1036"/>
        <v>54.382000000000005</v>
      </c>
      <c r="BH188" s="2851">
        <f t="shared" si="1036"/>
        <v>54.382000000000005</v>
      </c>
      <c r="BI188" s="2851">
        <f t="shared" si="1036"/>
        <v>0</v>
      </c>
      <c r="BJ188" s="2851">
        <f t="shared" si="1036"/>
        <v>-15.24799999999999</v>
      </c>
      <c r="BK188" s="2851">
        <f t="shared" si="1036"/>
        <v>-15.24799999999999</v>
      </c>
      <c r="BL188" s="2851">
        <f t="shared" si="1036"/>
        <v>0</v>
      </c>
      <c r="BM188" s="2853">
        <f t="shared" si="1036"/>
        <v>23.21</v>
      </c>
      <c r="BN188" s="2853">
        <f t="shared" ref="BN188:CJ188" si="1037">SUM(BN21)</f>
        <v>23.21</v>
      </c>
      <c r="BO188" s="2853">
        <f t="shared" si="1037"/>
        <v>0</v>
      </c>
      <c r="BP188" s="2854">
        <f t="shared" si="1037"/>
        <v>7.3209999999999997</v>
      </c>
      <c r="BQ188" s="2854">
        <f t="shared" si="1037"/>
        <v>7.3209999999999997</v>
      </c>
      <c r="BR188" s="2854">
        <f t="shared" si="1037"/>
        <v>0</v>
      </c>
      <c r="BS188" s="2854">
        <f t="shared" si="1037"/>
        <v>7.9980000000000002</v>
      </c>
      <c r="BT188" s="2854">
        <f t="shared" si="1037"/>
        <v>7.9980000000000002</v>
      </c>
      <c r="BU188" s="2854">
        <f t="shared" si="1037"/>
        <v>0</v>
      </c>
      <c r="BV188" s="2854">
        <f t="shared" si="1037"/>
        <v>8.27</v>
      </c>
      <c r="BW188" s="2854">
        <f t="shared" si="1037"/>
        <v>8.27</v>
      </c>
      <c r="BX188" s="2854">
        <f t="shared" si="1037"/>
        <v>0</v>
      </c>
      <c r="BY188" s="2854">
        <f t="shared" si="1037"/>
        <v>23.588999999999999</v>
      </c>
      <c r="BZ188" s="2854">
        <f t="shared" si="1037"/>
        <v>23.588999999999999</v>
      </c>
      <c r="CA188" s="2854">
        <f t="shared" si="1037"/>
        <v>0</v>
      </c>
      <c r="CB188" s="2856">
        <f t="shared" si="1037"/>
        <v>92.84</v>
      </c>
      <c r="CC188" s="2856">
        <f t="shared" si="1037"/>
        <v>92.84</v>
      </c>
      <c r="CD188" s="2856">
        <f t="shared" si="1037"/>
        <v>0</v>
      </c>
      <c r="CE188" s="2851">
        <f t="shared" si="1037"/>
        <v>77.971000000000004</v>
      </c>
      <c r="CF188" s="2851">
        <f t="shared" si="1037"/>
        <v>77.971000000000004</v>
      </c>
      <c r="CG188" s="2851">
        <f t="shared" si="1037"/>
        <v>0</v>
      </c>
      <c r="CH188" s="2851">
        <f t="shared" si="1037"/>
        <v>-14.869</v>
      </c>
      <c r="CI188" s="2851">
        <f t="shared" si="1037"/>
        <v>-14.869</v>
      </c>
      <c r="CJ188" s="2851">
        <f t="shared" si="1037"/>
        <v>0</v>
      </c>
      <c r="CK188" s="2822"/>
      <c r="CL188" s="2822"/>
      <c r="CM188" s="2822"/>
      <c r="CN188" s="2822"/>
    </row>
    <row r="189" spans="1:92" ht="18.75" x14ac:dyDescent="0.2">
      <c r="A189" s="2842" t="s">
        <v>3728</v>
      </c>
      <c r="B189" s="2845">
        <f t="shared" ref="B189:BL189" si="1038">SUM(B22)</f>
        <v>68.123000000000005</v>
      </c>
      <c r="C189" s="2845">
        <f t="shared" si="1038"/>
        <v>68.123000000000005</v>
      </c>
      <c r="D189" s="2845">
        <f t="shared" si="1038"/>
        <v>0</v>
      </c>
      <c r="E189" s="2843">
        <f t="shared" si="1038"/>
        <v>23.672999999999998</v>
      </c>
      <c r="F189" s="2843">
        <f t="shared" si="1038"/>
        <v>23.672999999999998</v>
      </c>
      <c r="G189" s="2843">
        <f t="shared" si="1038"/>
        <v>0</v>
      </c>
      <c r="H189" s="2843">
        <f t="shared" si="1038"/>
        <v>25.335999999999999</v>
      </c>
      <c r="I189" s="2843">
        <f t="shared" si="1038"/>
        <v>25.335999999999999</v>
      </c>
      <c r="J189" s="2843">
        <f t="shared" si="1038"/>
        <v>0</v>
      </c>
      <c r="K189" s="2843">
        <f t="shared" si="1038"/>
        <v>29.074999999999999</v>
      </c>
      <c r="L189" s="2843">
        <f t="shared" si="1038"/>
        <v>29.074999999999999</v>
      </c>
      <c r="M189" s="2843">
        <f t="shared" si="1038"/>
        <v>0</v>
      </c>
      <c r="N189" s="2843">
        <f t="shared" si="1038"/>
        <v>78.084000000000003</v>
      </c>
      <c r="O189" s="2843">
        <f t="shared" si="1038"/>
        <v>78.084000000000003</v>
      </c>
      <c r="P189" s="2843">
        <f t="shared" si="1038"/>
        <v>0</v>
      </c>
      <c r="Q189" s="2845">
        <f t="shared" si="1038"/>
        <v>68.123000000000005</v>
      </c>
      <c r="R189" s="2845">
        <f t="shared" si="1038"/>
        <v>68.123000000000005</v>
      </c>
      <c r="S189" s="2845">
        <f t="shared" si="1038"/>
        <v>0</v>
      </c>
      <c r="T189" s="2843">
        <f t="shared" si="1038"/>
        <v>24.038</v>
      </c>
      <c r="U189" s="2843">
        <f t="shared" si="1038"/>
        <v>24.038</v>
      </c>
      <c r="V189" s="2843">
        <f t="shared" si="1038"/>
        <v>0</v>
      </c>
      <c r="W189" s="2843">
        <f t="shared" si="1038"/>
        <v>21.379000000000001</v>
      </c>
      <c r="X189" s="2843">
        <f t="shared" si="1038"/>
        <v>21.379000000000001</v>
      </c>
      <c r="Y189" s="2843">
        <f t="shared" si="1038"/>
        <v>0</v>
      </c>
      <c r="Z189" s="2843">
        <f t="shared" si="1038"/>
        <v>20.396999999999998</v>
      </c>
      <c r="AA189" s="2843">
        <f t="shared" si="1038"/>
        <v>20.396999999999998</v>
      </c>
      <c r="AB189" s="2843">
        <f t="shared" si="1038"/>
        <v>0</v>
      </c>
      <c r="AC189" s="2843">
        <f t="shared" si="1038"/>
        <v>65.813999999999993</v>
      </c>
      <c r="AD189" s="2843">
        <f t="shared" si="1038"/>
        <v>65.813999999999993</v>
      </c>
      <c r="AE189" s="2843">
        <f t="shared" si="1038"/>
        <v>0</v>
      </c>
      <c r="AF189" s="2846">
        <f t="shared" si="1038"/>
        <v>136.24600000000001</v>
      </c>
      <c r="AG189" s="2846">
        <f t="shared" si="1038"/>
        <v>136.24600000000001</v>
      </c>
      <c r="AH189" s="2846">
        <f t="shared" si="1038"/>
        <v>0</v>
      </c>
      <c r="AI189" s="2847">
        <f t="shared" si="1038"/>
        <v>143.898</v>
      </c>
      <c r="AJ189" s="2847">
        <f t="shared" si="1038"/>
        <v>143.898</v>
      </c>
      <c r="AK189" s="2847">
        <f t="shared" si="1038"/>
        <v>0</v>
      </c>
      <c r="AL189" s="2847">
        <f t="shared" si="1038"/>
        <v>7.6519999999999975</v>
      </c>
      <c r="AM189" s="2847">
        <f t="shared" si="1038"/>
        <v>7.6519999999999975</v>
      </c>
      <c r="AN189" s="2847">
        <f t="shared" si="1038"/>
        <v>0</v>
      </c>
      <c r="AO189" s="2845">
        <f t="shared" si="1038"/>
        <v>68.123000000000005</v>
      </c>
      <c r="AP189" s="2845">
        <f t="shared" si="1038"/>
        <v>68.123000000000005</v>
      </c>
      <c r="AQ189" s="2845">
        <f t="shared" si="1038"/>
        <v>0</v>
      </c>
      <c r="AR189" s="2843">
        <f t="shared" si="1038"/>
        <v>16.035</v>
      </c>
      <c r="AS189" s="2843">
        <f t="shared" si="1038"/>
        <v>16.035</v>
      </c>
      <c r="AT189" s="2843">
        <f t="shared" si="1038"/>
        <v>0</v>
      </c>
      <c r="AU189" s="2843">
        <f t="shared" si="1038"/>
        <v>19.291</v>
      </c>
      <c r="AV189" s="2843">
        <f t="shared" si="1038"/>
        <v>19.291</v>
      </c>
      <c r="AW189" s="2843">
        <f t="shared" si="1038"/>
        <v>0</v>
      </c>
      <c r="AX189" s="2843">
        <f t="shared" si="1038"/>
        <v>25.297999999999998</v>
      </c>
      <c r="AY189" s="2843">
        <f t="shared" si="1038"/>
        <v>25.297999999999998</v>
      </c>
      <c r="AZ189" s="2843">
        <f t="shared" si="1038"/>
        <v>0</v>
      </c>
      <c r="BA189" s="2843">
        <f t="shared" si="1038"/>
        <v>60.623999999999995</v>
      </c>
      <c r="BB189" s="2843">
        <f t="shared" si="1038"/>
        <v>60.623999999999995</v>
      </c>
      <c r="BC189" s="2843">
        <f t="shared" si="1038"/>
        <v>0</v>
      </c>
      <c r="BD189" s="2846">
        <f t="shared" si="1038"/>
        <v>204.369</v>
      </c>
      <c r="BE189" s="2846">
        <f t="shared" si="1038"/>
        <v>204.369</v>
      </c>
      <c r="BF189" s="2846">
        <f t="shared" si="1038"/>
        <v>0</v>
      </c>
      <c r="BG189" s="2847">
        <f t="shared" si="1038"/>
        <v>204.52199999999999</v>
      </c>
      <c r="BH189" s="2847">
        <f t="shared" si="1038"/>
        <v>204.52199999999999</v>
      </c>
      <c r="BI189" s="2847">
        <f t="shared" si="1038"/>
        <v>0</v>
      </c>
      <c r="BJ189" s="2847">
        <f t="shared" si="1038"/>
        <v>0.15299999999999869</v>
      </c>
      <c r="BK189" s="2847">
        <f t="shared" si="1038"/>
        <v>0.15299999999999869</v>
      </c>
      <c r="BL189" s="2847">
        <f t="shared" si="1038"/>
        <v>0</v>
      </c>
      <c r="BM189" s="2845">
        <f t="shared" ref="BM189:CJ189" si="1039">SUM(BM22)</f>
        <v>68.123000000000005</v>
      </c>
      <c r="BN189" s="2845">
        <f t="shared" si="1039"/>
        <v>68.123000000000005</v>
      </c>
      <c r="BO189" s="2845">
        <f t="shared" si="1039"/>
        <v>0</v>
      </c>
      <c r="BP189" s="2843">
        <f t="shared" si="1039"/>
        <v>24.393000000000001</v>
      </c>
      <c r="BQ189" s="2843">
        <f t="shared" si="1039"/>
        <v>24.393000000000001</v>
      </c>
      <c r="BR189" s="2843">
        <f t="shared" si="1039"/>
        <v>0</v>
      </c>
      <c r="BS189" s="2843">
        <f t="shared" si="1039"/>
        <v>25.355</v>
      </c>
      <c r="BT189" s="2843">
        <f t="shared" si="1039"/>
        <v>25.355</v>
      </c>
      <c r="BU189" s="2843">
        <f t="shared" si="1039"/>
        <v>0</v>
      </c>
      <c r="BV189" s="2843">
        <f t="shared" si="1039"/>
        <v>23.556000000000001</v>
      </c>
      <c r="BW189" s="2843">
        <f t="shared" si="1039"/>
        <v>23.556000000000001</v>
      </c>
      <c r="BX189" s="2843">
        <f t="shared" si="1039"/>
        <v>0</v>
      </c>
      <c r="BY189" s="2843">
        <f t="shared" si="1039"/>
        <v>73.304000000000002</v>
      </c>
      <c r="BZ189" s="2843">
        <f t="shared" si="1039"/>
        <v>73.304000000000002</v>
      </c>
      <c r="CA189" s="2843">
        <f t="shared" si="1039"/>
        <v>0</v>
      </c>
      <c r="CB189" s="2846">
        <f t="shared" si="1039"/>
        <v>272.49200000000002</v>
      </c>
      <c r="CC189" s="2846">
        <f t="shared" si="1039"/>
        <v>272.49200000000002</v>
      </c>
      <c r="CD189" s="2846">
        <f t="shared" si="1039"/>
        <v>0</v>
      </c>
      <c r="CE189" s="2847">
        <f t="shared" si="1039"/>
        <v>277.82600000000002</v>
      </c>
      <c r="CF189" s="2847">
        <f t="shared" si="1039"/>
        <v>277.82600000000002</v>
      </c>
      <c r="CG189" s="2847">
        <f t="shared" si="1039"/>
        <v>0</v>
      </c>
      <c r="CH189" s="2847">
        <f t="shared" si="1039"/>
        <v>5.3340000000000245</v>
      </c>
      <c r="CI189" s="2847">
        <f t="shared" si="1039"/>
        <v>5.3340000000000245</v>
      </c>
      <c r="CJ189" s="2847">
        <f t="shared" si="1039"/>
        <v>0</v>
      </c>
      <c r="CK189" s="2822"/>
      <c r="CL189" s="2822"/>
      <c r="CM189" s="2822"/>
      <c r="CN189" s="2822"/>
    </row>
    <row r="190" spans="1:92" ht="18.75" x14ac:dyDescent="0.2">
      <c r="A190" s="2848" t="s">
        <v>639</v>
      </c>
      <c r="B190" s="2853">
        <f t="shared" ref="B190:AG190" si="1040">SUM(B23)</f>
        <v>59.28575</v>
      </c>
      <c r="C190" s="2853">
        <f t="shared" si="1040"/>
        <v>59.28575</v>
      </c>
      <c r="D190" s="2853">
        <f t="shared" si="1040"/>
        <v>0</v>
      </c>
      <c r="E190" s="2854">
        <f t="shared" si="1040"/>
        <v>23.672999999999998</v>
      </c>
      <c r="F190" s="2854">
        <f t="shared" si="1040"/>
        <v>23.672999999999998</v>
      </c>
      <c r="G190" s="2854">
        <f t="shared" si="1040"/>
        <v>0</v>
      </c>
      <c r="H190" s="2854">
        <f t="shared" si="1040"/>
        <v>25.335999999999999</v>
      </c>
      <c r="I190" s="2854">
        <f t="shared" si="1040"/>
        <v>25.335999999999999</v>
      </c>
      <c r="J190" s="2854">
        <f t="shared" si="1040"/>
        <v>0</v>
      </c>
      <c r="K190" s="2854">
        <f t="shared" si="1040"/>
        <v>29.074999999999999</v>
      </c>
      <c r="L190" s="2854">
        <f t="shared" si="1040"/>
        <v>29.074999999999999</v>
      </c>
      <c r="M190" s="2854">
        <f t="shared" si="1040"/>
        <v>0</v>
      </c>
      <c r="N190" s="2854">
        <f t="shared" si="1040"/>
        <v>78.084000000000003</v>
      </c>
      <c r="O190" s="2854">
        <f t="shared" si="1040"/>
        <v>78.084000000000003</v>
      </c>
      <c r="P190" s="2854">
        <f t="shared" si="1040"/>
        <v>0</v>
      </c>
      <c r="Q190" s="2853">
        <f t="shared" si="1040"/>
        <v>59.28575</v>
      </c>
      <c r="R190" s="2853">
        <f t="shared" si="1040"/>
        <v>59.28575</v>
      </c>
      <c r="S190" s="2853">
        <f t="shared" si="1040"/>
        <v>0</v>
      </c>
      <c r="T190" s="2854">
        <f t="shared" si="1040"/>
        <v>24.038</v>
      </c>
      <c r="U190" s="2854">
        <f t="shared" si="1040"/>
        <v>24.038</v>
      </c>
      <c r="V190" s="2854">
        <f t="shared" si="1040"/>
        <v>0</v>
      </c>
      <c r="W190" s="2854">
        <f t="shared" si="1040"/>
        <v>21.379000000000001</v>
      </c>
      <c r="X190" s="2854">
        <f t="shared" si="1040"/>
        <v>21.379000000000001</v>
      </c>
      <c r="Y190" s="2854">
        <f t="shared" si="1040"/>
        <v>0</v>
      </c>
      <c r="Z190" s="2854">
        <f t="shared" si="1040"/>
        <v>20.396999999999998</v>
      </c>
      <c r="AA190" s="2854">
        <f t="shared" si="1040"/>
        <v>20.396999999999998</v>
      </c>
      <c r="AB190" s="2854">
        <f t="shared" si="1040"/>
        <v>0</v>
      </c>
      <c r="AC190" s="2854">
        <f t="shared" si="1040"/>
        <v>65.813999999999993</v>
      </c>
      <c r="AD190" s="2854">
        <f t="shared" si="1040"/>
        <v>65.813999999999993</v>
      </c>
      <c r="AE190" s="2854">
        <f t="shared" si="1040"/>
        <v>0</v>
      </c>
      <c r="AF190" s="2856">
        <f t="shared" si="1040"/>
        <v>118.5715</v>
      </c>
      <c r="AG190" s="2856">
        <f t="shared" si="1040"/>
        <v>118.5715</v>
      </c>
      <c r="AH190" s="2856">
        <f t="shared" ref="AH190:BL190" si="1041">SUM(AH23)</f>
        <v>0</v>
      </c>
      <c r="AI190" s="2851">
        <f t="shared" si="1041"/>
        <v>143.898</v>
      </c>
      <c r="AJ190" s="2851">
        <f t="shared" si="1041"/>
        <v>143.898</v>
      </c>
      <c r="AK190" s="2851">
        <f t="shared" si="1041"/>
        <v>0</v>
      </c>
      <c r="AL190" s="2851">
        <f t="shared" si="1041"/>
        <v>25.326499999999996</v>
      </c>
      <c r="AM190" s="2851">
        <f t="shared" si="1041"/>
        <v>25.326499999999996</v>
      </c>
      <c r="AN190" s="2851">
        <f t="shared" si="1041"/>
        <v>0</v>
      </c>
      <c r="AO190" s="2853">
        <f t="shared" si="1041"/>
        <v>59.28575</v>
      </c>
      <c r="AP190" s="2853">
        <f t="shared" si="1041"/>
        <v>59.28575</v>
      </c>
      <c r="AQ190" s="2853">
        <f t="shared" si="1041"/>
        <v>0</v>
      </c>
      <c r="AR190" s="2854">
        <f t="shared" si="1041"/>
        <v>16.035</v>
      </c>
      <c r="AS190" s="2854">
        <f t="shared" si="1041"/>
        <v>16.035</v>
      </c>
      <c r="AT190" s="2854">
        <f t="shared" si="1041"/>
        <v>0</v>
      </c>
      <c r="AU190" s="2854">
        <f t="shared" si="1041"/>
        <v>19.291</v>
      </c>
      <c r="AV190" s="2854">
        <f t="shared" si="1041"/>
        <v>19.291</v>
      </c>
      <c r="AW190" s="2854">
        <f t="shared" si="1041"/>
        <v>0</v>
      </c>
      <c r="AX190" s="2854">
        <f t="shared" si="1041"/>
        <v>25.297999999999998</v>
      </c>
      <c r="AY190" s="2854">
        <f t="shared" si="1041"/>
        <v>25.297999999999998</v>
      </c>
      <c r="AZ190" s="2854">
        <f t="shared" si="1041"/>
        <v>0</v>
      </c>
      <c r="BA190" s="2854">
        <f t="shared" si="1041"/>
        <v>60.623999999999995</v>
      </c>
      <c r="BB190" s="2854">
        <f t="shared" si="1041"/>
        <v>60.623999999999995</v>
      </c>
      <c r="BC190" s="2854">
        <f t="shared" si="1041"/>
        <v>0</v>
      </c>
      <c r="BD190" s="2856">
        <f t="shared" si="1041"/>
        <v>177.85724999999999</v>
      </c>
      <c r="BE190" s="2856">
        <f t="shared" si="1041"/>
        <v>177.85724999999999</v>
      </c>
      <c r="BF190" s="2856">
        <f t="shared" si="1041"/>
        <v>0</v>
      </c>
      <c r="BG190" s="2851">
        <f t="shared" si="1041"/>
        <v>204.52199999999999</v>
      </c>
      <c r="BH190" s="2851">
        <f t="shared" si="1041"/>
        <v>204.52199999999999</v>
      </c>
      <c r="BI190" s="2851">
        <f t="shared" si="1041"/>
        <v>0</v>
      </c>
      <c r="BJ190" s="2851">
        <f t="shared" si="1041"/>
        <v>26.664749999999998</v>
      </c>
      <c r="BK190" s="2851">
        <f t="shared" si="1041"/>
        <v>26.664749999999998</v>
      </c>
      <c r="BL190" s="2851">
        <f t="shared" si="1041"/>
        <v>0</v>
      </c>
      <c r="BM190" s="2853">
        <f t="shared" ref="BM190:CJ190" si="1042">SUM(BM23)</f>
        <v>59.28575</v>
      </c>
      <c r="BN190" s="2853">
        <f t="shared" si="1042"/>
        <v>59.28575</v>
      </c>
      <c r="BO190" s="2853">
        <f t="shared" si="1042"/>
        <v>0</v>
      </c>
      <c r="BP190" s="2854">
        <f t="shared" si="1042"/>
        <v>24.393000000000001</v>
      </c>
      <c r="BQ190" s="2854">
        <f t="shared" si="1042"/>
        <v>24.393000000000001</v>
      </c>
      <c r="BR190" s="2854">
        <f t="shared" si="1042"/>
        <v>0</v>
      </c>
      <c r="BS190" s="2854">
        <f t="shared" si="1042"/>
        <v>25.355</v>
      </c>
      <c r="BT190" s="2854">
        <f t="shared" si="1042"/>
        <v>25.355</v>
      </c>
      <c r="BU190" s="2854">
        <f t="shared" si="1042"/>
        <v>0</v>
      </c>
      <c r="BV190" s="2854">
        <f t="shared" si="1042"/>
        <v>23.556000000000001</v>
      </c>
      <c r="BW190" s="2854">
        <f t="shared" si="1042"/>
        <v>23.556000000000001</v>
      </c>
      <c r="BX190" s="2854">
        <f t="shared" si="1042"/>
        <v>0</v>
      </c>
      <c r="BY190" s="2854">
        <f t="shared" si="1042"/>
        <v>73.304000000000002</v>
      </c>
      <c r="BZ190" s="2854">
        <f t="shared" si="1042"/>
        <v>73.304000000000002</v>
      </c>
      <c r="CA190" s="2854">
        <f t="shared" si="1042"/>
        <v>0</v>
      </c>
      <c r="CB190" s="2856">
        <f t="shared" si="1042"/>
        <v>237.143</v>
      </c>
      <c r="CC190" s="2856">
        <f t="shared" si="1042"/>
        <v>237.143</v>
      </c>
      <c r="CD190" s="2856">
        <f t="shared" si="1042"/>
        <v>0</v>
      </c>
      <c r="CE190" s="2851">
        <f t="shared" si="1042"/>
        <v>277.82600000000002</v>
      </c>
      <c r="CF190" s="2851">
        <f t="shared" si="1042"/>
        <v>277.82600000000002</v>
      </c>
      <c r="CG190" s="2851">
        <f t="shared" si="1042"/>
        <v>0</v>
      </c>
      <c r="CH190" s="2851">
        <f t="shared" si="1042"/>
        <v>40.683000000000021</v>
      </c>
      <c r="CI190" s="2851">
        <f t="shared" si="1042"/>
        <v>40.683000000000021</v>
      </c>
      <c r="CJ190" s="2851">
        <f t="shared" si="1042"/>
        <v>0</v>
      </c>
      <c r="CK190" s="2822"/>
      <c r="CL190" s="2822"/>
      <c r="CM190" s="2822"/>
      <c r="CN190" s="2822"/>
    </row>
    <row r="191" spans="1:92" ht="18.75" x14ac:dyDescent="0.2">
      <c r="A191" s="2848" t="s">
        <v>640</v>
      </c>
      <c r="B191" s="2853">
        <f t="shared" ref="B191:AG191" si="1043">SUM(B24)</f>
        <v>8.8372499999999992</v>
      </c>
      <c r="C191" s="2853">
        <f t="shared" si="1043"/>
        <v>8.8372499999999992</v>
      </c>
      <c r="D191" s="2853">
        <f t="shared" si="1043"/>
        <v>0</v>
      </c>
      <c r="E191" s="2854">
        <f t="shared" si="1043"/>
        <v>0</v>
      </c>
      <c r="F191" s="2854">
        <f t="shared" si="1043"/>
        <v>0</v>
      </c>
      <c r="G191" s="2854">
        <f t="shared" si="1043"/>
        <v>0</v>
      </c>
      <c r="H191" s="2854">
        <f t="shared" si="1043"/>
        <v>0</v>
      </c>
      <c r="I191" s="2854">
        <f t="shared" si="1043"/>
        <v>0</v>
      </c>
      <c r="J191" s="2854">
        <f t="shared" si="1043"/>
        <v>0</v>
      </c>
      <c r="K191" s="2854">
        <f t="shared" si="1043"/>
        <v>0</v>
      </c>
      <c r="L191" s="2854">
        <f t="shared" si="1043"/>
        <v>0</v>
      </c>
      <c r="M191" s="2854">
        <f t="shared" si="1043"/>
        <v>0</v>
      </c>
      <c r="N191" s="2854">
        <f t="shared" si="1043"/>
        <v>0</v>
      </c>
      <c r="O191" s="2854">
        <f t="shared" si="1043"/>
        <v>0</v>
      </c>
      <c r="P191" s="2854">
        <f t="shared" si="1043"/>
        <v>0</v>
      </c>
      <c r="Q191" s="2853">
        <f t="shared" si="1043"/>
        <v>8.8372499999999992</v>
      </c>
      <c r="R191" s="2853">
        <f t="shared" si="1043"/>
        <v>8.8372499999999992</v>
      </c>
      <c r="S191" s="2853">
        <f t="shared" si="1043"/>
        <v>0</v>
      </c>
      <c r="T191" s="2854">
        <f t="shared" si="1043"/>
        <v>0</v>
      </c>
      <c r="U191" s="2854">
        <f t="shared" si="1043"/>
        <v>0</v>
      </c>
      <c r="V191" s="2854">
        <f t="shared" si="1043"/>
        <v>0</v>
      </c>
      <c r="W191" s="2854">
        <f t="shared" si="1043"/>
        <v>0</v>
      </c>
      <c r="X191" s="2854">
        <f t="shared" si="1043"/>
        <v>0</v>
      </c>
      <c r="Y191" s="2854">
        <f t="shared" si="1043"/>
        <v>0</v>
      </c>
      <c r="Z191" s="2854">
        <f t="shared" si="1043"/>
        <v>0</v>
      </c>
      <c r="AA191" s="2854">
        <f t="shared" si="1043"/>
        <v>0</v>
      </c>
      <c r="AB191" s="2854">
        <f t="shared" si="1043"/>
        <v>0</v>
      </c>
      <c r="AC191" s="2854">
        <f t="shared" si="1043"/>
        <v>0</v>
      </c>
      <c r="AD191" s="2854">
        <f t="shared" si="1043"/>
        <v>0</v>
      </c>
      <c r="AE191" s="2854">
        <f t="shared" si="1043"/>
        <v>0</v>
      </c>
      <c r="AF191" s="2856">
        <f t="shared" si="1043"/>
        <v>17.674499999999998</v>
      </c>
      <c r="AG191" s="2856">
        <f t="shared" si="1043"/>
        <v>17.674499999999998</v>
      </c>
      <c r="AH191" s="2856">
        <f t="shared" ref="AH191:BL191" si="1044">SUM(AH24)</f>
        <v>0</v>
      </c>
      <c r="AI191" s="2851">
        <f t="shared" si="1044"/>
        <v>0</v>
      </c>
      <c r="AJ191" s="2851">
        <f t="shared" si="1044"/>
        <v>0</v>
      </c>
      <c r="AK191" s="2851">
        <f t="shared" si="1044"/>
        <v>0</v>
      </c>
      <c r="AL191" s="2851">
        <f t="shared" si="1044"/>
        <v>-17.674499999999998</v>
      </c>
      <c r="AM191" s="2851">
        <f t="shared" si="1044"/>
        <v>-17.674499999999998</v>
      </c>
      <c r="AN191" s="2851">
        <f t="shared" si="1044"/>
        <v>0</v>
      </c>
      <c r="AO191" s="2853">
        <f t="shared" si="1044"/>
        <v>8.8372499999999992</v>
      </c>
      <c r="AP191" s="2853">
        <f t="shared" si="1044"/>
        <v>8.8372499999999992</v>
      </c>
      <c r="AQ191" s="2853">
        <f t="shared" si="1044"/>
        <v>0</v>
      </c>
      <c r="AR191" s="2854">
        <f t="shared" si="1044"/>
        <v>0</v>
      </c>
      <c r="AS191" s="2854">
        <f t="shared" si="1044"/>
        <v>0</v>
      </c>
      <c r="AT191" s="2854">
        <f t="shared" si="1044"/>
        <v>0</v>
      </c>
      <c r="AU191" s="2854">
        <f t="shared" si="1044"/>
        <v>0</v>
      </c>
      <c r="AV191" s="2854">
        <f t="shared" si="1044"/>
        <v>0</v>
      </c>
      <c r="AW191" s="2854">
        <f t="shared" si="1044"/>
        <v>0</v>
      </c>
      <c r="AX191" s="2854">
        <f t="shared" si="1044"/>
        <v>0</v>
      </c>
      <c r="AY191" s="2854">
        <f t="shared" si="1044"/>
        <v>0</v>
      </c>
      <c r="AZ191" s="2854">
        <f t="shared" si="1044"/>
        <v>0</v>
      </c>
      <c r="BA191" s="2854">
        <f t="shared" si="1044"/>
        <v>0</v>
      </c>
      <c r="BB191" s="2854">
        <f t="shared" si="1044"/>
        <v>0</v>
      </c>
      <c r="BC191" s="2854">
        <f t="shared" si="1044"/>
        <v>0</v>
      </c>
      <c r="BD191" s="2856">
        <f t="shared" si="1044"/>
        <v>26.511749999999999</v>
      </c>
      <c r="BE191" s="2856">
        <f t="shared" si="1044"/>
        <v>26.511749999999999</v>
      </c>
      <c r="BF191" s="2856">
        <f t="shared" si="1044"/>
        <v>0</v>
      </c>
      <c r="BG191" s="2851">
        <f t="shared" si="1044"/>
        <v>0</v>
      </c>
      <c r="BH191" s="2851">
        <f t="shared" si="1044"/>
        <v>0</v>
      </c>
      <c r="BI191" s="2851">
        <f t="shared" si="1044"/>
        <v>0</v>
      </c>
      <c r="BJ191" s="2851">
        <f t="shared" si="1044"/>
        <v>-26.511749999999999</v>
      </c>
      <c r="BK191" s="2851">
        <f t="shared" si="1044"/>
        <v>-26.511749999999999</v>
      </c>
      <c r="BL191" s="2851">
        <f t="shared" si="1044"/>
        <v>0</v>
      </c>
      <c r="BM191" s="2853">
        <f t="shared" ref="BM191:CJ191" si="1045">SUM(BM24)</f>
        <v>8.8372499999999992</v>
      </c>
      <c r="BN191" s="2853">
        <f t="shared" si="1045"/>
        <v>8.8372499999999992</v>
      </c>
      <c r="BO191" s="2853">
        <f t="shared" si="1045"/>
        <v>0</v>
      </c>
      <c r="BP191" s="2854">
        <f t="shared" si="1045"/>
        <v>0</v>
      </c>
      <c r="BQ191" s="2854">
        <f t="shared" si="1045"/>
        <v>0</v>
      </c>
      <c r="BR191" s="2854">
        <f t="shared" si="1045"/>
        <v>0</v>
      </c>
      <c r="BS191" s="2854">
        <f t="shared" si="1045"/>
        <v>0</v>
      </c>
      <c r="BT191" s="2854">
        <f t="shared" si="1045"/>
        <v>0</v>
      </c>
      <c r="BU191" s="2854">
        <f t="shared" si="1045"/>
        <v>0</v>
      </c>
      <c r="BV191" s="2854">
        <f t="shared" si="1045"/>
        <v>0</v>
      </c>
      <c r="BW191" s="2854">
        <f t="shared" si="1045"/>
        <v>0</v>
      </c>
      <c r="BX191" s="2854">
        <f t="shared" si="1045"/>
        <v>0</v>
      </c>
      <c r="BY191" s="2854">
        <f t="shared" si="1045"/>
        <v>0</v>
      </c>
      <c r="BZ191" s="2854">
        <f t="shared" si="1045"/>
        <v>0</v>
      </c>
      <c r="CA191" s="2854">
        <f t="shared" si="1045"/>
        <v>0</v>
      </c>
      <c r="CB191" s="2856">
        <f t="shared" si="1045"/>
        <v>35.348999999999997</v>
      </c>
      <c r="CC191" s="2856">
        <f t="shared" si="1045"/>
        <v>35.348999999999997</v>
      </c>
      <c r="CD191" s="2856">
        <f t="shared" si="1045"/>
        <v>0</v>
      </c>
      <c r="CE191" s="2851">
        <f t="shared" si="1045"/>
        <v>0</v>
      </c>
      <c r="CF191" s="2851">
        <f t="shared" si="1045"/>
        <v>0</v>
      </c>
      <c r="CG191" s="2851">
        <f t="shared" si="1045"/>
        <v>0</v>
      </c>
      <c r="CH191" s="2851">
        <f t="shared" si="1045"/>
        <v>-35.348999999999997</v>
      </c>
      <c r="CI191" s="2851">
        <f t="shared" si="1045"/>
        <v>-35.348999999999997</v>
      </c>
      <c r="CJ191" s="2851">
        <f t="shared" si="1045"/>
        <v>0</v>
      </c>
      <c r="CK191" s="2822"/>
      <c r="CL191" s="2822"/>
      <c r="CM191" s="2822"/>
      <c r="CN191" s="2822"/>
    </row>
    <row r="192" spans="1:92" ht="18" customHeight="1" x14ac:dyDescent="0.3">
      <c r="A192" s="2826" t="s">
        <v>3729</v>
      </c>
      <c r="B192" s="2857"/>
      <c r="C192" s="2857"/>
      <c r="D192" s="2857"/>
      <c r="E192" s="2857"/>
      <c r="F192" s="2857"/>
      <c r="G192" s="2857"/>
      <c r="H192" s="2857"/>
      <c r="I192" s="2857"/>
      <c r="J192" s="2857"/>
      <c r="K192" s="2857"/>
      <c r="L192" s="2857"/>
      <c r="M192" s="2857"/>
      <c r="N192" s="2857"/>
      <c r="O192" s="2857"/>
      <c r="P192" s="2857"/>
      <c r="Q192" s="2857"/>
      <c r="R192" s="2857"/>
      <c r="S192" s="2857"/>
      <c r="T192" s="2857"/>
      <c r="U192" s="2857"/>
      <c r="V192" s="2857"/>
      <c r="W192" s="2857"/>
      <c r="X192" s="2857"/>
      <c r="Y192" s="2857"/>
      <c r="Z192" s="2857"/>
      <c r="AA192" s="2857"/>
      <c r="AB192" s="2857"/>
      <c r="AC192" s="2857"/>
      <c r="AD192" s="2857"/>
      <c r="AE192" s="2857"/>
      <c r="AF192" s="2857"/>
      <c r="AG192" s="2857"/>
      <c r="AH192" s="2857"/>
      <c r="AI192" s="2857"/>
      <c r="AJ192" s="2857"/>
      <c r="AK192" s="2857"/>
      <c r="AL192" s="2857"/>
      <c r="AM192" s="2857"/>
      <c r="AN192" s="2857"/>
      <c r="AO192" s="2857"/>
      <c r="AP192" s="2857"/>
      <c r="AQ192" s="2857"/>
      <c r="AR192" s="2857"/>
      <c r="AS192" s="2857"/>
      <c r="AT192" s="2857"/>
      <c r="AU192" s="2857"/>
      <c r="AV192" s="2857"/>
      <c r="AW192" s="2857"/>
      <c r="AX192" s="2857"/>
      <c r="AY192" s="2857"/>
      <c r="AZ192" s="2857"/>
      <c r="BA192" s="2857"/>
      <c r="BB192" s="2857"/>
      <c r="BC192" s="2857"/>
      <c r="BD192" s="2857"/>
      <c r="BE192" s="2857"/>
      <c r="BF192" s="2857"/>
      <c r="BG192" s="2857"/>
      <c r="BH192" s="2857"/>
      <c r="BI192" s="2857"/>
      <c r="BJ192" s="2857"/>
      <c r="BK192" s="2857"/>
      <c r="BL192" s="2857"/>
      <c r="BM192" s="2857"/>
      <c r="BN192" s="2857"/>
      <c r="BO192" s="2857"/>
      <c r="BP192" s="2857"/>
      <c r="BQ192" s="2857"/>
      <c r="BR192" s="2857"/>
      <c r="BS192" s="2857"/>
      <c r="BT192" s="2857"/>
      <c r="BU192" s="2857"/>
      <c r="BV192" s="2857"/>
      <c r="BW192" s="2857"/>
      <c r="BX192" s="2857"/>
      <c r="BY192" s="2857"/>
      <c r="BZ192" s="2857"/>
      <c r="CA192" s="2857"/>
      <c r="CB192" s="2857"/>
      <c r="CC192" s="2857"/>
      <c r="CD192" s="2857"/>
      <c r="CE192" s="2857"/>
      <c r="CF192" s="2857"/>
      <c r="CG192" s="2857"/>
      <c r="CH192" s="2857"/>
      <c r="CI192" s="2886"/>
      <c r="CJ192" s="2887"/>
      <c r="CK192" s="2822"/>
      <c r="CL192" s="2822"/>
      <c r="CM192" s="2822"/>
      <c r="CN192" s="2822"/>
    </row>
    <row r="193" spans="1:92" ht="18.75" customHeight="1" x14ac:dyDescent="0.2">
      <c r="A193" s="4638" t="s">
        <v>527</v>
      </c>
      <c r="B193" s="4622" t="s">
        <v>3716</v>
      </c>
      <c r="C193" s="4623"/>
      <c r="D193" s="4623"/>
      <c r="E193" s="4623"/>
      <c r="F193" s="4623"/>
      <c r="G193" s="4623"/>
      <c r="H193" s="4623"/>
      <c r="I193" s="4623"/>
      <c r="J193" s="4623"/>
      <c r="K193" s="4623"/>
      <c r="L193" s="4623"/>
      <c r="M193" s="4623"/>
      <c r="N193" s="4623"/>
      <c r="O193" s="4623"/>
      <c r="P193" s="4624"/>
      <c r="Q193" s="4613" t="s">
        <v>3717</v>
      </c>
      <c r="R193" s="4614"/>
      <c r="S193" s="4614"/>
      <c r="T193" s="4614"/>
      <c r="U193" s="4614"/>
      <c r="V193" s="4614"/>
      <c r="W193" s="4614"/>
      <c r="X193" s="4614"/>
      <c r="Y193" s="4614"/>
      <c r="Z193" s="4614"/>
      <c r="AA193" s="4614"/>
      <c r="AB193" s="4614"/>
      <c r="AC193" s="4614"/>
      <c r="AD193" s="4568"/>
      <c r="AE193" s="4569"/>
      <c r="AF193" s="4609" t="s">
        <v>3718</v>
      </c>
      <c r="AG193" s="4610"/>
      <c r="AH193" s="4610"/>
      <c r="AI193" s="4610"/>
      <c r="AJ193" s="4610"/>
      <c r="AK193" s="4610"/>
      <c r="AL193" s="4610"/>
      <c r="AM193" s="4625"/>
      <c r="AN193" s="4626"/>
      <c r="AO193" s="4622" t="s">
        <v>3719</v>
      </c>
      <c r="AP193" s="4623"/>
      <c r="AQ193" s="4623"/>
      <c r="AR193" s="4623"/>
      <c r="AS193" s="4623"/>
      <c r="AT193" s="4623"/>
      <c r="AU193" s="4623"/>
      <c r="AV193" s="4623"/>
      <c r="AW193" s="4623"/>
      <c r="AX193" s="4623"/>
      <c r="AY193" s="4623"/>
      <c r="AZ193" s="4623"/>
      <c r="BA193" s="4623"/>
      <c r="BB193" s="4625"/>
      <c r="BC193" s="4626"/>
      <c r="BD193" s="4609" t="s">
        <v>3720</v>
      </c>
      <c r="BE193" s="4610"/>
      <c r="BF193" s="4610"/>
      <c r="BG193" s="4610"/>
      <c r="BH193" s="4610"/>
      <c r="BI193" s="4610"/>
      <c r="BJ193" s="4610"/>
      <c r="BK193" s="4625"/>
      <c r="BL193" s="4626"/>
      <c r="BM193" s="4616" t="s">
        <v>3721</v>
      </c>
      <c r="BN193" s="4617"/>
      <c r="BO193" s="4617"/>
      <c r="BP193" s="4617"/>
      <c r="BQ193" s="4617"/>
      <c r="BR193" s="4617"/>
      <c r="BS193" s="4617"/>
      <c r="BT193" s="4617"/>
      <c r="BU193" s="4617"/>
      <c r="BV193" s="4617"/>
      <c r="BW193" s="4617"/>
      <c r="BX193" s="4617"/>
      <c r="BY193" s="4617"/>
      <c r="BZ193" s="4687"/>
      <c r="CA193" s="4687"/>
      <c r="CB193" s="4609" t="s">
        <v>1992</v>
      </c>
      <c r="CC193" s="4610"/>
      <c r="CD193" s="4610"/>
      <c r="CE193" s="4610"/>
      <c r="CF193" s="4610"/>
      <c r="CG193" s="4610"/>
      <c r="CH193" s="4610"/>
      <c r="CI193" s="4611"/>
      <c r="CJ193" s="4612"/>
      <c r="CK193" s="2822"/>
      <c r="CL193" s="2822"/>
      <c r="CM193" s="2822"/>
      <c r="CN193" s="2822"/>
    </row>
    <row r="194" spans="1:92" ht="18.75" customHeight="1" x14ac:dyDescent="0.2">
      <c r="A194" s="4639"/>
      <c r="B194" s="4613" t="s">
        <v>3573</v>
      </c>
      <c r="C194" s="4614"/>
      <c r="D194" s="4615"/>
      <c r="E194" s="4616" t="s">
        <v>571</v>
      </c>
      <c r="F194" s="4617"/>
      <c r="G194" s="4618"/>
      <c r="H194" s="4616" t="s">
        <v>572</v>
      </c>
      <c r="I194" s="4617"/>
      <c r="J194" s="4618"/>
      <c r="K194" s="4616" t="s">
        <v>573</v>
      </c>
      <c r="L194" s="4617"/>
      <c r="M194" s="4618"/>
      <c r="N194" s="4613" t="s">
        <v>1677</v>
      </c>
      <c r="O194" s="4614"/>
      <c r="P194" s="4615"/>
      <c r="Q194" s="4613" t="s">
        <v>3573</v>
      </c>
      <c r="R194" s="4614"/>
      <c r="S194" s="4615"/>
      <c r="T194" s="4619" t="s">
        <v>3722</v>
      </c>
      <c r="U194" s="4620"/>
      <c r="V194" s="4621"/>
      <c r="W194" s="4619" t="s">
        <v>575</v>
      </c>
      <c r="X194" s="4620"/>
      <c r="Y194" s="4621"/>
      <c r="Z194" s="4619" t="s">
        <v>576</v>
      </c>
      <c r="AA194" s="4620"/>
      <c r="AB194" s="4621"/>
      <c r="AC194" s="4613" t="s">
        <v>1677</v>
      </c>
      <c r="AD194" s="4614"/>
      <c r="AE194" s="4615"/>
      <c r="AF194" s="4627" t="s">
        <v>3573</v>
      </c>
      <c r="AG194" s="4628"/>
      <c r="AH194" s="4629"/>
      <c r="AI194" s="4627" t="s">
        <v>1677</v>
      </c>
      <c r="AJ194" s="4628"/>
      <c r="AK194" s="4629"/>
      <c r="AL194" s="4627" t="s">
        <v>3723</v>
      </c>
      <c r="AM194" s="4628"/>
      <c r="AN194" s="4629"/>
      <c r="AO194" s="4643" t="s">
        <v>3573</v>
      </c>
      <c r="AP194" s="4644"/>
      <c r="AQ194" s="4645"/>
      <c r="AR194" s="4646" t="s">
        <v>577</v>
      </c>
      <c r="AS194" s="4647"/>
      <c r="AT194" s="4648"/>
      <c r="AU194" s="4646" t="s">
        <v>578</v>
      </c>
      <c r="AV194" s="4647"/>
      <c r="AW194" s="4648"/>
      <c r="AX194" s="4646" t="s">
        <v>579</v>
      </c>
      <c r="AY194" s="4647"/>
      <c r="AZ194" s="4648"/>
      <c r="BA194" s="4643" t="s">
        <v>1677</v>
      </c>
      <c r="BB194" s="4644"/>
      <c r="BC194" s="4645"/>
      <c r="BD194" s="4640" t="s">
        <v>3573</v>
      </c>
      <c r="BE194" s="4641"/>
      <c r="BF194" s="4642"/>
      <c r="BG194" s="4640" t="s">
        <v>1677</v>
      </c>
      <c r="BH194" s="4641"/>
      <c r="BI194" s="4642"/>
      <c r="BJ194" s="4640" t="s">
        <v>3723</v>
      </c>
      <c r="BK194" s="4641"/>
      <c r="BL194" s="4642"/>
      <c r="BM194" s="4684" t="s">
        <v>3573</v>
      </c>
      <c r="BN194" s="4685"/>
      <c r="BO194" s="4686"/>
      <c r="BP194" s="4630" t="s">
        <v>580</v>
      </c>
      <c r="BQ194" s="4631"/>
      <c r="BR194" s="4632"/>
      <c r="BS194" s="4630" t="s">
        <v>581</v>
      </c>
      <c r="BT194" s="4631"/>
      <c r="BU194" s="4632"/>
      <c r="BV194" s="4630" t="s">
        <v>582</v>
      </c>
      <c r="BW194" s="4631"/>
      <c r="BX194" s="4632"/>
      <c r="BY194" s="4684" t="s">
        <v>1677</v>
      </c>
      <c r="BZ194" s="4685"/>
      <c r="CA194" s="4685"/>
      <c r="CB194" s="4633" t="s">
        <v>3573</v>
      </c>
      <c r="CC194" s="4634"/>
      <c r="CD194" s="4635"/>
      <c r="CE194" s="4633" t="s">
        <v>1677</v>
      </c>
      <c r="CF194" s="4634"/>
      <c r="CG194" s="4635"/>
      <c r="CH194" s="4633" t="s">
        <v>3723</v>
      </c>
      <c r="CI194" s="4636"/>
      <c r="CJ194" s="4637"/>
      <c r="CK194" s="2822"/>
      <c r="CL194" s="2822"/>
      <c r="CM194" s="2822"/>
      <c r="CN194" s="2822"/>
    </row>
    <row r="195" spans="1:92" ht="18.75" customHeight="1" x14ac:dyDescent="0.2">
      <c r="A195" s="4639"/>
      <c r="B195" s="2832" t="s">
        <v>616</v>
      </c>
      <c r="C195" s="2832" t="s">
        <v>3724</v>
      </c>
      <c r="D195" s="2832" t="s">
        <v>3660</v>
      </c>
      <c r="E195" s="2832" t="s">
        <v>616</v>
      </c>
      <c r="F195" s="2832" t="s">
        <v>3724</v>
      </c>
      <c r="G195" s="2832" t="s">
        <v>3660</v>
      </c>
      <c r="H195" s="2832" t="s">
        <v>616</v>
      </c>
      <c r="I195" s="2832" t="s">
        <v>3724</v>
      </c>
      <c r="J195" s="2832" t="s">
        <v>3660</v>
      </c>
      <c r="K195" s="2832" t="s">
        <v>616</v>
      </c>
      <c r="L195" s="2832" t="s">
        <v>3724</v>
      </c>
      <c r="M195" s="2832" t="s">
        <v>3660</v>
      </c>
      <c r="N195" s="2832" t="s">
        <v>616</v>
      </c>
      <c r="O195" s="2832" t="s">
        <v>3724</v>
      </c>
      <c r="P195" s="2832" t="s">
        <v>3660</v>
      </c>
      <c r="Q195" s="2832" t="s">
        <v>616</v>
      </c>
      <c r="R195" s="2832" t="s">
        <v>3724</v>
      </c>
      <c r="S195" s="2832" t="s">
        <v>3660</v>
      </c>
      <c r="T195" s="2832" t="s">
        <v>616</v>
      </c>
      <c r="U195" s="2832" t="s">
        <v>3724</v>
      </c>
      <c r="V195" s="2832" t="s">
        <v>3660</v>
      </c>
      <c r="W195" s="2832" t="s">
        <v>616</v>
      </c>
      <c r="X195" s="2832" t="s">
        <v>3724</v>
      </c>
      <c r="Y195" s="2832" t="s">
        <v>3660</v>
      </c>
      <c r="Z195" s="2832" t="s">
        <v>616</v>
      </c>
      <c r="AA195" s="2832" t="s">
        <v>3724</v>
      </c>
      <c r="AB195" s="2832" t="s">
        <v>3660</v>
      </c>
      <c r="AC195" s="2832" t="s">
        <v>616</v>
      </c>
      <c r="AD195" s="2832" t="s">
        <v>3724</v>
      </c>
      <c r="AE195" s="2832" t="s">
        <v>3660</v>
      </c>
      <c r="AF195" s="2833" t="s">
        <v>616</v>
      </c>
      <c r="AG195" s="2833" t="s">
        <v>3724</v>
      </c>
      <c r="AH195" s="2833" t="s">
        <v>3660</v>
      </c>
      <c r="AI195" s="2833" t="s">
        <v>616</v>
      </c>
      <c r="AJ195" s="2833" t="s">
        <v>3724</v>
      </c>
      <c r="AK195" s="2833" t="s">
        <v>3660</v>
      </c>
      <c r="AL195" s="2833" t="s">
        <v>616</v>
      </c>
      <c r="AM195" s="2833" t="s">
        <v>3724</v>
      </c>
      <c r="AN195" s="2833" t="s">
        <v>3660</v>
      </c>
      <c r="AO195" s="2832" t="s">
        <v>616</v>
      </c>
      <c r="AP195" s="2832" t="s">
        <v>3724</v>
      </c>
      <c r="AQ195" s="2832" t="s">
        <v>3660</v>
      </c>
      <c r="AR195" s="2832" t="s">
        <v>616</v>
      </c>
      <c r="AS195" s="2832" t="s">
        <v>3724</v>
      </c>
      <c r="AT195" s="2832" t="s">
        <v>3660</v>
      </c>
      <c r="AU195" s="2832" t="s">
        <v>616</v>
      </c>
      <c r="AV195" s="2832" t="s">
        <v>3724</v>
      </c>
      <c r="AW195" s="2832" t="s">
        <v>3660</v>
      </c>
      <c r="AX195" s="2832" t="s">
        <v>616</v>
      </c>
      <c r="AY195" s="2832" t="s">
        <v>3724</v>
      </c>
      <c r="AZ195" s="2832" t="s">
        <v>3660</v>
      </c>
      <c r="BA195" s="2832" t="s">
        <v>616</v>
      </c>
      <c r="BB195" s="2832" t="s">
        <v>3724</v>
      </c>
      <c r="BC195" s="2832" t="s">
        <v>3660</v>
      </c>
      <c r="BD195" s="2833" t="s">
        <v>616</v>
      </c>
      <c r="BE195" s="2833" t="s">
        <v>3724</v>
      </c>
      <c r="BF195" s="2833" t="s">
        <v>3660</v>
      </c>
      <c r="BG195" s="2833" t="s">
        <v>616</v>
      </c>
      <c r="BH195" s="2833" t="s">
        <v>3724</v>
      </c>
      <c r="BI195" s="2833" t="s">
        <v>3660</v>
      </c>
      <c r="BJ195" s="2833" t="s">
        <v>616</v>
      </c>
      <c r="BK195" s="2833" t="s">
        <v>3724</v>
      </c>
      <c r="BL195" s="2833" t="s">
        <v>3660</v>
      </c>
      <c r="BM195" s="2832" t="s">
        <v>616</v>
      </c>
      <c r="BN195" s="2832" t="s">
        <v>3724</v>
      </c>
      <c r="BO195" s="2832" t="s">
        <v>3660</v>
      </c>
      <c r="BP195" s="2832" t="s">
        <v>616</v>
      </c>
      <c r="BQ195" s="2832" t="s">
        <v>3724</v>
      </c>
      <c r="BR195" s="2832" t="s">
        <v>3660</v>
      </c>
      <c r="BS195" s="2832" t="s">
        <v>616</v>
      </c>
      <c r="BT195" s="2832" t="s">
        <v>3724</v>
      </c>
      <c r="BU195" s="2832" t="s">
        <v>3660</v>
      </c>
      <c r="BV195" s="2832" t="s">
        <v>616</v>
      </c>
      <c r="BW195" s="2832" t="s">
        <v>3724</v>
      </c>
      <c r="BX195" s="2832" t="s">
        <v>3660</v>
      </c>
      <c r="BY195" s="2832" t="s">
        <v>616</v>
      </c>
      <c r="BZ195" s="2832" t="s">
        <v>3724</v>
      </c>
      <c r="CA195" s="2834" t="s">
        <v>3660</v>
      </c>
      <c r="CB195" s="2833" t="s">
        <v>616</v>
      </c>
      <c r="CC195" s="2833" t="s">
        <v>3724</v>
      </c>
      <c r="CD195" s="2833" t="s">
        <v>3660</v>
      </c>
      <c r="CE195" s="2833" t="s">
        <v>616</v>
      </c>
      <c r="CF195" s="2833" t="s">
        <v>3724</v>
      </c>
      <c r="CG195" s="2833" t="s">
        <v>3660</v>
      </c>
      <c r="CH195" s="2833" t="s">
        <v>616</v>
      </c>
      <c r="CI195" s="2833" t="s">
        <v>3724</v>
      </c>
      <c r="CJ195" s="2833" t="s">
        <v>3660</v>
      </c>
      <c r="CK195" s="2822"/>
      <c r="CL195" s="2822"/>
      <c r="CM195" s="2822"/>
      <c r="CN195" s="2822"/>
    </row>
    <row r="196" spans="1:92" ht="18.75" x14ac:dyDescent="0.3">
      <c r="A196" s="2864" t="s">
        <v>1</v>
      </c>
      <c r="B196" s="2888">
        <f t="shared" ref="B196:D196" si="1046">SUM(B30+B54+B68)</f>
        <v>3050.6503512466907</v>
      </c>
      <c r="C196" s="2888">
        <f t="shared" si="1046"/>
        <v>3050.2920057972506</v>
      </c>
      <c r="D196" s="2888">
        <f t="shared" si="1046"/>
        <v>0.35834544944025576</v>
      </c>
      <c r="E196" s="2889">
        <f t="shared" ref="E196:AK196" si="1047">SUM(E30+E54+E68)</f>
        <v>1008.8089799999999</v>
      </c>
      <c r="F196" s="2889">
        <f>SUM(F30+F54+F68)</f>
        <v>1008.77</v>
      </c>
      <c r="G196" s="2889">
        <f t="shared" si="1047"/>
        <v>3.8980000000000001E-2</v>
      </c>
      <c r="H196" s="2889">
        <f t="shared" si="1047"/>
        <v>862.71554999999989</v>
      </c>
      <c r="I196" s="2889">
        <f t="shared" si="1047"/>
        <v>862.70299999999997</v>
      </c>
      <c r="J196" s="2889">
        <f t="shared" si="1047"/>
        <v>1.255E-2</v>
      </c>
      <c r="K196" s="2889">
        <f t="shared" si="1047"/>
        <v>899.51700000000005</v>
      </c>
      <c r="L196" s="2889">
        <f t="shared" si="1047"/>
        <v>899.5</v>
      </c>
      <c r="M196" s="2889">
        <f t="shared" si="1047"/>
        <v>1.7000000000000001E-2</v>
      </c>
      <c r="N196" s="2889">
        <f t="shared" si="1047"/>
        <v>2771.04153</v>
      </c>
      <c r="O196" s="2889">
        <f t="shared" si="1047"/>
        <v>2770.973</v>
      </c>
      <c r="P196" s="2889">
        <f t="shared" si="1047"/>
        <v>6.8530000000000008E-2</v>
      </c>
      <c r="Q196" s="2888">
        <f t="shared" si="1047"/>
        <v>3050.6503512466907</v>
      </c>
      <c r="R196" s="2888">
        <f t="shared" si="1047"/>
        <v>3050.2920057972506</v>
      </c>
      <c r="S196" s="2888">
        <f t="shared" si="1047"/>
        <v>0.35834544944025576</v>
      </c>
      <c r="T196" s="2889">
        <f t="shared" si="1047"/>
        <v>1047.6199999999999</v>
      </c>
      <c r="U196" s="2889">
        <f t="shared" si="1047"/>
        <v>1047.5</v>
      </c>
      <c r="V196" s="2889">
        <f t="shared" si="1047"/>
        <v>0.12</v>
      </c>
      <c r="W196" s="2889">
        <f t="shared" si="1047"/>
        <v>1206.3619999999999</v>
      </c>
      <c r="X196" s="2889">
        <f t="shared" si="1047"/>
        <v>1206.31</v>
      </c>
      <c r="Y196" s="2889">
        <f t="shared" si="1047"/>
        <v>5.1999999999999998E-2</v>
      </c>
      <c r="Z196" s="2889">
        <f t="shared" si="1047"/>
        <v>950.30200000000002</v>
      </c>
      <c r="AA196" s="2889">
        <f t="shared" si="1047"/>
        <v>950.21900000000005</v>
      </c>
      <c r="AB196" s="2889">
        <f t="shared" si="1047"/>
        <v>8.3000000000000004E-2</v>
      </c>
      <c r="AC196" s="2889">
        <f t="shared" si="1047"/>
        <v>3204.2840000000001</v>
      </c>
      <c r="AD196" s="2889">
        <f t="shared" si="1047"/>
        <v>3204.029</v>
      </c>
      <c r="AE196" s="2889">
        <f t="shared" si="1047"/>
        <v>0.255</v>
      </c>
      <c r="AF196" s="2890">
        <f t="shared" si="1047"/>
        <v>6101.3007024933813</v>
      </c>
      <c r="AG196" s="2890">
        <f t="shared" si="1047"/>
        <v>6100.5840115945011</v>
      </c>
      <c r="AH196" s="2890">
        <f t="shared" si="1047"/>
        <v>0.71669089888051152</v>
      </c>
      <c r="AI196" s="2891">
        <f t="shared" si="1047"/>
        <v>5975.3255300000001</v>
      </c>
      <c r="AJ196" s="2891">
        <f t="shared" si="1047"/>
        <v>5975.0019999999995</v>
      </c>
      <c r="AK196" s="2891">
        <f t="shared" si="1047"/>
        <v>0.32352999999999998</v>
      </c>
      <c r="AL196" s="2847">
        <f t="shared" ref="AL196:AL226" si="1048">SUM(AI196-AF196)</f>
        <v>-125.97517249338125</v>
      </c>
      <c r="AM196" s="2847">
        <f t="shared" ref="AM196:AN226" si="1049">SUM(AJ196-AG196)</f>
        <v>-125.58201159450164</v>
      </c>
      <c r="AN196" s="2847">
        <f t="shared" si="1049"/>
        <v>-0.39316089888051153</v>
      </c>
      <c r="AO196" s="2888">
        <f t="shared" ref="AO196:BI196" si="1050">SUM(AO30+AO54+AO68)</f>
        <v>3168.5878080442671</v>
      </c>
      <c r="AP196" s="2888">
        <f t="shared" si="1050"/>
        <v>3168.2083202133099</v>
      </c>
      <c r="AQ196" s="2888">
        <f t="shared" si="1050"/>
        <v>0.37948783095723088</v>
      </c>
      <c r="AR196" s="2889">
        <f t="shared" si="1050"/>
        <v>911.09799999999996</v>
      </c>
      <c r="AS196" s="2889">
        <f t="shared" si="1050"/>
        <v>911.03</v>
      </c>
      <c r="AT196" s="2889">
        <f t="shared" si="1050"/>
        <v>6.8000000000000005E-2</v>
      </c>
      <c r="AU196" s="2889">
        <f t="shared" si="1050"/>
        <v>863.84799999999996</v>
      </c>
      <c r="AV196" s="2889">
        <f t="shared" si="1050"/>
        <v>863.78800000000001</v>
      </c>
      <c r="AW196" s="2889">
        <f t="shared" si="1050"/>
        <v>0.06</v>
      </c>
      <c r="AX196" s="2889">
        <f t="shared" si="1050"/>
        <v>916.80499999999995</v>
      </c>
      <c r="AY196" s="2889">
        <f t="shared" si="1050"/>
        <v>916.78499999999997</v>
      </c>
      <c r="AZ196" s="2889">
        <f t="shared" si="1050"/>
        <v>0.02</v>
      </c>
      <c r="BA196" s="2889">
        <f t="shared" si="1050"/>
        <v>2691.7509999999997</v>
      </c>
      <c r="BB196" s="2889">
        <f t="shared" si="1050"/>
        <v>2691.6030000000001</v>
      </c>
      <c r="BC196" s="2889">
        <f t="shared" si="1050"/>
        <v>0.14799999999999999</v>
      </c>
      <c r="BD196" s="2890">
        <f t="shared" si="1050"/>
        <v>9269.8885105376485</v>
      </c>
      <c r="BE196" s="2890">
        <f t="shared" si="1050"/>
        <v>9268.7923318078101</v>
      </c>
      <c r="BF196" s="2890">
        <f t="shared" si="1050"/>
        <v>1.0961787298377423</v>
      </c>
      <c r="BG196" s="2891">
        <f t="shared" si="1050"/>
        <v>8667.0765300000003</v>
      </c>
      <c r="BH196" s="2891">
        <f t="shared" si="1050"/>
        <v>8666.6050000000014</v>
      </c>
      <c r="BI196" s="2891">
        <f t="shared" si="1050"/>
        <v>0.47153</v>
      </c>
      <c r="BJ196" s="2847">
        <f t="shared" ref="BJ196:BJ226" si="1051">SUM(BG196-BD196)</f>
        <v>-602.8119805376482</v>
      </c>
      <c r="BK196" s="2847">
        <f t="shared" ref="BK196:BL226" si="1052">SUM(BH196-BE196)</f>
        <v>-602.18733180780873</v>
      </c>
      <c r="BL196" s="2847">
        <f t="shared" si="1052"/>
        <v>-0.62464872983774233</v>
      </c>
      <c r="BM196" s="2888">
        <f t="shared" ref="BM196:CG196" si="1053">SUM(BM30+BM54+BM68)</f>
        <v>3168.5878080442671</v>
      </c>
      <c r="BN196" s="2888">
        <f t="shared" si="1053"/>
        <v>3168.2083202133099</v>
      </c>
      <c r="BO196" s="2888">
        <f t="shared" si="1053"/>
        <v>0.37948783095723088</v>
      </c>
      <c r="BP196" s="2889">
        <f t="shared" si="1053"/>
        <v>1019.0667299999999</v>
      </c>
      <c r="BQ196" s="2889">
        <f t="shared" si="1053"/>
        <v>1019.045</v>
      </c>
      <c r="BR196" s="2889">
        <f t="shared" si="1053"/>
        <v>2.1729999999999999E-2</v>
      </c>
      <c r="BS196" s="2889">
        <f t="shared" si="1053"/>
        <v>1356.03</v>
      </c>
      <c r="BT196" s="2889">
        <f t="shared" si="1053"/>
        <v>1355.973</v>
      </c>
      <c r="BU196" s="2889">
        <f t="shared" si="1053"/>
        <v>5.7000000000000002E-2</v>
      </c>
      <c r="BV196" s="2889">
        <f t="shared" si="1053"/>
        <v>1006.3580000000001</v>
      </c>
      <c r="BW196" s="2889">
        <f t="shared" si="1053"/>
        <v>1006.287</v>
      </c>
      <c r="BX196" s="2889">
        <f t="shared" si="1053"/>
        <v>7.0999999999999994E-2</v>
      </c>
      <c r="BY196" s="2889">
        <f t="shared" si="1053"/>
        <v>3381.4547299999999</v>
      </c>
      <c r="BZ196" s="2889">
        <f t="shared" si="1053"/>
        <v>3381.3049999999998</v>
      </c>
      <c r="CA196" s="2889">
        <f t="shared" si="1053"/>
        <v>0.14972999999999997</v>
      </c>
      <c r="CB196" s="2890">
        <f t="shared" si="1053"/>
        <v>12438.476318581916</v>
      </c>
      <c r="CC196" s="2890">
        <f t="shared" si="1053"/>
        <v>12437.000652021121</v>
      </c>
      <c r="CD196" s="2890">
        <f t="shared" si="1053"/>
        <v>1.4756665607949733</v>
      </c>
      <c r="CE196" s="2891">
        <f t="shared" si="1053"/>
        <v>12048.53126</v>
      </c>
      <c r="CF196" s="2891">
        <f t="shared" si="1053"/>
        <v>12047.91</v>
      </c>
      <c r="CG196" s="2891">
        <f t="shared" si="1053"/>
        <v>0.62125999999999992</v>
      </c>
      <c r="CH196" s="2847">
        <f t="shared" ref="CH196:CH226" si="1054">SUM(CE196-CB196)</f>
        <v>-389.94505858191587</v>
      </c>
      <c r="CI196" s="2847">
        <f t="shared" ref="CI196:CJ226" si="1055">SUM(CF196-CC196)</f>
        <v>-389.09065202112106</v>
      </c>
      <c r="CJ196" s="2847">
        <f t="shared" si="1055"/>
        <v>-0.85440656079497335</v>
      </c>
      <c r="CK196" s="2822"/>
      <c r="CL196" s="2822"/>
      <c r="CM196" s="2822"/>
      <c r="CN196" s="2822"/>
    </row>
    <row r="197" spans="1:92" ht="18.75" x14ac:dyDescent="0.3">
      <c r="A197" s="2864" t="s">
        <v>2</v>
      </c>
      <c r="B197" s="2888">
        <f t="shared" ref="B197:D197" si="1056">SUM(B31+B56+B101+B124+B66)</f>
        <v>1535.6775000000002</v>
      </c>
      <c r="C197" s="2888">
        <f t="shared" si="1056"/>
        <v>1535.6775000000002</v>
      </c>
      <c r="D197" s="2888">
        <f t="shared" si="1056"/>
        <v>0</v>
      </c>
      <c r="E197" s="2889">
        <f t="shared" ref="E197:AK197" si="1057">SUM(E31+E56+E101+E124+E66)</f>
        <v>1302.04</v>
      </c>
      <c r="F197" s="2889">
        <f t="shared" si="1057"/>
        <v>1302.04</v>
      </c>
      <c r="G197" s="2889">
        <f t="shared" si="1057"/>
        <v>0</v>
      </c>
      <c r="H197" s="2889">
        <f t="shared" si="1057"/>
        <v>1301.954</v>
      </c>
      <c r="I197" s="2889">
        <f t="shared" si="1057"/>
        <v>1301.954</v>
      </c>
      <c r="J197" s="2889">
        <f t="shared" si="1057"/>
        <v>0</v>
      </c>
      <c r="K197" s="2889">
        <f t="shared" si="1057"/>
        <v>1308.9000000000001</v>
      </c>
      <c r="L197" s="2889">
        <f t="shared" si="1057"/>
        <v>1308.9000000000001</v>
      </c>
      <c r="M197" s="2889">
        <f t="shared" si="1057"/>
        <v>0</v>
      </c>
      <c r="N197" s="2889">
        <f t="shared" si="1057"/>
        <v>3912.8940000000002</v>
      </c>
      <c r="O197" s="2889">
        <f t="shared" si="1057"/>
        <v>3912.8940000000002</v>
      </c>
      <c r="P197" s="2889">
        <f t="shared" si="1057"/>
        <v>0</v>
      </c>
      <c r="Q197" s="2888">
        <f t="shared" si="1057"/>
        <v>1535.6775000000002</v>
      </c>
      <c r="R197" s="2888">
        <f t="shared" si="1057"/>
        <v>1535.6775000000002</v>
      </c>
      <c r="S197" s="2888">
        <f t="shared" si="1057"/>
        <v>0</v>
      </c>
      <c r="T197" s="2889">
        <f t="shared" si="1057"/>
        <v>1308.83</v>
      </c>
      <c r="U197" s="2889">
        <f t="shared" si="1057"/>
        <v>1308.83</v>
      </c>
      <c r="V197" s="2889">
        <f t="shared" si="1057"/>
        <v>0</v>
      </c>
      <c r="W197" s="2889">
        <f t="shared" si="1057"/>
        <v>969.56999999999994</v>
      </c>
      <c r="X197" s="2889">
        <f t="shared" si="1057"/>
        <v>969.56999999999994</v>
      </c>
      <c r="Y197" s="2889">
        <f t="shared" si="1057"/>
        <v>0</v>
      </c>
      <c r="Z197" s="2889">
        <f t="shared" si="1057"/>
        <v>1239.7149999999999</v>
      </c>
      <c r="AA197" s="2889">
        <f t="shared" si="1057"/>
        <v>1239.7149999999999</v>
      </c>
      <c r="AB197" s="2889">
        <f t="shared" si="1057"/>
        <v>0</v>
      </c>
      <c r="AC197" s="2889">
        <f t="shared" si="1057"/>
        <v>3518.1149999999998</v>
      </c>
      <c r="AD197" s="2889">
        <f t="shared" si="1057"/>
        <v>3518.1149999999998</v>
      </c>
      <c r="AE197" s="2889">
        <f t="shared" si="1057"/>
        <v>0</v>
      </c>
      <c r="AF197" s="2890">
        <f t="shared" si="1057"/>
        <v>3071.3550000000005</v>
      </c>
      <c r="AG197" s="2890">
        <f t="shared" si="1057"/>
        <v>3071.3550000000005</v>
      </c>
      <c r="AH197" s="2890">
        <f t="shared" si="1057"/>
        <v>0</v>
      </c>
      <c r="AI197" s="2891">
        <f t="shared" si="1057"/>
        <v>7431.009</v>
      </c>
      <c r="AJ197" s="2891">
        <f t="shared" si="1057"/>
        <v>7431.009</v>
      </c>
      <c r="AK197" s="2891">
        <f t="shared" si="1057"/>
        <v>0</v>
      </c>
      <c r="AL197" s="2847">
        <f t="shared" si="1048"/>
        <v>4359.6539999999995</v>
      </c>
      <c r="AM197" s="2847">
        <f t="shared" si="1049"/>
        <v>4359.6539999999995</v>
      </c>
      <c r="AN197" s="2847">
        <f t="shared" si="1049"/>
        <v>0</v>
      </c>
      <c r="AO197" s="2888">
        <f t="shared" ref="AO197:BI197" si="1058">SUM(AO31+AO56+AO101+AO124+AO66)</f>
        <v>1535.6775000000002</v>
      </c>
      <c r="AP197" s="2888">
        <f t="shared" si="1058"/>
        <v>1535.6775000000002</v>
      </c>
      <c r="AQ197" s="2888">
        <f t="shared" si="1058"/>
        <v>0</v>
      </c>
      <c r="AR197" s="2889">
        <f t="shared" si="1058"/>
        <v>1148.8869999999999</v>
      </c>
      <c r="AS197" s="2889">
        <f t="shared" si="1058"/>
        <v>1148.8869999999999</v>
      </c>
      <c r="AT197" s="2889">
        <f t="shared" si="1058"/>
        <v>0</v>
      </c>
      <c r="AU197" s="2889">
        <f t="shared" si="1058"/>
        <v>1136.181</v>
      </c>
      <c r="AV197" s="2889">
        <f t="shared" si="1058"/>
        <v>1136.181</v>
      </c>
      <c r="AW197" s="2889">
        <f t="shared" si="1058"/>
        <v>0</v>
      </c>
      <c r="AX197" s="2889">
        <f t="shared" si="1058"/>
        <v>1184.981</v>
      </c>
      <c r="AY197" s="2889">
        <f t="shared" si="1058"/>
        <v>1184.981</v>
      </c>
      <c r="AZ197" s="2889">
        <f t="shared" si="1058"/>
        <v>0</v>
      </c>
      <c r="BA197" s="2889">
        <f t="shared" si="1058"/>
        <v>3470.049</v>
      </c>
      <c r="BB197" s="2889">
        <f t="shared" si="1058"/>
        <v>3470.049</v>
      </c>
      <c r="BC197" s="2889">
        <f t="shared" si="1058"/>
        <v>0</v>
      </c>
      <c r="BD197" s="2890">
        <f t="shared" si="1058"/>
        <v>4607.0325000000003</v>
      </c>
      <c r="BE197" s="2890">
        <f t="shared" si="1058"/>
        <v>4607.0325000000003</v>
      </c>
      <c r="BF197" s="2890">
        <f t="shared" si="1058"/>
        <v>0</v>
      </c>
      <c r="BG197" s="2891">
        <f t="shared" si="1058"/>
        <v>10901.058000000001</v>
      </c>
      <c r="BH197" s="2891">
        <f t="shared" si="1058"/>
        <v>10901.058000000001</v>
      </c>
      <c r="BI197" s="2891">
        <f t="shared" si="1058"/>
        <v>0</v>
      </c>
      <c r="BJ197" s="2847">
        <f t="shared" si="1051"/>
        <v>6294.0255000000006</v>
      </c>
      <c r="BK197" s="2847">
        <f t="shared" si="1052"/>
        <v>6294.0255000000006</v>
      </c>
      <c r="BL197" s="2847">
        <f t="shared" si="1052"/>
        <v>0</v>
      </c>
      <c r="BM197" s="2888">
        <f t="shared" ref="BM197:CG197" si="1059">SUM(BM31+BM56+BM101+BM124+BM66)</f>
        <v>1535.6775000000002</v>
      </c>
      <c r="BN197" s="2888">
        <f t="shared" si="1059"/>
        <v>1535.6775000000002</v>
      </c>
      <c r="BO197" s="2888">
        <f t="shared" si="1059"/>
        <v>0</v>
      </c>
      <c r="BP197" s="2889">
        <f t="shared" si="1059"/>
        <v>1185.2329999999999</v>
      </c>
      <c r="BQ197" s="2889">
        <f t="shared" si="1059"/>
        <v>1185.2329999999999</v>
      </c>
      <c r="BR197" s="2889">
        <f t="shared" si="1059"/>
        <v>0</v>
      </c>
      <c r="BS197" s="2889">
        <f t="shared" si="1059"/>
        <v>1185.72</v>
      </c>
      <c r="BT197" s="2889">
        <f t="shared" si="1059"/>
        <v>1185.72</v>
      </c>
      <c r="BU197" s="2889">
        <f t="shared" si="1059"/>
        <v>0</v>
      </c>
      <c r="BV197" s="2889">
        <f t="shared" si="1059"/>
        <v>1194.134</v>
      </c>
      <c r="BW197" s="2889">
        <f t="shared" si="1059"/>
        <v>1194.134</v>
      </c>
      <c r="BX197" s="2889">
        <f t="shared" si="1059"/>
        <v>0</v>
      </c>
      <c r="BY197" s="2889">
        <f t="shared" si="1059"/>
        <v>3565.0869999999995</v>
      </c>
      <c r="BZ197" s="2889">
        <f t="shared" si="1059"/>
        <v>3565.0869999999995</v>
      </c>
      <c r="CA197" s="2889">
        <f t="shared" si="1059"/>
        <v>0</v>
      </c>
      <c r="CB197" s="2890">
        <f t="shared" si="1059"/>
        <v>6142.7100000000009</v>
      </c>
      <c r="CC197" s="2890">
        <f t="shared" si="1059"/>
        <v>6142.7100000000009</v>
      </c>
      <c r="CD197" s="2890">
        <f t="shared" si="1059"/>
        <v>0</v>
      </c>
      <c r="CE197" s="2891">
        <f t="shared" si="1059"/>
        <v>14466.144999999999</v>
      </c>
      <c r="CF197" s="2891">
        <f t="shared" si="1059"/>
        <v>14466.144999999999</v>
      </c>
      <c r="CG197" s="2891">
        <f t="shared" si="1059"/>
        <v>0</v>
      </c>
      <c r="CH197" s="2847">
        <f t="shared" si="1054"/>
        <v>8323.4349999999977</v>
      </c>
      <c r="CI197" s="2847">
        <f t="shared" si="1055"/>
        <v>8323.4349999999977</v>
      </c>
      <c r="CJ197" s="2847">
        <f t="shared" si="1055"/>
        <v>0</v>
      </c>
      <c r="CK197" s="2822"/>
      <c r="CL197" s="2822"/>
      <c r="CM197" s="2822"/>
      <c r="CN197" s="2822"/>
    </row>
    <row r="198" spans="1:92" ht="18.75" x14ac:dyDescent="0.3">
      <c r="A198" s="2868" t="s">
        <v>3730</v>
      </c>
      <c r="B198" s="2888">
        <f t="shared" ref="B198:D198" si="1060">SUM(B32+B57+B102+B125)</f>
        <v>0</v>
      </c>
      <c r="C198" s="2888">
        <f t="shared" si="1060"/>
        <v>0</v>
      </c>
      <c r="D198" s="2888">
        <f t="shared" si="1060"/>
        <v>0</v>
      </c>
      <c r="E198" s="2889">
        <f t="shared" ref="E198:AK198" si="1061">SUM(E32+E57+E102+E125)</f>
        <v>0</v>
      </c>
      <c r="F198" s="2889">
        <f t="shared" si="1061"/>
        <v>0</v>
      </c>
      <c r="G198" s="2889">
        <f t="shared" si="1061"/>
        <v>0</v>
      </c>
      <c r="H198" s="2889">
        <f t="shared" si="1061"/>
        <v>0</v>
      </c>
      <c r="I198" s="2889">
        <f t="shared" si="1061"/>
        <v>0</v>
      </c>
      <c r="J198" s="2889">
        <f t="shared" si="1061"/>
        <v>0</v>
      </c>
      <c r="K198" s="2889">
        <f t="shared" si="1061"/>
        <v>0</v>
      </c>
      <c r="L198" s="2889">
        <f t="shared" si="1061"/>
        <v>0</v>
      </c>
      <c r="M198" s="2889">
        <f t="shared" si="1061"/>
        <v>0</v>
      </c>
      <c r="N198" s="2889">
        <f t="shared" si="1061"/>
        <v>0</v>
      </c>
      <c r="O198" s="2889">
        <f t="shared" si="1061"/>
        <v>0</v>
      </c>
      <c r="P198" s="2889">
        <f t="shared" si="1061"/>
        <v>0</v>
      </c>
      <c r="Q198" s="2888">
        <f t="shared" si="1061"/>
        <v>0</v>
      </c>
      <c r="R198" s="2888">
        <f t="shared" si="1061"/>
        <v>0</v>
      </c>
      <c r="S198" s="2888">
        <f t="shared" si="1061"/>
        <v>0</v>
      </c>
      <c r="T198" s="2889">
        <f t="shared" si="1061"/>
        <v>0</v>
      </c>
      <c r="U198" s="2889">
        <f t="shared" si="1061"/>
        <v>0</v>
      </c>
      <c r="V198" s="2889">
        <f t="shared" si="1061"/>
        <v>0</v>
      </c>
      <c r="W198" s="2889">
        <f t="shared" si="1061"/>
        <v>0</v>
      </c>
      <c r="X198" s="2889">
        <f t="shared" si="1061"/>
        <v>0</v>
      </c>
      <c r="Y198" s="2889">
        <f t="shared" si="1061"/>
        <v>0</v>
      </c>
      <c r="Z198" s="2889">
        <f t="shared" si="1061"/>
        <v>0</v>
      </c>
      <c r="AA198" s="2889">
        <f t="shared" si="1061"/>
        <v>0</v>
      </c>
      <c r="AB198" s="2889">
        <f t="shared" si="1061"/>
        <v>0</v>
      </c>
      <c r="AC198" s="2889">
        <f t="shared" si="1061"/>
        <v>0</v>
      </c>
      <c r="AD198" s="2889">
        <f t="shared" si="1061"/>
        <v>0</v>
      </c>
      <c r="AE198" s="2889">
        <f t="shared" si="1061"/>
        <v>0</v>
      </c>
      <c r="AF198" s="2890">
        <f t="shared" si="1061"/>
        <v>0</v>
      </c>
      <c r="AG198" s="2890">
        <f t="shared" si="1061"/>
        <v>0</v>
      </c>
      <c r="AH198" s="2890">
        <f t="shared" si="1061"/>
        <v>0</v>
      </c>
      <c r="AI198" s="2891">
        <f t="shared" si="1061"/>
        <v>0</v>
      </c>
      <c r="AJ198" s="2891">
        <f t="shared" si="1061"/>
        <v>0</v>
      </c>
      <c r="AK198" s="2891">
        <f t="shared" si="1061"/>
        <v>0</v>
      </c>
      <c r="AL198" s="2847">
        <f t="shared" si="1048"/>
        <v>0</v>
      </c>
      <c r="AM198" s="2847">
        <f t="shared" si="1049"/>
        <v>0</v>
      </c>
      <c r="AN198" s="2847">
        <f t="shared" si="1049"/>
        <v>0</v>
      </c>
      <c r="AO198" s="2888">
        <f t="shared" ref="AO198:BI198" si="1062">SUM(AO32+AO57+AO102+AO125)</f>
        <v>0</v>
      </c>
      <c r="AP198" s="2888">
        <f t="shared" si="1062"/>
        <v>0</v>
      </c>
      <c r="AQ198" s="2888">
        <f t="shared" si="1062"/>
        <v>0</v>
      </c>
      <c r="AR198" s="2889">
        <f t="shared" si="1062"/>
        <v>0</v>
      </c>
      <c r="AS198" s="2889">
        <f t="shared" si="1062"/>
        <v>0</v>
      </c>
      <c r="AT198" s="2889">
        <f t="shared" si="1062"/>
        <v>0</v>
      </c>
      <c r="AU198" s="2889">
        <f t="shared" si="1062"/>
        <v>0</v>
      </c>
      <c r="AV198" s="2889">
        <f t="shared" si="1062"/>
        <v>0</v>
      </c>
      <c r="AW198" s="2889">
        <f t="shared" si="1062"/>
        <v>0</v>
      </c>
      <c r="AX198" s="2889">
        <f t="shared" si="1062"/>
        <v>0</v>
      </c>
      <c r="AY198" s="2889">
        <f t="shared" si="1062"/>
        <v>0</v>
      </c>
      <c r="AZ198" s="2889">
        <f t="shared" si="1062"/>
        <v>0</v>
      </c>
      <c r="BA198" s="2889">
        <f t="shared" si="1062"/>
        <v>0</v>
      </c>
      <c r="BB198" s="2889">
        <f t="shared" si="1062"/>
        <v>0</v>
      </c>
      <c r="BC198" s="2889">
        <f t="shared" si="1062"/>
        <v>0</v>
      </c>
      <c r="BD198" s="2890">
        <f t="shared" si="1062"/>
        <v>0</v>
      </c>
      <c r="BE198" s="2890">
        <f t="shared" si="1062"/>
        <v>0</v>
      </c>
      <c r="BF198" s="2890">
        <f t="shared" si="1062"/>
        <v>0</v>
      </c>
      <c r="BG198" s="2891">
        <f t="shared" si="1062"/>
        <v>0</v>
      </c>
      <c r="BH198" s="2891">
        <f t="shared" si="1062"/>
        <v>0</v>
      </c>
      <c r="BI198" s="2891">
        <f t="shared" si="1062"/>
        <v>0</v>
      </c>
      <c r="BJ198" s="2847">
        <f t="shared" si="1051"/>
        <v>0</v>
      </c>
      <c r="BK198" s="2847">
        <f t="shared" si="1052"/>
        <v>0</v>
      </c>
      <c r="BL198" s="2847">
        <f t="shared" si="1052"/>
        <v>0</v>
      </c>
      <c r="BM198" s="2888">
        <f t="shared" ref="BM198:CG198" si="1063">SUM(BM32+BM57+BM102+BM125)</f>
        <v>0</v>
      </c>
      <c r="BN198" s="2888">
        <f t="shared" si="1063"/>
        <v>0</v>
      </c>
      <c r="BO198" s="2888">
        <f t="shared" si="1063"/>
        <v>0</v>
      </c>
      <c r="BP198" s="2889">
        <f t="shared" si="1063"/>
        <v>0</v>
      </c>
      <c r="BQ198" s="2889">
        <f t="shared" si="1063"/>
        <v>0</v>
      </c>
      <c r="BR198" s="2889">
        <f t="shared" si="1063"/>
        <v>0</v>
      </c>
      <c r="BS198" s="2889">
        <f t="shared" si="1063"/>
        <v>0</v>
      </c>
      <c r="BT198" s="2889">
        <f t="shared" si="1063"/>
        <v>0</v>
      </c>
      <c r="BU198" s="2889">
        <f t="shared" si="1063"/>
        <v>0</v>
      </c>
      <c r="BV198" s="2889">
        <f t="shared" si="1063"/>
        <v>0</v>
      </c>
      <c r="BW198" s="2889">
        <f t="shared" si="1063"/>
        <v>0</v>
      </c>
      <c r="BX198" s="2889">
        <f t="shared" si="1063"/>
        <v>0</v>
      </c>
      <c r="BY198" s="2889">
        <f t="shared" si="1063"/>
        <v>0</v>
      </c>
      <c r="BZ198" s="2889">
        <f t="shared" si="1063"/>
        <v>0</v>
      </c>
      <c r="CA198" s="2889">
        <f t="shared" si="1063"/>
        <v>0</v>
      </c>
      <c r="CB198" s="2890">
        <f t="shared" si="1063"/>
        <v>0</v>
      </c>
      <c r="CC198" s="2890">
        <f t="shared" si="1063"/>
        <v>0</v>
      </c>
      <c r="CD198" s="2890">
        <f t="shared" si="1063"/>
        <v>0</v>
      </c>
      <c r="CE198" s="2891">
        <f t="shared" si="1063"/>
        <v>0</v>
      </c>
      <c r="CF198" s="2891">
        <f t="shared" si="1063"/>
        <v>0</v>
      </c>
      <c r="CG198" s="2891">
        <f t="shared" si="1063"/>
        <v>0</v>
      </c>
      <c r="CH198" s="2847">
        <f t="shared" si="1054"/>
        <v>0</v>
      </c>
      <c r="CI198" s="2847">
        <f t="shared" si="1055"/>
        <v>0</v>
      </c>
      <c r="CJ198" s="2847">
        <f t="shared" si="1055"/>
        <v>0</v>
      </c>
      <c r="CK198" s="2822"/>
      <c r="CL198" s="2822"/>
      <c r="CM198" s="2822"/>
      <c r="CN198" s="2822"/>
    </row>
    <row r="199" spans="1:92" ht="18.75" x14ac:dyDescent="0.3">
      <c r="A199" s="2864" t="s">
        <v>3</v>
      </c>
      <c r="B199" s="2888">
        <f t="shared" ref="B199:AK199" si="1064">SUM(B33+B58+B100+B126+B67)</f>
        <v>427.55857159484708</v>
      </c>
      <c r="C199" s="2888">
        <f t="shared" si="1064"/>
        <v>427.55857159484708</v>
      </c>
      <c r="D199" s="2888">
        <f t="shared" si="1064"/>
        <v>0</v>
      </c>
      <c r="E199" s="2889">
        <f t="shared" si="1064"/>
        <v>169.02</v>
      </c>
      <c r="F199" s="2889">
        <f t="shared" si="1064"/>
        <v>169.02</v>
      </c>
      <c r="G199" s="2889">
        <f t="shared" si="1064"/>
        <v>0</v>
      </c>
      <c r="H199" s="2889">
        <f t="shared" si="1064"/>
        <v>117.43299999999999</v>
      </c>
      <c r="I199" s="2889">
        <f t="shared" si="1064"/>
        <v>117.43299999999999</v>
      </c>
      <c r="J199" s="2889">
        <f t="shared" si="1064"/>
        <v>0</v>
      </c>
      <c r="K199" s="2889">
        <f t="shared" si="1064"/>
        <v>331.48</v>
      </c>
      <c r="L199" s="2889">
        <f t="shared" si="1064"/>
        <v>331.48</v>
      </c>
      <c r="M199" s="2889">
        <f t="shared" si="1064"/>
        <v>0</v>
      </c>
      <c r="N199" s="2889">
        <f t="shared" si="1064"/>
        <v>617.93299999999999</v>
      </c>
      <c r="O199" s="2889">
        <f t="shared" si="1064"/>
        <v>617.93299999999999</v>
      </c>
      <c r="P199" s="2889">
        <f t="shared" si="1064"/>
        <v>0</v>
      </c>
      <c r="Q199" s="2888">
        <f t="shared" si="1064"/>
        <v>427.55857159484708</v>
      </c>
      <c r="R199" s="2888">
        <f t="shared" si="1064"/>
        <v>427.55857159484708</v>
      </c>
      <c r="S199" s="2888">
        <f t="shared" si="1064"/>
        <v>0</v>
      </c>
      <c r="T199" s="2889">
        <f t="shared" si="1064"/>
        <v>217.79499999999999</v>
      </c>
      <c r="U199" s="2889">
        <f t="shared" si="1064"/>
        <v>217.79499999999999</v>
      </c>
      <c r="V199" s="2889">
        <f t="shared" si="1064"/>
        <v>0</v>
      </c>
      <c r="W199" s="2889">
        <f t="shared" si="1064"/>
        <v>392.57</v>
      </c>
      <c r="X199" s="2889">
        <f t="shared" si="1064"/>
        <v>392.57</v>
      </c>
      <c r="Y199" s="2889">
        <f t="shared" si="1064"/>
        <v>0</v>
      </c>
      <c r="Z199" s="2889">
        <f t="shared" si="1064"/>
        <v>273.23599999999999</v>
      </c>
      <c r="AA199" s="2889">
        <f t="shared" si="1064"/>
        <v>273.23599999999999</v>
      </c>
      <c r="AB199" s="2889">
        <f t="shared" si="1064"/>
        <v>0</v>
      </c>
      <c r="AC199" s="2889">
        <f t="shared" si="1064"/>
        <v>883.60099999999989</v>
      </c>
      <c r="AD199" s="2889">
        <f t="shared" si="1064"/>
        <v>883.60099999999989</v>
      </c>
      <c r="AE199" s="2889">
        <f t="shared" si="1064"/>
        <v>0</v>
      </c>
      <c r="AF199" s="2890">
        <f t="shared" si="1064"/>
        <v>855.11714318969416</v>
      </c>
      <c r="AG199" s="2890">
        <f t="shared" si="1064"/>
        <v>855.11714318969416</v>
      </c>
      <c r="AH199" s="2890">
        <f t="shared" si="1064"/>
        <v>0</v>
      </c>
      <c r="AI199" s="2891">
        <f t="shared" si="1064"/>
        <v>1501.5340000000001</v>
      </c>
      <c r="AJ199" s="2891">
        <f t="shared" si="1064"/>
        <v>1501.5340000000001</v>
      </c>
      <c r="AK199" s="2891">
        <f t="shared" si="1064"/>
        <v>0</v>
      </c>
      <c r="AL199" s="2847">
        <f t="shared" si="1048"/>
        <v>646.41685681030594</v>
      </c>
      <c r="AM199" s="2847">
        <f t="shared" si="1049"/>
        <v>646.41685681030594</v>
      </c>
      <c r="AN199" s="2847">
        <f t="shared" si="1049"/>
        <v>0</v>
      </c>
      <c r="AO199" s="2888">
        <f t="shared" ref="AO199:BI199" si="1065">SUM(AO33+AO58+AO100+AO126+AO67)</f>
        <v>427.55857159484708</v>
      </c>
      <c r="AP199" s="2888">
        <f t="shared" si="1065"/>
        <v>427.55857159484708</v>
      </c>
      <c r="AQ199" s="2888">
        <f t="shared" si="1065"/>
        <v>0</v>
      </c>
      <c r="AR199" s="2889">
        <f t="shared" si="1065"/>
        <v>258.54999999999995</v>
      </c>
      <c r="AS199" s="2889">
        <f t="shared" si="1065"/>
        <v>258.54999999999995</v>
      </c>
      <c r="AT199" s="2889">
        <f t="shared" si="1065"/>
        <v>0</v>
      </c>
      <c r="AU199" s="2889">
        <f t="shared" si="1065"/>
        <v>404.92199999999997</v>
      </c>
      <c r="AV199" s="2889">
        <f t="shared" si="1065"/>
        <v>404.92199999999997</v>
      </c>
      <c r="AW199" s="2889">
        <f t="shared" si="1065"/>
        <v>0</v>
      </c>
      <c r="AX199" s="2889">
        <f t="shared" si="1065"/>
        <v>320.65999999999997</v>
      </c>
      <c r="AY199" s="2889">
        <f t="shared" si="1065"/>
        <v>320.65999999999997</v>
      </c>
      <c r="AZ199" s="2889">
        <f t="shared" si="1065"/>
        <v>0</v>
      </c>
      <c r="BA199" s="2889">
        <f t="shared" si="1065"/>
        <v>984.13199999999995</v>
      </c>
      <c r="BB199" s="2889">
        <f t="shared" si="1065"/>
        <v>984.13199999999995</v>
      </c>
      <c r="BC199" s="2889">
        <f t="shared" si="1065"/>
        <v>0</v>
      </c>
      <c r="BD199" s="2890">
        <f t="shared" si="1065"/>
        <v>1282.6757147845412</v>
      </c>
      <c r="BE199" s="2890">
        <f t="shared" si="1065"/>
        <v>1282.6757147845412</v>
      </c>
      <c r="BF199" s="2890">
        <f t="shared" si="1065"/>
        <v>0</v>
      </c>
      <c r="BG199" s="2891">
        <f t="shared" si="1065"/>
        <v>2485.6659999999997</v>
      </c>
      <c r="BH199" s="2891">
        <f t="shared" si="1065"/>
        <v>2485.6659999999997</v>
      </c>
      <c r="BI199" s="2891">
        <f t="shared" si="1065"/>
        <v>0</v>
      </c>
      <c r="BJ199" s="2847">
        <f t="shared" si="1051"/>
        <v>1202.9902852154585</v>
      </c>
      <c r="BK199" s="2847">
        <f t="shared" si="1052"/>
        <v>1202.9902852154585</v>
      </c>
      <c r="BL199" s="2847">
        <f t="shared" si="1052"/>
        <v>0</v>
      </c>
      <c r="BM199" s="2888">
        <f t="shared" ref="BM199:CG199" si="1066">SUM(BM33+BM58+BM100+BM126+BM67)</f>
        <v>427.55857159484708</v>
      </c>
      <c r="BN199" s="2888">
        <f t="shared" si="1066"/>
        <v>427.55857159484708</v>
      </c>
      <c r="BO199" s="2888">
        <f t="shared" si="1066"/>
        <v>0</v>
      </c>
      <c r="BP199" s="2889">
        <f t="shared" si="1066"/>
        <v>422.51499999999999</v>
      </c>
      <c r="BQ199" s="2889">
        <f t="shared" si="1066"/>
        <v>422.51499999999999</v>
      </c>
      <c r="BR199" s="2889">
        <f t="shared" si="1066"/>
        <v>0</v>
      </c>
      <c r="BS199" s="2889">
        <f t="shared" si="1066"/>
        <v>278.464</v>
      </c>
      <c r="BT199" s="2889">
        <f t="shared" si="1066"/>
        <v>278.464</v>
      </c>
      <c r="BU199" s="2889">
        <f t="shared" si="1066"/>
        <v>0</v>
      </c>
      <c r="BV199" s="2889">
        <f t="shared" si="1066"/>
        <v>146.798</v>
      </c>
      <c r="BW199" s="2889">
        <f t="shared" si="1066"/>
        <v>146.798</v>
      </c>
      <c r="BX199" s="2889">
        <f t="shared" si="1066"/>
        <v>0</v>
      </c>
      <c r="BY199" s="2889">
        <f t="shared" si="1066"/>
        <v>847.77700000000004</v>
      </c>
      <c r="BZ199" s="2889">
        <f t="shared" si="1066"/>
        <v>847.77700000000004</v>
      </c>
      <c r="CA199" s="2889">
        <f t="shared" si="1066"/>
        <v>0</v>
      </c>
      <c r="CB199" s="2890">
        <f t="shared" si="1066"/>
        <v>1710.2342863793883</v>
      </c>
      <c r="CC199" s="2890">
        <f t="shared" si="1066"/>
        <v>1710.2342863793883</v>
      </c>
      <c r="CD199" s="2890">
        <f t="shared" si="1066"/>
        <v>0</v>
      </c>
      <c r="CE199" s="2891">
        <f t="shared" si="1066"/>
        <v>3333.4429999999998</v>
      </c>
      <c r="CF199" s="2891">
        <f t="shared" si="1066"/>
        <v>3333.4429999999998</v>
      </c>
      <c r="CG199" s="2891">
        <f t="shared" si="1066"/>
        <v>0</v>
      </c>
      <c r="CH199" s="2847">
        <f t="shared" si="1054"/>
        <v>1623.2087136206114</v>
      </c>
      <c r="CI199" s="2847">
        <f t="shared" si="1055"/>
        <v>1623.2087136206114</v>
      </c>
      <c r="CJ199" s="2847">
        <f t="shared" si="1055"/>
        <v>0</v>
      </c>
      <c r="CK199" s="2822"/>
      <c r="CL199" s="2822"/>
      <c r="CM199" s="2822"/>
      <c r="CN199" s="2822"/>
    </row>
    <row r="200" spans="1:92" ht="18.75" x14ac:dyDescent="0.3">
      <c r="A200" s="2864" t="s">
        <v>8</v>
      </c>
      <c r="B200" s="2888">
        <f t="shared" ref="B200:D200" si="1067">SUM(B55)</f>
        <v>3138.8682482340892</v>
      </c>
      <c r="C200" s="2888">
        <f t="shared" si="1067"/>
        <v>3138.8682482340892</v>
      </c>
      <c r="D200" s="2888">
        <f t="shared" si="1067"/>
        <v>0</v>
      </c>
      <c r="E200" s="2889">
        <f t="shared" ref="E200:AK200" si="1068">SUM(E55)</f>
        <v>95.14</v>
      </c>
      <c r="F200" s="2889">
        <f t="shared" si="1068"/>
        <v>95.14</v>
      </c>
      <c r="G200" s="2889">
        <f t="shared" si="1068"/>
        <v>0</v>
      </c>
      <c r="H200" s="2889">
        <f t="shared" si="1068"/>
        <v>0</v>
      </c>
      <c r="I200" s="2889">
        <f t="shared" si="1068"/>
        <v>0</v>
      </c>
      <c r="J200" s="2889">
        <f t="shared" si="1068"/>
        <v>0</v>
      </c>
      <c r="K200" s="2889">
        <f t="shared" si="1068"/>
        <v>1577.43</v>
      </c>
      <c r="L200" s="2889">
        <f t="shared" si="1068"/>
        <v>1577.43</v>
      </c>
      <c r="M200" s="2889">
        <f t="shared" si="1068"/>
        <v>0</v>
      </c>
      <c r="N200" s="2889">
        <f t="shared" si="1068"/>
        <v>1672.5700000000002</v>
      </c>
      <c r="O200" s="2889">
        <f t="shared" si="1068"/>
        <v>1672.5700000000002</v>
      </c>
      <c r="P200" s="2889">
        <f t="shared" si="1068"/>
        <v>0</v>
      </c>
      <c r="Q200" s="2888">
        <f t="shared" si="1068"/>
        <v>3138.8682482340892</v>
      </c>
      <c r="R200" s="2888">
        <f t="shared" si="1068"/>
        <v>3138.8682482340892</v>
      </c>
      <c r="S200" s="2888">
        <f t="shared" si="1068"/>
        <v>0</v>
      </c>
      <c r="T200" s="2889">
        <f t="shared" si="1068"/>
        <v>1825.97</v>
      </c>
      <c r="U200" s="2889">
        <f t="shared" si="1068"/>
        <v>1825.97</v>
      </c>
      <c r="V200" s="2889">
        <f t="shared" si="1068"/>
        <v>0</v>
      </c>
      <c r="W200" s="2889">
        <f t="shared" si="1068"/>
        <v>1548.5</v>
      </c>
      <c r="X200" s="2889">
        <f t="shared" si="1068"/>
        <v>1548.5</v>
      </c>
      <c r="Y200" s="2889">
        <f t="shared" si="1068"/>
        <v>0</v>
      </c>
      <c r="Z200" s="2889">
        <f t="shared" si="1068"/>
        <v>180.28</v>
      </c>
      <c r="AA200" s="2889">
        <f t="shared" si="1068"/>
        <v>180.28</v>
      </c>
      <c r="AB200" s="2889">
        <f t="shared" si="1068"/>
        <v>0</v>
      </c>
      <c r="AC200" s="2889">
        <f t="shared" si="1068"/>
        <v>3554.7500000000005</v>
      </c>
      <c r="AD200" s="2889">
        <f t="shared" si="1068"/>
        <v>3554.7500000000005</v>
      </c>
      <c r="AE200" s="2889">
        <f t="shared" si="1068"/>
        <v>0</v>
      </c>
      <c r="AF200" s="2890">
        <f t="shared" si="1068"/>
        <v>6277.7364964681783</v>
      </c>
      <c r="AG200" s="2890">
        <f t="shared" si="1068"/>
        <v>6277.7364964681783</v>
      </c>
      <c r="AH200" s="2890">
        <f t="shared" si="1068"/>
        <v>0</v>
      </c>
      <c r="AI200" s="2891">
        <f t="shared" si="1068"/>
        <v>5227.3200000000006</v>
      </c>
      <c r="AJ200" s="2891">
        <f t="shared" si="1068"/>
        <v>5227.3200000000006</v>
      </c>
      <c r="AK200" s="2891">
        <f t="shared" si="1068"/>
        <v>0</v>
      </c>
      <c r="AL200" s="2847">
        <f t="shared" si="1048"/>
        <v>-1050.4164964681777</v>
      </c>
      <c r="AM200" s="2847">
        <f t="shared" si="1049"/>
        <v>-1050.4164964681777</v>
      </c>
      <c r="AN200" s="2847">
        <f t="shared" si="1049"/>
        <v>0</v>
      </c>
      <c r="AO200" s="2888">
        <f t="shared" ref="AO200:BI200" si="1069">SUM(AO55)</f>
        <v>3138.8682482340892</v>
      </c>
      <c r="AP200" s="2888">
        <f t="shared" si="1069"/>
        <v>3138.8682482340892</v>
      </c>
      <c r="AQ200" s="2888">
        <f t="shared" si="1069"/>
        <v>0</v>
      </c>
      <c r="AR200" s="2889">
        <f t="shared" si="1069"/>
        <v>1354.56</v>
      </c>
      <c r="AS200" s="2889">
        <f t="shared" si="1069"/>
        <v>1354.56</v>
      </c>
      <c r="AT200" s="2889">
        <f t="shared" si="1069"/>
        <v>0</v>
      </c>
      <c r="AU200" s="2889">
        <f t="shared" si="1069"/>
        <v>0</v>
      </c>
      <c r="AV200" s="2889">
        <f t="shared" si="1069"/>
        <v>0</v>
      </c>
      <c r="AW200" s="2889">
        <f t="shared" si="1069"/>
        <v>0</v>
      </c>
      <c r="AX200" s="2889">
        <f t="shared" si="1069"/>
        <v>2032.1210000000001</v>
      </c>
      <c r="AY200" s="2889">
        <f t="shared" si="1069"/>
        <v>2032.1210000000001</v>
      </c>
      <c r="AZ200" s="2889">
        <f t="shared" si="1069"/>
        <v>0</v>
      </c>
      <c r="BA200" s="2889">
        <f t="shared" si="1069"/>
        <v>3386.681</v>
      </c>
      <c r="BB200" s="2889">
        <f t="shared" si="1069"/>
        <v>3386.681</v>
      </c>
      <c r="BC200" s="2889">
        <f t="shared" si="1069"/>
        <v>0</v>
      </c>
      <c r="BD200" s="2890">
        <f t="shared" si="1069"/>
        <v>9416.6047447022684</v>
      </c>
      <c r="BE200" s="2890">
        <f t="shared" si="1069"/>
        <v>9416.6047447022684</v>
      </c>
      <c r="BF200" s="2890">
        <f t="shared" si="1069"/>
        <v>0</v>
      </c>
      <c r="BG200" s="2891">
        <f t="shared" si="1069"/>
        <v>8614.0010000000002</v>
      </c>
      <c r="BH200" s="2891">
        <f t="shared" si="1069"/>
        <v>8614.0010000000002</v>
      </c>
      <c r="BI200" s="2891">
        <f t="shared" si="1069"/>
        <v>0</v>
      </c>
      <c r="BJ200" s="2847">
        <f t="shared" si="1051"/>
        <v>-802.60374470226816</v>
      </c>
      <c r="BK200" s="2847">
        <f t="shared" si="1052"/>
        <v>-802.60374470226816</v>
      </c>
      <c r="BL200" s="2847">
        <f t="shared" si="1052"/>
        <v>0</v>
      </c>
      <c r="BM200" s="2888">
        <f t="shared" ref="BM200:CG200" si="1070">SUM(BM55)</f>
        <v>3138.8682482340892</v>
      </c>
      <c r="BN200" s="2888">
        <f t="shared" si="1070"/>
        <v>3138.8682482340892</v>
      </c>
      <c r="BO200" s="2888">
        <f t="shared" si="1070"/>
        <v>0</v>
      </c>
      <c r="BP200" s="2889">
        <f t="shared" si="1070"/>
        <v>45.954999999999998</v>
      </c>
      <c r="BQ200" s="2889">
        <f t="shared" si="1070"/>
        <v>45.954999999999998</v>
      </c>
      <c r="BR200" s="2889">
        <f t="shared" si="1070"/>
        <v>0</v>
      </c>
      <c r="BS200" s="2889">
        <f t="shared" si="1070"/>
        <v>1109.3520000000001</v>
      </c>
      <c r="BT200" s="2889">
        <f t="shared" si="1070"/>
        <v>1109.3520000000001</v>
      </c>
      <c r="BU200" s="2889">
        <f t="shared" si="1070"/>
        <v>0</v>
      </c>
      <c r="BV200" s="2889">
        <f t="shared" si="1070"/>
        <v>1200.6030000000001</v>
      </c>
      <c r="BW200" s="2889">
        <f t="shared" si="1070"/>
        <v>1200.6030000000001</v>
      </c>
      <c r="BX200" s="2889">
        <f t="shared" si="1070"/>
        <v>0</v>
      </c>
      <c r="BY200" s="2889">
        <f t="shared" si="1070"/>
        <v>2355.91</v>
      </c>
      <c r="BZ200" s="2889">
        <f t="shared" si="1070"/>
        <v>2355.91</v>
      </c>
      <c r="CA200" s="2889">
        <f t="shared" si="1070"/>
        <v>0</v>
      </c>
      <c r="CB200" s="2890">
        <f t="shared" si="1070"/>
        <v>12555.472992936357</v>
      </c>
      <c r="CC200" s="2890">
        <f t="shared" si="1070"/>
        <v>12555.472992936357</v>
      </c>
      <c r="CD200" s="2890">
        <f t="shared" si="1070"/>
        <v>0</v>
      </c>
      <c r="CE200" s="2891">
        <f t="shared" si="1070"/>
        <v>10969.911</v>
      </c>
      <c r="CF200" s="2891">
        <f t="shared" si="1070"/>
        <v>10969.911</v>
      </c>
      <c r="CG200" s="2891">
        <f t="shared" si="1070"/>
        <v>0</v>
      </c>
      <c r="CH200" s="2847">
        <f t="shared" si="1054"/>
        <v>-1585.5619929363565</v>
      </c>
      <c r="CI200" s="2847">
        <f t="shared" si="1055"/>
        <v>-1585.5619929363565</v>
      </c>
      <c r="CJ200" s="2847">
        <f t="shared" si="1055"/>
        <v>0</v>
      </c>
      <c r="CK200" s="2822"/>
      <c r="CL200" s="2822"/>
      <c r="CM200" s="2822"/>
      <c r="CN200" s="2822"/>
    </row>
    <row r="201" spans="1:92" ht="18.75" x14ac:dyDescent="0.3">
      <c r="A201" s="2864" t="s">
        <v>4</v>
      </c>
      <c r="B201" s="2888">
        <f t="shared" ref="B201:AK201" si="1071">SUM(B34+B59+B103+B127+B63)</f>
        <v>14238.845040576341</v>
      </c>
      <c r="C201" s="2888">
        <f t="shared" si="1071"/>
        <v>14234.715290576341</v>
      </c>
      <c r="D201" s="2888">
        <f t="shared" si="1071"/>
        <v>4.1297499999999996</v>
      </c>
      <c r="E201" s="2889">
        <f t="shared" si="1071"/>
        <v>3421.7709999999993</v>
      </c>
      <c r="F201" s="2889">
        <f t="shared" si="1071"/>
        <v>3420.9799999999991</v>
      </c>
      <c r="G201" s="2889">
        <f t="shared" si="1071"/>
        <v>0.79100000000000004</v>
      </c>
      <c r="H201" s="2889">
        <f t="shared" si="1071"/>
        <v>3674.1729999999998</v>
      </c>
      <c r="I201" s="2889">
        <f t="shared" si="1071"/>
        <v>3673.1779999999999</v>
      </c>
      <c r="J201" s="2889">
        <f t="shared" si="1071"/>
        <v>0.995</v>
      </c>
      <c r="K201" s="2889">
        <f t="shared" si="1071"/>
        <v>4281.0949999999993</v>
      </c>
      <c r="L201" s="2889">
        <f t="shared" si="1071"/>
        <v>4279.9349999999995</v>
      </c>
      <c r="M201" s="2889">
        <f t="shared" si="1071"/>
        <v>1.1599999999999999</v>
      </c>
      <c r="N201" s="2889">
        <f t="shared" si="1071"/>
        <v>11377.038999999999</v>
      </c>
      <c r="O201" s="2889">
        <f t="shared" si="1071"/>
        <v>11374.092999999999</v>
      </c>
      <c r="P201" s="2889">
        <f t="shared" si="1071"/>
        <v>2.9459999999999997</v>
      </c>
      <c r="Q201" s="2888">
        <f t="shared" si="1071"/>
        <v>14238.845040576341</v>
      </c>
      <c r="R201" s="2888">
        <f t="shared" si="1071"/>
        <v>14234.715290576341</v>
      </c>
      <c r="S201" s="2888">
        <f t="shared" si="1071"/>
        <v>4.1297499999999996</v>
      </c>
      <c r="T201" s="2889">
        <f t="shared" si="1071"/>
        <v>4103.8500000000004</v>
      </c>
      <c r="U201" s="2889">
        <f t="shared" si="1071"/>
        <v>4102.670000000001</v>
      </c>
      <c r="V201" s="2889">
        <f t="shared" si="1071"/>
        <v>1.18</v>
      </c>
      <c r="W201" s="2889">
        <f t="shared" si="1071"/>
        <v>4436.3600000000006</v>
      </c>
      <c r="X201" s="2889">
        <f t="shared" si="1071"/>
        <v>4435.420000000001</v>
      </c>
      <c r="Y201" s="2889">
        <f t="shared" si="1071"/>
        <v>0.94</v>
      </c>
      <c r="Z201" s="2889">
        <f t="shared" si="1071"/>
        <v>4163.759</v>
      </c>
      <c r="AA201" s="2889">
        <f t="shared" si="1071"/>
        <v>4163.1120000000001</v>
      </c>
      <c r="AB201" s="2889">
        <f t="shared" si="1071"/>
        <v>0.64700000000000002</v>
      </c>
      <c r="AC201" s="2889">
        <f t="shared" si="1071"/>
        <v>12703.969000000001</v>
      </c>
      <c r="AD201" s="2889">
        <f t="shared" si="1071"/>
        <v>12701.202000000001</v>
      </c>
      <c r="AE201" s="2889">
        <f t="shared" si="1071"/>
        <v>2.7670000000000003</v>
      </c>
      <c r="AF201" s="2890">
        <f t="shared" si="1071"/>
        <v>28477.690081152683</v>
      </c>
      <c r="AG201" s="2890">
        <f t="shared" si="1071"/>
        <v>28469.430581152683</v>
      </c>
      <c r="AH201" s="2890">
        <f t="shared" si="1071"/>
        <v>8.2594999999999992</v>
      </c>
      <c r="AI201" s="2891">
        <f t="shared" si="1071"/>
        <v>24081.007999999998</v>
      </c>
      <c r="AJ201" s="2891">
        <f t="shared" si="1071"/>
        <v>24075.295000000002</v>
      </c>
      <c r="AK201" s="2891">
        <f t="shared" si="1071"/>
        <v>5.7130000000000001</v>
      </c>
      <c r="AL201" s="2847">
        <f t="shared" si="1048"/>
        <v>-4396.682081152685</v>
      </c>
      <c r="AM201" s="2847">
        <f t="shared" si="1049"/>
        <v>-4394.135581152681</v>
      </c>
      <c r="AN201" s="2847">
        <f t="shared" si="1049"/>
        <v>-2.5464999999999991</v>
      </c>
      <c r="AO201" s="2888">
        <f t="shared" ref="AO201:BI201" si="1072">SUM(AO34+AO59+AO103+AO127+AO63)</f>
        <v>14238.845040576341</v>
      </c>
      <c r="AP201" s="2888">
        <f t="shared" si="1072"/>
        <v>14234.715290576341</v>
      </c>
      <c r="AQ201" s="2888">
        <f t="shared" si="1072"/>
        <v>4.1297499999999996</v>
      </c>
      <c r="AR201" s="2889">
        <f t="shared" si="1072"/>
        <v>4336.1180000000004</v>
      </c>
      <c r="AS201" s="2889">
        <f t="shared" si="1072"/>
        <v>4335.4680000000008</v>
      </c>
      <c r="AT201" s="2889">
        <f t="shared" si="1072"/>
        <v>0.65</v>
      </c>
      <c r="AU201" s="2889">
        <f t="shared" si="1072"/>
        <v>4027.4160000000002</v>
      </c>
      <c r="AV201" s="2889">
        <f t="shared" si="1072"/>
        <v>4026.23</v>
      </c>
      <c r="AW201" s="2889">
        <f t="shared" si="1072"/>
        <v>1.1859999999999999</v>
      </c>
      <c r="AX201" s="2889">
        <f t="shared" si="1072"/>
        <v>4090.3759999999997</v>
      </c>
      <c r="AY201" s="2889">
        <f t="shared" si="1072"/>
        <v>4088.7649999999999</v>
      </c>
      <c r="AZ201" s="2889">
        <f t="shared" si="1072"/>
        <v>1.611</v>
      </c>
      <c r="BA201" s="2889">
        <f t="shared" si="1072"/>
        <v>12453.91</v>
      </c>
      <c r="BB201" s="2889">
        <f t="shared" si="1072"/>
        <v>12450.463</v>
      </c>
      <c r="BC201" s="2889">
        <f t="shared" si="1072"/>
        <v>3.4470000000000001</v>
      </c>
      <c r="BD201" s="2890">
        <f t="shared" si="1072"/>
        <v>42716.535121729023</v>
      </c>
      <c r="BE201" s="2890">
        <f t="shared" si="1072"/>
        <v>42704.145871729015</v>
      </c>
      <c r="BF201" s="2890">
        <f t="shared" si="1072"/>
        <v>12.389249999999999</v>
      </c>
      <c r="BG201" s="2891">
        <f t="shared" si="1072"/>
        <v>36534.917999999998</v>
      </c>
      <c r="BH201" s="2891">
        <f t="shared" si="1072"/>
        <v>36525.758000000002</v>
      </c>
      <c r="BI201" s="2891">
        <f t="shared" si="1072"/>
        <v>9.16</v>
      </c>
      <c r="BJ201" s="2847">
        <f t="shared" si="1051"/>
        <v>-6181.6171217290248</v>
      </c>
      <c r="BK201" s="2847">
        <f t="shared" si="1052"/>
        <v>-6178.3878717290136</v>
      </c>
      <c r="BL201" s="2847">
        <f t="shared" si="1052"/>
        <v>-3.2292499999999986</v>
      </c>
      <c r="BM201" s="2888">
        <f t="shared" ref="BM201:CG201" si="1073">SUM(BM34+BM59+BM103+BM127+BM63)</f>
        <v>14238.845040576341</v>
      </c>
      <c r="BN201" s="2888">
        <f t="shared" si="1073"/>
        <v>14234.715290576341</v>
      </c>
      <c r="BO201" s="2888">
        <f t="shared" si="1073"/>
        <v>4.1297499999999996</v>
      </c>
      <c r="BP201" s="2889">
        <f t="shared" si="1073"/>
        <v>3731.7527899999995</v>
      </c>
      <c r="BQ201" s="2889">
        <f t="shared" si="1073"/>
        <v>3731.0249999999996</v>
      </c>
      <c r="BR201" s="2889">
        <f t="shared" si="1073"/>
        <v>0.72779000000000005</v>
      </c>
      <c r="BS201" s="2889">
        <f t="shared" si="1073"/>
        <v>3999.4340000000002</v>
      </c>
      <c r="BT201" s="2889">
        <f t="shared" si="1073"/>
        <v>3998.328</v>
      </c>
      <c r="BU201" s="2889">
        <f t="shared" si="1073"/>
        <v>1.1060000000000001</v>
      </c>
      <c r="BV201" s="2889">
        <f t="shared" si="1073"/>
        <v>4675.4380000000001</v>
      </c>
      <c r="BW201" s="2889">
        <f t="shared" si="1073"/>
        <v>4674.3419999999996</v>
      </c>
      <c r="BX201" s="2889">
        <f t="shared" si="1073"/>
        <v>1.0960000000000001</v>
      </c>
      <c r="BY201" s="2889">
        <f t="shared" si="1073"/>
        <v>12406.624789999998</v>
      </c>
      <c r="BZ201" s="2889">
        <f t="shared" si="1073"/>
        <v>12403.694999999998</v>
      </c>
      <c r="CA201" s="2889">
        <f t="shared" si="1073"/>
        <v>2.9297900000000001</v>
      </c>
      <c r="CB201" s="2890">
        <f t="shared" si="1073"/>
        <v>56955.380162305366</v>
      </c>
      <c r="CC201" s="2890">
        <f t="shared" si="1073"/>
        <v>56938.861162305366</v>
      </c>
      <c r="CD201" s="2890">
        <f t="shared" si="1073"/>
        <v>16.518999999999998</v>
      </c>
      <c r="CE201" s="2891">
        <f t="shared" si="1073"/>
        <v>48941.542789999992</v>
      </c>
      <c r="CF201" s="2891">
        <f t="shared" si="1073"/>
        <v>48929.452999999994</v>
      </c>
      <c r="CG201" s="2891">
        <f t="shared" si="1073"/>
        <v>12.089790000000001</v>
      </c>
      <c r="CH201" s="2847">
        <f t="shared" si="1054"/>
        <v>-8013.8373723053737</v>
      </c>
      <c r="CI201" s="2847">
        <f t="shared" si="1055"/>
        <v>-8009.4081623053717</v>
      </c>
      <c r="CJ201" s="2847">
        <f t="shared" si="1055"/>
        <v>-4.4292099999999976</v>
      </c>
      <c r="CK201" s="2822"/>
      <c r="CL201" s="2822"/>
      <c r="CM201" s="2822"/>
      <c r="CN201" s="2822"/>
    </row>
    <row r="202" spans="1:92" ht="18.75" x14ac:dyDescent="0.3">
      <c r="A202" s="2864" t="s">
        <v>5</v>
      </c>
      <c r="B202" s="2888">
        <f t="shared" ref="B202:AK202" si="1074">SUM(B35+B60+B104+B128+B64)</f>
        <v>4264.7596719819594</v>
      </c>
      <c r="C202" s="2888">
        <f t="shared" si="1074"/>
        <v>4263.516614563141</v>
      </c>
      <c r="D202" s="2888">
        <f t="shared" si="1074"/>
        <v>1.2430574188184058</v>
      </c>
      <c r="E202" s="2889">
        <f t="shared" si="1074"/>
        <v>1033.2190000000001</v>
      </c>
      <c r="F202" s="2889">
        <f t="shared" si="1074"/>
        <v>1032.98</v>
      </c>
      <c r="G202" s="2889">
        <f t="shared" si="1074"/>
        <v>0.23899999999999999</v>
      </c>
      <c r="H202" s="2889">
        <f t="shared" si="1074"/>
        <v>1109.8874900000001</v>
      </c>
      <c r="I202" s="2889">
        <f t="shared" si="1074"/>
        <v>1109.587</v>
      </c>
      <c r="J202" s="2889">
        <f t="shared" si="1074"/>
        <v>0.30048999999999998</v>
      </c>
      <c r="K202" s="2889">
        <f t="shared" si="1074"/>
        <v>1295.9299999999998</v>
      </c>
      <c r="L202" s="2889">
        <f t="shared" si="1074"/>
        <v>1295.58</v>
      </c>
      <c r="M202" s="2889">
        <f t="shared" si="1074"/>
        <v>0.35</v>
      </c>
      <c r="N202" s="2889">
        <f t="shared" si="1074"/>
        <v>3439.03649</v>
      </c>
      <c r="O202" s="2889">
        <f t="shared" si="1074"/>
        <v>3438.1469999999995</v>
      </c>
      <c r="P202" s="2889">
        <f t="shared" si="1074"/>
        <v>0.88949</v>
      </c>
      <c r="Q202" s="2888">
        <f t="shared" si="1074"/>
        <v>4264.7596719819594</v>
      </c>
      <c r="R202" s="2888">
        <f t="shared" si="1074"/>
        <v>4263.516614563141</v>
      </c>
      <c r="S202" s="2888">
        <f t="shared" si="1074"/>
        <v>1.2430574188184058</v>
      </c>
      <c r="T202" s="2889">
        <f t="shared" si="1074"/>
        <v>1235.6400000000001</v>
      </c>
      <c r="U202" s="2889">
        <f t="shared" si="1074"/>
        <v>1235.28</v>
      </c>
      <c r="V202" s="2889">
        <f t="shared" si="1074"/>
        <v>0.36</v>
      </c>
      <c r="W202" s="2889">
        <f t="shared" si="1074"/>
        <v>1331.8299999999997</v>
      </c>
      <c r="X202" s="2889">
        <f t="shared" si="1074"/>
        <v>1331.5499999999997</v>
      </c>
      <c r="Y202" s="2889">
        <f t="shared" si="1074"/>
        <v>0.28000000000000003</v>
      </c>
      <c r="Z202" s="2889">
        <f t="shared" si="1074"/>
        <v>1255.0229999999999</v>
      </c>
      <c r="AA202" s="2889">
        <f t="shared" si="1074"/>
        <v>1254.827</v>
      </c>
      <c r="AB202" s="2889">
        <f t="shared" si="1074"/>
        <v>0.19600000000000001</v>
      </c>
      <c r="AC202" s="2889">
        <f t="shared" si="1074"/>
        <v>3822.4929999999999</v>
      </c>
      <c r="AD202" s="2889">
        <f t="shared" si="1074"/>
        <v>3821.6569999999997</v>
      </c>
      <c r="AE202" s="2889">
        <f t="shared" si="1074"/>
        <v>0.83600000000000008</v>
      </c>
      <c r="AF202" s="2890">
        <f t="shared" si="1074"/>
        <v>8529.5193439639188</v>
      </c>
      <c r="AG202" s="2890">
        <f t="shared" si="1074"/>
        <v>8527.0332291262821</v>
      </c>
      <c r="AH202" s="2890">
        <f t="shared" si="1074"/>
        <v>2.4861148376368116</v>
      </c>
      <c r="AI202" s="2891">
        <f t="shared" si="1074"/>
        <v>7261.529489999999</v>
      </c>
      <c r="AJ202" s="2891">
        <f t="shared" si="1074"/>
        <v>7259.8039999999983</v>
      </c>
      <c r="AK202" s="2891">
        <f t="shared" si="1074"/>
        <v>1.7254900000000002</v>
      </c>
      <c r="AL202" s="2847">
        <f t="shared" si="1048"/>
        <v>-1267.9898539639198</v>
      </c>
      <c r="AM202" s="2847">
        <f t="shared" si="1049"/>
        <v>-1267.2292291262838</v>
      </c>
      <c r="AN202" s="2847">
        <f t="shared" si="1049"/>
        <v>-0.76062483763681144</v>
      </c>
      <c r="AO202" s="2888">
        <f t="shared" ref="AO202:BI202" si="1075">SUM(AO35+AO60+AO104+AO128+AO64)</f>
        <v>4264.7596719819594</v>
      </c>
      <c r="AP202" s="2888">
        <f t="shared" si="1075"/>
        <v>4263.516614563141</v>
      </c>
      <c r="AQ202" s="2888">
        <f t="shared" si="1075"/>
        <v>1.2430574188184058</v>
      </c>
      <c r="AR202" s="2889">
        <f t="shared" si="1075"/>
        <v>1295.434</v>
      </c>
      <c r="AS202" s="2889">
        <f t="shared" si="1075"/>
        <v>1295.239</v>
      </c>
      <c r="AT202" s="2889">
        <f t="shared" si="1075"/>
        <v>0.19500000000000001</v>
      </c>
      <c r="AU202" s="2889">
        <f t="shared" si="1075"/>
        <v>1216.4679999999998</v>
      </c>
      <c r="AV202" s="2889">
        <f t="shared" si="1075"/>
        <v>1216.1099999999999</v>
      </c>
      <c r="AW202" s="2889">
        <f t="shared" si="1075"/>
        <v>0.35799999999999998</v>
      </c>
      <c r="AX202" s="2889">
        <f t="shared" si="1075"/>
        <v>1252.8150000000003</v>
      </c>
      <c r="AY202" s="2889">
        <f t="shared" si="1075"/>
        <v>1252.3280000000002</v>
      </c>
      <c r="AZ202" s="2889">
        <f t="shared" si="1075"/>
        <v>0.48699999999999999</v>
      </c>
      <c r="BA202" s="2889">
        <f t="shared" si="1075"/>
        <v>3764.7170000000001</v>
      </c>
      <c r="BB202" s="2889">
        <f t="shared" si="1075"/>
        <v>3763.6770000000001</v>
      </c>
      <c r="BC202" s="2889">
        <f t="shared" si="1075"/>
        <v>1.04</v>
      </c>
      <c r="BD202" s="2890">
        <f t="shared" si="1075"/>
        <v>12794.279015945878</v>
      </c>
      <c r="BE202" s="2890">
        <f t="shared" si="1075"/>
        <v>12790.549843689423</v>
      </c>
      <c r="BF202" s="2890">
        <f t="shared" si="1075"/>
        <v>3.7291722564552172</v>
      </c>
      <c r="BG202" s="2891">
        <f t="shared" si="1075"/>
        <v>11026.246490000001</v>
      </c>
      <c r="BH202" s="2891">
        <f t="shared" si="1075"/>
        <v>11023.481</v>
      </c>
      <c r="BI202" s="2891">
        <f t="shared" si="1075"/>
        <v>2.7654900000000002</v>
      </c>
      <c r="BJ202" s="2847">
        <f t="shared" si="1051"/>
        <v>-1768.0325259458768</v>
      </c>
      <c r="BK202" s="2847">
        <f t="shared" si="1052"/>
        <v>-1767.0688436894234</v>
      </c>
      <c r="BL202" s="2847">
        <f t="shared" si="1052"/>
        <v>-0.96368225645521699</v>
      </c>
      <c r="BM202" s="2888">
        <f t="shared" ref="BM202:CG202" si="1076">SUM(BM35+BM60+BM104+BM128+BM64)</f>
        <v>4264.7596719819594</v>
      </c>
      <c r="BN202" s="2888">
        <f t="shared" si="1076"/>
        <v>4263.516614563141</v>
      </c>
      <c r="BO202" s="2888">
        <f t="shared" si="1076"/>
        <v>1.2430574188184058</v>
      </c>
      <c r="BP202" s="2889">
        <f t="shared" si="1076"/>
        <v>1121.4687899999999</v>
      </c>
      <c r="BQ202" s="2889">
        <f t="shared" si="1076"/>
        <v>1121.249</v>
      </c>
      <c r="BR202" s="2889">
        <f t="shared" si="1076"/>
        <v>0.21979000000000001</v>
      </c>
      <c r="BS202" s="2889">
        <f t="shared" si="1076"/>
        <v>1252.5059000000001</v>
      </c>
      <c r="BT202" s="2889">
        <f t="shared" si="1076"/>
        <v>1252.172</v>
      </c>
      <c r="BU202" s="2889">
        <f t="shared" si="1076"/>
        <v>0.33389999999999997</v>
      </c>
      <c r="BV202" s="2889">
        <f t="shared" si="1076"/>
        <v>1223.7600999999997</v>
      </c>
      <c r="BW202" s="2889">
        <f t="shared" si="1076"/>
        <v>1223.4280999999999</v>
      </c>
      <c r="BX202" s="2889">
        <f t="shared" si="1076"/>
        <v>0.33200000000000002</v>
      </c>
      <c r="BY202" s="2889">
        <f t="shared" si="1076"/>
        <v>3597.7347899999995</v>
      </c>
      <c r="BZ202" s="2889">
        <f t="shared" si="1076"/>
        <v>3596.8490999999995</v>
      </c>
      <c r="CA202" s="2889">
        <f t="shared" si="1076"/>
        <v>0.88569000000000009</v>
      </c>
      <c r="CB202" s="2890">
        <f t="shared" si="1076"/>
        <v>17059.038687927838</v>
      </c>
      <c r="CC202" s="2890">
        <f t="shared" si="1076"/>
        <v>17054.066458252564</v>
      </c>
      <c r="CD202" s="2890">
        <f t="shared" si="1076"/>
        <v>4.9722296752736233</v>
      </c>
      <c r="CE202" s="2891">
        <f t="shared" si="1076"/>
        <v>14623.981279999998</v>
      </c>
      <c r="CF202" s="2891">
        <f t="shared" si="1076"/>
        <v>14620.330099999997</v>
      </c>
      <c r="CG202" s="2891">
        <f t="shared" si="1076"/>
        <v>3.6511800000000001</v>
      </c>
      <c r="CH202" s="2847">
        <f t="shared" si="1054"/>
        <v>-2435.0574079278394</v>
      </c>
      <c r="CI202" s="2847">
        <f t="shared" si="1055"/>
        <v>-2433.7363582525668</v>
      </c>
      <c r="CJ202" s="2847">
        <f t="shared" si="1055"/>
        <v>-1.3210496752736232</v>
      </c>
      <c r="CK202" s="2822"/>
      <c r="CL202" s="2822"/>
      <c r="CM202" s="2822"/>
      <c r="CN202" s="2822"/>
    </row>
    <row r="203" spans="1:92" ht="18.75" x14ac:dyDescent="0.3">
      <c r="A203" s="2869" t="s">
        <v>310</v>
      </c>
      <c r="B203" s="2892">
        <f t="shared" ref="B203:D203" si="1077">SUM(B202/B201)</f>
        <v>0.29951584274066489</v>
      </c>
      <c r="C203" s="2892">
        <f t="shared" si="1077"/>
        <v>0.29951541197214332</v>
      </c>
      <c r="D203" s="2892">
        <f t="shared" si="1077"/>
        <v>0.30100064624212264</v>
      </c>
      <c r="E203" s="2892">
        <f t="shared" ref="E203:AK203" si="1078">SUM(E202/E201)</f>
        <v>0.30195445574820767</v>
      </c>
      <c r="F203" s="2892">
        <f t="shared" si="1078"/>
        <v>0.30195441072441237</v>
      </c>
      <c r="G203" s="2892">
        <f t="shared" si="1078"/>
        <v>0.30214917825537291</v>
      </c>
      <c r="H203" s="2892">
        <f t="shared" si="1078"/>
        <v>0.30207817922563801</v>
      </c>
      <c r="I203" s="2892">
        <f t="shared" si="1078"/>
        <v>0.30207820040302974</v>
      </c>
      <c r="J203" s="2892">
        <f t="shared" si="1078"/>
        <v>0.30199999999999999</v>
      </c>
      <c r="K203" s="2892">
        <f t="shared" si="1078"/>
        <v>0.30270993752766523</v>
      </c>
      <c r="L203" s="2892">
        <f t="shared" si="1078"/>
        <v>0.30271020471105287</v>
      </c>
      <c r="M203" s="2892">
        <f t="shared" si="1078"/>
        <v>0.30172413793103448</v>
      </c>
      <c r="N203" s="2892">
        <f t="shared" si="1078"/>
        <v>0.30227869395543078</v>
      </c>
      <c r="O203" s="2892">
        <f t="shared" si="1078"/>
        <v>0.30227878389951618</v>
      </c>
      <c r="P203" s="2892">
        <f t="shared" si="1078"/>
        <v>0.30193143245078075</v>
      </c>
      <c r="Q203" s="2892">
        <f t="shared" si="1078"/>
        <v>0.29951584274066489</v>
      </c>
      <c r="R203" s="2892">
        <f t="shared" si="1078"/>
        <v>0.29951541197214332</v>
      </c>
      <c r="S203" s="2892">
        <f t="shared" si="1078"/>
        <v>0.30100064624212264</v>
      </c>
      <c r="T203" s="2892">
        <f t="shared" si="1078"/>
        <v>0.30109287620161557</v>
      </c>
      <c r="U203" s="2892">
        <f t="shared" si="1078"/>
        <v>0.30109172806976914</v>
      </c>
      <c r="V203" s="2892">
        <f t="shared" si="1078"/>
        <v>0.30508474576271188</v>
      </c>
      <c r="W203" s="2892">
        <f t="shared" si="1078"/>
        <v>0.30020782803920321</v>
      </c>
      <c r="X203" s="2892">
        <f t="shared" si="1078"/>
        <v>0.30020832299985106</v>
      </c>
      <c r="Y203" s="2892">
        <f t="shared" si="1078"/>
        <v>0.29787234042553196</v>
      </c>
      <c r="Z203" s="2892">
        <f t="shared" si="1078"/>
        <v>0.30141586004377291</v>
      </c>
      <c r="AA203" s="2892">
        <f t="shared" si="1078"/>
        <v>0.30141562369688829</v>
      </c>
      <c r="AB203" s="2892">
        <f t="shared" si="1078"/>
        <v>0.30293663060278209</v>
      </c>
      <c r="AC203" s="2892">
        <f t="shared" si="1078"/>
        <v>0.300889666843488</v>
      </c>
      <c r="AD203" s="2892">
        <f t="shared" si="1078"/>
        <v>0.3008893961374679</v>
      </c>
      <c r="AE203" s="2892">
        <f t="shared" si="1078"/>
        <v>0.30213227322009395</v>
      </c>
      <c r="AF203" s="2893">
        <f t="shared" si="1078"/>
        <v>0.29951584274066489</v>
      </c>
      <c r="AG203" s="2893">
        <f t="shared" si="1078"/>
        <v>0.29951541197214332</v>
      </c>
      <c r="AH203" s="2893">
        <f t="shared" si="1078"/>
        <v>0.30100064624212264</v>
      </c>
      <c r="AI203" s="2893">
        <f t="shared" si="1078"/>
        <v>0.30154591078579435</v>
      </c>
      <c r="AJ203" s="2893">
        <f t="shared" si="1078"/>
        <v>0.30154579621973471</v>
      </c>
      <c r="AK203" s="2893">
        <f t="shared" si="1078"/>
        <v>0.3020287064589533</v>
      </c>
      <c r="AL203" s="2851">
        <f t="shared" ref="AL203" si="1079">SUM(AI203-AF203)</f>
        <v>2.0300680451294517E-3</v>
      </c>
      <c r="AM203" s="2851">
        <f t="shared" si="1049"/>
        <v>2.030384247591388E-3</v>
      </c>
      <c r="AN203" s="2851">
        <f t="shared" si="1049"/>
        <v>1.0280602168306618E-3</v>
      </c>
      <c r="AO203" s="2892">
        <f t="shared" ref="AO203:BI203" si="1080">SUM(AO202/AO201)</f>
        <v>0.29951584274066489</v>
      </c>
      <c r="AP203" s="2892">
        <f t="shared" si="1080"/>
        <v>0.29951541197214332</v>
      </c>
      <c r="AQ203" s="2892">
        <f t="shared" si="1080"/>
        <v>0.30100064624212264</v>
      </c>
      <c r="AR203" s="2892">
        <f t="shared" si="1080"/>
        <v>0.29875432356776266</v>
      </c>
      <c r="AS203" s="2892">
        <f t="shared" si="1080"/>
        <v>0.29875413680829838</v>
      </c>
      <c r="AT203" s="2892">
        <f t="shared" si="1080"/>
        <v>0.3</v>
      </c>
      <c r="AU203" s="2892">
        <f t="shared" si="1080"/>
        <v>0.30204677142862812</v>
      </c>
      <c r="AV203" s="2892">
        <f t="shared" si="1080"/>
        <v>0.30204682792587606</v>
      </c>
      <c r="AW203" s="2892">
        <f t="shared" si="1080"/>
        <v>0.30185497470489037</v>
      </c>
      <c r="AX203" s="2892">
        <f t="shared" si="1080"/>
        <v>0.3062835788201379</v>
      </c>
      <c r="AY203" s="2892">
        <f t="shared" si="1080"/>
        <v>0.30628514967233389</v>
      </c>
      <c r="AZ203" s="2892">
        <f t="shared" si="1080"/>
        <v>0.30229671011793918</v>
      </c>
      <c r="BA203" s="2892">
        <f t="shared" si="1080"/>
        <v>0.30229197095530641</v>
      </c>
      <c r="BB203" s="2892">
        <f t="shared" si="1080"/>
        <v>0.30229213162594837</v>
      </c>
      <c r="BC203" s="2892">
        <f t="shared" si="1080"/>
        <v>0.3017116333043226</v>
      </c>
      <c r="BD203" s="2893">
        <f t="shared" si="1080"/>
        <v>0.29951584274066489</v>
      </c>
      <c r="BE203" s="2893">
        <f t="shared" si="1080"/>
        <v>0.29951541197214343</v>
      </c>
      <c r="BF203" s="2893">
        <f t="shared" si="1080"/>
        <v>0.30100064624212264</v>
      </c>
      <c r="BG203" s="2893">
        <f t="shared" si="1080"/>
        <v>0.30180022547197183</v>
      </c>
      <c r="BH203" s="2893">
        <f t="shared" si="1080"/>
        <v>0.30180019809582048</v>
      </c>
      <c r="BI203" s="2893">
        <f t="shared" si="1080"/>
        <v>0.30190938864628825</v>
      </c>
      <c r="BJ203" s="2851">
        <f t="shared" ref="BJ203" si="1081">SUM(BG203-BD203)</f>
        <v>2.2843827313069331E-3</v>
      </c>
      <c r="BK203" s="2851">
        <f t="shared" si="1052"/>
        <v>2.2847861236770517E-3</v>
      </c>
      <c r="BL203" s="2851">
        <f t="shared" si="1052"/>
        <v>9.0874240416560781E-4</v>
      </c>
      <c r="BM203" s="2892">
        <f t="shared" ref="BM203:CG203" si="1082">SUM(BM202/BM201)</f>
        <v>0.29951584274066489</v>
      </c>
      <c r="BN203" s="2892">
        <f t="shared" si="1082"/>
        <v>0.29951541197214332</v>
      </c>
      <c r="BO203" s="2892">
        <f t="shared" si="1082"/>
        <v>0.30100064624212264</v>
      </c>
      <c r="BP203" s="2892">
        <f t="shared" si="1082"/>
        <v>0.3005206542633817</v>
      </c>
      <c r="BQ203" s="2892">
        <f t="shared" si="1082"/>
        <v>0.30052036638725288</v>
      </c>
      <c r="BR203" s="2892">
        <f t="shared" si="1082"/>
        <v>0.30199645502136607</v>
      </c>
      <c r="BS203" s="2892">
        <f t="shared" si="1082"/>
        <v>0.31317078866659631</v>
      </c>
      <c r="BT203" s="2892">
        <f t="shared" si="1082"/>
        <v>0.31317390669299766</v>
      </c>
      <c r="BU203" s="2892">
        <f t="shared" si="1082"/>
        <v>0.30189873417721513</v>
      </c>
      <c r="BV203" s="2892">
        <f t="shared" si="1082"/>
        <v>0.26174234371196875</v>
      </c>
      <c r="BW203" s="2892">
        <f t="shared" si="1082"/>
        <v>0.26173268879341732</v>
      </c>
      <c r="BX203" s="2892">
        <f t="shared" si="1082"/>
        <v>0.3029197080291971</v>
      </c>
      <c r="BY203" s="2892">
        <f t="shared" si="1082"/>
        <v>0.28998497584128197</v>
      </c>
      <c r="BZ203" s="2892">
        <f t="shared" si="1082"/>
        <v>0.28998206582796499</v>
      </c>
      <c r="CA203" s="2892">
        <f t="shared" si="1082"/>
        <v>0.30230494335771507</v>
      </c>
      <c r="CB203" s="2893">
        <f t="shared" si="1082"/>
        <v>0.29951584274066489</v>
      </c>
      <c r="CC203" s="2893">
        <f t="shared" si="1082"/>
        <v>0.29951541197214332</v>
      </c>
      <c r="CD203" s="2893">
        <f t="shared" si="1082"/>
        <v>0.30100064624212264</v>
      </c>
      <c r="CE203" s="2893">
        <f t="shared" si="1082"/>
        <v>0.29880507328404143</v>
      </c>
      <c r="CF203" s="2893">
        <f t="shared" si="1082"/>
        <v>0.29880428256575847</v>
      </c>
      <c r="CG203" s="2893">
        <f t="shared" si="1082"/>
        <v>0.30200524574868542</v>
      </c>
      <c r="CH203" s="2894">
        <f t="shared" si="1054"/>
        <v>-7.1076945662346125E-4</v>
      </c>
      <c r="CI203" s="2894">
        <f t="shared" si="1055"/>
        <v>-7.1112940638484723E-4</v>
      </c>
      <c r="CJ203" s="2894">
        <f t="shared" si="1055"/>
        <v>1.0045995065627866E-3</v>
      </c>
      <c r="CK203" s="2822"/>
      <c r="CL203" s="2822"/>
      <c r="CM203" s="2822"/>
      <c r="CN203" s="2822"/>
    </row>
    <row r="204" spans="1:92" ht="18.75" x14ac:dyDescent="0.3">
      <c r="A204" s="2864" t="s">
        <v>3756</v>
      </c>
      <c r="B204" s="2888">
        <f t="shared" ref="B204:AK204" si="1083">SUM(B37+B71+B106+B130+B69)</f>
        <v>4856.5982390288273</v>
      </c>
      <c r="C204" s="2888">
        <f t="shared" si="1083"/>
        <v>4856.5982390288273</v>
      </c>
      <c r="D204" s="2888">
        <f t="shared" si="1083"/>
        <v>0</v>
      </c>
      <c r="E204" s="2889">
        <f t="shared" si="1083"/>
        <v>2003.16779</v>
      </c>
      <c r="F204" s="2889">
        <f t="shared" si="1083"/>
        <v>2003.16779</v>
      </c>
      <c r="G204" s="2889">
        <f t="shared" si="1083"/>
        <v>0</v>
      </c>
      <c r="H204" s="2889">
        <f t="shared" si="1083"/>
        <v>1814.5847899999997</v>
      </c>
      <c r="I204" s="2889">
        <f t="shared" si="1083"/>
        <v>1814.5847899999997</v>
      </c>
      <c r="J204" s="2889">
        <f t="shared" si="1083"/>
        <v>0</v>
      </c>
      <c r="K204" s="2889">
        <f t="shared" si="1083"/>
        <v>2243.6584300000004</v>
      </c>
      <c r="L204" s="2889">
        <f t="shared" si="1083"/>
        <v>2243.6584300000004</v>
      </c>
      <c r="M204" s="2889">
        <f t="shared" si="1083"/>
        <v>0</v>
      </c>
      <c r="N204" s="2889">
        <f t="shared" si="1083"/>
        <v>6061.4110100000007</v>
      </c>
      <c r="O204" s="2889">
        <f t="shared" si="1083"/>
        <v>6061.4110100000007</v>
      </c>
      <c r="P204" s="2889">
        <f t="shared" si="1083"/>
        <v>0</v>
      </c>
      <c r="Q204" s="2888">
        <f t="shared" si="1083"/>
        <v>4856.5982390288273</v>
      </c>
      <c r="R204" s="2888">
        <f t="shared" si="1083"/>
        <v>4856.5982390288273</v>
      </c>
      <c r="S204" s="2888">
        <f t="shared" si="1083"/>
        <v>0</v>
      </c>
      <c r="T204" s="2889">
        <f t="shared" si="1083"/>
        <v>1660.37</v>
      </c>
      <c r="U204" s="2889">
        <f t="shared" si="1083"/>
        <v>1660.37</v>
      </c>
      <c r="V204" s="2889">
        <f t="shared" si="1083"/>
        <v>0</v>
      </c>
      <c r="W204" s="2889">
        <f t="shared" si="1083"/>
        <v>1476.2850000000001</v>
      </c>
      <c r="X204" s="2889">
        <f t="shared" si="1083"/>
        <v>1476.2850000000001</v>
      </c>
      <c r="Y204" s="2889">
        <f t="shared" si="1083"/>
        <v>0</v>
      </c>
      <c r="Z204" s="2889">
        <f t="shared" si="1083"/>
        <v>1342.886</v>
      </c>
      <c r="AA204" s="2889">
        <f t="shared" si="1083"/>
        <v>1342.886</v>
      </c>
      <c r="AB204" s="2889">
        <f t="shared" si="1083"/>
        <v>0</v>
      </c>
      <c r="AC204" s="2889">
        <f t="shared" si="1083"/>
        <v>4479.5409999999993</v>
      </c>
      <c r="AD204" s="2889">
        <f t="shared" si="1083"/>
        <v>4479.5409999999993</v>
      </c>
      <c r="AE204" s="2889">
        <f t="shared" si="1083"/>
        <v>0</v>
      </c>
      <c r="AF204" s="2890">
        <f t="shared" si="1083"/>
        <v>9713.1964780576545</v>
      </c>
      <c r="AG204" s="2890">
        <f t="shared" si="1083"/>
        <v>9713.1964780576545</v>
      </c>
      <c r="AH204" s="2890">
        <f t="shared" si="1083"/>
        <v>0</v>
      </c>
      <c r="AI204" s="2891">
        <f t="shared" si="1083"/>
        <v>10540.952009999999</v>
      </c>
      <c r="AJ204" s="2891">
        <f t="shared" si="1083"/>
        <v>10540.952009999999</v>
      </c>
      <c r="AK204" s="2891">
        <f t="shared" si="1083"/>
        <v>0</v>
      </c>
      <c r="AL204" s="2847">
        <f t="shared" si="1048"/>
        <v>827.75553194234453</v>
      </c>
      <c r="AM204" s="2847">
        <f t="shared" si="1049"/>
        <v>827.75553194234453</v>
      </c>
      <c r="AN204" s="2847">
        <f t="shared" si="1049"/>
        <v>0</v>
      </c>
      <c r="AO204" s="2888">
        <f t="shared" ref="AO204:BI204" si="1084">SUM(AO37+AO71+AO106+AO130+AO69)</f>
        <v>4856.5982390288273</v>
      </c>
      <c r="AP204" s="2888">
        <f t="shared" si="1084"/>
        <v>4856.5982390288273</v>
      </c>
      <c r="AQ204" s="2888">
        <f t="shared" si="1084"/>
        <v>0</v>
      </c>
      <c r="AR204" s="2889">
        <f t="shared" si="1084"/>
        <v>1685.1020000000001</v>
      </c>
      <c r="AS204" s="2889">
        <f t="shared" si="1084"/>
        <v>1685.1020000000001</v>
      </c>
      <c r="AT204" s="2889">
        <f t="shared" si="1084"/>
        <v>0</v>
      </c>
      <c r="AU204" s="2889">
        <f t="shared" si="1084"/>
        <v>1330.8639999999998</v>
      </c>
      <c r="AV204" s="2889">
        <f t="shared" si="1084"/>
        <v>1330.8639999999998</v>
      </c>
      <c r="AW204" s="2889">
        <f t="shared" si="1084"/>
        <v>0</v>
      </c>
      <c r="AX204" s="2889">
        <f t="shared" si="1084"/>
        <v>1745.9119999999998</v>
      </c>
      <c r="AY204" s="2889">
        <f t="shared" si="1084"/>
        <v>1745.9119999999998</v>
      </c>
      <c r="AZ204" s="2889">
        <f t="shared" si="1084"/>
        <v>0</v>
      </c>
      <c r="BA204" s="2889">
        <f t="shared" si="1084"/>
        <v>4761.8779999999997</v>
      </c>
      <c r="BB204" s="2889">
        <f t="shared" si="1084"/>
        <v>4761.8779999999997</v>
      </c>
      <c r="BC204" s="2889">
        <f t="shared" si="1084"/>
        <v>0</v>
      </c>
      <c r="BD204" s="2890">
        <f t="shared" si="1084"/>
        <v>14569.794717086483</v>
      </c>
      <c r="BE204" s="2890">
        <f t="shared" si="1084"/>
        <v>14569.794717086483</v>
      </c>
      <c r="BF204" s="2890">
        <f t="shared" si="1084"/>
        <v>0</v>
      </c>
      <c r="BG204" s="2891">
        <f t="shared" si="1084"/>
        <v>15302.830009999998</v>
      </c>
      <c r="BH204" s="2891">
        <f t="shared" si="1084"/>
        <v>15302.830009999998</v>
      </c>
      <c r="BI204" s="2891">
        <f t="shared" si="1084"/>
        <v>0</v>
      </c>
      <c r="BJ204" s="2847">
        <f t="shared" si="1051"/>
        <v>733.03529291351515</v>
      </c>
      <c r="BK204" s="2847">
        <f t="shared" si="1052"/>
        <v>733.03529291351515</v>
      </c>
      <c r="BL204" s="2847">
        <f t="shared" si="1052"/>
        <v>0</v>
      </c>
      <c r="BM204" s="2888">
        <f t="shared" ref="BM204:CG204" si="1085">SUM(BM37+BM71+BM106+BM130+BM69)</f>
        <v>4856.5982390288273</v>
      </c>
      <c r="BN204" s="2888">
        <f t="shared" si="1085"/>
        <v>4856.5982390288273</v>
      </c>
      <c r="BO204" s="2888">
        <f t="shared" si="1085"/>
        <v>0</v>
      </c>
      <c r="BP204" s="2889">
        <f t="shared" si="1085"/>
        <v>2011.3810000000001</v>
      </c>
      <c r="BQ204" s="2889">
        <f t="shared" si="1085"/>
        <v>2011.3810000000001</v>
      </c>
      <c r="BR204" s="2889">
        <f t="shared" si="1085"/>
        <v>0</v>
      </c>
      <c r="BS204" s="2889">
        <f t="shared" si="1085"/>
        <v>1776.6764000000001</v>
      </c>
      <c r="BT204" s="2889">
        <f t="shared" si="1085"/>
        <v>1776.6764000000001</v>
      </c>
      <c r="BU204" s="2889">
        <f t="shared" si="1085"/>
        <v>0</v>
      </c>
      <c r="BV204" s="2889">
        <f t="shared" si="1085"/>
        <v>2165.3099400000006</v>
      </c>
      <c r="BW204" s="2889">
        <f t="shared" si="1085"/>
        <v>2165.3099400000006</v>
      </c>
      <c r="BX204" s="2889">
        <f t="shared" si="1085"/>
        <v>0</v>
      </c>
      <c r="BY204" s="2889">
        <f t="shared" si="1085"/>
        <v>5953.3673399999998</v>
      </c>
      <c r="BZ204" s="2889">
        <f t="shared" si="1085"/>
        <v>5953.3673399999998</v>
      </c>
      <c r="CA204" s="2889">
        <f t="shared" si="1085"/>
        <v>0</v>
      </c>
      <c r="CB204" s="2890">
        <f t="shared" si="1085"/>
        <v>19426.393068875226</v>
      </c>
      <c r="CC204" s="2890">
        <f t="shared" si="1085"/>
        <v>19426.393068875226</v>
      </c>
      <c r="CD204" s="2890">
        <f t="shared" si="1085"/>
        <v>0</v>
      </c>
      <c r="CE204" s="2891">
        <f t="shared" si="1085"/>
        <v>21256.197349999999</v>
      </c>
      <c r="CF204" s="2891">
        <f t="shared" si="1085"/>
        <v>21256.197349999999</v>
      </c>
      <c r="CG204" s="2891">
        <f t="shared" si="1085"/>
        <v>0</v>
      </c>
      <c r="CH204" s="2847">
        <f t="shared" si="1054"/>
        <v>1829.8042811247724</v>
      </c>
      <c r="CI204" s="2847">
        <f t="shared" si="1055"/>
        <v>1829.8042811247724</v>
      </c>
      <c r="CJ204" s="2847">
        <f t="shared" si="1055"/>
        <v>0</v>
      </c>
      <c r="CK204" s="2822"/>
      <c r="CL204" s="2822"/>
      <c r="CM204" s="2822"/>
      <c r="CN204" s="2822"/>
    </row>
    <row r="205" spans="1:92" ht="18.75" x14ac:dyDescent="0.3">
      <c r="A205" s="2869" t="s">
        <v>3757</v>
      </c>
      <c r="B205" s="2895">
        <f t="shared" ref="B205:D205" si="1086">SUM(B38+B72+B107+B131)</f>
        <v>1843.5730859019936</v>
      </c>
      <c r="C205" s="2895">
        <f t="shared" si="1086"/>
        <v>1843.5730859019936</v>
      </c>
      <c r="D205" s="2895">
        <f t="shared" si="1086"/>
        <v>0</v>
      </c>
      <c r="E205" s="2896">
        <f t="shared" ref="E205:AK205" si="1087">SUM(E38+E72+E107+E131)</f>
        <v>873.82999999999993</v>
      </c>
      <c r="F205" s="2896">
        <f t="shared" si="1087"/>
        <v>873.82999999999993</v>
      </c>
      <c r="G205" s="2896">
        <f t="shared" si="1087"/>
        <v>0</v>
      </c>
      <c r="H205" s="2896">
        <f t="shared" si="1087"/>
        <v>678.50599999999997</v>
      </c>
      <c r="I205" s="2896">
        <f t="shared" si="1087"/>
        <v>678.50599999999997</v>
      </c>
      <c r="J205" s="2896">
        <f t="shared" si="1087"/>
        <v>0</v>
      </c>
      <c r="K205" s="2896">
        <f t="shared" si="1087"/>
        <v>747.46</v>
      </c>
      <c r="L205" s="2896">
        <f t="shared" si="1087"/>
        <v>747.46</v>
      </c>
      <c r="M205" s="2896">
        <f t="shared" si="1087"/>
        <v>0</v>
      </c>
      <c r="N205" s="2896">
        <f t="shared" si="1087"/>
        <v>2299.7959999999998</v>
      </c>
      <c r="O205" s="2896">
        <f t="shared" si="1087"/>
        <v>2299.7959999999998</v>
      </c>
      <c r="P205" s="2896">
        <f t="shared" si="1087"/>
        <v>0</v>
      </c>
      <c r="Q205" s="2895">
        <f t="shared" si="1087"/>
        <v>1843.5730859019936</v>
      </c>
      <c r="R205" s="2895">
        <f t="shared" si="1087"/>
        <v>1843.5730859019936</v>
      </c>
      <c r="S205" s="2895">
        <f t="shared" si="1087"/>
        <v>0</v>
      </c>
      <c r="T205" s="2896">
        <f t="shared" si="1087"/>
        <v>654.1</v>
      </c>
      <c r="U205" s="2896">
        <f t="shared" si="1087"/>
        <v>654.1</v>
      </c>
      <c r="V205" s="2896">
        <f t="shared" si="1087"/>
        <v>0</v>
      </c>
      <c r="W205" s="2896">
        <f t="shared" si="1087"/>
        <v>700.14</v>
      </c>
      <c r="X205" s="2896">
        <f t="shared" si="1087"/>
        <v>700.14</v>
      </c>
      <c r="Y205" s="2896">
        <f t="shared" si="1087"/>
        <v>0</v>
      </c>
      <c r="Z205" s="2896">
        <f t="shared" si="1087"/>
        <v>586.76</v>
      </c>
      <c r="AA205" s="2896">
        <f t="shared" si="1087"/>
        <v>586.76</v>
      </c>
      <c r="AB205" s="2896">
        <f t="shared" si="1087"/>
        <v>0</v>
      </c>
      <c r="AC205" s="2896">
        <f t="shared" si="1087"/>
        <v>1941</v>
      </c>
      <c r="AD205" s="2896">
        <f t="shared" si="1087"/>
        <v>1941</v>
      </c>
      <c r="AE205" s="2896">
        <f t="shared" si="1087"/>
        <v>0</v>
      </c>
      <c r="AF205" s="2897">
        <f t="shared" si="1087"/>
        <v>3687.1461718039873</v>
      </c>
      <c r="AG205" s="2897">
        <f t="shared" si="1087"/>
        <v>3687.1461718039873</v>
      </c>
      <c r="AH205" s="2897">
        <f t="shared" si="1087"/>
        <v>0</v>
      </c>
      <c r="AI205" s="2898">
        <f t="shared" si="1087"/>
        <v>4240.7960000000003</v>
      </c>
      <c r="AJ205" s="2898">
        <f t="shared" si="1087"/>
        <v>4240.7960000000003</v>
      </c>
      <c r="AK205" s="2898">
        <f t="shared" si="1087"/>
        <v>0</v>
      </c>
      <c r="AL205" s="2851">
        <f t="shared" si="1048"/>
        <v>553.649828196013</v>
      </c>
      <c r="AM205" s="2851">
        <f t="shared" si="1049"/>
        <v>553.649828196013</v>
      </c>
      <c r="AN205" s="2851">
        <f t="shared" si="1049"/>
        <v>0</v>
      </c>
      <c r="AO205" s="2895">
        <f t="shared" ref="AO205:BI205" si="1088">SUM(AO38+AO72+AO107+AO131)</f>
        <v>1843.5730859019936</v>
      </c>
      <c r="AP205" s="2895">
        <f t="shared" si="1088"/>
        <v>1843.5730859019936</v>
      </c>
      <c r="AQ205" s="2895">
        <f t="shared" si="1088"/>
        <v>0</v>
      </c>
      <c r="AR205" s="2896">
        <f t="shared" si="1088"/>
        <v>744.13</v>
      </c>
      <c r="AS205" s="2896">
        <f t="shared" si="1088"/>
        <v>744.13</v>
      </c>
      <c r="AT205" s="2896">
        <f t="shared" si="1088"/>
        <v>0</v>
      </c>
      <c r="AU205" s="2896">
        <f t="shared" si="1088"/>
        <v>601.28899999999999</v>
      </c>
      <c r="AV205" s="2896">
        <f t="shared" si="1088"/>
        <v>601.28899999999999</v>
      </c>
      <c r="AW205" s="2896">
        <f t="shared" si="1088"/>
        <v>0</v>
      </c>
      <c r="AX205" s="2896">
        <f t="shared" si="1088"/>
        <v>663.62599999999998</v>
      </c>
      <c r="AY205" s="2896">
        <f t="shared" si="1088"/>
        <v>663.62599999999998</v>
      </c>
      <c r="AZ205" s="2896">
        <f t="shared" si="1088"/>
        <v>0</v>
      </c>
      <c r="BA205" s="2896">
        <f t="shared" si="1088"/>
        <v>2009.0450000000001</v>
      </c>
      <c r="BB205" s="2896">
        <f t="shared" si="1088"/>
        <v>2009.0450000000001</v>
      </c>
      <c r="BC205" s="2896">
        <f t="shared" si="1088"/>
        <v>0</v>
      </c>
      <c r="BD205" s="2897">
        <f t="shared" si="1088"/>
        <v>5530.7192577059814</v>
      </c>
      <c r="BE205" s="2897">
        <f t="shared" si="1088"/>
        <v>5530.7192577059814</v>
      </c>
      <c r="BF205" s="2897">
        <f t="shared" si="1088"/>
        <v>0</v>
      </c>
      <c r="BG205" s="2898">
        <f t="shared" si="1088"/>
        <v>6249.8410000000003</v>
      </c>
      <c r="BH205" s="2898">
        <f t="shared" si="1088"/>
        <v>6249.8410000000003</v>
      </c>
      <c r="BI205" s="2898">
        <f t="shared" si="1088"/>
        <v>0</v>
      </c>
      <c r="BJ205" s="2851">
        <f t="shared" si="1051"/>
        <v>719.12174229401899</v>
      </c>
      <c r="BK205" s="2851">
        <f t="shared" si="1052"/>
        <v>719.12174229401899</v>
      </c>
      <c r="BL205" s="2851">
        <f t="shared" si="1052"/>
        <v>0</v>
      </c>
      <c r="BM205" s="2895">
        <f t="shared" ref="BM205:CG205" si="1089">SUM(BM38+BM72+BM107+BM131)</f>
        <v>1843.5730859019936</v>
      </c>
      <c r="BN205" s="2895">
        <f t="shared" si="1089"/>
        <v>1843.5730859019936</v>
      </c>
      <c r="BO205" s="2895">
        <f t="shared" si="1089"/>
        <v>0</v>
      </c>
      <c r="BP205" s="2896">
        <f t="shared" si="1089"/>
        <v>677.49299999999994</v>
      </c>
      <c r="BQ205" s="2896">
        <f t="shared" si="1089"/>
        <v>677.49299999999994</v>
      </c>
      <c r="BR205" s="2896">
        <f t="shared" si="1089"/>
        <v>0</v>
      </c>
      <c r="BS205" s="2896">
        <f t="shared" si="1089"/>
        <v>687.63640000000009</v>
      </c>
      <c r="BT205" s="2896">
        <f t="shared" si="1089"/>
        <v>687.63640000000009</v>
      </c>
      <c r="BU205" s="2896">
        <f t="shared" si="1089"/>
        <v>0</v>
      </c>
      <c r="BV205" s="2896">
        <f t="shared" si="1089"/>
        <v>713.95399999999995</v>
      </c>
      <c r="BW205" s="2896">
        <f t="shared" si="1089"/>
        <v>713.95399999999995</v>
      </c>
      <c r="BX205" s="2896">
        <f t="shared" si="1089"/>
        <v>0</v>
      </c>
      <c r="BY205" s="2896">
        <f t="shared" si="1089"/>
        <v>2079.0834</v>
      </c>
      <c r="BZ205" s="2896">
        <f t="shared" si="1089"/>
        <v>2079.0834</v>
      </c>
      <c r="CA205" s="2896">
        <f t="shared" si="1089"/>
        <v>0</v>
      </c>
      <c r="CB205" s="2897">
        <f t="shared" si="1089"/>
        <v>7374.2923436079745</v>
      </c>
      <c r="CC205" s="2897">
        <f t="shared" si="1089"/>
        <v>7374.2923436079745</v>
      </c>
      <c r="CD205" s="2897">
        <f t="shared" si="1089"/>
        <v>0</v>
      </c>
      <c r="CE205" s="2898">
        <f t="shared" si="1089"/>
        <v>8328.9243999999999</v>
      </c>
      <c r="CF205" s="2898">
        <f t="shared" si="1089"/>
        <v>8328.9243999999999</v>
      </c>
      <c r="CG205" s="2898">
        <f t="shared" si="1089"/>
        <v>0</v>
      </c>
      <c r="CH205" s="2851">
        <f t="shared" si="1054"/>
        <v>954.63205639202533</v>
      </c>
      <c r="CI205" s="2851">
        <f t="shared" si="1055"/>
        <v>954.63205639202533</v>
      </c>
      <c r="CJ205" s="2851">
        <f t="shared" si="1055"/>
        <v>0</v>
      </c>
      <c r="CK205" s="2822"/>
      <c r="CL205" s="2822"/>
      <c r="CM205" s="2822"/>
      <c r="CN205" s="2822"/>
    </row>
    <row r="206" spans="1:92" ht="18.75" x14ac:dyDescent="0.3">
      <c r="A206" s="2869" t="s">
        <v>3758</v>
      </c>
      <c r="B206" s="2895">
        <f t="shared" ref="B206:D206" si="1090">SUM(B39+B73+B108+B132)</f>
        <v>554.78242595548079</v>
      </c>
      <c r="C206" s="2895">
        <f t="shared" si="1090"/>
        <v>554.78242595548079</v>
      </c>
      <c r="D206" s="2895">
        <f t="shared" si="1090"/>
        <v>0</v>
      </c>
      <c r="E206" s="2896">
        <f t="shared" ref="E206:AK206" si="1091">SUM(E39+E73+E108+E132)</f>
        <v>263.89999999999998</v>
      </c>
      <c r="F206" s="2896">
        <f t="shared" si="1091"/>
        <v>263.89999999999998</v>
      </c>
      <c r="G206" s="2896">
        <f t="shared" si="1091"/>
        <v>0</v>
      </c>
      <c r="H206" s="2896">
        <f t="shared" si="1091"/>
        <v>203.57499999999999</v>
      </c>
      <c r="I206" s="2896">
        <f t="shared" si="1091"/>
        <v>203.57499999999999</v>
      </c>
      <c r="J206" s="2896">
        <f t="shared" si="1091"/>
        <v>0</v>
      </c>
      <c r="K206" s="2896">
        <f t="shared" si="1091"/>
        <v>222.73000000000002</v>
      </c>
      <c r="L206" s="2896">
        <f t="shared" si="1091"/>
        <v>222.73000000000002</v>
      </c>
      <c r="M206" s="2896">
        <f t="shared" si="1091"/>
        <v>0</v>
      </c>
      <c r="N206" s="2896">
        <f t="shared" si="1091"/>
        <v>690.20499999999993</v>
      </c>
      <c r="O206" s="2896">
        <f t="shared" si="1091"/>
        <v>690.20499999999993</v>
      </c>
      <c r="P206" s="2896">
        <f t="shared" si="1091"/>
        <v>0</v>
      </c>
      <c r="Q206" s="2895">
        <f t="shared" si="1091"/>
        <v>554.78242595548079</v>
      </c>
      <c r="R206" s="2895">
        <f t="shared" si="1091"/>
        <v>554.78242595548079</v>
      </c>
      <c r="S206" s="2895">
        <f t="shared" si="1091"/>
        <v>0</v>
      </c>
      <c r="T206" s="2896">
        <f t="shared" si="1091"/>
        <v>197.4</v>
      </c>
      <c r="U206" s="2896">
        <f t="shared" si="1091"/>
        <v>197.4</v>
      </c>
      <c r="V206" s="2896">
        <f t="shared" si="1091"/>
        <v>0</v>
      </c>
      <c r="W206" s="2896">
        <f t="shared" si="1091"/>
        <v>211.44</v>
      </c>
      <c r="X206" s="2896">
        <f t="shared" si="1091"/>
        <v>211.44</v>
      </c>
      <c r="Y206" s="2896">
        <f t="shared" si="1091"/>
        <v>0</v>
      </c>
      <c r="Z206" s="2896">
        <f t="shared" si="1091"/>
        <v>175.99</v>
      </c>
      <c r="AA206" s="2896">
        <f t="shared" si="1091"/>
        <v>175.99</v>
      </c>
      <c r="AB206" s="2896">
        <f t="shared" si="1091"/>
        <v>0</v>
      </c>
      <c r="AC206" s="2896">
        <f t="shared" si="1091"/>
        <v>584.83000000000004</v>
      </c>
      <c r="AD206" s="2896">
        <f t="shared" si="1091"/>
        <v>584.83000000000004</v>
      </c>
      <c r="AE206" s="2896">
        <f t="shared" si="1091"/>
        <v>0</v>
      </c>
      <c r="AF206" s="2897">
        <f t="shared" si="1091"/>
        <v>1109.5648519109616</v>
      </c>
      <c r="AG206" s="2897">
        <f t="shared" si="1091"/>
        <v>1109.5648519109616</v>
      </c>
      <c r="AH206" s="2897">
        <f t="shared" si="1091"/>
        <v>0</v>
      </c>
      <c r="AI206" s="2898">
        <f t="shared" si="1091"/>
        <v>1275.0350000000001</v>
      </c>
      <c r="AJ206" s="2898">
        <f t="shared" si="1091"/>
        <v>1275.0350000000001</v>
      </c>
      <c r="AK206" s="2898">
        <f t="shared" si="1091"/>
        <v>0</v>
      </c>
      <c r="AL206" s="2851">
        <f t="shared" si="1048"/>
        <v>165.4701480890385</v>
      </c>
      <c r="AM206" s="2851">
        <f t="shared" si="1049"/>
        <v>165.4701480890385</v>
      </c>
      <c r="AN206" s="2851">
        <f t="shared" si="1049"/>
        <v>0</v>
      </c>
      <c r="AO206" s="2895">
        <f t="shared" ref="AO206:BI206" si="1092">SUM(AO39+AO73+AO108+AO132)</f>
        <v>554.78242595548079</v>
      </c>
      <c r="AP206" s="2895">
        <f t="shared" si="1092"/>
        <v>554.78242595548079</v>
      </c>
      <c r="AQ206" s="2895">
        <f t="shared" si="1092"/>
        <v>0</v>
      </c>
      <c r="AR206" s="2896">
        <f t="shared" si="1092"/>
        <v>223.01999999999998</v>
      </c>
      <c r="AS206" s="2896">
        <f t="shared" si="1092"/>
        <v>223.01999999999998</v>
      </c>
      <c r="AT206" s="2896">
        <f t="shared" si="1092"/>
        <v>0</v>
      </c>
      <c r="AU206" s="2896">
        <f t="shared" si="1092"/>
        <v>181.541</v>
      </c>
      <c r="AV206" s="2896">
        <f t="shared" si="1092"/>
        <v>181.541</v>
      </c>
      <c r="AW206" s="2896">
        <f t="shared" si="1092"/>
        <v>0</v>
      </c>
      <c r="AX206" s="2896">
        <f t="shared" si="1092"/>
        <v>199.077</v>
      </c>
      <c r="AY206" s="2896">
        <f t="shared" si="1092"/>
        <v>199.077</v>
      </c>
      <c r="AZ206" s="2896">
        <f t="shared" si="1092"/>
        <v>0</v>
      </c>
      <c r="BA206" s="2896">
        <f t="shared" si="1092"/>
        <v>603.63799999999992</v>
      </c>
      <c r="BB206" s="2896">
        <f t="shared" si="1092"/>
        <v>603.63799999999992</v>
      </c>
      <c r="BC206" s="2896">
        <f t="shared" si="1092"/>
        <v>0</v>
      </c>
      <c r="BD206" s="2897">
        <f t="shared" si="1092"/>
        <v>1664.3472778664425</v>
      </c>
      <c r="BE206" s="2897">
        <f t="shared" si="1092"/>
        <v>1664.3472778664425</v>
      </c>
      <c r="BF206" s="2897">
        <f t="shared" si="1092"/>
        <v>0</v>
      </c>
      <c r="BG206" s="2898">
        <f t="shared" si="1092"/>
        <v>1878.673</v>
      </c>
      <c r="BH206" s="2898">
        <f t="shared" si="1092"/>
        <v>1878.673</v>
      </c>
      <c r="BI206" s="2898">
        <f t="shared" si="1092"/>
        <v>0</v>
      </c>
      <c r="BJ206" s="2851">
        <f t="shared" si="1051"/>
        <v>214.32572213355752</v>
      </c>
      <c r="BK206" s="2851">
        <f t="shared" si="1052"/>
        <v>214.32572213355752</v>
      </c>
      <c r="BL206" s="2851">
        <f t="shared" si="1052"/>
        <v>0</v>
      </c>
      <c r="BM206" s="2895">
        <f t="shared" ref="BM206:CG206" si="1093">SUM(BM39+BM73+BM108+BM132)</f>
        <v>554.78242595548079</v>
      </c>
      <c r="BN206" s="2895">
        <f t="shared" si="1093"/>
        <v>554.78242595548079</v>
      </c>
      <c r="BO206" s="2895">
        <f t="shared" si="1093"/>
        <v>0</v>
      </c>
      <c r="BP206" s="2896">
        <f t="shared" si="1093"/>
        <v>202.89999999999998</v>
      </c>
      <c r="BQ206" s="2896">
        <f t="shared" si="1093"/>
        <v>202.89999999999998</v>
      </c>
      <c r="BR206" s="2896">
        <f t="shared" si="1093"/>
        <v>0</v>
      </c>
      <c r="BS206" s="2896">
        <f t="shared" si="1093"/>
        <v>214.46800000000002</v>
      </c>
      <c r="BT206" s="2896">
        <f t="shared" si="1093"/>
        <v>214.46800000000002</v>
      </c>
      <c r="BU206" s="2896">
        <f t="shared" si="1093"/>
        <v>0</v>
      </c>
      <c r="BV206" s="2896">
        <f t="shared" si="1093"/>
        <v>205.99199999999999</v>
      </c>
      <c r="BW206" s="2896">
        <f t="shared" si="1093"/>
        <v>205.99199999999999</v>
      </c>
      <c r="BX206" s="2896">
        <f t="shared" si="1093"/>
        <v>0</v>
      </c>
      <c r="BY206" s="2896">
        <f t="shared" si="1093"/>
        <v>623.36</v>
      </c>
      <c r="BZ206" s="2896">
        <f t="shared" si="1093"/>
        <v>623.36</v>
      </c>
      <c r="CA206" s="2896">
        <f t="shared" si="1093"/>
        <v>0</v>
      </c>
      <c r="CB206" s="2897">
        <f t="shared" si="1093"/>
        <v>2219.1297038219232</v>
      </c>
      <c r="CC206" s="2897">
        <f t="shared" si="1093"/>
        <v>2219.1297038219232</v>
      </c>
      <c r="CD206" s="2897">
        <f t="shared" si="1093"/>
        <v>0</v>
      </c>
      <c r="CE206" s="2898">
        <f t="shared" si="1093"/>
        <v>2502.0330000000004</v>
      </c>
      <c r="CF206" s="2898">
        <f t="shared" si="1093"/>
        <v>2502.0330000000004</v>
      </c>
      <c r="CG206" s="2898">
        <f t="shared" si="1093"/>
        <v>0</v>
      </c>
      <c r="CH206" s="2851">
        <f t="shared" si="1054"/>
        <v>282.9032961780772</v>
      </c>
      <c r="CI206" s="2851">
        <f t="shared" si="1055"/>
        <v>282.9032961780772</v>
      </c>
      <c r="CJ206" s="2851">
        <f t="shared" si="1055"/>
        <v>0</v>
      </c>
      <c r="CK206" s="2822"/>
      <c r="CL206" s="2822"/>
      <c r="CM206" s="2822"/>
      <c r="CN206" s="2822"/>
    </row>
    <row r="207" spans="1:92" ht="18.75" x14ac:dyDescent="0.3">
      <c r="A207" s="2869" t="s">
        <v>31</v>
      </c>
      <c r="B207" s="2895">
        <f t="shared" ref="B207:D207" si="1094">SUM(B110)</f>
        <v>390.02063784119997</v>
      </c>
      <c r="C207" s="2895">
        <f t="shared" si="1094"/>
        <v>390.02063784119997</v>
      </c>
      <c r="D207" s="2895">
        <f t="shared" si="1094"/>
        <v>0</v>
      </c>
      <c r="E207" s="2896">
        <f t="shared" ref="E207:AK207" si="1095">SUM(E110)</f>
        <v>167.14999999999998</v>
      </c>
      <c r="F207" s="2896">
        <f t="shared" si="1095"/>
        <v>167.14999999999998</v>
      </c>
      <c r="G207" s="2896">
        <f t="shared" si="1095"/>
        <v>0</v>
      </c>
      <c r="H207" s="2896">
        <f t="shared" si="1095"/>
        <v>217.94490999999999</v>
      </c>
      <c r="I207" s="2896">
        <f t="shared" si="1095"/>
        <v>217.94490999999999</v>
      </c>
      <c r="J207" s="2896">
        <f t="shared" si="1095"/>
        <v>0</v>
      </c>
      <c r="K207" s="2896">
        <f t="shared" si="1095"/>
        <v>329.55</v>
      </c>
      <c r="L207" s="2896">
        <f t="shared" si="1095"/>
        <v>329.55</v>
      </c>
      <c r="M207" s="2896">
        <f t="shared" si="1095"/>
        <v>0</v>
      </c>
      <c r="N207" s="2896">
        <f t="shared" si="1095"/>
        <v>714.64490999999998</v>
      </c>
      <c r="O207" s="2896">
        <f t="shared" si="1095"/>
        <v>714.64490999999998</v>
      </c>
      <c r="P207" s="2896">
        <f t="shared" si="1095"/>
        <v>0</v>
      </c>
      <c r="Q207" s="2895">
        <f t="shared" si="1095"/>
        <v>390.02063784119997</v>
      </c>
      <c r="R207" s="2895">
        <f t="shared" si="1095"/>
        <v>390.02063784119997</v>
      </c>
      <c r="S207" s="2895">
        <f t="shared" si="1095"/>
        <v>0</v>
      </c>
      <c r="T207" s="2896">
        <f t="shared" si="1095"/>
        <v>195.9</v>
      </c>
      <c r="U207" s="2896">
        <f t="shared" si="1095"/>
        <v>195.9</v>
      </c>
      <c r="V207" s="2896">
        <f t="shared" si="1095"/>
        <v>0</v>
      </c>
      <c r="W207" s="2896">
        <f t="shared" si="1095"/>
        <v>159.32000000000002</v>
      </c>
      <c r="X207" s="2896">
        <f t="shared" si="1095"/>
        <v>159.32000000000002</v>
      </c>
      <c r="Y207" s="2896">
        <f t="shared" si="1095"/>
        <v>0</v>
      </c>
      <c r="Z207" s="2896">
        <f t="shared" si="1095"/>
        <v>170.47</v>
      </c>
      <c r="AA207" s="2896">
        <f t="shared" si="1095"/>
        <v>170.47</v>
      </c>
      <c r="AB207" s="2896">
        <f t="shared" si="1095"/>
        <v>0</v>
      </c>
      <c r="AC207" s="2896">
        <f t="shared" si="1095"/>
        <v>525.69000000000005</v>
      </c>
      <c r="AD207" s="2896">
        <f t="shared" si="1095"/>
        <v>525.69000000000005</v>
      </c>
      <c r="AE207" s="2896">
        <f t="shared" si="1095"/>
        <v>0</v>
      </c>
      <c r="AF207" s="2897">
        <f t="shared" si="1095"/>
        <v>780.04127568239994</v>
      </c>
      <c r="AG207" s="2897">
        <f t="shared" si="1095"/>
        <v>780.04127568239994</v>
      </c>
      <c r="AH207" s="2897">
        <f t="shared" si="1095"/>
        <v>0</v>
      </c>
      <c r="AI207" s="2898">
        <f t="shared" si="1095"/>
        <v>1240.33491</v>
      </c>
      <c r="AJ207" s="2898">
        <f t="shared" si="1095"/>
        <v>1240.33491</v>
      </c>
      <c r="AK207" s="2898">
        <f t="shared" si="1095"/>
        <v>0</v>
      </c>
      <c r="AL207" s="2851">
        <f t="shared" si="1048"/>
        <v>460.29363431760009</v>
      </c>
      <c r="AM207" s="2851">
        <f t="shared" si="1049"/>
        <v>460.29363431760009</v>
      </c>
      <c r="AN207" s="2851">
        <f t="shared" si="1049"/>
        <v>0</v>
      </c>
      <c r="AO207" s="2895">
        <f t="shared" ref="AO207:BI207" si="1096">SUM(AO110)</f>
        <v>390.02063784119997</v>
      </c>
      <c r="AP207" s="2895">
        <f t="shared" si="1096"/>
        <v>390.02063784119997</v>
      </c>
      <c r="AQ207" s="2895">
        <f t="shared" si="1096"/>
        <v>0</v>
      </c>
      <c r="AR207" s="2896">
        <f t="shared" si="1096"/>
        <v>156.49699999999999</v>
      </c>
      <c r="AS207" s="2896">
        <f t="shared" si="1096"/>
        <v>156.49699999999999</v>
      </c>
      <c r="AT207" s="2896">
        <f t="shared" si="1096"/>
        <v>0</v>
      </c>
      <c r="AU207" s="2896">
        <f t="shared" si="1096"/>
        <v>168.511</v>
      </c>
      <c r="AV207" s="2896">
        <f t="shared" si="1096"/>
        <v>168.511</v>
      </c>
      <c r="AW207" s="2896">
        <f t="shared" si="1096"/>
        <v>0</v>
      </c>
      <c r="AX207" s="2896">
        <f t="shared" si="1096"/>
        <v>167.02500000000001</v>
      </c>
      <c r="AY207" s="2896">
        <f t="shared" si="1096"/>
        <v>167.02500000000001</v>
      </c>
      <c r="AZ207" s="2896">
        <f t="shared" si="1096"/>
        <v>0</v>
      </c>
      <c r="BA207" s="2896">
        <f t="shared" si="1096"/>
        <v>492.03300000000002</v>
      </c>
      <c r="BB207" s="2896">
        <f t="shared" si="1096"/>
        <v>492.03300000000002</v>
      </c>
      <c r="BC207" s="2896">
        <f t="shared" si="1096"/>
        <v>0</v>
      </c>
      <c r="BD207" s="2897">
        <f t="shared" si="1096"/>
        <v>1170.0619135236</v>
      </c>
      <c r="BE207" s="2897">
        <f t="shared" si="1096"/>
        <v>1170.0619135236</v>
      </c>
      <c r="BF207" s="2897">
        <f t="shared" si="1096"/>
        <v>0</v>
      </c>
      <c r="BG207" s="2898">
        <f t="shared" si="1096"/>
        <v>1732.3679099999999</v>
      </c>
      <c r="BH207" s="2898">
        <f t="shared" si="1096"/>
        <v>1732.3679099999999</v>
      </c>
      <c r="BI207" s="2898">
        <f t="shared" si="1096"/>
        <v>0</v>
      </c>
      <c r="BJ207" s="2851">
        <f t="shared" si="1051"/>
        <v>562.30599647639997</v>
      </c>
      <c r="BK207" s="2851">
        <f t="shared" si="1052"/>
        <v>562.30599647639997</v>
      </c>
      <c r="BL207" s="2851">
        <f t="shared" si="1052"/>
        <v>0</v>
      </c>
      <c r="BM207" s="2895">
        <f t="shared" ref="BM207:CG207" si="1097">SUM(BM110)</f>
        <v>390.02063784119997</v>
      </c>
      <c r="BN207" s="2895">
        <f t="shared" si="1097"/>
        <v>390.02063784119997</v>
      </c>
      <c r="BO207" s="2895">
        <f t="shared" si="1097"/>
        <v>0</v>
      </c>
      <c r="BP207" s="2896">
        <f t="shared" si="1097"/>
        <v>193.96800000000002</v>
      </c>
      <c r="BQ207" s="2896">
        <f t="shared" si="1097"/>
        <v>193.96800000000002</v>
      </c>
      <c r="BR207" s="2896">
        <f t="shared" si="1097"/>
        <v>0</v>
      </c>
      <c r="BS207" s="2896">
        <f t="shared" si="1097"/>
        <v>190.40699999999998</v>
      </c>
      <c r="BT207" s="2896">
        <f t="shared" si="1097"/>
        <v>190.40699999999998</v>
      </c>
      <c r="BU207" s="2896">
        <f t="shared" si="1097"/>
        <v>0</v>
      </c>
      <c r="BV207" s="2896">
        <f t="shared" si="1097"/>
        <v>211.96899999999999</v>
      </c>
      <c r="BW207" s="2896">
        <f t="shared" si="1097"/>
        <v>211.96899999999999</v>
      </c>
      <c r="BX207" s="2896">
        <f t="shared" si="1097"/>
        <v>0</v>
      </c>
      <c r="BY207" s="2896">
        <f t="shared" si="1097"/>
        <v>596.34400000000005</v>
      </c>
      <c r="BZ207" s="2896">
        <f t="shared" si="1097"/>
        <v>596.34400000000005</v>
      </c>
      <c r="CA207" s="2896">
        <f t="shared" si="1097"/>
        <v>0</v>
      </c>
      <c r="CB207" s="2897">
        <f t="shared" si="1097"/>
        <v>1560.0825513647999</v>
      </c>
      <c r="CC207" s="2897">
        <f t="shared" si="1097"/>
        <v>1560.0825513647999</v>
      </c>
      <c r="CD207" s="2897">
        <f t="shared" si="1097"/>
        <v>0</v>
      </c>
      <c r="CE207" s="2898">
        <f t="shared" si="1097"/>
        <v>2328.71191</v>
      </c>
      <c r="CF207" s="2898">
        <f t="shared" si="1097"/>
        <v>2328.71191</v>
      </c>
      <c r="CG207" s="2898">
        <f t="shared" si="1097"/>
        <v>0</v>
      </c>
      <c r="CH207" s="2851">
        <f t="shared" si="1054"/>
        <v>768.62935863520011</v>
      </c>
      <c r="CI207" s="2851">
        <f t="shared" si="1055"/>
        <v>768.62935863520011</v>
      </c>
      <c r="CJ207" s="2851">
        <f t="shared" si="1055"/>
        <v>0</v>
      </c>
      <c r="CK207" s="2822"/>
      <c r="CL207" s="2822"/>
      <c r="CM207" s="2822"/>
      <c r="CN207" s="2822"/>
    </row>
    <row r="208" spans="1:92" ht="18.75" x14ac:dyDescent="0.3">
      <c r="A208" s="2869" t="s">
        <v>289</v>
      </c>
      <c r="B208" s="2895">
        <f t="shared" ref="B208:AK208" si="1098">SUM(B204-(B205+B206+B207))</f>
        <v>2068.2220893301528</v>
      </c>
      <c r="C208" s="2895">
        <f t="shared" si="1098"/>
        <v>2068.2220893301528</v>
      </c>
      <c r="D208" s="2895">
        <f t="shared" si="1098"/>
        <v>0</v>
      </c>
      <c r="E208" s="2896">
        <f t="shared" si="1098"/>
        <v>698.28778999999986</v>
      </c>
      <c r="F208" s="2896">
        <f t="shared" si="1098"/>
        <v>698.28778999999986</v>
      </c>
      <c r="G208" s="2896">
        <f t="shared" si="1098"/>
        <v>0</v>
      </c>
      <c r="H208" s="2896">
        <f t="shared" si="1098"/>
        <v>714.55887999999982</v>
      </c>
      <c r="I208" s="2896">
        <f t="shared" si="1098"/>
        <v>714.55887999999982</v>
      </c>
      <c r="J208" s="2896">
        <f t="shared" si="1098"/>
        <v>0</v>
      </c>
      <c r="K208" s="2896">
        <f t="shared" si="1098"/>
        <v>943.9184300000004</v>
      </c>
      <c r="L208" s="2896">
        <f t="shared" si="1098"/>
        <v>943.9184300000004</v>
      </c>
      <c r="M208" s="2896">
        <f t="shared" si="1098"/>
        <v>0</v>
      </c>
      <c r="N208" s="2896">
        <f t="shared" si="1098"/>
        <v>2356.765100000001</v>
      </c>
      <c r="O208" s="2896">
        <f t="shared" si="1098"/>
        <v>2356.765100000001</v>
      </c>
      <c r="P208" s="2896">
        <f t="shared" si="1098"/>
        <v>0</v>
      </c>
      <c r="Q208" s="2895">
        <f t="shared" si="1098"/>
        <v>2068.2220893301528</v>
      </c>
      <c r="R208" s="2895">
        <f t="shared" si="1098"/>
        <v>2068.2220893301528</v>
      </c>
      <c r="S208" s="2895">
        <f t="shared" si="1098"/>
        <v>0</v>
      </c>
      <c r="T208" s="2896">
        <f t="shared" si="1098"/>
        <v>612.9699999999998</v>
      </c>
      <c r="U208" s="2896">
        <f t="shared" si="1098"/>
        <v>612.9699999999998</v>
      </c>
      <c r="V208" s="2896">
        <f t="shared" si="1098"/>
        <v>0</v>
      </c>
      <c r="W208" s="2896">
        <f t="shared" si="1098"/>
        <v>405.38500000000022</v>
      </c>
      <c r="X208" s="2896">
        <f t="shared" si="1098"/>
        <v>405.38500000000022</v>
      </c>
      <c r="Y208" s="2896">
        <f t="shared" si="1098"/>
        <v>0</v>
      </c>
      <c r="Z208" s="2896">
        <f t="shared" si="1098"/>
        <v>409.66599999999994</v>
      </c>
      <c r="AA208" s="2896">
        <f t="shared" si="1098"/>
        <v>409.66599999999994</v>
      </c>
      <c r="AB208" s="2896">
        <f t="shared" si="1098"/>
        <v>0</v>
      </c>
      <c r="AC208" s="2896">
        <f t="shared" si="1098"/>
        <v>1428.0209999999993</v>
      </c>
      <c r="AD208" s="2896">
        <f t="shared" si="1098"/>
        <v>1428.0209999999993</v>
      </c>
      <c r="AE208" s="2896">
        <f t="shared" si="1098"/>
        <v>0</v>
      </c>
      <c r="AF208" s="2897">
        <f t="shared" si="1098"/>
        <v>4136.4441786603056</v>
      </c>
      <c r="AG208" s="2897">
        <f t="shared" si="1098"/>
        <v>4136.4441786603056</v>
      </c>
      <c r="AH208" s="2897">
        <f t="shared" si="1098"/>
        <v>0</v>
      </c>
      <c r="AI208" s="2898">
        <f t="shared" si="1098"/>
        <v>3784.7860999999994</v>
      </c>
      <c r="AJ208" s="2898">
        <f t="shared" si="1098"/>
        <v>3784.7860999999994</v>
      </c>
      <c r="AK208" s="2898">
        <f t="shared" si="1098"/>
        <v>0</v>
      </c>
      <c r="AL208" s="2851">
        <f t="shared" si="1048"/>
        <v>-351.65807866030627</v>
      </c>
      <c r="AM208" s="2851">
        <f t="shared" si="1049"/>
        <v>-351.65807866030627</v>
      </c>
      <c r="AN208" s="2851">
        <f t="shared" si="1049"/>
        <v>0</v>
      </c>
      <c r="AO208" s="2895">
        <f t="shared" ref="AO208:BI208" si="1099">SUM(AO204-(AO205+AO206+AO207))</f>
        <v>2068.2220893301528</v>
      </c>
      <c r="AP208" s="2895">
        <f t="shared" si="1099"/>
        <v>2068.2220893301528</v>
      </c>
      <c r="AQ208" s="2895">
        <f t="shared" si="1099"/>
        <v>0</v>
      </c>
      <c r="AR208" s="2896">
        <f t="shared" si="1099"/>
        <v>561.45500000000015</v>
      </c>
      <c r="AS208" s="2896">
        <f t="shared" si="1099"/>
        <v>561.45500000000015</v>
      </c>
      <c r="AT208" s="2896">
        <f t="shared" si="1099"/>
        <v>0</v>
      </c>
      <c r="AU208" s="2896">
        <f t="shared" si="1099"/>
        <v>379.52299999999991</v>
      </c>
      <c r="AV208" s="2896">
        <f t="shared" si="1099"/>
        <v>379.52299999999991</v>
      </c>
      <c r="AW208" s="2896">
        <f t="shared" si="1099"/>
        <v>0</v>
      </c>
      <c r="AX208" s="2896">
        <f t="shared" si="1099"/>
        <v>716.18399999999974</v>
      </c>
      <c r="AY208" s="2896">
        <f t="shared" si="1099"/>
        <v>716.18399999999974</v>
      </c>
      <c r="AZ208" s="2896">
        <f t="shared" si="1099"/>
        <v>0</v>
      </c>
      <c r="BA208" s="2896">
        <f t="shared" si="1099"/>
        <v>1657.1619999999998</v>
      </c>
      <c r="BB208" s="2896">
        <f t="shared" si="1099"/>
        <v>1657.1619999999998</v>
      </c>
      <c r="BC208" s="2896">
        <f t="shared" si="1099"/>
        <v>0</v>
      </c>
      <c r="BD208" s="2897">
        <f t="shared" si="1099"/>
        <v>6204.6662679904584</v>
      </c>
      <c r="BE208" s="2897">
        <f t="shared" si="1099"/>
        <v>6204.6662679904584</v>
      </c>
      <c r="BF208" s="2897">
        <f t="shared" si="1099"/>
        <v>0</v>
      </c>
      <c r="BG208" s="2898">
        <f t="shared" si="1099"/>
        <v>5441.9480999999978</v>
      </c>
      <c r="BH208" s="2898">
        <f t="shared" si="1099"/>
        <v>5441.9480999999978</v>
      </c>
      <c r="BI208" s="2898">
        <f t="shared" si="1099"/>
        <v>0</v>
      </c>
      <c r="BJ208" s="2851">
        <f t="shared" si="1051"/>
        <v>-762.71816799046064</v>
      </c>
      <c r="BK208" s="2851">
        <f t="shared" si="1052"/>
        <v>-762.71816799046064</v>
      </c>
      <c r="BL208" s="2851">
        <f t="shared" si="1052"/>
        <v>0</v>
      </c>
      <c r="BM208" s="2895">
        <f t="shared" ref="BM208:CG208" si="1100">SUM(BM204-(BM205+BM206+BM207))</f>
        <v>2068.2220893301528</v>
      </c>
      <c r="BN208" s="2895">
        <f t="shared" si="1100"/>
        <v>2068.2220893301528</v>
      </c>
      <c r="BO208" s="2895">
        <f t="shared" si="1100"/>
        <v>0</v>
      </c>
      <c r="BP208" s="2896">
        <f t="shared" si="1100"/>
        <v>937.02000000000021</v>
      </c>
      <c r="BQ208" s="2896">
        <f t="shared" si="1100"/>
        <v>937.02000000000021</v>
      </c>
      <c r="BR208" s="2896">
        <f t="shared" si="1100"/>
        <v>0</v>
      </c>
      <c r="BS208" s="2896">
        <f t="shared" si="1100"/>
        <v>684.16499999999996</v>
      </c>
      <c r="BT208" s="2896">
        <f t="shared" si="1100"/>
        <v>684.16499999999996</v>
      </c>
      <c r="BU208" s="2896">
        <f t="shared" si="1100"/>
        <v>0</v>
      </c>
      <c r="BV208" s="2896">
        <f t="shared" si="1100"/>
        <v>1033.3949400000006</v>
      </c>
      <c r="BW208" s="2896">
        <f t="shared" si="1100"/>
        <v>1033.3949400000006</v>
      </c>
      <c r="BX208" s="2896">
        <f t="shared" si="1100"/>
        <v>0</v>
      </c>
      <c r="BY208" s="2896">
        <f t="shared" si="1100"/>
        <v>2654.5799399999996</v>
      </c>
      <c r="BZ208" s="2896">
        <f t="shared" si="1100"/>
        <v>2654.5799399999996</v>
      </c>
      <c r="CA208" s="2896">
        <f t="shared" si="1100"/>
        <v>0</v>
      </c>
      <c r="CB208" s="2897">
        <f t="shared" si="1100"/>
        <v>8272.8884700805284</v>
      </c>
      <c r="CC208" s="2897">
        <f t="shared" si="1100"/>
        <v>8272.8884700805284</v>
      </c>
      <c r="CD208" s="2897">
        <f t="shared" si="1100"/>
        <v>0</v>
      </c>
      <c r="CE208" s="2898">
        <f t="shared" si="1100"/>
        <v>8096.5280399999992</v>
      </c>
      <c r="CF208" s="2898">
        <f t="shared" si="1100"/>
        <v>8096.5280399999992</v>
      </c>
      <c r="CG208" s="2898">
        <f t="shared" si="1100"/>
        <v>0</v>
      </c>
      <c r="CH208" s="2851">
        <f t="shared" si="1054"/>
        <v>-176.36043008052911</v>
      </c>
      <c r="CI208" s="2851">
        <f t="shared" si="1055"/>
        <v>-176.36043008052911</v>
      </c>
      <c r="CJ208" s="2851">
        <f t="shared" si="1055"/>
        <v>0</v>
      </c>
      <c r="CK208" s="2822"/>
      <c r="CL208" s="2822"/>
      <c r="CM208" s="2822"/>
      <c r="CN208" s="2822"/>
    </row>
    <row r="209" spans="1:92" ht="18.75" x14ac:dyDescent="0.3">
      <c r="A209" s="2864" t="s">
        <v>3741</v>
      </c>
      <c r="B209" s="2888">
        <f t="shared" ref="B209:D209" si="1101">SUM(B143)</f>
        <v>1267.71658</v>
      </c>
      <c r="C209" s="2888">
        <f t="shared" si="1101"/>
        <v>1267.5330799999999</v>
      </c>
      <c r="D209" s="2888">
        <f t="shared" si="1101"/>
        <v>0.1835</v>
      </c>
      <c r="E209" s="2889">
        <f t="shared" ref="E209:AK209" si="1102">SUM(E143)</f>
        <v>0</v>
      </c>
      <c r="F209" s="2889">
        <f t="shared" si="1102"/>
        <v>0</v>
      </c>
      <c r="G209" s="2889">
        <f t="shared" si="1102"/>
        <v>0</v>
      </c>
      <c r="H209" s="2889">
        <f t="shared" si="1102"/>
        <v>0</v>
      </c>
      <c r="I209" s="2889">
        <f t="shared" si="1102"/>
        <v>0</v>
      </c>
      <c r="J209" s="2889">
        <f t="shared" si="1102"/>
        <v>0</v>
      </c>
      <c r="K209" s="2889">
        <f t="shared" si="1102"/>
        <v>796.16</v>
      </c>
      <c r="L209" s="2889">
        <f t="shared" si="1102"/>
        <v>796.16</v>
      </c>
      <c r="M209" s="2889">
        <f t="shared" si="1102"/>
        <v>0</v>
      </c>
      <c r="N209" s="2889">
        <f t="shared" si="1102"/>
        <v>796.16</v>
      </c>
      <c r="O209" s="2889">
        <f t="shared" si="1102"/>
        <v>796.16</v>
      </c>
      <c r="P209" s="2889">
        <f t="shared" si="1102"/>
        <v>0</v>
      </c>
      <c r="Q209" s="2888">
        <f t="shared" si="1102"/>
        <v>1267.71658</v>
      </c>
      <c r="R209" s="2888">
        <f t="shared" si="1102"/>
        <v>1267.5330799999999</v>
      </c>
      <c r="S209" s="2888">
        <f t="shared" si="1102"/>
        <v>0.1835</v>
      </c>
      <c r="T209" s="2889">
        <f t="shared" si="1102"/>
        <v>0</v>
      </c>
      <c r="U209" s="2889">
        <f t="shared" si="1102"/>
        <v>0</v>
      </c>
      <c r="V209" s="2889">
        <f t="shared" si="1102"/>
        <v>0</v>
      </c>
      <c r="W209" s="2889">
        <f t="shared" si="1102"/>
        <v>0</v>
      </c>
      <c r="X209" s="2889">
        <f t="shared" si="1102"/>
        <v>0</v>
      </c>
      <c r="Y209" s="2889">
        <f t="shared" si="1102"/>
        <v>0</v>
      </c>
      <c r="Z209" s="2889">
        <f t="shared" si="1102"/>
        <v>341.55600000000004</v>
      </c>
      <c r="AA209" s="2889">
        <f t="shared" si="1102"/>
        <v>341.55600000000004</v>
      </c>
      <c r="AB209" s="2889">
        <f t="shared" si="1102"/>
        <v>0</v>
      </c>
      <c r="AC209" s="2889">
        <f t="shared" si="1102"/>
        <v>341.55600000000004</v>
      </c>
      <c r="AD209" s="2889">
        <f t="shared" si="1102"/>
        <v>341.55600000000004</v>
      </c>
      <c r="AE209" s="2889">
        <f t="shared" si="1102"/>
        <v>0</v>
      </c>
      <c r="AF209" s="2890">
        <f t="shared" si="1102"/>
        <v>2535.43316</v>
      </c>
      <c r="AG209" s="2890">
        <f t="shared" si="1102"/>
        <v>2535.0661599999999</v>
      </c>
      <c r="AH209" s="2890">
        <f t="shared" si="1102"/>
        <v>0.36699999999999999</v>
      </c>
      <c r="AI209" s="2891">
        <f t="shared" si="1102"/>
        <v>1137.7159999999999</v>
      </c>
      <c r="AJ209" s="2891">
        <f t="shared" si="1102"/>
        <v>1137.7159999999999</v>
      </c>
      <c r="AK209" s="2891">
        <f t="shared" si="1102"/>
        <v>0</v>
      </c>
      <c r="AL209" s="2847">
        <f t="shared" si="1048"/>
        <v>-1397.7171600000001</v>
      </c>
      <c r="AM209" s="2847">
        <f t="shared" si="1049"/>
        <v>-1397.35016</v>
      </c>
      <c r="AN209" s="2847">
        <f t="shared" si="1049"/>
        <v>-0.36699999999999999</v>
      </c>
      <c r="AO209" s="2888">
        <f t="shared" ref="AO209:BI209" si="1103">SUM(AO143)</f>
        <v>1267.71658</v>
      </c>
      <c r="AP209" s="2888">
        <f t="shared" si="1103"/>
        <v>1267.5330799999999</v>
      </c>
      <c r="AQ209" s="2888">
        <f t="shared" si="1103"/>
        <v>0.1835</v>
      </c>
      <c r="AR209" s="2889">
        <f t="shared" si="1103"/>
        <v>369.16</v>
      </c>
      <c r="AS209" s="2889">
        <f t="shared" si="1103"/>
        <v>369.16</v>
      </c>
      <c r="AT209" s="2889">
        <f t="shared" si="1103"/>
        <v>0</v>
      </c>
      <c r="AU209" s="2889">
        <f t="shared" si="1103"/>
        <v>-314.90199999999999</v>
      </c>
      <c r="AV209" s="2889">
        <f t="shared" si="1103"/>
        <v>-314.90199999999999</v>
      </c>
      <c r="AW209" s="2889">
        <f t="shared" si="1103"/>
        <v>0</v>
      </c>
      <c r="AX209" s="2889">
        <f t="shared" si="1103"/>
        <v>580.31299999999999</v>
      </c>
      <c r="AY209" s="2889">
        <f t="shared" si="1103"/>
        <v>580.31299999999999</v>
      </c>
      <c r="AZ209" s="2889">
        <f t="shared" si="1103"/>
        <v>0</v>
      </c>
      <c r="BA209" s="2889">
        <f t="shared" si="1103"/>
        <v>634.57100000000003</v>
      </c>
      <c r="BB209" s="2889">
        <f t="shared" si="1103"/>
        <v>634.57100000000003</v>
      </c>
      <c r="BC209" s="2889">
        <f t="shared" si="1103"/>
        <v>0</v>
      </c>
      <c r="BD209" s="2890">
        <f t="shared" si="1103"/>
        <v>3803.1497399999994</v>
      </c>
      <c r="BE209" s="2890">
        <f t="shared" si="1103"/>
        <v>3802.5992399999996</v>
      </c>
      <c r="BF209" s="2890">
        <f t="shared" si="1103"/>
        <v>0.55049999999999999</v>
      </c>
      <c r="BG209" s="2891">
        <f t="shared" si="1103"/>
        <v>1772.2869999999998</v>
      </c>
      <c r="BH209" s="2891">
        <f t="shared" si="1103"/>
        <v>1772.2869999999998</v>
      </c>
      <c r="BI209" s="2891">
        <f t="shared" si="1103"/>
        <v>0</v>
      </c>
      <c r="BJ209" s="2847">
        <f t="shared" si="1051"/>
        <v>-2030.8627399999996</v>
      </c>
      <c r="BK209" s="2847">
        <f t="shared" si="1052"/>
        <v>-2030.3122399999997</v>
      </c>
      <c r="BL209" s="2847">
        <f t="shared" si="1052"/>
        <v>-0.55049999999999999</v>
      </c>
      <c r="BM209" s="2888">
        <f t="shared" ref="BM209:CG209" si="1104">SUM(BM143)</f>
        <v>1267.71658</v>
      </c>
      <c r="BN209" s="2888">
        <f t="shared" si="1104"/>
        <v>1267.5330799999999</v>
      </c>
      <c r="BO209" s="2888">
        <f t="shared" si="1104"/>
        <v>0.1835</v>
      </c>
      <c r="BP209" s="2889">
        <f t="shared" si="1104"/>
        <v>0</v>
      </c>
      <c r="BQ209" s="2889">
        <f t="shared" si="1104"/>
        <v>0</v>
      </c>
      <c r="BR209" s="2889">
        <f t="shared" si="1104"/>
        <v>0</v>
      </c>
      <c r="BS209" s="2889">
        <f t="shared" si="1104"/>
        <v>0</v>
      </c>
      <c r="BT209" s="2889">
        <f t="shared" si="1104"/>
        <v>0</v>
      </c>
      <c r="BU209" s="2889">
        <f t="shared" si="1104"/>
        <v>0</v>
      </c>
      <c r="BV209" s="2889">
        <f t="shared" si="1104"/>
        <v>696.13600000000008</v>
      </c>
      <c r="BW209" s="2889">
        <f t="shared" si="1104"/>
        <v>696.13600000000008</v>
      </c>
      <c r="BX209" s="2889">
        <f t="shared" si="1104"/>
        <v>0</v>
      </c>
      <c r="BY209" s="2889">
        <f t="shared" si="1104"/>
        <v>696.13600000000008</v>
      </c>
      <c r="BZ209" s="2889">
        <f t="shared" si="1104"/>
        <v>696.13600000000008</v>
      </c>
      <c r="CA209" s="2889">
        <f t="shared" si="1104"/>
        <v>0</v>
      </c>
      <c r="CB209" s="2890">
        <f t="shared" si="1104"/>
        <v>5070.8663200000001</v>
      </c>
      <c r="CC209" s="2890">
        <f t="shared" si="1104"/>
        <v>5070.1323199999997</v>
      </c>
      <c r="CD209" s="2890">
        <f t="shared" si="1104"/>
        <v>0.73399999999999999</v>
      </c>
      <c r="CE209" s="2891">
        <f t="shared" si="1104"/>
        <v>2468.4229999999998</v>
      </c>
      <c r="CF209" s="2891">
        <f t="shared" si="1104"/>
        <v>2468.4229999999998</v>
      </c>
      <c r="CG209" s="2891">
        <f t="shared" si="1104"/>
        <v>0</v>
      </c>
      <c r="CH209" s="2847">
        <f t="shared" si="1054"/>
        <v>-2602.4433200000003</v>
      </c>
      <c r="CI209" s="2847">
        <f t="shared" si="1055"/>
        <v>-2601.7093199999999</v>
      </c>
      <c r="CJ209" s="2847">
        <f t="shared" si="1055"/>
        <v>-0.73399999999999999</v>
      </c>
      <c r="CK209" s="2822"/>
      <c r="CL209" s="2822"/>
      <c r="CM209" s="2822"/>
      <c r="CN209" s="2822"/>
    </row>
    <row r="210" spans="1:92" ht="18.75" x14ac:dyDescent="0.3">
      <c r="A210" s="2869" t="s">
        <v>1526</v>
      </c>
      <c r="B210" s="2895">
        <f t="shared" ref="B210:D223" si="1105">SUM(B144)</f>
        <v>617.24599999999998</v>
      </c>
      <c r="C210" s="2895">
        <f t="shared" si="1105"/>
        <v>617.0625</v>
      </c>
      <c r="D210" s="2895">
        <f t="shared" si="1105"/>
        <v>0.1835</v>
      </c>
      <c r="E210" s="2896">
        <f t="shared" ref="E210:AK210" si="1106">SUM(E144)</f>
        <v>0</v>
      </c>
      <c r="F210" s="2896">
        <f t="shared" si="1106"/>
        <v>0</v>
      </c>
      <c r="G210" s="2896">
        <f t="shared" si="1106"/>
        <v>0</v>
      </c>
      <c r="H210" s="2896">
        <f t="shared" si="1106"/>
        <v>0</v>
      </c>
      <c r="I210" s="2896">
        <f t="shared" si="1106"/>
        <v>0</v>
      </c>
      <c r="J210" s="2896">
        <f t="shared" si="1106"/>
        <v>0</v>
      </c>
      <c r="K210" s="2896">
        <f t="shared" si="1106"/>
        <v>773.54</v>
      </c>
      <c r="L210" s="2896">
        <f t="shared" si="1106"/>
        <v>773.54</v>
      </c>
      <c r="M210" s="2896">
        <f t="shared" si="1106"/>
        <v>0</v>
      </c>
      <c r="N210" s="2896">
        <f t="shared" si="1106"/>
        <v>773.54</v>
      </c>
      <c r="O210" s="2896">
        <f t="shared" si="1106"/>
        <v>773.54</v>
      </c>
      <c r="P210" s="2896">
        <f t="shared" si="1106"/>
        <v>0</v>
      </c>
      <c r="Q210" s="2895">
        <f t="shared" si="1106"/>
        <v>617.24599999999998</v>
      </c>
      <c r="R210" s="2895">
        <f t="shared" si="1106"/>
        <v>617.0625</v>
      </c>
      <c r="S210" s="2895">
        <f t="shared" si="1106"/>
        <v>0.1835</v>
      </c>
      <c r="T210" s="2896">
        <f t="shared" si="1106"/>
        <v>0</v>
      </c>
      <c r="U210" s="2896">
        <f t="shared" si="1106"/>
        <v>0</v>
      </c>
      <c r="V210" s="2896">
        <f t="shared" si="1106"/>
        <v>0</v>
      </c>
      <c r="W210" s="2896">
        <f t="shared" si="1106"/>
        <v>0</v>
      </c>
      <c r="X210" s="2896">
        <f t="shared" si="1106"/>
        <v>0</v>
      </c>
      <c r="Y210" s="2896">
        <f t="shared" si="1106"/>
        <v>0</v>
      </c>
      <c r="Z210" s="2896">
        <f t="shared" si="1106"/>
        <v>318.95800000000003</v>
      </c>
      <c r="AA210" s="2896">
        <f t="shared" si="1106"/>
        <v>318.95800000000003</v>
      </c>
      <c r="AB210" s="2896">
        <f t="shared" si="1106"/>
        <v>0</v>
      </c>
      <c r="AC210" s="2896">
        <f t="shared" si="1106"/>
        <v>318.95800000000003</v>
      </c>
      <c r="AD210" s="2896">
        <f t="shared" si="1106"/>
        <v>318.95800000000003</v>
      </c>
      <c r="AE210" s="2896">
        <f t="shared" si="1106"/>
        <v>0</v>
      </c>
      <c r="AF210" s="2897">
        <f t="shared" si="1106"/>
        <v>1234.492</v>
      </c>
      <c r="AG210" s="2897">
        <f t="shared" si="1106"/>
        <v>1234.125</v>
      </c>
      <c r="AH210" s="2897">
        <f t="shared" si="1106"/>
        <v>0.36699999999999999</v>
      </c>
      <c r="AI210" s="2898">
        <f t="shared" si="1106"/>
        <v>1092.498</v>
      </c>
      <c r="AJ210" s="2898">
        <f t="shared" si="1106"/>
        <v>1092.498</v>
      </c>
      <c r="AK210" s="2898">
        <f t="shared" si="1106"/>
        <v>0</v>
      </c>
      <c r="AL210" s="2851">
        <f t="shared" si="1048"/>
        <v>-141.99399999999991</v>
      </c>
      <c r="AM210" s="2851">
        <f t="shared" si="1049"/>
        <v>-141.62699999999995</v>
      </c>
      <c r="AN210" s="2851">
        <f t="shared" si="1049"/>
        <v>-0.36699999999999999</v>
      </c>
      <c r="AO210" s="2895">
        <f t="shared" ref="AO210:BI210" si="1107">SUM(AO144)</f>
        <v>617.24599999999998</v>
      </c>
      <c r="AP210" s="2895">
        <f t="shared" si="1107"/>
        <v>617.0625</v>
      </c>
      <c r="AQ210" s="2895">
        <f t="shared" si="1107"/>
        <v>0.1835</v>
      </c>
      <c r="AR210" s="2896">
        <f t="shared" si="1107"/>
        <v>369.16</v>
      </c>
      <c r="AS210" s="2896">
        <f t="shared" si="1107"/>
        <v>369.16</v>
      </c>
      <c r="AT210" s="2896">
        <f t="shared" si="1107"/>
        <v>0</v>
      </c>
      <c r="AU210" s="2896">
        <f t="shared" si="1107"/>
        <v>-314.90199999999999</v>
      </c>
      <c r="AV210" s="2896">
        <f t="shared" si="1107"/>
        <v>-314.90199999999999</v>
      </c>
      <c r="AW210" s="2896">
        <f t="shared" si="1107"/>
        <v>0</v>
      </c>
      <c r="AX210" s="2896">
        <f t="shared" si="1107"/>
        <v>557.49199999999996</v>
      </c>
      <c r="AY210" s="2896">
        <f t="shared" si="1107"/>
        <v>557.49199999999996</v>
      </c>
      <c r="AZ210" s="2896">
        <f t="shared" si="1107"/>
        <v>0</v>
      </c>
      <c r="BA210" s="2896">
        <f t="shared" si="1107"/>
        <v>611.75</v>
      </c>
      <c r="BB210" s="2896">
        <f t="shared" si="1107"/>
        <v>611.75</v>
      </c>
      <c r="BC210" s="2896">
        <f t="shared" si="1107"/>
        <v>0</v>
      </c>
      <c r="BD210" s="2897">
        <f t="shared" si="1107"/>
        <v>1851.7380000000001</v>
      </c>
      <c r="BE210" s="2897">
        <f t="shared" si="1107"/>
        <v>1851.1875</v>
      </c>
      <c r="BF210" s="2897">
        <f t="shared" si="1107"/>
        <v>0.55049999999999999</v>
      </c>
      <c r="BG210" s="2898">
        <f t="shared" si="1107"/>
        <v>1704.248</v>
      </c>
      <c r="BH210" s="2898">
        <f t="shared" si="1107"/>
        <v>1704.248</v>
      </c>
      <c r="BI210" s="2898">
        <f t="shared" si="1107"/>
        <v>0</v>
      </c>
      <c r="BJ210" s="2851">
        <f t="shared" si="1051"/>
        <v>-147.49</v>
      </c>
      <c r="BK210" s="2851">
        <f t="shared" si="1052"/>
        <v>-146.93949999999995</v>
      </c>
      <c r="BL210" s="2851">
        <f t="shared" si="1052"/>
        <v>-0.55049999999999999</v>
      </c>
      <c r="BM210" s="2895">
        <f t="shared" ref="BM210:CG210" si="1108">SUM(BM144)</f>
        <v>617.24599999999998</v>
      </c>
      <c r="BN210" s="2895">
        <f t="shared" si="1108"/>
        <v>617.0625</v>
      </c>
      <c r="BO210" s="2895">
        <f t="shared" si="1108"/>
        <v>0.1835</v>
      </c>
      <c r="BP210" s="2896">
        <f t="shared" si="1108"/>
        <v>0</v>
      </c>
      <c r="BQ210" s="2896">
        <f t="shared" si="1108"/>
        <v>0</v>
      </c>
      <c r="BR210" s="2896">
        <f t="shared" si="1108"/>
        <v>0</v>
      </c>
      <c r="BS210" s="2896">
        <f t="shared" si="1108"/>
        <v>0</v>
      </c>
      <c r="BT210" s="2896">
        <f t="shared" si="1108"/>
        <v>0</v>
      </c>
      <c r="BU210" s="2896">
        <f t="shared" si="1108"/>
        <v>0</v>
      </c>
      <c r="BV210" s="2896">
        <f t="shared" si="1108"/>
        <v>673.78700000000003</v>
      </c>
      <c r="BW210" s="2896">
        <f t="shared" si="1108"/>
        <v>673.78700000000003</v>
      </c>
      <c r="BX210" s="2896">
        <f t="shared" si="1108"/>
        <v>0</v>
      </c>
      <c r="BY210" s="2896">
        <f t="shared" si="1108"/>
        <v>673.78700000000003</v>
      </c>
      <c r="BZ210" s="2896">
        <f t="shared" si="1108"/>
        <v>673.78700000000003</v>
      </c>
      <c r="CA210" s="2896">
        <f t="shared" si="1108"/>
        <v>0</v>
      </c>
      <c r="CB210" s="2897">
        <f t="shared" si="1108"/>
        <v>2468.9839999999999</v>
      </c>
      <c r="CC210" s="2897">
        <f t="shared" si="1108"/>
        <v>2468.25</v>
      </c>
      <c r="CD210" s="2897">
        <f t="shared" si="1108"/>
        <v>0.73399999999999999</v>
      </c>
      <c r="CE210" s="2898">
        <f t="shared" si="1108"/>
        <v>2378.0349999999999</v>
      </c>
      <c r="CF210" s="2898">
        <f t="shared" si="1108"/>
        <v>2378.0349999999999</v>
      </c>
      <c r="CG210" s="2898">
        <f t="shared" si="1108"/>
        <v>0</v>
      </c>
      <c r="CH210" s="2851">
        <f t="shared" si="1054"/>
        <v>-90.949000000000069</v>
      </c>
      <c r="CI210" s="2851">
        <f t="shared" si="1055"/>
        <v>-90.215000000000146</v>
      </c>
      <c r="CJ210" s="2851">
        <f t="shared" si="1055"/>
        <v>-0.73399999999999999</v>
      </c>
      <c r="CK210" s="2822"/>
      <c r="CL210" s="2822"/>
      <c r="CM210" s="2822"/>
      <c r="CN210" s="2822"/>
    </row>
    <row r="211" spans="1:92" ht="18.75" x14ac:dyDescent="0.3">
      <c r="A211" s="2869" t="s">
        <v>524</v>
      </c>
      <c r="B211" s="2895">
        <f t="shared" si="1105"/>
        <v>19.79</v>
      </c>
      <c r="C211" s="2895">
        <f t="shared" si="1105"/>
        <v>19.79</v>
      </c>
      <c r="D211" s="2895">
        <f t="shared" si="1105"/>
        <v>0</v>
      </c>
      <c r="E211" s="2896">
        <f t="shared" ref="E211:AK211" si="1109">SUM(E145)</f>
        <v>0</v>
      </c>
      <c r="F211" s="2896">
        <f t="shared" si="1109"/>
        <v>0</v>
      </c>
      <c r="G211" s="2896">
        <f t="shared" si="1109"/>
        <v>0</v>
      </c>
      <c r="H211" s="2896">
        <f t="shared" si="1109"/>
        <v>0</v>
      </c>
      <c r="I211" s="2896">
        <f t="shared" si="1109"/>
        <v>0</v>
      </c>
      <c r="J211" s="2896">
        <f t="shared" si="1109"/>
        <v>0</v>
      </c>
      <c r="K211" s="2896">
        <f t="shared" si="1109"/>
        <v>22.62</v>
      </c>
      <c r="L211" s="2896">
        <f t="shared" si="1109"/>
        <v>22.62</v>
      </c>
      <c r="M211" s="2896">
        <f t="shared" si="1109"/>
        <v>0</v>
      </c>
      <c r="N211" s="2896">
        <f t="shared" si="1109"/>
        <v>22.62</v>
      </c>
      <c r="O211" s="2896">
        <f t="shared" si="1109"/>
        <v>22.62</v>
      </c>
      <c r="P211" s="2896">
        <f t="shared" si="1109"/>
        <v>0</v>
      </c>
      <c r="Q211" s="2895">
        <f t="shared" si="1109"/>
        <v>19.79</v>
      </c>
      <c r="R211" s="2895">
        <f t="shared" si="1109"/>
        <v>19.79</v>
      </c>
      <c r="S211" s="2895">
        <f t="shared" si="1109"/>
        <v>0</v>
      </c>
      <c r="T211" s="2896">
        <f t="shared" si="1109"/>
        <v>0</v>
      </c>
      <c r="U211" s="2896">
        <f t="shared" si="1109"/>
        <v>0</v>
      </c>
      <c r="V211" s="2896">
        <f t="shared" si="1109"/>
        <v>0</v>
      </c>
      <c r="W211" s="2896">
        <f t="shared" si="1109"/>
        <v>0</v>
      </c>
      <c r="X211" s="2896">
        <f t="shared" si="1109"/>
        <v>0</v>
      </c>
      <c r="Y211" s="2896">
        <f t="shared" si="1109"/>
        <v>0</v>
      </c>
      <c r="Z211" s="2896">
        <f t="shared" si="1109"/>
        <v>22.597999999999999</v>
      </c>
      <c r="AA211" s="2896">
        <f t="shared" si="1109"/>
        <v>22.597999999999999</v>
      </c>
      <c r="AB211" s="2896">
        <f t="shared" si="1109"/>
        <v>0</v>
      </c>
      <c r="AC211" s="2896">
        <f t="shared" si="1109"/>
        <v>22.597999999999999</v>
      </c>
      <c r="AD211" s="2896">
        <f t="shared" si="1109"/>
        <v>22.597999999999999</v>
      </c>
      <c r="AE211" s="2896">
        <f t="shared" si="1109"/>
        <v>0</v>
      </c>
      <c r="AF211" s="2897">
        <f t="shared" si="1109"/>
        <v>39.58</v>
      </c>
      <c r="AG211" s="2897">
        <f t="shared" si="1109"/>
        <v>39.58</v>
      </c>
      <c r="AH211" s="2897">
        <f t="shared" si="1109"/>
        <v>0</v>
      </c>
      <c r="AI211" s="2898">
        <f t="shared" si="1109"/>
        <v>45.218000000000004</v>
      </c>
      <c r="AJ211" s="2898">
        <f t="shared" si="1109"/>
        <v>45.218000000000004</v>
      </c>
      <c r="AK211" s="2898">
        <f t="shared" si="1109"/>
        <v>0</v>
      </c>
      <c r="AL211" s="2851">
        <f t="shared" si="1048"/>
        <v>5.6380000000000052</v>
      </c>
      <c r="AM211" s="2851">
        <f t="shared" si="1049"/>
        <v>5.6380000000000052</v>
      </c>
      <c r="AN211" s="2851">
        <f t="shared" si="1049"/>
        <v>0</v>
      </c>
      <c r="AO211" s="2895">
        <f t="shared" ref="AO211:BI211" si="1110">SUM(AO145)</f>
        <v>19.79</v>
      </c>
      <c r="AP211" s="2895">
        <f t="shared" si="1110"/>
        <v>19.79</v>
      </c>
      <c r="AQ211" s="2895">
        <f t="shared" si="1110"/>
        <v>0</v>
      </c>
      <c r="AR211" s="2896">
        <f t="shared" si="1110"/>
        <v>0</v>
      </c>
      <c r="AS211" s="2896">
        <f t="shared" si="1110"/>
        <v>0</v>
      </c>
      <c r="AT211" s="2896">
        <f t="shared" si="1110"/>
        <v>0</v>
      </c>
      <c r="AU211" s="2896">
        <f t="shared" si="1110"/>
        <v>0</v>
      </c>
      <c r="AV211" s="2896">
        <f t="shared" si="1110"/>
        <v>0</v>
      </c>
      <c r="AW211" s="2896">
        <f t="shared" si="1110"/>
        <v>0</v>
      </c>
      <c r="AX211" s="2896">
        <f t="shared" si="1110"/>
        <v>22.821000000000002</v>
      </c>
      <c r="AY211" s="2896">
        <f t="shared" si="1110"/>
        <v>22.821000000000002</v>
      </c>
      <c r="AZ211" s="2896">
        <f t="shared" si="1110"/>
        <v>0</v>
      </c>
      <c r="BA211" s="2896">
        <f t="shared" si="1110"/>
        <v>22.821000000000002</v>
      </c>
      <c r="BB211" s="2896">
        <f t="shared" si="1110"/>
        <v>22.821000000000002</v>
      </c>
      <c r="BC211" s="2896">
        <f t="shared" si="1110"/>
        <v>0</v>
      </c>
      <c r="BD211" s="2897">
        <f t="shared" si="1110"/>
        <v>59.37</v>
      </c>
      <c r="BE211" s="2897">
        <f t="shared" si="1110"/>
        <v>59.37</v>
      </c>
      <c r="BF211" s="2897">
        <f t="shared" si="1110"/>
        <v>0</v>
      </c>
      <c r="BG211" s="2898">
        <f t="shared" si="1110"/>
        <v>68.039000000000001</v>
      </c>
      <c r="BH211" s="2898">
        <f t="shared" si="1110"/>
        <v>68.039000000000001</v>
      </c>
      <c r="BI211" s="2898">
        <f t="shared" si="1110"/>
        <v>0</v>
      </c>
      <c r="BJ211" s="2851">
        <f t="shared" si="1051"/>
        <v>8.669000000000004</v>
      </c>
      <c r="BK211" s="2851">
        <f t="shared" si="1052"/>
        <v>8.669000000000004</v>
      </c>
      <c r="BL211" s="2851">
        <f t="shared" si="1052"/>
        <v>0</v>
      </c>
      <c r="BM211" s="2895">
        <f t="shared" ref="BM211:CG211" si="1111">SUM(BM145)</f>
        <v>19.79</v>
      </c>
      <c r="BN211" s="2895">
        <f t="shared" si="1111"/>
        <v>19.79</v>
      </c>
      <c r="BO211" s="2895">
        <f t="shared" si="1111"/>
        <v>0</v>
      </c>
      <c r="BP211" s="2896">
        <f t="shared" si="1111"/>
        <v>0</v>
      </c>
      <c r="BQ211" s="2896">
        <f t="shared" si="1111"/>
        <v>0</v>
      </c>
      <c r="BR211" s="2896">
        <f t="shared" si="1111"/>
        <v>0</v>
      </c>
      <c r="BS211" s="2896">
        <f t="shared" si="1111"/>
        <v>0</v>
      </c>
      <c r="BT211" s="2896">
        <f t="shared" si="1111"/>
        <v>0</v>
      </c>
      <c r="BU211" s="2896">
        <f t="shared" si="1111"/>
        <v>0</v>
      </c>
      <c r="BV211" s="2896">
        <f t="shared" si="1111"/>
        <v>22.349</v>
      </c>
      <c r="BW211" s="2896">
        <f t="shared" si="1111"/>
        <v>22.349</v>
      </c>
      <c r="BX211" s="2896">
        <f t="shared" si="1111"/>
        <v>0</v>
      </c>
      <c r="BY211" s="2896">
        <f t="shared" si="1111"/>
        <v>22.349</v>
      </c>
      <c r="BZ211" s="2896">
        <f t="shared" si="1111"/>
        <v>22.349</v>
      </c>
      <c r="CA211" s="2896">
        <f t="shared" si="1111"/>
        <v>0</v>
      </c>
      <c r="CB211" s="2897">
        <f t="shared" si="1111"/>
        <v>79.16</v>
      </c>
      <c r="CC211" s="2897">
        <f t="shared" si="1111"/>
        <v>79.16</v>
      </c>
      <c r="CD211" s="2897">
        <f t="shared" si="1111"/>
        <v>0</v>
      </c>
      <c r="CE211" s="2898">
        <f t="shared" si="1111"/>
        <v>90.388000000000005</v>
      </c>
      <c r="CF211" s="2898">
        <f t="shared" si="1111"/>
        <v>90.388000000000005</v>
      </c>
      <c r="CG211" s="2898">
        <f t="shared" si="1111"/>
        <v>0</v>
      </c>
      <c r="CH211" s="2851">
        <f t="shared" si="1054"/>
        <v>11.228000000000009</v>
      </c>
      <c r="CI211" s="2851">
        <f t="shared" si="1055"/>
        <v>11.228000000000009</v>
      </c>
      <c r="CJ211" s="2851">
        <f t="shared" si="1055"/>
        <v>0</v>
      </c>
      <c r="CK211" s="2822"/>
      <c r="CL211" s="2822"/>
      <c r="CM211" s="2822"/>
      <c r="CN211" s="2822"/>
    </row>
    <row r="212" spans="1:92" ht="18.75" x14ac:dyDescent="0.3">
      <c r="A212" s="2869" t="s">
        <v>525</v>
      </c>
      <c r="B212" s="2895">
        <f t="shared" si="1105"/>
        <v>0</v>
      </c>
      <c r="C212" s="2895">
        <f t="shared" si="1105"/>
        <v>0</v>
      </c>
      <c r="D212" s="2895">
        <f t="shared" si="1105"/>
        <v>0</v>
      </c>
      <c r="E212" s="2896">
        <f t="shared" ref="E212:AK212" si="1112">SUM(E146)</f>
        <v>0</v>
      </c>
      <c r="F212" s="2896">
        <f t="shared" si="1112"/>
        <v>0</v>
      </c>
      <c r="G212" s="2896">
        <f t="shared" si="1112"/>
        <v>0</v>
      </c>
      <c r="H212" s="2896">
        <f t="shared" si="1112"/>
        <v>0</v>
      </c>
      <c r="I212" s="2896">
        <f t="shared" si="1112"/>
        <v>0</v>
      </c>
      <c r="J212" s="2896">
        <f t="shared" si="1112"/>
        <v>0</v>
      </c>
      <c r="K212" s="2896">
        <f t="shared" si="1112"/>
        <v>0</v>
      </c>
      <c r="L212" s="2896">
        <f t="shared" si="1112"/>
        <v>0</v>
      </c>
      <c r="M212" s="2896">
        <f t="shared" si="1112"/>
        <v>0</v>
      </c>
      <c r="N212" s="2896">
        <f t="shared" si="1112"/>
        <v>0</v>
      </c>
      <c r="O212" s="2896">
        <f t="shared" si="1112"/>
        <v>0</v>
      </c>
      <c r="P212" s="2896">
        <f t="shared" si="1112"/>
        <v>0</v>
      </c>
      <c r="Q212" s="2895">
        <f t="shared" si="1112"/>
        <v>0</v>
      </c>
      <c r="R212" s="2895">
        <f t="shared" si="1112"/>
        <v>0</v>
      </c>
      <c r="S212" s="2895">
        <f t="shared" si="1112"/>
        <v>0</v>
      </c>
      <c r="T212" s="2896">
        <f t="shared" si="1112"/>
        <v>0</v>
      </c>
      <c r="U212" s="2896">
        <f t="shared" si="1112"/>
        <v>0</v>
      </c>
      <c r="V212" s="2896">
        <f t="shared" si="1112"/>
        <v>0</v>
      </c>
      <c r="W212" s="2896">
        <f t="shared" si="1112"/>
        <v>0</v>
      </c>
      <c r="X212" s="2896">
        <f t="shared" si="1112"/>
        <v>0</v>
      </c>
      <c r="Y212" s="2896">
        <f t="shared" si="1112"/>
        <v>0</v>
      </c>
      <c r="Z212" s="2896">
        <f t="shared" si="1112"/>
        <v>0</v>
      </c>
      <c r="AA212" s="2896">
        <f t="shared" si="1112"/>
        <v>0</v>
      </c>
      <c r="AB212" s="2896">
        <f t="shared" si="1112"/>
        <v>0</v>
      </c>
      <c r="AC212" s="2896">
        <f t="shared" si="1112"/>
        <v>0</v>
      </c>
      <c r="AD212" s="2896">
        <f t="shared" si="1112"/>
        <v>0</v>
      </c>
      <c r="AE212" s="2896">
        <f t="shared" si="1112"/>
        <v>0</v>
      </c>
      <c r="AF212" s="2897">
        <f t="shared" si="1112"/>
        <v>0</v>
      </c>
      <c r="AG212" s="2897">
        <f t="shared" si="1112"/>
        <v>0</v>
      </c>
      <c r="AH212" s="2897">
        <f t="shared" si="1112"/>
        <v>0</v>
      </c>
      <c r="AI212" s="2898">
        <f t="shared" si="1112"/>
        <v>0</v>
      </c>
      <c r="AJ212" s="2898">
        <f t="shared" si="1112"/>
        <v>0</v>
      </c>
      <c r="AK212" s="2898">
        <f t="shared" si="1112"/>
        <v>0</v>
      </c>
      <c r="AL212" s="2851">
        <f t="shared" si="1048"/>
        <v>0</v>
      </c>
      <c r="AM212" s="2851">
        <f t="shared" si="1049"/>
        <v>0</v>
      </c>
      <c r="AN212" s="2851">
        <f t="shared" si="1049"/>
        <v>0</v>
      </c>
      <c r="AO212" s="2895">
        <f t="shared" ref="AO212:BI212" si="1113">SUM(AO146)</f>
        <v>0</v>
      </c>
      <c r="AP212" s="2895">
        <f t="shared" si="1113"/>
        <v>0</v>
      </c>
      <c r="AQ212" s="2895">
        <f t="shared" si="1113"/>
        <v>0</v>
      </c>
      <c r="AR212" s="2896">
        <f t="shared" si="1113"/>
        <v>0</v>
      </c>
      <c r="AS212" s="2896">
        <f t="shared" si="1113"/>
        <v>0</v>
      </c>
      <c r="AT212" s="2896">
        <f t="shared" si="1113"/>
        <v>0</v>
      </c>
      <c r="AU212" s="2896">
        <f t="shared" si="1113"/>
        <v>0</v>
      </c>
      <c r="AV212" s="2896">
        <f t="shared" si="1113"/>
        <v>0</v>
      </c>
      <c r="AW212" s="2896">
        <f t="shared" si="1113"/>
        <v>0</v>
      </c>
      <c r="AX212" s="2896">
        <f t="shared" si="1113"/>
        <v>0</v>
      </c>
      <c r="AY212" s="2896">
        <f t="shared" si="1113"/>
        <v>0</v>
      </c>
      <c r="AZ212" s="2896">
        <f t="shared" si="1113"/>
        <v>0</v>
      </c>
      <c r="BA212" s="2896">
        <f t="shared" si="1113"/>
        <v>0</v>
      </c>
      <c r="BB212" s="2896">
        <f t="shared" si="1113"/>
        <v>0</v>
      </c>
      <c r="BC212" s="2896">
        <f t="shared" si="1113"/>
        <v>0</v>
      </c>
      <c r="BD212" s="2897">
        <f t="shared" si="1113"/>
        <v>0</v>
      </c>
      <c r="BE212" s="2897">
        <f t="shared" si="1113"/>
        <v>0</v>
      </c>
      <c r="BF212" s="2897">
        <f t="shared" si="1113"/>
        <v>0</v>
      </c>
      <c r="BG212" s="2898">
        <f t="shared" si="1113"/>
        <v>0</v>
      </c>
      <c r="BH212" s="2898">
        <f t="shared" si="1113"/>
        <v>0</v>
      </c>
      <c r="BI212" s="2898">
        <f t="shared" si="1113"/>
        <v>0</v>
      </c>
      <c r="BJ212" s="2851">
        <f t="shared" si="1051"/>
        <v>0</v>
      </c>
      <c r="BK212" s="2851">
        <f t="shared" si="1052"/>
        <v>0</v>
      </c>
      <c r="BL212" s="2851">
        <f t="shared" si="1052"/>
        <v>0</v>
      </c>
      <c r="BM212" s="2895">
        <f t="shared" ref="BM212:CG212" si="1114">SUM(BM146)</f>
        <v>0</v>
      </c>
      <c r="BN212" s="2895">
        <f t="shared" si="1114"/>
        <v>0</v>
      </c>
      <c r="BO212" s="2895">
        <f t="shared" si="1114"/>
        <v>0</v>
      </c>
      <c r="BP212" s="2896">
        <f t="shared" si="1114"/>
        <v>0</v>
      </c>
      <c r="BQ212" s="2896">
        <f t="shared" si="1114"/>
        <v>0</v>
      </c>
      <c r="BR212" s="2896">
        <f t="shared" si="1114"/>
        <v>0</v>
      </c>
      <c r="BS212" s="2896">
        <f t="shared" si="1114"/>
        <v>0</v>
      </c>
      <c r="BT212" s="2896">
        <f t="shared" si="1114"/>
        <v>0</v>
      </c>
      <c r="BU212" s="2896">
        <f t="shared" si="1114"/>
        <v>0</v>
      </c>
      <c r="BV212" s="2896">
        <f t="shared" si="1114"/>
        <v>0</v>
      </c>
      <c r="BW212" s="2896">
        <f t="shared" si="1114"/>
        <v>0</v>
      </c>
      <c r="BX212" s="2896">
        <f t="shared" si="1114"/>
        <v>0</v>
      </c>
      <c r="BY212" s="2896">
        <f t="shared" si="1114"/>
        <v>0</v>
      </c>
      <c r="BZ212" s="2896">
        <f t="shared" si="1114"/>
        <v>0</v>
      </c>
      <c r="CA212" s="2896">
        <f t="shared" si="1114"/>
        <v>0</v>
      </c>
      <c r="CB212" s="2897">
        <f t="shared" si="1114"/>
        <v>0</v>
      </c>
      <c r="CC212" s="2897">
        <f t="shared" si="1114"/>
        <v>0</v>
      </c>
      <c r="CD212" s="2897">
        <f t="shared" si="1114"/>
        <v>0</v>
      </c>
      <c r="CE212" s="2898">
        <f t="shared" si="1114"/>
        <v>0</v>
      </c>
      <c r="CF212" s="2898">
        <f t="shared" si="1114"/>
        <v>0</v>
      </c>
      <c r="CG212" s="2898">
        <f t="shared" si="1114"/>
        <v>0</v>
      </c>
      <c r="CH212" s="2851">
        <f t="shared" si="1054"/>
        <v>0</v>
      </c>
      <c r="CI212" s="2851">
        <f t="shared" si="1055"/>
        <v>0</v>
      </c>
      <c r="CJ212" s="2851">
        <f t="shared" si="1055"/>
        <v>0</v>
      </c>
      <c r="CK212" s="2822"/>
      <c r="CL212" s="2822"/>
      <c r="CM212" s="2822"/>
      <c r="CN212" s="2822"/>
    </row>
    <row r="213" spans="1:92" ht="18.75" x14ac:dyDescent="0.3">
      <c r="A213" s="2869" t="s">
        <v>526</v>
      </c>
      <c r="B213" s="2895">
        <f t="shared" si="1105"/>
        <v>630.68057999999996</v>
      </c>
      <c r="C213" s="2895">
        <f t="shared" si="1105"/>
        <v>630.68057999999996</v>
      </c>
      <c r="D213" s="2895">
        <f t="shared" si="1105"/>
        <v>0</v>
      </c>
      <c r="E213" s="2896">
        <f t="shared" ref="E213:AK213" si="1115">SUM(E147)</f>
        <v>0</v>
      </c>
      <c r="F213" s="2896">
        <f t="shared" si="1115"/>
        <v>0</v>
      </c>
      <c r="G213" s="2896">
        <f t="shared" si="1115"/>
        <v>0</v>
      </c>
      <c r="H213" s="2896">
        <f t="shared" si="1115"/>
        <v>0</v>
      </c>
      <c r="I213" s="2896">
        <f t="shared" si="1115"/>
        <v>0</v>
      </c>
      <c r="J213" s="2896">
        <f t="shared" si="1115"/>
        <v>0</v>
      </c>
      <c r="K213" s="2896">
        <f t="shared" si="1115"/>
        <v>0</v>
      </c>
      <c r="L213" s="2896">
        <f t="shared" si="1115"/>
        <v>0</v>
      </c>
      <c r="M213" s="2896">
        <f t="shared" si="1115"/>
        <v>0</v>
      </c>
      <c r="N213" s="2896">
        <f t="shared" si="1115"/>
        <v>0</v>
      </c>
      <c r="O213" s="2896">
        <f t="shared" si="1115"/>
        <v>0</v>
      </c>
      <c r="P213" s="2896">
        <f t="shared" si="1115"/>
        <v>0</v>
      </c>
      <c r="Q213" s="2895">
        <f t="shared" si="1115"/>
        <v>630.68057999999996</v>
      </c>
      <c r="R213" s="2895">
        <f t="shared" si="1115"/>
        <v>630.68057999999996</v>
      </c>
      <c r="S213" s="2895">
        <f t="shared" si="1115"/>
        <v>0</v>
      </c>
      <c r="T213" s="2896">
        <f t="shared" si="1115"/>
        <v>0</v>
      </c>
      <c r="U213" s="2896">
        <f t="shared" si="1115"/>
        <v>0</v>
      </c>
      <c r="V213" s="2896">
        <f t="shared" si="1115"/>
        <v>0</v>
      </c>
      <c r="W213" s="2896">
        <f t="shared" si="1115"/>
        <v>0</v>
      </c>
      <c r="X213" s="2896">
        <f t="shared" si="1115"/>
        <v>0</v>
      </c>
      <c r="Y213" s="2896">
        <f t="shared" si="1115"/>
        <v>0</v>
      </c>
      <c r="Z213" s="2896">
        <f t="shared" si="1115"/>
        <v>0</v>
      </c>
      <c r="AA213" s="2896">
        <f t="shared" si="1115"/>
        <v>0</v>
      </c>
      <c r="AB213" s="2896">
        <f t="shared" si="1115"/>
        <v>0</v>
      </c>
      <c r="AC213" s="2896">
        <f t="shared" si="1115"/>
        <v>0</v>
      </c>
      <c r="AD213" s="2896">
        <f t="shared" si="1115"/>
        <v>0</v>
      </c>
      <c r="AE213" s="2896">
        <f t="shared" si="1115"/>
        <v>0</v>
      </c>
      <c r="AF213" s="2897">
        <f t="shared" si="1115"/>
        <v>1261.3611599999999</v>
      </c>
      <c r="AG213" s="2897">
        <f t="shared" si="1115"/>
        <v>1261.3611599999999</v>
      </c>
      <c r="AH213" s="2897">
        <f t="shared" si="1115"/>
        <v>0</v>
      </c>
      <c r="AI213" s="2898">
        <f t="shared" si="1115"/>
        <v>0</v>
      </c>
      <c r="AJ213" s="2898">
        <f t="shared" si="1115"/>
        <v>0</v>
      </c>
      <c r="AK213" s="2898">
        <f t="shared" si="1115"/>
        <v>0</v>
      </c>
      <c r="AL213" s="2851">
        <f t="shared" si="1048"/>
        <v>-1261.3611599999999</v>
      </c>
      <c r="AM213" s="2851">
        <f t="shared" si="1049"/>
        <v>-1261.3611599999999</v>
      </c>
      <c r="AN213" s="2851">
        <f t="shared" si="1049"/>
        <v>0</v>
      </c>
      <c r="AO213" s="2895">
        <f t="shared" ref="AO213:BI213" si="1116">SUM(AO147)</f>
        <v>630.68057999999996</v>
      </c>
      <c r="AP213" s="2895">
        <f t="shared" si="1116"/>
        <v>630.68057999999996</v>
      </c>
      <c r="AQ213" s="2895">
        <f t="shared" si="1116"/>
        <v>0</v>
      </c>
      <c r="AR213" s="2896">
        <f t="shared" si="1116"/>
        <v>0</v>
      </c>
      <c r="AS213" s="2896">
        <f t="shared" si="1116"/>
        <v>0</v>
      </c>
      <c r="AT213" s="2896">
        <f t="shared" si="1116"/>
        <v>0</v>
      </c>
      <c r="AU213" s="2896">
        <f t="shared" si="1116"/>
        <v>0</v>
      </c>
      <c r="AV213" s="2896">
        <f t="shared" si="1116"/>
        <v>0</v>
      </c>
      <c r="AW213" s="2896">
        <f t="shared" si="1116"/>
        <v>0</v>
      </c>
      <c r="AX213" s="2896">
        <f t="shared" si="1116"/>
        <v>0</v>
      </c>
      <c r="AY213" s="2896">
        <f t="shared" si="1116"/>
        <v>0</v>
      </c>
      <c r="AZ213" s="2896">
        <f t="shared" si="1116"/>
        <v>0</v>
      </c>
      <c r="BA213" s="2896">
        <f t="shared" si="1116"/>
        <v>0</v>
      </c>
      <c r="BB213" s="2896">
        <f t="shared" si="1116"/>
        <v>0</v>
      </c>
      <c r="BC213" s="2896">
        <f t="shared" si="1116"/>
        <v>0</v>
      </c>
      <c r="BD213" s="2897">
        <f t="shared" si="1116"/>
        <v>1892.0417399999999</v>
      </c>
      <c r="BE213" s="2897">
        <f t="shared" si="1116"/>
        <v>1892.0417399999999</v>
      </c>
      <c r="BF213" s="2897">
        <f t="shared" si="1116"/>
        <v>0</v>
      </c>
      <c r="BG213" s="2898">
        <f t="shared" si="1116"/>
        <v>0</v>
      </c>
      <c r="BH213" s="2898">
        <f t="shared" si="1116"/>
        <v>0</v>
      </c>
      <c r="BI213" s="2898">
        <f t="shared" si="1116"/>
        <v>0</v>
      </c>
      <c r="BJ213" s="2851">
        <f t="shared" si="1051"/>
        <v>-1892.0417399999999</v>
      </c>
      <c r="BK213" s="2851">
        <f t="shared" si="1052"/>
        <v>-1892.0417399999999</v>
      </c>
      <c r="BL213" s="2851">
        <f t="shared" si="1052"/>
        <v>0</v>
      </c>
      <c r="BM213" s="2895">
        <f t="shared" ref="BM213:CG213" si="1117">SUM(BM147)</f>
        <v>630.68057999999996</v>
      </c>
      <c r="BN213" s="2895">
        <f t="shared" si="1117"/>
        <v>630.68057999999996</v>
      </c>
      <c r="BO213" s="2895">
        <f t="shared" si="1117"/>
        <v>0</v>
      </c>
      <c r="BP213" s="2896">
        <f t="shared" si="1117"/>
        <v>0</v>
      </c>
      <c r="BQ213" s="2896">
        <f t="shared" si="1117"/>
        <v>0</v>
      </c>
      <c r="BR213" s="2896">
        <f t="shared" si="1117"/>
        <v>0</v>
      </c>
      <c r="BS213" s="2896">
        <f t="shared" si="1117"/>
        <v>0</v>
      </c>
      <c r="BT213" s="2896">
        <f t="shared" si="1117"/>
        <v>0</v>
      </c>
      <c r="BU213" s="2896">
        <f t="shared" si="1117"/>
        <v>0</v>
      </c>
      <c r="BV213" s="2896">
        <f t="shared" si="1117"/>
        <v>0</v>
      </c>
      <c r="BW213" s="2896">
        <f t="shared" si="1117"/>
        <v>0</v>
      </c>
      <c r="BX213" s="2896">
        <f t="shared" si="1117"/>
        <v>0</v>
      </c>
      <c r="BY213" s="2896">
        <f t="shared" si="1117"/>
        <v>0</v>
      </c>
      <c r="BZ213" s="2896">
        <f t="shared" si="1117"/>
        <v>0</v>
      </c>
      <c r="CA213" s="2896">
        <f t="shared" si="1117"/>
        <v>0</v>
      </c>
      <c r="CB213" s="2897">
        <f t="shared" si="1117"/>
        <v>2522.7223199999999</v>
      </c>
      <c r="CC213" s="2897">
        <f t="shared" si="1117"/>
        <v>2522.7223199999999</v>
      </c>
      <c r="CD213" s="2897">
        <f t="shared" si="1117"/>
        <v>0</v>
      </c>
      <c r="CE213" s="2898">
        <f t="shared" si="1117"/>
        <v>0</v>
      </c>
      <c r="CF213" s="2898">
        <f t="shared" si="1117"/>
        <v>0</v>
      </c>
      <c r="CG213" s="2898">
        <f t="shared" si="1117"/>
        <v>0</v>
      </c>
      <c r="CH213" s="2851">
        <f t="shared" si="1054"/>
        <v>-2522.7223199999999</v>
      </c>
      <c r="CI213" s="2851">
        <f t="shared" si="1055"/>
        <v>-2522.7223199999999</v>
      </c>
      <c r="CJ213" s="2851">
        <f t="shared" si="1055"/>
        <v>0</v>
      </c>
      <c r="CK213" s="2822"/>
      <c r="CL213" s="2822"/>
      <c r="CM213" s="2822"/>
      <c r="CN213" s="2822"/>
    </row>
    <row r="214" spans="1:92" ht="18.75" x14ac:dyDescent="0.3">
      <c r="A214" s="2869" t="s">
        <v>3743</v>
      </c>
      <c r="B214" s="2895">
        <f t="shared" si="1105"/>
        <v>0</v>
      </c>
      <c r="C214" s="2895">
        <f t="shared" si="1105"/>
        <v>0</v>
      </c>
      <c r="D214" s="2895">
        <f t="shared" si="1105"/>
        <v>0</v>
      </c>
      <c r="E214" s="2896">
        <f t="shared" ref="E214:AK214" si="1118">SUM(E148)</f>
        <v>0</v>
      </c>
      <c r="F214" s="2896">
        <f t="shared" si="1118"/>
        <v>0</v>
      </c>
      <c r="G214" s="2896">
        <f t="shared" si="1118"/>
        <v>0</v>
      </c>
      <c r="H214" s="2896">
        <f t="shared" si="1118"/>
        <v>0</v>
      </c>
      <c r="I214" s="2896">
        <f t="shared" si="1118"/>
        <v>0</v>
      </c>
      <c r="J214" s="2896">
        <f t="shared" si="1118"/>
        <v>0</v>
      </c>
      <c r="K214" s="2896">
        <f t="shared" si="1118"/>
        <v>0</v>
      </c>
      <c r="L214" s="2896">
        <f t="shared" si="1118"/>
        <v>0</v>
      </c>
      <c r="M214" s="2896">
        <f t="shared" si="1118"/>
        <v>0</v>
      </c>
      <c r="N214" s="2896">
        <f t="shared" si="1118"/>
        <v>0</v>
      </c>
      <c r="O214" s="2896">
        <f t="shared" si="1118"/>
        <v>0</v>
      </c>
      <c r="P214" s="2896">
        <f t="shared" si="1118"/>
        <v>0</v>
      </c>
      <c r="Q214" s="2895">
        <f t="shared" si="1118"/>
        <v>0</v>
      </c>
      <c r="R214" s="2895">
        <f t="shared" si="1118"/>
        <v>0</v>
      </c>
      <c r="S214" s="2895">
        <f t="shared" si="1118"/>
        <v>0</v>
      </c>
      <c r="T214" s="2896">
        <f t="shared" si="1118"/>
        <v>0</v>
      </c>
      <c r="U214" s="2896">
        <f t="shared" si="1118"/>
        <v>0</v>
      </c>
      <c r="V214" s="2896">
        <f t="shared" si="1118"/>
        <v>0</v>
      </c>
      <c r="W214" s="2896">
        <f t="shared" si="1118"/>
        <v>0</v>
      </c>
      <c r="X214" s="2896">
        <f t="shared" si="1118"/>
        <v>0</v>
      </c>
      <c r="Y214" s="2896">
        <f t="shared" si="1118"/>
        <v>0</v>
      </c>
      <c r="Z214" s="2896">
        <f t="shared" si="1118"/>
        <v>0</v>
      </c>
      <c r="AA214" s="2896">
        <f t="shared" si="1118"/>
        <v>0</v>
      </c>
      <c r="AB214" s="2896">
        <f t="shared" si="1118"/>
        <v>0</v>
      </c>
      <c r="AC214" s="2896">
        <f t="shared" si="1118"/>
        <v>0</v>
      </c>
      <c r="AD214" s="2896">
        <f t="shared" si="1118"/>
        <v>0</v>
      </c>
      <c r="AE214" s="2896">
        <f t="shared" si="1118"/>
        <v>0</v>
      </c>
      <c r="AF214" s="2897">
        <f t="shared" si="1118"/>
        <v>0</v>
      </c>
      <c r="AG214" s="2897">
        <f t="shared" si="1118"/>
        <v>0</v>
      </c>
      <c r="AH214" s="2897">
        <f t="shared" si="1118"/>
        <v>0</v>
      </c>
      <c r="AI214" s="2898">
        <f t="shared" si="1118"/>
        <v>0</v>
      </c>
      <c r="AJ214" s="2898">
        <f t="shared" si="1118"/>
        <v>0</v>
      </c>
      <c r="AK214" s="2898">
        <f t="shared" si="1118"/>
        <v>0</v>
      </c>
      <c r="AL214" s="2851">
        <f t="shared" ref="AL214" si="1119">SUM(AI214-AF214)</f>
        <v>0</v>
      </c>
      <c r="AM214" s="2851">
        <f t="shared" si="1049"/>
        <v>0</v>
      </c>
      <c r="AN214" s="2851">
        <f t="shared" si="1049"/>
        <v>0</v>
      </c>
      <c r="AO214" s="2895">
        <f t="shared" ref="AO214:BI214" si="1120">SUM(AO148)</f>
        <v>0</v>
      </c>
      <c r="AP214" s="2895">
        <f t="shared" si="1120"/>
        <v>0</v>
      </c>
      <c r="AQ214" s="2895">
        <f t="shared" si="1120"/>
        <v>0</v>
      </c>
      <c r="AR214" s="2896">
        <f t="shared" si="1120"/>
        <v>0</v>
      </c>
      <c r="AS214" s="2896">
        <f t="shared" si="1120"/>
        <v>0</v>
      </c>
      <c r="AT214" s="2896">
        <f t="shared" si="1120"/>
        <v>0</v>
      </c>
      <c r="AU214" s="2896">
        <f t="shared" si="1120"/>
        <v>0</v>
      </c>
      <c r="AV214" s="2896">
        <f t="shared" si="1120"/>
        <v>0</v>
      </c>
      <c r="AW214" s="2896">
        <f t="shared" si="1120"/>
        <v>0</v>
      </c>
      <c r="AX214" s="2896">
        <f t="shared" si="1120"/>
        <v>0</v>
      </c>
      <c r="AY214" s="2896">
        <f t="shared" si="1120"/>
        <v>0</v>
      </c>
      <c r="AZ214" s="2896">
        <f t="shared" si="1120"/>
        <v>0</v>
      </c>
      <c r="BA214" s="2896">
        <f t="shared" si="1120"/>
        <v>0</v>
      </c>
      <c r="BB214" s="2896">
        <f t="shared" si="1120"/>
        <v>0</v>
      </c>
      <c r="BC214" s="2896">
        <f t="shared" si="1120"/>
        <v>0</v>
      </c>
      <c r="BD214" s="2897">
        <f t="shared" si="1120"/>
        <v>0</v>
      </c>
      <c r="BE214" s="2897">
        <f t="shared" si="1120"/>
        <v>0</v>
      </c>
      <c r="BF214" s="2897">
        <f t="shared" si="1120"/>
        <v>0</v>
      </c>
      <c r="BG214" s="2898">
        <f t="shared" si="1120"/>
        <v>0</v>
      </c>
      <c r="BH214" s="2898">
        <f t="shared" si="1120"/>
        <v>0</v>
      </c>
      <c r="BI214" s="2898">
        <f t="shared" si="1120"/>
        <v>0</v>
      </c>
      <c r="BJ214" s="2851">
        <f t="shared" ref="BJ214" si="1121">SUM(BG214-BD214)</f>
        <v>0</v>
      </c>
      <c r="BK214" s="2851">
        <f t="shared" si="1052"/>
        <v>0</v>
      </c>
      <c r="BL214" s="2851">
        <f t="shared" si="1052"/>
        <v>0</v>
      </c>
      <c r="BM214" s="2895">
        <f t="shared" ref="BM214:CG214" si="1122">SUM(BM148)</f>
        <v>0</v>
      </c>
      <c r="BN214" s="2895">
        <f t="shared" si="1122"/>
        <v>0</v>
      </c>
      <c r="BO214" s="2895">
        <f t="shared" si="1122"/>
        <v>0</v>
      </c>
      <c r="BP214" s="2896">
        <f t="shared" si="1122"/>
        <v>0</v>
      </c>
      <c r="BQ214" s="2896">
        <f t="shared" si="1122"/>
        <v>0</v>
      </c>
      <c r="BR214" s="2896">
        <f t="shared" si="1122"/>
        <v>0</v>
      </c>
      <c r="BS214" s="2896">
        <f t="shared" si="1122"/>
        <v>0</v>
      </c>
      <c r="BT214" s="2896">
        <f t="shared" si="1122"/>
        <v>0</v>
      </c>
      <c r="BU214" s="2896">
        <f t="shared" si="1122"/>
        <v>0</v>
      </c>
      <c r="BV214" s="2896">
        <f t="shared" si="1122"/>
        <v>0</v>
      </c>
      <c r="BW214" s="2896">
        <f t="shared" si="1122"/>
        <v>0</v>
      </c>
      <c r="BX214" s="2896">
        <f t="shared" si="1122"/>
        <v>0</v>
      </c>
      <c r="BY214" s="2896">
        <f t="shared" si="1122"/>
        <v>0</v>
      </c>
      <c r="BZ214" s="2896">
        <f t="shared" si="1122"/>
        <v>0</v>
      </c>
      <c r="CA214" s="2896">
        <f t="shared" si="1122"/>
        <v>0</v>
      </c>
      <c r="CB214" s="2897">
        <f t="shared" si="1122"/>
        <v>0</v>
      </c>
      <c r="CC214" s="2897">
        <f t="shared" si="1122"/>
        <v>0</v>
      </c>
      <c r="CD214" s="2897">
        <f t="shared" si="1122"/>
        <v>0</v>
      </c>
      <c r="CE214" s="2898">
        <f t="shared" si="1122"/>
        <v>0</v>
      </c>
      <c r="CF214" s="2898">
        <f t="shared" si="1122"/>
        <v>0</v>
      </c>
      <c r="CG214" s="2898">
        <f t="shared" si="1122"/>
        <v>0</v>
      </c>
      <c r="CH214" s="2851">
        <f t="shared" ref="CH214" si="1123">SUM(CE214-CB214)</f>
        <v>0</v>
      </c>
      <c r="CI214" s="2851">
        <f t="shared" si="1055"/>
        <v>0</v>
      </c>
      <c r="CJ214" s="2851">
        <f t="shared" si="1055"/>
        <v>0</v>
      </c>
      <c r="CK214" s="2822"/>
      <c r="CL214" s="2822"/>
      <c r="CM214" s="2822"/>
      <c r="CN214" s="2822"/>
    </row>
    <row r="215" spans="1:92" ht="18.75" x14ac:dyDescent="0.3">
      <c r="A215" s="2864" t="s">
        <v>3759</v>
      </c>
      <c r="B215" s="2888">
        <f t="shared" si="1105"/>
        <v>3753.8627186128615</v>
      </c>
      <c r="C215" s="2888">
        <f t="shared" si="1105"/>
        <v>3752.5547081237514</v>
      </c>
      <c r="D215" s="2888">
        <f t="shared" si="1105"/>
        <v>1.30801048911</v>
      </c>
      <c r="E215" s="2889">
        <f t="shared" ref="E215:AK215" si="1124">SUM(E149)</f>
        <v>1252.13339</v>
      </c>
      <c r="F215" s="2889">
        <f t="shared" si="1124"/>
        <v>1251.9029399999999</v>
      </c>
      <c r="G215" s="2889">
        <f t="shared" si="1124"/>
        <v>0.23044999999999999</v>
      </c>
      <c r="H215" s="2889">
        <f t="shared" si="1124"/>
        <v>1267.5971200000001</v>
      </c>
      <c r="I215" s="2889">
        <f t="shared" si="1124"/>
        <v>1267.3070000000002</v>
      </c>
      <c r="J215" s="2889">
        <f t="shared" si="1124"/>
        <v>0.29011999999999999</v>
      </c>
      <c r="K215" s="2889">
        <f t="shared" si="1124"/>
        <v>1448.3210200000001</v>
      </c>
      <c r="L215" s="2889">
        <f t="shared" si="1124"/>
        <v>1447.9870000000001</v>
      </c>
      <c r="M215" s="2889">
        <f t="shared" si="1124"/>
        <v>0.33401999999999998</v>
      </c>
      <c r="N215" s="2889">
        <f t="shared" si="1124"/>
        <v>3968.0515300000002</v>
      </c>
      <c r="O215" s="2889">
        <f t="shared" si="1124"/>
        <v>3967.1969400000003</v>
      </c>
      <c r="P215" s="2889">
        <f t="shared" si="1124"/>
        <v>0.85458999999999996</v>
      </c>
      <c r="Q215" s="2888">
        <f t="shared" si="1124"/>
        <v>3753.8627186128615</v>
      </c>
      <c r="R215" s="2888">
        <f t="shared" si="1124"/>
        <v>3752.5547081237514</v>
      </c>
      <c r="S215" s="2888">
        <f t="shared" si="1124"/>
        <v>1.30801048911</v>
      </c>
      <c r="T215" s="2889">
        <f t="shared" si="1124"/>
        <v>1446.67634</v>
      </c>
      <c r="U215" s="2889">
        <f t="shared" si="1124"/>
        <v>1446.32</v>
      </c>
      <c r="V215" s="2889">
        <f t="shared" si="1124"/>
        <v>0.35634000000000005</v>
      </c>
      <c r="W215" s="2889">
        <f t="shared" si="1124"/>
        <v>1961.8807599999998</v>
      </c>
      <c r="X215" s="2889">
        <f t="shared" si="1124"/>
        <v>1961.5239999999999</v>
      </c>
      <c r="Y215" s="2889">
        <f t="shared" si="1124"/>
        <v>0.35676000000000002</v>
      </c>
      <c r="Z215" s="2889">
        <f t="shared" si="1124"/>
        <v>1396.4252000000001</v>
      </c>
      <c r="AA215" s="2889">
        <f t="shared" si="1124"/>
        <v>1396.2350000000001</v>
      </c>
      <c r="AB215" s="2889">
        <f t="shared" si="1124"/>
        <v>0.19020000000000001</v>
      </c>
      <c r="AC215" s="2889">
        <f t="shared" si="1124"/>
        <v>4804.9822999999997</v>
      </c>
      <c r="AD215" s="2889">
        <f t="shared" si="1124"/>
        <v>4804.0789999999997</v>
      </c>
      <c r="AE215" s="2889">
        <f t="shared" si="1124"/>
        <v>0.9033000000000001</v>
      </c>
      <c r="AF215" s="2890">
        <f t="shared" si="1124"/>
        <v>7507.725437225723</v>
      </c>
      <c r="AG215" s="2890">
        <f t="shared" si="1124"/>
        <v>7505.1094162475028</v>
      </c>
      <c r="AH215" s="2890">
        <f t="shared" si="1124"/>
        <v>2.6160209782199999</v>
      </c>
      <c r="AI215" s="2891">
        <f t="shared" si="1124"/>
        <v>8773.0338300000003</v>
      </c>
      <c r="AJ215" s="2891">
        <f t="shared" si="1124"/>
        <v>8771.2759399999995</v>
      </c>
      <c r="AK215" s="2891">
        <f t="shared" si="1124"/>
        <v>1.7578900000000002</v>
      </c>
      <c r="AL215" s="2847">
        <f t="shared" si="1048"/>
        <v>1265.3083927742773</v>
      </c>
      <c r="AM215" s="2847">
        <f t="shared" si="1049"/>
        <v>1266.1665237524967</v>
      </c>
      <c r="AN215" s="2847">
        <f t="shared" si="1049"/>
        <v>-0.85813097821999973</v>
      </c>
      <c r="AO215" s="2888">
        <f t="shared" ref="AO215:BI215" si="1125">SUM(AO149)</f>
        <v>3753.8627186128615</v>
      </c>
      <c r="AP215" s="2888">
        <f t="shared" si="1125"/>
        <v>3752.5547081237514</v>
      </c>
      <c r="AQ215" s="2888">
        <f t="shared" si="1125"/>
        <v>1.30801048911</v>
      </c>
      <c r="AR215" s="2889">
        <f t="shared" si="1125"/>
        <v>1308.31349</v>
      </c>
      <c r="AS215" s="2889">
        <f t="shared" si="1125"/>
        <v>1308.1469999999999</v>
      </c>
      <c r="AT215" s="2889">
        <f t="shared" si="1125"/>
        <v>0.16649000000000003</v>
      </c>
      <c r="AU215" s="2889">
        <f t="shared" si="1125"/>
        <v>1046.6428000000001</v>
      </c>
      <c r="AV215" s="2889">
        <f t="shared" si="1125"/>
        <v>1046.375</v>
      </c>
      <c r="AW215" s="2889">
        <f t="shared" si="1125"/>
        <v>0.26779999999999998</v>
      </c>
      <c r="AX215" s="2889">
        <f t="shared" si="1125"/>
        <v>1552.96739</v>
      </c>
      <c r="AY215" s="2889">
        <f t="shared" si="1125"/>
        <v>1552.4416200000001</v>
      </c>
      <c r="AZ215" s="2889">
        <f t="shared" si="1125"/>
        <v>0.52576999999999996</v>
      </c>
      <c r="BA215" s="2889">
        <f t="shared" si="1125"/>
        <v>3907.9236799999999</v>
      </c>
      <c r="BB215" s="2889">
        <f t="shared" si="1125"/>
        <v>3906.96362</v>
      </c>
      <c r="BC215" s="2889">
        <f t="shared" si="1125"/>
        <v>0.96005999999999991</v>
      </c>
      <c r="BD215" s="2890">
        <f t="shared" si="1125"/>
        <v>11261.588155838584</v>
      </c>
      <c r="BE215" s="2890">
        <f t="shared" si="1125"/>
        <v>11257.664124371255</v>
      </c>
      <c r="BF215" s="2890">
        <f t="shared" si="1125"/>
        <v>3.9240314673299999</v>
      </c>
      <c r="BG215" s="2891">
        <f t="shared" si="1125"/>
        <v>12680.95751</v>
      </c>
      <c r="BH215" s="2891">
        <f t="shared" si="1125"/>
        <v>12678.23956</v>
      </c>
      <c r="BI215" s="2891">
        <f t="shared" si="1125"/>
        <v>2.7179500000000001</v>
      </c>
      <c r="BJ215" s="2847">
        <f t="shared" si="1051"/>
        <v>1419.3693541614157</v>
      </c>
      <c r="BK215" s="2847">
        <f t="shared" si="1052"/>
        <v>1420.5754356287453</v>
      </c>
      <c r="BL215" s="2847">
        <f t="shared" si="1052"/>
        <v>-1.2060814673299998</v>
      </c>
      <c r="BM215" s="2888">
        <f t="shared" ref="BM215:CG215" si="1126">SUM(BM149)</f>
        <v>3753.8627186128615</v>
      </c>
      <c r="BN215" s="2888">
        <f t="shared" si="1126"/>
        <v>3752.5547081237514</v>
      </c>
      <c r="BO215" s="2888">
        <f t="shared" si="1126"/>
        <v>1.30801048911</v>
      </c>
      <c r="BP215" s="2889">
        <f t="shared" si="1126"/>
        <v>1161.1300600000002</v>
      </c>
      <c r="BQ215" s="2889">
        <f t="shared" si="1126"/>
        <v>1160.9380000000001</v>
      </c>
      <c r="BR215" s="2889">
        <f t="shared" si="1126"/>
        <v>0.19205999999999998</v>
      </c>
      <c r="BS215" s="2889">
        <f t="shared" si="1126"/>
        <v>1265.5212999999999</v>
      </c>
      <c r="BT215" s="2889">
        <f t="shared" si="1126"/>
        <v>1265.223</v>
      </c>
      <c r="BU215" s="2889">
        <f t="shared" si="1126"/>
        <v>0.29830000000000001</v>
      </c>
      <c r="BV215" s="2889">
        <f t="shared" si="1126"/>
        <v>1234.3949500000001</v>
      </c>
      <c r="BW215" s="2889">
        <f t="shared" si="1126"/>
        <v>1234.1390000000001</v>
      </c>
      <c r="BX215" s="2889">
        <f t="shared" si="1126"/>
        <v>0.25595000000000001</v>
      </c>
      <c r="BY215" s="2889">
        <f t="shared" si="1126"/>
        <v>3661.0463100000002</v>
      </c>
      <c r="BZ215" s="2889">
        <f t="shared" si="1126"/>
        <v>3660.3</v>
      </c>
      <c r="CA215" s="2889">
        <f t="shared" si="1126"/>
        <v>0.74631000000000003</v>
      </c>
      <c r="CB215" s="2890">
        <f t="shared" si="1126"/>
        <v>15015.45108188538</v>
      </c>
      <c r="CC215" s="2890">
        <f t="shared" si="1126"/>
        <v>15010.218832495006</v>
      </c>
      <c r="CD215" s="2890">
        <f t="shared" si="1126"/>
        <v>5.2322493903738136</v>
      </c>
      <c r="CE215" s="2891">
        <f t="shared" si="1126"/>
        <v>16342.00382</v>
      </c>
      <c r="CF215" s="2891">
        <f t="shared" si="1126"/>
        <v>16338.539560000001</v>
      </c>
      <c r="CG215" s="2891">
        <f t="shared" si="1126"/>
        <v>3.4642600000000003</v>
      </c>
      <c r="CH215" s="2847">
        <f t="shared" si="1054"/>
        <v>1326.5527381146203</v>
      </c>
      <c r="CI215" s="2847">
        <f t="shared" si="1055"/>
        <v>1328.3207275049954</v>
      </c>
      <c r="CJ215" s="2847">
        <f t="shared" si="1055"/>
        <v>-1.7679893903738133</v>
      </c>
      <c r="CK215" s="2822"/>
      <c r="CL215" s="2822"/>
      <c r="CM215" s="2822"/>
      <c r="CN215" s="2822"/>
    </row>
    <row r="216" spans="1:92" ht="18.75" x14ac:dyDescent="0.3">
      <c r="A216" s="2874" t="s">
        <v>3745</v>
      </c>
      <c r="B216" s="2895">
        <f t="shared" si="1105"/>
        <v>2523.4076018812893</v>
      </c>
      <c r="C216" s="2895">
        <f t="shared" si="1105"/>
        <v>2522.587434049512</v>
      </c>
      <c r="D216" s="2895">
        <f t="shared" si="1105"/>
        <v>0.82016783177749997</v>
      </c>
      <c r="E216" s="2896">
        <f t="shared" ref="E216:AK216" si="1127">SUM(E150)</f>
        <v>800.31600000000003</v>
      </c>
      <c r="F216" s="2896">
        <f t="shared" si="1127"/>
        <v>800.16899999999998</v>
      </c>
      <c r="G216" s="2896">
        <f t="shared" si="1127"/>
        <v>0.14699999999999999</v>
      </c>
      <c r="H216" s="2896">
        <f t="shared" si="1127"/>
        <v>801.99800000000005</v>
      </c>
      <c r="I216" s="2896">
        <f t="shared" si="1127"/>
        <v>801.81500000000005</v>
      </c>
      <c r="J216" s="2896">
        <f t="shared" si="1127"/>
        <v>0.183</v>
      </c>
      <c r="K216" s="2896">
        <f t="shared" si="1127"/>
        <v>792.17899999999997</v>
      </c>
      <c r="L216" s="2896">
        <f t="shared" si="1127"/>
        <v>791.99599999999998</v>
      </c>
      <c r="M216" s="2896">
        <f t="shared" si="1127"/>
        <v>0.183</v>
      </c>
      <c r="N216" s="2896">
        <f t="shared" si="1127"/>
        <v>2394.4929999999999</v>
      </c>
      <c r="O216" s="2896">
        <f t="shared" si="1127"/>
        <v>2393.98</v>
      </c>
      <c r="P216" s="2896">
        <f t="shared" si="1127"/>
        <v>0.5129999999999999</v>
      </c>
      <c r="Q216" s="2895">
        <f t="shared" si="1127"/>
        <v>2523.4076018812893</v>
      </c>
      <c r="R216" s="2895">
        <f t="shared" si="1127"/>
        <v>2522.587434049512</v>
      </c>
      <c r="S216" s="2895">
        <f t="shared" si="1127"/>
        <v>0.82016783177749997</v>
      </c>
      <c r="T216" s="2896">
        <f t="shared" si="1127"/>
        <v>927.88</v>
      </c>
      <c r="U216" s="2896">
        <f t="shared" si="1127"/>
        <v>927.65</v>
      </c>
      <c r="V216" s="2896">
        <f t="shared" si="1127"/>
        <v>0.23</v>
      </c>
      <c r="W216" s="2896">
        <f t="shared" si="1127"/>
        <v>1359.126</v>
      </c>
      <c r="X216" s="2896">
        <f t="shared" si="1127"/>
        <v>1358.8789999999999</v>
      </c>
      <c r="Y216" s="2896">
        <f t="shared" si="1127"/>
        <v>0.247</v>
      </c>
      <c r="Z216" s="2896">
        <f t="shared" si="1127"/>
        <v>910.14200000000005</v>
      </c>
      <c r="AA216" s="2896">
        <f t="shared" si="1127"/>
        <v>910.01800000000003</v>
      </c>
      <c r="AB216" s="2896">
        <f t="shared" si="1127"/>
        <v>0.124</v>
      </c>
      <c r="AC216" s="2896">
        <f t="shared" si="1127"/>
        <v>3197.1480000000001</v>
      </c>
      <c r="AD216" s="2896">
        <f t="shared" si="1127"/>
        <v>3196.547</v>
      </c>
      <c r="AE216" s="2896">
        <f t="shared" si="1127"/>
        <v>0.60099999999999998</v>
      </c>
      <c r="AF216" s="2897">
        <f t="shared" si="1127"/>
        <v>5046.8152037625787</v>
      </c>
      <c r="AG216" s="2897">
        <f t="shared" si="1127"/>
        <v>5045.174868099024</v>
      </c>
      <c r="AH216" s="2897">
        <f t="shared" si="1127"/>
        <v>1.6403356635549999</v>
      </c>
      <c r="AI216" s="2898">
        <f t="shared" si="1127"/>
        <v>5591.6409999999996</v>
      </c>
      <c r="AJ216" s="2898">
        <f t="shared" si="1127"/>
        <v>5590.527</v>
      </c>
      <c r="AK216" s="2898">
        <f t="shared" si="1127"/>
        <v>1.1139999999999999</v>
      </c>
      <c r="AL216" s="2851">
        <f t="shared" si="1048"/>
        <v>544.82579623742095</v>
      </c>
      <c r="AM216" s="2851">
        <f t="shared" si="1049"/>
        <v>545.35213190097602</v>
      </c>
      <c r="AN216" s="2851">
        <f t="shared" si="1049"/>
        <v>-0.52633566355500006</v>
      </c>
      <c r="AO216" s="2895">
        <f t="shared" ref="AO216:BI216" si="1128">SUM(AO150)</f>
        <v>2523.4076018812893</v>
      </c>
      <c r="AP216" s="2895">
        <f t="shared" si="1128"/>
        <v>2522.587434049512</v>
      </c>
      <c r="AQ216" s="2895">
        <f t="shared" si="1128"/>
        <v>0.82016783177749997</v>
      </c>
      <c r="AR216" s="2896">
        <f t="shared" si="1128"/>
        <v>861.60799999999995</v>
      </c>
      <c r="AS216" s="2896">
        <f t="shared" si="1128"/>
        <v>861.49699999999996</v>
      </c>
      <c r="AT216" s="2896">
        <f t="shared" si="1128"/>
        <v>0.111</v>
      </c>
      <c r="AU216" s="2896">
        <f t="shared" si="1128"/>
        <v>728.18799999999999</v>
      </c>
      <c r="AV216" s="2896">
        <f t="shared" si="1128"/>
        <v>728.00099999999998</v>
      </c>
      <c r="AW216" s="2896">
        <f t="shared" si="1128"/>
        <v>0.187</v>
      </c>
      <c r="AX216" s="2896">
        <f t="shared" si="1128"/>
        <v>911.76095999999995</v>
      </c>
      <c r="AY216" s="2896">
        <f t="shared" si="1128"/>
        <v>911.452</v>
      </c>
      <c r="AZ216" s="2896">
        <f t="shared" si="1128"/>
        <v>0.30896000000000001</v>
      </c>
      <c r="BA216" s="2896">
        <f t="shared" si="1128"/>
        <v>2501.5569599999999</v>
      </c>
      <c r="BB216" s="2896">
        <f t="shared" si="1128"/>
        <v>2500.9499999999998</v>
      </c>
      <c r="BC216" s="2896">
        <f t="shared" si="1128"/>
        <v>0.60695999999999994</v>
      </c>
      <c r="BD216" s="2897">
        <f t="shared" si="1128"/>
        <v>7570.2228056438689</v>
      </c>
      <c r="BE216" s="2897">
        <f t="shared" si="1128"/>
        <v>7567.762302148536</v>
      </c>
      <c r="BF216" s="2897">
        <f t="shared" si="1128"/>
        <v>2.4605034953325</v>
      </c>
      <c r="BG216" s="2898">
        <f t="shared" si="1128"/>
        <v>8093.1979599999995</v>
      </c>
      <c r="BH216" s="2898">
        <f t="shared" si="1128"/>
        <v>8091.4769999999999</v>
      </c>
      <c r="BI216" s="2898">
        <f t="shared" si="1128"/>
        <v>1.7209599999999998</v>
      </c>
      <c r="BJ216" s="2851">
        <f t="shared" si="1051"/>
        <v>522.97515435613059</v>
      </c>
      <c r="BK216" s="2851">
        <f t="shared" si="1052"/>
        <v>523.71469785146382</v>
      </c>
      <c r="BL216" s="2851">
        <f t="shared" si="1052"/>
        <v>-0.73954349533250019</v>
      </c>
      <c r="BM216" s="2895">
        <f t="shared" ref="BM216:CG216" si="1129">SUM(BM150)</f>
        <v>2523.4076018812893</v>
      </c>
      <c r="BN216" s="2895">
        <f t="shared" si="1129"/>
        <v>2522.587434049512</v>
      </c>
      <c r="BO216" s="2895">
        <f t="shared" si="1129"/>
        <v>0.82016783177749997</v>
      </c>
      <c r="BP216" s="2896">
        <f t="shared" si="1129"/>
        <v>742.67400000000009</v>
      </c>
      <c r="BQ216" s="2896">
        <f t="shared" si="1129"/>
        <v>742.55100000000004</v>
      </c>
      <c r="BR216" s="2896">
        <f t="shared" si="1129"/>
        <v>0.123</v>
      </c>
      <c r="BS216" s="2896">
        <f t="shared" si="1129"/>
        <v>778.29099999999994</v>
      </c>
      <c r="BT216" s="2896">
        <f t="shared" si="1129"/>
        <v>778.10699999999997</v>
      </c>
      <c r="BU216" s="2896">
        <f t="shared" si="1129"/>
        <v>0.184</v>
      </c>
      <c r="BV216" s="2896">
        <f t="shared" si="1129"/>
        <v>807.09399999999994</v>
      </c>
      <c r="BW216" s="2896">
        <f t="shared" si="1129"/>
        <v>806.93</v>
      </c>
      <c r="BX216" s="2896">
        <f t="shared" si="1129"/>
        <v>0.16400000000000001</v>
      </c>
      <c r="BY216" s="2896">
        <f t="shared" si="1129"/>
        <v>2328.0589999999997</v>
      </c>
      <c r="BZ216" s="2896">
        <f t="shared" si="1129"/>
        <v>2327.5879999999997</v>
      </c>
      <c r="CA216" s="2896">
        <f t="shared" si="1129"/>
        <v>0.47099999999999997</v>
      </c>
      <c r="CB216" s="2897">
        <f t="shared" si="1129"/>
        <v>10093.630407525157</v>
      </c>
      <c r="CC216" s="2897">
        <f t="shared" si="1129"/>
        <v>10090.349736198048</v>
      </c>
      <c r="CD216" s="2897">
        <f t="shared" si="1129"/>
        <v>3.2806713271099999</v>
      </c>
      <c r="CE216" s="2898">
        <f t="shared" si="1129"/>
        <v>10421.256959999999</v>
      </c>
      <c r="CF216" s="2898">
        <f t="shared" si="1129"/>
        <v>10419.064999999999</v>
      </c>
      <c r="CG216" s="2898">
        <f t="shared" si="1129"/>
        <v>2.1919599999999999</v>
      </c>
      <c r="CH216" s="2851">
        <f t="shared" si="1054"/>
        <v>327.62655247484145</v>
      </c>
      <c r="CI216" s="2851">
        <f t="shared" si="1055"/>
        <v>328.71526380195064</v>
      </c>
      <c r="CJ216" s="2851">
        <f t="shared" si="1055"/>
        <v>-1.08871132711</v>
      </c>
      <c r="CK216" s="2822"/>
      <c r="CL216" s="2822"/>
      <c r="CM216" s="2822"/>
      <c r="CN216" s="2822"/>
    </row>
    <row r="217" spans="1:92" ht="18.75" x14ac:dyDescent="0.3">
      <c r="A217" s="2874" t="s">
        <v>3746</v>
      </c>
      <c r="B217" s="2895">
        <f t="shared" si="1105"/>
        <v>757.02223021485361</v>
      </c>
      <c r="C217" s="2895">
        <f t="shared" si="1105"/>
        <v>756.77623021485363</v>
      </c>
      <c r="D217" s="2895">
        <f t="shared" si="1105"/>
        <v>0.246</v>
      </c>
      <c r="E217" s="2896">
        <f t="shared" ref="E217:AK217" si="1130">SUM(E151)</f>
        <v>239.46300000000002</v>
      </c>
      <c r="F217" s="2896">
        <f t="shared" si="1130"/>
        <v>239.41900000000001</v>
      </c>
      <c r="G217" s="2896">
        <f t="shared" si="1130"/>
        <v>4.3999999999999997E-2</v>
      </c>
      <c r="H217" s="2896">
        <f t="shared" si="1130"/>
        <v>240.91510000000002</v>
      </c>
      <c r="I217" s="2896">
        <f t="shared" si="1130"/>
        <v>240.86</v>
      </c>
      <c r="J217" s="2896">
        <f t="shared" si="1130"/>
        <v>5.5100000000000003E-2</v>
      </c>
      <c r="K217" s="2896">
        <f t="shared" si="1130"/>
        <v>236.13400000000001</v>
      </c>
      <c r="L217" s="2896">
        <f t="shared" si="1130"/>
        <v>236.08</v>
      </c>
      <c r="M217" s="2896">
        <f t="shared" si="1130"/>
        <v>5.3999999999999999E-2</v>
      </c>
      <c r="N217" s="2896">
        <f t="shared" si="1130"/>
        <v>716.51210000000003</v>
      </c>
      <c r="O217" s="2896">
        <f t="shared" si="1130"/>
        <v>716.35900000000004</v>
      </c>
      <c r="P217" s="2896">
        <f t="shared" si="1130"/>
        <v>0.15309999999999999</v>
      </c>
      <c r="Q217" s="2895">
        <f t="shared" si="1130"/>
        <v>757.02223021485361</v>
      </c>
      <c r="R217" s="2895">
        <f t="shared" si="1130"/>
        <v>756.77623021485363</v>
      </c>
      <c r="S217" s="2895">
        <f t="shared" si="1130"/>
        <v>0.246</v>
      </c>
      <c r="T217" s="2896">
        <f t="shared" si="1130"/>
        <v>278.709</v>
      </c>
      <c r="U217" s="2896">
        <f t="shared" si="1130"/>
        <v>278.64</v>
      </c>
      <c r="V217" s="2896">
        <f t="shared" si="1130"/>
        <v>6.9000000000000006E-2</v>
      </c>
      <c r="W217" s="2896">
        <f t="shared" si="1130"/>
        <v>390.53347000000002</v>
      </c>
      <c r="X217" s="2896">
        <f t="shared" si="1130"/>
        <v>390.46100000000001</v>
      </c>
      <c r="Y217" s="2896">
        <f t="shared" si="1130"/>
        <v>7.2470000000000007E-2</v>
      </c>
      <c r="Z217" s="2896">
        <f t="shared" si="1130"/>
        <v>273.38</v>
      </c>
      <c r="AA217" s="2896">
        <f t="shared" si="1130"/>
        <v>273.34300000000002</v>
      </c>
      <c r="AB217" s="2896">
        <f t="shared" si="1130"/>
        <v>3.6999999999999998E-2</v>
      </c>
      <c r="AC217" s="2896">
        <f t="shared" si="1130"/>
        <v>942.62246999999991</v>
      </c>
      <c r="AD217" s="2896">
        <f t="shared" si="1130"/>
        <v>942.44399999999996</v>
      </c>
      <c r="AE217" s="2896">
        <f t="shared" si="1130"/>
        <v>0.17847000000000002</v>
      </c>
      <c r="AF217" s="2897">
        <f t="shared" si="1130"/>
        <v>1514.0444604297072</v>
      </c>
      <c r="AG217" s="2897">
        <f t="shared" si="1130"/>
        <v>1513.5524604297073</v>
      </c>
      <c r="AH217" s="2897">
        <f t="shared" si="1130"/>
        <v>0.49199999999999999</v>
      </c>
      <c r="AI217" s="2898">
        <f t="shared" si="1130"/>
        <v>1659.1345699999999</v>
      </c>
      <c r="AJ217" s="2898">
        <f t="shared" si="1130"/>
        <v>1658.8029999999999</v>
      </c>
      <c r="AK217" s="2898">
        <f t="shared" si="1130"/>
        <v>0.33157000000000003</v>
      </c>
      <c r="AL217" s="2851">
        <f t="shared" si="1048"/>
        <v>145.09010957029273</v>
      </c>
      <c r="AM217" s="2851">
        <f t="shared" si="1049"/>
        <v>145.25053957029263</v>
      </c>
      <c r="AN217" s="2851">
        <f t="shared" si="1049"/>
        <v>-0.16042999999999996</v>
      </c>
      <c r="AO217" s="2895">
        <f t="shared" ref="AO217:BI217" si="1131">SUM(AO151)</f>
        <v>757.02223021485361</v>
      </c>
      <c r="AP217" s="2895">
        <f t="shared" si="1131"/>
        <v>756.77623021485363</v>
      </c>
      <c r="AQ217" s="2895">
        <f t="shared" si="1131"/>
        <v>0.246</v>
      </c>
      <c r="AR217" s="2896">
        <f t="shared" si="1131"/>
        <v>257.95300000000003</v>
      </c>
      <c r="AS217" s="2896">
        <f t="shared" si="1131"/>
        <v>257.92</v>
      </c>
      <c r="AT217" s="2896">
        <f t="shared" si="1131"/>
        <v>3.3000000000000002E-2</v>
      </c>
      <c r="AU217" s="2896">
        <f t="shared" si="1131"/>
        <v>219.18</v>
      </c>
      <c r="AV217" s="2896">
        <f t="shared" si="1131"/>
        <v>219.124</v>
      </c>
      <c r="AW217" s="2896">
        <f t="shared" si="1131"/>
        <v>5.6000000000000001E-2</v>
      </c>
      <c r="AX217" s="2896">
        <f t="shared" si="1131"/>
        <v>274.71208000000001</v>
      </c>
      <c r="AY217" s="2896">
        <f t="shared" si="1131"/>
        <v>274.61900000000003</v>
      </c>
      <c r="AZ217" s="2896">
        <f t="shared" si="1131"/>
        <v>9.3079999999999996E-2</v>
      </c>
      <c r="BA217" s="2896">
        <f t="shared" si="1131"/>
        <v>751.84508000000005</v>
      </c>
      <c r="BB217" s="2896">
        <f t="shared" si="1131"/>
        <v>751.66300000000001</v>
      </c>
      <c r="BC217" s="2896">
        <f t="shared" si="1131"/>
        <v>0.18207999999999999</v>
      </c>
      <c r="BD217" s="2897">
        <f t="shared" si="1131"/>
        <v>2271.0666906445608</v>
      </c>
      <c r="BE217" s="2897">
        <f t="shared" si="1131"/>
        <v>2270.328690644561</v>
      </c>
      <c r="BF217" s="2897">
        <f t="shared" si="1131"/>
        <v>0.73799999999999999</v>
      </c>
      <c r="BG217" s="2898">
        <f t="shared" si="1131"/>
        <v>2410.9796500000002</v>
      </c>
      <c r="BH217" s="2898">
        <f t="shared" si="1131"/>
        <v>2410.4659999999999</v>
      </c>
      <c r="BI217" s="2898">
        <f t="shared" si="1131"/>
        <v>0.51365000000000005</v>
      </c>
      <c r="BJ217" s="2851">
        <f t="shared" si="1051"/>
        <v>139.9129593554394</v>
      </c>
      <c r="BK217" s="2851">
        <f t="shared" si="1052"/>
        <v>140.1373093554389</v>
      </c>
      <c r="BL217" s="2851">
        <f t="shared" si="1052"/>
        <v>-0.22434999999999994</v>
      </c>
      <c r="BM217" s="2895">
        <f t="shared" ref="BM217:CG217" si="1132">SUM(BM151)</f>
        <v>757.02223021485361</v>
      </c>
      <c r="BN217" s="2895">
        <f t="shared" si="1132"/>
        <v>756.77623021485363</v>
      </c>
      <c r="BO217" s="2895">
        <f t="shared" si="1132"/>
        <v>0.246</v>
      </c>
      <c r="BP217" s="2896">
        <f t="shared" si="1132"/>
        <v>222.47272000000001</v>
      </c>
      <c r="BQ217" s="2896">
        <f t="shared" si="1132"/>
        <v>222.43600000000001</v>
      </c>
      <c r="BR217" s="2896">
        <f t="shared" si="1132"/>
        <v>3.6720000000000003E-2</v>
      </c>
      <c r="BS217" s="2896">
        <f t="shared" si="1132"/>
        <v>251.26499999999999</v>
      </c>
      <c r="BT217" s="2896">
        <f t="shared" si="1132"/>
        <v>251.20599999999999</v>
      </c>
      <c r="BU217" s="2896">
        <f t="shared" si="1132"/>
        <v>5.8999999999999997E-2</v>
      </c>
      <c r="BV217" s="2896">
        <f t="shared" si="1132"/>
        <v>212.42998</v>
      </c>
      <c r="BW217" s="2896">
        <f t="shared" si="1132"/>
        <v>212.387</v>
      </c>
      <c r="BX217" s="2896">
        <f t="shared" si="1132"/>
        <v>4.2979999999999997E-2</v>
      </c>
      <c r="BY217" s="2896">
        <f t="shared" si="1132"/>
        <v>686.16769999999997</v>
      </c>
      <c r="BZ217" s="2896">
        <f t="shared" si="1132"/>
        <v>686.029</v>
      </c>
      <c r="CA217" s="2896">
        <f t="shared" si="1132"/>
        <v>0.13869999999999999</v>
      </c>
      <c r="CB217" s="2897">
        <f t="shared" si="1132"/>
        <v>3028.0889208594144</v>
      </c>
      <c r="CC217" s="2897">
        <f t="shared" si="1132"/>
        <v>3027.1049208594145</v>
      </c>
      <c r="CD217" s="2897">
        <f t="shared" si="1132"/>
        <v>0.98399999999999999</v>
      </c>
      <c r="CE217" s="2898">
        <f t="shared" si="1132"/>
        <v>3097.1473500000002</v>
      </c>
      <c r="CF217" s="2898">
        <f t="shared" si="1132"/>
        <v>3096.4949999999999</v>
      </c>
      <c r="CG217" s="2898">
        <f t="shared" si="1132"/>
        <v>0.65234999999999999</v>
      </c>
      <c r="CH217" s="2851">
        <f t="shared" si="1054"/>
        <v>69.058429140585758</v>
      </c>
      <c r="CI217" s="2851">
        <f t="shared" si="1055"/>
        <v>69.390079140585385</v>
      </c>
      <c r="CJ217" s="2851">
        <f t="shared" si="1055"/>
        <v>-0.33165</v>
      </c>
      <c r="CK217" s="2822"/>
      <c r="CL217" s="2822"/>
      <c r="CM217" s="2822"/>
      <c r="CN217" s="2822"/>
    </row>
    <row r="218" spans="1:92" ht="18.75" x14ac:dyDescent="0.3">
      <c r="A218" s="2879" t="s">
        <v>274</v>
      </c>
      <c r="B218" s="2895">
        <f t="shared" si="1105"/>
        <v>4.0826757298606422</v>
      </c>
      <c r="C218" s="2895">
        <f t="shared" si="1105"/>
        <v>4.0765778277656421</v>
      </c>
      <c r="D218" s="2895">
        <f t="shared" si="1105"/>
        <v>6.0979020949999997E-3</v>
      </c>
      <c r="E218" s="2896">
        <f t="shared" ref="E218:AK218" si="1133">SUM(E152)</f>
        <v>0.25105</v>
      </c>
      <c r="F218" s="2896">
        <f t="shared" si="1133"/>
        <v>0.251</v>
      </c>
      <c r="G218" s="2896">
        <f t="shared" si="1133"/>
        <v>5.0000000000000002E-5</v>
      </c>
      <c r="H218" s="2896">
        <f t="shared" si="1133"/>
        <v>0.15003</v>
      </c>
      <c r="I218" s="2896">
        <f t="shared" si="1133"/>
        <v>0.15</v>
      </c>
      <c r="J218" s="2896">
        <f t="shared" si="1133"/>
        <v>3.0000000000000001E-5</v>
      </c>
      <c r="K218" s="2896">
        <f t="shared" si="1133"/>
        <v>6.8465999999999996</v>
      </c>
      <c r="L218" s="2896">
        <f t="shared" si="1133"/>
        <v>6.8449999999999998</v>
      </c>
      <c r="M218" s="2896">
        <f t="shared" si="1133"/>
        <v>1.6000000000000001E-3</v>
      </c>
      <c r="N218" s="2896">
        <f t="shared" si="1133"/>
        <v>7.2476799999999999</v>
      </c>
      <c r="O218" s="2896">
        <f t="shared" si="1133"/>
        <v>7.2459999999999996</v>
      </c>
      <c r="P218" s="2896">
        <f t="shared" si="1133"/>
        <v>1.6800000000000001E-3</v>
      </c>
      <c r="Q218" s="2895">
        <f t="shared" si="1133"/>
        <v>4.0826757298606422</v>
      </c>
      <c r="R218" s="2895">
        <f t="shared" si="1133"/>
        <v>4.0765778277656421</v>
      </c>
      <c r="S218" s="2895">
        <f t="shared" si="1133"/>
        <v>6.0979020949999997E-3</v>
      </c>
      <c r="T218" s="2896">
        <f t="shared" si="1133"/>
        <v>6.83169</v>
      </c>
      <c r="U218" s="2896">
        <f t="shared" si="1133"/>
        <v>6.83</v>
      </c>
      <c r="V218" s="2896">
        <f t="shared" si="1133"/>
        <v>1.6900000000000001E-3</v>
      </c>
      <c r="W218" s="2896">
        <f t="shared" si="1133"/>
        <v>5.7260399999999994</v>
      </c>
      <c r="X218" s="2896">
        <f t="shared" si="1133"/>
        <v>5.7249999999999996</v>
      </c>
      <c r="Y218" s="2896">
        <f t="shared" si="1133"/>
        <v>1.0399999999999999E-3</v>
      </c>
      <c r="Z218" s="2896">
        <f t="shared" si="1133"/>
        <v>6.31</v>
      </c>
      <c r="AA218" s="2896">
        <f t="shared" si="1133"/>
        <v>6.31</v>
      </c>
      <c r="AB218" s="2896">
        <f t="shared" si="1133"/>
        <v>0</v>
      </c>
      <c r="AC218" s="2896">
        <f t="shared" si="1133"/>
        <v>18.867729999999998</v>
      </c>
      <c r="AD218" s="2896">
        <f t="shared" si="1133"/>
        <v>18.864999999999998</v>
      </c>
      <c r="AE218" s="2896">
        <f t="shared" si="1133"/>
        <v>2.7299999999999998E-3</v>
      </c>
      <c r="AF218" s="2897">
        <f t="shared" si="1133"/>
        <v>8.1653514597212844</v>
      </c>
      <c r="AG218" s="2897">
        <f t="shared" si="1133"/>
        <v>8.1531556555312843</v>
      </c>
      <c r="AH218" s="2897">
        <f t="shared" si="1133"/>
        <v>1.2195804189999999E-2</v>
      </c>
      <c r="AI218" s="2898">
        <f t="shared" si="1133"/>
        <v>26.115409999999997</v>
      </c>
      <c r="AJ218" s="2898">
        <f t="shared" si="1133"/>
        <v>26.110999999999997</v>
      </c>
      <c r="AK218" s="2898">
        <f t="shared" si="1133"/>
        <v>4.4099999999999999E-3</v>
      </c>
      <c r="AL218" s="2851">
        <f t="shared" si="1048"/>
        <v>17.950058540278711</v>
      </c>
      <c r="AM218" s="2851">
        <f t="shared" si="1049"/>
        <v>17.957844344468711</v>
      </c>
      <c r="AN218" s="2851">
        <f t="shared" si="1049"/>
        <v>-7.7858041899999996E-3</v>
      </c>
      <c r="AO218" s="2895">
        <f t="shared" ref="AO218:BI218" si="1134">SUM(AO152)</f>
        <v>4.0826757298606422</v>
      </c>
      <c r="AP218" s="2895">
        <f t="shared" si="1134"/>
        <v>4.0765778277656421</v>
      </c>
      <c r="AQ218" s="2895">
        <f t="shared" si="1134"/>
        <v>6.0979020949999997E-3</v>
      </c>
      <c r="AR218" s="2896">
        <f t="shared" si="1134"/>
        <v>5.9307599999999994</v>
      </c>
      <c r="AS218" s="2896">
        <f t="shared" si="1134"/>
        <v>5.93</v>
      </c>
      <c r="AT218" s="2896">
        <f t="shared" si="1134"/>
        <v>7.6000000000000004E-4</v>
      </c>
      <c r="AU218" s="2896">
        <f t="shared" si="1134"/>
        <v>6.1246</v>
      </c>
      <c r="AV218" s="2896">
        <f t="shared" si="1134"/>
        <v>6.1230000000000002</v>
      </c>
      <c r="AW218" s="2896">
        <f t="shared" si="1134"/>
        <v>1.6000000000000001E-3</v>
      </c>
      <c r="AX218" s="2896">
        <f t="shared" si="1134"/>
        <v>6.8653300000000002</v>
      </c>
      <c r="AY218" s="2896">
        <f t="shared" si="1134"/>
        <v>6.8630000000000004</v>
      </c>
      <c r="AZ218" s="2896">
        <f t="shared" si="1134"/>
        <v>2.33E-3</v>
      </c>
      <c r="BA218" s="2896">
        <f t="shared" si="1134"/>
        <v>18.92069</v>
      </c>
      <c r="BB218" s="2896">
        <f t="shared" si="1134"/>
        <v>18.916</v>
      </c>
      <c r="BC218" s="2896">
        <f t="shared" si="1134"/>
        <v>4.6899999999999997E-3</v>
      </c>
      <c r="BD218" s="2897">
        <f t="shared" si="1134"/>
        <v>12.248027189581926</v>
      </c>
      <c r="BE218" s="2897">
        <f t="shared" si="1134"/>
        <v>12.229733483296926</v>
      </c>
      <c r="BF218" s="2897">
        <f t="shared" si="1134"/>
        <v>1.8293706284999999E-2</v>
      </c>
      <c r="BG218" s="2898">
        <f t="shared" si="1134"/>
        <v>45.036099999999998</v>
      </c>
      <c r="BH218" s="2898">
        <f t="shared" si="1134"/>
        <v>45.027000000000001</v>
      </c>
      <c r="BI218" s="2898">
        <f t="shared" si="1134"/>
        <v>9.1000000000000004E-3</v>
      </c>
      <c r="BJ218" s="2851">
        <f t="shared" si="1051"/>
        <v>32.788072810418072</v>
      </c>
      <c r="BK218" s="2851">
        <f t="shared" si="1052"/>
        <v>32.797266516703075</v>
      </c>
      <c r="BL218" s="2851">
        <f t="shared" si="1052"/>
        <v>-9.1937062849999987E-3</v>
      </c>
      <c r="BM218" s="2895">
        <f t="shared" ref="BM218:CG218" si="1135">SUM(BM152)</f>
        <v>4.0826757298606422</v>
      </c>
      <c r="BN218" s="2895">
        <f t="shared" si="1135"/>
        <v>4.0765778277656421</v>
      </c>
      <c r="BO218" s="2895">
        <f t="shared" si="1135"/>
        <v>6.0979020949999997E-3</v>
      </c>
      <c r="BP218" s="2896">
        <f t="shared" si="1135"/>
        <v>7.12418</v>
      </c>
      <c r="BQ218" s="2896">
        <f t="shared" si="1135"/>
        <v>7.1230000000000002</v>
      </c>
      <c r="BR218" s="2896">
        <f t="shared" si="1135"/>
        <v>1.1800000000000001E-3</v>
      </c>
      <c r="BS218" s="2896">
        <f t="shared" si="1135"/>
        <v>7.93187</v>
      </c>
      <c r="BT218" s="2896">
        <f t="shared" si="1135"/>
        <v>7.93</v>
      </c>
      <c r="BU218" s="2896">
        <f t="shared" si="1135"/>
        <v>1.8699999999999999E-3</v>
      </c>
      <c r="BV218" s="2896">
        <f t="shared" si="1135"/>
        <v>8.8697700000000008</v>
      </c>
      <c r="BW218" s="2896">
        <f t="shared" si="1135"/>
        <v>8.8670000000000009</v>
      </c>
      <c r="BX218" s="2896">
        <f t="shared" si="1135"/>
        <v>2.7699999999999999E-3</v>
      </c>
      <c r="BY218" s="2896">
        <f t="shared" si="1135"/>
        <v>23.925820000000002</v>
      </c>
      <c r="BZ218" s="2896">
        <f t="shared" si="1135"/>
        <v>23.92</v>
      </c>
      <c r="CA218" s="2896">
        <f t="shared" si="1135"/>
        <v>5.8199999999999997E-3</v>
      </c>
      <c r="CB218" s="2897">
        <f t="shared" si="1135"/>
        <v>16.330702919442569</v>
      </c>
      <c r="CC218" s="2897">
        <f t="shared" si="1135"/>
        <v>16.306311311062569</v>
      </c>
      <c r="CD218" s="2897">
        <f t="shared" si="1135"/>
        <v>2.4391608379999999E-2</v>
      </c>
      <c r="CE218" s="2898">
        <f t="shared" si="1135"/>
        <v>68.961919999999992</v>
      </c>
      <c r="CF218" s="2898">
        <f t="shared" si="1135"/>
        <v>68.947000000000003</v>
      </c>
      <c r="CG218" s="2898">
        <f t="shared" si="1135"/>
        <v>1.4919999999999999E-2</v>
      </c>
      <c r="CH218" s="2851">
        <f t="shared" si="1054"/>
        <v>52.63121708055742</v>
      </c>
      <c r="CI218" s="2851">
        <f t="shared" si="1055"/>
        <v>52.640688688937431</v>
      </c>
      <c r="CJ218" s="2851">
        <f t="shared" si="1055"/>
        <v>-9.4716083799999996E-3</v>
      </c>
      <c r="CK218" s="2822"/>
      <c r="CL218" s="2822"/>
      <c r="CM218" s="2822"/>
      <c r="CN218" s="2822"/>
    </row>
    <row r="219" spans="1:92" ht="18.75" x14ac:dyDescent="0.3">
      <c r="A219" s="2879" t="s">
        <v>1546</v>
      </c>
      <c r="B219" s="2895">
        <f t="shared" si="1105"/>
        <v>16.930698953817409</v>
      </c>
      <c r="C219" s="2895">
        <f t="shared" si="1105"/>
        <v>16.924601051722409</v>
      </c>
      <c r="D219" s="2895">
        <f t="shared" si="1105"/>
        <v>6.0979020949999997E-3</v>
      </c>
      <c r="E219" s="2896">
        <f t="shared" ref="E219:AK219" si="1136">SUM(E153)</f>
        <v>12.820359999999999</v>
      </c>
      <c r="F219" s="2896">
        <f t="shared" si="1136"/>
        <v>12.818</v>
      </c>
      <c r="G219" s="2896">
        <f t="shared" si="1136"/>
        <v>2.3600000000000001E-3</v>
      </c>
      <c r="H219" s="2896">
        <f t="shared" si="1136"/>
        <v>14.0092</v>
      </c>
      <c r="I219" s="2896">
        <f t="shared" si="1136"/>
        <v>14.006</v>
      </c>
      <c r="J219" s="2896">
        <f t="shared" si="1136"/>
        <v>3.2000000000000002E-3</v>
      </c>
      <c r="K219" s="2896">
        <f t="shared" si="1136"/>
        <v>10.22236</v>
      </c>
      <c r="L219" s="2896">
        <f t="shared" si="1136"/>
        <v>10.220000000000001</v>
      </c>
      <c r="M219" s="2896">
        <f t="shared" si="1136"/>
        <v>2.3600000000000001E-3</v>
      </c>
      <c r="N219" s="2896">
        <f t="shared" si="1136"/>
        <v>37.051919999999996</v>
      </c>
      <c r="O219" s="2896">
        <f t="shared" si="1136"/>
        <v>37.043999999999997</v>
      </c>
      <c r="P219" s="2896">
        <f t="shared" si="1136"/>
        <v>7.92E-3</v>
      </c>
      <c r="Q219" s="2895">
        <f t="shared" si="1136"/>
        <v>16.930698953817409</v>
      </c>
      <c r="R219" s="2895">
        <f t="shared" si="1136"/>
        <v>16.924601051722409</v>
      </c>
      <c r="S219" s="2895">
        <f t="shared" si="1136"/>
        <v>6.0979020949999997E-3</v>
      </c>
      <c r="T219" s="2896">
        <f t="shared" si="1136"/>
        <v>5.9914900000000006</v>
      </c>
      <c r="U219" s="2896">
        <f t="shared" si="1136"/>
        <v>5.99</v>
      </c>
      <c r="V219" s="2896">
        <f t="shared" si="1136"/>
        <v>1.49E-3</v>
      </c>
      <c r="W219" s="2896">
        <f t="shared" si="1136"/>
        <v>2.67049</v>
      </c>
      <c r="X219" s="2896">
        <f t="shared" si="1136"/>
        <v>2.67</v>
      </c>
      <c r="Y219" s="2896">
        <f t="shared" si="1136"/>
        <v>4.8999999999999998E-4</v>
      </c>
      <c r="Z219" s="2896">
        <f t="shared" si="1136"/>
        <v>0</v>
      </c>
      <c r="AA219" s="2896">
        <f t="shared" si="1136"/>
        <v>0</v>
      </c>
      <c r="AB219" s="2896">
        <f t="shared" si="1136"/>
        <v>0</v>
      </c>
      <c r="AC219" s="2896">
        <f t="shared" si="1136"/>
        <v>8.6619799999999998</v>
      </c>
      <c r="AD219" s="2896">
        <f t="shared" si="1136"/>
        <v>8.66</v>
      </c>
      <c r="AE219" s="2896">
        <f t="shared" si="1136"/>
        <v>1.98E-3</v>
      </c>
      <c r="AF219" s="2897">
        <f t="shared" si="1136"/>
        <v>33.861397907634817</v>
      </c>
      <c r="AG219" s="2897">
        <f t="shared" si="1136"/>
        <v>33.849202103444817</v>
      </c>
      <c r="AH219" s="2897">
        <f t="shared" si="1136"/>
        <v>1.2195804189999999E-2</v>
      </c>
      <c r="AI219" s="2898">
        <f t="shared" si="1136"/>
        <v>45.713899999999995</v>
      </c>
      <c r="AJ219" s="2898">
        <f t="shared" si="1136"/>
        <v>45.703999999999994</v>
      </c>
      <c r="AK219" s="2898">
        <f t="shared" si="1136"/>
        <v>9.8999999999999991E-3</v>
      </c>
      <c r="AL219" s="2851">
        <f t="shared" si="1048"/>
        <v>11.852502092365178</v>
      </c>
      <c r="AM219" s="2851">
        <f t="shared" si="1049"/>
        <v>11.854797896555176</v>
      </c>
      <c r="AN219" s="2851">
        <f t="shared" si="1049"/>
        <v>-2.2958041900000004E-3</v>
      </c>
      <c r="AO219" s="2895">
        <f t="shared" ref="AO219:BI219" si="1137">SUM(AO153)</f>
        <v>16.930698953817409</v>
      </c>
      <c r="AP219" s="2895">
        <f t="shared" si="1137"/>
        <v>16.924601051722409</v>
      </c>
      <c r="AQ219" s="2895">
        <f t="shared" si="1137"/>
        <v>6.0979020949999997E-3</v>
      </c>
      <c r="AR219" s="2896">
        <f t="shared" si="1137"/>
        <v>0</v>
      </c>
      <c r="AS219" s="2896">
        <f t="shared" si="1137"/>
        <v>0</v>
      </c>
      <c r="AT219" s="2896">
        <f t="shared" si="1137"/>
        <v>0</v>
      </c>
      <c r="AU219" s="2896">
        <f t="shared" si="1137"/>
        <v>0</v>
      </c>
      <c r="AV219" s="2896">
        <f t="shared" si="1137"/>
        <v>0</v>
      </c>
      <c r="AW219" s="2896">
        <f t="shared" si="1137"/>
        <v>0</v>
      </c>
      <c r="AX219" s="2896">
        <f t="shared" si="1137"/>
        <v>3.7692799999999997</v>
      </c>
      <c r="AY219" s="2896">
        <f t="shared" si="1137"/>
        <v>3.7679999999999998</v>
      </c>
      <c r="AZ219" s="2896">
        <f t="shared" si="1137"/>
        <v>1.2800000000000001E-3</v>
      </c>
      <c r="BA219" s="2896">
        <f t="shared" si="1137"/>
        <v>3.7692799999999997</v>
      </c>
      <c r="BB219" s="2896">
        <f t="shared" si="1137"/>
        <v>3.7679999999999998</v>
      </c>
      <c r="BC219" s="2896">
        <f t="shared" si="1137"/>
        <v>1.2800000000000001E-3</v>
      </c>
      <c r="BD219" s="2897">
        <f t="shared" si="1137"/>
        <v>50.792096861452229</v>
      </c>
      <c r="BE219" s="2897">
        <f t="shared" si="1137"/>
        <v>50.773803155167229</v>
      </c>
      <c r="BF219" s="2897">
        <f t="shared" si="1137"/>
        <v>1.8293706284999999E-2</v>
      </c>
      <c r="BG219" s="2898">
        <f t="shared" si="1137"/>
        <v>49.483179999999997</v>
      </c>
      <c r="BH219" s="2898">
        <f t="shared" si="1137"/>
        <v>49.471999999999994</v>
      </c>
      <c r="BI219" s="2898">
        <f t="shared" si="1137"/>
        <v>1.1179999999999999E-2</v>
      </c>
      <c r="BJ219" s="2851">
        <f t="shared" si="1051"/>
        <v>-1.3089168614522322</v>
      </c>
      <c r="BK219" s="2851">
        <f t="shared" si="1052"/>
        <v>-1.3018031551672351</v>
      </c>
      <c r="BL219" s="2851">
        <f t="shared" si="1052"/>
        <v>-7.1137062850000002E-3</v>
      </c>
      <c r="BM219" s="2895">
        <f t="shared" ref="BM219:CG219" si="1138">SUM(BM153)</f>
        <v>16.930698953817409</v>
      </c>
      <c r="BN219" s="2895">
        <f t="shared" si="1138"/>
        <v>16.924601051722409</v>
      </c>
      <c r="BO219" s="2895">
        <f t="shared" si="1138"/>
        <v>6.0979020949999997E-3</v>
      </c>
      <c r="BP219" s="2896">
        <f t="shared" si="1138"/>
        <v>5.84396</v>
      </c>
      <c r="BQ219" s="2896">
        <f t="shared" si="1138"/>
        <v>5.843</v>
      </c>
      <c r="BR219" s="2896">
        <f t="shared" si="1138"/>
        <v>9.6000000000000002E-4</v>
      </c>
      <c r="BS219" s="2896">
        <f t="shared" si="1138"/>
        <v>7.9638799999999996</v>
      </c>
      <c r="BT219" s="2896">
        <f t="shared" si="1138"/>
        <v>7.9619999999999997</v>
      </c>
      <c r="BU219" s="2896">
        <f t="shared" si="1138"/>
        <v>1.8799999999999999E-3</v>
      </c>
      <c r="BV219" s="2896">
        <f t="shared" si="1138"/>
        <v>9.7780299999999993</v>
      </c>
      <c r="BW219" s="2896">
        <f t="shared" si="1138"/>
        <v>9.7759999999999998</v>
      </c>
      <c r="BX219" s="2896">
        <f t="shared" si="1138"/>
        <v>2.0300000000000001E-3</v>
      </c>
      <c r="BY219" s="2896">
        <f t="shared" si="1138"/>
        <v>23.58587</v>
      </c>
      <c r="BZ219" s="2896">
        <f t="shared" si="1138"/>
        <v>23.581</v>
      </c>
      <c r="CA219" s="2896">
        <f t="shared" si="1138"/>
        <v>4.8700000000000002E-3</v>
      </c>
      <c r="CB219" s="2897">
        <f t="shared" si="1138"/>
        <v>67.722795815269635</v>
      </c>
      <c r="CC219" s="2897">
        <f t="shared" si="1138"/>
        <v>67.698404206889634</v>
      </c>
      <c r="CD219" s="2897">
        <f t="shared" si="1138"/>
        <v>2.4391608379999999E-2</v>
      </c>
      <c r="CE219" s="2898">
        <f t="shared" si="1138"/>
        <v>73.069050000000004</v>
      </c>
      <c r="CF219" s="2898">
        <f t="shared" si="1138"/>
        <v>73.052999999999997</v>
      </c>
      <c r="CG219" s="2898">
        <f t="shared" si="1138"/>
        <v>1.6049999999999998E-2</v>
      </c>
      <c r="CH219" s="2851">
        <f t="shared" si="1054"/>
        <v>5.3462541847303697</v>
      </c>
      <c r="CI219" s="2851">
        <f t="shared" si="1055"/>
        <v>5.3545957931103629</v>
      </c>
      <c r="CJ219" s="2851">
        <f t="shared" si="1055"/>
        <v>-8.3416083800000006E-3</v>
      </c>
      <c r="CK219" s="2822"/>
      <c r="CL219" s="2822"/>
      <c r="CM219" s="2822"/>
      <c r="CN219" s="2822"/>
    </row>
    <row r="220" spans="1:92" ht="18.75" x14ac:dyDescent="0.3">
      <c r="A220" s="2879" t="s">
        <v>275</v>
      </c>
      <c r="B220" s="2895">
        <f t="shared" si="1105"/>
        <v>20.001566187618014</v>
      </c>
      <c r="C220" s="2895">
        <f t="shared" si="1105"/>
        <v>19.992419334475514</v>
      </c>
      <c r="D220" s="2895">
        <f t="shared" si="1105"/>
        <v>9.1468531424999996E-3</v>
      </c>
      <c r="E220" s="2896">
        <f t="shared" ref="E220:AK220" si="1139">SUM(E154)</f>
        <v>8.8956400000000002</v>
      </c>
      <c r="F220" s="2896">
        <f t="shared" si="1139"/>
        <v>8.8940000000000001</v>
      </c>
      <c r="G220" s="2896">
        <f t="shared" si="1139"/>
        <v>1.64E-3</v>
      </c>
      <c r="H220" s="2896">
        <f t="shared" si="1139"/>
        <v>8.8520199999999996</v>
      </c>
      <c r="I220" s="2896">
        <f t="shared" si="1139"/>
        <v>8.85</v>
      </c>
      <c r="J220" s="2896">
        <f t="shared" si="1139"/>
        <v>2.0200000000000001E-3</v>
      </c>
      <c r="K220" s="2896">
        <f t="shared" si="1139"/>
        <v>8.9480599999999999</v>
      </c>
      <c r="L220" s="2896">
        <f t="shared" si="1139"/>
        <v>8.9459999999999997</v>
      </c>
      <c r="M220" s="2896">
        <f t="shared" si="1139"/>
        <v>2.0600000000000002E-3</v>
      </c>
      <c r="N220" s="2896">
        <f t="shared" si="1139"/>
        <v>26.695719999999998</v>
      </c>
      <c r="O220" s="2896">
        <f t="shared" si="1139"/>
        <v>26.689999999999998</v>
      </c>
      <c r="P220" s="2896">
        <f t="shared" si="1139"/>
        <v>5.7200000000000003E-3</v>
      </c>
      <c r="Q220" s="2895">
        <f t="shared" si="1139"/>
        <v>20.001566187618014</v>
      </c>
      <c r="R220" s="2895">
        <f t="shared" si="1139"/>
        <v>19.992419334475514</v>
      </c>
      <c r="S220" s="2895">
        <f t="shared" si="1139"/>
        <v>9.1468531424999996E-3</v>
      </c>
      <c r="T220" s="2896">
        <f t="shared" si="1139"/>
        <v>8.7021599999999992</v>
      </c>
      <c r="U220" s="2896">
        <f t="shared" si="1139"/>
        <v>8.6999999999999993</v>
      </c>
      <c r="V220" s="2896">
        <f t="shared" si="1139"/>
        <v>2.16E-3</v>
      </c>
      <c r="W220" s="2896">
        <f t="shared" si="1139"/>
        <v>8.6605800000000013</v>
      </c>
      <c r="X220" s="2896">
        <f t="shared" si="1139"/>
        <v>8.6590000000000007</v>
      </c>
      <c r="Y220" s="2896">
        <f t="shared" si="1139"/>
        <v>1.58E-3</v>
      </c>
      <c r="Z220" s="2896">
        <f t="shared" si="1139"/>
        <v>8.7672000000000008</v>
      </c>
      <c r="AA220" s="2896">
        <f t="shared" si="1139"/>
        <v>8.766</v>
      </c>
      <c r="AB220" s="2896">
        <f t="shared" si="1139"/>
        <v>1.1999999999999999E-3</v>
      </c>
      <c r="AC220" s="2896">
        <f t="shared" si="1139"/>
        <v>26.129940000000001</v>
      </c>
      <c r="AD220" s="2896">
        <f t="shared" si="1139"/>
        <v>26.125</v>
      </c>
      <c r="AE220" s="2896">
        <f t="shared" si="1139"/>
        <v>4.9399999999999999E-3</v>
      </c>
      <c r="AF220" s="2897">
        <f t="shared" si="1139"/>
        <v>40.003132375236028</v>
      </c>
      <c r="AG220" s="2897">
        <f t="shared" si="1139"/>
        <v>39.984838668951028</v>
      </c>
      <c r="AH220" s="2897">
        <f t="shared" si="1139"/>
        <v>1.8293706284999999E-2</v>
      </c>
      <c r="AI220" s="2898">
        <f t="shared" si="1139"/>
        <v>52.825659999999999</v>
      </c>
      <c r="AJ220" s="2898">
        <f t="shared" si="1139"/>
        <v>52.814999999999998</v>
      </c>
      <c r="AK220" s="2898">
        <f t="shared" si="1139"/>
        <v>1.0659999999999999E-2</v>
      </c>
      <c r="AL220" s="2851">
        <f t="shared" si="1048"/>
        <v>12.822527624763971</v>
      </c>
      <c r="AM220" s="2851">
        <f t="shared" si="1049"/>
        <v>12.83016133104897</v>
      </c>
      <c r="AN220" s="2851">
        <f t="shared" si="1049"/>
        <v>-7.6337062849999998E-3</v>
      </c>
      <c r="AO220" s="2895">
        <f t="shared" ref="AO220:BI220" si="1140">SUM(AO154)</f>
        <v>20.001566187618014</v>
      </c>
      <c r="AP220" s="2895">
        <f t="shared" si="1140"/>
        <v>19.992419334475514</v>
      </c>
      <c r="AQ220" s="2895">
        <f t="shared" si="1140"/>
        <v>9.1468531424999996E-3</v>
      </c>
      <c r="AR220" s="2896">
        <f t="shared" si="1140"/>
        <v>8.9211399999999994</v>
      </c>
      <c r="AS220" s="2896">
        <f t="shared" si="1140"/>
        <v>8.92</v>
      </c>
      <c r="AT220" s="2896">
        <f t="shared" si="1140"/>
        <v>1.14E-3</v>
      </c>
      <c r="AU220" s="2896">
        <f t="shared" si="1140"/>
        <v>8.616200000000001</v>
      </c>
      <c r="AV220" s="2896">
        <f t="shared" si="1140"/>
        <v>8.6140000000000008</v>
      </c>
      <c r="AW220" s="2896">
        <f t="shared" si="1140"/>
        <v>2.2000000000000001E-3</v>
      </c>
      <c r="AX220" s="2896">
        <f t="shared" si="1140"/>
        <v>8.5034999999999989</v>
      </c>
      <c r="AY220" s="2896">
        <f t="shared" si="1140"/>
        <v>8.5006199999999996</v>
      </c>
      <c r="AZ220" s="2896">
        <f t="shared" si="1140"/>
        <v>2.8800000000000002E-3</v>
      </c>
      <c r="BA220" s="2896">
        <f t="shared" si="1140"/>
        <v>26.040839999999996</v>
      </c>
      <c r="BB220" s="2896">
        <f t="shared" si="1140"/>
        <v>26.034619999999997</v>
      </c>
      <c r="BC220" s="2896">
        <f t="shared" si="1140"/>
        <v>6.2199999999999998E-3</v>
      </c>
      <c r="BD220" s="2897">
        <f t="shared" si="1140"/>
        <v>60.004698562854038</v>
      </c>
      <c r="BE220" s="2897">
        <f t="shared" si="1140"/>
        <v>59.977258003426542</v>
      </c>
      <c r="BF220" s="2897">
        <f t="shared" si="1140"/>
        <v>2.7440559427499997E-2</v>
      </c>
      <c r="BG220" s="2898">
        <f t="shared" si="1140"/>
        <v>78.866500000000002</v>
      </c>
      <c r="BH220" s="2898">
        <f t="shared" si="1140"/>
        <v>78.849619999999987</v>
      </c>
      <c r="BI220" s="2898">
        <f t="shared" si="1140"/>
        <v>1.6879999999999999E-2</v>
      </c>
      <c r="BJ220" s="2851">
        <f t="shared" si="1051"/>
        <v>18.861801437145964</v>
      </c>
      <c r="BK220" s="2851">
        <f t="shared" si="1052"/>
        <v>18.872361996573446</v>
      </c>
      <c r="BL220" s="2851">
        <f t="shared" si="1052"/>
        <v>-1.0560559427499998E-2</v>
      </c>
      <c r="BM220" s="2895">
        <f t="shared" ref="BM220:CG220" si="1141">SUM(BM154)</f>
        <v>20.001566187618014</v>
      </c>
      <c r="BN220" s="2895">
        <f t="shared" si="1141"/>
        <v>19.992419334475514</v>
      </c>
      <c r="BO220" s="2895">
        <f t="shared" si="1141"/>
        <v>9.1468531424999996E-3</v>
      </c>
      <c r="BP220" s="2896">
        <f t="shared" si="1141"/>
        <v>8.7964500000000001</v>
      </c>
      <c r="BQ220" s="2896">
        <f t="shared" si="1141"/>
        <v>8.7949999999999999</v>
      </c>
      <c r="BR220" s="2896">
        <f t="shared" si="1141"/>
        <v>1.4499999999999999E-3</v>
      </c>
      <c r="BS220" s="2896">
        <f t="shared" si="1141"/>
        <v>8.6950500000000002</v>
      </c>
      <c r="BT220" s="2896">
        <f t="shared" si="1141"/>
        <v>8.6929999999999996</v>
      </c>
      <c r="BU220" s="2896">
        <f t="shared" si="1141"/>
        <v>2.0500000000000002E-3</v>
      </c>
      <c r="BV220" s="2896">
        <f t="shared" si="1141"/>
        <v>8.74817</v>
      </c>
      <c r="BW220" s="2896">
        <f t="shared" si="1141"/>
        <v>8.7460000000000004</v>
      </c>
      <c r="BX220" s="2896">
        <f t="shared" si="1141"/>
        <v>2.1700000000000001E-3</v>
      </c>
      <c r="BY220" s="2896">
        <f t="shared" si="1141"/>
        <v>26.23967</v>
      </c>
      <c r="BZ220" s="2896">
        <f t="shared" si="1141"/>
        <v>26.234000000000002</v>
      </c>
      <c r="CA220" s="2896">
        <f t="shared" si="1141"/>
        <v>5.6699999999999997E-3</v>
      </c>
      <c r="CB220" s="2897">
        <f t="shared" si="1141"/>
        <v>80.006264750472056</v>
      </c>
      <c r="CC220" s="2897">
        <f t="shared" si="1141"/>
        <v>79.969677337902056</v>
      </c>
      <c r="CD220" s="2897">
        <f t="shared" si="1141"/>
        <v>3.6587412569999998E-2</v>
      </c>
      <c r="CE220" s="2898">
        <f t="shared" si="1141"/>
        <v>105.10617000000001</v>
      </c>
      <c r="CF220" s="2898">
        <f t="shared" si="1141"/>
        <v>105.08362</v>
      </c>
      <c r="CG220" s="2898">
        <f t="shared" si="1141"/>
        <v>2.2550000000000001E-2</v>
      </c>
      <c r="CH220" s="2851">
        <f t="shared" si="1054"/>
        <v>25.09990524952795</v>
      </c>
      <c r="CI220" s="2851">
        <f t="shared" si="1055"/>
        <v>25.113942662097941</v>
      </c>
      <c r="CJ220" s="2851">
        <f t="shared" si="1055"/>
        <v>-1.4037412569999998E-2</v>
      </c>
      <c r="CK220" s="2822"/>
      <c r="CL220" s="2822"/>
      <c r="CM220" s="2822"/>
      <c r="CN220" s="2822"/>
    </row>
    <row r="221" spans="1:92" ht="18.75" x14ac:dyDescent="0.3">
      <c r="A221" s="2869" t="s">
        <v>3747</v>
      </c>
      <c r="B221" s="2895">
        <f t="shared" si="1105"/>
        <v>432.41794564542272</v>
      </c>
      <c r="C221" s="2895">
        <f t="shared" si="1105"/>
        <v>432.1974456454227</v>
      </c>
      <c r="D221" s="2895">
        <f t="shared" si="1105"/>
        <v>0.2205</v>
      </c>
      <c r="E221" s="2896">
        <f t="shared" ref="E221:AK221" si="1142">SUM(E155)</f>
        <v>190.38733999999999</v>
      </c>
      <c r="F221" s="2896">
        <f t="shared" si="1142"/>
        <v>190.35193999999998</v>
      </c>
      <c r="G221" s="2896">
        <f t="shared" si="1142"/>
        <v>3.5400000000000001E-2</v>
      </c>
      <c r="H221" s="2896">
        <f t="shared" si="1142"/>
        <v>201.67277000000001</v>
      </c>
      <c r="I221" s="2896">
        <f t="shared" si="1142"/>
        <v>201.626</v>
      </c>
      <c r="J221" s="2896">
        <f t="shared" si="1142"/>
        <v>4.6769999999999999E-2</v>
      </c>
      <c r="K221" s="2896">
        <f t="shared" si="1142"/>
        <v>393.99099999999999</v>
      </c>
      <c r="L221" s="2896">
        <f t="shared" si="1142"/>
        <v>393.9</v>
      </c>
      <c r="M221" s="2896">
        <f t="shared" si="1142"/>
        <v>9.0999999999999998E-2</v>
      </c>
      <c r="N221" s="2896">
        <f t="shared" si="1142"/>
        <v>786.05110999999999</v>
      </c>
      <c r="O221" s="2896">
        <f t="shared" si="1142"/>
        <v>785.87793999999997</v>
      </c>
      <c r="P221" s="2896">
        <f t="shared" si="1142"/>
        <v>0.17316999999999999</v>
      </c>
      <c r="Q221" s="2895">
        <f t="shared" si="1142"/>
        <v>432.41794564542272</v>
      </c>
      <c r="R221" s="2895">
        <f t="shared" si="1142"/>
        <v>432.1974456454227</v>
      </c>
      <c r="S221" s="2895">
        <f t="shared" si="1142"/>
        <v>0.2205</v>
      </c>
      <c r="T221" s="2896">
        <f t="shared" si="1142"/>
        <v>218.56199999999998</v>
      </c>
      <c r="U221" s="2896">
        <f t="shared" si="1142"/>
        <v>218.51</v>
      </c>
      <c r="V221" s="2896">
        <f t="shared" si="1142"/>
        <v>5.1999999999999998E-2</v>
      </c>
      <c r="W221" s="2896">
        <f t="shared" si="1142"/>
        <v>195.16417999999999</v>
      </c>
      <c r="X221" s="2896">
        <f t="shared" si="1142"/>
        <v>195.13</v>
      </c>
      <c r="Y221" s="2896">
        <f t="shared" si="1142"/>
        <v>3.4180000000000002E-2</v>
      </c>
      <c r="Z221" s="2896">
        <f t="shared" si="1142"/>
        <v>197.82599999999999</v>
      </c>
      <c r="AA221" s="2896">
        <f t="shared" si="1142"/>
        <v>197.798</v>
      </c>
      <c r="AB221" s="2896">
        <f t="shared" si="1142"/>
        <v>2.8000000000000001E-2</v>
      </c>
      <c r="AC221" s="2896">
        <f t="shared" si="1142"/>
        <v>611.55218000000002</v>
      </c>
      <c r="AD221" s="2896">
        <f t="shared" si="1142"/>
        <v>611.43799999999999</v>
      </c>
      <c r="AE221" s="2896">
        <f t="shared" si="1142"/>
        <v>0.11418</v>
      </c>
      <c r="AF221" s="2897">
        <f t="shared" si="1142"/>
        <v>864.83589129084544</v>
      </c>
      <c r="AG221" s="2897">
        <f t="shared" si="1142"/>
        <v>864.39489129084541</v>
      </c>
      <c r="AH221" s="2897">
        <f t="shared" si="1142"/>
        <v>0.441</v>
      </c>
      <c r="AI221" s="2898">
        <f t="shared" si="1142"/>
        <v>1397.60329</v>
      </c>
      <c r="AJ221" s="2898">
        <f t="shared" si="1142"/>
        <v>1397.31594</v>
      </c>
      <c r="AK221" s="2898">
        <f t="shared" si="1142"/>
        <v>0.28734999999999999</v>
      </c>
      <c r="AL221" s="2851">
        <f t="shared" si="1048"/>
        <v>532.76739870915458</v>
      </c>
      <c r="AM221" s="2851">
        <f t="shared" si="1049"/>
        <v>532.92104870915455</v>
      </c>
      <c r="AN221" s="2851">
        <f t="shared" si="1049"/>
        <v>-0.15365000000000001</v>
      </c>
      <c r="AO221" s="2895">
        <f t="shared" ref="AO221:BI221" si="1143">SUM(AO155)</f>
        <v>432.41794564542272</v>
      </c>
      <c r="AP221" s="2895">
        <f t="shared" si="1143"/>
        <v>432.1974456454227</v>
      </c>
      <c r="AQ221" s="2895">
        <f t="shared" si="1143"/>
        <v>0.2205</v>
      </c>
      <c r="AR221" s="2896">
        <f t="shared" si="1143"/>
        <v>173.90058999999999</v>
      </c>
      <c r="AS221" s="2896">
        <f t="shared" si="1143"/>
        <v>173.88</v>
      </c>
      <c r="AT221" s="2896">
        <f t="shared" si="1143"/>
        <v>2.0590000000000001E-2</v>
      </c>
      <c r="AU221" s="2896">
        <f t="shared" si="1143"/>
        <v>84.534000000000006</v>
      </c>
      <c r="AV221" s="2896">
        <f t="shared" si="1143"/>
        <v>84.513000000000005</v>
      </c>
      <c r="AW221" s="2896">
        <f t="shared" si="1143"/>
        <v>2.1000000000000001E-2</v>
      </c>
      <c r="AX221" s="2896">
        <f t="shared" si="1143"/>
        <v>347.35623999999996</v>
      </c>
      <c r="AY221" s="2896">
        <f t="shared" si="1143"/>
        <v>347.23899999999998</v>
      </c>
      <c r="AZ221" s="2896">
        <f t="shared" si="1143"/>
        <v>0.11724</v>
      </c>
      <c r="BA221" s="2896">
        <f t="shared" si="1143"/>
        <v>605.79083000000003</v>
      </c>
      <c r="BB221" s="2896">
        <f t="shared" si="1143"/>
        <v>605.63200000000006</v>
      </c>
      <c r="BC221" s="2896">
        <f t="shared" si="1143"/>
        <v>0.15883</v>
      </c>
      <c r="BD221" s="2897">
        <f t="shared" si="1143"/>
        <v>1297.253836936268</v>
      </c>
      <c r="BE221" s="2897">
        <f t="shared" si="1143"/>
        <v>1296.5923369362681</v>
      </c>
      <c r="BF221" s="2897">
        <f t="shared" si="1143"/>
        <v>0.66149999999999998</v>
      </c>
      <c r="BG221" s="2898">
        <f t="shared" si="1143"/>
        <v>2003.3941199999999</v>
      </c>
      <c r="BH221" s="2898">
        <f t="shared" si="1143"/>
        <v>2002.94794</v>
      </c>
      <c r="BI221" s="2898">
        <f t="shared" si="1143"/>
        <v>0.44618000000000002</v>
      </c>
      <c r="BJ221" s="2851">
        <f t="shared" si="1051"/>
        <v>706.14028306373189</v>
      </c>
      <c r="BK221" s="2851">
        <f t="shared" si="1052"/>
        <v>706.35560306373191</v>
      </c>
      <c r="BL221" s="2851">
        <f t="shared" si="1052"/>
        <v>-0.21531999999999996</v>
      </c>
      <c r="BM221" s="2895">
        <f t="shared" ref="BM221:CG221" si="1144">SUM(BM155)</f>
        <v>432.41794564542272</v>
      </c>
      <c r="BN221" s="2895">
        <f t="shared" si="1144"/>
        <v>432.1974456454227</v>
      </c>
      <c r="BO221" s="2895">
        <f t="shared" si="1144"/>
        <v>0.2205</v>
      </c>
      <c r="BP221" s="2896">
        <f t="shared" si="1144"/>
        <v>174.21875</v>
      </c>
      <c r="BQ221" s="2896">
        <f t="shared" si="1144"/>
        <v>174.19</v>
      </c>
      <c r="BR221" s="2896">
        <f t="shared" si="1144"/>
        <v>2.8750000000000001E-2</v>
      </c>
      <c r="BS221" s="2896">
        <f t="shared" si="1144"/>
        <v>211.37449999999998</v>
      </c>
      <c r="BT221" s="2896">
        <f t="shared" si="1144"/>
        <v>211.32499999999999</v>
      </c>
      <c r="BU221" s="2896">
        <f t="shared" si="1144"/>
        <v>4.9500000000000002E-2</v>
      </c>
      <c r="BV221" s="2896">
        <f t="shared" si="1144"/>
        <v>187.47499999999999</v>
      </c>
      <c r="BW221" s="2896">
        <f t="shared" si="1144"/>
        <v>187.43299999999999</v>
      </c>
      <c r="BX221" s="2896">
        <f t="shared" si="1144"/>
        <v>4.2000000000000003E-2</v>
      </c>
      <c r="BY221" s="2896">
        <f t="shared" si="1144"/>
        <v>573.06825000000003</v>
      </c>
      <c r="BZ221" s="2896">
        <f t="shared" si="1144"/>
        <v>572.94799999999998</v>
      </c>
      <c r="CA221" s="2896">
        <f t="shared" si="1144"/>
        <v>0.12025</v>
      </c>
      <c r="CB221" s="2897">
        <f t="shared" si="1144"/>
        <v>1729.6717825816909</v>
      </c>
      <c r="CC221" s="2897">
        <f t="shared" si="1144"/>
        <v>1728.7897825816908</v>
      </c>
      <c r="CD221" s="2897">
        <f t="shared" si="1144"/>
        <v>0.88200000000000001</v>
      </c>
      <c r="CE221" s="2898">
        <f t="shared" si="1144"/>
        <v>2576.4623700000002</v>
      </c>
      <c r="CF221" s="2898">
        <f t="shared" si="1144"/>
        <v>2575.8959399999999</v>
      </c>
      <c r="CG221" s="2898">
        <f t="shared" si="1144"/>
        <v>0.56642999999999999</v>
      </c>
      <c r="CH221" s="2851">
        <f t="shared" si="1054"/>
        <v>846.79058741830931</v>
      </c>
      <c r="CI221" s="2851">
        <f t="shared" si="1055"/>
        <v>847.10615741830907</v>
      </c>
      <c r="CJ221" s="2851">
        <f t="shared" si="1055"/>
        <v>-0.31557000000000002</v>
      </c>
      <c r="CK221" s="2822"/>
      <c r="CL221" s="2822"/>
      <c r="CM221" s="2822"/>
      <c r="CN221" s="2822"/>
    </row>
    <row r="222" spans="1:92" ht="18.75" x14ac:dyDescent="0.3">
      <c r="A222" s="2842" t="s">
        <v>3748</v>
      </c>
      <c r="B222" s="2888">
        <f t="shared" si="1105"/>
        <v>0</v>
      </c>
      <c r="C222" s="2888">
        <f t="shared" si="1105"/>
        <v>0</v>
      </c>
      <c r="D222" s="2888">
        <f t="shared" si="1105"/>
        <v>0</v>
      </c>
      <c r="E222" s="2889">
        <f t="shared" ref="E222:AK222" si="1145">SUM(E156)</f>
        <v>0</v>
      </c>
      <c r="F222" s="2889">
        <f t="shared" si="1145"/>
        <v>0</v>
      </c>
      <c r="G222" s="2889">
        <f t="shared" si="1145"/>
        <v>0</v>
      </c>
      <c r="H222" s="2889">
        <f t="shared" si="1145"/>
        <v>0</v>
      </c>
      <c r="I222" s="2889">
        <f t="shared" si="1145"/>
        <v>0</v>
      </c>
      <c r="J222" s="2889">
        <f t="shared" si="1145"/>
        <v>0</v>
      </c>
      <c r="K222" s="2889">
        <f t="shared" si="1145"/>
        <v>0</v>
      </c>
      <c r="L222" s="2889">
        <f t="shared" si="1145"/>
        <v>0</v>
      </c>
      <c r="M222" s="2889">
        <f t="shared" si="1145"/>
        <v>0</v>
      </c>
      <c r="N222" s="2889">
        <f t="shared" si="1145"/>
        <v>0</v>
      </c>
      <c r="O222" s="2889">
        <f t="shared" si="1145"/>
        <v>0</v>
      </c>
      <c r="P222" s="2889">
        <f t="shared" si="1145"/>
        <v>0</v>
      </c>
      <c r="Q222" s="2888">
        <f t="shared" si="1145"/>
        <v>0</v>
      </c>
      <c r="R222" s="2888">
        <f t="shared" si="1145"/>
        <v>0</v>
      </c>
      <c r="S222" s="2888">
        <f t="shared" si="1145"/>
        <v>0</v>
      </c>
      <c r="T222" s="2889">
        <f t="shared" si="1145"/>
        <v>0</v>
      </c>
      <c r="U222" s="2889">
        <f t="shared" si="1145"/>
        <v>0</v>
      </c>
      <c r="V222" s="2889">
        <f t="shared" si="1145"/>
        <v>0</v>
      </c>
      <c r="W222" s="2889">
        <f t="shared" si="1145"/>
        <v>0</v>
      </c>
      <c r="X222" s="2889">
        <f t="shared" si="1145"/>
        <v>0</v>
      </c>
      <c r="Y222" s="2889">
        <f t="shared" si="1145"/>
        <v>0</v>
      </c>
      <c r="Z222" s="2889">
        <f t="shared" si="1145"/>
        <v>0</v>
      </c>
      <c r="AA222" s="2889">
        <f t="shared" si="1145"/>
        <v>0</v>
      </c>
      <c r="AB222" s="2889">
        <f t="shared" si="1145"/>
        <v>0</v>
      </c>
      <c r="AC222" s="2889">
        <f t="shared" si="1145"/>
        <v>0</v>
      </c>
      <c r="AD222" s="2889">
        <f t="shared" si="1145"/>
        <v>0</v>
      </c>
      <c r="AE222" s="2889">
        <f t="shared" si="1145"/>
        <v>0</v>
      </c>
      <c r="AF222" s="2890">
        <f t="shared" si="1145"/>
        <v>0</v>
      </c>
      <c r="AG222" s="2890">
        <f t="shared" si="1145"/>
        <v>0</v>
      </c>
      <c r="AH222" s="2890">
        <f t="shared" si="1145"/>
        <v>0</v>
      </c>
      <c r="AI222" s="2891">
        <f t="shared" si="1145"/>
        <v>0</v>
      </c>
      <c r="AJ222" s="2891">
        <f t="shared" si="1145"/>
        <v>0</v>
      </c>
      <c r="AK222" s="2891">
        <f t="shared" si="1145"/>
        <v>0</v>
      </c>
      <c r="AL222" s="2847">
        <f t="shared" si="1048"/>
        <v>0</v>
      </c>
      <c r="AM222" s="2847">
        <f t="shared" si="1049"/>
        <v>0</v>
      </c>
      <c r="AN222" s="2847">
        <f t="shared" si="1049"/>
        <v>0</v>
      </c>
      <c r="AO222" s="2888">
        <f t="shared" ref="AO222:BI222" si="1146">SUM(AO156)</f>
        <v>0</v>
      </c>
      <c r="AP222" s="2888">
        <f t="shared" si="1146"/>
        <v>0</v>
      </c>
      <c r="AQ222" s="2888">
        <f t="shared" si="1146"/>
        <v>0</v>
      </c>
      <c r="AR222" s="2889">
        <f t="shared" si="1146"/>
        <v>0</v>
      </c>
      <c r="AS222" s="2889">
        <f t="shared" si="1146"/>
        <v>0</v>
      </c>
      <c r="AT222" s="2889">
        <f t="shared" si="1146"/>
        <v>0</v>
      </c>
      <c r="AU222" s="2889">
        <f t="shared" si="1146"/>
        <v>0</v>
      </c>
      <c r="AV222" s="2889">
        <f t="shared" si="1146"/>
        <v>0</v>
      </c>
      <c r="AW222" s="2889">
        <f t="shared" si="1146"/>
        <v>0</v>
      </c>
      <c r="AX222" s="2889">
        <f t="shared" si="1146"/>
        <v>0</v>
      </c>
      <c r="AY222" s="2889">
        <f t="shared" si="1146"/>
        <v>0</v>
      </c>
      <c r="AZ222" s="2889">
        <f t="shared" si="1146"/>
        <v>0</v>
      </c>
      <c r="BA222" s="2889">
        <f t="shared" si="1146"/>
        <v>0</v>
      </c>
      <c r="BB222" s="2889">
        <f t="shared" si="1146"/>
        <v>0</v>
      </c>
      <c r="BC222" s="2889">
        <f t="shared" si="1146"/>
        <v>0</v>
      </c>
      <c r="BD222" s="2890">
        <f t="shared" si="1146"/>
        <v>0</v>
      </c>
      <c r="BE222" s="2890">
        <f t="shared" si="1146"/>
        <v>0</v>
      </c>
      <c r="BF222" s="2890">
        <f t="shared" si="1146"/>
        <v>0</v>
      </c>
      <c r="BG222" s="2891">
        <f t="shared" si="1146"/>
        <v>0</v>
      </c>
      <c r="BH222" s="2891">
        <f t="shared" si="1146"/>
        <v>0</v>
      </c>
      <c r="BI222" s="2891">
        <f t="shared" si="1146"/>
        <v>0</v>
      </c>
      <c r="BJ222" s="2847">
        <f t="shared" si="1051"/>
        <v>0</v>
      </c>
      <c r="BK222" s="2847">
        <f t="shared" si="1052"/>
        <v>0</v>
      </c>
      <c r="BL222" s="2847">
        <f t="shared" si="1052"/>
        <v>0</v>
      </c>
      <c r="BM222" s="2888">
        <f t="shared" ref="BM222:CG222" si="1147">SUM(BM156)</f>
        <v>0</v>
      </c>
      <c r="BN222" s="2888">
        <f t="shared" si="1147"/>
        <v>0</v>
      </c>
      <c r="BO222" s="2888">
        <f t="shared" si="1147"/>
        <v>0</v>
      </c>
      <c r="BP222" s="2889">
        <f t="shared" si="1147"/>
        <v>0</v>
      </c>
      <c r="BQ222" s="2889">
        <f t="shared" si="1147"/>
        <v>0</v>
      </c>
      <c r="BR222" s="2889">
        <f t="shared" si="1147"/>
        <v>0</v>
      </c>
      <c r="BS222" s="2889">
        <f t="shared" si="1147"/>
        <v>0</v>
      </c>
      <c r="BT222" s="2889">
        <f t="shared" si="1147"/>
        <v>0</v>
      </c>
      <c r="BU222" s="2889">
        <f t="shared" si="1147"/>
        <v>0</v>
      </c>
      <c r="BV222" s="2889">
        <f t="shared" si="1147"/>
        <v>0</v>
      </c>
      <c r="BW222" s="2889">
        <f t="shared" si="1147"/>
        <v>0</v>
      </c>
      <c r="BX222" s="2889">
        <f t="shared" si="1147"/>
        <v>0</v>
      </c>
      <c r="BY222" s="2889">
        <f t="shared" si="1147"/>
        <v>0</v>
      </c>
      <c r="BZ222" s="2889">
        <f t="shared" si="1147"/>
        <v>0</v>
      </c>
      <c r="CA222" s="2889">
        <f t="shared" si="1147"/>
        <v>0</v>
      </c>
      <c r="CB222" s="2890">
        <f t="shared" si="1147"/>
        <v>0</v>
      </c>
      <c r="CC222" s="2890">
        <f t="shared" si="1147"/>
        <v>0</v>
      </c>
      <c r="CD222" s="2890">
        <f t="shared" si="1147"/>
        <v>0</v>
      </c>
      <c r="CE222" s="2891">
        <f t="shared" si="1147"/>
        <v>0</v>
      </c>
      <c r="CF222" s="2891">
        <f t="shared" si="1147"/>
        <v>0</v>
      </c>
      <c r="CG222" s="2891">
        <f t="shared" si="1147"/>
        <v>0</v>
      </c>
      <c r="CH222" s="2847">
        <f t="shared" si="1054"/>
        <v>0</v>
      </c>
      <c r="CI222" s="2847">
        <f t="shared" si="1055"/>
        <v>0</v>
      </c>
      <c r="CJ222" s="2847">
        <f t="shared" si="1055"/>
        <v>0</v>
      </c>
      <c r="CK222" s="2822"/>
      <c r="CL222" s="2822"/>
      <c r="CM222" s="2822"/>
      <c r="CN222" s="2822"/>
    </row>
    <row r="223" spans="1:92" ht="18.75" x14ac:dyDescent="0.3">
      <c r="A223" s="2842" t="s">
        <v>3749</v>
      </c>
      <c r="B223" s="2888">
        <f t="shared" si="1105"/>
        <v>0</v>
      </c>
      <c r="C223" s="2888">
        <f t="shared" si="1105"/>
        <v>0</v>
      </c>
      <c r="D223" s="2888">
        <f t="shared" si="1105"/>
        <v>0</v>
      </c>
      <c r="E223" s="2889">
        <f t="shared" ref="E223:P223" si="1148">SUM(E157)</f>
        <v>0</v>
      </c>
      <c r="F223" s="2889">
        <f t="shared" si="1148"/>
        <v>0</v>
      </c>
      <c r="G223" s="2889">
        <f t="shared" si="1148"/>
        <v>0</v>
      </c>
      <c r="H223" s="2889">
        <f t="shared" si="1148"/>
        <v>0</v>
      </c>
      <c r="I223" s="2889">
        <f t="shared" si="1148"/>
        <v>0</v>
      </c>
      <c r="J223" s="2889">
        <f t="shared" si="1148"/>
        <v>0</v>
      </c>
      <c r="K223" s="2889">
        <f t="shared" si="1148"/>
        <v>0</v>
      </c>
      <c r="L223" s="2889">
        <f t="shared" si="1148"/>
        <v>0</v>
      </c>
      <c r="M223" s="2889">
        <f t="shared" si="1148"/>
        <v>0</v>
      </c>
      <c r="N223" s="2889">
        <f t="shared" si="1148"/>
        <v>0</v>
      </c>
      <c r="O223" s="2889">
        <f t="shared" si="1148"/>
        <v>0</v>
      </c>
      <c r="P223" s="2889">
        <f t="shared" si="1148"/>
        <v>0</v>
      </c>
      <c r="Q223" s="2888">
        <f t="shared" ref="Q223:AE223" si="1149">SUM(Q157)</f>
        <v>0</v>
      </c>
      <c r="R223" s="2888">
        <f t="shared" si="1149"/>
        <v>0</v>
      </c>
      <c r="S223" s="2888">
        <f t="shared" si="1149"/>
        <v>0</v>
      </c>
      <c r="T223" s="2889">
        <f t="shared" si="1149"/>
        <v>0</v>
      </c>
      <c r="U223" s="2889">
        <f t="shared" si="1149"/>
        <v>0</v>
      </c>
      <c r="V223" s="2889">
        <f t="shared" si="1149"/>
        <v>0</v>
      </c>
      <c r="W223" s="2889">
        <f t="shared" si="1149"/>
        <v>0</v>
      </c>
      <c r="X223" s="2889">
        <f t="shared" si="1149"/>
        <v>0</v>
      </c>
      <c r="Y223" s="2889">
        <f t="shared" si="1149"/>
        <v>0</v>
      </c>
      <c r="Z223" s="2889">
        <f t="shared" si="1149"/>
        <v>0</v>
      </c>
      <c r="AA223" s="2889">
        <f t="shared" si="1149"/>
        <v>0</v>
      </c>
      <c r="AB223" s="2889">
        <f t="shared" si="1149"/>
        <v>0</v>
      </c>
      <c r="AC223" s="2889">
        <f t="shared" si="1149"/>
        <v>0</v>
      </c>
      <c r="AD223" s="2889">
        <f t="shared" si="1149"/>
        <v>0</v>
      </c>
      <c r="AE223" s="2889">
        <f t="shared" si="1149"/>
        <v>0</v>
      </c>
      <c r="AF223" s="2890">
        <f t="shared" ref="AF223:AK223" si="1150">SUM(AF157)</f>
        <v>0</v>
      </c>
      <c r="AG223" s="2890">
        <f t="shared" si="1150"/>
        <v>0</v>
      </c>
      <c r="AH223" s="2890">
        <f t="shared" si="1150"/>
        <v>0</v>
      </c>
      <c r="AI223" s="2891">
        <f t="shared" si="1150"/>
        <v>0</v>
      </c>
      <c r="AJ223" s="2891">
        <f t="shared" si="1150"/>
        <v>0</v>
      </c>
      <c r="AK223" s="2891">
        <f t="shared" si="1150"/>
        <v>0</v>
      </c>
      <c r="AL223" s="2851">
        <f t="shared" si="1048"/>
        <v>0</v>
      </c>
      <c r="AM223" s="2851">
        <f t="shared" si="1049"/>
        <v>0</v>
      </c>
      <c r="AN223" s="2851">
        <f t="shared" si="1049"/>
        <v>0</v>
      </c>
      <c r="AO223" s="2888">
        <f t="shared" ref="AO223:BI223" si="1151">SUM(AO157)</f>
        <v>0</v>
      </c>
      <c r="AP223" s="2888">
        <f t="shared" si="1151"/>
        <v>0</v>
      </c>
      <c r="AQ223" s="2888">
        <f t="shared" si="1151"/>
        <v>0</v>
      </c>
      <c r="AR223" s="2889">
        <f t="shared" si="1151"/>
        <v>0</v>
      </c>
      <c r="AS223" s="2889">
        <f t="shared" si="1151"/>
        <v>0</v>
      </c>
      <c r="AT223" s="2889">
        <f t="shared" si="1151"/>
        <v>0</v>
      </c>
      <c r="AU223" s="2889">
        <f t="shared" si="1151"/>
        <v>0</v>
      </c>
      <c r="AV223" s="2889">
        <f t="shared" si="1151"/>
        <v>0</v>
      </c>
      <c r="AW223" s="2889">
        <f t="shared" si="1151"/>
        <v>0</v>
      </c>
      <c r="AX223" s="2889">
        <f t="shared" si="1151"/>
        <v>0</v>
      </c>
      <c r="AY223" s="2889">
        <f t="shared" si="1151"/>
        <v>0</v>
      </c>
      <c r="AZ223" s="2889">
        <f t="shared" si="1151"/>
        <v>0</v>
      </c>
      <c r="BA223" s="2889">
        <f t="shared" si="1151"/>
        <v>0</v>
      </c>
      <c r="BB223" s="2889">
        <f t="shared" si="1151"/>
        <v>0</v>
      </c>
      <c r="BC223" s="2889">
        <f t="shared" si="1151"/>
        <v>0</v>
      </c>
      <c r="BD223" s="2890">
        <f t="shared" si="1151"/>
        <v>0</v>
      </c>
      <c r="BE223" s="2890">
        <f t="shared" si="1151"/>
        <v>0</v>
      </c>
      <c r="BF223" s="2890">
        <f t="shared" si="1151"/>
        <v>0</v>
      </c>
      <c r="BG223" s="2891">
        <f t="shared" si="1151"/>
        <v>0</v>
      </c>
      <c r="BH223" s="2891">
        <f t="shared" si="1151"/>
        <v>0</v>
      </c>
      <c r="BI223" s="2891">
        <f t="shared" si="1151"/>
        <v>0</v>
      </c>
      <c r="BJ223" s="2851">
        <f t="shared" si="1051"/>
        <v>0</v>
      </c>
      <c r="BK223" s="2851">
        <f t="shared" si="1052"/>
        <v>0</v>
      </c>
      <c r="BL223" s="2851">
        <f t="shared" si="1052"/>
        <v>0</v>
      </c>
      <c r="BM223" s="2888">
        <f t="shared" ref="BM223:CG223" si="1152">SUM(BM157)</f>
        <v>0</v>
      </c>
      <c r="BN223" s="2888">
        <f t="shared" si="1152"/>
        <v>0</v>
      </c>
      <c r="BO223" s="2888">
        <f t="shared" si="1152"/>
        <v>0</v>
      </c>
      <c r="BP223" s="2889">
        <f t="shared" si="1152"/>
        <v>0</v>
      </c>
      <c r="BQ223" s="2889">
        <f t="shared" si="1152"/>
        <v>0</v>
      </c>
      <c r="BR223" s="2889">
        <f t="shared" si="1152"/>
        <v>0</v>
      </c>
      <c r="BS223" s="2889">
        <f t="shared" si="1152"/>
        <v>0</v>
      </c>
      <c r="BT223" s="2889">
        <f t="shared" si="1152"/>
        <v>0</v>
      </c>
      <c r="BU223" s="2889">
        <f t="shared" si="1152"/>
        <v>0</v>
      </c>
      <c r="BV223" s="2889">
        <f t="shared" si="1152"/>
        <v>0</v>
      </c>
      <c r="BW223" s="2889">
        <f t="shared" si="1152"/>
        <v>0</v>
      </c>
      <c r="BX223" s="2889">
        <f t="shared" si="1152"/>
        <v>0</v>
      </c>
      <c r="BY223" s="2889">
        <f t="shared" si="1152"/>
        <v>0</v>
      </c>
      <c r="BZ223" s="2889">
        <f t="shared" si="1152"/>
        <v>0</v>
      </c>
      <c r="CA223" s="2889">
        <f t="shared" si="1152"/>
        <v>0</v>
      </c>
      <c r="CB223" s="2890">
        <f t="shared" si="1152"/>
        <v>0</v>
      </c>
      <c r="CC223" s="2890">
        <f t="shared" si="1152"/>
        <v>0</v>
      </c>
      <c r="CD223" s="2890">
        <f t="shared" si="1152"/>
        <v>0</v>
      </c>
      <c r="CE223" s="2891">
        <f t="shared" si="1152"/>
        <v>0</v>
      </c>
      <c r="CF223" s="2891">
        <f t="shared" si="1152"/>
        <v>0</v>
      </c>
      <c r="CG223" s="2891">
        <f t="shared" si="1152"/>
        <v>0</v>
      </c>
      <c r="CH223" s="2851">
        <f t="shared" si="1054"/>
        <v>0</v>
      </c>
      <c r="CI223" s="2851">
        <f t="shared" si="1055"/>
        <v>0</v>
      </c>
      <c r="CJ223" s="2851">
        <f t="shared" si="1055"/>
        <v>0</v>
      </c>
      <c r="CK223" s="2822"/>
      <c r="CL223" s="2822"/>
      <c r="CM223" s="2822"/>
      <c r="CN223" s="2822"/>
    </row>
    <row r="224" spans="1:92" ht="18.75" x14ac:dyDescent="0.3">
      <c r="A224" s="2871" t="s">
        <v>12</v>
      </c>
      <c r="B224" s="2899">
        <f t="shared" ref="B224:AK224" si="1153">SUM(B196+B197+B198+B199+B200+B201+B202+B204+B209+B215+B222+B223)</f>
        <v>36534.53692127562</v>
      </c>
      <c r="C224" s="2899">
        <f t="shared" si="1153"/>
        <v>36527.314257918246</v>
      </c>
      <c r="D224" s="2899">
        <f t="shared" si="1153"/>
        <v>7.2226633573686616</v>
      </c>
      <c r="E224" s="2900">
        <f t="shared" si="1153"/>
        <v>10285.300159999999</v>
      </c>
      <c r="F224" s="2900">
        <f>SUM(F196+F197+F198+F199+F200+F201+F202+F204+F209+F215+F222+F223)</f>
        <v>10284.000729999998</v>
      </c>
      <c r="G224" s="2900">
        <f t="shared" si="1153"/>
        <v>1.2994300000000001</v>
      </c>
      <c r="H224" s="2900">
        <f t="shared" si="1153"/>
        <v>10148.344949999999</v>
      </c>
      <c r="I224" s="2900">
        <f t="shared" si="1153"/>
        <v>10146.746789999999</v>
      </c>
      <c r="J224" s="2900">
        <f t="shared" si="1153"/>
        <v>1.5981599999999998</v>
      </c>
      <c r="K224" s="2900">
        <f t="shared" si="1153"/>
        <v>14182.491449999998</v>
      </c>
      <c r="L224" s="2900">
        <f t="shared" si="1153"/>
        <v>14180.630430000001</v>
      </c>
      <c r="M224" s="2900">
        <f t="shared" si="1153"/>
        <v>1.8610199999999997</v>
      </c>
      <c r="N224" s="2900">
        <f t="shared" si="1153"/>
        <v>34616.136559999999</v>
      </c>
      <c r="O224" s="2900">
        <f t="shared" si="1153"/>
        <v>34611.377950000002</v>
      </c>
      <c r="P224" s="2900">
        <f t="shared" si="1153"/>
        <v>4.7586099999999991</v>
      </c>
      <c r="Q224" s="2899">
        <f t="shared" si="1153"/>
        <v>36534.53692127562</v>
      </c>
      <c r="R224" s="2899">
        <f t="shared" si="1153"/>
        <v>36527.314257918246</v>
      </c>
      <c r="S224" s="2899">
        <f t="shared" si="1153"/>
        <v>7.2226633573686616</v>
      </c>
      <c r="T224" s="2900">
        <f t="shared" si="1153"/>
        <v>12846.751340000001</v>
      </c>
      <c r="U224" s="2900">
        <f t="shared" si="1153"/>
        <v>12844.735000000001</v>
      </c>
      <c r="V224" s="2900">
        <f t="shared" si="1153"/>
        <v>2.0163399999999996</v>
      </c>
      <c r="W224" s="2900">
        <f t="shared" si="1153"/>
        <v>13323.357760000001</v>
      </c>
      <c r="X224" s="2900">
        <f t="shared" si="1153"/>
        <v>13321.729000000001</v>
      </c>
      <c r="Y224" s="2900">
        <f t="shared" si="1153"/>
        <v>1.62876</v>
      </c>
      <c r="Z224" s="2900">
        <f t="shared" si="1153"/>
        <v>11143.182199999999</v>
      </c>
      <c r="AA224" s="2900">
        <f t="shared" si="1153"/>
        <v>11142.066000000001</v>
      </c>
      <c r="AB224" s="2900">
        <f t="shared" si="1153"/>
        <v>1.1161999999999999</v>
      </c>
      <c r="AC224" s="2900">
        <f t="shared" si="1153"/>
        <v>37313.291299999997</v>
      </c>
      <c r="AD224" s="2900">
        <f t="shared" si="1153"/>
        <v>37308.53</v>
      </c>
      <c r="AE224" s="2900">
        <f t="shared" si="1153"/>
        <v>4.7613000000000003</v>
      </c>
      <c r="AF224" s="2901">
        <f t="shared" si="1153"/>
        <v>73069.073842551239</v>
      </c>
      <c r="AG224" s="2901">
        <f t="shared" si="1153"/>
        <v>73054.628515836492</v>
      </c>
      <c r="AH224" s="2901">
        <f t="shared" si="1153"/>
        <v>14.445326714737323</v>
      </c>
      <c r="AI224" s="2902">
        <f t="shared" si="1153"/>
        <v>71929.427859999996</v>
      </c>
      <c r="AJ224" s="2902">
        <f t="shared" si="1153"/>
        <v>71919.907949999993</v>
      </c>
      <c r="AK224" s="2902">
        <f t="shared" si="1153"/>
        <v>9.5199099999999994</v>
      </c>
      <c r="AL224" s="2840">
        <f t="shared" si="1048"/>
        <v>-1139.6459825512429</v>
      </c>
      <c r="AM224" s="2840">
        <f t="shared" si="1049"/>
        <v>-1134.7205658364983</v>
      </c>
      <c r="AN224" s="2840">
        <f t="shared" si="1049"/>
        <v>-4.9254167147373238</v>
      </c>
      <c r="AO224" s="2899">
        <f t="shared" ref="AO224:BI224" si="1154">SUM(AO196+AO197+AO198+AO199+AO200+AO201+AO202+AO204+AO209+AO215+AO222+AO223)</f>
        <v>36652.474378073195</v>
      </c>
      <c r="AP224" s="2899">
        <f t="shared" si="1154"/>
        <v>36645.230572334309</v>
      </c>
      <c r="AQ224" s="2899">
        <f t="shared" si="1154"/>
        <v>7.2438057388856372</v>
      </c>
      <c r="AR224" s="2900">
        <f t="shared" si="1154"/>
        <v>12667.22249</v>
      </c>
      <c r="AS224" s="2900">
        <f t="shared" si="1154"/>
        <v>12666.143</v>
      </c>
      <c r="AT224" s="2900">
        <f t="shared" si="1154"/>
        <v>1.0794900000000001</v>
      </c>
      <c r="AU224" s="2900">
        <f t="shared" si="1154"/>
        <v>9711.4398000000001</v>
      </c>
      <c r="AV224" s="2900">
        <f t="shared" si="1154"/>
        <v>9709.5679999999993</v>
      </c>
      <c r="AW224" s="2900">
        <f t="shared" si="1154"/>
        <v>1.8718000000000001</v>
      </c>
      <c r="AX224" s="2900">
        <f t="shared" si="1154"/>
        <v>13676.95039</v>
      </c>
      <c r="AY224" s="2900">
        <f t="shared" si="1154"/>
        <v>13674.306619999999</v>
      </c>
      <c r="AZ224" s="2900">
        <f t="shared" si="1154"/>
        <v>2.64377</v>
      </c>
      <c r="BA224" s="2900">
        <f t="shared" si="1154"/>
        <v>36055.612680000006</v>
      </c>
      <c r="BB224" s="2900">
        <f t="shared" si="1154"/>
        <v>36050.017619999999</v>
      </c>
      <c r="BC224" s="2900">
        <f t="shared" si="1154"/>
        <v>5.5950600000000001</v>
      </c>
      <c r="BD224" s="2901">
        <f t="shared" si="1154"/>
        <v>109721.54822062442</v>
      </c>
      <c r="BE224" s="2902">
        <f t="shared" si="1154"/>
        <v>109699.85908817079</v>
      </c>
      <c r="BF224" s="2901">
        <f t="shared" si="1154"/>
        <v>21.689132453622957</v>
      </c>
      <c r="BG224" s="2902">
        <f t="shared" si="1154"/>
        <v>107985.04053999999</v>
      </c>
      <c r="BH224" s="2902">
        <f t="shared" si="1154"/>
        <v>107969.92556999999</v>
      </c>
      <c r="BI224" s="2902">
        <f t="shared" si="1154"/>
        <v>15.11497</v>
      </c>
      <c r="BJ224" s="2840">
        <f t="shared" si="1051"/>
        <v>-1736.5076806244324</v>
      </c>
      <c r="BK224" s="2840">
        <f t="shared" si="1052"/>
        <v>-1729.9335181708011</v>
      </c>
      <c r="BL224" s="2840">
        <f t="shared" si="1052"/>
        <v>-6.5741624536229573</v>
      </c>
      <c r="BM224" s="2899">
        <f t="shared" ref="BM224:CG224" si="1155">SUM(BM196+BM197+BM198+BM199+BM200+BM201+BM202+BM204+BM209+BM215+BM222+BM223)</f>
        <v>36652.474378073195</v>
      </c>
      <c r="BN224" s="2899">
        <f t="shared" si="1155"/>
        <v>36645.230572334309</v>
      </c>
      <c r="BO224" s="2899">
        <f t="shared" si="1155"/>
        <v>7.2438057388856372</v>
      </c>
      <c r="BP224" s="2900">
        <f t="shared" si="1155"/>
        <v>10698.502369999998</v>
      </c>
      <c r="BQ224" s="2900">
        <f t="shared" si="1155"/>
        <v>10697.340999999999</v>
      </c>
      <c r="BR224" s="2900">
        <f t="shared" si="1155"/>
        <v>1.16137</v>
      </c>
      <c r="BS224" s="2900">
        <f t="shared" si="1155"/>
        <v>12223.703600000001</v>
      </c>
      <c r="BT224" s="2900">
        <f t="shared" si="1155"/>
        <v>12221.9084</v>
      </c>
      <c r="BU224" s="2900">
        <f t="shared" si="1155"/>
        <v>1.7952000000000001</v>
      </c>
      <c r="BV224" s="2900">
        <f t="shared" si="1155"/>
        <v>13542.931990000001</v>
      </c>
      <c r="BW224" s="2900">
        <f t="shared" si="1155"/>
        <v>13541.177040000002</v>
      </c>
      <c r="BX224" s="2900">
        <f t="shared" si="1155"/>
        <v>1.75495</v>
      </c>
      <c r="BY224" s="2900">
        <f t="shared" si="1155"/>
        <v>36465.137959999993</v>
      </c>
      <c r="BZ224" s="2900">
        <f t="shared" si="1155"/>
        <v>36460.426440000003</v>
      </c>
      <c r="CA224" s="2900">
        <f t="shared" si="1155"/>
        <v>4.7115200000000002</v>
      </c>
      <c r="CB224" s="2902">
        <f t="shared" si="1155"/>
        <v>146374.02291889148</v>
      </c>
      <c r="CC224" s="2901">
        <f t="shared" si="1155"/>
        <v>146345.08977326503</v>
      </c>
      <c r="CD224" s="2901">
        <f t="shared" si="1155"/>
        <v>28.933145626442407</v>
      </c>
      <c r="CE224" s="2902">
        <f t="shared" si="1155"/>
        <v>144450.17849999998</v>
      </c>
      <c r="CF224" s="2902">
        <f t="shared" si="1155"/>
        <v>144430.35200999997</v>
      </c>
      <c r="CG224" s="2902">
        <f t="shared" si="1155"/>
        <v>19.82649</v>
      </c>
      <c r="CH224" s="2840">
        <f t="shared" si="1054"/>
        <v>-1923.8444188915018</v>
      </c>
      <c r="CI224" s="2840">
        <f t="shared" si="1055"/>
        <v>-1914.7377632650605</v>
      </c>
      <c r="CJ224" s="2840">
        <f t="shared" si="1055"/>
        <v>-9.1066556264424072</v>
      </c>
      <c r="CK224" s="2822"/>
      <c r="CL224" s="2822"/>
      <c r="CM224" s="2822"/>
      <c r="CN224" s="2822"/>
    </row>
    <row r="225" spans="1:92" ht="18.75" x14ac:dyDescent="0.3">
      <c r="A225" s="2871" t="s">
        <v>13</v>
      </c>
      <c r="B225" s="2899">
        <f t="shared" ref="B225:D225" si="1156">SUM(B181)</f>
        <v>876.60995000000003</v>
      </c>
      <c r="C225" s="2899">
        <f t="shared" si="1156"/>
        <v>876.16750000000002</v>
      </c>
      <c r="D225" s="2899">
        <f t="shared" si="1156"/>
        <v>0.44245000000000001</v>
      </c>
      <c r="E225" s="2900">
        <f t="shared" ref="E225:AK225" si="1157">SUM(E181)</f>
        <v>303.92900000000003</v>
      </c>
      <c r="F225" s="2900">
        <f t="shared" si="1157"/>
        <v>303.87900000000002</v>
      </c>
      <c r="G225" s="2900">
        <f t="shared" si="1157"/>
        <v>0.05</v>
      </c>
      <c r="H225" s="2900">
        <f t="shared" si="1157"/>
        <v>307.42900000000003</v>
      </c>
      <c r="I225" s="2900">
        <f t="shared" si="1157"/>
        <v>307.41300000000001</v>
      </c>
      <c r="J225" s="2900">
        <f t="shared" si="1157"/>
        <v>1.6E-2</v>
      </c>
      <c r="K225" s="2900">
        <f t="shared" si="1157"/>
        <v>295.52799999999996</v>
      </c>
      <c r="L225" s="2900">
        <f t="shared" si="1157"/>
        <v>295.50599999999997</v>
      </c>
      <c r="M225" s="2900">
        <f t="shared" si="1157"/>
        <v>2.1999999999999999E-2</v>
      </c>
      <c r="N225" s="2900">
        <f t="shared" si="1157"/>
        <v>906.88599999999997</v>
      </c>
      <c r="O225" s="2900">
        <f t="shared" si="1157"/>
        <v>906.798</v>
      </c>
      <c r="P225" s="2900">
        <f t="shared" si="1157"/>
        <v>8.7999999999999995E-2</v>
      </c>
      <c r="Q225" s="2899">
        <f t="shared" si="1157"/>
        <v>876.60995000000003</v>
      </c>
      <c r="R225" s="2899">
        <f t="shared" si="1157"/>
        <v>876.16750000000002</v>
      </c>
      <c r="S225" s="2899">
        <f t="shared" si="1157"/>
        <v>0.44245000000000001</v>
      </c>
      <c r="T225" s="2900">
        <f t="shared" si="1157"/>
        <v>310.28199999999998</v>
      </c>
      <c r="U225" s="2900">
        <f t="shared" si="1157"/>
        <v>310.12799999999999</v>
      </c>
      <c r="V225" s="2900">
        <f t="shared" si="1157"/>
        <v>0.154</v>
      </c>
      <c r="W225" s="2900">
        <f t="shared" si="1157"/>
        <v>296.14935100000002</v>
      </c>
      <c r="X225" s="2900">
        <f t="shared" si="1157"/>
        <v>296.08235100000002</v>
      </c>
      <c r="Y225" s="2900">
        <f t="shared" si="1157"/>
        <v>6.7000000000000004E-2</v>
      </c>
      <c r="Z225" s="2900">
        <f t="shared" si="1157"/>
        <v>297.09500000000003</v>
      </c>
      <c r="AA225" s="2900">
        <f t="shared" si="1157"/>
        <v>296.99</v>
      </c>
      <c r="AB225" s="2900">
        <f t="shared" si="1157"/>
        <v>0.105</v>
      </c>
      <c r="AC225" s="2900">
        <f t="shared" si="1157"/>
        <v>903.52635099999998</v>
      </c>
      <c r="AD225" s="2900">
        <f t="shared" si="1157"/>
        <v>903.20035099999996</v>
      </c>
      <c r="AE225" s="2900">
        <f t="shared" si="1157"/>
        <v>0.32600000000000001</v>
      </c>
      <c r="AF225" s="2901">
        <f t="shared" si="1157"/>
        <v>1753.2199000000001</v>
      </c>
      <c r="AG225" s="2901">
        <f t="shared" si="1157"/>
        <v>1752.335</v>
      </c>
      <c r="AH225" s="2901">
        <f t="shared" si="1157"/>
        <v>0.88490000000000002</v>
      </c>
      <c r="AI225" s="2902">
        <f t="shared" si="1157"/>
        <v>1810.4123509999999</v>
      </c>
      <c r="AJ225" s="2902">
        <f t="shared" si="1157"/>
        <v>1809.998351</v>
      </c>
      <c r="AK225" s="2902">
        <f t="shared" si="1157"/>
        <v>0.41400000000000003</v>
      </c>
      <c r="AL225" s="2840">
        <f t="shared" si="1048"/>
        <v>57.192450999999892</v>
      </c>
      <c r="AM225" s="2840">
        <f t="shared" si="1049"/>
        <v>57.663350999999921</v>
      </c>
      <c r="AN225" s="2840">
        <f t="shared" si="1049"/>
        <v>-0.47089999999999999</v>
      </c>
      <c r="AO225" s="2899">
        <f t="shared" ref="AO225:BI225" si="1158">SUM(AO181)</f>
        <v>876.60995000000003</v>
      </c>
      <c r="AP225" s="2899">
        <f t="shared" si="1158"/>
        <v>876.16750000000002</v>
      </c>
      <c r="AQ225" s="2899">
        <f t="shared" si="1158"/>
        <v>0.44245000000000001</v>
      </c>
      <c r="AR225" s="2900">
        <f t="shared" si="1158"/>
        <v>271.14100000000002</v>
      </c>
      <c r="AS225" s="2900">
        <f t="shared" si="1158"/>
        <v>271.05700000000002</v>
      </c>
      <c r="AT225" s="2900">
        <f t="shared" si="1158"/>
        <v>8.4000000000000005E-2</v>
      </c>
      <c r="AU225" s="2900">
        <f t="shared" si="1158"/>
        <v>285.83499999999998</v>
      </c>
      <c r="AV225" s="2900">
        <f t="shared" si="1158"/>
        <v>285.76</v>
      </c>
      <c r="AW225" s="2900">
        <f t="shared" si="1158"/>
        <v>7.4999999999999997E-2</v>
      </c>
      <c r="AX225" s="2900">
        <f t="shared" si="1158"/>
        <v>295.35500000000002</v>
      </c>
      <c r="AY225" s="2900">
        <f t="shared" si="1158"/>
        <v>295.33000000000004</v>
      </c>
      <c r="AZ225" s="2900">
        <f t="shared" si="1158"/>
        <v>2.5000000000000001E-2</v>
      </c>
      <c r="BA225" s="2900">
        <f t="shared" si="1158"/>
        <v>852.3309999999999</v>
      </c>
      <c r="BB225" s="2900">
        <f t="shared" si="1158"/>
        <v>852.14699999999993</v>
      </c>
      <c r="BC225" s="2900">
        <f t="shared" si="1158"/>
        <v>0.184</v>
      </c>
      <c r="BD225" s="2901">
        <f t="shared" si="1158"/>
        <v>2629.8298500000001</v>
      </c>
      <c r="BE225" s="2901">
        <f t="shared" si="1158"/>
        <v>2628.5025000000001</v>
      </c>
      <c r="BF225" s="2901">
        <f t="shared" si="1158"/>
        <v>1.32735</v>
      </c>
      <c r="BG225" s="2902">
        <f t="shared" si="1158"/>
        <v>2662.7433510000001</v>
      </c>
      <c r="BH225" s="2902">
        <f t="shared" si="1158"/>
        <v>2662.1453510000001</v>
      </c>
      <c r="BI225" s="2902">
        <f t="shared" si="1158"/>
        <v>0.59800000000000009</v>
      </c>
      <c r="BJ225" s="2840">
        <f t="shared" si="1051"/>
        <v>32.913500999999997</v>
      </c>
      <c r="BK225" s="2840">
        <f t="shared" si="1052"/>
        <v>33.642851000000064</v>
      </c>
      <c r="BL225" s="2840">
        <f t="shared" si="1052"/>
        <v>-0.72934999999999994</v>
      </c>
      <c r="BM225" s="2899">
        <f t="shared" ref="BM225:CG225" si="1159">SUM(BM181)</f>
        <v>876.60995000000003</v>
      </c>
      <c r="BN225" s="2899">
        <f t="shared" si="1159"/>
        <v>876.16750000000002</v>
      </c>
      <c r="BO225" s="2899">
        <f t="shared" si="1159"/>
        <v>0.44245000000000001</v>
      </c>
      <c r="BP225" s="2900">
        <f t="shared" si="1159"/>
        <v>302.36200000000002</v>
      </c>
      <c r="BQ225" s="2900">
        <f t="shared" si="1159"/>
        <v>302.33500000000004</v>
      </c>
      <c r="BR225" s="2900">
        <f t="shared" si="1159"/>
        <v>2.7E-2</v>
      </c>
      <c r="BS225" s="2900">
        <f t="shared" si="1159"/>
        <v>294.94000000000005</v>
      </c>
      <c r="BT225" s="2900">
        <f t="shared" si="1159"/>
        <v>294.86900000000003</v>
      </c>
      <c r="BU225" s="2900">
        <f t="shared" si="1159"/>
        <v>7.0999999999999994E-2</v>
      </c>
      <c r="BV225" s="2900">
        <f t="shared" si="1159"/>
        <v>303.15300000000002</v>
      </c>
      <c r="BW225" s="2900">
        <f t="shared" si="1159"/>
        <v>303.06700000000001</v>
      </c>
      <c r="BX225" s="2900">
        <f t="shared" si="1159"/>
        <v>8.5999999999999993E-2</v>
      </c>
      <c r="BY225" s="2900">
        <f t="shared" si="1159"/>
        <v>900.45500000000004</v>
      </c>
      <c r="BZ225" s="2900">
        <f t="shared" si="1159"/>
        <v>900.27100000000007</v>
      </c>
      <c r="CA225" s="2900">
        <f t="shared" si="1159"/>
        <v>0.184</v>
      </c>
      <c r="CB225" s="2901">
        <f t="shared" si="1159"/>
        <v>3506.4398000000001</v>
      </c>
      <c r="CC225" s="2901">
        <f t="shared" si="1159"/>
        <v>3504.67</v>
      </c>
      <c r="CD225" s="2901">
        <f t="shared" si="1159"/>
        <v>1.7698</v>
      </c>
      <c r="CE225" s="2902">
        <f t="shared" si="1159"/>
        <v>3563.198351</v>
      </c>
      <c r="CF225" s="2902">
        <f t="shared" si="1159"/>
        <v>3562.4163509999998</v>
      </c>
      <c r="CG225" s="2902">
        <f t="shared" si="1159"/>
        <v>0.78200000000000003</v>
      </c>
      <c r="CH225" s="2840">
        <f t="shared" si="1054"/>
        <v>56.758550999999898</v>
      </c>
      <c r="CI225" s="2840">
        <f t="shared" si="1055"/>
        <v>57.746350999999777</v>
      </c>
      <c r="CJ225" s="2840">
        <f t="shared" si="1055"/>
        <v>-0.98780000000000001</v>
      </c>
      <c r="CK225" s="2822"/>
      <c r="CL225" s="2822"/>
      <c r="CM225" s="2822"/>
      <c r="CN225" s="2822"/>
    </row>
    <row r="226" spans="1:92" ht="18.75" x14ac:dyDescent="0.3">
      <c r="A226" s="2871" t="s">
        <v>14</v>
      </c>
      <c r="B226" s="2899">
        <f t="shared" ref="B226:D226" si="1160">SUM(B224/B225)</f>
        <v>41.677073048595467</v>
      </c>
      <c r="C226" s="2899">
        <f t="shared" si="1160"/>
        <v>41.689875803334687</v>
      </c>
      <c r="D226" s="2899">
        <f t="shared" si="1160"/>
        <v>16.324247615252936</v>
      </c>
      <c r="E226" s="2900">
        <f t="shared" ref="E226:AK226" si="1161">SUM(E224/E225)</f>
        <v>33.841127895001783</v>
      </c>
      <c r="F226" s="2900">
        <f t="shared" si="1161"/>
        <v>33.842419943464328</v>
      </c>
      <c r="G226" s="2900">
        <f t="shared" si="1161"/>
        <v>25.988600000000002</v>
      </c>
      <c r="H226" s="2900">
        <f t="shared" si="1161"/>
        <v>33.010369711380505</v>
      </c>
      <c r="I226" s="2900">
        <f t="shared" si="1161"/>
        <v>33.006889071054246</v>
      </c>
      <c r="J226" s="2900">
        <f t="shared" si="1161"/>
        <v>99.884999999999991</v>
      </c>
      <c r="K226" s="2900">
        <f t="shared" si="1161"/>
        <v>47.990347615115994</v>
      </c>
      <c r="L226" s="2900">
        <f t="shared" si="1161"/>
        <v>47.987622687864217</v>
      </c>
      <c r="M226" s="2900">
        <f t="shared" si="1161"/>
        <v>84.591818181818169</v>
      </c>
      <c r="N226" s="2900">
        <f t="shared" si="1161"/>
        <v>38.170328530818651</v>
      </c>
      <c r="O226" s="2900">
        <f t="shared" si="1161"/>
        <v>38.16878505466488</v>
      </c>
      <c r="P226" s="2900">
        <f t="shared" si="1161"/>
        <v>54.075113636363632</v>
      </c>
      <c r="Q226" s="2899">
        <f t="shared" si="1161"/>
        <v>41.677073048595467</v>
      </c>
      <c r="R226" s="2899">
        <f t="shared" si="1161"/>
        <v>41.689875803334687</v>
      </c>
      <c r="S226" s="2899">
        <f t="shared" si="1161"/>
        <v>16.324247615252936</v>
      </c>
      <c r="T226" s="2900">
        <f t="shared" si="1161"/>
        <v>41.403469553502944</v>
      </c>
      <c r="U226" s="2900">
        <f t="shared" si="1161"/>
        <v>41.417527601506478</v>
      </c>
      <c r="V226" s="2900">
        <f t="shared" si="1161"/>
        <v>13.093116883116881</v>
      </c>
      <c r="W226" s="2900">
        <f t="shared" si="1161"/>
        <v>44.988644125038114</v>
      </c>
      <c r="X226" s="2900">
        <f t="shared" si="1161"/>
        <v>44.993323496002638</v>
      </c>
      <c r="Y226" s="2900">
        <f t="shared" si="1161"/>
        <v>24.309850746268655</v>
      </c>
      <c r="Z226" s="2900">
        <f t="shared" si="1161"/>
        <v>37.507134754876382</v>
      </c>
      <c r="AA226" s="2900">
        <f t="shared" si="1161"/>
        <v>37.516636923802146</v>
      </c>
      <c r="AB226" s="2900">
        <f t="shared" si="1161"/>
        <v>10.630476190476189</v>
      </c>
      <c r="AC226" s="2900">
        <f t="shared" si="1161"/>
        <v>41.297402404149693</v>
      </c>
      <c r="AD226" s="2900">
        <f t="shared" si="1161"/>
        <v>41.307036648837617</v>
      </c>
      <c r="AE226" s="2900">
        <f t="shared" si="1161"/>
        <v>14.60521472392638</v>
      </c>
      <c r="AF226" s="2901">
        <f t="shared" si="1161"/>
        <v>41.677073048595467</v>
      </c>
      <c r="AG226" s="2901">
        <f t="shared" si="1161"/>
        <v>41.689875803334687</v>
      </c>
      <c r="AH226" s="2901">
        <f t="shared" si="1161"/>
        <v>16.324247615252936</v>
      </c>
      <c r="AI226" s="2902">
        <f t="shared" si="1161"/>
        <v>39.73096395429971</v>
      </c>
      <c r="AJ226" s="2902">
        <f t="shared" si="1161"/>
        <v>39.734791973851912</v>
      </c>
      <c r="AK226" s="2902">
        <f t="shared" si="1161"/>
        <v>22.994951690821253</v>
      </c>
      <c r="AL226" s="2840">
        <f t="shared" si="1048"/>
        <v>-1.9461090942957568</v>
      </c>
      <c r="AM226" s="2840">
        <f t="shared" si="1049"/>
        <v>-1.9550838294827741</v>
      </c>
      <c r="AN226" s="2840">
        <f t="shared" si="1049"/>
        <v>6.6707040755683167</v>
      </c>
      <c r="AO226" s="2899">
        <f t="shared" ref="AO226:BI226" si="1162">SUM(AO224/AO225)</f>
        <v>41.811611171049556</v>
      </c>
      <c r="AP226" s="2899">
        <f t="shared" si="1162"/>
        <v>41.824457734775955</v>
      </c>
      <c r="AQ226" s="2899">
        <f t="shared" si="1162"/>
        <v>16.372032407923239</v>
      </c>
      <c r="AR226" s="2900">
        <f t="shared" si="1162"/>
        <v>46.718211152131175</v>
      </c>
      <c r="AS226" s="2900">
        <f t="shared" si="1162"/>
        <v>46.728706508225201</v>
      </c>
      <c r="AT226" s="2900">
        <f t="shared" si="1162"/>
        <v>12.851071428571428</v>
      </c>
      <c r="AU226" s="2900">
        <f t="shared" si="1162"/>
        <v>33.975684573267799</v>
      </c>
      <c r="AV226" s="2900">
        <f t="shared" si="1162"/>
        <v>33.978051511758117</v>
      </c>
      <c r="AW226" s="2900">
        <f t="shared" si="1162"/>
        <v>24.957333333333334</v>
      </c>
      <c r="AX226" s="2900">
        <f t="shared" si="1162"/>
        <v>46.306818540400535</v>
      </c>
      <c r="AY226" s="2900">
        <f t="shared" si="1162"/>
        <v>46.301786543866172</v>
      </c>
      <c r="AZ226" s="2900">
        <f t="shared" si="1162"/>
        <v>105.7508</v>
      </c>
      <c r="BA226" s="2900">
        <f t="shared" si="1162"/>
        <v>42.302359857848664</v>
      </c>
      <c r="BB226" s="2900">
        <f t="shared" si="1162"/>
        <v>42.304928163802728</v>
      </c>
      <c r="BC226" s="2900">
        <f t="shared" si="1162"/>
        <v>30.407934782608695</v>
      </c>
      <c r="BD226" s="2901">
        <f t="shared" si="1162"/>
        <v>41.72191908941349</v>
      </c>
      <c r="BE226" s="2901">
        <f t="shared" si="1162"/>
        <v>41.734736447148443</v>
      </c>
      <c r="BF226" s="2901">
        <f t="shared" si="1162"/>
        <v>16.340175879476366</v>
      </c>
      <c r="BG226" s="2902">
        <f t="shared" si="1162"/>
        <v>40.554055087376682</v>
      </c>
      <c r="BH226" s="2902">
        <f t="shared" si="1162"/>
        <v>40.557487039331832</v>
      </c>
      <c r="BI226" s="2902">
        <f t="shared" si="1162"/>
        <v>25.275869565217388</v>
      </c>
      <c r="BJ226" s="2840">
        <f t="shared" si="1051"/>
        <v>-1.1678640020368078</v>
      </c>
      <c r="BK226" s="2840">
        <f t="shared" si="1052"/>
        <v>-1.1772494078166105</v>
      </c>
      <c r="BL226" s="2840">
        <f t="shared" si="1052"/>
        <v>8.9356936857410219</v>
      </c>
      <c r="BM226" s="2899">
        <f t="shared" ref="BM226:CG226" si="1163">SUM(BM224/BM225)</f>
        <v>41.811611171049556</v>
      </c>
      <c r="BN226" s="2899">
        <f t="shared" si="1163"/>
        <v>41.824457734775955</v>
      </c>
      <c r="BO226" s="2899">
        <f t="shared" si="1163"/>
        <v>16.372032407923239</v>
      </c>
      <c r="BP226" s="2900">
        <f t="shared" si="1163"/>
        <v>35.38309169141624</v>
      </c>
      <c r="BQ226" s="2900">
        <f t="shared" si="1163"/>
        <v>35.382410240296352</v>
      </c>
      <c r="BR226" s="2900">
        <f t="shared" si="1163"/>
        <v>43.013703703703705</v>
      </c>
      <c r="BS226" s="2900">
        <f t="shared" si="1163"/>
        <v>41.444712822947032</v>
      </c>
      <c r="BT226" s="2900">
        <f t="shared" si="1163"/>
        <v>41.448603956333152</v>
      </c>
      <c r="BU226" s="2900">
        <f t="shared" si="1163"/>
        <v>25.284507042253527</v>
      </c>
      <c r="BV226" s="2900">
        <f t="shared" si="1163"/>
        <v>44.67358723152995</v>
      </c>
      <c r="BW226" s="2900">
        <f t="shared" si="1163"/>
        <v>44.680473426668037</v>
      </c>
      <c r="BX226" s="2900">
        <f t="shared" si="1163"/>
        <v>20.406395348837211</v>
      </c>
      <c r="BY226" s="2900">
        <f t="shared" si="1163"/>
        <v>40.496346802449864</v>
      </c>
      <c r="BZ226" s="2900">
        <f t="shared" si="1163"/>
        <v>40.499390116975889</v>
      </c>
      <c r="CA226" s="2900">
        <f t="shared" si="1163"/>
        <v>25.606086956521739</v>
      </c>
      <c r="CB226" s="2901">
        <f t="shared" si="1163"/>
        <v>41.744342201138451</v>
      </c>
      <c r="CC226" s="2901">
        <f t="shared" si="1163"/>
        <v>41.757166801229509</v>
      </c>
      <c r="CD226" s="2901">
        <f t="shared" si="1163"/>
        <v>16.348257219144767</v>
      </c>
      <c r="CE226" s="2902">
        <f t="shared" si="1163"/>
        <v>40.539471640544654</v>
      </c>
      <c r="CF226" s="2902">
        <f t="shared" si="1163"/>
        <v>40.54280515792523</v>
      </c>
      <c r="CG226" s="2902">
        <f t="shared" si="1163"/>
        <v>25.35356777493606</v>
      </c>
      <c r="CH226" s="2840">
        <f t="shared" si="1054"/>
        <v>-1.2048705605937968</v>
      </c>
      <c r="CI226" s="2840">
        <f t="shared" si="1055"/>
        <v>-1.2143616433042794</v>
      </c>
      <c r="CJ226" s="2840">
        <f t="shared" si="1055"/>
        <v>9.0053105557912936</v>
      </c>
      <c r="CK226" s="2822"/>
      <c r="CL226" s="2822"/>
      <c r="CM226" s="2822"/>
      <c r="CN226" s="2822"/>
    </row>
    <row r="227" spans="1:92" ht="18.75" x14ac:dyDescent="0.3">
      <c r="A227" s="2880" t="s">
        <v>3750</v>
      </c>
      <c r="B227" s="4652">
        <f>SUM(B228:B230)</f>
        <v>238.05975000000001</v>
      </c>
      <c r="C227" s="4653"/>
      <c r="D227" s="4654"/>
      <c r="E227" s="4587">
        <f>SUM(E228:E230)</f>
        <v>93.233999999999995</v>
      </c>
      <c r="F227" s="4588"/>
      <c r="G227" s="4589"/>
      <c r="H227" s="4587">
        <f>SUM(H228:H230)</f>
        <v>183.72800000000001</v>
      </c>
      <c r="I227" s="4588"/>
      <c r="J227" s="4589"/>
      <c r="K227" s="4587">
        <f>SUM(K228:K230)</f>
        <v>90.635000000000005</v>
      </c>
      <c r="L227" s="4588"/>
      <c r="M227" s="4589"/>
      <c r="N227" s="4587">
        <f>SUM(N228:N230)</f>
        <v>367.59700000000004</v>
      </c>
      <c r="O227" s="4588"/>
      <c r="P227" s="4589"/>
      <c r="Q227" s="4652">
        <f>SUM(Q228:Q230)</f>
        <v>238.05975000000001</v>
      </c>
      <c r="R227" s="4653"/>
      <c r="S227" s="4654"/>
      <c r="T227" s="4587">
        <f>SUM(T228:T230)</f>
        <v>154.697</v>
      </c>
      <c r="U227" s="4588"/>
      <c r="V227" s="4589"/>
      <c r="W227" s="4587">
        <f>SUM(W228:W230)</f>
        <v>143.38579999999999</v>
      </c>
      <c r="X227" s="4588"/>
      <c r="Y227" s="4589"/>
      <c r="Z227" s="4587">
        <f>SUM(Z228:Z230)</f>
        <v>209.26</v>
      </c>
      <c r="AA227" s="4588"/>
      <c r="AB227" s="4589"/>
      <c r="AC227" s="4587">
        <f>SUM(AC228:AC230)</f>
        <v>507.34280000000001</v>
      </c>
      <c r="AD227" s="4588"/>
      <c r="AE227" s="4589"/>
      <c r="AF227" s="4649">
        <f>SUM(B227+Q227)</f>
        <v>476.11950000000002</v>
      </c>
      <c r="AG227" s="4650"/>
      <c r="AH227" s="4651"/>
      <c r="AI227" s="4696">
        <f>SUM(N227+AC227)</f>
        <v>874.9398000000001</v>
      </c>
      <c r="AJ227" s="4697"/>
      <c r="AK227" s="4698"/>
      <c r="AL227" s="4696">
        <f>SUM(AI227-AF227)</f>
        <v>398.82030000000009</v>
      </c>
      <c r="AM227" s="4697"/>
      <c r="AN227" s="4698"/>
      <c r="AO227" s="4652">
        <f>SUM(AO228:AO230)</f>
        <v>238.05975000000001</v>
      </c>
      <c r="AP227" s="4653"/>
      <c r="AQ227" s="4654"/>
      <c r="AR227" s="4587">
        <f>SUM(AR228:AR230)</f>
        <v>205.16399999999999</v>
      </c>
      <c r="AS227" s="4588"/>
      <c r="AT227" s="4589"/>
      <c r="AU227" s="4587">
        <f>SUM(AU228:AU230)</f>
        <v>263.40100000000001</v>
      </c>
      <c r="AV227" s="4588"/>
      <c r="AW227" s="4589"/>
      <c r="AX227" s="4587">
        <f>SUM(AX228:AX230)</f>
        <v>239.72431</v>
      </c>
      <c r="AY227" s="4588"/>
      <c r="AZ227" s="4589"/>
      <c r="BA227" s="4587">
        <f>SUM(BA228:BA230)</f>
        <v>708.28931</v>
      </c>
      <c r="BB227" s="4588"/>
      <c r="BC227" s="4589"/>
      <c r="BD227" s="4649">
        <f t="shared" ref="BD227" si="1164">SUM(AF227+AO227)</f>
        <v>714.17925000000002</v>
      </c>
      <c r="BE227" s="4650"/>
      <c r="BF227" s="4651"/>
      <c r="BG227" s="4696">
        <f>SUM(BA227+AI227)</f>
        <v>1583.2291100000002</v>
      </c>
      <c r="BH227" s="4697"/>
      <c r="BI227" s="4698"/>
      <c r="BJ227" s="4696">
        <f>SUM(BG227-BD227)</f>
        <v>869.04986000000019</v>
      </c>
      <c r="BK227" s="4697"/>
      <c r="BL227" s="4698"/>
      <c r="BM227" s="4652">
        <f>SUM(BM228:BM230)</f>
        <v>238.05975000000001</v>
      </c>
      <c r="BN227" s="4653"/>
      <c r="BO227" s="4654"/>
      <c r="BP227" s="4587">
        <f>SUM(BP228:BP230)</f>
        <v>317.72800000000001</v>
      </c>
      <c r="BQ227" s="4588"/>
      <c r="BR227" s="4589"/>
      <c r="BS227" s="4587">
        <f>SUM(BS228:BS230)</f>
        <v>182.893</v>
      </c>
      <c r="BT227" s="4588"/>
      <c r="BU227" s="4589"/>
      <c r="BV227" s="4587">
        <f>SUM(BV228:BV230)</f>
        <v>156.18600000000001</v>
      </c>
      <c r="BW227" s="4588"/>
      <c r="BX227" s="4589"/>
      <c r="BY227" s="4587">
        <f>SUM(BY228:BY230)</f>
        <v>656.80700000000002</v>
      </c>
      <c r="BZ227" s="4588"/>
      <c r="CA227" s="4589"/>
      <c r="CB227" s="4649">
        <f t="shared" ref="CB227:CB231" si="1165">SUM(BM227+BD227)</f>
        <v>952.23900000000003</v>
      </c>
      <c r="CC227" s="4650"/>
      <c r="CD227" s="4651"/>
      <c r="CE227" s="4696">
        <f>SUM(BY227+BG227)</f>
        <v>2240.03611</v>
      </c>
      <c r="CF227" s="4697"/>
      <c r="CG227" s="4698"/>
      <c r="CH227" s="4696">
        <f>SUM(CE227-CB227)</f>
        <v>1287.79711</v>
      </c>
      <c r="CI227" s="4697"/>
      <c r="CJ227" s="4698"/>
      <c r="CK227" s="2822"/>
      <c r="CL227" s="2822"/>
      <c r="CM227" s="2822"/>
      <c r="CN227" s="2822"/>
    </row>
    <row r="228" spans="1:92" ht="36" customHeight="1" x14ac:dyDescent="0.2">
      <c r="A228" s="2903" t="s">
        <v>3751</v>
      </c>
      <c r="B228" s="4592">
        <f>SUM(B162)</f>
        <v>238.05975000000001</v>
      </c>
      <c r="C228" s="4593"/>
      <c r="D228" s="4594"/>
      <c r="E228" s="4592">
        <f>SUM(E162)</f>
        <v>73.539000000000001</v>
      </c>
      <c r="F228" s="4593"/>
      <c r="G228" s="4594"/>
      <c r="H228" s="4592">
        <f>SUM(H162)</f>
        <v>119.477</v>
      </c>
      <c r="I228" s="4593"/>
      <c r="J228" s="4594"/>
      <c r="K228" s="4592">
        <f>SUM(K162)</f>
        <v>61.13</v>
      </c>
      <c r="L228" s="4593"/>
      <c r="M228" s="4594"/>
      <c r="N228" s="4592">
        <f>SUM(E228+H228+K228)</f>
        <v>254.14600000000002</v>
      </c>
      <c r="O228" s="4593"/>
      <c r="P228" s="4594"/>
      <c r="Q228" s="4592">
        <f>SUM(Q162)</f>
        <v>238.05975000000001</v>
      </c>
      <c r="R228" s="4593"/>
      <c r="S228" s="4594"/>
      <c r="T228" s="4592">
        <f>SUM(T162)</f>
        <v>55.23</v>
      </c>
      <c r="U228" s="4593"/>
      <c r="V228" s="4594"/>
      <c r="W228" s="4592">
        <f>SUM(W162)</f>
        <v>108.7238</v>
      </c>
      <c r="X228" s="4593"/>
      <c r="Y228" s="4594"/>
      <c r="Z228" s="4592">
        <f>SUM(Z162)</f>
        <v>56.332000000000001</v>
      </c>
      <c r="AA228" s="4593"/>
      <c r="AB228" s="4594"/>
      <c r="AC228" s="4592">
        <f>SUM(T228+W228+Z228)</f>
        <v>220.28579999999999</v>
      </c>
      <c r="AD228" s="4593"/>
      <c r="AE228" s="4594"/>
      <c r="AF228" s="4655">
        <f>SUM(B228+Q228)</f>
        <v>476.11950000000002</v>
      </c>
      <c r="AG228" s="4656"/>
      <c r="AH228" s="4657"/>
      <c r="AI228" s="4678">
        <f t="shared" ref="AI228:AI231" si="1166">SUM(N228+AC228)</f>
        <v>474.43180000000001</v>
      </c>
      <c r="AJ228" s="4679"/>
      <c r="AK228" s="4680"/>
      <c r="AL228" s="4678">
        <f t="shared" ref="AL228:AL231" si="1167">SUM(AI228-AF228)</f>
        <v>-1.6877000000000066</v>
      </c>
      <c r="AM228" s="4679"/>
      <c r="AN228" s="4680"/>
      <c r="AO228" s="4592">
        <f>SUM(AO162)</f>
        <v>238.05975000000001</v>
      </c>
      <c r="AP228" s="4593"/>
      <c r="AQ228" s="4594"/>
      <c r="AR228" s="4592">
        <f>SUM(AR162)</f>
        <v>90.542000000000002</v>
      </c>
      <c r="AS228" s="4593"/>
      <c r="AT228" s="4594"/>
      <c r="AU228" s="4592">
        <f>SUM(AU162)</f>
        <v>86.488</v>
      </c>
      <c r="AV228" s="4593"/>
      <c r="AW228" s="4594"/>
      <c r="AX228" s="4592">
        <f>SUM(AX162)</f>
        <v>122.18231</v>
      </c>
      <c r="AY228" s="4593"/>
      <c r="AZ228" s="4594"/>
      <c r="BA228" s="4592">
        <f>SUM(AR228+AU228+AX228)</f>
        <v>299.21231</v>
      </c>
      <c r="BB228" s="4593"/>
      <c r="BC228" s="4594"/>
      <c r="BD228" s="4655">
        <f>SUM(AF228+AO228)</f>
        <v>714.17925000000002</v>
      </c>
      <c r="BE228" s="4656"/>
      <c r="BF228" s="4657"/>
      <c r="BG228" s="4678">
        <f t="shared" ref="BG228:BG231" si="1168">SUM(BA228+AI228)</f>
        <v>773.64410999999996</v>
      </c>
      <c r="BH228" s="4679"/>
      <c r="BI228" s="4680"/>
      <c r="BJ228" s="4678">
        <f>SUM(BG228-BD228)</f>
        <v>59.464859999999931</v>
      </c>
      <c r="BK228" s="4679"/>
      <c r="BL228" s="4680"/>
      <c r="BM228" s="4592">
        <f>SUM(BM162)</f>
        <v>238.05975000000001</v>
      </c>
      <c r="BN228" s="4593"/>
      <c r="BO228" s="4594"/>
      <c r="BP228" s="4592">
        <f>SUM(BP162)</f>
        <v>105.13500000000001</v>
      </c>
      <c r="BQ228" s="4593"/>
      <c r="BR228" s="4594"/>
      <c r="BS228" s="4592">
        <f>SUM(BS162)</f>
        <v>106.538</v>
      </c>
      <c r="BT228" s="4593"/>
      <c r="BU228" s="4594"/>
      <c r="BV228" s="4592">
        <f>SUM(BV162)</f>
        <v>57.302</v>
      </c>
      <c r="BW228" s="4593"/>
      <c r="BX228" s="4594"/>
      <c r="BY228" s="4592">
        <f>SUM(BP228+BS228+BV228)</f>
        <v>268.97500000000002</v>
      </c>
      <c r="BZ228" s="4593"/>
      <c r="CA228" s="4594"/>
      <c r="CB228" s="4655">
        <f t="shared" si="1165"/>
        <v>952.23900000000003</v>
      </c>
      <c r="CC228" s="4656"/>
      <c r="CD228" s="4657"/>
      <c r="CE228" s="4681">
        <f t="shared" ref="CE228:CE231" si="1169">SUM(BY228+BG228)</f>
        <v>1042.6191100000001</v>
      </c>
      <c r="CF228" s="4682"/>
      <c r="CG228" s="4683"/>
      <c r="CH228" s="4681">
        <f>SUM(CE228-CB228)</f>
        <v>90.380110000000059</v>
      </c>
      <c r="CI228" s="4682"/>
      <c r="CJ228" s="4683"/>
      <c r="CK228" s="2822"/>
      <c r="CL228" s="2822"/>
      <c r="CM228" s="2822"/>
      <c r="CN228" s="2822"/>
    </row>
    <row r="229" spans="1:92" ht="35.25" customHeight="1" x14ac:dyDescent="0.2">
      <c r="A229" s="2882" t="s">
        <v>3752</v>
      </c>
      <c r="B229" s="4592">
        <f>SUM(B163)</f>
        <v>0</v>
      </c>
      <c r="C229" s="4593"/>
      <c r="D229" s="4594"/>
      <c r="E229" s="4592">
        <f>SUM(E163)</f>
        <v>2.9630000000000001</v>
      </c>
      <c r="F229" s="4593"/>
      <c r="G229" s="4594"/>
      <c r="H229" s="4592">
        <f>SUM(H163)</f>
        <v>27</v>
      </c>
      <c r="I229" s="4593"/>
      <c r="J229" s="4594"/>
      <c r="K229" s="4592">
        <f>SUM(K163)</f>
        <v>0</v>
      </c>
      <c r="L229" s="4593"/>
      <c r="M229" s="4594"/>
      <c r="N229" s="4592">
        <f>SUM(E229+H229+K229)</f>
        <v>29.963000000000001</v>
      </c>
      <c r="O229" s="4593"/>
      <c r="P229" s="4594"/>
      <c r="Q229" s="4592">
        <f>SUM(Q163)</f>
        <v>0</v>
      </c>
      <c r="R229" s="4593"/>
      <c r="S229" s="4594"/>
      <c r="T229" s="4592">
        <f>SUM(T163)</f>
        <v>27</v>
      </c>
      <c r="U229" s="4593"/>
      <c r="V229" s="4594"/>
      <c r="W229" s="4592">
        <f>SUM(W163)</f>
        <v>7.2</v>
      </c>
      <c r="X229" s="4593"/>
      <c r="Y229" s="4594"/>
      <c r="Z229" s="4592">
        <f>SUM(Z163)</f>
        <v>0</v>
      </c>
      <c r="AA229" s="4593"/>
      <c r="AB229" s="4594"/>
      <c r="AC229" s="4592">
        <f>SUM(T229+W229+Z229)</f>
        <v>34.200000000000003</v>
      </c>
      <c r="AD229" s="4593"/>
      <c r="AE229" s="4594"/>
      <c r="AF229" s="4655">
        <f>SUM(B229+Q229)</f>
        <v>0</v>
      </c>
      <c r="AG229" s="4656"/>
      <c r="AH229" s="4657"/>
      <c r="AI229" s="4678">
        <f t="shared" si="1166"/>
        <v>64.163000000000011</v>
      </c>
      <c r="AJ229" s="4679"/>
      <c r="AK229" s="4680"/>
      <c r="AL229" s="4678">
        <f t="shared" si="1167"/>
        <v>64.163000000000011</v>
      </c>
      <c r="AM229" s="4679"/>
      <c r="AN229" s="4680"/>
      <c r="AO229" s="4592">
        <f>SUM(AO163)</f>
        <v>0</v>
      </c>
      <c r="AP229" s="4593"/>
      <c r="AQ229" s="4594"/>
      <c r="AR229" s="4592">
        <f>SUM(AR163)</f>
        <v>0</v>
      </c>
      <c r="AS229" s="4593"/>
      <c r="AT229" s="4594"/>
      <c r="AU229" s="4592">
        <f>SUM(AU163)</f>
        <v>75.599999999999994</v>
      </c>
      <c r="AV229" s="4593"/>
      <c r="AW229" s="4594"/>
      <c r="AX229" s="4592">
        <f>SUM(AX163)</f>
        <v>23.4</v>
      </c>
      <c r="AY229" s="4593"/>
      <c r="AZ229" s="4594"/>
      <c r="BA229" s="4592">
        <f>SUM(AR229+AU229+AX229)</f>
        <v>99</v>
      </c>
      <c r="BB229" s="4593"/>
      <c r="BC229" s="4594"/>
      <c r="BD229" s="4655">
        <f>SUM(AF229+AO229)</f>
        <v>0</v>
      </c>
      <c r="BE229" s="4656"/>
      <c r="BF229" s="4657"/>
      <c r="BG229" s="4678">
        <f t="shared" si="1168"/>
        <v>163.16300000000001</v>
      </c>
      <c r="BH229" s="4679"/>
      <c r="BI229" s="4680"/>
      <c r="BJ229" s="4678">
        <f>SUM(BG229-BD229)</f>
        <v>163.16300000000001</v>
      </c>
      <c r="BK229" s="4679"/>
      <c r="BL229" s="4680"/>
      <c r="BM229" s="4592">
        <f>SUM(BM163)</f>
        <v>0</v>
      </c>
      <c r="BN229" s="4593"/>
      <c r="BO229" s="4594"/>
      <c r="BP229" s="4592">
        <f>SUM(BP163)</f>
        <v>135</v>
      </c>
      <c r="BQ229" s="4593"/>
      <c r="BR229" s="4594"/>
      <c r="BS229" s="4592">
        <f>SUM(BS163)</f>
        <v>25.177</v>
      </c>
      <c r="BT229" s="4593"/>
      <c r="BU229" s="4594"/>
      <c r="BV229" s="4592">
        <f>SUM(BV163)</f>
        <v>69.150000000000006</v>
      </c>
      <c r="BW229" s="4593"/>
      <c r="BX229" s="4594"/>
      <c r="BY229" s="4592">
        <f>SUM(BP229+BS229+BV229)</f>
        <v>229.327</v>
      </c>
      <c r="BZ229" s="4593"/>
      <c r="CA229" s="4594"/>
      <c r="CB229" s="4655">
        <f t="shared" si="1165"/>
        <v>0</v>
      </c>
      <c r="CC229" s="4656"/>
      <c r="CD229" s="4657"/>
      <c r="CE229" s="4681">
        <f t="shared" si="1169"/>
        <v>392.49</v>
      </c>
      <c r="CF229" s="4682"/>
      <c r="CG229" s="4683"/>
      <c r="CH229" s="4681">
        <f>SUM(CE229-CB229)</f>
        <v>392.49</v>
      </c>
      <c r="CI229" s="4682"/>
      <c r="CJ229" s="4683"/>
      <c r="CK229" s="2822"/>
      <c r="CL229" s="2822"/>
      <c r="CM229" s="2822"/>
      <c r="CN229" s="2822"/>
    </row>
    <row r="230" spans="1:92" ht="35.25" customHeight="1" x14ac:dyDescent="0.2">
      <c r="A230" s="2882" t="s">
        <v>3753</v>
      </c>
      <c r="B230" s="4592">
        <f>SUM(B164)</f>
        <v>0</v>
      </c>
      <c r="C230" s="4593"/>
      <c r="D230" s="4594"/>
      <c r="E230" s="4592">
        <f>SUM(E164)</f>
        <v>16.731999999999999</v>
      </c>
      <c r="F230" s="4593"/>
      <c r="G230" s="4594"/>
      <c r="H230" s="4592">
        <f>SUM(H164)</f>
        <v>37.250999999999998</v>
      </c>
      <c r="I230" s="4593"/>
      <c r="J230" s="4594"/>
      <c r="K230" s="4592">
        <f>SUM(K164)</f>
        <v>29.504999999999999</v>
      </c>
      <c r="L230" s="4593"/>
      <c r="M230" s="4594"/>
      <c r="N230" s="4592">
        <f>SUM(E230+H230+K230)</f>
        <v>83.488</v>
      </c>
      <c r="O230" s="4593"/>
      <c r="P230" s="4594"/>
      <c r="Q230" s="4592">
        <f>SUM(Q164)</f>
        <v>0</v>
      </c>
      <c r="R230" s="4593"/>
      <c r="S230" s="4594"/>
      <c r="T230" s="4592">
        <f>SUM(T164)</f>
        <v>72.466999999999999</v>
      </c>
      <c r="U230" s="4593"/>
      <c r="V230" s="4594"/>
      <c r="W230" s="4592">
        <f>SUM(W164)</f>
        <v>27.462</v>
      </c>
      <c r="X230" s="4593"/>
      <c r="Y230" s="4594"/>
      <c r="Z230" s="4592">
        <f>SUM(Z164)</f>
        <v>152.928</v>
      </c>
      <c r="AA230" s="4593"/>
      <c r="AB230" s="4594"/>
      <c r="AC230" s="4592">
        <f>SUM(T230+W230+Z230)</f>
        <v>252.857</v>
      </c>
      <c r="AD230" s="4593"/>
      <c r="AE230" s="4594"/>
      <c r="AF230" s="4655">
        <f>SUM(B230+Q230)</f>
        <v>0</v>
      </c>
      <c r="AG230" s="4656"/>
      <c r="AH230" s="4657"/>
      <c r="AI230" s="4678">
        <f t="shared" si="1166"/>
        <v>336.34500000000003</v>
      </c>
      <c r="AJ230" s="4679"/>
      <c r="AK230" s="4680"/>
      <c r="AL230" s="4678">
        <f t="shared" si="1167"/>
        <v>336.34500000000003</v>
      </c>
      <c r="AM230" s="4679"/>
      <c r="AN230" s="4680"/>
      <c r="AO230" s="4592">
        <f>SUM(AO164)</f>
        <v>0</v>
      </c>
      <c r="AP230" s="4593"/>
      <c r="AQ230" s="4594"/>
      <c r="AR230" s="4592">
        <f>SUM(AR164)</f>
        <v>114.622</v>
      </c>
      <c r="AS230" s="4593"/>
      <c r="AT230" s="4594"/>
      <c r="AU230" s="4592">
        <f>SUM(AU164)</f>
        <v>101.313</v>
      </c>
      <c r="AV230" s="4593"/>
      <c r="AW230" s="4594"/>
      <c r="AX230" s="4592">
        <f>SUM(AX164)</f>
        <v>94.141999999999996</v>
      </c>
      <c r="AY230" s="4593"/>
      <c r="AZ230" s="4594"/>
      <c r="BA230" s="4592">
        <f>SUM(AR230+AU230+AX230)</f>
        <v>310.077</v>
      </c>
      <c r="BB230" s="4593"/>
      <c r="BC230" s="4594"/>
      <c r="BD230" s="4655">
        <f>SUM(AF230+AO230)</f>
        <v>0</v>
      </c>
      <c r="BE230" s="4656"/>
      <c r="BF230" s="4657"/>
      <c r="BG230" s="4678">
        <f t="shared" si="1168"/>
        <v>646.42200000000003</v>
      </c>
      <c r="BH230" s="4679"/>
      <c r="BI230" s="4680"/>
      <c r="BJ230" s="4678">
        <f>SUM(BG230-BD230)</f>
        <v>646.42200000000003</v>
      </c>
      <c r="BK230" s="4679"/>
      <c r="BL230" s="4680"/>
      <c r="BM230" s="4592">
        <f>SUM(BM164)</f>
        <v>0</v>
      </c>
      <c r="BN230" s="4593"/>
      <c r="BO230" s="4594"/>
      <c r="BP230" s="4592">
        <f>SUM(BP164)</f>
        <v>77.593000000000004</v>
      </c>
      <c r="BQ230" s="4593"/>
      <c r="BR230" s="4594"/>
      <c r="BS230" s="4592">
        <f>SUM(BS164)</f>
        <v>51.177999999999997</v>
      </c>
      <c r="BT230" s="4593"/>
      <c r="BU230" s="4594"/>
      <c r="BV230" s="4592">
        <f>SUM(BV164)</f>
        <v>29.734000000000002</v>
      </c>
      <c r="BW230" s="4593"/>
      <c r="BX230" s="4594"/>
      <c r="BY230" s="4592">
        <f>SUM(BP230+BS230+BV230)</f>
        <v>158.50500000000002</v>
      </c>
      <c r="BZ230" s="4593"/>
      <c r="CA230" s="4594"/>
      <c r="CB230" s="4655">
        <f t="shared" si="1165"/>
        <v>0</v>
      </c>
      <c r="CC230" s="4656"/>
      <c r="CD230" s="4657"/>
      <c r="CE230" s="4681">
        <f t="shared" si="1169"/>
        <v>804.92700000000002</v>
      </c>
      <c r="CF230" s="4682"/>
      <c r="CG230" s="4683"/>
      <c r="CH230" s="4681">
        <f>SUM(CE230-CB230)</f>
        <v>804.92700000000002</v>
      </c>
      <c r="CI230" s="4682"/>
      <c r="CJ230" s="4683"/>
      <c r="CK230" s="2822"/>
      <c r="CL230" s="2822"/>
      <c r="CM230" s="2822"/>
      <c r="CN230" s="2822"/>
    </row>
    <row r="231" spans="1:92" ht="18.75" x14ac:dyDescent="0.3">
      <c r="A231" s="2880" t="s">
        <v>3754</v>
      </c>
      <c r="B231" s="4652">
        <f>SUM(B224+B227)</f>
        <v>36772.59667127562</v>
      </c>
      <c r="C231" s="4653"/>
      <c r="D231" s="4654"/>
      <c r="E231" s="4587">
        <f>SUM(E224+E227)</f>
        <v>10378.534159999999</v>
      </c>
      <c r="F231" s="4588"/>
      <c r="G231" s="4589"/>
      <c r="H231" s="4587">
        <f t="shared" ref="H231" si="1170">SUM(H224+H227)</f>
        <v>10332.072949999998</v>
      </c>
      <c r="I231" s="4588"/>
      <c r="J231" s="4589"/>
      <c r="K231" s="4587">
        <f t="shared" ref="K231" si="1171">SUM(K224+K227)</f>
        <v>14273.126449999998</v>
      </c>
      <c r="L231" s="4588"/>
      <c r="M231" s="4589"/>
      <c r="N231" s="4587">
        <f t="shared" ref="N231" si="1172">SUM(N224+N227)</f>
        <v>34983.733560000001</v>
      </c>
      <c r="O231" s="4588"/>
      <c r="P231" s="4589"/>
      <c r="Q231" s="4652">
        <f>SUM(Q224+Q227)</f>
        <v>36772.59667127562</v>
      </c>
      <c r="R231" s="4653"/>
      <c r="S231" s="4654"/>
      <c r="T231" s="4587">
        <f>SUM(T224+T227)</f>
        <v>13001.448340000001</v>
      </c>
      <c r="U231" s="4588"/>
      <c r="V231" s="4589"/>
      <c r="W231" s="4587">
        <f t="shared" ref="W231" si="1173">SUM(W224+W227)</f>
        <v>13466.743560000001</v>
      </c>
      <c r="X231" s="4588"/>
      <c r="Y231" s="4589"/>
      <c r="Z231" s="4587">
        <f t="shared" ref="Z231" si="1174">SUM(Z224+Z227)</f>
        <v>11352.4422</v>
      </c>
      <c r="AA231" s="4588"/>
      <c r="AB231" s="4589"/>
      <c r="AC231" s="4587">
        <f t="shared" ref="AC231" si="1175">SUM(AC224+AC227)</f>
        <v>37820.634099999996</v>
      </c>
      <c r="AD231" s="4588"/>
      <c r="AE231" s="4589"/>
      <c r="AF231" s="4649">
        <f>SUM(B231+Q231)</f>
        <v>73545.19334255124</v>
      </c>
      <c r="AG231" s="4650"/>
      <c r="AH231" s="4651"/>
      <c r="AI231" s="4696">
        <f t="shared" si="1166"/>
        <v>72804.367659999989</v>
      </c>
      <c r="AJ231" s="4697"/>
      <c r="AK231" s="4698"/>
      <c r="AL231" s="4696">
        <f t="shared" si="1167"/>
        <v>-740.82568255125079</v>
      </c>
      <c r="AM231" s="4697"/>
      <c r="AN231" s="4698"/>
      <c r="AO231" s="4652">
        <f>SUM(AO224+AO227)</f>
        <v>36890.534128073195</v>
      </c>
      <c r="AP231" s="4653"/>
      <c r="AQ231" s="4654"/>
      <c r="AR231" s="4587">
        <f>SUM(AR224+AR227)</f>
        <v>12872.386490000001</v>
      </c>
      <c r="AS231" s="4588"/>
      <c r="AT231" s="4589"/>
      <c r="AU231" s="4587">
        <f t="shared" ref="AU231" si="1176">SUM(AU224+AU227)</f>
        <v>9974.8407999999999</v>
      </c>
      <c r="AV231" s="4588"/>
      <c r="AW231" s="4589"/>
      <c r="AX231" s="4587">
        <f t="shared" ref="AX231" si="1177">SUM(AX224+AX227)</f>
        <v>13916.6747</v>
      </c>
      <c r="AY231" s="4588"/>
      <c r="AZ231" s="4589"/>
      <c r="BA231" s="4587">
        <f t="shared" ref="BA231" si="1178">SUM(BA224+BA227)</f>
        <v>36763.901990000006</v>
      </c>
      <c r="BB231" s="4588"/>
      <c r="BC231" s="4589"/>
      <c r="BD231" s="4649">
        <f t="shared" ref="BD231" si="1179">SUM(AF231+AO231)</f>
        <v>110435.72747062444</v>
      </c>
      <c r="BE231" s="4650"/>
      <c r="BF231" s="4651"/>
      <c r="BG231" s="4696">
        <f t="shared" si="1168"/>
        <v>109568.26965</v>
      </c>
      <c r="BH231" s="4697"/>
      <c r="BI231" s="4698"/>
      <c r="BJ231" s="4696">
        <f>SUM(BG231-BD231)</f>
        <v>-867.45782062443323</v>
      </c>
      <c r="BK231" s="4697"/>
      <c r="BL231" s="4698"/>
      <c r="BM231" s="4652">
        <f>SUM(BM224+BM227)</f>
        <v>36890.534128073195</v>
      </c>
      <c r="BN231" s="4653"/>
      <c r="BO231" s="4654"/>
      <c r="BP231" s="4587">
        <f>SUM(BP224+BP227)</f>
        <v>11016.230369999997</v>
      </c>
      <c r="BQ231" s="4588"/>
      <c r="BR231" s="4589"/>
      <c r="BS231" s="4587">
        <f t="shared" ref="BS231" si="1180">SUM(BS224+BS227)</f>
        <v>12406.596600000001</v>
      </c>
      <c r="BT231" s="4588"/>
      <c r="BU231" s="4589"/>
      <c r="BV231" s="4587">
        <f t="shared" ref="BV231" si="1181">SUM(BV224+BV227)</f>
        <v>13699.117990000001</v>
      </c>
      <c r="BW231" s="4588"/>
      <c r="BX231" s="4589"/>
      <c r="BY231" s="4587">
        <f t="shared" ref="BY231" si="1182">SUM(BY224+BY227)</f>
        <v>37121.944959999993</v>
      </c>
      <c r="BZ231" s="4588"/>
      <c r="CA231" s="4589"/>
      <c r="CB231" s="4649">
        <f t="shared" si="1165"/>
        <v>147326.26159869763</v>
      </c>
      <c r="CC231" s="4650"/>
      <c r="CD231" s="4651"/>
      <c r="CE231" s="4696">
        <f t="shared" si="1169"/>
        <v>146690.21461</v>
      </c>
      <c r="CF231" s="4697"/>
      <c r="CG231" s="4698"/>
      <c r="CH231" s="4696">
        <f>SUM(CE231-CB231)</f>
        <v>-636.04698869763524</v>
      </c>
      <c r="CI231" s="4697"/>
      <c r="CJ231" s="4698"/>
      <c r="CK231" s="2822"/>
      <c r="CL231" s="2822"/>
      <c r="CM231" s="2822"/>
      <c r="CN231" s="2822"/>
    </row>
    <row r="232" spans="1:92" ht="18.75" x14ac:dyDescent="0.3">
      <c r="A232" s="2884"/>
      <c r="B232" s="2884"/>
      <c r="C232" s="2884"/>
      <c r="D232" s="2884"/>
      <c r="E232" s="2884"/>
      <c r="F232" s="2884"/>
      <c r="G232" s="2884"/>
      <c r="H232" s="2884"/>
      <c r="I232" s="2884"/>
      <c r="J232" s="2884"/>
      <c r="K232" s="2884"/>
      <c r="L232" s="2884"/>
      <c r="M232" s="2884"/>
      <c r="N232" s="2904"/>
      <c r="O232" s="2904"/>
      <c r="P232" s="2904"/>
      <c r="Q232" s="2904"/>
      <c r="R232" s="2904"/>
      <c r="S232" s="2904"/>
      <c r="T232" s="2904"/>
      <c r="U232" s="2904"/>
      <c r="V232" s="2904"/>
      <c r="W232" s="2904"/>
      <c r="X232" s="2904"/>
      <c r="Y232" s="2904"/>
      <c r="Z232" s="2904"/>
      <c r="AA232" s="2904"/>
      <c r="AB232" s="2904"/>
      <c r="AC232" s="2904"/>
      <c r="AD232" s="2904"/>
      <c r="AE232" s="2904"/>
      <c r="AF232" s="2904"/>
      <c r="AG232" s="2904"/>
      <c r="AH232" s="2904"/>
      <c r="AI232" s="2904"/>
      <c r="AJ232" s="2904"/>
      <c r="AK232" s="2904"/>
      <c r="AL232" s="2904"/>
      <c r="AM232" s="2904"/>
      <c r="AN232" s="2904"/>
      <c r="AO232" s="2904"/>
      <c r="AP232" s="2904"/>
      <c r="AQ232" s="2904"/>
      <c r="AR232" s="2904"/>
      <c r="AS232" s="2904"/>
      <c r="AT232" s="2904"/>
      <c r="AU232" s="2904"/>
      <c r="AV232" s="2904"/>
      <c r="AW232" s="2904"/>
      <c r="AX232" s="2904"/>
      <c r="AY232" s="2904"/>
      <c r="AZ232" s="2904"/>
      <c r="BA232" s="2904"/>
      <c r="BB232" s="2904"/>
      <c r="BC232" s="2904"/>
      <c r="BD232" s="2904"/>
      <c r="BE232" s="2904"/>
      <c r="BF232" s="2904"/>
      <c r="BG232" s="2904"/>
      <c r="BH232" s="2904"/>
      <c r="BI232" s="2904"/>
      <c r="BJ232" s="2904"/>
      <c r="BK232" s="2904"/>
      <c r="BL232" s="2904"/>
      <c r="BM232" s="2904"/>
      <c r="BN232" s="2904"/>
      <c r="BO232" s="2904"/>
      <c r="BP232" s="2904"/>
      <c r="BQ232" s="2904"/>
      <c r="BR232" s="2904"/>
      <c r="BS232" s="2904"/>
      <c r="BT232" s="2904"/>
      <c r="BU232" s="2904"/>
      <c r="BV232" s="2904"/>
      <c r="BW232" s="2904"/>
      <c r="BX232" s="2904"/>
      <c r="BY232" s="2904"/>
      <c r="BZ232" s="2904"/>
      <c r="CA232" s="2904"/>
      <c r="CB232" s="2904"/>
      <c r="CC232" s="2904"/>
      <c r="CD232" s="2904"/>
      <c r="CE232" s="2904"/>
      <c r="CF232" s="2904"/>
      <c r="CG232" s="2904"/>
      <c r="CH232" s="2904"/>
      <c r="CI232" s="2822"/>
      <c r="CJ232" s="2822"/>
      <c r="CK232" s="2822"/>
      <c r="CL232" s="2822"/>
      <c r="CM232" s="2822"/>
      <c r="CN232" s="2822"/>
    </row>
    <row r="233" spans="1:92" ht="20.25" x14ac:dyDescent="0.3">
      <c r="A233" s="2817" t="s">
        <v>3967</v>
      </c>
      <c r="B233" s="2822"/>
      <c r="C233" s="2822"/>
      <c r="D233" s="2822"/>
      <c r="E233" s="2822"/>
      <c r="F233" s="2822"/>
      <c r="G233" s="2822"/>
      <c r="H233" s="2822"/>
      <c r="I233" s="2822"/>
      <c r="J233" s="2822"/>
      <c r="K233" s="2822"/>
      <c r="L233" s="2822"/>
      <c r="M233" s="2822"/>
      <c r="N233" s="2822"/>
      <c r="O233" s="2822"/>
      <c r="P233" s="2822"/>
      <c r="Q233" s="2822"/>
      <c r="R233" s="2822"/>
      <c r="S233" s="2822"/>
      <c r="T233" s="2822"/>
      <c r="U233" s="2822"/>
      <c r="V233" s="2822"/>
      <c r="W233" s="2822"/>
      <c r="X233" s="2822"/>
      <c r="Y233" s="2822"/>
      <c r="Z233" s="2822"/>
      <c r="AA233" s="2822"/>
      <c r="AB233" s="2822"/>
      <c r="AC233" s="2822"/>
      <c r="AD233" s="2822"/>
      <c r="AE233" s="2822"/>
      <c r="AF233" s="2822"/>
      <c r="AG233" s="2822"/>
      <c r="AH233" s="2822"/>
      <c r="AI233" s="2822"/>
      <c r="AJ233" s="2822"/>
      <c r="AK233" s="2822"/>
      <c r="AL233" s="2822"/>
      <c r="AM233" s="2822"/>
      <c r="AN233" s="2822"/>
      <c r="AO233" s="2822"/>
      <c r="AP233" s="2822"/>
      <c r="AQ233" s="2822"/>
      <c r="AR233" s="2822"/>
      <c r="AS233" s="2822"/>
      <c r="AT233" s="2822"/>
      <c r="AU233" s="2822"/>
      <c r="AV233" s="2822"/>
      <c r="AW233" s="2822"/>
      <c r="AX233" s="2822"/>
      <c r="AY233" s="2822"/>
      <c r="AZ233" s="2822"/>
      <c r="BA233" s="2822"/>
      <c r="BB233" s="2822"/>
      <c r="BC233" s="2822"/>
      <c r="BD233" s="2822"/>
      <c r="BE233" s="2822"/>
      <c r="BF233" s="2822"/>
      <c r="BG233" s="2822"/>
      <c r="BH233" s="2822"/>
      <c r="BI233" s="2822"/>
      <c r="BJ233" s="2822"/>
      <c r="BK233" s="2822"/>
      <c r="BL233" s="2822"/>
      <c r="BM233" s="2822"/>
      <c r="BN233" s="2822"/>
      <c r="BO233" s="2822"/>
      <c r="BP233" s="2822"/>
      <c r="BQ233" s="2822"/>
      <c r="BR233" s="2822"/>
      <c r="BS233" s="2822"/>
      <c r="BT233" s="2822"/>
      <c r="BU233" s="2822"/>
      <c r="BV233" s="2822"/>
      <c r="BW233" s="2822"/>
      <c r="BX233" s="2822"/>
      <c r="BY233" s="2822"/>
      <c r="BZ233" s="2822"/>
      <c r="CA233" s="2822"/>
      <c r="CB233" s="2822"/>
      <c r="CC233" s="2822"/>
      <c r="CD233" s="2822"/>
      <c r="CE233" s="2822"/>
      <c r="CF233" s="2822"/>
      <c r="CG233" s="2822"/>
      <c r="CH233" s="2822"/>
      <c r="CI233" s="2822"/>
      <c r="CJ233" s="2822"/>
      <c r="CK233" s="2822"/>
      <c r="CL233" s="2822"/>
      <c r="CM233" s="2822"/>
      <c r="CN233" s="2822"/>
    </row>
    <row r="234" spans="1:92" ht="20.25" x14ac:dyDescent="0.3">
      <c r="A234" s="2823"/>
      <c r="B234" s="2822"/>
      <c r="C234" s="2822"/>
      <c r="D234" s="2822"/>
      <c r="E234" s="2822"/>
      <c r="F234" s="2822"/>
      <c r="G234" s="2822"/>
      <c r="H234" s="2822"/>
      <c r="I234" s="2822"/>
      <c r="J234" s="2822"/>
      <c r="K234" s="2822"/>
      <c r="L234" s="2822"/>
      <c r="M234" s="2822"/>
      <c r="N234" s="2822"/>
      <c r="O234" s="2822"/>
      <c r="P234" s="2822"/>
      <c r="Q234" s="2822"/>
      <c r="R234" s="2822"/>
      <c r="S234" s="2822"/>
      <c r="T234" s="2822"/>
      <c r="U234" s="2822"/>
      <c r="V234" s="2822"/>
      <c r="W234" s="2822"/>
      <c r="X234" s="2822"/>
      <c r="Y234" s="2822"/>
      <c r="Z234" s="2822"/>
      <c r="AA234" s="2822"/>
      <c r="AB234" s="2822"/>
      <c r="AC234" s="2822"/>
      <c r="AD234" s="2822"/>
      <c r="AE234" s="2822"/>
      <c r="AF234" s="2822"/>
      <c r="AG234" s="2822"/>
      <c r="AH234" s="2822"/>
      <c r="AI234" s="2822"/>
      <c r="AJ234" s="2822"/>
      <c r="AK234" s="2822"/>
      <c r="AL234" s="2822"/>
      <c r="AM234" s="2822"/>
      <c r="AN234" s="2822"/>
      <c r="AO234" s="2822"/>
      <c r="AP234" s="2822"/>
      <c r="AQ234" s="2822"/>
      <c r="AR234" s="2822"/>
      <c r="AS234" s="2822"/>
      <c r="AT234" s="2822"/>
      <c r="AU234" s="2822"/>
      <c r="AV234" s="2822"/>
      <c r="AW234" s="2822"/>
      <c r="AX234" s="2822"/>
      <c r="AY234" s="2822"/>
      <c r="AZ234" s="2822"/>
      <c r="BA234" s="2822"/>
      <c r="BB234" s="2822"/>
      <c r="BC234" s="2822"/>
      <c r="BD234" s="2822"/>
      <c r="BE234" s="2822"/>
      <c r="BF234" s="2822"/>
      <c r="BG234" s="2822"/>
      <c r="BH234" s="2822"/>
      <c r="BI234" s="2822"/>
      <c r="BJ234" s="2822"/>
      <c r="BK234" s="2822"/>
      <c r="BL234" s="2822"/>
      <c r="BM234" s="2822"/>
      <c r="BN234" s="2822"/>
      <c r="BO234" s="2822"/>
      <c r="BP234" s="2822"/>
      <c r="BQ234" s="2822"/>
      <c r="BR234" s="2822"/>
      <c r="BS234" s="2822"/>
      <c r="BT234" s="2822"/>
      <c r="BU234" s="2822"/>
      <c r="BV234" s="2822"/>
      <c r="BW234" s="2822"/>
      <c r="BX234" s="2822"/>
      <c r="BY234" s="2822"/>
      <c r="BZ234" s="2822"/>
      <c r="CA234" s="2822"/>
      <c r="CB234" s="2822"/>
      <c r="CC234" s="2822"/>
      <c r="CD234" s="2822"/>
      <c r="CE234" s="2822"/>
      <c r="CF234" s="2822"/>
      <c r="CG234" s="2822"/>
      <c r="CH234" s="2822"/>
      <c r="CI234" s="2822"/>
      <c r="CJ234" s="2822"/>
      <c r="CK234" s="2822"/>
      <c r="CL234" s="2822"/>
      <c r="CM234" s="2822"/>
      <c r="CN234" s="2822"/>
    </row>
    <row r="235" spans="1:92" ht="18.75" customHeight="1" x14ac:dyDescent="0.2">
      <c r="A235" s="4638" t="s">
        <v>527</v>
      </c>
      <c r="B235" s="4622" t="s">
        <v>3716</v>
      </c>
      <c r="C235" s="4623"/>
      <c r="D235" s="4623"/>
      <c r="E235" s="4623"/>
      <c r="F235" s="4623"/>
      <c r="G235" s="4623"/>
      <c r="H235" s="4623"/>
      <c r="I235" s="4623"/>
      <c r="J235" s="4623"/>
      <c r="K235" s="4623"/>
      <c r="L235" s="4623"/>
      <c r="M235" s="4623"/>
      <c r="N235" s="4623"/>
      <c r="O235" s="4623"/>
      <c r="P235" s="4624"/>
      <c r="Q235" s="4613" t="s">
        <v>3717</v>
      </c>
      <c r="R235" s="4614"/>
      <c r="S235" s="4614"/>
      <c r="T235" s="4614"/>
      <c r="U235" s="4614"/>
      <c r="V235" s="4614"/>
      <c r="W235" s="4614"/>
      <c r="X235" s="4614"/>
      <c r="Y235" s="4614"/>
      <c r="Z235" s="4614"/>
      <c r="AA235" s="4614"/>
      <c r="AB235" s="4614"/>
      <c r="AC235" s="4614"/>
      <c r="AD235" s="4568"/>
      <c r="AE235" s="4569"/>
      <c r="AF235" s="4609" t="s">
        <v>3718</v>
      </c>
      <c r="AG235" s="4610"/>
      <c r="AH235" s="4610"/>
      <c r="AI235" s="4610"/>
      <c r="AJ235" s="4610"/>
      <c r="AK235" s="4610"/>
      <c r="AL235" s="4610"/>
      <c r="AM235" s="4625"/>
      <c r="AN235" s="4626"/>
      <c r="AO235" s="4622" t="s">
        <v>3719</v>
      </c>
      <c r="AP235" s="4623"/>
      <c r="AQ235" s="4623"/>
      <c r="AR235" s="4623"/>
      <c r="AS235" s="4623"/>
      <c r="AT235" s="4623"/>
      <c r="AU235" s="4623"/>
      <c r="AV235" s="4623"/>
      <c r="AW235" s="4623"/>
      <c r="AX235" s="4623"/>
      <c r="AY235" s="4623"/>
      <c r="AZ235" s="4623"/>
      <c r="BA235" s="4623"/>
      <c r="BB235" s="4625"/>
      <c r="BC235" s="4626"/>
      <c r="BD235" s="4609" t="s">
        <v>3720</v>
      </c>
      <c r="BE235" s="4610"/>
      <c r="BF235" s="4610"/>
      <c r="BG235" s="4610"/>
      <c r="BH235" s="4610"/>
      <c r="BI235" s="4610"/>
      <c r="BJ235" s="4610"/>
      <c r="BK235" s="4625"/>
      <c r="BL235" s="4626"/>
      <c r="BM235" s="4616" t="s">
        <v>3721</v>
      </c>
      <c r="BN235" s="4617"/>
      <c r="BO235" s="4617"/>
      <c r="BP235" s="4617"/>
      <c r="BQ235" s="4617"/>
      <c r="BR235" s="4617"/>
      <c r="BS235" s="4617"/>
      <c r="BT235" s="4617"/>
      <c r="BU235" s="4617"/>
      <c r="BV235" s="4617"/>
      <c r="BW235" s="4617"/>
      <c r="BX235" s="4617"/>
      <c r="BY235" s="4617"/>
      <c r="BZ235" s="4687"/>
      <c r="CA235" s="4687"/>
      <c r="CB235" s="4609" t="s">
        <v>1992</v>
      </c>
      <c r="CC235" s="4610"/>
      <c r="CD235" s="4610"/>
      <c r="CE235" s="4610"/>
      <c r="CF235" s="4610"/>
      <c r="CG235" s="4610"/>
      <c r="CH235" s="4610"/>
      <c r="CI235" s="4611"/>
      <c r="CJ235" s="4612"/>
      <c r="CK235" s="2822"/>
      <c r="CL235" s="2822"/>
      <c r="CM235" s="2822"/>
      <c r="CN235" s="2822"/>
    </row>
    <row r="236" spans="1:92" ht="18.75" customHeight="1" x14ac:dyDescent="0.2">
      <c r="A236" s="4639"/>
      <c r="B236" s="4613" t="s">
        <v>3573</v>
      </c>
      <c r="C236" s="4614"/>
      <c r="D236" s="4615"/>
      <c r="E236" s="4616" t="s">
        <v>571</v>
      </c>
      <c r="F236" s="4617"/>
      <c r="G236" s="4618"/>
      <c r="H236" s="4616" t="s">
        <v>572</v>
      </c>
      <c r="I236" s="4617"/>
      <c r="J236" s="4618"/>
      <c r="K236" s="4616" t="s">
        <v>573</v>
      </c>
      <c r="L236" s="4617"/>
      <c r="M236" s="4618"/>
      <c r="N236" s="4613" t="s">
        <v>1677</v>
      </c>
      <c r="O236" s="4614"/>
      <c r="P236" s="4615"/>
      <c r="Q236" s="4613" t="s">
        <v>3573</v>
      </c>
      <c r="R236" s="4614"/>
      <c r="S236" s="4615"/>
      <c r="T236" s="4619" t="s">
        <v>3722</v>
      </c>
      <c r="U236" s="4620"/>
      <c r="V236" s="4621"/>
      <c r="W236" s="4619" t="s">
        <v>575</v>
      </c>
      <c r="X236" s="4620"/>
      <c r="Y236" s="4621"/>
      <c r="Z236" s="4619" t="s">
        <v>576</v>
      </c>
      <c r="AA236" s="4620"/>
      <c r="AB236" s="4621"/>
      <c r="AC236" s="4613" t="s">
        <v>1677</v>
      </c>
      <c r="AD236" s="4614"/>
      <c r="AE236" s="4615"/>
      <c r="AF236" s="4627" t="s">
        <v>3573</v>
      </c>
      <c r="AG236" s="4628"/>
      <c r="AH236" s="4629"/>
      <c r="AI236" s="4627" t="s">
        <v>1677</v>
      </c>
      <c r="AJ236" s="4628"/>
      <c r="AK236" s="4629"/>
      <c r="AL236" s="4627" t="s">
        <v>3723</v>
      </c>
      <c r="AM236" s="4628"/>
      <c r="AN236" s="4629"/>
      <c r="AO236" s="4643" t="s">
        <v>3573</v>
      </c>
      <c r="AP236" s="4644"/>
      <c r="AQ236" s="4645"/>
      <c r="AR236" s="4646" t="s">
        <v>577</v>
      </c>
      <c r="AS236" s="4647"/>
      <c r="AT236" s="4648"/>
      <c r="AU236" s="4646" t="s">
        <v>578</v>
      </c>
      <c r="AV236" s="4647"/>
      <c r="AW236" s="4648"/>
      <c r="AX236" s="4646" t="s">
        <v>579</v>
      </c>
      <c r="AY236" s="4647"/>
      <c r="AZ236" s="4648"/>
      <c r="BA236" s="4643" t="s">
        <v>1677</v>
      </c>
      <c r="BB236" s="4644"/>
      <c r="BC236" s="4645"/>
      <c r="BD236" s="4640" t="s">
        <v>3573</v>
      </c>
      <c r="BE236" s="4641"/>
      <c r="BF236" s="4642"/>
      <c r="BG236" s="4640" t="s">
        <v>1677</v>
      </c>
      <c r="BH236" s="4641"/>
      <c r="BI236" s="4642"/>
      <c r="BJ236" s="4640" t="s">
        <v>3723</v>
      </c>
      <c r="BK236" s="4641"/>
      <c r="BL236" s="4642"/>
      <c r="BM236" s="4684" t="s">
        <v>3573</v>
      </c>
      <c r="BN236" s="4685"/>
      <c r="BO236" s="4686"/>
      <c r="BP236" s="4630" t="s">
        <v>580</v>
      </c>
      <c r="BQ236" s="4631"/>
      <c r="BR236" s="4632"/>
      <c r="BS236" s="4630" t="s">
        <v>581</v>
      </c>
      <c r="BT236" s="4631"/>
      <c r="BU236" s="4632"/>
      <c r="BV236" s="4630" t="s">
        <v>582</v>
      </c>
      <c r="BW236" s="4631"/>
      <c r="BX236" s="4632"/>
      <c r="BY236" s="4684" t="s">
        <v>1677</v>
      </c>
      <c r="BZ236" s="4685"/>
      <c r="CA236" s="4685"/>
      <c r="CB236" s="4633" t="s">
        <v>3573</v>
      </c>
      <c r="CC236" s="4634"/>
      <c r="CD236" s="4635"/>
      <c r="CE236" s="4633" t="s">
        <v>1677</v>
      </c>
      <c r="CF236" s="4634"/>
      <c r="CG236" s="4635"/>
      <c r="CH236" s="4633" t="s">
        <v>3723</v>
      </c>
      <c r="CI236" s="4636"/>
      <c r="CJ236" s="4637"/>
      <c r="CK236" s="2822"/>
      <c r="CL236" s="2822"/>
      <c r="CM236" s="2822"/>
      <c r="CN236" s="2822"/>
    </row>
    <row r="237" spans="1:92" ht="18.75" customHeight="1" x14ac:dyDescent="0.2">
      <c r="A237" s="4639"/>
      <c r="B237" s="2832" t="s">
        <v>616</v>
      </c>
      <c r="C237" s="2832" t="s">
        <v>3724</v>
      </c>
      <c r="D237" s="2832" t="s">
        <v>3660</v>
      </c>
      <c r="E237" s="2832" t="s">
        <v>616</v>
      </c>
      <c r="F237" s="2832" t="s">
        <v>3724</v>
      </c>
      <c r="G237" s="2832" t="s">
        <v>3660</v>
      </c>
      <c r="H237" s="2832" t="s">
        <v>616</v>
      </c>
      <c r="I237" s="2832" t="s">
        <v>3724</v>
      </c>
      <c r="J237" s="2832" t="s">
        <v>3660</v>
      </c>
      <c r="K237" s="2832" t="s">
        <v>616</v>
      </c>
      <c r="L237" s="2832" t="s">
        <v>3724</v>
      </c>
      <c r="M237" s="2832" t="s">
        <v>3660</v>
      </c>
      <c r="N237" s="2832" t="s">
        <v>616</v>
      </c>
      <c r="O237" s="2832" t="s">
        <v>3724</v>
      </c>
      <c r="P237" s="2832" t="s">
        <v>3660</v>
      </c>
      <c r="Q237" s="2832" t="s">
        <v>616</v>
      </c>
      <c r="R237" s="2832" t="s">
        <v>3724</v>
      </c>
      <c r="S237" s="2832" t="s">
        <v>3660</v>
      </c>
      <c r="T237" s="2832" t="s">
        <v>616</v>
      </c>
      <c r="U237" s="2832" t="s">
        <v>3724</v>
      </c>
      <c r="V237" s="2832" t="s">
        <v>3660</v>
      </c>
      <c r="W237" s="2832" t="s">
        <v>616</v>
      </c>
      <c r="X237" s="2832" t="s">
        <v>3724</v>
      </c>
      <c r="Y237" s="2832" t="s">
        <v>3660</v>
      </c>
      <c r="Z237" s="2832" t="s">
        <v>616</v>
      </c>
      <c r="AA237" s="2832" t="s">
        <v>3724</v>
      </c>
      <c r="AB237" s="2832" t="s">
        <v>3660</v>
      </c>
      <c r="AC237" s="2832" t="s">
        <v>616</v>
      </c>
      <c r="AD237" s="2832" t="s">
        <v>3724</v>
      </c>
      <c r="AE237" s="2832" t="s">
        <v>3660</v>
      </c>
      <c r="AF237" s="2833" t="s">
        <v>616</v>
      </c>
      <c r="AG237" s="2833" t="s">
        <v>3724</v>
      </c>
      <c r="AH237" s="2833" t="s">
        <v>3660</v>
      </c>
      <c r="AI237" s="2833" t="s">
        <v>616</v>
      </c>
      <c r="AJ237" s="2833" t="s">
        <v>3724</v>
      </c>
      <c r="AK237" s="2833" t="s">
        <v>3660</v>
      </c>
      <c r="AL237" s="2833" t="s">
        <v>616</v>
      </c>
      <c r="AM237" s="2833" t="s">
        <v>3724</v>
      </c>
      <c r="AN237" s="2833" t="s">
        <v>3660</v>
      </c>
      <c r="AO237" s="2832" t="s">
        <v>616</v>
      </c>
      <c r="AP237" s="2832" t="s">
        <v>3724</v>
      </c>
      <c r="AQ237" s="2832" t="s">
        <v>3660</v>
      </c>
      <c r="AR237" s="2832" t="s">
        <v>616</v>
      </c>
      <c r="AS237" s="2832" t="s">
        <v>3724</v>
      </c>
      <c r="AT237" s="2832" t="s">
        <v>3660</v>
      </c>
      <c r="AU237" s="2832" t="s">
        <v>616</v>
      </c>
      <c r="AV237" s="2832" t="s">
        <v>3724</v>
      </c>
      <c r="AW237" s="2832" t="s">
        <v>3660</v>
      </c>
      <c r="AX237" s="2832" t="s">
        <v>616</v>
      </c>
      <c r="AY237" s="2832" t="s">
        <v>3724</v>
      </c>
      <c r="AZ237" s="2832" t="s">
        <v>3660</v>
      </c>
      <c r="BA237" s="2832" t="s">
        <v>616</v>
      </c>
      <c r="BB237" s="2832" t="s">
        <v>3724</v>
      </c>
      <c r="BC237" s="2832" t="s">
        <v>3660</v>
      </c>
      <c r="BD237" s="2833" t="s">
        <v>616</v>
      </c>
      <c r="BE237" s="2833" t="s">
        <v>3724</v>
      </c>
      <c r="BF237" s="2833" t="s">
        <v>3660</v>
      </c>
      <c r="BG237" s="2833" t="s">
        <v>616</v>
      </c>
      <c r="BH237" s="2833" t="s">
        <v>3724</v>
      </c>
      <c r="BI237" s="2833" t="s">
        <v>3660</v>
      </c>
      <c r="BJ237" s="2833" t="s">
        <v>616</v>
      </c>
      <c r="BK237" s="2833" t="s">
        <v>3724</v>
      </c>
      <c r="BL237" s="2833" t="s">
        <v>3660</v>
      </c>
      <c r="BM237" s="2832" t="s">
        <v>616</v>
      </c>
      <c r="BN237" s="2832" t="s">
        <v>3724</v>
      </c>
      <c r="BO237" s="2832" t="s">
        <v>3660</v>
      </c>
      <c r="BP237" s="2832" t="s">
        <v>616</v>
      </c>
      <c r="BQ237" s="2832" t="s">
        <v>3724</v>
      </c>
      <c r="BR237" s="2832" t="s">
        <v>3660</v>
      </c>
      <c r="BS237" s="2832" t="s">
        <v>616</v>
      </c>
      <c r="BT237" s="2832" t="s">
        <v>3724</v>
      </c>
      <c r="BU237" s="2832" t="s">
        <v>3660</v>
      </c>
      <c r="BV237" s="2832" t="s">
        <v>616</v>
      </c>
      <c r="BW237" s="2832" t="s">
        <v>3724</v>
      </c>
      <c r="BX237" s="2832" t="s">
        <v>3660</v>
      </c>
      <c r="BY237" s="2832" t="s">
        <v>616</v>
      </c>
      <c r="BZ237" s="2832" t="s">
        <v>3724</v>
      </c>
      <c r="CA237" s="2834" t="s">
        <v>3660</v>
      </c>
      <c r="CB237" s="2833" t="s">
        <v>616</v>
      </c>
      <c r="CC237" s="2833" t="s">
        <v>3724</v>
      </c>
      <c r="CD237" s="2833" t="s">
        <v>3660</v>
      </c>
      <c r="CE237" s="2833" t="s">
        <v>616</v>
      </c>
      <c r="CF237" s="2833" t="s">
        <v>3724</v>
      </c>
      <c r="CG237" s="2833" t="s">
        <v>3660</v>
      </c>
      <c r="CH237" s="2833" t="s">
        <v>616</v>
      </c>
      <c r="CI237" s="2833" t="s">
        <v>3724</v>
      </c>
      <c r="CJ237" s="2833" t="s">
        <v>3660</v>
      </c>
      <c r="CK237" s="2822"/>
      <c r="CL237" s="2822"/>
      <c r="CM237" s="2822"/>
      <c r="CN237" s="2822"/>
    </row>
    <row r="238" spans="1:92" ht="18.75" x14ac:dyDescent="0.3">
      <c r="A238" s="2873" t="s">
        <v>71</v>
      </c>
      <c r="B238" s="2888">
        <f t="shared" ref="B238" si="1183">SUM(B38+B72+B107+B131)</f>
        <v>1843.5730859019936</v>
      </c>
      <c r="C238" s="2888">
        <f t="shared" ref="C238:AK238" si="1184">SUM(C38+C72+C107+C131)</f>
        <v>1843.5730859019936</v>
      </c>
      <c r="D238" s="2888">
        <f t="shared" si="1184"/>
        <v>0</v>
      </c>
      <c r="E238" s="2889">
        <f t="shared" si="1184"/>
        <v>873.82999999999993</v>
      </c>
      <c r="F238" s="2889">
        <f t="shared" si="1184"/>
        <v>873.82999999999993</v>
      </c>
      <c r="G238" s="2889">
        <f t="shared" si="1184"/>
        <v>0</v>
      </c>
      <c r="H238" s="2889">
        <f t="shared" si="1184"/>
        <v>678.50599999999997</v>
      </c>
      <c r="I238" s="2889">
        <f t="shared" si="1184"/>
        <v>678.50599999999997</v>
      </c>
      <c r="J238" s="2889">
        <f t="shared" si="1184"/>
        <v>0</v>
      </c>
      <c r="K238" s="2889">
        <f t="shared" si="1184"/>
        <v>747.46</v>
      </c>
      <c r="L238" s="2889">
        <f t="shared" si="1184"/>
        <v>747.46</v>
      </c>
      <c r="M238" s="2889">
        <f t="shared" si="1184"/>
        <v>0</v>
      </c>
      <c r="N238" s="2889">
        <f t="shared" si="1184"/>
        <v>2299.7959999999998</v>
      </c>
      <c r="O238" s="2889">
        <f t="shared" si="1184"/>
        <v>2299.7959999999998</v>
      </c>
      <c r="P238" s="2889">
        <f t="shared" si="1184"/>
        <v>0</v>
      </c>
      <c r="Q238" s="2888">
        <f t="shared" si="1184"/>
        <v>1843.5730859019936</v>
      </c>
      <c r="R238" s="2888">
        <f t="shared" si="1184"/>
        <v>1843.5730859019936</v>
      </c>
      <c r="S238" s="2888">
        <f t="shared" si="1184"/>
        <v>0</v>
      </c>
      <c r="T238" s="2889">
        <f t="shared" si="1184"/>
        <v>654.1</v>
      </c>
      <c r="U238" s="2889">
        <f t="shared" si="1184"/>
        <v>654.1</v>
      </c>
      <c r="V238" s="2889">
        <f t="shared" si="1184"/>
        <v>0</v>
      </c>
      <c r="W238" s="2889">
        <f t="shared" si="1184"/>
        <v>700.14</v>
      </c>
      <c r="X238" s="2889">
        <f t="shared" si="1184"/>
        <v>700.14</v>
      </c>
      <c r="Y238" s="2889">
        <f t="shared" si="1184"/>
        <v>0</v>
      </c>
      <c r="Z238" s="2889">
        <f t="shared" si="1184"/>
        <v>586.76</v>
      </c>
      <c r="AA238" s="2889">
        <f t="shared" si="1184"/>
        <v>586.76</v>
      </c>
      <c r="AB238" s="2889">
        <f t="shared" si="1184"/>
        <v>0</v>
      </c>
      <c r="AC238" s="2889">
        <f t="shared" si="1184"/>
        <v>1941</v>
      </c>
      <c r="AD238" s="2889">
        <f t="shared" si="1184"/>
        <v>1941</v>
      </c>
      <c r="AE238" s="2889">
        <f t="shared" si="1184"/>
        <v>0</v>
      </c>
      <c r="AF238" s="2890">
        <f t="shared" si="1184"/>
        <v>3687.1461718039873</v>
      </c>
      <c r="AG238" s="2890">
        <f t="shared" si="1184"/>
        <v>3687.1461718039873</v>
      </c>
      <c r="AH238" s="2890">
        <f t="shared" si="1184"/>
        <v>0</v>
      </c>
      <c r="AI238" s="2891">
        <f t="shared" si="1184"/>
        <v>4240.7960000000003</v>
      </c>
      <c r="AJ238" s="2891">
        <f t="shared" si="1184"/>
        <v>4240.7960000000003</v>
      </c>
      <c r="AK238" s="2891">
        <f t="shared" si="1184"/>
        <v>0</v>
      </c>
      <c r="AL238" s="2847">
        <f t="shared" ref="AL238:AL270" si="1185">SUM(AI238-AF238)</f>
        <v>553.649828196013</v>
      </c>
      <c r="AM238" s="2847">
        <f t="shared" ref="AM238:AN270" si="1186">SUM(AJ238-AG238)</f>
        <v>553.649828196013</v>
      </c>
      <c r="AN238" s="2847">
        <f t="shared" si="1186"/>
        <v>0</v>
      </c>
      <c r="AO238" s="2888">
        <f t="shared" ref="AO238:BI238" si="1187">SUM(AO38+AO72+AO107+AO131)</f>
        <v>1843.5730859019936</v>
      </c>
      <c r="AP238" s="2888">
        <f t="shared" si="1187"/>
        <v>1843.5730859019936</v>
      </c>
      <c r="AQ238" s="2888">
        <f t="shared" si="1187"/>
        <v>0</v>
      </c>
      <c r="AR238" s="2889">
        <f t="shared" si="1187"/>
        <v>744.13</v>
      </c>
      <c r="AS238" s="2889">
        <f t="shared" si="1187"/>
        <v>744.13</v>
      </c>
      <c r="AT238" s="2889">
        <f t="shared" si="1187"/>
        <v>0</v>
      </c>
      <c r="AU238" s="2889">
        <f t="shared" si="1187"/>
        <v>601.28899999999999</v>
      </c>
      <c r="AV238" s="2889">
        <f t="shared" si="1187"/>
        <v>601.28899999999999</v>
      </c>
      <c r="AW238" s="2889">
        <f t="shared" si="1187"/>
        <v>0</v>
      </c>
      <c r="AX238" s="2889">
        <f t="shared" si="1187"/>
        <v>663.62599999999998</v>
      </c>
      <c r="AY238" s="2889">
        <f t="shared" si="1187"/>
        <v>663.62599999999998</v>
      </c>
      <c r="AZ238" s="2889">
        <f t="shared" si="1187"/>
        <v>0</v>
      </c>
      <c r="BA238" s="2889">
        <f t="shared" si="1187"/>
        <v>2009.0450000000001</v>
      </c>
      <c r="BB238" s="2889">
        <f t="shared" si="1187"/>
        <v>2009.0450000000001</v>
      </c>
      <c r="BC238" s="2889">
        <f t="shared" si="1187"/>
        <v>0</v>
      </c>
      <c r="BD238" s="2890">
        <f t="shared" si="1187"/>
        <v>5530.7192577059814</v>
      </c>
      <c r="BE238" s="2890">
        <f t="shared" si="1187"/>
        <v>5530.7192577059814</v>
      </c>
      <c r="BF238" s="2890">
        <f t="shared" si="1187"/>
        <v>0</v>
      </c>
      <c r="BG238" s="2891">
        <f t="shared" si="1187"/>
        <v>6249.8410000000003</v>
      </c>
      <c r="BH238" s="2891">
        <f t="shared" si="1187"/>
        <v>6249.8410000000003</v>
      </c>
      <c r="BI238" s="2891">
        <f t="shared" si="1187"/>
        <v>0</v>
      </c>
      <c r="BJ238" s="2847">
        <f t="shared" ref="BJ238:BJ270" si="1188">SUM(BG238-BD238)</f>
        <v>719.12174229401899</v>
      </c>
      <c r="BK238" s="2847">
        <f t="shared" ref="BK238:BL270" si="1189">SUM(BH238-BE238)</f>
        <v>719.12174229401899</v>
      </c>
      <c r="BL238" s="2847">
        <f t="shared" si="1189"/>
        <v>0</v>
      </c>
      <c r="BM238" s="2888">
        <f t="shared" ref="BM238:CG238" si="1190">SUM(BM38+BM72+BM107+BM131)</f>
        <v>1843.5730859019936</v>
      </c>
      <c r="BN238" s="2888">
        <f t="shared" si="1190"/>
        <v>1843.5730859019936</v>
      </c>
      <c r="BO238" s="2888">
        <f t="shared" si="1190"/>
        <v>0</v>
      </c>
      <c r="BP238" s="2889">
        <f t="shared" si="1190"/>
        <v>677.49299999999994</v>
      </c>
      <c r="BQ238" s="2889">
        <f t="shared" si="1190"/>
        <v>677.49299999999994</v>
      </c>
      <c r="BR238" s="2889">
        <f t="shared" si="1190"/>
        <v>0</v>
      </c>
      <c r="BS238" s="2889">
        <f t="shared" si="1190"/>
        <v>687.63640000000009</v>
      </c>
      <c r="BT238" s="2889">
        <f t="shared" si="1190"/>
        <v>687.63640000000009</v>
      </c>
      <c r="BU238" s="2889">
        <f t="shared" si="1190"/>
        <v>0</v>
      </c>
      <c r="BV238" s="2889">
        <f t="shared" si="1190"/>
        <v>713.95399999999995</v>
      </c>
      <c r="BW238" s="2889">
        <f t="shared" si="1190"/>
        <v>713.95399999999995</v>
      </c>
      <c r="BX238" s="2889">
        <f t="shared" si="1190"/>
        <v>0</v>
      </c>
      <c r="BY238" s="2889">
        <f t="shared" si="1190"/>
        <v>2079.0834</v>
      </c>
      <c r="BZ238" s="2889">
        <f t="shared" si="1190"/>
        <v>2079.0834</v>
      </c>
      <c r="CA238" s="2889">
        <f t="shared" si="1190"/>
        <v>0</v>
      </c>
      <c r="CB238" s="2890">
        <f t="shared" si="1190"/>
        <v>7374.2923436079745</v>
      </c>
      <c r="CC238" s="2890">
        <f t="shared" si="1190"/>
        <v>7374.2923436079745</v>
      </c>
      <c r="CD238" s="2890">
        <f t="shared" si="1190"/>
        <v>0</v>
      </c>
      <c r="CE238" s="2891">
        <f t="shared" si="1190"/>
        <v>8328.9243999999999</v>
      </c>
      <c r="CF238" s="2891">
        <f t="shared" si="1190"/>
        <v>8328.9243999999999</v>
      </c>
      <c r="CG238" s="2891">
        <f t="shared" si="1190"/>
        <v>0</v>
      </c>
      <c r="CH238" s="2847">
        <f t="shared" ref="CH238:CH270" si="1191">SUM(CE238-CB238)</f>
        <v>954.63205639202533</v>
      </c>
      <c r="CI238" s="2847">
        <f t="shared" ref="CI238:CJ270" si="1192">SUM(CF238-CC238)</f>
        <v>954.63205639202533</v>
      </c>
      <c r="CJ238" s="2847">
        <f t="shared" si="1192"/>
        <v>0</v>
      </c>
      <c r="CK238" s="2822"/>
      <c r="CL238" s="2822"/>
      <c r="CM238" s="2822"/>
      <c r="CN238" s="2822"/>
    </row>
    <row r="239" spans="1:92" ht="18.75" x14ac:dyDescent="0.3">
      <c r="A239" s="2873" t="s">
        <v>114</v>
      </c>
      <c r="B239" s="2888">
        <f t="shared" ref="B239" si="1193">SUM(B39+B73+B108+B132)</f>
        <v>554.78242595548079</v>
      </c>
      <c r="C239" s="2888">
        <f t="shared" ref="C239:AK239" si="1194">SUM(C39+C73+C108+C132)</f>
        <v>554.78242595548079</v>
      </c>
      <c r="D239" s="2888">
        <f t="shared" si="1194"/>
        <v>0</v>
      </c>
      <c r="E239" s="2889">
        <f t="shared" si="1194"/>
        <v>263.89999999999998</v>
      </c>
      <c r="F239" s="2889">
        <f t="shared" si="1194"/>
        <v>263.89999999999998</v>
      </c>
      <c r="G239" s="2889">
        <f t="shared" si="1194"/>
        <v>0</v>
      </c>
      <c r="H239" s="2889">
        <f t="shared" si="1194"/>
        <v>203.57499999999999</v>
      </c>
      <c r="I239" s="2889">
        <f t="shared" si="1194"/>
        <v>203.57499999999999</v>
      </c>
      <c r="J239" s="2889">
        <f t="shared" si="1194"/>
        <v>0</v>
      </c>
      <c r="K239" s="2889">
        <f t="shared" si="1194"/>
        <v>222.73000000000002</v>
      </c>
      <c r="L239" s="2889">
        <f t="shared" si="1194"/>
        <v>222.73000000000002</v>
      </c>
      <c r="M239" s="2889">
        <f t="shared" si="1194"/>
        <v>0</v>
      </c>
      <c r="N239" s="2889">
        <f t="shared" si="1194"/>
        <v>690.20499999999993</v>
      </c>
      <c r="O239" s="2889">
        <f t="shared" si="1194"/>
        <v>690.20499999999993</v>
      </c>
      <c r="P239" s="2889">
        <f t="shared" si="1194"/>
        <v>0</v>
      </c>
      <c r="Q239" s="2888">
        <f t="shared" si="1194"/>
        <v>554.78242595548079</v>
      </c>
      <c r="R239" s="2888">
        <f t="shared" si="1194"/>
        <v>554.78242595548079</v>
      </c>
      <c r="S239" s="2888">
        <f t="shared" si="1194"/>
        <v>0</v>
      </c>
      <c r="T239" s="2889">
        <f t="shared" si="1194"/>
        <v>197.4</v>
      </c>
      <c r="U239" s="2889">
        <f t="shared" si="1194"/>
        <v>197.4</v>
      </c>
      <c r="V239" s="2889">
        <f t="shared" si="1194"/>
        <v>0</v>
      </c>
      <c r="W239" s="2889">
        <f t="shared" si="1194"/>
        <v>211.44</v>
      </c>
      <c r="X239" s="2889">
        <f t="shared" si="1194"/>
        <v>211.44</v>
      </c>
      <c r="Y239" s="2889">
        <f t="shared" si="1194"/>
        <v>0</v>
      </c>
      <c r="Z239" s="2889">
        <f t="shared" si="1194"/>
        <v>175.99</v>
      </c>
      <c r="AA239" s="2889">
        <f t="shared" si="1194"/>
        <v>175.99</v>
      </c>
      <c r="AB239" s="2889">
        <f t="shared" si="1194"/>
        <v>0</v>
      </c>
      <c r="AC239" s="2889">
        <f t="shared" si="1194"/>
        <v>584.83000000000004</v>
      </c>
      <c r="AD239" s="2889">
        <f t="shared" si="1194"/>
        <v>584.83000000000004</v>
      </c>
      <c r="AE239" s="2889">
        <f t="shared" si="1194"/>
        <v>0</v>
      </c>
      <c r="AF239" s="2890">
        <f t="shared" si="1194"/>
        <v>1109.5648519109616</v>
      </c>
      <c r="AG239" s="2890">
        <f t="shared" si="1194"/>
        <v>1109.5648519109616</v>
      </c>
      <c r="AH239" s="2890">
        <f t="shared" si="1194"/>
        <v>0</v>
      </c>
      <c r="AI239" s="2891">
        <f t="shared" si="1194"/>
        <v>1275.0350000000001</v>
      </c>
      <c r="AJ239" s="2891">
        <f t="shared" si="1194"/>
        <v>1275.0350000000001</v>
      </c>
      <c r="AK239" s="2891">
        <f t="shared" si="1194"/>
        <v>0</v>
      </c>
      <c r="AL239" s="2847">
        <f t="shared" si="1185"/>
        <v>165.4701480890385</v>
      </c>
      <c r="AM239" s="2847">
        <f t="shared" si="1186"/>
        <v>165.4701480890385</v>
      </c>
      <c r="AN239" s="2847">
        <f t="shared" si="1186"/>
        <v>0</v>
      </c>
      <c r="AO239" s="2888">
        <f t="shared" ref="AO239:BI239" si="1195">SUM(AO39+AO73+AO108+AO132)</f>
        <v>554.78242595548079</v>
      </c>
      <c r="AP239" s="2888">
        <f t="shared" si="1195"/>
        <v>554.78242595548079</v>
      </c>
      <c r="AQ239" s="2888">
        <f t="shared" si="1195"/>
        <v>0</v>
      </c>
      <c r="AR239" s="2889">
        <f t="shared" si="1195"/>
        <v>223.01999999999998</v>
      </c>
      <c r="AS239" s="2889">
        <f t="shared" si="1195"/>
        <v>223.01999999999998</v>
      </c>
      <c r="AT239" s="2889">
        <f t="shared" si="1195"/>
        <v>0</v>
      </c>
      <c r="AU239" s="2889">
        <f t="shared" si="1195"/>
        <v>181.541</v>
      </c>
      <c r="AV239" s="2889">
        <f t="shared" si="1195"/>
        <v>181.541</v>
      </c>
      <c r="AW239" s="2889">
        <f t="shared" si="1195"/>
        <v>0</v>
      </c>
      <c r="AX239" s="2889">
        <f t="shared" si="1195"/>
        <v>199.077</v>
      </c>
      <c r="AY239" s="2889">
        <f t="shared" si="1195"/>
        <v>199.077</v>
      </c>
      <c r="AZ239" s="2889">
        <f t="shared" si="1195"/>
        <v>0</v>
      </c>
      <c r="BA239" s="2889">
        <f t="shared" si="1195"/>
        <v>603.63799999999992</v>
      </c>
      <c r="BB239" s="2889">
        <f t="shared" si="1195"/>
        <v>603.63799999999992</v>
      </c>
      <c r="BC239" s="2889">
        <f t="shared" si="1195"/>
        <v>0</v>
      </c>
      <c r="BD239" s="2890">
        <f t="shared" si="1195"/>
        <v>1664.3472778664425</v>
      </c>
      <c r="BE239" s="2890">
        <f t="shared" si="1195"/>
        <v>1664.3472778664425</v>
      </c>
      <c r="BF239" s="2890">
        <f t="shared" si="1195"/>
        <v>0</v>
      </c>
      <c r="BG239" s="2891">
        <f t="shared" si="1195"/>
        <v>1878.673</v>
      </c>
      <c r="BH239" s="2891">
        <f t="shared" si="1195"/>
        <v>1878.673</v>
      </c>
      <c r="BI239" s="2891">
        <f t="shared" si="1195"/>
        <v>0</v>
      </c>
      <c r="BJ239" s="2847">
        <f t="shared" si="1188"/>
        <v>214.32572213355752</v>
      </c>
      <c r="BK239" s="2847">
        <f t="shared" si="1189"/>
        <v>214.32572213355752</v>
      </c>
      <c r="BL239" s="2847">
        <f t="shared" si="1189"/>
        <v>0</v>
      </c>
      <c r="BM239" s="2888">
        <f t="shared" ref="BM239:CG239" si="1196">SUM(BM39+BM73+BM108+BM132)</f>
        <v>554.78242595548079</v>
      </c>
      <c r="BN239" s="2888">
        <f t="shared" si="1196"/>
        <v>554.78242595548079</v>
      </c>
      <c r="BO239" s="2888">
        <f t="shared" si="1196"/>
        <v>0</v>
      </c>
      <c r="BP239" s="2889">
        <f t="shared" si="1196"/>
        <v>202.89999999999998</v>
      </c>
      <c r="BQ239" s="2889">
        <f t="shared" si="1196"/>
        <v>202.89999999999998</v>
      </c>
      <c r="BR239" s="2889">
        <f t="shared" si="1196"/>
        <v>0</v>
      </c>
      <c r="BS239" s="2889">
        <f t="shared" si="1196"/>
        <v>214.46800000000002</v>
      </c>
      <c r="BT239" s="2889">
        <f t="shared" si="1196"/>
        <v>214.46800000000002</v>
      </c>
      <c r="BU239" s="2889">
        <f t="shared" si="1196"/>
        <v>0</v>
      </c>
      <c r="BV239" s="2889">
        <f t="shared" si="1196"/>
        <v>205.99199999999999</v>
      </c>
      <c r="BW239" s="2889">
        <f t="shared" si="1196"/>
        <v>205.99199999999999</v>
      </c>
      <c r="BX239" s="2889">
        <f t="shared" si="1196"/>
        <v>0</v>
      </c>
      <c r="BY239" s="2889">
        <f t="shared" si="1196"/>
        <v>623.36</v>
      </c>
      <c r="BZ239" s="2889">
        <f t="shared" si="1196"/>
        <v>623.36</v>
      </c>
      <c r="CA239" s="2889">
        <f t="shared" si="1196"/>
        <v>0</v>
      </c>
      <c r="CB239" s="2890">
        <f t="shared" si="1196"/>
        <v>2219.1297038219232</v>
      </c>
      <c r="CC239" s="2890">
        <f t="shared" si="1196"/>
        <v>2219.1297038219232</v>
      </c>
      <c r="CD239" s="2890">
        <f t="shared" si="1196"/>
        <v>0</v>
      </c>
      <c r="CE239" s="2891">
        <f t="shared" si="1196"/>
        <v>2502.0330000000004</v>
      </c>
      <c r="CF239" s="2891">
        <f t="shared" si="1196"/>
        <v>2502.0330000000004</v>
      </c>
      <c r="CG239" s="2891">
        <f t="shared" si="1196"/>
        <v>0</v>
      </c>
      <c r="CH239" s="2847">
        <f t="shared" si="1191"/>
        <v>282.9032961780772</v>
      </c>
      <c r="CI239" s="2847">
        <f t="shared" si="1192"/>
        <v>282.9032961780772</v>
      </c>
      <c r="CJ239" s="2847">
        <f t="shared" si="1192"/>
        <v>0</v>
      </c>
      <c r="CK239" s="2822"/>
      <c r="CL239" s="2822"/>
      <c r="CM239" s="2822"/>
      <c r="CN239" s="2822"/>
    </row>
    <row r="240" spans="1:92" ht="18.75" x14ac:dyDescent="0.3">
      <c r="A240" s="2873" t="s">
        <v>3732</v>
      </c>
      <c r="B240" s="2888">
        <f>SUM(B40)</f>
        <v>152.84177435682003</v>
      </c>
      <c r="C240" s="2888">
        <f>SUM(C40)</f>
        <v>152.84177435682003</v>
      </c>
      <c r="D240" s="2888">
        <f t="shared" ref="D240:AK240" si="1197">SUM(D40)</f>
        <v>0</v>
      </c>
      <c r="E240" s="2889">
        <f t="shared" si="1197"/>
        <v>53.21</v>
      </c>
      <c r="F240" s="2889">
        <f t="shared" si="1197"/>
        <v>53.21</v>
      </c>
      <c r="G240" s="2889">
        <f t="shared" si="1197"/>
        <v>0</v>
      </c>
      <c r="H240" s="2889">
        <f t="shared" si="1197"/>
        <v>53.21</v>
      </c>
      <c r="I240" s="2889">
        <f t="shared" si="1197"/>
        <v>53.21</v>
      </c>
      <c r="J240" s="2889">
        <f t="shared" si="1197"/>
        <v>0</v>
      </c>
      <c r="K240" s="2889">
        <f t="shared" si="1197"/>
        <v>53.21</v>
      </c>
      <c r="L240" s="2889">
        <f t="shared" si="1197"/>
        <v>53.21</v>
      </c>
      <c r="M240" s="2889">
        <f t="shared" si="1197"/>
        <v>0</v>
      </c>
      <c r="N240" s="2889">
        <f t="shared" si="1197"/>
        <v>159.63</v>
      </c>
      <c r="O240" s="2889">
        <f t="shared" si="1197"/>
        <v>159.63</v>
      </c>
      <c r="P240" s="2889">
        <f t="shared" si="1197"/>
        <v>0</v>
      </c>
      <c r="Q240" s="2888">
        <f t="shared" si="1197"/>
        <v>152.84177435682003</v>
      </c>
      <c r="R240" s="2888">
        <f t="shared" si="1197"/>
        <v>152.84177435682003</v>
      </c>
      <c r="S240" s="2888">
        <f t="shared" si="1197"/>
        <v>0</v>
      </c>
      <c r="T240" s="2889">
        <f t="shared" si="1197"/>
        <v>53.21</v>
      </c>
      <c r="U240" s="2889">
        <f t="shared" si="1197"/>
        <v>53.21</v>
      </c>
      <c r="V240" s="2889">
        <f t="shared" si="1197"/>
        <v>0</v>
      </c>
      <c r="W240" s="2889">
        <f t="shared" si="1197"/>
        <v>53.21</v>
      </c>
      <c r="X240" s="2889">
        <f t="shared" si="1197"/>
        <v>53.21</v>
      </c>
      <c r="Y240" s="2889">
        <f t="shared" si="1197"/>
        <v>0</v>
      </c>
      <c r="Z240" s="2889">
        <f t="shared" si="1197"/>
        <v>53.21</v>
      </c>
      <c r="AA240" s="2889">
        <f t="shared" si="1197"/>
        <v>53.21</v>
      </c>
      <c r="AB240" s="2889">
        <f t="shared" si="1197"/>
        <v>0</v>
      </c>
      <c r="AC240" s="2889">
        <f t="shared" si="1197"/>
        <v>159.63</v>
      </c>
      <c r="AD240" s="2889">
        <f t="shared" si="1197"/>
        <v>159.63</v>
      </c>
      <c r="AE240" s="2889">
        <f t="shared" si="1197"/>
        <v>0</v>
      </c>
      <c r="AF240" s="2890">
        <f t="shared" si="1197"/>
        <v>305.68354871364005</v>
      </c>
      <c r="AG240" s="2890">
        <f t="shared" si="1197"/>
        <v>305.68354871364005</v>
      </c>
      <c r="AH240" s="2890">
        <f t="shared" si="1197"/>
        <v>0</v>
      </c>
      <c r="AI240" s="2891">
        <f t="shared" si="1197"/>
        <v>319.26</v>
      </c>
      <c r="AJ240" s="2891">
        <f t="shared" si="1197"/>
        <v>319.26</v>
      </c>
      <c r="AK240" s="2891">
        <f t="shared" si="1197"/>
        <v>0</v>
      </c>
      <c r="AL240" s="2847">
        <f t="shared" si="1185"/>
        <v>13.576451286359941</v>
      </c>
      <c r="AM240" s="2847">
        <f t="shared" si="1186"/>
        <v>13.576451286359941</v>
      </c>
      <c r="AN240" s="2847">
        <f t="shared" si="1186"/>
        <v>0</v>
      </c>
      <c r="AO240" s="2888">
        <f t="shared" ref="AO240:BI240" si="1198">SUM(AO40)</f>
        <v>152.84177435682003</v>
      </c>
      <c r="AP240" s="2888">
        <f t="shared" si="1198"/>
        <v>152.84177435682003</v>
      </c>
      <c r="AQ240" s="2888">
        <f t="shared" si="1198"/>
        <v>0</v>
      </c>
      <c r="AR240" s="2889">
        <f t="shared" si="1198"/>
        <v>53.21</v>
      </c>
      <c r="AS240" s="2889">
        <f t="shared" si="1198"/>
        <v>53.21</v>
      </c>
      <c r="AT240" s="2889">
        <f t="shared" si="1198"/>
        <v>0</v>
      </c>
      <c r="AU240" s="2889">
        <f t="shared" si="1198"/>
        <v>53.21</v>
      </c>
      <c r="AV240" s="2889">
        <f t="shared" si="1198"/>
        <v>53.21</v>
      </c>
      <c r="AW240" s="2889">
        <f t="shared" si="1198"/>
        <v>0</v>
      </c>
      <c r="AX240" s="2889">
        <f t="shared" si="1198"/>
        <v>53.21</v>
      </c>
      <c r="AY240" s="2889">
        <f t="shared" si="1198"/>
        <v>53.21</v>
      </c>
      <c r="AZ240" s="2889">
        <f t="shared" si="1198"/>
        <v>0</v>
      </c>
      <c r="BA240" s="2889">
        <f t="shared" si="1198"/>
        <v>159.63</v>
      </c>
      <c r="BB240" s="2889">
        <f t="shared" si="1198"/>
        <v>159.63</v>
      </c>
      <c r="BC240" s="2889">
        <f t="shared" si="1198"/>
        <v>0</v>
      </c>
      <c r="BD240" s="2890">
        <f t="shared" si="1198"/>
        <v>458.5253230704601</v>
      </c>
      <c r="BE240" s="2890">
        <f t="shared" si="1198"/>
        <v>458.5253230704601</v>
      </c>
      <c r="BF240" s="2890">
        <f t="shared" si="1198"/>
        <v>0</v>
      </c>
      <c r="BG240" s="2891">
        <f t="shared" si="1198"/>
        <v>478.89</v>
      </c>
      <c r="BH240" s="2891">
        <f t="shared" si="1198"/>
        <v>478.89</v>
      </c>
      <c r="BI240" s="2891">
        <f t="shared" si="1198"/>
        <v>0</v>
      </c>
      <c r="BJ240" s="2847">
        <f t="shared" si="1188"/>
        <v>20.364676929539883</v>
      </c>
      <c r="BK240" s="2847">
        <f t="shared" si="1189"/>
        <v>20.364676929539883</v>
      </c>
      <c r="BL240" s="2847">
        <f t="shared" si="1189"/>
        <v>0</v>
      </c>
      <c r="BM240" s="2888">
        <f t="shared" ref="BM240:CG240" si="1199">SUM(BM40)</f>
        <v>152.84177435682003</v>
      </c>
      <c r="BN240" s="2888">
        <f t="shared" si="1199"/>
        <v>152.84177435682003</v>
      </c>
      <c r="BO240" s="2888">
        <f t="shared" si="1199"/>
        <v>0</v>
      </c>
      <c r="BP240" s="2889">
        <f t="shared" si="1199"/>
        <v>53.21</v>
      </c>
      <c r="BQ240" s="2889">
        <f t="shared" si="1199"/>
        <v>53.21</v>
      </c>
      <c r="BR240" s="2889">
        <f t="shared" si="1199"/>
        <v>0</v>
      </c>
      <c r="BS240" s="2889">
        <f t="shared" si="1199"/>
        <v>53.21</v>
      </c>
      <c r="BT240" s="2889">
        <f t="shared" si="1199"/>
        <v>53.21</v>
      </c>
      <c r="BU240" s="2889">
        <f t="shared" si="1199"/>
        <v>0</v>
      </c>
      <c r="BV240" s="2889">
        <f t="shared" si="1199"/>
        <v>53.206000000000003</v>
      </c>
      <c r="BW240" s="2889">
        <f t="shared" si="1199"/>
        <v>53.206000000000003</v>
      </c>
      <c r="BX240" s="2889">
        <f t="shared" si="1199"/>
        <v>0</v>
      </c>
      <c r="BY240" s="2889">
        <f t="shared" si="1199"/>
        <v>159.626</v>
      </c>
      <c r="BZ240" s="2889">
        <f t="shared" si="1199"/>
        <v>159.626</v>
      </c>
      <c r="CA240" s="2889">
        <f t="shared" si="1199"/>
        <v>0</v>
      </c>
      <c r="CB240" s="2890">
        <f t="shared" si="1199"/>
        <v>611.3670974272801</v>
      </c>
      <c r="CC240" s="2890">
        <f t="shared" si="1199"/>
        <v>611.3670974272801</v>
      </c>
      <c r="CD240" s="2890">
        <f t="shared" si="1199"/>
        <v>0</v>
      </c>
      <c r="CE240" s="2891">
        <f t="shared" si="1199"/>
        <v>638.51599999999996</v>
      </c>
      <c r="CF240" s="2891">
        <f t="shared" si="1199"/>
        <v>638.51599999999996</v>
      </c>
      <c r="CG240" s="2891">
        <f t="shared" si="1199"/>
        <v>0</v>
      </c>
      <c r="CH240" s="2847">
        <f t="shared" si="1191"/>
        <v>27.148902572719862</v>
      </c>
      <c r="CI240" s="2847">
        <f t="shared" si="1192"/>
        <v>27.148902572719862</v>
      </c>
      <c r="CJ240" s="2847">
        <f t="shared" si="1192"/>
        <v>0</v>
      </c>
      <c r="CK240" s="2822"/>
      <c r="CL240" s="2822"/>
      <c r="CM240" s="2822"/>
      <c r="CN240" s="2822"/>
    </row>
    <row r="241" spans="1:92" ht="18.75" x14ac:dyDescent="0.3">
      <c r="A241" s="2873" t="s">
        <v>52</v>
      </c>
      <c r="B241" s="2888">
        <f t="shared" ref="B241:AK241" si="1200">SUM(B41+B74+B109+B133)</f>
        <v>46.0450421854325</v>
      </c>
      <c r="C241" s="2888">
        <f t="shared" si="1200"/>
        <v>46.0450421854325</v>
      </c>
      <c r="D241" s="2888">
        <f t="shared" si="1200"/>
        <v>0</v>
      </c>
      <c r="E241" s="2889">
        <f t="shared" si="1200"/>
        <v>24.669999999999998</v>
      </c>
      <c r="F241" s="2889">
        <f t="shared" si="1200"/>
        <v>24.669999999999998</v>
      </c>
      <c r="G241" s="2889">
        <f t="shared" si="1200"/>
        <v>0</v>
      </c>
      <c r="H241" s="2889">
        <f t="shared" si="1200"/>
        <v>24.097000000000005</v>
      </c>
      <c r="I241" s="2889">
        <f t="shared" si="1200"/>
        <v>24.097000000000005</v>
      </c>
      <c r="J241" s="2889">
        <f t="shared" si="1200"/>
        <v>0</v>
      </c>
      <c r="K241" s="2889">
        <f t="shared" si="1200"/>
        <v>24.82</v>
      </c>
      <c r="L241" s="2889">
        <f t="shared" si="1200"/>
        <v>24.82</v>
      </c>
      <c r="M241" s="2889">
        <f t="shared" si="1200"/>
        <v>0</v>
      </c>
      <c r="N241" s="2889">
        <f t="shared" si="1200"/>
        <v>73.586999999999989</v>
      </c>
      <c r="O241" s="2889">
        <f t="shared" si="1200"/>
        <v>73.586999999999989</v>
      </c>
      <c r="P241" s="2889">
        <f t="shared" si="1200"/>
        <v>0</v>
      </c>
      <c r="Q241" s="2888">
        <f t="shared" si="1200"/>
        <v>46.0450421854325</v>
      </c>
      <c r="R241" s="2888">
        <f t="shared" si="1200"/>
        <v>46.0450421854325</v>
      </c>
      <c r="S241" s="2888">
        <f t="shared" si="1200"/>
        <v>0</v>
      </c>
      <c r="T241" s="2889">
        <f t="shared" si="1200"/>
        <v>24.7</v>
      </c>
      <c r="U241" s="2889">
        <f t="shared" si="1200"/>
        <v>24.7</v>
      </c>
      <c r="V241" s="2889">
        <f t="shared" si="1200"/>
        <v>0</v>
      </c>
      <c r="W241" s="2889">
        <f t="shared" si="1200"/>
        <v>24.42</v>
      </c>
      <c r="X241" s="2889">
        <f t="shared" si="1200"/>
        <v>24.42</v>
      </c>
      <c r="Y241" s="2889">
        <f t="shared" si="1200"/>
        <v>0</v>
      </c>
      <c r="Z241" s="2889">
        <f t="shared" si="1200"/>
        <v>23.867999999999999</v>
      </c>
      <c r="AA241" s="2889">
        <f t="shared" si="1200"/>
        <v>23.867999999999999</v>
      </c>
      <c r="AB241" s="2889">
        <f t="shared" si="1200"/>
        <v>0</v>
      </c>
      <c r="AC241" s="2889">
        <f t="shared" si="1200"/>
        <v>72.987999999999985</v>
      </c>
      <c r="AD241" s="2889">
        <f t="shared" si="1200"/>
        <v>72.987999999999985</v>
      </c>
      <c r="AE241" s="2889">
        <f t="shared" si="1200"/>
        <v>0</v>
      </c>
      <c r="AF241" s="2890">
        <f t="shared" si="1200"/>
        <v>92.090084370865</v>
      </c>
      <c r="AG241" s="2890">
        <f t="shared" si="1200"/>
        <v>92.090084370865</v>
      </c>
      <c r="AH241" s="2890">
        <f t="shared" si="1200"/>
        <v>0</v>
      </c>
      <c r="AI241" s="2891">
        <f t="shared" si="1200"/>
        <v>146.57499999999999</v>
      </c>
      <c r="AJ241" s="2891">
        <f t="shared" si="1200"/>
        <v>146.57499999999999</v>
      </c>
      <c r="AK241" s="2891">
        <f t="shared" si="1200"/>
        <v>0</v>
      </c>
      <c r="AL241" s="2847">
        <f t="shared" si="1185"/>
        <v>54.484915629134989</v>
      </c>
      <c r="AM241" s="2847">
        <f t="shared" si="1186"/>
        <v>54.484915629134989</v>
      </c>
      <c r="AN241" s="2847">
        <f t="shared" si="1186"/>
        <v>0</v>
      </c>
      <c r="AO241" s="2888">
        <f t="shared" ref="AO241:BI241" si="1201">SUM(AO41+AO74+AO109+AO133)</f>
        <v>46.0450421854325</v>
      </c>
      <c r="AP241" s="2888">
        <f t="shared" si="1201"/>
        <v>46.0450421854325</v>
      </c>
      <c r="AQ241" s="2888">
        <f t="shared" si="1201"/>
        <v>0</v>
      </c>
      <c r="AR241" s="2889">
        <f t="shared" si="1201"/>
        <v>24.01</v>
      </c>
      <c r="AS241" s="2889">
        <f t="shared" si="1201"/>
        <v>24.01</v>
      </c>
      <c r="AT241" s="2889">
        <f t="shared" si="1201"/>
        <v>0</v>
      </c>
      <c r="AU241" s="2889">
        <f t="shared" si="1201"/>
        <v>24.108000000000001</v>
      </c>
      <c r="AV241" s="2889">
        <f t="shared" si="1201"/>
        <v>24.108000000000001</v>
      </c>
      <c r="AW241" s="2889">
        <f t="shared" si="1201"/>
        <v>0</v>
      </c>
      <c r="AX241" s="2889">
        <f t="shared" si="1201"/>
        <v>24.514000000000003</v>
      </c>
      <c r="AY241" s="2889">
        <f t="shared" si="1201"/>
        <v>24.514000000000003</v>
      </c>
      <c r="AZ241" s="2889">
        <f t="shared" si="1201"/>
        <v>0</v>
      </c>
      <c r="BA241" s="2889">
        <f t="shared" si="1201"/>
        <v>72.632000000000005</v>
      </c>
      <c r="BB241" s="2889">
        <f t="shared" si="1201"/>
        <v>72.632000000000005</v>
      </c>
      <c r="BC241" s="2889">
        <f t="shared" si="1201"/>
        <v>0</v>
      </c>
      <c r="BD241" s="2890">
        <f t="shared" si="1201"/>
        <v>138.13512655629748</v>
      </c>
      <c r="BE241" s="2890">
        <f t="shared" si="1201"/>
        <v>138.13512655629748</v>
      </c>
      <c r="BF241" s="2890">
        <f t="shared" si="1201"/>
        <v>0</v>
      </c>
      <c r="BG241" s="2891">
        <f t="shared" si="1201"/>
        <v>219.20699999999999</v>
      </c>
      <c r="BH241" s="2891">
        <f t="shared" si="1201"/>
        <v>219.20699999999999</v>
      </c>
      <c r="BI241" s="2891">
        <f t="shared" si="1201"/>
        <v>0</v>
      </c>
      <c r="BJ241" s="2847">
        <f t="shared" si="1188"/>
        <v>81.071873443702515</v>
      </c>
      <c r="BK241" s="2847">
        <f t="shared" si="1189"/>
        <v>81.071873443702515</v>
      </c>
      <c r="BL241" s="2847">
        <f t="shared" si="1189"/>
        <v>0</v>
      </c>
      <c r="BM241" s="2888">
        <f t="shared" ref="BM241:CG241" si="1202">SUM(BM41+BM74+BM109+BM133)</f>
        <v>46.0450421854325</v>
      </c>
      <c r="BN241" s="2888">
        <f t="shared" si="1202"/>
        <v>46.0450421854325</v>
      </c>
      <c r="BO241" s="2888">
        <f t="shared" si="1202"/>
        <v>0</v>
      </c>
      <c r="BP241" s="2889">
        <f t="shared" si="1202"/>
        <v>24.991</v>
      </c>
      <c r="BQ241" s="2889">
        <f t="shared" si="1202"/>
        <v>24.991</v>
      </c>
      <c r="BR241" s="2889">
        <f t="shared" si="1202"/>
        <v>0</v>
      </c>
      <c r="BS241" s="2889">
        <f t="shared" si="1202"/>
        <v>24.081</v>
      </c>
      <c r="BT241" s="2889">
        <f t="shared" si="1202"/>
        <v>24.081</v>
      </c>
      <c r="BU241" s="2889">
        <f t="shared" si="1202"/>
        <v>0</v>
      </c>
      <c r="BV241" s="2889">
        <f t="shared" si="1202"/>
        <v>24.038999999999998</v>
      </c>
      <c r="BW241" s="2889">
        <f t="shared" si="1202"/>
        <v>24.038999999999998</v>
      </c>
      <c r="BX241" s="2889">
        <f t="shared" si="1202"/>
        <v>0</v>
      </c>
      <c r="BY241" s="2889">
        <f t="shared" si="1202"/>
        <v>73.111000000000004</v>
      </c>
      <c r="BZ241" s="2889">
        <f t="shared" si="1202"/>
        <v>73.111000000000004</v>
      </c>
      <c r="CA241" s="2889">
        <f t="shared" si="1202"/>
        <v>0</v>
      </c>
      <c r="CB241" s="2890">
        <f t="shared" si="1202"/>
        <v>184.18016874173</v>
      </c>
      <c r="CC241" s="2890">
        <f t="shared" si="1202"/>
        <v>184.18016874173</v>
      </c>
      <c r="CD241" s="2890">
        <f t="shared" si="1202"/>
        <v>0</v>
      </c>
      <c r="CE241" s="2891">
        <f t="shared" si="1202"/>
        <v>292.31800000000004</v>
      </c>
      <c r="CF241" s="2891">
        <f t="shared" si="1202"/>
        <v>292.31800000000004</v>
      </c>
      <c r="CG241" s="2891">
        <f t="shared" si="1202"/>
        <v>0</v>
      </c>
      <c r="CH241" s="2847">
        <f t="shared" si="1191"/>
        <v>108.13783125827004</v>
      </c>
      <c r="CI241" s="2847">
        <f t="shared" si="1192"/>
        <v>108.13783125827004</v>
      </c>
      <c r="CJ241" s="2847">
        <f t="shared" si="1192"/>
        <v>0</v>
      </c>
      <c r="CK241" s="2822"/>
      <c r="CL241" s="2822"/>
      <c r="CM241" s="2822"/>
      <c r="CN241" s="2822"/>
    </row>
    <row r="242" spans="1:92" ht="18.75" x14ac:dyDescent="0.3">
      <c r="A242" s="2873" t="s">
        <v>3733</v>
      </c>
      <c r="B242" s="2888">
        <f t="shared" ref="B242" si="1203">SUM(B42+B75)</f>
        <v>3.7435141574999999</v>
      </c>
      <c r="C242" s="2888">
        <f t="shared" ref="C242:AK242" si="1204">SUM(C42+C75)</f>
        <v>3.7435141574999999</v>
      </c>
      <c r="D242" s="2888">
        <f t="shared" si="1204"/>
        <v>0</v>
      </c>
      <c r="E242" s="2889">
        <f t="shared" si="1204"/>
        <v>2.2200000000000002</v>
      </c>
      <c r="F242" s="2889">
        <f t="shared" si="1204"/>
        <v>2.2200000000000002</v>
      </c>
      <c r="G242" s="2889">
        <f t="shared" si="1204"/>
        <v>0</v>
      </c>
      <c r="H242" s="2889">
        <f t="shared" si="1204"/>
        <v>2.25</v>
      </c>
      <c r="I242" s="2889">
        <f t="shared" si="1204"/>
        <v>2.25</v>
      </c>
      <c r="J242" s="2889">
        <f t="shared" si="1204"/>
        <v>0</v>
      </c>
      <c r="K242" s="2889">
        <f t="shared" si="1204"/>
        <v>1.88</v>
      </c>
      <c r="L242" s="2889">
        <f t="shared" si="1204"/>
        <v>1.88</v>
      </c>
      <c r="M242" s="2889">
        <f t="shared" si="1204"/>
        <v>0</v>
      </c>
      <c r="N242" s="2889">
        <f t="shared" si="1204"/>
        <v>6.3500000000000005</v>
      </c>
      <c r="O242" s="2889">
        <f t="shared" si="1204"/>
        <v>6.3500000000000005</v>
      </c>
      <c r="P242" s="2889">
        <f t="shared" si="1204"/>
        <v>0</v>
      </c>
      <c r="Q242" s="2888">
        <f t="shared" si="1204"/>
        <v>3.7435141574999999</v>
      </c>
      <c r="R242" s="2888">
        <f t="shared" si="1204"/>
        <v>3.7435141574999999</v>
      </c>
      <c r="S242" s="2888">
        <f t="shared" si="1204"/>
        <v>0</v>
      </c>
      <c r="T242" s="2889">
        <f t="shared" si="1204"/>
        <v>1.43</v>
      </c>
      <c r="U242" s="2889">
        <f t="shared" si="1204"/>
        <v>1.43</v>
      </c>
      <c r="V242" s="2889">
        <f t="shared" si="1204"/>
        <v>0</v>
      </c>
      <c r="W242" s="2889">
        <f t="shared" si="1204"/>
        <v>1.37</v>
      </c>
      <c r="X242" s="2889">
        <f t="shared" si="1204"/>
        <v>1.37</v>
      </c>
      <c r="Y242" s="2889">
        <f t="shared" si="1204"/>
        <v>0</v>
      </c>
      <c r="Z242" s="2889">
        <f t="shared" si="1204"/>
        <v>1.07</v>
      </c>
      <c r="AA242" s="2889">
        <f t="shared" si="1204"/>
        <v>1.07</v>
      </c>
      <c r="AB242" s="2889">
        <f t="shared" si="1204"/>
        <v>0</v>
      </c>
      <c r="AC242" s="2889">
        <f t="shared" si="1204"/>
        <v>3.87</v>
      </c>
      <c r="AD242" s="2889">
        <f t="shared" si="1204"/>
        <v>3.87</v>
      </c>
      <c r="AE242" s="2889">
        <f t="shared" si="1204"/>
        <v>0</v>
      </c>
      <c r="AF242" s="2890">
        <f t="shared" si="1204"/>
        <v>7.4870283149999999</v>
      </c>
      <c r="AG242" s="2890">
        <f t="shared" si="1204"/>
        <v>7.4870283149999999</v>
      </c>
      <c r="AH242" s="2890">
        <f t="shared" si="1204"/>
        <v>0</v>
      </c>
      <c r="AI242" s="2891">
        <f t="shared" si="1204"/>
        <v>10.220000000000001</v>
      </c>
      <c r="AJ242" s="2891">
        <f t="shared" si="1204"/>
        <v>10.220000000000001</v>
      </c>
      <c r="AK242" s="2891">
        <f t="shared" si="1204"/>
        <v>0</v>
      </c>
      <c r="AL242" s="2847">
        <f t="shared" si="1185"/>
        <v>2.7329716850000008</v>
      </c>
      <c r="AM242" s="2847">
        <f t="shared" si="1186"/>
        <v>2.7329716850000008</v>
      </c>
      <c r="AN242" s="2847">
        <f t="shared" si="1186"/>
        <v>0</v>
      </c>
      <c r="AO242" s="2888">
        <f t="shared" ref="AO242:BI242" si="1205">SUM(AO42+AO75)</f>
        <v>3.7435141574999999</v>
      </c>
      <c r="AP242" s="2888">
        <f t="shared" si="1205"/>
        <v>3.7435141574999999</v>
      </c>
      <c r="AQ242" s="2888">
        <f t="shared" si="1205"/>
        <v>0</v>
      </c>
      <c r="AR242" s="2889">
        <f t="shared" si="1205"/>
        <v>1.07</v>
      </c>
      <c r="AS242" s="2889">
        <f t="shared" si="1205"/>
        <v>1.07</v>
      </c>
      <c r="AT242" s="2889">
        <f t="shared" si="1205"/>
        <v>0</v>
      </c>
      <c r="AU242" s="2889">
        <f t="shared" si="1205"/>
        <v>1.07</v>
      </c>
      <c r="AV242" s="2889">
        <f t="shared" si="1205"/>
        <v>1.07</v>
      </c>
      <c r="AW242" s="2889">
        <f t="shared" si="1205"/>
        <v>0</v>
      </c>
      <c r="AX242" s="2889">
        <f t="shared" si="1205"/>
        <v>1.07</v>
      </c>
      <c r="AY242" s="2889">
        <f t="shared" si="1205"/>
        <v>1.07</v>
      </c>
      <c r="AZ242" s="2889">
        <f t="shared" si="1205"/>
        <v>0</v>
      </c>
      <c r="BA242" s="2889">
        <f t="shared" si="1205"/>
        <v>3.21</v>
      </c>
      <c r="BB242" s="2889">
        <f t="shared" si="1205"/>
        <v>3.21</v>
      </c>
      <c r="BC242" s="2889">
        <f t="shared" si="1205"/>
        <v>0</v>
      </c>
      <c r="BD242" s="2890">
        <f t="shared" si="1205"/>
        <v>11.2305424725</v>
      </c>
      <c r="BE242" s="2890">
        <f t="shared" si="1205"/>
        <v>11.2305424725</v>
      </c>
      <c r="BF242" s="2890">
        <f t="shared" si="1205"/>
        <v>0</v>
      </c>
      <c r="BG242" s="2891">
        <f t="shared" si="1205"/>
        <v>13.43</v>
      </c>
      <c r="BH242" s="2891">
        <f t="shared" si="1205"/>
        <v>13.43</v>
      </c>
      <c r="BI242" s="2891">
        <f t="shared" si="1205"/>
        <v>0</v>
      </c>
      <c r="BJ242" s="2847">
        <f t="shared" si="1188"/>
        <v>2.1994575274999999</v>
      </c>
      <c r="BK242" s="2847">
        <f t="shared" si="1189"/>
        <v>2.1994575274999999</v>
      </c>
      <c r="BL242" s="2847">
        <f t="shared" si="1189"/>
        <v>0</v>
      </c>
      <c r="BM242" s="2888">
        <f t="shared" ref="BM242:CG242" si="1206">SUM(BM42+BM75)</f>
        <v>3.7435141574999999</v>
      </c>
      <c r="BN242" s="2888">
        <f t="shared" si="1206"/>
        <v>3.7435141574999999</v>
      </c>
      <c r="BO242" s="2888">
        <f t="shared" si="1206"/>
        <v>0</v>
      </c>
      <c r="BP242" s="2889">
        <f t="shared" si="1206"/>
        <v>1.07</v>
      </c>
      <c r="BQ242" s="2889">
        <f t="shared" si="1206"/>
        <v>1.07</v>
      </c>
      <c r="BR242" s="2889">
        <f t="shared" si="1206"/>
        <v>0</v>
      </c>
      <c r="BS242" s="2889">
        <f t="shared" si="1206"/>
        <v>1.07</v>
      </c>
      <c r="BT242" s="2889">
        <f t="shared" si="1206"/>
        <v>1.07</v>
      </c>
      <c r="BU242" s="2889">
        <f t="shared" si="1206"/>
        <v>0</v>
      </c>
      <c r="BV242" s="2889">
        <f t="shared" si="1206"/>
        <v>2.16</v>
      </c>
      <c r="BW242" s="2889">
        <f t="shared" si="1206"/>
        <v>2.16</v>
      </c>
      <c r="BX242" s="2889">
        <f t="shared" si="1206"/>
        <v>0</v>
      </c>
      <c r="BY242" s="2889">
        <f t="shared" si="1206"/>
        <v>4.3000000000000007</v>
      </c>
      <c r="BZ242" s="2889">
        <f t="shared" si="1206"/>
        <v>4.3000000000000007</v>
      </c>
      <c r="CA242" s="2889">
        <f t="shared" si="1206"/>
        <v>0</v>
      </c>
      <c r="CB242" s="2890">
        <f t="shared" si="1206"/>
        <v>14.97405663</v>
      </c>
      <c r="CC242" s="2890">
        <f t="shared" si="1206"/>
        <v>14.97405663</v>
      </c>
      <c r="CD242" s="2890">
        <f t="shared" si="1206"/>
        <v>0</v>
      </c>
      <c r="CE242" s="2891">
        <f t="shared" si="1206"/>
        <v>17.73</v>
      </c>
      <c r="CF242" s="2891">
        <f t="shared" si="1206"/>
        <v>17.73</v>
      </c>
      <c r="CG242" s="2891">
        <f t="shared" si="1206"/>
        <v>0</v>
      </c>
      <c r="CH242" s="2847">
        <f t="shared" si="1191"/>
        <v>2.7559433700000007</v>
      </c>
      <c r="CI242" s="2847">
        <f t="shared" si="1192"/>
        <v>2.7559433700000007</v>
      </c>
      <c r="CJ242" s="2847">
        <f t="shared" si="1192"/>
        <v>0</v>
      </c>
      <c r="CK242" s="2822"/>
      <c r="CL242" s="2822"/>
      <c r="CM242" s="2822"/>
      <c r="CN242" s="2822"/>
    </row>
    <row r="243" spans="1:92" ht="18.75" x14ac:dyDescent="0.3">
      <c r="A243" s="2873" t="s">
        <v>590</v>
      </c>
      <c r="B243" s="2888">
        <f t="shared" ref="B243:AK243" si="1207">SUM(B43+B76+B111+B134)</f>
        <v>274.56957463762501</v>
      </c>
      <c r="C243" s="2888">
        <f t="shared" si="1207"/>
        <v>274.56957463762501</v>
      </c>
      <c r="D243" s="2888">
        <f t="shared" si="1207"/>
        <v>0</v>
      </c>
      <c r="E243" s="2889">
        <f t="shared" si="1207"/>
        <v>82.84</v>
      </c>
      <c r="F243" s="2889">
        <f t="shared" si="1207"/>
        <v>82.84</v>
      </c>
      <c r="G243" s="2889">
        <f t="shared" si="1207"/>
        <v>0</v>
      </c>
      <c r="H243" s="2889">
        <f t="shared" si="1207"/>
        <v>84.209880000000013</v>
      </c>
      <c r="I243" s="2889">
        <f t="shared" si="1207"/>
        <v>84.209880000000013</v>
      </c>
      <c r="J243" s="2889">
        <f t="shared" si="1207"/>
        <v>0</v>
      </c>
      <c r="K243" s="2889">
        <f t="shared" si="1207"/>
        <v>206.51</v>
      </c>
      <c r="L243" s="2889">
        <f t="shared" si="1207"/>
        <v>206.51</v>
      </c>
      <c r="M243" s="2889">
        <f t="shared" si="1207"/>
        <v>0</v>
      </c>
      <c r="N243" s="2889">
        <f t="shared" si="1207"/>
        <v>373.55987999999996</v>
      </c>
      <c r="O243" s="2889">
        <f t="shared" si="1207"/>
        <v>373.55987999999996</v>
      </c>
      <c r="P243" s="2889">
        <f t="shared" si="1207"/>
        <v>0</v>
      </c>
      <c r="Q243" s="2888">
        <f t="shared" si="1207"/>
        <v>274.56957463762501</v>
      </c>
      <c r="R243" s="2888">
        <f t="shared" si="1207"/>
        <v>274.56957463762501</v>
      </c>
      <c r="S243" s="2888">
        <f t="shared" si="1207"/>
        <v>0</v>
      </c>
      <c r="T243" s="2889">
        <f t="shared" si="1207"/>
        <v>58.79</v>
      </c>
      <c r="U243" s="2889">
        <f>SUM(U43+U76+U111+U134)</f>
        <v>58.79</v>
      </c>
      <c r="V243" s="2889">
        <f t="shared" si="1207"/>
        <v>0</v>
      </c>
      <c r="W243" s="2889">
        <f t="shared" si="1207"/>
        <v>76.66</v>
      </c>
      <c r="X243" s="2889">
        <f t="shared" si="1207"/>
        <v>76.66</v>
      </c>
      <c r="Y243" s="2889">
        <f t="shared" si="1207"/>
        <v>0</v>
      </c>
      <c r="Z243" s="2889">
        <f t="shared" si="1207"/>
        <v>35.632000000000005</v>
      </c>
      <c r="AA243" s="2889">
        <f t="shared" si="1207"/>
        <v>35.632000000000005</v>
      </c>
      <c r="AB243" s="2889">
        <f t="shared" si="1207"/>
        <v>0</v>
      </c>
      <c r="AC243" s="2889">
        <f t="shared" si="1207"/>
        <v>171.08200000000002</v>
      </c>
      <c r="AD243" s="2889">
        <f t="shared" si="1207"/>
        <v>171.08200000000002</v>
      </c>
      <c r="AE243" s="2889">
        <f t="shared" si="1207"/>
        <v>0</v>
      </c>
      <c r="AF243" s="2890">
        <f t="shared" si="1207"/>
        <v>549.13914927525002</v>
      </c>
      <c r="AG243" s="2890">
        <f t="shared" si="1207"/>
        <v>549.13914927525002</v>
      </c>
      <c r="AH243" s="2890">
        <f t="shared" si="1207"/>
        <v>0</v>
      </c>
      <c r="AI243" s="2891">
        <f t="shared" si="1207"/>
        <v>544.64188000000001</v>
      </c>
      <c r="AJ243" s="2891">
        <f t="shared" si="1207"/>
        <v>544.64188000000001</v>
      </c>
      <c r="AK243" s="2891">
        <f t="shared" si="1207"/>
        <v>0</v>
      </c>
      <c r="AL243" s="2847">
        <f t="shared" si="1185"/>
        <v>-4.4972692752500052</v>
      </c>
      <c r="AM243" s="2847">
        <f t="shared" si="1186"/>
        <v>-4.4972692752500052</v>
      </c>
      <c r="AN243" s="2847">
        <f t="shared" si="1186"/>
        <v>0</v>
      </c>
      <c r="AO243" s="2888">
        <f t="shared" ref="AO243:BI243" si="1208">SUM(AO43+AO76+AO111+AO134)</f>
        <v>274.56957463762501</v>
      </c>
      <c r="AP243" s="2888">
        <f t="shared" si="1208"/>
        <v>274.56957463762501</v>
      </c>
      <c r="AQ243" s="2888">
        <f t="shared" si="1208"/>
        <v>0</v>
      </c>
      <c r="AR243" s="2889">
        <f t="shared" si="1208"/>
        <v>62.634999999999991</v>
      </c>
      <c r="AS243" s="2889">
        <f t="shared" si="1208"/>
        <v>62.634999999999991</v>
      </c>
      <c r="AT243" s="2889">
        <f t="shared" si="1208"/>
        <v>0</v>
      </c>
      <c r="AU243" s="2889">
        <f t="shared" si="1208"/>
        <v>46.129000000000005</v>
      </c>
      <c r="AV243" s="2889">
        <f t="shared" si="1208"/>
        <v>46.129000000000005</v>
      </c>
      <c r="AW243" s="2889">
        <f t="shared" si="1208"/>
        <v>0</v>
      </c>
      <c r="AX243" s="2889">
        <f t="shared" si="1208"/>
        <v>61.545000000000002</v>
      </c>
      <c r="AY243" s="2889">
        <f t="shared" si="1208"/>
        <v>61.545000000000002</v>
      </c>
      <c r="AZ243" s="2889">
        <f t="shared" si="1208"/>
        <v>0</v>
      </c>
      <c r="BA243" s="2889">
        <f t="shared" si="1208"/>
        <v>170.30899999999997</v>
      </c>
      <c r="BB243" s="2889">
        <f t="shared" si="1208"/>
        <v>170.30899999999997</v>
      </c>
      <c r="BC243" s="2889">
        <f t="shared" si="1208"/>
        <v>0</v>
      </c>
      <c r="BD243" s="2890">
        <f t="shared" si="1208"/>
        <v>823.70872391287503</v>
      </c>
      <c r="BE243" s="2890">
        <f t="shared" si="1208"/>
        <v>823.70872391287503</v>
      </c>
      <c r="BF243" s="2890">
        <f t="shared" si="1208"/>
        <v>0</v>
      </c>
      <c r="BG243" s="2891">
        <f t="shared" si="1208"/>
        <v>714.95087999999987</v>
      </c>
      <c r="BH243" s="2891">
        <f t="shared" si="1208"/>
        <v>714.95087999999987</v>
      </c>
      <c r="BI243" s="2891">
        <f t="shared" si="1208"/>
        <v>0</v>
      </c>
      <c r="BJ243" s="2847">
        <f t="shared" si="1188"/>
        <v>-108.75784391287516</v>
      </c>
      <c r="BK243" s="2847">
        <f t="shared" si="1189"/>
        <v>-108.75784391287516</v>
      </c>
      <c r="BL243" s="2847">
        <f t="shared" si="1189"/>
        <v>0</v>
      </c>
      <c r="BM243" s="2888">
        <f t="shared" ref="BM243:CG243" si="1209">SUM(BM43+BM76+BM111+BM134)</f>
        <v>274.56957463762501</v>
      </c>
      <c r="BN243" s="2888">
        <f t="shared" si="1209"/>
        <v>274.56957463762501</v>
      </c>
      <c r="BO243" s="2888">
        <f t="shared" si="1209"/>
        <v>0</v>
      </c>
      <c r="BP243" s="2889">
        <f t="shared" si="1209"/>
        <v>178.09399999999999</v>
      </c>
      <c r="BQ243" s="2889">
        <f t="shared" si="1209"/>
        <v>178.09399999999999</v>
      </c>
      <c r="BR243" s="2889">
        <f t="shared" si="1209"/>
        <v>0</v>
      </c>
      <c r="BS243" s="2889">
        <f t="shared" si="1209"/>
        <v>113.648</v>
      </c>
      <c r="BT243" s="2889">
        <f t="shared" si="1209"/>
        <v>113.648</v>
      </c>
      <c r="BU243" s="2889">
        <f t="shared" si="1209"/>
        <v>0</v>
      </c>
      <c r="BV243" s="2889">
        <f t="shared" si="1209"/>
        <v>141.089</v>
      </c>
      <c r="BW243" s="2889">
        <f t="shared" si="1209"/>
        <v>141.089</v>
      </c>
      <c r="BX243" s="2889">
        <f t="shared" si="1209"/>
        <v>0</v>
      </c>
      <c r="BY243" s="2889">
        <f t="shared" si="1209"/>
        <v>432.83100000000002</v>
      </c>
      <c r="BZ243" s="2889">
        <f t="shared" si="1209"/>
        <v>432.83100000000002</v>
      </c>
      <c r="CA243" s="2889">
        <f t="shared" si="1209"/>
        <v>0</v>
      </c>
      <c r="CB243" s="2890">
        <f t="shared" si="1209"/>
        <v>1098.2782985505</v>
      </c>
      <c r="CC243" s="2890">
        <f t="shared" si="1209"/>
        <v>1098.2782985505</v>
      </c>
      <c r="CD243" s="2890">
        <f t="shared" si="1209"/>
        <v>0</v>
      </c>
      <c r="CE243" s="2891">
        <f t="shared" si="1209"/>
        <v>1147.78188</v>
      </c>
      <c r="CF243" s="2891">
        <f t="shared" si="1209"/>
        <v>1147.78188</v>
      </c>
      <c r="CG243" s="2891">
        <f t="shared" si="1209"/>
        <v>0</v>
      </c>
      <c r="CH243" s="2847">
        <f t="shared" si="1191"/>
        <v>49.503581449499961</v>
      </c>
      <c r="CI243" s="2847">
        <f t="shared" si="1192"/>
        <v>49.503581449499961</v>
      </c>
      <c r="CJ243" s="2847">
        <f t="shared" si="1192"/>
        <v>0</v>
      </c>
      <c r="CK243" s="2822"/>
      <c r="CL243" s="2822"/>
      <c r="CM243" s="2822"/>
      <c r="CN243" s="2822"/>
    </row>
    <row r="244" spans="1:92" ht="18.75" x14ac:dyDescent="0.3">
      <c r="A244" s="2873" t="s">
        <v>3737</v>
      </c>
      <c r="B244" s="2888">
        <f>SUM(B86)</f>
        <v>0</v>
      </c>
      <c r="C244" s="2888">
        <f>SUM(C86)</f>
        <v>0</v>
      </c>
      <c r="D244" s="2888">
        <f t="shared" ref="D244:AK244" si="1210">SUM(D86)</f>
        <v>0</v>
      </c>
      <c r="E244" s="2889">
        <f t="shared" si="1210"/>
        <v>0</v>
      </c>
      <c r="F244" s="2889">
        <f t="shared" si="1210"/>
        <v>0</v>
      </c>
      <c r="G244" s="2889">
        <f t="shared" si="1210"/>
        <v>0</v>
      </c>
      <c r="H244" s="2889">
        <f t="shared" si="1210"/>
        <v>0</v>
      </c>
      <c r="I244" s="2889">
        <f t="shared" si="1210"/>
        <v>0</v>
      </c>
      <c r="J244" s="2889">
        <f t="shared" si="1210"/>
        <v>0</v>
      </c>
      <c r="K244" s="2889">
        <f t="shared" si="1210"/>
        <v>0</v>
      </c>
      <c r="L244" s="2889">
        <f t="shared" si="1210"/>
        <v>0</v>
      </c>
      <c r="M244" s="2889">
        <f t="shared" si="1210"/>
        <v>0</v>
      </c>
      <c r="N244" s="2889">
        <f t="shared" si="1210"/>
        <v>0</v>
      </c>
      <c r="O244" s="2889">
        <f t="shared" si="1210"/>
        <v>0</v>
      </c>
      <c r="P244" s="2889">
        <f t="shared" si="1210"/>
        <v>0</v>
      </c>
      <c r="Q244" s="2888">
        <f t="shared" si="1210"/>
        <v>0</v>
      </c>
      <c r="R244" s="2888">
        <f t="shared" si="1210"/>
        <v>0</v>
      </c>
      <c r="S244" s="2888">
        <f t="shared" si="1210"/>
        <v>0</v>
      </c>
      <c r="T244" s="2889">
        <f t="shared" si="1210"/>
        <v>0</v>
      </c>
      <c r="U244" s="2889">
        <f t="shared" si="1210"/>
        <v>0</v>
      </c>
      <c r="V244" s="2889">
        <f t="shared" si="1210"/>
        <v>0</v>
      </c>
      <c r="W244" s="2889">
        <f t="shared" si="1210"/>
        <v>0</v>
      </c>
      <c r="X244" s="2889">
        <f t="shared" si="1210"/>
        <v>0</v>
      </c>
      <c r="Y244" s="2889">
        <f t="shared" si="1210"/>
        <v>0</v>
      </c>
      <c r="Z244" s="2889">
        <f t="shared" si="1210"/>
        <v>0</v>
      </c>
      <c r="AA244" s="2889">
        <f t="shared" si="1210"/>
        <v>0</v>
      </c>
      <c r="AB244" s="2889">
        <f t="shared" si="1210"/>
        <v>0</v>
      </c>
      <c r="AC244" s="2889">
        <f t="shared" si="1210"/>
        <v>0</v>
      </c>
      <c r="AD244" s="2889">
        <f t="shared" si="1210"/>
        <v>0</v>
      </c>
      <c r="AE244" s="2889">
        <f t="shared" si="1210"/>
        <v>0</v>
      </c>
      <c r="AF244" s="2890">
        <f t="shared" si="1210"/>
        <v>0</v>
      </c>
      <c r="AG244" s="2890">
        <f t="shared" si="1210"/>
        <v>0</v>
      </c>
      <c r="AH244" s="2890">
        <f t="shared" si="1210"/>
        <v>0</v>
      </c>
      <c r="AI244" s="2891">
        <f t="shared" si="1210"/>
        <v>0</v>
      </c>
      <c r="AJ244" s="2891">
        <f t="shared" si="1210"/>
        <v>0</v>
      </c>
      <c r="AK244" s="2891">
        <f t="shared" si="1210"/>
        <v>0</v>
      </c>
      <c r="AL244" s="2847">
        <f t="shared" si="1185"/>
        <v>0</v>
      </c>
      <c r="AM244" s="2847">
        <f t="shared" si="1186"/>
        <v>0</v>
      </c>
      <c r="AN244" s="2847">
        <f t="shared" si="1186"/>
        <v>0</v>
      </c>
      <c r="AO244" s="2888">
        <f t="shared" ref="AO244:BI244" si="1211">SUM(AO86)</f>
        <v>0</v>
      </c>
      <c r="AP244" s="2888">
        <f t="shared" si="1211"/>
        <v>0</v>
      </c>
      <c r="AQ244" s="2888">
        <f t="shared" si="1211"/>
        <v>0</v>
      </c>
      <c r="AR244" s="2889">
        <f t="shared" si="1211"/>
        <v>0</v>
      </c>
      <c r="AS244" s="2889">
        <f t="shared" si="1211"/>
        <v>0</v>
      </c>
      <c r="AT244" s="2889">
        <f t="shared" si="1211"/>
        <v>0</v>
      </c>
      <c r="AU244" s="2889">
        <f t="shared" si="1211"/>
        <v>0</v>
      </c>
      <c r="AV244" s="2889">
        <f t="shared" si="1211"/>
        <v>0</v>
      </c>
      <c r="AW244" s="2889">
        <f t="shared" si="1211"/>
        <v>0</v>
      </c>
      <c r="AX244" s="2889">
        <f t="shared" si="1211"/>
        <v>0</v>
      </c>
      <c r="AY244" s="2889">
        <f t="shared" si="1211"/>
        <v>0</v>
      </c>
      <c r="AZ244" s="2889">
        <f t="shared" si="1211"/>
        <v>0</v>
      </c>
      <c r="BA244" s="2889">
        <f t="shared" si="1211"/>
        <v>0</v>
      </c>
      <c r="BB244" s="2889">
        <f t="shared" si="1211"/>
        <v>0</v>
      </c>
      <c r="BC244" s="2889">
        <f t="shared" si="1211"/>
        <v>0</v>
      </c>
      <c r="BD244" s="2890">
        <f t="shared" si="1211"/>
        <v>0</v>
      </c>
      <c r="BE244" s="2890">
        <f t="shared" si="1211"/>
        <v>0</v>
      </c>
      <c r="BF244" s="2890">
        <f t="shared" si="1211"/>
        <v>0</v>
      </c>
      <c r="BG244" s="2891">
        <f t="shared" si="1211"/>
        <v>0</v>
      </c>
      <c r="BH244" s="2891">
        <f t="shared" si="1211"/>
        <v>0</v>
      </c>
      <c r="BI244" s="2891">
        <f t="shared" si="1211"/>
        <v>0</v>
      </c>
      <c r="BJ244" s="2847">
        <f t="shared" si="1188"/>
        <v>0</v>
      </c>
      <c r="BK244" s="2847">
        <f t="shared" si="1189"/>
        <v>0</v>
      </c>
      <c r="BL244" s="2847">
        <f t="shared" si="1189"/>
        <v>0</v>
      </c>
      <c r="BM244" s="2888">
        <f t="shared" ref="BM244:CG244" si="1212">SUM(BM86)</f>
        <v>0</v>
      </c>
      <c r="BN244" s="2888">
        <f t="shared" si="1212"/>
        <v>0</v>
      </c>
      <c r="BO244" s="2888">
        <f t="shared" si="1212"/>
        <v>0</v>
      </c>
      <c r="BP244" s="2889">
        <f t="shared" si="1212"/>
        <v>0</v>
      </c>
      <c r="BQ244" s="2889">
        <f t="shared" si="1212"/>
        <v>0</v>
      </c>
      <c r="BR244" s="2889">
        <f t="shared" si="1212"/>
        <v>0</v>
      </c>
      <c r="BS244" s="2889">
        <f t="shared" si="1212"/>
        <v>0</v>
      </c>
      <c r="BT244" s="2889">
        <f t="shared" si="1212"/>
        <v>0</v>
      </c>
      <c r="BU244" s="2889">
        <f t="shared" si="1212"/>
        <v>0</v>
      </c>
      <c r="BV244" s="2889">
        <f t="shared" si="1212"/>
        <v>0</v>
      </c>
      <c r="BW244" s="2889">
        <f t="shared" si="1212"/>
        <v>0</v>
      </c>
      <c r="BX244" s="2889">
        <f t="shared" si="1212"/>
        <v>0</v>
      </c>
      <c r="BY244" s="2889">
        <f t="shared" si="1212"/>
        <v>0</v>
      </c>
      <c r="BZ244" s="2889">
        <f t="shared" si="1212"/>
        <v>0</v>
      </c>
      <c r="CA244" s="2889">
        <f t="shared" si="1212"/>
        <v>0</v>
      </c>
      <c r="CB244" s="2890">
        <f t="shared" si="1212"/>
        <v>0</v>
      </c>
      <c r="CC244" s="2890">
        <f t="shared" si="1212"/>
        <v>0</v>
      </c>
      <c r="CD244" s="2890">
        <f t="shared" si="1212"/>
        <v>0</v>
      </c>
      <c r="CE244" s="2891">
        <f t="shared" si="1212"/>
        <v>0</v>
      </c>
      <c r="CF244" s="2891">
        <f t="shared" si="1212"/>
        <v>0</v>
      </c>
      <c r="CG244" s="2891">
        <f t="shared" si="1212"/>
        <v>0</v>
      </c>
      <c r="CH244" s="2847">
        <f t="shared" si="1191"/>
        <v>0</v>
      </c>
      <c r="CI244" s="2847">
        <f t="shared" si="1192"/>
        <v>0</v>
      </c>
      <c r="CJ244" s="2847">
        <f t="shared" si="1192"/>
        <v>0</v>
      </c>
      <c r="CK244" s="2822"/>
      <c r="CL244" s="2822"/>
      <c r="CM244" s="2822"/>
      <c r="CN244" s="2822"/>
    </row>
    <row r="245" spans="1:92" ht="18.75" x14ac:dyDescent="0.3">
      <c r="A245" s="2873" t="s">
        <v>95</v>
      </c>
      <c r="B245" s="2888">
        <f t="shared" ref="B245" si="1213">SUM(B44+B79)</f>
        <v>17.709656052150002</v>
      </c>
      <c r="C245" s="2888">
        <f t="shared" ref="C245:AK245" si="1214">SUM(C44+C79)</f>
        <v>17.709656052150002</v>
      </c>
      <c r="D245" s="2888">
        <f t="shared" si="1214"/>
        <v>0</v>
      </c>
      <c r="E245" s="2889">
        <f t="shared" si="1214"/>
        <v>0</v>
      </c>
      <c r="F245" s="2889">
        <f t="shared" si="1214"/>
        <v>0</v>
      </c>
      <c r="G245" s="2889">
        <f t="shared" si="1214"/>
        <v>0</v>
      </c>
      <c r="H245" s="2889">
        <f t="shared" si="1214"/>
        <v>0</v>
      </c>
      <c r="I245" s="2889">
        <f t="shared" si="1214"/>
        <v>0</v>
      </c>
      <c r="J245" s="2889">
        <f t="shared" si="1214"/>
        <v>0</v>
      </c>
      <c r="K245" s="2889">
        <f t="shared" si="1214"/>
        <v>28.96</v>
      </c>
      <c r="L245" s="2889">
        <f t="shared" si="1214"/>
        <v>28.96</v>
      </c>
      <c r="M245" s="2889">
        <f t="shared" si="1214"/>
        <v>0</v>
      </c>
      <c r="N245" s="2889">
        <f t="shared" si="1214"/>
        <v>28.96</v>
      </c>
      <c r="O245" s="2889">
        <f t="shared" si="1214"/>
        <v>28.96</v>
      </c>
      <c r="P245" s="2889">
        <f t="shared" si="1214"/>
        <v>0</v>
      </c>
      <c r="Q245" s="2888">
        <f t="shared" si="1214"/>
        <v>17.709656052150002</v>
      </c>
      <c r="R245" s="2888">
        <f t="shared" si="1214"/>
        <v>17.709656052150002</v>
      </c>
      <c r="S245" s="2888">
        <f t="shared" si="1214"/>
        <v>0</v>
      </c>
      <c r="T245" s="2889">
        <f t="shared" si="1214"/>
        <v>0</v>
      </c>
      <c r="U245" s="2889">
        <f t="shared" si="1214"/>
        <v>0</v>
      </c>
      <c r="V245" s="2889">
        <f t="shared" si="1214"/>
        <v>0</v>
      </c>
      <c r="W245" s="2889">
        <f t="shared" si="1214"/>
        <v>0</v>
      </c>
      <c r="X245" s="2889">
        <f t="shared" si="1214"/>
        <v>0</v>
      </c>
      <c r="Y245" s="2889">
        <f t="shared" si="1214"/>
        <v>0</v>
      </c>
      <c r="Z245" s="2889">
        <f t="shared" si="1214"/>
        <v>29.289000000000001</v>
      </c>
      <c r="AA245" s="2889">
        <f t="shared" si="1214"/>
        <v>29.289000000000001</v>
      </c>
      <c r="AB245" s="2889">
        <f t="shared" si="1214"/>
        <v>0</v>
      </c>
      <c r="AC245" s="2889">
        <f t="shared" si="1214"/>
        <v>29.289000000000001</v>
      </c>
      <c r="AD245" s="2889">
        <f t="shared" si="1214"/>
        <v>29.289000000000001</v>
      </c>
      <c r="AE245" s="2889">
        <f t="shared" si="1214"/>
        <v>0</v>
      </c>
      <c r="AF245" s="2890">
        <f t="shared" si="1214"/>
        <v>35.419312104300005</v>
      </c>
      <c r="AG245" s="2890">
        <f t="shared" si="1214"/>
        <v>35.419312104300005</v>
      </c>
      <c r="AH245" s="2890">
        <f t="shared" si="1214"/>
        <v>0</v>
      </c>
      <c r="AI245" s="2891">
        <f t="shared" si="1214"/>
        <v>58.249000000000002</v>
      </c>
      <c r="AJ245" s="2891">
        <f t="shared" si="1214"/>
        <v>58.249000000000002</v>
      </c>
      <c r="AK245" s="2891">
        <f t="shared" si="1214"/>
        <v>0</v>
      </c>
      <c r="AL245" s="2847">
        <f t="shared" si="1185"/>
        <v>22.829687895699998</v>
      </c>
      <c r="AM245" s="2847">
        <f t="shared" si="1186"/>
        <v>22.829687895699998</v>
      </c>
      <c r="AN245" s="2847">
        <f t="shared" si="1186"/>
        <v>0</v>
      </c>
      <c r="AO245" s="2888">
        <f t="shared" ref="AO245:BI245" si="1215">SUM(AO44+AO79)</f>
        <v>17.709656052150002</v>
      </c>
      <c r="AP245" s="2888">
        <f t="shared" si="1215"/>
        <v>17.709656052150002</v>
      </c>
      <c r="AQ245" s="2888">
        <f t="shared" si="1215"/>
        <v>0</v>
      </c>
      <c r="AR245" s="2889">
        <f t="shared" si="1215"/>
        <v>8.0000000000000002E-3</v>
      </c>
      <c r="AS245" s="2889">
        <f t="shared" si="1215"/>
        <v>8.0000000000000002E-3</v>
      </c>
      <c r="AT245" s="2889">
        <f t="shared" si="1215"/>
        <v>0</v>
      </c>
      <c r="AU245" s="2889">
        <f t="shared" si="1215"/>
        <v>0</v>
      </c>
      <c r="AV245" s="2889">
        <f t="shared" si="1215"/>
        <v>0</v>
      </c>
      <c r="AW245" s="2889">
        <f t="shared" si="1215"/>
        <v>0</v>
      </c>
      <c r="AX245" s="2889">
        <f t="shared" si="1215"/>
        <v>29.61</v>
      </c>
      <c r="AY245" s="2889">
        <f t="shared" si="1215"/>
        <v>29.61</v>
      </c>
      <c r="AZ245" s="2889">
        <f t="shared" si="1215"/>
        <v>0</v>
      </c>
      <c r="BA245" s="2889">
        <f t="shared" si="1215"/>
        <v>29.617999999999999</v>
      </c>
      <c r="BB245" s="2889">
        <f t="shared" si="1215"/>
        <v>29.617999999999999</v>
      </c>
      <c r="BC245" s="2889">
        <f t="shared" si="1215"/>
        <v>0</v>
      </c>
      <c r="BD245" s="2890">
        <f t="shared" si="1215"/>
        <v>53.12896815645</v>
      </c>
      <c r="BE245" s="2890">
        <f t="shared" si="1215"/>
        <v>53.12896815645</v>
      </c>
      <c r="BF245" s="2890">
        <f t="shared" si="1215"/>
        <v>0</v>
      </c>
      <c r="BG245" s="2891">
        <f t="shared" si="1215"/>
        <v>87.867000000000004</v>
      </c>
      <c r="BH245" s="2891">
        <f t="shared" si="1215"/>
        <v>87.867000000000004</v>
      </c>
      <c r="BI245" s="2891">
        <f t="shared" si="1215"/>
        <v>0</v>
      </c>
      <c r="BJ245" s="2847">
        <f t="shared" si="1188"/>
        <v>34.738031843550004</v>
      </c>
      <c r="BK245" s="2847">
        <f t="shared" si="1189"/>
        <v>34.738031843550004</v>
      </c>
      <c r="BL245" s="2847">
        <f t="shared" si="1189"/>
        <v>0</v>
      </c>
      <c r="BM245" s="2888">
        <f t="shared" ref="BM245:CG245" si="1216">SUM(BM44+BM79)</f>
        <v>17.709656052150002</v>
      </c>
      <c r="BN245" s="2888">
        <f t="shared" si="1216"/>
        <v>17.709656052150002</v>
      </c>
      <c r="BO245" s="2888">
        <f t="shared" si="1216"/>
        <v>0</v>
      </c>
      <c r="BP245" s="2889">
        <f t="shared" si="1216"/>
        <v>0</v>
      </c>
      <c r="BQ245" s="2889">
        <f t="shared" si="1216"/>
        <v>0</v>
      </c>
      <c r="BR245" s="2889">
        <f t="shared" si="1216"/>
        <v>0</v>
      </c>
      <c r="BS245" s="2889">
        <f t="shared" si="1216"/>
        <v>0</v>
      </c>
      <c r="BT245" s="2889">
        <f t="shared" si="1216"/>
        <v>0</v>
      </c>
      <c r="BU245" s="2889">
        <f t="shared" si="1216"/>
        <v>0</v>
      </c>
      <c r="BV245" s="2889">
        <f t="shared" si="1216"/>
        <v>29.612000000000002</v>
      </c>
      <c r="BW245" s="2889">
        <f t="shared" si="1216"/>
        <v>29.612000000000002</v>
      </c>
      <c r="BX245" s="2889">
        <f t="shared" si="1216"/>
        <v>0</v>
      </c>
      <c r="BY245" s="2889">
        <f t="shared" si="1216"/>
        <v>29.612000000000002</v>
      </c>
      <c r="BZ245" s="2889">
        <f t="shared" si="1216"/>
        <v>29.612000000000002</v>
      </c>
      <c r="CA245" s="2889">
        <f t="shared" si="1216"/>
        <v>0</v>
      </c>
      <c r="CB245" s="2890">
        <f t="shared" si="1216"/>
        <v>70.83862420860001</v>
      </c>
      <c r="CC245" s="2890">
        <f t="shared" si="1216"/>
        <v>70.83862420860001</v>
      </c>
      <c r="CD245" s="2890">
        <f t="shared" si="1216"/>
        <v>0</v>
      </c>
      <c r="CE245" s="2891">
        <f t="shared" si="1216"/>
        <v>117.479</v>
      </c>
      <c r="CF245" s="2891">
        <f t="shared" si="1216"/>
        <v>117.479</v>
      </c>
      <c r="CG245" s="2891">
        <f t="shared" si="1216"/>
        <v>0</v>
      </c>
      <c r="CH245" s="2847">
        <f t="shared" si="1191"/>
        <v>46.64037579139999</v>
      </c>
      <c r="CI245" s="2847">
        <f t="shared" si="1192"/>
        <v>46.64037579139999</v>
      </c>
      <c r="CJ245" s="2847">
        <f t="shared" si="1192"/>
        <v>0</v>
      </c>
      <c r="CK245" s="2822"/>
      <c r="CL245" s="2822"/>
      <c r="CM245" s="2822"/>
      <c r="CN245" s="2822"/>
    </row>
    <row r="246" spans="1:92" ht="18.75" x14ac:dyDescent="0.3">
      <c r="A246" s="2873" t="s">
        <v>592</v>
      </c>
      <c r="B246" s="2888">
        <f>SUM(B78)</f>
        <v>18.984058236000003</v>
      </c>
      <c r="C246" s="2888">
        <f>SUM(C78)</f>
        <v>18.984058236000003</v>
      </c>
      <c r="D246" s="2888">
        <f t="shared" ref="D246:AK246" si="1217">SUM(D78)</f>
        <v>0</v>
      </c>
      <c r="E246" s="2889">
        <f t="shared" si="1217"/>
        <v>0</v>
      </c>
      <c r="F246" s="2889">
        <f t="shared" si="1217"/>
        <v>0</v>
      </c>
      <c r="G246" s="2889">
        <f t="shared" si="1217"/>
        <v>0</v>
      </c>
      <c r="H246" s="2889">
        <f t="shared" si="1217"/>
        <v>0</v>
      </c>
      <c r="I246" s="2889">
        <f t="shared" si="1217"/>
        <v>0</v>
      </c>
      <c r="J246" s="2889">
        <f t="shared" si="1217"/>
        <v>0</v>
      </c>
      <c r="K246" s="2889">
        <f t="shared" si="1217"/>
        <v>0</v>
      </c>
      <c r="L246" s="2889">
        <f t="shared" si="1217"/>
        <v>0</v>
      </c>
      <c r="M246" s="2889">
        <f t="shared" si="1217"/>
        <v>0</v>
      </c>
      <c r="N246" s="2889">
        <f t="shared" si="1217"/>
        <v>0</v>
      </c>
      <c r="O246" s="2889">
        <f t="shared" si="1217"/>
        <v>0</v>
      </c>
      <c r="P246" s="2889">
        <f t="shared" si="1217"/>
        <v>0</v>
      </c>
      <c r="Q246" s="2888">
        <f t="shared" si="1217"/>
        <v>18.984058236000003</v>
      </c>
      <c r="R246" s="2888">
        <f t="shared" si="1217"/>
        <v>18.984058236000003</v>
      </c>
      <c r="S246" s="2888">
        <f t="shared" si="1217"/>
        <v>0</v>
      </c>
      <c r="T246" s="2889">
        <f t="shared" si="1217"/>
        <v>0</v>
      </c>
      <c r="U246" s="2889">
        <f t="shared" si="1217"/>
        <v>0</v>
      </c>
      <c r="V246" s="2889">
        <f t="shared" si="1217"/>
        <v>0</v>
      </c>
      <c r="W246" s="2889">
        <f t="shared" si="1217"/>
        <v>0</v>
      </c>
      <c r="X246" s="2889">
        <f t="shared" si="1217"/>
        <v>0</v>
      </c>
      <c r="Y246" s="2889">
        <f t="shared" si="1217"/>
        <v>0</v>
      </c>
      <c r="Z246" s="2889">
        <f t="shared" si="1217"/>
        <v>0</v>
      </c>
      <c r="AA246" s="2889">
        <f t="shared" si="1217"/>
        <v>0</v>
      </c>
      <c r="AB246" s="2889">
        <f t="shared" si="1217"/>
        <v>0</v>
      </c>
      <c r="AC246" s="2889">
        <f t="shared" si="1217"/>
        <v>0</v>
      </c>
      <c r="AD246" s="2889">
        <f t="shared" si="1217"/>
        <v>0</v>
      </c>
      <c r="AE246" s="2889">
        <f t="shared" si="1217"/>
        <v>0</v>
      </c>
      <c r="AF246" s="2890">
        <f t="shared" si="1217"/>
        <v>37.968116472000006</v>
      </c>
      <c r="AG246" s="2890">
        <f t="shared" si="1217"/>
        <v>37.968116472000006</v>
      </c>
      <c r="AH246" s="2890">
        <f t="shared" si="1217"/>
        <v>0</v>
      </c>
      <c r="AI246" s="2891">
        <f t="shared" si="1217"/>
        <v>0</v>
      </c>
      <c r="AJ246" s="2891">
        <f t="shared" si="1217"/>
        <v>0</v>
      </c>
      <c r="AK246" s="2891">
        <f t="shared" si="1217"/>
        <v>0</v>
      </c>
      <c r="AL246" s="2847">
        <f t="shared" si="1185"/>
        <v>-37.968116472000006</v>
      </c>
      <c r="AM246" s="2847">
        <f t="shared" si="1186"/>
        <v>-37.968116472000006</v>
      </c>
      <c r="AN246" s="2847">
        <f t="shared" si="1186"/>
        <v>0</v>
      </c>
      <c r="AO246" s="2888">
        <f t="shared" ref="AO246:BI246" si="1218">SUM(AO78)</f>
        <v>18.984058236000003</v>
      </c>
      <c r="AP246" s="2888">
        <f t="shared" si="1218"/>
        <v>18.984058236000003</v>
      </c>
      <c r="AQ246" s="2888">
        <f t="shared" si="1218"/>
        <v>0</v>
      </c>
      <c r="AR246" s="2889">
        <f t="shared" si="1218"/>
        <v>0</v>
      </c>
      <c r="AS246" s="2889">
        <f t="shared" si="1218"/>
        <v>0</v>
      </c>
      <c r="AT246" s="2889">
        <f t="shared" si="1218"/>
        <v>0</v>
      </c>
      <c r="AU246" s="2889">
        <f t="shared" si="1218"/>
        <v>0</v>
      </c>
      <c r="AV246" s="2889">
        <f t="shared" si="1218"/>
        <v>0</v>
      </c>
      <c r="AW246" s="2889">
        <f t="shared" si="1218"/>
        <v>0</v>
      </c>
      <c r="AX246" s="2889">
        <f t="shared" si="1218"/>
        <v>0</v>
      </c>
      <c r="AY246" s="2889">
        <f t="shared" si="1218"/>
        <v>0</v>
      </c>
      <c r="AZ246" s="2889">
        <f t="shared" si="1218"/>
        <v>0</v>
      </c>
      <c r="BA246" s="2889">
        <f t="shared" si="1218"/>
        <v>0</v>
      </c>
      <c r="BB246" s="2889">
        <f t="shared" si="1218"/>
        <v>0</v>
      </c>
      <c r="BC246" s="2889">
        <f t="shared" si="1218"/>
        <v>0</v>
      </c>
      <c r="BD246" s="2890">
        <f t="shared" si="1218"/>
        <v>56.952174708000008</v>
      </c>
      <c r="BE246" s="2890">
        <f t="shared" si="1218"/>
        <v>56.952174708000008</v>
      </c>
      <c r="BF246" s="2890">
        <f t="shared" si="1218"/>
        <v>0</v>
      </c>
      <c r="BG246" s="2891">
        <f t="shared" si="1218"/>
        <v>0</v>
      </c>
      <c r="BH246" s="2891">
        <f t="shared" si="1218"/>
        <v>0</v>
      </c>
      <c r="BI246" s="2891">
        <f t="shared" si="1218"/>
        <v>0</v>
      </c>
      <c r="BJ246" s="2847">
        <f t="shared" si="1188"/>
        <v>-56.952174708000008</v>
      </c>
      <c r="BK246" s="2847">
        <f t="shared" si="1189"/>
        <v>-56.952174708000008</v>
      </c>
      <c r="BL246" s="2847">
        <f t="shared" si="1189"/>
        <v>0</v>
      </c>
      <c r="BM246" s="2888">
        <f t="shared" ref="BM246:CG246" si="1219">SUM(BM78)</f>
        <v>18.984058236000003</v>
      </c>
      <c r="BN246" s="2888">
        <f t="shared" si="1219"/>
        <v>18.984058236000003</v>
      </c>
      <c r="BO246" s="2888">
        <f t="shared" si="1219"/>
        <v>0</v>
      </c>
      <c r="BP246" s="2889">
        <f t="shared" si="1219"/>
        <v>0</v>
      </c>
      <c r="BQ246" s="2889">
        <f t="shared" si="1219"/>
        <v>0</v>
      </c>
      <c r="BR246" s="2889">
        <f t="shared" si="1219"/>
        <v>0</v>
      </c>
      <c r="BS246" s="2889">
        <f t="shared" si="1219"/>
        <v>0</v>
      </c>
      <c r="BT246" s="2889">
        <f t="shared" si="1219"/>
        <v>0</v>
      </c>
      <c r="BU246" s="2889">
        <f t="shared" si="1219"/>
        <v>0</v>
      </c>
      <c r="BV246" s="2889">
        <f t="shared" si="1219"/>
        <v>0</v>
      </c>
      <c r="BW246" s="2889">
        <f t="shared" si="1219"/>
        <v>0</v>
      </c>
      <c r="BX246" s="2889">
        <f t="shared" si="1219"/>
        <v>0</v>
      </c>
      <c r="BY246" s="2889">
        <f t="shared" si="1219"/>
        <v>0</v>
      </c>
      <c r="BZ246" s="2889">
        <f t="shared" si="1219"/>
        <v>0</v>
      </c>
      <c r="CA246" s="2889">
        <f t="shared" si="1219"/>
        <v>0</v>
      </c>
      <c r="CB246" s="2890">
        <f t="shared" si="1219"/>
        <v>75.936232944000011</v>
      </c>
      <c r="CC246" s="2890">
        <f t="shared" si="1219"/>
        <v>75.936232944000011</v>
      </c>
      <c r="CD246" s="2890">
        <f t="shared" si="1219"/>
        <v>0</v>
      </c>
      <c r="CE246" s="2891">
        <f t="shared" si="1219"/>
        <v>0</v>
      </c>
      <c r="CF246" s="2891">
        <f t="shared" si="1219"/>
        <v>0</v>
      </c>
      <c r="CG246" s="2891">
        <f t="shared" si="1219"/>
        <v>0</v>
      </c>
      <c r="CH246" s="2847">
        <f t="shared" si="1191"/>
        <v>-75.936232944000011</v>
      </c>
      <c r="CI246" s="2847">
        <f t="shared" si="1192"/>
        <v>-75.936232944000011</v>
      </c>
      <c r="CJ246" s="2847">
        <f t="shared" si="1192"/>
        <v>0</v>
      </c>
      <c r="CK246" s="2822"/>
      <c r="CL246" s="2822"/>
      <c r="CM246" s="2822"/>
      <c r="CN246" s="2822"/>
    </row>
    <row r="247" spans="1:92" ht="18.75" x14ac:dyDescent="0.3">
      <c r="A247" s="2873" t="s">
        <v>42</v>
      </c>
      <c r="B247" s="2888">
        <f>SUM(B80)</f>
        <v>15.1813246455</v>
      </c>
      <c r="C247" s="2888">
        <f>SUM(C80)</f>
        <v>15.1813246455</v>
      </c>
      <c r="D247" s="2888">
        <f t="shared" ref="D247:AK247" si="1220">SUM(D80)</f>
        <v>0</v>
      </c>
      <c r="E247" s="2889">
        <f t="shared" si="1220"/>
        <v>0</v>
      </c>
      <c r="F247" s="2889">
        <f t="shared" si="1220"/>
        <v>0</v>
      </c>
      <c r="G247" s="2889">
        <f t="shared" si="1220"/>
        <v>0</v>
      </c>
      <c r="H247" s="2889">
        <f t="shared" si="1220"/>
        <v>0</v>
      </c>
      <c r="I247" s="2889">
        <f t="shared" si="1220"/>
        <v>0</v>
      </c>
      <c r="J247" s="2889">
        <f t="shared" si="1220"/>
        <v>0</v>
      </c>
      <c r="K247" s="2889">
        <f t="shared" si="1220"/>
        <v>6.0759999999999996</v>
      </c>
      <c r="L247" s="2889">
        <f t="shared" si="1220"/>
        <v>6.0759999999999996</v>
      </c>
      <c r="M247" s="2889">
        <f t="shared" si="1220"/>
        <v>0</v>
      </c>
      <c r="N247" s="2889">
        <f t="shared" si="1220"/>
        <v>6.0759999999999996</v>
      </c>
      <c r="O247" s="2889">
        <f t="shared" si="1220"/>
        <v>6.0759999999999996</v>
      </c>
      <c r="P247" s="2889">
        <f t="shared" si="1220"/>
        <v>0</v>
      </c>
      <c r="Q247" s="2888">
        <f t="shared" si="1220"/>
        <v>15.1813246455</v>
      </c>
      <c r="R247" s="2888">
        <f t="shared" si="1220"/>
        <v>15.1813246455</v>
      </c>
      <c r="S247" s="2888">
        <f t="shared" si="1220"/>
        <v>0</v>
      </c>
      <c r="T247" s="2889">
        <f t="shared" si="1220"/>
        <v>0</v>
      </c>
      <c r="U247" s="2889">
        <f t="shared" si="1220"/>
        <v>0</v>
      </c>
      <c r="V247" s="2889">
        <f t="shared" si="1220"/>
        <v>0</v>
      </c>
      <c r="W247" s="2889">
        <f t="shared" si="1220"/>
        <v>0</v>
      </c>
      <c r="X247" s="2889">
        <f t="shared" si="1220"/>
        <v>0</v>
      </c>
      <c r="Y247" s="2889">
        <f t="shared" si="1220"/>
        <v>0</v>
      </c>
      <c r="Z247" s="2889">
        <f t="shared" si="1220"/>
        <v>50.335999999999999</v>
      </c>
      <c r="AA247" s="2889">
        <f t="shared" si="1220"/>
        <v>50.335999999999999</v>
      </c>
      <c r="AB247" s="2889">
        <f t="shared" si="1220"/>
        <v>0</v>
      </c>
      <c r="AC247" s="2889">
        <f t="shared" si="1220"/>
        <v>50.335999999999999</v>
      </c>
      <c r="AD247" s="2889">
        <f t="shared" si="1220"/>
        <v>50.335999999999999</v>
      </c>
      <c r="AE247" s="2889">
        <f t="shared" si="1220"/>
        <v>0</v>
      </c>
      <c r="AF247" s="2890">
        <f t="shared" si="1220"/>
        <v>30.362649291</v>
      </c>
      <c r="AG247" s="2890">
        <f t="shared" si="1220"/>
        <v>30.362649291</v>
      </c>
      <c r="AH247" s="2890">
        <f t="shared" si="1220"/>
        <v>0</v>
      </c>
      <c r="AI247" s="2891">
        <f t="shared" si="1220"/>
        <v>56.411999999999999</v>
      </c>
      <c r="AJ247" s="2891">
        <f t="shared" si="1220"/>
        <v>56.411999999999999</v>
      </c>
      <c r="AK247" s="2891">
        <f t="shared" si="1220"/>
        <v>0</v>
      </c>
      <c r="AL247" s="2847">
        <f t="shared" si="1185"/>
        <v>26.049350708999999</v>
      </c>
      <c r="AM247" s="2847">
        <f t="shared" si="1186"/>
        <v>26.049350708999999</v>
      </c>
      <c r="AN247" s="2847">
        <f t="shared" si="1186"/>
        <v>0</v>
      </c>
      <c r="AO247" s="2888">
        <f t="shared" ref="AO247:BI247" si="1221">SUM(AO80)</f>
        <v>15.1813246455</v>
      </c>
      <c r="AP247" s="2888">
        <f t="shared" si="1221"/>
        <v>15.1813246455</v>
      </c>
      <c r="AQ247" s="2888">
        <f t="shared" si="1221"/>
        <v>0</v>
      </c>
      <c r="AR247" s="2889">
        <f t="shared" si="1221"/>
        <v>0</v>
      </c>
      <c r="AS247" s="2889">
        <f t="shared" si="1221"/>
        <v>0</v>
      </c>
      <c r="AT247" s="2889">
        <f t="shared" si="1221"/>
        <v>0</v>
      </c>
      <c r="AU247" s="2889">
        <f t="shared" si="1221"/>
        <v>0</v>
      </c>
      <c r="AV247" s="2889">
        <f t="shared" si="1221"/>
        <v>0</v>
      </c>
      <c r="AW247" s="2889">
        <f t="shared" si="1221"/>
        <v>0</v>
      </c>
      <c r="AX247" s="2889">
        <f t="shared" si="1221"/>
        <v>34.158999999999999</v>
      </c>
      <c r="AY247" s="2889">
        <f t="shared" si="1221"/>
        <v>34.158999999999999</v>
      </c>
      <c r="AZ247" s="2889">
        <f t="shared" si="1221"/>
        <v>0</v>
      </c>
      <c r="BA247" s="2889">
        <f t="shared" si="1221"/>
        <v>34.158999999999999</v>
      </c>
      <c r="BB247" s="2889">
        <f t="shared" si="1221"/>
        <v>34.158999999999999</v>
      </c>
      <c r="BC247" s="2889">
        <f t="shared" si="1221"/>
        <v>0</v>
      </c>
      <c r="BD247" s="2890">
        <f t="shared" si="1221"/>
        <v>45.543973936500002</v>
      </c>
      <c r="BE247" s="2890">
        <f t="shared" si="1221"/>
        <v>45.543973936500002</v>
      </c>
      <c r="BF247" s="2890">
        <f t="shared" si="1221"/>
        <v>0</v>
      </c>
      <c r="BG247" s="2891">
        <f t="shared" si="1221"/>
        <v>90.570999999999998</v>
      </c>
      <c r="BH247" s="2891">
        <f t="shared" si="1221"/>
        <v>90.570999999999998</v>
      </c>
      <c r="BI247" s="2891">
        <f t="shared" si="1221"/>
        <v>0</v>
      </c>
      <c r="BJ247" s="2847">
        <f t="shared" si="1188"/>
        <v>45.027026063499996</v>
      </c>
      <c r="BK247" s="2847">
        <f t="shared" si="1189"/>
        <v>45.027026063499996</v>
      </c>
      <c r="BL247" s="2847">
        <f t="shared" si="1189"/>
        <v>0</v>
      </c>
      <c r="BM247" s="2888">
        <f t="shared" ref="BM247:CG247" si="1222">SUM(BM80)</f>
        <v>15.1813246455</v>
      </c>
      <c r="BN247" s="2888">
        <f t="shared" si="1222"/>
        <v>15.1813246455</v>
      </c>
      <c r="BO247" s="2888">
        <f t="shared" si="1222"/>
        <v>0</v>
      </c>
      <c r="BP247" s="2889">
        <f t="shared" si="1222"/>
        <v>0</v>
      </c>
      <c r="BQ247" s="2889">
        <f t="shared" si="1222"/>
        <v>0</v>
      </c>
      <c r="BR247" s="2889">
        <f t="shared" si="1222"/>
        <v>0</v>
      </c>
      <c r="BS247" s="2889">
        <f t="shared" si="1222"/>
        <v>0</v>
      </c>
      <c r="BT247" s="2889">
        <f t="shared" si="1222"/>
        <v>0</v>
      </c>
      <c r="BU247" s="2889">
        <f t="shared" si="1222"/>
        <v>0</v>
      </c>
      <c r="BV247" s="2889">
        <f t="shared" si="1222"/>
        <v>15.468</v>
      </c>
      <c r="BW247" s="2889">
        <f t="shared" si="1222"/>
        <v>15.468</v>
      </c>
      <c r="BX247" s="2889">
        <f t="shared" si="1222"/>
        <v>0</v>
      </c>
      <c r="BY247" s="2889">
        <f t="shared" si="1222"/>
        <v>15.468</v>
      </c>
      <c r="BZ247" s="2889">
        <f t="shared" si="1222"/>
        <v>15.468</v>
      </c>
      <c r="CA247" s="2889">
        <f t="shared" si="1222"/>
        <v>0</v>
      </c>
      <c r="CB247" s="2890">
        <f t="shared" si="1222"/>
        <v>60.725298582000001</v>
      </c>
      <c r="CC247" s="2890">
        <f t="shared" si="1222"/>
        <v>60.725298582000001</v>
      </c>
      <c r="CD247" s="2890">
        <f t="shared" si="1222"/>
        <v>0</v>
      </c>
      <c r="CE247" s="2891">
        <f t="shared" si="1222"/>
        <v>106.039</v>
      </c>
      <c r="CF247" s="2891">
        <f t="shared" si="1222"/>
        <v>106.039</v>
      </c>
      <c r="CG247" s="2891">
        <f t="shared" si="1222"/>
        <v>0</v>
      </c>
      <c r="CH247" s="2847">
        <f t="shared" si="1191"/>
        <v>45.313701418000001</v>
      </c>
      <c r="CI247" s="2847">
        <f t="shared" si="1192"/>
        <v>45.313701418000001</v>
      </c>
      <c r="CJ247" s="2847">
        <f t="shared" si="1192"/>
        <v>0</v>
      </c>
      <c r="CK247" s="2822"/>
      <c r="CL247" s="2822"/>
      <c r="CM247" s="2822"/>
      <c r="CN247" s="2822"/>
    </row>
    <row r="248" spans="1:92" ht="18.75" x14ac:dyDescent="0.3">
      <c r="A248" s="2873" t="s">
        <v>3735</v>
      </c>
      <c r="B248" s="2888">
        <f>SUM(B77)</f>
        <v>0</v>
      </c>
      <c r="C248" s="2888">
        <f>SUM(C77)</f>
        <v>0</v>
      </c>
      <c r="D248" s="2888">
        <f t="shared" ref="D248:AK248" si="1223">SUM(D77)</f>
        <v>0</v>
      </c>
      <c r="E248" s="2889">
        <f t="shared" si="1223"/>
        <v>0</v>
      </c>
      <c r="F248" s="2889">
        <f t="shared" si="1223"/>
        <v>0</v>
      </c>
      <c r="G248" s="2889">
        <f t="shared" si="1223"/>
        <v>0</v>
      </c>
      <c r="H248" s="2889">
        <f t="shared" si="1223"/>
        <v>0</v>
      </c>
      <c r="I248" s="2889">
        <f t="shared" si="1223"/>
        <v>0</v>
      </c>
      <c r="J248" s="2889">
        <f t="shared" si="1223"/>
        <v>0</v>
      </c>
      <c r="K248" s="2889">
        <f t="shared" si="1223"/>
        <v>0</v>
      </c>
      <c r="L248" s="2889">
        <f t="shared" si="1223"/>
        <v>0</v>
      </c>
      <c r="M248" s="2889">
        <f t="shared" si="1223"/>
        <v>0</v>
      </c>
      <c r="N248" s="2889">
        <f t="shared" si="1223"/>
        <v>0</v>
      </c>
      <c r="O248" s="2889">
        <f t="shared" si="1223"/>
        <v>0</v>
      </c>
      <c r="P248" s="2889">
        <f t="shared" si="1223"/>
        <v>0</v>
      </c>
      <c r="Q248" s="2888">
        <f t="shared" si="1223"/>
        <v>0</v>
      </c>
      <c r="R248" s="2888">
        <f t="shared" si="1223"/>
        <v>0</v>
      </c>
      <c r="S248" s="2888">
        <f t="shared" si="1223"/>
        <v>0</v>
      </c>
      <c r="T248" s="2889">
        <f t="shared" si="1223"/>
        <v>0</v>
      </c>
      <c r="U248" s="2889">
        <f t="shared" si="1223"/>
        <v>0</v>
      </c>
      <c r="V248" s="2889">
        <f t="shared" si="1223"/>
        <v>0</v>
      </c>
      <c r="W248" s="2889">
        <f t="shared" si="1223"/>
        <v>0</v>
      </c>
      <c r="X248" s="2889">
        <f t="shared" si="1223"/>
        <v>0</v>
      </c>
      <c r="Y248" s="2889">
        <f t="shared" si="1223"/>
        <v>0</v>
      </c>
      <c r="Z248" s="2889">
        <f t="shared" si="1223"/>
        <v>0</v>
      </c>
      <c r="AA248" s="2889">
        <f t="shared" si="1223"/>
        <v>0</v>
      </c>
      <c r="AB248" s="2889">
        <f t="shared" si="1223"/>
        <v>0</v>
      </c>
      <c r="AC248" s="2889">
        <f t="shared" si="1223"/>
        <v>0</v>
      </c>
      <c r="AD248" s="2889">
        <f t="shared" si="1223"/>
        <v>0</v>
      </c>
      <c r="AE248" s="2889">
        <f t="shared" si="1223"/>
        <v>0</v>
      </c>
      <c r="AF248" s="2890">
        <f t="shared" si="1223"/>
        <v>0</v>
      </c>
      <c r="AG248" s="2890">
        <f t="shared" si="1223"/>
        <v>0</v>
      </c>
      <c r="AH248" s="2890">
        <f t="shared" si="1223"/>
        <v>0</v>
      </c>
      <c r="AI248" s="2891">
        <f t="shared" si="1223"/>
        <v>0</v>
      </c>
      <c r="AJ248" s="2891">
        <f t="shared" si="1223"/>
        <v>0</v>
      </c>
      <c r="AK248" s="2891">
        <f t="shared" si="1223"/>
        <v>0</v>
      </c>
      <c r="AL248" s="2847">
        <f t="shared" si="1185"/>
        <v>0</v>
      </c>
      <c r="AM248" s="2847">
        <f t="shared" si="1186"/>
        <v>0</v>
      </c>
      <c r="AN248" s="2847">
        <f t="shared" si="1186"/>
        <v>0</v>
      </c>
      <c r="AO248" s="2888">
        <f t="shared" ref="AO248:BI248" si="1224">SUM(AO77)</f>
        <v>0</v>
      </c>
      <c r="AP248" s="2888">
        <f t="shared" si="1224"/>
        <v>0</v>
      </c>
      <c r="AQ248" s="2888">
        <f t="shared" si="1224"/>
        <v>0</v>
      </c>
      <c r="AR248" s="2889">
        <f t="shared" si="1224"/>
        <v>0</v>
      </c>
      <c r="AS248" s="2889">
        <f t="shared" si="1224"/>
        <v>0</v>
      </c>
      <c r="AT248" s="2889">
        <f t="shared" si="1224"/>
        <v>0</v>
      </c>
      <c r="AU248" s="2889">
        <f t="shared" si="1224"/>
        <v>0</v>
      </c>
      <c r="AV248" s="2889">
        <f t="shared" si="1224"/>
        <v>0</v>
      </c>
      <c r="AW248" s="2889">
        <f t="shared" si="1224"/>
        <v>0</v>
      </c>
      <c r="AX248" s="2889">
        <f t="shared" si="1224"/>
        <v>0</v>
      </c>
      <c r="AY248" s="2889">
        <f t="shared" si="1224"/>
        <v>0</v>
      </c>
      <c r="AZ248" s="2889">
        <f t="shared" si="1224"/>
        <v>0</v>
      </c>
      <c r="BA248" s="2889">
        <f t="shared" si="1224"/>
        <v>0</v>
      </c>
      <c r="BB248" s="2889">
        <f t="shared" si="1224"/>
        <v>0</v>
      </c>
      <c r="BC248" s="2889">
        <f t="shared" si="1224"/>
        <v>0</v>
      </c>
      <c r="BD248" s="2890">
        <f t="shared" si="1224"/>
        <v>0</v>
      </c>
      <c r="BE248" s="2890">
        <f t="shared" si="1224"/>
        <v>0</v>
      </c>
      <c r="BF248" s="2890">
        <f t="shared" si="1224"/>
        <v>0</v>
      </c>
      <c r="BG248" s="2891">
        <f t="shared" si="1224"/>
        <v>0</v>
      </c>
      <c r="BH248" s="2891">
        <f t="shared" si="1224"/>
        <v>0</v>
      </c>
      <c r="BI248" s="2891">
        <f t="shared" si="1224"/>
        <v>0</v>
      </c>
      <c r="BJ248" s="2847">
        <f t="shared" si="1188"/>
        <v>0</v>
      </c>
      <c r="BK248" s="2847">
        <f t="shared" si="1189"/>
        <v>0</v>
      </c>
      <c r="BL248" s="2847">
        <f t="shared" si="1189"/>
        <v>0</v>
      </c>
      <c r="BM248" s="2888">
        <f t="shared" ref="BM248:CG248" si="1225">SUM(BM77)</f>
        <v>0</v>
      </c>
      <c r="BN248" s="2888">
        <f t="shared" si="1225"/>
        <v>0</v>
      </c>
      <c r="BO248" s="2888">
        <f t="shared" si="1225"/>
        <v>0</v>
      </c>
      <c r="BP248" s="2889">
        <f t="shared" si="1225"/>
        <v>0</v>
      </c>
      <c r="BQ248" s="2889">
        <f t="shared" si="1225"/>
        <v>0</v>
      </c>
      <c r="BR248" s="2889">
        <f t="shared" si="1225"/>
        <v>0</v>
      </c>
      <c r="BS248" s="2889">
        <f t="shared" si="1225"/>
        <v>0</v>
      </c>
      <c r="BT248" s="2889">
        <f t="shared" si="1225"/>
        <v>0</v>
      </c>
      <c r="BU248" s="2889">
        <f t="shared" si="1225"/>
        <v>0</v>
      </c>
      <c r="BV248" s="2889">
        <f t="shared" si="1225"/>
        <v>0</v>
      </c>
      <c r="BW248" s="2889">
        <f t="shared" si="1225"/>
        <v>0</v>
      </c>
      <c r="BX248" s="2889">
        <f t="shared" si="1225"/>
        <v>0</v>
      </c>
      <c r="BY248" s="2889">
        <f t="shared" si="1225"/>
        <v>0</v>
      </c>
      <c r="BZ248" s="2889">
        <f t="shared" si="1225"/>
        <v>0</v>
      </c>
      <c r="CA248" s="2889">
        <f t="shared" si="1225"/>
        <v>0</v>
      </c>
      <c r="CB248" s="2890">
        <f t="shared" si="1225"/>
        <v>0</v>
      </c>
      <c r="CC248" s="2890">
        <f t="shared" si="1225"/>
        <v>0</v>
      </c>
      <c r="CD248" s="2890">
        <f t="shared" si="1225"/>
        <v>0</v>
      </c>
      <c r="CE248" s="2891">
        <f t="shared" si="1225"/>
        <v>0</v>
      </c>
      <c r="CF248" s="2891">
        <f t="shared" si="1225"/>
        <v>0</v>
      </c>
      <c r="CG248" s="2891">
        <f t="shared" si="1225"/>
        <v>0</v>
      </c>
      <c r="CH248" s="2847">
        <f t="shared" si="1191"/>
        <v>0</v>
      </c>
      <c r="CI248" s="2847">
        <f t="shared" si="1192"/>
        <v>0</v>
      </c>
      <c r="CJ248" s="2847">
        <f t="shared" si="1192"/>
        <v>0</v>
      </c>
      <c r="CK248" s="2822"/>
      <c r="CL248" s="2822"/>
      <c r="CM248" s="2822"/>
      <c r="CN248" s="2822"/>
    </row>
    <row r="249" spans="1:92" ht="18.75" x14ac:dyDescent="0.3">
      <c r="A249" s="2873" t="s">
        <v>32</v>
      </c>
      <c r="B249" s="2888">
        <f>SUM(B88+B116+B136)</f>
        <v>36.583837011875005</v>
      </c>
      <c r="C249" s="2888">
        <f>SUM(C88+C116+C136)</f>
        <v>36.583837011875005</v>
      </c>
      <c r="D249" s="2888">
        <f t="shared" ref="D249:AK249" si="1226">SUM(D88+D116+D136)</f>
        <v>0</v>
      </c>
      <c r="E249" s="2889">
        <f t="shared" si="1226"/>
        <v>6.62</v>
      </c>
      <c r="F249" s="2889">
        <f t="shared" si="1226"/>
        <v>6.62</v>
      </c>
      <c r="G249" s="2889">
        <f t="shared" si="1226"/>
        <v>0</v>
      </c>
      <c r="H249" s="2889">
        <f t="shared" si="1226"/>
        <v>6.6630000000000003</v>
      </c>
      <c r="I249" s="2889">
        <f t="shared" si="1226"/>
        <v>6.6630000000000003</v>
      </c>
      <c r="J249" s="2889">
        <f t="shared" si="1226"/>
        <v>0</v>
      </c>
      <c r="K249" s="2889">
        <f t="shared" si="1226"/>
        <v>53.863</v>
      </c>
      <c r="L249" s="2889">
        <f t="shared" si="1226"/>
        <v>53.863</v>
      </c>
      <c r="M249" s="2889">
        <f t="shared" si="1226"/>
        <v>0</v>
      </c>
      <c r="N249" s="2889">
        <f t="shared" si="1226"/>
        <v>67.146000000000001</v>
      </c>
      <c r="O249" s="2889">
        <f t="shared" si="1226"/>
        <v>67.146000000000001</v>
      </c>
      <c r="P249" s="2889">
        <f t="shared" si="1226"/>
        <v>0</v>
      </c>
      <c r="Q249" s="2888">
        <f t="shared" si="1226"/>
        <v>36.583837011875005</v>
      </c>
      <c r="R249" s="2888">
        <f t="shared" si="1226"/>
        <v>36.583837011875005</v>
      </c>
      <c r="S249" s="2888">
        <f t="shared" si="1226"/>
        <v>0</v>
      </c>
      <c r="T249" s="2889">
        <f t="shared" si="1226"/>
        <v>6.66</v>
      </c>
      <c r="U249" s="2889">
        <f t="shared" si="1226"/>
        <v>6.66</v>
      </c>
      <c r="V249" s="2889">
        <f t="shared" si="1226"/>
        <v>0</v>
      </c>
      <c r="W249" s="2889">
        <f t="shared" si="1226"/>
        <v>7.5600000000000005</v>
      </c>
      <c r="X249" s="2889">
        <f t="shared" si="1226"/>
        <v>7.5600000000000005</v>
      </c>
      <c r="Y249" s="2889">
        <f t="shared" si="1226"/>
        <v>0</v>
      </c>
      <c r="Z249" s="2889">
        <f t="shared" si="1226"/>
        <v>21.066000000000003</v>
      </c>
      <c r="AA249" s="2889">
        <f t="shared" si="1226"/>
        <v>21.066000000000003</v>
      </c>
      <c r="AB249" s="2889">
        <f t="shared" si="1226"/>
        <v>0</v>
      </c>
      <c r="AC249" s="2889">
        <f t="shared" si="1226"/>
        <v>35.286000000000001</v>
      </c>
      <c r="AD249" s="2889">
        <f t="shared" si="1226"/>
        <v>35.286000000000001</v>
      </c>
      <c r="AE249" s="2889">
        <f t="shared" si="1226"/>
        <v>0</v>
      </c>
      <c r="AF249" s="2890">
        <f t="shared" si="1226"/>
        <v>73.16767402375001</v>
      </c>
      <c r="AG249" s="2890">
        <f t="shared" si="1226"/>
        <v>73.16767402375001</v>
      </c>
      <c r="AH249" s="2890">
        <f t="shared" si="1226"/>
        <v>0</v>
      </c>
      <c r="AI249" s="2891">
        <f t="shared" si="1226"/>
        <v>102.432</v>
      </c>
      <c r="AJ249" s="2891">
        <f t="shared" si="1226"/>
        <v>102.432</v>
      </c>
      <c r="AK249" s="2891">
        <f t="shared" si="1226"/>
        <v>0</v>
      </c>
      <c r="AL249" s="2847">
        <f t="shared" si="1185"/>
        <v>29.264325976249992</v>
      </c>
      <c r="AM249" s="2847">
        <f t="shared" si="1186"/>
        <v>29.264325976249992</v>
      </c>
      <c r="AN249" s="2847">
        <f t="shared" si="1186"/>
        <v>0</v>
      </c>
      <c r="AO249" s="2888">
        <f t="shared" ref="AO249:BI249" si="1227">SUM(AO88+AO116+AO136)</f>
        <v>36.583837011875005</v>
      </c>
      <c r="AP249" s="2888">
        <f t="shared" si="1227"/>
        <v>36.583837011875005</v>
      </c>
      <c r="AQ249" s="2888">
        <f t="shared" si="1227"/>
        <v>0</v>
      </c>
      <c r="AR249" s="2889">
        <f t="shared" si="1227"/>
        <v>7.41</v>
      </c>
      <c r="AS249" s="2889">
        <f t="shared" si="1227"/>
        <v>7.41</v>
      </c>
      <c r="AT249" s="2889">
        <f t="shared" si="1227"/>
        <v>0</v>
      </c>
      <c r="AU249" s="2889">
        <f t="shared" si="1227"/>
        <v>11.166</v>
      </c>
      <c r="AV249" s="2889">
        <f t="shared" si="1227"/>
        <v>11.166</v>
      </c>
      <c r="AW249" s="2889">
        <f t="shared" si="1227"/>
        <v>0</v>
      </c>
      <c r="AX249" s="2889">
        <f t="shared" si="1227"/>
        <v>21.063000000000002</v>
      </c>
      <c r="AY249" s="2889">
        <f t="shared" si="1227"/>
        <v>21.063000000000002</v>
      </c>
      <c r="AZ249" s="2889">
        <f t="shared" si="1227"/>
        <v>0</v>
      </c>
      <c r="BA249" s="2889">
        <f t="shared" si="1227"/>
        <v>39.639000000000003</v>
      </c>
      <c r="BB249" s="2889">
        <f t="shared" si="1227"/>
        <v>39.639000000000003</v>
      </c>
      <c r="BC249" s="2889">
        <f t="shared" si="1227"/>
        <v>0</v>
      </c>
      <c r="BD249" s="2890">
        <f t="shared" si="1227"/>
        <v>109.751511035625</v>
      </c>
      <c r="BE249" s="2890">
        <f t="shared" si="1227"/>
        <v>109.751511035625</v>
      </c>
      <c r="BF249" s="2890">
        <f t="shared" si="1227"/>
        <v>0</v>
      </c>
      <c r="BG249" s="2891">
        <f t="shared" si="1227"/>
        <v>142.071</v>
      </c>
      <c r="BH249" s="2891">
        <f t="shared" si="1227"/>
        <v>142.071</v>
      </c>
      <c r="BI249" s="2891">
        <f t="shared" si="1227"/>
        <v>0</v>
      </c>
      <c r="BJ249" s="2847">
        <f t="shared" si="1188"/>
        <v>32.319488964374997</v>
      </c>
      <c r="BK249" s="2847">
        <f t="shared" si="1189"/>
        <v>32.319488964374997</v>
      </c>
      <c r="BL249" s="2847">
        <f t="shared" si="1189"/>
        <v>0</v>
      </c>
      <c r="BM249" s="2888">
        <f t="shared" ref="BM249:CG249" si="1228">SUM(BM88+BM116+BM136)</f>
        <v>36.583837011875005</v>
      </c>
      <c r="BN249" s="2888">
        <f t="shared" si="1228"/>
        <v>36.583837011875005</v>
      </c>
      <c r="BO249" s="2888">
        <f t="shared" si="1228"/>
        <v>0</v>
      </c>
      <c r="BP249" s="2889">
        <f t="shared" si="1228"/>
        <v>6.6660000000000004</v>
      </c>
      <c r="BQ249" s="2889">
        <f t="shared" si="1228"/>
        <v>6.6660000000000004</v>
      </c>
      <c r="BR249" s="2889">
        <f t="shared" si="1228"/>
        <v>0</v>
      </c>
      <c r="BS249" s="2889">
        <f t="shared" si="1228"/>
        <v>8.66</v>
      </c>
      <c r="BT249" s="2889">
        <f t="shared" si="1228"/>
        <v>8.66</v>
      </c>
      <c r="BU249" s="2889">
        <f t="shared" si="1228"/>
        <v>0</v>
      </c>
      <c r="BV249" s="2889">
        <f t="shared" si="1228"/>
        <v>29.702999999999999</v>
      </c>
      <c r="BW249" s="2889">
        <f t="shared" si="1228"/>
        <v>29.702999999999999</v>
      </c>
      <c r="BX249" s="2889">
        <f t="shared" si="1228"/>
        <v>0</v>
      </c>
      <c r="BY249" s="2889">
        <f t="shared" si="1228"/>
        <v>45.028999999999996</v>
      </c>
      <c r="BZ249" s="2889">
        <f t="shared" si="1228"/>
        <v>45.028999999999996</v>
      </c>
      <c r="CA249" s="2889">
        <f t="shared" si="1228"/>
        <v>0</v>
      </c>
      <c r="CB249" s="2890">
        <f t="shared" si="1228"/>
        <v>146.33534804750002</v>
      </c>
      <c r="CC249" s="2890">
        <f t="shared" si="1228"/>
        <v>146.33534804750002</v>
      </c>
      <c r="CD249" s="2890">
        <f t="shared" si="1228"/>
        <v>0</v>
      </c>
      <c r="CE249" s="2891">
        <f t="shared" si="1228"/>
        <v>187.10000000000002</v>
      </c>
      <c r="CF249" s="2891">
        <f t="shared" si="1228"/>
        <v>187.10000000000002</v>
      </c>
      <c r="CG249" s="2891">
        <f t="shared" si="1228"/>
        <v>0</v>
      </c>
      <c r="CH249" s="2847">
        <f t="shared" si="1191"/>
        <v>40.764651952500003</v>
      </c>
      <c r="CI249" s="2847">
        <f t="shared" si="1192"/>
        <v>40.764651952500003</v>
      </c>
      <c r="CJ249" s="2847">
        <f t="shared" si="1192"/>
        <v>0</v>
      </c>
      <c r="CK249" s="2822"/>
      <c r="CL249" s="2822"/>
      <c r="CM249" s="2822"/>
      <c r="CN249" s="2822"/>
    </row>
    <row r="250" spans="1:92" ht="18.75" x14ac:dyDescent="0.3">
      <c r="A250" s="2873" t="s">
        <v>588</v>
      </c>
      <c r="B250" s="2888">
        <f>SUM(B110)</f>
        <v>390.02063784119997</v>
      </c>
      <c r="C250" s="2888">
        <f>SUM(C110)</f>
        <v>390.02063784119997</v>
      </c>
      <c r="D250" s="2888">
        <f t="shared" ref="D250:AK250" si="1229">SUM(D110)</f>
        <v>0</v>
      </c>
      <c r="E250" s="2889">
        <f t="shared" si="1229"/>
        <v>167.14999999999998</v>
      </c>
      <c r="F250" s="2889">
        <f t="shared" si="1229"/>
        <v>167.14999999999998</v>
      </c>
      <c r="G250" s="2889">
        <f t="shared" si="1229"/>
        <v>0</v>
      </c>
      <c r="H250" s="2889">
        <f t="shared" si="1229"/>
        <v>217.94490999999999</v>
      </c>
      <c r="I250" s="2889">
        <f t="shared" si="1229"/>
        <v>217.94490999999999</v>
      </c>
      <c r="J250" s="2889">
        <f t="shared" si="1229"/>
        <v>0</v>
      </c>
      <c r="K250" s="2889">
        <f t="shared" si="1229"/>
        <v>329.55</v>
      </c>
      <c r="L250" s="2889">
        <f t="shared" si="1229"/>
        <v>329.55</v>
      </c>
      <c r="M250" s="2889">
        <f t="shared" si="1229"/>
        <v>0</v>
      </c>
      <c r="N250" s="2889">
        <f t="shared" si="1229"/>
        <v>714.64490999999998</v>
      </c>
      <c r="O250" s="2889">
        <f t="shared" si="1229"/>
        <v>714.64490999999998</v>
      </c>
      <c r="P250" s="2889">
        <f t="shared" si="1229"/>
        <v>0</v>
      </c>
      <c r="Q250" s="2888">
        <f t="shared" si="1229"/>
        <v>390.02063784119997</v>
      </c>
      <c r="R250" s="2888">
        <f t="shared" si="1229"/>
        <v>390.02063784119997</v>
      </c>
      <c r="S250" s="2888">
        <f t="shared" si="1229"/>
        <v>0</v>
      </c>
      <c r="T250" s="2889">
        <f t="shared" si="1229"/>
        <v>195.9</v>
      </c>
      <c r="U250" s="2889">
        <f t="shared" si="1229"/>
        <v>195.9</v>
      </c>
      <c r="V250" s="2889">
        <f t="shared" si="1229"/>
        <v>0</v>
      </c>
      <c r="W250" s="2889">
        <f t="shared" si="1229"/>
        <v>159.32000000000002</v>
      </c>
      <c r="X250" s="2889">
        <f t="shared" si="1229"/>
        <v>159.32000000000002</v>
      </c>
      <c r="Y250" s="2889">
        <f t="shared" si="1229"/>
        <v>0</v>
      </c>
      <c r="Z250" s="2889">
        <f t="shared" si="1229"/>
        <v>170.47</v>
      </c>
      <c r="AA250" s="2889">
        <f t="shared" si="1229"/>
        <v>170.47</v>
      </c>
      <c r="AB250" s="2889">
        <f t="shared" si="1229"/>
        <v>0</v>
      </c>
      <c r="AC250" s="2889">
        <f t="shared" si="1229"/>
        <v>525.69000000000005</v>
      </c>
      <c r="AD250" s="2889">
        <f t="shared" si="1229"/>
        <v>525.69000000000005</v>
      </c>
      <c r="AE250" s="2889">
        <f t="shared" si="1229"/>
        <v>0</v>
      </c>
      <c r="AF250" s="2890">
        <f t="shared" si="1229"/>
        <v>780.04127568239994</v>
      </c>
      <c r="AG250" s="2890">
        <f t="shared" si="1229"/>
        <v>780.04127568239994</v>
      </c>
      <c r="AH250" s="2890">
        <f t="shared" si="1229"/>
        <v>0</v>
      </c>
      <c r="AI250" s="2891">
        <f t="shared" si="1229"/>
        <v>1240.33491</v>
      </c>
      <c r="AJ250" s="2891">
        <f t="shared" si="1229"/>
        <v>1240.33491</v>
      </c>
      <c r="AK250" s="2891">
        <f t="shared" si="1229"/>
        <v>0</v>
      </c>
      <c r="AL250" s="2847">
        <f t="shared" si="1185"/>
        <v>460.29363431760009</v>
      </c>
      <c r="AM250" s="2847">
        <f t="shared" si="1186"/>
        <v>460.29363431760009</v>
      </c>
      <c r="AN250" s="2847">
        <f t="shared" si="1186"/>
        <v>0</v>
      </c>
      <c r="AO250" s="2888">
        <f t="shared" ref="AO250:BI250" si="1230">SUM(AO110)</f>
        <v>390.02063784119997</v>
      </c>
      <c r="AP250" s="2888">
        <f t="shared" si="1230"/>
        <v>390.02063784119997</v>
      </c>
      <c r="AQ250" s="2888">
        <f t="shared" si="1230"/>
        <v>0</v>
      </c>
      <c r="AR250" s="2889">
        <f t="shared" si="1230"/>
        <v>156.49699999999999</v>
      </c>
      <c r="AS250" s="2889">
        <f t="shared" si="1230"/>
        <v>156.49699999999999</v>
      </c>
      <c r="AT250" s="2889">
        <f t="shared" si="1230"/>
        <v>0</v>
      </c>
      <c r="AU250" s="2889">
        <f t="shared" si="1230"/>
        <v>168.511</v>
      </c>
      <c r="AV250" s="2889">
        <f t="shared" si="1230"/>
        <v>168.511</v>
      </c>
      <c r="AW250" s="2889">
        <f t="shared" si="1230"/>
        <v>0</v>
      </c>
      <c r="AX250" s="2889">
        <f t="shared" si="1230"/>
        <v>167.02500000000001</v>
      </c>
      <c r="AY250" s="2889">
        <f t="shared" si="1230"/>
        <v>167.02500000000001</v>
      </c>
      <c r="AZ250" s="2889">
        <f t="shared" si="1230"/>
        <v>0</v>
      </c>
      <c r="BA250" s="2889">
        <f t="shared" si="1230"/>
        <v>492.03300000000002</v>
      </c>
      <c r="BB250" s="2889">
        <f t="shared" si="1230"/>
        <v>492.03300000000002</v>
      </c>
      <c r="BC250" s="2889">
        <f t="shared" si="1230"/>
        <v>0</v>
      </c>
      <c r="BD250" s="2890">
        <f t="shared" si="1230"/>
        <v>1170.0619135236</v>
      </c>
      <c r="BE250" s="2890">
        <f t="shared" si="1230"/>
        <v>1170.0619135236</v>
      </c>
      <c r="BF250" s="2890">
        <f t="shared" si="1230"/>
        <v>0</v>
      </c>
      <c r="BG250" s="2891">
        <f t="shared" si="1230"/>
        <v>1732.3679099999999</v>
      </c>
      <c r="BH250" s="2891">
        <f t="shared" si="1230"/>
        <v>1732.3679099999999</v>
      </c>
      <c r="BI250" s="2891">
        <f t="shared" si="1230"/>
        <v>0</v>
      </c>
      <c r="BJ250" s="2847">
        <f t="shared" si="1188"/>
        <v>562.30599647639997</v>
      </c>
      <c r="BK250" s="2847">
        <f t="shared" si="1189"/>
        <v>562.30599647639997</v>
      </c>
      <c r="BL250" s="2847">
        <f t="shared" si="1189"/>
        <v>0</v>
      </c>
      <c r="BM250" s="2888">
        <f t="shared" ref="BM250:CG250" si="1231">SUM(BM110)</f>
        <v>390.02063784119997</v>
      </c>
      <c r="BN250" s="2888">
        <f t="shared" si="1231"/>
        <v>390.02063784119997</v>
      </c>
      <c r="BO250" s="2888">
        <f t="shared" si="1231"/>
        <v>0</v>
      </c>
      <c r="BP250" s="2889">
        <f t="shared" si="1231"/>
        <v>193.96800000000002</v>
      </c>
      <c r="BQ250" s="2889">
        <f t="shared" si="1231"/>
        <v>193.96800000000002</v>
      </c>
      <c r="BR250" s="2889">
        <f t="shared" si="1231"/>
        <v>0</v>
      </c>
      <c r="BS250" s="2889">
        <f t="shared" si="1231"/>
        <v>190.40699999999998</v>
      </c>
      <c r="BT250" s="2889">
        <f t="shared" si="1231"/>
        <v>190.40699999999998</v>
      </c>
      <c r="BU250" s="2889">
        <f t="shared" si="1231"/>
        <v>0</v>
      </c>
      <c r="BV250" s="2889">
        <f t="shared" si="1231"/>
        <v>211.96899999999999</v>
      </c>
      <c r="BW250" s="2889">
        <f t="shared" si="1231"/>
        <v>211.96899999999999</v>
      </c>
      <c r="BX250" s="2889">
        <f t="shared" si="1231"/>
        <v>0</v>
      </c>
      <c r="BY250" s="2889">
        <f t="shared" si="1231"/>
        <v>596.34400000000005</v>
      </c>
      <c r="BZ250" s="2889">
        <f t="shared" si="1231"/>
        <v>596.34400000000005</v>
      </c>
      <c r="CA250" s="2889">
        <f t="shared" si="1231"/>
        <v>0</v>
      </c>
      <c r="CB250" s="2890">
        <f t="shared" si="1231"/>
        <v>1560.0825513647999</v>
      </c>
      <c r="CC250" s="2890">
        <f t="shared" si="1231"/>
        <v>1560.0825513647999</v>
      </c>
      <c r="CD250" s="2890">
        <f t="shared" si="1231"/>
        <v>0</v>
      </c>
      <c r="CE250" s="2891">
        <f t="shared" si="1231"/>
        <v>2328.71191</v>
      </c>
      <c r="CF250" s="2891">
        <f t="shared" si="1231"/>
        <v>2328.71191</v>
      </c>
      <c r="CG250" s="2891">
        <f t="shared" si="1231"/>
        <v>0</v>
      </c>
      <c r="CH250" s="2847">
        <f t="shared" si="1191"/>
        <v>768.62935863520011</v>
      </c>
      <c r="CI250" s="2847">
        <f t="shared" si="1192"/>
        <v>768.62935863520011</v>
      </c>
      <c r="CJ250" s="2847">
        <f t="shared" si="1192"/>
        <v>0</v>
      </c>
      <c r="CK250" s="2822"/>
      <c r="CL250" s="2822"/>
      <c r="CM250" s="2822"/>
      <c r="CN250" s="2822"/>
    </row>
    <row r="251" spans="1:92" ht="18.75" x14ac:dyDescent="0.3">
      <c r="A251" s="2873" t="s">
        <v>3760</v>
      </c>
      <c r="B251" s="2888">
        <f t="shared" ref="B251:AK251" si="1232">SUM(B112)</f>
        <v>25.785396408</v>
      </c>
      <c r="C251" s="2888">
        <f t="shared" si="1232"/>
        <v>25.785396408</v>
      </c>
      <c r="D251" s="2888">
        <f t="shared" si="1232"/>
        <v>0</v>
      </c>
      <c r="E251" s="2889">
        <f t="shared" si="1232"/>
        <v>7.72</v>
      </c>
      <c r="F251" s="2889">
        <f t="shared" si="1232"/>
        <v>7.72</v>
      </c>
      <c r="G251" s="2889">
        <f t="shared" si="1232"/>
        <v>0</v>
      </c>
      <c r="H251" s="2889">
        <f t="shared" si="1232"/>
        <v>7.7389999999999999</v>
      </c>
      <c r="I251" s="2889">
        <f t="shared" si="1232"/>
        <v>7.7389999999999999</v>
      </c>
      <c r="J251" s="2889">
        <f t="shared" si="1232"/>
        <v>0</v>
      </c>
      <c r="K251" s="2889">
        <f t="shared" si="1232"/>
        <v>7.38</v>
      </c>
      <c r="L251" s="2889">
        <f t="shared" si="1232"/>
        <v>7.38</v>
      </c>
      <c r="M251" s="2889">
        <f t="shared" si="1232"/>
        <v>0</v>
      </c>
      <c r="N251" s="2889">
        <f t="shared" si="1232"/>
        <v>22.838999999999999</v>
      </c>
      <c r="O251" s="2889">
        <f t="shared" si="1232"/>
        <v>22.838999999999999</v>
      </c>
      <c r="P251" s="2889">
        <f t="shared" si="1232"/>
        <v>0</v>
      </c>
      <c r="Q251" s="2888">
        <f t="shared" si="1232"/>
        <v>25.785396408</v>
      </c>
      <c r="R251" s="2888">
        <f t="shared" si="1232"/>
        <v>25.785396408</v>
      </c>
      <c r="S251" s="2888">
        <f t="shared" si="1232"/>
        <v>0</v>
      </c>
      <c r="T251" s="2889">
        <f t="shared" si="1232"/>
        <v>7.74</v>
      </c>
      <c r="U251" s="2889">
        <f t="shared" si="1232"/>
        <v>7.74</v>
      </c>
      <c r="V251" s="2889">
        <f t="shared" si="1232"/>
        <v>0</v>
      </c>
      <c r="W251" s="2889">
        <f t="shared" si="1232"/>
        <v>7.74</v>
      </c>
      <c r="X251" s="2889">
        <f t="shared" si="1232"/>
        <v>7.74</v>
      </c>
      <c r="Y251" s="2889">
        <f t="shared" si="1232"/>
        <v>0</v>
      </c>
      <c r="Z251" s="2889">
        <f t="shared" si="1232"/>
        <v>7.7380000000000004</v>
      </c>
      <c r="AA251" s="2889">
        <f t="shared" si="1232"/>
        <v>7.7380000000000004</v>
      </c>
      <c r="AB251" s="2889">
        <f t="shared" si="1232"/>
        <v>0</v>
      </c>
      <c r="AC251" s="2889">
        <f t="shared" si="1232"/>
        <v>23.218</v>
      </c>
      <c r="AD251" s="2889">
        <f t="shared" si="1232"/>
        <v>23.218</v>
      </c>
      <c r="AE251" s="2889">
        <f t="shared" si="1232"/>
        <v>0</v>
      </c>
      <c r="AF251" s="2890">
        <f t="shared" si="1232"/>
        <v>51.570792816000001</v>
      </c>
      <c r="AG251" s="2890">
        <f t="shared" si="1232"/>
        <v>51.570792816000001</v>
      </c>
      <c r="AH251" s="2890">
        <f t="shared" si="1232"/>
        <v>0</v>
      </c>
      <c r="AI251" s="2891">
        <f t="shared" si="1232"/>
        <v>46.057000000000002</v>
      </c>
      <c r="AJ251" s="2891">
        <f t="shared" si="1232"/>
        <v>46.057000000000002</v>
      </c>
      <c r="AK251" s="2891">
        <f t="shared" si="1232"/>
        <v>0</v>
      </c>
      <c r="AL251" s="2847">
        <f t="shared" si="1185"/>
        <v>-5.5137928159999987</v>
      </c>
      <c r="AM251" s="2847">
        <f t="shared" si="1186"/>
        <v>-5.5137928159999987</v>
      </c>
      <c r="AN251" s="2847">
        <f t="shared" si="1186"/>
        <v>0</v>
      </c>
      <c r="AO251" s="2888">
        <f t="shared" ref="AO251:BI251" si="1233">SUM(AO112)</f>
        <v>25.785396408</v>
      </c>
      <c r="AP251" s="2888">
        <f t="shared" si="1233"/>
        <v>25.785396408</v>
      </c>
      <c r="AQ251" s="2888">
        <f t="shared" si="1233"/>
        <v>0</v>
      </c>
      <c r="AR251" s="2889">
        <f t="shared" si="1233"/>
        <v>7.74</v>
      </c>
      <c r="AS251" s="2889">
        <f t="shared" si="1233"/>
        <v>7.74</v>
      </c>
      <c r="AT251" s="2889">
        <f t="shared" si="1233"/>
        <v>0</v>
      </c>
      <c r="AU251" s="2889">
        <f t="shared" si="1233"/>
        <v>7.7359999999999998</v>
      </c>
      <c r="AV251" s="2889">
        <f t="shared" si="1233"/>
        <v>7.7359999999999998</v>
      </c>
      <c r="AW251" s="2889">
        <f t="shared" si="1233"/>
        <v>0</v>
      </c>
      <c r="AX251" s="2889">
        <f t="shared" si="1233"/>
        <v>7.74</v>
      </c>
      <c r="AY251" s="2889">
        <f t="shared" si="1233"/>
        <v>7.74</v>
      </c>
      <c r="AZ251" s="2889">
        <f t="shared" si="1233"/>
        <v>0</v>
      </c>
      <c r="BA251" s="2889">
        <f t="shared" si="1233"/>
        <v>23.216000000000001</v>
      </c>
      <c r="BB251" s="2889">
        <f t="shared" si="1233"/>
        <v>23.216000000000001</v>
      </c>
      <c r="BC251" s="2889">
        <f t="shared" si="1233"/>
        <v>0</v>
      </c>
      <c r="BD251" s="2890">
        <f t="shared" si="1233"/>
        <v>77.356189224000005</v>
      </c>
      <c r="BE251" s="2890">
        <f t="shared" si="1233"/>
        <v>77.356189224000005</v>
      </c>
      <c r="BF251" s="2890">
        <f t="shared" si="1233"/>
        <v>0</v>
      </c>
      <c r="BG251" s="2891">
        <f t="shared" si="1233"/>
        <v>69.272999999999996</v>
      </c>
      <c r="BH251" s="2891">
        <f t="shared" si="1233"/>
        <v>69.272999999999996</v>
      </c>
      <c r="BI251" s="2891">
        <f t="shared" si="1233"/>
        <v>0</v>
      </c>
      <c r="BJ251" s="2847">
        <f t="shared" si="1188"/>
        <v>-8.0831892240000087</v>
      </c>
      <c r="BK251" s="2847">
        <f t="shared" si="1189"/>
        <v>-8.0831892240000087</v>
      </c>
      <c r="BL251" s="2847">
        <f t="shared" si="1189"/>
        <v>0</v>
      </c>
      <c r="BM251" s="2888">
        <f t="shared" ref="BM251:CG251" si="1234">SUM(BM112)</f>
        <v>25.785396408</v>
      </c>
      <c r="BN251" s="2888">
        <f t="shared" si="1234"/>
        <v>25.785396408</v>
      </c>
      <c r="BO251" s="2888">
        <f t="shared" si="1234"/>
        <v>0</v>
      </c>
      <c r="BP251" s="2889">
        <f t="shared" si="1234"/>
        <v>7.7359999999999998</v>
      </c>
      <c r="BQ251" s="2889">
        <f t="shared" si="1234"/>
        <v>7.7359999999999998</v>
      </c>
      <c r="BR251" s="2889">
        <f t="shared" si="1234"/>
        <v>0</v>
      </c>
      <c r="BS251" s="2889">
        <f t="shared" si="1234"/>
        <v>7.6749999999999998</v>
      </c>
      <c r="BT251" s="2889">
        <f t="shared" si="1234"/>
        <v>7.6749999999999998</v>
      </c>
      <c r="BU251" s="2889">
        <f t="shared" si="1234"/>
        <v>0</v>
      </c>
      <c r="BV251" s="2889">
        <f t="shared" si="1234"/>
        <v>7.8209999999999997</v>
      </c>
      <c r="BW251" s="2889">
        <f t="shared" si="1234"/>
        <v>7.8209999999999997</v>
      </c>
      <c r="BX251" s="2889">
        <f t="shared" si="1234"/>
        <v>0</v>
      </c>
      <c r="BY251" s="2889">
        <f t="shared" si="1234"/>
        <v>23.231999999999999</v>
      </c>
      <c r="BZ251" s="2889">
        <f t="shared" si="1234"/>
        <v>23.231999999999999</v>
      </c>
      <c r="CA251" s="2889">
        <f t="shared" si="1234"/>
        <v>0</v>
      </c>
      <c r="CB251" s="2890">
        <f t="shared" si="1234"/>
        <v>103.141585632</v>
      </c>
      <c r="CC251" s="2890">
        <f t="shared" si="1234"/>
        <v>103.141585632</v>
      </c>
      <c r="CD251" s="2890">
        <f t="shared" si="1234"/>
        <v>0</v>
      </c>
      <c r="CE251" s="2891">
        <f t="shared" si="1234"/>
        <v>92.504999999999995</v>
      </c>
      <c r="CF251" s="2891">
        <f t="shared" si="1234"/>
        <v>92.504999999999995</v>
      </c>
      <c r="CG251" s="2891">
        <f t="shared" si="1234"/>
        <v>0</v>
      </c>
      <c r="CH251" s="2847">
        <f t="shared" si="1191"/>
        <v>-10.636585632000006</v>
      </c>
      <c r="CI251" s="2847">
        <f t="shared" si="1192"/>
        <v>-10.636585632000006</v>
      </c>
      <c r="CJ251" s="2847">
        <f t="shared" si="1192"/>
        <v>0</v>
      </c>
      <c r="CK251" s="2822"/>
      <c r="CL251" s="2822"/>
      <c r="CM251" s="2822"/>
      <c r="CN251" s="2822"/>
    </row>
    <row r="252" spans="1:92" ht="18.75" x14ac:dyDescent="0.3">
      <c r="A252" s="2873" t="s">
        <v>599</v>
      </c>
      <c r="B252" s="2888">
        <f t="shared" ref="B252:AK252" si="1235">SUM(B113)</f>
        <v>3.657041064</v>
      </c>
      <c r="C252" s="2888">
        <f t="shared" si="1235"/>
        <v>3.657041064</v>
      </c>
      <c r="D252" s="2888">
        <f t="shared" si="1235"/>
        <v>0</v>
      </c>
      <c r="E252" s="2889">
        <f t="shared" si="1235"/>
        <v>2.52</v>
      </c>
      <c r="F252" s="2889">
        <f t="shared" si="1235"/>
        <v>2.52</v>
      </c>
      <c r="G252" s="2889">
        <f t="shared" si="1235"/>
        <v>0</v>
      </c>
      <c r="H252" s="2889">
        <f t="shared" si="1235"/>
        <v>1.9</v>
      </c>
      <c r="I252" s="2889">
        <f t="shared" si="1235"/>
        <v>1.9</v>
      </c>
      <c r="J252" s="2889">
        <f t="shared" si="1235"/>
        <v>0</v>
      </c>
      <c r="K252" s="2889">
        <f t="shared" si="1235"/>
        <v>3.12</v>
      </c>
      <c r="L252" s="2889">
        <f t="shared" si="1235"/>
        <v>3.12</v>
      </c>
      <c r="M252" s="2889">
        <f t="shared" si="1235"/>
        <v>0</v>
      </c>
      <c r="N252" s="2889">
        <f t="shared" si="1235"/>
        <v>7.54</v>
      </c>
      <c r="O252" s="2889">
        <f t="shared" si="1235"/>
        <v>7.54</v>
      </c>
      <c r="P252" s="2889">
        <f t="shared" si="1235"/>
        <v>0</v>
      </c>
      <c r="Q252" s="2888">
        <f t="shared" si="1235"/>
        <v>3.657041064</v>
      </c>
      <c r="R252" s="2888">
        <f t="shared" si="1235"/>
        <v>3.657041064</v>
      </c>
      <c r="S252" s="2888">
        <f t="shared" si="1235"/>
        <v>0</v>
      </c>
      <c r="T252" s="2889">
        <f t="shared" si="1235"/>
        <v>1.26</v>
      </c>
      <c r="U252" s="2889">
        <f t="shared" si="1235"/>
        <v>1.26</v>
      </c>
      <c r="V252" s="2889">
        <f t="shared" si="1235"/>
        <v>0</v>
      </c>
      <c r="W252" s="2889">
        <f t="shared" si="1235"/>
        <v>0</v>
      </c>
      <c r="X252" s="2889">
        <f t="shared" si="1235"/>
        <v>0</v>
      </c>
      <c r="Y252" s="2889">
        <f t="shared" si="1235"/>
        <v>0</v>
      </c>
      <c r="Z252" s="2889">
        <f t="shared" si="1235"/>
        <v>2.52</v>
      </c>
      <c r="AA252" s="2889">
        <f t="shared" si="1235"/>
        <v>2.52</v>
      </c>
      <c r="AB252" s="2889">
        <f t="shared" si="1235"/>
        <v>0</v>
      </c>
      <c r="AC252" s="2889">
        <f t="shared" si="1235"/>
        <v>3.7800000000000002</v>
      </c>
      <c r="AD252" s="2889">
        <f t="shared" si="1235"/>
        <v>3.7800000000000002</v>
      </c>
      <c r="AE252" s="2889">
        <f t="shared" si="1235"/>
        <v>0</v>
      </c>
      <c r="AF252" s="2890">
        <f t="shared" si="1235"/>
        <v>7.3140821279999999</v>
      </c>
      <c r="AG252" s="2890">
        <f t="shared" si="1235"/>
        <v>7.3140821279999999</v>
      </c>
      <c r="AH252" s="2890">
        <f t="shared" si="1235"/>
        <v>0</v>
      </c>
      <c r="AI252" s="2891">
        <f t="shared" si="1235"/>
        <v>11.32</v>
      </c>
      <c r="AJ252" s="2891">
        <f t="shared" si="1235"/>
        <v>11.32</v>
      </c>
      <c r="AK252" s="2891">
        <f t="shared" si="1235"/>
        <v>0</v>
      </c>
      <c r="AL252" s="2847">
        <f t="shared" si="1185"/>
        <v>4.0059178720000004</v>
      </c>
      <c r="AM252" s="2847">
        <f t="shared" si="1186"/>
        <v>4.0059178720000004</v>
      </c>
      <c r="AN252" s="2847">
        <f t="shared" si="1186"/>
        <v>0</v>
      </c>
      <c r="AO252" s="2888">
        <f t="shared" ref="AO252:BI252" si="1236">SUM(AO113)</f>
        <v>3.657041064</v>
      </c>
      <c r="AP252" s="2888">
        <f t="shared" si="1236"/>
        <v>3.657041064</v>
      </c>
      <c r="AQ252" s="2888">
        <f t="shared" si="1236"/>
        <v>0</v>
      </c>
      <c r="AR252" s="2889">
        <f t="shared" si="1236"/>
        <v>1.26</v>
      </c>
      <c r="AS252" s="2889">
        <f t="shared" si="1236"/>
        <v>1.26</v>
      </c>
      <c r="AT252" s="2889">
        <f t="shared" si="1236"/>
        <v>0</v>
      </c>
      <c r="AU252" s="2889">
        <f t="shared" si="1236"/>
        <v>1.9</v>
      </c>
      <c r="AV252" s="2889">
        <f t="shared" si="1236"/>
        <v>1.9</v>
      </c>
      <c r="AW252" s="2889">
        <f t="shared" si="1236"/>
        <v>0</v>
      </c>
      <c r="AX252" s="2889">
        <f t="shared" si="1236"/>
        <v>3.02</v>
      </c>
      <c r="AY252" s="2889">
        <f t="shared" si="1236"/>
        <v>3.02</v>
      </c>
      <c r="AZ252" s="2889">
        <f t="shared" si="1236"/>
        <v>0</v>
      </c>
      <c r="BA252" s="2889">
        <f t="shared" si="1236"/>
        <v>6.18</v>
      </c>
      <c r="BB252" s="2889">
        <f t="shared" si="1236"/>
        <v>6.18</v>
      </c>
      <c r="BC252" s="2889">
        <f t="shared" si="1236"/>
        <v>0</v>
      </c>
      <c r="BD252" s="2890">
        <f t="shared" si="1236"/>
        <v>10.971123192</v>
      </c>
      <c r="BE252" s="2890">
        <f t="shared" si="1236"/>
        <v>10.971123192</v>
      </c>
      <c r="BF252" s="2890">
        <f t="shared" si="1236"/>
        <v>0</v>
      </c>
      <c r="BG252" s="2891">
        <f t="shared" si="1236"/>
        <v>17.5</v>
      </c>
      <c r="BH252" s="2891">
        <f t="shared" si="1236"/>
        <v>17.5</v>
      </c>
      <c r="BI252" s="2891">
        <f t="shared" si="1236"/>
        <v>0</v>
      </c>
      <c r="BJ252" s="2847">
        <f t="shared" si="1188"/>
        <v>6.5288768079999997</v>
      </c>
      <c r="BK252" s="2847">
        <f t="shared" si="1189"/>
        <v>6.5288768079999997</v>
      </c>
      <c r="BL252" s="2847">
        <f t="shared" si="1189"/>
        <v>0</v>
      </c>
      <c r="BM252" s="2888">
        <f t="shared" ref="BM252:CG252" si="1237">SUM(BM113)</f>
        <v>3.657041064</v>
      </c>
      <c r="BN252" s="2888">
        <f t="shared" si="1237"/>
        <v>3.657041064</v>
      </c>
      <c r="BO252" s="2888">
        <f t="shared" si="1237"/>
        <v>0</v>
      </c>
      <c r="BP252" s="2889">
        <f t="shared" si="1237"/>
        <v>6.94</v>
      </c>
      <c r="BQ252" s="2889">
        <f t="shared" si="1237"/>
        <v>6.94</v>
      </c>
      <c r="BR252" s="2889">
        <f t="shared" si="1237"/>
        <v>0</v>
      </c>
      <c r="BS252" s="2889">
        <f t="shared" si="1237"/>
        <v>0</v>
      </c>
      <c r="BT252" s="2889">
        <f t="shared" si="1237"/>
        <v>0</v>
      </c>
      <c r="BU252" s="2889">
        <f t="shared" si="1237"/>
        <v>0</v>
      </c>
      <c r="BV252" s="2889">
        <f t="shared" si="1237"/>
        <v>3.9</v>
      </c>
      <c r="BW252" s="2889">
        <f t="shared" si="1237"/>
        <v>3.9</v>
      </c>
      <c r="BX252" s="2889">
        <f t="shared" si="1237"/>
        <v>0</v>
      </c>
      <c r="BY252" s="2889">
        <f t="shared" si="1237"/>
        <v>10.84</v>
      </c>
      <c r="BZ252" s="2889">
        <f t="shared" si="1237"/>
        <v>10.84</v>
      </c>
      <c r="CA252" s="2889">
        <f t="shared" si="1237"/>
        <v>0</v>
      </c>
      <c r="CB252" s="2890">
        <f t="shared" si="1237"/>
        <v>14.628164256</v>
      </c>
      <c r="CC252" s="2890">
        <f t="shared" si="1237"/>
        <v>14.628164256</v>
      </c>
      <c r="CD252" s="2890">
        <f t="shared" si="1237"/>
        <v>0</v>
      </c>
      <c r="CE252" s="2891">
        <f t="shared" si="1237"/>
        <v>28.34</v>
      </c>
      <c r="CF252" s="2891">
        <f t="shared" si="1237"/>
        <v>28.34</v>
      </c>
      <c r="CG252" s="2891">
        <f t="shared" si="1237"/>
        <v>0</v>
      </c>
      <c r="CH252" s="2847">
        <f t="shared" si="1191"/>
        <v>13.711835744</v>
      </c>
      <c r="CI252" s="2847">
        <f t="shared" si="1192"/>
        <v>13.711835744</v>
      </c>
      <c r="CJ252" s="2847">
        <f t="shared" si="1192"/>
        <v>0</v>
      </c>
      <c r="CK252" s="2822"/>
      <c r="CL252" s="2822"/>
      <c r="CM252" s="2822"/>
      <c r="CN252" s="2822"/>
    </row>
    <row r="253" spans="1:92" ht="18.75" x14ac:dyDescent="0.3">
      <c r="A253" s="2873" t="s">
        <v>41</v>
      </c>
      <c r="B253" s="2888">
        <f t="shared" ref="B253:AK253" si="1238">SUM(B114)</f>
        <v>0</v>
      </c>
      <c r="C253" s="2888">
        <f t="shared" si="1238"/>
        <v>0</v>
      </c>
      <c r="D253" s="2888">
        <f t="shared" si="1238"/>
        <v>0</v>
      </c>
      <c r="E253" s="2889">
        <f t="shared" si="1238"/>
        <v>0</v>
      </c>
      <c r="F253" s="2889">
        <f t="shared" si="1238"/>
        <v>0</v>
      </c>
      <c r="G253" s="2889">
        <f t="shared" si="1238"/>
        <v>0</v>
      </c>
      <c r="H253" s="2889">
        <f t="shared" si="1238"/>
        <v>0</v>
      </c>
      <c r="I253" s="2889">
        <f t="shared" si="1238"/>
        <v>0</v>
      </c>
      <c r="J253" s="2889">
        <f t="shared" si="1238"/>
        <v>0</v>
      </c>
      <c r="K253" s="2889">
        <f t="shared" si="1238"/>
        <v>0</v>
      </c>
      <c r="L253" s="2889">
        <f t="shared" si="1238"/>
        <v>0</v>
      </c>
      <c r="M253" s="2889">
        <f t="shared" si="1238"/>
        <v>0</v>
      </c>
      <c r="N253" s="2889">
        <f t="shared" si="1238"/>
        <v>0</v>
      </c>
      <c r="O253" s="2889">
        <f t="shared" si="1238"/>
        <v>0</v>
      </c>
      <c r="P253" s="2889">
        <f t="shared" si="1238"/>
        <v>0</v>
      </c>
      <c r="Q253" s="2888">
        <f t="shared" si="1238"/>
        <v>0</v>
      </c>
      <c r="R253" s="2888">
        <f t="shared" si="1238"/>
        <v>0</v>
      </c>
      <c r="S253" s="2888">
        <f t="shared" si="1238"/>
        <v>0</v>
      </c>
      <c r="T253" s="2889">
        <f t="shared" si="1238"/>
        <v>0</v>
      </c>
      <c r="U253" s="2889">
        <f t="shared" si="1238"/>
        <v>0</v>
      </c>
      <c r="V253" s="2889">
        <f t="shared" si="1238"/>
        <v>0</v>
      </c>
      <c r="W253" s="2889">
        <f t="shared" si="1238"/>
        <v>0</v>
      </c>
      <c r="X253" s="2889">
        <f t="shared" si="1238"/>
        <v>0</v>
      </c>
      <c r="Y253" s="2889">
        <f t="shared" si="1238"/>
        <v>0</v>
      </c>
      <c r="Z253" s="2889">
        <f t="shared" si="1238"/>
        <v>0</v>
      </c>
      <c r="AA253" s="2889">
        <f t="shared" si="1238"/>
        <v>0</v>
      </c>
      <c r="AB253" s="2889">
        <f t="shared" si="1238"/>
        <v>0</v>
      </c>
      <c r="AC253" s="2889">
        <f t="shared" si="1238"/>
        <v>0</v>
      </c>
      <c r="AD253" s="2889">
        <f t="shared" si="1238"/>
        <v>0</v>
      </c>
      <c r="AE253" s="2889">
        <f t="shared" si="1238"/>
        <v>0</v>
      </c>
      <c r="AF253" s="2890">
        <f t="shared" si="1238"/>
        <v>0</v>
      </c>
      <c r="AG253" s="2890">
        <f t="shared" si="1238"/>
        <v>0</v>
      </c>
      <c r="AH253" s="2890">
        <f t="shared" si="1238"/>
        <v>0</v>
      </c>
      <c r="AI253" s="2891">
        <f t="shared" si="1238"/>
        <v>0</v>
      </c>
      <c r="AJ253" s="2891">
        <f t="shared" si="1238"/>
        <v>0</v>
      </c>
      <c r="AK253" s="2891">
        <f t="shared" si="1238"/>
        <v>0</v>
      </c>
      <c r="AL253" s="2847">
        <f t="shared" si="1185"/>
        <v>0</v>
      </c>
      <c r="AM253" s="2847">
        <f t="shared" si="1186"/>
        <v>0</v>
      </c>
      <c r="AN253" s="2847">
        <f t="shared" si="1186"/>
        <v>0</v>
      </c>
      <c r="AO253" s="2888">
        <f t="shared" ref="AO253:BI253" si="1239">SUM(AO114)</f>
        <v>0</v>
      </c>
      <c r="AP253" s="2888">
        <f t="shared" si="1239"/>
        <v>0</v>
      </c>
      <c r="AQ253" s="2888">
        <f t="shared" si="1239"/>
        <v>0</v>
      </c>
      <c r="AR253" s="2889">
        <f t="shared" si="1239"/>
        <v>0</v>
      </c>
      <c r="AS253" s="2889">
        <f t="shared" si="1239"/>
        <v>0</v>
      </c>
      <c r="AT253" s="2889">
        <f t="shared" si="1239"/>
        <v>0</v>
      </c>
      <c r="AU253" s="2889">
        <f t="shared" si="1239"/>
        <v>0</v>
      </c>
      <c r="AV253" s="2889">
        <f t="shared" si="1239"/>
        <v>0</v>
      </c>
      <c r="AW253" s="2889">
        <f t="shared" si="1239"/>
        <v>0</v>
      </c>
      <c r="AX253" s="2889">
        <f t="shared" si="1239"/>
        <v>0</v>
      </c>
      <c r="AY253" s="2889">
        <f t="shared" si="1239"/>
        <v>0</v>
      </c>
      <c r="AZ253" s="2889">
        <f t="shared" si="1239"/>
        <v>0</v>
      </c>
      <c r="BA253" s="2889">
        <f t="shared" si="1239"/>
        <v>0</v>
      </c>
      <c r="BB253" s="2889">
        <f t="shared" si="1239"/>
        <v>0</v>
      </c>
      <c r="BC253" s="2889">
        <f t="shared" si="1239"/>
        <v>0</v>
      </c>
      <c r="BD253" s="2890">
        <f t="shared" si="1239"/>
        <v>0</v>
      </c>
      <c r="BE253" s="2890">
        <f t="shared" si="1239"/>
        <v>0</v>
      </c>
      <c r="BF253" s="2890">
        <f t="shared" si="1239"/>
        <v>0</v>
      </c>
      <c r="BG253" s="2891">
        <f t="shared" si="1239"/>
        <v>0</v>
      </c>
      <c r="BH253" s="2891">
        <f t="shared" si="1239"/>
        <v>0</v>
      </c>
      <c r="BI253" s="2891">
        <f t="shared" si="1239"/>
        <v>0</v>
      </c>
      <c r="BJ253" s="2847">
        <f t="shared" si="1188"/>
        <v>0</v>
      </c>
      <c r="BK253" s="2847">
        <f t="shared" si="1189"/>
        <v>0</v>
      </c>
      <c r="BL253" s="2847">
        <f t="shared" si="1189"/>
        <v>0</v>
      </c>
      <c r="BM253" s="2888">
        <f t="shared" ref="BM253:CG253" si="1240">SUM(BM114)</f>
        <v>0</v>
      </c>
      <c r="BN253" s="2888">
        <f t="shared" si="1240"/>
        <v>0</v>
      </c>
      <c r="BO253" s="2888">
        <f t="shared" si="1240"/>
        <v>0</v>
      </c>
      <c r="BP253" s="2889">
        <f t="shared" si="1240"/>
        <v>0</v>
      </c>
      <c r="BQ253" s="2889">
        <f t="shared" si="1240"/>
        <v>0</v>
      </c>
      <c r="BR253" s="2889">
        <f t="shared" si="1240"/>
        <v>0</v>
      </c>
      <c r="BS253" s="2889">
        <f t="shared" si="1240"/>
        <v>0</v>
      </c>
      <c r="BT253" s="2889">
        <f t="shared" si="1240"/>
        <v>0</v>
      </c>
      <c r="BU253" s="2889">
        <f t="shared" si="1240"/>
        <v>0</v>
      </c>
      <c r="BV253" s="2889">
        <f t="shared" si="1240"/>
        <v>0</v>
      </c>
      <c r="BW253" s="2889">
        <f t="shared" si="1240"/>
        <v>0</v>
      </c>
      <c r="BX253" s="2889">
        <f t="shared" si="1240"/>
        <v>0</v>
      </c>
      <c r="BY253" s="2889">
        <f t="shared" si="1240"/>
        <v>0</v>
      </c>
      <c r="BZ253" s="2889">
        <f t="shared" si="1240"/>
        <v>0</v>
      </c>
      <c r="CA253" s="2889">
        <f t="shared" si="1240"/>
        <v>0</v>
      </c>
      <c r="CB253" s="2890">
        <f t="shared" si="1240"/>
        <v>0</v>
      </c>
      <c r="CC253" s="2890">
        <f t="shared" si="1240"/>
        <v>0</v>
      </c>
      <c r="CD253" s="2890">
        <f t="shared" si="1240"/>
        <v>0</v>
      </c>
      <c r="CE253" s="2891">
        <f t="shared" si="1240"/>
        <v>0</v>
      </c>
      <c r="CF253" s="2891">
        <f t="shared" si="1240"/>
        <v>0</v>
      </c>
      <c r="CG253" s="2891">
        <f t="shared" si="1240"/>
        <v>0</v>
      </c>
      <c r="CH253" s="2847">
        <f t="shared" si="1191"/>
        <v>0</v>
      </c>
      <c r="CI253" s="2847">
        <f t="shared" si="1192"/>
        <v>0</v>
      </c>
      <c r="CJ253" s="2847">
        <f t="shared" si="1192"/>
        <v>0</v>
      </c>
      <c r="CK253" s="2822"/>
      <c r="CL253" s="2822"/>
      <c r="CM253" s="2822"/>
      <c r="CN253" s="2822"/>
    </row>
    <row r="254" spans="1:92" ht="18.75" x14ac:dyDescent="0.3">
      <c r="A254" s="2873" t="s">
        <v>38</v>
      </c>
      <c r="B254" s="2888">
        <f t="shared" ref="B254:AK254" si="1241">SUM(B45+B87+B115+B135)</f>
        <v>29.388657664</v>
      </c>
      <c r="C254" s="2888">
        <f t="shared" si="1241"/>
        <v>29.388657664</v>
      </c>
      <c r="D254" s="2888">
        <f t="shared" si="1241"/>
        <v>0</v>
      </c>
      <c r="E254" s="2889">
        <f t="shared" si="1241"/>
        <v>0</v>
      </c>
      <c r="F254" s="2889">
        <f t="shared" si="1241"/>
        <v>0</v>
      </c>
      <c r="G254" s="2889">
        <f t="shared" si="1241"/>
        <v>0</v>
      </c>
      <c r="H254" s="2889">
        <f t="shared" si="1241"/>
        <v>22.85</v>
      </c>
      <c r="I254" s="2889">
        <f t="shared" si="1241"/>
        <v>22.85</v>
      </c>
      <c r="J254" s="2889">
        <f t="shared" si="1241"/>
        <v>0</v>
      </c>
      <c r="K254" s="2889">
        <f t="shared" si="1241"/>
        <v>0</v>
      </c>
      <c r="L254" s="2889">
        <f t="shared" si="1241"/>
        <v>0</v>
      </c>
      <c r="M254" s="2889">
        <f t="shared" si="1241"/>
        <v>0</v>
      </c>
      <c r="N254" s="2889">
        <f t="shared" si="1241"/>
        <v>22.85</v>
      </c>
      <c r="O254" s="2889">
        <f t="shared" si="1241"/>
        <v>22.85</v>
      </c>
      <c r="P254" s="2889">
        <f t="shared" si="1241"/>
        <v>0</v>
      </c>
      <c r="Q254" s="2888">
        <f t="shared" si="1241"/>
        <v>29.388657664</v>
      </c>
      <c r="R254" s="2888">
        <f t="shared" si="1241"/>
        <v>29.388657664</v>
      </c>
      <c r="S254" s="2888">
        <f t="shared" si="1241"/>
        <v>0</v>
      </c>
      <c r="T254" s="2889">
        <f t="shared" si="1241"/>
        <v>2.2999999999999998</v>
      </c>
      <c r="U254" s="2889">
        <f t="shared" si="1241"/>
        <v>2.2999999999999998</v>
      </c>
      <c r="V254" s="2889">
        <f t="shared" si="1241"/>
        <v>0</v>
      </c>
      <c r="W254" s="2889">
        <f t="shared" si="1241"/>
        <v>0</v>
      </c>
      <c r="X254" s="2889">
        <f t="shared" si="1241"/>
        <v>0</v>
      </c>
      <c r="Y254" s="2889">
        <f t="shared" si="1241"/>
        <v>0</v>
      </c>
      <c r="Z254" s="2889">
        <f t="shared" si="1241"/>
        <v>17</v>
      </c>
      <c r="AA254" s="2889">
        <f t="shared" si="1241"/>
        <v>17</v>
      </c>
      <c r="AB254" s="2889">
        <f t="shared" si="1241"/>
        <v>0</v>
      </c>
      <c r="AC254" s="2889">
        <f t="shared" si="1241"/>
        <v>19.3</v>
      </c>
      <c r="AD254" s="2889">
        <f t="shared" si="1241"/>
        <v>19.3</v>
      </c>
      <c r="AE254" s="2889">
        <f t="shared" si="1241"/>
        <v>0</v>
      </c>
      <c r="AF254" s="2890">
        <f t="shared" si="1241"/>
        <v>58.777315328</v>
      </c>
      <c r="AG254" s="2890">
        <f t="shared" si="1241"/>
        <v>58.777315328</v>
      </c>
      <c r="AH254" s="2890">
        <f t="shared" si="1241"/>
        <v>0</v>
      </c>
      <c r="AI254" s="2891">
        <f t="shared" si="1241"/>
        <v>42.150000000000006</v>
      </c>
      <c r="AJ254" s="2891">
        <f t="shared" si="1241"/>
        <v>42.150000000000006</v>
      </c>
      <c r="AK254" s="2891">
        <f t="shared" si="1241"/>
        <v>0</v>
      </c>
      <c r="AL254" s="2847">
        <f t="shared" si="1185"/>
        <v>-16.627315327999995</v>
      </c>
      <c r="AM254" s="2847">
        <f t="shared" si="1186"/>
        <v>-16.627315327999995</v>
      </c>
      <c r="AN254" s="2847">
        <f t="shared" si="1186"/>
        <v>0</v>
      </c>
      <c r="AO254" s="2888">
        <f t="shared" ref="AO254:BI254" si="1242">SUM(AO45+AO87+AO115+AO135)</f>
        <v>29.388657664</v>
      </c>
      <c r="AP254" s="2888">
        <f t="shared" si="1242"/>
        <v>29.388657664</v>
      </c>
      <c r="AQ254" s="2888">
        <f t="shared" si="1242"/>
        <v>0</v>
      </c>
      <c r="AR254" s="2889">
        <f t="shared" si="1242"/>
        <v>30.231999999999999</v>
      </c>
      <c r="AS254" s="2889">
        <f t="shared" si="1242"/>
        <v>30.231999999999999</v>
      </c>
      <c r="AT254" s="2889">
        <f t="shared" si="1242"/>
        <v>0</v>
      </c>
      <c r="AU254" s="2889">
        <f t="shared" si="1242"/>
        <v>0</v>
      </c>
      <c r="AV254" s="2889">
        <f t="shared" si="1242"/>
        <v>0</v>
      </c>
      <c r="AW254" s="2889">
        <f t="shared" si="1242"/>
        <v>0</v>
      </c>
      <c r="AX254" s="2889">
        <f t="shared" si="1242"/>
        <v>0</v>
      </c>
      <c r="AY254" s="2889">
        <f t="shared" si="1242"/>
        <v>0</v>
      </c>
      <c r="AZ254" s="2889">
        <f t="shared" si="1242"/>
        <v>0</v>
      </c>
      <c r="BA254" s="2889">
        <f t="shared" si="1242"/>
        <v>30.231999999999999</v>
      </c>
      <c r="BB254" s="2889">
        <f t="shared" si="1242"/>
        <v>30.231999999999999</v>
      </c>
      <c r="BC254" s="2889">
        <f t="shared" si="1242"/>
        <v>0</v>
      </c>
      <c r="BD254" s="2890">
        <f t="shared" si="1242"/>
        <v>88.165972992000007</v>
      </c>
      <c r="BE254" s="2890">
        <f t="shared" si="1242"/>
        <v>88.165972992000007</v>
      </c>
      <c r="BF254" s="2890">
        <f t="shared" si="1242"/>
        <v>0</v>
      </c>
      <c r="BG254" s="2891">
        <f t="shared" si="1242"/>
        <v>72.382000000000005</v>
      </c>
      <c r="BH254" s="2891">
        <f t="shared" si="1242"/>
        <v>72.382000000000005</v>
      </c>
      <c r="BI254" s="2891">
        <f t="shared" si="1242"/>
        <v>0</v>
      </c>
      <c r="BJ254" s="2847">
        <f t="shared" si="1188"/>
        <v>-15.783972992000002</v>
      </c>
      <c r="BK254" s="2847">
        <f t="shared" si="1189"/>
        <v>-15.783972992000002</v>
      </c>
      <c r="BL254" s="2847">
        <f t="shared" si="1189"/>
        <v>0</v>
      </c>
      <c r="BM254" s="2888">
        <f t="shared" ref="BM254:CG254" si="1243">SUM(BM45+BM87+BM115+BM135)</f>
        <v>29.388657664</v>
      </c>
      <c r="BN254" s="2888">
        <f t="shared" si="1243"/>
        <v>29.388657664</v>
      </c>
      <c r="BO254" s="2888">
        <f t="shared" si="1243"/>
        <v>0</v>
      </c>
      <c r="BP254" s="2889">
        <f t="shared" si="1243"/>
        <v>6.2</v>
      </c>
      <c r="BQ254" s="2889">
        <f t="shared" si="1243"/>
        <v>6.2</v>
      </c>
      <c r="BR254" s="2889">
        <f t="shared" si="1243"/>
        <v>0</v>
      </c>
      <c r="BS254" s="2889">
        <f t="shared" si="1243"/>
        <v>0</v>
      </c>
      <c r="BT254" s="2889">
        <f t="shared" si="1243"/>
        <v>0</v>
      </c>
      <c r="BU254" s="2889">
        <f t="shared" si="1243"/>
        <v>0</v>
      </c>
      <c r="BV254" s="2889">
        <f t="shared" si="1243"/>
        <v>1.3240000000000001</v>
      </c>
      <c r="BW254" s="2889">
        <f t="shared" si="1243"/>
        <v>1.3240000000000001</v>
      </c>
      <c r="BX254" s="2889">
        <f t="shared" si="1243"/>
        <v>0</v>
      </c>
      <c r="BY254" s="2889">
        <f t="shared" si="1243"/>
        <v>7.524</v>
      </c>
      <c r="BZ254" s="2889">
        <f t="shared" si="1243"/>
        <v>7.524</v>
      </c>
      <c r="CA254" s="2889">
        <f t="shared" si="1243"/>
        <v>0</v>
      </c>
      <c r="CB254" s="2890">
        <f t="shared" si="1243"/>
        <v>117.554630656</v>
      </c>
      <c r="CC254" s="2890">
        <f t="shared" si="1243"/>
        <v>117.554630656</v>
      </c>
      <c r="CD254" s="2890">
        <f t="shared" si="1243"/>
        <v>0</v>
      </c>
      <c r="CE254" s="2891">
        <f t="shared" si="1243"/>
        <v>79.906000000000006</v>
      </c>
      <c r="CF254" s="2891">
        <f t="shared" si="1243"/>
        <v>79.906000000000006</v>
      </c>
      <c r="CG254" s="2891">
        <f t="shared" si="1243"/>
        <v>0</v>
      </c>
      <c r="CH254" s="2847">
        <f t="shared" si="1191"/>
        <v>-37.648630655999995</v>
      </c>
      <c r="CI254" s="2847">
        <f t="shared" si="1192"/>
        <v>-37.648630655999995</v>
      </c>
      <c r="CJ254" s="2847">
        <f t="shared" si="1192"/>
        <v>0</v>
      </c>
      <c r="CK254" s="2822"/>
      <c r="CL254" s="2822"/>
      <c r="CM254" s="2822"/>
      <c r="CN254" s="2822"/>
    </row>
    <row r="255" spans="1:92" ht="18.75" x14ac:dyDescent="0.3">
      <c r="A255" s="2873" t="s">
        <v>3761</v>
      </c>
      <c r="B255" s="2888">
        <f t="shared" ref="B255:AK255" si="1244">SUM(B81)</f>
        <v>35.398416075749999</v>
      </c>
      <c r="C255" s="2888">
        <f t="shared" si="1244"/>
        <v>35.398416075749999</v>
      </c>
      <c r="D255" s="2888">
        <f t="shared" si="1244"/>
        <v>0</v>
      </c>
      <c r="E255" s="2889">
        <f t="shared" si="1244"/>
        <v>0</v>
      </c>
      <c r="F255" s="2889">
        <f t="shared" si="1244"/>
        <v>0</v>
      </c>
      <c r="G255" s="2889">
        <f t="shared" si="1244"/>
        <v>0</v>
      </c>
      <c r="H255" s="2889">
        <f t="shared" si="1244"/>
        <v>0</v>
      </c>
      <c r="I255" s="2889">
        <f t="shared" si="1244"/>
        <v>0</v>
      </c>
      <c r="J255" s="2889">
        <f t="shared" si="1244"/>
        <v>0</v>
      </c>
      <c r="K255" s="2889">
        <f t="shared" si="1244"/>
        <v>19.43</v>
      </c>
      <c r="L255" s="2889">
        <f t="shared" si="1244"/>
        <v>19.43</v>
      </c>
      <c r="M255" s="2889">
        <f t="shared" si="1244"/>
        <v>0</v>
      </c>
      <c r="N255" s="2889">
        <f t="shared" si="1244"/>
        <v>19.43</v>
      </c>
      <c r="O255" s="2889">
        <f t="shared" si="1244"/>
        <v>19.43</v>
      </c>
      <c r="P255" s="2889">
        <f t="shared" si="1244"/>
        <v>0</v>
      </c>
      <c r="Q255" s="2888">
        <f t="shared" si="1244"/>
        <v>35.398416075749999</v>
      </c>
      <c r="R255" s="2888">
        <f t="shared" si="1244"/>
        <v>35.398416075749999</v>
      </c>
      <c r="S255" s="2888">
        <f t="shared" si="1244"/>
        <v>0</v>
      </c>
      <c r="T255" s="2889">
        <f t="shared" si="1244"/>
        <v>0.23</v>
      </c>
      <c r="U255" s="2889">
        <f t="shared" si="1244"/>
        <v>0.23</v>
      </c>
      <c r="V255" s="2889">
        <f t="shared" si="1244"/>
        <v>0</v>
      </c>
      <c r="W255" s="2889">
        <f t="shared" si="1244"/>
        <v>17.8</v>
      </c>
      <c r="X255" s="2889">
        <f t="shared" si="1244"/>
        <v>17.8</v>
      </c>
      <c r="Y255" s="2889">
        <f t="shared" si="1244"/>
        <v>0</v>
      </c>
      <c r="Z255" s="2889">
        <f t="shared" si="1244"/>
        <v>22.361000000000001</v>
      </c>
      <c r="AA255" s="2889">
        <f t="shared" si="1244"/>
        <v>22.361000000000001</v>
      </c>
      <c r="AB255" s="2889">
        <f t="shared" si="1244"/>
        <v>0</v>
      </c>
      <c r="AC255" s="2889">
        <f t="shared" si="1244"/>
        <v>40.391000000000005</v>
      </c>
      <c r="AD255" s="2889">
        <f t="shared" si="1244"/>
        <v>40.391000000000005</v>
      </c>
      <c r="AE255" s="2889">
        <f t="shared" si="1244"/>
        <v>0</v>
      </c>
      <c r="AF255" s="2890">
        <f t="shared" si="1244"/>
        <v>70.796832151499999</v>
      </c>
      <c r="AG255" s="2890">
        <f t="shared" si="1244"/>
        <v>70.796832151499999</v>
      </c>
      <c r="AH255" s="2890">
        <f t="shared" si="1244"/>
        <v>0</v>
      </c>
      <c r="AI255" s="2891">
        <f t="shared" si="1244"/>
        <v>59.821000000000005</v>
      </c>
      <c r="AJ255" s="2891">
        <f t="shared" si="1244"/>
        <v>59.821000000000005</v>
      </c>
      <c r="AK255" s="2891">
        <f t="shared" si="1244"/>
        <v>0</v>
      </c>
      <c r="AL255" s="2847">
        <f t="shared" si="1185"/>
        <v>-10.975832151499993</v>
      </c>
      <c r="AM255" s="2847">
        <f t="shared" si="1186"/>
        <v>-10.975832151499993</v>
      </c>
      <c r="AN255" s="2847">
        <f t="shared" si="1186"/>
        <v>0</v>
      </c>
      <c r="AO255" s="2888">
        <f t="shared" ref="AO255:BI255" si="1245">SUM(AO81)</f>
        <v>35.398416075749999</v>
      </c>
      <c r="AP255" s="2888">
        <f t="shared" si="1245"/>
        <v>35.398416075749999</v>
      </c>
      <c r="AQ255" s="2888">
        <f t="shared" si="1245"/>
        <v>0</v>
      </c>
      <c r="AR255" s="2889">
        <f t="shared" si="1245"/>
        <v>0</v>
      </c>
      <c r="AS255" s="2889">
        <f t="shared" si="1245"/>
        <v>0</v>
      </c>
      <c r="AT255" s="2889">
        <f t="shared" si="1245"/>
        <v>0</v>
      </c>
      <c r="AU255" s="2889">
        <f t="shared" si="1245"/>
        <v>23.45</v>
      </c>
      <c r="AV255" s="2889">
        <f t="shared" si="1245"/>
        <v>23.45</v>
      </c>
      <c r="AW255" s="2889">
        <f t="shared" si="1245"/>
        <v>0</v>
      </c>
      <c r="AX255" s="2889">
        <f t="shared" si="1245"/>
        <v>10.589</v>
      </c>
      <c r="AY255" s="2889">
        <f t="shared" si="1245"/>
        <v>10.589</v>
      </c>
      <c r="AZ255" s="2889">
        <f t="shared" si="1245"/>
        <v>0</v>
      </c>
      <c r="BA255" s="2889">
        <f t="shared" si="1245"/>
        <v>34.039000000000001</v>
      </c>
      <c r="BB255" s="2889">
        <f t="shared" si="1245"/>
        <v>34.039000000000001</v>
      </c>
      <c r="BC255" s="2889">
        <f t="shared" si="1245"/>
        <v>0</v>
      </c>
      <c r="BD255" s="2890">
        <f t="shared" si="1245"/>
        <v>106.19524822725</v>
      </c>
      <c r="BE255" s="2890">
        <f t="shared" si="1245"/>
        <v>106.19524822725</v>
      </c>
      <c r="BF255" s="2890">
        <f t="shared" si="1245"/>
        <v>0</v>
      </c>
      <c r="BG255" s="2891">
        <f t="shared" si="1245"/>
        <v>93.860000000000014</v>
      </c>
      <c r="BH255" s="2891">
        <f t="shared" si="1245"/>
        <v>93.860000000000014</v>
      </c>
      <c r="BI255" s="2891">
        <f t="shared" si="1245"/>
        <v>0</v>
      </c>
      <c r="BJ255" s="2847">
        <f t="shared" si="1188"/>
        <v>-12.335248227249991</v>
      </c>
      <c r="BK255" s="2847">
        <f t="shared" si="1189"/>
        <v>-12.335248227249991</v>
      </c>
      <c r="BL255" s="2847">
        <f t="shared" si="1189"/>
        <v>0</v>
      </c>
      <c r="BM255" s="2888">
        <f t="shared" ref="BM255:CG255" si="1246">SUM(BM81)</f>
        <v>35.398416075749999</v>
      </c>
      <c r="BN255" s="2888">
        <f t="shared" si="1246"/>
        <v>35.398416075749999</v>
      </c>
      <c r="BO255" s="2888">
        <f t="shared" si="1246"/>
        <v>0</v>
      </c>
      <c r="BP255" s="2889">
        <f t="shared" si="1246"/>
        <v>0</v>
      </c>
      <c r="BQ255" s="2889">
        <f t="shared" si="1246"/>
        <v>0</v>
      </c>
      <c r="BR255" s="2889">
        <f t="shared" si="1246"/>
        <v>0</v>
      </c>
      <c r="BS255" s="2889">
        <f t="shared" si="1246"/>
        <v>1.167</v>
      </c>
      <c r="BT255" s="2889">
        <f t="shared" si="1246"/>
        <v>1.167</v>
      </c>
      <c r="BU255" s="2889">
        <f t="shared" si="1246"/>
        <v>0</v>
      </c>
      <c r="BV255" s="2889">
        <f t="shared" si="1246"/>
        <v>44.667000000000002</v>
      </c>
      <c r="BW255" s="2889">
        <f t="shared" si="1246"/>
        <v>44.667000000000002</v>
      </c>
      <c r="BX255" s="2889">
        <f t="shared" si="1246"/>
        <v>0</v>
      </c>
      <c r="BY255" s="2889">
        <f t="shared" si="1246"/>
        <v>45.834000000000003</v>
      </c>
      <c r="BZ255" s="2889">
        <f t="shared" si="1246"/>
        <v>45.834000000000003</v>
      </c>
      <c r="CA255" s="2889">
        <f t="shared" si="1246"/>
        <v>0</v>
      </c>
      <c r="CB255" s="2890">
        <f t="shared" si="1246"/>
        <v>141.593664303</v>
      </c>
      <c r="CC255" s="2890">
        <f t="shared" si="1246"/>
        <v>141.593664303</v>
      </c>
      <c r="CD255" s="2890">
        <f t="shared" si="1246"/>
        <v>0</v>
      </c>
      <c r="CE255" s="2891">
        <f t="shared" si="1246"/>
        <v>139.69400000000002</v>
      </c>
      <c r="CF255" s="2891">
        <f t="shared" si="1246"/>
        <v>139.69400000000002</v>
      </c>
      <c r="CG255" s="2891">
        <f t="shared" si="1246"/>
        <v>0</v>
      </c>
      <c r="CH255" s="2847">
        <f t="shared" si="1191"/>
        <v>-1.8996643029999802</v>
      </c>
      <c r="CI255" s="2847">
        <f t="shared" si="1192"/>
        <v>-1.8996643029999802</v>
      </c>
      <c r="CJ255" s="2847">
        <f t="shared" si="1192"/>
        <v>0</v>
      </c>
      <c r="CK255" s="2822"/>
      <c r="CL255" s="2822"/>
      <c r="CM255" s="2822"/>
      <c r="CN255" s="2822"/>
    </row>
    <row r="256" spans="1:92" ht="18.75" x14ac:dyDescent="0.3">
      <c r="A256" s="2873" t="s">
        <v>3631</v>
      </c>
      <c r="B256" s="2888">
        <f t="shared" ref="B256:AK256" si="1247">SUM(B82)</f>
        <v>0</v>
      </c>
      <c r="C256" s="2888">
        <f t="shared" si="1247"/>
        <v>0</v>
      </c>
      <c r="D256" s="2888">
        <f t="shared" si="1247"/>
        <v>0</v>
      </c>
      <c r="E256" s="2889">
        <f t="shared" si="1247"/>
        <v>0</v>
      </c>
      <c r="F256" s="2889">
        <f t="shared" si="1247"/>
        <v>0</v>
      </c>
      <c r="G256" s="2889">
        <f t="shared" si="1247"/>
        <v>0</v>
      </c>
      <c r="H256" s="2889">
        <f t="shared" si="1247"/>
        <v>0</v>
      </c>
      <c r="I256" s="2889">
        <f t="shared" si="1247"/>
        <v>0</v>
      </c>
      <c r="J256" s="2889">
        <f t="shared" si="1247"/>
        <v>0</v>
      </c>
      <c r="K256" s="2889">
        <f t="shared" si="1247"/>
        <v>0</v>
      </c>
      <c r="L256" s="2889">
        <f t="shared" si="1247"/>
        <v>0</v>
      </c>
      <c r="M256" s="2889">
        <f t="shared" si="1247"/>
        <v>0</v>
      </c>
      <c r="N256" s="2889">
        <f t="shared" si="1247"/>
        <v>0</v>
      </c>
      <c r="O256" s="2889">
        <f t="shared" si="1247"/>
        <v>0</v>
      </c>
      <c r="P256" s="2889">
        <f t="shared" si="1247"/>
        <v>0</v>
      </c>
      <c r="Q256" s="2888">
        <f t="shared" si="1247"/>
        <v>0</v>
      </c>
      <c r="R256" s="2888">
        <f t="shared" si="1247"/>
        <v>0</v>
      </c>
      <c r="S256" s="2888">
        <f t="shared" si="1247"/>
        <v>0</v>
      </c>
      <c r="T256" s="2889">
        <f t="shared" si="1247"/>
        <v>0</v>
      </c>
      <c r="U256" s="2889">
        <f t="shared" si="1247"/>
        <v>0</v>
      </c>
      <c r="V256" s="2889">
        <f t="shared" si="1247"/>
        <v>0</v>
      </c>
      <c r="W256" s="2889">
        <f t="shared" si="1247"/>
        <v>0</v>
      </c>
      <c r="X256" s="2889">
        <f t="shared" si="1247"/>
        <v>0</v>
      </c>
      <c r="Y256" s="2889">
        <f t="shared" si="1247"/>
        <v>0</v>
      </c>
      <c r="Z256" s="2889">
        <f t="shared" si="1247"/>
        <v>0</v>
      </c>
      <c r="AA256" s="2889">
        <f t="shared" si="1247"/>
        <v>0</v>
      </c>
      <c r="AB256" s="2889">
        <f t="shared" si="1247"/>
        <v>0</v>
      </c>
      <c r="AC256" s="2889">
        <f t="shared" si="1247"/>
        <v>0</v>
      </c>
      <c r="AD256" s="2889">
        <f t="shared" si="1247"/>
        <v>0</v>
      </c>
      <c r="AE256" s="2889">
        <f t="shared" si="1247"/>
        <v>0</v>
      </c>
      <c r="AF256" s="2890">
        <f t="shared" si="1247"/>
        <v>0</v>
      </c>
      <c r="AG256" s="2890">
        <f t="shared" si="1247"/>
        <v>0</v>
      </c>
      <c r="AH256" s="2890">
        <f t="shared" si="1247"/>
        <v>0</v>
      </c>
      <c r="AI256" s="2891">
        <f t="shared" si="1247"/>
        <v>0</v>
      </c>
      <c r="AJ256" s="2891">
        <f t="shared" si="1247"/>
        <v>0</v>
      </c>
      <c r="AK256" s="2891">
        <f t="shared" si="1247"/>
        <v>0</v>
      </c>
      <c r="AL256" s="2847">
        <f t="shared" si="1185"/>
        <v>0</v>
      </c>
      <c r="AM256" s="2847">
        <f t="shared" si="1186"/>
        <v>0</v>
      </c>
      <c r="AN256" s="2847">
        <f t="shared" si="1186"/>
        <v>0</v>
      </c>
      <c r="AO256" s="2888">
        <f t="shared" ref="AO256:BI256" si="1248">SUM(AO82)</f>
        <v>0</v>
      </c>
      <c r="AP256" s="2888">
        <f t="shared" si="1248"/>
        <v>0</v>
      </c>
      <c r="AQ256" s="2888">
        <f t="shared" si="1248"/>
        <v>0</v>
      </c>
      <c r="AR256" s="2889">
        <f t="shared" si="1248"/>
        <v>0</v>
      </c>
      <c r="AS256" s="2889">
        <f t="shared" si="1248"/>
        <v>0</v>
      </c>
      <c r="AT256" s="2889">
        <f t="shared" si="1248"/>
        <v>0</v>
      </c>
      <c r="AU256" s="2889">
        <f t="shared" si="1248"/>
        <v>0</v>
      </c>
      <c r="AV256" s="2889">
        <f t="shared" si="1248"/>
        <v>0</v>
      </c>
      <c r="AW256" s="2889">
        <f t="shared" si="1248"/>
        <v>0</v>
      </c>
      <c r="AX256" s="2889">
        <f t="shared" si="1248"/>
        <v>0</v>
      </c>
      <c r="AY256" s="2889">
        <f t="shared" si="1248"/>
        <v>0</v>
      </c>
      <c r="AZ256" s="2889">
        <f t="shared" si="1248"/>
        <v>0</v>
      </c>
      <c r="BA256" s="2889">
        <f t="shared" si="1248"/>
        <v>0</v>
      </c>
      <c r="BB256" s="2889">
        <f t="shared" si="1248"/>
        <v>0</v>
      </c>
      <c r="BC256" s="2889">
        <f t="shared" si="1248"/>
        <v>0</v>
      </c>
      <c r="BD256" s="2890">
        <f t="shared" si="1248"/>
        <v>0</v>
      </c>
      <c r="BE256" s="2890">
        <f t="shared" si="1248"/>
        <v>0</v>
      </c>
      <c r="BF256" s="2890">
        <f t="shared" si="1248"/>
        <v>0</v>
      </c>
      <c r="BG256" s="2891">
        <f t="shared" si="1248"/>
        <v>0</v>
      </c>
      <c r="BH256" s="2891">
        <f t="shared" si="1248"/>
        <v>0</v>
      </c>
      <c r="BI256" s="2891">
        <f t="shared" si="1248"/>
        <v>0</v>
      </c>
      <c r="BJ256" s="2847">
        <f t="shared" si="1188"/>
        <v>0</v>
      </c>
      <c r="BK256" s="2847">
        <f t="shared" si="1189"/>
        <v>0</v>
      </c>
      <c r="BL256" s="2847">
        <f t="shared" si="1189"/>
        <v>0</v>
      </c>
      <c r="BM256" s="2888">
        <f t="shared" ref="BM256:CG256" si="1249">SUM(BM82)</f>
        <v>0</v>
      </c>
      <c r="BN256" s="2888">
        <f t="shared" si="1249"/>
        <v>0</v>
      </c>
      <c r="BO256" s="2888">
        <f t="shared" si="1249"/>
        <v>0</v>
      </c>
      <c r="BP256" s="2889">
        <f t="shared" si="1249"/>
        <v>0</v>
      </c>
      <c r="BQ256" s="2889">
        <f t="shared" si="1249"/>
        <v>0</v>
      </c>
      <c r="BR256" s="2889">
        <f t="shared" si="1249"/>
        <v>0</v>
      </c>
      <c r="BS256" s="2889">
        <f t="shared" si="1249"/>
        <v>0</v>
      </c>
      <c r="BT256" s="2889">
        <f t="shared" si="1249"/>
        <v>0</v>
      </c>
      <c r="BU256" s="2889">
        <f t="shared" si="1249"/>
        <v>0</v>
      </c>
      <c r="BV256" s="2889">
        <f t="shared" si="1249"/>
        <v>0</v>
      </c>
      <c r="BW256" s="2889">
        <f t="shared" si="1249"/>
        <v>0</v>
      </c>
      <c r="BX256" s="2889">
        <f t="shared" si="1249"/>
        <v>0</v>
      </c>
      <c r="BY256" s="2889">
        <f t="shared" si="1249"/>
        <v>0</v>
      </c>
      <c r="BZ256" s="2889">
        <f t="shared" si="1249"/>
        <v>0</v>
      </c>
      <c r="CA256" s="2889">
        <f t="shared" si="1249"/>
        <v>0</v>
      </c>
      <c r="CB256" s="2890">
        <f t="shared" si="1249"/>
        <v>0</v>
      </c>
      <c r="CC256" s="2890">
        <f t="shared" si="1249"/>
        <v>0</v>
      </c>
      <c r="CD256" s="2890">
        <f t="shared" si="1249"/>
        <v>0</v>
      </c>
      <c r="CE256" s="2891">
        <f t="shared" si="1249"/>
        <v>0</v>
      </c>
      <c r="CF256" s="2891">
        <f t="shared" si="1249"/>
        <v>0</v>
      </c>
      <c r="CG256" s="2891">
        <f t="shared" si="1249"/>
        <v>0</v>
      </c>
      <c r="CH256" s="2847">
        <f t="shared" si="1191"/>
        <v>0</v>
      </c>
      <c r="CI256" s="2847">
        <f t="shared" si="1192"/>
        <v>0</v>
      </c>
      <c r="CJ256" s="2847">
        <f t="shared" si="1192"/>
        <v>0</v>
      </c>
      <c r="CK256" s="2822"/>
      <c r="CL256" s="2822"/>
      <c r="CM256" s="2822"/>
      <c r="CN256" s="2822"/>
    </row>
    <row r="257" spans="1:92" ht="18.75" x14ac:dyDescent="0.3">
      <c r="A257" s="2873" t="s">
        <v>3633</v>
      </c>
      <c r="B257" s="2888">
        <f t="shared" ref="B257:AK257" si="1250">SUM(B83)</f>
        <v>71.033709883500009</v>
      </c>
      <c r="C257" s="2888">
        <f t="shared" si="1250"/>
        <v>71.033709883500009</v>
      </c>
      <c r="D257" s="2888">
        <f t="shared" si="1250"/>
        <v>0</v>
      </c>
      <c r="E257" s="2889">
        <f t="shared" si="1250"/>
        <v>0</v>
      </c>
      <c r="F257" s="2889">
        <f t="shared" si="1250"/>
        <v>0</v>
      </c>
      <c r="G257" s="2889">
        <f t="shared" si="1250"/>
        <v>0</v>
      </c>
      <c r="H257" s="2889">
        <f t="shared" si="1250"/>
        <v>0</v>
      </c>
      <c r="I257" s="2889">
        <f t="shared" si="1250"/>
        <v>0</v>
      </c>
      <c r="J257" s="2889">
        <f t="shared" si="1250"/>
        <v>0</v>
      </c>
      <c r="K257" s="2889">
        <f t="shared" si="1250"/>
        <v>0</v>
      </c>
      <c r="L257" s="2889">
        <f t="shared" si="1250"/>
        <v>0</v>
      </c>
      <c r="M257" s="2889">
        <f t="shared" si="1250"/>
        <v>0</v>
      </c>
      <c r="N257" s="2889">
        <f t="shared" si="1250"/>
        <v>0</v>
      </c>
      <c r="O257" s="2889">
        <f t="shared" si="1250"/>
        <v>0</v>
      </c>
      <c r="P257" s="2889">
        <f t="shared" si="1250"/>
        <v>0</v>
      </c>
      <c r="Q257" s="2888">
        <f t="shared" si="1250"/>
        <v>71.033709883500009</v>
      </c>
      <c r="R257" s="2888">
        <f t="shared" si="1250"/>
        <v>71.033709883500009</v>
      </c>
      <c r="S257" s="2888">
        <f t="shared" si="1250"/>
        <v>0</v>
      </c>
      <c r="T257" s="2889">
        <f t="shared" si="1250"/>
        <v>68.55</v>
      </c>
      <c r="U257" s="2889">
        <f t="shared" si="1250"/>
        <v>68.55</v>
      </c>
      <c r="V257" s="2889">
        <f t="shared" si="1250"/>
        <v>0</v>
      </c>
      <c r="W257" s="2889">
        <f t="shared" si="1250"/>
        <v>25.54</v>
      </c>
      <c r="X257" s="2889">
        <f t="shared" si="1250"/>
        <v>25.54</v>
      </c>
      <c r="Y257" s="2889">
        <f t="shared" si="1250"/>
        <v>0</v>
      </c>
      <c r="Z257" s="2889">
        <f t="shared" si="1250"/>
        <v>0</v>
      </c>
      <c r="AA257" s="2889">
        <f t="shared" si="1250"/>
        <v>0</v>
      </c>
      <c r="AB257" s="2889">
        <f t="shared" si="1250"/>
        <v>0</v>
      </c>
      <c r="AC257" s="2889">
        <f t="shared" si="1250"/>
        <v>94.09</v>
      </c>
      <c r="AD257" s="2889">
        <f t="shared" si="1250"/>
        <v>94.09</v>
      </c>
      <c r="AE257" s="2889">
        <f t="shared" si="1250"/>
        <v>0</v>
      </c>
      <c r="AF257" s="2890">
        <f t="shared" si="1250"/>
        <v>142.06741976700002</v>
      </c>
      <c r="AG257" s="2890">
        <f t="shared" si="1250"/>
        <v>142.06741976700002</v>
      </c>
      <c r="AH257" s="2890">
        <f t="shared" si="1250"/>
        <v>0</v>
      </c>
      <c r="AI257" s="2891">
        <f t="shared" si="1250"/>
        <v>94.09</v>
      </c>
      <c r="AJ257" s="2891">
        <f t="shared" si="1250"/>
        <v>94.09</v>
      </c>
      <c r="AK257" s="2891">
        <f t="shared" si="1250"/>
        <v>0</v>
      </c>
      <c r="AL257" s="2847">
        <f t="shared" si="1185"/>
        <v>-47.977419767000015</v>
      </c>
      <c r="AM257" s="2847">
        <f t="shared" si="1186"/>
        <v>-47.977419767000015</v>
      </c>
      <c r="AN257" s="2847">
        <f t="shared" si="1186"/>
        <v>0</v>
      </c>
      <c r="AO257" s="2888">
        <f t="shared" ref="AO257:BI257" si="1251">SUM(AO83)</f>
        <v>71.033709883500009</v>
      </c>
      <c r="AP257" s="2888">
        <f t="shared" si="1251"/>
        <v>71.033709883500009</v>
      </c>
      <c r="AQ257" s="2888">
        <f t="shared" si="1251"/>
        <v>0</v>
      </c>
      <c r="AR257" s="2889">
        <f t="shared" si="1251"/>
        <v>7</v>
      </c>
      <c r="AS257" s="2889">
        <f t="shared" si="1251"/>
        <v>7</v>
      </c>
      <c r="AT257" s="2889">
        <f t="shared" si="1251"/>
        <v>0</v>
      </c>
      <c r="AU257" s="2889">
        <f t="shared" si="1251"/>
        <v>26.692</v>
      </c>
      <c r="AV257" s="2889">
        <f t="shared" si="1251"/>
        <v>26.692</v>
      </c>
      <c r="AW257" s="2889">
        <f t="shared" si="1251"/>
        <v>0</v>
      </c>
      <c r="AX257" s="2889">
        <f t="shared" si="1251"/>
        <v>0</v>
      </c>
      <c r="AY257" s="2889">
        <f t="shared" si="1251"/>
        <v>0</v>
      </c>
      <c r="AZ257" s="2889">
        <f t="shared" si="1251"/>
        <v>0</v>
      </c>
      <c r="BA257" s="2889">
        <f t="shared" si="1251"/>
        <v>33.692</v>
      </c>
      <c r="BB257" s="2889">
        <f t="shared" si="1251"/>
        <v>33.692</v>
      </c>
      <c r="BC257" s="2889">
        <f t="shared" si="1251"/>
        <v>0</v>
      </c>
      <c r="BD257" s="2890">
        <f t="shared" si="1251"/>
        <v>213.10112965050001</v>
      </c>
      <c r="BE257" s="2890">
        <f t="shared" si="1251"/>
        <v>213.10112965050001</v>
      </c>
      <c r="BF257" s="2890">
        <f t="shared" si="1251"/>
        <v>0</v>
      </c>
      <c r="BG257" s="2891">
        <f t="shared" si="1251"/>
        <v>127.78200000000001</v>
      </c>
      <c r="BH257" s="2891">
        <f t="shared" si="1251"/>
        <v>127.78200000000001</v>
      </c>
      <c r="BI257" s="2891">
        <f t="shared" si="1251"/>
        <v>0</v>
      </c>
      <c r="BJ257" s="2847">
        <f t="shared" si="1188"/>
        <v>-85.319129650500003</v>
      </c>
      <c r="BK257" s="2847">
        <f t="shared" si="1189"/>
        <v>-85.319129650500003</v>
      </c>
      <c r="BL257" s="2847">
        <f t="shared" si="1189"/>
        <v>0</v>
      </c>
      <c r="BM257" s="2888">
        <f t="shared" ref="BM257:CG257" si="1252">SUM(BM83)</f>
        <v>71.033709883500009</v>
      </c>
      <c r="BN257" s="2888">
        <f t="shared" si="1252"/>
        <v>71.033709883500009</v>
      </c>
      <c r="BO257" s="2888">
        <f t="shared" si="1252"/>
        <v>0</v>
      </c>
      <c r="BP257" s="2889">
        <f t="shared" si="1252"/>
        <v>1.333</v>
      </c>
      <c r="BQ257" s="2889">
        <f t="shared" si="1252"/>
        <v>1.333</v>
      </c>
      <c r="BR257" s="2889">
        <f t="shared" si="1252"/>
        <v>0</v>
      </c>
      <c r="BS257" s="2889">
        <f t="shared" si="1252"/>
        <v>0</v>
      </c>
      <c r="BT257" s="2889">
        <f t="shared" si="1252"/>
        <v>0</v>
      </c>
      <c r="BU257" s="2889">
        <f t="shared" si="1252"/>
        <v>0</v>
      </c>
      <c r="BV257" s="2889">
        <f t="shared" si="1252"/>
        <v>195.63900000000001</v>
      </c>
      <c r="BW257" s="2889">
        <f t="shared" si="1252"/>
        <v>195.63900000000001</v>
      </c>
      <c r="BX257" s="2889">
        <f t="shared" si="1252"/>
        <v>0</v>
      </c>
      <c r="BY257" s="2889">
        <f t="shared" si="1252"/>
        <v>196.97200000000001</v>
      </c>
      <c r="BZ257" s="2889">
        <f t="shared" si="1252"/>
        <v>196.97200000000001</v>
      </c>
      <c r="CA257" s="2889">
        <f t="shared" si="1252"/>
        <v>0</v>
      </c>
      <c r="CB257" s="2890">
        <f t="shared" si="1252"/>
        <v>284.13483953400004</v>
      </c>
      <c r="CC257" s="2890">
        <f t="shared" si="1252"/>
        <v>284.13483953400004</v>
      </c>
      <c r="CD257" s="2890">
        <f t="shared" si="1252"/>
        <v>0</v>
      </c>
      <c r="CE257" s="2891">
        <f t="shared" si="1252"/>
        <v>324.75400000000002</v>
      </c>
      <c r="CF257" s="2891">
        <f t="shared" si="1252"/>
        <v>324.75400000000002</v>
      </c>
      <c r="CG257" s="2891">
        <f t="shared" si="1252"/>
        <v>0</v>
      </c>
      <c r="CH257" s="2847">
        <f t="shared" si="1191"/>
        <v>40.619160465999983</v>
      </c>
      <c r="CI257" s="2847">
        <f t="shared" si="1192"/>
        <v>40.619160465999983</v>
      </c>
      <c r="CJ257" s="2847">
        <f t="shared" si="1192"/>
        <v>0</v>
      </c>
      <c r="CK257" s="2822"/>
      <c r="CL257" s="2822"/>
      <c r="CM257" s="2822"/>
      <c r="CN257" s="2822"/>
    </row>
    <row r="258" spans="1:92" ht="18.75" x14ac:dyDescent="0.3">
      <c r="A258" s="2873" t="s">
        <v>621</v>
      </c>
      <c r="B258" s="2888">
        <f t="shared" ref="B258:AK258" si="1253">SUM(B84)</f>
        <v>0</v>
      </c>
      <c r="C258" s="2888">
        <f t="shared" si="1253"/>
        <v>0</v>
      </c>
      <c r="D258" s="2888">
        <f t="shared" si="1253"/>
        <v>0</v>
      </c>
      <c r="E258" s="2889">
        <f t="shared" si="1253"/>
        <v>26.83</v>
      </c>
      <c r="F258" s="2889">
        <f t="shared" si="1253"/>
        <v>26.83</v>
      </c>
      <c r="G258" s="2889">
        <f t="shared" si="1253"/>
        <v>0</v>
      </c>
      <c r="H258" s="2889">
        <f t="shared" si="1253"/>
        <v>29.486000000000001</v>
      </c>
      <c r="I258" s="2889">
        <f t="shared" si="1253"/>
        <v>29.486000000000001</v>
      </c>
      <c r="J258" s="2889">
        <f t="shared" si="1253"/>
        <v>0</v>
      </c>
      <c r="K258" s="2889">
        <f t="shared" si="1253"/>
        <v>29.3</v>
      </c>
      <c r="L258" s="2889">
        <f t="shared" si="1253"/>
        <v>29.3</v>
      </c>
      <c r="M258" s="2889">
        <f t="shared" si="1253"/>
        <v>0</v>
      </c>
      <c r="N258" s="2889">
        <f t="shared" si="1253"/>
        <v>85.616</v>
      </c>
      <c r="O258" s="2889">
        <f t="shared" si="1253"/>
        <v>85.616</v>
      </c>
      <c r="P258" s="2889">
        <f t="shared" si="1253"/>
        <v>0</v>
      </c>
      <c r="Q258" s="2888">
        <f t="shared" si="1253"/>
        <v>0</v>
      </c>
      <c r="R258" s="2888">
        <f t="shared" si="1253"/>
        <v>0</v>
      </c>
      <c r="S258" s="2888">
        <f t="shared" si="1253"/>
        <v>0</v>
      </c>
      <c r="T258" s="2889">
        <f t="shared" si="1253"/>
        <v>27.34</v>
      </c>
      <c r="U258" s="2889">
        <f t="shared" si="1253"/>
        <v>27.34</v>
      </c>
      <c r="V258" s="2889">
        <f t="shared" si="1253"/>
        <v>0</v>
      </c>
      <c r="W258" s="2889">
        <f t="shared" si="1253"/>
        <v>29.95</v>
      </c>
      <c r="X258" s="2889">
        <f t="shared" si="1253"/>
        <v>29.95</v>
      </c>
      <c r="Y258" s="2889">
        <f t="shared" si="1253"/>
        <v>0</v>
      </c>
      <c r="Z258" s="2889">
        <f t="shared" si="1253"/>
        <v>28.774999999999999</v>
      </c>
      <c r="AA258" s="2889">
        <f t="shared" si="1253"/>
        <v>28.774999999999999</v>
      </c>
      <c r="AB258" s="2889">
        <f t="shared" si="1253"/>
        <v>0</v>
      </c>
      <c r="AC258" s="2889">
        <f t="shared" si="1253"/>
        <v>86.064999999999998</v>
      </c>
      <c r="AD258" s="2889">
        <f t="shared" si="1253"/>
        <v>86.064999999999998</v>
      </c>
      <c r="AE258" s="2889">
        <f t="shared" si="1253"/>
        <v>0</v>
      </c>
      <c r="AF258" s="2890">
        <f t="shared" si="1253"/>
        <v>0</v>
      </c>
      <c r="AG258" s="2890">
        <f t="shared" si="1253"/>
        <v>0</v>
      </c>
      <c r="AH258" s="2890">
        <f t="shared" si="1253"/>
        <v>0</v>
      </c>
      <c r="AI258" s="2891">
        <f t="shared" si="1253"/>
        <v>171.68099999999998</v>
      </c>
      <c r="AJ258" s="2891">
        <f t="shared" si="1253"/>
        <v>171.68099999999998</v>
      </c>
      <c r="AK258" s="2891">
        <f t="shared" si="1253"/>
        <v>0</v>
      </c>
      <c r="AL258" s="2847">
        <f t="shared" si="1185"/>
        <v>171.68099999999998</v>
      </c>
      <c r="AM258" s="2847">
        <f t="shared" si="1186"/>
        <v>171.68099999999998</v>
      </c>
      <c r="AN258" s="2847">
        <f t="shared" si="1186"/>
        <v>0</v>
      </c>
      <c r="AO258" s="2888">
        <f t="shared" ref="AO258:BI258" si="1254">SUM(AO84)</f>
        <v>0</v>
      </c>
      <c r="AP258" s="2888">
        <f t="shared" si="1254"/>
        <v>0</v>
      </c>
      <c r="AQ258" s="2888">
        <f t="shared" si="1254"/>
        <v>0</v>
      </c>
      <c r="AR258" s="2889">
        <f t="shared" si="1254"/>
        <v>27.36</v>
      </c>
      <c r="AS258" s="2889">
        <f t="shared" si="1254"/>
        <v>27.36</v>
      </c>
      <c r="AT258" s="2889">
        <f t="shared" si="1254"/>
        <v>0</v>
      </c>
      <c r="AU258" s="2889">
        <f t="shared" si="1254"/>
        <v>26.748999999999999</v>
      </c>
      <c r="AV258" s="2889">
        <f t="shared" si="1254"/>
        <v>26.748999999999999</v>
      </c>
      <c r="AW258" s="2889">
        <f t="shared" si="1254"/>
        <v>0</v>
      </c>
      <c r="AX258" s="2889">
        <f t="shared" si="1254"/>
        <v>28.06</v>
      </c>
      <c r="AY258" s="2889">
        <f t="shared" si="1254"/>
        <v>28.06</v>
      </c>
      <c r="AZ258" s="2889">
        <f t="shared" si="1254"/>
        <v>0</v>
      </c>
      <c r="BA258" s="2889">
        <f t="shared" si="1254"/>
        <v>82.168999999999997</v>
      </c>
      <c r="BB258" s="2889">
        <f t="shared" si="1254"/>
        <v>82.168999999999997</v>
      </c>
      <c r="BC258" s="2889">
        <f t="shared" si="1254"/>
        <v>0</v>
      </c>
      <c r="BD258" s="2890">
        <f t="shared" si="1254"/>
        <v>0</v>
      </c>
      <c r="BE258" s="2890">
        <f t="shared" si="1254"/>
        <v>0</v>
      </c>
      <c r="BF258" s="2890">
        <f t="shared" si="1254"/>
        <v>0</v>
      </c>
      <c r="BG258" s="2891">
        <f t="shared" si="1254"/>
        <v>253.84999999999997</v>
      </c>
      <c r="BH258" s="2891">
        <f t="shared" si="1254"/>
        <v>253.84999999999997</v>
      </c>
      <c r="BI258" s="2891">
        <f t="shared" si="1254"/>
        <v>0</v>
      </c>
      <c r="BJ258" s="2847">
        <f t="shared" si="1188"/>
        <v>253.84999999999997</v>
      </c>
      <c r="BK258" s="2847">
        <f t="shared" si="1189"/>
        <v>253.84999999999997</v>
      </c>
      <c r="BL258" s="2847">
        <f t="shared" si="1189"/>
        <v>0</v>
      </c>
      <c r="BM258" s="2888">
        <f t="shared" ref="BM258:CG258" si="1255">SUM(BM84)</f>
        <v>0</v>
      </c>
      <c r="BN258" s="2888">
        <f t="shared" si="1255"/>
        <v>0</v>
      </c>
      <c r="BO258" s="2888">
        <f t="shared" si="1255"/>
        <v>0</v>
      </c>
      <c r="BP258" s="2889">
        <f t="shared" si="1255"/>
        <v>27.905999999999999</v>
      </c>
      <c r="BQ258" s="2889">
        <f t="shared" si="1255"/>
        <v>27.905999999999999</v>
      </c>
      <c r="BR258" s="2889">
        <f t="shared" si="1255"/>
        <v>0</v>
      </c>
      <c r="BS258" s="2889">
        <f t="shared" si="1255"/>
        <v>26.199000000000002</v>
      </c>
      <c r="BT258" s="2889">
        <f t="shared" si="1255"/>
        <v>26.199000000000002</v>
      </c>
      <c r="BU258" s="2889">
        <f t="shared" si="1255"/>
        <v>0</v>
      </c>
      <c r="BV258" s="2889">
        <f t="shared" si="1255"/>
        <v>28.036000000000001</v>
      </c>
      <c r="BW258" s="2889">
        <f t="shared" si="1255"/>
        <v>28.036000000000001</v>
      </c>
      <c r="BX258" s="2889">
        <f t="shared" si="1255"/>
        <v>0</v>
      </c>
      <c r="BY258" s="2889">
        <f t="shared" si="1255"/>
        <v>82.141000000000005</v>
      </c>
      <c r="BZ258" s="2889">
        <f t="shared" si="1255"/>
        <v>82.141000000000005</v>
      </c>
      <c r="CA258" s="2889">
        <f t="shared" si="1255"/>
        <v>0</v>
      </c>
      <c r="CB258" s="2890">
        <f t="shared" si="1255"/>
        <v>0</v>
      </c>
      <c r="CC258" s="2890">
        <f t="shared" si="1255"/>
        <v>0</v>
      </c>
      <c r="CD258" s="2890">
        <f t="shared" si="1255"/>
        <v>0</v>
      </c>
      <c r="CE258" s="2891">
        <f t="shared" si="1255"/>
        <v>335.99099999999999</v>
      </c>
      <c r="CF258" s="2891">
        <f t="shared" si="1255"/>
        <v>335.99099999999999</v>
      </c>
      <c r="CG258" s="2891">
        <f t="shared" si="1255"/>
        <v>0</v>
      </c>
      <c r="CH258" s="2847">
        <f t="shared" si="1191"/>
        <v>335.99099999999999</v>
      </c>
      <c r="CI258" s="2847">
        <f t="shared" si="1192"/>
        <v>335.99099999999999</v>
      </c>
      <c r="CJ258" s="2847">
        <f t="shared" si="1192"/>
        <v>0</v>
      </c>
      <c r="CK258" s="2822"/>
      <c r="CL258" s="2822"/>
      <c r="CM258" s="2822"/>
      <c r="CN258" s="2822"/>
    </row>
    <row r="259" spans="1:92" ht="18.75" x14ac:dyDescent="0.3">
      <c r="A259" s="2873" t="s">
        <v>597</v>
      </c>
      <c r="B259" s="2888">
        <f t="shared" ref="B259:AK259" si="1256">SUM(B85)</f>
        <v>0</v>
      </c>
      <c r="C259" s="2888">
        <f t="shared" si="1256"/>
        <v>0</v>
      </c>
      <c r="D259" s="2888">
        <f t="shared" si="1256"/>
        <v>0</v>
      </c>
      <c r="E259" s="2889">
        <f t="shared" si="1256"/>
        <v>0</v>
      </c>
      <c r="F259" s="2889">
        <f t="shared" si="1256"/>
        <v>0</v>
      </c>
      <c r="G259" s="2889">
        <f t="shared" si="1256"/>
        <v>0</v>
      </c>
      <c r="H259" s="2889">
        <f t="shared" si="1256"/>
        <v>10.06</v>
      </c>
      <c r="I259" s="2889">
        <f t="shared" si="1256"/>
        <v>10.06</v>
      </c>
      <c r="J259" s="2889">
        <f t="shared" si="1256"/>
        <v>0</v>
      </c>
      <c r="K259" s="2889">
        <f t="shared" si="1256"/>
        <v>10.14</v>
      </c>
      <c r="L259" s="2889">
        <f t="shared" si="1256"/>
        <v>10.14</v>
      </c>
      <c r="M259" s="2889">
        <f t="shared" si="1256"/>
        <v>0</v>
      </c>
      <c r="N259" s="2889">
        <f t="shared" si="1256"/>
        <v>20.200000000000003</v>
      </c>
      <c r="O259" s="2889">
        <f t="shared" si="1256"/>
        <v>20.200000000000003</v>
      </c>
      <c r="P259" s="2889">
        <f t="shared" si="1256"/>
        <v>0</v>
      </c>
      <c r="Q259" s="2888">
        <f t="shared" si="1256"/>
        <v>0</v>
      </c>
      <c r="R259" s="2888">
        <f t="shared" si="1256"/>
        <v>0</v>
      </c>
      <c r="S259" s="2888">
        <f t="shared" si="1256"/>
        <v>0</v>
      </c>
      <c r="T259" s="2889">
        <f t="shared" si="1256"/>
        <v>10.06</v>
      </c>
      <c r="U259" s="2889">
        <f t="shared" si="1256"/>
        <v>10.06</v>
      </c>
      <c r="V259" s="2889">
        <f t="shared" si="1256"/>
        <v>0</v>
      </c>
      <c r="W259" s="2889">
        <f t="shared" si="1256"/>
        <v>9.5299999999999994</v>
      </c>
      <c r="X259" s="2889">
        <f t="shared" si="1256"/>
        <v>9.5299999999999994</v>
      </c>
      <c r="Y259" s="2889">
        <f t="shared" si="1256"/>
        <v>0</v>
      </c>
      <c r="Z259" s="2889">
        <f t="shared" si="1256"/>
        <v>9.6509999999999998</v>
      </c>
      <c r="AA259" s="2889">
        <f t="shared" si="1256"/>
        <v>9.6509999999999998</v>
      </c>
      <c r="AB259" s="2889">
        <f t="shared" si="1256"/>
        <v>0</v>
      </c>
      <c r="AC259" s="2889">
        <f t="shared" si="1256"/>
        <v>29.241</v>
      </c>
      <c r="AD259" s="2889">
        <f t="shared" si="1256"/>
        <v>29.241</v>
      </c>
      <c r="AE259" s="2889">
        <f t="shared" si="1256"/>
        <v>0</v>
      </c>
      <c r="AF259" s="2890">
        <f t="shared" si="1256"/>
        <v>0</v>
      </c>
      <c r="AG259" s="2890">
        <f t="shared" si="1256"/>
        <v>0</v>
      </c>
      <c r="AH259" s="2890">
        <f t="shared" si="1256"/>
        <v>0</v>
      </c>
      <c r="AI259" s="2891">
        <f t="shared" si="1256"/>
        <v>49.441000000000003</v>
      </c>
      <c r="AJ259" s="2891">
        <f t="shared" si="1256"/>
        <v>49.441000000000003</v>
      </c>
      <c r="AK259" s="2891">
        <f t="shared" si="1256"/>
        <v>0</v>
      </c>
      <c r="AL259" s="2847">
        <f t="shared" si="1185"/>
        <v>49.441000000000003</v>
      </c>
      <c r="AM259" s="2847">
        <f t="shared" si="1186"/>
        <v>49.441000000000003</v>
      </c>
      <c r="AN259" s="2847">
        <f t="shared" si="1186"/>
        <v>0</v>
      </c>
      <c r="AO259" s="2888">
        <f t="shared" ref="AO259:BI259" si="1257">SUM(AO85)</f>
        <v>0</v>
      </c>
      <c r="AP259" s="2888">
        <f t="shared" si="1257"/>
        <v>0</v>
      </c>
      <c r="AQ259" s="2888">
        <f t="shared" si="1257"/>
        <v>0</v>
      </c>
      <c r="AR259" s="2889">
        <f t="shared" si="1257"/>
        <v>9.57</v>
      </c>
      <c r="AS259" s="2889">
        <f t="shared" si="1257"/>
        <v>9.57</v>
      </c>
      <c r="AT259" s="2889">
        <f t="shared" si="1257"/>
        <v>0</v>
      </c>
      <c r="AU259" s="2889">
        <f t="shared" si="1257"/>
        <v>9.6419999999999995</v>
      </c>
      <c r="AV259" s="2889">
        <f t="shared" si="1257"/>
        <v>9.6419999999999995</v>
      </c>
      <c r="AW259" s="2889">
        <f t="shared" si="1257"/>
        <v>0</v>
      </c>
      <c r="AX259" s="2889">
        <f t="shared" si="1257"/>
        <v>9.5860000000000003</v>
      </c>
      <c r="AY259" s="2889">
        <f t="shared" si="1257"/>
        <v>9.5860000000000003</v>
      </c>
      <c r="AZ259" s="2889">
        <f t="shared" si="1257"/>
        <v>0</v>
      </c>
      <c r="BA259" s="2889">
        <f t="shared" si="1257"/>
        <v>28.798000000000002</v>
      </c>
      <c r="BB259" s="2889">
        <f t="shared" si="1257"/>
        <v>28.798000000000002</v>
      </c>
      <c r="BC259" s="2889">
        <f t="shared" si="1257"/>
        <v>0</v>
      </c>
      <c r="BD259" s="2890">
        <f t="shared" si="1257"/>
        <v>0</v>
      </c>
      <c r="BE259" s="2890">
        <f t="shared" si="1257"/>
        <v>0</v>
      </c>
      <c r="BF259" s="2890">
        <f t="shared" si="1257"/>
        <v>0</v>
      </c>
      <c r="BG259" s="2891">
        <f t="shared" si="1257"/>
        <v>78.239000000000004</v>
      </c>
      <c r="BH259" s="2891">
        <f t="shared" si="1257"/>
        <v>78.239000000000004</v>
      </c>
      <c r="BI259" s="2891">
        <f t="shared" si="1257"/>
        <v>0</v>
      </c>
      <c r="BJ259" s="2847">
        <f t="shared" si="1188"/>
        <v>78.239000000000004</v>
      </c>
      <c r="BK259" s="2847">
        <f t="shared" si="1189"/>
        <v>78.239000000000004</v>
      </c>
      <c r="BL259" s="2847">
        <f t="shared" si="1189"/>
        <v>0</v>
      </c>
      <c r="BM259" s="2888">
        <f t="shared" ref="BM259:CG259" si="1258">SUM(BM85)</f>
        <v>0</v>
      </c>
      <c r="BN259" s="2888">
        <f t="shared" si="1258"/>
        <v>0</v>
      </c>
      <c r="BO259" s="2888">
        <f t="shared" si="1258"/>
        <v>0</v>
      </c>
      <c r="BP259" s="2889">
        <f t="shared" si="1258"/>
        <v>9.5039999999999996</v>
      </c>
      <c r="BQ259" s="2889">
        <f t="shared" si="1258"/>
        <v>9.5039999999999996</v>
      </c>
      <c r="BR259" s="2889">
        <f t="shared" si="1258"/>
        <v>0</v>
      </c>
      <c r="BS259" s="2889">
        <f t="shared" si="1258"/>
        <v>9.5210000000000008</v>
      </c>
      <c r="BT259" s="2889">
        <f t="shared" si="1258"/>
        <v>9.5210000000000008</v>
      </c>
      <c r="BU259" s="2889">
        <f t="shared" si="1258"/>
        <v>0</v>
      </c>
      <c r="BV259" s="2889">
        <f t="shared" si="1258"/>
        <v>9.5670000000000002</v>
      </c>
      <c r="BW259" s="2889">
        <f t="shared" si="1258"/>
        <v>9.5670000000000002</v>
      </c>
      <c r="BX259" s="2889">
        <f t="shared" si="1258"/>
        <v>0</v>
      </c>
      <c r="BY259" s="2889">
        <f t="shared" si="1258"/>
        <v>28.591999999999999</v>
      </c>
      <c r="BZ259" s="2889">
        <f t="shared" si="1258"/>
        <v>28.591999999999999</v>
      </c>
      <c r="CA259" s="2889">
        <f t="shared" si="1258"/>
        <v>0</v>
      </c>
      <c r="CB259" s="2890">
        <f t="shared" si="1258"/>
        <v>0</v>
      </c>
      <c r="CC259" s="2890">
        <f t="shared" si="1258"/>
        <v>0</v>
      </c>
      <c r="CD259" s="2890">
        <f t="shared" si="1258"/>
        <v>0</v>
      </c>
      <c r="CE259" s="2891">
        <f t="shared" si="1258"/>
        <v>106.831</v>
      </c>
      <c r="CF259" s="2891">
        <f t="shared" si="1258"/>
        <v>106.831</v>
      </c>
      <c r="CG259" s="2891">
        <f t="shared" si="1258"/>
        <v>0</v>
      </c>
      <c r="CH259" s="2847">
        <f t="shared" si="1191"/>
        <v>106.831</v>
      </c>
      <c r="CI259" s="2847">
        <f t="shared" si="1192"/>
        <v>106.831</v>
      </c>
      <c r="CJ259" s="2847">
        <f t="shared" si="1192"/>
        <v>0</v>
      </c>
      <c r="CK259" s="2822"/>
      <c r="CL259" s="2822"/>
      <c r="CM259" s="2822"/>
      <c r="CN259" s="2822"/>
    </row>
    <row r="260" spans="1:92" ht="18.75" x14ac:dyDescent="0.3">
      <c r="A260" s="2880" t="s">
        <v>591</v>
      </c>
      <c r="B260" s="2899">
        <f>SUM(B261:B264)</f>
        <v>909.74082190675017</v>
      </c>
      <c r="C260" s="2899">
        <f>SUM(C261:C264)</f>
        <v>909.74082190675017</v>
      </c>
      <c r="D260" s="2899">
        <f t="shared" ref="D260:AK260" si="1259">SUM(D261:D264)</f>
        <v>0</v>
      </c>
      <c r="E260" s="2900">
        <f t="shared" si="1259"/>
        <v>491.56779</v>
      </c>
      <c r="F260" s="2900">
        <f t="shared" si="1259"/>
        <v>491.56779</v>
      </c>
      <c r="G260" s="2900">
        <f t="shared" si="1259"/>
        <v>0</v>
      </c>
      <c r="H260" s="2900">
        <f t="shared" si="1259"/>
        <v>423.29399999999993</v>
      </c>
      <c r="I260" s="2900">
        <f t="shared" si="1259"/>
        <v>423.29399999999993</v>
      </c>
      <c r="J260" s="2900">
        <f t="shared" si="1259"/>
        <v>0</v>
      </c>
      <c r="K260" s="2900">
        <f t="shared" si="1259"/>
        <v>464.84942999999998</v>
      </c>
      <c r="L260" s="2900">
        <f t="shared" si="1259"/>
        <v>464.84942999999998</v>
      </c>
      <c r="M260" s="2900">
        <f t="shared" si="1259"/>
        <v>0</v>
      </c>
      <c r="N260" s="2900">
        <f t="shared" si="1259"/>
        <v>1379.7112199999999</v>
      </c>
      <c r="O260" s="2900">
        <f t="shared" si="1259"/>
        <v>1379.7112199999999</v>
      </c>
      <c r="P260" s="2900">
        <f t="shared" si="1259"/>
        <v>0</v>
      </c>
      <c r="Q260" s="2899">
        <f t="shared" si="1259"/>
        <v>909.74082190675017</v>
      </c>
      <c r="R260" s="2899">
        <f t="shared" si="1259"/>
        <v>909.74082190675017</v>
      </c>
      <c r="S260" s="2899">
        <f t="shared" si="1259"/>
        <v>0</v>
      </c>
      <c r="T260" s="2900">
        <f t="shared" si="1259"/>
        <v>299.63</v>
      </c>
      <c r="U260" s="2900">
        <f t="shared" si="1259"/>
        <v>299.63</v>
      </c>
      <c r="V260" s="2900">
        <f t="shared" si="1259"/>
        <v>0</v>
      </c>
      <c r="W260" s="2900">
        <f t="shared" si="1259"/>
        <v>111.205</v>
      </c>
      <c r="X260" s="2900">
        <f t="shared" si="1259"/>
        <v>111.205</v>
      </c>
      <c r="Y260" s="2900">
        <f t="shared" si="1259"/>
        <v>0</v>
      </c>
      <c r="Z260" s="2900">
        <f t="shared" si="1259"/>
        <v>19.597000000000001</v>
      </c>
      <c r="AA260" s="2900">
        <f t="shared" si="1259"/>
        <v>19.597000000000001</v>
      </c>
      <c r="AB260" s="2900">
        <f t="shared" si="1259"/>
        <v>0</v>
      </c>
      <c r="AC260" s="2900">
        <f t="shared" si="1259"/>
        <v>430.4319999999999</v>
      </c>
      <c r="AD260" s="2900">
        <f t="shared" si="1259"/>
        <v>430.4319999999999</v>
      </c>
      <c r="AE260" s="2900">
        <f t="shared" si="1259"/>
        <v>0</v>
      </c>
      <c r="AF260" s="2901">
        <f t="shared" si="1259"/>
        <v>1819.4816438135003</v>
      </c>
      <c r="AG260" s="2901">
        <f t="shared" si="1259"/>
        <v>1819.4816438135003</v>
      </c>
      <c r="AH260" s="2901">
        <f t="shared" si="1259"/>
        <v>0</v>
      </c>
      <c r="AI260" s="2902">
        <f t="shared" si="1259"/>
        <v>1810.1432199999999</v>
      </c>
      <c r="AJ260" s="2902">
        <f t="shared" si="1259"/>
        <v>1810.1432199999999</v>
      </c>
      <c r="AK260" s="2902">
        <f t="shared" si="1259"/>
        <v>0</v>
      </c>
      <c r="AL260" s="2847">
        <f t="shared" si="1185"/>
        <v>-9.3384238135004125</v>
      </c>
      <c r="AM260" s="2847">
        <f t="shared" si="1186"/>
        <v>-9.3384238135004125</v>
      </c>
      <c r="AN260" s="2847">
        <f t="shared" si="1186"/>
        <v>0</v>
      </c>
      <c r="AO260" s="2899">
        <f t="shared" ref="AO260:BI260" si="1260">SUM(AO261:AO264)</f>
        <v>909.74082190675017</v>
      </c>
      <c r="AP260" s="2899">
        <f t="shared" si="1260"/>
        <v>909.74082190675017</v>
      </c>
      <c r="AQ260" s="2899">
        <f t="shared" si="1260"/>
        <v>0</v>
      </c>
      <c r="AR260" s="2900">
        <f t="shared" si="1260"/>
        <v>41.86</v>
      </c>
      <c r="AS260" s="2900">
        <f t="shared" si="1260"/>
        <v>41.86</v>
      </c>
      <c r="AT260" s="2900">
        <f t="shared" si="1260"/>
        <v>0</v>
      </c>
      <c r="AU260" s="2900">
        <f t="shared" si="1260"/>
        <v>10.19</v>
      </c>
      <c r="AV260" s="2900">
        <f t="shared" si="1260"/>
        <v>10.19</v>
      </c>
      <c r="AW260" s="2900">
        <f t="shared" si="1260"/>
        <v>0</v>
      </c>
      <c r="AX260" s="2900">
        <f t="shared" si="1260"/>
        <v>104.709</v>
      </c>
      <c r="AY260" s="2900">
        <f t="shared" si="1260"/>
        <v>104.709</v>
      </c>
      <c r="AZ260" s="2900">
        <f t="shared" si="1260"/>
        <v>0</v>
      </c>
      <c r="BA260" s="2900">
        <f t="shared" si="1260"/>
        <v>156.75899999999999</v>
      </c>
      <c r="BB260" s="2900">
        <f t="shared" si="1260"/>
        <v>156.75899999999999</v>
      </c>
      <c r="BC260" s="2900">
        <f t="shared" si="1260"/>
        <v>0</v>
      </c>
      <c r="BD260" s="2901">
        <f t="shared" si="1260"/>
        <v>2729.2224657202505</v>
      </c>
      <c r="BE260" s="2901">
        <f t="shared" si="1260"/>
        <v>2729.2224657202505</v>
      </c>
      <c r="BF260" s="2901">
        <f t="shared" si="1260"/>
        <v>0</v>
      </c>
      <c r="BG260" s="2902">
        <f t="shared" si="1260"/>
        <v>1966.9022199999997</v>
      </c>
      <c r="BH260" s="2902">
        <f t="shared" si="1260"/>
        <v>1966.9022199999997</v>
      </c>
      <c r="BI260" s="2902">
        <f t="shared" si="1260"/>
        <v>0</v>
      </c>
      <c r="BJ260" s="2847">
        <f t="shared" si="1188"/>
        <v>-762.3202457202508</v>
      </c>
      <c r="BK260" s="2847">
        <f t="shared" si="1189"/>
        <v>-762.3202457202508</v>
      </c>
      <c r="BL260" s="2847">
        <f t="shared" si="1189"/>
        <v>0</v>
      </c>
      <c r="BM260" s="2899">
        <f t="shared" ref="BM260:CG260" si="1261">SUM(BM261:BM264)</f>
        <v>909.74082190675017</v>
      </c>
      <c r="BN260" s="2899">
        <f t="shared" si="1261"/>
        <v>909.74082190675017</v>
      </c>
      <c r="BO260" s="2899">
        <f t="shared" si="1261"/>
        <v>0</v>
      </c>
      <c r="BP260" s="2900">
        <f t="shared" si="1261"/>
        <v>401.25600000000003</v>
      </c>
      <c r="BQ260" s="2900">
        <f t="shared" si="1261"/>
        <v>401.25600000000003</v>
      </c>
      <c r="BR260" s="2900">
        <f t="shared" si="1261"/>
        <v>0</v>
      </c>
      <c r="BS260" s="2900">
        <f t="shared" si="1261"/>
        <v>377.74399999999997</v>
      </c>
      <c r="BT260" s="2900">
        <f t="shared" si="1261"/>
        <v>377.74399999999997</v>
      </c>
      <c r="BU260" s="2900">
        <f t="shared" si="1261"/>
        <v>0</v>
      </c>
      <c r="BV260" s="2900">
        <f t="shared" si="1261"/>
        <v>432.32499999999999</v>
      </c>
      <c r="BW260" s="2900">
        <f t="shared" si="1261"/>
        <v>432.32499999999999</v>
      </c>
      <c r="BX260" s="2900">
        <f t="shared" si="1261"/>
        <v>0</v>
      </c>
      <c r="BY260" s="2900">
        <f t="shared" si="1261"/>
        <v>1211.3249999999998</v>
      </c>
      <c r="BZ260" s="2900">
        <f t="shared" si="1261"/>
        <v>1211.3249999999998</v>
      </c>
      <c r="CA260" s="2900">
        <f t="shared" si="1261"/>
        <v>0</v>
      </c>
      <c r="CB260" s="2901">
        <f t="shared" si="1261"/>
        <v>3638.9632876270007</v>
      </c>
      <c r="CC260" s="2901">
        <f t="shared" si="1261"/>
        <v>3638.9632876270007</v>
      </c>
      <c r="CD260" s="2901">
        <f t="shared" si="1261"/>
        <v>0</v>
      </c>
      <c r="CE260" s="2902">
        <f t="shared" si="1261"/>
        <v>3178.2272199999998</v>
      </c>
      <c r="CF260" s="2902">
        <f t="shared" si="1261"/>
        <v>3178.2272199999998</v>
      </c>
      <c r="CG260" s="2902">
        <f t="shared" si="1261"/>
        <v>0</v>
      </c>
      <c r="CH260" s="2847">
        <f t="shared" si="1191"/>
        <v>-460.73606762700092</v>
      </c>
      <c r="CI260" s="2847">
        <f t="shared" si="1192"/>
        <v>-460.73606762700092</v>
      </c>
      <c r="CJ260" s="2847">
        <f t="shared" si="1192"/>
        <v>0</v>
      </c>
      <c r="CK260" s="2822"/>
      <c r="CL260" s="2822"/>
      <c r="CM260" s="2822"/>
      <c r="CN260" s="2822"/>
    </row>
    <row r="261" spans="1:92" ht="18.75" x14ac:dyDescent="0.3">
      <c r="A261" s="2874" t="s">
        <v>546</v>
      </c>
      <c r="B261" s="2888">
        <f>SUM(B90+B69)</f>
        <v>668.39282043300011</v>
      </c>
      <c r="C261" s="2888">
        <f>SUM(C90+C69)</f>
        <v>668.39282043300011</v>
      </c>
      <c r="D261" s="2888">
        <f t="shared" ref="D261:AK261" si="1262">SUM(D90+D69)</f>
        <v>0</v>
      </c>
      <c r="E261" s="2889">
        <f t="shared" si="1262"/>
        <v>417.83</v>
      </c>
      <c r="F261" s="2889">
        <f>SUM(F90+F69)</f>
        <v>417.83</v>
      </c>
      <c r="G261" s="2889">
        <f t="shared" si="1262"/>
        <v>0</v>
      </c>
      <c r="H261" s="2889">
        <f t="shared" si="1262"/>
        <v>418.34699999999998</v>
      </c>
      <c r="I261" s="2889">
        <f t="shared" si="1262"/>
        <v>418.34699999999998</v>
      </c>
      <c r="J261" s="2889">
        <f t="shared" si="1262"/>
        <v>0</v>
      </c>
      <c r="K261" s="2889">
        <f t="shared" si="1262"/>
        <v>330.52</v>
      </c>
      <c r="L261" s="2889">
        <f t="shared" si="1262"/>
        <v>330.52</v>
      </c>
      <c r="M261" s="2889">
        <f t="shared" si="1262"/>
        <v>0</v>
      </c>
      <c r="N261" s="2889">
        <f t="shared" si="1262"/>
        <v>1166.6969999999999</v>
      </c>
      <c r="O261" s="2889">
        <f t="shared" si="1262"/>
        <v>1166.6969999999999</v>
      </c>
      <c r="P261" s="2889">
        <f t="shared" si="1262"/>
        <v>0</v>
      </c>
      <c r="Q261" s="2888">
        <f t="shared" si="1262"/>
        <v>668.39282043300011</v>
      </c>
      <c r="R261" s="2888">
        <f t="shared" si="1262"/>
        <v>668.39282043300011</v>
      </c>
      <c r="S261" s="2888">
        <f t="shared" si="1262"/>
        <v>0</v>
      </c>
      <c r="T261" s="2889">
        <f t="shared" si="1262"/>
        <v>225.56</v>
      </c>
      <c r="U261" s="2889">
        <f t="shared" si="1262"/>
        <v>225.56</v>
      </c>
      <c r="V261" s="2889">
        <f t="shared" si="1262"/>
        <v>0</v>
      </c>
      <c r="W261" s="2889">
        <f t="shared" si="1262"/>
        <v>96.5</v>
      </c>
      <c r="X261" s="2889">
        <f t="shared" si="1262"/>
        <v>96.5</v>
      </c>
      <c r="Y261" s="2889">
        <f t="shared" si="1262"/>
        <v>0</v>
      </c>
      <c r="Z261" s="2889">
        <f t="shared" si="1262"/>
        <v>6.4210000000000003</v>
      </c>
      <c r="AA261" s="2889">
        <f t="shared" si="1262"/>
        <v>6.4210000000000003</v>
      </c>
      <c r="AB261" s="2889">
        <f t="shared" si="1262"/>
        <v>0</v>
      </c>
      <c r="AC261" s="2889">
        <f t="shared" si="1262"/>
        <v>328.48099999999994</v>
      </c>
      <c r="AD261" s="2889">
        <f t="shared" si="1262"/>
        <v>328.48099999999994</v>
      </c>
      <c r="AE261" s="2889">
        <f t="shared" si="1262"/>
        <v>0</v>
      </c>
      <c r="AF261" s="2890">
        <f t="shared" si="1262"/>
        <v>1336.7856408660002</v>
      </c>
      <c r="AG261" s="2890">
        <f t="shared" si="1262"/>
        <v>1336.7856408660002</v>
      </c>
      <c r="AH261" s="2890">
        <f t="shared" si="1262"/>
        <v>0</v>
      </c>
      <c r="AI261" s="2891">
        <f t="shared" si="1262"/>
        <v>1495.1779999999999</v>
      </c>
      <c r="AJ261" s="2891">
        <f t="shared" si="1262"/>
        <v>1495.1779999999999</v>
      </c>
      <c r="AK261" s="2891">
        <f t="shared" si="1262"/>
        <v>0</v>
      </c>
      <c r="AL261" s="2847">
        <f t="shared" si="1185"/>
        <v>158.39235913399966</v>
      </c>
      <c r="AM261" s="2847">
        <f t="shared" si="1186"/>
        <v>158.39235913399966</v>
      </c>
      <c r="AN261" s="2847">
        <f t="shared" si="1186"/>
        <v>0</v>
      </c>
      <c r="AO261" s="2888">
        <f t="shared" ref="AO261:BI261" si="1263">SUM(AO90+AO69)</f>
        <v>668.39282043300011</v>
      </c>
      <c r="AP261" s="2888">
        <f t="shared" si="1263"/>
        <v>668.39282043300011</v>
      </c>
      <c r="AQ261" s="2888">
        <f t="shared" si="1263"/>
        <v>0</v>
      </c>
      <c r="AR261" s="2889">
        <f t="shared" si="1263"/>
        <v>4.4400000000000004</v>
      </c>
      <c r="AS261" s="2889">
        <f t="shared" si="1263"/>
        <v>4.4400000000000004</v>
      </c>
      <c r="AT261" s="2889">
        <f t="shared" si="1263"/>
        <v>0</v>
      </c>
      <c r="AU261" s="2889">
        <f t="shared" si="1263"/>
        <v>5.1920000000000002</v>
      </c>
      <c r="AV261" s="2889">
        <f t="shared" si="1263"/>
        <v>5.1920000000000002</v>
      </c>
      <c r="AW261" s="2889">
        <f t="shared" si="1263"/>
        <v>0</v>
      </c>
      <c r="AX261" s="2889">
        <f t="shared" si="1263"/>
        <v>90.420999999999992</v>
      </c>
      <c r="AY261" s="2889">
        <f t="shared" si="1263"/>
        <v>90.420999999999992</v>
      </c>
      <c r="AZ261" s="2889">
        <f t="shared" si="1263"/>
        <v>0</v>
      </c>
      <c r="BA261" s="2889">
        <f t="shared" si="1263"/>
        <v>100.053</v>
      </c>
      <c r="BB261" s="2889">
        <f t="shared" si="1263"/>
        <v>100.053</v>
      </c>
      <c r="BC261" s="2889">
        <f t="shared" si="1263"/>
        <v>0</v>
      </c>
      <c r="BD261" s="2890">
        <f t="shared" si="1263"/>
        <v>2005.1784612990004</v>
      </c>
      <c r="BE261" s="2890">
        <f t="shared" si="1263"/>
        <v>2005.1784612990004</v>
      </c>
      <c r="BF261" s="2890">
        <f t="shared" si="1263"/>
        <v>0</v>
      </c>
      <c r="BG261" s="2891">
        <f t="shared" si="1263"/>
        <v>1595.2309999999998</v>
      </c>
      <c r="BH261" s="2891">
        <f t="shared" si="1263"/>
        <v>1595.2309999999998</v>
      </c>
      <c r="BI261" s="2891">
        <f t="shared" si="1263"/>
        <v>0</v>
      </c>
      <c r="BJ261" s="2847">
        <f t="shared" si="1188"/>
        <v>-409.94746129900068</v>
      </c>
      <c r="BK261" s="2847">
        <f t="shared" si="1189"/>
        <v>-409.94746129900068</v>
      </c>
      <c r="BL261" s="2847">
        <f t="shared" si="1189"/>
        <v>0</v>
      </c>
      <c r="BM261" s="2888">
        <f t="shared" ref="BM261:CG261" si="1264">SUM(BM90+BM69)</f>
        <v>668.39282043300011</v>
      </c>
      <c r="BN261" s="2888">
        <f t="shared" si="1264"/>
        <v>668.39282043300011</v>
      </c>
      <c r="BO261" s="2888">
        <f t="shared" si="1264"/>
        <v>0</v>
      </c>
      <c r="BP261" s="2889">
        <f t="shared" si="1264"/>
        <v>184.578</v>
      </c>
      <c r="BQ261" s="2889">
        <f t="shared" si="1264"/>
        <v>184.578</v>
      </c>
      <c r="BR261" s="2889">
        <f t="shared" si="1264"/>
        <v>0</v>
      </c>
      <c r="BS261" s="2889">
        <f t="shared" si="1264"/>
        <v>271.93599999999998</v>
      </c>
      <c r="BT261" s="2889">
        <f t="shared" si="1264"/>
        <v>271.93599999999998</v>
      </c>
      <c r="BU261" s="2889">
        <f t="shared" si="1264"/>
        <v>0</v>
      </c>
      <c r="BV261" s="2889">
        <f t="shared" si="1264"/>
        <v>369.62200000000001</v>
      </c>
      <c r="BW261" s="2889">
        <f t="shared" si="1264"/>
        <v>369.62200000000001</v>
      </c>
      <c r="BX261" s="2889">
        <f t="shared" si="1264"/>
        <v>0</v>
      </c>
      <c r="BY261" s="2889">
        <f t="shared" si="1264"/>
        <v>826.13599999999997</v>
      </c>
      <c r="BZ261" s="2889">
        <f t="shared" si="1264"/>
        <v>826.13599999999997</v>
      </c>
      <c r="CA261" s="2889">
        <f t="shared" si="1264"/>
        <v>0</v>
      </c>
      <c r="CB261" s="2890">
        <f t="shared" si="1264"/>
        <v>2673.5712817320004</v>
      </c>
      <c r="CC261" s="2890">
        <f t="shared" si="1264"/>
        <v>2673.5712817320004</v>
      </c>
      <c r="CD261" s="2890">
        <f t="shared" si="1264"/>
        <v>0</v>
      </c>
      <c r="CE261" s="2891">
        <f t="shared" si="1264"/>
        <v>2421.3669999999997</v>
      </c>
      <c r="CF261" s="2891">
        <f t="shared" si="1264"/>
        <v>2421.3669999999997</v>
      </c>
      <c r="CG261" s="2891">
        <f t="shared" si="1264"/>
        <v>0</v>
      </c>
      <c r="CH261" s="2847">
        <f t="shared" si="1191"/>
        <v>-252.20428173200071</v>
      </c>
      <c r="CI261" s="2847">
        <f t="shared" si="1192"/>
        <v>-252.20428173200071</v>
      </c>
      <c r="CJ261" s="2847">
        <f t="shared" si="1192"/>
        <v>0</v>
      </c>
      <c r="CK261" s="2822"/>
      <c r="CL261" s="2822"/>
      <c r="CM261" s="2822"/>
      <c r="CN261" s="2822"/>
    </row>
    <row r="262" spans="1:92" ht="18.75" x14ac:dyDescent="0.3">
      <c r="A262" s="2874" t="s">
        <v>548</v>
      </c>
      <c r="B262" s="2888">
        <f t="shared" ref="B262:AK262" si="1265">SUM(B47+B91+B118+B138)</f>
        <v>232.99383146125001</v>
      </c>
      <c r="C262" s="2888">
        <f t="shared" si="1265"/>
        <v>232.99383146125001</v>
      </c>
      <c r="D262" s="2888">
        <f t="shared" si="1265"/>
        <v>0</v>
      </c>
      <c r="E262" s="2889">
        <f t="shared" si="1265"/>
        <v>72.567790000000002</v>
      </c>
      <c r="F262" s="2889">
        <f t="shared" si="1265"/>
        <v>72.567790000000002</v>
      </c>
      <c r="G262" s="2889">
        <f t="shared" si="1265"/>
        <v>0</v>
      </c>
      <c r="H262" s="2889">
        <f t="shared" si="1265"/>
        <v>3.7800000000000002</v>
      </c>
      <c r="I262" s="2889">
        <f t="shared" si="1265"/>
        <v>3.7800000000000002</v>
      </c>
      <c r="J262" s="2889">
        <f t="shared" si="1265"/>
        <v>0</v>
      </c>
      <c r="K262" s="2889">
        <f t="shared" si="1265"/>
        <v>132.57943</v>
      </c>
      <c r="L262" s="2889">
        <f t="shared" si="1265"/>
        <v>132.57943</v>
      </c>
      <c r="M262" s="2889">
        <f t="shared" si="1265"/>
        <v>0</v>
      </c>
      <c r="N262" s="2889">
        <f t="shared" si="1265"/>
        <v>208.92721999999998</v>
      </c>
      <c r="O262" s="2889">
        <f t="shared" si="1265"/>
        <v>208.92721999999998</v>
      </c>
      <c r="P262" s="2889">
        <f t="shared" si="1265"/>
        <v>0</v>
      </c>
      <c r="Q262" s="2888">
        <f t="shared" si="1265"/>
        <v>232.99383146125001</v>
      </c>
      <c r="R262" s="2888">
        <f t="shared" si="1265"/>
        <v>232.99383146125001</v>
      </c>
      <c r="S262" s="2888">
        <f t="shared" si="1265"/>
        <v>0</v>
      </c>
      <c r="T262" s="2889">
        <f t="shared" si="1265"/>
        <v>72.320000000000007</v>
      </c>
      <c r="U262" s="2889">
        <f t="shared" si="1265"/>
        <v>72.320000000000007</v>
      </c>
      <c r="V262" s="2889">
        <f t="shared" si="1265"/>
        <v>0</v>
      </c>
      <c r="W262" s="2889">
        <f t="shared" si="1265"/>
        <v>12.954999999999998</v>
      </c>
      <c r="X262" s="2889">
        <f t="shared" si="1265"/>
        <v>12.954999999999998</v>
      </c>
      <c r="Y262" s="2889">
        <f t="shared" si="1265"/>
        <v>0</v>
      </c>
      <c r="Z262" s="2889">
        <f t="shared" si="1265"/>
        <v>11.425000000000001</v>
      </c>
      <c r="AA262" s="2889">
        <f t="shared" si="1265"/>
        <v>11.425000000000001</v>
      </c>
      <c r="AB262" s="2889">
        <f t="shared" si="1265"/>
        <v>0</v>
      </c>
      <c r="AC262" s="2889">
        <f t="shared" si="1265"/>
        <v>96.700000000000017</v>
      </c>
      <c r="AD262" s="2889">
        <f t="shared" si="1265"/>
        <v>96.700000000000017</v>
      </c>
      <c r="AE262" s="2889">
        <f t="shared" si="1265"/>
        <v>0</v>
      </c>
      <c r="AF262" s="2890">
        <f t="shared" si="1265"/>
        <v>465.98766292250002</v>
      </c>
      <c r="AG262" s="2890">
        <f t="shared" si="1265"/>
        <v>465.98766292250002</v>
      </c>
      <c r="AH262" s="2890">
        <f t="shared" si="1265"/>
        <v>0</v>
      </c>
      <c r="AI262" s="2891">
        <f t="shared" si="1265"/>
        <v>305.62722000000002</v>
      </c>
      <c r="AJ262" s="2891">
        <f t="shared" si="1265"/>
        <v>305.62722000000002</v>
      </c>
      <c r="AK262" s="2891">
        <f t="shared" si="1265"/>
        <v>0</v>
      </c>
      <c r="AL262" s="2847">
        <f t="shared" si="1185"/>
        <v>-160.3604429225</v>
      </c>
      <c r="AM262" s="2847">
        <f t="shared" si="1186"/>
        <v>-160.3604429225</v>
      </c>
      <c r="AN262" s="2847">
        <f t="shared" si="1186"/>
        <v>0</v>
      </c>
      <c r="AO262" s="2888">
        <f t="shared" ref="AO262:BI262" si="1266">SUM(AO47+AO91+AO118+AO138)</f>
        <v>232.99383146125001</v>
      </c>
      <c r="AP262" s="2888">
        <f t="shared" si="1266"/>
        <v>232.99383146125001</v>
      </c>
      <c r="AQ262" s="2888">
        <f t="shared" si="1266"/>
        <v>0</v>
      </c>
      <c r="AR262" s="2889">
        <f t="shared" si="1266"/>
        <v>36.25</v>
      </c>
      <c r="AS262" s="2889">
        <f t="shared" si="1266"/>
        <v>36.25</v>
      </c>
      <c r="AT262" s="2889">
        <f t="shared" si="1266"/>
        <v>0</v>
      </c>
      <c r="AU262" s="2889">
        <f t="shared" si="1266"/>
        <v>3.8310000000000004</v>
      </c>
      <c r="AV262" s="2889">
        <f t="shared" si="1266"/>
        <v>3.8310000000000004</v>
      </c>
      <c r="AW262" s="2889">
        <f t="shared" si="1266"/>
        <v>0</v>
      </c>
      <c r="AX262" s="2889">
        <f t="shared" si="1266"/>
        <v>10.787000000000001</v>
      </c>
      <c r="AY262" s="2889">
        <f t="shared" si="1266"/>
        <v>10.787000000000001</v>
      </c>
      <c r="AZ262" s="2889">
        <f t="shared" si="1266"/>
        <v>0</v>
      </c>
      <c r="BA262" s="2889">
        <f t="shared" si="1266"/>
        <v>50.867999999999995</v>
      </c>
      <c r="BB262" s="2889">
        <f t="shared" si="1266"/>
        <v>50.867999999999995</v>
      </c>
      <c r="BC262" s="2889">
        <f t="shared" si="1266"/>
        <v>0</v>
      </c>
      <c r="BD262" s="2890">
        <f t="shared" si="1266"/>
        <v>698.98149438375003</v>
      </c>
      <c r="BE262" s="2890">
        <f t="shared" si="1266"/>
        <v>698.98149438375003</v>
      </c>
      <c r="BF262" s="2890">
        <f t="shared" si="1266"/>
        <v>0</v>
      </c>
      <c r="BG262" s="2891">
        <f t="shared" si="1266"/>
        <v>356.49522000000002</v>
      </c>
      <c r="BH262" s="2891">
        <f t="shared" si="1266"/>
        <v>356.49522000000002</v>
      </c>
      <c r="BI262" s="2891">
        <f t="shared" si="1266"/>
        <v>0</v>
      </c>
      <c r="BJ262" s="2847">
        <f t="shared" si="1188"/>
        <v>-342.48627438375001</v>
      </c>
      <c r="BK262" s="2847">
        <f t="shared" si="1189"/>
        <v>-342.48627438375001</v>
      </c>
      <c r="BL262" s="2847">
        <f t="shared" si="1189"/>
        <v>0</v>
      </c>
      <c r="BM262" s="2888">
        <f t="shared" ref="BM262:CG262" si="1267">SUM(BM47+BM91+BM118+BM138)</f>
        <v>232.99383146125001</v>
      </c>
      <c r="BN262" s="2888">
        <f t="shared" si="1267"/>
        <v>232.99383146125001</v>
      </c>
      <c r="BO262" s="2888">
        <f t="shared" si="1267"/>
        <v>0</v>
      </c>
      <c r="BP262" s="2889">
        <f t="shared" si="1267"/>
        <v>204.857</v>
      </c>
      <c r="BQ262" s="2889">
        <f t="shared" si="1267"/>
        <v>204.857</v>
      </c>
      <c r="BR262" s="2889">
        <f t="shared" si="1267"/>
        <v>0</v>
      </c>
      <c r="BS262" s="2889">
        <f t="shared" si="1267"/>
        <v>104.64099999999999</v>
      </c>
      <c r="BT262" s="2889">
        <f t="shared" si="1267"/>
        <v>104.64099999999999</v>
      </c>
      <c r="BU262" s="2889">
        <f t="shared" si="1267"/>
        <v>0</v>
      </c>
      <c r="BV262" s="2889">
        <f t="shared" si="1267"/>
        <v>60.082000000000001</v>
      </c>
      <c r="BW262" s="2889">
        <f t="shared" si="1267"/>
        <v>60.082000000000001</v>
      </c>
      <c r="BX262" s="2889">
        <f t="shared" si="1267"/>
        <v>0</v>
      </c>
      <c r="BY262" s="2889">
        <f t="shared" si="1267"/>
        <v>369.58</v>
      </c>
      <c r="BZ262" s="2889">
        <f t="shared" si="1267"/>
        <v>369.58</v>
      </c>
      <c r="CA262" s="2889">
        <f t="shared" si="1267"/>
        <v>0</v>
      </c>
      <c r="CB262" s="2890">
        <f t="shared" si="1267"/>
        <v>931.97532584500004</v>
      </c>
      <c r="CC262" s="2890">
        <f t="shared" si="1267"/>
        <v>931.97532584500004</v>
      </c>
      <c r="CD262" s="2890">
        <f t="shared" si="1267"/>
        <v>0</v>
      </c>
      <c r="CE262" s="2891">
        <f t="shared" si="1267"/>
        <v>726.07521999999994</v>
      </c>
      <c r="CF262" s="2891">
        <f t="shared" si="1267"/>
        <v>726.07521999999994</v>
      </c>
      <c r="CG262" s="2891">
        <f t="shared" si="1267"/>
        <v>0</v>
      </c>
      <c r="CH262" s="2847">
        <f t="shared" si="1191"/>
        <v>-205.9001058450001</v>
      </c>
      <c r="CI262" s="2847">
        <f t="shared" si="1192"/>
        <v>-205.9001058450001</v>
      </c>
      <c r="CJ262" s="2847">
        <f t="shared" si="1192"/>
        <v>0</v>
      </c>
      <c r="CK262" s="2822"/>
      <c r="CL262" s="2822"/>
      <c r="CM262" s="2822"/>
      <c r="CN262" s="2822"/>
    </row>
    <row r="263" spans="1:92" ht="18.75" x14ac:dyDescent="0.3">
      <c r="A263" s="2874" t="s">
        <v>547</v>
      </c>
      <c r="B263" s="2888">
        <f t="shared" ref="B263" si="1268">SUM(B48+B92)</f>
        <v>0</v>
      </c>
      <c r="C263" s="2888">
        <f t="shared" ref="C263:AK263" si="1269">SUM(C48+C92)</f>
        <v>0</v>
      </c>
      <c r="D263" s="2888">
        <f t="shared" si="1269"/>
        <v>0</v>
      </c>
      <c r="E263" s="2889">
        <f t="shared" si="1269"/>
        <v>0</v>
      </c>
      <c r="F263" s="2889">
        <f t="shared" si="1269"/>
        <v>0</v>
      </c>
      <c r="G263" s="2889">
        <f t="shared" si="1269"/>
        <v>0</v>
      </c>
      <c r="H263" s="2889">
        <f t="shared" si="1269"/>
        <v>0</v>
      </c>
      <c r="I263" s="2889">
        <f t="shared" si="1269"/>
        <v>0</v>
      </c>
      <c r="J263" s="2889">
        <f t="shared" si="1269"/>
        <v>0</v>
      </c>
      <c r="K263" s="2889">
        <f t="shared" si="1269"/>
        <v>0</v>
      </c>
      <c r="L263" s="2889">
        <f t="shared" si="1269"/>
        <v>0</v>
      </c>
      <c r="M263" s="2889">
        <f t="shared" si="1269"/>
        <v>0</v>
      </c>
      <c r="N263" s="2889">
        <f t="shared" si="1269"/>
        <v>0</v>
      </c>
      <c r="O263" s="2889">
        <f t="shared" si="1269"/>
        <v>0</v>
      </c>
      <c r="P263" s="2889">
        <f t="shared" si="1269"/>
        <v>0</v>
      </c>
      <c r="Q263" s="2888">
        <f t="shared" si="1269"/>
        <v>0</v>
      </c>
      <c r="R263" s="2888">
        <f t="shared" si="1269"/>
        <v>0</v>
      </c>
      <c r="S263" s="2888">
        <f t="shared" si="1269"/>
        <v>0</v>
      </c>
      <c r="T263" s="2889">
        <f t="shared" si="1269"/>
        <v>0</v>
      </c>
      <c r="U263" s="2889">
        <f t="shared" si="1269"/>
        <v>0</v>
      </c>
      <c r="V263" s="2889">
        <f t="shared" si="1269"/>
        <v>0</v>
      </c>
      <c r="W263" s="2889">
        <f t="shared" si="1269"/>
        <v>0</v>
      </c>
      <c r="X263" s="2889">
        <f t="shared" si="1269"/>
        <v>0</v>
      </c>
      <c r="Y263" s="2889">
        <f t="shared" si="1269"/>
        <v>0</v>
      </c>
      <c r="Z263" s="2889">
        <f t="shared" si="1269"/>
        <v>0</v>
      </c>
      <c r="AA263" s="2889">
        <f t="shared" si="1269"/>
        <v>0</v>
      </c>
      <c r="AB263" s="2889">
        <f t="shared" si="1269"/>
        <v>0</v>
      </c>
      <c r="AC263" s="2889">
        <f t="shared" si="1269"/>
        <v>0</v>
      </c>
      <c r="AD263" s="2889">
        <f t="shared" si="1269"/>
        <v>0</v>
      </c>
      <c r="AE263" s="2889">
        <f t="shared" si="1269"/>
        <v>0</v>
      </c>
      <c r="AF263" s="2890">
        <f t="shared" si="1269"/>
        <v>0</v>
      </c>
      <c r="AG263" s="2890">
        <f t="shared" si="1269"/>
        <v>0</v>
      </c>
      <c r="AH263" s="2890">
        <f t="shared" si="1269"/>
        <v>0</v>
      </c>
      <c r="AI263" s="2891">
        <f t="shared" si="1269"/>
        <v>0</v>
      </c>
      <c r="AJ263" s="2891">
        <f t="shared" si="1269"/>
        <v>0</v>
      </c>
      <c r="AK263" s="2891">
        <f t="shared" si="1269"/>
        <v>0</v>
      </c>
      <c r="AL263" s="2847">
        <f t="shared" si="1185"/>
        <v>0</v>
      </c>
      <c r="AM263" s="2847">
        <f t="shared" si="1186"/>
        <v>0</v>
      </c>
      <c r="AN263" s="2847">
        <f t="shared" si="1186"/>
        <v>0</v>
      </c>
      <c r="AO263" s="2888">
        <f t="shared" ref="AO263:BI263" si="1270">SUM(AO48+AO92)</f>
        <v>0</v>
      </c>
      <c r="AP263" s="2888">
        <f t="shared" si="1270"/>
        <v>0</v>
      </c>
      <c r="AQ263" s="2888">
        <f t="shared" si="1270"/>
        <v>0</v>
      </c>
      <c r="AR263" s="2889">
        <f t="shared" si="1270"/>
        <v>0</v>
      </c>
      <c r="AS263" s="2889">
        <f t="shared" si="1270"/>
        <v>0</v>
      </c>
      <c r="AT263" s="2889">
        <f t="shared" si="1270"/>
        <v>0</v>
      </c>
      <c r="AU263" s="2889">
        <f t="shared" si="1270"/>
        <v>0</v>
      </c>
      <c r="AV263" s="2889">
        <f t="shared" si="1270"/>
        <v>0</v>
      </c>
      <c r="AW263" s="2889">
        <f t="shared" si="1270"/>
        <v>0</v>
      </c>
      <c r="AX263" s="2889">
        <f t="shared" si="1270"/>
        <v>0</v>
      </c>
      <c r="AY263" s="2889">
        <f t="shared" si="1270"/>
        <v>0</v>
      </c>
      <c r="AZ263" s="2889">
        <f t="shared" si="1270"/>
        <v>0</v>
      </c>
      <c r="BA263" s="2889">
        <f t="shared" si="1270"/>
        <v>0</v>
      </c>
      <c r="BB263" s="2889">
        <f t="shared" si="1270"/>
        <v>0</v>
      </c>
      <c r="BC263" s="2889">
        <f t="shared" si="1270"/>
        <v>0</v>
      </c>
      <c r="BD263" s="2890">
        <f t="shared" si="1270"/>
        <v>0</v>
      </c>
      <c r="BE263" s="2890">
        <f t="shared" si="1270"/>
        <v>0</v>
      </c>
      <c r="BF263" s="2890">
        <f t="shared" si="1270"/>
        <v>0</v>
      </c>
      <c r="BG263" s="2891">
        <f t="shared" si="1270"/>
        <v>0</v>
      </c>
      <c r="BH263" s="2891">
        <f t="shared" si="1270"/>
        <v>0</v>
      </c>
      <c r="BI263" s="2891">
        <f t="shared" si="1270"/>
        <v>0</v>
      </c>
      <c r="BJ263" s="2847">
        <f t="shared" si="1188"/>
        <v>0</v>
      </c>
      <c r="BK263" s="2847">
        <f t="shared" si="1189"/>
        <v>0</v>
      </c>
      <c r="BL263" s="2847">
        <f t="shared" si="1189"/>
        <v>0</v>
      </c>
      <c r="BM263" s="2888">
        <f t="shared" ref="BM263:CG263" si="1271">SUM(BM48+BM92)</f>
        <v>0</v>
      </c>
      <c r="BN263" s="2888">
        <f t="shared" si="1271"/>
        <v>0</v>
      </c>
      <c r="BO263" s="2888">
        <f t="shared" si="1271"/>
        <v>0</v>
      </c>
      <c r="BP263" s="2889">
        <f t="shared" si="1271"/>
        <v>0</v>
      </c>
      <c r="BQ263" s="2889">
        <f t="shared" si="1271"/>
        <v>0</v>
      </c>
      <c r="BR263" s="2889">
        <f t="shared" si="1271"/>
        <v>0</v>
      </c>
      <c r="BS263" s="2889">
        <f t="shared" si="1271"/>
        <v>0</v>
      </c>
      <c r="BT263" s="2889">
        <f t="shared" si="1271"/>
        <v>0</v>
      </c>
      <c r="BU263" s="2889">
        <f t="shared" si="1271"/>
        <v>0</v>
      </c>
      <c r="BV263" s="2889">
        <f t="shared" si="1271"/>
        <v>0</v>
      </c>
      <c r="BW263" s="2889">
        <f t="shared" si="1271"/>
        <v>0</v>
      </c>
      <c r="BX263" s="2889">
        <f t="shared" si="1271"/>
        <v>0</v>
      </c>
      <c r="BY263" s="2889">
        <f t="shared" si="1271"/>
        <v>0</v>
      </c>
      <c r="BZ263" s="2889">
        <f t="shared" si="1271"/>
        <v>0</v>
      </c>
      <c r="CA263" s="2889">
        <f t="shared" si="1271"/>
        <v>0</v>
      </c>
      <c r="CB263" s="2890">
        <f t="shared" si="1271"/>
        <v>0</v>
      </c>
      <c r="CC263" s="2890">
        <f t="shared" si="1271"/>
        <v>0</v>
      </c>
      <c r="CD263" s="2890">
        <f t="shared" si="1271"/>
        <v>0</v>
      </c>
      <c r="CE263" s="2891">
        <f t="shared" si="1271"/>
        <v>0</v>
      </c>
      <c r="CF263" s="2891">
        <f t="shared" si="1271"/>
        <v>0</v>
      </c>
      <c r="CG263" s="2891">
        <f t="shared" si="1271"/>
        <v>0</v>
      </c>
      <c r="CH263" s="2847">
        <f t="shared" si="1191"/>
        <v>0</v>
      </c>
      <c r="CI263" s="2847">
        <f t="shared" si="1192"/>
        <v>0</v>
      </c>
      <c r="CJ263" s="2847">
        <f t="shared" si="1192"/>
        <v>0</v>
      </c>
      <c r="CK263" s="2822"/>
      <c r="CL263" s="2822"/>
      <c r="CM263" s="2822"/>
      <c r="CN263" s="2822"/>
    </row>
    <row r="264" spans="1:92" ht="18.75" x14ac:dyDescent="0.3">
      <c r="A264" s="2874" t="s">
        <v>3762</v>
      </c>
      <c r="B264" s="2888">
        <f t="shared" ref="B264" si="1272">SUM(B49+B93)</f>
        <v>8.3541700125000009</v>
      </c>
      <c r="C264" s="2888">
        <f t="shared" ref="C264:AK264" si="1273">SUM(C49+C93)</f>
        <v>8.3541700125000009</v>
      </c>
      <c r="D264" s="2888">
        <f t="shared" si="1273"/>
        <v>0</v>
      </c>
      <c r="E264" s="2889">
        <f t="shared" si="1273"/>
        <v>1.17</v>
      </c>
      <c r="F264" s="2889">
        <f t="shared" si="1273"/>
        <v>1.17</v>
      </c>
      <c r="G264" s="2889">
        <f t="shared" si="1273"/>
        <v>0</v>
      </c>
      <c r="H264" s="2889">
        <f t="shared" si="1273"/>
        <v>1.167</v>
      </c>
      <c r="I264" s="2889">
        <f t="shared" si="1273"/>
        <v>1.167</v>
      </c>
      <c r="J264" s="2889">
        <f t="shared" si="1273"/>
        <v>0</v>
      </c>
      <c r="K264" s="2889">
        <f t="shared" si="1273"/>
        <v>1.75</v>
      </c>
      <c r="L264" s="2889">
        <f t="shared" si="1273"/>
        <v>1.75</v>
      </c>
      <c r="M264" s="2889">
        <f t="shared" si="1273"/>
        <v>0</v>
      </c>
      <c r="N264" s="2889">
        <f t="shared" si="1273"/>
        <v>4.0869999999999997</v>
      </c>
      <c r="O264" s="2889">
        <f t="shared" si="1273"/>
        <v>4.0869999999999997</v>
      </c>
      <c r="P264" s="2889">
        <f t="shared" si="1273"/>
        <v>0</v>
      </c>
      <c r="Q264" s="2888">
        <f t="shared" si="1273"/>
        <v>8.3541700125000009</v>
      </c>
      <c r="R264" s="2888">
        <f t="shared" si="1273"/>
        <v>8.3541700125000009</v>
      </c>
      <c r="S264" s="2888">
        <f t="shared" si="1273"/>
        <v>0</v>
      </c>
      <c r="T264" s="2889">
        <f t="shared" si="1273"/>
        <v>1.75</v>
      </c>
      <c r="U264" s="2889">
        <f t="shared" si="1273"/>
        <v>1.75</v>
      </c>
      <c r="V264" s="2889">
        <f t="shared" si="1273"/>
        <v>0</v>
      </c>
      <c r="W264" s="2889">
        <f t="shared" si="1273"/>
        <v>1.75</v>
      </c>
      <c r="X264" s="2889">
        <f t="shared" si="1273"/>
        <v>1.75</v>
      </c>
      <c r="Y264" s="2889">
        <f t="shared" si="1273"/>
        <v>0</v>
      </c>
      <c r="Z264" s="2889">
        <f t="shared" si="1273"/>
        <v>1.7509999999999999</v>
      </c>
      <c r="AA264" s="2889">
        <f t="shared" si="1273"/>
        <v>1.7509999999999999</v>
      </c>
      <c r="AB264" s="2889">
        <f t="shared" si="1273"/>
        <v>0</v>
      </c>
      <c r="AC264" s="2889">
        <f t="shared" si="1273"/>
        <v>5.2509999999999994</v>
      </c>
      <c r="AD264" s="2889">
        <f t="shared" si="1273"/>
        <v>5.2509999999999994</v>
      </c>
      <c r="AE264" s="2889">
        <f t="shared" si="1273"/>
        <v>0</v>
      </c>
      <c r="AF264" s="2890">
        <f t="shared" si="1273"/>
        <v>16.708340025000002</v>
      </c>
      <c r="AG264" s="2890">
        <f t="shared" si="1273"/>
        <v>16.708340025000002</v>
      </c>
      <c r="AH264" s="2890">
        <f t="shared" si="1273"/>
        <v>0</v>
      </c>
      <c r="AI264" s="2891">
        <f t="shared" si="1273"/>
        <v>9.3379999999999992</v>
      </c>
      <c r="AJ264" s="2891">
        <f t="shared" si="1273"/>
        <v>9.3379999999999992</v>
      </c>
      <c r="AK264" s="2891">
        <f t="shared" si="1273"/>
        <v>0</v>
      </c>
      <c r="AL264" s="2847">
        <f t="shared" si="1185"/>
        <v>-7.3703400250000026</v>
      </c>
      <c r="AM264" s="2847">
        <f t="shared" si="1186"/>
        <v>-7.3703400250000026</v>
      </c>
      <c r="AN264" s="2847">
        <f t="shared" si="1186"/>
        <v>0</v>
      </c>
      <c r="AO264" s="2888">
        <f t="shared" ref="AO264:BI264" si="1274">SUM(AO49+AO93)</f>
        <v>8.3541700125000009</v>
      </c>
      <c r="AP264" s="2888">
        <f t="shared" si="1274"/>
        <v>8.3541700125000009</v>
      </c>
      <c r="AQ264" s="2888">
        <f t="shared" si="1274"/>
        <v>0</v>
      </c>
      <c r="AR264" s="2889">
        <f t="shared" si="1274"/>
        <v>1.17</v>
      </c>
      <c r="AS264" s="2889">
        <f t="shared" si="1274"/>
        <v>1.17</v>
      </c>
      <c r="AT264" s="2889">
        <f t="shared" si="1274"/>
        <v>0</v>
      </c>
      <c r="AU264" s="2889">
        <f t="shared" si="1274"/>
        <v>1.167</v>
      </c>
      <c r="AV264" s="2889">
        <f t="shared" si="1274"/>
        <v>1.167</v>
      </c>
      <c r="AW264" s="2889">
        <f t="shared" si="1274"/>
        <v>0</v>
      </c>
      <c r="AX264" s="2889">
        <f t="shared" si="1274"/>
        <v>3.5009999999999999</v>
      </c>
      <c r="AY264" s="2889">
        <f t="shared" si="1274"/>
        <v>3.5009999999999999</v>
      </c>
      <c r="AZ264" s="2889">
        <f t="shared" si="1274"/>
        <v>0</v>
      </c>
      <c r="BA264" s="2889">
        <f t="shared" si="1274"/>
        <v>5.8379999999999992</v>
      </c>
      <c r="BB264" s="2889">
        <f t="shared" si="1274"/>
        <v>5.8379999999999992</v>
      </c>
      <c r="BC264" s="2889">
        <f t="shared" si="1274"/>
        <v>0</v>
      </c>
      <c r="BD264" s="2890">
        <f t="shared" si="1274"/>
        <v>25.062510037500005</v>
      </c>
      <c r="BE264" s="2890">
        <f t="shared" si="1274"/>
        <v>25.062510037500005</v>
      </c>
      <c r="BF264" s="2890">
        <f t="shared" si="1274"/>
        <v>0</v>
      </c>
      <c r="BG264" s="2891">
        <f t="shared" si="1274"/>
        <v>15.175999999999998</v>
      </c>
      <c r="BH264" s="2891">
        <f t="shared" si="1274"/>
        <v>15.175999999999998</v>
      </c>
      <c r="BI264" s="2891">
        <f t="shared" si="1274"/>
        <v>0</v>
      </c>
      <c r="BJ264" s="2847">
        <f t="shared" si="1188"/>
        <v>-9.8865100375000061</v>
      </c>
      <c r="BK264" s="2847">
        <f t="shared" si="1189"/>
        <v>-9.8865100375000061</v>
      </c>
      <c r="BL264" s="2847">
        <f t="shared" si="1189"/>
        <v>0</v>
      </c>
      <c r="BM264" s="2888">
        <f t="shared" ref="BM264:CG264" si="1275">SUM(BM49+BM93)</f>
        <v>8.3541700125000009</v>
      </c>
      <c r="BN264" s="2888">
        <f t="shared" si="1275"/>
        <v>8.3541700125000009</v>
      </c>
      <c r="BO264" s="2888">
        <f t="shared" si="1275"/>
        <v>0</v>
      </c>
      <c r="BP264" s="2889">
        <f t="shared" si="1275"/>
        <v>11.821</v>
      </c>
      <c r="BQ264" s="2889">
        <f t="shared" si="1275"/>
        <v>11.821</v>
      </c>
      <c r="BR264" s="2889">
        <f t="shared" si="1275"/>
        <v>0</v>
      </c>
      <c r="BS264" s="2889">
        <f t="shared" si="1275"/>
        <v>1.167</v>
      </c>
      <c r="BT264" s="2889">
        <f t="shared" si="1275"/>
        <v>1.167</v>
      </c>
      <c r="BU264" s="2889">
        <f t="shared" si="1275"/>
        <v>0</v>
      </c>
      <c r="BV264" s="2889">
        <f t="shared" si="1275"/>
        <v>2.621</v>
      </c>
      <c r="BW264" s="2889">
        <f t="shared" si="1275"/>
        <v>2.621</v>
      </c>
      <c r="BX264" s="2889">
        <f t="shared" si="1275"/>
        <v>0</v>
      </c>
      <c r="BY264" s="2889">
        <f t="shared" si="1275"/>
        <v>15.609</v>
      </c>
      <c r="BZ264" s="2889">
        <f t="shared" si="1275"/>
        <v>15.609</v>
      </c>
      <c r="CA264" s="2889">
        <f t="shared" si="1275"/>
        <v>0</v>
      </c>
      <c r="CB264" s="2890">
        <f t="shared" si="1275"/>
        <v>33.416680050000004</v>
      </c>
      <c r="CC264" s="2890">
        <f t="shared" si="1275"/>
        <v>33.416680050000004</v>
      </c>
      <c r="CD264" s="2890">
        <f t="shared" si="1275"/>
        <v>0</v>
      </c>
      <c r="CE264" s="2891">
        <f t="shared" si="1275"/>
        <v>30.784999999999997</v>
      </c>
      <c r="CF264" s="2891">
        <f t="shared" si="1275"/>
        <v>30.784999999999997</v>
      </c>
      <c r="CG264" s="2891">
        <f t="shared" si="1275"/>
        <v>0</v>
      </c>
      <c r="CH264" s="2847">
        <f t="shared" si="1191"/>
        <v>-2.631680050000007</v>
      </c>
      <c r="CI264" s="2847">
        <f t="shared" si="1192"/>
        <v>-2.631680050000007</v>
      </c>
      <c r="CJ264" s="2847">
        <f t="shared" si="1192"/>
        <v>0</v>
      </c>
      <c r="CK264" s="2822"/>
      <c r="CL264" s="2822"/>
      <c r="CM264" s="2822"/>
      <c r="CN264" s="2822"/>
    </row>
    <row r="265" spans="1:92" ht="18.75" x14ac:dyDescent="0.3">
      <c r="A265" s="2880" t="s">
        <v>594</v>
      </c>
      <c r="B265" s="2899">
        <f>SUM(B266:B269)</f>
        <v>427.55926504525002</v>
      </c>
      <c r="C265" s="2899">
        <f>SUM(C266:C269)</f>
        <v>427.55926504525002</v>
      </c>
      <c r="D265" s="2899">
        <f t="shared" ref="D265:AK265" si="1276">SUM(D266:D269)</f>
        <v>0</v>
      </c>
      <c r="E265" s="2900">
        <f t="shared" si="1276"/>
        <v>0.09</v>
      </c>
      <c r="F265" s="2900">
        <f t="shared" si="1276"/>
        <v>0.09</v>
      </c>
      <c r="G265" s="2900">
        <f t="shared" si="1276"/>
        <v>0</v>
      </c>
      <c r="H265" s="2900">
        <f t="shared" si="1276"/>
        <v>48.8</v>
      </c>
      <c r="I265" s="2900">
        <f t="shared" si="1276"/>
        <v>48.8</v>
      </c>
      <c r="J265" s="2900">
        <f t="shared" si="1276"/>
        <v>0</v>
      </c>
      <c r="K265" s="2900">
        <f t="shared" si="1276"/>
        <v>34.380000000000003</v>
      </c>
      <c r="L265" s="2900">
        <f t="shared" si="1276"/>
        <v>34.380000000000003</v>
      </c>
      <c r="M265" s="2900">
        <f t="shared" si="1276"/>
        <v>0</v>
      </c>
      <c r="N265" s="2900">
        <f t="shared" si="1276"/>
        <v>83.27</v>
      </c>
      <c r="O265" s="2900">
        <f t="shared" si="1276"/>
        <v>83.27</v>
      </c>
      <c r="P265" s="2900">
        <f t="shared" si="1276"/>
        <v>0</v>
      </c>
      <c r="Q265" s="2899">
        <f t="shared" si="1276"/>
        <v>427.55926504525002</v>
      </c>
      <c r="R265" s="2899">
        <f t="shared" si="1276"/>
        <v>427.55926504525002</v>
      </c>
      <c r="S265" s="2899">
        <f t="shared" si="1276"/>
        <v>0</v>
      </c>
      <c r="T265" s="2900">
        <f t="shared" si="1276"/>
        <v>51.07</v>
      </c>
      <c r="U265" s="2900">
        <f t="shared" si="1276"/>
        <v>51.07</v>
      </c>
      <c r="V265" s="2900">
        <f t="shared" si="1276"/>
        <v>0</v>
      </c>
      <c r="W265" s="2900">
        <f t="shared" si="1276"/>
        <v>40.4</v>
      </c>
      <c r="X265" s="2900">
        <f t="shared" si="1276"/>
        <v>40.4</v>
      </c>
      <c r="Y265" s="2900">
        <f t="shared" si="1276"/>
        <v>0</v>
      </c>
      <c r="Z265" s="2900">
        <f t="shared" si="1276"/>
        <v>87.552999999999997</v>
      </c>
      <c r="AA265" s="2900">
        <f t="shared" si="1276"/>
        <v>87.552999999999997</v>
      </c>
      <c r="AB265" s="2900">
        <f t="shared" si="1276"/>
        <v>0</v>
      </c>
      <c r="AC265" s="2900">
        <f t="shared" si="1276"/>
        <v>179.023</v>
      </c>
      <c r="AD265" s="2900">
        <f t="shared" si="1276"/>
        <v>179.023</v>
      </c>
      <c r="AE265" s="2900">
        <f t="shared" si="1276"/>
        <v>0</v>
      </c>
      <c r="AF265" s="2901">
        <f t="shared" si="1276"/>
        <v>855.11853009050003</v>
      </c>
      <c r="AG265" s="2901">
        <f t="shared" si="1276"/>
        <v>855.11853009050003</v>
      </c>
      <c r="AH265" s="2901">
        <f t="shared" si="1276"/>
        <v>0</v>
      </c>
      <c r="AI265" s="2902">
        <f t="shared" si="1276"/>
        <v>262.29300000000001</v>
      </c>
      <c r="AJ265" s="2902">
        <f t="shared" si="1276"/>
        <v>262.29300000000001</v>
      </c>
      <c r="AK265" s="2902">
        <f t="shared" si="1276"/>
        <v>0</v>
      </c>
      <c r="AL265" s="2847">
        <f t="shared" si="1185"/>
        <v>-592.82553009050002</v>
      </c>
      <c r="AM265" s="2847">
        <f t="shared" si="1186"/>
        <v>-592.82553009050002</v>
      </c>
      <c r="AN265" s="2847">
        <f t="shared" si="1186"/>
        <v>0</v>
      </c>
      <c r="AO265" s="2899">
        <f t="shared" ref="AO265:BI265" si="1277">SUM(AO266:AO269)</f>
        <v>427.55926504525002</v>
      </c>
      <c r="AP265" s="2899">
        <f t="shared" si="1277"/>
        <v>427.55926504525002</v>
      </c>
      <c r="AQ265" s="2899">
        <f t="shared" si="1277"/>
        <v>0</v>
      </c>
      <c r="AR265" s="2900">
        <f t="shared" si="1277"/>
        <v>288.08999999999997</v>
      </c>
      <c r="AS265" s="2900">
        <f t="shared" si="1277"/>
        <v>288.08999999999997</v>
      </c>
      <c r="AT265" s="2900">
        <f t="shared" si="1277"/>
        <v>0</v>
      </c>
      <c r="AU265" s="2900">
        <f t="shared" si="1277"/>
        <v>137.48099999999999</v>
      </c>
      <c r="AV265" s="2900">
        <f t="shared" si="1277"/>
        <v>137.48099999999999</v>
      </c>
      <c r="AW265" s="2900">
        <f t="shared" si="1277"/>
        <v>0</v>
      </c>
      <c r="AX265" s="2900">
        <f t="shared" si="1277"/>
        <v>327.30900000000003</v>
      </c>
      <c r="AY265" s="2900">
        <f t="shared" si="1277"/>
        <v>327.30900000000003</v>
      </c>
      <c r="AZ265" s="2900">
        <f t="shared" si="1277"/>
        <v>0</v>
      </c>
      <c r="BA265" s="2900">
        <f t="shared" si="1277"/>
        <v>752.88</v>
      </c>
      <c r="BB265" s="2900">
        <f t="shared" si="1277"/>
        <v>752.88</v>
      </c>
      <c r="BC265" s="2900">
        <f t="shared" si="1277"/>
        <v>0</v>
      </c>
      <c r="BD265" s="2901">
        <f t="shared" si="1277"/>
        <v>1282.6777951357499</v>
      </c>
      <c r="BE265" s="2901">
        <f t="shared" si="1277"/>
        <v>1282.6777951357499</v>
      </c>
      <c r="BF265" s="2901">
        <f t="shared" si="1277"/>
        <v>0</v>
      </c>
      <c r="BG265" s="2902">
        <f t="shared" si="1277"/>
        <v>1015.173</v>
      </c>
      <c r="BH265" s="2902">
        <f t="shared" si="1277"/>
        <v>1015.173</v>
      </c>
      <c r="BI265" s="2902">
        <f t="shared" si="1277"/>
        <v>0</v>
      </c>
      <c r="BJ265" s="2847">
        <f t="shared" si="1188"/>
        <v>-267.50479513574987</v>
      </c>
      <c r="BK265" s="2847">
        <f t="shared" si="1189"/>
        <v>-267.50479513574987</v>
      </c>
      <c r="BL265" s="2847">
        <f t="shared" si="1189"/>
        <v>0</v>
      </c>
      <c r="BM265" s="2899">
        <f t="shared" ref="BM265:CG265" si="1278">SUM(BM266:BM269)</f>
        <v>427.55926504525002</v>
      </c>
      <c r="BN265" s="2899">
        <f t="shared" si="1278"/>
        <v>427.55926504525002</v>
      </c>
      <c r="BO265" s="2899">
        <f t="shared" si="1278"/>
        <v>0</v>
      </c>
      <c r="BP265" s="2900">
        <f t="shared" si="1278"/>
        <v>212.114</v>
      </c>
      <c r="BQ265" s="2900">
        <f t="shared" si="1278"/>
        <v>212.114</v>
      </c>
      <c r="BR265" s="2900">
        <f t="shared" si="1278"/>
        <v>0</v>
      </c>
      <c r="BS265" s="2900">
        <f t="shared" si="1278"/>
        <v>61.19</v>
      </c>
      <c r="BT265" s="2900">
        <f t="shared" si="1278"/>
        <v>61.19</v>
      </c>
      <c r="BU265" s="2900">
        <f t="shared" si="1278"/>
        <v>0</v>
      </c>
      <c r="BV265" s="2900">
        <f t="shared" si="1278"/>
        <v>14.838939999999999</v>
      </c>
      <c r="BW265" s="2900">
        <f t="shared" si="1278"/>
        <v>14.838939999999999</v>
      </c>
      <c r="BX265" s="2900">
        <f t="shared" si="1278"/>
        <v>0</v>
      </c>
      <c r="BY265" s="2900">
        <f t="shared" si="1278"/>
        <v>288.14294000000007</v>
      </c>
      <c r="BZ265" s="2900">
        <f t="shared" si="1278"/>
        <v>288.14294000000007</v>
      </c>
      <c r="CA265" s="2900">
        <f t="shared" si="1278"/>
        <v>0</v>
      </c>
      <c r="CB265" s="2901">
        <f t="shared" si="1278"/>
        <v>1710.2370601810001</v>
      </c>
      <c r="CC265" s="2901">
        <f t="shared" si="1278"/>
        <v>1710.2370601810001</v>
      </c>
      <c r="CD265" s="2901">
        <f t="shared" si="1278"/>
        <v>0</v>
      </c>
      <c r="CE265" s="2902">
        <f t="shared" si="1278"/>
        <v>1303.31594</v>
      </c>
      <c r="CF265" s="2902">
        <f t="shared" si="1278"/>
        <v>1303.31594</v>
      </c>
      <c r="CG265" s="2902">
        <f t="shared" si="1278"/>
        <v>0</v>
      </c>
      <c r="CH265" s="2847">
        <f t="shared" si="1191"/>
        <v>-406.92112018100011</v>
      </c>
      <c r="CI265" s="2847">
        <f t="shared" si="1192"/>
        <v>-406.92112018100011</v>
      </c>
      <c r="CJ265" s="2847">
        <f t="shared" si="1192"/>
        <v>0</v>
      </c>
      <c r="CK265" s="2822"/>
      <c r="CL265" s="2822"/>
      <c r="CM265" s="2822"/>
      <c r="CN265" s="2822"/>
    </row>
    <row r="266" spans="1:92" ht="18.75" x14ac:dyDescent="0.3">
      <c r="A266" s="2874" t="s">
        <v>534</v>
      </c>
      <c r="B266" s="2888">
        <f t="shared" ref="B266:AK266" si="1279">SUM(B51+B95+B120+B140)</f>
        <v>210.39463991912498</v>
      </c>
      <c r="C266" s="2888">
        <f t="shared" si="1279"/>
        <v>210.39463991912498</v>
      </c>
      <c r="D266" s="2888">
        <f t="shared" si="1279"/>
        <v>0</v>
      </c>
      <c r="E266" s="2889">
        <f t="shared" si="1279"/>
        <v>0</v>
      </c>
      <c r="F266" s="2889">
        <f t="shared" si="1279"/>
        <v>0</v>
      </c>
      <c r="G266" s="2889">
        <f t="shared" si="1279"/>
        <v>0</v>
      </c>
      <c r="H266" s="2889">
        <f t="shared" si="1279"/>
        <v>0</v>
      </c>
      <c r="I266" s="2889">
        <f t="shared" si="1279"/>
        <v>0</v>
      </c>
      <c r="J266" s="2889">
        <f t="shared" si="1279"/>
        <v>0</v>
      </c>
      <c r="K266" s="2889">
        <f t="shared" si="1279"/>
        <v>0</v>
      </c>
      <c r="L266" s="2889">
        <f t="shared" si="1279"/>
        <v>0</v>
      </c>
      <c r="M266" s="2889">
        <f t="shared" si="1279"/>
        <v>0</v>
      </c>
      <c r="N266" s="2889">
        <f t="shared" si="1279"/>
        <v>0</v>
      </c>
      <c r="O266" s="2889">
        <f t="shared" si="1279"/>
        <v>0</v>
      </c>
      <c r="P266" s="2889">
        <f t="shared" si="1279"/>
        <v>0</v>
      </c>
      <c r="Q266" s="2888">
        <f t="shared" si="1279"/>
        <v>210.39463991912498</v>
      </c>
      <c r="R266" s="2888">
        <f t="shared" si="1279"/>
        <v>210.39463991912498</v>
      </c>
      <c r="S266" s="2888">
        <f t="shared" si="1279"/>
        <v>0</v>
      </c>
      <c r="T266" s="2889">
        <f t="shared" si="1279"/>
        <v>37.36</v>
      </c>
      <c r="U266" s="2889">
        <f t="shared" si="1279"/>
        <v>37.36</v>
      </c>
      <c r="V266" s="2889">
        <f t="shared" si="1279"/>
        <v>0</v>
      </c>
      <c r="W266" s="2889">
        <f t="shared" si="1279"/>
        <v>13.69</v>
      </c>
      <c r="X266" s="2889">
        <f t="shared" si="1279"/>
        <v>13.69</v>
      </c>
      <c r="Y266" s="2889">
        <f t="shared" si="1279"/>
        <v>0</v>
      </c>
      <c r="Z266" s="2889">
        <f t="shared" si="1279"/>
        <v>85.431999999999988</v>
      </c>
      <c r="AA266" s="2889">
        <f t="shared" si="1279"/>
        <v>85.431999999999988</v>
      </c>
      <c r="AB266" s="2889">
        <f t="shared" si="1279"/>
        <v>0</v>
      </c>
      <c r="AC266" s="2889">
        <f t="shared" si="1279"/>
        <v>136.482</v>
      </c>
      <c r="AD266" s="2889">
        <f t="shared" si="1279"/>
        <v>136.482</v>
      </c>
      <c r="AE266" s="2889">
        <f t="shared" si="1279"/>
        <v>0</v>
      </c>
      <c r="AF266" s="2890">
        <f t="shared" si="1279"/>
        <v>420.78927983824997</v>
      </c>
      <c r="AG266" s="2890">
        <f t="shared" si="1279"/>
        <v>420.78927983824997</v>
      </c>
      <c r="AH266" s="2890">
        <f t="shared" si="1279"/>
        <v>0</v>
      </c>
      <c r="AI266" s="2891">
        <f t="shared" si="1279"/>
        <v>136.482</v>
      </c>
      <c r="AJ266" s="2891">
        <f t="shared" si="1279"/>
        <v>136.482</v>
      </c>
      <c r="AK266" s="2891">
        <f t="shared" si="1279"/>
        <v>0</v>
      </c>
      <c r="AL266" s="2847">
        <f t="shared" si="1185"/>
        <v>-284.30727983825</v>
      </c>
      <c r="AM266" s="2847">
        <f t="shared" si="1186"/>
        <v>-284.30727983825</v>
      </c>
      <c r="AN266" s="2847">
        <f t="shared" si="1186"/>
        <v>0</v>
      </c>
      <c r="AO266" s="2888">
        <f t="shared" ref="AO266:BI266" si="1280">SUM(AO51+AO95+AO120+AO140)</f>
        <v>210.39463991912498</v>
      </c>
      <c r="AP266" s="2888">
        <f t="shared" si="1280"/>
        <v>210.39463991912498</v>
      </c>
      <c r="AQ266" s="2888">
        <f t="shared" si="1280"/>
        <v>0</v>
      </c>
      <c r="AR266" s="2889">
        <f t="shared" si="1280"/>
        <v>268.83999999999997</v>
      </c>
      <c r="AS266" s="2889">
        <f t="shared" si="1280"/>
        <v>268.83999999999997</v>
      </c>
      <c r="AT266" s="2889">
        <f t="shared" si="1280"/>
        <v>0</v>
      </c>
      <c r="AU266" s="2889">
        <f t="shared" si="1280"/>
        <v>124.19199999999999</v>
      </c>
      <c r="AV266" s="2889">
        <f t="shared" si="1280"/>
        <v>124.19199999999999</v>
      </c>
      <c r="AW266" s="2889">
        <f t="shared" si="1280"/>
        <v>0</v>
      </c>
      <c r="AX266" s="2889">
        <f t="shared" si="1280"/>
        <v>291.66800000000001</v>
      </c>
      <c r="AY266" s="2889">
        <f t="shared" si="1280"/>
        <v>291.66800000000001</v>
      </c>
      <c r="AZ266" s="2889">
        <f t="shared" si="1280"/>
        <v>0</v>
      </c>
      <c r="BA266" s="2889">
        <f t="shared" si="1280"/>
        <v>684.7</v>
      </c>
      <c r="BB266" s="2889">
        <f t="shared" si="1280"/>
        <v>684.7</v>
      </c>
      <c r="BC266" s="2889">
        <f t="shared" si="1280"/>
        <v>0</v>
      </c>
      <c r="BD266" s="2890">
        <f t="shared" si="1280"/>
        <v>631.18391975737495</v>
      </c>
      <c r="BE266" s="2890">
        <f t="shared" si="1280"/>
        <v>631.18391975737495</v>
      </c>
      <c r="BF266" s="2890">
        <f t="shared" si="1280"/>
        <v>0</v>
      </c>
      <c r="BG266" s="2891">
        <f t="shared" si="1280"/>
        <v>821.18200000000002</v>
      </c>
      <c r="BH266" s="2891">
        <f t="shared" si="1280"/>
        <v>821.18200000000002</v>
      </c>
      <c r="BI266" s="2891">
        <f t="shared" si="1280"/>
        <v>0</v>
      </c>
      <c r="BJ266" s="2847">
        <f t="shared" si="1188"/>
        <v>189.99808024262506</v>
      </c>
      <c r="BK266" s="2847">
        <f t="shared" si="1189"/>
        <v>189.99808024262506</v>
      </c>
      <c r="BL266" s="2847">
        <f t="shared" si="1189"/>
        <v>0</v>
      </c>
      <c r="BM266" s="2888">
        <f t="shared" ref="BM266:CG266" si="1281">SUM(BM51+BM95+BM120+BM140)</f>
        <v>210.39463991912498</v>
      </c>
      <c r="BN266" s="2888">
        <f t="shared" si="1281"/>
        <v>210.39463991912498</v>
      </c>
      <c r="BO266" s="2888">
        <f t="shared" si="1281"/>
        <v>0</v>
      </c>
      <c r="BP266" s="2889">
        <f t="shared" si="1281"/>
        <v>183.798</v>
      </c>
      <c r="BQ266" s="2889">
        <f t="shared" si="1281"/>
        <v>183.798</v>
      </c>
      <c r="BR266" s="2889">
        <f t="shared" si="1281"/>
        <v>0</v>
      </c>
      <c r="BS266" s="2889">
        <f t="shared" si="1281"/>
        <v>60.412999999999997</v>
      </c>
      <c r="BT266" s="2889">
        <f t="shared" si="1281"/>
        <v>60.412999999999997</v>
      </c>
      <c r="BU266" s="2889">
        <f t="shared" si="1281"/>
        <v>0</v>
      </c>
      <c r="BV266" s="2889">
        <f t="shared" si="1281"/>
        <v>13.842939999999999</v>
      </c>
      <c r="BW266" s="2889">
        <f t="shared" si="1281"/>
        <v>13.842939999999999</v>
      </c>
      <c r="BX266" s="2889">
        <f t="shared" si="1281"/>
        <v>0</v>
      </c>
      <c r="BY266" s="2889">
        <f t="shared" si="1281"/>
        <v>258.05394000000001</v>
      </c>
      <c r="BZ266" s="2889">
        <f t="shared" si="1281"/>
        <v>258.05394000000001</v>
      </c>
      <c r="CA266" s="2889">
        <f t="shared" si="1281"/>
        <v>0</v>
      </c>
      <c r="CB266" s="2890">
        <f t="shared" si="1281"/>
        <v>841.57855967649994</v>
      </c>
      <c r="CC266" s="2890">
        <f t="shared" si="1281"/>
        <v>841.57855967649994</v>
      </c>
      <c r="CD266" s="2890">
        <f t="shared" si="1281"/>
        <v>0</v>
      </c>
      <c r="CE266" s="2891">
        <f t="shared" si="1281"/>
        <v>1079.23594</v>
      </c>
      <c r="CF266" s="2891">
        <f t="shared" si="1281"/>
        <v>1079.23594</v>
      </c>
      <c r="CG266" s="2891">
        <f t="shared" si="1281"/>
        <v>0</v>
      </c>
      <c r="CH266" s="2847">
        <f t="shared" si="1191"/>
        <v>237.65738032350009</v>
      </c>
      <c r="CI266" s="2847">
        <f t="shared" si="1192"/>
        <v>237.65738032350009</v>
      </c>
      <c r="CJ266" s="2847">
        <f t="shared" si="1192"/>
        <v>0</v>
      </c>
      <c r="CK266" s="2822"/>
      <c r="CL266" s="2822"/>
      <c r="CM266" s="2822"/>
      <c r="CN266" s="2822"/>
    </row>
    <row r="267" spans="1:92" ht="18.75" x14ac:dyDescent="0.3">
      <c r="A267" s="2874" t="s">
        <v>543</v>
      </c>
      <c r="B267" s="2888">
        <f>SUM(B97+B121)</f>
        <v>56.947927311000001</v>
      </c>
      <c r="C267" s="2888">
        <f>SUM(C97+C121)</f>
        <v>56.947927311000001</v>
      </c>
      <c r="D267" s="2888">
        <f t="shared" ref="D267:AK267" si="1282">SUM(D97+D121)</f>
        <v>0</v>
      </c>
      <c r="E267" s="2889">
        <f t="shared" si="1282"/>
        <v>0</v>
      </c>
      <c r="F267" s="2889">
        <f t="shared" si="1282"/>
        <v>0</v>
      </c>
      <c r="G267" s="2889">
        <f t="shared" si="1282"/>
        <v>0</v>
      </c>
      <c r="H267" s="2889">
        <f t="shared" si="1282"/>
        <v>8.8000000000000007</v>
      </c>
      <c r="I267" s="2889">
        <f t="shared" si="1282"/>
        <v>8.8000000000000007</v>
      </c>
      <c r="J267" s="2889">
        <f t="shared" si="1282"/>
        <v>0</v>
      </c>
      <c r="K267" s="2889">
        <f t="shared" si="1282"/>
        <v>26.6</v>
      </c>
      <c r="L267" s="2889">
        <f t="shared" si="1282"/>
        <v>26.6</v>
      </c>
      <c r="M267" s="2889">
        <f t="shared" si="1282"/>
        <v>0</v>
      </c>
      <c r="N267" s="2889">
        <f t="shared" si="1282"/>
        <v>35.400000000000006</v>
      </c>
      <c r="O267" s="2889">
        <f t="shared" si="1282"/>
        <v>35.400000000000006</v>
      </c>
      <c r="P267" s="2889">
        <f t="shared" si="1282"/>
        <v>0</v>
      </c>
      <c r="Q267" s="2888">
        <f t="shared" si="1282"/>
        <v>56.947927311000001</v>
      </c>
      <c r="R267" s="2888">
        <f t="shared" si="1282"/>
        <v>56.947927311000001</v>
      </c>
      <c r="S267" s="2888">
        <f t="shared" si="1282"/>
        <v>0</v>
      </c>
      <c r="T267" s="2889">
        <f t="shared" si="1282"/>
        <v>5.4499999999999993</v>
      </c>
      <c r="U267" s="2889">
        <f t="shared" si="1282"/>
        <v>5.4499999999999993</v>
      </c>
      <c r="V267" s="2889">
        <f t="shared" si="1282"/>
        <v>0</v>
      </c>
      <c r="W267" s="2889">
        <f t="shared" si="1282"/>
        <v>5.1999999999999993</v>
      </c>
      <c r="X267" s="2889">
        <f t="shared" si="1282"/>
        <v>5.1999999999999993</v>
      </c>
      <c r="Y267" s="2889">
        <f t="shared" si="1282"/>
        <v>0</v>
      </c>
      <c r="Z267" s="2889">
        <f t="shared" si="1282"/>
        <v>0.7</v>
      </c>
      <c r="AA267" s="2889">
        <f t="shared" si="1282"/>
        <v>0.7</v>
      </c>
      <c r="AB267" s="2889">
        <f t="shared" si="1282"/>
        <v>0</v>
      </c>
      <c r="AC267" s="2889">
        <f t="shared" si="1282"/>
        <v>11.349999999999998</v>
      </c>
      <c r="AD267" s="2889">
        <f t="shared" si="1282"/>
        <v>11.349999999999998</v>
      </c>
      <c r="AE267" s="2889">
        <f t="shared" si="1282"/>
        <v>0</v>
      </c>
      <c r="AF267" s="2890">
        <f t="shared" si="1282"/>
        <v>113.895854622</v>
      </c>
      <c r="AG267" s="2890">
        <f t="shared" si="1282"/>
        <v>113.895854622</v>
      </c>
      <c r="AH267" s="2890">
        <f t="shared" si="1282"/>
        <v>0</v>
      </c>
      <c r="AI267" s="2891">
        <f t="shared" si="1282"/>
        <v>46.75</v>
      </c>
      <c r="AJ267" s="2891">
        <f t="shared" si="1282"/>
        <v>46.75</v>
      </c>
      <c r="AK267" s="2891">
        <f t="shared" si="1282"/>
        <v>0</v>
      </c>
      <c r="AL267" s="2847">
        <f t="shared" si="1185"/>
        <v>-67.145854622000002</v>
      </c>
      <c r="AM267" s="2847">
        <f t="shared" si="1186"/>
        <v>-67.145854622000002</v>
      </c>
      <c r="AN267" s="2847">
        <f t="shared" si="1186"/>
        <v>0</v>
      </c>
      <c r="AO267" s="2888">
        <f t="shared" ref="AO267:BI267" si="1283">SUM(AO97+AO121)</f>
        <v>56.947927311000001</v>
      </c>
      <c r="AP267" s="2888">
        <f t="shared" si="1283"/>
        <v>56.947927311000001</v>
      </c>
      <c r="AQ267" s="2888">
        <f t="shared" si="1283"/>
        <v>0</v>
      </c>
      <c r="AR267" s="2889">
        <f t="shared" si="1283"/>
        <v>0</v>
      </c>
      <c r="AS267" s="2889">
        <f t="shared" si="1283"/>
        <v>0</v>
      </c>
      <c r="AT267" s="2889">
        <f t="shared" si="1283"/>
        <v>0</v>
      </c>
      <c r="AU267" s="2889">
        <f t="shared" si="1283"/>
        <v>11.299999999999999</v>
      </c>
      <c r="AV267" s="2889">
        <f t="shared" si="1283"/>
        <v>11.299999999999999</v>
      </c>
      <c r="AW267" s="2889">
        <f t="shared" si="1283"/>
        <v>0</v>
      </c>
      <c r="AX267" s="2889">
        <f t="shared" si="1283"/>
        <v>19.946999999999999</v>
      </c>
      <c r="AY267" s="2889">
        <f t="shared" si="1283"/>
        <v>19.946999999999999</v>
      </c>
      <c r="AZ267" s="2889">
        <f t="shared" si="1283"/>
        <v>0</v>
      </c>
      <c r="BA267" s="2889">
        <f t="shared" si="1283"/>
        <v>31.246999999999996</v>
      </c>
      <c r="BB267" s="2889">
        <f t="shared" si="1283"/>
        <v>31.246999999999996</v>
      </c>
      <c r="BC267" s="2889">
        <f t="shared" si="1283"/>
        <v>0</v>
      </c>
      <c r="BD267" s="2890">
        <f t="shared" si="1283"/>
        <v>170.843781933</v>
      </c>
      <c r="BE267" s="2890">
        <f t="shared" si="1283"/>
        <v>170.843781933</v>
      </c>
      <c r="BF267" s="2890">
        <f t="shared" si="1283"/>
        <v>0</v>
      </c>
      <c r="BG267" s="2891">
        <f t="shared" si="1283"/>
        <v>77.997</v>
      </c>
      <c r="BH267" s="2891">
        <f t="shared" si="1283"/>
        <v>77.997</v>
      </c>
      <c r="BI267" s="2891">
        <f t="shared" si="1283"/>
        <v>0</v>
      </c>
      <c r="BJ267" s="2847">
        <f t="shared" si="1188"/>
        <v>-92.846781933000003</v>
      </c>
      <c r="BK267" s="2847">
        <f t="shared" si="1189"/>
        <v>-92.846781933000003</v>
      </c>
      <c r="BL267" s="2847">
        <f t="shared" si="1189"/>
        <v>0</v>
      </c>
      <c r="BM267" s="2888">
        <f t="shared" ref="BM267:CG267" si="1284">SUM(BM97+BM121)</f>
        <v>56.947927311000001</v>
      </c>
      <c r="BN267" s="2888">
        <f t="shared" si="1284"/>
        <v>56.947927311000001</v>
      </c>
      <c r="BO267" s="2888">
        <f t="shared" si="1284"/>
        <v>0</v>
      </c>
      <c r="BP267" s="2889">
        <f t="shared" si="1284"/>
        <v>17.417000000000002</v>
      </c>
      <c r="BQ267" s="2889">
        <f t="shared" si="1284"/>
        <v>17.417000000000002</v>
      </c>
      <c r="BR267" s="2889">
        <f t="shared" si="1284"/>
        <v>0</v>
      </c>
      <c r="BS267" s="2889">
        <f t="shared" si="1284"/>
        <v>0</v>
      </c>
      <c r="BT267" s="2889">
        <f t="shared" si="1284"/>
        <v>0</v>
      </c>
      <c r="BU267" s="2889">
        <f t="shared" si="1284"/>
        <v>0</v>
      </c>
      <c r="BV267" s="2889">
        <f t="shared" si="1284"/>
        <v>0</v>
      </c>
      <c r="BW267" s="2889">
        <f t="shared" si="1284"/>
        <v>0</v>
      </c>
      <c r="BX267" s="2889">
        <f t="shared" si="1284"/>
        <v>0</v>
      </c>
      <c r="BY267" s="2889">
        <f t="shared" si="1284"/>
        <v>17.417000000000002</v>
      </c>
      <c r="BZ267" s="2889">
        <f t="shared" si="1284"/>
        <v>17.417000000000002</v>
      </c>
      <c r="CA267" s="2889">
        <f t="shared" si="1284"/>
        <v>0</v>
      </c>
      <c r="CB267" s="2890">
        <f t="shared" si="1284"/>
        <v>227.791709244</v>
      </c>
      <c r="CC267" s="2890">
        <f t="shared" si="1284"/>
        <v>227.791709244</v>
      </c>
      <c r="CD267" s="2890">
        <f t="shared" si="1284"/>
        <v>0</v>
      </c>
      <c r="CE267" s="2891">
        <f t="shared" si="1284"/>
        <v>95.414000000000001</v>
      </c>
      <c r="CF267" s="2891">
        <f t="shared" si="1284"/>
        <v>95.414000000000001</v>
      </c>
      <c r="CG267" s="2891">
        <f t="shared" si="1284"/>
        <v>0</v>
      </c>
      <c r="CH267" s="2847">
        <f t="shared" si="1191"/>
        <v>-132.37770924400002</v>
      </c>
      <c r="CI267" s="2847">
        <f t="shared" si="1192"/>
        <v>-132.37770924400002</v>
      </c>
      <c r="CJ267" s="2847">
        <f t="shared" si="1192"/>
        <v>0</v>
      </c>
      <c r="CK267" s="2822"/>
      <c r="CL267" s="2822"/>
      <c r="CM267" s="2822"/>
      <c r="CN267" s="2822"/>
    </row>
    <row r="268" spans="1:92" ht="18.75" x14ac:dyDescent="0.3">
      <c r="A268" s="2874" t="s">
        <v>628</v>
      </c>
      <c r="B268" s="2888">
        <f t="shared" ref="B268" si="1285">SUM(B52+B96+B141)</f>
        <v>157.58534230712499</v>
      </c>
      <c r="C268" s="2888">
        <f t="shared" ref="C268:AK268" si="1286">SUM(C52+C96+C141)</f>
        <v>157.58534230712499</v>
      </c>
      <c r="D268" s="2888">
        <f t="shared" si="1286"/>
        <v>0</v>
      </c>
      <c r="E268" s="2889">
        <f t="shared" si="1286"/>
        <v>0</v>
      </c>
      <c r="F268" s="2889">
        <f t="shared" si="1286"/>
        <v>0</v>
      </c>
      <c r="G268" s="2889">
        <f t="shared" si="1286"/>
        <v>0</v>
      </c>
      <c r="H268" s="2889">
        <f t="shared" si="1286"/>
        <v>40</v>
      </c>
      <c r="I268" s="2889">
        <f t="shared" si="1286"/>
        <v>40</v>
      </c>
      <c r="J268" s="2889">
        <f t="shared" si="1286"/>
        <v>0</v>
      </c>
      <c r="K268" s="2889">
        <f t="shared" si="1286"/>
        <v>6.13</v>
      </c>
      <c r="L268" s="2889">
        <f t="shared" si="1286"/>
        <v>6.13</v>
      </c>
      <c r="M268" s="2889">
        <f t="shared" si="1286"/>
        <v>0</v>
      </c>
      <c r="N268" s="2889">
        <f t="shared" si="1286"/>
        <v>46.13</v>
      </c>
      <c r="O268" s="2889">
        <f t="shared" si="1286"/>
        <v>46.13</v>
      </c>
      <c r="P268" s="2889">
        <f t="shared" si="1286"/>
        <v>0</v>
      </c>
      <c r="Q268" s="2888">
        <f t="shared" si="1286"/>
        <v>157.58534230712499</v>
      </c>
      <c r="R268" s="2888">
        <f t="shared" si="1286"/>
        <v>157.58534230712499</v>
      </c>
      <c r="S268" s="2888">
        <f t="shared" si="1286"/>
        <v>0</v>
      </c>
      <c r="T268" s="2889">
        <f t="shared" si="1286"/>
        <v>7.41</v>
      </c>
      <c r="U268" s="2889">
        <f t="shared" si="1286"/>
        <v>7.41</v>
      </c>
      <c r="V268" s="2889">
        <f t="shared" si="1286"/>
        <v>0</v>
      </c>
      <c r="W268" s="2889">
        <f t="shared" si="1286"/>
        <v>20.93</v>
      </c>
      <c r="X268" s="2889">
        <f t="shared" si="1286"/>
        <v>20.93</v>
      </c>
      <c r="Y268" s="2889">
        <f t="shared" si="1286"/>
        <v>0</v>
      </c>
      <c r="Z268" s="2889">
        <f t="shared" si="1286"/>
        <v>1.421</v>
      </c>
      <c r="AA268" s="2889">
        <f t="shared" si="1286"/>
        <v>1.421</v>
      </c>
      <c r="AB268" s="2889">
        <f t="shared" si="1286"/>
        <v>0</v>
      </c>
      <c r="AC268" s="2889">
        <f t="shared" si="1286"/>
        <v>29.761000000000003</v>
      </c>
      <c r="AD268" s="2889">
        <f t="shared" si="1286"/>
        <v>29.761000000000003</v>
      </c>
      <c r="AE268" s="2889">
        <f t="shared" si="1286"/>
        <v>0</v>
      </c>
      <c r="AF268" s="2890">
        <f t="shared" si="1286"/>
        <v>315.17068461424998</v>
      </c>
      <c r="AG268" s="2890">
        <f t="shared" si="1286"/>
        <v>315.17068461424998</v>
      </c>
      <c r="AH268" s="2890">
        <f t="shared" si="1286"/>
        <v>0</v>
      </c>
      <c r="AI268" s="2891">
        <f t="shared" si="1286"/>
        <v>75.891000000000005</v>
      </c>
      <c r="AJ268" s="2891">
        <f t="shared" si="1286"/>
        <v>75.891000000000005</v>
      </c>
      <c r="AK268" s="2891">
        <f t="shared" si="1286"/>
        <v>0</v>
      </c>
      <c r="AL268" s="2847">
        <f t="shared" si="1185"/>
        <v>-239.27968461424996</v>
      </c>
      <c r="AM268" s="2847">
        <f t="shared" si="1186"/>
        <v>-239.27968461424996</v>
      </c>
      <c r="AN268" s="2847">
        <f t="shared" si="1186"/>
        <v>0</v>
      </c>
      <c r="AO268" s="2888">
        <f t="shared" ref="AO268:BI268" si="1287">SUM(AO52+AO96+AO141)</f>
        <v>157.58534230712499</v>
      </c>
      <c r="AP268" s="2888">
        <f t="shared" si="1287"/>
        <v>157.58534230712499</v>
      </c>
      <c r="AQ268" s="2888">
        <f t="shared" si="1287"/>
        <v>0</v>
      </c>
      <c r="AR268" s="2889">
        <f t="shared" si="1287"/>
        <v>19.13</v>
      </c>
      <c r="AS268" s="2889">
        <f t="shared" si="1287"/>
        <v>19.13</v>
      </c>
      <c r="AT268" s="2889">
        <f t="shared" si="1287"/>
        <v>0</v>
      </c>
      <c r="AU268" s="2889">
        <f t="shared" si="1287"/>
        <v>1.5189999999999999</v>
      </c>
      <c r="AV268" s="2889">
        <f t="shared" si="1287"/>
        <v>1.5189999999999999</v>
      </c>
      <c r="AW268" s="2889">
        <f t="shared" si="1287"/>
        <v>0</v>
      </c>
      <c r="AX268" s="2889">
        <f t="shared" si="1287"/>
        <v>15.693999999999999</v>
      </c>
      <c r="AY268" s="2889">
        <f t="shared" si="1287"/>
        <v>15.693999999999999</v>
      </c>
      <c r="AZ268" s="2889">
        <f t="shared" si="1287"/>
        <v>0</v>
      </c>
      <c r="BA268" s="2889">
        <f t="shared" si="1287"/>
        <v>36.343000000000004</v>
      </c>
      <c r="BB268" s="2889">
        <f t="shared" si="1287"/>
        <v>36.343000000000004</v>
      </c>
      <c r="BC268" s="2889">
        <f t="shared" si="1287"/>
        <v>0</v>
      </c>
      <c r="BD268" s="2890">
        <f t="shared" si="1287"/>
        <v>472.75602692137494</v>
      </c>
      <c r="BE268" s="2890">
        <f t="shared" si="1287"/>
        <v>472.75602692137494</v>
      </c>
      <c r="BF268" s="2890">
        <f t="shared" si="1287"/>
        <v>0</v>
      </c>
      <c r="BG268" s="2891">
        <f t="shared" si="1287"/>
        <v>112.23399999999999</v>
      </c>
      <c r="BH268" s="2891">
        <f t="shared" si="1287"/>
        <v>112.23399999999999</v>
      </c>
      <c r="BI268" s="2891">
        <f t="shared" si="1287"/>
        <v>0</v>
      </c>
      <c r="BJ268" s="2847">
        <f t="shared" si="1188"/>
        <v>-360.52202692137496</v>
      </c>
      <c r="BK268" s="2847">
        <f t="shared" si="1189"/>
        <v>-360.52202692137496</v>
      </c>
      <c r="BL268" s="2847">
        <f t="shared" si="1189"/>
        <v>0</v>
      </c>
      <c r="BM268" s="2888">
        <f t="shared" ref="BM268:CG268" si="1288">SUM(BM52+BM96+BM141)</f>
        <v>157.58534230712499</v>
      </c>
      <c r="BN268" s="2888">
        <f t="shared" si="1288"/>
        <v>157.58534230712499</v>
      </c>
      <c r="BO268" s="2888">
        <f t="shared" si="1288"/>
        <v>0</v>
      </c>
      <c r="BP268" s="2889">
        <f t="shared" si="1288"/>
        <v>9.8170000000000002</v>
      </c>
      <c r="BQ268" s="2889">
        <f t="shared" si="1288"/>
        <v>9.8170000000000002</v>
      </c>
      <c r="BR268" s="2889">
        <f t="shared" si="1288"/>
        <v>0</v>
      </c>
      <c r="BS268" s="2889">
        <f t="shared" si="1288"/>
        <v>0.77700000000000002</v>
      </c>
      <c r="BT268" s="2889">
        <f t="shared" si="1288"/>
        <v>0.77700000000000002</v>
      </c>
      <c r="BU268" s="2889">
        <f t="shared" si="1288"/>
        <v>0</v>
      </c>
      <c r="BV268" s="2889">
        <f t="shared" si="1288"/>
        <v>0.55000000000000004</v>
      </c>
      <c r="BW268" s="2889">
        <f t="shared" si="1288"/>
        <v>0.55000000000000004</v>
      </c>
      <c r="BX268" s="2889">
        <f t="shared" si="1288"/>
        <v>0</v>
      </c>
      <c r="BY268" s="2889">
        <f t="shared" si="1288"/>
        <v>11.144</v>
      </c>
      <c r="BZ268" s="2889">
        <f t="shared" si="1288"/>
        <v>11.144</v>
      </c>
      <c r="CA268" s="2889">
        <f t="shared" si="1288"/>
        <v>0</v>
      </c>
      <c r="CB268" s="2890">
        <f t="shared" si="1288"/>
        <v>630.34136922849996</v>
      </c>
      <c r="CC268" s="2890">
        <f t="shared" si="1288"/>
        <v>630.34136922849996</v>
      </c>
      <c r="CD268" s="2890">
        <f t="shared" si="1288"/>
        <v>0</v>
      </c>
      <c r="CE268" s="2891">
        <f t="shared" si="1288"/>
        <v>123.378</v>
      </c>
      <c r="CF268" s="2891">
        <f t="shared" si="1288"/>
        <v>123.378</v>
      </c>
      <c r="CG268" s="2891">
        <f t="shared" si="1288"/>
        <v>0</v>
      </c>
      <c r="CH268" s="2847">
        <f t="shared" si="1191"/>
        <v>-506.96336922849997</v>
      </c>
      <c r="CI268" s="2847">
        <f t="shared" si="1192"/>
        <v>-506.96336922849997</v>
      </c>
      <c r="CJ268" s="2847">
        <f t="shared" si="1192"/>
        <v>0</v>
      </c>
      <c r="CK268" s="2822"/>
      <c r="CL268" s="2822"/>
      <c r="CM268" s="2822"/>
      <c r="CN268" s="2822"/>
    </row>
    <row r="269" spans="1:92" ht="18.75" x14ac:dyDescent="0.3">
      <c r="A269" s="2874" t="s">
        <v>598</v>
      </c>
      <c r="B269" s="2888">
        <f>SUM(B98+B122+B142)</f>
        <v>2.631355508</v>
      </c>
      <c r="C269" s="2888">
        <f>SUM(C98+C122+C142)</f>
        <v>2.631355508</v>
      </c>
      <c r="D269" s="2888">
        <f t="shared" ref="D269:AK269" si="1289">SUM(D98+D122+D142)</f>
        <v>0</v>
      </c>
      <c r="E269" s="2889">
        <f t="shared" si="1289"/>
        <v>0.09</v>
      </c>
      <c r="F269" s="2889">
        <f t="shared" si="1289"/>
        <v>0.09</v>
      </c>
      <c r="G269" s="2889">
        <f t="shared" si="1289"/>
        <v>0</v>
      </c>
      <c r="H269" s="2889">
        <f t="shared" si="1289"/>
        <v>0</v>
      </c>
      <c r="I269" s="2889">
        <f t="shared" si="1289"/>
        <v>0</v>
      </c>
      <c r="J269" s="2889">
        <f t="shared" si="1289"/>
        <v>0</v>
      </c>
      <c r="K269" s="2889">
        <f t="shared" si="1289"/>
        <v>1.6500000000000001</v>
      </c>
      <c r="L269" s="2889">
        <f t="shared" si="1289"/>
        <v>1.6500000000000001</v>
      </c>
      <c r="M269" s="2889">
        <f t="shared" si="1289"/>
        <v>0</v>
      </c>
      <c r="N269" s="2889">
        <f t="shared" si="1289"/>
        <v>1.7400000000000002</v>
      </c>
      <c r="O269" s="2889">
        <f t="shared" si="1289"/>
        <v>1.7400000000000002</v>
      </c>
      <c r="P269" s="2889">
        <f t="shared" si="1289"/>
        <v>0</v>
      </c>
      <c r="Q269" s="2888">
        <f t="shared" si="1289"/>
        <v>2.631355508</v>
      </c>
      <c r="R269" s="2888">
        <f t="shared" si="1289"/>
        <v>2.631355508</v>
      </c>
      <c r="S269" s="2888">
        <f t="shared" si="1289"/>
        <v>0</v>
      </c>
      <c r="T269" s="2889">
        <f t="shared" si="1289"/>
        <v>0.85</v>
      </c>
      <c r="U269" s="2889">
        <f t="shared" si="1289"/>
        <v>0.85</v>
      </c>
      <c r="V269" s="2889">
        <f t="shared" si="1289"/>
        <v>0</v>
      </c>
      <c r="W269" s="2889">
        <f t="shared" si="1289"/>
        <v>0.57999999999999996</v>
      </c>
      <c r="X269" s="2889">
        <f t="shared" si="1289"/>
        <v>0.57999999999999996</v>
      </c>
      <c r="Y269" s="2889">
        <f t="shared" si="1289"/>
        <v>0</v>
      </c>
      <c r="Z269" s="2889">
        <f t="shared" si="1289"/>
        <v>0</v>
      </c>
      <c r="AA269" s="2889">
        <f t="shared" si="1289"/>
        <v>0</v>
      </c>
      <c r="AB269" s="2889">
        <f t="shared" si="1289"/>
        <v>0</v>
      </c>
      <c r="AC269" s="2889">
        <f t="shared" si="1289"/>
        <v>1.43</v>
      </c>
      <c r="AD269" s="2889">
        <f t="shared" si="1289"/>
        <v>1.43</v>
      </c>
      <c r="AE269" s="2889">
        <f t="shared" si="1289"/>
        <v>0</v>
      </c>
      <c r="AF269" s="2890">
        <f t="shared" si="1289"/>
        <v>5.2627110159999999</v>
      </c>
      <c r="AG269" s="2890">
        <f t="shared" si="1289"/>
        <v>5.2627110159999999</v>
      </c>
      <c r="AH269" s="2890">
        <f t="shared" si="1289"/>
        <v>0</v>
      </c>
      <c r="AI269" s="2891">
        <f t="shared" si="1289"/>
        <v>3.17</v>
      </c>
      <c r="AJ269" s="2891">
        <f t="shared" si="1289"/>
        <v>3.17</v>
      </c>
      <c r="AK269" s="2891">
        <f t="shared" si="1289"/>
        <v>0</v>
      </c>
      <c r="AL269" s="2847">
        <f t="shared" si="1185"/>
        <v>-2.092711016</v>
      </c>
      <c r="AM269" s="2847">
        <f t="shared" si="1186"/>
        <v>-2.092711016</v>
      </c>
      <c r="AN269" s="2847">
        <f t="shared" si="1186"/>
        <v>0</v>
      </c>
      <c r="AO269" s="2888">
        <f t="shared" ref="AO269:BI269" si="1290">SUM(AO98+AO122+AO142)</f>
        <v>2.631355508</v>
      </c>
      <c r="AP269" s="2888">
        <f t="shared" si="1290"/>
        <v>2.631355508</v>
      </c>
      <c r="AQ269" s="2888">
        <f t="shared" si="1290"/>
        <v>0</v>
      </c>
      <c r="AR269" s="2889">
        <f t="shared" si="1290"/>
        <v>0.12</v>
      </c>
      <c r="AS269" s="2889">
        <f t="shared" si="1290"/>
        <v>0.12</v>
      </c>
      <c r="AT269" s="2889">
        <f t="shared" si="1290"/>
        <v>0</v>
      </c>
      <c r="AU269" s="2889">
        <f t="shared" si="1290"/>
        <v>0.47</v>
      </c>
      <c r="AV269" s="2889">
        <f t="shared" si="1290"/>
        <v>0.47</v>
      </c>
      <c r="AW269" s="2889">
        <f t="shared" si="1290"/>
        <v>0</v>
      </c>
      <c r="AX269" s="2889">
        <f t="shared" si="1290"/>
        <v>0</v>
      </c>
      <c r="AY269" s="2889">
        <f t="shared" si="1290"/>
        <v>0</v>
      </c>
      <c r="AZ269" s="2889">
        <f t="shared" si="1290"/>
        <v>0</v>
      </c>
      <c r="BA269" s="2889">
        <f t="shared" si="1290"/>
        <v>0.59</v>
      </c>
      <c r="BB269" s="2889">
        <f t="shared" si="1290"/>
        <v>0.59</v>
      </c>
      <c r="BC269" s="2889">
        <f t="shared" si="1290"/>
        <v>0</v>
      </c>
      <c r="BD269" s="2890">
        <f t="shared" si="1290"/>
        <v>7.8940665239999994</v>
      </c>
      <c r="BE269" s="2890">
        <f t="shared" si="1290"/>
        <v>7.8940665239999994</v>
      </c>
      <c r="BF269" s="2890">
        <f t="shared" si="1290"/>
        <v>0</v>
      </c>
      <c r="BG269" s="2891">
        <f t="shared" si="1290"/>
        <v>3.76</v>
      </c>
      <c r="BH269" s="2891">
        <f t="shared" si="1290"/>
        <v>3.76</v>
      </c>
      <c r="BI269" s="2891">
        <f t="shared" si="1290"/>
        <v>0</v>
      </c>
      <c r="BJ269" s="2847">
        <f t="shared" si="1188"/>
        <v>-4.1340665239999996</v>
      </c>
      <c r="BK269" s="2847">
        <f t="shared" si="1189"/>
        <v>-4.1340665239999996</v>
      </c>
      <c r="BL269" s="2847">
        <f t="shared" si="1189"/>
        <v>0</v>
      </c>
      <c r="BM269" s="2888">
        <f t="shared" ref="BM269:CG269" si="1291">SUM(BM98+BM122+BM142)</f>
        <v>2.631355508</v>
      </c>
      <c r="BN269" s="2888">
        <f t="shared" si="1291"/>
        <v>2.631355508</v>
      </c>
      <c r="BO269" s="2888">
        <f t="shared" si="1291"/>
        <v>0</v>
      </c>
      <c r="BP269" s="2889">
        <f t="shared" si="1291"/>
        <v>1.0820000000000001</v>
      </c>
      <c r="BQ269" s="2889">
        <f t="shared" si="1291"/>
        <v>1.0820000000000001</v>
      </c>
      <c r="BR269" s="2889">
        <f t="shared" si="1291"/>
        <v>0</v>
      </c>
      <c r="BS269" s="2889">
        <f t="shared" si="1291"/>
        <v>0</v>
      </c>
      <c r="BT269" s="2889">
        <f t="shared" si="1291"/>
        <v>0</v>
      </c>
      <c r="BU269" s="2889">
        <f t="shared" si="1291"/>
        <v>0</v>
      </c>
      <c r="BV269" s="2889">
        <f t="shared" si="1291"/>
        <v>0.44600000000000001</v>
      </c>
      <c r="BW269" s="2889">
        <f t="shared" si="1291"/>
        <v>0.44600000000000001</v>
      </c>
      <c r="BX269" s="2889">
        <f t="shared" si="1291"/>
        <v>0</v>
      </c>
      <c r="BY269" s="2889">
        <f t="shared" si="1291"/>
        <v>1.528</v>
      </c>
      <c r="BZ269" s="2889">
        <f t="shared" si="1291"/>
        <v>1.528</v>
      </c>
      <c r="CA269" s="2889">
        <f t="shared" si="1291"/>
        <v>0</v>
      </c>
      <c r="CB269" s="2890">
        <f t="shared" si="1291"/>
        <v>10.525422032</v>
      </c>
      <c r="CC269" s="2890">
        <f t="shared" si="1291"/>
        <v>10.525422032</v>
      </c>
      <c r="CD269" s="2890">
        <f t="shared" si="1291"/>
        <v>0</v>
      </c>
      <c r="CE269" s="2891">
        <f t="shared" si="1291"/>
        <v>5.2879999999999994</v>
      </c>
      <c r="CF269" s="2891">
        <f t="shared" si="1291"/>
        <v>5.2879999999999994</v>
      </c>
      <c r="CG269" s="2891">
        <f t="shared" si="1291"/>
        <v>0</v>
      </c>
      <c r="CH269" s="2847">
        <f t="shared" si="1191"/>
        <v>-5.2374220320000004</v>
      </c>
      <c r="CI269" s="2847">
        <f t="shared" si="1192"/>
        <v>-5.2374220320000004</v>
      </c>
      <c r="CJ269" s="2847">
        <f t="shared" si="1192"/>
        <v>0</v>
      </c>
      <c r="CK269" s="2822"/>
      <c r="CL269" s="2822"/>
      <c r="CM269" s="2822"/>
      <c r="CN269" s="2822"/>
    </row>
    <row r="270" spans="1:92" ht="18.75" x14ac:dyDescent="0.3">
      <c r="A270" s="2880" t="s">
        <v>282</v>
      </c>
      <c r="B270" s="2899">
        <f>SUM(B238:B260)+B265</f>
        <v>4856.5982390288273</v>
      </c>
      <c r="C270" s="2899">
        <f>SUM(C238:C260)+C265</f>
        <v>4856.5982390288273</v>
      </c>
      <c r="D270" s="2899">
        <f t="shared" ref="D270:S270" si="1292">SUM(D238:D260)+D265</f>
        <v>0</v>
      </c>
      <c r="E270" s="2900">
        <f t="shared" si="1292"/>
        <v>2003.16779</v>
      </c>
      <c r="F270" s="2900">
        <f t="shared" si="1292"/>
        <v>2003.16779</v>
      </c>
      <c r="G270" s="2900">
        <f t="shared" si="1292"/>
        <v>0</v>
      </c>
      <c r="H270" s="2900">
        <f t="shared" si="1292"/>
        <v>1814.5847899999999</v>
      </c>
      <c r="I270" s="2900">
        <f t="shared" si="1292"/>
        <v>1814.5847899999999</v>
      </c>
      <c r="J270" s="2900">
        <f t="shared" si="1292"/>
        <v>0</v>
      </c>
      <c r="K270" s="2900">
        <f t="shared" si="1292"/>
        <v>2243.6584300000004</v>
      </c>
      <c r="L270" s="2900">
        <f t="shared" si="1292"/>
        <v>2243.6584300000004</v>
      </c>
      <c r="M270" s="2900">
        <f t="shared" si="1292"/>
        <v>0</v>
      </c>
      <c r="N270" s="2900">
        <f t="shared" si="1292"/>
        <v>6061.4110100000007</v>
      </c>
      <c r="O270" s="2900">
        <f t="shared" si="1292"/>
        <v>6061.4110100000007</v>
      </c>
      <c r="P270" s="2900">
        <f t="shared" si="1292"/>
        <v>0</v>
      </c>
      <c r="Q270" s="2899">
        <f t="shared" si="1292"/>
        <v>4856.5982390288273</v>
      </c>
      <c r="R270" s="2899">
        <f t="shared" si="1292"/>
        <v>4856.5982390288273</v>
      </c>
      <c r="S270" s="2899">
        <f t="shared" si="1292"/>
        <v>0</v>
      </c>
      <c r="T270" s="2900">
        <f t="shared" ref="T270:AE270" si="1293">SUM(T238:T260)+T265</f>
        <v>1660.3699999999997</v>
      </c>
      <c r="U270" s="2900">
        <f t="shared" si="1293"/>
        <v>1660.3699999999997</v>
      </c>
      <c r="V270" s="2900">
        <f t="shared" si="1293"/>
        <v>0</v>
      </c>
      <c r="W270" s="2900">
        <f t="shared" si="1293"/>
        <v>1476.2849999999999</v>
      </c>
      <c r="X270" s="2900">
        <f t="shared" si="1293"/>
        <v>1476.2849999999999</v>
      </c>
      <c r="Y270" s="2900">
        <f t="shared" si="1293"/>
        <v>0</v>
      </c>
      <c r="Z270" s="2900">
        <f t="shared" si="1293"/>
        <v>1342.8860000000004</v>
      </c>
      <c r="AA270" s="2900">
        <f t="shared" si="1293"/>
        <v>1342.8860000000004</v>
      </c>
      <c r="AB270" s="2900">
        <f t="shared" si="1293"/>
        <v>0</v>
      </c>
      <c r="AC270" s="2900">
        <f t="shared" si="1293"/>
        <v>4479.5410000000002</v>
      </c>
      <c r="AD270" s="2900">
        <f t="shared" si="1293"/>
        <v>4479.5410000000002</v>
      </c>
      <c r="AE270" s="2900">
        <f t="shared" si="1293"/>
        <v>0</v>
      </c>
      <c r="AF270" s="2901">
        <f t="shared" ref="AF270:AK270" si="1294">SUM(AF238:AF260)+AF265</f>
        <v>9713.1964780576545</v>
      </c>
      <c r="AG270" s="2901">
        <f t="shared" si="1294"/>
        <v>9713.1964780576545</v>
      </c>
      <c r="AH270" s="2901">
        <f t="shared" si="1294"/>
        <v>0</v>
      </c>
      <c r="AI270" s="2902">
        <f t="shared" si="1294"/>
        <v>10540.952009999999</v>
      </c>
      <c r="AJ270" s="2902">
        <f t="shared" si="1294"/>
        <v>10540.952009999999</v>
      </c>
      <c r="AK270" s="2902">
        <f t="shared" si="1294"/>
        <v>0</v>
      </c>
      <c r="AL270" s="2847">
        <f t="shared" si="1185"/>
        <v>827.75553194234453</v>
      </c>
      <c r="AM270" s="2847">
        <f t="shared" si="1186"/>
        <v>827.75553194234453</v>
      </c>
      <c r="AN270" s="2847">
        <f t="shared" si="1186"/>
        <v>0</v>
      </c>
      <c r="AO270" s="2899">
        <f t="shared" ref="AO270:BI270" si="1295">SUM(AO238:AO260)+AO265</f>
        <v>4856.5982390288273</v>
      </c>
      <c r="AP270" s="2899">
        <f t="shared" si="1295"/>
        <v>4856.5982390288273</v>
      </c>
      <c r="AQ270" s="2899">
        <f t="shared" si="1295"/>
        <v>0</v>
      </c>
      <c r="AR270" s="2900">
        <f t="shared" si="1295"/>
        <v>1685.1019999999999</v>
      </c>
      <c r="AS270" s="2900">
        <f t="shared" si="1295"/>
        <v>1685.1019999999999</v>
      </c>
      <c r="AT270" s="2900">
        <f t="shared" si="1295"/>
        <v>0</v>
      </c>
      <c r="AU270" s="2900">
        <f t="shared" si="1295"/>
        <v>1330.8640000000005</v>
      </c>
      <c r="AV270" s="2900">
        <f t="shared" si="1295"/>
        <v>1330.8640000000005</v>
      </c>
      <c r="AW270" s="2900">
        <f t="shared" si="1295"/>
        <v>0</v>
      </c>
      <c r="AX270" s="2900">
        <f t="shared" si="1295"/>
        <v>1745.9120000000003</v>
      </c>
      <c r="AY270" s="2900">
        <f t="shared" si="1295"/>
        <v>1745.9120000000003</v>
      </c>
      <c r="AZ270" s="2900">
        <f t="shared" si="1295"/>
        <v>0</v>
      </c>
      <c r="BA270" s="2900">
        <f t="shared" si="1295"/>
        <v>4761.8779999999997</v>
      </c>
      <c r="BB270" s="2900">
        <f t="shared" si="1295"/>
        <v>4761.8779999999997</v>
      </c>
      <c r="BC270" s="2900">
        <f t="shared" si="1295"/>
        <v>0</v>
      </c>
      <c r="BD270" s="2901">
        <f t="shared" si="1295"/>
        <v>14569.794717086479</v>
      </c>
      <c r="BE270" s="2901">
        <f t="shared" si="1295"/>
        <v>14569.794717086479</v>
      </c>
      <c r="BF270" s="2901">
        <f t="shared" si="1295"/>
        <v>0</v>
      </c>
      <c r="BG270" s="2902">
        <f t="shared" si="1295"/>
        <v>15302.83001</v>
      </c>
      <c r="BH270" s="2902">
        <f t="shared" si="1295"/>
        <v>15302.83001</v>
      </c>
      <c r="BI270" s="2902">
        <f t="shared" si="1295"/>
        <v>0</v>
      </c>
      <c r="BJ270" s="2847">
        <f t="shared" si="1188"/>
        <v>733.03529291352061</v>
      </c>
      <c r="BK270" s="2847">
        <f t="shared" si="1189"/>
        <v>733.03529291352061</v>
      </c>
      <c r="BL270" s="2847">
        <f t="shared" si="1189"/>
        <v>0</v>
      </c>
      <c r="BM270" s="2899">
        <f t="shared" ref="BM270:CG270" si="1296">SUM(BM238:BM260)+BM265</f>
        <v>4856.5982390288273</v>
      </c>
      <c r="BN270" s="2899">
        <f t="shared" si="1296"/>
        <v>4856.5982390288273</v>
      </c>
      <c r="BO270" s="2899">
        <f t="shared" si="1296"/>
        <v>0</v>
      </c>
      <c r="BP270" s="2900">
        <f t="shared" si="1296"/>
        <v>2011.3810000000003</v>
      </c>
      <c r="BQ270" s="2900">
        <f t="shared" si="1296"/>
        <v>2011.3810000000003</v>
      </c>
      <c r="BR270" s="2900">
        <f t="shared" si="1296"/>
        <v>0</v>
      </c>
      <c r="BS270" s="2900">
        <f t="shared" si="1296"/>
        <v>1776.6764000000001</v>
      </c>
      <c r="BT270" s="2900">
        <f t="shared" si="1296"/>
        <v>1776.6764000000001</v>
      </c>
      <c r="BU270" s="2900">
        <f t="shared" si="1296"/>
        <v>0</v>
      </c>
      <c r="BV270" s="2900">
        <f t="shared" si="1296"/>
        <v>2165.3099400000001</v>
      </c>
      <c r="BW270" s="2900">
        <f t="shared" si="1296"/>
        <v>2165.3099400000001</v>
      </c>
      <c r="BX270" s="2900">
        <f t="shared" si="1296"/>
        <v>0</v>
      </c>
      <c r="BY270" s="2900">
        <f t="shared" si="1296"/>
        <v>5953.3673399999989</v>
      </c>
      <c r="BZ270" s="2900">
        <f t="shared" si="1296"/>
        <v>5953.3673399999989</v>
      </c>
      <c r="CA270" s="2900">
        <f t="shared" si="1296"/>
        <v>0</v>
      </c>
      <c r="CB270" s="2901">
        <f t="shared" si="1296"/>
        <v>19426.392956115309</v>
      </c>
      <c r="CC270" s="2901">
        <f t="shared" si="1296"/>
        <v>19426.392956115309</v>
      </c>
      <c r="CD270" s="2901">
        <f t="shared" si="1296"/>
        <v>0</v>
      </c>
      <c r="CE270" s="2902">
        <f t="shared" si="1296"/>
        <v>21256.197349999999</v>
      </c>
      <c r="CF270" s="2902">
        <f t="shared" si="1296"/>
        <v>21256.197349999999</v>
      </c>
      <c r="CG270" s="2902">
        <f t="shared" si="1296"/>
        <v>0</v>
      </c>
      <c r="CH270" s="2847">
        <f t="shared" si="1191"/>
        <v>1829.8043938846895</v>
      </c>
      <c r="CI270" s="2847">
        <f t="shared" si="1192"/>
        <v>1829.8043938846895</v>
      </c>
      <c r="CJ270" s="2847">
        <f t="shared" si="1192"/>
        <v>0</v>
      </c>
      <c r="CK270" s="2822"/>
      <c r="CL270" s="2822"/>
      <c r="CM270" s="2822"/>
      <c r="CN270" s="2822"/>
    </row>
    <row r="271" spans="1:92" ht="18.75" x14ac:dyDescent="0.3">
      <c r="A271" s="2822"/>
      <c r="B271" s="2904"/>
      <c r="C271" s="2904"/>
      <c r="D271" s="2904"/>
      <c r="E271" s="2904"/>
      <c r="F271" s="2904"/>
      <c r="G271" s="2904"/>
      <c r="H271" s="2904"/>
      <c r="I271" s="2904"/>
      <c r="J271" s="2904"/>
      <c r="K271" s="2904"/>
      <c r="L271" s="2904"/>
      <c r="M271" s="2904"/>
      <c r="N271" s="2904"/>
      <c r="O271" s="2904"/>
      <c r="P271" s="2904"/>
      <c r="Q271" s="2904"/>
      <c r="R271" s="2904"/>
      <c r="S271" s="2904"/>
      <c r="T271" s="2904"/>
      <c r="U271" s="2904"/>
      <c r="V271" s="2904"/>
      <c r="W271" s="2904"/>
      <c r="X271" s="2904"/>
      <c r="Y271" s="2904"/>
      <c r="Z271" s="2904"/>
      <c r="AA271" s="2904"/>
      <c r="AB271" s="2904"/>
      <c r="AC271" s="2904"/>
      <c r="AD271" s="2904"/>
      <c r="AE271" s="2904"/>
      <c r="AF271" s="2904"/>
      <c r="AG271" s="2904"/>
      <c r="AH271" s="2904"/>
      <c r="AI271" s="2904"/>
      <c r="AJ271" s="2904"/>
      <c r="AK271" s="2904"/>
      <c r="AL271" s="2904"/>
      <c r="AM271" s="2904"/>
      <c r="AN271" s="2904"/>
      <c r="AO271" s="2904"/>
      <c r="AP271" s="2904"/>
      <c r="AQ271" s="2904"/>
      <c r="AR271" s="2904"/>
      <c r="AS271" s="2904"/>
      <c r="AT271" s="2904"/>
      <c r="AU271" s="2904"/>
      <c r="AV271" s="2904"/>
      <c r="AW271" s="2904"/>
      <c r="AX271" s="2904"/>
      <c r="AY271" s="2904"/>
      <c r="AZ271" s="2904"/>
      <c r="BA271" s="2904"/>
      <c r="BB271" s="2904"/>
      <c r="BC271" s="2904"/>
      <c r="BD271" s="2904"/>
      <c r="BE271" s="2904"/>
      <c r="BF271" s="2904"/>
      <c r="BG271" s="2904"/>
      <c r="BH271" s="2904"/>
      <c r="BI271" s="2904"/>
      <c r="BJ271" s="2822"/>
      <c r="BK271" s="2822"/>
      <c r="BL271" s="2822"/>
      <c r="BM271" s="2822"/>
      <c r="BN271" s="2822"/>
      <c r="BO271" s="2822"/>
      <c r="BP271" s="2822"/>
      <c r="BQ271" s="2822"/>
      <c r="BR271" s="2822"/>
      <c r="BS271" s="2822"/>
      <c r="BT271" s="2822"/>
      <c r="BU271" s="2822"/>
      <c r="BV271" s="2822"/>
      <c r="BW271" s="2822"/>
      <c r="BX271" s="2822"/>
      <c r="BY271" s="2822"/>
      <c r="BZ271" s="2822"/>
      <c r="CA271" s="2822"/>
      <c r="CB271" s="2822"/>
      <c r="CC271" s="2822"/>
      <c r="CD271" s="2822"/>
      <c r="CE271" s="2822"/>
      <c r="CF271" s="2822"/>
      <c r="CG271" s="2822"/>
      <c r="CH271" s="2822"/>
      <c r="CI271" s="2822"/>
      <c r="CJ271" s="2822"/>
      <c r="CK271" s="2822"/>
      <c r="CL271" s="2822"/>
      <c r="CM271" s="2822"/>
      <c r="CN271" s="2822"/>
    </row>
    <row r="272" spans="1:92" ht="18.75" x14ac:dyDescent="0.3">
      <c r="A272" s="2884"/>
      <c r="B272" s="2884"/>
      <c r="C272" s="2884"/>
      <c r="D272" s="2884"/>
      <c r="E272" s="2884"/>
      <c r="F272" s="2884"/>
      <c r="G272" s="2884"/>
      <c r="H272" s="2884"/>
      <c r="I272" s="2884"/>
      <c r="J272" s="2884"/>
      <c r="K272" s="2884"/>
      <c r="L272" s="2884"/>
      <c r="M272" s="2884"/>
      <c r="N272" s="2904"/>
      <c r="O272" s="2904"/>
      <c r="P272" s="2904"/>
      <c r="Q272" s="2904"/>
      <c r="R272" s="2904"/>
      <c r="S272" s="2904"/>
      <c r="T272" s="2904"/>
      <c r="U272" s="2904"/>
      <c r="V272" s="2904"/>
      <c r="W272" s="2904"/>
      <c r="X272" s="2904"/>
      <c r="Y272" s="2904"/>
      <c r="Z272" s="2904"/>
      <c r="AA272" s="2904"/>
      <c r="AB272" s="2904"/>
      <c r="AC272" s="2904"/>
      <c r="AD272" s="2904"/>
      <c r="AE272" s="2904"/>
      <c r="AF272" s="2904"/>
      <c r="AG272" s="2904"/>
      <c r="AH272" s="2904"/>
      <c r="AI272" s="2904"/>
      <c r="AJ272" s="2904"/>
      <c r="AK272" s="2904"/>
      <c r="AL272" s="2904"/>
      <c r="AM272" s="2904"/>
      <c r="AN272" s="2904"/>
      <c r="AO272" s="2904"/>
      <c r="AP272" s="2904"/>
      <c r="AQ272" s="2904"/>
      <c r="AR272" s="2904"/>
      <c r="AS272" s="2904"/>
      <c r="AT272" s="2904"/>
      <c r="AU272" s="2904"/>
      <c r="AV272" s="2904"/>
      <c r="AW272" s="2904"/>
      <c r="AX272" s="2904"/>
      <c r="AY272" s="2904"/>
      <c r="AZ272" s="2904"/>
      <c r="BA272" s="2904"/>
      <c r="BB272" s="2904"/>
      <c r="BC272" s="2904"/>
      <c r="BD272" s="2904"/>
      <c r="BE272" s="2904"/>
      <c r="BF272" s="2904"/>
      <c r="BG272" s="2904"/>
      <c r="BH272" s="2904"/>
      <c r="BI272" s="2904"/>
      <c r="BJ272" s="2822"/>
      <c r="BK272" s="2822"/>
      <c r="BL272" s="2822"/>
      <c r="BM272" s="2822"/>
      <c r="BN272" s="2822"/>
      <c r="BO272" s="2822"/>
      <c r="BP272" s="2822"/>
      <c r="BQ272" s="2822"/>
      <c r="BR272" s="2822"/>
      <c r="BS272" s="2822"/>
      <c r="BT272" s="2822"/>
      <c r="BU272" s="2822"/>
      <c r="BV272" s="2822"/>
      <c r="BW272" s="2822"/>
      <c r="BX272" s="2822"/>
      <c r="BY272" s="2822"/>
      <c r="BZ272" s="2822"/>
      <c r="CA272" s="2822"/>
      <c r="CB272" s="2822"/>
      <c r="CC272" s="2822"/>
      <c r="CD272" s="2822"/>
      <c r="CE272" s="2822"/>
      <c r="CF272" s="2822"/>
      <c r="CG272" s="2822"/>
      <c r="CH272" s="2822"/>
      <c r="CI272" s="2822"/>
      <c r="CJ272" s="2822"/>
      <c r="CK272" s="2822"/>
      <c r="CL272" s="2822"/>
      <c r="CM272" s="2822"/>
      <c r="CN272" s="2822"/>
    </row>
    <row r="273" spans="1:92" x14ac:dyDescent="0.2">
      <c r="A273" s="2822"/>
      <c r="B273" s="2822"/>
      <c r="C273" s="2822"/>
      <c r="D273" s="2822"/>
      <c r="E273" s="2822"/>
      <c r="F273" s="2822"/>
      <c r="G273" s="2822"/>
      <c r="H273" s="2822"/>
      <c r="I273" s="2822"/>
      <c r="J273" s="2822"/>
      <c r="K273" s="2822"/>
      <c r="L273" s="2822"/>
      <c r="M273" s="2822"/>
      <c r="N273" s="2822"/>
      <c r="O273" s="2822"/>
      <c r="P273" s="2822"/>
      <c r="Q273" s="2822"/>
      <c r="R273" s="2822"/>
      <c r="S273" s="2822"/>
      <c r="T273" s="2822"/>
      <c r="U273" s="2822"/>
      <c r="V273" s="2822"/>
      <c r="W273" s="2822"/>
      <c r="X273" s="2822"/>
      <c r="Y273" s="2822"/>
      <c r="Z273" s="2822"/>
      <c r="AA273" s="2822"/>
      <c r="AB273" s="2822"/>
      <c r="AC273" s="2822"/>
      <c r="AD273" s="2822"/>
      <c r="AE273" s="2822"/>
      <c r="AF273" s="2822"/>
      <c r="AG273" s="2822"/>
      <c r="AH273" s="2822"/>
      <c r="AI273" s="2822"/>
      <c r="AJ273" s="2822"/>
      <c r="AK273" s="2822"/>
      <c r="AL273" s="2822"/>
      <c r="AM273" s="2822"/>
      <c r="AN273" s="2822"/>
      <c r="AO273" s="2822"/>
      <c r="AP273" s="2822"/>
      <c r="AQ273" s="2822"/>
      <c r="AR273" s="2822"/>
      <c r="AS273" s="2822"/>
      <c r="AT273" s="2822"/>
      <c r="AU273" s="2822"/>
      <c r="AV273" s="2822"/>
      <c r="AW273" s="2822"/>
      <c r="AX273" s="2822"/>
      <c r="AY273" s="2822"/>
      <c r="AZ273" s="2822"/>
      <c r="BA273" s="2822"/>
      <c r="BB273" s="2822"/>
      <c r="BC273" s="2822"/>
      <c r="BD273" s="2822"/>
      <c r="BE273" s="2822"/>
      <c r="BF273" s="2822"/>
      <c r="BG273" s="2822"/>
      <c r="BH273" s="2822"/>
      <c r="BI273" s="2822"/>
      <c r="BJ273" s="2822"/>
      <c r="BK273" s="2822"/>
      <c r="BL273" s="2822"/>
      <c r="BM273" s="2822"/>
      <c r="BN273" s="2822"/>
      <c r="BO273" s="2822"/>
      <c r="BP273" s="2822"/>
      <c r="BQ273" s="2822"/>
      <c r="BR273" s="2822"/>
      <c r="BS273" s="2822"/>
      <c r="BT273" s="2822"/>
      <c r="BU273" s="2822"/>
      <c r="BV273" s="2822"/>
      <c r="BW273" s="2822"/>
      <c r="BX273" s="2822"/>
      <c r="BY273" s="2822"/>
      <c r="BZ273" s="2822"/>
      <c r="CA273" s="2822"/>
      <c r="CB273" s="2822"/>
      <c r="CC273" s="2822"/>
      <c r="CD273" s="2822"/>
      <c r="CE273" s="2822"/>
      <c r="CF273" s="2822"/>
      <c r="CG273" s="2822"/>
      <c r="CH273" s="2822"/>
      <c r="CI273" s="2822"/>
      <c r="CJ273" s="2822"/>
      <c r="CK273" s="2822"/>
      <c r="CL273" s="2822"/>
      <c r="CM273" s="2822"/>
      <c r="CN273" s="2822"/>
    </row>
    <row r="274" spans="1:92" x14ac:dyDescent="0.2">
      <c r="A274" s="2822"/>
      <c r="B274" s="2822"/>
      <c r="C274" s="2822"/>
      <c r="D274" s="2822"/>
      <c r="E274" s="2822"/>
      <c r="F274" s="2822"/>
      <c r="G274" s="2822"/>
      <c r="H274" s="2822"/>
      <c r="I274" s="2822"/>
      <c r="J274" s="2822"/>
      <c r="K274" s="2822"/>
      <c r="L274" s="2822"/>
      <c r="M274" s="2822"/>
      <c r="N274" s="2822"/>
      <c r="O274" s="2822"/>
      <c r="P274" s="2822"/>
      <c r="Q274" s="2822"/>
      <c r="R274" s="2822"/>
      <c r="S274" s="2822"/>
      <c r="T274" s="2822"/>
      <c r="U274" s="2822"/>
      <c r="V274" s="2822"/>
      <c r="W274" s="2822"/>
      <c r="X274" s="2822"/>
      <c r="Y274" s="2822"/>
      <c r="Z274" s="2822"/>
      <c r="AA274" s="2822"/>
      <c r="AB274" s="2822"/>
      <c r="AC274" s="2822"/>
      <c r="AD274" s="2822"/>
      <c r="AE274" s="2822"/>
      <c r="AF274" s="2822"/>
      <c r="AG274" s="2822"/>
      <c r="AH274" s="2822"/>
      <c r="AI274" s="2822"/>
      <c r="AJ274" s="2822"/>
      <c r="AK274" s="2822"/>
      <c r="AL274" s="2822"/>
      <c r="AM274" s="2822"/>
      <c r="AN274" s="2822"/>
      <c r="AO274" s="2822"/>
      <c r="AP274" s="2822"/>
      <c r="AQ274" s="2822"/>
      <c r="AR274" s="2822"/>
      <c r="AS274" s="2822"/>
      <c r="AT274" s="2822"/>
      <c r="AU274" s="2822"/>
      <c r="AV274" s="2822"/>
      <c r="AW274" s="2822"/>
      <c r="AX274" s="2822"/>
      <c r="AY274" s="2822"/>
      <c r="AZ274" s="2822"/>
      <c r="BA274" s="2822"/>
      <c r="BB274" s="2822"/>
      <c r="BC274" s="2822"/>
      <c r="BD274" s="2822"/>
      <c r="BE274" s="2822"/>
      <c r="BF274" s="2822"/>
      <c r="BG274" s="2822"/>
      <c r="BH274" s="2822"/>
      <c r="BI274" s="2822"/>
      <c r="BJ274" s="2822"/>
      <c r="BK274" s="2822"/>
      <c r="BL274" s="2822"/>
      <c r="BM274" s="2822"/>
      <c r="BN274" s="2822"/>
      <c r="BO274" s="2822"/>
      <c r="BP274" s="2822"/>
      <c r="BQ274" s="2822"/>
      <c r="BR274" s="2822"/>
      <c r="BS274" s="2822"/>
      <c r="BT274" s="2822"/>
      <c r="BU274" s="2822"/>
      <c r="BV274" s="2822"/>
      <c r="BW274" s="2822"/>
      <c r="BX274" s="2822"/>
      <c r="BY274" s="2822"/>
      <c r="BZ274" s="2822"/>
      <c r="CA274" s="2822"/>
      <c r="CB274" s="2822"/>
      <c r="CC274" s="2822"/>
      <c r="CD274" s="2822"/>
      <c r="CE274" s="2822"/>
      <c r="CF274" s="2822"/>
      <c r="CG274" s="2822"/>
      <c r="CH274" s="2822"/>
      <c r="CI274" s="2822"/>
      <c r="CJ274" s="2822"/>
      <c r="CK274" s="2822"/>
      <c r="CL274" s="2822"/>
      <c r="CM274" s="2822"/>
      <c r="CN274" s="2822"/>
    </row>
    <row r="275" spans="1:92" x14ac:dyDescent="0.2">
      <c r="A275" s="2822"/>
      <c r="B275" s="2822"/>
      <c r="C275" s="2822"/>
      <c r="D275" s="2822"/>
      <c r="E275" s="2822"/>
      <c r="F275" s="2822"/>
      <c r="G275" s="2822"/>
      <c r="H275" s="2822"/>
      <c r="I275" s="2822"/>
      <c r="J275" s="2822"/>
      <c r="K275" s="2822"/>
      <c r="L275" s="2822"/>
      <c r="M275" s="2822"/>
      <c r="N275" s="2822"/>
      <c r="O275" s="2822"/>
      <c r="P275" s="2822"/>
      <c r="Q275" s="2822"/>
      <c r="R275" s="2822"/>
      <c r="S275" s="2822"/>
      <c r="T275" s="2822"/>
      <c r="U275" s="2822"/>
      <c r="V275" s="2822"/>
      <c r="W275" s="2822"/>
      <c r="X275" s="2822"/>
      <c r="Y275" s="2822"/>
      <c r="Z275" s="2822"/>
      <c r="AA275" s="2822"/>
      <c r="AB275" s="2822"/>
      <c r="AC275" s="2822"/>
      <c r="AD275" s="2822"/>
      <c r="AE275" s="2822"/>
      <c r="AF275" s="2822"/>
      <c r="AG275" s="2822"/>
      <c r="AH275" s="2822"/>
      <c r="AI275" s="2822"/>
      <c r="AJ275" s="2822"/>
      <c r="AK275" s="2822"/>
      <c r="AL275" s="2822"/>
      <c r="AM275" s="2822"/>
      <c r="AN275" s="2822"/>
      <c r="AO275" s="2822"/>
      <c r="AP275" s="2822"/>
      <c r="AQ275" s="2822"/>
      <c r="AR275" s="2822"/>
      <c r="AS275" s="2822"/>
      <c r="AT275" s="2822"/>
      <c r="AU275" s="2822"/>
      <c r="AV275" s="2822"/>
      <c r="AW275" s="2822"/>
      <c r="AX275" s="2822"/>
      <c r="AY275" s="2822"/>
      <c r="AZ275" s="2822"/>
      <c r="BA275" s="2822"/>
      <c r="BB275" s="2822"/>
      <c r="BC275" s="2822"/>
      <c r="BD275" s="2822"/>
      <c r="BE275" s="2822"/>
      <c r="BF275" s="2822"/>
      <c r="BG275" s="2822"/>
      <c r="BH275" s="2822"/>
      <c r="BI275" s="2822"/>
      <c r="BJ275" s="2822"/>
      <c r="BK275" s="2822"/>
      <c r="BL275" s="2822"/>
      <c r="BM275" s="2822"/>
      <c r="BN275" s="2822"/>
      <c r="BO275" s="2822"/>
      <c r="BP275" s="2822"/>
      <c r="BQ275" s="2822"/>
      <c r="BR275" s="2822"/>
      <c r="BS275" s="2822"/>
      <c r="BT275" s="2822"/>
      <c r="BU275" s="2822"/>
      <c r="BV275" s="2822"/>
      <c r="BW275" s="2822"/>
      <c r="BX275" s="2822"/>
      <c r="BY275" s="2822"/>
      <c r="BZ275" s="2822"/>
      <c r="CA275" s="2822"/>
      <c r="CB275" s="2822"/>
      <c r="CC275" s="2822"/>
      <c r="CD275" s="2822"/>
      <c r="CE275" s="2822"/>
      <c r="CF275" s="2822"/>
      <c r="CG275" s="2822"/>
      <c r="CH275" s="2822"/>
      <c r="CI275" s="2822"/>
      <c r="CJ275" s="2822"/>
      <c r="CK275" s="2822"/>
      <c r="CL275" s="2822"/>
      <c r="CM275" s="2822"/>
      <c r="CN275" s="2822"/>
    </row>
    <row r="276" spans="1:92" x14ac:dyDescent="0.2">
      <c r="A276" s="2822"/>
      <c r="B276" s="2822"/>
      <c r="C276" s="2822"/>
      <c r="D276" s="2822"/>
      <c r="E276" s="2822"/>
      <c r="F276" s="2822"/>
      <c r="G276" s="2822"/>
      <c r="H276" s="2822"/>
      <c r="I276" s="2822"/>
      <c r="J276" s="2822"/>
      <c r="K276" s="2822"/>
      <c r="L276" s="2822"/>
      <c r="M276" s="2822"/>
      <c r="N276" s="2822"/>
      <c r="O276" s="2822"/>
      <c r="P276" s="2822"/>
      <c r="Q276" s="2822"/>
      <c r="R276" s="2822"/>
      <c r="S276" s="2822"/>
      <c r="T276" s="2822"/>
      <c r="U276" s="2822"/>
      <c r="V276" s="2822"/>
      <c r="W276" s="2822"/>
      <c r="X276" s="2822"/>
      <c r="Y276" s="2822"/>
      <c r="Z276" s="2822"/>
      <c r="AA276" s="2822"/>
      <c r="AB276" s="2822"/>
      <c r="AC276" s="2822"/>
      <c r="AD276" s="2822"/>
      <c r="AE276" s="2822"/>
      <c r="AF276" s="2822"/>
      <c r="AG276" s="2822"/>
      <c r="AH276" s="2822"/>
      <c r="AI276" s="2822"/>
      <c r="AJ276" s="2822"/>
      <c r="AK276" s="2822"/>
      <c r="AL276" s="2822"/>
      <c r="AM276" s="2822"/>
      <c r="AN276" s="2822"/>
      <c r="AO276" s="2822"/>
      <c r="AP276" s="2822"/>
      <c r="AQ276" s="2822"/>
      <c r="AR276" s="2822"/>
      <c r="AS276" s="2822"/>
      <c r="AT276" s="2822"/>
      <c r="AU276" s="2822"/>
      <c r="AV276" s="2822"/>
      <c r="AW276" s="2822"/>
      <c r="AX276" s="2822"/>
      <c r="AY276" s="2822"/>
      <c r="AZ276" s="2822"/>
      <c r="BA276" s="2822"/>
      <c r="BB276" s="2822"/>
      <c r="BC276" s="2822"/>
      <c r="BD276" s="2822"/>
      <c r="BE276" s="2822"/>
      <c r="BF276" s="2822"/>
      <c r="BG276" s="2822"/>
      <c r="BH276" s="2822"/>
      <c r="BI276" s="2822"/>
      <c r="BJ276" s="2822"/>
      <c r="BK276" s="2822"/>
      <c r="BL276" s="2822"/>
      <c r="BM276" s="2822"/>
      <c r="BN276" s="2822"/>
      <c r="BO276" s="2822"/>
      <c r="BP276" s="2822"/>
      <c r="BQ276" s="2822"/>
      <c r="BR276" s="2822"/>
      <c r="BS276" s="2822"/>
      <c r="BT276" s="2822"/>
      <c r="BU276" s="2822"/>
      <c r="BV276" s="2822"/>
      <c r="BW276" s="2822"/>
      <c r="BX276" s="2822"/>
      <c r="BY276" s="2822"/>
      <c r="BZ276" s="2822"/>
      <c r="CA276" s="2822"/>
      <c r="CB276" s="2822"/>
      <c r="CC276" s="2822"/>
      <c r="CD276" s="2822"/>
      <c r="CE276" s="2822"/>
      <c r="CF276" s="2822"/>
      <c r="CG276" s="2822"/>
      <c r="CH276" s="2822"/>
      <c r="CI276" s="2822"/>
      <c r="CJ276" s="2822"/>
      <c r="CK276" s="2822"/>
      <c r="CL276" s="2822"/>
      <c r="CM276" s="2822"/>
      <c r="CN276" s="2822"/>
    </row>
    <row r="277" spans="1:92" x14ac:dyDescent="0.2">
      <c r="A277" s="2822"/>
      <c r="B277" s="2822"/>
      <c r="C277" s="2822"/>
      <c r="D277" s="2822"/>
      <c r="E277" s="2822"/>
      <c r="F277" s="2822"/>
      <c r="G277" s="2822"/>
      <c r="H277" s="2822"/>
      <c r="I277" s="2822"/>
      <c r="J277" s="2822"/>
      <c r="K277" s="2822"/>
      <c r="L277" s="2822"/>
      <c r="M277" s="2822"/>
      <c r="N277" s="2822"/>
      <c r="O277" s="2822"/>
      <c r="P277" s="2822"/>
      <c r="Q277" s="2822"/>
      <c r="R277" s="2822"/>
      <c r="S277" s="2822"/>
      <c r="T277" s="2822"/>
      <c r="U277" s="2822"/>
      <c r="V277" s="2822"/>
      <c r="W277" s="2822"/>
      <c r="X277" s="2822"/>
      <c r="Y277" s="2822"/>
      <c r="Z277" s="2822"/>
      <c r="AA277" s="2822"/>
      <c r="AB277" s="2822"/>
      <c r="AC277" s="2822"/>
      <c r="AD277" s="2822"/>
      <c r="AE277" s="2822"/>
      <c r="AF277" s="2822"/>
      <c r="AG277" s="2822"/>
      <c r="AH277" s="2822"/>
      <c r="AI277" s="2822"/>
      <c r="AJ277" s="2822"/>
      <c r="AK277" s="2822"/>
      <c r="AL277" s="2822"/>
      <c r="AM277" s="2822"/>
      <c r="AN277" s="2822"/>
      <c r="AO277" s="2822"/>
      <c r="AP277" s="2822"/>
      <c r="AQ277" s="2822"/>
      <c r="AR277" s="2822"/>
      <c r="AS277" s="2822"/>
      <c r="AT277" s="2822"/>
      <c r="AU277" s="2822"/>
      <c r="AV277" s="2822"/>
      <c r="AW277" s="2822"/>
      <c r="AX277" s="2822"/>
      <c r="AY277" s="2822"/>
      <c r="AZ277" s="2822"/>
      <c r="BA277" s="2822"/>
      <c r="BB277" s="2822"/>
      <c r="BC277" s="2822"/>
      <c r="BD277" s="2822"/>
      <c r="BE277" s="2822"/>
      <c r="BF277" s="2822"/>
      <c r="BG277" s="2822"/>
      <c r="BH277" s="2822"/>
      <c r="BI277" s="2822"/>
      <c r="BJ277" s="2822"/>
      <c r="BK277" s="2822"/>
      <c r="BL277" s="2822"/>
      <c r="BM277" s="2822"/>
      <c r="BN277" s="2822"/>
      <c r="BO277" s="2822"/>
      <c r="BP277" s="2822"/>
      <c r="BQ277" s="2822"/>
      <c r="BR277" s="2822"/>
      <c r="BS277" s="2822"/>
      <c r="BT277" s="2822"/>
      <c r="BU277" s="2822"/>
      <c r="BV277" s="2822"/>
      <c r="BW277" s="2822"/>
      <c r="BX277" s="2822"/>
      <c r="BY277" s="2822"/>
      <c r="BZ277" s="2822"/>
      <c r="CA277" s="2822"/>
      <c r="CB277" s="2822"/>
      <c r="CC277" s="2822"/>
      <c r="CD277" s="2822"/>
      <c r="CE277" s="2822"/>
      <c r="CF277" s="2822"/>
      <c r="CG277" s="2822"/>
      <c r="CH277" s="2822"/>
      <c r="CI277" s="2822"/>
      <c r="CJ277" s="2822"/>
      <c r="CK277" s="2822"/>
      <c r="CL277" s="2822"/>
      <c r="CM277" s="2822"/>
      <c r="CN277" s="2822"/>
    </row>
    <row r="278" spans="1:92" x14ac:dyDescent="0.2">
      <c r="A278" s="2822"/>
      <c r="B278" s="2822"/>
      <c r="C278" s="2822"/>
      <c r="D278" s="2822"/>
      <c r="E278" s="2822"/>
      <c r="F278" s="2822"/>
      <c r="G278" s="2822"/>
      <c r="H278" s="2822"/>
      <c r="I278" s="2822"/>
      <c r="J278" s="2822"/>
      <c r="K278" s="2822"/>
      <c r="L278" s="2822"/>
      <c r="M278" s="2822"/>
      <c r="N278" s="2822"/>
      <c r="O278" s="2822"/>
      <c r="P278" s="2822"/>
      <c r="Q278" s="2822"/>
      <c r="R278" s="2822"/>
      <c r="S278" s="2822"/>
      <c r="T278" s="2822"/>
      <c r="U278" s="2822"/>
      <c r="V278" s="2822"/>
      <c r="W278" s="2822"/>
      <c r="X278" s="2822"/>
      <c r="Y278" s="2822"/>
      <c r="Z278" s="2822"/>
      <c r="AA278" s="2822"/>
      <c r="AB278" s="2822"/>
      <c r="AC278" s="2822"/>
      <c r="AD278" s="2822"/>
      <c r="AE278" s="2822"/>
      <c r="AF278" s="2822"/>
      <c r="AG278" s="2822"/>
      <c r="AH278" s="2822"/>
      <c r="AI278" s="2822"/>
      <c r="AJ278" s="2822"/>
      <c r="AK278" s="2822"/>
      <c r="AL278" s="2822"/>
      <c r="AM278" s="2822"/>
      <c r="AN278" s="2822"/>
      <c r="AO278" s="2822"/>
      <c r="AP278" s="2822"/>
      <c r="AQ278" s="2822"/>
      <c r="AR278" s="2822"/>
      <c r="AS278" s="2822"/>
      <c r="AT278" s="2822"/>
      <c r="AU278" s="2822"/>
      <c r="AV278" s="2822"/>
      <c r="AW278" s="2822"/>
      <c r="AX278" s="2822"/>
      <c r="AY278" s="2822"/>
      <c r="AZ278" s="2822"/>
      <c r="BA278" s="2822"/>
      <c r="BB278" s="2822"/>
      <c r="BC278" s="2822"/>
      <c r="BD278" s="2822"/>
      <c r="BE278" s="2822"/>
      <c r="BF278" s="2822"/>
      <c r="BG278" s="2822"/>
      <c r="BH278" s="2822"/>
      <c r="BI278" s="2822"/>
      <c r="BJ278" s="2822"/>
      <c r="BK278" s="2822"/>
      <c r="BL278" s="2822"/>
      <c r="BM278" s="2822"/>
      <c r="BN278" s="2822"/>
      <c r="BO278" s="2822"/>
      <c r="BP278" s="2822"/>
      <c r="BQ278" s="2822"/>
      <c r="BR278" s="2822"/>
      <c r="BS278" s="2822"/>
      <c r="BT278" s="2822"/>
      <c r="BU278" s="2822"/>
      <c r="BV278" s="2822"/>
      <c r="BW278" s="2822"/>
      <c r="BX278" s="2822"/>
      <c r="BY278" s="2822"/>
      <c r="BZ278" s="2822"/>
      <c r="CA278" s="2822"/>
      <c r="CB278" s="2822"/>
      <c r="CC278" s="2822"/>
      <c r="CD278" s="2822"/>
      <c r="CE278" s="2822"/>
      <c r="CF278" s="2822"/>
      <c r="CG278" s="2822"/>
      <c r="CH278" s="2822"/>
      <c r="CI278" s="2822"/>
      <c r="CJ278" s="2822"/>
      <c r="CK278" s="2822"/>
      <c r="CL278" s="2822"/>
      <c r="CM278" s="2822"/>
      <c r="CN278" s="2822"/>
    </row>
    <row r="279" spans="1:92" x14ac:dyDescent="0.2">
      <c r="A279" s="2822"/>
      <c r="B279" s="2822"/>
      <c r="C279" s="2822"/>
      <c r="D279" s="2822"/>
      <c r="E279" s="2822"/>
      <c r="F279" s="2822"/>
      <c r="G279" s="2822"/>
      <c r="H279" s="2822"/>
      <c r="I279" s="2822"/>
      <c r="J279" s="2822"/>
      <c r="K279" s="2822"/>
      <c r="L279" s="2822"/>
      <c r="M279" s="2822"/>
      <c r="N279" s="2822"/>
      <c r="O279" s="2822"/>
      <c r="P279" s="2822"/>
      <c r="Q279" s="2822"/>
      <c r="R279" s="2822"/>
      <c r="S279" s="2822"/>
      <c r="T279" s="2822"/>
      <c r="U279" s="2822"/>
      <c r="V279" s="2822"/>
      <c r="W279" s="2822"/>
      <c r="X279" s="2822"/>
      <c r="Y279" s="2822"/>
      <c r="Z279" s="2822"/>
      <c r="AA279" s="2822"/>
      <c r="AB279" s="2822"/>
      <c r="AC279" s="2822"/>
      <c r="AD279" s="2822"/>
      <c r="AE279" s="2822"/>
      <c r="AF279" s="2822"/>
      <c r="AG279" s="2822"/>
      <c r="AH279" s="2822"/>
      <c r="AI279" s="2822"/>
      <c r="AJ279" s="2822"/>
      <c r="AK279" s="2822"/>
      <c r="AL279" s="2822"/>
      <c r="AM279" s="2822"/>
      <c r="AN279" s="2822"/>
      <c r="AO279" s="2822"/>
      <c r="AP279" s="2822"/>
      <c r="AQ279" s="2822"/>
      <c r="AR279" s="2822"/>
      <c r="AS279" s="2822"/>
      <c r="AT279" s="2822"/>
      <c r="AU279" s="2822"/>
      <c r="AV279" s="2822"/>
      <c r="AW279" s="2822"/>
      <c r="AX279" s="2822"/>
      <c r="AY279" s="2822"/>
      <c r="AZ279" s="2822"/>
      <c r="BA279" s="2822"/>
      <c r="BB279" s="2822"/>
      <c r="BC279" s="2822"/>
      <c r="BD279" s="2822"/>
      <c r="BE279" s="2822"/>
      <c r="BF279" s="2822"/>
      <c r="BG279" s="2822"/>
      <c r="BH279" s="2822"/>
      <c r="BI279" s="2822"/>
      <c r="BJ279" s="2822"/>
      <c r="BK279" s="2822"/>
      <c r="BL279" s="2822"/>
      <c r="BM279" s="2822"/>
      <c r="BN279" s="2822"/>
      <c r="BO279" s="2822"/>
      <c r="BP279" s="2822"/>
      <c r="BQ279" s="2822"/>
      <c r="BR279" s="2822"/>
      <c r="BS279" s="2822"/>
      <c r="BT279" s="2822"/>
      <c r="BU279" s="2822"/>
      <c r="BV279" s="2822"/>
      <c r="BW279" s="2822"/>
      <c r="BX279" s="2822"/>
      <c r="BY279" s="2822"/>
      <c r="BZ279" s="2822"/>
      <c r="CA279" s="2822"/>
      <c r="CB279" s="2822"/>
      <c r="CC279" s="2822"/>
      <c r="CD279" s="2822"/>
      <c r="CE279" s="2822"/>
      <c r="CF279" s="2822"/>
      <c r="CG279" s="2822"/>
      <c r="CH279" s="2822"/>
      <c r="CI279" s="2822"/>
      <c r="CJ279" s="2822"/>
      <c r="CK279" s="2822"/>
      <c r="CL279" s="2822"/>
      <c r="CM279" s="2822"/>
      <c r="CN279" s="2822"/>
    </row>
    <row r="280" spans="1:92" x14ac:dyDescent="0.2">
      <c r="A280" s="2822"/>
      <c r="B280" s="2822"/>
      <c r="C280" s="2822"/>
      <c r="D280" s="2822"/>
      <c r="E280" s="2822"/>
      <c r="F280" s="2822"/>
      <c r="G280" s="2822"/>
      <c r="H280" s="2822"/>
      <c r="I280" s="2822"/>
      <c r="J280" s="2822"/>
      <c r="K280" s="2822"/>
      <c r="L280" s="2822"/>
      <c r="M280" s="2822"/>
      <c r="N280" s="2822"/>
      <c r="O280" s="2822"/>
      <c r="P280" s="2822"/>
      <c r="Q280" s="2822"/>
      <c r="R280" s="2822"/>
      <c r="S280" s="2822"/>
      <c r="T280" s="2822"/>
      <c r="U280" s="2822"/>
      <c r="V280" s="2822"/>
      <c r="W280" s="2822"/>
      <c r="X280" s="2822"/>
      <c r="Y280" s="2822"/>
      <c r="Z280" s="2822"/>
      <c r="AA280" s="2822"/>
      <c r="AB280" s="2822"/>
      <c r="AC280" s="2822"/>
      <c r="AD280" s="2822"/>
      <c r="AE280" s="2822"/>
      <c r="AF280" s="2822"/>
      <c r="AG280" s="2822"/>
      <c r="AH280" s="2822"/>
      <c r="AI280" s="2822"/>
      <c r="AJ280" s="2822"/>
      <c r="AK280" s="2822"/>
      <c r="AL280" s="2822"/>
      <c r="AM280" s="2822"/>
      <c r="AN280" s="2822"/>
      <c r="AO280" s="2822"/>
      <c r="AP280" s="2822"/>
      <c r="AQ280" s="2822"/>
      <c r="AR280" s="2822"/>
      <c r="AS280" s="2822"/>
      <c r="AT280" s="2822"/>
      <c r="AU280" s="2822"/>
      <c r="AV280" s="2822"/>
      <c r="AW280" s="2822"/>
      <c r="AX280" s="2822"/>
      <c r="AY280" s="2822"/>
      <c r="AZ280" s="2822"/>
      <c r="BA280" s="2822"/>
      <c r="BB280" s="2822"/>
      <c r="BC280" s="2822"/>
      <c r="BD280" s="2822"/>
      <c r="BE280" s="2822"/>
      <c r="BF280" s="2822"/>
      <c r="BG280" s="2822"/>
      <c r="BH280" s="2822"/>
      <c r="BI280" s="2822"/>
      <c r="BJ280" s="2822"/>
      <c r="BK280" s="2822"/>
      <c r="BL280" s="2822"/>
      <c r="BM280" s="2822"/>
      <c r="BN280" s="2822"/>
      <c r="BO280" s="2822"/>
      <c r="BP280" s="2822"/>
      <c r="BQ280" s="2822"/>
      <c r="BR280" s="2822"/>
      <c r="BS280" s="2822"/>
      <c r="BT280" s="2822"/>
      <c r="BU280" s="2822"/>
      <c r="BV280" s="2822"/>
      <c r="BW280" s="2822"/>
      <c r="BX280" s="2822"/>
      <c r="BY280" s="2822"/>
      <c r="BZ280" s="2822"/>
      <c r="CA280" s="2822"/>
      <c r="CB280" s="2822"/>
      <c r="CC280" s="2822"/>
      <c r="CD280" s="2822"/>
      <c r="CE280" s="2822"/>
      <c r="CF280" s="2822"/>
      <c r="CG280" s="2822"/>
      <c r="CH280" s="2822"/>
      <c r="CI280" s="2822"/>
      <c r="CJ280" s="2822"/>
      <c r="CK280" s="2822"/>
      <c r="CL280" s="2822"/>
      <c r="CM280" s="2822"/>
      <c r="CN280" s="2822"/>
    </row>
    <row r="281" spans="1:92" x14ac:dyDescent="0.2">
      <c r="A281" s="2822"/>
      <c r="B281" s="2822"/>
      <c r="C281" s="2822"/>
      <c r="D281" s="2822"/>
      <c r="E281" s="2822"/>
      <c r="F281" s="2822"/>
      <c r="G281" s="2822"/>
      <c r="H281" s="2822"/>
      <c r="I281" s="2822"/>
      <c r="J281" s="2822"/>
      <c r="K281" s="2822"/>
      <c r="L281" s="2822"/>
      <c r="M281" s="2822"/>
      <c r="N281" s="2822"/>
      <c r="O281" s="2822"/>
      <c r="P281" s="2822"/>
      <c r="Q281" s="2822"/>
      <c r="R281" s="2822"/>
      <c r="S281" s="2822"/>
      <c r="T281" s="2822"/>
      <c r="U281" s="2822"/>
      <c r="V281" s="2822"/>
      <c r="W281" s="2822"/>
      <c r="X281" s="2822"/>
      <c r="Y281" s="2822"/>
      <c r="Z281" s="2822"/>
      <c r="AA281" s="2822"/>
      <c r="AB281" s="2822"/>
      <c r="AC281" s="2822"/>
      <c r="AD281" s="2822"/>
      <c r="AE281" s="2822"/>
      <c r="AF281" s="2822"/>
      <c r="AG281" s="2822"/>
      <c r="AH281" s="2822"/>
      <c r="AI281" s="2822"/>
      <c r="AJ281" s="2822"/>
      <c r="AK281" s="2822"/>
      <c r="AL281" s="2822"/>
      <c r="AM281" s="2822"/>
      <c r="AN281" s="2822"/>
      <c r="AO281" s="2822"/>
      <c r="AP281" s="2822"/>
      <c r="AQ281" s="2822"/>
      <c r="AR281" s="2822"/>
      <c r="AS281" s="2822"/>
      <c r="AT281" s="2822"/>
      <c r="AU281" s="2822"/>
      <c r="AV281" s="2822"/>
      <c r="AW281" s="2822"/>
      <c r="AX281" s="2822"/>
      <c r="AY281" s="2822"/>
      <c r="AZ281" s="2822"/>
      <c r="BA281" s="2822"/>
      <c r="BB281" s="2822"/>
      <c r="BC281" s="2822"/>
      <c r="BD281" s="2822"/>
      <c r="BE281" s="2822"/>
      <c r="BF281" s="2822"/>
      <c r="BG281" s="2822"/>
      <c r="BH281" s="2822"/>
      <c r="BI281" s="2822"/>
      <c r="BJ281" s="2822"/>
      <c r="BK281" s="2822"/>
      <c r="BL281" s="2822"/>
      <c r="BM281" s="2822"/>
      <c r="BN281" s="2822"/>
      <c r="BO281" s="2822"/>
      <c r="BP281" s="2822"/>
      <c r="BQ281" s="2822"/>
      <c r="BR281" s="2822"/>
      <c r="BS281" s="2822"/>
      <c r="BT281" s="2822"/>
      <c r="BU281" s="2822"/>
      <c r="BV281" s="2822"/>
      <c r="BW281" s="2822"/>
      <c r="BX281" s="2822"/>
      <c r="BY281" s="2822"/>
      <c r="BZ281" s="2822"/>
      <c r="CA281" s="2822"/>
      <c r="CB281" s="2822"/>
      <c r="CC281" s="2822"/>
      <c r="CD281" s="2822"/>
      <c r="CE281" s="2822"/>
      <c r="CF281" s="2822"/>
      <c r="CG281" s="2822"/>
      <c r="CH281" s="2822"/>
      <c r="CI281" s="2822"/>
      <c r="CJ281" s="2822"/>
      <c r="CK281" s="2822"/>
      <c r="CL281" s="2822"/>
      <c r="CM281" s="2822"/>
      <c r="CN281" s="2822"/>
    </row>
    <row r="282" spans="1:92" x14ac:dyDescent="0.2">
      <c r="A282" s="2822"/>
      <c r="B282" s="2822"/>
      <c r="C282" s="2822"/>
      <c r="D282" s="2822"/>
      <c r="E282" s="2822"/>
      <c r="F282" s="2822"/>
      <c r="G282" s="2822"/>
      <c r="H282" s="2822"/>
      <c r="I282" s="2822"/>
      <c r="J282" s="2822"/>
      <c r="K282" s="2822"/>
      <c r="L282" s="2822"/>
      <c r="M282" s="2822"/>
      <c r="N282" s="2822"/>
      <c r="O282" s="2822"/>
      <c r="P282" s="2822"/>
      <c r="Q282" s="2822"/>
      <c r="R282" s="2822"/>
      <c r="S282" s="2822"/>
      <c r="T282" s="2822"/>
      <c r="U282" s="2822"/>
      <c r="V282" s="2822"/>
      <c r="W282" s="2822"/>
      <c r="X282" s="2822"/>
      <c r="Y282" s="2822"/>
      <c r="Z282" s="2822"/>
      <c r="AA282" s="2822"/>
      <c r="AB282" s="2822"/>
      <c r="AC282" s="2822"/>
      <c r="AD282" s="2822"/>
      <c r="AE282" s="2822"/>
      <c r="AF282" s="2822"/>
      <c r="AG282" s="2822"/>
      <c r="AH282" s="2822"/>
      <c r="AI282" s="2822"/>
      <c r="AJ282" s="2822"/>
      <c r="AK282" s="2822"/>
      <c r="AL282" s="2822"/>
      <c r="AM282" s="2822"/>
      <c r="AN282" s="2822"/>
      <c r="AO282" s="2822"/>
      <c r="AP282" s="2822"/>
      <c r="AQ282" s="2822"/>
      <c r="AR282" s="2822"/>
      <c r="AS282" s="2822"/>
      <c r="AT282" s="2822"/>
      <c r="AU282" s="2822"/>
      <c r="AV282" s="2822"/>
      <c r="AW282" s="2822"/>
      <c r="AX282" s="2822"/>
      <c r="AY282" s="2822"/>
      <c r="AZ282" s="2822"/>
      <c r="BA282" s="2822"/>
      <c r="BB282" s="2822"/>
      <c r="BC282" s="2822"/>
      <c r="BD282" s="2822"/>
      <c r="BE282" s="2822"/>
      <c r="BF282" s="2822"/>
      <c r="BG282" s="2822"/>
      <c r="BH282" s="2822"/>
      <c r="BI282" s="2822"/>
      <c r="BJ282" s="2822"/>
      <c r="BK282" s="2822"/>
      <c r="BL282" s="2822"/>
      <c r="BM282" s="2822"/>
      <c r="BN282" s="2822"/>
      <c r="BO282" s="2822"/>
      <c r="BP282" s="2822"/>
      <c r="BQ282" s="2822"/>
      <c r="BR282" s="2822"/>
      <c r="BS282" s="2822"/>
      <c r="BT282" s="2822"/>
      <c r="BU282" s="2822"/>
      <c r="BV282" s="2822"/>
      <c r="BW282" s="2822"/>
      <c r="BX282" s="2822"/>
      <c r="BY282" s="2822"/>
      <c r="BZ282" s="2822"/>
      <c r="CA282" s="2822"/>
      <c r="CB282" s="2822"/>
      <c r="CC282" s="2822"/>
      <c r="CD282" s="2822"/>
      <c r="CE282" s="2822"/>
      <c r="CF282" s="2822"/>
      <c r="CG282" s="2822"/>
      <c r="CH282" s="2822"/>
      <c r="CI282" s="2822"/>
      <c r="CJ282" s="2822"/>
      <c r="CK282" s="2822"/>
      <c r="CL282" s="2822"/>
      <c r="CM282" s="2822"/>
      <c r="CN282" s="2822"/>
    </row>
    <row r="283" spans="1:92" x14ac:dyDescent="0.2">
      <c r="A283" s="2822"/>
      <c r="B283" s="2822"/>
      <c r="C283" s="2822"/>
      <c r="D283" s="2822"/>
      <c r="E283" s="2822"/>
      <c r="F283" s="2822"/>
      <c r="G283" s="2822"/>
      <c r="H283" s="2822"/>
      <c r="I283" s="2822"/>
      <c r="J283" s="2822"/>
      <c r="K283" s="2822"/>
      <c r="L283" s="2822"/>
      <c r="M283" s="2822"/>
      <c r="N283" s="2822"/>
      <c r="O283" s="2822"/>
      <c r="P283" s="2822"/>
      <c r="Q283" s="2822"/>
      <c r="R283" s="2822"/>
      <c r="S283" s="2822"/>
      <c r="T283" s="2822"/>
      <c r="U283" s="2822"/>
      <c r="V283" s="2822"/>
      <c r="W283" s="2822"/>
      <c r="X283" s="2822"/>
      <c r="Y283" s="2822"/>
      <c r="Z283" s="2822"/>
      <c r="AA283" s="2822"/>
      <c r="AB283" s="2822"/>
      <c r="AC283" s="2822"/>
      <c r="AD283" s="2822"/>
      <c r="AE283" s="2822"/>
      <c r="AF283" s="2822"/>
      <c r="AG283" s="2822"/>
      <c r="AH283" s="2822"/>
      <c r="AI283" s="2822"/>
      <c r="AJ283" s="2822"/>
      <c r="AK283" s="2822"/>
      <c r="AL283" s="2822"/>
      <c r="AM283" s="2822"/>
      <c r="AN283" s="2822"/>
      <c r="AO283" s="2822"/>
      <c r="AP283" s="2822"/>
      <c r="AQ283" s="2822"/>
      <c r="AR283" s="2822"/>
      <c r="AS283" s="2822"/>
      <c r="AT283" s="2822"/>
      <c r="AU283" s="2822"/>
      <c r="AV283" s="2822"/>
      <c r="AW283" s="2822"/>
      <c r="AX283" s="2822"/>
      <c r="AY283" s="2822"/>
      <c r="AZ283" s="2822"/>
      <c r="BA283" s="2822"/>
      <c r="BB283" s="2822"/>
      <c r="BC283" s="2822"/>
      <c r="BD283" s="2822"/>
      <c r="BE283" s="2822"/>
      <c r="BF283" s="2822"/>
      <c r="BG283" s="2822"/>
      <c r="BH283" s="2822"/>
      <c r="BI283" s="2822"/>
      <c r="BJ283" s="2822"/>
      <c r="BK283" s="2822"/>
      <c r="BL283" s="2822"/>
      <c r="BM283" s="2822"/>
      <c r="BN283" s="2822"/>
      <c r="BO283" s="2822"/>
      <c r="BP283" s="2822"/>
      <c r="BQ283" s="2822"/>
      <c r="BR283" s="2822"/>
      <c r="BS283" s="2822"/>
      <c r="BT283" s="2822"/>
      <c r="BU283" s="2822"/>
      <c r="BV283" s="2822"/>
      <c r="BW283" s="2822"/>
      <c r="BX283" s="2822"/>
      <c r="BY283" s="2822"/>
      <c r="BZ283" s="2822"/>
      <c r="CA283" s="2822"/>
      <c r="CB283" s="2822"/>
      <c r="CC283" s="2822"/>
      <c r="CD283" s="2822"/>
      <c r="CE283" s="2822"/>
      <c r="CF283" s="2822"/>
      <c r="CG283" s="2822"/>
      <c r="CH283" s="2822"/>
      <c r="CI283" s="2822"/>
      <c r="CJ283" s="2822"/>
      <c r="CK283" s="2822"/>
      <c r="CL283" s="2822"/>
      <c r="CM283" s="2822"/>
      <c r="CN283" s="2822"/>
    </row>
    <row r="284" spans="1:92" x14ac:dyDescent="0.2">
      <c r="A284" s="2822"/>
      <c r="B284" s="2822"/>
      <c r="C284" s="2822"/>
      <c r="D284" s="2822"/>
      <c r="E284" s="2822"/>
      <c r="F284" s="2822"/>
      <c r="G284" s="2822"/>
      <c r="H284" s="2822"/>
      <c r="I284" s="2822"/>
      <c r="J284" s="2822"/>
      <c r="K284" s="2822"/>
      <c r="L284" s="2822"/>
      <c r="M284" s="2822"/>
      <c r="N284" s="2822"/>
      <c r="O284" s="2822"/>
      <c r="P284" s="2822"/>
      <c r="Q284" s="2822"/>
      <c r="R284" s="2822"/>
      <c r="S284" s="2822"/>
      <c r="T284" s="2822"/>
      <c r="U284" s="2822"/>
      <c r="V284" s="2822"/>
      <c r="W284" s="2822"/>
      <c r="X284" s="2822"/>
      <c r="Y284" s="2822"/>
      <c r="Z284" s="2822"/>
      <c r="AA284" s="2822"/>
      <c r="AB284" s="2822"/>
      <c r="AC284" s="2822"/>
      <c r="AD284" s="2822"/>
      <c r="AE284" s="2822"/>
      <c r="AF284" s="2822"/>
      <c r="AG284" s="2822"/>
      <c r="AH284" s="2822"/>
      <c r="AI284" s="2822"/>
      <c r="AJ284" s="2822"/>
      <c r="AK284" s="2822"/>
      <c r="AL284" s="2822"/>
      <c r="AM284" s="2822"/>
      <c r="AN284" s="2822"/>
      <c r="AO284" s="2822"/>
      <c r="AP284" s="2822"/>
      <c r="AQ284" s="2822"/>
      <c r="AR284" s="2822"/>
      <c r="AS284" s="2822"/>
      <c r="AT284" s="2822"/>
      <c r="AU284" s="2822"/>
      <c r="AV284" s="2822"/>
      <c r="AW284" s="2822"/>
      <c r="AX284" s="2822"/>
      <c r="AY284" s="2822"/>
      <c r="AZ284" s="2822"/>
      <c r="BA284" s="2822"/>
      <c r="BB284" s="2822"/>
      <c r="BC284" s="2822"/>
      <c r="BD284" s="2822"/>
      <c r="BE284" s="2822"/>
      <c r="BF284" s="2822"/>
      <c r="BG284" s="2822"/>
      <c r="BH284" s="2822"/>
      <c r="BI284" s="2822"/>
      <c r="BJ284" s="2822"/>
      <c r="BK284" s="2822"/>
      <c r="BL284" s="2822"/>
      <c r="BM284" s="2822"/>
      <c r="BN284" s="2822"/>
      <c r="BO284" s="2822"/>
      <c r="BP284" s="2822"/>
      <c r="BQ284" s="2822"/>
      <c r="BR284" s="2822"/>
      <c r="BS284" s="2822"/>
      <c r="BT284" s="2822"/>
      <c r="BU284" s="2822"/>
      <c r="BV284" s="2822"/>
      <c r="BW284" s="2822"/>
      <c r="BX284" s="2822"/>
      <c r="BY284" s="2822"/>
      <c r="BZ284" s="2822"/>
      <c r="CA284" s="2822"/>
      <c r="CB284" s="2822"/>
      <c r="CC284" s="2822"/>
      <c r="CD284" s="2822"/>
      <c r="CE284" s="2822"/>
      <c r="CF284" s="2822"/>
      <c r="CG284" s="2822"/>
      <c r="CH284" s="2822"/>
      <c r="CI284" s="2822"/>
      <c r="CJ284" s="2822"/>
      <c r="CK284" s="2822"/>
      <c r="CL284" s="2822"/>
      <c r="CM284" s="2822"/>
      <c r="CN284" s="2822"/>
    </row>
    <row r="285" spans="1:92" x14ac:dyDescent="0.2">
      <c r="A285" s="2822"/>
      <c r="B285" s="2822"/>
      <c r="C285" s="2822"/>
      <c r="D285" s="2822"/>
      <c r="E285" s="2822"/>
      <c r="F285" s="2822"/>
      <c r="G285" s="2822"/>
      <c r="H285" s="2822"/>
      <c r="I285" s="2822"/>
      <c r="J285" s="2822"/>
      <c r="K285" s="2822"/>
      <c r="L285" s="2822"/>
      <c r="M285" s="2822"/>
      <c r="N285" s="2822"/>
      <c r="O285" s="2822"/>
      <c r="P285" s="2822"/>
      <c r="Q285" s="2822"/>
      <c r="R285" s="2822"/>
      <c r="S285" s="2822"/>
      <c r="T285" s="2822"/>
      <c r="U285" s="2822"/>
      <c r="V285" s="2822"/>
      <c r="W285" s="2822"/>
      <c r="X285" s="2822"/>
      <c r="Y285" s="2822"/>
      <c r="Z285" s="2822"/>
      <c r="AA285" s="2822"/>
      <c r="AB285" s="2822"/>
      <c r="AC285" s="2822"/>
      <c r="AD285" s="2822"/>
      <c r="AE285" s="2822"/>
      <c r="AF285" s="2822"/>
      <c r="AG285" s="2822"/>
      <c r="AH285" s="2822"/>
      <c r="AI285" s="2822"/>
      <c r="AJ285" s="2822"/>
      <c r="AK285" s="2822"/>
      <c r="AL285" s="2822"/>
      <c r="AM285" s="2822"/>
      <c r="AN285" s="2822"/>
      <c r="AO285" s="2822"/>
      <c r="AP285" s="2822"/>
      <c r="AQ285" s="2822"/>
      <c r="AR285" s="2822"/>
      <c r="AS285" s="2822"/>
      <c r="AT285" s="2822"/>
      <c r="AU285" s="2822"/>
      <c r="AV285" s="2822"/>
      <c r="AW285" s="2822"/>
      <c r="AX285" s="2822"/>
      <c r="AY285" s="2822"/>
      <c r="AZ285" s="2822"/>
      <c r="BA285" s="2822"/>
      <c r="BB285" s="2822"/>
      <c r="BC285" s="2822"/>
      <c r="BD285" s="2822"/>
      <c r="BE285" s="2822"/>
      <c r="BF285" s="2822"/>
      <c r="BG285" s="2822"/>
      <c r="BH285" s="2822"/>
      <c r="BI285" s="2822"/>
      <c r="BJ285" s="2822"/>
      <c r="BK285" s="2822"/>
      <c r="BL285" s="2822"/>
      <c r="BM285" s="2822"/>
      <c r="BN285" s="2822"/>
      <c r="BO285" s="2822"/>
      <c r="BP285" s="2822"/>
      <c r="BQ285" s="2822"/>
      <c r="BR285" s="2822"/>
      <c r="BS285" s="2822"/>
      <c r="BT285" s="2822"/>
      <c r="BU285" s="2822"/>
      <c r="BV285" s="2822"/>
      <c r="BW285" s="2822"/>
      <c r="BX285" s="2822"/>
      <c r="BY285" s="2822"/>
      <c r="BZ285" s="2822"/>
      <c r="CA285" s="2822"/>
      <c r="CB285" s="2822"/>
      <c r="CC285" s="2822"/>
      <c r="CD285" s="2822"/>
      <c r="CE285" s="2822"/>
      <c r="CF285" s="2822"/>
      <c r="CG285" s="2822"/>
      <c r="CH285" s="2822"/>
      <c r="CI285" s="2822"/>
      <c r="CJ285" s="2822"/>
      <c r="CK285" s="2822"/>
      <c r="CL285" s="2822"/>
      <c r="CM285" s="2822"/>
      <c r="CN285" s="2822"/>
    </row>
    <row r="286" spans="1:92" x14ac:dyDescent="0.2">
      <c r="A286" s="2822"/>
      <c r="B286" s="2822"/>
      <c r="C286" s="2822"/>
      <c r="D286" s="2822"/>
      <c r="E286" s="2822"/>
      <c r="F286" s="2822"/>
      <c r="G286" s="2822"/>
      <c r="H286" s="2822"/>
      <c r="I286" s="2822"/>
      <c r="J286" s="2822"/>
      <c r="K286" s="2822"/>
      <c r="L286" s="2822"/>
      <c r="M286" s="2822"/>
      <c r="N286" s="2822"/>
      <c r="O286" s="2822"/>
      <c r="P286" s="2822"/>
      <c r="Q286" s="2822"/>
      <c r="R286" s="2822"/>
      <c r="S286" s="2822"/>
      <c r="T286" s="2822"/>
      <c r="U286" s="2822"/>
      <c r="V286" s="2822"/>
      <c r="W286" s="2822"/>
      <c r="X286" s="2822"/>
      <c r="Y286" s="2822"/>
      <c r="Z286" s="2822"/>
      <c r="AA286" s="2822"/>
      <c r="AB286" s="2822"/>
      <c r="AC286" s="2822"/>
      <c r="AD286" s="2822"/>
      <c r="AE286" s="2822"/>
      <c r="AF286" s="2822"/>
      <c r="AG286" s="2822"/>
      <c r="AH286" s="2822"/>
      <c r="AI286" s="2822"/>
      <c r="AJ286" s="2822"/>
      <c r="AK286" s="2822"/>
      <c r="AL286" s="2822"/>
      <c r="AM286" s="2822"/>
      <c r="AN286" s="2822"/>
      <c r="AO286" s="2822"/>
      <c r="AP286" s="2822"/>
      <c r="AQ286" s="2822"/>
      <c r="AR286" s="2822"/>
      <c r="AS286" s="2822"/>
      <c r="AT286" s="2822"/>
      <c r="AU286" s="2822"/>
      <c r="AV286" s="2822"/>
      <c r="AW286" s="2822"/>
      <c r="AX286" s="2822"/>
      <c r="AY286" s="2822"/>
      <c r="AZ286" s="2822"/>
      <c r="BA286" s="2822"/>
      <c r="BB286" s="2822"/>
      <c r="BC286" s="2822"/>
      <c r="BD286" s="2822"/>
      <c r="BE286" s="2822"/>
      <c r="BF286" s="2822"/>
      <c r="BG286" s="2822"/>
      <c r="BH286" s="2822"/>
      <c r="BI286" s="2822"/>
      <c r="BJ286" s="2822"/>
      <c r="BK286" s="2822"/>
      <c r="BL286" s="2822"/>
      <c r="BM286" s="2822"/>
      <c r="BN286" s="2822"/>
      <c r="BO286" s="2822"/>
      <c r="BP286" s="2822"/>
      <c r="BQ286" s="2822"/>
      <c r="BR286" s="2822"/>
      <c r="BS286" s="2822"/>
      <c r="BT286" s="2822"/>
      <c r="BU286" s="2822"/>
      <c r="BV286" s="2822"/>
      <c r="BW286" s="2822"/>
      <c r="BX286" s="2822"/>
      <c r="BY286" s="2822"/>
      <c r="BZ286" s="2822"/>
      <c r="CA286" s="2822"/>
      <c r="CB286" s="2822"/>
      <c r="CC286" s="2822"/>
      <c r="CD286" s="2822"/>
      <c r="CE286" s="2822"/>
      <c r="CF286" s="2822"/>
      <c r="CG286" s="2822"/>
      <c r="CH286" s="2822"/>
      <c r="CI286" s="2822"/>
      <c r="CJ286" s="2822"/>
      <c r="CK286" s="2822"/>
      <c r="CL286" s="2822"/>
      <c r="CM286" s="2822"/>
      <c r="CN286" s="2822"/>
    </row>
    <row r="287" spans="1:92" x14ac:dyDescent="0.2">
      <c r="A287" s="2822"/>
      <c r="B287" s="2822"/>
      <c r="C287" s="2822"/>
      <c r="D287" s="2822"/>
      <c r="E287" s="2822"/>
      <c r="F287" s="2822"/>
      <c r="G287" s="2822"/>
      <c r="H287" s="2822"/>
      <c r="I287" s="2822"/>
      <c r="J287" s="2822"/>
      <c r="K287" s="2822"/>
      <c r="L287" s="2822"/>
      <c r="M287" s="2822"/>
      <c r="N287" s="2822"/>
      <c r="O287" s="2822"/>
      <c r="P287" s="2822"/>
      <c r="Q287" s="2822"/>
      <c r="R287" s="2822"/>
      <c r="S287" s="2822"/>
      <c r="T287" s="2822"/>
      <c r="U287" s="2822"/>
      <c r="V287" s="2822"/>
      <c r="W287" s="2822"/>
      <c r="X287" s="2822"/>
      <c r="Y287" s="2822"/>
      <c r="Z287" s="2822"/>
      <c r="AA287" s="2822"/>
      <c r="AB287" s="2822"/>
      <c r="AC287" s="2822"/>
      <c r="AD287" s="2822"/>
      <c r="AE287" s="2822"/>
      <c r="AF287" s="2822"/>
      <c r="AG287" s="2822"/>
      <c r="AH287" s="2822"/>
      <c r="AI287" s="2822"/>
      <c r="AJ287" s="2822"/>
      <c r="AK287" s="2822"/>
      <c r="AL287" s="2822"/>
      <c r="AM287" s="2822"/>
      <c r="AN287" s="2822"/>
      <c r="AO287" s="2822"/>
      <c r="AP287" s="2822"/>
      <c r="AQ287" s="2822"/>
      <c r="AR287" s="2822"/>
      <c r="AS287" s="2822"/>
      <c r="AT287" s="2822"/>
      <c r="AU287" s="2822"/>
      <c r="AV287" s="2822"/>
      <c r="AW287" s="2822"/>
      <c r="AX287" s="2822"/>
      <c r="AY287" s="2822"/>
      <c r="AZ287" s="2822"/>
      <c r="BA287" s="2822"/>
      <c r="BB287" s="2822"/>
      <c r="BC287" s="2822"/>
      <c r="BD287" s="2822"/>
      <c r="BE287" s="2822"/>
      <c r="BF287" s="2822"/>
      <c r="BG287" s="2822"/>
      <c r="BH287" s="2822"/>
      <c r="BI287" s="2822"/>
      <c r="BJ287" s="2822"/>
      <c r="BK287" s="2822"/>
      <c r="BL287" s="2822"/>
      <c r="BM287" s="2822"/>
      <c r="BN287" s="2822"/>
      <c r="BO287" s="2822"/>
      <c r="BP287" s="2822"/>
      <c r="BQ287" s="2822"/>
      <c r="BR287" s="2822"/>
      <c r="BS287" s="2822"/>
      <c r="BT287" s="2822"/>
      <c r="BU287" s="2822"/>
      <c r="BV287" s="2822"/>
      <c r="BW287" s="2822"/>
      <c r="BX287" s="2822"/>
      <c r="BY287" s="2822"/>
      <c r="BZ287" s="2822"/>
      <c r="CA287" s="2822"/>
      <c r="CB287" s="2822"/>
      <c r="CC287" s="2822"/>
      <c r="CD287" s="2822"/>
      <c r="CE287" s="2822"/>
      <c r="CF287" s="2822"/>
      <c r="CG287" s="2822"/>
      <c r="CH287" s="2822"/>
      <c r="CI287" s="2822"/>
      <c r="CJ287" s="2822"/>
      <c r="CK287" s="2822"/>
      <c r="CL287" s="2822"/>
      <c r="CM287" s="2822"/>
      <c r="CN287" s="2822"/>
    </row>
    <row r="288" spans="1:92" x14ac:dyDescent="0.2">
      <c r="A288" s="2822"/>
      <c r="B288" s="2822"/>
      <c r="C288" s="2822"/>
      <c r="D288" s="2822"/>
      <c r="E288" s="2822"/>
      <c r="F288" s="2822"/>
      <c r="G288" s="2822"/>
      <c r="H288" s="2822"/>
      <c r="I288" s="2822"/>
      <c r="J288" s="2822"/>
      <c r="K288" s="2822"/>
      <c r="L288" s="2822"/>
      <c r="M288" s="2822"/>
      <c r="N288" s="2822"/>
      <c r="O288" s="2822"/>
      <c r="P288" s="2822"/>
      <c r="Q288" s="2822"/>
      <c r="R288" s="2822"/>
      <c r="S288" s="2822"/>
      <c r="T288" s="2822"/>
      <c r="U288" s="2822"/>
      <c r="V288" s="2822"/>
      <c r="W288" s="2822"/>
      <c r="X288" s="2822"/>
      <c r="Y288" s="2822"/>
      <c r="Z288" s="2822"/>
      <c r="AA288" s="2822"/>
      <c r="AB288" s="2822"/>
      <c r="AC288" s="2822"/>
      <c r="AD288" s="2822"/>
      <c r="AE288" s="2822"/>
      <c r="AF288" s="2822"/>
      <c r="AG288" s="2822"/>
      <c r="AH288" s="2822"/>
      <c r="AI288" s="2822"/>
      <c r="AJ288" s="2822"/>
      <c r="AK288" s="2822"/>
      <c r="AL288" s="2822"/>
      <c r="AM288" s="2822"/>
      <c r="AN288" s="2822"/>
      <c r="AO288" s="2822"/>
      <c r="AP288" s="2822"/>
      <c r="AQ288" s="2822"/>
      <c r="AR288" s="2822"/>
      <c r="AS288" s="2822"/>
      <c r="AT288" s="2822"/>
      <c r="AU288" s="2822"/>
      <c r="AV288" s="2822"/>
      <c r="AW288" s="2822"/>
      <c r="AX288" s="2822"/>
      <c r="AY288" s="2822"/>
      <c r="AZ288" s="2822"/>
      <c r="BA288" s="2822"/>
      <c r="BB288" s="2822"/>
      <c r="BC288" s="2822"/>
      <c r="BD288" s="2822"/>
      <c r="BE288" s="2822"/>
      <c r="BF288" s="2822"/>
      <c r="BG288" s="2822"/>
      <c r="BH288" s="2822"/>
      <c r="BI288" s="2822"/>
      <c r="BJ288" s="2822"/>
      <c r="BK288" s="2822"/>
      <c r="BL288" s="2822"/>
      <c r="BM288" s="2822"/>
      <c r="BN288" s="2822"/>
      <c r="BO288" s="2822"/>
      <c r="BP288" s="2822"/>
      <c r="BQ288" s="2822"/>
      <c r="BR288" s="2822"/>
      <c r="BS288" s="2822"/>
      <c r="BT288" s="2822"/>
      <c r="BU288" s="2822"/>
      <c r="BV288" s="2822"/>
      <c r="BW288" s="2822"/>
      <c r="BX288" s="2822"/>
      <c r="BY288" s="2822"/>
      <c r="BZ288" s="2822"/>
      <c r="CA288" s="2822"/>
      <c r="CB288" s="2822"/>
      <c r="CC288" s="2822"/>
      <c r="CD288" s="2822"/>
      <c r="CE288" s="2822"/>
      <c r="CF288" s="2822"/>
      <c r="CG288" s="2822"/>
      <c r="CH288" s="2822"/>
      <c r="CI288" s="2822"/>
      <c r="CJ288" s="2822"/>
      <c r="CK288" s="2822"/>
      <c r="CL288" s="2822"/>
      <c r="CM288" s="2822"/>
      <c r="CN288" s="2822"/>
    </row>
    <row r="289" spans="1:92" x14ac:dyDescent="0.2">
      <c r="A289" s="2822"/>
      <c r="B289" s="2822"/>
      <c r="C289" s="2822"/>
      <c r="D289" s="2822"/>
      <c r="E289" s="2822"/>
      <c r="F289" s="2822"/>
      <c r="G289" s="2822"/>
      <c r="H289" s="2822"/>
      <c r="I289" s="2822"/>
      <c r="J289" s="2822"/>
      <c r="K289" s="2822"/>
      <c r="L289" s="2822"/>
      <c r="M289" s="2822"/>
      <c r="N289" s="2822"/>
      <c r="O289" s="2822"/>
      <c r="P289" s="2822"/>
      <c r="Q289" s="2822"/>
      <c r="R289" s="2822"/>
      <c r="S289" s="2822"/>
      <c r="T289" s="2822"/>
      <c r="U289" s="2822"/>
      <c r="V289" s="2822"/>
      <c r="W289" s="2822"/>
      <c r="X289" s="2822"/>
      <c r="Y289" s="2822"/>
      <c r="Z289" s="2822"/>
      <c r="AA289" s="2822"/>
      <c r="AB289" s="2822"/>
      <c r="AC289" s="2822"/>
      <c r="AD289" s="2822"/>
      <c r="AE289" s="2822"/>
      <c r="AF289" s="2822"/>
      <c r="AG289" s="2822"/>
      <c r="AH289" s="2822"/>
      <c r="AI289" s="2822"/>
      <c r="AJ289" s="2822"/>
      <c r="AK289" s="2822"/>
      <c r="AL289" s="2822"/>
      <c r="AM289" s="2822"/>
      <c r="AN289" s="2822"/>
      <c r="AO289" s="2822"/>
      <c r="AP289" s="2822"/>
      <c r="AQ289" s="2822"/>
      <c r="AR289" s="2822"/>
      <c r="AS289" s="2822"/>
      <c r="AT289" s="2822"/>
      <c r="AU289" s="2822"/>
      <c r="AV289" s="2822"/>
      <c r="AW289" s="2822"/>
      <c r="AX289" s="2822"/>
      <c r="AY289" s="2822"/>
      <c r="AZ289" s="2822"/>
      <c r="BA289" s="2822"/>
      <c r="BB289" s="2822"/>
      <c r="BC289" s="2822"/>
      <c r="BD289" s="2822"/>
      <c r="BE289" s="2822"/>
      <c r="BF289" s="2822"/>
      <c r="BG289" s="2822"/>
      <c r="BH289" s="2822"/>
      <c r="BI289" s="2822"/>
      <c r="BJ289" s="2822"/>
      <c r="BK289" s="2822"/>
      <c r="BL289" s="2822"/>
      <c r="BM289" s="2822"/>
      <c r="BN289" s="2822"/>
      <c r="BO289" s="2822"/>
      <c r="BP289" s="2822"/>
      <c r="BQ289" s="2822"/>
      <c r="BR289" s="2822"/>
      <c r="BS289" s="2822"/>
      <c r="BT289" s="2822"/>
      <c r="BU289" s="2822"/>
      <c r="BV289" s="2822"/>
      <c r="BW289" s="2822"/>
      <c r="BX289" s="2822"/>
      <c r="BY289" s="2822"/>
      <c r="BZ289" s="2822"/>
      <c r="CA289" s="2822"/>
      <c r="CB289" s="2822"/>
      <c r="CC289" s="2822"/>
      <c r="CD289" s="2822"/>
      <c r="CE289" s="2822"/>
      <c r="CF289" s="2822"/>
      <c r="CG289" s="2822"/>
      <c r="CH289" s="2822"/>
      <c r="CI289" s="2822"/>
      <c r="CJ289" s="2822"/>
      <c r="CK289" s="2822"/>
      <c r="CL289" s="2822"/>
      <c r="CM289" s="2822"/>
      <c r="CN289" s="2822"/>
    </row>
    <row r="290" spans="1:92" x14ac:dyDescent="0.2">
      <c r="A290" s="2822"/>
      <c r="B290" s="2822"/>
      <c r="C290" s="2822"/>
      <c r="D290" s="2822"/>
      <c r="E290" s="2822"/>
      <c r="F290" s="2822"/>
      <c r="G290" s="2822"/>
      <c r="H290" s="2822"/>
      <c r="I290" s="2822"/>
      <c r="J290" s="2822"/>
      <c r="K290" s="2822"/>
      <c r="L290" s="2822"/>
      <c r="M290" s="2822"/>
      <c r="N290" s="2822"/>
      <c r="O290" s="2822"/>
      <c r="P290" s="2822"/>
      <c r="Q290" s="2822"/>
      <c r="R290" s="2822"/>
      <c r="S290" s="2822"/>
      <c r="T290" s="2822"/>
      <c r="U290" s="2822"/>
      <c r="V290" s="2822"/>
      <c r="W290" s="2822"/>
      <c r="X290" s="2822"/>
      <c r="Y290" s="2822"/>
      <c r="Z290" s="2822"/>
      <c r="AA290" s="2822"/>
      <c r="AB290" s="2822"/>
      <c r="AC290" s="2822"/>
      <c r="AD290" s="2822"/>
      <c r="AE290" s="2822"/>
      <c r="AF290" s="2822"/>
      <c r="AG290" s="2822"/>
      <c r="AH290" s="2822"/>
      <c r="AI290" s="2822"/>
      <c r="AJ290" s="2822"/>
      <c r="AK290" s="2822"/>
      <c r="AL290" s="2822"/>
      <c r="AM290" s="2822"/>
      <c r="AN290" s="2822"/>
      <c r="AO290" s="2822"/>
      <c r="AP290" s="2822"/>
      <c r="AQ290" s="2822"/>
      <c r="AR290" s="2822"/>
      <c r="AS290" s="2822"/>
      <c r="AT290" s="2822"/>
      <c r="AU290" s="2822"/>
      <c r="AV290" s="2822"/>
      <c r="AW290" s="2822"/>
      <c r="AX290" s="2822"/>
      <c r="AY290" s="2822"/>
      <c r="AZ290" s="2822"/>
      <c r="BA290" s="2822"/>
      <c r="BB290" s="2822"/>
      <c r="BC290" s="2822"/>
      <c r="BD290" s="2822"/>
      <c r="BE290" s="2822"/>
      <c r="BF290" s="2822"/>
      <c r="BG290" s="2822"/>
      <c r="BH290" s="2822"/>
      <c r="BI290" s="2822"/>
      <c r="BJ290" s="2822"/>
      <c r="BK290" s="2822"/>
      <c r="BL290" s="2822"/>
      <c r="BM290" s="2822"/>
      <c r="BN290" s="2822"/>
      <c r="BO290" s="2822"/>
      <c r="BP290" s="2822"/>
      <c r="BQ290" s="2822"/>
      <c r="BR290" s="2822"/>
      <c r="BS290" s="2822"/>
      <c r="BT290" s="2822"/>
      <c r="BU290" s="2822"/>
      <c r="BV290" s="2822"/>
      <c r="BW290" s="2822"/>
      <c r="BX290" s="2822"/>
      <c r="BY290" s="2822"/>
      <c r="BZ290" s="2822"/>
      <c r="CA290" s="2822"/>
      <c r="CB290" s="2822"/>
      <c r="CC290" s="2822"/>
      <c r="CD290" s="2822"/>
      <c r="CE290" s="2822"/>
      <c r="CF290" s="2822"/>
      <c r="CG290" s="2822"/>
      <c r="CH290" s="2822"/>
      <c r="CI290" s="2822"/>
      <c r="CJ290" s="2822"/>
      <c r="CK290" s="2822"/>
      <c r="CL290" s="2822"/>
      <c r="CM290" s="2822"/>
      <c r="CN290" s="2822"/>
    </row>
    <row r="291" spans="1:92" x14ac:dyDescent="0.2">
      <c r="A291" s="2822"/>
      <c r="B291" s="2822"/>
      <c r="C291" s="2822"/>
      <c r="D291" s="2822"/>
      <c r="E291" s="2822"/>
      <c r="F291" s="2822"/>
      <c r="G291" s="2822"/>
      <c r="H291" s="2822"/>
      <c r="I291" s="2822"/>
      <c r="J291" s="2822"/>
      <c r="K291" s="2822"/>
      <c r="L291" s="2822"/>
      <c r="M291" s="2822"/>
      <c r="N291" s="2822"/>
      <c r="O291" s="2822"/>
      <c r="P291" s="2822"/>
      <c r="Q291" s="2822"/>
      <c r="R291" s="2822"/>
      <c r="S291" s="2822"/>
      <c r="T291" s="2822"/>
      <c r="U291" s="2822"/>
      <c r="V291" s="2822"/>
      <c r="W291" s="2822"/>
      <c r="X291" s="2822"/>
      <c r="Y291" s="2822"/>
      <c r="Z291" s="2822"/>
      <c r="AA291" s="2822"/>
      <c r="AB291" s="2822"/>
      <c r="AC291" s="2822"/>
      <c r="AD291" s="2822"/>
      <c r="AE291" s="2822"/>
      <c r="AF291" s="2822"/>
      <c r="AG291" s="2822"/>
      <c r="AH291" s="2822"/>
      <c r="AI291" s="2822"/>
      <c r="AJ291" s="2822"/>
      <c r="AK291" s="2822"/>
      <c r="AL291" s="2822"/>
      <c r="AM291" s="2822"/>
      <c r="AN291" s="2822"/>
      <c r="AO291" s="2822"/>
      <c r="AP291" s="2822"/>
      <c r="AQ291" s="2822"/>
      <c r="AR291" s="2822"/>
      <c r="AS291" s="2822"/>
      <c r="AT291" s="2822"/>
      <c r="AU291" s="2822"/>
      <c r="AV291" s="2822"/>
      <c r="AW291" s="2822"/>
      <c r="AX291" s="2822"/>
      <c r="AY291" s="2822"/>
      <c r="AZ291" s="2822"/>
      <c r="BA291" s="2822"/>
      <c r="BB291" s="2822"/>
      <c r="BC291" s="2822"/>
      <c r="BD291" s="2822"/>
      <c r="BE291" s="2822"/>
      <c r="BF291" s="2822"/>
      <c r="BG291" s="2822"/>
      <c r="BH291" s="2822"/>
      <c r="BI291" s="2822"/>
      <c r="BJ291" s="2822"/>
      <c r="BK291" s="2822"/>
      <c r="BL291" s="2822"/>
      <c r="BM291" s="2822"/>
      <c r="BN291" s="2822"/>
      <c r="BO291" s="2822"/>
      <c r="BP291" s="2822"/>
      <c r="BQ291" s="2822"/>
      <c r="BR291" s="2822"/>
      <c r="BS291" s="2822"/>
      <c r="BT291" s="2822"/>
      <c r="BU291" s="2822"/>
      <c r="BV291" s="2822"/>
      <c r="BW291" s="2822"/>
      <c r="BX291" s="2822"/>
      <c r="BY291" s="2822"/>
      <c r="BZ291" s="2822"/>
      <c r="CA291" s="2822"/>
      <c r="CB291" s="2822"/>
      <c r="CC291" s="2822"/>
      <c r="CD291" s="2822"/>
      <c r="CE291" s="2822"/>
      <c r="CF291" s="2822"/>
      <c r="CG291" s="2822"/>
      <c r="CH291" s="2822"/>
      <c r="CI291" s="2822"/>
      <c r="CJ291" s="2822"/>
      <c r="CK291" s="2822"/>
      <c r="CL291" s="2822"/>
      <c r="CM291" s="2822"/>
      <c r="CN291" s="2822"/>
    </row>
    <row r="292" spans="1:92" x14ac:dyDescent="0.2">
      <c r="A292" s="2822"/>
      <c r="B292" s="2822"/>
      <c r="C292" s="2822"/>
      <c r="D292" s="2822"/>
      <c r="E292" s="2822"/>
      <c r="F292" s="2822"/>
      <c r="G292" s="2822"/>
      <c r="H292" s="2822"/>
      <c r="I292" s="2822"/>
      <c r="J292" s="2822"/>
      <c r="K292" s="2822"/>
      <c r="L292" s="2822"/>
      <c r="M292" s="2822"/>
      <c r="N292" s="2822"/>
      <c r="O292" s="2822"/>
      <c r="P292" s="2822"/>
      <c r="Q292" s="2822"/>
      <c r="R292" s="2822"/>
      <c r="S292" s="2822"/>
      <c r="T292" s="2822"/>
      <c r="U292" s="2822"/>
      <c r="V292" s="2822"/>
      <c r="W292" s="2822"/>
      <c r="X292" s="2822"/>
      <c r="Y292" s="2822"/>
      <c r="Z292" s="2822"/>
      <c r="AA292" s="2822"/>
      <c r="AB292" s="2822"/>
      <c r="AC292" s="2822"/>
      <c r="AD292" s="2822"/>
      <c r="AE292" s="2822"/>
      <c r="AF292" s="2822"/>
      <c r="AG292" s="2822"/>
      <c r="AH292" s="2822"/>
      <c r="AI292" s="2822"/>
      <c r="AJ292" s="2822"/>
      <c r="AK292" s="2822"/>
      <c r="AL292" s="2822"/>
      <c r="AM292" s="2822"/>
      <c r="AN292" s="2822"/>
      <c r="AO292" s="2822"/>
      <c r="AP292" s="2822"/>
      <c r="AQ292" s="2822"/>
      <c r="AR292" s="2822"/>
      <c r="AS292" s="2822"/>
      <c r="AT292" s="2822"/>
      <c r="AU292" s="2822"/>
      <c r="AV292" s="2822"/>
      <c r="AW292" s="2822"/>
      <c r="AX292" s="2822"/>
      <c r="AY292" s="2822"/>
      <c r="AZ292" s="2822"/>
      <c r="BA292" s="2822"/>
      <c r="BB292" s="2822"/>
      <c r="BC292" s="2822"/>
      <c r="BD292" s="2822"/>
      <c r="BE292" s="2822"/>
      <c r="BF292" s="2822"/>
      <c r="BG292" s="2822"/>
      <c r="BH292" s="2822"/>
      <c r="BI292" s="2822"/>
      <c r="BJ292" s="2822"/>
      <c r="BK292" s="2822"/>
      <c r="BL292" s="2822"/>
      <c r="BM292" s="2822"/>
      <c r="BN292" s="2822"/>
      <c r="BO292" s="2822"/>
      <c r="BP292" s="2822"/>
      <c r="BQ292" s="2822"/>
      <c r="BR292" s="2822"/>
      <c r="BS292" s="2822"/>
      <c r="BT292" s="2822"/>
      <c r="BU292" s="2822"/>
      <c r="BV292" s="2822"/>
      <c r="BW292" s="2822"/>
      <c r="BX292" s="2822"/>
      <c r="BY292" s="2822"/>
      <c r="BZ292" s="2822"/>
      <c r="CA292" s="2822"/>
      <c r="CB292" s="2822"/>
      <c r="CC292" s="2822"/>
      <c r="CD292" s="2822"/>
      <c r="CE292" s="2822"/>
      <c r="CF292" s="2822"/>
      <c r="CG292" s="2822"/>
      <c r="CH292" s="2822"/>
      <c r="CI292" s="2822"/>
      <c r="CJ292" s="2822"/>
      <c r="CK292" s="2822"/>
      <c r="CL292" s="2822"/>
      <c r="CM292" s="2822"/>
      <c r="CN292" s="2822"/>
    </row>
    <row r="293" spans="1:92" x14ac:dyDescent="0.2">
      <c r="A293" s="2822"/>
      <c r="B293" s="2822"/>
      <c r="C293" s="2822"/>
      <c r="D293" s="2822"/>
      <c r="E293" s="2822"/>
      <c r="F293" s="2822"/>
      <c r="G293" s="2822"/>
      <c r="H293" s="2822"/>
      <c r="I293" s="2822"/>
      <c r="J293" s="2822"/>
      <c r="K293" s="2822"/>
      <c r="L293" s="2822"/>
      <c r="M293" s="2822"/>
      <c r="N293" s="2822"/>
      <c r="O293" s="2822"/>
      <c r="P293" s="2822"/>
      <c r="Q293" s="2822"/>
      <c r="R293" s="2822"/>
      <c r="S293" s="2822"/>
      <c r="T293" s="2822"/>
      <c r="U293" s="2822"/>
      <c r="V293" s="2822"/>
      <c r="W293" s="2822"/>
      <c r="X293" s="2822"/>
      <c r="Y293" s="2822"/>
      <c r="Z293" s="2822"/>
      <c r="AA293" s="2822"/>
      <c r="AB293" s="2822"/>
      <c r="AC293" s="2822"/>
      <c r="AD293" s="2822"/>
      <c r="AE293" s="2822"/>
      <c r="AF293" s="2822"/>
      <c r="AG293" s="2822"/>
      <c r="AH293" s="2822"/>
      <c r="AI293" s="2822"/>
      <c r="AJ293" s="2822"/>
      <c r="AK293" s="2822"/>
      <c r="AL293" s="2822"/>
      <c r="AM293" s="2822"/>
      <c r="AN293" s="2822"/>
      <c r="AO293" s="2822"/>
      <c r="AP293" s="2822"/>
      <c r="AQ293" s="2822"/>
      <c r="AR293" s="2822"/>
      <c r="AS293" s="2822"/>
      <c r="AT293" s="2822"/>
      <c r="AU293" s="2822"/>
      <c r="AV293" s="2822"/>
      <c r="AW293" s="2822"/>
      <c r="AX293" s="2822"/>
      <c r="AY293" s="2822"/>
      <c r="AZ293" s="2822"/>
      <c r="BA293" s="2822"/>
      <c r="BB293" s="2822"/>
      <c r="BC293" s="2822"/>
      <c r="BD293" s="2822"/>
      <c r="BE293" s="2822"/>
      <c r="BF293" s="2822"/>
      <c r="BG293" s="2822"/>
      <c r="BH293" s="2822"/>
      <c r="BI293" s="2822"/>
      <c r="BJ293" s="2822"/>
      <c r="BK293" s="2822"/>
      <c r="BL293" s="2822"/>
      <c r="BM293" s="2822"/>
      <c r="BN293" s="2822"/>
      <c r="BO293" s="2822"/>
      <c r="BP293" s="2822"/>
      <c r="BQ293" s="2822"/>
      <c r="BR293" s="2822"/>
      <c r="BS293" s="2822"/>
      <c r="BT293" s="2822"/>
      <c r="BU293" s="2822"/>
      <c r="BV293" s="2822"/>
      <c r="BW293" s="2822"/>
      <c r="BX293" s="2822"/>
      <c r="BY293" s="2822"/>
      <c r="BZ293" s="2822"/>
      <c r="CA293" s="2822"/>
      <c r="CB293" s="2822"/>
      <c r="CC293" s="2822"/>
      <c r="CD293" s="2822"/>
      <c r="CE293" s="2822"/>
      <c r="CF293" s="2822"/>
      <c r="CG293" s="2822"/>
      <c r="CH293" s="2822"/>
      <c r="CI293" s="2822"/>
      <c r="CJ293" s="2822"/>
      <c r="CK293" s="2822"/>
      <c r="CL293" s="2822"/>
      <c r="CM293" s="2822"/>
      <c r="CN293" s="2822"/>
    </row>
    <row r="294" spans="1:92" x14ac:dyDescent="0.2">
      <c r="A294" s="2822"/>
      <c r="B294" s="2822"/>
      <c r="C294" s="2822"/>
      <c r="D294" s="2822"/>
      <c r="E294" s="2822"/>
      <c r="F294" s="2822"/>
      <c r="G294" s="2822"/>
      <c r="H294" s="2822"/>
      <c r="I294" s="2822"/>
      <c r="J294" s="2822"/>
      <c r="K294" s="2822"/>
      <c r="L294" s="2822"/>
      <c r="M294" s="2822"/>
      <c r="N294" s="2822"/>
      <c r="O294" s="2822"/>
      <c r="P294" s="2822"/>
      <c r="Q294" s="2822"/>
      <c r="R294" s="2822"/>
      <c r="S294" s="2822"/>
      <c r="T294" s="2822"/>
      <c r="U294" s="2822"/>
      <c r="V294" s="2822"/>
      <c r="W294" s="2822"/>
      <c r="X294" s="2822"/>
      <c r="Y294" s="2822"/>
      <c r="Z294" s="2822"/>
      <c r="AA294" s="2822"/>
      <c r="AB294" s="2822"/>
      <c r="AC294" s="2822"/>
      <c r="AD294" s="2822"/>
      <c r="AE294" s="2822"/>
      <c r="AF294" s="2822"/>
      <c r="AG294" s="2822"/>
      <c r="AH294" s="2822"/>
      <c r="AI294" s="2822"/>
      <c r="AJ294" s="2822"/>
      <c r="AK294" s="2822"/>
      <c r="AL294" s="2822"/>
      <c r="AM294" s="2822"/>
      <c r="AN294" s="2822"/>
      <c r="AO294" s="2822"/>
      <c r="AP294" s="2822"/>
      <c r="AQ294" s="2822"/>
      <c r="AR294" s="2822"/>
      <c r="AS294" s="2822"/>
      <c r="AT294" s="2822"/>
      <c r="AU294" s="2822"/>
      <c r="AV294" s="2822"/>
      <c r="AW294" s="2822"/>
      <c r="AX294" s="2822"/>
      <c r="AY294" s="2822"/>
      <c r="AZ294" s="2822"/>
      <c r="BA294" s="2822"/>
      <c r="BB294" s="2822"/>
      <c r="BC294" s="2822"/>
      <c r="BD294" s="2822"/>
      <c r="BE294" s="2822"/>
      <c r="BF294" s="2822"/>
      <c r="BG294" s="2822"/>
      <c r="BH294" s="2822"/>
      <c r="BI294" s="2822"/>
      <c r="BJ294" s="2822"/>
      <c r="BK294" s="2822"/>
      <c r="BL294" s="2822"/>
      <c r="BM294" s="2822"/>
      <c r="BN294" s="2822"/>
      <c r="BO294" s="2822"/>
      <c r="BP294" s="2822"/>
      <c r="BQ294" s="2822"/>
      <c r="BR294" s="2822"/>
      <c r="BS294" s="2822"/>
      <c r="BT294" s="2822"/>
      <c r="BU294" s="2822"/>
      <c r="BV294" s="2822"/>
      <c r="BW294" s="2822"/>
      <c r="BX294" s="2822"/>
      <c r="BY294" s="2822"/>
      <c r="BZ294" s="2822"/>
      <c r="CA294" s="2822"/>
      <c r="CB294" s="2822"/>
      <c r="CC294" s="2822"/>
      <c r="CD294" s="2822"/>
      <c r="CE294" s="2822"/>
      <c r="CF294" s="2822"/>
      <c r="CG294" s="2822"/>
      <c r="CH294" s="2822"/>
      <c r="CI294" s="2822"/>
      <c r="CJ294" s="2822"/>
      <c r="CK294" s="2822"/>
      <c r="CL294" s="2822"/>
      <c r="CM294" s="2822"/>
      <c r="CN294" s="2822"/>
    </row>
    <row r="295" spans="1:92" x14ac:dyDescent="0.2">
      <c r="A295" s="2822"/>
      <c r="B295" s="2822"/>
      <c r="C295" s="2822"/>
      <c r="D295" s="2822"/>
      <c r="E295" s="2822"/>
      <c r="F295" s="2822"/>
      <c r="G295" s="2822"/>
      <c r="H295" s="2822"/>
      <c r="I295" s="2822"/>
      <c r="J295" s="2822"/>
      <c r="K295" s="2822"/>
      <c r="L295" s="2822"/>
      <c r="M295" s="2822"/>
      <c r="N295" s="2822"/>
      <c r="O295" s="2822"/>
      <c r="P295" s="2822"/>
      <c r="Q295" s="2822"/>
      <c r="R295" s="2822"/>
      <c r="S295" s="2822"/>
      <c r="T295" s="2822"/>
      <c r="U295" s="2822"/>
      <c r="V295" s="2822"/>
      <c r="W295" s="2822"/>
      <c r="X295" s="2822"/>
      <c r="Y295" s="2822"/>
      <c r="Z295" s="2822"/>
      <c r="AA295" s="2822"/>
      <c r="AB295" s="2822"/>
      <c r="AC295" s="2822"/>
      <c r="AD295" s="2822"/>
      <c r="AE295" s="2822"/>
      <c r="AF295" s="2822"/>
      <c r="AG295" s="2822"/>
      <c r="AH295" s="2822"/>
      <c r="AI295" s="2822"/>
      <c r="AJ295" s="2822"/>
      <c r="AK295" s="2822"/>
      <c r="AL295" s="2822"/>
      <c r="AM295" s="2822"/>
      <c r="AN295" s="2822"/>
      <c r="AO295" s="2822"/>
      <c r="AP295" s="2822"/>
      <c r="AQ295" s="2822"/>
      <c r="AR295" s="2822"/>
      <c r="AS295" s="2822"/>
      <c r="AT295" s="2822"/>
      <c r="AU295" s="2822"/>
      <c r="AV295" s="2822"/>
      <c r="AW295" s="2822"/>
      <c r="AX295" s="2822"/>
      <c r="AY295" s="2822"/>
      <c r="AZ295" s="2822"/>
      <c r="BA295" s="2822"/>
      <c r="BB295" s="2822"/>
      <c r="BC295" s="2822"/>
      <c r="BD295" s="2822"/>
      <c r="BE295" s="2822"/>
      <c r="BF295" s="2822"/>
      <c r="BG295" s="2822"/>
      <c r="BH295" s="2822"/>
      <c r="BI295" s="2822"/>
      <c r="BJ295" s="2822"/>
      <c r="BK295" s="2822"/>
      <c r="BL295" s="2822"/>
      <c r="BM295" s="2822"/>
      <c r="BN295" s="2822"/>
      <c r="BO295" s="2822"/>
      <c r="BP295" s="2822"/>
      <c r="BQ295" s="2822"/>
      <c r="BR295" s="2822"/>
      <c r="BS295" s="2822"/>
      <c r="BT295" s="2822"/>
      <c r="BU295" s="2822"/>
      <c r="BV295" s="2822"/>
      <c r="BW295" s="2822"/>
      <c r="BX295" s="2822"/>
      <c r="BY295" s="2822"/>
      <c r="BZ295" s="2822"/>
      <c r="CA295" s="2822"/>
      <c r="CB295" s="2822"/>
      <c r="CC295" s="2822"/>
      <c r="CD295" s="2822"/>
      <c r="CE295" s="2822"/>
      <c r="CF295" s="2822"/>
      <c r="CG295" s="2822"/>
      <c r="CH295" s="2822"/>
      <c r="CI295" s="2822"/>
      <c r="CJ295" s="2822"/>
      <c r="CK295" s="2822"/>
      <c r="CL295" s="2822"/>
      <c r="CM295" s="2822"/>
      <c r="CN295" s="2822"/>
    </row>
    <row r="296" spans="1:92" x14ac:dyDescent="0.2">
      <c r="A296" s="2822"/>
      <c r="B296" s="2822"/>
      <c r="C296" s="2822"/>
      <c r="D296" s="2822"/>
      <c r="E296" s="2822"/>
      <c r="F296" s="2822"/>
      <c r="G296" s="2822"/>
      <c r="H296" s="2822"/>
      <c r="I296" s="2822"/>
      <c r="J296" s="2822"/>
      <c r="K296" s="2822"/>
      <c r="L296" s="2822"/>
      <c r="M296" s="2822"/>
      <c r="N296" s="2822"/>
      <c r="O296" s="2822"/>
      <c r="P296" s="2822"/>
      <c r="Q296" s="2822"/>
      <c r="R296" s="2822"/>
      <c r="S296" s="2822"/>
      <c r="T296" s="2822"/>
      <c r="U296" s="2822"/>
      <c r="V296" s="2822"/>
      <c r="W296" s="2822"/>
      <c r="X296" s="2822"/>
      <c r="Y296" s="2822"/>
      <c r="Z296" s="2822"/>
      <c r="AA296" s="2822"/>
      <c r="AB296" s="2822"/>
      <c r="AC296" s="2822"/>
      <c r="AD296" s="2822"/>
      <c r="AE296" s="2822"/>
      <c r="AF296" s="2822"/>
      <c r="AG296" s="2822"/>
      <c r="AH296" s="2822"/>
      <c r="AI296" s="2822"/>
      <c r="AJ296" s="2822"/>
      <c r="AK296" s="2822"/>
      <c r="AL296" s="2822"/>
      <c r="AM296" s="2822"/>
      <c r="AN296" s="2822"/>
      <c r="AO296" s="2822"/>
      <c r="AP296" s="2822"/>
      <c r="AQ296" s="2822"/>
      <c r="AR296" s="2822"/>
      <c r="AS296" s="2822"/>
      <c r="AT296" s="2822"/>
      <c r="AU296" s="2822"/>
      <c r="AV296" s="2822"/>
      <c r="AW296" s="2822"/>
      <c r="AX296" s="2822"/>
      <c r="AY296" s="2822"/>
      <c r="AZ296" s="2822"/>
      <c r="BA296" s="2822"/>
      <c r="BB296" s="2822"/>
      <c r="BC296" s="2822"/>
      <c r="BD296" s="2822"/>
      <c r="BE296" s="2822"/>
      <c r="BF296" s="2822"/>
      <c r="BG296" s="2822"/>
      <c r="BH296" s="2822"/>
      <c r="BI296" s="2822"/>
      <c r="BJ296" s="2822"/>
      <c r="BK296" s="2822"/>
      <c r="BL296" s="2822"/>
      <c r="BM296" s="2822"/>
      <c r="BN296" s="2822"/>
      <c r="BO296" s="2822"/>
      <c r="BP296" s="2822"/>
      <c r="BQ296" s="2822"/>
      <c r="BR296" s="2822"/>
      <c r="BS296" s="2822"/>
      <c r="BT296" s="2822"/>
      <c r="BU296" s="2822"/>
      <c r="BV296" s="2822"/>
      <c r="BW296" s="2822"/>
      <c r="BX296" s="2822"/>
      <c r="BY296" s="2822"/>
      <c r="BZ296" s="2822"/>
      <c r="CA296" s="2822"/>
      <c r="CB296" s="2822"/>
      <c r="CC296" s="2822"/>
      <c r="CD296" s="2822"/>
      <c r="CE296" s="2822"/>
      <c r="CF296" s="2822"/>
      <c r="CG296" s="2822"/>
      <c r="CH296" s="2822"/>
      <c r="CI296" s="2822"/>
      <c r="CJ296" s="2822"/>
      <c r="CK296" s="2822"/>
      <c r="CL296" s="2822"/>
      <c r="CM296" s="2822"/>
      <c r="CN296" s="2822"/>
    </row>
    <row r="297" spans="1:92" x14ac:dyDescent="0.2">
      <c r="A297" s="2822"/>
      <c r="B297" s="2822"/>
      <c r="C297" s="2822"/>
      <c r="D297" s="2822"/>
      <c r="E297" s="2822"/>
      <c r="F297" s="2822"/>
      <c r="G297" s="2822"/>
      <c r="H297" s="2822"/>
      <c r="I297" s="2822"/>
      <c r="J297" s="2822"/>
      <c r="K297" s="2822"/>
      <c r="L297" s="2822"/>
      <c r="M297" s="2822"/>
      <c r="N297" s="2822"/>
      <c r="O297" s="2822"/>
      <c r="P297" s="2822"/>
      <c r="Q297" s="2822"/>
      <c r="R297" s="2822"/>
      <c r="S297" s="2822"/>
      <c r="T297" s="2822"/>
      <c r="U297" s="2822"/>
      <c r="V297" s="2822"/>
      <c r="W297" s="2822"/>
      <c r="X297" s="2822"/>
      <c r="Y297" s="2822"/>
      <c r="Z297" s="2822"/>
      <c r="AA297" s="2822"/>
      <c r="AB297" s="2822"/>
      <c r="AC297" s="2822"/>
      <c r="AD297" s="2822"/>
      <c r="AE297" s="2822"/>
      <c r="AF297" s="2822"/>
      <c r="AG297" s="2822"/>
      <c r="AH297" s="2822"/>
      <c r="AI297" s="2822"/>
      <c r="AJ297" s="2822"/>
      <c r="AK297" s="2822"/>
      <c r="AL297" s="2822"/>
      <c r="AM297" s="2822"/>
      <c r="AN297" s="2822"/>
      <c r="AO297" s="2822"/>
      <c r="AP297" s="2822"/>
      <c r="AQ297" s="2822"/>
      <c r="AR297" s="2822"/>
      <c r="AS297" s="2822"/>
      <c r="AT297" s="2822"/>
      <c r="AU297" s="2822"/>
      <c r="AV297" s="2822"/>
      <c r="AW297" s="2822"/>
      <c r="AX297" s="2822"/>
      <c r="AY297" s="2822"/>
      <c r="AZ297" s="2822"/>
      <c r="BA297" s="2822"/>
      <c r="BB297" s="2822"/>
      <c r="BC297" s="2822"/>
      <c r="BD297" s="2822"/>
      <c r="BE297" s="2822"/>
      <c r="BF297" s="2822"/>
      <c r="BG297" s="2822"/>
      <c r="BH297" s="2822"/>
      <c r="BI297" s="2822"/>
      <c r="BJ297" s="2822"/>
      <c r="BK297" s="2822"/>
      <c r="BL297" s="2822"/>
      <c r="BM297" s="2822"/>
      <c r="BN297" s="2822"/>
      <c r="BO297" s="2822"/>
      <c r="BP297" s="2822"/>
      <c r="BQ297" s="2822"/>
      <c r="BR297" s="2822"/>
      <c r="BS297" s="2822"/>
      <c r="BT297" s="2822"/>
      <c r="BU297" s="2822"/>
      <c r="BV297" s="2822"/>
      <c r="BW297" s="2822"/>
      <c r="BX297" s="2822"/>
      <c r="BY297" s="2822"/>
      <c r="BZ297" s="2822"/>
      <c r="CA297" s="2822"/>
      <c r="CB297" s="2822"/>
      <c r="CC297" s="2822"/>
      <c r="CD297" s="2822"/>
      <c r="CE297" s="2822"/>
      <c r="CF297" s="2822"/>
      <c r="CG297" s="2822"/>
      <c r="CH297" s="2822"/>
      <c r="CI297" s="2822"/>
      <c r="CJ297" s="2822"/>
      <c r="CK297" s="2822"/>
      <c r="CL297" s="2822"/>
      <c r="CM297" s="2822"/>
      <c r="CN297" s="2822"/>
    </row>
    <row r="298" spans="1:92" x14ac:dyDescent="0.2">
      <c r="A298" s="2822"/>
      <c r="B298" s="2822"/>
      <c r="C298" s="2822"/>
      <c r="D298" s="2822"/>
      <c r="E298" s="2822"/>
      <c r="F298" s="2822"/>
      <c r="G298" s="2822"/>
      <c r="H298" s="2822"/>
      <c r="I298" s="2822"/>
      <c r="J298" s="2822"/>
      <c r="K298" s="2822"/>
      <c r="L298" s="2822"/>
      <c r="M298" s="2822"/>
      <c r="N298" s="2822"/>
      <c r="O298" s="2822"/>
      <c r="P298" s="2822"/>
      <c r="Q298" s="2822"/>
      <c r="R298" s="2822"/>
      <c r="S298" s="2822"/>
      <c r="T298" s="2822"/>
      <c r="U298" s="2822"/>
      <c r="V298" s="2822"/>
      <c r="W298" s="2822"/>
      <c r="X298" s="2822"/>
      <c r="Y298" s="2822"/>
      <c r="Z298" s="2822"/>
      <c r="AA298" s="2822"/>
      <c r="AB298" s="2822"/>
      <c r="AC298" s="2822"/>
      <c r="AD298" s="2822"/>
      <c r="AE298" s="2822"/>
      <c r="AF298" s="2822"/>
      <c r="AG298" s="2822"/>
      <c r="AH298" s="2822"/>
      <c r="AI298" s="2822"/>
      <c r="AJ298" s="2822"/>
      <c r="AK298" s="2822"/>
      <c r="AL298" s="2822"/>
      <c r="AM298" s="2822"/>
      <c r="AN298" s="2822"/>
      <c r="AO298" s="2822"/>
      <c r="AP298" s="2822"/>
      <c r="AQ298" s="2822"/>
      <c r="AR298" s="2822"/>
      <c r="AS298" s="2822"/>
      <c r="AT298" s="2822"/>
      <c r="AU298" s="2822"/>
      <c r="AV298" s="2822"/>
      <c r="AW298" s="2822"/>
      <c r="AX298" s="2822"/>
      <c r="AY298" s="2822"/>
      <c r="AZ298" s="2822"/>
      <c r="BA298" s="2822"/>
      <c r="BB298" s="2822"/>
      <c r="BC298" s="2822"/>
      <c r="BD298" s="2822"/>
      <c r="BE298" s="2822"/>
      <c r="BF298" s="2822"/>
      <c r="BG298" s="2822"/>
      <c r="BH298" s="2822"/>
      <c r="BI298" s="2822"/>
      <c r="BJ298" s="2822"/>
      <c r="BK298" s="2822"/>
      <c r="BL298" s="2822"/>
      <c r="BM298" s="2822"/>
      <c r="BN298" s="2822"/>
      <c r="BO298" s="2822"/>
      <c r="BP298" s="2822"/>
      <c r="BQ298" s="2822"/>
      <c r="BR298" s="2822"/>
      <c r="BS298" s="2822"/>
      <c r="BT298" s="2822"/>
      <c r="BU298" s="2822"/>
      <c r="BV298" s="2822"/>
      <c r="BW298" s="2822"/>
      <c r="BX298" s="2822"/>
      <c r="BY298" s="2822"/>
      <c r="BZ298" s="2822"/>
      <c r="CA298" s="2822"/>
      <c r="CB298" s="2822"/>
      <c r="CC298" s="2822"/>
      <c r="CD298" s="2822"/>
      <c r="CE298" s="2822"/>
      <c r="CF298" s="2822"/>
      <c r="CG298" s="2822"/>
      <c r="CH298" s="2822"/>
      <c r="CI298" s="2822"/>
      <c r="CJ298" s="2822"/>
      <c r="CK298" s="2822"/>
      <c r="CL298" s="2822"/>
      <c r="CM298" s="2822"/>
      <c r="CN298" s="2822"/>
    </row>
    <row r="299" spans="1:92" x14ac:dyDescent="0.2">
      <c r="A299" s="2822"/>
      <c r="B299" s="2822"/>
      <c r="C299" s="2822"/>
      <c r="D299" s="2822"/>
      <c r="E299" s="2822"/>
      <c r="F299" s="2822"/>
      <c r="G299" s="2822"/>
      <c r="H299" s="2822"/>
      <c r="I299" s="2822"/>
      <c r="J299" s="2822"/>
      <c r="K299" s="2822"/>
      <c r="L299" s="2822"/>
      <c r="M299" s="2822"/>
      <c r="N299" s="2822"/>
      <c r="O299" s="2822"/>
      <c r="P299" s="2822"/>
      <c r="Q299" s="2822"/>
      <c r="R299" s="2822"/>
      <c r="S299" s="2822"/>
      <c r="T299" s="2822"/>
      <c r="U299" s="2822"/>
      <c r="V299" s="2822"/>
      <c r="W299" s="2822"/>
      <c r="X299" s="2822"/>
      <c r="Y299" s="2822"/>
      <c r="Z299" s="2822"/>
      <c r="AA299" s="2822"/>
      <c r="AB299" s="2822"/>
      <c r="AC299" s="2822"/>
      <c r="AD299" s="2822"/>
      <c r="AE299" s="2822"/>
      <c r="AF299" s="2822"/>
      <c r="AG299" s="2822"/>
      <c r="AH299" s="2822"/>
      <c r="AI299" s="2822"/>
      <c r="AJ299" s="2822"/>
      <c r="AK299" s="2822"/>
      <c r="AL299" s="2822"/>
      <c r="AM299" s="2822"/>
      <c r="AN299" s="2822"/>
      <c r="AO299" s="2822"/>
      <c r="AP299" s="2822"/>
      <c r="AQ299" s="2822"/>
      <c r="AR299" s="2822"/>
      <c r="AS299" s="2822"/>
      <c r="AT299" s="2822"/>
      <c r="AU299" s="2822"/>
      <c r="AV299" s="2822"/>
      <c r="AW299" s="2822"/>
      <c r="AX299" s="2822"/>
      <c r="AY299" s="2822"/>
      <c r="AZ299" s="2822"/>
      <c r="BA299" s="2822"/>
      <c r="BB299" s="2822"/>
      <c r="BC299" s="2822"/>
      <c r="BD299" s="2822"/>
      <c r="BE299" s="2822"/>
      <c r="BF299" s="2822"/>
      <c r="BG299" s="2822"/>
      <c r="BH299" s="2822"/>
      <c r="BI299" s="2822"/>
      <c r="BJ299" s="2822"/>
      <c r="BK299" s="2822"/>
      <c r="BL299" s="2822"/>
      <c r="BM299" s="2822"/>
      <c r="BN299" s="2822"/>
      <c r="BO299" s="2822"/>
      <c r="BP299" s="2822"/>
      <c r="BQ299" s="2822"/>
      <c r="BR299" s="2822"/>
      <c r="BS299" s="2822"/>
      <c r="BT299" s="2822"/>
      <c r="BU299" s="2822"/>
      <c r="BV299" s="2822"/>
      <c r="BW299" s="2822"/>
      <c r="BX299" s="2822"/>
      <c r="BY299" s="2822"/>
      <c r="BZ299" s="2822"/>
      <c r="CA299" s="2822"/>
      <c r="CB299" s="2822"/>
      <c r="CC299" s="2822"/>
      <c r="CD299" s="2822"/>
      <c r="CE299" s="2822"/>
      <c r="CF299" s="2822"/>
      <c r="CG299" s="2822"/>
      <c r="CH299" s="2822"/>
      <c r="CI299" s="2822"/>
      <c r="CJ299" s="2822"/>
      <c r="CK299" s="2822"/>
      <c r="CL299" s="2822"/>
      <c r="CM299" s="2822"/>
      <c r="CN299" s="2822"/>
    </row>
    <row r="300" spans="1:92" x14ac:dyDescent="0.2">
      <c r="A300" s="2822"/>
      <c r="B300" s="2822"/>
      <c r="C300" s="2822"/>
      <c r="D300" s="2822"/>
      <c r="E300" s="2822"/>
      <c r="F300" s="2822"/>
      <c r="G300" s="2822"/>
      <c r="H300" s="2822"/>
      <c r="I300" s="2822"/>
      <c r="J300" s="2822"/>
      <c r="K300" s="2822"/>
      <c r="L300" s="2822"/>
      <c r="M300" s="2822"/>
      <c r="N300" s="2822"/>
      <c r="O300" s="2822"/>
      <c r="P300" s="2822"/>
      <c r="Q300" s="2822"/>
      <c r="R300" s="2822"/>
      <c r="S300" s="2822"/>
      <c r="T300" s="2822"/>
      <c r="U300" s="2822"/>
      <c r="V300" s="2822"/>
      <c r="W300" s="2822"/>
      <c r="X300" s="2822"/>
      <c r="Y300" s="2822"/>
      <c r="Z300" s="2822"/>
      <c r="AA300" s="2822"/>
      <c r="AB300" s="2822"/>
      <c r="AC300" s="2822"/>
      <c r="AD300" s="2822"/>
      <c r="AE300" s="2822"/>
      <c r="AF300" s="2822"/>
      <c r="AG300" s="2822"/>
      <c r="AH300" s="2822"/>
      <c r="AI300" s="2822"/>
      <c r="AJ300" s="2822"/>
      <c r="AK300" s="2822"/>
      <c r="AL300" s="2822"/>
      <c r="AM300" s="2822"/>
      <c r="AN300" s="2822"/>
      <c r="AO300" s="2822"/>
      <c r="AP300" s="2822"/>
      <c r="AQ300" s="2822"/>
      <c r="AR300" s="2822"/>
      <c r="AS300" s="2822"/>
      <c r="AT300" s="2822"/>
      <c r="AU300" s="2822"/>
      <c r="AV300" s="2822"/>
      <c r="AW300" s="2822"/>
      <c r="AX300" s="2822"/>
      <c r="AY300" s="2822"/>
      <c r="AZ300" s="2822"/>
      <c r="BA300" s="2822"/>
      <c r="BB300" s="2822"/>
      <c r="BC300" s="2822"/>
      <c r="BD300" s="2822"/>
      <c r="BE300" s="2822"/>
      <c r="BF300" s="2822"/>
      <c r="BG300" s="2822"/>
      <c r="BH300" s="2822"/>
      <c r="BI300" s="2822"/>
      <c r="BJ300" s="2822"/>
      <c r="BK300" s="2822"/>
      <c r="BL300" s="2822"/>
      <c r="BM300" s="2822"/>
      <c r="BN300" s="2822"/>
      <c r="BO300" s="2822"/>
      <c r="BP300" s="2822"/>
      <c r="BQ300" s="2822"/>
      <c r="BR300" s="2822"/>
      <c r="BS300" s="2822"/>
      <c r="BT300" s="2822"/>
      <c r="BU300" s="2822"/>
      <c r="BV300" s="2822"/>
      <c r="BW300" s="2822"/>
      <c r="BX300" s="2822"/>
      <c r="BY300" s="2822"/>
      <c r="BZ300" s="2822"/>
      <c r="CA300" s="2822"/>
      <c r="CB300" s="2822"/>
      <c r="CC300" s="2822"/>
      <c r="CD300" s="2822"/>
      <c r="CE300" s="2822"/>
      <c r="CF300" s="2822"/>
      <c r="CG300" s="2822"/>
      <c r="CH300" s="2822"/>
      <c r="CI300" s="2822"/>
      <c r="CJ300" s="2822"/>
      <c r="CK300" s="2822"/>
      <c r="CL300" s="2822"/>
      <c r="CM300" s="2822"/>
      <c r="CN300" s="2822"/>
    </row>
    <row r="301" spans="1:92" x14ac:dyDescent="0.2">
      <c r="A301" s="2822"/>
      <c r="B301" s="2822"/>
      <c r="C301" s="2822"/>
      <c r="D301" s="2822"/>
      <c r="E301" s="2822"/>
      <c r="F301" s="2822"/>
      <c r="G301" s="2822"/>
      <c r="H301" s="2822"/>
      <c r="I301" s="2822"/>
      <c r="J301" s="2822"/>
      <c r="K301" s="2822"/>
      <c r="L301" s="2822"/>
      <c r="M301" s="2822"/>
      <c r="N301" s="2822"/>
      <c r="O301" s="2822"/>
      <c r="P301" s="2822"/>
      <c r="Q301" s="2822"/>
      <c r="R301" s="2822"/>
      <c r="S301" s="2822"/>
      <c r="T301" s="2822"/>
      <c r="U301" s="2822"/>
      <c r="V301" s="2822"/>
      <c r="W301" s="2822"/>
      <c r="X301" s="2822"/>
      <c r="Y301" s="2822"/>
      <c r="Z301" s="2822"/>
      <c r="AA301" s="2822"/>
      <c r="AB301" s="2822"/>
      <c r="AC301" s="2822"/>
      <c r="AD301" s="2822"/>
      <c r="AE301" s="2822"/>
      <c r="AF301" s="2822"/>
      <c r="AG301" s="2822"/>
      <c r="AH301" s="2822"/>
      <c r="AI301" s="2822"/>
      <c r="AJ301" s="2822"/>
      <c r="AK301" s="2822"/>
      <c r="AL301" s="2822"/>
      <c r="AM301" s="2822"/>
      <c r="AN301" s="2822"/>
      <c r="AO301" s="2822"/>
      <c r="AP301" s="2822"/>
      <c r="AQ301" s="2822"/>
      <c r="AR301" s="2822"/>
      <c r="AS301" s="2822"/>
      <c r="AT301" s="2822"/>
      <c r="AU301" s="2822"/>
      <c r="AV301" s="2822"/>
      <c r="AW301" s="2822"/>
      <c r="AX301" s="2822"/>
      <c r="AY301" s="2822"/>
      <c r="AZ301" s="2822"/>
      <c r="BA301" s="2822"/>
      <c r="BB301" s="2822"/>
      <c r="BC301" s="2822"/>
      <c r="BD301" s="2822"/>
      <c r="BE301" s="2822"/>
      <c r="BF301" s="2822"/>
      <c r="BG301" s="2822"/>
      <c r="BH301" s="2822"/>
      <c r="BI301" s="2822"/>
      <c r="BJ301" s="2822"/>
      <c r="BK301" s="2822"/>
      <c r="BL301" s="2822"/>
      <c r="BM301" s="2822"/>
      <c r="BN301" s="2822"/>
      <c r="BO301" s="2822"/>
      <c r="BP301" s="2822"/>
      <c r="BQ301" s="2822"/>
      <c r="BR301" s="2822"/>
      <c r="BS301" s="2822"/>
      <c r="BT301" s="2822"/>
      <c r="BU301" s="2822"/>
      <c r="BV301" s="2822"/>
      <c r="BW301" s="2822"/>
      <c r="BX301" s="2822"/>
      <c r="BY301" s="2822"/>
      <c r="BZ301" s="2822"/>
      <c r="CA301" s="2822"/>
      <c r="CB301" s="2822"/>
      <c r="CC301" s="2822"/>
      <c r="CD301" s="2822"/>
      <c r="CE301" s="2822"/>
      <c r="CF301" s="2822"/>
      <c r="CG301" s="2822"/>
      <c r="CH301" s="2822"/>
      <c r="CI301" s="2822"/>
      <c r="CJ301" s="2822"/>
      <c r="CK301" s="2822"/>
      <c r="CL301" s="2822"/>
      <c r="CM301" s="2822"/>
      <c r="CN301" s="2822"/>
    </row>
    <row r="302" spans="1:92" x14ac:dyDescent="0.2">
      <c r="A302" s="2822"/>
      <c r="B302" s="2822"/>
      <c r="C302" s="2822"/>
      <c r="D302" s="2822"/>
      <c r="E302" s="2822"/>
      <c r="F302" s="2822"/>
      <c r="G302" s="2822"/>
      <c r="H302" s="2822"/>
      <c r="I302" s="2822"/>
      <c r="J302" s="2822"/>
      <c r="K302" s="2822"/>
      <c r="L302" s="2822"/>
      <c r="M302" s="2822"/>
      <c r="N302" s="2822"/>
      <c r="O302" s="2822"/>
      <c r="P302" s="2822"/>
      <c r="Q302" s="2822"/>
      <c r="R302" s="2822"/>
      <c r="S302" s="2822"/>
      <c r="T302" s="2822"/>
      <c r="U302" s="2822"/>
      <c r="V302" s="2822"/>
      <c r="W302" s="2822"/>
      <c r="X302" s="2822"/>
      <c r="Y302" s="2822"/>
      <c r="Z302" s="2822"/>
      <c r="AA302" s="2822"/>
      <c r="AB302" s="2822"/>
      <c r="AC302" s="2822"/>
      <c r="AD302" s="2822"/>
      <c r="AE302" s="2822"/>
      <c r="AF302" s="2822"/>
      <c r="AG302" s="2822"/>
      <c r="AH302" s="2822"/>
      <c r="AI302" s="2822"/>
      <c r="AJ302" s="2822"/>
      <c r="AK302" s="2822"/>
      <c r="AL302" s="2822"/>
      <c r="AM302" s="2822"/>
      <c r="AN302" s="2822"/>
      <c r="AO302" s="2822"/>
      <c r="AP302" s="2822"/>
      <c r="AQ302" s="2822"/>
      <c r="AR302" s="2822"/>
      <c r="AS302" s="2822"/>
      <c r="AT302" s="2822"/>
      <c r="AU302" s="2822"/>
      <c r="AV302" s="2822"/>
      <c r="AW302" s="2822"/>
      <c r="AX302" s="2822"/>
      <c r="AY302" s="2822"/>
      <c r="AZ302" s="2822"/>
      <c r="BA302" s="2822"/>
      <c r="BB302" s="2822"/>
      <c r="BC302" s="2822"/>
      <c r="BD302" s="2822"/>
      <c r="BE302" s="2822"/>
      <c r="BF302" s="2822"/>
      <c r="BG302" s="2822"/>
      <c r="BH302" s="2822"/>
      <c r="BI302" s="2822"/>
      <c r="BJ302" s="2822"/>
      <c r="BK302" s="2822"/>
      <c r="BL302" s="2822"/>
      <c r="BM302" s="2822"/>
      <c r="BN302" s="2822"/>
      <c r="BO302" s="2822"/>
      <c r="BP302" s="2822"/>
      <c r="BQ302" s="2822"/>
      <c r="BR302" s="2822"/>
      <c r="BS302" s="2822"/>
      <c r="BT302" s="2822"/>
      <c r="BU302" s="2822"/>
      <c r="BV302" s="2822"/>
      <c r="BW302" s="2822"/>
      <c r="BX302" s="2822"/>
      <c r="BY302" s="2822"/>
      <c r="BZ302" s="2822"/>
      <c r="CA302" s="2822"/>
      <c r="CB302" s="2822"/>
      <c r="CC302" s="2822"/>
      <c r="CD302" s="2822"/>
      <c r="CE302" s="2822"/>
      <c r="CF302" s="2822"/>
      <c r="CG302" s="2822"/>
      <c r="CH302" s="2822"/>
      <c r="CI302" s="2822"/>
      <c r="CJ302" s="2822"/>
      <c r="CK302" s="2822"/>
      <c r="CL302" s="2822"/>
      <c r="CM302" s="2822"/>
      <c r="CN302" s="2822"/>
    </row>
    <row r="303" spans="1:92" x14ac:dyDescent="0.2">
      <c r="A303" s="2822"/>
      <c r="B303" s="2822"/>
      <c r="C303" s="2822"/>
      <c r="D303" s="2822"/>
      <c r="E303" s="2822"/>
      <c r="F303" s="2822"/>
      <c r="G303" s="2822"/>
      <c r="H303" s="2822"/>
      <c r="I303" s="2822"/>
      <c r="J303" s="2822"/>
      <c r="K303" s="2822"/>
      <c r="L303" s="2822"/>
      <c r="M303" s="2822"/>
      <c r="N303" s="2822"/>
      <c r="O303" s="2822"/>
      <c r="P303" s="2822"/>
      <c r="Q303" s="2822"/>
      <c r="R303" s="2822"/>
      <c r="S303" s="2822"/>
      <c r="T303" s="2822"/>
      <c r="U303" s="2822"/>
      <c r="V303" s="2822"/>
      <c r="W303" s="2822"/>
      <c r="X303" s="2822"/>
      <c r="Y303" s="2822"/>
      <c r="Z303" s="2822"/>
      <c r="AA303" s="2822"/>
      <c r="AB303" s="2822"/>
      <c r="AC303" s="2822"/>
      <c r="AD303" s="2822"/>
      <c r="AE303" s="2822"/>
      <c r="AF303" s="2822"/>
      <c r="AG303" s="2822"/>
      <c r="AH303" s="2822"/>
      <c r="AI303" s="2822"/>
      <c r="AJ303" s="2822"/>
      <c r="AK303" s="2822"/>
      <c r="AL303" s="2822"/>
      <c r="AM303" s="2822"/>
      <c r="AN303" s="2822"/>
      <c r="AO303" s="2822"/>
      <c r="AP303" s="2822"/>
      <c r="AQ303" s="2822"/>
      <c r="AR303" s="2822"/>
      <c r="AS303" s="2822"/>
      <c r="AT303" s="2822"/>
      <c r="AU303" s="2822"/>
      <c r="AV303" s="2822"/>
      <c r="AW303" s="2822"/>
      <c r="AX303" s="2822"/>
      <c r="AY303" s="2822"/>
      <c r="AZ303" s="2822"/>
      <c r="BA303" s="2822"/>
      <c r="BB303" s="2822"/>
      <c r="BC303" s="2822"/>
      <c r="BD303" s="2822"/>
      <c r="BE303" s="2822"/>
      <c r="BF303" s="2822"/>
      <c r="BG303" s="2822"/>
      <c r="BH303" s="2822"/>
      <c r="BI303" s="2822"/>
      <c r="BJ303" s="2822"/>
      <c r="BK303" s="2822"/>
      <c r="BL303" s="2822"/>
      <c r="BM303" s="2822"/>
      <c r="BN303" s="2822"/>
      <c r="BO303" s="2822"/>
      <c r="BP303" s="2822"/>
      <c r="BQ303" s="2822"/>
      <c r="BR303" s="2822"/>
      <c r="BS303" s="2822"/>
      <c r="BT303" s="2822"/>
      <c r="BU303" s="2822"/>
      <c r="BV303" s="2822"/>
      <c r="BW303" s="2822"/>
      <c r="BX303" s="2822"/>
      <c r="BY303" s="2822"/>
      <c r="BZ303" s="2822"/>
      <c r="CA303" s="2822"/>
      <c r="CB303" s="2822"/>
      <c r="CC303" s="2822"/>
      <c r="CD303" s="2822"/>
      <c r="CE303" s="2822"/>
      <c r="CF303" s="2822"/>
      <c r="CG303" s="2822"/>
      <c r="CH303" s="2822"/>
      <c r="CI303" s="2822"/>
      <c r="CJ303" s="2822"/>
      <c r="CK303" s="2822"/>
      <c r="CL303" s="2822"/>
      <c r="CM303" s="2822"/>
      <c r="CN303" s="2822"/>
    </row>
    <row r="304" spans="1:92" x14ac:dyDescent="0.2">
      <c r="A304" s="2822"/>
      <c r="B304" s="2822"/>
      <c r="C304" s="2822"/>
      <c r="D304" s="2822"/>
      <c r="E304" s="2822"/>
      <c r="F304" s="2822"/>
      <c r="G304" s="2822"/>
      <c r="H304" s="2822"/>
      <c r="I304" s="2822"/>
      <c r="J304" s="2822"/>
      <c r="K304" s="2822"/>
      <c r="L304" s="2822"/>
      <c r="M304" s="2822"/>
      <c r="N304" s="2822"/>
      <c r="O304" s="2822"/>
      <c r="P304" s="2822"/>
      <c r="Q304" s="2822"/>
      <c r="R304" s="2822"/>
      <c r="S304" s="2822"/>
      <c r="T304" s="2822"/>
      <c r="U304" s="2822"/>
      <c r="V304" s="2822"/>
      <c r="W304" s="2822"/>
      <c r="X304" s="2822"/>
      <c r="Y304" s="2822"/>
      <c r="Z304" s="2822"/>
      <c r="AA304" s="2822"/>
      <c r="AB304" s="2822"/>
      <c r="AC304" s="2822"/>
      <c r="AD304" s="2822"/>
      <c r="AE304" s="2822"/>
      <c r="AF304" s="2822"/>
      <c r="AG304" s="2822"/>
      <c r="AH304" s="2822"/>
      <c r="AI304" s="2822"/>
      <c r="AJ304" s="2822"/>
      <c r="AK304" s="2822"/>
      <c r="AL304" s="2822"/>
      <c r="AM304" s="2822"/>
      <c r="AN304" s="2822"/>
      <c r="AO304" s="2822"/>
      <c r="AP304" s="2822"/>
      <c r="AQ304" s="2822"/>
      <c r="AR304" s="2822"/>
      <c r="AS304" s="2822"/>
      <c r="AT304" s="2822"/>
      <c r="AU304" s="2822"/>
      <c r="AV304" s="2822"/>
      <c r="AW304" s="2822"/>
      <c r="AX304" s="2822"/>
      <c r="AY304" s="2822"/>
      <c r="AZ304" s="2822"/>
      <c r="BA304" s="2822"/>
      <c r="BB304" s="2822"/>
      <c r="BC304" s="2822"/>
      <c r="BD304" s="2822"/>
      <c r="BE304" s="2822"/>
      <c r="BF304" s="2822"/>
      <c r="BG304" s="2822"/>
      <c r="BH304" s="2822"/>
      <c r="BI304" s="2822"/>
      <c r="BJ304" s="2822"/>
      <c r="BK304" s="2822"/>
      <c r="BL304" s="2822"/>
      <c r="BM304" s="2822"/>
      <c r="BN304" s="2822"/>
      <c r="BO304" s="2822"/>
      <c r="BP304" s="2822"/>
      <c r="BQ304" s="2822"/>
      <c r="BR304" s="2822"/>
      <c r="BS304" s="2822"/>
      <c r="BT304" s="2822"/>
      <c r="BU304" s="2822"/>
      <c r="BV304" s="2822"/>
      <c r="BW304" s="2822"/>
      <c r="BX304" s="2822"/>
      <c r="BY304" s="2822"/>
      <c r="BZ304" s="2822"/>
      <c r="CA304" s="2822"/>
      <c r="CB304" s="2822"/>
      <c r="CC304" s="2822"/>
      <c r="CD304" s="2822"/>
      <c r="CE304" s="2822"/>
      <c r="CF304" s="2822"/>
      <c r="CG304" s="2822"/>
      <c r="CH304" s="2822"/>
      <c r="CI304" s="2822"/>
      <c r="CJ304" s="2822"/>
      <c r="CK304" s="2822"/>
      <c r="CL304" s="2822"/>
      <c r="CM304" s="2822"/>
      <c r="CN304" s="2822"/>
    </row>
    <row r="305" spans="1:92" x14ac:dyDescent="0.2">
      <c r="A305" s="2822"/>
      <c r="B305" s="2822"/>
      <c r="C305" s="2822"/>
      <c r="D305" s="2822"/>
      <c r="E305" s="2822"/>
      <c r="F305" s="2822"/>
      <c r="G305" s="2822"/>
      <c r="H305" s="2822"/>
      <c r="I305" s="2822"/>
      <c r="J305" s="2822"/>
      <c r="K305" s="2822"/>
      <c r="L305" s="2822"/>
      <c r="M305" s="2822"/>
      <c r="N305" s="2822"/>
      <c r="O305" s="2822"/>
      <c r="P305" s="2822"/>
      <c r="Q305" s="2822"/>
      <c r="R305" s="2822"/>
      <c r="S305" s="2822"/>
      <c r="T305" s="2822"/>
      <c r="U305" s="2822"/>
      <c r="V305" s="2822"/>
      <c r="W305" s="2822"/>
      <c r="X305" s="2822"/>
      <c r="Y305" s="2822"/>
      <c r="Z305" s="2822"/>
      <c r="AA305" s="2822"/>
      <c r="AB305" s="2822"/>
      <c r="AC305" s="2822"/>
      <c r="AD305" s="2822"/>
      <c r="AE305" s="2822"/>
      <c r="AF305" s="2822"/>
      <c r="AG305" s="2822"/>
      <c r="AH305" s="2822"/>
      <c r="AI305" s="2822"/>
      <c r="AJ305" s="2822"/>
      <c r="AK305" s="2822"/>
      <c r="AL305" s="2822"/>
      <c r="AM305" s="2822"/>
      <c r="AN305" s="2822"/>
      <c r="AO305" s="2822"/>
      <c r="AP305" s="2822"/>
      <c r="AQ305" s="2822"/>
      <c r="AR305" s="2822"/>
      <c r="AS305" s="2822"/>
      <c r="AT305" s="2822"/>
      <c r="AU305" s="2822"/>
      <c r="AV305" s="2822"/>
      <c r="AW305" s="2822"/>
      <c r="AX305" s="2822"/>
      <c r="AY305" s="2822"/>
      <c r="AZ305" s="2822"/>
      <c r="BA305" s="2822"/>
      <c r="BB305" s="2822"/>
      <c r="BC305" s="2822"/>
      <c r="BD305" s="2822"/>
      <c r="BE305" s="2822"/>
      <c r="BF305" s="2822"/>
      <c r="BG305" s="2822"/>
      <c r="BH305" s="2822"/>
      <c r="BI305" s="2822"/>
      <c r="BJ305" s="2822"/>
      <c r="BK305" s="2822"/>
      <c r="BL305" s="2822"/>
      <c r="BM305" s="2822"/>
      <c r="BN305" s="2822"/>
      <c r="BO305" s="2822"/>
      <c r="BP305" s="2822"/>
      <c r="BQ305" s="2822"/>
      <c r="BR305" s="2822"/>
      <c r="BS305" s="2822"/>
      <c r="BT305" s="2822"/>
      <c r="BU305" s="2822"/>
      <c r="BV305" s="2822"/>
      <c r="BW305" s="2822"/>
      <c r="BX305" s="2822"/>
      <c r="BY305" s="2822"/>
      <c r="BZ305" s="2822"/>
      <c r="CA305" s="2822"/>
      <c r="CB305" s="2822"/>
      <c r="CC305" s="2822"/>
      <c r="CD305" s="2822"/>
      <c r="CE305" s="2822"/>
      <c r="CF305" s="2822"/>
      <c r="CG305" s="2822"/>
      <c r="CH305" s="2822"/>
      <c r="CI305" s="2822"/>
      <c r="CJ305" s="2822"/>
      <c r="CK305" s="2822"/>
      <c r="CL305" s="2822"/>
      <c r="CM305" s="2822"/>
      <c r="CN305" s="2822"/>
    </row>
    <row r="306" spans="1:92" x14ac:dyDescent="0.2">
      <c r="A306" s="2822"/>
      <c r="B306" s="2822"/>
      <c r="C306" s="2822"/>
      <c r="D306" s="2822"/>
      <c r="E306" s="2822"/>
      <c r="F306" s="2822"/>
      <c r="G306" s="2822"/>
      <c r="H306" s="2822"/>
      <c r="I306" s="2822"/>
      <c r="J306" s="2822"/>
      <c r="K306" s="2822"/>
      <c r="L306" s="2822"/>
      <c r="M306" s="2822"/>
      <c r="N306" s="2822"/>
      <c r="O306" s="2822"/>
      <c r="P306" s="2822"/>
      <c r="Q306" s="2822"/>
      <c r="R306" s="2822"/>
      <c r="S306" s="2822"/>
      <c r="T306" s="2822"/>
      <c r="U306" s="2822"/>
      <c r="V306" s="2822"/>
      <c r="W306" s="2822"/>
      <c r="X306" s="2822"/>
      <c r="Y306" s="2822"/>
      <c r="Z306" s="2822"/>
      <c r="AA306" s="2822"/>
      <c r="AB306" s="2822"/>
      <c r="AC306" s="2822"/>
      <c r="AD306" s="2822"/>
      <c r="AE306" s="2822"/>
      <c r="AF306" s="2822"/>
      <c r="AG306" s="2822"/>
      <c r="AH306" s="2822"/>
      <c r="AI306" s="2822"/>
      <c r="AJ306" s="2822"/>
      <c r="AK306" s="2822"/>
      <c r="AL306" s="2822"/>
      <c r="AM306" s="2822"/>
      <c r="AN306" s="2822"/>
      <c r="AO306" s="2822"/>
      <c r="AP306" s="2822"/>
      <c r="AQ306" s="2822"/>
      <c r="AR306" s="2822"/>
      <c r="AS306" s="2822"/>
      <c r="AT306" s="2822"/>
      <c r="AU306" s="2822"/>
      <c r="AV306" s="2822"/>
      <c r="AW306" s="2822"/>
      <c r="AX306" s="2822"/>
      <c r="AY306" s="2822"/>
      <c r="AZ306" s="2822"/>
      <c r="BA306" s="2822"/>
      <c r="BB306" s="2822"/>
      <c r="BC306" s="2822"/>
      <c r="BD306" s="2822"/>
      <c r="BE306" s="2822"/>
      <c r="BF306" s="2822"/>
      <c r="BG306" s="2822"/>
      <c r="BH306" s="2822"/>
      <c r="BI306" s="2822"/>
      <c r="BJ306" s="2822"/>
      <c r="BK306" s="2822"/>
      <c r="BL306" s="2822"/>
      <c r="BM306" s="2822"/>
      <c r="BN306" s="2822"/>
      <c r="BO306" s="2822"/>
      <c r="BP306" s="2822"/>
      <c r="BQ306" s="2822"/>
      <c r="BR306" s="2822"/>
      <c r="BS306" s="2822"/>
      <c r="BT306" s="2822"/>
      <c r="BU306" s="2822"/>
      <c r="BV306" s="2822"/>
      <c r="BW306" s="2822"/>
      <c r="BX306" s="2822"/>
      <c r="BY306" s="2822"/>
      <c r="BZ306" s="2822"/>
      <c r="CA306" s="2822"/>
      <c r="CB306" s="2822"/>
      <c r="CC306" s="2822"/>
      <c r="CD306" s="2822"/>
      <c r="CE306" s="2822"/>
      <c r="CF306" s="2822"/>
      <c r="CG306" s="2822"/>
      <c r="CH306" s="2822"/>
      <c r="CI306" s="2822"/>
      <c r="CJ306" s="2822"/>
      <c r="CK306" s="2822"/>
      <c r="CL306" s="2822"/>
      <c r="CM306" s="2822"/>
      <c r="CN306" s="2822"/>
    </row>
    <row r="307" spans="1:92" x14ac:dyDescent="0.2">
      <c r="A307" s="2822"/>
      <c r="B307" s="2822"/>
      <c r="C307" s="2822"/>
      <c r="D307" s="2822"/>
      <c r="E307" s="2822"/>
      <c r="F307" s="2822"/>
      <c r="G307" s="2822"/>
      <c r="H307" s="2822"/>
      <c r="I307" s="2822"/>
      <c r="J307" s="2822"/>
      <c r="K307" s="2822"/>
      <c r="L307" s="2822"/>
      <c r="M307" s="2822"/>
      <c r="N307" s="2822"/>
      <c r="O307" s="2822"/>
      <c r="P307" s="2822"/>
      <c r="Q307" s="2822"/>
      <c r="R307" s="2822"/>
      <c r="S307" s="2822"/>
      <c r="T307" s="2822"/>
      <c r="U307" s="2822"/>
      <c r="V307" s="2822"/>
      <c r="W307" s="2822"/>
      <c r="X307" s="2822"/>
      <c r="Y307" s="2822"/>
      <c r="Z307" s="2822"/>
      <c r="AA307" s="2822"/>
      <c r="AB307" s="2822"/>
      <c r="AC307" s="2822"/>
      <c r="AD307" s="2822"/>
      <c r="AE307" s="2822"/>
      <c r="AF307" s="2822"/>
      <c r="AG307" s="2822"/>
      <c r="AH307" s="2822"/>
      <c r="AI307" s="2822"/>
      <c r="AJ307" s="2822"/>
      <c r="AK307" s="2822"/>
      <c r="AL307" s="2822"/>
      <c r="AM307" s="2822"/>
      <c r="AN307" s="2822"/>
      <c r="AO307" s="2822"/>
      <c r="AP307" s="2822"/>
      <c r="AQ307" s="2822"/>
      <c r="AR307" s="2822"/>
      <c r="AS307" s="2822"/>
      <c r="AT307" s="2822"/>
      <c r="AU307" s="2822"/>
      <c r="AV307" s="2822"/>
      <c r="AW307" s="2822"/>
      <c r="AX307" s="2822"/>
      <c r="AY307" s="2822"/>
      <c r="AZ307" s="2822"/>
      <c r="BA307" s="2822"/>
      <c r="BB307" s="2822"/>
      <c r="BC307" s="2822"/>
      <c r="BD307" s="2822"/>
      <c r="BE307" s="2822"/>
      <c r="BF307" s="2822"/>
      <c r="BG307" s="2822"/>
      <c r="BH307" s="2822"/>
      <c r="BI307" s="2822"/>
      <c r="BJ307" s="2822"/>
      <c r="BK307" s="2822"/>
      <c r="BL307" s="2822"/>
      <c r="BM307" s="2822"/>
      <c r="BN307" s="2822"/>
      <c r="BO307" s="2822"/>
      <c r="BP307" s="2822"/>
      <c r="BQ307" s="2822"/>
      <c r="BR307" s="2822"/>
      <c r="BS307" s="2822"/>
      <c r="BT307" s="2822"/>
      <c r="BU307" s="2822"/>
      <c r="BV307" s="2822"/>
      <c r="BW307" s="2822"/>
      <c r="BX307" s="2822"/>
      <c r="BY307" s="2822"/>
      <c r="BZ307" s="2822"/>
      <c r="CA307" s="2822"/>
      <c r="CB307" s="2822"/>
      <c r="CC307" s="2822"/>
      <c r="CD307" s="2822"/>
      <c r="CE307" s="2822"/>
      <c r="CF307" s="2822"/>
      <c r="CG307" s="2822"/>
      <c r="CH307" s="2822"/>
      <c r="CI307" s="2822"/>
      <c r="CJ307" s="2822"/>
      <c r="CK307" s="2822"/>
      <c r="CL307" s="2822"/>
      <c r="CM307" s="2822"/>
      <c r="CN307" s="2822"/>
    </row>
    <row r="308" spans="1:92" x14ac:dyDescent="0.2">
      <c r="A308" s="2822"/>
      <c r="B308" s="2822"/>
      <c r="C308" s="2822"/>
      <c r="D308" s="2822"/>
      <c r="E308" s="2822"/>
      <c r="F308" s="2822"/>
      <c r="G308" s="2822"/>
      <c r="H308" s="2822"/>
      <c r="I308" s="2822"/>
      <c r="J308" s="2822"/>
      <c r="K308" s="2822"/>
      <c r="L308" s="2822"/>
      <c r="M308" s="2822"/>
      <c r="N308" s="2822"/>
      <c r="O308" s="2822"/>
      <c r="P308" s="2822"/>
      <c r="Q308" s="2822"/>
      <c r="R308" s="2822"/>
      <c r="S308" s="2822"/>
      <c r="T308" s="2822"/>
      <c r="U308" s="2822"/>
      <c r="V308" s="2822"/>
      <c r="W308" s="2822"/>
      <c r="X308" s="2822"/>
      <c r="Y308" s="2822"/>
      <c r="Z308" s="2822"/>
      <c r="AA308" s="2822"/>
      <c r="AB308" s="2822"/>
      <c r="AC308" s="2822"/>
      <c r="AD308" s="2822"/>
      <c r="AE308" s="2822"/>
      <c r="AF308" s="2822"/>
      <c r="AG308" s="2822"/>
      <c r="AH308" s="2822"/>
      <c r="AI308" s="2822"/>
      <c r="AJ308" s="2822"/>
      <c r="AK308" s="2822"/>
      <c r="AL308" s="2822"/>
      <c r="AM308" s="2822"/>
      <c r="AN308" s="2822"/>
      <c r="AO308" s="2822"/>
      <c r="AP308" s="2822"/>
      <c r="AQ308" s="2822"/>
      <c r="AR308" s="2822"/>
      <c r="AS308" s="2822"/>
      <c r="AT308" s="2822"/>
      <c r="AU308" s="2822"/>
      <c r="AV308" s="2822"/>
      <c r="AW308" s="2822"/>
      <c r="AX308" s="2822"/>
      <c r="AY308" s="2822"/>
      <c r="AZ308" s="2822"/>
      <c r="BA308" s="2822"/>
      <c r="BB308" s="2822"/>
      <c r="BC308" s="2822"/>
      <c r="BD308" s="2822"/>
      <c r="BE308" s="2822"/>
      <c r="BF308" s="2822"/>
      <c r="BG308" s="2822"/>
      <c r="BH308" s="2822"/>
      <c r="BI308" s="2822"/>
      <c r="BJ308" s="2822"/>
      <c r="BK308" s="2822"/>
      <c r="BL308" s="2822"/>
      <c r="BM308" s="2822"/>
      <c r="BN308" s="2822"/>
      <c r="BO308" s="2822"/>
      <c r="BP308" s="2822"/>
      <c r="BQ308" s="2822"/>
      <c r="BR308" s="2822"/>
      <c r="BS308" s="2822"/>
      <c r="BT308" s="2822"/>
      <c r="BU308" s="2822"/>
      <c r="BV308" s="2822"/>
      <c r="BW308" s="2822"/>
      <c r="BX308" s="2822"/>
      <c r="BY308" s="2822"/>
      <c r="BZ308" s="2822"/>
      <c r="CA308" s="2822"/>
      <c r="CB308" s="2822"/>
      <c r="CC308" s="2822"/>
      <c r="CD308" s="2822"/>
      <c r="CE308" s="2822"/>
      <c r="CF308" s="2822"/>
      <c r="CG308" s="2822"/>
      <c r="CH308" s="2822"/>
      <c r="CI308" s="2822"/>
      <c r="CJ308" s="2822"/>
      <c r="CK308" s="2822"/>
      <c r="CL308" s="2822"/>
      <c r="CM308" s="2822"/>
      <c r="CN308" s="2822"/>
    </row>
    <row r="309" spans="1:92" x14ac:dyDescent="0.2">
      <c r="A309" s="2822"/>
      <c r="B309" s="2822"/>
      <c r="C309" s="2822"/>
      <c r="D309" s="2822"/>
      <c r="E309" s="2822"/>
      <c r="F309" s="2822"/>
      <c r="G309" s="2822"/>
      <c r="H309" s="2822"/>
      <c r="I309" s="2822"/>
      <c r="J309" s="2822"/>
      <c r="K309" s="2822"/>
      <c r="L309" s="2822"/>
      <c r="M309" s="2822"/>
      <c r="N309" s="2822"/>
      <c r="O309" s="2822"/>
      <c r="P309" s="2822"/>
      <c r="Q309" s="2822"/>
      <c r="R309" s="2822"/>
      <c r="S309" s="2822"/>
      <c r="T309" s="2822"/>
      <c r="U309" s="2822"/>
      <c r="V309" s="2822"/>
      <c r="W309" s="2822"/>
      <c r="X309" s="2822"/>
      <c r="Y309" s="2822"/>
      <c r="Z309" s="2822"/>
      <c r="AA309" s="2822"/>
      <c r="AB309" s="2822"/>
      <c r="AC309" s="2822"/>
      <c r="AD309" s="2822"/>
      <c r="AE309" s="2822"/>
      <c r="AF309" s="2822"/>
      <c r="AG309" s="2822"/>
      <c r="AH309" s="2822"/>
      <c r="AI309" s="2822"/>
      <c r="AJ309" s="2822"/>
      <c r="AK309" s="2822"/>
      <c r="AL309" s="2822"/>
      <c r="AM309" s="2822"/>
      <c r="AN309" s="2822"/>
      <c r="AO309" s="2822"/>
      <c r="AP309" s="2822"/>
      <c r="AQ309" s="2822"/>
      <c r="AR309" s="2822"/>
      <c r="AS309" s="2822"/>
      <c r="AT309" s="2822"/>
      <c r="AU309" s="2822"/>
      <c r="AV309" s="2822"/>
      <c r="AW309" s="2822"/>
      <c r="AX309" s="2822"/>
      <c r="AY309" s="2822"/>
      <c r="AZ309" s="2822"/>
      <c r="BA309" s="2822"/>
      <c r="BB309" s="2822"/>
      <c r="BC309" s="2822"/>
      <c r="BD309" s="2822"/>
      <c r="BE309" s="2822"/>
      <c r="BF309" s="2822"/>
      <c r="BG309" s="2822"/>
      <c r="BH309" s="2822"/>
      <c r="BI309" s="2822"/>
      <c r="BJ309" s="2822"/>
      <c r="BK309" s="2822"/>
      <c r="BL309" s="2822"/>
      <c r="BM309" s="2822"/>
      <c r="BN309" s="2822"/>
      <c r="BO309" s="2822"/>
      <c r="BP309" s="2822"/>
      <c r="BQ309" s="2822"/>
      <c r="BR309" s="2822"/>
      <c r="BS309" s="2822"/>
      <c r="BT309" s="2822"/>
      <c r="BU309" s="2822"/>
      <c r="BV309" s="2822"/>
      <c r="BW309" s="2822"/>
      <c r="BX309" s="2822"/>
      <c r="BY309" s="2822"/>
      <c r="BZ309" s="2822"/>
      <c r="CA309" s="2822"/>
      <c r="CB309" s="2822"/>
      <c r="CC309" s="2822"/>
      <c r="CD309" s="2822"/>
      <c r="CE309" s="2822"/>
      <c r="CF309" s="2822"/>
      <c r="CG309" s="2822"/>
      <c r="CH309" s="2822"/>
      <c r="CI309" s="2822"/>
      <c r="CJ309" s="2822"/>
      <c r="CK309" s="2822"/>
      <c r="CL309" s="2822"/>
      <c r="CM309" s="2822"/>
      <c r="CN309" s="2822"/>
    </row>
    <row r="310" spans="1:92" x14ac:dyDescent="0.2">
      <c r="A310" s="2822"/>
      <c r="B310" s="2822"/>
      <c r="C310" s="2822"/>
      <c r="D310" s="2822"/>
      <c r="E310" s="2822"/>
      <c r="F310" s="2822"/>
      <c r="G310" s="2822"/>
      <c r="H310" s="2822"/>
      <c r="I310" s="2822"/>
      <c r="J310" s="2822"/>
      <c r="K310" s="2822"/>
      <c r="L310" s="2822"/>
      <c r="M310" s="2822"/>
      <c r="N310" s="2822"/>
      <c r="O310" s="2822"/>
      <c r="P310" s="2822"/>
      <c r="Q310" s="2822"/>
      <c r="R310" s="2822"/>
      <c r="S310" s="2822"/>
      <c r="T310" s="2822"/>
      <c r="U310" s="2822"/>
      <c r="V310" s="2822"/>
      <c r="W310" s="2822"/>
      <c r="X310" s="2822"/>
      <c r="Y310" s="2822"/>
      <c r="Z310" s="2822"/>
      <c r="AA310" s="2822"/>
      <c r="AB310" s="2822"/>
      <c r="AC310" s="2822"/>
      <c r="AD310" s="2822"/>
      <c r="AE310" s="2822"/>
      <c r="AF310" s="2822"/>
      <c r="AG310" s="2822"/>
      <c r="AH310" s="2822"/>
      <c r="AI310" s="2822"/>
      <c r="AJ310" s="2822"/>
      <c r="AK310" s="2822"/>
      <c r="AL310" s="2822"/>
      <c r="AM310" s="2822"/>
      <c r="AN310" s="2822"/>
      <c r="AO310" s="2822"/>
      <c r="AP310" s="2822"/>
      <c r="AQ310" s="2822"/>
      <c r="AR310" s="2822"/>
      <c r="AS310" s="2822"/>
      <c r="AT310" s="2822"/>
      <c r="AU310" s="2822"/>
      <c r="AV310" s="2822"/>
      <c r="AW310" s="2822"/>
      <c r="AX310" s="2822"/>
      <c r="AY310" s="2822"/>
      <c r="AZ310" s="2822"/>
      <c r="BA310" s="2822"/>
      <c r="BB310" s="2822"/>
      <c r="BC310" s="2822"/>
      <c r="BD310" s="2822"/>
      <c r="BE310" s="2822"/>
      <c r="BF310" s="2822"/>
      <c r="BG310" s="2822"/>
      <c r="BH310" s="2822"/>
      <c r="BI310" s="2822"/>
      <c r="BJ310" s="2822"/>
      <c r="BK310" s="2822"/>
      <c r="BL310" s="2822"/>
      <c r="BM310" s="2822"/>
      <c r="BN310" s="2822"/>
      <c r="BO310" s="2822"/>
      <c r="BP310" s="2822"/>
      <c r="BQ310" s="2822"/>
      <c r="BR310" s="2822"/>
      <c r="BS310" s="2822"/>
      <c r="BT310" s="2822"/>
      <c r="BU310" s="2822"/>
      <c r="BV310" s="2822"/>
      <c r="BW310" s="2822"/>
      <c r="BX310" s="2822"/>
      <c r="BY310" s="2822"/>
      <c r="BZ310" s="2822"/>
      <c r="CA310" s="2822"/>
      <c r="CB310" s="2822"/>
      <c r="CC310" s="2822"/>
      <c r="CD310" s="2822"/>
      <c r="CE310" s="2822"/>
      <c r="CF310" s="2822"/>
      <c r="CG310" s="2822"/>
      <c r="CH310" s="2822"/>
      <c r="CI310" s="2822"/>
      <c r="CJ310" s="2822"/>
      <c r="CK310" s="2822"/>
      <c r="CL310" s="2822"/>
      <c r="CM310" s="2822"/>
      <c r="CN310" s="2822"/>
    </row>
    <row r="311" spans="1:92" x14ac:dyDescent="0.2">
      <c r="A311" s="2822"/>
      <c r="B311" s="2822"/>
      <c r="C311" s="2822"/>
      <c r="D311" s="2822"/>
      <c r="E311" s="2822"/>
      <c r="F311" s="2822"/>
      <c r="G311" s="2822"/>
      <c r="H311" s="2822"/>
      <c r="I311" s="2822"/>
      <c r="J311" s="2822"/>
      <c r="K311" s="2822"/>
      <c r="L311" s="2822"/>
      <c r="M311" s="2822"/>
      <c r="N311" s="2822"/>
      <c r="O311" s="2822"/>
      <c r="P311" s="2822"/>
      <c r="Q311" s="2822"/>
      <c r="R311" s="2822"/>
      <c r="S311" s="2822"/>
      <c r="T311" s="2822"/>
      <c r="U311" s="2822"/>
      <c r="V311" s="2822"/>
      <c r="W311" s="2822"/>
      <c r="X311" s="2822"/>
      <c r="Y311" s="2822"/>
      <c r="Z311" s="2822"/>
      <c r="AA311" s="2822"/>
      <c r="AB311" s="2822"/>
      <c r="AC311" s="2822"/>
      <c r="AD311" s="2822"/>
      <c r="AE311" s="2822"/>
      <c r="AF311" s="2822"/>
      <c r="AG311" s="2822"/>
      <c r="AH311" s="2822"/>
      <c r="AI311" s="2822"/>
      <c r="AJ311" s="2822"/>
      <c r="AK311" s="2822"/>
      <c r="AL311" s="2822"/>
      <c r="AM311" s="2822"/>
      <c r="AN311" s="2822"/>
      <c r="AO311" s="2822"/>
      <c r="AP311" s="2822"/>
      <c r="AQ311" s="2822"/>
      <c r="AR311" s="2822"/>
      <c r="AS311" s="2822"/>
      <c r="AT311" s="2822"/>
      <c r="AU311" s="2822"/>
      <c r="AV311" s="2822"/>
      <c r="AW311" s="2822"/>
      <c r="AX311" s="2822"/>
      <c r="AY311" s="2822"/>
      <c r="AZ311" s="2822"/>
      <c r="BA311" s="2822"/>
      <c r="BB311" s="2822"/>
      <c r="BC311" s="2822"/>
      <c r="BD311" s="2822"/>
      <c r="BE311" s="2822"/>
      <c r="BF311" s="2822"/>
      <c r="BG311" s="2822"/>
      <c r="BH311" s="2822"/>
      <c r="BI311" s="2822"/>
      <c r="BJ311" s="2822"/>
      <c r="BK311" s="2822"/>
      <c r="BL311" s="2822"/>
      <c r="BM311" s="2822"/>
      <c r="BN311" s="2822"/>
      <c r="BO311" s="2822"/>
      <c r="BP311" s="2822"/>
      <c r="BQ311" s="2822"/>
      <c r="BR311" s="2822"/>
      <c r="BS311" s="2822"/>
      <c r="BT311" s="2822"/>
      <c r="BU311" s="2822"/>
      <c r="BV311" s="2822"/>
      <c r="BW311" s="2822"/>
      <c r="BX311" s="2822"/>
      <c r="BY311" s="2822"/>
      <c r="BZ311" s="2822"/>
      <c r="CA311" s="2822"/>
      <c r="CB311" s="2822"/>
      <c r="CC311" s="2822"/>
      <c r="CD311" s="2822"/>
      <c r="CE311" s="2822"/>
      <c r="CF311" s="2822"/>
      <c r="CG311" s="2822"/>
      <c r="CH311" s="2822"/>
      <c r="CI311" s="2822"/>
      <c r="CJ311" s="2822"/>
      <c r="CK311" s="2822"/>
      <c r="CL311" s="2822"/>
      <c r="CM311" s="2822"/>
      <c r="CN311" s="2822"/>
    </row>
    <row r="312" spans="1:92" x14ac:dyDescent="0.2">
      <c r="A312" s="2822"/>
      <c r="B312" s="2822"/>
      <c r="C312" s="2822"/>
      <c r="D312" s="2822"/>
      <c r="E312" s="2822"/>
      <c r="F312" s="2822"/>
      <c r="G312" s="2822"/>
      <c r="H312" s="2822"/>
      <c r="I312" s="2822"/>
      <c r="J312" s="2822"/>
      <c r="K312" s="2822"/>
      <c r="L312" s="2822"/>
      <c r="M312" s="2822"/>
      <c r="N312" s="2822"/>
      <c r="O312" s="2822"/>
      <c r="P312" s="2822"/>
      <c r="Q312" s="2822"/>
      <c r="R312" s="2822"/>
      <c r="S312" s="2822"/>
      <c r="T312" s="2822"/>
      <c r="U312" s="2822"/>
      <c r="V312" s="2822"/>
      <c r="W312" s="2822"/>
      <c r="X312" s="2822"/>
      <c r="Y312" s="2822"/>
      <c r="Z312" s="2822"/>
      <c r="AA312" s="2822"/>
      <c r="AB312" s="2822"/>
      <c r="AC312" s="2822"/>
      <c r="AD312" s="2822"/>
      <c r="AE312" s="2822"/>
      <c r="AF312" s="2822"/>
      <c r="AG312" s="2822"/>
      <c r="AH312" s="2822"/>
      <c r="AI312" s="2822"/>
      <c r="AJ312" s="2822"/>
      <c r="AK312" s="2822"/>
      <c r="AL312" s="2822"/>
      <c r="AM312" s="2822"/>
      <c r="AN312" s="2822"/>
      <c r="AO312" s="2822"/>
      <c r="AP312" s="2822"/>
      <c r="AQ312" s="2822"/>
      <c r="AR312" s="2822"/>
      <c r="AS312" s="2822"/>
      <c r="AT312" s="2822"/>
      <c r="AU312" s="2822"/>
      <c r="AV312" s="2822"/>
      <c r="AW312" s="2822"/>
      <c r="AX312" s="2822"/>
      <c r="AY312" s="2822"/>
      <c r="AZ312" s="2822"/>
      <c r="BA312" s="2822"/>
      <c r="BB312" s="2822"/>
      <c r="BC312" s="2822"/>
      <c r="BD312" s="2822"/>
      <c r="BE312" s="2822"/>
      <c r="BF312" s="2822"/>
      <c r="BG312" s="2822"/>
      <c r="BH312" s="2822"/>
      <c r="BI312" s="2822"/>
      <c r="BJ312" s="2822"/>
      <c r="BK312" s="2822"/>
      <c r="BL312" s="2822"/>
      <c r="BM312" s="2822"/>
      <c r="BN312" s="2822"/>
      <c r="BO312" s="2822"/>
      <c r="BP312" s="2822"/>
      <c r="BQ312" s="2822"/>
      <c r="BR312" s="2822"/>
      <c r="BS312" s="2822"/>
      <c r="BT312" s="2822"/>
      <c r="BU312" s="2822"/>
      <c r="BV312" s="2822"/>
      <c r="BW312" s="2822"/>
      <c r="BX312" s="2822"/>
      <c r="BY312" s="2822"/>
      <c r="BZ312" s="2822"/>
      <c r="CA312" s="2822"/>
      <c r="CB312" s="2822"/>
      <c r="CC312" s="2822"/>
      <c r="CD312" s="2822"/>
      <c r="CE312" s="2822"/>
      <c r="CF312" s="2822"/>
      <c r="CG312" s="2822"/>
      <c r="CH312" s="2822"/>
      <c r="CI312" s="2822"/>
      <c r="CJ312" s="2822"/>
      <c r="CK312" s="2822"/>
      <c r="CL312" s="2822"/>
      <c r="CM312" s="2822"/>
      <c r="CN312" s="2822"/>
    </row>
    <row r="313" spans="1:92" x14ac:dyDescent="0.2">
      <c r="A313" s="2822"/>
      <c r="B313" s="2822"/>
      <c r="C313" s="2822"/>
      <c r="D313" s="2822"/>
      <c r="E313" s="2822"/>
      <c r="F313" s="2822"/>
      <c r="G313" s="2822"/>
      <c r="H313" s="2822"/>
      <c r="I313" s="2822"/>
      <c r="J313" s="2822"/>
      <c r="K313" s="2822"/>
      <c r="L313" s="2822"/>
      <c r="M313" s="2822"/>
      <c r="N313" s="2822"/>
      <c r="O313" s="2822"/>
      <c r="P313" s="2822"/>
      <c r="Q313" s="2822"/>
      <c r="R313" s="2822"/>
      <c r="S313" s="2822"/>
      <c r="T313" s="2822"/>
      <c r="U313" s="2822"/>
      <c r="V313" s="2822"/>
      <c r="W313" s="2822"/>
      <c r="X313" s="2822"/>
      <c r="Y313" s="2822"/>
      <c r="Z313" s="2822"/>
      <c r="AA313" s="2822"/>
      <c r="AB313" s="2822"/>
      <c r="AC313" s="2822"/>
      <c r="AD313" s="2822"/>
      <c r="AE313" s="2822"/>
      <c r="AF313" s="2822"/>
      <c r="AG313" s="2822"/>
      <c r="AH313" s="2822"/>
      <c r="AI313" s="2822"/>
      <c r="AJ313" s="2822"/>
      <c r="AK313" s="2822"/>
      <c r="AL313" s="2822"/>
      <c r="AM313" s="2822"/>
      <c r="AN313" s="2822"/>
      <c r="AO313" s="2822"/>
      <c r="AP313" s="2822"/>
      <c r="AQ313" s="2822"/>
      <c r="AR313" s="2822"/>
      <c r="AS313" s="2822"/>
      <c r="AT313" s="2822"/>
      <c r="AU313" s="2822"/>
      <c r="AV313" s="2822"/>
      <c r="AW313" s="2822"/>
      <c r="AX313" s="2822"/>
      <c r="AY313" s="2822"/>
      <c r="AZ313" s="2822"/>
      <c r="BA313" s="2822"/>
      <c r="BB313" s="2822"/>
      <c r="BC313" s="2822"/>
      <c r="BD313" s="2822"/>
      <c r="BE313" s="2822"/>
      <c r="BF313" s="2822"/>
      <c r="BG313" s="2822"/>
      <c r="BH313" s="2822"/>
      <c r="BI313" s="2822"/>
      <c r="BJ313" s="2822"/>
      <c r="BK313" s="2822"/>
      <c r="BL313" s="2822"/>
      <c r="BM313" s="2822"/>
      <c r="BN313" s="2822"/>
      <c r="BO313" s="2822"/>
      <c r="BP313" s="2822"/>
      <c r="BQ313" s="2822"/>
      <c r="BR313" s="2822"/>
      <c r="BS313" s="2822"/>
      <c r="BT313" s="2822"/>
      <c r="BU313" s="2822"/>
      <c r="BV313" s="2822"/>
      <c r="BW313" s="2822"/>
      <c r="BX313" s="2822"/>
      <c r="BY313" s="2822"/>
      <c r="BZ313" s="2822"/>
      <c r="CA313" s="2822"/>
      <c r="CB313" s="2822"/>
      <c r="CC313" s="2822"/>
      <c r="CD313" s="2822"/>
      <c r="CE313" s="2822"/>
      <c r="CF313" s="2822"/>
      <c r="CG313" s="2822"/>
      <c r="CH313" s="2822"/>
      <c r="CI313" s="2822"/>
      <c r="CJ313" s="2822"/>
      <c r="CK313" s="2822"/>
      <c r="CL313" s="2822"/>
      <c r="CM313" s="2822"/>
      <c r="CN313" s="2822"/>
    </row>
    <row r="314" spans="1:92" x14ac:dyDescent="0.2">
      <c r="A314" s="2822"/>
      <c r="B314" s="2822"/>
      <c r="C314" s="2822"/>
      <c r="D314" s="2822"/>
      <c r="E314" s="2822"/>
      <c r="F314" s="2822"/>
      <c r="G314" s="2822"/>
      <c r="H314" s="2822"/>
      <c r="I314" s="2822"/>
      <c r="J314" s="2822"/>
      <c r="K314" s="2822"/>
      <c r="L314" s="2822"/>
      <c r="M314" s="2822"/>
      <c r="N314" s="2822"/>
      <c r="O314" s="2822"/>
      <c r="P314" s="2822"/>
      <c r="Q314" s="2822"/>
      <c r="R314" s="2822"/>
      <c r="S314" s="2822"/>
      <c r="T314" s="2822"/>
      <c r="U314" s="2822"/>
      <c r="V314" s="2822"/>
      <c r="W314" s="2822"/>
      <c r="X314" s="2822"/>
      <c r="Y314" s="2822"/>
      <c r="Z314" s="2822"/>
      <c r="AA314" s="2822"/>
      <c r="AB314" s="2822"/>
      <c r="AC314" s="2822"/>
      <c r="AD314" s="2822"/>
      <c r="AE314" s="2822"/>
      <c r="AF314" s="2822"/>
      <c r="AG314" s="2822"/>
      <c r="AH314" s="2822"/>
      <c r="AI314" s="2822"/>
      <c r="AJ314" s="2822"/>
      <c r="AK314" s="2822"/>
      <c r="AL314" s="2822"/>
      <c r="AM314" s="2822"/>
      <c r="AN314" s="2822"/>
      <c r="AO314" s="2822"/>
      <c r="AP314" s="2822"/>
      <c r="AQ314" s="2822"/>
      <c r="AR314" s="2822"/>
      <c r="AS314" s="2822"/>
      <c r="AT314" s="2822"/>
      <c r="AU314" s="2822"/>
      <c r="AV314" s="2822"/>
      <c r="AW314" s="2822"/>
      <c r="AX314" s="2822"/>
      <c r="AY314" s="2822"/>
      <c r="AZ314" s="2822"/>
      <c r="BA314" s="2822"/>
      <c r="BB314" s="2822"/>
      <c r="BC314" s="2822"/>
      <c r="BD314" s="2822"/>
      <c r="BE314" s="2822"/>
      <c r="BF314" s="2822"/>
      <c r="BG314" s="2822"/>
      <c r="BH314" s="2822"/>
      <c r="BI314" s="2822"/>
      <c r="BJ314" s="2822"/>
      <c r="BK314" s="2822"/>
      <c r="BL314" s="2822"/>
      <c r="BM314" s="2822"/>
      <c r="BN314" s="2822"/>
      <c r="BO314" s="2822"/>
      <c r="BP314" s="2822"/>
      <c r="BQ314" s="2822"/>
      <c r="BR314" s="2822"/>
      <c r="BS314" s="2822"/>
      <c r="BT314" s="2822"/>
      <c r="BU314" s="2822"/>
      <c r="BV314" s="2822"/>
      <c r="BW314" s="2822"/>
      <c r="BX314" s="2822"/>
      <c r="BY314" s="2822"/>
      <c r="BZ314" s="2822"/>
      <c r="CA314" s="2822"/>
      <c r="CB314" s="2822"/>
      <c r="CC314" s="2822"/>
      <c r="CD314" s="2822"/>
      <c r="CE314" s="2822"/>
      <c r="CF314" s="2822"/>
      <c r="CG314" s="2822"/>
      <c r="CH314" s="2822"/>
      <c r="CI314" s="2822"/>
      <c r="CJ314" s="2822"/>
      <c r="CK314" s="2822"/>
      <c r="CL314" s="2822"/>
      <c r="CM314" s="2822"/>
      <c r="CN314" s="2822"/>
    </row>
    <row r="315" spans="1:92" x14ac:dyDescent="0.2">
      <c r="A315" s="2822"/>
      <c r="B315" s="2822"/>
      <c r="C315" s="2822"/>
      <c r="D315" s="2822"/>
      <c r="E315" s="2822"/>
      <c r="F315" s="2822"/>
      <c r="G315" s="2822"/>
      <c r="H315" s="2822"/>
      <c r="I315" s="2822"/>
      <c r="J315" s="2822"/>
      <c r="K315" s="2822"/>
      <c r="L315" s="2822"/>
      <c r="M315" s="2822"/>
      <c r="N315" s="2822"/>
      <c r="O315" s="2822"/>
      <c r="P315" s="2822"/>
      <c r="Q315" s="2822"/>
      <c r="R315" s="2822"/>
      <c r="S315" s="2822"/>
      <c r="T315" s="2822"/>
      <c r="U315" s="2822"/>
      <c r="V315" s="2822"/>
      <c r="W315" s="2822"/>
      <c r="X315" s="2822"/>
      <c r="Y315" s="2822"/>
      <c r="Z315" s="2822"/>
      <c r="AA315" s="2822"/>
      <c r="AB315" s="2822"/>
      <c r="AC315" s="2822"/>
      <c r="AD315" s="2822"/>
      <c r="AE315" s="2822"/>
      <c r="AF315" s="2822"/>
      <c r="AG315" s="2822"/>
      <c r="AH315" s="2822"/>
      <c r="AI315" s="2822"/>
      <c r="AJ315" s="2822"/>
      <c r="AK315" s="2822"/>
      <c r="AL315" s="2822"/>
      <c r="AM315" s="2822"/>
      <c r="AN315" s="2822"/>
      <c r="AO315" s="2822"/>
      <c r="AP315" s="2822"/>
      <c r="AQ315" s="2822"/>
      <c r="AR315" s="2822"/>
      <c r="AS315" s="2822"/>
      <c r="AT315" s="2822"/>
      <c r="AU315" s="2822"/>
      <c r="AV315" s="2822"/>
      <c r="AW315" s="2822"/>
      <c r="AX315" s="2822"/>
      <c r="AY315" s="2822"/>
      <c r="AZ315" s="2822"/>
      <c r="BA315" s="2822"/>
      <c r="BB315" s="2822"/>
      <c r="BC315" s="2822"/>
      <c r="BD315" s="2822"/>
      <c r="BE315" s="2822"/>
      <c r="BF315" s="2822"/>
      <c r="BG315" s="2822"/>
      <c r="BH315" s="2822"/>
      <c r="BI315" s="2822"/>
      <c r="BJ315" s="2822"/>
      <c r="BK315" s="2822"/>
      <c r="BL315" s="2822"/>
      <c r="BM315" s="2822"/>
      <c r="BN315" s="2822"/>
      <c r="BO315" s="2822"/>
      <c r="BP315" s="2822"/>
      <c r="BQ315" s="2822"/>
      <c r="BR315" s="2822"/>
      <c r="BS315" s="2822"/>
      <c r="BT315" s="2822"/>
      <c r="BU315" s="2822"/>
      <c r="BV315" s="2822"/>
      <c r="BW315" s="2822"/>
      <c r="BX315" s="2822"/>
      <c r="BY315" s="2822"/>
      <c r="BZ315" s="2822"/>
      <c r="CA315" s="2822"/>
      <c r="CB315" s="2822"/>
      <c r="CC315" s="2822"/>
      <c r="CD315" s="2822"/>
      <c r="CE315" s="2822"/>
      <c r="CF315" s="2822"/>
      <c r="CG315" s="2822"/>
      <c r="CH315" s="2822"/>
      <c r="CI315" s="2822"/>
      <c r="CJ315" s="2822"/>
      <c r="CK315" s="2822"/>
      <c r="CL315" s="2822"/>
      <c r="CM315" s="2822"/>
      <c r="CN315" s="2822"/>
    </row>
    <row r="316" spans="1:92" x14ac:dyDescent="0.2">
      <c r="A316" s="2822"/>
      <c r="B316" s="2822"/>
      <c r="C316" s="2822"/>
      <c r="D316" s="2822"/>
      <c r="E316" s="2822"/>
      <c r="F316" s="2822"/>
      <c r="G316" s="2822"/>
      <c r="H316" s="2822"/>
      <c r="I316" s="2822"/>
      <c r="J316" s="2822"/>
      <c r="K316" s="2822"/>
      <c r="L316" s="2822"/>
      <c r="M316" s="2822"/>
      <c r="N316" s="2822"/>
      <c r="O316" s="2822"/>
      <c r="P316" s="2822"/>
      <c r="Q316" s="2822"/>
      <c r="R316" s="2822"/>
      <c r="S316" s="2822"/>
      <c r="T316" s="2822"/>
      <c r="U316" s="2822"/>
      <c r="V316" s="2822"/>
      <c r="W316" s="2822"/>
      <c r="X316" s="2822"/>
      <c r="Y316" s="2822"/>
      <c r="Z316" s="2822"/>
      <c r="AA316" s="2822"/>
      <c r="AB316" s="2822"/>
      <c r="AC316" s="2822"/>
      <c r="AD316" s="2822"/>
      <c r="AE316" s="2822"/>
      <c r="AF316" s="2822"/>
      <c r="AG316" s="2822"/>
      <c r="AH316" s="2822"/>
      <c r="AI316" s="2822"/>
      <c r="AJ316" s="2822"/>
      <c r="AK316" s="2822"/>
      <c r="AL316" s="2822"/>
      <c r="AM316" s="2822"/>
      <c r="AN316" s="2822"/>
      <c r="AO316" s="2822"/>
      <c r="AP316" s="2822"/>
      <c r="AQ316" s="2822"/>
      <c r="AR316" s="2822"/>
      <c r="AS316" s="2822"/>
      <c r="AT316" s="2822"/>
      <c r="AU316" s="2822"/>
      <c r="AV316" s="2822"/>
      <c r="AW316" s="2822"/>
      <c r="AX316" s="2822"/>
      <c r="AY316" s="2822"/>
      <c r="AZ316" s="2822"/>
      <c r="BA316" s="2822"/>
      <c r="BB316" s="2822"/>
      <c r="BC316" s="2822"/>
      <c r="BD316" s="2822"/>
      <c r="BE316" s="2822"/>
      <c r="BF316" s="2822"/>
      <c r="BG316" s="2822"/>
      <c r="BH316" s="2822"/>
      <c r="BI316" s="2822"/>
      <c r="BJ316" s="2822"/>
      <c r="BK316" s="2822"/>
      <c r="BL316" s="2822"/>
      <c r="BM316" s="2822"/>
      <c r="BN316" s="2822"/>
      <c r="BO316" s="2822"/>
      <c r="BP316" s="2822"/>
      <c r="BQ316" s="2822"/>
      <c r="BR316" s="2822"/>
      <c r="BS316" s="2822"/>
      <c r="BT316" s="2822"/>
      <c r="BU316" s="2822"/>
      <c r="BV316" s="2822"/>
      <c r="BW316" s="2822"/>
      <c r="BX316" s="2822"/>
      <c r="BY316" s="2822"/>
      <c r="BZ316" s="2822"/>
      <c r="CA316" s="2822"/>
      <c r="CB316" s="2822"/>
      <c r="CC316" s="2822"/>
      <c r="CD316" s="2822"/>
      <c r="CE316" s="2822"/>
      <c r="CF316" s="2822"/>
      <c r="CG316" s="2822"/>
      <c r="CH316" s="2822"/>
      <c r="CI316" s="2822"/>
      <c r="CJ316" s="2822"/>
      <c r="CK316" s="2822"/>
      <c r="CL316" s="2822"/>
      <c r="CM316" s="2822"/>
      <c r="CN316" s="2822"/>
    </row>
    <row r="317" spans="1:92" x14ac:dyDescent="0.2">
      <c r="A317" s="2822"/>
      <c r="B317" s="2822"/>
      <c r="C317" s="2822"/>
      <c r="D317" s="2822"/>
      <c r="E317" s="2822"/>
      <c r="F317" s="2822"/>
      <c r="G317" s="2822"/>
      <c r="H317" s="2822"/>
      <c r="I317" s="2822"/>
      <c r="J317" s="2822"/>
      <c r="K317" s="2822"/>
      <c r="L317" s="2822"/>
      <c r="M317" s="2822"/>
      <c r="N317" s="2822"/>
      <c r="O317" s="2822"/>
      <c r="P317" s="2822"/>
      <c r="Q317" s="2822"/>
      <c r="R317" s="2822"/>
      <c r="S317" s="2822"/>
      <c r="T317" s="2822"/>
      <c r="U317" s="2822"/>
      <c r="V317" s="2822"/>
      <c r="W317" s="2822"/>
      <c r="X317" s="2822"/>
      <c r="Y317" s="2822"/>
      <c r="Z317" s="2822"/>
      <c r="AA317" s="2822"/>
      <c r="AB317" s="2822"/>
      <c r="AC317" s="2822"/>
      <c r="AD317" s="2822"/>
      <c r="AE317" s="2822"/>
      <c r="AF317" s="2822"/>
      <c r="AG317" s="2822"/>
      <c r="AH317" s="2822"/>
      <c r="AI317" s="2822"/>
      <c r="AJ317" s="2822"/>
      <c r="AK317" s="2822"/>
      <c r="AL317" s="2822"/>
      <c r="AM317" s="2822"/>
      <c r="AN317" s="2822"/>
      <c r="AO317" s="2822"/>
      <c r="AP317" s="2822"/>
      <c r="AQ317" s="2822"/>
      <c r="AR317" s="2822"/>
      <c r="AS317" s="2822"/>
      <c r="AT317" s="2822"/>
      <c r="AU317" s="2822"/>
      <c r="AV317" s="2822"/>
      <c r="AW317" s="2822"/>
      <c r="AX317" s="2822"/>
      <c r="AY317" s="2822"/>
      <c r="AZ317" s="2822"/>
      <c r="BA317" s="2822"/>
      <c r="BB317" s="2822"/>
      <c r="BC317" s="2822"/>
      <c r="BD317" s="2822"/>
      <c r="BE317" s="2822"/>
      <c r="BF317" s="2822"/>
      <c r="BG317" s="2822"/>
      <c r="BH317" s="2822"/>
      <c r="BI317" s="2822"/>
      <c r="BJ317" s="2822"/>
      <c r="BK317" s="2822"/>
      <c r="BL317" s="2822"/>
      <c r="BM317" s="2822"/>
      <c r="BN317" s="2822"/>
      <c r="BO317" s="2822"/>
      <c r="BP317" s="2822"/>
      <c r="BQ317" s="2822"/>
      <c r="BR317" s="2822"/>
      <c r="BS317" s="2822"/>
      <c r="BT317" s="2822"/>
      <c r="BU317" s="2822"/>
      <c r="BV317" s="2822"/>
      <c r="BW317" s="2822"/>
      <c r="BX317" s="2822"/>
      <c r="BY317" s="2822"/>
      <c r="BZ317" s="2822"/>
      <c r="CA317" s="2822"/>
      <c r="CB317" s="2822"/>
      <c r="CC317" s="2822"/>
      <c r="CD317" s="2822"/>
      <c r="CE317" s="2822"/>
      <c r="CF317" s="2822"/>
      <c r="CG317" s="2822"/>
      <c r="CH317" s="2822"/>
      <c r="CI317" s="2822"/>
      <c r="CJ317" s="2822"/>
      <c r="CK317" s="2822"/>
      <c r="CL317" s="2822"/>
      <c r="CM317" s="2822"/>
      <c r="CN317" s="2822"/>
    </row>
    <row r="318" spans="1:92" x14ac:dyDescent="0.2">
      <c r="A318" s="2822"/>
      <c r="B318" s="2822"/>
      <c r="C318" s="2822"/>
      <c r="D318" s="2822"/>
      <c r="E318" s="2822"/>
      <c r="F318" s="2822"/>
      <c r="G318" s="2822"/>
      <c r="H318" s="2822"/>
      <c r="I318" s="2822"/>
      <c r="J318" s="2822"/>
      <c r="K318" s="2822"/>
      <c r="L318" s="2822"/>
      <c r="M318" s="2822"/>
      <c r="N318" s="2822"/>
      <c r="O318" s="2822"/>
      <c r="P318" s="2822"/>
      <c r="Q318" s="2822"/>
      <c r="R318" s="2822"/>
      <c r="S318" s="2822"/>
      <c r="T318" s="2822"/>
      <c r="U318" s="2822"/>
      <c r="V318" s="2822"/>
      <c r="W318" s="2822"/>
      <c r="X318" s="2822"/>
      <c r="Y318" s="2822"/>
      <c r="Z318" s="2822"/>
      <c r="AA318" s="2822"/>
      <c r="AB318" s="2822"/>
      <c r="AC318" s="2822"/>
      <c r="AD318" s="2822"/>
      <c r="AE318" s="2822"/>
      <c r="AF318" s="2822"/>
      <c r="AG318" s="2822"/>
      <c r="AH318" s="2822"/>
      <c r="AI318" s="2822"/>
      <c r="AJ318" s="2822"/>
      <c r="AK318" s="2822"/>
      <c r="AL318" s="2822"/>
      <c r="AM318" s="2822"/>
      <c r="AN318" s="2822"/>
      <c r="AO318" s="2822"/>
      <c r="AP318" s="2822"/>
      <c r="AQ318" s="2822"/>
      <c r="AR318" s="2822"/>
      <c r="AS318" s="2822"/>
      <c r="AT318" s="2822"/>
      <c r="AU318" s="2822"/>
      <c r="AV318" s="2822"/>
      <c r="AW318" s="2822"/>
      <c r="AX318" s="2822"/>
      <c r="AY318" s="2822"/>
      <c r="AZ318" s="2822"/>
      <c r="BA318" s="2822"/>
      <c r="BB318" s="2822"/>
      <c r="BC318" s="2822"/>
      <c r="BD318" s="2822"/>
      <c r="BE318" s="2822"/>
      <c r="BF318" s="2822"/>
      <c r="BG318" s="2822"/>
      <c r="BH318" s="2822"/>
      <c r="BI318" s="2822"/>
      <c r="BJ318" s="2822"/>
      <c r="BK318" s="2822"/>
      <c r="BL318" s="2822"/>
      <c r="BM318" s="2822"/>
      <c r="BN318" s="2822"/>
      <c r="BO318" s="2822"/>
      <c r="BP318" s="2822"/>
      <c r="BQ318" s="2822"/>
      <c r="BR318" s="2822"/>
      <c r="BS318" s="2822"/>
      <c r="BT318" s="2822"/>
      <c r="BU318" s="2822"/>
      <c r="BV318" s="2822"/>
      <c r="BW318" s="2822"/>
      <c r="BX318" s="2822"/>
      <c r="BY318" s="2822"/>
      <c r="BZ318" s="2822"/>
      <c r="CA318" s="2822"/>
      <c r="CB318" s="2822"/>
      <c r="CC318" s="2822"/>
      <c r="CD318" s="2822"/>
      <c r="CE318" s="2822"/>
      <c r="CF318" s="2822"/>
      <c r="CG318" s="2822"/>
      <c r="CH318" s="2822"/>
      <c r="CI318" s="2822"/>
      <c r="CJ318" s="2822"/>
      <c r="CK318" s="2822"/>
      <c r="CL318" s="2822"/>
      <c r="CM318" s="2822"/>
      <c r="CN318" s="2822"/>
    </row>
    <row r="319" spans="1:92" x14ac:dyDescent="0.2">
      <c r="A319" s="2822"/>
      <c r="B319" s="2822"/>
      <c r="C319" s="2822"/>
      <c r="D319" s="2822"/>
      <c r="E319" s="2822"/>
      <c r="F319" s="2822"/>
      <c r="G319" s="2822"/>
      <c r="H319" s="2822"/>
      <c r="I319" s="2822"/>
      <c r="J319" s="2822"/>
      <c r="K319" s="2822"/>
      <c r="L319" s="2822"/>
      <c r="M319" s="2822"/>
      <c r="N319" s="2822"/>
      <c r="O319" s="2822"/>
      <c r="P319" s="2822"/>
      <c r="Q319" s="2822"/>
      <c r="R319" s="2822"/>
      <c r="S319" s="2822"/>
      <c r="T319" s="2822"/>
      <c r="U319" s="2822"/>
      <c r="V319" s="2822"/>
      <c r="W319" s="2822"/>
      <c r="X319" s="2822"/>
      <c r="Y319" s="2822"/>
      <c r="Z319" s="2822"/>
      <c r="AA319" s="2822"/>
      <c r="AB319" s="2822"/>
      <c r="AC319" s="2822"/>
      <c r="AD319" s="2822"/>
      <c r="AE319" s="2822"/>
      <c r="AF319" s="2822"/>
      <c r="AG319" s="2822"/>
      <c r="AH319" s="2822"/>
      <c r="AI319" s="2822"/>
      <c r="AJ319" s="2822"/>
      <c r="AK319" s="2822"/>
      <c r="AL319" s="2822"/>
      <c r="AM319" s="2822"/>
      <c r="AN319" s="2822"/>
      <c r="AO319" s="2822"/>
      <c r="AP319" s="2822"/>
      <c r="AQ319" s="2822"/>
      <c r="AR319" s="2822"/>
      <c r="AS319" s="2822"/>
      <c r="AT319" s="2822"/>
      <c r="AU319" s="2822"/>
      <c r="AV319" s="2822"/>
      <c r="AW319" s="2822"/>
      <c r="AX319" s="2822"/>
      <c r="AY319" s="2822"/>
      <c r="AZ319" s="2822"/>
      <c r="BA319" s="2822"/>
      <c r="BB319" s="2822"/>
      <c r="BC319" s="2822"/>
      <c r="BD319" s="2822"/>
      <c r="BE319" s="2822"/>
      <c r="BF319" s="2822"/>
      <c r="BG319" s="2822"/>
      <c r="BH319" s="2822"/>
      <c r="BI319" s="2822"/>
      <c r="BJ319" s="2822"/>
      <c r="BK319" s="2822"/>
      <c r="BL319" s="2822"/>
      <c r="BM319" s="2822"/>
      <c r="BN319" s="2822"/>
      <c r="BO319" s="2822"/>
      <c r="BP319" s="2822"/>
      <c r="BQ319" s="2822"/>
      <c r="BR319" s="2822"/>
      <c r="BS319" s="2822"/>
      <c r="BT319" s="2822"/>
      <c r="BU319" s="2822"/>
      <c r="BV319" s="2822"/>
      <c r="BW319" s="2822"/>
      <c r="BX319" s="2822"/>
      <c r="BY319" s="2822"/>
      <c r="BZ319" s="2822"/>
      <c r="CA319" s="2822"/>
      <c r="CB319" s="2822"/>
      <c r="CC319" s="2822"/>
      <c r="CD319" s="2822"/>
      <c r="CE319" s="2822"/>
      <c r="CF319" s="2822"/>
      <c r="CG319" s="2822"/>
      <c r="CH319" s="2822"/>
      <c r="CI319" s="2822"/>
      <c r="CJ319" s="2822"/>
      <c r="CK319" s="2822"/>
      <c r="CL319" s="2822"/>
      <c r="CM319" s="2822"/>
      <c r="CN319" s="2822"/>
    </row>
    <row r="320" spans="1:92" x14ac:dyDescent="0.2">
      <c r="A320" s="2822"/>
      <c r="B320" s="2822"/>
      <c r="C320" s="2822"/>
      <c r="D320" s="2822"/>
      <c r="E320" s="2822"/>
      <c r="F320" s="2822"/>
      <c r="G320" s="2822"/>
      <c r="H320" s="2822"/>
      <c r="I320" s="2822"/>
      <c r="J320" s="2822"/>
      <c r="K320" s="2822"/>
      <c r="L320" s="2822"/>
      <c r="M320" s="2822"/>
      <c r="N320" s="2822"/>
      <c r="O320" s="2822"/>
      <c r="P320" s="2822"/>
      <c r="Q320" s="2822"/>
      <c r="R320" s="2822"/>
      <c r="S320" s="2822"/>
      <c r="T320" s="2822"/>
      <c r="U320" s="2822"/>
      <c r="V320" s="2822"/>
      <c r="W320" s="2822"/>
      <c r="X320" s="2822"/>
      <c r="Y320" s="2822"/>
      <c r="Z320" s="2822"/>
      <c r="AA320" s="2822"/>
      <c r="AB320" s="2822"/>
      <c r="AC320" s="2822"/>
      <c r="AD320" s="2822"/>
      <c r="AE320" s="2822"/>
      <c r="AF320" s="2822"/>
      <c r="AG320" s="2822"/>
      <c r="AH320" s="2822"/>
      <c r="AI320" s="2822"/>
      <c r="AJ320" s="2822"/>
      <c r="AK320" s="2822"/>
      <c r="AL320" s="2822"/>
      <c r="AM320" s="2822"/>
      <c r="AN320" s="2822"/>
      <c r="AO320" s="2822"/>
      <c r="AP320" s="2822"/>
      <c r="AQ320" s="2822"/>
      <c r="AR320" s="2822"/>
      <c r="AS320" s="2822"/>
      <c r="AT320" s="2822"/>
      <c r="AU320" s="2822"/>
      <c r="AV320" s="2822"/>
      <c r="AW320" s="2822"/>
      <c r="AX320" s="2822"/>
      <c r="AY320" s="2822"/>
      <c r="AZ320" s="2822"/>
      <c r="BA320" s="2822"/>
      <c r="BB320" s="2822"/>
      <c r="BC320" s="2822"/>
      <c r="BD320" s="2822"/>
      <c r="BE320" s="2822"/>
      <c r="BF320" s="2822"/>
      <c r="BG320" s="2822"/>
      <c r="BH320" s="2822"/>
      <c r="BI320" s="2822"/>
      <c r="BJ320" s="2822"/>
      <c r="BK320" s="2822"/>
      <c r="BL320" s="2822"/>
      <c r="BM320" s="2822"/>
      <c r="BN320" s="2822"/>
      <c r="BO320" s="2822"/>
      <c r="BP320" s="2822"/>
      <c r="BQ320" s="2822"/>
      <c r="BR320" s="2822"/>
      <c r="BS320" s="2822"/>
      <c r="BT320" s="2822"/>
      <c r="BU320" s="2822"/>
      <c r="BV320" s="2822"/>
      <c r="BW320" s="2822"/>
      <c r="BX320" s="2822"/>
      <c r="BY320" s="2822"/>
      <c r="BZ320" s="2822"/>
      <c r="CA320" s="2822"/>
      <c r="CB320" s="2822"/>
      <c r="CC320" s="2822"/>
      <c r="CD320" s="2822"/>
      <c r="CE320" s="2822"/>
      <c r="CF320" s="2822"/>
      <c r="CG320" s="2822"/>
      <c r="CH320" s="2822"/>
      <c r="CI320" s="2822"/>
      <c r="CJ320" s="2822"/>
      <c r="CK320" s="2822"/>
      <c r="CL320" s="2822"/>
      <c r="CM320" s="2822"/>
      <c r="CN320" s="2822"/>
    </row>
    <row r="321" spans="1:92" x14ac:dyDescent="0.2">
      <c r="A321" s="2822"/>
      <c r="B321" s="2822"/>
      <c r="C321" s="2822"/>
      <c r="D321" s="2822"/>
      <c r="E321" s="2822"/>
      <c r="F321" s="2822"/>
      <c r="G321" s="2822"/>
      <c r="H321" s="2822"/>
      <c r="I321" s="2822"/>
      <c r="J321" s="2822"/>
      <c r="K321" s="2822"/>
      <c r="L321" s="2822"/>
      <c r="M321" s="2822"/>
      <c r="N321" s="2822"/>
      <c r="O321" s="2822"/>
      <c r="P321" s="2822"/>
      <c r="Q321" s="2822"/>
      <c r="R321" s="2822"/>
      <c r="S321" s="2822"/>
      <c r="T321" s="2822"/>
      <c r="U321" s="2822"/>
      <c r="V321" s="2822"/>
      <c r="W321" s="2822"/>
      <c r="X321" s="2822"/>
      <c r="Y321" s="2822"/>
      <c r="Z321" s="2822"/>
      <c r="AA321" s="2822"/>
      <c r="AB321" s="2822"/>
      <c r="AC321" s="2822"/>
      <c r="AD321" s="2822"/>
      <c r="AE321" s="2822"/>
      <c r="AF321" s="2822"/>
      <c r="AG321" s="2822"/>
      <c r="AH321" s="2822"/>
      <c r="AI321" s="2822"/>
      <c r="AJ321" s="2822"/>
      <c r="AK321" s="2822"/>
      <c r="AL321" s="2822"/>
      <c r="AM321" s="2822"/>
      <c r="AN321" s="2822"/>
      <c r="AO321" s="2822"/>
      <c r="AP321" s="2822"/>
      <c r="AQ321" s="2822"/>
      <c r="AR321" s="2822"/>
      <c r="AS321" s="2822"/>
      <c r="AT321" s="2822"/>
      <c r="AU321" s="2822"/>
      <c r="AV321" s="2822"/>
      <c r="AW321" s="2822"/>
      <c r="AX321" s="2822"/>
      <c r="AY321" s="2822"/>
      <c r="AZ321" s="2822"/>
      <c r="BA321" s="2822"/>
      <c r="BB321" s="2822"/>
      <c r="BC321" s="2822"/>
      <c r="BD321" s="2822"/>
      <c r="BE321" s="2822"/>
      <c r="BF321" s="2822"/>
      <c r="BG321" s="2822"/>
      <c r="BH321" s="2822"/>
      <c r="BI321" s="2822"/>
      <c r="BJ321" s="2822"/>
      <c r="BK321" s="2822"/>
      <c r="BL321" s="2822"/>
      <c r="BM321" s="2822"/>
      <c r="BN321" s="2822"/>
      <c r="BO321" s="2822"/>
      <c r="BP321" s="2822"/>
      <c r="BQ321" s="2822"/>
      <c r="BR321" s="2822"/>
      <c r="BS321" s="2822"/>
      <c r="BT321" s="2822"/>
      <c r="BU321" s="2822"/>
      <c r="BV321" s="2822"/>
      <c r="BW321" s="2822"/>
      <c r="BX321" s="2822"/>
      <c r="BY321" s="2822"/>
      <c r="BZ321" s="2822"/>
      <c r="CA321" s="2822"/>
      <c r="CB321" s="2822"/>
      <c r="CC321" s="2822"/>
      <c r="CD321" s="2822"/>
      <c r="CE321" s="2822"/>
      <c r="CF321" s="2822"/>
      <c r="CG321" s="2822"/>
      <c r="CH321" s="2822"/>
      <c r="CI321" s="2822"/>
      <c r="CJ321" s="2822"/>
      <c r="CK321" s="2822"/>
      <c r="CL321" s="2822"/>
      <c r="CM321" s="2822"/>
      <c r="CN321" s="2822"/>
    </row>
    <row r="322" spans="1:92" x14ac:dyDescent="0.2">
      <c r="A322" s="2822"/>
      <c r="B322" s="2822"/>
      <c r="C322" s="2822"/>
      <c r="D322" s="2822"/>
      <c r="E322" s="2822"/>
      <c r="F322" s="2822"/>
      <c r="G322" s="2822"/>
      <c r="H322" s="2822"/>
      <c r="I322" s="2822"/>
      <c r="J322" s="2822"/>
      <c r="K322" s="2822"/>
      <c r="L322" s="2822"/>
      <c r="M322" s="2822"/>
      <c r="N322" s="2822"/>
      <c r="O322" s="2822"/>
      <c r="P322" s="2822"/>
      <c r="Q322" s="2822"/>
      <c r="R322" s="2822"/>
      <c r="S322" s="2822"/>
      <c r="T322" s="2822"/>
      <c r="U322" s="2822"/>
      <c r="V322" s="2822"/>
      <c r="W322" s="2822"/>
      <c r="X322" s="2822"/>
      <c r="Y322" s="2822"/>
      <c r="Z322" s="2822"/>
      <c r="AA322" s="2822"/>
      <c r="AB322" s="2822"/>
      <c r="AC322" s="2822"/>
      <c r="AD322" s="2822"/>
      <c r="AE322" s="2822"/>
      <c r="AF322" s="2822"/>
      <c r="AG322" s="2822"/>
      <c r="AH322" s="2822"/>
      <c r="AI322" s="2822"/>
      <c r="AJ322" s="2822"/>
      <c r="AK322" s="2822"/>
      <c r="AL322" s="2822"/>
      <c r="AM322" s="2822"/>
      <c r="AN322" s="2822"/>
      <c r="AO322" s="2822"/>
      <c r="AP322" s="2822"/>
      <c r="AQ322" s="2822"/>
      <c r="AR322" s="2822"/>
      <c r="AS322" s="2822"/>
      <c r="AT322" s="2822"/>
      <c r="AU322" s="2822"/>
      <c r="AV322" s="2822"/>
      <c r="AW322" s="2822"/>
      <c r="AX322" s="2822"/>
      <c r="AY322" s="2822"/>
      <c r="AZ322" s="2822"/>
      <c r="BA322" s="2822"/>
      <c r="BB322" s="2822"/>
      <c r="BC322" s="2822"/>
      <c r="BD322" s="2822"/>
      <c r="BE322" s="2822"/>
      <c r="BF322" s="2822"/>
      <c r="BG322" s="2822"/>
      <c r="BH322" s="2822"/>
      <c r="BI322" s="2822"/>
      <c r="BJ322" s="2822"/>
      <c r="BK322" s="2822"/>
      <c r="BL322" s="2822"/>
      <c r="BM322" s="2822"/>
      <c r="BN322" s="2822"/>
      <c r="BO322" s="2822"/>
      <c r="BP322" s="2822"/>
      <c r="BQ322" s="2822"/>
      <c r="BR322" s="2822"/>
      <c r="BS322" s="2822"/>
      <c r="BT322" s="2822"/>
      <c r="BU322" s="2822"/>
      <c r="BV322" s="2822"/>
      <c r="BW322" s="2822"/>
      <c r="BX322" s="2822"/>
      <c r="BY322" s="2822"/>
      <c r="BZ322" s="2822"/>
      <c r="CA322" s="2822"/>
      <c r="CB322" s="2822"/>
      <c r="CC322" s="2822"/>
      <c r="CD322" s="2822"/>
      <c r="CE322" s="2822"/>
      <c r="CF322" s="2822"/>
      <c r="CG322" s="2822"/>
      <c r="CH322" s="2822"/>
      <c r="CI322" s="2822"/>
      <c r="CJ322" s="2822"/>
      <c r="CK322" s="2822"/>
      <c r="CL322" s="2822"/>
      <c r="CM322" s="2822"/>
      <c r="CN322" s="2822"/>
    </row>
    <row r="323" spans="1:92" x14ac:dyDescent="0.2">
      <c r="A323" s="2822"/>
      <c r="B323" s="2822"/>
      <c r="C323" s="2822"/>
      <c r="D323" s="2822"/>
      <c r="E323" s="2822"/>
      <c r="F323" s="2822"/>
      <c r="G323" s="2822"/>
      <c r="H323" s="2822"/>
      <c r="I323" s="2822"/>
      <c r="J323" s="2822"/>
      <c r="K323" s="2822"/>
      <c r="L323" s="2822"/>
      <c r="M323" s="2822"/>
      <c r="N323" s="2822"/>
      <c r="O323" s="2822"/>
      <c r="P323" s="2822"/>
      <c r="Q323" s="2822"/>
      <c r="R323" s="2822"/>
      <c r="S323" s="2822"/>
      <c r="T323" s="2822"/>
      <c r="U323" s="2822"/>
      <c r="V323" s="2822"/>
      <c r="W323" s="2822"/>
      <c r="X323" s="2822"/>
      <c r="Y323" s="2822"/>
      <c r="Z323" s="2822"/>
      <c r="AA323" s="2822"/>
      <c r="AB323" s="2822"/>
      <c r="AC323" s="2822"/>
      <c r="AD323" s="2822"/>
      <c r="AE323" s="2822"/>
      <c r="AF323" s="2822"/>
      <c r="AG323" s="2822"/>
      <c r="AH323" s="2822"/>
      <c r="AI323" s="2822"/>
      <c r="AJ323" s="2822"/>
      <c r="AK323" s="2822"/>
      <c r="AL323" s="2822"/>
      <c r="AM323" s="2822"/>
      <c r="AN323" s="2822"/>
      <c r="AO323" s="2822"/>
      <c r="AP323" s="2822"/>
      <c r="AQ323" s="2822"/>
      <c r="AR323" s="2822"/>
      <c r="AS323" s="2822"/>
      <c r="AT323" s="2822"/>
      <c r="AU323" s="2822"/>
      <c r="AV323" s="2822"/>
      <c r="AW323" s="2822"/>
      <c r="AX323" s="2822"/>
      <c r="AY323" s="2822"/>
      <c r="AZ323" s="2822"/>
      <c r="BA323" s="2822"/>
      <c r="BB323" s="2822"/>
      <c r="BC323" s="2822"/>
      <c r="BD323" s="2822"/>
      <c r="BE323" s="2822"/>
      <c r="BF323" s="2822"/>
      <c r="BG323" s="2822"/>
      <c r="BH323" s="2822"/>
      <c r="BI323" s="2822"/>
      <c r="BJ323" s="2822"/>
      <c r="BK323" s="2822"/>
      <c r="BL323" s="2822"/>
      <c r="BM323" s="2822"/>
      <c r="BN323" s="2822"/>
      <c r="BO323" s="2822"/>
      <c r="BP323" s="2822"/>
      <c r="BQ323" s="2822"/>
      <c r="BR323" s="2822"/>
      <c r="BS323" s="2822"/>
      <c r="BT323" s="2822"/>
      <c r="BU323" s="2822"/>
      <c r="BV323" s="2822"/>
      <c r="BW323" s="2822"/>
      <c r="BX323" s="2822"/>
      <c r="BY323" s="2822"/>
      <c r="BZ323" s="2822"/>
      <c r="CA323" s="2822"/>
      <c r="CB323" s="2822"/>
      <c r="CC323" s="2822"/>
      <c r="CD323" s="2822"/>
      <c r="CE323" s="2822"/>
      <c r="CF323" s="2822"/>
      <c r="CG323" s="2822"/>
      <c r="CH323" s="2822"/>
      <c r="CI323" s="2822"/>
      <c r="CJ323" s="2822"/>
      <c r="CK323" s="2822"/>
      <c r="CL323" s="2822"/>
      <c r="CM323" s="2822"/>
      <c r="CN323" s="2822"/>
    </row>
    <row r="324" spans="1:92" x14ac:dyDescent="0.2">
      <c r="A324" s="2822"/>
      <c r="B324" s="2822"/>
      <c r="C324" s="2822"/>
      <c r="D324" s="2822"/>
      <c r="E324" s="2822"/>
      <c r="F324" s="2822"/>
      <c r="G324" s="2822"/>
      <c r="H324" s="2822"/>
      <c r="I324" s="2822"/>
      <c r="J324" s="2822"/>
      <c r="K324" s="2822"/>
      <c r="L324" s="2822"/>
      <c r="M324" s="2822"/>
      <c r="N324" s="2822"/>
      <c r="O324" s="2822"/>
      <c r="P324" s="2822"/>
      <c r="Q324" s="2822"/>
      <c r="R324" s="2822"/>
      <c r="S324" s="2822"/>
      <c r="T324" s="2822"/>
      <c r="U324" s="2822"/>
      <c r="V324" s="2822"/>
      <c r="W324" s="2822"/>
      <c r="X324" s="2822"/>
      <c r="Y324" s="2822"/>
      <c r="Z324" s="2822"/>
      <c r="AA324" s="2822"/>
      <c r="AB324" s="2822"/>
      <c r="AC324" s="2822"/>
      <c r="AD324" s="2822"/>
      <c r="AE324" s="2822"/>
      <c r="AF324" s="2822"/>
      <c r="AG324" s="2822"/>
      <c r="AH324" s="2822"/>
      <c r="AI324" s="2822"/>
      <c r="AJ324" s="2822"/>
      <c r="AK324" s="2822"/>
      <c r="AL324" s="2822"/>
      <c r="AM324" s="2822"/>
      <c r="AN324" s="2822"/>
      <c r="AO324" s="2822"/>
      <c r="AP324" s="2822"/>
      <c r="AQ324" s="2822"/>
      <c r="AR324" s="2822"/>
      <c r="AS324" s="2822"/>
      <c r="AT324" s="2822"/>
      <c r="AU324" s="2822"/>
      <c r="AV324" s="2822"/>
      <c r="AW324" s="2822"/>
      <c r="AX324" s="2822"/>
      <c r="AY324" s="2822"/>
      <c r="AZ324" s="2822"/>
      <c r="BA324" s="2822"/>
      <c r="BB324" s="2822"/>
      <c r="BC324" s="2822"/>
      <c r="BD324" s="2822"/>
      <c r="BE324" s="2822"/>
      <c r="BF324" s="2822"/>
      <c r="BG324" s="2822"/>
      <c r="BH324" s="2822"/>
      <c r="BI324" s="2822"/>
      <c r="BJ324" s="2822"/>
      <c r="BK324" s="2822"/>
      <c r="BL324" s="2822"/>
      <c r="BM324" s="2822"/>
      <c r="BN324" s="2822"/>
      <c r="BO324" s="2822"/>
      <c r="BP324" s="2822"/>
      <c r="BQ324" s="2822"/>
      <c r="BR324" s="2822"/>
      <c r="BS324" s="2822"/>
      <c r="BT324" s="2822"/>
      <c r="BU324" s="2822"/>
      <c r="BV324" s="2822"/>
      <c r="BW324" s="2822"/>
      <c r="BX324" s="2822"/>
      <c r="BY324" s="2822"/>
      <c r="BZ324" s="2822"/>
      <c r="CA324" s="2822"/>
      <c r="CB324" s="2822"/>
      <c r="CC324" s="2822"/>
      <c r="CD324" s="2822"/>
      <c r="CE324" s="2822"/>
      <c r="CF324" s="2822"/>
      <c r="CG324" s="2822"/>
      <c r="CH324" s="2822"/>
      <c r="CI324" s="2822"/>
      <c r="CJ324" s="2822"/>
      <c r="CK324" s="2822"/>
      <c r="CL324" s="2822"/>
      <c r="CM324" s="2822"/>
      <c r="CN324" s="2822"/>
    </row>
    <row r="325" spans="1:92" x14ac:dyDescent="0.2">
      <c r="A325" s="2822"/>
      <c r="B325" s="2822"/>
      <c r="C325" s="2822"/>
      <c r="D325" s="2822"/>
      <c r="E325" s="2822"/>
      <c r="F325" s="2822"/>
      <c r="G325" s="2822"/>
      <c r="H325" s="2822"/>
      <c r="I325" s="2822"/>
      <c r="J325" s="2822"/>
      <c r="K325" s="2822"/>
      <c r="L325" s="2822"/>
      <c r="M325" s="2822"/>
      <c r="N325" s="2822"/>
      <c r="O325" s="2822"/>
      <c r="P325" s="2822"/>
      <c r="Q325" s="2822"/>
      <c r="R325" s="2822"/>
      <c r="S325" s="2822"/>
      <c r="T325" s="2822"/>
      <c r="U325" s="2822"/>
      <c r="V325" s="2822"/>
      <c r="W325" s="2822"/>
      <c r="X325" s="2822"/>
      <c r="Y325" s="2822"/>
      <c r="Z325" s="2822"/>
      <c r="AA325" s="2822"/>
      <c r="AB325" s="2822"/>
      <c r="AC325" s="2822"/>
      <c r="AD325" s="2822"/>
      <c r="AE325" s="2822"/>
      <c r="AF325" s="2822"/>
      <c r="AG325" s="2822"/>
      <c r="AH325" s="2822"/>
      <c r="AI325" s="2822"/>
      <c r="AJ325" s="2822"/>
      <c r="AK325" s="2822"/>
      <c r="AL325" s="2822"/>
      <c r="AM325" s="2822"/>
      <c r="AN325" s="2822"/>
      <c r="AO325" s="2822"/>
      <c r="AP325" s="2822"/>
      <c r="AQ325" s="2822"/>
      <c r="AR325" s="2822"/>
      <c r="AS325" s="2822"/>
      <c r="AT325" s="2822"/>
      <c r="AU325" s="2822"/>
      <c r="AV325" s="2822"/>
      <c r="AW325" s="2822"/>
      <c r="AX325" s="2822"/>
      <c r="AY325" s="2822"/>
      <c r="AZ325" s="2822"/>
      <c r="BA325" s="2822"/>
      <c r="BB325" s="2822"/>
      <c r="BC325" s="2822"/>
      <c r="BD325" s="2822"/>
      <c r="BE325" s="2822"/>
      <c r="BF325" s="2822"/>
      <c r="BG325" s="2822"/>
      <c r="BH325" s="2822"/>
      <c r="BI325" s="2822"/>
      <c r="BJ325" s="2822"/>
      <c r="BK325" s="2822"/>
      <c r="BL325" s="2822"/>
      <c r="BM325" s="2822"/>
      <c r="BN325" s="2822"/>
      <c r="BO325" s="2822"/>
      <c r="BP325" s="2822"/>
      <c r="BQ325" s="2822"/>
      <c r="BR325" s="2822"/>
      <c r="BS325" s="2822"/>
      <c r="BT325" s="2822"/>
      <c r="BU325" s="2822"/>
      <c r="BV325" s="2822"/>
      <c r="BW325" s="2822"/>
      <c r="BX325" s="2822"/>
      <c r="BY325" s="2822"/>
      <c r="BZ325" s="2822"/>
      <c r="CA325" s="2822"/>
      <c r="CB325" s="2822"/>
      <c r="CC325" s="2822"/>
      <c r="CD325" s="2822"/>
      <c r="CE325" s="2822"/>
      <c r="CF325" s="2822"/>
      <c r="CG325" s="2822"/>
      <c r="CH325" s="2822"/>
      <c r="CI325" s="2822"/>
      <c r="CJ325" s="2822"/>
      <c r="CK325" s="2822"/>
      <c r="CL325" s="2822"/>
      <c r="CM325" s="2822"/>
      <c r="CN325" s="2822"/>
    </row>
    <row r="326" spans="1:92" x14ac:dyDescent="0.2">
      <c r="A326" s="2822"/>
      <c r="B326" s="2822"/>
      <c r="C326" s="2822"/>
      <c r="D326" s="2822"/>
      <c r="E326" s="2822"/>
      <c r="F326" s="2822"/>
      <c r="G326" s="2822"/>
      <c r="H326" s="2822"/>
      <c r="I326" s="2822"/>
      <c r="J326" s="2822"/>
      <c r="K326" s="2822"/>
      <c r="L326" s="2822"/>
      <c r="M326" s="2822"/>
      <c r="N326" s="2822"/>
      <c r="O326" s="2822"/>
      <c r="P326" s="2822"/>
      <c r="Q326" s="2822"/>
      <c r="R326" s="2822"/>
      <c r="S326" s="2822"/>
      <c r="T326" s="2822"/>
      <c r="U326" s="2822"/>
      <c r="V326" s="2822"/>
      <c r="W326" s="2822"/>
      <c r="X326" s="2822"/>
      <c r="Y326" s="2822"/>
      <c r="Z326" s="2822"/>
      <c r="AA326" s="2822"/>
      <c r="AB326" s="2822"/>
      <c r="AC326" s="2822"/>
      <c r="AD326" s="2822"/>
      <c r="AE326" s="2822"/>
      <c r="AF326" s="2822"/>
      <c r="AG326" s="2822"/>
      <c r="AH326" s="2822"/>
      <c r="AI326" s="2822"/>
      <c r="AJ326" s="2822"/>
      <c r="AK326" s="2822"/>
      <c r="AL326" s="2822"/>
      <c r="AM326" s="2822"/>
      <c r="AN326" s="2822"/>
      <c r="AO326" s="2822"/>
      <c r="AP326" s="2822"/>
      <c r="AQ326" s="2822"/>
      <c r="AR326" s="2822"/>
      <c r="AS326" s="2822"/>
      <c r="AT326" s="2822"/>
      <c r="AU326" s="2822"/>
      <c r="AV326" s="2822"/>
      <c r="AW326" s="2822"/>
      <c r="AX326" s="2822"/>
      <c r="AY326" s="2822"/>
      <c r="AZ326" s="2822"/>
      <c r="BA326" s="2822"/>
      <c r="BB326" s="2822"/>
      <c r="BC326" s="2822"/>
      <c r="BD326" s="2822"/>
      <c r="BE326" s="2822"/>
      <c r="BF326" s="2822"/>
      <c r="BG326" s="2822"/>
      <c r="BH326" s="2822"/>
      <c r="BI326" s="2822"/>
      <c r="BJ326" s="2822"/>
      <c r="BK326" s="2822"/>
      <c r="BL326" s="2822"/>
      <c r="BM326" s="2822"/>
      <c r="BN326" s="2822"/>
      <c r="BO326" s="2822"/>
      <c r="BP326" s="2822"/>
      <c r="BQ326" s="2822"/>
      <c r="BR326" s="2822"/>
      <c r="BS326" s="2822"/>
      <c r="BT326" s="2822"/>
      <c r="BU326" s="2822"/>
      <c r="BV326" s="2822"/>
      <c r="BW326" s="2822"/>
      <c r="BX326" s="2822"/>
      <c r="BY326" s="2822"/>
      <c r="BZ326" s="2822"/>
      <c r="CA326" s="2822"/>
      <c r="CB326" s="2822"/>
      <c r="CC326" s="2822"/>
      <c r="CD326" s="2822"/>
      <c r="CE326" s="2822"/>
      <c r="CF326" s="2822"/>
      <c r="CG326" s="2822"/>
      <c r="CH326" s="2822"/>
      <c r="CI326" s="2822"/>
      <c r="CJ326" s="2822"/>
      <c r="CK326" s="2822"/>
      <c r="CL326" s="2822"/>
      <c r="CM326" s="2822"/>
      <c r="CN326" s="2822"/>
    </row>
    <row r="327" spans="1:92" x14ac:dyDescent="0.2">
      <c r="A327" s="2822"/>
      <c r="B327" s="2822"/>
      <c r="C327" s="2822"/>
      <c r="D327" s="2822"/>
      <c r="E327" s="2822"/>
      <c r="F327" s="2822"/>
      <c r="G327" s="2822"/>
      <c r="H327" s="2822"/>
      <c r="I327" s="2822"/>
      <c r="J327" s="2822"/>
      <c r="K327" s="2822"/>
      <c r="L327" s="2822"/>
      <c r="M327" s="2822"/>
      <c r="N327" s="2822"/>
      <c r="O327" s="2822"/>
      <c r="P327" s="2822"/>
      <c r="Q327" s="2822"/>
      <c r="R327" s="2822"/>
      <c r="S327" s="2822"/>
      <c r="T327" s="2822"/>
      <c r="U327" s="2822"/>
      <c r="V327" s="2822"/>
      <c r="W327" s="2822"/>
      <c r="X327" s="2822"/>
      <c r="Y327" s="2822"/>
      <c r="Z327" s="2822"/>
      <c r="AA327" s="2822"/>
      <c r="AB327" s="2822"/>
      <c r="AC327" s="2822"/>
      <c r="AD327" s="2822"/>
      <c r="AE327" s="2822"/>
      <c r="AF327" s="2822"/>
      <c r="AG327" s="2822"/>
      <c r="AH327" s="2822"/>
      <c r="AI327" s="2822"/>
      <c r="AJ327" s="2822"/>
      <c r="AK327" s="2822"/>
      <c r="AL327" s="2822"/>
      <c r="AM327" s="2822"/>
      <c r="AN327" s="2822"/>
      <c r="AO327" s="2822"/>
      <c r="AP327" s="2822"/>
      <c r="AQ327" s="2822"/>
      <c r="AR327" s="2822"/>
      <c r="AS327" s="2822"/>
      <c r="AT327" s="2822"/>
      <c r="AU327" s="2822"/>
      <c r="AV327" s="2822"/>
      <c r="AW327" s="2822"/>
      <c r="AX327" s="2822"/>
      <c r="AY327" s="2822"/>
      <c r="AZ327" s="2822"/>
      <c r="BA327" s="2822"/>
      <c r="BB327" s="2822"/>
      <c r="BC327" s="2822"/>
      <c r="BD327" s="2822"/>
      <c r="BE327" s="2822"/>
      <c r="BF327" s="2822"/>
      <c r="BG327" s="2822"/>
      <c r="BH327" s="2822"/>
      <c r="BI327" s="2822"/>
      <c r="BJ327" s="2822"/>
      <c r="BK327" s="2822"/>
      <c r="BL327" s="2822"/>
      <c r="BM327" s="2822"/>
      <c r="BN327" s="2822"/>
      <c r="BO327" s="2822"/>
      <c r="BP327" s="2822"/>
      <c r="BQ327" s="2822"/>
      <c r="BR327" s="2822"/>
      <c r="BS327" s="2822"/>
      <c r="BT327" s="2822"/>
      <c r="BU327" s="2822"/>
      <c r="BV327" s="2822"/>
      <c r="BW327" s="2822"/>
      <c r="BX327" s="2822"/>
      <c r="BY327" s="2822"/>
      <c r="BZ327" s="2822"/>
      <c r="CA327" s="2822"/>
      <c r="CB327" s="2822"/>
      <c r="CC327" s="2822"/>
      <c r="CD327" s="2822"/>
      <c r="CE327" s="2822"/>
      <c r="CF327" s="2822"/>
      <c r="CG327" s="2822"/>
      <c r="CH327" s="2822"/>
      <c r="CI327" s="2822"/>
      <c r="CJ327" s="2822"/>
      <c r="CK327" s="2822"/>
      <c r="CL327" s="2822"/>
      <c r="CM327" s="2822"/>
      <c r="CN327" s="2822"/>
    </row>
    <row r="328" spans="1:92" x14ac:dyDescent="0.2">
      <c r="A328" s="2822"/>
      <c r="B328" s="2822"/>
      <c r="C328" s="2822"/>
      <c r="D328" s="2822"/>
      <c r="E328" s="2822"/>
      <c r="F328" s="2822"/>
      <c r="G328" s="2822"/>
      <c r="H328" s="2822"/>
      <c r="I328" s="2822"/>
      <c r="J328" s="2822"/>
      <c r="K328" s="2822"/>
      <c r="L328" s="2822"/>
      <c r="M328" s="2822"/>
      <c r="N328" s="2822"/>
      <c r="O328" s="2822"/>
      <c r="P328" s="2822"/>
      <c r="Q328" s="2822"/>
      <c r="R328" s="2822"/>
      <c r="S328" s="2822"/>
      <c r="T328" s="2822"/>
      <c r="U328" s="2822"/>
      <c r="V328" s="2822"/>
      <c r="W328" s="2822"/>
      <c r="X328" s="2822"/>
      <c r="Y328" s="2822"/>
      <c r="Z328" s="2822"/>
      <c r="AA328" s="2822"/>
      <c r="AB328" s="2822"/>
      <c r="AC328" s="2822"/>
      <c r="AD328" s="2822"/>
      <c r="AE328" s="2822"/>
      <c r="AF328" s="2822"/>
      <c r="AG328" s="2822"/>
      <c r="AH328" s="2822"/>
      <c r="AI328" s="2822"/>
      <c r="AJ328" s="2822"/>
      <c r="AK328" s="2822"/>
      <c r="AL328" s="2822"/>
      <c r="AM328" s="2822"/>
      <c r="AN328" s="2822"/>
      <c r="AO328" s="2822"/>
      <c r="AP328" s="2822"/>
      <c r="AQ328" s="2822"/>
      <c r="AR328" s="2822"/>
      <c r="AS328" s="2822"/>
      <c r="AT328" s="2822"/>
      <c r="AU328" s="2822"/>
      <c r="AV328" s="2822"/>
      <c r="AW328" s="2822"/>
      <c r="AX328" s="2822"/>
      <c r="AY328" s="2822"/>
      <c r="AZ328" s="2822"/>
      <c r="BA328" s="2822"/>
      <c r="BB328" s="2822"/>
      <c r="BC328" s="2822"/>
      <c r="BD328" s="2822"/>
      <c r="BE328" s="2822"/>
      <c r="BF328" s="2822"/>
      <c r="BG328" s="2822"/>
      <c r="BH328" s="2822"/>
      <c r="BI328" s="2822"/>
      <c r="BJ328" s="2822"/>
      <c r="BK328" s="2822"/>
      <c r="BL328" s="2822"/>
      <c r="BM328" s="2822"/>
      <c r="BN328" s="2822"/>
      <c r="BO328" s="2822"/>
      <c r="BP328" s="2822"/>
      <c r="BQ328" s="2822"/>
      <c r="BR328" s="2822"/>
      <c r="BS328" s="2822"/>
      <c r="BT328" s="2822"/>
      <c r="BU328" s="2822"/>
      <c r="BV328" s="2822"/>
      <c r="BW328" s="2822"/>
      <c r="BX328" s="2822"/>
      <c r="BY328" s="2822"/>
      <c r="BZ328" s="2822"/>
      <c r="CA328" s="2822"/>
      <c r="CB328" s="2822"/>
      <c r="CC328" s="2822"/>
      <c r="CD328" s="2822"/>
      <c r="CE328" s="2822"/>
      <c r="CF328" s="2822"/>
      <c r="CG328" s="2822"/>
      <c r="CH328" s="2822"/>
      <c r="CI328" s="2822"/>
      <c r="CJ328" s="2822"/>
      <c r="CK328" s="2822"/>
      <c r="CL328" s="2822"/>
      <c r="CM328" s="2822"/>
      <c r="CN328" s="2822"/>
    </row>
    <row r="329" spans="1:92" x14ac:dyDescent="0.2">
      <c r="A329" s="2822"/>
      <c r="B329" s="2822"/>
      <c r="C329" s="2822"/>
      <c r="D329" s="2822"/>
      <c r="E329" s="2822"/>
      <c r="F329" s="2822"/>
      <c r="G329" s="2822"/>
      <c r="H329" s="2822"/>
      <c r="I329" s="2822"/>
      <c r="J329" s="2822"/>
      <c r="K329" s="2822"/>
      <c r="L329" s="2822"/>
      <c r="M329" s="2822"/>
      <c r="N329" s="2822"/>
      <c r="O329" s="2822"/>
      <c r="P329" s="2822"/>
      <c r="Q329" s="2822"/>
      <c r="R329" s="2822"/>
      <c r="S329" s="2822"/>
      <c r="T329" s="2822"/>
      <c r="U329" s="2822"/>
      <c r="V329" s="2822"/>
      <c r="W329" s="2822"/>
      <c r="X329" s="2822"/>
      <c r="Y329" s="2822"/>
      <c r="Z329" s="2822"/>
      <c r="AA329" s="2822"/>
      <c r="AB329" s="2822"/>
      <c r="AC329" s="2822"/>
      <c r="AD329" s="2822"/>
      <c r="AE329" s="2822"/>
      <c r="AF329" s="2822"/>
      <c r="AG329" s="2822"/>
      <c r="AH329" s="2822"/>
      <c r="AI329" s="2822"/>
      <c r="AJ329" s="2822"/>
      <c r="AK329" s="2822"/>
      <c r="AL329" s="2822"/>
      <c r="AM329" s="2822"/>
      <c r="AN329" s="2822"/>
      <c r="AO329" s="2822"/>
      <c r="AP329" s="2822"/>
      <c r="AQ329" s="2822"/>
      <c r="AR329" s="2822"/>
      <c r="AS329" s="2822"/>
      <c r="AT329" s="2822"/>
      <c r="AU329" s="2822"/>
      <c r="AV329" s="2822"/>
      <c r="AW329" s="2822"/>
      <c r="AX329" s="2822"/>
      <c r="AY329" s="2822"/>
      <c r="AZ329" s="2822"/>
      <c r="BA329" s="2822"/>
      <c r="BB329" s="2822"/>
      <c r="BC329" s="2822"/>
      <c r="BD329" s="2822"/>
      <c r="BE329" s="2822"/>
      <c r="BF329" s="2822"/>
      <c r="BG329" s="2822"/>
      <c r="BH329" s="2822"/>
      <c r="BI329" s="2822"/>
      <c r="BJ329" s="2822"/>
      <c r="BK329" s="2822"/>
      <c r="BL329" s="2822"/>
      <c r="BM329" s="2822"/>
      <c r="BN329" s="2822"/>
      <c r="BO329" s="2822"/>
      <c r="BP329" s="2822"/>
      <c r="BQ329" s="2822"/>
      <c r="BR329" s="2822"/>
      <c r="BS329" s="2822"/>
      <c r="BT329" s="2822"/>
      <c r="BU329" s="2822"/>
      <c r="BV329" s="2822"/>
      <c r="BW329" s="2822"/>
      <c r="BX329" s="2822"/>
      <c r="BY329" s="2822"/>
      <c r="BZ329" s="2822"/>
      <c r="CA329" s="2822"/>
      <c r="CB329" s="2822"/>
      <c r="CC329" s="2822"/>
      <c r="CD329" s="2822"/>
      <c r="CE329" s="2822"/>
      <c r="CF329" s="2822"/>
      <c r="CG329" s="2822"/>
      <c r="CH329" s="2822"/>
      <c r="CI329" s="2822"/>
      <c r="CJ329" s="2822"/>
      <c r="CK329" s="2822"/>
      <c r="CL329" s="2822"/>
      <c r="CM329" s="2822"/>
      <c r="CN329" s="2822"/>
    </row>
    <row r="330" spans="1:92" x14ac:dyDescent="0.2">
      <c r="A330" s="2822"/>
      <c r="B330" s="2822"/>
      <c r="C330" s="2822"/>
      <c r="D330" s="2822"/>
      <c r="E330" s="2822"/>
      <c r="F330" s="2822"/>
      <c r="G330" s="2822"/>
      <c r="H330" s="2822"/>
      <c r="I330" s="2822"/>
      <c r="J330" s="2822"/>
      <c r="K330" s="2822"/>
      <c r="L330" s="2822"/>
      <c r="M330" s="2822"/>
      <c r="N330" s="2822"/>
      <c r="O330" s="2822"/>
      <c r="P330" s="2822"/>
      <c r="Q330" s="2822"/>
      <c r="R330" s="2822"/>
      <c r="S330" s="2822"/>
      <c r="T330" s="2822"/>
      <c r="U330" s="2822"/>
      <c r="V330" s="2822"/>
      <c r="W330" s="2822"/>
      <c r="X330" s="2822"/>
      <c r="Y330" s="2822"/>
      <c r="Z330" s="2822"/>
      <c r="AA330" s="2822"/>
      <c r="AB330" s="2822"/>
      <c r="AC330" s="2822"/>
      <c r="AD330" s="2822"/>
      <c r="AE330" s="2822"/>
      <c r="AF330" s="2822"/>
      <c r="AG330" s="2822"/>
      <c r="AH330" s="2822"/>
      <c r="AI330" s="2822"/>
      <c r="AJ330" s="2822"/>
      <c r="AK330" s="2822"/>
      <c r="AL330" s="2822"/>
      <c r="AM330" s="2822"/>
      <c r="AN330" s="2822"/>
      <c r="AO330" s="2822"/>
      <c r="AP330" s="2822"/>
      <c r="AQ330" s="2822"/>
      <c r="AR330" s="2822"/>
      <c r="AS330" s="2822"/>
      <c r="AT330" s="2822"/>
      <c r="AU330" s="2822"/>
      <c r="AV330" s="2822"/>
      <c r="AW330" s="2822"/>
      <c r="AX330" s="2822"/>
      <c r="AY330" s="2822"/>
      <c r="AZ330" s="2822"/>
      <c r="BA330" s="2822"/>
      <c r="BB330" s="2822"/>
      <c r="BC330" s="2822"/>
      <c r="BD330" s="2822"/>
      <c r="BE330" s="2822"/>
      <c r="BF330" s="2822"/>
      <c r="BG330" s="2822"/>
      <c r="BH330" s="2822"/>
      <c r="BI330" s="2822"/>
      <c r="BJ330" s="2822"/>
      <c r="BK330" s="2822"/>
      <c r="BL330" s="2822"/>
      <c r="BM330" s="2822"/>
      <c r="BN330" s="2822"/>
      <c r="BO330" s="2822"/>
      <c r="BP330" s="2822"/>
      <c r="BQ330" s="2822"/>
      <c r="BR330" s="2822"/>
      <c r="BS330" s="2822"/>
      <c r="BT330" s="2822"/>
      <c r="BU330" s="2822"/>
      <c r="BV330" s="2822"/>
      <c r="BW330" s="2822"/>
      <c r="BX330" s="2822"/>
      <c r="BY330" s="2822"/>
      <c r="BZ330" s="2822"/>
      <c r="CA330" s="2822"/>
      <c r="CB330" s="2822"/>
      <c r="CC330" s="2822"/>
      <c r="CD330" s="2822"/>
      <c r="CE330" s="2822"/>
      <c r="CF330" s="2822"/>
      <c r="CG330" s="2822"/>
      <c r="CH330" s="2822"/>
      <c r="CI330" s="2822"/>
      <c r="CJ330" s="2822"/>
      <c r="CK330" s="2822"/>
      <c r="CL330" s="2822"/>
      <c r="CM330" s="2822"/>
      <c r="CN330" s="2822"/>
    </row>
    <row r="331" spans="1:92" x14ac:dyDescent="0.2">
      <c r="A331" s="2822"/>
      <c r="B331" s="2822"/>
      <c r="C331" s="2822"/>
      <c r="D331" s="2822"/>
      <c r="E331" s="2822"/>
      <c r="F331" s="2822"/>
      <c r="G331" s="2822"/>
      <c r="H331" s="2822"/>
      <c r="I331" s="2822"/>
      <c r="J331" s="2822"/>
      <c r="K331" s="2822"/>
      <c r="L331" s="2822"/>
      <c r="M331" s="2822"/>
      <c r="N331" s="2822"/>
      <c r="O331" s="2822"/>
      <c r="P331" s="2822"/>
      <c r="Q331" s="2822"/>
      <c r="R331" s="2822"/>
      <c r="S331" s="2822"/>
      <c r="T331" s="2822"/>
      <c r="U331" s="2822"/>
      <c r="V331" s="2822"/>
      <c r="W331" s="2822"/>
      <c r="X331" s="2822"/>
      <c r="Y331" s="2822"/>
      <c r="Z331" s="2822"/>
      <c r="AA331" s="2822"/>
      <c r="AB331" s="2822"/>
      <c r="AC331" s="2822"/>
      <c r="AD331" s="2822"/>
      <c r="AE331" s="2822"/>
      <c r="AF331" s="2822"/>
      <c r="AG331" s="2822"/>
      <c r="AH331" s="2822"/>
      <c r="AI331" s="2822"/>
      <c r="AJ331" s="2822"/>
      <c r="AK331" s="2822"/>
      <c r="AL331" s="2822"/>
      <c r="AM331" s="2822"/>
      <c r="AN331" s="2822"/>
      <c r="AO331" s="2822"/>
      <c r="AP331" s="2822"/>
      <c r="AQ331" s="2822"/>
      <c r="AR331" s="2822"/>
      <c r="AS331" s="2822"/>
      <c r="AT331" s="2822"/>
      <c r="AU331" s="2822"/>
      <c r="AV331" s="2822"/>
      <c r="AW331" s="2822"/>
      <c r="AX331" s="2822"/>
      <c r="AY331" s="2822"/>
      <c r="AZ331" s="2822"/>
      <c r="BA331" s="2822"/>
      <c r="BB331" s="2822"/>
      <c r="BC331" s="2822"/>
      <c r="BD331" s="2822"/>
      <c r="BE331" s="2822"/>
      <c r="BF331" s="2822"/>
      <c r="BG331" s="2822"/>
      <c r="BH331" s="2822"/>
      <c r="BI331" s="2822"/>
      <c r="BJ331" s="2822"/>
      <c r="BK331" s="2822"/>
      <c r="BL331" s="2822"/>
      <c r="BM331" s="2822"/>
      <c r="BN331" s="2822"/>
      <c r="BO331" s="2822"/>
      <c r="BP331" s="2822"/>
      <c r="BQ331" s="2822"/>
      <c r="BR331" s="2822"/>
      <c r="BS331" s="2822"/>
      <c r="BT331" s="2822"/>
      <c r="BU331" s="2822"/>
      <c r="BV331" s="2822"/>
      <c r="BW331" s="2822"/>
      <c r="BX331" s="2822"/>
      <c r="BY331" s="2822"/>
      <c r="BZ331" s="2822"/>
      <c r="CA331" s="2822"/>
      <c r="CB331" s="2822"/>
      <c r="CC331" s="2822"/>
      <c r="CD331" s="2822"/>
      <c r="CE331" s="2822"/>
      <c r="CF331" s="2822"/>
      <c r="CG331" s="2822"/>
      <c r="CH331" s="2822"/>
      <c r="CI331" s="2822"/>
      <c r="CJ331" s="2822"/>
      <c r="CK331" s="2822"/>
      <c r="CL331" s="2822"/>
      <c r="CM331" s="2822"/>
      <c r="CN331" s="2822"/>
    </row>
    <row r="332" spans="1:92" x14ac:dyDescent="0.2">
      <c r="A332" s="2822"/>
      <c r="B332" s="2822"/>
      <c r="C332" s="2822"/>
      <c r="D332" s="2822"/>
      <c r="E332" s="2822"/>
      <c r="F332" s="2822"/>
      <c r="G332" s="2822"/>
      <c r="H332" s="2822"/>
      <c r="I332" s="2822"/>
      <c r="J332" s="2822"/>
      <c r="K332" s="2822"/>
      <c r="L332" s="2822"/>
      <c r="M332" s="2822"/>
      <c r="N332" s="2822"/>
      <c r="O332" s="2822"/>
      <c r="P332" s="2822"/>
      <c r="Q332" s="2822"/>
      <c r="R332" s="2822"/>
      <c r="S332" s="2822"/>
      <c r="T332" s="2822"/>
      <c r="U332" s="2822"/>
      <c r="V332" s="2822"/>
      <c r="W332" s="2822"/>
      <c r="X332" s="2822"/>
      <c r="Y332" s="2822"/>
      <c r="Z332" s="2822"/>
      <c r="AA332" s="2822"/>
      <c r="AB332" s="2822"/>
      <c r="AC332" s="2822"/>
      <c r="AD332" s="2822"/>
      <c r="AE332" s="2822"/>
      <c r="AF332" s="2822"/>
      <c r="AG332" s="2822"/>
      <c r="AH332" s="2822"/>
      <c r="AI332" s="2822"/>
      <c r="AJ332" s="2822"/>
      <c r="AK332" s="2822"/>
      <c r="AL332" s="2822"/>
      <c r="AM332" s="2822"/>
      <c r="AN332" s="2822"/>
      <c r="AO332" s="2822"/>
      <c r="AP332" s="2822"/>
      <c r="AQ332" s="2822"/>
      <c r="AR332" s="2822"/>
      <c r="AS332" s="2822"/>
      <c r="AT332" s="2822"/>
      <c r="AU332" s="2822"/>
      <c r="AV332" s="2822"/>
      <c r="AW332" s="2822"/>
      <c r="AX332" s="2822"/>
      <c r="AY332" s="2822"/>
      <c r="AZ332" s="2822"/>
      <c r="BA332" s="2822"/>
      <c r="BB332" s="2822"/>
      <c r="BC332" s="2822"/>
      <c r="BD332" s="2822"/>
      <c r="BE332" s="2822"/>
      <c r="BF332" s="2822"/>
      <c r="BG332" s="2822"/>
      <c r="BH332" s="2822"/>
      <c r="BI332" s="2822"/>
      <c r="BJ332" s="2822"/>
      <c r="BK332" s="2822"/>
      <c r="BL332" s="2822"/>
      <c r="BM332" s="2822"/>
      <c r="BN332" s="2822"/>
      <c r="BO332" s="2822"/>
      <c r="BP332" s="2822"/>
      <c r="BQ332" s="2822"/>
      <c r="BR332" s="2822"/>
      <c r="BS332" s="2822"/>
      <c r="BT332" s="2822"/>
      <c r="BU332" s="2822"/>
      <c r="BV332" s="2822"/>
      <c r="BW332" s="2822"/>
      <c r="BX332" s="2822"/>
      <c r="BY332" s="2822"/>
      <c r="BZ332" s="2822"/>
      <c r="CA332" s="2822"/>
      <c r="CB332" s="2822"/>
      <c r="CC332" s="2822"/>
      <c r="CD332" s="2822"/>
      <c r="CE332" s="2822"/>
      <c r="CF332" s="2822"/>
      <c r="CG332" s="2822"/>
      <c r="CH332" s="2822"/>
      <c r="CI332" s="2822"/>
      <c r="CJ332" s="2822"/>
      <c r="CK332" s="2822"/>
      <c r="CL332" s="2822"/>
      <c r="CM332" s="2822"/>
      <c r="CN332" s="2822"/>
    </row>
    <row r="333" spans="1:92" x14ac:dyDescent="0.2">
      <c r="A333" s="2822"/>
      <c r="B333" s="2822"/>
      <c r="C333" s="2822"/>
      <c r="D333" s="2822"/>
      <c r="E333" s="2822"/>
      <c r="F333" s="2822"/>
      <c r="G333" s="2822"/>
      <c r="H333" s="2822"/>
      <c r="I333" s="2822"/>
      <c r="J333" s="2822"/>
      <c r="K333" s="2822"/>
      <c r="L333" s="2822"/>
      <c r="M333" s="2822"/>
      <c r="N333" s="2822"/>
      <c r="O333" s="2822"/>
      <c r="P333" s="2822"/>
      <c r="Q333" s="2822"/>
      <c r="R333" s="2822"/>
      <c r="S333" s="2822"/>
      <c r="T333" s="2822"/>
      <c r="U333" s="2822"/>
      <c r="V333" s="2822"/>
      <c r="W333" s="2822"/>
      <c r="X333" s="2822"/>
      <c r="Y333" s="2822"/>
      <c r="Z333" s="2822"/>
      <c r="AA333" s="2822"/>
      <c r="AB333" s="2822"/>
      <c r="AC333" s="2822"/>
      <c r="AD333" s="2822"/>
      <c r="AE333" s="2822"/>
      <c r="AF333" s="2822"/>
      <c r="AG333" s="2822"/>
      <c r="AH333" s="2822"/>
      <c r="AI333" s="2822"/>
      <c r="AJ333" s="2822"/>
      <c r="AK333" s="2822"/>
      <c r="AL333" s="2822"/>
      <c r="AM333" s="2822"/>
      <c r="AN333" s="2822"/>
      <c r="AO333" s="2822"/>
      <c r="AP333" s="2822"/>
      <c r="AQ333" s="2822"/>
      <c r="AR333" s="2822"/>
      <c r="AS333" s="2822"/>
      <c r="AT333" s="2822"/>
      <c r="AU333" s="2822"/>
      <c r="AV333" s="2822"/>
      <c r="AW333" s="2822"/>
      <c r="AX333" s="2822"/>
      <c r="AY333" s="2822"/>
      <c r="AZ333" s="2822"/>
      <c r="BA333" s="2822"/>
      <c r="BB333" s="2822"/>
      <c r="BC333" s="2822"/>
      <c r="BD333" s="2822"/>
      <c r="BE333" s="2822"/>
      <c r="BF333" s="2822"/>
      <c r="BG333" s="2822"/>
      <c r="BH333" s="2822"/>
      <c r="BI333" s="2822"/>
      <c r="BJ333" s="2822"/>
      <c r="BK333" s="2822"/>
      <c r="BL333" s="2822"/>
      <c r="BM333" s="2822"/>
      <c r="BN333" s="2822"/>
      <c r="BO333" s="2822"/>
      <c r="BP333" s="2822"/>
      <c r="BQ333" s="2822"/>
      <c r="BR333" s="2822"/>
      <c r="BS333" s="2822"/>
      <c r="BT333" s="2822"/>
      <c r="BU333" s="2822"/>
      <c r="BV333" s="2822"/>
      <c r="BW333" s="2822"/>
      <c r="BX333" s="2822"/>
      <c r="BY333" s="2822"/>
      <c r="BZ333" s="2822"/>
      <c r="CA333" s="2822"/>
      <c r="CB333" s="2822"/>
      <c r="CC333" s="2822"/>
      <c r="CD333" s="2822"/>
      <c r="CE333" s="2822"/>
      <c r="CF333" s="2822"/>
      <c r="CG333" s="2822"/>
      <c r="CH333" s="2822"/>
      <c r="CI333" s="2822"/>
      <c r="CJ333" s="2822"/>
      <c r="CK333" s="2822"/>
      <c r="CL333" s="2822"/>
      <c r="CM333" s="2822"/>
      <c r="CN333" s="2822"/>
    </row>
    <row r="334" spans="1:92" x14ac:dyDescent="0.2">
      <c r="A334" s="2822"/>
      <c r="B334" s="2822"/>
      <c r="C334" s="2822"/>
      <c r="D334" s="2822"/>
      <c r="E334" s="2822"/>
      <c r="F334" s="2822"/>
      <c r="G334" s="2822"/>
      <c r="H334" s="2822"/>
      <c r="I334" s="2822"/>
      <c r="J334" s="2822"/>
      <c r="K334" s="2822"/>
      <c r="L334" s="2822"/>
      <c r="M334" s="2822"/>
      <c r="N334" s="2822"/>
      <c r="O334" s="2822"/>
      <c r="P334" s="2822"/>
      <c r="Q334" s="2822"/>
      <c r="R334" s="2822"/>
      <c r="S334" s="2822"/>
      <c r="T334" s="2822"/>
      <c r="U334" s="2822"/>
      <c r="V334" s="2822"/>
      <c r="W334" s="2822"/>
      <c r="X334" s="2822"/>
      <c r="Y334" s="2822"/>
      <c r="Z334" s="2822"/>
      <c r="AA334" s="2822"/>
      <c r="AB334" s="2822"/>
      <c r="AC334" s="2822"/>
      <c r="AD334" s="2822"/>
      <c r="AE334" s="2822"/>
      <c r="AF334" s="2822"/>
      <c r="AG334" s="2822"/>
      <c r="AH334" s="2822"/>
      <c r="AI334" s="2822"/>
      <c r="AJ334" s="2822"/>
      <c r="AK334" s="2822"/>
      <c r="AL334" s="2822"/>
      <c r="AM334" s="2822"/>
      <c r="AN334" s="2822"/>
      <c r="AO334" s="2822"/>
      <c r="AP334" s="2822"/>
      <c r="AQ334" s="2822"/>
      <c r="AR334" s="2822"/>
      <c r="AS334" s="2822"/>
      <c r="AT334" s="2822"/>
      <c r="AU334" s="2822"/>
      <c r="AV334" s="2822"/>
      <c r="AW334" s="2822"/>
      <c r="AX334" s="2822"/>
      <c r="AY334" s="2822"/>
      <c r="AZ334" s="2822"/>
      <c r="BA334" s="2822"/>
      <c r="BB334" s="2822"/>
      <c r="BC334" s="2822"/>
      <c r="BD334" s="2822"/>
      <c r="BE334" s="2822"/>
      <c r="BF334" s="2822"/>
      <c r="BG334" s="2822"/>
      <c r="BH334" s="2822"/>
      <c r="BI334" s="2822"/>
      <c r="BJ334" s="2822"/>
      <c r="BK334" s="2822"/>
      <c r="BL334" s="2822"/>
      <c r="BM334" s="2822"/>
      <c r="BN334" s="2822"/>
      <c r="BO334" s="2822"/>
      <c r="BP334" s="2822"/>
      <c r="BQ334" s="2822"/>
      <c r="BR334" s="2822"/>
      <c r="BS334" s="2822"/>
      <c r="BT334" s="2822"/>
      <c r="BU334" s="2822"/>
      <c r="BV334" s="2822"/>
      <c r="BW334" s="2822"/>
      <c r="BX334" s="2822"/>
      <c r="BY334" s="2822"/>
      <c r="BZ334" s="2822"/>
      <c r="CA334" s="2822"/>
      <c r="CB334" s="2822"/>
      <c r="CC334" s="2822"/>
      <c r="CD334" s="2822"/>
      <c r="CE334" s="2822"/>
      <c r="CF334" s="2822"/>
      <c r="CG334" s="2822"/>
      <c r="CH334" s="2822"/>
      <c r="CI334" s="2822"/>
      <c r="CJ334" s="2822"/>
      <c r="CK334" s="2822"/>
      <c r="CL334" s="2822"/>
      <c r="CM334" s="2822"/>
      <c r="CN334" s="2822"/>
    </row>
    <row r="335" spans="1:92" x14ac:dyDescent="0.2">
      <c r="A335" s="2822"/>
      <c r="B335" s="2822"/>
      <c r="C335" s="2822"/>
      <c r="D335" s="2822"/>
      <c r="E335" s="2822"/>
      <c r="F335" s="2822"/>
      <c r="G335" s="2822"/>
      <c r="H335" s="2822"/>
      <c r="I335" s="2822"/>
      <c r="J335" s="2822"/>
      <c r="K335" s="2822"/>
      <c r="L335" s="2822"/>
      <c r="M335" s="2822"/>
      <c r="N335" s="2822"/>
      <c r="O335" s="2822"/>
      <c r="P335" s="2822"/>
      <c r="Q335" s="2822"/>
      <c r="R335" s="2822"/>
      <c r="S335" s="2822"/>
      <c r="T335" s="2822"/>
      <c r="U335" s="2822"/>
      <c r="V335" s="2822"/>
      <c r="W335" s="2822"/>
      <c r="X335" s="2822"/>
      <c r="Y335" s="2822"/>
      <c r="Z335" s="2822"/>
      <c r="AA335" s="2822"/>
      <c r="AB335" s="2822"/>
      <c r="AC335" s="2822"/>
      <c r="AD335" s="2822"/>
      <c r="AE335" s="2822"/>
      <c r="AF335" s="2822"/>
      <c r="AG335" s="2822"/>
      <c r="AH335" s="2822"/>
      <c r="AI335" s="2822"/>
      <c r="AJ335" s="2822"/>
      <c r="AK335" s="2822"/>
      <c r="AL335" s="2822"/>
      <c r="AM335" s="2822"/>
      <c r="AN335" s="2822"/>
      <c r="AO335" s="2822"/>
      <c r="AP335" s="2822"/>
      <c r="AQ335" s="2822"/>
      <c r="AR335" s="2822"/>
      <c r="AS335" s="2822"/>
      <c r="AT335" s="2822"/>
      <c r="AU335" s="2822"/>
      <c r="AV335" s="2822"/>
      <c r="AW335" s="2822"/>
      <c r="AX335" s="2822"/>
      <c r="AY335" s="2822"/>
      <c r="AZ335" s="2822"/>
      <c r="BA335" s="2822"/>
      <c r="BB335" s="2822"/>
      <c r="BC335" s="2822"/>
      <c r="BD335" s="2822"/>
      <c r="BE335" s="2822"/>
      <c r="BF335" s="2822"/>
      <c r="BG335" s="2822"/>
      <c r="BH335" s="2822"/>
      <c r="BI335" s="2822"/>
      <c r="BJ335" s="2822"/>
      <c r="BK335" s="2822"/>
      <c r="BL335" s="2822"/>
      <c r="BM335" s="2822"/>
      <c r="BN335" s="2822"/>
      <c r="BO335" s="2822"/>
      <c r="BP335" s="2822"/>
      <c r="BQ335" s="2822"/>
      <c r="BR335" s="2822"/>
      <c r="BS335" s="2822"/>
      <c r="BT335" s="2822"/>
      <c r="BU335" s="2822"/>
      <c r="BV335" s="2822"/>
      <c r="BW335" s="2822"/>
      <c r="BX335" s="2822"/>
      <c r="BY335" s="2822"/>
      <c r="BZ335" s="2822"/>
      <c r="CA335" s="2822"/>
      <c r="CB335" s="2822"/>
      <c r="CC335" s="2822"/>
      <c r="CD335" s="2822"/>
      <c r="CE335" s="2822"/>
      <c r="CF335" s="2822"/>
      <c r="CG335" s="2822"/>
      <c r="CH335" s="2822"/>
      <c r="CI335" s="2822"/>
      <c r="CJ335" s="2822"/>
      <c r="CK335" s="2822"/>
      <c r="CL335" s="2822"/>
      <c r="CM335" s="2822"/>
      <c r="CN335" s="2822"/>
    </row>
    <row r="336" spans="1:92" x14ac:dyDescent="0.2">
      <c r="A336" s="2822"/>
      <c r="B336" s="2822"/>
      <c r="C336" s="2822"/>
      <c r="D336" s="2822"/>
      <c r="E336" s="2822"/>
      <c r="F336" s="2822"/>
      <c r="G336" s="2822"/>
      <c r="H336" s="2822"/>
      <c r="I336" s="2822"/>
      <c r="J336" s="2822"/>
      <c r="K336" s="2822"/>
      <c r="L336" s="2822"/>
      <c r="M336" s="2822"/>
      <c r="N336" s="2822"/>
      <c r="O336" s="2822"/>
      <c r="P336" s="2822"/>
      <c r="Q336" s="2822"/>
      <c r="R336" s="2822"/>
      <c r="S336" s="2822"/>
      <c r="T336" s="2822"/>
      <c r="U336" s="2822"/>
      <c r="V336" s="2822"/>
      <c r="W336" s="2822"/>
      <c r="X336" s="2822"/>
      <c r="Y336" s="2822"/>
      <c r="Z336" s="2822"/>
      <c r="AA336" s="2822"/>
      <c r="AB336" s="2822"/>
      <c r="AC336" s="2822"/>
      <c r="AD336" s="2822"/>
      <c r="AE336" s="2822"/>
      <c r="AF336" s="2822"/>
      <c r="AG336" s="2822"/>
      <c r="AH336" s="2822"/>
      <c r="AI336" s="2822"/>
      <c r="AJ336" s="2822"/>
      <c r="AK336" s="2822"/>
      <c r="AL336" s="2822"/>
      <c r="AM336" s="2822"/>
      <c r="AN336" s="2822"/>
      <c r="AO336" s="2822"/>
      <c r="AP336" s="2822"/>
      <c r="AQ336" s="2822"/>
      <c r="AR336" s="2822"/>
      <c r="AS336" s="2822"/>
      <c r="AT336" s="2822"/>
      <c r="AU336" s="2822"/>
      <c r="AV336" s="2822"/>
      <c r="AW336" s="2822"/>
      <c r="AX336" s="2822"/>
      <c r="AY336" s="2822"/>
      <c r="AZ336" s="2822"/>
      <c r="BA336" s="2822"/>
      <c r="BB336" s="2822"/>
      <c r="BC336" s="2822"/>
      <c r="BD336" s="2822"/>
      <c r="BE336" s="2822"/>
      <c r="BF336" s="2822"/>
      <c r="BG336" s="2822"/>
      <c r="BH336" s="2822"/>
      <c r="BI336" s="2822"/>
      <c r="BJ336" s="2822"/>
      <c r="BK336" s="2822"/>
      <c r="BL336" s="2822"/>
      <c r="BM336" s="2822"/>
      <c r="BN336" s="2822"/>
      <c r="BO336" s="2822"/>
      <c r="BP336" s="2822"/>
      <c r="BQ336" s="2822"/>
      <c r="BR336" s="2822"/>
      <c r="BS336" s="2822"/>
      <c r="BT336" s="2822"/>
      <c r="BU336" s="2822"/>
      <c r="BV336" s="2822"/>
      <c r="BW336" s="2822"/>
      <c r="BX336" s="2822"/>
      <c r="BY336" s="2822"/>
      <c r="BZ336" s="2822"/>
      <c r="CA336" s="2822"/>
      <c r="CB336" s="2822"/>
      <c r="CC336" s="2822"/>
      <c r="CD336" s="2822"/>
      <c r="CE336" s="2822"/>
      <c r="CF336" s="2822"/>
      <c r="CG336" s="2822"/>
      <c r="CH336" s="2822"/>
      <c r="CI336" s="2822"/>
      <c r="CJ336" s="2822"/>
      <c r="CK336" s="2822"/>
      <c r="CL336" s="2822"/>
      <c r="CM336" s="2822"/>
      <c r="CN336" s="2822"/>
    </row>
    <row r="337" spans="1:92" x14ac:dyDescent="0.2">
      <c r="A337" s="2822"/>
      <c r="B337" s="2822"/>
      <c r="C337" s="2822"/>
      <c r="D337" s="2822"/>
      <c r="E337" s="2822"/>
      <c r="F337" s="2822"/>
      <c r="G337" s="2822"/>
      <c r="H337" s="2822"/>
      <c r="I337" s="2822"/>
      <c r="J337" s="2822"/>
      <c r="K337" s="2822"/>
      <c r="L337" s="2822"/>
      <c r="M337" s="2822"/>
      <c r="N337" s="2822"/>
      <c r="O337" s="2822"/>
      <c r="P337" s="2822"/>
      <c r="Q337" s="2822"/>
      <c r="R337" s="2822"/>
      <c r="S337" s="2822"/>
      <c r="T337" s="2822"/>
      <c r="U337" s="2822"/>
      <c r="V337" s="2822"/>
      <c r="W337" s="2822"/>
      <c r="X337" s="2822"/>
      <c r="Y337" s="2822"/>
      <c r="Z337" s="2822"/>
      <c r="AA337" s="2822"/>
      <c r="AB337" s="2822"/>
      <c r="AC337" s="2822"/>
      <c r="AD337" s="2822"/>
      <c r="AE337" s="2822"/>
      <c r="AF337" s="2822"/>
      <c r="AG337" s="2822"/>
      <c r="AH337" s="2822"/>
      <c r="AI337" s="2822"/>
      <c r="AJ337" s="2822"/>
      <c r="AK337" s="2822"/>
      <c r="AL337" s="2822"/>
      <c r="AM337" s="2822"/>
      <c r="AN337" s="2822"/>
      <c r="AO337" s="2822"/>
      <c r="AP337" s="2822"/>
      <c r="AQ337" s="2822"/>
      <c r="AR337" s="2822"/>
      <c r="AS337" s="2822"/>
      <c r="AT337" s="2822"/>
      <c r="AU337" s="2822"/>
      <c r="AV337" s="2822"/>
      <c r="AW337" s="2822"/>
      <c r="AX337" s="2822"/>
      <c r="AY337" s="2822"/>
      <c r="AZ337" s="2822"/>
      <c r="BA337" s="2822"/>
      <c r="BB337" s="2822"/>
      <c r="BC337" s="2822"/>
      <c r="BD337" s="2822"/>
      <c r="BE337" s="2822"/>
      <c r="BF337" s="2822"/>
      <c r="BG337" s="2822"/>
      <c r="BH337" s="2822"/>
      <c r="BI337" s="2822"/>
      <c r="BJ337" s="2822"/>
      <c r="BK337" s="2822"/>
      <c r="BL337" s="2822"/>
      <c r="BM337" s="2822"/>
      <c r="BN337" s="2822"/>
      <c r="BO337" s="2822"/>
      <c r="BP337" s="2822"/>
      <c r="BQ337" s="2822"/>
      <c r="BR337" s="2822"/>
      <c r="BS337" s="2822"/>
      <c r="BT337" s="2822"/>
      <c r="BU337" s="2822"/>
      <c r="BV337" s="2822"/>
      <c r="BW337" s="2822"/>
      <c r="BX337" s="2822"/>
      <c r="BY337" s="2822"/>
      <c r="BZ337" s="2822"/>
      <c r="CA337" s="2822"/>
      <c r="CB337" s="2822"/>
      <c r="CC337" s="2822"/>
      <c r="CD337" s="2822"/>
      <c r="CE337" s="2822"/>
      <c r="CF337" s="2822"/>
      <c r="CG337" s="2822"/>
      <c r="CH337" s="2822"/>
      <c r="CI337" s="2822"/>
      <c r="CJ337" s="2822"/>
      <c r="CK337" s="2822"/>
      <c r="CL337" s="2822"/>
      <c r="CM337" s="2822"/>
      <c r="CN337" s="2822"/>
    </row>
    <row r="338" spans="1:92" x14ac:dyDescent="0.2">
      <c r="A338" s="2822"/>
      <c r="B338" s="2822"/>
      <c r="C338" s="2822"/>
      <c r="D338" s="2822"/>
      <c r="E338" s="2822"/>
      <c r="F338" s="2822"/>
      <c r="G338" s="2822"/>
      <c r="H338" s="2822"/>
      <c r="I338" s="2822"/>
      <c r="J338" s="2822"/>
      <c r="K338" s="2822"/>
      <c r="L338" s="2822"/>
      <c r="M338" s="2822"/>
      <c r="N338" s="2822"/>
      <c r="O338" s="2822"/>
      <c r="P338" s="2822"/>
      <c r="Q338" s="2822"/>
      <c r="R338" s="2822"/>
      <c r="S338" s="2822"/>
      <c r="T338" s="2822"/>
      <c r="U338" s="2822"/>
      <c r="V338" s="2822"/>
      <c r="W338" s="2822"/>
      <c r="X338" s="2822"/>
      <c r="Y338" s="2822"/>
      <c r="Z338" s="2822"/>
      <c r="AA338" s="2822"/>
      <c r="AB338" s="2822"/>
      <c r="AC338" s="2822"/>
      <c r="AD338" s="2822"/>
      <c r="AE338" s="2822"/>
      <c r="AF338" s="2822"/>
      <c r="AG338" s="2822"/>
      <c r="AH338" s="2822"/>
      <c r="AI338" s="2822"/>
      <c r="AJ338" s="2822"/>
      <c r="AK338" s="2822"/>
      <c r="AL338" s="2822"/>
      <c r="AM338" s="2822"/>
      <c r="AN338" s="2822"/>
      <c r="AO338" s="2822"/>
      <c r="AP338" s="2822"/>
      <c r="AQ338" s="2822"/>
      <c r="AR338" s="2822"/>
      <c r="AS338" s="2822"/>
      <c r="AT338" s="2822"/>
      <c r="AU338" s="2822"/>
      <c r="AV338" s="2822"/>
      <c r="AW338" s="2822"/>
      <c r="AX338" s="2822"/>
      <c r="AY338" s="2822"/>
      <c r="AZ338" s="2822"/>
      <c r="BA338" s="2822"/>
      <c r="BB338" s="2822"/>
      <c r="BC338" s="2822"/>
      <c r="BD338" s="2822"/>
      <c r="BE338" s="2822"/>
      <c r="BF338" s="2822"/>
      <c r="BG338" s="2822"/>
      <c r="BH338" s="2822"/>
      <c r="BI338" s="2822"/>
      <c r="BJ338" s="2822"/>
      <c r="BK338" s="2822"/>
      <c r="BL338" s="2822"/>
      <c r="BM338" s="2822"/>
      <c r="BN338" s="2822"/>
      <c r="BO338" s="2822"/>
      <c r="BP338" s="2822"/>
      <c r="BQ338" s="2822"/>
      <c r="BR338" s="2822"/>
      <c r="BS338" s="2822"/>
      <c r="BT338" s="2822"/>
      <c r="BU338" s="2822"/>
      <c r="BV338" s="2822"/>
      <c r="BW338" s="2822"/>
      <c r="BX338" s="2822"/>
      <c r="BY338" s="2822"/>
      <c r="BZ338" s="2822"/>
      <c r="CA338" s="2822"/>
      <c r="CB338" s="2822"/>
      <c r="CC338" s="2822"/>
      <c r="CD338" s="2822"/>
      <c r="CE338" s="2822"/>
      <c r="CF338" s="2822"/>
      <c r="CG338" s="2822"/>
      <c r="CH338" s="2822"/>
      <c r="CI338" s="2822"/>
      <c r="CJ338" s="2822"/>
      <c r="CK338" s="2822"/>
      <c r="CL338" s="2822"/>
      <c r="CM338" s="2822"/>
      <c r="CN338" s="2822"/>
    </row>
    <row r="339" spans="1:92" x14ac:dyDescent="0.2">
      <c r="A339" s="2822"/>
      <c r="B339" s="2822"/>
      <c r="C339" s="2822"/>
      <c r="D339" s="2822"/>
      <c r="E339" s="2822"/>
      <c r="F339" s="2822"/>
      <c r="G339" s="2822"/>
      <c r="H339" s="2822"/>
      <c r="I339" s="2822"/>
      <c r="J339" s="2822"/>
      <c r="K339" s="2822"/>
      <c r="L339" s="2822"/>
      <c r="M339" s="2822"/>
      <c r="N339" s="2822"/>
      <c r="O339" s="2822"/>
      <c r="P339" s="2822"/>
      <c r="Q339" s="2822"/>
      <c r="R339" s="2822"/>
      <c r="S339" s="2822"/>
      <c r="T339" s="2822"/>
      <c r="U339" s="2822"/>
      <c r="V339" s="2822"/>
      <c r="W339" s="2822"/>
      <c r="X339" s="2822"/>
      <c r="Y339" s="2822"/>
      <c r="Z339" s="2822"/>
      <c r="AA339" s="2822"/>
      <c r="AB339" s="2822"/>
      <c r="AC339" s="2822"/>
      <c r="AD339" s="2822"/>
      <c r="AE339" s="2822"/>
      <c r="AF339" s="2822"/>
      <c r="AG339" s="2822"/>
      <c r="AH339" s="2822"/>
      <c r="AI339" s="2822"/>
      <c r="AJ339" s="2822"/>
      <c r="AK339" s="2822"/>
      <c r="AL339" s="2822"/>
      <c r="AM339" s="2822"/>
      <c r="AN339" s="2822"/>
      <c r="AO339" s="2822"/>
      <c r="AP339" s="2822"/>
      <c r="AQ339" s="2822"/>
      <c r="AR339" s="2822"/>
      <c r="AS339" s="2822"/>
      <c r="AT339" s="2822"/>
      <c r="AU339" s="2822"/>
      <c r="AV339" s="2822"/>
      <c r="AW339" s="2822"/>
      <c r="AX339" s="2822"/>
      <c r="AY339" s="2822"/>
      <c r="AZ339" s="2822"/>
      <c r="BA339" s="2822"/>
      <c r="BB339" s="2822"/>
      <c r="BC339" s="2822"/>
      <c r="BD339" s="2822"/>
      <c r="BE339" s="2822"/>
      <c r="BF339" s="2822"/>
      <c r="BG339" s="2822"/>
      <c r="BH339" s="2822"/>
      <c r="BI339" s="2822"/>
      <c r="BJ339" s="2822"/>
      <c r="BK339" s="2822"/>
      <c r="BL339" s="2822"/>
      <c r="BM339" s="2822"/>
      <c r="BN339" s="2822"/>
      <c r="BO339" s="2822"/>
      <c r="BP339" s="2822"/>
      <c r="BQ339" s="2822"/>
      <c r="BR339" s="2822"/>
      <c r="BS339" s="2822"/>
      <c r="BT339" s="2822"/>
      <c r="BU339" s="2822"/>
      <c r="BV339" s="2822"/>
      <c r="BW339" s="2822"/>
      <c r="BX339" s="2822"/>
      <c r="BY339" s="2822"/>
      <c r="BZ339" s="2822"/>
      <c r="CA339" s="2822"/>
      <c r="CB339" s="2822"/>
      <c r="CC339" s="2822"/>
      <c r="CD339" s="2822"/>
      <c r="CE339" s="2822"/>
      <c r="CF339" s="2822"/>
      <c r="CG339" s="2822"/>
      <c r="CH339" s="2822"/>
      <c r="CI339" s="2822"/>
      <c r="CJ339" s="2822"/>
      <c r="CK339" s="2822"/>
      <c r="CL339" s="2822"/>
      <c r="CM339" s="2822"/>
      <c r="CN339" s="2822"/>
    </row>
    <row r="340" spans="1:92" x14ac:dyDescent="0.2">
      <c r="A340" s="2822"/>
      <c r="B340" s="2822"/>
      <c r="C340" s="2822"/>
      <c r="D340" s="2822"/>
      <c r="E340" s="2822"/>
      <c r="F340" s="2822"/>
      <c r="G340" s="2822"/>
      <c r="H340" s="2822"/>
      <c r="I340" s="2822"/>
      <c r="J340" s="2822"/>
      <c r="K340" s="2822"/>
      <c r="L340" s="2822"/>
      <c r="M340" s="2822"/>
      <c r="N340" s="2822"/>
      <c r="O340" s="2822"/>
      <c r="P340" s="2822"/>
      <c r="Q340" s="2822"/>
      <c r="R340" s="2822"/>
      <c r="S340" s="2822"/>
      <c r="T340" s="2822"/>
      <c r="U340" s="2822"/>
      <c r="V340" s="2822"/>
      <c r="W340" s="2822"/>
      <c r="X340" s="2822"/>
      <c r="Y340" s="2822"/>
      <c r="Z340" s="2822"/>
      <c r="AA340" s="2822"/>
      <c r="AB340" s="2822"/>
      <c r="AC340" s="2822"/>
      <c r="AD340" s="2822"/>
      <c r="AE340" s="2822"/>
      <c r="AF340" s="2822"/>
      <c r="AG340" s="2822"/>
      <c r="AH340" s="2822"/>
      <c r="AI340" s="2822"/>
      <c r="AJ340" s="2822"/>
      <c r="AK340" s="2822"/>
      <c r="AL340" s="2822"/>
      <c r="AM340" s="2822"/>
      <c r="AN340" s="2822"/>
      <c r="AO340" s="2822"/>
      <c r="AP340" s="2822"/>
      <c r="AQ340" s="2822"/>
      <c r="AR340" s="2822"/>
      <c r="AS340" s="2822"/>
      <c r="AT340" s="2822"/>
      <c r="AU340" s="2822"/>
      <c r="AV340" s="2822"/>
      <c r="AW340" s="2822"/>
      <c r="AX340" s="2822"/>
      <c r="AY340" s="2822"/>
      <c r="AZ340" s="2822"/>
      <c r="BA340" s="2822"/>
      <c r="BB340" s="2822"/>
      <c r="BC340" s="2822"/>
      <c r="BD340" s="2822"/>
      <c r="BE340" s="2822"/>
      <c r="BF340" s="2822"/>
      <c r="BG340" s="2822"/>
      <c r="BH340" s="2822"/>
      <c r="BI340" s="2822"/>
      <c r="BJ340" s="2822"/>
      <c r="BK340" s="2822"/>
      <c r="BL340" s="2822"/>
      <c r="BM340" s="2822"/>
      <c r="BN340" s="2822"/>
      <c r="BO340" s="2822"/>
      <c r="BP340" s="2822"/>
      <c r="BQ340" s="2822"/>
      <c r="BR340" s="2822"/>
      <c r="BS340" s="2822"/>
      <c r="BT340" s="2822"/>
      <c r="BU340" s="2822"/>
      <c r="BV340" s="2822"/>
      <c r="BW340" s="2822"/>
      <c r="BX340" s="2822"/>
      <c r="BY340" s="2822"/>
      <c r="BZ340" s="2822"/>
      <c r="CA340" s="2822"/>
      <c r="CB340" s="2822"/>
      <c r="CC340" s="2822"/>
      <c r="CD340" s="2822"/>
      <c r="CE340" s="2822"/>
      <c r="CF340" s="2822"/>
      <c r="CG340" s="2822"/>
      <c r="CH340" s="2822"/>
      <c r="CI340" s="2822"/>
      <c r="CJ340" s="2822"/>
      <c r="CK340" s="2822"/>
      <c r="CL340" s="2822"/>
      <c r="CM340" s="2822"/>
      <c r="CN340" s="2822"/>
    </row>
    <row r="341" spans="1:92" x14ac:dyDescent="0.2">
      <c r="A341" s="2822"/>
      <c r="B341" s="2822"/>
      <c r="C341" s="2822"/>
      <c r="D341" s="2822"/>
      <c r="E341" s="2822"/>
      <c r="F341" s="2822"/>
      <c r="G341" s="2822"/>
      <c r="H341" s="2822"/>
      <c r="I341" s="2822"/>
      <c r="J341" s="2822"/>
      <c r="K341" s="2822"/>
      <c r="L341" s="2822"/>
      <c r="M341" s="2822"/>
      <c r="N341" s="2822"/>
      <c r="O341" s="2822"/>
      <c r="P341" s="2822"/>
      <c r="Q341" s="2822"/>
      <c r="R341" s="2822"/>
      <c r="S341" s="2822"/>
      <c r="T341" s="2822"/>
      <c r="U341" s="2822"/>
      <c r="V341" s="2822"/>
      <c r="W341" s="2822"/>
      <c r="X341" s="2822"/>
      <c r="Y341" s="2822"/>
      <c r="Z341" s="2822"/>
      <c r="AA341" s="2822"/>
      <c r="AB341" s="2822"/>
      <c r="AC341" s="2822"/>
      <c r="AD341" s="2822"/>
      <c r="AE341" s="2822"/>
      <c r="AF341" s="2822"/>
      <c r="AG341" s="2822"/>
      <c r="AH341" s="2822"/>
      <c r="AI341" s="2822"/>
      <c r="AJ341" s="2822"/>
      <c r="AK341" s="2822"/>
      <c r="AL341" s="2822"/>
      <c r="AM341" s="2822"/>
      <c r="AN341" s="2822"/>
      <c r="AO341" s="2822"/>
      <c r="AP341" s="2822"/>
      <c r="AQ341" s="2822"/>
      <c r="AR341" s="2822"/>
      <c r="AS341" s="2822"/>
      <c r="AT341" s="2822"/>
      <c r="AU341" s="2822"/>
      <c r="AV341" s="2822"/>
      <c r="AW341" s="2822"/>
      <c r="AX341" s="2822"/>
      <c r="AY341" s="2822"/>
      <c r="AZ341" s="2822"/>
      <c r="BA341" s="2822"/>
      <c r="BB341" s="2822"/>
      <c r="BC341" s="2822"/>
      <c r="BD341" s="2822"/>
      <c r="BE341" s="2822"/>
      <c r="BF341" s="2822"/>
      <c r="BG341" s="2822"/>
      <c r="BH341" s="2822"/>
      <c r="BI341" s="2822"/>
      <c r="BJ341" s="2822"/>
      <c r="BK341" s="2822"/>
      <c r="BL341" s="2822"/>
      <c r="BM341" s="2822"/>
      <c r="BN341" s="2822"/>
      <c r="BO341" s="2822"/>
      <c r="BP341" s="2822"/>
      <c r="BQ341" s="2822"/>
      <c r="BR341" s="2822"/>
      <c r="BS341" s="2822"/>
      <c r="BT341" s="2822"/>
      <c r="BU341" s="2822"/>
      <c r="BV341" s="2822"/>
      <c r="BW341" s="2822"/>
      <c r="BX341" s="2822"/>
      <c r="BY341" s="2822"/>
      <c r="BZ341" s="2822"/>
      <c r="CA341" s="2822"/>
      <c r="CB341" s="2822"/>
      <c r="CC341" s="2822"/>
      <c r="CD341" s="2822"/>
      <c r="CE341" s="2822"/>
      <c r="CF341" s="2822"/>
      <c r="CG341" s="2822"/>
      <c r="CH341" s="2822"/>
      <c r="CI341" s="2822"/>
      <c r="CJ341" s="2822"/>
      <c r="CK341" s="2822"/>
      <c r="CL341" s="2822"/>
      <c r="CM341" s="2822"/>
      <c r="CN341" s="2822"/>
    </row>
    <row r="342" spans="1:92" x14ac:dyDescent="0.2">
      <c r="A342" s="2822"/>
      <c r="B342" s="2822"/>
      <c r="C342" s="2822"/>
      <c r="D342" s="2822"/>
      <c r="E342" s="2822"/>
      <c r="F342" s="2822"/>
      <c r="G342" s="2822"/>
      <c r="H342" s="2822"/>
      <c r="I342" s="2822"/>
      <c r="J342" s="2822"/>
      <c r="K342" s="2822"/>
      <c r="L342" s="2822"/>
      <c r="M342" s="2822"/>
      <c r="N342" s="2822"/>
      <c r="O342" s="2822"/>
      <c r="P342" s="2822"/>
      <c r="Q342" s="2822"/>
      <c r="R342" s="2822"/>
      <c r="S342" s="2822"/>
      <c r="T342" s="2822"/>
      <c r="U342" s="2822"/>
      <c r="V342" s="2822"/>
      <c r="W342" s="2822"/>
      <c r="X342" s="2822"/>
      <c r="Y342" s="2822"/>
      <c r="Z342" s="2822"/>
      <c r="AA342" s="2822"/>
      <c r="AB342" s="2822"/>
      <c r="AC342" s="2822"/>
      <c r="AD342" s="2822"/>
      <c r="AE342" s="2822"/>
      <c r="AF342" s="2822"/>
      <c r="AG342" s="2822"/>
      <c r="AH342" s="2822"/>
      <c r="AI342" s="2822"/>
      <c r="AJ342" s="2822"/>
      <c r="AK342" s="2822"/>
      <c r="AL342" s="2822"/>
      <c r="AM342" s="2822"/>
      <c r="AN342" s="2822"/>
      <c r="AO342" s="2822"/>
      <c r="AP342" s="2822"/>
      <c r="AQ342" s="2822"/>
      <c r="AR342" s="2822"/>
      <c r="AS342" s="2822"/>
      <c r="AT342" s="2822"/>
      <c r="AU342" s="2822"/>
      <c r="AV342" s="2822"/>
      <c r="AW342" s="2822"/>
      <c r="AX342" s="2822"/>
      <c r="AY342" s="2822"/>
      <c r="AZ342" s="2822"/>
      <c r="BA342" s="2822"/>
      <c r="BB342" s="2822"/>
      <c r="BC342" s="2822"/>
      <c r="BD342" s="2822"/>
      <c r="BE342" s="2822"/>
      <c r="BF342" s="2822"/>
      <c r="BG342" s="2822"/>
      <c r="BH342" s="2822"/>
      <c r="BI342" s="2822"/>
      <c r="BJ342" s="2822"/>
      <c r="BK342" s="2822"/>
      <c r="BL342" s="2822"/>
      <c r="BM342" s="2822"/>
      <c r="BN342" s="2822"/>
      <c r="BO342" s="2822"/>
      <c r="BP342" s="2822"/>
      <c r="BQ342" s="2822"/>
      <c r="BR342" s="2822"/>
      <c r="BS342" s="2822"/>
      <c r="BT342" s="2822"/>
      <c r="BU342" s="2822"/>
      <c r="BV342" s="2822"/>
      <c r="BW342" s="2822"/>
      <c r="BX342" s="2822"/>
      <c r="BY342" s="2822"/>
      <c r="BZ342" s="2822"/>
      <c r="CA342" s="2822"/>
      <c r="CB342" s="2822"/>
      <c r="CC342" s="2822"/>
      <c r="CD342" s="2822"/>
      <c r="CE342" s="2822"/>
      <c r="CF342" s="2822"/>
      <c r="CG342" s="2822"/>
      <c r="CH342" s="2822"/>
      <c r="CI342" s="2822"/>
      <c r="CJ342" s="2822"/>
      <c r="CK342" s="2822"/>
      <c r="CL342" s="2822"/>
      <c r="CM342" s="2822"/>
      <c r="CN342" s="2822"/>
    </row>
    <row r="343" spans="1:92" x14ac:dyDescent="0.2">
      <c r="A343" s="2822"/>
      <c r="B343" s="2822"/>
      <c r="C343" s="2822"/>
      <c r="D343" s="2822"/>
      <c r="E343" s="2822"/>
      <c r="F343" s="2822"/>
      <c r="G343" s="2822"/>
      <c r="H343" s="2822"/>
      <c r="I343" s="2822"/>
      <c r="J343" s="2822"/>
      <c r="K343" s="2822"/>
      <c r="L343" s="2822"/>
      <c r="M343" s="2822"/>
      <c r="N343" s="2822"/>
      <c r="O343" s="2822"/>
      <c r="P343" s="2822"/>
      <c r="Q343" s="2822"/>
      <c r="R343" s="2822"/>
      <c r="S343" s="2822"/>
      <c r="T343" s="2822"/>
      <c r="U343" s="2822"/>
      <c r="V343" s="2822"/>
      <c r="W343" s="2822"/>
      <c r="X343" s="2822"/>
      <c r="Y343" s="2822"/>
      <c r="Z343" s="2822"/>
      <c r="AA343" s="2822"/>
      <c r="AB343" s="2822"/>
      <c r="AC343" s="2822"/>
      <c r="AD343" s="2822"/>
      <c r="AE343" s="2822"/>
      <c r="AF343" s="2822"/>
      <c r="AG343" s="2822"/>
      <c r="AH343" s="2822"/>
      <c r="AI343" s="2822"/>
      <c r="AJ343" s="2822"/>
      <c r="AK343" s="2822"/>
      <c r="AL343" s="2822"/>
      <c r="AM343" s="2822"/>
      <c r="AN343" s="2822"/>
      <c r="AO343" s="2822"/>
      <c r="AP343" s="2822"/>
      <c r="AQ343" s="2822"/>
      <c r="AR343" s="2822"/>
      <c r="AS343" s="2822"/>
      <c r="AT343" s="2822"/>
      <c r="AU343" s="2822"/>
      <c r="AV343" s="2822"/>
      <c r="AW343" s="2822"/>
      <c r="AX343" s="2822"/>
      <c r="AY343" s="2822"/>
      <c r="AZ343" s="2822"/>
      <c r="BA343" s="2822"/>
      <c r="BB343" s="2822"/>
      <c r="BC343" s="2822"/>
      <c r="BD343" s="2822"/>
      <c r="BE343" s="2822"/>
      <c r="BF343" s="2822"/>
      <c r="BG343" s="2822"/>
      <c r="BH343" s="2822"/>
      <c r="BI343" s="2822"/>
      <c r="BJ343" s="2822"/>
      <c r="BK343" s="2822"/>
      <c r="BL343" s="2822"/>
      <c r="BM343" s="2822"/>
      <c r="BN343" s="2822"/>
      <c r="BO343" s="2822"/>
      <c r="BP343" s="2822"/>
      <c r="BQ343" s="2822"/>
      <c r="BR343" s="2822"/>
      <c r="BS343" s="2822"/>
      <c r="BT343" s="2822"/>
      <c r="BU343" s="2822"/>
      <c r="BV343" s="2822"/>
      <c r="BW343" s="2822"/>
      <c r="BX343" s="2822"/>
      <c r="BY343" s="2822"/>
      <c r="BZ343" s="2822"/>
      <c r="CA343" s="2822"/>
      <c r="CB343" s="2822"/>
      <c r="CC343" s="2822"/>
      <c r="CD343" s="2822"/>
      <c r="CE343" s="2822"/>
      <c r="CF343" s="2822"/>
      <c r="CG343" s="2822"/>
      <c r="CH343" s="2822"/>
      <c r="CI343" s="2822"/>
      <c r="CJ343" s="2822"/>
      <c r="CK343" s="2822"/>
      <c r="CL343" s="2822"/>
      <c r="CM343" s="2822"/>
      <c r="CN343" s="2822"/>
    </row>
    <row r="344" spans="1:92" x14ac:dyDescent="0.2">
      <c r="A344" s="2822"/>
      <c r="B344" s="2822"/>
      <c r="C344" s="2822"/>
      <c r="D344" s="2822"/>
      <c r="E344" s="2822"/>
      <c r="F344" s="2822"/>
      <c r="G344" s="2822"/>
      <c r="H344" s="2822"/>
      <c r="I344" s="2822"/>
      <c r="J344" s="2822"/>
      <c r="K344" s="2822"/>
      <c r="L344" s="2822"/>
      <c r="M344" s="2822"/>
      <c r="N344" s="2822"/>
      <c r="O344" s="2822"/>
      <c r="P344" s="2822"/>
      <c r="Q344" s="2822"/>
      <c r="R344" s="2822"/>
      <c r="S344" s="2822"/>
      <c r="T344" s="2822"/>
      <c r="U344" s="2822"/>
      <c r="V344" s="2822"/>
      <c r="W344" s="2822"/>
      <c r="X344" s="2822"/>
      <c r="Y344" s="2822"/>
      <c r="Z344" s="2822"/>
      <c r="AA344" s="2822"/>
      <c r="AB344" s="2822"/>
      <c r="AC344" s="2822"/>
      <c r="AD344" s="2822"/>
      <c r="AE344" s="2822"/>
      <c r="AF344" s="2822"/>
      <c r="AG344" s="2822"/>
      <c r="AH344" s="2822"/>
      <c r="AI344" s="2822"/>
      <c r="AJ344" s="2822"/>
      <c r="AK344" s="2822"/>
      <c r="AL344" s="2822"/>
      <c r="AM344" s="2822"/>
      <c r="AN344" s="2822"/>
      <c r="AO344" s="2822"/>
      <c r="AP344" s="2822"/>
      <c r="AQ344" s="2822"/>
      <c r="AR344" s="2822"/>
      <c r="AS344" s="2822"/>
      <c r="AT344" s="2822"/>
      <c r="AU344" s="2822"/>
      <c r="AV344" s="2822"/>
      <c r="AW344" s="2822"/>
      <c r="AX344" s="2822"/>
      <c r="AY344" s="2822"/>
      <c r="AZ344" s="2822"/>
      <c r="BA344" s="2822"/>
      <c r="BB344" s="2822"/>
      <c r="BC344" s="2822"/>
      <c r="BD344" s="2822"/>
      <c r="BE344" s="2822"/>
      <c r="BF344" s="2822"/>
      <c r="BG344" s="2822"/>
      <c r="BH344" s="2822"/>
      <c r="BI344" s="2822"/>
      <c r="BJ344" s="2822"/>
      <c r="BK344" s="2822"/>
      <c r="BL344" s="2822"/>
      <c r="BM344" s="2822"/>
      <c r="BN344" s="2822"/>
      <c r="BO344" s="2822"/>
      <c r="BP344" s="2822"/>
      <c r="BQ344" s="2822"/>
      <c r="BR344" s="2822"/>
      <c r="BS344" s="2822"/>
      <c r="BT344" s="2822"/>
      <c r="BU344" s="2822"/>
      <c r="BV344" s="2822"/>
      <c r="BW344" s="2822"/>
      <c r="BX344" s="2822"/>
      <c r="BY344" s="2822"/>
      <c r="BZ344" s="2822"/>
      <c r="CA344" s="2822"/>
      <c r="CB344" s="2822"/>
      <c r="CC344" s="2822"/>
      <c r="CD344" s="2822"/>
      <c r="CE344" s="2822"/>
      <c r="CF344" s="2822"/>
      <c r="CG344" s="2822"/>
      <c r="CH344" s="2822"/>
      <c r="CI344" s="2822"/>
      <c r="CJ344" s="2822"/>
      <c r="CK344" s="2822"/>
      <c r="CL344" s="2822"/>
      <c r="CM344" s="2822"/>
      <c r="CN344" s="2822"/>
    </row>
    <row r="345" spans="1:92" x14ac:dyDescent="0.2">
      <c r="A345" s="2822"/>
      <c r="B345" s="2822"/>
      <c r="C345" s="2822"/>
      <c r="D345" s="2822"/>
      <c r="E345" s="2822"/>
      <c r="F345" s="2822"/>
      <c r="G345" s="2822"/>
      <c r="H345" s="2822"/>
      <c r="I345" s="2822"/>
      <c r="J345" s="2822"/>
      <c r="K345" s="2822"/>
      <c r="L345" s="2822"/>
      <c r="M345" s="2822"/>
      <c r="N345" s="2822"/>
      <c r="O345" s="2822"/>
      <c r="P345" s="2822"/>
      <c r="Q345" s="2822"/>
      <c r="R345" s="2822"/>
      <c r="S345" s="2822"/>
      <c r="T345" s="2822"/>
      <c r="U345" s="2822"/>
      <c r="V345" s="2822"/>
      <c r="W345" s="2822"/>
      <c r="X345" s="2822"/>
      <c r="Y345" s="2822"/>
      <c r="Z345" s="2822"/>
      <c r="AA345" s="2822"/>
      <c r="AB345" s="2822"/>
      <c r="AC345" s="2822"/>
      <c r="AD345" s="2822"/>
      <c r="AE345" s="2822"/>
      <c r="AF345" s="2822"/>
      <c r="AG345" s="2822"/>
      <c r="AH345" s="2822"/>
      <c r="AI345" s="2822"/>
      <c r="AJ345" s="2822"/>
      <c r="AK345" s="2822"/>
      <c r="AL345" s="2822"/>
      <c r="AM345" s="2822"/>
      <c r="AN345" s="2822"/>
      <c r="AO345" s="2822"/>
      <c r="AP345" s="2822"/>
      <c r="AQ345" s="2822"/>
      <c r="AR345" s="2822"/>
      <c r="AS345" s="2822"/>
      <c r="AT345" s="2822"/>
      <c r="AU345" s="2822"/>
      <c r="AV345" s="2822"/>
      <c r="AW345" s="2822"/>
      <c r="AX345" s="2822"/>
      <c r="AY345" s="2822"/>
      <c r="AZ345" s="2822"/>
      <c r="BA345" s="2822"/>
      <c r="BB345" s="2822"/>
      <c r="BC345" s="2822"/>
      <c r="BD345" s="2822"/>
      <c r="BE345" s="2822"/>
      <c r="BF345" s="2822"/>
      <c r="BG345" s="2822"/>
      <c r="BH345" s="2822"/>
      <c r="BI345" s="2822"/>
      <c r="BJ345" s="2822"/>
      <c r="BK345" s="2822"/>
      <c r="BL345" s="2822"/>
      <c r="BM345" s="2822"/>
      <c r="BN345" s="2822"/>
      <c r="BO345" s="2822"/>
      <c r="BP345" s="2822"/>
      <c r="BQ345" s="2822"/>
      <c r="BR345" s="2822"/>
      <c r="BS345" s="2822"/>
      <c r="BT345" s="2822"/>
      <c r="BU345" s="2822"/>
      <c r="BV345" s="2822"/>
      <c r="BW345" s="2822"/>
      <c r="BX345" s="2822"/>
      <c r="BY345" s="2822"/>
      <c r="BZ345" s="2822"/>
      <c r="CA345" s="2822"/>
      <c r="CB345" s="2822"/>
      <c r="CC345" s="2822"/>
      <c r="CD345" s="2822"/>
      <c r="CE345" s="2822"/>
      <c r="CF345" s="2822"/>
      <c r="CG345" s="2822"/>
      <c r="CH345" s="2822"/>
      <c r="CI345" s="2822"/>
      <c r="CJ345" s="2822"/>
      <c r="CK345" s="2822"/>
      <c r="CL345" s="2822"/>
      <c r="CM345" s="2822"/>
      <c r="CN345" s="2822"/>
    </row>
    <row r="346" spans="1:92" x14ac:dyDescent="0.2">
      <c r="A346" s="2822"/>
      <c r="B346" s="2822"/>
      <c r="C346" s="2822"/>
      <c r="D346" s="2822"/>
      <c r="E346" s="2822"/>
      <c r="F346" s="2822"/>
      <c r="G346" s="2822"/>
      <c r="H346" s="2822"/>
      <c r="I346" s="2822"/>
      <c r="J346" s="2822"/>
      <c r="K346" s="2822"/>
      <c r="L346" s="2822"/>
      <c r="M346" s="2822"/>
      <c r="N346" s="2822"/>
      <c r="O346" s="2822"/>
      <c r="P346" s="2822"/>
      <c r="Q346" s="2822"/>
      <c r="R346" s="2822"/>
      <c r="S346" s="2822"/>
      <c r="T346" s="2822"/>
      <c r="U346" s="2822"/>
      <c r="V346" s="2822"/>
      <c r="W346" s="2822"/>
      <c r="X346" s="2822"/>
      <c r="Y346" s="2822"/>
      <c r="Z346" s="2822"/>
      <c r="AA346" s="2822"/>
      <c r="AB346" s="2822"/>
      <c r="AC346" s="2822"/>
      <c r="AD346" s="2822"/>
      <c r="AE346" s="2822"/>
      <c r="AF346" s="2822"/>
      <c r="AG346" s="2822"/>
      <c r="AH346" s="2822"/>
      <c r="AI346" s="2822"/>
      <c r="AJ346" s="2822"/>
      <c r="AK346" s="2822"/>
      <c r="AL346" s="2822"/>
      <c r="AM346" s="2822"/>
      <c r="AN346" s="2822"/>
      <c r="AO346" s="2822"/>
      <c r="AP346" s="2822"/>
      <c r="AQ346" s="2822"/>
      <c r="AR346" s="2822"/>
      <c r="AS346" s="2822"/>
      <c r="AT346" s="2822"/>
      <c r="AU346" s="2822"/>
      <c r="AV346" s="2822"/>
      <c r="AW346" s="2822"/>
      <c r="AX346" s="2822"/>
      <c r="AY346" s="2822"/>
      <c r="AZ346" s="2822"/>
      <c r="BA346" s="2822"/>
      <c r="BB346" s="2822"/>
      <c r="BC346" s="2822"/>
      <c r="BD346" s="2822"/>
      <c r="BE346" s="2822"/>
      <c r="BF346" s="2822"/>
      <c r="BG346" s="2822"/>
      <c r="BH346" s="2822"/>
      <c r="BI346" s="2822"/>
      <c r="BJ346" s="2822"/>
      <c r="BK346" s="2822"/>
      <c r="BL346" s="2822"/>
      <c r="BM346" s="2822"/>
      <c r="BN346" s="2822"/>
      <c r="BO346" s="2822"/>
      <c r="BP346" s="2822"/>
      <c r="BQ346" s="2822"/>
      <c r="BR346" s="2822"/>
      <c r="BS346" s="2822"/>
      <c r="BT346" s="2822"/>
      <c r="BU346" s="2822"/>
      <c r="BV346" s="2822"/>
      <c r="BW346" s="2822"/>
      <c r="BX346" s="2822"/>
      <c r="BY346" s="2822"/>
      <c r="BZ346" s="2822"/>
      <c r="CA346" s="2822"/>
      <c r="CB346" s="2822"/>
      <c r="CC346" s="2822"/>
      <c r="CD346" s="2822"/>
      <c r="CE346" s="2822"/>
      <c r="CF346" s="2822"/>
      <c r="CG346" s="2822"/>
      <c r="CH346" s="2822"/>
      <c r="CI346" s="2822"/>
      <c r="CJ346" s="2822"/>
      <c r="CK346" s="2822"/>
      <c r="CL346" s="2822"/>
      <c r="CM346" s="2822"/>
      <c r="CN346" s="2822"/>
    </row>
    <row r="347" spans="1:92" x14ac:dyDescent="0.2">
      <c r="A347" s="2822"/>
      <c r="B347" s="2822"/>
      <c r="C347" s="2822"/>
      <c r="D347" s="2822"/>
      <c r="E347" s="2822"/>
      <c r="F347" s="2822"/>
      <c r="G347" s="2822"/>
      <c r="H347" s="2822"/>
      <c r="I347" s="2822"/>
      <c r="J347" s="2822"/>
      <c r="K347" s="2822"/>
      <c r="L347" s="2822"/>
      <c r="M347" s="2822"/>
      <c r="N347" s="2822"/>
      <c r="O347" s="2822"/>
      <c r="P347" s="2822"/>
      <c r="Q347" s="2822"/>
      <c r="R347" s="2822"/>
      <c r="S347" s="2822"/>
      <c r="T347" s="2822"/>
      <c r="U347" s="2822"/>
      <c r="V347" s="2822"/>
      <c r="W347" s="2822"/>
      <c r="X347" s="2822"/>
      <c r="Y347" s="2822"/>
      <c r="Z347" s="2822"/>
      <c r="AA347" s="2822"/>
      <c r="AB347" s="2822"/>
      <c r="AC347" s="2822"/>
      <c r="AD347" s="2822"/>
      <c r="AE347" s="2822"/>
      <c r="AF347" s="2822"/>
      <c r="AG347" s="2822"/>
      <c r="AH347" s="2822"/>
      <c r="AI347" s="2822"/>
      <c r="AJ347" s="2822"/>
      <c r="AK347" s="2822"/>
      <c r="AL347" s="2822"/>
      <c r="AM347" s="2822"/>
      <c r="AN347" s="2822"/>
      <c r="AO347" s="2822"/>
      <c r="AP347" s="2822"/>
      <c r="AQ347" s="2822"/>
      <c r="AR347" s="2822"/>
      <c r="AS347" s="2822"/>
      <c r="AT347" s="2822"/>
      <c r="AU347" s="2822"/>
      <c r="AV347" s="2822"/>
      <c r="AW347" s="2822"/>
      <c r="AX347" s="2822"/>
      <c r="AY347" s="2822"/>
      <c r="AZ347" s="2822"/>
      <c r="BA347" s="2822"/>
      <c r="BB347" s="2822"/>
      <c r="BC347" s="2822"/>
      <c r="BD347" s="2822"/>
      <c r="BE347" s="2822"/>
      <c r="BF347" s="2822"/>
      <c r="BG347" s="2822"/>
      <c r="BH347" s="2822"/>
      <c r="BI347" s="2822"/>
      <c r="BJ347" s="2822"/>
      <c r="BK347" s="2822"/>
      <c r="BL347" s="2822"/>
      <c r="BM347" s="2822"/>
      <c r="BN347" s="2822"/>
      <c r="BO347" s="2822"/>
      <c r="BP347" s="2822"/>
      <c r="BQ347" s="2822"/>
      <c r="BR347" s="2822"/>
      <c r="BS347" s="2822"/>
      <c r="BT347" s="2822"/>
      <c r="BU347" s="2822"/>
      <c r="BV347" s="2822"/>
      <c r="BW347" s="2822"/>
      <c r="BX347" s="2822"/>
      <c r="BY347" s="2822"/>
      <c r="BZ347" s="2822"/>
      <c r="CA347" s="2822"/>
      <c r="CB347" s="2822"/>
      <c r="CC347" s="2822"/>
      <c r="CD347" s="2822"/>
      <c r="CE347" s="2822"/>
      <c r="CF347" s="2822"/>
      <c r="CG347" s="2822"/>
      <c r="CH347" s="2822"/>
      <c r="CI347" s="2822"/>
      <c r="CJ347" s="2822"/>
      <c r="CK347" s="2822"/>
      <c r="CL347" s="2822"/>
      <c r="CM347" s="2822"/>
      <c r="CN347" s="2822"/>
    </row>
    <row r="348" spans="1:92" x14ac:dyDescent="0.2">
      <c r="A348" s="2822"/>
      <c r="B348" s="2822"/>
      <c r="C348" s="2822"/>
      <c r="D348" s="2822"/>
      <c r="E348" s="2822"/>
      <c r="F348" s="2822"/>
      <c r="G348" s="2822"/>
      <c r="H348" s="2822"/>
      <c r="I348" s="2822"/>
      <c r="J348" s="2822"/>
      <c r="K348" s="2822"/>
      <c r="L348" s="2822"/>
      <c r="M348" s="2822"/>
      <c r="N348" s="2822"/>
      <c r="O348" s="2822"/>
      <c r="P348" s="2822"/>
      <c r="Q348" s="2822"/>
      <c r="R348" s="2822"/>
      <c r="S348" s="2822"/>
      <c r="T348" s="2822"/>
      <c r="U348" s="2822"/>
      <c r="V348" s="2822"/>
      <c r="W348" s="2822"/>
      <c r="X348" s="2822"/>
      <c r="Y348" s="2822"/>
      <c r="Z348" s="2822"/>
      <c r="AA348" s="2822"/>
      <c r="AB348" s="2822"/>
      <c r="AC348" s="2822"/>
      <c r="AD348" s="2822"/>
      <c r="AE348" s="2822"/>
      <c r="AF348" s="2822"/>
      <c r="AG348" s="2822"/>
      <c r="AH348" s="2822"/>
      <c r="AI348" s="2822"/>
      <c r="AJ348" s="2822"/>
      <c r="AK348" s="2822"/>
      <c r="AL348" s="2822"/>
      <c r="AM348" s="2822"/>
      <c r="AN348" s="2822"/>
      <c r="AO348" s="2822"/>
      <c r="AP348" s="2822"/>
      <c r="AQ348" s="2822"/>
      <c r="AR348" s="2822"/>
      <c r="AS348" s="2822"/>
      <c r="AT348" s="2822"/>
      <c r="AU348" s="2822"/>
      <c r="AV348" s="2822"/>
      <c r="AW348" s="2822"/>
      <c r="AX348" s="2822"/>
      <c r="AY348" s="2822"/>
      <c r="AZ348" s="2822"/>
      <c r="BA348" s="2822"/>
      <c r="BB348" s="2822"/>
      <c r="BC348" s="2822"/>
      <c r="BD348" s="2822"/>
      <c r="BE348" s="2822"/>
      <c r="BF348" s="2822"/>
      <c r="BG348" s="2822"/>
      <c r="BH348" s="2822"/>
      <c r="BI348" s="2822"/>
      <c r="BJ348" s="2822"/>
      <c r="BK348" s="2822"/>
      <c r="BL348" s="2822"/>
      <c r="BM348" s="2822"/>
      <c r="BN348" s="2822"/>
      <c r="BO348" s="2822"/>
      <c r="BP348" s="2822"/>
      <c r="BQ348" s="2822"/>
      <c r="BR348" s="2822"/>
      <c r="BS348" s="2822"/>
      <c r="BT348" s="2822"/>
      <c r="BU348" s="2822"/>
      <c r="BV348" s="2822"/>
      <c r="BW348" s="2822"/>
      <c r="BX348" s="2822"/>
      <c r="BY348" s="2822"/>
      <c r="BZ348" s="2822"/>
      <c r="CA348" s="2822"/>
      <c r="CB348" s="2822"/>
      <c r="CC348" s="2822"/>
      <c r="CD348" s="2822"/>
      <c r="CE348" s="2822"/>
      <c r="CF348" s="2822"/>
      <c r="CG348" s="2822"/>
      <c r="CH348" s="2822"/>
      <c r="CI348" s="2822"/>
      <c r="CJ348" s="2822"/>
      <c r="CK348" s="2822"/>
      <c r="CL348" s="2822"/>
      <c r="CM348" s="2822"/>
      <c r="CN348" s="2822"/>
    </row>
    <row r="349" spans="1:92" x14ac:dyDescent="0.2">
      <c r="A349" s="2822"/>
      <c r="B349" s="2822"/>
      <c r="C349" s="2822"/>
      <c r="D349" s="2822"/>
      <c r="E349" s="2822"/>
      <c r="F349" s="2822"/>
      <c r="G349" s="2822"/>
      <c r="H349" s="2822"/>
      <c r="I349" s="2822"/>
      <c r="J349" s="2822"/>
      <c r="K349" s="2822"/>
      <c r="L349" s="2822"/>
      <c r="M349" s="2822"/>
      <c r="N349" s="2822"/>
      <c r="O349" s="2822"/>
      <c r="P349" s="2822"/>
      <c r="Q349" s="2822"/>
      <c r="R349" s="2822"/>
      <c r="S349" s="2822"/>
      <c r="T349" s="2822"/>
      <c r="U349" s="2822"/>
      <c r="V349" s="2822"/>
      <c r="W349" s="2822"/>
      <c r="X349" s="2822"/>
      <c r="Y349" s="2822"/>
      <c r="Z349" s="2822"/>
      <c r="AA349" s="2822"/>
      <c r="AB349" s="2822"/>
      <c r="AC349" s="2822"/>
      <c r="AD349" s="2822"/>
      <c r="AE349" s="2822"/>
      <c r="AF349" s="2822"/>
      <c r="AG349" s="2822"/>
      <c r="AH349" s="2822"/>
      <c r="AI349" s="2822"/>
      <c r="AJ349" s="2822"/>
      <c r="AK349" s="2822"/>
      <c r="AL349" s="2822"/>
      <c r="AM349" s="2822"/>
      <c r="AN349" s="2822"/>
      <c r="AO349" s="2822"/>
      <c r="AP349" s="2822"/>
      <c r="AQ349" s="2822"/>
      <c r="AR349" s="2822"/>
      <c r="AS349" s="2822"/>
      <c r="AT349" s="2822"/>
      <c r="AU349" s="2822"/>
      <c r="AV349" s="2822"/>
      <c r="AW349" s="2822"/>
      <c r="AX349" s="2822"/>
      <c r="AY349" s="2822"/>
      <c r="AZ349" s="2822"/>
      <c r="BA349" s="2822"/>
      <c r="BB349" s="2822"/>
      <c r="BC349" s="2822"/>
      <c r="BD349" s="2822"/>
      <c r="BE349" s="2822"/>
      <c r="BF349" s="2822"/>
      <c r="BG349" s="2822"/>
      <c r="BH349" s="2822"/>
      <c r="BI349" s="2822"/>
      <c r="BJ349" s="2822"/>
      <c r="BK349" s="2822"/>
      <c r="BL349" s="2822"/>
      <c r="BM349" s="2822"/>
      <c r="BN349" s="2822"/>
      <c r="BO349" s="2822"/>
      <c r="BP349" s="2822"/>
      <c r="BQ349" s="2822"/>
      <c r="BR349" s="2822"/>
      <c r="BS349" s="2822"/>
      <c r="BT349" s="2822"/>
      <c r="BU349" s="2822"/>
      <c r="BV349" s="2822"/>
      <c r="BW349" s="2822"/>
      <c r="BX349" s="2822"/>
      <c r="BY349" s="2822"/>
      <c r="BZ349" s="2822"/>
      <c r="CA349" s="2822"/>
      <c r="CB349" s="2822"/>
      <c r="CC349" s="2822"/>
      <c r="CD349" s="2822"/>
      <c r="CE349" s="2822"/>
      <c r="CF349" s="2822"/>
      <c r="CG349" s="2822"/>
      <c r="CH349" s="2822"/>
      <c r="CI349" s="2822"/>
      <c r="CJ349" s="2822"/>
      <c r="CK349" s="2822"/>
      <c r="CL349" s="2822"/>
      <c r="CM349" s="2822"/>
      <c r="CN349" s="2822"/>
    </row>
    <row r="350" spans="1:92" x14ac:dyDescent="0.2">
      <c r="A350" s="2822"/>
      <c r="B350" s="2822"/>
      <c r="C350" s="2822"/>
      <c r="D350" s="2822"/>
      <c r="E350" s="2822"/>
      <c r="F350" s="2822"/>
      <c r="G350" s="2822"/>
      <c r="H350" s="2822"/>
      <c r="I350" s="2822"/>
      <c r="J350" s="2822"/>
      <c r="K350" s="2822"/>
      <c r="L350" s="2822"/>
      <c r="M350" s="2822"/>
      <c r="N350" s="2822"/>
      <c r="O350" s="2822"/>
      <c r="P350" s="2822"/>
      <c r="Q350" s="2822"/>
      <c r="R350" s="2822"/>
      <c r="S350" s="2822"/>
      <c r="T350" s="2822"/>
      <c r="U350" s="2822"/>
      <c r="V350" s="2822"/>
      <c r="W350" s="2822"/>
      <c r="X350" s="2822"/>
      <c r="Y350" s="2822"/>
      <c r="Z350" s="2822"/>
      <c r="AA350" s="2822"/>
      <c r="AB350" s="2822"/>
      <c r="AC350" s="2822"/>
      <c r="AD350" s="2822"/>
      <c r="AE350" s="2822"/>
      <c r="AF350" s="2822"/>
      <c r="AG350" s="2822"/>
      <c r="AH350" s="2822"/>
      <c r="AI350" s="2822"/>
      <c r="AJ350" s="2822"/>
      <c r="AK350" s="2822"/>
      <c r="AL350" s="2822"/>
      <c r="AM350" s="2822"/>
      <c r="AN350" s="2822"/>
      <c r="AO350" s="2822"/>
      <c r="AP350" s="2822"/>
      <c r="AQ350" s="2822"/>
      <c r="AR350" s="2822"/>
      <c r="AS350" s="2822"/>
      <c r="AT350" s="2822"/>
      <c r="AU350" s="2822"/>
      <c r="AV350" s="2822"/>
      <c r="AW350" s="2822"/>
      <c r="AX350" s="2822"/>
      <c r="AY350" s="2822"/>
      <c r="AZ350" s="2822"/>
      <c r="BA350" s="2822"/>
      <c r="BB350" s="2822"/>
      <c r="BC350" s="2822"/>
      <c r="BD350" s="2822"/>
      <c r="BE350" s="2822"/>
      <c r="BF350" s="2822"/>
      <c r="BG350" s="2822"/>
      <c r="BH350" s="2822"/>
      <c r="BI350" s="2822"/>
      <c r="BJ350" s="2822"/>
      <c r="BK350" s="2822"/>
      <c r="BL350" s="2822"/>
      <c r="BM350" s="2822"/>
      <c r="BN350" s="2822"/>
      <c r="BO350" s="2822"/>
      <c r="BP350" s="2822"/>
      <c r="BQ350" s="2822"/>
      <c r="BR350" s="2822"/>
      <c r="BS350" s="2822"/>
      <c r="BT350" s="2822"/>
      <c r="BU350" s="2822"/>
      <c r="BV350" s="2822"/>
      <c r="BW350" s="2822"/>
      <c r="BX350" s="2822"/>
      <c r="BY350" s="2822"/>
      <c r="BZ350" s="2822"/>
      <c r="CA350" s="2822"/>
      <c r="CB350" s="2822"/>
      <c r="CC350" s="2822"/>
      <c r="CD350" s="2822"/>
      <c r="CE350" s="2822"/>
      <c r="CF350" s="2822"/>
      <c r="CG350" s="2822"/>
      <c r="CH350" s="2822"/>
      <c r="CI350" s="2822"/>
      <c r="CJ350" s="2822"/>
      <c r="CK350" s="2822"/>
      <c r="CL350" s="2822"/>
      <c r="CM350" s="2822"/>
      <c r="CN350" s="2822"/>
    </row>
    <row r="351" spans="1:92" x14ac:dyDescent="0.2">
      <c r="A351" s="2822"/>
      <c r="B351" s="2822"/>
      <c r="C351" s="2822"/>
      <c r="D351" s="2822"/>
      <c r="E351" s="2822"/>
      <c r="F351" s="2822"/>
      <c r="G351" s="2822"/>
      <c r="H351" s="2822"/>
      <c r="I351" s="2822"/>
      <c r="J351" s="2822"/>
      <c r="K351" s="2822"/>
      <c r="L351" s="2822"/>
      <c r="M351" s="2822"/>
      <c r="N351" s="2822"/>
      <c r="O351" s="2822"/>
      <c r="P351" s="2822"/>
      <c r="Q351" s="2822"/>
      <c r="R351" s="2822"/>
      <c r="S351" s="2822"/>
      <c r="T351" s="2822"/>
      <c r="U351" s="2822"/>
      <c r="V351" s="2822"/>
      <c r="W351" s="2822"/>
      <c r="X351" s="2822"/>
      <c r="Y351" s="2822"/>
      <c r="Z351" s="2822"/>
      <c r="AA351" s="2822"/>
      <c r="AB351" s="2822"/>
      <c r="AC351" s="2822"/>
      <c r="AD351" s="2822"/>
      <c r="AE351" s="2822"/>
      <c r="AF351" s="2822"/>
      <c r="AG351" s="2822"/>
      <c r="AH351" s="2822"/>
      <c r="AI351" s="2822"/>
      <c r="AJ351" s="2822"/>
      <c r="AK351" s="2822"/>
      <c r="AL351" s="2822"/>
      <c r="AM351" s="2822"/>
      <c r="AN351" s="2822"/>
      <c r="AO351" s="2822"/>
      <c r="AP351" s="2822"/>
      <c r="AQ351" s="2822"/>
      <c r="AR351" s="2822"/>
      <c r="AS351" s="2822"/>
      <c r="AT351" s="2822"/>
      <c r="AU351" s="2822"/>
      <c r="AV351" s="2822"/>
      <c r="AW351" s="2822"/>
      <c r="AX351" s="2822"/>
      <c r="AY351" s="2822"/>
      <c r="AZ351" s="2822"/>
      <c r="BA351" s="2822"/>
      <c r="BB351" s="2822"/>
      <c r="BC351" s="2822"/>
      <c r="BD351" s="2822"/>
      <c r="BE351" s="2822"/>
      <c r="BF351" s="2822"/>
      <c r="BG351" s="2822"/>
      <c r="BH351" s="2822"/>
      <c r="BI351" s="2822"/>
      <c r="BJ351" s="2822"/>
      <c r="BK351" s="2822"/>
      <c r="BL351" s="2822"/>
      <c r="BM351" s="2822"/>
      <c r="BN351" s="2822"/>
      <c r="BO351" s="2822"/>
      <c r="BP351" s="2822"/>
      <c r="BQ351" s="2822"/>
      <c r="BR351" s="2822"/>
      <c r="BS351" s="2822"/>
      <c r="BT351" s="2822"/>
      <c r="BU351" s="2822"/>
      <c r="BV351" s="2822"/>
      <c r="BW351" s="2822"/>
      <c r="BX351" s="2822"/>
      <c r="BY351" s="2822"/>
      <c r="BZ351" s="2822"/>
      <c r="CA351" s="2822"/>
      <c r="CB351" s="2822"/>
      <c r="CC351" s="2822"/>
      <c r="CD351" s="2822"/>
      <c r="CE351" s="2822"/>
      <c r="CF351" s="2822"/>
      <c r="CG351" s="2822"/>
      <c r="CH351" s="2822"/>
      <c r="CI351" s="2822"/>
      <c r="CJ351" s="2822"/>
      <c r="CK351" s="2822"/>
      <c r="CL351" s="2822"/>
      <c r="CM351" s="2822"/>
      <c r="CN351" s="2822"/>
    </row>
    <row r="352" spans="1:92" x14ac:dyDescent="0.2">
      <c r="A352" s="2822"/>
      <c r="B352" s="2822"/>
      <c r="C352" s="2822"/>
      <c r="D352" s="2822"/>
      <c r="E352" s="2822"/>
      <c r="F352" s="2822"/>
      <c r="G352" s="2822"/>
      <c r="H352" s="2822"/>
      <c r="I352" s="2822"/>
      <c r="J352" s="2822"/>
      <c r="K352" s="2822"/>
      <c r="L352" s="2822"/>
      <c r="M352" s="2822"/>
      <c r="N352" s="2822"/>
      <c r="O352" s="2822"/>
      <c r="P352" s="2822"/>
      <c r="Q352" s="2822"/>
      <c r="R352" s="2822"/>
      <c r="S352" s="2822"/>
      <c r="T352" s="2822"/>
      <c r="U352" s="2822"/>
      <c r="V352" s="2822"/>
      <c r="W352" s="2822"/>
      <c r="X352" s="2822"/>
      <c r="Y352" s="2822"/>
      <c r="Z352" s="2822"/>
      <c r="AA352" s="2822"/>
      <c r="AB352" s="2822"/>
      <c r="AC352" s="2822"/>
      <c r="AD352" s="2822"/>
      <c r="AE352" s="2822"/>
      <c r="AF352" s="2822"/>
      <c r="AG352" s="2822"/>
      <c r="AH352" s="2822"/>
      <c r="AI352" s="2822"/>
      <c r="AJ352" s="2822"/>
      <c r="AK352" s="2822"/>
      <c r="AL352" s="2822"/>
      <c r="AM352" s="2822"/>
      <c r="AN352" s="2822"/>
      <c r="AO352" s="2822"/>
      <c r="AP352" s="2822"/>
      <c r="AQ352" s="2822"/>
      <c r="AR352" s="2822"/>
      <c r="AS352" s="2822"/>
      <c r="AT352" s="2822"/>
      <c r="AU352" s="2822"/>
      <c r="AV352" s="2822"/>
      <c r="AW352" s="2822"/>
      <c r="AX352" s="2822"/>
      <c r="AY352" s="2822"/>
      <c r="AZ352" s="2822"/>
      <c r="BA352" s="2822"/>
      <c r="BB352" s="2822"/>
      <c r="BC352" s="2822"/>
      <c r="BD352" s="2822"/>
      <c r="BE352" s="2822"/>
      <c r="BF352" s="2822"/>
      <c r="BG352" s="2822"/>
      <c r="BH352" s="2822"/>
      <c r="BI352" s="2822"/>
      <c r="BJ352" s="2822"/>
      <c r="BK352" s="2822"/>
      <c r="BL352" s="2822"/>
      <c r="BM352" s="2822"/>
      <c r="BN352" s="2822"/>
      <c r="BO352" s="2822"/>
      <c r="BP352" s="2822"/>
      <c r="BQ352" s="2822"/>
      <c r="BR352" s="2822"/>
      <c r="BS352" s="2822"/>
      <c r="BT352" s="2822"/>
      <c r="BU352" s="2822"/>
      <c r="BV352" s="2822"/>
      <c r="BW352" s="2822"/>
      <c r="BX352" s="2822"/>
      <c r="BY352" s="2822"/>
      <c r="BZ352" s="2822"/>
      <c r="CA352" s="2822"/>
      <c r="CB352" s="2822"/>
      <c r="CC352" s="2822"/>
      <c r="CD352" s="2822"/>
      <c r="CE352" s="2822"/>
      <c r="CF352" s="2822"/>
      <c r="CG352" s="2822"/>
      <c r="CH352" s="2822"/>
      <c r="CI352" s="2822"/>
      <c r="CJ352" s="2822"/>
      <c r="CK352" s="2822"/>
      <c r="CL352" s="2822"/>
      <c r="CM352" s="2822"/>
      <c r="CN352" s="2822"/>
    </row>
    <row r="353" spans="1:92" x14ac:dyDescent="0.2">
      <c r="A353" s="2822"/>
      <c r="B353" s="2822"/>
      <c r="C353" s="2822"/>
      <c r="D353" s="2822"/>
      <c r="E353" s="2822"/>
      <c r="F353" s="2822"/>
      <c r="G353" s="2822"/>
      <c r="H353" s="2822"/>
      <c r="I353" s="2822"/>
      <c r="J353" s="2822"/>
      <c r="K353" s="2822"/>
      <c r="L353" s="2822"/>
      <c r="M353" s="2822"/>
      <c r="N353" s="2822"/>
      <c r="O353" s="2822"/>
      <c r="P353" s="2822"/>
      <c r="Q353" s="2822"/>
      <c r="R353" s="2822"/>
      <c r="S353" s="2822"/>
      <c r="T353" s="2822"/>
      <c r="U353" s="2822"/>
      <c r="V353" s="2822"/>
      <c r="W353" s="2822"/>
      <c r="X353" s="2822"/>
      <c r="Y353" s="2822"/>
      <c r="Z353" s="2822"/>
      <c r="AA353" s="2822"/>
      <c r="AB353" s="2822"/>
      <c r="AC353" s="2822"/>
      <c r="AD353" s="2822"/>
      <c r="AE353" s="2822"/>
      <c r="AF353" s="2822"/>
      <c r="AG353" s="2822"/>
      <c r="AH353" s="2822"/>
      <c r="AI353" s="2822"/>
      <c r="AJ353" s="2822"/>
      <c r="AK353" s="2822"/>
      <c r="AL353" s="2822"/>
      <c r="AM353" s="2822"/>
      <c r="AN353" s="2822"/>
      <c r="AO353" s="2822"/>
      <c r="AP353" s="2822"/>
      <c r="AQ353" s="2822"/>
      <c r="AR353" s="2822"/>
      <c r="AS353" s="2822"/>
      <c r="AT353" s="2822"/>
      <c r="AU353" s="2822"/>
      <c r="AV353" s="2822"/>
      <c r="AW353" s="2822"/>
      <c r="AX353" s="2822"/>
      <c r="AY353" s="2822"/>
      <c r="AZ353" s="2822"/>
      <c r="BA353" s="2822"/>
      <c r="BB353" s="2822"/>
      <c r="BC353" s="2822"/>
      <c r="BD353" s="2822"/>
      <c r="BE353" s="2822"/>
      <c r="BF353" s="2822"/>
      <c r="BG353" s="2822"/>
      <c r="BH353" s="2822"/>
      <c r="BI353" s="2822"/>
      <c r="BJ353" s="2822"/>
      <c r="BK353" s="2822"/>
      <c r="BL353" s="2822"/>
      <c r="BM353" s="2822"/>
      <c r="BN353" s="2822"/>
      <c r="BO353" s="2822"/>
      <c r="BP353" s="2822"/>
      <c r="BQ353" s="2822"/>
      <c r="BR353" s="2822"/>
      <c r="BS353" s="2822"/>
      <c r="BT353" s="2822"/>
      <c r="BU353" s="2822"/>
      <c r="BV353" s="2822"/>
      <c r="BW353" s="2822"/>
      <c r="BX353" s="2822"/>
      <c r="BY353" s="2822"/>
      <c r="BZ353" s="2822"/>
      <c r="CA353" s="2822"/>
      <c r="CB353" s="2822"/>
      <c r="CC353" s="2822"/>
      <c r="CD353" s="2822"/>
      <c r="CE353" s="2822"/>
      <c r="CF353" s="2822"/>
      <c r="CG353" s="2822"/>
      <c r="CH353" s="2822"/>
      <c r="CI353" s="2822"/>
      <c r="CJ353" s="2822"/>
      <c r="CK353" s="2822"/>
      <c r="CL353" s="2822"/>
      <c r="CM353" s="2822"/>
      <c r="CN353" s="2822"/>
    </row>
    <row r="354" spans="1:92" x14ac:dyDescent="0.2">
      <c r="A354" s="2822"/>
      <c r="B354" s="2822"/>
      <c r="C354" s="2822"/>
      <c r="D354" s="2822"/>
      <c r="E354" s="2822"/>
      <c r="F354" s="2822"/>
      <c r="G354" s="2822"/>
      <c r="H354" s="2822"/>
      <c r="I354" s="2822"/>
      <c r="J354" s="2822"/>
      <c r="K354" s="2822"/>
      <c r="L354" s="2822"/>
      <c r="M354" s="2822"/>
      <c r="N354" s="2822"/>
      <c r="O354" s="2822"/>
      <c r="P354" s="2822"/>
      <c r="Q354" s="2822"/>
      <c r="R354" s="2822"/>
      <c r="S354" s="2822"/>
      <c r="T354" s="2822"/>
      <c r="U354" s="2822"/>
      <c r="V354" s="2822"/>
      <c r="W354" s="2822"/>
      <c r="X354" s="2822"/>
      <c r="Y354" s="2822"/>
      <c r="Z354" s="2822"/>
      <c r="AA354" s="2822"/>
      <c r="AB354" s="2822"/>
      <c r="AC354" s="2822"/>
      <c r="AD354" s="2822"/>
      <c r="AE354" s="2822"/>
      <c r="AF354" s="2822"/>
      <c r="AG354" s="2822"/>
      <c r="AH354" s="2822"/>
      <c r="AI354" s="2822"/>
      <c r="AJ354" s="2822"/>
      <c r="AK354" s="2822"/>
      <c r="AL354" s="2822"/>
      <c r="AM354" s="2822"/>
      <c r="AN354" s="2822"/>
      <c r="AO354" s="2822"/>
      <c r="AP354" s="2822"/>
      <c r="AQ354" s="2822"/>
      <c r="AR354" s="2822"/>
      <c r="AS354" s="2822"/>
      <c r="AT354" s="2822"/>
      <c r="AU354" s="2822"/>
      <c r="AV354" s="2822"/>
      <c r="AW354" s="2822"/>
      <c r="AX354" s="2822"/>
      <c r="AY354" s="2822"/>
      <c r="AZ354" s="2822"/>
      <c r="BA354" s="2822"/>
      <c r="BB354" s="2822"/>
      <c r="BC354" s="2822"/>
      <c r="BD354" s="2822"/>
      <c r="BE354" s="2822"/>
      <c r="BF354" s="2822"/>
      <c r="BG354" s="2822"/>
      <c r="BH354" s="2822"/>
      <c r="BI354" s="2822"/>
      <c r="BJ354" s="2822"/>
      <c r="BK354" s="2822"/>
      <c r="BL354" s="2822"/>
      <c r="BM354" s="2822"/>
      <c r="BN354" s="2822"/>
      <c r="BO354" s="2822"/>
      <c r="BP354" s="2822"/>
      <c r="BQ354" s="2822"/>
      <c r="BR354" s="2822"/>
      <c r="BS354" s="2822"/>
      <c r="BT354" s="2822"/>
      <c r="BU354" s="2822"/>
      <c r="BV354" s="2822"/>
      <c r="BW354" s="2822"/>
      <c r="BX354" s="2822"/>
      <c r="BY354" s="2822"/>
      <c r="BZ354" s="2822"/>
      <c r="CA354" s="2822"/>
      <c r="CB354" s="2822"/>
      <c r="CC354" s="2822"/>
      <c r="CD354" s="2822"/>
      <c r="CE354" s="2822"/>
      <c r="CF354" s="2822"/>
      <c r="CG354" s="2822"/>
      <c r="CH354" s="2822"/>
      <c r="CI354" s="2822"/>
      <c r="CJ354" s="2822"/>
      <c r="CK354" s="2822"/>
      <c r="CL354" s="2822"/>
      <c r="CM354" s="2822"/>
      <c r="CN354" s="2822"/>
    </row>
    <row r="355" spans="1:92" x14ac:dyDescent="0.2">
      <c r="A355" s="2822"/>
      <c r="B355" s="2822"/>
      <c r="C355" s="2822"/>
      <c r="D355" s="2822"/>
      <c r="E355" s="2822"/>
      <c r="F355" s="2822"/>
      <c r="G355" s="2822"/>
      <c r="H355" s="2822"/>
      <c r="I355" s="2822"/>
      <c r="J355" s="2822"/>
      <c r="K355" s="2822"/>
      <c r="L355" s="2822"/>
      <c r="M355" s="2822"/>
      <c r="N355" s="2822"/>
      <c r="O355" s="2822"/>
      <c r="P355" s="2822"/>
      <c r="Q355" s="2822"/>
      <c r="R355" s="2822"/>
      <c r="S355" s="2822"/>
      <c r="T355" s="2822"/>
      <c r="U355" s="2822"/>
      <c r="V355" s="2822"/>
      <c r="W355" s="2822"/>
      <c r="X355" s="2822"/>
      <c r="Y355" s="2822"/>
      <c r="Z355" s="2822"/>
      <c r="AA355" s="2822"/>
      <c r="AB355" s="2822"/>
      <c r="AC355" s="2822"/>
      <c r="AD355" s="2822"/>
      <c r="AE355" s="2822"/>
      <c r="AF355" s="2822"/>
      <c r="AG355" s="2822"/>
      <c r="AH355" s="2822"/>
      <c r="AI355" s="2822"/>
      <c r="AJ355" s="2822"/>
      <c r="AK355" s="2822"/>
      <c r="AL355" s="2822"/>
      <c r="AM355" s="2822"/>
      <c r="AN355" s="2822"/>
      <c r="AO355" s="2822"/>
      <c r="AP355" s="2822"/>
      <c r="AQ355" s="2822"/>
      <c r="AR355" s="2822"/>
      <c r="AS355" s="2822"/>
      <c r="AT355" s="2822"/>
      <c r="AU355" s="2822"/>
      <c r="AV355" s="2822"/>
      <c r="AW355" s="2822"/>
      <c r="AX355" s="2822"/>
      <c r="AY355" s="2822"/>
      <c r="AZ355" s="2822"/>
      <c r="BA355" s="2822"/>
      <c r="BB355" s="2822"/>
      <c r="BC355" s="2822"/>
      <c r="BD355" s="2822"/>
      <c r="BE355" s="2822"/>
      <c r="BF355" s="2822"/>
      <c r="BG355" s="2822"/>
      <c r="BH355" s="2822"/>
      <c r="BI355" s="2822"/>
      <c r="BJ355" s="2822"/>
      <c r="BK355" s="2822"/>
      <c r="BL355" s="2822"/>
      <c r="BM355" s="2822"/>
      <c r="BN355" s="2822"/>
      <c r="BO355" s="2822"/>
      <c r="BP355" s="2822"/>
      <c r="BQ355" s="2822"/>
      <c r="BR355" s="2822"/>
      <c r="BS355" s="2822"/>
      <c r="BT355" s="2822"/>
      <c r="BU355" s="2822"/>
      <c r="BV355" s="2822"/>
      <c r="BW355" s="2822"/>
      <c r="BX355" s="2822"/>
      <c r="BY355" s="2822"/>
      <c r="BZ355" s="2822"/>
      <c r="CA355" s="2822"/>
      <c r="CB355" s="2822"/>
      <c r="CC355" s="2822"/>
      <c r="CD355" s="2822"/>
      <c r="CE355" s="2822"/>
      <c r="CF355" s="2822"/>
      <c r="CG355" s="2822"/>
      <c r="CH355" s="2822"/>
      <c r="CI355" s="2822"/>
      <c r="CJ355" s="2822"/>
      <c r="CK355" s="2822"/>
      <c r="CL355" s="2822"/>
      <c r="CM355" s="2822"/>
      <c r="CN355" s="2822"/>
    </row>
    <row r="356" spans="1:92" x14ac:dyDescent="0.2">
      <c r="A356" s="2822"/>
      <c r="B356" s="2822"/>
      <c r="C356" s="2822"/>
      <c r="D356" s="2822"/>
      <c r="E356" s="2822"/>
      <c r="F356" s="2822"/>
      <c r="G356" s="2822"/>
      <c r="H356" s="2822"/>
      <c r="I356" s="2822"/>
      <c r="J356" s="2822"/>
      <c r="K356" s="2822"/>
      <c r="L356" s="2822"/>
      <c r="M356" s="2822"/>
      <c r="N356" s="2822"/>
      <c r="O356" s="2822"/>
      <c r="P356" s="2822"/>
      <c r="Q356" s="2822"/>
      <c r="R356" s="2822"/>
      <c r="S356" s="2822"/>
      <c r="T356" s="2822"/>
      <c r="U356" s="2822"/>
      <c r="V356" s="2822"/>
      <c r="W356" s="2822"/>
      <c r="X356" s="2822"/>
      <c r="Y356" s="2822"/>
      <c r="Z356" s="2822"/>
      <c r="AA356" s="2822"/>
      <c r="AB356" s="2822"/>
      <c r="AC356" s="2822"/>
      <c r="AD356" s="2822"/>
      <c r="AE356" s="2822"/>
      <c r="AF356" s="2822"/>
      <c r="AG356" s="2822"/>
      <c r="AH356" s="2822"/>
      <c r="AI356" s="2822"/>
      <c r="AJ356" s="2822"/>
      <c r="AK356" s="2822"/>
      <c r="AL356" s="2822"/>
      <c r="AM356" s="2822"/>
      <c r="AN356" s="2822"/>
      <c r="AO356" s="2822"/>
      <c r="AP356" s="2822"/>
      <c r="AQ356" s="2822"/>
      <c r="AR356" s="2822"/>
      <c r="AS356" s="2822"/>
      <c r="AT356" s="2822"/>
      <c r="AU356" s="2822"/>
      <c r="AV356" s="2822"/>
      <c r="AW356" s="2822"/>
      <c r="AX356" s="2822"/>
      <c r="AY356" s="2822"/>
      <c r="AZ356" s="2822"/>
      <c r="BA356" s="2822"/>
      <c r="BB356" s="2822"/>
      <c r="BC356" s="2822"/>
      <c r="BD356" s="2822"/>
      <c r="BE356" s="2822"/>
      <c r="BF356" s="2822"/>
      <c r="BG356" s="2822"/>
      <c r="BH356" s="2822"/>
      <c r="BI356" s="2822"/>
      <c r="BJ356" s="2822"/>
      <c r="BK356" s="2822"/>
      <c r="BL356" s="2822"/>
      <c r="BM356" s="2822"/>
      <c r="BN356" s="2822"/>
      <c r="BO356" s="2822"/>
      <c r="BP356" s="2822"/>
      <c r="BQ356" s="2822"/>
      <c r="BR356" s="2822"/>
      <c r="BS356" s="2822"/>
      <c r="BT356" s="2822"/>
      <c r="BU356" s="2822"/>
      <c r="BV356" s="2822"/>
      <c r="BW356" s="2822"/>
      <c r="BX356" s="2822"/>
      <c r="BY356" s="2822"/>
      <c r="BZ356" s="2822"/>
      <c r="CA356" s="2822"/>
      <c r="CB356" s="2822"/>
      <c r="CC356" s="2822"/>
      <c r="CD356" s="2822"/>
      <c r="CE356" s="2822"/>
      <c r="CF356" s="2822"/>
      <c r="CG356" s="2822"/>
      <c r="CH356" s="2822"/>
      <c r="CI356" s="2822"/>
      <c r="CJ356" s="2822"/>
      <c r="CK356" s="2822"/>
      <c r="CL356" s="2822"/>
      <c r="CM356" s="2822"/>
      <c r="CN356" s="2822"/>
    </row>
    <row r="357" spans="1:92" x14ac:dyDescent="0.2">
      <c r="A357" s="2822"/>
      <c r="B357" s="2822"/>
      <c r="C357" s="2822"/>
      <c r="D357" s="2822"/>
      <c r="E357" s="2822"/>
      <c r="F357" s="2822"/>
      <c r="G357" s="2822"/>
      <c r="H357" s="2822"/>
      <c r="I357" s="2822"/>
      <c r="J357" s="2822"/>
      <c r="K357" s="2822"/>
      <c r="L357" s="2822"/>
      <c r="M357" s="2822"/>
      <c r="N357" s="2822"/>
      <c r="O357" s="2822"/>
      <c r="P357" s="2822"/>
      <c r="Q357" s="2822"/>
      <c r="R357" s="2822"/>
      <c r="S357" s="2822"/>
      <c r="T357" s="2822"/>
      <c r="U357" s="2822"/>
      <c r="V357" s="2822"/>
      <c r="W357" s="2822"/>
      <c r="X357" s="2822"/>
      <c r="Y357" s="2822"/>
      <c r="Z357" s="2822"/>
      <c r="AA357" s="2822"/>
      <c r="AB357" s="2822"/>
      <c r="AC357" s="2822"/>
      <c r="AD357" s="2822"/>
      <c r="AE357" s="2822"/>
      <c r="AF357" s="2822"/>
      <c r="AG357" s="2822"/>
      <c r="AH357" s="2822"/>
      <c r="AI357" s="2822"/>
      <c r="AJ357" s="2822"/>
      <c r="AK357" s="2822"/>
      <c r="AL357" s="2822"/>
      <c r="AM357" s="2822"/>
      <c r="AN357" s="2822"/>
      <c r="AO357" s="2822"/>
      <c r="AP357" s="2822"/>
      <c r="AQ357" s="2822"/>
      <c r="AR357" s="2822"/>
      <c r="AS357" s="2822"/>
      <c r="AT357" s="2822"/>
      <c r="AU357" s="2822"/>
      <c r="AV357" s="2822"/>
      <c r="AW357" s="2822"/>
      <c r="AX357" s="2822"/>
      <c r="AY357" s="2822"/>
      <c r="AZ357" s="2822"/>
      <c r="BA357" s="2822"/>
      <c r="BB357" s="2822"/>
      <c r="BC357" s="2822"/>
      <c r="BD357" s="2822"/>
      <c r="BE357" s="2822"/>
      <c r="BF357" s="2822"/>
      <c r="BG357" s="2822"/>
      <c r="BH357" s="2822"/>
      <c r="BI357" s="2822"/>
      <c r="BJ357" s="2822"/>
      <c r="BK357" s="2822"/>
      <c r="BL357" s="2822"/>
      <c r="BM357" s="2822"/>
      <c r="BN357" s="2822"/>
      <c r="BO357" s="2822"/>
      <c r="BP357" s="2822"/>
      <c r="BQ357" s="2822"/>
      <c r="BR357" s="2822"/>
      <c r="BS357" s="2822"/>
      <c r="BT357" s="2822"/>
      <c r="BU357" s="2822"/>
      <c r="BV357" s="2822"/>
      <c r="BW357" s="2822"/>
      <c r="BX357" s="2822"/>
      <c r="BY357" s="2822"/>
      <c r="BZ357" s="2822"/>
      <c r="CA357" s="2822"/>
      <c r="CB357" s="2822"/>
      <c r="CC357" s="2822"/>
      <c r="CD357" s="2822"/>
      <c r="CE357" s="2822"/>
      <c r="CF357" s="2822"/>
      <c r="CG357" s="2822"/>
      <c r="CH357" s="2822"/>
      <c r="CI357" s="2822"/>
      <c r="CJ357" s="2822"/>
      <c r="CK357" s="2822"/>
      <c r="CL357" s="2822"/>
      <c r="CM357" s="2822"/>
      <c r="CN357" s="2822"/>
    </row>
    <row r="358" spans="1:92" x14ac:dyDescent="0.2">
      <c r="A358" s="2822"/>
      <c r="B358" s="2822"/>
      <c r="C358" s="2822"/>
      <c r="D358" s="2822"/>
      <c r="E358" s="2822"/>
      <c r="F358" s="2822"/>
      <c r="G358" s="2822"/>
      <c r="H358" s="2822"/>
      <c r="I358" s="2822"/>
      <c r="J358" s="2822"/>
      <c r="K358" s="2822"/>
      <c r="L358" s="2822"/>
      <c r="M358" s="2822"/>
      <c r="N358" s="2822"/>
      <c r="O358" s="2822"/>
      <c r="P358" s="2822"/>
      <c r="Q358" s="2822"/>
      <c r="R358" s="2822"/>
      <c r="S358" s="2822"/>
      <c r="T358" s="2822"/>
      <c r="U358" s="2822"/>
      <c r="V358" s="2822"/>
      <c r="W358" s="2822"/>
      <c r="X358" s="2822"/>
      <c r="Y358" s="2822"/>
      <c r="Z358" s="2822"/>
      <c r="AA358" s="2822"/>
      <c r="AB358" s="2822"/>
      <c r="AC358" s="2822"/>
      <c r="AD358" s="2822"/>
      <c r="AE358" s="2822"/>
      <c r="AF358" s="2822"/>
      <c r="AG358" s="2822"/>
      <c r="AH358" s="2822"/>
      <c r="AI358" s="2822"/>
      <c r="AJ358" s="2822"/>
      <c r="AK358" s="2822"/>
      <c r="AL358" s="2822"/>
      <c r="AM358" s="2822"/>
      <c r="AN358" s="2822"/>
      <c r="AO358" s="2822"/>
      <c r="AP358" s="2822"/>
      <c r="AQ358" s="2822"/>
      <c r="AR358" s="2822"/>
      <c r="AS358" s="2822"/>
      <c r="AT358" s="2822"/>
      <c r="AU358" s="2822"/>
      <c r="AV358" s="2822"/>
      <c r="AW358" s="2822"/>
      <c r="AX358" s="2822"/>
      <c r="AY358" s="2822"/>
      <c r="AZ358" s="2822"/>
      <c r="BA358" s="2822"/>
      <c r="BB358" s="2822"/>
      <c r="BC358" s="2822"/>
      <c r="BD358" s="2822"/>
      <c r="BE358" s="2822"/>
      <c r="BF358" s="2822"/>
      <c r="BG358" s="2822"/>
      <c r="BH358" s="2822"/>
      <c r="BI358" s="2822"/>
      <c r="BJ358" s="2822"/>
      <c r="BK358" s="2822"/>
      <c r="BL358" s="2822"/>
      <c r="BM358" s="2822"/>
      <c r="BN358" s="2822"/>
      <c r="BO358" s="2822"/>
      <c r="BP358" s="2822"/>
      <c r="BQ358" s="2822"/>
      <c r="BR358" s="2822"/>
      <c r="BS358" s="2822"/>
      <c r="BT358" s="2822"/>
      <c r="BU358" s="2822"/>
      <c r="BV358" s="2822"/>
      <c r="BW358" s="2822"/>
      <c r="BX358" s="2822"/>
      <c r="BY358" s="2822"/>
      <c r="BZ358" s="2822"/>
      <c r="CA358" s="2822"/>
      <c r="CB358" s="2822"/>
      <c r="CC358" s="2822"/>
      <c r="CD358" s="2822"/>
      <c r="CE358" s="2822"/>
      <c r="CF358" s="2822"/>
      <c r="CG358" s="2822"/>
      <c r="CH358" s="2822"/>
      <c r="CI358" s="2822"/>
      <c r="CJ358" s="2822"/>
      <c r="CK358" s="2822"/>
      <c r="CL358" s="2822"/>
      <c r="CM358" s="2822"/>
      <c r="CN358" s="2822"/>
    </row>
    <row r="359" spans="1:92" x14ac:dyDescent="0.2">
      <c r="A359" s="2822"/>
      <c r="B359" s="2822"/>
      <c r="C359" s="2822"/>
      <c r="D359" s="2822"/>
      <c r="E359" s="2822"/>
      <c r="F359" s="2822"/>
      <c r="G359" s="2822"/>
      <c r="H359" s="2822"/>
      <c r="I359" s="2822"/>
      <c r="J359" s="2822"/>
      <c r="K359" s="2822"/>
      <c r="L359" s="2822"/>
      <c r="M359" s="2822"/>
      <c r="N359" s="2822"/>
      <c r="O359" s="2822"/>
      <c r="P359" s="2822"/>
      <c r="Q359" s="2822"/>
      <c r="R359" s="2822"/>
      <c r="S359" s="2822"/>
      <c r="T359" s="2822"/>
      <c r="U359" s="2822"/>
      <c r="V359" s="2822"/>
      <c r="W359" s="2822"/>
      <c r="X359" s="2822"/>
      <c r="Y359" s="2822"/>
      <c r="Z359" s="2822"/>
      <c r="AA359" s="2822"/>
      <c r="AB359" s="2822"/>
      <c r="AC359" s="2822"/>
      <c r="AD359" s="2822"/>
      <c r="AE359" s="2822"/>
      <c r="AF359" s="2822"/>
      <c r="AG359" s="2822"/>
      <c r="AH359" s="2822"/>
      <c r="AI359" s="2822"/>
      <c r="AJ359" s="2822"/>
      <c r="AK359" s="2822"/>
      <c r="AL359" s="2822"/>
      <c r="AM359" s="2822"/>
      <c r="AN359" s="2822"/>
      <c r="AO359" s="2822"/>
      <c r="AP359" s="2822"/>
      <c r="AQ359" s="2822"/>
      <c r="AR359" s="2822"/>
      <c r="AS359" s="2822"/>
      <c r="AT359" s="2822"/>
      <c r="AU359" s="2822"/>
      <c r="AV359" s="2822"/>
      <c r="AW359" s="2822"/>
      <c r="AX359" s="2822"/>
      <c r="AY359" s="2822"/>
      <c r="AZ359" s="2822"/>
      <c r="BA359" s="2822"/>
      <c r="BB359" s="2822"/>
      <c r="BC359" s="2822"/>
      <c r="BD359" s="2822"/>
      <c r="BE359" s="2822"/>
      <c r="BF359" s="2822"/>
      <c r="BG359" s="2822"/>
      <c r="BH359" s="2822"/>
      <c r="BI359" s="2822"/>
      <c r="BJ359" s="2822"/>
      <c r="BK359" s="2822"/>
      <c r="BL359" s="2822"/>
      <c r="BM359" s="2822"/>
      <c r="BN359" s="2822"/>
      <c r="BO359" s="2822"/>
      <c r="BP359" s="2822"/>
      <c r="BQ359" s="2822"/>
      <c r="BR359" s="2822"/>
      <c r="BS359" s="2822"/>
      <c r="BT359" s="2822"/>
      <c r="BU359" s="2822"/>
      <c r="BV359" s="2822"/>
      <c r="BW359" s="2822"/>
      <c r="BX359" s="2822"/>
      <c r="BY359" s="2822"/>
      <c r="BZ359" s="2822"/>
      <c r="CA359" s="2822"/>
      <c r="CB359" s="2822"/>
      <c r="CC359" s="2822"/>
      <c r="CD359" s="2822"/>
      <c r="CE359" s="2822"/>
      <c r="CF359" s="2822"/>
      <c r="CG359" s="2822"/>
      <c r="CH359" s="2822"/>
      <c r="CI359" s="2822"/>
      <c r="CJ359" s="2822"/>
      <c r="CK359" s="2822"/>
      <c r="CL359" s="2822"/>
      <c r="CM359" s="2822"/>
      <c r="CN359" s="2822"/>
    </row>
    <row r="360" spans="1:92" x14ac:dyDescent="0.2">
      <c r="A360" s="2822"/>
      <c r="B360" s="2822"/>
      <c r="C360" s="2822"/>
      <c r="D360" s="2822"/>
      <c r="E360" s="2822"/>
      <c r="F360" s="2822"/>
      <c r="G360" s="2822"/>
      <c r="H360" s="2822"/>
      <c r="I360" s="2822"/>
      <c r="J360" s="2822"/>
      <c r="K360" s="2822"/>
      <c r="L360" s="2822"/>
      <c r="M360" s="2822"/>
      <c r="N360" s="2822"/>
      <c r="O360" s="2822"/>
      <c r="P360" s="2822"/>
      <c r="Q360" s="2822"/>
      <c r="R360" s="2822"/>
      <c r="S360" s="2822"/>
      <c r="T360" s="2822"/>
      <c r="U360" s="2822"/>
      <c r="V360" s="2822"/>
      <c r="W360" s="2822"/>
      <c r="X360" s="2822"/>
      <c r="Y360" s="2822"/>
      <c r="Z360" s="2822"/>
      <c r="AA360" s="2822"/>
      <c r="AB360" s="2822"/>
      <c r="AC360" s="2822"/>
      <c r="AD360" s="2822"/>
      <c r="AE360" s="2822"/>
      <c r="AF360" s="2822"/>
      <c r="AG360" s="2822"/>
      <c r="AH360" s="2822"/>
      <c r="AI360" s="2822"/>
      <c r="AJ360" s="2822"/>
      <c r="AK360" s="2822"/>
      <c r="AL360" s="2822"/>
      <c r="AM360" s="2822"/>
      <c r="AN360" s="2822"/>
      <c r="AO360" s="2822"/>
      <c r="AP360" s="2822"/>
      <c r="AQ360" s="2822"/>
      <c r="AR360" s="2822"/>
      <c r="AS360" s="2822"/>
      <c r="AT360" s="2822"/>
      <c r="AU360" s="2822"/>
      <c r="AV360" s="2822"/>
      <c r="AW360" s="2822"/>
      <c r="AX360" s="2822"/>
      <c r="AY360" s="2822"/>
      <c r="AZ360" s="2822"/>
      <c r="BA360" s="2822"/>
      <c r="BB360" s="2822"/>
      <c r="BC360" s="2822"/>
      <c r="BD360" s="2822"/>
      <c r="BE360" s="2822"/>
      <c r="BF360" s="2822"/>
      <c r="BG360" s="2822"/>
      <c r="BH360" s="2822"/>
      <c r="BI360" s="2822"/>
      <c r="BJ360" s="2822"/>
      <c r="BK360" s="2822"/>
      <c r="BL360" s="2822"/>
      <c r="BM360" s="2822"/>
      <c r="BN360" s="2822"/>
      <c r="BO360" s="2822"/>
      <c r="BP360" s="2822"/>
      <c r="BQ360" s="2822"/>
      <c r="BR360" s="2822"/>
      <c r="BS360" s="2822"/>
      <c r="BT360" s="2822"/>
      <c r="BU360" s="2822"/>
      <c r="BV360" s="2822"/>
      <c r="BW360" s="2822"/>
      <c r="BX360" s="2822"/>
      <c r="BY360" s="2822"/>
      <c r="BZ360" s="2822"/>
      <c r="CA360" s="2822"/>
      <c r="CB360" s="2822"/>
      <c r="CC360" s="2822"/>
      <c r="CD360" s="2822"/>
      <c r="CE360" s="2822"/>
      <c r="CF360" s="2822"/>
      <c r="CG360" s="2822"/>
      <c r="CH360" s="2822"/>
      <c r="CI360" s="2822"/>
      <c r="CJ360" s="2822"/>
      <c r="CK360" s="2822"/>
      <c r="CL360" s="2822"/>
      <c r="CM360" s="2822"/>
      <c r="CN360" s="2822"/>
    </row>
    <row r="361" spans="1:92" x14ac:dyDescent="0.2">
      <c r="A361" s="2822"/>
      <c r="B361" s="2822"/>
      <c r="C361" s="2822"/>
      <c r="D361" s="2822"/>
      <c r="E361" s="2822"/>
      <c r="F361" s="2822"/>
      <c r="G361" s="2822"/>
      <c r="H361" s="2822"/>
      <c r="I361" s="2822"/>
      <c r="J361" s="2822"/>
      <c r="K361" s="2822"/>
      <c r="L361" s="2822"/>
      <c r="M361" s="2822"/>
      <c r="N361" s="2822"/>
      <c r="O361" s="2822"/>
      <c r="P361" s="2822"/>
      <c r="Q361" s="2822"/>
      <c r="R361" s="2822"/>
      <c r="S361" s="2822"/>
      <c r="T361" s="2822"/>
      <c r="U361" s="2822"/>
      <c r="V361" s="2822"/>
      <c r="W361" s="2822"/>
      <c r="X361" s="2822"/>
      <c r="Y361" s="2822"/>
      <c r="Z361" s="2822"/>
      <c r="AA361" s="2822"/>
      <c r="AB361" s="2822"/>
      <c r="AC361" s="2822"/>
      <c r="AD361" s="2822"/>
      <c r="AE361" s="2822"/>
      <c r="AF361" s="2822"/>
      <c r="AG361" s="2822"/>
      <c r="AH361" s="2822"/>
      <c r="AI361" s="2822"/>
      <c r="AJ361" s="2822"/>
      <c r="AK361" s="2822"/>
      <c r="AL361" s="2822"/>
      <c r="AM361" s="2822"/>
      <c r="AN361" s="2822"/>
      <c r="AO361" s="2822"/>
      <c r="AP361" s="2822"/>
      <c r="AQ361" s="2822"/>
      <c r="AR361" s="2822"/>
      <c r="AS361" s="2822"/>
      <c r="AT361" s="2822"/>
      <c r="AU361" s="2822"/>
      <c r="AV361" s="2822"/>
      <c r="AW361" s="2822"/>
      <c r="AX361" s="2822"/>
      <c r="AY361" s="2822"/>
      <c r="AZ361" s="2822"/>
      <c r="BA361" s="2822"/>
      <c r="BB361" s="2822"/>
      <c r="BC361" s="2822"/>
      <c r="BD361" s="2822"/>
      <c r="BE361" s="2822"/>
      <c r="BF361" s="2822"/>
      <c r="BG361" s="2822"/>
      <c r="BH361" s="2822"/>
      <c r="BI361" s="2822"/>
      <c r="BJ361" s="2822"/>
      <c r="BK361" s="2822"/>
      <c r="BL361" s="2822"/>
      <c r="BM361" s="2822"/>
      <c r="BN361" s="2822"/>
      <c r="BO361" s="2822"/>
      <c r="BP361" s="2822"/>
      <c r="BQ361" s="2822"/>
      <c r="BR361" s="2822"/>
      <c r="BS361" s="2822"/>
      <c r="BT361" s="2822"/>
      <c r="BU361" s="2822"/>
      <c r="BV361" s="2822"/>
      <c r="BW361" s="2822"/>
      <c r="BX361" s="2822"/>
      <c r="BY361" s="2822"/>
      <c r="BZ361" s="2822"/>
      <c r="CA361" s="2822"/>
      <c r="CB361" s="2822"/>
      <c r="CC361" s="2822"/>
      <c r="CD361" s="2822"/>
      <c r="CE361" s="2822"/>
      <c r="CF361" s="2822"/>
      <c r="CG361" s="2822"/>
      <c r="CH361" s="2822"/>
      <c r="CI361" s="2822"/>
      <c r="CJ361" s="2822"/>
      <c r="CK361" s="2822"/>
      <c r="CL361" s="2822"/>
      <c r="CM361" s="2822"/>
      <c r="CN361" s="2822"/>
    </row>
    <row r="362" spans="1:92" x14ac:dyDescent="0.2">
      <c r="A362" s="2822"/>
      <c r="B362" s="2822"/>
      <c r="C362" s="2822"/>
      <c r="D362" s="2822"/>
      <c r="E362" s="2822"/>
      <c r="F362" s="2822"/>
      <c r="G362" s="2822"/>
      <c r="H362" s="2822"/>
      <c r="I362" s="2822"/>
      <c r="J362" s="2822"/>
      <c r="K362" s="2822"/>
      <c r="L362" s="2822"/>
      <c r="M362" s="2822"/>
      <c r="N362" s="2822"/>
      <c r="O362" s="2822"/>
      <c r="P362" s="2822"/>
      <c r="Q362" s="2822"/>
      <c r="R362" s="2822"/>
      <c r="S362" s="2822"/>
      <c r="T362" s="2822"/>
      <c r="U362" s="2822"/>
      <c r="V362" s="2822"/>
      <c r="W362" s="2822"/>
      <c r="X362" s="2822"/>
      <c r="Y362" s="2822"/>
      <c r="Z362" s="2822"/>
      <c r="AA362" s="2822"/>
      <c r="AB362" s="2822"/>
      <c r="AC362" s="2822"/>
      <c r="AD362" s="2822"/>
      <c r="AE362" s="2822"/>
      <c r="AF362" s="2822"/>
      <c r="AG362" s="2822"/>
      <c r="AH362" s="2822"/>
      <c r="AI362" s="2822"/>
      <c r="AJ362" s="2822"/>
      <c r="AK362" s="2822"/>
      <c r="AL362" s="2822"/>
      <c r="AM362" s="2822"/>
      <c r="AN362" s="2822"/>
      <c r="AO362" s="2822"/>
      <c r="AP362" s="2822"/>
      <c r="AQ362" s="2822"/>
      <c r="AR362" s="2822"/>
      <c r="AS362" s="2822"/>
      <c r="AT362" s="2822"/>
      <c r="AU362" s="2822"/>
      <c r="AV362" s="2822"/>
      <c r="AW362" s="2822"/>
      <c r="AX362" s="2822"/>
      <c r="AY362" s="2822"/>
      <c r="AZ362" s="2822"/>
      <c r="BA362" s="2822"/>
      <c r="BB362" s="2822"/>
      <c r="BC362" s="2822"/>
      <c r="BD362" s="2822"/>
      <c r="BE362" s="2822"/>
      <c r="BF362" s="2822"/>
      <c r="BG362" s="2822"/>
      <c r="BH362" s="2822"/>
      <c r="BI362" s="2822"/>
      <c r="BJ362" s="2822"/>
      <c r="BK362" s="2822"/>
      <c r="BL362" s="2822"/>
      <c r="BM362" s="2822"/>
      <c r="BN362" s="2822"/>
      <c r="BO362" s="2822"/>
      <c r="BP362" s="2822"/>
      <c r="BQ362" s="2822"/>
      <c r="BR362" s="2822"/>
      <c r="BS362" s="2822"/>
      <c r="BT362" s="2822"/>
      <c r="BU362" s="2822"/>
      <c r="BV362" s="2822"/>
      <c r="BW362" s="2822"/>
      <c r="BX362" s="2822"/>
      <c r="BY362" s="2822"/>
      <c r="BZ362" s="2822"/>
      <c r="CA362" s="2822"/>
      <c r="CB362" s="2822"/>
      <c r="CC362" s="2822"/>
      <c r="CD362" s="2822"/>
      <c r="CE362" s="2822"/>
      <c r="CF362" s="2822"/>
      <c r="CG362" s="2822"/>
      <c r="CH362" s="2822"/>
      <c r="CI362" s="2822"/>
      <c r="CJ362" s="2822"/>
      <c r="CK362" s="2822"/>
      <c r="CL362" s="2822"/>
      <c r="CM362" s="2822"/>
      <c r="CN362" s="2822"/>
    </row>
    <row r="363" spans="1:92" x14ac:dyDescent="0.2">
      <c r="A363" s="2822"/>
      <c r="B363" s="2822"/>
      <c r="C363" s="2822"/>
      <c r="D363" s="2822"/>
      <c r="E363" s="2822"/>
      <c r="F363" s="2822"/>
      <c r="G363" s="2822"/>
      <c r="H363" s="2822"/>
      <c r="I363" s="2822"/>
      <c r="J363" s="2822"/>
      <c r="K363" s="2822"/>
      <c r="L363" s="2822"/>
      <c r="M363" s="2822"/>
      <c r="N363" s="2822"/>
      <c r="O363" s="2822"/>
      <c r="P363" s="2822"/>
      <c r="Q363" s="2822"/>
      <c r="R363" s="2822"/>
      <c r="S363" s="2822"/>
      <c r="T363" s="2822"/>
      <c r="U363" s="2822"/>
      <c r="V363" s="2822"/>
      <c r="W363" s="2822"/>
      <c r="X363" s="2822"/>
      <c r="Y363" s="2822"/>
      <c r="Z363" s="2822"/>
      <c r="AA363" s="2822"/>
      <c r="AB363" s="2822"/>
      <c r="AC363" s="2822"/>
      <c r="AD363" s="2822"/>
      <c r="AE363" s="2822"/>
      <c r="AF363" s="2822"/>
      <c r="AG363" s="2822"/>
      <c r="AH363" s="2822"/>
      <c r="AI363" s="2822"/>
      <c r="AJ363" s="2822"/>
      <c r="AK363" s="2822"/>
      <c r="AL363" s="2822"/>
      <c r="AM363" s="2822"/>
      <c r="AN363" s="2822"/>
      <c r="AO363" s="2822"/>
      <c r="AP363" s="2822"/>
      <c r="AQ363" s="2822"/>
      <c r="AR363" s="2822"/>
      <c r="AS363" s="2822"/>
      <c r="AT363" s="2822"/>
      <c r="AU363" s="2822"/>
      <c r="AV363" s="2822"/>
      <c r="AW363" s="2822"/>
      <c r="AX363" s="2822"/>
      <c r="AY363" s="2822"/>
      <c r="AZ363" s="2822"/>
      <c r="BA363" s="2822"/>
      <c r="BB363" s="2822"/>
      <c r="BC363" s="2822"/>
      <c r="BD363" s="2822"/>
      <c r="BE363" s="2822"/>
      <c r="BF363" s="2822"/>
      <c r="BG363" s="2822"/>
      <c r="BH363" s="2822"/>
      <c r="BI363" s="2822"/>
      <c r="BJ363" s="2822"/>
      <c r="BK363" s="2822"/>
      <c r="BL363" s="2822"/>
      <c r="BM363" s="2822"/>
      <c r="BN363" s="2822"/>
      <c r="BO363" s="2822"/>
      <c r="BP363" s="2822"/>
      <c r="BQ363" s="2822"/>
      <c r="BR363" s="2822"/>
      <c r="BS363" s="2822"/>
      <c r="BT363" s="2822"/>
      <c r="BU363" s="2822"/>
      <c r="BV363" s="2822"/>
      <c r="BW363" s="2822"/>
      <c r="BX363" s="2822"/>
      <c r="BY363" s="2822"/>
      <c r="BZ363" s="2822"/>
      <c r="CA363" s="2822"/>
      <c r="CB363" s="2822"/>
      <c r="CC363" s="2822"/>
      <c r="CD363" s="2822"/>
      <c r="CE363" s="2822"/>
      <c r="CF363" s="2822"/>
      <c r="CG363" s="2822"/>
      <c r="CH363" s="2822"/>
      <c r="CI363" s="2822"/>
      <c r="CJ363" s="2822"/>
      <c r="CK363" s="2822"/>
      <c r="CL363" s="2822"/>
      <c r="CM363" s="2822"/>
      <c r="CN363" s="2822"/>
    </row>
    <row r="364" spans="1:92" x14ac:dyDescent="0.2">
      <c r="A364" s="2822"/>
      <c r="B364" s="2822"/>
      <c r="C364" s="2822"/>
      <c r="D364" s="2822"/>
      <c r="E364" s="2822"/>
      <c r="F364" s="2822"/>
      <c r="G364" s="2822"/>
      <c r="H364" s="2822"/>
      <c r="I364" s="2822"/>
      <c r="J364" s="2822"/>
      <c r="K364" s="2822"/>
      <c r="L364" s="2822"/>
      <c r="M364" s="2822"/>
      <c r="N364" s="2822"/>
      <c r="O364" s="2822"/>
      <c r="P364" s="2822"/>
      <c r="Q364" s="2822"/>
      <c r="R364" s="2822"/>
      <c r="S364" s="2822"/>
      <c r="T364" s="2822"/>
      <c r="U364" s="2822"/>
      <c r="V364" s="2822"/>
      <c r="W364" s="2822"/>
      <c r="X364" s="2822"/>
      <c r="Y364" s="2822"/>
      <c r="Z364" s="2822"/>
      <c r="AA364" s="2822"/>
      <c r="AB364" s="2822"/>
      <c r="AC364" s="2822"/>
      <c r="AD364" s="2822"/>
      <c r="AE364" s="2822"/>
      <c r="AF364" s="2822"/>
      <c r="AG364" s="2822"/>
      <c r="AH364" s="2822"/>
      <c r="AI364" s="2822"/>
      <c r="AJ364" s="2822"/>
      <c r="AK364" s="2822"/>
      <c r="AL364" s="2822"/>
      <c r="AM364" s="2822"/>
      <c r="AN364" s="2822"/>
      <c r="AO364" s="2822"/>
      <c r="AP364" s="2822"/>
      <c r="AQ364" s="2822"/>
      <c r="AR364" s="2822"/>
      <c r="AS364" s="2822"/>
      <c r="AT364" s="2822"/>
      <c r="AU364" s="2822"/>
      <c r="AV364" s="2822"/>
      <c r="AW364" s="2822"/>
      <c r="AX364" s="2822"/>
      <c r="AY364" s="2822"/>
      <c r="AZ364" s="2822"/>
      <c r="BA364" s="2822"/>
      <c r="BB364" s="2822"/>
      <c r="BC364" s="2822"/>
      <c r="BD364" s="2822"/>
      <c r="BE364" s="2822"/>
      <c r="BF364" s="2822"/>
      <c r="BG364" s="2822"/>
      <c r="BH364" s="2822"/>
      <c r="BI364" s="2822"/>
      <c r="BJ364" s="2822"/>
      <c r="BK364" s="2822"/>
      <c r="BL364" s="2822"/>
      <c r="BM364" s="2822"/>
      <c r="BN364" s="2822"/>
      <c r="BO364" s="2822"/>
      <c r="BP364" s="2822"/>
      <c r="BQ364" s="2822"/>
      <c r="BR364" s="2822"/>
      <c r="BS364" s="2822"/>
      <c r="BT364" s="2822"/>
      <c r="BU364" s="2822"/>
      <c r="BV364" s="2822"/>
      <c r="BW364" s="2822"/>
      <c r="BX364" s="2822"/>
      <c r="BY364" s="2822"/>
      <c r="BZ364" s="2822"/>
      <c r="CA364" s="2822"/>
      <c r="CB364" s="2822"/>
      <c r="CC364" s="2822"/>
      <c r="CD364" s="2822"/>
      <c r="CE364" s="2822"/>
      <c r="CF364" s="2822"/>
      <c r="CG364" s="2822"/>
      <c r="CH364" s="2822"/>
      <c r="CI364" s="2822"/>
      <c r="CJ364" s="2822"/>
      <c r="CK364" s="2822"/>
      <c r="CL364" s="2822"/>
      <c r="CM364" s="2822"/>
      <c r="CN364" s="2822"/>
    </row>
    <row r="365" spans="1:92" x14ac:dyDescent="0.2">
      <c r="A365" s="2822"/>
      <c r="B365" s="2822"/>
      <c r="C365" s="2822"/>
      <c r="D365" s="2822"/>
      <c r="E365" s="2822"/>
      <c r="F365" s="2822"/>
      <c r="G365" s="2822"/>
      <c r="H365" s="2822"/>
      <c r="I365" s="2822"/>
      <c r="J365" s="2822"/>
      <c r="K365" s="2822"/>
      <c r="L365" s="2822"/>
      <c r="M365" s="2822"/>
      <c r="N365" s="2822"/>
      <c r="O365" s="2822"/>
      <c r="P365" s="2822"/>
      <c r="Q365" s="2822"/>
      <c r="R365" s="2822"/>
      <c r="S365" s="2822"/>
      <c r="T365" s="2822"/>
      <c r="U365" s="2822"/>
      <c r="V365" s="2822"/>
      <c r="W365" s="2822"/>
      <c r="X365" s="2822"/>
      <c r="Y365" s="2822"/>
      <c r="Z365" s="2822"/>
      <c r="AA365" s="2822"/>
      <c r="AB365" s="2822"/>
      <c r="AC365" s="2822"/>
      <c r="AD365" s="2822"/>
      <c r="AE365" s="2822"/>
      <c r="AF365" s="2822"/>
      <c r="AG365" s="2822"/>
      <c r="AH365" s="2822"/>
      <c r="AI365" s="2822"/>
      <c r="AJ365" s="2822"/>
      <c r="AK365" s="2822"/>
      <c r="AL365" s="2822"/>
      <c r="AM365" s="2822"/>
      <c r="AN365" s="2822"/>
      <c r="AO365" s="2822"/>
      <c r="AP365" s="2822"/>
      <c r="AQ365" s="2822"/>
      <c r="AR365" s="2822"/>
      <c r="AS365" s="2822"/>
      <c r="AT365" s="2822"/>
      <c r="AU365" s="2822"/>
      <c r="AV365" s="2822"/>
      <c r="AW365" s="2822"/>
      <c r="AX365" s="2822"/>
      <c r="AY365" s="2822"/>
      <c r="AZ365" s="2822"/>
      <c r="BA365" s="2822"/>
      <c r="BB365" s="2822"/>
      <c r="BC365" s="2822"/>
      <c r="BD365" s="2822"/>
      <c r="BE365" s="2822"/>
      <c r="BF365" s="2822"/>
      <c r="BG365" s="2822"/>
      <c r="BH365" s="2822"/>
      <c r="BI365" s="2822"/>
      <c r="BJ365" s="2822"/>
      <c r="BK365" s="2822"/>
      <c r="BL365" s="2822"/>
      <c r="BM365" s="2822"/>
      <c r="BN365" s="2822"/>
      <c r="BO365" s="2822"/>
      <c r="BP365" s="2822"/>
      <c r="BQ365" s="2822"/>
      <c r="BR365" s="2822"/>
      <c r="BS365" s="2822"/>
      <c r="BT365" s="2822"/>
      <c r="BU365" s="2822"/>
      <c r="BV365" s="2822"/>
      <c r="BW365" s="2822"/>
      <c r="BX365" s="2822"/>
      <c r="BY365" s="2822"/>
      <c r="BZ365" s="2822"/>
      <c r="CA365" s="2822"/>
      <c r="CB365" s="2822"/>
      <c r="CC365" s="2822"/>
      <c r="CD365" s="2822"/>
      <c r="CE365" s="2822"/>
      <c r="CF365" s="2822"/>
      <c r="CG365" s="2822"/>
      <c r="CH365" s="2822"/>
      <c r="CI365" s="2822"/>
      <c r="CJ365" s="2822"/>
      <c r="CK365" s="2822"/>
      <c r="CL365" s="2822"/>
      <c r="CM365" s="2822"/>
      <c r="CN365" s="2822"/>
    </row>
    <row r="366" spans="1:92" x14ac:dyDescent="0.2">
      <c r="A366" s="2822"/>
      <c r="B366" s="2822"/>
      <c r="C366" s="2822"/>
      <c r="D366" s="2822"/>
      <c r="E366" s="2822"/>
      <c r="F366" s="2822"/>
      <c r="G366" s="2822"/>
      <c r="H366" s="2822"/>
      <c r="I366" s="2822"/>
      <c r="J366" s="2822"/>
      <c r="K366" s="2822"/>
      <c r="L366" s="2822"/>
      <c r="M366" s="2822"/>
      <c r="N366" s="2822"/>
      <c r="O366" s="2822"/>
      <c r="P366" s="2822"/>
      <c r="Q366" s="2822"/>
      <c r="R366" s="2822"/>
      <c r="S366" s="2822"/>
      <c r="T366" s="2822"/>
      <c r="U366" s="2822"/>
      <c r="V366" s="2822"/>
      <c r="W366" s="2822"/>
      <c r="X366" s="2822"/>
      <c r="Y366" s="2822"/>
      <c r="Z366" s="2822"/>
      <c r="AA366" s="2822"/>
      <c r="AB366" s="2822"/>
      <c r="AC366" s="2822"/>
      <c r="AD366" s="2822"/>
      <c r="AE366" s="2822"/>
      <c r="AF366" s="2822"/>
      <c r="AG366" s="2822"/>
      <c r="AH366" s="2822"/>
      <c r="AI366" s="2822"/>
      <c r="AJ366" s="2822"/>
      <c r="AK366" s="2822"/>
      <c r="AL366" s="2822"/>
      <c r="AM366" s="2822"/>
      <c r="AN366" s="2822"/>
      <c r="AO366" s="2822"/>
      <c r="AP366" s="2822"/>
      <c r="AQ366" s="2822"/>
      <c r="AR366" s="2822"/>
      <c r="AS366" s="2822"/>
      <c r="AT366" s="2822"/>
      <c r="AU366" s="2822"/>
      <c r="AV366" s="2822"/>
      <c r="AW366" s="2822"/>
      <c r="AX366" s="2822"/>
      <c r="AY366" s="2822"/>
      <c r="AZ366" s="2822"/>
      <c r="BA366" s="2822"/>
      <c r="BB366" s="2822"/>
      <c r="BC366" s="2822"/>
      <c r="BD366" s="2822"/>
      <c r="BE366" s="2822"/>
      <c r="BF366" s="2822"/>
      <c r="BG366" s="2822"/>
      <c r="BH366" s="2822"/>
      <c r="BI366" s="2822"/>
      <c r="BJ366" s="2822"/>
      <c r="BK366" s="2822"/>
      <c r="BL366" s="2822"/>
      <c r="BM366" s="2822"/>
      <c r="BN366" s="2822"/>
      <c r="BO366" s="2822"/>
      <c r="BP366" s="2822"/>
      <c r="BQ366" s="2822"/>
      <c r="BR366" s="2822"/>
      <c r="BS366" s="2822"/>
      <c r="BT366" s="2822"/>
      <c r="BU366" s="2822"/>
      <c r="BV366" s="2822"/>
      <c r="BW366" s="2822"/>
      <c r="BX366" s="2822"/>
      <c r="BY366" s="2822"/>
      <c r="BZ366" s="2822"/>
      <c r="CA366" s="2822"/>
      <c r="CB366" s="2822"/>
      <c r="CC366" s="2822"/>
      <c r="CD366" s="2822"/>
      <c r="CE366" s="2822"/>
      <c r="CF366" s="2822"/>
      <c r="CG366" s="2822"/>
      <c r="CH366" s="2822"/>
      <c r="CI366" s="2822"/>
      <c r="CJ366" s="2822"/>
      <c r="CK366" s="2822"/>
      <c r="CL366" s="2822"/>
      <c r="CM366" s="2822"/>
      <c r="CN366" s="2822"/>
    </row>
    <row r="367" spans="1:92" x14ac:dyDescent="0.2">
      <c r="A367" s="2822"/>
      <c r="B367" s="2822"/>
      <c r="C367" s="2822"/>
      <c r="D367" s="2822"/>
      <c r="E367" s="2822"/>
      <c r="F367" s="2822"/>
      <c r="G367" s="2822"/>
      <c r="H367" s="2822"/>
      <c r="I367" s="2822"/>
      <c r="J367" s="2822"/>
      <c r="K367" s="2822"/>
      <c r="L367" s="2822"/>
      <c r="M367" s="2822"/>
      <c r="N367" s="2822"/>
      <c r="O367" s="2822"/>
      <c r="P367" s="2822"/>
      <c r="Q367" s="2822"/>
      <c r="R367" s="2822"/>
      <c r="S367" s="2822"/>
      <c r="T367" s="2822"/>
      <c r="U367" s="2822"/>
      <c r="V367" s="2822"/>
      <c r="W367" s="2822"/>
      <c r="X367" s="2822"/>
      <c r="Y367" s="2822"/>
      <c r="Z367" s="2822"/>
      <c r="AA367" s="2822"/>
      <c r="AB367" s="2822"/>
      <c r="AC367" s="2822"/>
      <c r="AD367" s="2822"/>
      <c r="AE367" s="2822"/>
      <c r="AF367" s="2822"/>
      <c r="AG367" s="2822"/>
      <c r="AH367" s="2822"/>
      <c r="AI367" s="2822"/>
      <c r="AJ367" s="2822"/>
      <c r="AK367" s="2822"/>
      <c r="AL367" s="2822"/>
      <c r="AM367" s="2822"/>
      <c r="AN367" s="2822"/>
      <c r="AO367" s="2822"/>
      <c r="AP367" s="2822"/>
      <c r="AQ367" s="2822"/>
      <c r="AR367" s="2822"/>
      <c r="AS367" s="2822"/>
      <c r="AT367" s="2822"/>
      <c r="AU367" s="2822"/>
      <c r="AV367" s="2822"/>
      <c r="AW367" s="2822"/>
      <c r="AX367" s="2822"/>
      <c r="AY367" s="2822"/>
      <c r="AZ367" s="2822"/>
      <c r="BA367" s="2822"/>
      <c r="BB367" s="2822"/>
      <c r="BC367" s="2822"/>
      <c r="BD367" s="2822"/>
      <c r="BE367" s="2822"/>
      <c r="BF367" s="2822"/>
      <c r="BG367" s="2822"/>
      <c r="BH367" s="2822"/>
      <c r="BI367" s="2822"/>
      <c r="BJ367" s="2822"/>
      <c r="BK367" s="2822"/>
      <c r="BL367" s="2822"/>
      <c r="BM367" s="2822"/>
      <c r="BN367" s="2822"/>
      <c r="BO367" s="2822"/>
      <c r="BP367" s="2822"/>
      <c r="BQ367" s="2822"/>
      <c r="BR367" s="2822"/>
      <c r="BS367" s="2822"/>
      <c r="BT367" s="2822"/>
      <c r="BU367" s="2822"/>
      <c r="BV367" s="2822"/>
      <c r="BW367" s="2822"/>
      <c r="BX367" s="2822"/>
      <c r="BY367" s="2822"/>
      <c r="BZ367" s="2822"/>
      <c r="CA367" s="2822"/>
      <c r="CB367" s="2822"/>
      <c r="CC367" s="2822"/>
      <c r="CD367" s="2822"/>
      <c r="CE367" s="2822"/>
      <c r="CF367" s="2822"/>
      <c r="CG367" s="2822"/>
      <c r="CH367" s="2822"/>
      <c r="CI367" s="2822"/>
      <c r="CJ367" s="2822"/>
      <c r="CK367" s="2822"/>
      <c r="CL367" s="2822"/>
      <c r="CM367" s="2822"/>
      <c r="CN367" s="2822"/>
    </row>
    <row r="368" spans="1:92" x14ac:dyDescent="0.2">
      <c r="A368" s="2822"/>
      <c r="B368" s="2822"/>
      <c r="C368" s="2822"/>
      <c r="D368" s="2822"/>
      <c r="E368" s="2822"/>
      <c r="F368" s="2822"/>
      <c r="G368" s="2822"/>
      <c r="H368" s="2822"/>
      <c r="I368" s="2822"/>
      <c r="J368" s="2822"/>
      <c r="K368" s="2822"/>
      <c r="L368" s="2822"/>
      <c r="M368" s="2822"/>
      <c r="N368" s="2822"/>
      <c r="O368" s="2822"/>
      <c r="P368" s="2822"/>
      <c r="Q368" s="2822"/>
      <c r="R368" s="2822"/>
      <c r="S368" s="2822"/>
      <c r="T368" s="2822"/>
      <c r="U368" s="2822"/>
      <c r="V368" s="2822"/>
      <c r="W368" s="2822"/>
      <c r="X368" s="2822"/>
      <c r="Y368" s="2822"/>
      <c r="Z368" s="2822"/>
      <c r="AA368" s="2822"/>
      <c r="AB368" s="2822"/>
      <c r="AC368" s="2822"/>
      <c r="AD368" s="2822"/>
      <c r="AE368" s="2822"/>
      <c r="AF368" s="2822"/>
      <c r="AG368" s="2822"/>
      <c r="AH368" s="2822"/>
      <c r="AI368" s="2822"/>
      <c r="AJ368" s="2822"/>
      <c r="AK368" s="2822"/>
      <c r="AL368" s="2822"/>
      <c r="AM368" s="2822"/>
      <c r="AN368" s="2822"/>
      <c r="AO368" s="2822"/>
      <c r="AP368" s="2822"/>
      <c r="AQ368" s="2822"/>
      <c r="AR368" s="2822"/>
      <c r="AS368" s="2822"/>
      <c r="AT368" s="2822"/>
      <c r="AU368" s="2822"/>
      <c r="AV368" s="2822"/>
      <c r="AW368" s="2822"/>
      <c r="AX368" s="2822"/>
      <c r="AY368" s="2822"/>
      <c r="AZ368" s="2822"/>
      <c r="BA368" s="2822"/>
      <c r="BB368" s="2822"/>
      <c r="BC368" s="2822"/>
      <c r="BD368" s="2822"/>
      <c r="BE368" s="2822"/>
      <c r="BF368" s="2822"/>
      <c r="BG368" s="2822"/>
      <c r="BH368" s="2822"/>
      <c r="BI368" s="2822"/>
      <c r="BJ368" s="2822"/>
      <c r="BK368" s="2822"/>
      <c r="BL368" s="2822"/>
      <c r="BM368" s="2822"/>
      <c r="BN368" s="2822"/>
      <c r="BO368" s="2822"/>
      <c r="BP368" s="2822"/>
      <c r="BQ368" s="2822"/>
      <c r="BR368" s="2822"/>
      <c r="BS368" s="2822"/>
      <c r="BT368" s="2822"/>
      <c r="BU368" s="2822"/>
      <c r="BV368" s="2822"/>
      <c r="BW368" s="2822"/>
      <c r="BX368" s="2822"/>
      <c r="BY368" s="2822"/>
      <c r="BZ368" s="2822"/>
      <c r="CA368" s="2822"/>
      <c r="CB368" s="2822"/>
      <c r="CC368" s="2822"/>
      <c r="CD368" s="2822"/>
      <c r="CE368" s="2822"/>
      <c r="CF368" s="2822"/>
      <c r="CG368" s="2822"/>
      <c r="CH368" s="2822"/>
      <c r="CI368" s="2822"/>
      <c r="CJ368" s="2822"/>
      <c r="CK368" s="2822"/>
      <c r="CL368" s="2822"/>
      <c r="CM368" s="2822"/>
      <c r="CN368" s="2822"/>
    </row>
    <row r="369" spans="1:92" x14ac:dyDescent="0.2">
      <c r="A369" s="2822"/>
      <c r="B369" s="2822"/>
      <c r="C369" s="2822"/>
      <c r="D369" s="2822"/>
      <c r="E369" s="2822"/>
      <c r="F369" s="2822"/>
      <c r="G369" s="2822"/>
      <c r="H369" s="2822"/>
      <c r="I369" s="2822"/>
      <c r="J369" s="2822"/>
      <c r="K369" s="2822"/>
      <c r="L369" s="2822"/>
      <c r="M369" s="2822"/>
      <c r="N369" s="2822"/>
      <c r="O369" s="2822"/>
      <c r="P369" s="2822"/>
      <c r="Q369" s="2822"/>
      <c r="R369" s="2822"/>
      <c r="S369" s="2822"/>
      <c r="T369" s="2822"/>
      <c r="U369" s="2822"/>
      <c r="V369" s="2822"/>
      <c r="W369" s="2822"/>
      <c r="X369" s="2822"/>
      <c r="Y369" s="2822"/>
      <c r="Z369" s="2822"/>
      <c r="AA369" s="2822"/>
      <c r="AB369" s="2822"/>
      <c r="AC369" s="2822"/>
      <c r="AD369" s="2822"/>
      <c r="AE369" s="2822"/>
      <c r="AF369" s="2822"/>
      <c r="AG369" s="2822"/>
      <c r="AH369" s="2822"/>
      <c r="AI369" s="2822"/>
      <c r="AJ369" s="2822"/>
      <c r="AK369" s="2822"/>
      <c r="AL369" s="2822"/>
      <c r="AM369" s="2822"/>
      <c r="AN369" s="2822"/>
      <c r="AO369" s="2822"/>
      <c r="AP369" s="2822"/>
      <c r="AQ369" s="2822"/>
      <c r="AR369" s="2822"/>
      <c r="AS369" s="2822"/>
      <c r="AT369" s="2822"/>
      <c r="AU369" s="2822"/>
      <c r="AV369" s="2822"/>
      <c r="AW369" s="2822"/>
      <c r="AX369" s="2822"/>
      <c r="AY369" s="2822"/>
      <c r="AZ369" s="2822"/>
      <c r="BA369" s="2822"/>
      <c r="BB369" s="2822"/>
      <c r="BC369" s="2822"/>
      <c r="BD369" s="2822"/>
      <c r="BE369" s="2822"/>
      <c r="BF369" s="2822"/>
      <c r="BG369" s="2822"/>
      <c r="BH369" s="2822"/>
      <c r="BI369" s="2822"/>
      <c r="BJ369" s="2822"/>
      <c r="BK369" s="2822"/>
      <c r="BL369" s="2822"/>
      <c r="BM369" s="2822"/>
      <c r="BN369" s="2822"/>
      <c r="BO369" s="2822"/>
      <c r="BP369" s="2822"/>
      <c r="BQ369" s="2822"/>
      <c r="BR369" s="2822"/>
      <c r="BS369" s="2822"/>
      <c r="BT369" s="2822"/>
      <c r="BU369" s="2822"/>
      <c r="BV369" s="2822"/>
      <c r="BW369" s="2822"/>
      <c r="BX369" s="2822"/>
      <c r="BY369" s="2822"/>
      <c r="BZ369" s="2822"/>
      <c r="CA369" s="2822"/>
      <c r="CB369" s="2822"/>
      <c r="CC369" s="2822"/>
      <c r="CD369" s="2822"/>
      <c r="CE369" s="2822"/>
      <c r="CF369" s="2822"/>
      <c r="CG369" s="2822"/>
      <c r="CH369" s="2822"/>
      <c r="CI369" s="2822"/>
      <c r="CJ369" s="2822"/>
      <c r="CK369" s="2822"/>
      <c r="CL369" s="2822"/>
      <c r="CM369" s="2822"/>
      <c r="CN369" s="2822"/>
    </row>
    <row r="370" spans="1:92" x14ac:dyDescent="0.2">
      <c r="A370" s="2822"/>
      <c r="B370" s="2822"/>
      <c r="C370" s="2822"/>
      <c r="D370" s="2822"/>
      <c r="E370" s="2822"/>
      <c r="F370" s="2822"/>
      <c r="G370" s="2822"/>
      <c r="H370" s="2822"/>
      <c r="I370" s="2822"/>
      <c r="J370" s="2822"/>
      <c r="K370" s="2822"/>
      <c r="L370" s="2822"/>
      <c r="M370" s="2822"/>
      <c r="N370" s="2822"/>
      <c r="O370" s="2822"/>
      <c r="P370" s="2822"/>
      <c r="Q370" s="2822"/>
      <c r="R370" s="2822"/>
      <c r="S370" s="2822"/>
      <c r="T370" s="2822"/>
      <c r="U370" s="2822"/>
      <c r="V370" s="2822"/>
      <c r="W370" s="2822"/>
      <c r="X370" s="2822"/>
      <c r="Y370" s="2822"/>
      <c r="Z370" s="2822"/>
      <c r="AA370" s="2822"/>
      <c r="AB370" s="2822"/>
      <c r="AC370" s="2822"/>
      <c r="AD370" s="2822"/>
      <c r="AE370" s="2822"/>
      <c r="AF370" s="2822"/>
      <c r="AG370" s="2822"/>
      <c r="AH370" s="2822"/>
      <c r="AI370" s="2822"/>
      <c r="AJ370" s="2822"/>
      <c r="AK370" s="2822"/>
      <c r="AL370" s="2822"/>
      <c r="AM370" s="2822"/>
      <c r="AN370" s="2822"/>
      <c r="AO370" s="2822"/>
      <c r="AP370" s="2822"/>
      <c r="AQ370" s="2822"/>
      <c r="AR370" s="2822"/>
      <c r="AS370" s="2822"/>
      <c r="AT370" s="2822"/>
      <c r="AU370" s="2822"/>
      <c r="AV370" s="2822"/>
      <c r="AW370" s="2822"/>
      <c r="AX370" s="2822"/>
      <c r="AY370" s="2822"/>
      <c r="AZ370" s="2822"/>
      <c r="BA370" s="2822"/>
      <c r="BB370" s="2822"/>
      <c r="BC370" s="2822"/>
      <c r="BD370" s="2822"/>
      <c r="BE370" s="2822"/>
      <c r="BF370" s="2822"/>
      <c r="BG370" s="2822"/>
      <c r="BH370" s="2822"/>
      <c r="BI370" s="2822"/>
      <c r="BJ370" s="2822"/>
      <c r="BK370" s="2822"/>
      <c r="BL370" s="2822"/>
      <c r="BM370" s="2822"/>
      <c r="BN370" s="2822"/>
      <c r="BO370" s="2822"/>
      <c r="BP370" s="2822"/>
      <c r="BQ370" s="2822"/>
      <c r="BR370" s="2822"/>
      <c r="BS370" s="2822"/>
      <c r="BT370" s="2822"/>
      <c r="BU370" s="2822"/>
      <c r="BV370" s="2822"/>
      <c r="BW370" s="2822"/>
      <c r="BX370" s="2822"/>
      <c r="BY370" s="2822"/>
      <c r="BZ370" s="2822"/>
      <c r="CA370" s="2822"/>
      <c r="CB370" s="2822"/>
      <c r="CC370" s="2822"/>
      <c r="CD370" s="2822"/>
      <c r="CE370" s="2822"/>
      <c r="CF370" s="2822"/>
      <c r="CG370" s="2822"/>
      <c r="CH370" s="2822"/>
      <c r="CI370" s="2822"/>
      <c r="CJ370" s="2822"/>
      <c r="CK370" s="2822"/>
      <c r="CL370" s="2822"/>
      <c r="CM370" s="2822"/>
      <c r="CN370" s="2822"/>
    </row>
    <row r="371" spans="1:92" x14ac:dyDescent="0.2">
      <c r="A371" s="2822"/>
      <c r="B371" s="2822"/>
      <c r="C371" s="2822"/>
      <c r="D371" s="2822"/>
      <c r="E371" s="2822"/>
      <c r="F371" s="2822"/>
      <c r="G371" s="2822"/>
      <c r="H371" s="2822"/>
      <c r="I371" s="2822"/>
      <c r="J371" s="2822"/>
      <c r="K371" s="2822"/>
      <c r="L371" s="2822"/>
      <c r="M371" s="2822"/>
      <c r="N371" s="2822"/>
      <c r="O371" s="2822"/>
      <c r="P371" s="2822"/>
      <c r="Q371" s="2822"/>
      <c r="R371" s="2822"/>
      <c r="S371" s="2822"/>
      <c r="T371" s="2822"/>
      <c r="U371" s="2822"/>
      <c r="V371" s="2822"/>
      <c r="W371" s="2822"/>
      <c r="X371" s="2822"/>
      <c r="Y371" s="2822"/>
      <c r="Z371" s="2822"/>
      <c r="AA371" s="2822"/>
      <c r="AB371" s="2822"/>
      <c r="AC371" s="2822"/>
      <c r="AD371" s="2822"/>
      <c r="AE371" s="2822"/>
      <c r="AF371" s="2822"/>
      <c r="AG371" s="2822"/>
      <c r="AH371" s="2822"/>
      <c r="AI371" s="2822"/>
      <c r="AJ371" s="2822"/>
      <c r="AK371" s="2822"/>
      <c r="AL371" s="2822"/>
      <c r="AM371" s="2822"/>
      <c r="AN371" s="2822"/>
      <c r="AO371" s="2822"/>
      <c r="AP371" s="2822"/>
      <c r="AQ371" s="2822"/>
      <c r="AR371" s="2822"/>
      <c r="AS371" s="2822"/>
      <c r="AT371" s="2822"/>
      <c r="AU371" s="2822"/>
      <c r="AV371" s="2822"/>
      <c r="AW371" s="2822"/>
      <c r="AX371" s="2822"/>
      <c r="AY371" s="2822"/>
      <c r="AZ371" s="2822"/>
      <c r="BA371" s="2822"/>
      <c r="BB371" s="2822"/>
      <c r="BC371" s="2822"/>
      <c r="BD371" s="2822"/>
      <c r="BE371" s="2822"/>
      <c r="BF371" s="2822"/>
      <c r="BG371" s="2822"/>
      <c r="BH371" s="2822"/>
      <c r="BI371" s="2822"/>
      <c r="BJ371" s="2822"/>
      <c r="BK371" s="2822"/>
      <c r="BL371" s="2822"/>
      <c r="BM371" s="2822"/>
      <c r="BN371" s="2822"/>
      <c r="BO371" s="2822"/>
      <c r="BP371" s="2822"/>
      <c r="BQ371" s="2822"/>
      <c r="BR371" s="2822"/>
      <c r="BS371" s="2822"/>
      <c r="BT371" s="2822"/>
      <c r="BU371" s="2822"/>
      <c r="BV371" s="2822"/>
      <c r="BW371" s="2822"/>
      <c r="BX371" s="2822"/>
      <c r="BY371" s="2822"/>
      <c r="BZ371" s="2822"/>
      <c r="CA371" s="2822"/>
      <c r="CB371" s="2822"/>
      <c r="CC371" s="2822"/>
      <c r="CD371" s="2822"/>
      <c r="CE371" s="2822"/>
      <c r="CF371" s="2822"/>
      <c r="CG371" s="2822"/>
      <c r="CH371" s="2822"/>
      <c r="CI371" s="2822"/>
      <c r="CJ371" s="2822"/>
      <c r="CK371" s="2822"/>
      <c r="CL371" s="2822"/>
      <c r="CM371" s="2822"/>
      <c r="CN371" s="2822"/>
    </row>
    <row r="372" spans="1:92" x14ac:dyDescent="0.2">
      <c r="A372" s="2822"/>
      <c r="B372" s="2822"/>
      <c r="C372" s="2822"/>
      <c r="D372" s="2822"/>
      <c r="E372" s="2822"/>
      <c r="F372" s="2822"/>
      <c r="G372" s="2822"/>
      <c r="H372" s="2822"/>
      <c r="I372" s="2822"/>
      <c r="J372" s="2822"/>
      <c r="K372" s="2822"/>
      <c r="L372" s="2822"/>
      <c r="M372" s="2822"/>
      <c r="N372" s="2822"/>
      <c r="O372" s="2822"/>
      <c r="P372" s="2822"/>
      <c r="Q372" s="2822"/>
      <c r="R372" s="2822"/>
      <c r="S372" s="2822"/>
      <c r="T372" s="2822"/>
      <c r="U372" s="2822"/>
      <c r="V372" s="2822"/>
      <c r="W372" s="2822"/>
      <c r="X372" s="2822"/>
      <c r="Y372" s="2822"/>
      <c r="Z372" s="2822"/>
      <c r="AA372" s="2822"/>
      <c r="AB372" s="2822"/>
      <c r="AC372" s="2822"/>
      <c r="AD372" s="2822"/>
      <c r="AE372" s="2822"/>
      <c r="AF372" s="2822"/>
      <c r="AG372" s="2822"/>
      <c r="AH372" s="2822"/>
      <c r="AI372" s="2822"/>
      <c r="AJ372" s="2822"/>
      <c r="AK372" s="2822"/>
      <c r="AL372" s="2822"/>
      <c r="AM372" s="2822"/>
      <c r="AN372" s="2822"/>
      <c r="AO372" s="2822"/>
      <c r="AP372" s="2822"/>
      <c r="AQ372" s="2822"/>
      <c r="AR372" s="2822"/>
      <c r="AS372" s="2822"/>
      <c r="AT372" s="2822"/>
      <c r="AU372" s="2822"/>
      <c r="AV372" s="2822"/>
      <c r="AW372" s="2822"/>
      <c r="AX372" s="2822"/>
      <c r="AY372" s="2822"/>
      <c r="AZ372" s="2822"/>
      <c r="BA372" s="2822"/>
      <c r="BB372" s="2822"/>
      <c r="BC372" s="2822"/>
      <c r="BD372" s="2822"/>
      <c r="BE372" s="2822"/>
      <c r="BF372" s="2822"/>
      <c r="BG372" s="2822"/>
      <c r="BH372" s="2822"/>
      <c r="BI372" s="2822"/>
      <c r="BJ372" s="2822"/>
      <c r="BK372" s="2822"/>
      <c r="BL372" s="2822"/>
      <c r="BM372" s="2822"/>
      <c r="BN372" s="2822"/>
      <c r="BO372" s="2822"/>
      <c r="BP372" s="2822"/>
      <c r="BQ372" s="2822"/>
      <c r="BR372" s="2822"/>
      <c r="BS372" s="2822"/>
      <c r="BT372" s="2822"/>
      <c r="BU372" s="2822"/>
      <c r="BV372" s="2822"/>
      <c r="BW372" s="2822"/>
      <c r="BX372" s="2822"/>
      <c r="BY372" s="2822"/>
      <c r="BZ372" s="2822"/>
      <c r="CA372" s="2822"/>
      <c r="CB372" s="2822"/>
      <c r="CC372" s="2822"/>
      <c r="CD372" s="2822"/>
      <c r="CE372" s="2822"/>
      <c r="CF372" s="2822"/>
      <c r="CG372" s="2822"/>
      <c r="CH372" s="2822"/>
      <c r="CI372" s="2822"/>
      <c r="CJ372" s="2822"/>
      <c r="CK372" s="2822"/>
      <c r="CL372" s="2822"/>
      <c r="CM372" s="2822"/>
      <c r="CN372" s="2822"/>
    </row>
    <row r="373" spans="1:92" x14ac:dyDescent="0.2">
      <c r="A373" s="2822"/>
      <c r="B373" s="2822"/>
      <c r="C373" s="2822"/>
      <c r="D373" s="2822"/>
      <c r="E373" s="2822"/>
      <c r="F373" s="2822"/>
      <c r="G373" s="2822"/>
      <c r="H373" s="2822"/>
      <c r="I373" s="2822"/>
      <c r="J373" s="2822"/>
      <c r="K373" s="2822"/>
      <c r="L373" s="2822"/>
      <c r="M373" s="2822"/>
      <c r="N373" s="2822"/>
      <c r="O373" s="2822"/>
      <c r="P373" s="2822"/>
      <c r="Q373" s="2822"/>
      <c r="R373" s="2822"/>
      <c r="S373" s="2822"/>
      <c r="T373" s="2822"/>
      <c r="U373" s="2822"/>
      <c r="V373" s="2822"/>
      <c r="W373" s="2822"/>
      <c r="X373" s="2822"/>
      <c r="Y373" s="2822"/>
      <c r="Z373" s="2822"/>
      <c r="AA373" s="2822"/>
      <c r="AB373" s="2822"/>
      <c r="AC373" s="2822"/>
      <c r="AD373" s="2822"/>
      <c r="AE373" s="2822"/>
      <c r="AF373" s="2822"/>
      <c r="AG373" s="2822"/>
      <c r="AH373" s="2822"/>
      <c r="AI373" s="2822"/>
      <c r="AJ373" s="2822"/>
      <c r="AK373" s="2822"/>
      <c r="AL373" s="2822"/>
      <c r="AM373" s="2822"/>
      <c r="AN373" s="2822"/>
      <c r="AO373" s="2822"/>
      <c r="AP373" s="2822"/>
      <c r="AQ373" s="2822"/>
      <c r="AR373" s="2822"/>
      <c r="AS373" s="2822"/>
      <c r="AT373" s="2822"/>
      <c r="AU373" s="2822"/>
      <c r="AV373" s="2822"/>
      <c r="AW373" s="2822"/>
      <c r="AX373" s="2822"/>
      <c r="AY373" s="2822"/>
      <c r="AZ373" s="2822"/>
      <c r="BA373" s="2822"/>
      <c r="BB373" s="2822"/>
      <c r="BC373" s="2822"/>
      <c r="BD373" s="2822"/>
      <c r="BE373" s="2822"/>
      <c r="BF373" s="2822"/>
      <c r="BG373" s="2822"/>
      <c r="BH373" s="2822"/>
      <c r="BI373" s="2822"/>
      <c r="BJ373" s="2822"/>
      <c r="BK373" s="2822"/>
      <c r="BL373" s="2822"/>
      <c r="BM373" s="2822"/>
      <c r="BN373" s="2822"/>
      <c r="BO373" s="2822"/>
      <c r="BP373" s="2822"/>
      <c r="BQ373" s="2822"/>
      <c r="BR373" s="2822"/>
      <c r="BS373" s="2822"/>
      <c r="BT373" s="2822"/>
      <c r="BU373" s="2822"/>
      <c r="BV373" s="2822"/>
      <c r="BW373" s="2822"/>
      <c r="BX373" s="2822"/>
      <c r="BY373" s="2822"/>
      <c r="BZ373" s="2822"/>
      <c r="CA373" s="2822"/>
      <c r="CB373" s="2822"/>
      <c r="CC373" s="2822"/>
      <c r="CD373" s="2822"/>
      <c r="CE373" s="2822"/>
      <c r="CF373" s="2822"/>
      <c r="CG373" s="2822"/>
      <c r="CH373" s="2822"/>
      <c r="CI373" s="2822"/>
      <c r="CJ373" s="2822"/>
      <c r="CK373" s="2822"/>
      <c r="CL373" s="2822"/>
      <c r="CM373" s="2822"/>
      <c r="CN373" s="2822"/>
    </row>
    <row r="374" spans="1:92" x14ac:dyDescent="0.2">
      <c r="A374" s="2822"/>
      <c r="B374" s="2822"/>
      <c r="C374" s="2822"/>
      <c r="D374" s="2822"/>
      <c r="E374" s="2822"/>
      <c r="F374" s="2822"/>
      <c r="G374" s="2822"/>
      <c r="H374" s="2822"/>
      <c r="I374" s="2822"/>
      <c r="J374" s="2822"/>
      <c r="K374" s="2822"/>
      <c r="L374" s="2822"/>
      <c r="M374" s="2822"/>
      <c r="N374" s="2822"/>
      <c r="O374" s="2822"/>
      <c r="P374" s="2822"/>
      <c r="Q374" s="2822"/>
      <c r="R374" s="2822"/>
      <c r="S374" s="2822"/>
      <c r="T374" s="2822"/>
      <c r="U374" s="2822"/>
      <c r="V374" s="2822"/>
      <c r="W374" s="2822"/>
      <c r="X374" s="2822"/>
      <c r="Y374" s="2822"/>
      <c r="Z374" s="2822"/>
      <c r="AA374" s="2822"/>
      <c r="AB374" s="2822"/>
      <c r="AC374" s="2822"/>
      <c r="AD374" s="2822"/>
      <c r="AE374" s="2822"/>
      <c r="AF374" s="2822"/>
      <c r="AG374" s="2822"/>
      <c r="AH374" s="2822"/>
      <c r="AI374" s="2822"/>
      <c r="AJ374" s="2822"/>
      <c r="AK374" s="2822"/>
      <c r="AL374" s="2822"/>
      <c r="AM374" s="2822"/>
      <c r="AN374" s="2822"/>
      <c r="AO374" s="2822"/>
      <c r="AP374" s="2822"/>
      <c r="AQ374" s="2822"/>
      <c r="AR374" s="2822"/>
      <c r="AS374" s="2822"/>
      <c r="AT374" s="2822"/>
      <c r="AU374" s="2822"/>
      <c r="AV374" s="2822"/>
      <c r="AW374" s="2822"/>
      <c r="AX374" s="2822"/>
      <c r="AY374" s="2822"/>
      <c r="AZ374" s="2822"/>
      <c r="BA374" s="2822"/>
      <c r="BB374" s="2822"/>
      <c r="BC374" s="2822"/>
      <c r="BD374" s="2822"/>
      <c r="BE374" s="2822"/>
      <c r="BF374" s="2822"/>
      <c r="BG374" s="2822"/>
      <c r="BH374" s="2822"/>
      <c r="BI374" s="2822"/>
      <c r="BJ374" s="2822"/>
      <c r="BK374" s="2822"/>
      <c r="BL374" s="2822"/>
      <c r="BM374" s="2822"/>
      <c r="BN374" s="2822"/>
      <c r="BO374" s="2822"/>
      <c r="BP374" s="2822"/>
      <c r="BQ374" s="2822"/>
      <c r="BR374" s="2822"/>
      <c r="BS374" s="2822"/>
      <c r="BT374" s="2822"/>
      <c r="BU374" s="2822"/>
      <c r="BV374" s="2822"/>
      <c r="BW374" s="2822"/>
      <c r="BX374" s="2822"/>
      <c r="BY374" s="2822"/>
      <c r="BZ374" s="2822"/>
      <c r="CA374" s="2822"/>
      <c r="CB374" s="2822"/>
      <c r="CC374" s="2822"/>
      <c r="CD374" s="2822"/>
      <c r="CE374" s="2822"/>
      <c r="CF374" s="2822"/>
      <c r="CG374" s="2822"/>
      <c r="CH374" s="2822"/>
      <c r="CI374" s="2822"/>
      <c r="CJ374" s="2822"/>
      <c r="CK374" s="2822"/>
      <c r="CL374" s="2822"/>
      <c r="CM374" s="2822"/>
      <c r="CN374" s="2822"/>
    </row>
    <row r="375" spans="1:92" x14ac:dyDescent="0.2">
      <c r="A375" s="2822"/>
      <c r="B375" s="2822"/>
      <c r="C375" s="2822"/>
      <c r="D375" s="2822"/>
      <c r="E375" s="2822"/>
      <c r="F375" s="2822"/>
      <c r="G375" s="2822"/>
      <c r="H375" s="2822"/>
      <c r="I375" s="2822"/>
      <c r="J375" s="2822"/>
      <c r="K375" s="2822"/>
      <c r="L375" s="2822"/>
      <c r="M375" s="2822"/>
      <c r="N375" s="2822"/>
      <c r="O375" s="2822"/>
      <c r="P375" s="2822"/>
      <c r="Q375" s="2822"/>
      <c r="R375" s="2822"/>
      <c r="S375" s="2822"/>
      <c r="T375" s="2822"/>
      <c r="U375" s="2822"/>
      <c r="V375" s="2822"/>
      <c r="W375" s="2822"/>
      <c r="X375" s="2822"/>
      <c r="Y375" s="2822"/>
      <c r="Z375" s="2822"/>
      <c r="AA375" s="2822"/>
      <c r="AB375" s="2822"/>
      <c r="AC375" s="2822"/>
      <c r="AD375" s="2822"/>
      <c r="AE375" s="2822"/>
      <c r="AF375" s="2822"/>
      <c r="AG375" s="2822"/>
      <c r="AH375" s="2822"/>
      <c r="AI375" s="2822"/>
      <c r="AJ375" s="2822"/>
      <c r="AK375" s="2822"/>
      <c r="AL375" s="2822"/>
      <c r="AM375" s="2822"/>
      <c r="AN375" s="2822"/>
      <c r="AO375" s="2822"/>
      <c r="AP375" s="2822"/>
      <c r="AQ375" s="2822"/>
      <c r="AR375" s="2822"/>
      <c r="AS375" s="2822"/>
      <c r="AT375" s="2822"/>
      <c r="AU375" s="2822"/>
      <c r="AV375" s="2822"/>
      <c r="AW375" s="2822"/>
      <c r="AX375" s="2822"/>
      <c r="AY375" s="2822"/>
      <c r="AZ375" s="2822"/>
      <c r="BA375" s="2822"/>
      <c r="BB375" s="2822"/>
      <c r="BC375" s="2822"/>
      <c r="BD375" s="2822"/>
      <c r="BE375" s="2822"/>
      <c r="BF375" s="2822"/>
      <c r="BG375" s="2822"/>
      <c r="BH375" s="2822"/>
      <c r="BI375" s="2822"/>
      <c r="BJ375" s="2822"/>
      <c r="BK375" s="2822"/>
      <c r="BL375" s="2822"/>
      <c r="BM375" s="2822"/>
      <c r="BN375" s="2822"/>
      <c r="BO375" s="2822"/>
      <c r="BP375" s="2822"/>
      <c r="BQ375" s="2822"/>
      <c r="BR375" s="2822"/>
      <c r="BS375" s="2822"/>
      <c r="BT375" s="2822"/>
      <c r="BU375" s="2822"/>
      <c r="BV375" s="2822"/>
      <c r="BW375" s="2822"/>
      <c r="BX375" s="2822"/>
      <c r="BY375" s="2822"/>
      <c r="BZ375" s="2822"/>
      <c r="CA375" s="2822"/>
      <c r="CB375" s="2822"/>
      <c r="CC375" s="2822"/>
      <c r="CD375" s="2822"/>
      <c r="CE375" s="2822"/>
      <c r="CF375" s="2822"/>
      <c r="CG375" s="2822"/>
      <c r="CH375" s="2822"/>
      <c r="CI375" s="2822"/>
      <c r="CJ375" s="2822"/>
      <c r="CK375" s="2822"/>
      <c r="CL375" s="2822"/>
      <c r="CM375" s="2822"/>
      <c r="CN375" s="2822"/>
    </row>
    <row r="376" spans="1:92" x14ac:dyDescent="0.2">
      <c r="A376" s="2822"/>
      <c r="B376" s="2822"/>
      <c r="C376" s="2822"/>
      <c r="D376" s="2822"/>
      <c r="E376" s="2822"/>
      <c r="F376" s="2822"/>
      <c r="G376" s="2822"/>
      <c r="H376" s="2822"/>
      <c r="I376" s="2822"/>
      <c r="J376" s="2822"/>
      <c r="K376" s="2822"/>
      <c r="L376" s="2822"/>
      <c r="M376" s="2822"/>
      <c r="N376" s="2822"/>
      <c r="O376" s="2822"/>
      <c r="P376" s="2822"/>
      <c r="Q376" s="2822"/>
      <c r="R376" s="2822"/>
      <c r="S376" s="2822"/>
      <c r="T376" s="2822"/>
      <c r="U376" s="2822"/>
      <c r="V376" s="2822"/>
      <c r="W376" s="2822"/>
      <c r="X376" s="2822"/>
      <c r="Y376" s="2822"/>
      <c r="Z376" s="2822"/>
      <c r="AA376" s="2822"/>
      <c r="AB376" s="2822"/>
      <c r="AC376" s="2822"/>
      <c r="AD376" s="2822"/>
      <c r="AE376" s="2822"/>
      <c r="AF376" s="2822"/>
      <c r="AG376" s="2822"/>
      <c r="AH376" s="2822"/>
      <c r="AI376" s="2822"/>
      <c r="AJ376" s="2822"/>
      <c r="AK376" s="2822"/>
      <c r="AL376" s="2822"/>
      <c r="AM376" s="2822"/>
      <c r="AN376" s="2822"/>
      <c r="AO376" s="2822"/>
      <c r="AP376" s="2822"/>
      <c r="AQ376" s="2822"/>
      <c r="AR376" s="2822"/>
      <c r="AS376" s="2822"/>
      <c r="AT376" s="2822"/>
      <c r="AU376" s="2822"/>
      <c r="AV376" s="2822"/>
      <c r="AW376" s="2822"/>
      <c r="AX376" s="2822"/>
      <c r="AY376" s="2822"/>
      <c r="AZ376" s="2822"/>
      <c r="BA376" s="2822"/>
      <c r="BB376" s="2822"/>
      <c r="BC376" s="2822"/>
      <c r="BD376" s="2822"/>
      <c r="BE376" s="2822"/>
      <c r="BF376" s="2822"/>
      <c r="BG376" s="2822"/>
      <c r="BH376" s="2822"/>
      <c r="BI376" s="2822"/>
      <c r="BJ376" s="2822"/>
      <c r="BK376" s="2822"/>
      <c r="BL376" s="2822"/>
      <c r="BM376" s="2822"/>
      <c r="BN376" s="2822"/>
      <c r="BO376" s="2822"/>
      <c r="BP376" s="2822"/>
      <c r="BQ376" s="2822"/>
      <c r="BR376" s="2822"/>
      <c r="BS376" s="2822"/>
      <c r="BT376" s="2822"/>
      <c r="BU376" s="2822"/>
      <c r="BV376" s="2822"/>
      <c r="BW376" s="2822"/>
      <c r="BX376" s="2822"/>
      <c r="BY376" s="2822"/>
      <c r="BZ376" s="2822"/>
      <c r="CA376" s="2822"/>
      <c r="CB376" s="2822"/>
      <c r="CC376" s="2822"/>
      <c r="CD376" s="2822"/>
      <c r="CE376" s="2822"/>
      <c r="CF376" s="2822"/>
      <c r="CG376" s="2822"/>
      <c r="CH376" s="2822"/>
      <c r="CI376" s="2822"/>
      <c r="CJ376" s="2822"/>
      <c r="CK376" s="2822"/>
      <c r="CL376" s="2822"/>
      <c r="CM376" s="2822"/>
      <c r="CN376" s="2822"/>
    </row>
    <row r="377" spans="1:92" x14ac:dyDescent="0.2">
      <c r="A377" s="2822"/>
      <c r="B377" s="2822"/>
      <c r="C377" s="2822"/>
      <c r="D377" s="2822"/>
      <c r="E377" s="2822"/>
      <c r="F377" s="2822"/>
      <c r="G377" s="2822"/>
      <c r="H377" s="2822"/>
      <c r="I377" s="2822"/>
      <c r="J377" s="2822"/>
      <c r="K377" s="2822"/>
      <c r="L377" s="2822"/>
      <c r="M377" s="2822"/>
      <c r="N377" s="2822"/>
      <c r="O377" s="2822"/>
      <c r="P377" s="2822"/>
      <c r="Q377" s="2822"/>
      <c r="R377" s="2822"/>
      <c r="S377" s="2822"/>
      <c r="T377" s="2822"/>
      <c r="U377" s="2822"/>
      <c r="V377" s="2822"/>
      <c r="W377" s="2822"/>
      <c r="X377" s="2822"/>
      <c r="Y377" s="2822"/>
      <c r="Z377" s="2822"/>
      <c r="AA377" s="2822"/>
      <c r="AB377" s="2822"/>
      <c r="AC377" s="2822"/>
      <c r="AD377" s="2822"/>
      <c r="AE377" s="2822"/>
      <c r="AF377" s="2822"/>
      <c r="AG377" s="2822"/>
      <c r="AH377" s="2822"/>
      <c r="AI377" s="2822"/>
      <c r="AJ377" s="2822"/>
      <c r="AK377" s="2822"/>
      <c r="AL377" s="2822"/>
      <c r="AM377" s="2822"/>
      <c r="AN377" s="2822"/>
      <c r="AO377" s="2822"/>
      <c r="AP377" s="2822"/>
      <c r="AQ377" s="2822"/>
      <c r="AR377" s="2822"/>
      <c r="AS377" s="2822"/>
      <c r="AT377" s="2822"/>
      <c r="AU377" s="2822"/>
      <c r="AV377" s="2822"/>
      <c r="AW377" s="2822"/>
      <c r="AX377" s="2822"/>
      <c r="AY377" s="2822"/>
      <c r="AZ377" s="2822"/>
      <c r="BA377" s="2822"/>
      <c r="BB377" s="2822"/>
      <c r="BC377" s="2822"/>
      <c r="BD377" s="2822"/>
      <c r="BE377" s="2822"/>
      <c r="BF377" s="2822"/>
      <c r="BG377" s="2822"/>
      <c r="BH377" s="2822"/>
      <c r="BI377" s="2822"/>
      <c r="BJ377" s="2822"/>
      <c r="BK377" s="2822"/>
      <c r="BL377" s="2822"/>
      <c r="BM377" s="2822"/>
      <c r="BN377" s="2822"/>
      <c r="BO377" s="2822"/>
      <c r="BP377" s="2822"/>
      <c r="BQ377" s="2822"/>
      <c r="BR377" s="2822"/>
      <c r="BS377" s="2822"/>
      <c r="BT377" s="2822"/>
      <c r="BU377" s="2822"/>
      <c r="BV377" s="2822"/>
      <c r="BW377" s="2822"/>
      <c r="BX377" s="2822"/>
      <c r="BY377" s="2822"/>
      <c r="BZ377" s="2822"/>
      <c r="CA377" s="2822"/>
      <c r="CB377" s="2822"/>
      <c r="CC377" s="2822"/>
      <c r="CD377" s="2822"/>
      <c r="CE377" s="2822"/>
      <c r="CF377" s="2822"/>
      <c r="CG377" s="2822"/>
      <c r="CH377" s="2822"/>
      <c r="CI377" s="2822"/>
      <c r="CJ377" s="2822"/>
      <c r="CK377" s="2822"/>
      <c r="CL377" s="2822"/>
      <c r="CM377" s="2822"/>
      <c r="CN377" s="2822"/>
    </row>
    <row r="378" spans="1:92" x14ac:dyDescent="0.2">
      <c r="A378" s="2822"/>
      <c r="B378" s="2822"/>
      <c r="C378" s="2822"/>
      <c r="D378" s="2822"/>
      <c r="E378" s="2822"/>
      <c r="F378" s="2822"/>
      <c r="G378" s="2822"/>
      <c r="H378" s="2822"/>
      <c r="I378" s="2822"/>
      <c r="J378" s="2822"/>
      <c r="K378" s="2822"/>
      <c r="L378" s="2822"/>
      <c r="M378" s="2822"/>
      <c r="N378" s="2822"/>
      <c r="O378" s="2822"/>
      <c r="P378" s="2822"/>
      <c r="Q378" s="2822"/>
      <c r="R378" s="2822"/>
      <c r="S378" s="2822"/>
      <c r="T378" s="2822"/>
      <c r="U378" s="2822"/>
      <c r="V378" s="2822"/>
      <c r="W378" s="2822"/>
      <c r="X378" s="2822"/>
      <c r="Y378" s="2822"/>
      <c r="Z378" s="2822"/>
      <c r="AA378" s="2822"/>
      <c r="AB378" s="2822"/>
      <c r="AC378" s="2822"/>
      <c r="AD378" s="2822"/>
      <c r="AE378" s="2822"/>
      <c r="AF378" s="2822"/>
      <c r="AG378" s="2822"/>
      <c r="AH378" s="2822"/>
      <c r="AI378" s="2822"/>
      <c r="AJ378" s="2822"/>
      <c r="AK378" s="2822"/>
      <c r="AL378" s="2822"/>
      <c r="AM378" s="2822"/>
      <c r="AN378" s="2822"/>
      <c r="AO378" s="2822"/>
      <c r="AP378" s="2822"/>
      <c r="AQ378" s="2822"/>
      <c r="AR378" s="2822"/>
      <c r="AS378" s="2822"/>
      <c r="AT378" s="2822"/>
      <c r="AU378" s="2822"/>
      <c r="AV378" s="2822"/>
      <c r="AW378" s="2822"/>
      <c r="AX378" s="2822"/>
      <c r="AY378" s="2822"/>
      <c r="AZ378" s="2822"/>
      <c r="BA378" s="2822"/>
      <c r="BB378" s="2822"/>
      <c r="BC378" s="2822"/>
      <c r="BD378" s="2822"/>
      <c r="BE378" s="2822"/>
      <c r="BF378" s="2822"/>
      <c r="BG378" s="2822"/>
      <c r="BH378" s="2822"/>
      <c r="BI378" s="2822"/>
      <c r="BJ378" s="2822"/>
      <c r="BK378" s="2822"/>
      <c r="BL378" s="2822"/>
      <c r="BM378" s="2822"/>
      <c r="BN378" s="2822"/>
      <c r="BO378" s="2822"/>
      <c r="BP378" s="2822"/>
      <c r="BQ378" s="2822"/>
      <c r="BR378" s="2822"/>
      <c r="BS378" s="2822"/>
      <c r="BT378" s="2822"/>
      <c r="BU378" s="2822"/>
      <c r="BV378" s="2822"/>
      <c r="BW378" s="2822"/>
      <c r="BX378" s="2822"/>
      <c r="BY378" s="2822"/>
      <c r="BZ378" s="2822"/>
      <c r="CA378" s="2822"/>
      <c r="CB378" s="2822"/>
      <c r="CC378" s="2822"/>
      <c r="CD378" s="2822"/>
      <c r="CE378" s="2822"/>
      <c r="CF378" s="2822"/>
      <c r="CG378" s="2822"/>
      <c r="CH378" s="2822"/>
      <c r="CI378" s="2822"/>
      <c r="CJ378" s="2822"/>
      <c r="CK378" s="2822"/>
      <c r="CL378" s="2822"/>
      <c r="CM378" s="2822"/>
      <c r="CN378" s="2822"/>
    </row>
    <row r="379" spans="1:92" x14ac:dyDescent="0.2">
      <c r="A379" s="2822"/>
      <c r="B379" s="2822"/>
      <c r="C379" s="2822"/>
      <c r="D379" s="2822"/>
      <c r="E379" s="2822"/>
      <c r="F379" s="2822"/>
      <c r="G379" s="2822"/>
      <c r="H379" s="2822"/>
      <c r="I379" s="2822"/>
      <c r="J379" s="2822"/>
      <c r="K379" s="2822"/>
      <c r="L379" s="2822"/>
      <c r="M379" s="2822"/>
      <c r="N379" s="2822"/>
      <c r="O379" s="2822"/>
      <c r="P379" s="2822"/>
      <c r="Q379" s="2822"/>
      <c r="R379" s="2822"/>
      <c r="S379" s="2822"/>
      <c r="T379" s="2822"/>
      <c r="U379" s="2822"/>
      <c r="V379" s="2822"/>
      <c r="W379" s="2822"/>
      <c r="X379" s="2822"/>
      <c r="Y379" s="2822"/>
      <c r="Z379" s="2822"/>
      <c r="AA379" s="2822"/>
      <c r="AB379" s="2822"/>
      <c r="AC379" s="2822"/>
      <c r="AD379" s="2822"/>
      <c r="AE379" s="2822"/>
      <c r="AF379" s="2822"/>
      <c r="AG379" s="2822"/>
      <c r="AH379" s="2822"/>
      <c r="AI379" s="2822"/>
      <c r="AJ379" s="2822"/>
      <c r="AK379" s="2822"/>
      <c r="AL379" s="2822"/>
      <c r="AM379" s="2822"/>
      <c r="AN379" s="2822"/>
      <c r="AO379" s="2822"/>
      <c r="AP379" s="2822"/>
      <c r="AQ379" s="2822"/>
      <c r="AR379" s="2822"/>
      <c r="AS379" s="2822"/>
      <c r="AT379" s="2822"/>
      <c r="AU379" s="2822"/>
      <c r="AV379" s="2822"/>
      <c r="AW379" s="2822"/>
      <c r="AX379" s="2822"/>
      <c r="AY379" s="2822"/>
      <c r="AZ379" s="2822"/>
      <c r="BA379" s="2822"/>
      <c r="BB379" s="2822"/>
      <c r="BC379" s="2822"/>
      <c r="BD379" s="2822"/>
      <c r="BE379" s="2822"/>
      <c r="BF379" s="2822"/>
      <c r="BG379" s="2822"/>
      <c r="BH379" s="2822"/>
      <c r="BI379" s="2822"/>
      <c r="BJ379" s="2822"/>
      <c r="BK379" s="2822"/>
      <c r="BL379" s="2822"/>
      <c r="BM379" s="2822"/>
      <c r="BN379" s="2822"/>
      <c r="BO379" s="2822"/>
      <c r="BP379" s="2822"/>
      <c r="BQ379" s="2822"/>
      <c r="BR379" s="2822"/>
      <c r="BS379" s="2822"/>
      <c r="BT379" s="2822"/>
      <c r="BU379" s="2822"/>
      <c r="BV379" s="2822"/>
      <c r="BW379" s="2822"/>
      <c r="BX379" s="2822"/>
      <c r="BY379" s="2822"/>
      <c r="BZ379" s="2822"/>
      <c r="CA379" s="2822"/>
      <c r="CB379" s="2822"/>
      <c r="CC379" s="2822"/>
      <c r="CD379" s="2822"/>
      <c r="CE379" s="2822"/>
      <c r="CF379" s="2822"/>
      <c r="CG379" s="2822"/>
      <c r="CH379" s="2822"/>
      <c r="CI379" s="2822"/>
      <c r="CJ379" s="2822"/>
      <c r="CK379" s="2822"/>
      <c r="CL379" s="2822"/>
      <c r="CM379" s="2822"/>
      <c r="CN379" s="2822"/>
    </row>
    <row r="380" spans="1:92" x14ac:dyDescent="0.2">
      <c r="A380" s="2822"/>
      <c r="B380" s="2822"/>
      <c r="C380" s="2822"/>
      <c r="D380" s="2822"/>
      <c r="E380" s="2822"/>
      <c r="F380" s="2822"/>
      <c r="G380" s="2822"/>
      <c r="H380" s="2822"/>
      <c r="I380" s="2822"/>
      <c r="J380" s="2822"/>
      <c r="K380" s="2822"/>
      <c r="L380" s="2822"/>
      <c r="M380" s="2822"/>
      <c r="N380" s="2822"/>
      <c r="O380" s="2822"/>
      <c r="P380" s="2822"/>
      <c r="Q380" s="2822"/>
      <c r="R380" s="2822"/>
      <c r="S380" s="2822"/>
      <c r="T380" s="2822"/>
      <c r="U380" s="2822"/>
      <c r="V380" s="2822"/>
      <c r="W380" s="2822"/>
      <c r="X380" s="2822"/>
      <c r="Y380" s="2822"/>
      <c r="Z380" s="2822"/>
      <c r="AA380" s="2822"/>
      <c r="AB380" s="2822"/>
      <c r="AC380" s="2822"/>
      <c r="AD380" s="2822"/>
      <c r="AE380" s="2822"/>
      <c r="AF380" s="2822"/>
      <c r="AG380" s="2822"/>
      <c r="AH380" s="2822"/>
      <c r="AI380" s="2822"/>
      <c r="AJ380" s="2822"/>
      <c r="AK380" s="2822"/>
      <c r="AL380" s="2822"/>
      <c r="AM380" s="2822"/>
      <c r="AN380" s="2822"/>
      <c r="AO380" s="2822"/>
      <c r="AP380" s="2822"/>
      <c r="AQ380" s="2822"/>
      <c r="AR380" s="2822"/>
      <c r="AS380" s="2822"/>
      <c r="AT380" s="2822"/>
      <c r="AU380" s="2822"/>
      <c r="AV380" s="2822"/>
      <c r="AW380" s="2822"/>
      <c r="AX380" s="2822"/>
      <c r="AY380" s="2822"/>
      <c r="AZ380" s="2822"/>
      <c r="BA380" s="2822"/>
      <c r="BB380" s="2822"/>
      <c r="BC380" s="2822"/>
      <c r="BD380" s="2822"/>
      <c r="BE380" s="2822"/>
      <c r="BF380" s="2822"/>
      <c r="BG380" s="2822"/>
      <c r="BH380" s="2822"/>
      <c r="BI380" s="2822"/>
      <c r="BJ380" s="2822"/>
      <c r="BK380" s="2822"/>
      <c r="BL380" s="2822"/>
      <c r="BM380" s="2822"/>
      <c r="BN380" s="2822"/>
      <c r="BO380" s="2822"/>
      <c r="BP380" s="2822"/>
      <c r="BQ380" s="2822"/>
      <c r="BR380" s="2822"/>
      <c r="BS380" s="2822"/>
      <c r="BT380" s="2822"/>
      <c r="BU380" s="2822"/>
      <c r="BV380" s="2822"/>
      <c r="BW380" s="2822"/>
      <c r="BX380" s="2822"/>
      <c r="BY380" s="2822"/>
      <c r="BZ380" s="2822"/>
      <c r="CA380" s="2822"/>
      <c r="CB380" s="2822"/>
      <c r="CC380" s="2822"/>
      <c r="CD380" s="2822"/>
      <c r="CE380" s="2822"/>
      <c r="CF380" s="2822"/>
      <c r="CG380" s="2822"/>
      <c r="CH380" s="2822"/>
      <c r="CI380" s="2822"/>
      <c r="CJ380" s="2822"/>
      <c r="CK380" s="2822"/>
      <c r="CL380" s="2822"/>
      <c r="CM380" s="2822"/>
      <c r="CN380" s="2822"/>
    </row>
    <row r="381" spans="1:92" x14ac:dyDescent="0.2">
      <c r="A381" s="2822"/>
      <c r="B381" s="2822"/>
      <c r="C381" s="2822"/>
      <c r="D381" s="2822"/>
      <c r="E381" s="2822"/>
      <c r="F381" s="2822"/>
      <c r="G381" s="2822"/>
      <c r="H381" s="2822"/>
      <c r="I381" s="2822"/>
      <c r="J381" s="2822"/>
      <c r="K381" s="2822"/>
      <c r="L381" s="2822"/>
      <c r="M381" s="2822"/>
      <c r="N381" s="2822"/>
      <c r="O381" s="2822"/>
      <c r="P381" s="2822"/>
      <c r="Q381" s="2822"/>
      <c r="R381" s="2822"/>
      <c r="S381" s="2822"/>
      <c r="T381" s="2822"/>
      <c r="U381" s="2822"/>
      <c r="V381" s="2822"/>
      <c r="W381" s="2822"/>
      <c r="X381" s="2822"/>
      <c r="Y381" s="2822"/>
      <c r="Z381" s="2822"/>
      <c r="AA381" s="2822"/>
      <c r="AB381" s="2822"/>
      <c r="AC381" s="2822"/>
      <c r="AD381" s="2822"/>
      <c r="AE381" s="2822"/>
      <c r="AF381" s="2822"/>
      <c r="AG381" s="2822"/>
      <c r="AH381" s="2822"/>
      <c r="AI381" s="2822"/>
      <c r="AJ381" s="2822"/>
      <c r="AK381" s="2822"/>
      <c r="AL381" s="2822"/>
      <c r="AM381" s="2822"/>
      <c r="AN381" s="2822"/>
      <c r="AO381" s="2822"/>
      <c r="AP381" s="2822"/>
      <c r="AQ381" s="2822"/>
      <c r="AR381" s="2822"/>
      <c r="AS381" s="2822"/>
      <c r="AT381" s="2822"/>
      <c r="AU381" s="2822"/>
      <c r="AV381" s="2822"/>
      <c r="AW381" s="2822"/>
      <c r="AX381" s="2822"/>
      <c r="AY381" s="2822"/>
      <c r="AZ381" s="2822"/>
      <c r="BA381" s="2822"/>
      <c r="BB381" s="2822"/>
      <c r="BC381" s="2822"/>
      <c r="BD381" s="2822"/>
      <c r="BE381" s="2822"/>
      <c r="BF381" s="2822"/>
      <c r="BG381" s="2822"/>
      <c r="BH381" s="2822"/>
      <c r="BI381" s="2822"/>
      <c r="BJ381" s="2822"/>
      <c r="BK381" s="2822"/>
      <c r="BL381" s="2822"/>
      <c r="BM381" s="2822"/>
      <c r="BN381" s="2822"/>
      <c r="BO381" s="2822"/>
      <c r="BP381" s="2822"/>
      <c r="BQ381" s="2822"/>
      <c r="BR381" s="2822"/>
      <c r="BS381" s="2822"/>
      <c r="BT381" s="2822"/>
      <c r="BU381" s="2822"/>
      <c r="BV381" s="2822"/>
      <c r="BW381" s="2822"/>
      <c r="BX381" s="2822"/>
      <c r="BY381" s="2822"/>
      <c r="BZ381" s="2822"/>
      <c r="CA381" s="2822"/>
      <c r="CB381" s="2822"/>
      <c r="CC381" s="2822"/>
      <c r="CD381" s="2822"/>
      <c r="CE381" s="2822"/>
      <c r="CF381" s="2822"/>
      <c r="CG381" s="2822"/>
      <c r="CH381" s="2822"/>
      <c r="CI381" s="2822"/>
      <c r="CJ381" s="2822"/>
      <c r="CK381" s="2822"/>
      <c r="CL381" s="2822"/>
      <c r="CM381" s="2822"/>
      <c r="CN381" s="2822"/>
    </row>
    <row r="382" spans="1:92" x14ac:dyDescent="0.2">
      <c r="A382" s="2822"/>
      <c r="B382" s="2822"/>
      <c r="C382" s="2822"/>
      <c r="D382" s="2822"/>
      <c r="E382" s="2822"/>
      <c r="F382" s="2822"/>
      <c r="G382" s="2822"/>
      <c r="H382" s="2822"/>
      <c r="I382" s="2822"/>
      <c r="J382" s="2822"/>
      <c r="K382" s="2822"/>
      <c r="L382" s="2822"/>
      <c r="M382" s="2822"/>
      <c r="N382" s="2822"/>
      <c r="O382" s="2822"/>
      <c r="P382" s="2822"/>
      <c r="Q382" s="2822"/>
      <c r="R382" s="2822"/>
      <c r="S382" s="2822"/>
      <c r="T382" s="2822"/>
      <c r="U382" s="2822"/>
      <c r="V382" s="2822"/>
      <c r="W382" s="2822"/>
      <c r="X382" s="2822"/>
      <c r="Y382" s="2822"/>
      <c r="Z382" s="2822"/>
      <c r="AA382" s="2822"/>
      <c r="AB382" s="2822"/>
      <c r="AC382" s="2822"/>
      <c r="AD382" s="2822"/>
      <c r="AE382" s="2822"/>
      <c r="AF382" s="2822"/>
      <c r="AG382" s="2822"/>
      <c r="AH382" s="2822"/>
      <c r="AI382" s="2822"/>
      <c r="AJ382" s="2822"/>
      <c r="AK382" s="2822"/>
      <c r="AL382" s="2822"/>
      <c r="AM382" s="2822"/>
      <c r="AN382" s="2822"/>
      <c r="AO382" s="2822"/>
      <c r="AP382" s="2822"/>
      <c r="AQ382" s="2822"/>
      <c r="AR382" s="2822"/>
      <c r="AS382" s="2822"/>
      <c r="AT382" s="2822"/>
      <c r="AU382" s="2822"/>
      <c r="AV382" s="2822"/>
      <c r="AW382" s="2822"/>
      <c r="AX382" s="2822"/>
      <c r="AY382" s="2822"/>
      <c r="AZ382" s="2822"/>
      <c r="BA382" s="2822"/>
      <c r="BB382" s="2822"/>
      <c r="BC382" s="2822"/>
      <c r="BD382" s="2822"/>
      <c r="BE382" s="2822"/>
      <c r="BF382" s="2822"/>
      <c r="BG382" s="2822"/>
      <c r="BH382" s="2822"/>
      <c r="BI382" s="2822"/>
      <c r="BJ382" s="2822"/>
      <c r="BK382" s="2822"/>
      <c r="BL382" s="2822"/>
      <c r="BM382" s="2822"/>
      <c r="BN382" s="2822"/>
      <c r="BO382" s="2822"/>
      <c r="BP382" s="2822"/>
      <c r="BQ382" s="2822"/>
      <c r="BR382" s="2822"/>
      <c r="BS382" s="2822"/>
      <c r="BT382" s="2822"/>
      <c r="BU382" s="2822"/>
      <c r="BV382" s="2822"/>
      <c r="BW382" s="2822"/>
      <c r="BX382" s="2822"/>
      <c r="BY382" s="2822"/>
      <c r="BZ382" s="2822"/>
      <c r="CA382" s="2822"/>
      <c r="CB382" s="2822"/>
      <c r="CC382" s="2822"/>
      <c r="CD382" s="2822"/>
      <c r="CE382" s="2822"/>
      <c r="CF382" s="2822"/>
      <c r="CG382" s="2822"/>
      <c r="CH382" s="2822"/>
      <c r="CI382" s="2822"/>
      <c r="CJ382" s="2822"/>
      <c r="CK382" s="2822"/>
      <c r="CL382" s="2822"/>
      <c r="CM382" s="2822"/>
      <c r="CN382" s="2822"/>
    </row>
    <row r="383" spans="1:92" x14ac:dyDescent="0.2">
      <c r="A383" s="2822"/>
      <c r="B383" s="2822"/>
      <c r="C383" s="2822"/>
      <c r="D383" s="2822"/>
      <c r="E383" s="2822"/>
      <c r="F383" s="2822"/>
      <c r="G383" s="2822"/>
      <c r="H383" s="2822"/>
      <c r="I383" s="2822"/>
      <c r="J383" s="2822"/>
      <c r="K383" s="2822"/>
      <c r="L383" s="2822"/>
      <c r="M383" s="2822"/>
      <c r="N383" s="2822"/>
      <c r="O383" s="2822"/>
      <c r="P383" s="2822"/>
      <c r="Q383" s="2822"/>
      <c r="R383" s="2822"/>
      <c r="S383" s="2822"/>
      <c r="T383" s="2822"/>
      <c r="U383" s="2822"/>
      <c r="V383" s="2822"/>
      <c r="W383" s="2822"/>
      <c r="X383" s="2822"/>
      <c r="Y383" s="2822"/>
      <c r="Z383" s="2822"/>
      <c r="AA383" s="2822"/>
      <c r="AB383" s="2822"/>
      <c r="AC383" s="2822"/>
      <c r="AD383" s="2822"/>
      <c r="AE383" s="2822"/>
      <c r="AF383" s="2822"/>
      <c r="AG383" s="2822"/>
      <c r="AH383" s="2822"/>
      <c r="AI383" s="2822"/>
      <c r="AJ383" s="2822"/>
      <c r="AK383" s="2822"/>
      <c r="AL383" s="2822"/>
      <c r="AM383" s="2822"/>
      <c r="AN383" s="2822"/>
      <c r="AO383" s="2822"/>
      <c r="AP383" s="2822"/>
      <c r="AQ383" s="2822"/>
      <c r="AR383" s="2822"/>
      <c r="AS383" s="2822"/>
      <c r="AT383" s="2822"/>
      <c r="AU383" s="2822"/>
      <c r="AV383" s="2822"/>
      <c r="AW383" s="2822"/>
      <c r="AX383" s="2822"/>
      <c r="AY383" s="2822"/>
      <c r="AZ383" s="2822"/>
      <c r="BA383" s="2822"/>
      <c r="BB383" s="2822"/>
      <c r="BC383" s="2822"/>
      <c r="BD383" s="2822"/>
      <c r="BE383" s="2822"/>
      <c r="BF383" s="2822"/>
      <c r="BG383" s="2822"/>
      <c r="BH383" s="2822"/>
      <c r="BI383" s="2822"/>
      <c r="BJ383" s="2822"/>
      <c r="BK383" s="2822"/>
      <c r="BL383" s="2822"/>
      <c r="BM383" s="2822"/>
      <c r="BN383" s="2822"/>
      <c r="BO383" s="2822"/>
      <c r="BP383" s="2822"/>
      <c r="BQ383" s="2822"/>
      <c r="BR383" s="2822"/>
      <c r="BS383" s="2822"/>
      <c r="BT383" s="2822"/>
      <c r="BU383" s="2822"/>
      <c r="BV383" s="2822"/>
      <c r="BW383" s="2822"/>
      <c r="BX383" s="2822"/>
      <c r="BY383" s="2822"/>
      <c r="BZ383" s="2822"/>
      <c r="CA383" s="2822"/>
      <c r="CB383" s="2822"/>
      <c r="CC383" s="2822"/>
      <c r="CD383" s="2822"/>
      <c r="CE383" s="2822"/>
      <c r="CF383" s="2822"/>
      <c r="CG383" s="2822"/>
      <c r="CH383" s="2822"/>
      <c r="CI383" s="2822"/>
      <c r="CJ383" s="2822"/>
      <c r="CK383" s="2822"/>
      <c r="CL383" s="2822"/>
      <c r="CM383" s="2822"/>
      <c r="CN383" s="2822"/>
    </row>
    <row r="384" spans="1:92" x14ac:dyDescent="0.2">
      <c r="A384" s="2822"/>
      <c r="B384" s="2822"/>
      <c r="C384" s="2822"/>
      <c r="D384" s="2822"/>
      <c r="E384" s="2822"/>
      <c r="F384" s="2822"/>
      <c r="G384" s="2822"/>
      <c r="H384" s="2822"/>
      <c r="I384" s="2822"/>
      <c r="J384" s="2822"/>
      <c r="K384" s="2822"/>
      <c r="L384" s="2822"/>
      <c r="M384" s="2822"/>
      <c r="N384" s="2822"/>
      <c r="O384" s="2822"/>
      <c r="P384" s="2822"/>
      <c r="Q384" s="2822"/>
      <c r="R384" s="2822"/>
      <c r="S384" s="2822"/>
      <c r="T384" s="2822"/>
      <c r="U384" s="2822"/>
      <c r="V384" s="2822"/>
      <c r="W384" s="2822"/>
      <c r="X384" s="2822"/>
      <c r="Y384" s="2822"/>
      <c r="Z384" s="2822"/>
      <c r="AA384" s="2822"/>
      <c r="AB384" s="2822"/>
      <c r="AC384" s="2822"/>
      <c r="AD384" s="2822"/>
      <c r="AE384" s="2822"/>
      <c r="AF384" s="2822"/>
      <c r="AG384" s="2822"/>
      <c r="AH384" s="2822"/>
      <c r="AI384" s="2822"/>
      <c r="AJ384" s="2822"/>
      <c r="AK384" s="2822"/>
      <c r="AL384" s="2822"/>
      <c r="AM384" s="2822"/>
      <c r="AN384" s="2822"/>
      <c r="AO384" s="2822"/>
      <c r="AP384" s="2822"/>
      <c r="AQ384" s="2822"/>
      <c r="AR384" s="2822"/>
      <c r="AS384" s="2822"/>
      <c r="AT384" s="2822"/>
      <c r="AU384" s="2822"/>
      <c r="AV384" s="2822"/>
      <c r="AW384" s="2822"/>
      <c r="AX384" s="2822"/>
      <c r="AY384" s="2822"/>
      <c r="AZ384" s="2822"/>
      <c r="BA384" s="2822"/>
      <c r="BB384" s="2822"/>
      <c r="BC384" s="2822"/>
      <c r="BD384" s="2822"/>
      <c r="BE384" s="2822"/>
      <c r="BF384" s="2822"/>
      <c r="BG384" s="2822"/>
      <c r="BH384" s="2822"/>
      <c r="BI384" s="2822"/>
      <c r="BJ384" s="2822"/>
      <c r="BK384" s="2822"/>
      <c r="BL384" s="2822"/>
      <c r="BM384" s="2822"/>
      <c r="BN384" s="2822"/>
      <c r="BO384" s="2822"/>
      <c r="BP384" s="2822"/>
      <c r="BQ384" s="2822"/>
      <c r="BR384" s="2822"/>
      <c r="BS384" s="2822"/>
      <c r="BT384" s="2822"/>
      <c r="BU384" s="2822"/>
      <c r="BV384" s="2822"/>
      <c r="BW384" s="2822"/>
      <c r="BX384" s="2822"/>
      <c r="BY384" s="2822"/>
      <c r="BZ384" s="2822"/>
      <c r="CA384" s="2822"/>
      <c r="CB384" s="2822"/>
      <c r="CC384" s="2822"/>
      <c r="CD384" s="2822"/>
      <c r="CE384" s="2822"/>
      <c r="CF384" s="2822"/>
      <c r="CG384" s="2822"/>
      <c r="CH384" s="2822"/>
      <c r="CI384" s="2822"/>
      <c r="CJ384" s="2822"/>
      <c r="CK384" s="2822"/>
      <c r="CL384" s="2822"/>
      <c r="CM384" s="2822"/>
      <c r="CN384" s="2822"/>
    </row>
    <row r="385" spans="1:92" x14ac:dyDescent="0.2">
      <c r="A385" s="2822"/>
      <c r="B385" s="2822"/>
      <c r="C385" s="2822"/>
      <c r="D385" s="2822"/>
      <c r="E385" s="2822"/>
      <c r="F385" s="2822"/>
      <c r="G385" s="2822"/>
      <c r="H385" s="2822"/>
      <c r="I385" s="2822"/>
      <c r="J385" s="2822"/>
      <c r="K385" s="2822"/>
      <c r="L385" s="2822"/>
      <c r="M385" s="2822"/>
      <c r="N385" s="2822"/>
      <c r="O385" s="2822"/>
      <c r="P385" s="2822"/>
      <c r="Q385" s="2822"/>
      <c r="R385" s="2822"/>
      <c r="S385" s="2822"/>
      <c r="T385" s="2822"/>
      <c r="U385" s="2822"/>
      <c r="V385" s="2822"/>
      <c r="W385" s="2822"/>
      <c r="X385" s="2822"/>
      <c r="Y385" s="2822"/>
      <c r="Z385" s="2822"/>
      <c r="AA385" s="2822"/>
      <c r="AB385" s="2822"/>
      <c r="AC385" s="2822"/>
      <c r="AD385" s="2822"/>
      <c r="AE385" s="2822"/>
      <c r="AF385" s="2822"/>
      <c r="AG385" s="2822"/>
      <c r="AH385" s="2822"/>
      <c r="AI385" s="2822"/>
      <c r="AJ385" s="2822"/>
      <c r="AK385" s="2822"/>
      <c r="AL385" s="2822"/>
      <c r="AM385" s="2822"/>
      <c r="AN385" s="2822"/>
      <c r="AO385" s="2822"/>
      <c r="AP385" s="2822"/>
      <c r="AQ385" s="2822"/>
      <c r="AR385" s="2822"/>
      <c r="AS385" s="2822"/>
      <c r="AT385" s="2822"/>
      <c r="AU385" s="2822"/>
      <c r="AV385" s="2822"/>
      <c r="AW385" s="2822"/>
      <c r="AX385" s="2822"/>
      <c r="AY385" s="2822"/>
      <c r="AZ385" s="2822"/>
      <c r="BA385" s="2822"/>
      <c r="BB385" s="2822"/>
      <c r="BC385" s="2822"/>
      <c r="BD385" s="2822"/>
      <c r="BE385" s="2822"/>
      <c r="BF385" s="2822"/>
      <c r="BG385" s="2822"/>
      <c r="BH385" s="2822"/>
      <c r="BI385" s="2822"/>
      <c r="BJ385" s="2822"/>
      <c r="BK385" s="2822"/>
      <c r="BL385" s="2822"/>
      <c r="BM385" s="2822"/>
      <c r="BN385" s="2822"/>
      <c r="BO385" s="2822"/>
      <c r="BP385" s="2822"/>
      <c r="BQ385" s="2822"/>
      <c r="BR385" s="2822"/>
      <c r="BS385" s="2822"/>
      <c r="BT385" s="2822"/>
      <c r="BU385" s="2822"/>
      <c r="BV385" s="2822"/>
      <c r="BW385" s="2822"/>
      <c r="BX385" s="2822"/>
      <c r="BY385" s="2822"/>
      <c r="BZ385" s="2822"/>
      <c r="CA385" s="2822"/>
      <c r="CB385" s="2822"/>
      <c r="CC385" s="2822"/>
      <c r="CD385" s="2822"/>
      <c r="CE385" s="2822"/>
      <c r="CF385" s="2822"/>
      <c r="CG385" s="2822"/>
      <c r="CH385" s="2822"/>
      <c r="CI385" s="2822"/>
      <c r="CJ385" s="2822"/>
      <c r="CK385" s="2822"/>
      <c r="CL385" s="2822"/>
      <c r="CM385" s="2822"/>
      <c r="CN385" s="2822"/>
    </row>
    <row r="386" spans="1:92" x14ac:dyDescent="0.2">
      <c r="A386" s="2822"/>
      <c r="B386" s="2822"/>
      <c r="C386" s="2822"/>
      <c r="D386" s="2822"/>
      <c r="E386" s="2822"/>
      <c r="F386" s="2822"/>
      <c r="G386" s="2822"/>
      <c r="H386" s="2822"/>
      <c r="I386" s="2822"/>
      <c r="J386" s="2822"/>
      <c r="K386" s="2822"/>
      <c r="L386" s="2822"/>
      <c r="M386" s="2822"/>
      <c r="N386" s="2822"/>
      <c r="O386" s="2822"/>
      <c r="P386" s="2822"/>
      <c r="Q386" s="2822"/>
      <c r="R386" s="2822"/>
      <c r="S386" s="2822"/>
      <c r="T386" s="2822"/>
      <c r="U386" s="2822"/>
      <c r="V386" s="2822"/>
      <c r="W386" s="2822"/>
      <c r="X386" s="2822"/>
      <c r="Y386" s="2822"/>
      <c r="Z386" s="2822"/>
      <c r="AA386" s="2822"/>
      <c r="AB386" s="2822"/>
      <c r="AC386" s="2822"/>
      <c r="AD386" s="2822"/>
      <c r="AE386" s="2822"/>
      <c r="AF386" s="2822"/>
      <c r="AG386" s="2822"/>
      <c r="AH386" s="2822"/>
      <c r="AI386" s="2822"/>
      <c r="AJ386" s="2822"/>
      <c r="AK386" s="2822"/>
      <c r="AL386" s="2822"/>
      <c r="AM386" s="2822"/>
      <c r="AN386" s="2822"/>
      <c r="AO386" s="2822"/>
      <c r="AP386" s="2822"/>
      <c r="AQ386" s="2822"/>
      <c r="AR386" s="2822"/>
      <c r="AS386" s="2822"/>
      <c r="AT386" s="2822"/>
      <c r="AU386" s="2822"/>
      <c r="AV386" s="2822"/>
      <c r="AW386" s="2822"/>
      <c r="AX386" s="2822"/>
      <c r="AY386" s="2822"/>
      <c r="AZ386" s="2822"/>
      <c r="BA386" s="2822"/>
      <c r="BB386" s="2822"/>
      <c r="BC386" s="2822"/>
      <c r="BD386" s="2822"/>
      <c r="BE386" s="2822"/>
      <c r="BF386" s="2822"/>
      <c r="BG386" s="2822"/>
      <c r="BH386" s="2822"/>
      <c r="BI386" s="2822"/>
      <c r="BJ386" s="2822"/>
      <c r="BK386" s="2822"/>
      <c r="BL386" s="2822"/>
      <c r="BM386" s="2822"/>
      <c r="BN386" s="2822"/>
      <c r="BO386" s="2822"/>
      <c r="BP386" s="2822"/>
      <c r="BQ386" s="2822"/>
      <c r="BR386" s="2822"/>
      <c r="BS386" s="2822"/>
      <c r="BT386" s="2822"/>
      <c r="BU386" s="2822"/>
      <c r="BV386" s="2822"/>
      <c r="BW386" s="2822"/>
      <c r="BX386" s="2822"/>
      <c r="BY386" s="2822"/>
      <c r="BZ386" s="2822"/>
      <c r="CA386" s="2822"/>
      <c r="CB386" s="2822"/>
      <c r="CC386" s="2822"/>
      <c r="CD386" s="2822"/>
      <c r="CE386" s="2822"/>
      <c r="CF386" s="2822"/>
      <c r="CG386" s="2822"/>
      <c r="CH386" s="2822"/>
      <c r="CI386" s="2822"/>
      <c r="CJ386" s="2822"/>
      <c r="CK386" s="2822"/>
      <c r="CL386" s="2822"/>
      <c r="CM386" s="2822"/>
      <c r="CN386" s="2822"/>
    </row>
    <row r="387" spans="1:92" x14ac:dyDescent="0.2">
      <c r="A387" s="2822"/>
      <c r="B387" s="2822"/>
      <c r="C387" s="2822"/>
      <c r="D387" s="2822"/>
      <c r="E387" s="2822"/>
      <c r="F387" s="2822"/>
      <c r="G387" s="2822"/>
      <c r="H387" s="2822"/>
      <c r="I387" s="2822"/>
      <c r="J387" s="2822"/>
      <c r="K387" s="2822"/>
      <c r="L387" s="2822"/>
      <c r="M387" s="2822"/>
      <c r="N387" s="2822"/>
      <c r="O387" s="2822"/>
      <c r="P387" s="2822"/>
      <c r="Q387" s="2822"/>
      <c r="R387" s="2822"/>
      <c r="S387" s="2822"/>
      <c r="T387" s="2822"/>
      <c r="U387" s="2822"/>
      <c r="V387" s="2822"/>
      <c r="W387" s="2822"/>
      <c r="X387" s="2822"/>
      <c r="Y387" s="2822"/>
      <c r="Z387" s="2822"/>
      <c r="AA387" s="2822"/>
      <c r="AB387" s="2822"/>
      <c r="AC387" s="2822"/>
      <c r="AD387" s="2822"/>
      <c r="AE387" s="2822"/>
      <c r="AF387" s="2822"/>
      <c r="AG387" s="2822"/>
      <c r="AH387" s="2822"/>
      <c r="AI387" s="2822"/>
      <c r="AJ387" s="2822"/>
      <c r="AK387" s="2822"/>
      <c r="AL387" s="2822"/>
      <c r="AM387" s="2822"/>
      <c r="AN387" s="2822"/>
      <c r="AO387" s="2822"/>
      <c r="AP387" s="2822"/>
      <c r="AQ387" s="2822"/>
      <c r="AR387" s="2822"/>
      <c r="AS387" s="2822"/>
      <c r="AT387" s="2822"/>
      <c r="AU387" s="2822"/>
      <c r="AV387" s="2822"/>
      <c r="AW387" s="2822"/>
      <c r="AX387" s="2822"/>
      <c r="AY387" s="2822"/>
      <c r="AZ387" s="2822"/>
      <c r="BA387" s="2822"/>
      <c r="BB387" s="2822"/>
      <c r="BC387" s="2822"/>
      <c r="BD387" s="2822"/>
      <c r="BE387" s="2822"/>
      <c r="BF387" s="2822"/>
      <c r="BG387" s="2822"/>
      <c r="BH387" s="2822"/>
      <c r="BI387" s="2822"/>
      <c r="BJ387" s="2822"/>
      <c r="BK387" s="2822"/>
      <c r="BL387" s="2822"/>
      <c r="BM387" s="2822"/>
      <c r="BN387" s="2822"/>
      <c r="BO387" s="2822"/>
      <c r="BP387" s="2822"/>
      <c r="BQ387" s="2822"/>
      <c r="BR387" s="2822"/>
      <c r="BS387" s="2822"/>
      <c r="BT387" s="2822"/>
      <c r="BU387" s="2822"/>
      <c r="BV387" s="2822"/>
      <c r="BW387" s="2822"/>
      <c r="BX387" s="2822"/>
      <c r="BY387" s="2822"/>
      <c r="BZ387" s="2822"/>
      <c r="CA387" s="2822"/>
      <c r="CB387" s="2822"/>
      <c r="CC387" s="2822"/>
      <c r="CD387" s="2822"/>
      <c r="CE387" s="2822"/>
      <c r="CF387" s="2822"/>
      <c r="CG387" s="2822"/>
      <c r="CH387" s="2822"/>
      <c r="CI387" s="2822"/>
      <c r="CJ387" s="2822"/>
      <c r="CK387" s="2822"/>
      <c r="CL387" s="2822"/>
      <c r="CM387" s="2822"/>
      <c r="CN387" s="2822"/>
    </row>
    <row r="388" spans="1:92" x14ac:dyDescent="0.2">
      <c r="A388" s="2822"/>
      <c r="B388" s="2822"/>
      <c r="C388" s="2822"/>
      <c r="D388" s="2822"/>
      <c r="E388" s="2822"/>
      <c r="F388" s="2822"/>
      <c r="G388" s="2822"/>
      <c r="H388" s="2822"/>
      <c r="I388" s="2822"/>
      <c r="J388" s="2822"/>
      <c r="K388" s="2822"/>
      <c r="L388" s="2822"/>
      <c r="M388" s="2822"/>
      <c r="N388" s="2822"/>
      <c r="O388" s="2822"/>
      <c r="P388" s="2822"/>
      <c r="Q388" s="2822"/>
      <c r="R388" s="2822"/>
      <c r="S388" s="2822"/>
      <c r="T388" s="2822"/>
      <c r="U388" s="2822"/>
      <c r="V388" s="2822"/>
      <c r="W388" s="2822"/>
      <c r="X388" s="2822"/>
      <c r="Y388" s="2822"/>
      <c r="Z388" s="2822"/>
      <c r="AA388" s="2822"/>
      <c r="AB388" s="2822"/>
      <c r="AC388" s="2822"/>
      <c r="AD388" s="2822"/>
      <c r="AE388" s="2822"/>
      <c r="AF388" s="2822"/>
      <c r="AG388" s="2822"/>
      <c r="AH388" s="2822"/>
      <c r="AI388" s="2822"/>
      <c r="AJ388" s="2822"/>
      <c r="AK388" s="2822"/>
      <c r="AL388" s="2822"/>
      <c r="AM388" s="2822"/>
      <c r="AN388" s="2822"/>
      <c r="AO388" s="2822"/>
      <c r="AP388" s="2822"/>
      <c r="AQ388" s="2822"/>
      <c r="AR388" s="2822"/>
      <c r="AS388" s="2822"/>
      <c r="AT388" s="2822"/>
      <c r="AU388" s="2822"/>
      <c r="AV388" s="2822"/>
      <c r="AW388" s="2822"/>
      <c r="AX388" s="2822"/>
      <c r="AY388" s="2822"/>
      <c r="AZ388" s="2822"/>
      <c r="BA388" s="2822"/>
      <c r="BB388" s="2822"/>
      <c r="BC388" s="2822"/>
      <c r="BD388" s="2822"/>
      <c r="BE388" s="2822"/>
      <c r="BF388" s="2822"/>
      <c r="BG388" s="2822"/>
      <c r="BH388" s="2822"/>
      <c r="BI388" s="2822"/>
      <c r="BJ388" s="2822"/>
      <c r="BK388" s="2822"/>
      <c r="BL388" s="2822"/>
      <c r="BM388" s="2822"/>
      <c r="BN388" s="2822"/>
      <c r="BO388" s="2822"/>
      <c r="BP388" s="2822"/>
      <c r="BQ388" s="2822"/>
      <c r="BR388" s="2822"/>
      <c r="BS388" s="2822"/>
      <c r="BT388" s="2822"/>
      <c r="BU388" s="2822"/>
      <c r="BV388" s="2822"/>
      <c r="BW388" s="2822"/>
      <c r="BX388" s="2822"/>
      <c r="BY388" s="2822"/>
      <c r="BZ388" s="2822"/>
      <c r="CA388" s="2822"/>
      <c r="CB388" s="2822"/>
      <c r="CC388" s="2822"/>
      <c r="CD388" s="2822"/>
      <c r="CE388" s="2822"/>
      <c r="CF388" s="2822"/>
      <c r="CG388" s="2822"/>
      <c r="CH388" s="2822"/>
      <c r="CI388" s="2822"/>
      <c r="CJ388" s="2822"/>
      <c r="CK388" s="2822"/>
      <c r="CL388" s="2822"/>
      <c r="CM388" s="2822"/>
      <c r="CN388" s="2822"/>
    </row>
    <row r="389" spans="1:92" x14ac:dyDescent="0.2">
      <c r="A389" s="2822"/>
      <c r="B389" s="2822"/>
      <c r="C389" s="2822"/>
      <c r="D389" s="2822"/>
      <c r="E389" s="2822"/>
      <c r="F389" s="2822"/>
      <c r="G389" s="2822"/>
      <c r="H389" s="2822"/>
      <c r="I389" s="2822"/>
      <c r="J389" s="2822"/>
      <c r="K389" s="2822"/>
      <c r="L389" s="2822"/>
      <c r="M389" s="2822"/>
      <c r="N389" s="2822"/>
      <c r="O389" s="2822"/>
      <c r="P389" s="2822"/>
      <c r="Q389" s="2822"/>
      <c r="R389" s="2822"/>
      <c r="S389" s="2822"/>
      <c r="T389" s="2822"/>
      <c r="U389" s="2822"/>
      <c r="V389" s="2822"/>
      <c r="W389" s="2822"/>
      <c r="X389" s="2822"/>
      <c r="Y389" s="2822"/>
      <c r="Z389" s="2822"/>
      <c r="AA389" s="2822"/>
      <c r="AB389" s="2822"/>
      <c r="AC389" s="2822"/>
      <c r="AD389" s="2822"/>
      <c r="AE389" s="2822"/>
      <c r="AF389" s="2822"/>
      <c r="AG389" s="2822"/>
      <c r="AH389" s="2822"/>
      <c r="AI389" s="2822"/>
      <c r="AJ389" s="2822"/>
      <c r="AK389" s="2822"/>
      <c r="AL389" s="2822"/>
      <c r="AM389" s="2822"/>
      <c r="AN389" s="2822"/>
      <c r="AO389" s="2822"/>
      <c r="AP389" s="2822"/>
      <c r="AQ389" s="2822"/>
      <c r="AR389" s="2822"/>
      <c r="AS389" s="2822"/>
      <c r="AT389" s="2822"/>
      <c r="AU389" s="2822"/>
      <c r="AV389" s="2822"/>
      <c r="AW389" s="2822"/>
      <c r="AX389" s="2822"/>
      <c r="AY389" s="2822"/>
      <c r="AZ389" s="2822"/>
      <c r="BA389" s="2822"/>
      <c r="BB389" s="2822"/>
      <c r="BC389" s="2822"/>
      <c r="BD389" s="2822"/>
      <c r="BE389" s="2822"/>
      <c r="BF389" s="2822"/>
      <c r="BG389" s="2822"/>
      <c r="BH389" s="2822"/>
      <c r="BI389" s="2822"/>
      <c r="BJ389" s="2822"/>
      <c r="BK389" s="2822"/>
      <c r="BL389" s="2822"/>
      <c r="BM389" s="2822"/>
      <c r="BN389" s="2822"/>
      <c r="BO389" s="2822"/>
      <c r="BP389" s="2822"/>
      <c r="BQ389" s="2822"/>
      <c r="BR389" s="2822"/>
      <c r="BS389" s="2822"/>
      <c r="BT389" s="2822"/>
      <c r="BU389" s="2822"/>
      <c r="BV389" s="2822"/>
      <c r="BW389" s="2822"/>
      <c r="BX389" s="2822"/>
      <c r="BY389" s="2822"/>
      <c r="BZ389" s="2822"/>
      <c r="CA389" s="2822"/>
      <c r="CB389" s="2822"/>
      <c r="CC389" s="2822"/>
      <c r="CD389" s="2822"/>
      <c r="CE389" s="2822"/>
      <c r="CF389" s="2822"/>
      <c r="CG389" s="2822"/>
      <c r="CH389" s="2822"/>
      <c r="CI389" s="2822"/>
      <c r="CJ389" s="2822"/>
      <c r="CK389" s="2822"/>
      <c r="CL389" s="2822"/>
      <c r="CM389" s="2822"/>
      <c r="CN389" s="2822"/>
    </row>
    <row r="390" spans="1:92" x14ac:dyDescent="0.2">
      <c r="A390" s="2822"/>
      <c r="B390" s="2822"/>
      <c r="C390" s="2822"/>
      <c r="D390" s="2822"/>
      <c r="E390" s="2822"/>
      <c r="F390" s="2822"/>
      <c r="G390" s="2822"/>
      <c r="H390" s="2822"/>
      <c r="I390" s="2822"/>
      <c r="J390" s="2822"/>
      <c r="K390" s="2822"/>
      <c r="L390" s="2822"/>
      <c r="M390" s="2822"/>
      <c r="N390" s="2822"/>
      <c r="O390" s="2822"/>
      <c r="P390" s="2822"/>
      <c r="Q390" s="2822"/>
      <c r="R390" s="2822"/>
      <c r="S390" s="2822"/>
      <c r="T390" s="2822"/>
      <c r="U390" s="2822"/>
      <c r="V390" s="2822"/>
      <c r="W390" s="2822"/>
      <c r="X390" s="2822"/>
      <c r="Y390" s="2822"/>
      <c r="Z390" s="2822"/>
      <c r="AA390" s="2822"/>
      <c r="AB390" s="2822"/>
      <c r="AC390" s="2822"/>
      <c r="AD390" s="2822"/>
      <c r="AE390" s="2822"/>
      <c r="AF390" s="2822"/>
      <c r="AG390" s="2822"/>
      <c r="AH390" s="2822"/>
      <c r="AI390" s="2822"/>
      <c r="AJ390" s="2822"/>
      <c r="AK390" s="2822"/>
      <c r="AL390" s="2822"/>
      <c r="AM390" s="2822"/>
      <c r="AN390" s="2822"/>
      <c r="AO390" s="2822"/>
      <c r="AP390" s="2822"/>
      <c r="AQ390" s="2822"/>
      <c r="AR390" s="2822"/>
      <c r="AS390" s="2822"/>
      <c r="AT390" s="2822"/>
      <c r="AU390" s="2822"/>
      <c r="AV390" s="2822"/>
      <c r="AW390" s="2822"/>
      <c r="AX390" s="2822"/>
      <c r="AY390" s="2822"/>
      <c r="AZ390" s="2822"/>
      <c r="BA390" s="2822"/>
      <c r="BB390" s="2822"/>
      <c r="BC390" s="2822"/>
      <c r="BD390" s="2822"/>
      <c r="BE390" s="2822"/>
      <c r="BF390" s="2822"/>
      <c r="BG390" s="2822"/>
      <c r="BH390" s="2822"/>
      <c r="BI390" s="2822"/>
      <c r="BJ390" s="2822"/>
      <c r="BK390" s="2822"/>
      <c r="BL390" s="2822"/>
      <c r="BM390" s="2822"/>
      <c r="BN390" s="2822"/>
      <c r="BO390" s="2822"/>
      <c r="BP390" s="2822"/>
      <c r="BQ390" s="2822"/>
      <c r="BR390" s="2822"/>
      <c r="BS390" s="2822"/>
      <c r="BT390" s="2822"/>
      <c r="BU390" s="2822"/>
      <c r="BV390" s="2822"/>
      <c r="BW390" s="2822"/>
      <c r="BX390" s="2822"/>
      <c r="BY390" s="2822"/>
      <c r="BZ390" s="2822"/>
      <c r="CA390" s="2822"/>
      <c r="CB390" s="2822"/>
      <c r="CC390" s="2822"/>
      <c r="CD390" s="2822"/>
      <c r="CE390" s="2822"/>
      <c r="CF390" s="2822"/>
      <c r="CG390" s="2822"/>
      <c r="CH390" s="2822"/>
      <c r="CI390" s="2822"/>
      <c r="CJ390" s="2822"/>
      <c r="CK390" s="2822"/>
      <c r="CL390" s="2822"/>
      <c r="CM390" s="2822"/>
      <c r="CN390" s="2822"/>
    </row>
    <row r="391" spans="1:92" x14ac:dyDescent="0.2">
      <c r="A391" s="2822"/>
      <c r="B391" s="2822"/>
      <c r="C391" s="2822"/>
      <c r="D391" s="2822"/>
      <c r="E391" s="2822"/>
      <c r="F391" s="2822"/>
      <c r="G391" s="2822"/>
      <c r="H391" s="2822"/>
      <c r="I391" s="2822"/>
      <c r="J391" s="2822"/>
      <c r="K391" s="2822"/>
      <c r="L391" s="2822"/>
      <c r="M391" s="2822"/>
      <c r="N391" s="2822"/>
      <c r="O391" s="2822"/>
      <c r="P391" s="2822"/>
      <c r="Q391" s="2822"/>
      <c r="R391" s="2822"/>
      <c r="S391" s="2822"/>
      <c r="T391" s="2822"/>
      <c r="U391" s="2822"/>
      <c r="V391" s="2822"/>
      <c r="W391" s="2822"/>
      <c r="X391" s="2822"/>
      <c r="Y391" s="2822"/>
      <c r="Z391" s="2822"/>
      <c r="AA391" s="2822"/>
      <c r="AB391" s="2822"/>
      <c r="AC391" s="2822"/>
      <c r="AD391" s="2822"/>
      <c r="AE391" s="2822"/>
      <c r="AF391" s="2822"/>
      <c r="AG391" s="2822"/>
      <c r="AH391" s="2822"/>
      <c r="AI391" s="2822"/>
      <c r="AJ391" s="2822"/>
      <c r="AK391" s="2822"/>
      <c r="AL391" s="2822"/>
      <c r="AM391" s="2822"/>
      <c r="AN391" s="2822"/>
      <c r="AO391" s="2822"/>
      <c r="AP391" s="2822"/>
      <c r="AQ391" s="2822"/>
      <c r="AR391" s="2822"/>
      <c r="AS391" s="2822"/>
      <c r="AT391" s="2822"/>
      <c r="AU391" s="2822"/>
      <c r="AV391" s="2822"/>
      <c r="AW391" s="2822"/>
      <c r="AX391" s="2822"/>
      <c r="AY391" s="2822"/>
      <c r="AZ391" s="2822"/>
      <c r="BA391" s="2822"/>
      <c r="BB391" s="2822"/>
      <c r="BC391" s="2822"/>
      <c r="BD391" s="2822"/>
      <c r="BE391" s="2822"/>
      <c r="BF391" s="2822"/>
      <c r="BG391" s="2822"/>
      <c r="BH391" s="2822"/>
      <c r="BI391" s="2822"/>
      <c r="BJ391" s="2822"/>
      <c r="BK391" s="2822"/>
      <c r="BL391" s="2822"/>
      <c r="BM391" s="2822"/>
      <c r="BN391" s="2822"/>
      <c r="BO391" s="2822"/>
      <c r="BP391" s="2822"/>
      <c r="BQ391" s="2822"/>
      <c r="BR391" s="2822"/>
      <c r="BS391" s="2822"/>
      <c r="BT391" s="2822"/>
      <c r="BU391" s="2822"/>
      <c r="BV391" s="2822"/>
      <c r="BW391" s="2822"/>
      <c r="BX391" s="2822"/>
      <c r="BY391" s="2822"/>
      <c r="BZ391" s="2822"/>
      <c r="CA391" s="2822"/>
      <c r="CB391" s="2822"/>
      <c r="CC391" s="2822"/>
      <c r="CD391" s="2822"/>
      <c r="CE391" s="2822"/>
      <c r="CF391" s="2822"/>
      <c r="CG391" s="2822"/>
      <c r="CH391" s="2822"/>
      <c r="CI391" s="2822"/>
      <c r="CJ391" s="2822"/>
      <c r="CK391" s="2822"/>
      <c r="CL391" s="2822"/>
      <c r="CM391" s="2822"/>
      <c r="CN391" s="2822"/>
    </row>
    <row r="392" spans="1:92" x14ac:dyDescent="0.2">
      <c r="A392" s="2822"/>
      <c r="B392" s="2822"/>
      <c r="C392" s="2822"/>
      <c r="D392" s="2822"/>
      <c r="E392" s="2822"/>
      <c r="F392" s="2822"/>
      <c r="G392" s="2822"/>
      <c r="H392" s="2822"/>
      <c r="I392" s="2822"/>
      <c r="J392" s="2822"/>
      <c r="K392" s="2822"/>
      <c r="L392" s="2822"/>
      <c r="M392" s="2822"/>
      <c r="N392" s="2822"/>
      <c r="O392" s="2822"/>
      <c r="P392" s="2822"/>
      <c r="Q392" s="2822"/>
      <c r="R392" s="2822"/>
      <c r="S392" s="2822"/>
      <c r="T392" s="2822"/>
      <c r="U392" s="2822"/>
      <c r="V392" s="2822"/>
      <c r="W392" s="2822"/>
      <c r="X392" s="2822"/>
      <c r="Y392" s="2822"/>
      <c r="Z392" s="2822"/>
      <c r="AA392" s="2822"/>
      <c r="AB392" s="2822"/>
      <c r="AC392" s="2822"/>
      <c r="AD392" s="2822"/>
      <c r="AE392" s="2822"/>
      <c r="AF392" s="2822"/>
      <c r="AG392" s="2822"/>
      <c r="AH392" s="2822"/>
      <c r="AI392" s="2822"/>
      <c r="AJ392" s="2822"/>
      <c r="AK392" s="2822"/>
      <c r="AL392" s="2822"/>
      <c r="AM392" s="2822"/>
      <c r="AN392" s="2822"/>
      <c r="AO392" s="2822"/>
      <c r="AP392" s="2822"/>
      <c r="AQ392" s="2822"/>
      <c r="AR392" s="2822"/>
      <c r="AS392" s="2822"/>
      <c r="AT392" s="2822"/>
      <c r="AU392" s="2822"/>
      <c r="AV392" s="2822"/>
      <c r="AW392" s="2822"/>
      <c r="AX392" s="2822"/>
      <c r="AY392" s="2822"/>
      <c r="AZ392" s="2822"/>
      <c r="BA392" s="2822"/>
      <c r="BB392" s="2822"/>
      <c r="BC392" s="2822"/>
      <c r="BD392" s="2822"/>
      <c r="BE392" s="2822"/>
      <c r="BF392" s="2822"/>
      <c r="BG392" s="2822"/>
      <c r="BH392" s="2822"/>
      <c r="BI392" s="2822"/>
      <c r="BJ392" s="2822"/>
      <c r="BK392" s="2822"/>
      <c r="BL392" s="2822"/>
      <c r="BM392" s="2822"/>
      <c r="BN392" s="2822"/>
      <c r="BO392" s="2822"/>
      <c r="BP392" s="2822"/>
      <c r="BQ392" s="2822"/>
      <c r="BR392" s="2822"/>
      <c r="BS392" s="2822"/>
      <c r="BT392" s="2822"/>
      <c r="BU392" s="2822"/>
      <c r="BV392" s="2822"/>
      <c r="BW392" s="2822"/>
      <c r="BX392" s="2822"/>
      <c r="BY392" s="2822"/>
      <c r="BZ392" s="2822"/>
      <c r="CA392" s="2822"/>
      <c r="CB392" s="2822"/>
      <c r="CC392" s="2822"/>
      <c r="CD392" s="2822"/>
      <c r="CE392" s="2822"/>
      <c r="CF392" s="2822"/>
      <c r="CG392" s="2822"/>
      <c r="CH392" s="2822"/>
      <c r="CI392" s="2822"/>
      <c r="CJ392" s="2822"/>
      <c r="CK392" s="2822"/>
      <c r="CL392" s="2822"/>
      <c r="CM392" s="2822"/>
      <c r="CN392" s="2822"/>
    </row>
    <row r="393" spans="1:92" x14ac:dyDescent="0.2">
      <c r="A393" s="2822"/>
      <c r="B393" s="2822"/>
      <c r="C393" s="2822"/>
      <c r="D393" s="2822"/>
      <c r="E393" s="2822"/>
      <c r="F393" s="2822"/>
      <c r="G393" s="2822"/>
      <c r="H393" s="2822"/>
      <c r="I393" s="2822"/>
      <c r="J393" s="2822"/>
      <c r="K393" s="2822"/>
      <c r="L393" s="2822"/>
      <c r="M393" s="2822"/>
      <c r="N393" s="2822"/>
      <c r="O393" s="2822"/>
      <c r="P393" s="2822"/>
      <c r="Q393" s="2822"/>
      <c r="R393" s="2822"/>
      <c r="S393" s="2822"/>
      <c r="T393" s="2822"/>
      <c r="U393" s="2822"/>
      <c r="V393" s="2822"/>
      <c r="W393" s="2822"/>
      <c r="X393" s="2822"/>
      <c r="Y393" s="2822"/>
      <c r="Z393" s="2822"/>
      <c r="AA393" s="2822"/>
      <c r="AB393" s="2822"/>
      <c r="AC393" s="2822"/>
      <c r="AD393" s="2822"/>
      <c r="AE393" s="2822"/>
      <c r="AF393" s="2822"/>
      <c r="AG393" s="2822"/>
      <c r="AH393" s="2822"/>
      <c r="AI393" s="2822"/>
      <c r="AJ393" s="2822"/>
      <c r="AK393" s="2822"/>
      <c r="AL393" s="2822"/>
      <c r="AM393" s="2822"/>
      <c r="AN393" s="2822"/>
      <c r="AO393" s="2822"/>
      <c r="AP393" s="2822"/>
      <c r="AQ393" s="2822"/>
      <c r="AR393" s="2822"/>
      <c r="AS393" s="2822"/>
      <c r="AT393" s="2822"/>
      <c r="AU393" s="2822"/>
      <c r="AV393" s="2822"/>
      <c r="AW393" s="2822"/>
      <c r="AX393" s="2822"/>
      <c r="AY393" s="2822"/>
      <c r="AZ393" s="2822"/>
      <c r="BA393" s="2822"/>
      <c r="BB393" s="2822"/>
      <c r="BC393" s="2822"/>
      <c r="BD393" s="2822"/>
      <c r="BE393" s="2822"/>
      <c r="BF393" s="2822"/>
      <c r="BG393" s="2822"/>
      <c r="BH393" s="2822"/>
      <c r="BI393" s="2822"/>
      <c r="BJ393" s="2822"/>
      <c r="BK393" s="2822"/>
      <c r="BL393" s="2822"/>
      <c r="BM393" s="2822"/>
      <c r="BN393" s="2822"/>
      <c r="BO393" s="2822"/>
      <c r="BP393" s="2822"/>
      <c r="BQ393" s="2822"/>
      <c r="BR393" s="2822"/>
      <c r="BS393" s="2822"/>
      <c r="BT393" s="2822"/>
      <c r="BU393" s="2822"/>
      <c r="BV393" s="2822"/>
      <c r="BW393" s="2822"/>
      <c r="BX393" s="2822"/>
      <c r="BY393" s="2822"/>
      <c r="BZ393" s="2822"/>
      <c r="CA393" s="2822"/>
      <c r="CB393" s="2822"/>
      <c r="CC393" s="2822"/>
      <c r="CD393" s="2822"/>
      <c r="CE393" s="2822"/>
      <c r="CF393" s="2822"/>
      <c r="CG393" s="2822"/>
      <c r="CH393" s="2822"/>
      <c r="CI393" s="2822"/>
      <c r="CJ393" s="2822"/>
      <c r="CK393" s="2822"/>
      <c r="CL393" s="2822"/>
      <c r="CM393" s="2822"/>
      <c r="CN393" s="2822"/>
    </row>
    <row r="394" spans="1:92" x14ac:dyDescent="0.2">
      <c r="A394" s="2822"/>
      <c r="B394" s="2822"/>
      <c r="C394" s="2822"/>
      <c r="D394" s="2822"/>
      <c r="E394" s="2822"/>
      <c r="F394" s="2822"/>
      <c r="G394" s="2822"/>
      <c r="H394" s="2822"/>
      <c r="I394" s="2822"/>
      <c r="J394" s="2822"/>
      <c r="K394" s="2822"/>
      <c r="L394" s="2822"/>
      <c r="M394" s="2822"/>
      <c r="N394" s="2822"/>
      <c r="O394" s="2822"/>
      <c r="P394" s="2822"/>
      <c r="Q394" s="2822"/>
      <c r="R394" s="2822"/>
      <c r="S394" s="2822"/>
      <c r="T394" s="2822"/>
      <c r="U394" s="2822"/>
      <c r="V394" s="2822"/>
      <c r="W394" s="2822"/>
      <c r="X394" s="2822"/>
      <c r="Y394" s="2822"/>
      <c r="Z394" s="2822"/>
      <c r="AA394" s="2822"/>
      <c r="AB394" s="2822"/>
      <c r="AC394" s="2822"/>
      <c r="AD394" s="2822"/>
      <c r="AE394" s="2822"/>
      <c r="AF394" s="2822"/>
      <c r="AG394" s="2822"/>
      <c r="AH394" s="2822"/>
      <c r="AI394" s="2822"/>
      <c r="AJ394" s="2822"/>
      <c r="AK394" s="2822"/>
      <c r="AL394" s="2822"/>
      <c r="AM394" s="2822"/>
      <c r="AN394" s="2822"/>
      <c r="AO394" s="2822"/>
      <c r="AP394" s="2822"/>
      <c r="AQ394" s="2822"/>
      <c r="AR394" s="2822"/>
      <c r="AS394" s="2822"/>
      <c r="AT394" s="2822"/>
      <c r="AU394" s="2822"/>
      <c r="AV394" s="2822"/>
      <c r="AW394" s="2822"/>
      <c r="AX394" s="2822"/>
      <c r="AY394" s="2822"/>
      <c r="AZ394" s="2822"/>
      <c r="BA394" s="2822"/>
      <c r="BB394" s="2822"/>
      <c r="BC394" s="2822"/>
      <c r="BD394" s="2822"/>
      <c r="BE394" s="2822"/>
      <c r="BF394" s="2822"/>
      <c r="BG394" s="2822"/>
      <c r="BH394" s="2822"/>
      <c r="BI394" s="2822"/>
      <c r="BJ394" s="2822"/>
      <c r="BK394" s="2822"/>
      <c r="BL394" s="2822"/>
      <c r="BM394" s="2822"/>
      <c r="BN394" s="2822"/>
      <c r="BO394" s="2822"/>
      <c r="BP394" s="2822"/>
      <c r="BQ394" s="2822"/>
      <c r="BR394" s="2822"/>
      <c r="BS394" s="2822"/>
      <c r="BT394" s="2822"/>
      <c r="BU394" s="2822"/>
      <c r="BV394" s="2822"/>
      <c r="BW394" s="2822"/>
      <c r="BX394" s="2822"/>
      <c r="BY394" s="2822"/>
      <c r="BZ394" s="2822"/>
      <c r="CA394" s="2822"/>
      <c r="CB394" s="2822"/>
      <c r="CC394" s="2822"/>
      <c r="CD394" s="2822"/>
      <c r="CE394" s="2822"/>
      <c r="CF394" s="2822"/>
      <c r="CG394" s="2822"/>
      <c r="CH394" s="2822"/>
      <c r="CI394" s="2822"/>
      <c r="CJ394" s="2822"/>
      <c r="CK394" s="2822"/>
      <c r="CL394" s="2822"/>
      <c r="CM394" s="2822"/>
      <c r="CN394" s="2822"/>
    </row>
    <row r="395" spans="1:92" x14ac:dyDescent="0.2">
      <c r="A395" s="2822"/>
      <c r="B395" s="2822"/>
      <c r="C395" s="2822"/>
      <c r="D395" s="2822"/>
      <c r="E395" s="2822"/>
      <c r="F395" s="2822"/>
      <c r="G395" s="2822"/>
      <c r="H395" s="2822"/>
      <c r="I395" s="2822"/>
      <c r="J395" s="2822"/>
      <c r="K395" s="2822"/>
      <c r="L395" s="2822"/>
      <c r="M395" s="2822"/>
      <c r="N395" s="2822"/>
      <c r="O395" s="2822"/>
      <c r="P395" s="2822"/>
      <c r="Q395" s="2822"/>
      <c r="R395" s="2822"/>
      <c r="S395" s="2822"/>
      <c r="T395" s="2822"/>
      <c r="U395" s="2822"/>
      <c r="V395" s="2822"/>
      <c r="W395" s="2822"/>
      <c r="X395" s="2822"/>
      <c r="Y395" s="2822"/>
      <c r="Z395" s="2822"/>
      <c r="AA395" s="2822"/>
      <c r="AB395" s="2822"/>
      <c r="AC395" s="2822"/>
      <c r="AD395" s="2822"/>
      <c r="AE395" s="2822"/>
      <c r="AF395" s="2822"/>
      <c r="AG395" s="2822"/>
      <c r="AH395" s="2822"/>
      <c r="AI395" s="2822"/>
      <c r="AJ395" s="2822"/>
      <c r="AK395" s="2822"/>
      <c r="AL395" s="2822"/>
      <c r="AM395" s="2822"/>
      <c r="AN395" s="2822"/>
      <c r="AO395" s="2822"/>
      <c r="AP395" s="2822"/>
      <c r="AQ395" s="2822"/>
      <c r="AR395" s="2822"/>
      <c r="AS395" s="2822"/>
      <c r="AT395" s="2822"/>
      <c r="AU395" s="2822"/>
      <c r="AV395" s="2822"/>
      <c r="AW395" s="2822"/>
      <c r="AX395" s="2822"/>
      <c r="AY395" s="2822"/>
      <c r="AZ395" s="2822"/>
      <c r="BA395" s="2822"/>
      <c r="BB395" s="2822"/>
      <c r="BC395" s="2822"/>
      <c r="BD395" s="2822"/>
      <c r="BE395" s="2822"/>
      <c r="BF395" s="2822"/>
      <c r="BG395" s="2822"/>
      <c r="BH395" s="2822"/>
      <c r="BI395" s="2822"/>
      <c r="BJ395" s="2822"/>
      <c r="BK395" s="2822"/>
      <c r="BL395" s="2822"/>
      <c r="BM395" s="2822"/>
      <c r="BN395" s="2822"/>
      <c r="BO395" s="2822"/>
      <c r="BP395" s="2822"/>
      <c r="BQ395" s="2822"/>
      <c r="BR395" s="2822"/>
      <c r="BS395" s="2822"/>
      <c r="BT395" s="2822"/>
      <c r="BU395" s="2822"/>
      <c r="BV395" s="2822"/>
      <c r="BW395" s="2822"/>
      <c r="BX395" s="2822"/>
      <c r="BY395" s="2822"/>
      <c r="BZ395" s="2822"/>
      <c r="CA395" s="2822"/>
      <c r="CB395" s="2822"/>
      <c r="CC395" s="2822"/>
      <c r="CD395" s="2822"/>
      <c r="CE395" s="2822"/>
      <c r="CF395" s="2822"/>
      <c r="CG395" s="2822"/>
      <c r="CH395" s="2822"/>
      <c r="CI395" s="2822"/>
      <c r="CJ395" s="2822"/>
      <c r="CK395" s="2822"/>
      <c r="CL395" s="2822"/>
      <c r="CM395" s="2822"/>
      <c r="CN395" s="2822"/>
    </row>
    <row r="396" spans="1:92" x14ac:dyDescent="0.2">
      <c r="A396" s="2822"/>
      <c r="B396" s="2822"/>
      <c r="C396" s="2822"/>
      <c r="D396" s="2822"/>
      <c r="E396" s="2822"/>
      <c r="F396" s="2822"/>
      <c r="G396" s="2822"/>
      <c r="H396" s="2822"/>
      <c r="I396" s="2822"/>
      <c r="J396" s="2822"/>
      <c r="K396" s="2822"/>
      <c r="L396" s="2822"/>
      <c r="M396" s="2822"/>
      <c r="N396" s="2822"/>
      <c r="O396" s="2822"/>
      <c r="P396" s="2822"/>
      <c r="Q396" s="2822"/>
      <c r="R396" s="2822"/>
      <c r="S396" s="2822"/>
      <c r="T396" s="2822"/>
      <c r="U396" s="2822"/>
      <c r="V396" s="2822"/>
      <c r="W396" s="2822"/>
      <c r="X396" s="2822"/>
      <c r="Y396" s="2822"/>
      <c r="Z396" s="2822"/>
      <c r="AA396" s="2822"/>
      <c r="AB396" s="2822"/>
      <c r="AC396" s="2822"/>
      <c r="AD396" s="2822"/>
      <c r="AE396" s="2822"/>
      <c r="AF396" s="2822"/>
      <c r="AG396" s="2822"/>
      <c r="AH396" s="2822"/>
      <c r="AI396" s="2822"/>
      <c r="AJ396" s="2822"/>
      <c r="AK396" s="2822"/>
      <c r="AL396" s="2822"/>
      <c r="AM396" s="2822"/>
      <c r="AN396" s="2822"/>
      <c r="AO396" s="2822"/>
      <c r="AP396" s="2822"/>
      <c r="AQ396" s="2822"/>
      <c r="AR396" s="2822"/>
      <c r="AS396" s="2822"/>
      <c r="AT396" s="2822"/>
      <c r="AU396" s="2822"/>
      <c r="AV396" s="2822"/>
      <c r="AW396" s="2822"/>
      <c r="AX396" s="2822"/>
      <c r="AY396" s="2822"/>
      <c r="AZ396" s="2822"/>
      <c r="BA396" s="2822"/>
      <c r="BB396" s="2822"/>
      <c r="BC396" s="2822"/>
      <c r="BD396" s="2822"/>
      <c r="BE396" s="2822"/>
      <c r="BF396" s="2822"/>
      <c r="BG396" s="2822"/>
      <c r="BH396" s="2822"/>
      <c r="BI396" s="2822"/>
      <c r="BJ396" s="2822"/>
      <c r="BK396" s="2822"/>
      <c r="BL396" s="2822"/>
      <c r="BM396" s="2822"/>
      <c r="BN396" s="2822"/>
      <c r="BO396" s="2822"/>
      <c r="BP396" s="2822"/>
      <c r="BQ396" s="2822"/>
      <c r="BR396" s="2822"/>
      <c r="BS396" s="2822"/>
      <c r="BT396" s="2822"/>
      <c r="BU396" s="2822"/>
      <c r="BV396" s="2822"/>
      <c r="BW396" s="2822"/>
      <c r="BX396" s="2822"/>
      <c r="BY396" s="2822"/>
      <c r="BZ396" s="2822"/>
      <c r="CA396" s="2822"/>
      <c r="CB396" s="2822"/>
      <c r="CC396" s="2822"/>
      <c r="CD396" s="2822"/>
      <c r="CE396" s="2822"/>
      <c r="CF396" s="2822"/>
      <c r="CG396" s="2822"/>
      <c r="CH396" s="2822"/>
      <c r="CI396" s="2822"/>
      <c r="CJ396" s="2822"/>
      <c r="CK396" s="2822"/>
      <c r="CL396" s="2822"/>
      <c r="CM396" s="2822"/>
      <c r="CN396" s="2822"/>
    </row>
    <row r="397" spans="1:92" x14ac:dyDescent="0.2">
      <c r="A397" s="2822"/>
      <c r="B397" s="2822"/>
      <c r="C397" s="2822"/>
      <c r="D397" s="2822"/>
      <c r="E397" s="2822"/>
      <c r="F397" s="2822"/>
      <c r="G397" s="2822"/>
      <c r="H397" s="2822"/>
      <c r="I397" s="2822"/>
      <c r="J397" s="2822"/>
      <c r="K397" s="2822"/>
      <c r="L397" s="2822"/>
      <c r="M397" s="2822"/>
      <c r="N397" s="2822"/>
      <c r="O397" s="2822"/>
      <c r="P397" s="2822"/>
      <c r="Q397" s="2822"/>
      <c r="R397" s="2822"/>
      <c r="S397" s="2822"/>
      <c r="T397" s="2822"/>
      <c r="U397" s="2822"/>
      <c r="V397" s="2822"/>
      <c r="W397" s="2822"/>
      <c r="X397" s="2822"/>
      <c r="Y397" s="2822"/>
      <c r="Z397" s="2822"/>
      <c r="AA397" s="2822"/>
      <c r="AB397" s="2822"/>
      <c r="AC397" s="2822"/>
      <c r="AD397" s="2822"/>
      <c r="AE397" s="2822"/>
      <c r="AF397" s="2822"/>
      <c r="AG397" s="2822"/>
      <c r="AH397" s="2822"/>
      <c r="AI397" s="2822"/>
      <c r="AJ397" s="2822"/>
      <c r="AK397" s="2822"/>
      <c r="AL397" s="2822"/>
      <c r="AM397" s="2822"/>
      <c r="AN397" s="2822"/>
      <c r="AO397" s="2822"/>
      <c r="AP397" s="2822"/>
      <c r="AQ397" s="2822"/>
      <c r="AR397" s="2822"/>
      <c r="AS397" s="2822"/>
      <c r="AT397" s="2822"/>
      <c r="AU397" s="2822"/>
      <c r="AV397" s="2822"/>
      <c r="AW397" s="2822"/>
      <c r="AX397" s="2822"/>
      <c r="AY397" s="2822"/>
      <c r="AZ397" s="2822"/>
      <c r="BA397" s="2822"/>
      <c r="BB397" s="2822"/>
      <c r="BC397" s="2822"/>
      <c r="BD397" s="2822"/>
      <c r="BE397" s="2822"/>
      <c r="BF397" s="2822"/>
      <c r="BG397" s="2822"/>
      <c r="BH397" s="2822"/>
      <c r="BI397" s="2822"/>
      <c r="BJ397" s="2822"/>
      <c r="BK397" s="2822"/>
      <c r="BL397" s="2822"/>
      <c r="BM397" s="2822"/>
      <c r="BN397" s="2822"/>
      <c r="BO397" s="2822"/>
      <c r="BP397" s="2822"/>
      <c r="BQ397" s="2822"/>
      <c r="BR397" s="2822"/>
      <c r="BS397" s="2822"/>
      <c r="BT397" s="2822"/>
      <c r="BU397" s="2822"/>
      <c r="BV397" s="2822"/>
      <c r="BW397" s="2822"/>
      <c r="BX397" s="2822"/>
      <c r="BY397" s="2822"/>
      <c r="BZ397" s="2822"/>
      <c r="CA397" s="2822"/>
      <c r="CB397" s="2822"/>
      <c r="CC397" s="2822"/>
      <c r="CD397" s="2822"/>
      <c r="CE397" s="2822"/>
      <c r="CF397" s="2822"/>
      <c r="CG397" s="2822"/>
      <c r="CH397" s="2822"/>
      <c r="CI397" s="2822"/>
      <c r="CJ397" s="2822"/>
      <c r="CK397" s="2822"/>
      <c r="CL397" s="2822"/>
      <c r="CM397" s="2822"/>
      <c r="CN397" s="2822"/>
    </row>
    <row r="398" spans="1:92" x14ac:dyDescent="0.2">
      <c r="A398" s="2822"/>
      <c r="B398" s="2822"/>
      <c r="C398" s="2822"/>
      <c r="D398" s="2822"/>
      <c r="E398" s="2822"/>
      <c r="F398" s="2822"/>
      <c r="G398" s="2822"/>
      <c r="H398" s="2822"/>
      <c r="I398" s="2822"/>
      <c r="J398" s="2822"/>
      <c r="K398" s="2822"/>
      <c r="L398" s="2822"/>
      <c r="M398" s="2822"/>
      <c r="N398" s="2822"/>
      <c r="O398" s="2822"/>
      <c r="P398" s="2822"/>
      <c r="Q398" s="2822"/>
      <c r="R398" s="2822"/>
      <c r="S398" s="2822"/>
      <c r="T398" s="2822"/>
      <c r="U398" s="2822"/>
      <c r="V398" s="2822"/>
      <c r="W398" s="2822"/>
      <c r="X398" s="2822"/>
      <c r="Y398" s="2822"/>
      <c r="Z398" s="2822"/>
      <c r="AA398" s="2822"/>
      <c r="AB398" s="2822"/>
      <c r="AC398" s="2822"/>
      <c r="AD398" s="2822"/>
      <c r="AE398" s="2822"/>
      <c r="AF398" s="2822"/>
      <c r="AG398" s="2822"/>
      <c r="AH398" s="2822"/>
      <c r="AI398" s="2822"/>
      <c r="AJ398" s="2822"/>
      <c r="AK398" s="2822"/>
      <c r="AL398" s="2822"/>
      <c r="AM398" s="2822"/>
      <c r="AN398" s="2822"/>
      <c r="AO398" s="2822"/>
      <c r="AP398" s="2822"/>
      <c r="AQ398" s="2822"/>
      <c r="AR398" s="2822"/>
      <c r="AS398" s="2822"/>
      <c r="AT398" s="2822"/>
      <c r="AU398" s="2822"/>
      <c r="AV398" s="2822"/>
      <c r="AW398" s="2822"/>
      <c r="AX398" s="2822"/>
      <c r="AY398" s="2822"/>
      <c r="AZ398" s="2822"/>
      <c r="BA398" s="2822"/>
      <c r="BB398" s="2822"/>
      <c r="BC398" s="2822"/>
      <c r="BD398" s="2822"/>
      <c r="BE398" s="2822"/>
      <c r="BF398" s="2822"/>
      <c r="BG398" s="2822"/>
      <c r="BH398" s="2822"/>
      <c r="BI398" s="2822"/>
      <c r="BJ398" s="2822"/>
      <c r="BK398" s="2822"/>
      <c r="BL398" s="2822"/>
      <c r="BM398" s="2822"/>
      <c r="BN398" s="2822"/>
      <c r="BO398" s="2822"/>
      <c r="BP398" s="2822"/>
      <c r="BQ398" s="2822"/>
      <c r="BR398" s="2822"/>
      <c r="BS398" s="2822"/>
      <c r="BT398" s="2822"/>
      <c r="BU398" s="2822"/>
      <c r="BV398" s="2822"/>
      <c r="BW398" s="2822"/>
      <c r="BX398" s="2822"/>
      <c r="BY398" s="2822"/>
      <c r="BZ398" s="2822"/>
      <c r="CA398" s="2822"/>
      <c r="CB398" s="2822"/>
      <c r="CC398" s="2822"/>
      <c r="CD398" s="2822"/>
      <c r="CE398" s="2822"/>
      <c r="CF398" s="2822"/>
      <c r="CG398" s="2822"/>
      <c r="CH398" s="2822"/>
      <c r="CI398" s="2822"/>
      <c r="CJ398" s="2822"/>
      <c r="CK398" s="2822"/>
      <c r="CL398" s="2822"/>
      <c r="CM398" s="2822"/>
      <c r="CN398" s="2822"/>
    </row>
    <row r="399" spans="1:92" x14ac:dyDescent="0.2">
      <c r="A399" s="2822"/>
      <c r="B399" s="2822"/>
      <c r="C399" s="2822"/>
      <c r="D399" s="2822"/>
      <c r="E399" s="2822"/>
      <c r="F399" s="2822"/>
      <c r="G399" s="2822"/>
      <c r="H399" s="2822"/>
      <c r="I399" s="2822"/>
      <c r="J399" s="2822"/>
      <c r="K399" s="2822"/>
      <c r="L399" s="2822"/>
      <c r="M399" s="2822"/>
      <c r="N399" s="2822"/>
      <c r="O399" s="2822"/>
      <c r="P399" s="2822"/>
      <c r="Q399" s="2822"/>
      <c r="R399" s="2822"/>
      <c r="S399" s="2822"/>
      <c r="T399" s="2822"/>
      <c r="U399" s="2822"/>
      <c r="V399" s="2822"/>
      <c r="W399" s="2822"/>
      <c r="X399" s="2822"/>
      <c r="Y399" s="2822"/>
      <c r="Z399" s="2822"/>
      <c r="AA399" s="2822"/>
      <c r="AB399" s="2822"/>
      <c r="AC399" s="2822"/>
      <c r="AD399" s="2822"/>
      <c r="AE399" s="2822"/>
      <c r="AF399" s="2822"/>
      <c r="AG399" s="2822"/>
      <c r="AH399" s="2822"/>
      <c r="AI399" s="2822"/>
      <c r="AJ399" s="2822"/>
      <c r="AK399" s="2822"/>
      <c r="AL399" s="2822"/>
      <c r="AM399" s="2822"/>
      <c r="AN399" s="2822"/>
      <c r="AO399" s="2822"/>
      <c r="AP399" s="2822"/>
      <c r="AQ399" s="2822"/>
      <c r="AR399" s="2822"/>
      <c r="AS399" s="2822"/>
      <c r="AT399" s="2822"/>
      <c r="AU399" s="2822"/>
      <c r="AV399" s="2822"/>
      <c r="AW399" s="2822"/>
      <c r="AX399" s="2822"/>
      <c r="AY399" s="2822"/>
      <c r="AZ399" s="2822"/>
      <c r="BA399" s="2822"/>
      <c r="BB399" s="2822"/>
      <c r="BC399" s="2822"/>
      <c r="BD399" s="2822"/>
      <c r="BE399" s="2822"/>
      <c r="BF399" s="2822"/>
      <c r="BG399" s="2822"/>
      <c r="BH399" s="2822"/>
      <c r="BI399" s="2822"/>
      <c r="BJ399" s="2822"/>
      <c r="BK399" s="2822"/>
      <c r="BL399" s="2822"/>
      <c r="BM399" s="2822"/>
      <c r="BN399" s="2822"/>
      <c r="BO399" s="2822"/>
      <c r="BP399" s="2822"/>
      <c r="BQ399" s="2822"/>
      <c r="BR399" s="2822"/>
      <c r="BS399" s="2822"/>
      <c r="BT399" s="2822"/>
      <c r="BU399" s="2822"/>
      <c r="BV399" s="2822"/>
      <c r="BW399" s="2822"/>
      <c r="BX399" s="2822"/>
      <c r="BY399" s="2822"/>
      <c r="BZ399" s="2822"/>
      <c r="CA399" s="2822"/>
      <c r="CB399" s="2822"/>
      <c r="CC399" s="2822"/>
      <c r="CD399" s="2822"/>
      <c r="CE399" s="2822"/>
      <c r="CF399" s="2822"/>
      <c r="CG399" s="2822"/>
      <c r="CH399" s="2822"/>
      <c r="CI399" s="2822"/>
      <c r="CJ399" s="2822"/>
      <c r="CK399" s="2822"/>
      <c r="CL399" s="2822"/>
      <c r="CM399" s="2822"/>
      <c r="CN399" s="2822"/>
    </row>
    <row r="400" spans="1:92" x14ac:dyDescent="0.2">
      <c r="A400" s="2822"/>
      <c r="B400" s="2822"/>
      <c r="C400" s="2822"/>
      <c r="D400" s="2822"/>
      <c r="E400" s="2822"/>
      <c r="F400" s="2822"/>
      <c r="G400" s="2822"/>
      <c r="H400" s="2822"/>
      <c r="I400" s="2822"/>
      <c r="J400" s="2822"/>
      <c r="K400" s="2822"/>
      <c r="L400" s="2822"/>
      <c r="M400" s="2822"/>
      <c r="N400" s="2822"/>
      <c r="O400" s="2822"/>
      <c r="P400" s="2822"/>
      <c r="Q400" s="2822"/>
      <c r="R400" s="2822"/>
      <c r="S400" s="2822"/>
      <c r="T400" s="2822"/>
      <c r="U400" s="2822"/>
      <c r="V400" s="2822"/>
      <c r="W400" s="2822"/>
      <c r="X400" s="2822"/>
      <c r="Y400" s="2822"/>
      <c r="Z400" s="2822"/>
      <c r="AA400" s="2822"/>
      <c r="AB400" s="2822"/>
      <c r="AC400" s="2822"/>
      <c r="AD400" s="2822"/>
      <c r="AE400" s="2822"/>
      <c r="AF400" s="2822"/>
      <c r="AG400" s="2822"/>
      <c r="AH400" s="2822"/>
      <c r="AI400" s="2822"/>
      <c r="AJ400" s="2822"/>
      <c r="AK400" s="2822"/>
      <c r="AL400" s="2822"/>
      <c r="AM400" s="2822"/>
      <c r="AN400" s="2822"/>
      <c r="AO400" s="2822"/>
      <c r="AP400" s="2822"/>
      <c r="AQ400" s="2822"/>
      <c r="AR400" s="2822"/>
      <c r="AS400" s="2822"/>
      <c r="AT400" s="2822"/>
      <c r="AU400" s="2822"/>
      <c r="AV400" s="2822"/>
      <c r="AW400" s="2822"/>
      <c r="AX400" s="2822"/>
      <c r="AY400" s="2822"/>
      <c r="AZ400" s="2822"/>
      <c r="BA400" s="2822"/>
      <c r="BB400" s="2822"/>
      <c r="BC400" s="2822"/>
      <c r="BD400" s="2822"/>
      <c r="BE400" s="2822"/>
      <c r="BF400" s="2822"/>
      <c r="BG400" s="2822"/>
      <c r="BH400" s="2822"/>
      <c r="BI400" s="2822"/>
      <c r="BJ400" s="2822"/>
      <c r="BK400" s="2822"/>
      <c r="BL400" s="2822"/>
      <c r="BM400" s="2822"/>
      <c r="BN400" s="2822"/>
      <c r="BO400" s="2822"/>
      <c r="BP400" s="2822"/>
      <c r="BQ400" s="2822"/>
      <c r="BR400" s="2822"/>
      <c r="BS400" s="2822"/>
      <c r="BT400" s="2822"/>
      <c r="BU400" s="2822"/>
      <c r="BV400" s="2822"/>
      <c r="BW400" s="2822"/>
      <c r="BX400" s="2822"/>
      <c r="BY400" s="2822"/>
      <c r="BZ400" s="2822"/>
      <c r="CA400" s="2822"/>
      <c r="CB400" s="2822"/>
      <c r="CC400" s="2822"/>
      <c r="CD400" s="2822"/>
      <c r="CE400" s="2822"/>
      <c r="CF400" s="2822"/>
      <c r="CG400" s="2822"/>
      <c r="CH400" s="2822"/>
      <c r="CI400" s="2822"/>
      <c r="CJ400" s="2822"/>
      <c r="CK400" s="2822"/>
      <c r="CL400" s="2822"/>
      <c r="CM400" s="2822"/>
      <c r="CN400" s="2822"/>
    </row>
    <row r="401" spans="1:92" x14ac:dyDescent="0.2">
      <c r="A401" s="2822"/>
      <c r="B401" s="2822"/>
      <c r="C401" s="2822"/>
      <c r="D401" s="2822"/>
      <c r="E401" s="2822"/>
      <c r="F401" s="2822"/>
      <c r="G401" s="2822"/>
      <c r="H401" s="2822"/>
      <c r="I401" s="2822"/>
      <c r="J401" s="2822"/>
      <c r="K401" s="2822"/>
      <c r="L401" s="2822"/>
      <c r="M401" s="2822"/>
      <c r="N401" s="2822"/>
      <c r="O401" s="2822"/>
      <c r="P401" s="2822"/>
      <c r="Q401" s="2822"/>
      <c r="R401" s="2822"/>
      <c r="S401" s="2822"/>
      <c r="T401" s="2822"/>
      <c r="U401" s="2822"/>
      <c r="V401" s="2822"/>
      <c r="W401" s="2822"/>
      <c r="X401" s="2822"/>
      <c r="Y401" s="2822"/>
      <c r="Z401" s="2822"/>
      <c r="AA401" s="2822"/>
      <c r="AB401" s="2822"/>
      <c r="AC401" s="2822"/>
      <c r="AD401" s="2822"/>
      <c r="AE401" s="2822"/>
      <c r="AF401" s="2822"/>
      <c r="AG401" s="2822"/>
      <c r="AH401" s="2822"/>
      <c r="AI401" s="2822"/>
      <c r="AJ401" s="2822"/>
      <c r="AK401" s="2822"/>
      <c r="AL401" s="2822"/>
      <c r="AM401" s="2822"/>
      <c r="AN401" s="2822"/>
      <c r="AO401" s="2822"/>
      <c r="AP401" s="2822"/>
      <c r="AQ401" s="2822"/>
      <c r="AR401" s="2822"/>
      <c r="AS401" s="2822"/>
      <c r="AT401" s="2822"/>
      <c r="AU401" s="2822"/>
      <c r="AV401" s="2822"/>
      <c r="AW401" s="2822"/>
      <c r="AX401" s="2822"/>
      <c r="AY401" s="2822"/>
      <c r="AZ401" s="2822"/>
      <c r="BA401" s="2822"/>
      <c r="BB401" s="2822"/>
      <c r="BC401" s="2822"/>
      <c r="BD401" s="2822"/>
      <c r="BE401" s="2822"/>
      <c r="BF401" s="2822"/>
      <c r="BG401" s="2822"/>
      <c r="BH401" s="2822"/>
      <c r="BI401" s="2822"/>
      <c r="BJ401" s="2822"/>
      <c r="BK401" s="2822"/>
      <c r="BL401" s="2822"/>
      <c r="BM401" s="2822"/>
      <c r="BN401" s="2822"/>
      <c r="BO401" s="2822"/>
      <c r="BP401" s="2822"/>
      <c r="BQ401" s="2822"/>
      <c r="BR401" s="2822"/>
      <c r="BS401" s="2822"/>
      <c r="BT401" s="2822"/>
      <c r="BU401" s="2822"/>
      <c r="BV401" s="2822"/>
      <c r="BW401" s="2822"/>
      <c r="BX401" s="2822"/>
      <c r="BY401" s="2822"/>
      <c r="BZ401" s="2822"/>
      <c r="CA401" s="2822"/>
      <c r="CB401" s="2822"/>
      <c r="CC401" s="2822"/>
      <c r="CD401" s="2822"/>
      <c r="CE401" s="2822"/>
      <c r="CF401" s="2822"/>
      <c r="CG401" s="2822"/>
      <c r="CH401" s="2822"/>
      <c r="CI401" s="2822"/>
      <c r="CJ401" s="2822"/>
      <c r="CK401" s="2822"/>
      <c r="CL401" s="2822"/>
      <c r="CM401" s="2822"/>
      <c r="CN401" s="2822"/>
    </row>
    <row r="402" spans="1:92" x14ac:dyDescent="0.2">
      <c r="A402" s="2822"/>
      <c r="B402" s="2822"/>
      <c r="C402" s="2822"/>
      <c r="D402" s="2822"/>
      <c r="E402" s="2822"/>
      <c r="F402" s="2822"/>
      <c r="G402" s="2822"/>
      <c r="H402" s="2822"/>
      <c r="I402" s="2822"/>
      <c r="J402" s="2822"/>
      <c r="K402" s="2822"/>
      <c r="L402" s="2822"/>
      <c r="M402" s="2822"/>
      <c r="N402" s="2822"/>
      <c r="O402" s="2822"/>
      <c r="P402" s="2822"/>
      <c r="Q402" s="2822"/>
      <c r="R402" s="2822"/>
      <c r="S402" s="2822"/>
      <c r="T402" s="2822"/>
      <c r="U402" s="2822"/>
      <c r="V402" s="2822"/>
      <c r="W402" s="2822"/>
      <c r="X402" s="2822"/>
      <c r="Y402" s="2822"/>
      <c r="Z402" s="2822"/>
      <c r="AA402" s="2822"/>
      <c r="AB402" s="2822"/>
      <c r="AC402" s="2822"/>
      <c r="AD402" s="2822"/>
      <c r="AE402" s="2822"/>
      <c r="AF402" s="2822"/>
      <c r="AG402" s="2822"/>
      <c r="AH402" s="2822"/>
      <c r="AI402" s="2822"/>
      <c r="AJ402" s="2822"/>
      <c r="AK402" s="2822"/>
      <c r="AL402" s="2822"/>
      <c r="AM402" s="2822"/>
      <c r="AN402" s="2822"/>
      <c r="AO402" s="2822"/>
      <c r="AP402" s="2822"/>
      <c r="AQ402" s="2822"/>
      <c r="AR402" s="2822"/>
      <c r="AS402" s="2822"/>
      <c r="AT402" s="2822"/>
      <c r="AU402" s="2822"/>
      <c r="AV402" s="2822"/>
      <c r="AW402" s="2822"/>
      <c r="AX402" s="2822"/>
      <c r="AY402" s="2822"/>
      <c r="AZ402" s="2822"/>
      <c r="BA402" s="2822"/>
      <c r="BB402" s="2822"/>
      <c r="BC402" s="2822"/>
      <c r="BD402" s="2822"/>
      <c r="BE402" s="2822"/>
      <c r="BF402" s="2822"/>
      <c r="BG402" s="2822"/>
      <c r="BH402" s="2822"/>
      <c r="BI402" s="2822"/>
      <c r="BJ402" s="2822"/>
      <c r="BK402" s="2822"/>
      <c r="BL402" s="2822"/>
      <c r="BM402" s="2822"/>
      <c r="BN402" s="2822"/>
      <c r="BO402" s="2822"/>
      <c r="BP402" s="2822"/>
      <c r="BQ402" s="2822"/>
      <c r="BR402" s="2822"/>
      <c r="BS402" s="2822"/>
      <c r="BT402" s="2822"/>
      <c r="BU402" s="2822"/>
      <c r="BV402" s="2822"/>
      <c r="BW402" s="2822"/>
      <c r="BX402" s="2822"/>
      <c r="BY402" s="2822"/>
      <c r="BZ402" s="2822"/>
      <c r="CA402" s="2822"/>
      <c r="CB402" s="2822"/>
      <c r="CC402" s="2822"/>
      <c r="CD402" s="2822"/>
      <c r="CE402" s="2822"/>
      <c r="CF402" s="2822"/>
      <c r="CG402" s="2822"/>
      <c r="CH402" s="2822"/>
      <c r="CI402" s="2822"/>
      <c r="CJ402" s="2822"/>
      <c r="CK402" s="2822"/>
      <c r="CL402" s="2822"/>
      <c r="CM402" s="2822"/>
      <c r="CN402" s="2822"/>
    </row>
    <row r="403" spans="1:92" x14ac:dyDescent="0.2">
      <c r="A403" s="2822"/>
      <c r="B403" s="2822"/>
      <c r="C403" s="2822"/>
      <c r="D403" s="2822"/>
      <c r="E403" s="2822"/>
      <c r="F403" s="2822"/>
      <c r="G403" s="2822"/>
      <c r="H403" s="2822"/>
      <c r="I403" s="2822"/>
      <c r="J403" s="2822"/>
      <c r="K403" s="2822"/>
      <c r="L403" s="2822"/>
      <c r="M403" s="2822"/>
      <c r="N403" s="2822"/>
      <c r="O403" s="2822"/>
      <c r="P403" s="2822"/>
      <c r="Q403" s="2822"/>
      <c r="R403" s="2822"/>
      <c r="S403" s="2822"/>
      <c r="T403" s="2822"/>
      <c r="U403" s="2822"/>
      <c r="V403" s="2822"/>
      <c r="W403" s="2822"/>
      <c r="X403" s="2822"/>
      <c r="Y403" s="2822"/>
      <c r="Z403" s="2822"/>
      <c r="AA403" s="2822"/>
      <c r="AB403" s="2822"/>
      <c r="AC403" s="2822"/>
      <c r="AD403" s="2822"/>
      <c r="AE403" s="2822"/>
      <c r="AF403" s="2822"/>
      <c r="AG403" s="2822"/>
      <c r="AH403" s="2822"/>
      <c r="AI403" s="2822"/>
      <c r="AJ403" s="2822"/>
      <c r="AK403" s="2822"/>
      <c r="AL403" s="2822"/>
      <c r="AM403" s="2822"/>
      <c r="AN403" s="2822"/>
      <c r="AO403" s="2822"/>
      <c r="AP403" s="2822"/>
      <c r="AQ403" s="2822"/>
      <c r="AR403" s="2822"/>
      <c r="AS403" s="2822"/>
      <c r="AT403" s="2822"/>
      <c r="AU403" s="2822"/>
      <c r="AV403" s="2822"/>
      <c r="AW403" s="2822"/>
      <c r="AX403" s="2822"/>
      <c r="AY403" s="2822"/>
      <c r="AZ403" s="2822"/>
      <c r="BA403" s="2822"/>
      <c r="BB403" s="2822"/>
      <c r="BC403" s="2822"/>
      <c r="BD403" s="2822"/>
      <c r="BE403" s="2822"/>
      <c r="BF403" s="2822"/>
      <c r="BG403" s="2822"/>
      <c r="BH403" s="2822"/>
      <c r="BI403" s="2822"/>
      <c r="BJ403" s="2822"/>
      <c r="BK403" s="2822"/>
      <c r="BL403" s="2822"/>
      <c r="BM403" s="2822"/>
      <c r="BN403" s="2822"/>
      <c r="BO403" s="2822"/>
      <c r="BP403" s="2822"/>
      <c r="BQ403" s="2822"/>
      <c r="BR403" s="2822"/>
      <c r="BS403" s="2822"/>
      <c r="BT403" s="2822"/>
      <c r="BU403" s="2822"/>
      <c r="BV403" s="2822"/>
      <c r="BW403" s="2822"/>
      <c r="BX403" s="2822"/>
      <c r="BY403" s="2822"/>
      <c r="BZ403" s="2822"/>
      <c r="CA403" s="2822"/>
      <c r="CB403" s="2822"/>
      <c r="CC403" s="2822"/>
      <c r="CD403" s="2822"/>
      <c r="CE403" s="2822"/>
      <c r="CF403" s="2822"/>
      <c r="CG403" s="2822"/>
      <c r="CH403" s="2822"/>
      <c r="CI403" s="2822"/>
      <c r="CJ403" s="2822"/>
      <c r="CK403" s="2822"/>
      <c r="CL403" s="2822"/>
      <c r="CM403" s="2822"/>
      <c r="CN403" s="2822"/>
    </row>
    <row r="404" spans="1:92" x14ac:dyDescent="0.2">
      <c r="A404" s="2822"/>
      <c r="B404" s="2822"/>
      <c r="C404" s="2822"/>
      <c r="D404" s="2822"/>
      <c r="E404" s="2822"/>
      <c r="F404" s="2822"/>
      <c r="G404" s="2822"/>
      <c r="H404" s="2822"/>
      <c r="I404" s="2822"/>
      <c r="J404" s="2822"/>
      <c r="K404" s="2822"/>
      <c r="L404" s="2822"/>
      <c r="M404" s="2822"/>
      <c r="N404" s="2822"/>
      <c r="O404" s="2822"/>
      <c r="P404" s="2822"/>
      <c r="Q404" s="2822"/>
      <c r="R404" s="2822"/>
      <c r="S404" s="2822"/>
      <c r="T404" s="2822"/>
      <c r="U404" s="2822"/>
      <c r="V404" s="2822"/>
      <c r="W404" s="2822"/>
      <c r="X404" s="2822"/>
      <c r="Y404" s="2822"/>
      <c r="Z404" s="2822"/>
      <c r="AA404" s="2822"/>
      <c r="AB404" s="2822"/>
      <c r="AC404" s="2822"/>
      <c r="AD404" s="2822"/>
      <c r="AE404" s="2822"/>
      <c r="AF404" s="2822"/>
      <c r="AG404" s="2822"/>
      <c r="AH404" s="2822"/>
      <c r="AI404" s="2822"/>
      <c r="AJ404" s="2822"/>
      <c r="AK404" s="2822"/>
      <c r="AL404" s="2822"/>
      <c r="AM404" s="2822"/>
      <c r="AN404" s="2822"/>
      <c r="AO404" s="2822"/>
      <c r="AP404" s="2822"/>
      <c r="AQ404" s="2822"/>
      <c r="AR404" s="2822"/>
      <c r="AS404" s="2822"/>
      <c r="AT404" s="2822"/>
      <c r="AU404" s="2822"/>
      <c r="AV404" s="2822"/>
      <c r="AW404" s="2822"/>
      <c r="AX404" s="2822"/>
      <c r="AY404" s="2822"/>
      <c r="AZ404" s="2822"/>
      <c r="BA404" s="2822"/>
      <c r="BB404" s="2822"/>
      <c r="BC404" s="2822"/>
      <c r="BD404" s="2822"/>
      <c r="BE404" s="2822"/>
      <c r="BF404" s="2822"/>
      <c r="BG404" s="2822"/>
      <c r="BH404" s="2822"/>
      <c r="BI404" s="2822"/>
      <c r="BJ404" s="2822"/>
      <c r="BK404" s="2822"/>
      <c r="BL404" s="2822"/>
      <c r="BM404" s="2822"/>
      <c r="BN404" s="2822"/>
      <c r="BO404" s="2822"/>
      <c r="BP404" s="2822"/>
      <c r="BQ404" s="2822"/>
      <c r="BR404" s="2822"/>
      <c r="BS404" s="2822"/>
      <c r="BT404" s="2822"/>
      <c r="BU404" s="2822"/>
      <c r="BV404" s="2822"/>
      <c r="BW404" s="2822"/>
      <c r="BX404" s="2822"/>
      <c r="BY404" s="2822"/>
      <c r="BZ404" s="2822"/>
      <c r="CA404" s="2822"/>
      <c r="CB404" s="2822"/>
      <c r="CC404" s="2822"/>
      <c r="CD404" s="2822"/>
      <c r="CE404" s="2822"/>
      <c r="CF404" s="2822"/>
      <c r="CG404" s="2822"/>
      <c r="CH404" s="2822"/>
      <c r="CI404" s="2822"/>
      <c r="CJ404" s="2822"/>
      <c r="CK404" s="2822"/>
      <c r="CL404" s="2822"/>
      <c r="CM404" s="2822"/>
      <c r="CN404" s="2822"/>
    </row>
    <row r="405" spans="1:92" x14ac:dyDescent="0.2">
      <c r="A405" s="2822"/>
      <c r="B405" s="2822"/>
      <c r="C405" s="2822"/>
      <c r="D405" s="2822"/>
      <c r="E405" s="2822"/>
      <c r="F405" s="2822"/>
      <c r="G405" s="2822"/>
      <c r="H405" s="2822"/>
      <c r="I405" s="2822"/>
      <c r="J405" s="2822"/>
      <c r="K405" s="2822"/>
      <c r="L405" s="2822"/>
      <c r="M405" s="2822"/>
      <c r="N405" s="2822"/>
      <c r="O405" s="2822"/>
      <c r="P405" s="2822"/>
      <c r="Q405" s="2822"/>
      <c r="R405" s="2822"/>
      <c r="S405" s="2822"/>
      <c r="T405" s="2822"/>
      <c r="U405" s="2822"/>
      <c r="V405" s="2822"/>
      <c r="W405" s="2822"/>
      <c r="X405" s="2822"/>
      <c r="Y405" s="2822"/>
      <c r="Z405" s="2822"/>
      <c r="AA405" s="2822"/>
      <c r="AB405" s="2822"/>
      <c r="AC405" s="2822"/>
      <c r="AD405" s="2822"/>
      <c r="AE405" s="2822"/>
      <c r="AF405" s="2822"/>
      <c r="AG405" s="2822"/>
      <c r="AH405" s="2822"/>
      <c r="AI405" s="2822"/>
      <c r="AJ405" s="2822"/>
      <c r="AK405" s="2822"/>
      <c r="AL405" s="2822"/>
      <c r="AM405" s="2822"/>
      <c r="AN405" s="2822"/>
      <c r="AO405" s="2822"/>
      <c r="AP405" s="2822"/>
      <c r="AQ405" s="2822"/>
      <c r="AR405" s="2822"/>
      <c r="AS405" s="2822"/>
      <c r="AT405" s="2822"/>
      <c r="AU405" s="2822"/>
      <c r="AV405" s="2822"/>
      <c r="AW405" s="2822"/>
      <c r="AX405" s="2822"/>
      <c r="AY405" s="2822"/>
      <c r="AZ405" s="2822"/>
      <c r="BA405" s="2822"/>
      <c r="BB405" s="2822"/>
      <c r="BC405" s="2822"/>
      <c r="BD405" s="2822"/>
      <c r="BE405" s="2822"/>
      <c r="BF405" s="2822"/>
      <c r="BG405" s="2822"/>
      <c r="BH405" s="2822"/>
      <c r="BI405" s="2822"/>
      <c r="BJ405" s="2822"/>
      <c r="BK405" s="2822"/>
      <c r="BL405" s="2822"/>
      <c r="BM405" s="2822"/>
      <c r="BN405" s="2822"/>
      <c r="BO405" s="2822"/>
      <c r="BP405" s="2822"/>
      <c r="BQ405" s="2822"/>
      <c r="BR405" s="2822"/>
      <c r="BS405" s="2822"/>
      <c r="BT405" s="2822"/>
      <c r="BU405" s="2822"/>
      <c r="BV405" s="2822"/>
      <c r="BW405" s="2822"/>
      <c r="BX405" s="2822"/>
      <c r="BY405" s="2822"/>
      <c r="BZ405" s="2822"/>
      <c r="CA405" s="2822"/>
      <c r="CB405" s="2822"/>
      <c r="CC405" s="2822"/>
      <c r="CD405" s="2822"/>
      <c r="CE405" s="2822"/>
      <c r="CF405" s="2822"/>
      <c r="CG405" s="2822"/>
      <c r="CH405" s="2822"/>
      <c r="CI405" s="2822"/>
      <c r="CJ405" s="2822"/>
      <c r="CK405" s="2822"/>
      <c r="CL405" s="2822"/>
      <c r="CM405" s="2822"/>
      <c r="CN405" s="2822"/>
    </row>
    <row r="406" spans="1:92" x14ac:dyDescent="0.2">
      <c r="A406" s="2822"/>
      <c r="B406" s="2822"/>
      <c r="C406" s="2822"/>
      <c r="D406" s="2822"/>
      <c r="E406" s="2822"/>
      <c r="F406" s="2822"/>
      <c r="G406" s="2822"/>
      <c r="H406" s="2822"/>
      <c r="I406" s="2822"/>
      <c r="J406" s="2822"/>
      <c r="K406" s="2822"/>
      <c r="L406" s="2822"/>
      <c r="M406" s="2822"/>
      <c r="N406" s="2822"/>
      <c r="O406" s="2822"/>
      <c r="P406" s="2822"/>
      <c r="Q406" s="2822"/>
      <c r="R406" s="2822"/>
      <c r="S406" s="2822"/>
      <c r="T406" s="2822"/>
      <c r="U406" s="2822"/>
      <c r="V406" s="2822"/>
      <c r="W406" s="2822"/>
      <c r="X406" s="2822"/>
      <c r="Y406" s="2822"/>
      <c r="Z406" s="2822"/>
      <c r="AA406" s="2822"/>
      <c r="AB406" s="2822"/>
      <c r="AC406" s="2822"/>
      <c r="AD406" s="2822"/>
      <c r="AE406" s="2822"/>
      <c r="AF406" s="2822"/>
      <c r="AG406" s="2822"/>
      <c r="AH406" s="2822"/>
      <c r="AI406" s="2822"/>
      <c r="AJ406" s="2822"/>
      <c r="AK406" s="2822"/>
      <c r="AL406" s="2822"/>
      <c r="AM406" s="2822"/>
      <c r="AN406" s="2822"/>
      <c r="AO406" s="2822"/>
      <c r="AP406" s="2822"/>
      <c r="AQ406" s="2822"/>
      <c r="AR406" s="2822"/>
      <c r="AS406" s="2822"/>
      <c r="AT406" s="2822"/>
      <c r="AU406" s="2822"/>
      <c r="AV406" s="2822"/>
      <c r="AW406" s="2822"/>
      <c r="AX406" s="2822"/>
      <c r="AY406" s="2822"/>
      <c r="AZ406" s="2822"/>
      <c r="BA406" s="2822"/>
      <c r="BB406" s="2822"/>
      <c r="BC406" s="2822"/>
      <c r="BD406" s="2822"/>
      <c r="BE406" s="2822"/>
      <c r="BF406" s="2822"/>
      <c r="BG406" s="2822"/>
      <c r="BH406" s="2822"/>
      <c r="BI406" s="2822"/>
      <c r="BJ406" s="2822"/>
      <c r="BK406" s="2822"/>
      <c r="BL406" s="2822"/>
      <c r="BM406" s="2822"/>
      <c r="BN406" s="2822"/>
      <c r="BO406" s="2822"/>
      <c r="BP406" s="2822"/>
      <c r="BQ406" s="2822"/>
      <c r="BR406" s="2822"/>
      <c r="BS406" s="2822"/>
      <c r="BT406" s="2822"/>
      <c r="BU406" s="2822"/>
      <c r="BV406" s="2822"/>
      <c r="BW406" s="2822"/>
      <c r="BX406" s="2822"/>
      <c r="BY406" s="2822"/>
      <c r="BZ406" s="2822"/>
      <c r="CA406" s="2822"/>
      <c r="CB406" s="2822"/>
      <c r="CC406" s="2822"/>
      <c r="CD406" s="2822"/>
      <c r="CE406" s="2822"/>
      <c r="CF406" s="2822"/>
      <c r="CG406" s="2822"/>
      <c r="CH406" s="2822"/>
      <c r="CI406" s="2822"/>
      <c r="CJ406" s="2822"/>
      <c r="CK406" s="2822"/>
      <c r="CL406" s="2822"/>
      <c r="CM406" s="2822"/>
      <c r="CN406" s="2822"/>
    </row>
    <row r="407" spans="1:92" x14ac:dyDescent="0.2">
      <c r="A407" s="2822"/>
      <c r="B407" s="2822"/>
      <c r="C407" s="2822"/>
      <c r="D407" s="2822"/>
      <c r="E407" s="2822"/>
      <c r="F407" s="2822"/>
      <c r="G407" s="2822"/>
      <c r="H407" s="2822"/>
      <c r="I407" s="2822"/>
      <c r="J407" s="2822"/>
      <c r="K407" s="2822"/>
      <c r="L407" s="2822"/>
      <c r="M407" s="2822"/>
      <c r="N407" s="2822"/>
      <c r="O407" s="2822"/>
      <c r="P407" s="2822"/>
      <c r="Q407" s="2822"/>
      <c r="R407" s="2822"/>
      <c r="S407" s="2822"/>
      <c r="T407" s="2822"/>
      <c r="U407" s="2822"/>
      <c r="V407" s="2822"/>
      <c r="W407" s="2822"/>
      <c r="X407" s="2822"/>
      <c r="Y407" s="2822"/>
      <c r="Z407" s="2822"/>
      <c r="AA407" s="2822"/>
      <c r="AB407" s="2822"/>
      <c r="AC407" s="2822"/>
      <c r="AD407" s="2822"/>
      <c r="AE407" s="2822"/>
      <c r="AF407" s="2822"/>
      <c r="AG407" s="2822"/>
      <c r="AH407" s="2822"/>
      <c r="AI407" s="2822"/>
      <c r="AJ407" s="2822"/>
      <c r="AK407" s="2822"/>
      <c r="AL407" s="2822"/>
      <c r="AM407" s="2822"/>
      <c r="AN407" s="2822"/>
      <c r="AO407" s="2822"/>
      <c r="AP407" s="2822"/>
      <c r="AQ407" s="2822"/>
      <c r="AR407" s="2822"/>
      <c r="AS407" s="2822"/>
      <c r="AT407" s="2822"/>
      <c r="AU407" s="2822"/>
      <c r="AV407" s="2822"/>
      <c r="AW407" s="2822"/>
      <c r="AX407" s="2822"/>
      <c r="AY407" s="2822"/>
      <c r="AZ407" s="2822"/>
      <c r="BA407" s="2822"/>
      <c r="BB407" s="2822"/>
      <c r="BC407" s="2822"/>
      <c r="BD407" s="2822"/>
      <c r="BE407" s="2822"/>
      <c r="BF407" s="2822"/>
      <c r="BG407" s="2822"/>
      <c r="BH407" s="2822"/>
      <c r="BI407" s="2822"/>
      <c r="BJ407" s="2822"/>
      <c r="BK407" s="2822"/>
      <c r="BL407" s="2822"/>
      <c r="BM407" s="2822"/>
      <c r="BN407" s="2822"/>
      <c r="BO407" s="2822"/>
      <c r="BP407" s="2822"/>
      <c r="BQ407" s="2822"/>
      <c r="BR407" s="2822"/>
      <c r="BS407" s="2822"/>
      <c r="BT407" s="2822"/>
      <c r="BU407" s="2822"/>
      <c r="BV407" s="2822"/>
      <c r="BW407" s="2822"/>
      <c r="BX407" s="2822"/>
      <c r="BY407" s="2822"/>
      <c r="BZ407" s="2822"/>
      <c r="CA407" s="2822"/>
      <c r="CB407" s="2822"/>
      <c r="CC407" s="2822"/>
      <c r="CD407" s="2822"/>
      <c r="CE407" s="2822"/>
      <c r="CF407" s="2822"/>
      <c r="CG407" s="2822"/>
      <c r="CH407" s="2822"/>
      <c r="CI407" s="2822"/>
      <c r="CJ407" s="2822"/>
      <c r="CK407" s="2822"/>
      <c r="CL407" s="2822"/>
      <c r="CM407" s="2822"/>
      <c r="CN407" s="2822"/>
    </row>
    <row r="408" spans="1:92" x14ac:dyDescent="0.2">
      <c r="A408" s="2822"/>
      <c r="B408" s="2822"/>
      <c r="C408" s="2822"/>
      <c r="D408" s="2822"/>
      <c r="E408" s="2822"/>
      <c r="F408" s="2822"/>
      <c r="G408" s="2822"/>
      <c r="H408" s="2822"/>
      <c r="I408" s="2822"/>
      <c r="J408" s="2822"/>
      <c r="K408" s="2822"/>
      <c r="L408" s="2822"/>
      <c r="M408" s="2822"/>
      <c r="N408" s="2822"/>
      <c r="O408" s="2822"/>
      <c r="P408" s="2822"/>
      <c r="Q408" s="2822"/>
      <c r="R408" s="2822"/>
      <c r="S408" s="2822"/>
      <c r="T408" s="2822"/>
      <c r="U408" s="2822"/>
      <c r="V408" s="2822"/>
      <c r="W408" s="2822"/>
      <c r="X408" s="2822"/>
      <c r="Y408" s="2822"/>
      <c r="Z408" s="2822"/>
      <c r="AA408" s="2822"/>
      <c r="AB408" s="2822"/>
      <c r="AC408" s="2822"/>
      <c r="AD408" s="2822"/>
      <c r="AE408" s="2822"/>
      <c r="AF408" s="2822"/>
      <c r="AG408" s="2822"/>
      <c r="AH408" s="2822"/>
      <c r="AI408" s="2822"/>
      <c r="AJ408" s="2822"/>
      <c r="AK408" s="2822"/>
      <c r="AL408" s="2822"/>
      <c r="AM408" s="2822"/>
      <c r="AN408" s="2822"/>
      <c r="AO408" s="2822"/>
      <c r="AP408" s="2822"/>
      <c r="AQ408" s="2822"/>
      <c r="AR408" s="2822"/>
      <c r="AS408" s="2822"/>
      <c r="AT408" s="2822"/>
      <c r="AU408" s="2822"/>
      <c r="AV408" s="2822"/>
      <c r="AW408" s="2822"/>
      <c r="AX408" s="2822"/>
      <c r="AY408" s="2822"/>
      <c r="AZ408" s="2822"/>
      <c r="BA408" s="2822"/>
      <c r="BB408" s="2822"/>
      <c r="BC408" s="2822"/>
      <c r="BD408" s="2822"/>
      <c r="BE408" s="2822"/>
      <c r="BF408" s="2822"/>
      <c r="BG408" s="2822"/>
      <c r="BH408" s="2822"/>
      <c r="BI408" s="2822"/>
      <c r="BJ408" s="2822"/>
      <c r="BK408" s="2822"/>
      <c r="BL408" s="2822"/>
      <c r="BM408" s="2822"/>
      <c r="BN408" s="2822"/>
      <c r="BO408" s="2822"/>
      <c r="BP408" s="2822"/>
      <c r="BQ408" s="2822"/>
      <c r="BR408" s="2822"/>
      <c r="BS408" s="2822"/>
      <c r="BT408" s="2822"/>
      <c r="BU408" s="2822"/>
      <c r="BV408" s="2822"/>
      <c r="BW408" s="2822"/>
      <c r="BX408" s="2822"/>
      <c r="BY408" s="2822"/>
      <c r="BZ408" s="2822"/>
      <c r="CA408" s="2822"/>
      <c r="CB408" s="2822"/>
      <c r="CC408" s="2822"/>
      <c r="CD408" s="2822"/>
      <c r="CE408" s="2822"/>
      <c r="CF408" s="2822"/>
      <c r="CG408" s="2822"/>
      <c r="CH408" s="2822"/>
      <c r="CI408" s="2822"/>
      <c r="CJ408" s="2822"/>
      <c r="CK408" s="2822"/>
      <c r="CL408" s="2822"/>
      <c r="CM408" s="2822"/>
      <c r="CN408" s="2822"/>
    </row>
    <row r="409" spans="1:92" x14ac:dyDescent="0.2">
      <c r="A409" s="2822"/>
      <c r="B409" s="2822"/>
      <c r="C409" s="2822"/>
      <c r="D409" s="2822"/>
      <c r="E409" s="2822"/>
      <c r="F409" s="2822"/>
      <c r="G409" s="2822"/>
      <c r="H409" s="2822"/>
      <c r="I409" s="2822"/>
      <c r="J409" s="2822"/>
      <c r="K409" s="2822"/>
      <c r="L409" s="2822"/>
      <c r="M409" s="2822"/>
      <c r="N409" s="2822"/>
      <c r="O409" s="2822"/>
      <c r="P409" s="2822"/>
      <c r="Q409" s="2822"/>
      <c r="R409" s="2822"/>
      <c r="S409" s="2822"/>
      <c r="T409" s="2822"/>
      <c r="U409" s="2822"/>
      <c r="V409" s="2822"/>
      <c r="W409" s="2822"/>
      <c r="X409" s="2822"/>
      <c r="Y409" s="2822"/>
      <c r="Z409" s="2822"/>
      <c r="AA409" s="2822"/>
      <c r="AB409" s="2822"/>
      <c r="AC409" s="2822"/>
      <c r="AD409" s="2822"/>
      <c r="AE409" s="2822"/>
      <c r="AF409" s="2822"/>
      <c r="AG409" s="2822"/>
      <c r="AH409" s="2822"/>
      <c r="AI409" s="2822"/>
      <c r="AJ409" s="2822"/>
      <c r="AK409" s="2822"/>
      <c r="AL409" s="2822"/>
      <c r="AM409" s="2822"/>
      <c r="AN409" s="2822"/>
      <c r="AO409" s="2822"/>
      <c r="AP409" s="2822"/>
      <c r="AQ409" s="2822"/>
      <c r="AR409" s="2822"/>
      <c r="AS409" s="2822"/>
      <c r="AT409" s="2822"/>
      <c r="AU409" s="2822"/>
      <c r="AV409" s="2822"/>
      <c r="AW409" s="2822"/>
      <c r="AX409" s="2822"/>
      <c r="AY409" s="2822"/>
      <c r="AZ409" s="2822"/>
      <c r="BA409" s="2822"/>
      <c r="BB409" s="2822"/>
      <c r="BC409" s="2822"/>
      <c r="BD409" s="2822"/>
      <c r="BE409" s="2822"/>
      <c r="BF409" s="2822"/>
      <c r="BG409" s="2822"/>
      <c r="BH409" s="2822"/>
      <c r="BI409" s="2822"/>
      <c r="BJ409" s="2822"/>
      <c r="BK409" s="2822"/>
      <c r="BL409" s="2822"/>
      <c r="BM409" s="2822"/>
      <c r="BN409" s="2822"/>
      <c r="BO409" s="2822"/>
      <c r="BP409" s="2822"/>
      <c r="BQ409" s="2822"/>
      <c r="BR409" s="2822"/>
      <c r="BS409" s="2822"/>
      <c r="BT409" s="2822"/>
      <c r="BU409" s="2822"/>
      <c r="BV409" s="2822"/>
      <c r="BW409" s="2822"/>
      <c r="BX409" s="2822"/>
      <c r="BY409" s="2822"/>
      <c r="BZ409" s="2822"/>
      <c r="CA409" s="2822"/>
      <c r="CB409" s="2822"/>
      <c r="CC409" s="2822"/>
      <c r="CD409" s="2822"/>
      <c r="CE409" s="2822"/>
      <c r="CF409" s="2822"/>
      <c r="CG409" s="2822"/>
      <c r="CH409" s="2822"/>
      <c r="CI409" s="2822"/>
      <c r="CJ409" s="2822"/>
      <c r="CK409" s="2822"/>
      <c r="CL409" s="2822"/>
      <c r="CM409" s="2822"/>
      <c r="CN409" s="2822"/>
    </row>
    <row r="410" spans="1:92" x14ac:dyDescent="0.2">
      <c r="A410" s="2822"/>
      <c r="B410" s="2822"/>
      <c r="C410" s="2822"/>
      <c r="D410" s="2822"/>
      <c r="E410" s="2822"/>
      <c r="F410" s="2822"/>
      <c r="G410" s="2822"/>
      <c r="H410" s="2822"/>
      <c r="I410" s="2822"/>
      <c r="J410" s="2822"/>
      <c r="K410" s="2822"/>
      <c r="L410" s="2822"/>
      <c r="M410" s="2822"/>
      <c r="N410" s="2822"/>
      <c r="O410" s="2822"/>
      <c r="P410" s="2822"/>
      <c r="Q410" s="2822"/>
      <c r="R410" s="2822"/>
      <c r="S410" s="2822"/>
      <c r="T410" s="2822"/>
      <c r="U410" s="2822"/>
      <c r="V410" s="2822"/>
      <c r="W410" s="2822"/>
      <c r="X410" s="2822"/>
      <c r="Y410" s="2822"/>
      <c r="Z410" s="2822"/>
      <c r="AA410" s="2822"/>
      <c r="AB410" s="2822"/>
      <c r="AC410" s="2822"/>
      <c r="AD410" s="2822"/>
      <c r="AE410" s="2822"/>
      <c r="AF410" s="2822"/>
      <c r="AG410" s="2822"/>
      <c r="AH410" s="2822"/>
      <c r="AI410" s="2822"/>
      <c r="AJ410" s="2822"/>
      <c r="AK410" s="2822"/>
      <c r="AL410" s="2822"/>
      <c r="AM410" s="2822"/>
      <c r="AN410" s="2822"/>
      <c r="AO410" s="2822"/>
      <c r="AP410" s="2822"/>
      <c r="AQ410" s="2822"/>
      <c r="AR410" s="2822"/>
      <c r="AS410" s="2822"/>
      <c r="AT410" s="2822"/>
      <c r="AU410" s="2822"/>
      <c r="AV410" s="2822"/>
      <c r="AW410" s="2822"/>
      <c r="AX410" s="2822"/>
      <c r="AY410" s="2822"/>
      <c r="AZ410" s="2822"/>
      <c r="BA410" s="2822"/>
      <c r="BB410" s="2822"/>
      <c r="BC410" s="2822"/>
      <c r="BD410" s="2822"/>
      <c r="BE410" s="2822"/>
      <c r="BF410" s="2822"/>
      <c r="BG410" s="2822"/>
      <c r="BH410" s="2822"/>
      <c r="BI410" s="2822"/>
      <c r="BJ410" s="2822"/>
      <c r="BK410" s="2822"/>
      <c r="BL410" s="2822"/>
      <c r="BM410" s="2822"/>
      <c r="BN410" s="2822"/>
      <c r="BO410" s="2822"/>
      <c r="BP410" s="2822"/>
      <c r="BQ410" s="2822"/>
      <c r="BR410" s="2822"/>
      <c r="BS410" s="2822"/>
      <c r="BT410" s="2822"/>
      <c r="BU410" s="2822"/>
      <c r="BV410" s="2822"/>
      <c r="BW410" s="2822"/>
      <c r="BX410" s="2822"/>
      <c r="BY410" s="2822"/>
      <c r="BZ410" s="2822"/>
      <c r="CA410" s="2822"/>
      <c r="CB410" s="2822"/>
      <c r="CC410" s="2822"/>
      <c r="CD410" s="2822"/>
      <c r="CE410" s="2822"/>
      <c r="CF410" s="2822"/>
      <c r="CG410" s="2822"/>
      <c r="CH410" s="2822"/>
      <c r="CI410" s="2822"/>
      <c r="CJ410" s="2822"/>
      <c r="CK410" s="2822"/>
      <c r="CL410" s="2822"/>
      <c r="CM410" s="2822"/>
      <c r="CN410" s="2822"/>
    </row>
    <row r="411" spans="1:92" x14ac:dyDescent="0.2">
      <c r="A411" s="2822"/>
      <c r="B411" s="2822"/>
      <c r="C411" s="2822"/>
      <c r="D411" s="2822"/>
      <c r="E411" s="2822"/>
      <c r="F411" s="2822"/>
      <c r="G411" s="2822"/>
      <c r="H411" s="2822"/>
      <c r="I411" s="2822"/>
      <c r="J411" s="2822"/>
      <c r="K411" s="2822"/>
      <c r="L411" s="2822"/>
      <c r="M411" s="2822"/>
      <c r="N411" s="2822"/>
      <c r="O411" s="2822"/>
      <c r="P411" s="2822"/>
      <c r="Q411" s="2822"/>
      <c r="R411" s="2822"/>
      <c r="S411" s="2822"/>
      <c r="T411" s="2822"/>
      <c r="U411" s="2822"/>
      <c r="V411" s="2822"/>
      <c r="W411" s="2822"/>
      <c r="X411" s="2822"/>
      <c r="Y411" s="2822"/>
      <c r="Z411" s="2822"/>
      <c r="AA411" s="2822"/>
      <c r="AB411" s="2822"/>
      <c r="AC411" s="2822"/>
      <c r="AD411" s="2822"/>
      <c r="AE411" s="2822"/>
      <c r="AF411" s="2822"/>
      <c r="AG411" s="2822"/>
      <c r="AH411" s="2822"/>
      <c r="AI411" s="2822"/>
      <c r="AJ411" s="2822"/>
      <c r="AK411" s="2822"/>
      <c r="AL411" s="2822"/>
      <c r="AM411" s="2822"/>
      <c r="AN411" s="2822"/>
      <c r="AO411" s="2822"/>
      <c r="AP411" s="2822"/>
      <c r="AQ411" s="2822"/>
      <c r="AR411" s="2822"/>
      <c r="AS411" s="2822"/>
      <c r="AT411" s="2822"/>
      <c r="AU411" s="2822"/>
      <c r="AV411" s="2822"/>
      <c r="AW411" s="2822"/>
      <c r="AX411" s="2822"/>
      <c r="AY411" s="2822"/>
      <c r="AZ411" s="2822"/>
      <c r="BA411" s="2822"/>
      <c r="BB411" s="2822"/>
      <c r="BC411" s="2822"/>
      <c r="BD411" s="2822"/>
      <c r="BE411" s="2822"/>
      <c r="BF411" s="2822"/>
      <c r="BG411" s="2822"/>
      <c r="BH411" s="2822"/>
      <c r="BI411" s="2822"/>
      <c r="BJ411" s="2822"/>
      <c r="BK411" s="2822"/>
      <c r="BL411" s="2822"/>
      <c r="BM411" s="2822"/>
      <c r="BN411" s="2822"/>
      <c r="BO411" s="2822"/>
      <c r="BP411" s="2822"/>
      <c r="BQ411" s="2822"/>
      <c r="BR411" s="2822"/>
      <c r="BS411" s="2822"/>
      <c r="BT411" s="2822"/>
      <c r="BU411" s="2822"/>
      <c r="BV411" s="2822"/>
      <c r="BW411" s="2822"/>
      <c r="BX411" s="2822"/>
      <c r="BY411" s="2822"/>
      <c r="BZ411" s="2822"/>
      <c r="CA411" s="2822"/>
      <c r="CB411" s="2822"/>
      <c r="CC411" s="2822"/>
      <c r="CD411" s="2822"/>
      <c r="CE411" s="2822"/>
      <c r="CF411" s="2822"/>
      <c r="CG411" s="2822"/>
      <c r="CH411" s="2822"/>
      <c r="CI411" s="2822"/>
      <c r="CJ411" s="2822"/>
      <c r="CK411" s="2822"/>
      <c r="CL411" s="2822"/>
      <c r="CM411" s="2822"/>
      <c r="CN411" s="2822"/>
    </row>
    <row r="412" spans="1:92" x14ac:dyDescent="0.2">
      <c r="A412" s="2822"/>
      <c r="B412" s="2822"/>
      <c r="C412" s="2822"/>
      <c r="D412" s="2822"/>
      <c r="E412" s="2822"/>
      <c r="F412" s="2822"/>
      <c r="G412" s="2822"/>
      <c r="H412" s="2822"/>
      <c r="I412" s="2822"/>
      <c r="J412" s="2822"/>
      <c r="K412" s="2822"/>
      <c r="L412" s="2822"/>
      <c r="M412" s="2822"/>
      <c r="N412" s="2822"/>
      <c r="O412" s="2822"/>
      <c r="P412" s="2822"/>
      <c r="Q412" s="2822"/>
      <c r="R412" s="2822"/>
      <c r="S412" s="2822"/>
      <c r="T412" s="2822"/>
      <c r="U412" s="2822"/>
      <c r="V412" s="2822"/>
      <c r="W412" s="2822"/>
      <c r="X412" s="2822"/>
      <c r="Y412" s="2822"/>
      <c r="Z412" s="2822"/>
      <c r="AA412" s="2822"/>
      <c r="AB412" s="2822"/>
      <c r="AC412" s="2822"/>
      <c r="AD412" s="2822"/>
      <c r="AE412" s="2822"/>
      <c r="AF412" s="2822"/>
      <c r="AG412" s="2822"/>
      <c r="AH412" s="2822"/>
      <c r="AI412" s="2822"/>
      <c r="AJ412" s="2822"/>
      <c r="AK412" s="2822"/>
      <c r="AL412" s="2822"/>
      <c r="AM412" s="2822"/>
      <c r="AN412" s="2822"/>
      <c r="AO412" s="2822"/>
      <c r="AP412" s="2822"/>
      <c r="AQ412" s="2822"/>
      <c r="AR412" s="2822"/>
      <c r="AS412" s="2822"/>
      <c r="AT412" s="2822"/>
      <c r="AU412" s="2822"/>
      <c r="AV412" s="2822"/>
      <c r="AW412" s="2822"/>
      <c r="AX412" s="2822"/>
      <c r="AY412" s="2822"/>
      <c r="AZ412" s="2822"/>
      <c r="BA412" s="2822"/>
      <c r="BB412" s="2822"/>
      <c r="BC412" s="2822"/>
      <c r="BD412" s="2822"/>
      <c r="BE412" s="2822"/>
      <c r="BF412" s="2822"/>
      <c r="BG412" s="2822"/>
      <c r="BH412" s="2822"/>
      <c r="BI412" s="2822"/>
      <c r="BJ412" s="2822"/>
      <c r="BK412" s="2822"/>
      <c r="BL412" s="2822"/>
      <c r="BM412" s="2822"/>
      <c r="BN412" s="2822"/>
      <c r="BO412" s="2822"/>
      <c r="BP412" s="2822"/>
      <c r="BQ412" s="2822"/>
      <c r="BR412" s="2822"/>
      <c r="BS412" s="2822"/>
      <c r="BT412" s="2822"/>
      <c r="BU412" s="2822"/>
      <c r="BV412" s="2822"/>
      <c r="BW412" s="2822"/>
      <c r="BX412" s="2822"/>
      <c r="BY412" s="2822"/>
      <c r="BZ412" s="2822"/>
      <c r="CA412" s="2822"/>
      <c r="CB412" s="2822"/>
      <c r="CC412" s="2822"/>
      <c r="CD412" s="2822"/>
      <c r="CE412" s="2822"/>
      <c r="CF412" s="2822"/>
      <c r="CG412" s="2822"/>
      <c r="CH412" s="2822"/>
      <c r="CI412" s="2822"/>
      <c r="CJ412" s="2822"/>
      <c r="CK412" s="2822"/>
      <c r="CL412" s="2822"/>
      <c r="CM412" s="2822"/>
      <c r="CN412" s="2822"/>
    </row>
    <row r="413" spans="1:92" x14ac:dyDescent="0.2">
      <c r="A413" s="2822"/>
      <c r="B413" s="2822"/>
      <c r="C413" s="2822"/>
      <c r="D413" s="2822"/>
      <c r="E413" s="2822"/>
      <c r="F413" s="2822"/>
      <c r="G413" s="2822"/>
      <c r="H413" s="2822"/>
      <c r="I413" s="2822"/>
      <c r="J413" s="2822"/>
      <c r="K413" s="2822"/>
      <c r="L413" s="2822"/>
      <c r="M413" s="2822"/>
      <c r="N413" s="2822"/>
      <c r="O413" s="2822"/>
      <c r="P413" s="2822"/>
      <c r="Q413" s="2822"/>
      <c r="R413" s="2822"/>
      <c r="S413" s="2822"/>
      <c r="T413" s="2822"/>
      <c r="U413" s="2822"/>
      <c r="V413" s="2822"/>
      <c r="W413" s="2822"/>
      <c r="X413" s="2822"/>
      <c r="Y413" s="2822"/>
      <c r="Z413" s="2822"/>
      <c r="AA413" s="2822"/>
      <c r="AB413" s="2822"/>
      <c r="AC413" s="2822"/>
      <c r="AD413" s="2822"/>
      <c r="AE413" s="2822"/>
      <c r="AF413" s="2822"/>
      <c r="AG413" s="2822"/>
      <c r="AH413" s="2822"/>
      <c r="AI413" s="2822"/>
      <c r="AJ413" s="2822"/>
      <c r="AK413" s="2822"/>
      <c r="AL413" s="2822"/>
      <c r="AM413" s="2822"/>
      <c r="AN413" s="2822"/>
      <c r="AO413" s="2822"/>
      <c r="AP413" s="2822"/>
      <c r="AQ413" s="2822"/>
      <c r="AR413" s="2822"/>
      <c r="AS413" s="2822"/>
      <c r="AT413" s="2822"/>
      <c r="AU413" s="2822"/>
      <c r="AV413" s="2822"/>
      <c r="AW413" s="2822"/>
      <c r="AX413" s="2822"/>
      <c r="AY413" s="2822"/>
      <c r="AZ413" s="2822"/>
      <c r="BA413" s="2822"/>
      <c r="BB413" s="2822"/>
      <c r="BC413" s="2822"/>
      <c r="BD413" s="2822"/>
      <c r="BE413" s="2822"/>
      <c r="BF413" s="2822"/>
      <c r="BG413" s="2822"/>
      <c r="BH413" s="2822"/>
      <c r="BI413" s="2822"/>
      <c r="BJ413" s="2822"/>
      <c r="BK413" s="2822"/>
      <c r="BL413" s="2822"/>
      <c r="BM413" s="2822"/>
      <c r="BN413" s="2822"/>
      <c r="BO413" s="2822"/>
      <c r="BP413" s="2822"/>
      <c r="BQ413" s="2822"/>
      <c r="BR413" s="2822"/>
      <c r="BS413" s="2822"/>
      <c r="BT413" s="2822"/>
      <c r="BU413" s="2822"/>
      <c r="BV413" s="2822"/>
      <c r="BW413" s="2822"/>
      <c r="BX413" s="2822"/>
      <c r="BY413" s="2822"/>
      <c r="BZ413" s="2822"/>
      <c r="CA413" s="2822"/>
      <c r="CB413" s="2822"/>
      <c r="CC413" s="2822"/>
      <c r="CD413" s="2822"/>
      <c r="CE413" s="2822"/>
      <c r="CF413" s="2822"/>
      <c r="CG413" s="2822"/>
      <c r="CH413" s="2822"/>
      <c r="CI413" s="2822"/>
      <c r="CJ413" s="2822"/>
      <c r="CK413" s="2822"/>
      <c r="CL413" s="2822"/>
      <c r="CM413" s="2822"/>
      <c r="CN413" s="2822"/>
    </row>
    <row r="414" spans="1:92" x14ac:dyDescent="0.2">
      <c r="A414" s="2822"/>
      <c r="B414" s="2822"/>
      <c r="C414" s="2822"/>
      <c r="D414" s="2822"/>
      <c r="E414" s="2822"/>
      <c r="F414" s="2822"/>
      <c r="G414" s="2822"/>
      <c r="H414" s="2822"/>
      <c r="I414" s="2822"/>
      <c r="J414" s="2822"/>
      <c r="K414" s="2822"/>
      <c r="L414" s="2822"/>
      <c r="M414" s="2822"/>
      <c r="N414" s="2822"/>
      <c r="O414" s="2822"/>
      <c r="P414" s="2822"/>
      <c r="Q414" s="2822"/>
      <c r="R414" s="2822"/>
      <c r="S414" s="2822"/>
      <c r="T414" s="2822"/>
      <c r="U414" s="2822"/>
      <c r="V414" s="2822"/>
      <c r="W414" s="2822"/>
      <c r="X414" s="2822"/>
      <c r="Y414" s="2822"/>
      <c r="Z414" s="2822"/>
      <c r="AA414" s="2822"/>
      <c r="AB414" s="2822"/>
      <c r="AC414" s="2822"/>
      <c r="AD414" s="2822"/>
      <c r="AE414" s="2822"/>
      <c r="AF414" s="2822"/>
      <c r="AG414" s="2822"/>
      <c r="AH414" s="2822"/>
      <c r="AI414" s="2822"/>
      <c r="AJ414" s="2822"/>
      <c r="AK414" s="2822"/>
      <c r="AL414" s="2822"/>
      <c r="AM414" s="2822"/>
      <c r="AN414" s="2822"/>
      <c r="AO414" s="2822"/>
      <c r="AP414" s="2822"/>
      <c r="AQ414" s="2822"/>
      <c r="AR414" s="2822"/>
      <c r="AS414" s="2822"/>
      <c r="AT414" s="2822"/>
      <c r="AU414" s="2822"/>
      <c r="AV414" s="2822"/>
      <c r="AW414" s="2822"/>
      <c r="AX414" s="2822"/>
      <c r="AY414" s="2822"/>
      <c r="AZ414" s="2822"/>
      <c r="BA414" s="2822"/>
      <c r="BB414" s="2822"/>
      <c r="BC414" s="2822"/>
      <c r="BD414" s="2822"/>
      <c r="BE414" s="2822"/>
      <c r="BF414" s="2822"/>
      <c r="BG414" s="2822"/>
      <c r="BH414" s="2822"/>
      <c r="BI414" s="2822"/>
      <c r="BJ414" s="2822"/>
      <c r="BK414" s="2822"/>
      <c r="BL414" s="2822"/>
      <c r="BM414" s="2822"/>
      <c r="BN414" s="2822"/>
      <c r="BO414" s="2822"/>
      <c r="BP414" s="2822"/>
      <c r="BQ414" s="2822"/>
      <c r="BR414" s="2822"/>
      <c r="BS414" s="2822"/>
      <c r="BT414" s="2822"/>
      <c r="BU414" s="2822"/>
      <c r="BV414" s="2822"/>
      <c r="BW414" s="2822"/>
      <c r="BX414" s="2822"/>
      <c r="BY414" s="2822"/>
      <c r="BZ414" s="2822"/>
      <c r="CA414" s="2822"/>
      <c r="CB414" s="2822"/>
      <c r="CC414" s="2822"/>
      <c r="CD414" s="2822"/>
      <c r="CE414" s="2822"/>
      <c r="CF414" s="2822"/>
      <c r="CG414" s="2822"/>
      <c r="CH414" s="2822"/>
      <c r="CI414" s="2822"/>
      <c r="CJ414" s="2822"/>
      <c r="CK414" s="2822"/>
      <c r="CL414" s="2822"/>
      <c r="CM414" s="2822"/>
      <c r="CN414" s="2822"/>
    </row>
    <row r="415" spans="1:92" x14ac:dyDescent="0.2">
      <c r="A415" s="2822"/>
      <c r="B415" s="2822"/>
      <c r="C415" s="2822"/>
      <c r="D415" s="2822"/>
      <c r="E415" s="2822"/>
      <c r="F415" s="2822"/>
      <c r="G415" s="2822"/>
      <c r="H415" s="2822"/>
      <c r="I415" s="2822"/>
      <c r="J415" s="2822"/>
      <c r="K415" s="2822"/>
      <c r="L415" s="2822"/>
      <c r="M415" s="2822"/>
      <c r="N415" s="2822"/>
      <c r="O415" s="2822"/>
      <c r="P415" s="2822"/>
      <c r="Q415" s="2822"/>
      <c r="R415" s="2822"/>
      <c r="S415" s="2822"/>
      <c r="T415" s="2822"/>
      <c r="U415" s="2822"/>
      <c r="V415" s="2822"/>
      <c r="W415" s="2822"/>
      <c r="X415" s="2822"/>
      <c r="Y415" s="2822"/>
      <c r="Z415" s="2822"/>
      <c r="AA415" s="2822"/>
      <c r="AB415" s="2822"/>
      <c r="AC415" s="2822"/>
      <c r="AD415" s="2822"/>
      <c r="AE415" s="2822"/>
      <c r="AF415" s="2822"/>
      <c r="AG415" s="2822"/>
      <c r="AH415" s="2822"/>
      <c r="AI415" s="2822"/>
      <c r="AJ415" s="2822"/>
      <c r="AK415" s="2822"/>
      <c r="AL415" s="2822"/>
      <c r="AM415" s="2822"/>
      <c r="AN415" s="2822"/>
      <c r="AO415" s="2822"/>
      <c r="AP415" s="2822"/>
      <c r="AQ415" s="2822"/>
      <c r="AR415" s="2822"/>
      <c r="AS415" s="2822"/>
      <c r="AT415" s="2822"/>
      <c r="AU415" s="2822"/>
      <c r="AV415" s="2822"/>
      <c r="AW415" s="2822"/>
      <c r="AX415" s="2822"/>
      <c r="AY415" s="2822"/>
      <c r="AZ415" s="2822"/>
      <c r="BA415" s="2822"/>
      <c r="BB415" s="2822"/>
      <c r="BC415" s="2822"/>
      <c r="BD415" s="2822"/>
      <c r="BE415" s="2822"/>
      <c r="BF415" s="2822"/>
      <c r="BG415" s="2822"/>
      <c r="BH415" s="2822"/>
      <c r="BI415" s="2822"/>
      <c r="BJ415" s="2822"/>
      <c r="BK415" s="2822"/>
      <c r="BL415" s="2822"/>
      <c r="BM415" s="2822"/>
      <c r="BN415" s="2822"/>
      <c r="BO415" s="2822"/>
      <c r="BP415" s="2822"/>
      <c r="BQ415" s="2822"/>
      <c r="BR415" s="2822"/>
      <c r="BS415" s="2822"/>
      <c r="BT415" s="2822"/>
      <c r="BU415" s="2822"/>
      <c r="BV415" s="2822"/>
      <c r="BW415" s="2822"/>
      <c r="BX415" s="2822"/>
      <c r="BY415" s="2822"/>
      <c r="BZ415" s="2822"/>
      <c r="CA415" s="2822"/>
      <c r="CB415" s="2822"/>
      <c r="CC415" s="2822"/>
      <c r="CD415" s="2822"/>
      <c r="CE415" s="2822"/>
      <c r="CF415" s="2822"/>
      <c r="CG415" s="2822"/>
      <c r="CH415" s="2822"/>
      <c r="CI415" s="2822"/>
      <c r="CJ415" s="2822"/>
      <c r="CK415" s="2822"/>
      <c r="CL415" s="2822"/>
      <c r="CM415" s="2822"/>
      <c r="CN415" s="2822"/>
    </row>
    <row r="416" spans="1:92" x14ac:dyDescent="0.2">
      <c r="A416" s="2822"/>
      <c r="B416" s="2822"/>
      <c r="C416" s="2822"/>
      <c r="D416" s="2822"/>
      <c r="E416" s="2822"/>
      <c r="F416" s="2822"/>
      <c r="G416" s="2822"/>
      <c r="H416" s="2822"/>
      <c r="I416" s="2822"/>
      <c r="J416" s="2822"/>
      <c r="K416" s="2822"/>
      <c r="L416" s="2822"/>
      <c r="M416" s="2822"/>
      <c r="N416" s="2822"/>
      <c r="O416" s="2822"/>
      <c r="P416" s="2822"/>
      <c r="Q416" s="2822"/>
      <c r="R416" s="2822"/>
      <c r="S416" s="2822"/>
      <c r="T416" s="2822"/>
      <c r="U416" s="2822"/>
      <c r="V416" s="2822"/>
      <c r="W416" s="2822"/>
      <c r="X416" s="2822"/>
      <c r="Y416" s="2822"/>
      <c r="Z416" s="2822"/>
      <c r="AA416" s="2822"/>
      <c r="AB416" s="2822"/>
      <c r="AC416" s="2822"/>
      <c r="AD416" s="2822"/>
      <c r="AE416" s="2822"/>
      <c r="AF416" s="2822"/>
      <c r="AG416" s="2822"/>
      <c r="AH416" s="2822"/>
      <c r="AI416" s="2822"/>
      <c r="AJ416" s="2822"/>
      <c r="AK416" s="2822"/>
      <c r="AL416" s="2822"/>
      <c r="AM416" s="2822"/>
      <c r="AN416" s="2822"/>
      <c r="AO416" s="2822"/>
      <c r="AP416" s="2822"/>
      <c r="AQ416" s="2822"/>
      <c r="AR416" s="2822"/>
      <c r="AS416" s="2822"/>
      <c r="AT416" s="2822"/>
      <c r="AU416" s="2822"/>
      <c r="AV416" s="2822"/>
      <c r="AW416" s="2822"/>
      <c r="AX416" s="2822"/>
      <c r="AY416" s="2822"/>
      <c r="AZ416" s="2822"/>
      <c r="BA416" s="2822"/>
      <c r="BB416" s="2822"/>
      <c r="BC416" s="2822"/>
      <c r="BD416" s="2822"/>
      <c r="BE416" s="2822"/>
      <c r="BF416" s="2822"/>
      <c r="BG416" s="2822"/>
      <c r="BH416" s="2822"/>
      <c r="BI416" s="2822"/>
      <c r="BJ416" s="2822"/>
      <c r="BK416" s="2822"/>
      <c r="BL416" s="2822"/>
      <c r="BM416" s="2822"/>
      <c r="BN416" s="2822"/>
      <c r="BO416" s="2822"/>
      <c r="BP416" s="2822"/>
      <c r="BQ416" s="2822"/>
      <c r="BR416" s="2822"/>
      <c r="BS416" s="2822"/>
      <c r="BT416" s="2822"/>
      <c r="BU416" s="2822"/>
      <c r="BV416" s="2822"/>
      <c r="BW416" s="2822"/>
      <c r="BX416" s="2822"/>
      <c r="BY416" s="2822"/>
      <c r="BZ416" s="2822"/>
      <c r="CA416" s="2822"/>
      <c r="CB416" s="2822"/>
      <c r="CC416" s="2822"/>
      <c r="CD416" s="2822"/>
      <c r="CE416" s="2822"/>
      <c r="CF416" s="2822"/>
      <c r="CG416" s="2822"/>
      <c r="CH416" s="2822"/>
      <c r="CI416" s="2822"/>
      <c r="CJ416" s="2822"/>
      <c r="CK416" s="2822"/>
      <c r="CL416" s="2822"/>
      <c r="CM416" s="2822"/>
      <c r="CN416" s="2822"/>
    </row>
    <row r="417" spans="1:92" x14ac:dyDescent="0.2">
      <c r="A417" s="2822"/>
      <c r="B417" s="2822"/>
      <c r="C417" s="2822"/>
      <c r="D417" s="2822"/>
      <c r="E417" s="2822"/>
      <c r="F417" s="2822"/>
      <c r="G417" s="2822"/>
      <c r="H417" s="2822"/>
      <c r="I417" s="2822"/>
      <c r="J417" s="2822"/>
      <c r="K417" s="2822"/>
      <c r="L417" s="2822"/>
      <c r="M417" s="2822"/>
      <c r="N417" s="2822"/>
      <c r="O417" s="2822"/>
      <c r="P417" s="2822"/>
      <c r="Q417" s="2822"/>
      <c r="R417" s="2822"/>
      <c r="S417" s="2822"/>
      <c r="T417" s="2822"/>
      <c r="U417" s="2822"/>
      <c r="V417" s="2822"/>
      <c r="W417" s="2822"/>
      <c r="X417" s="2822"/>
      <c r="Y417" s="2822"/>
      <c r="Z417" s="2822"/>
      <c r="AA417" s="2822"/>
      <c r="AB417" s="2822"/>
      <c r="AC417" s="2822"/>
      <c r="AD417" s="2822"/>
      <c r="AE417" s="2822"/>
      <c r="AF417" s="2822"/>
      <c r="AG417" s="2822"/>
      <c r="AH417" s="2822"/>
      <c r="AI417" s="2822"/>
      <c r="AJ417" s="2822"/>
      <c r="AK417" s="2822"/>
      <c r="AL417" s="2822"/>
      <c r="AM417" s="2822"/>
      <c r="AN417" s="2822"/>
      <c r="AO417" s="2822"/>
      <c r="AP417" s="2822"/>
      <c r="AQ417" s="2822"/>
      <c r="AR417" s="2822"/>
      <c r="AS417" s="2822"/>
      <c r="AT417" s="2822"/>
      <c r="AU417" s="2822"/>
      <c r="AV417" s="2822"/>
      <c r="AW417" s="2822"/>
      <c r="AX417" s="2822"/>
      <c r="AY417" s="2822"/>
      <c r="AZ417" s="2822"/>
      <c r="BA417" s="2822"/>
      <c r="BB417" s="2822"/>
      <c r="BC417" s="2822"/>
      <c r="BD417" s="2822"/>
      <c r="BE417" s="2822"/>
      <c r="BF417" s="2822"/>
      <c r="BG417" s="2822"/>
      <c r="BH417" s="2822"/>
      <c r="BI417" s="2822"/>
      <c r="BJ417" s="2822"/>
      <c r="BK417" s="2822"/>
      <c r="BL417" s="2822"/>
      <c r="BM417" s="2822"/>
      <c r="BN417" s="2822"/>
      <c r="BO417" s="2822"/>
      <c r="BP417" s="2822"/>
      <c r="BQ417" s="2822"/>
      <c r="BR417" s="2822"/>
      <c r="BS417" s="2822"/>
      <c r="BT417" s="2822"/>
      <c r="BU417" s="2822"/>
      <c r="BV417" s="2822"/>
      <c r="BW417" s="2822"/>
      <c r="BX417" s="2822"/>
      <c r="BY417" s="2822"/>
      <c r="BZ417" s="2822"/>
      <c r="CA417" s="2822"/>
      <c r="CB417" s="2822"/>
      <c r="CC417" s="2822"/>
      <c r="CD417" s="2822"/>
      <c r="CE417" s="2822"/>
      <c r="CF417" s="2822"/>
      <c r="CG417" s="2822"/>
      <c r="CH417" s="2822"/>
      <c r="CI417" s="2822"/>
      <c r="CJ417" s="2822"/>
      <c r="CK417" s="2822"/>
      <c r="CL417" s="2822"/>
      <c r="CM417" s="2822"/>
      <c r="CN417" s="2822"/>
    </row>
    <row r="418" spans="1:92" x14ac:dyDescent="0.2">
      <c r="A418" s="2822"/>
      <c r="B418" s="2822"/>
      <c r="C418" s="2822"/>
      <c r="D418" s="2822"/>
      <c r="E418" s="2822"/>
      <c r="F418" s="2822"/>
      <c r="G418" s="2822"/>
      <c r="H418" s="2822"/>
      <c r="I418" s="2822"/>
      <c r="J418" s="2822"/>
      <c r="K418" s="2822"/>
      <c r="L418" s="2822"/>
      <c r="M418" s="2822"/>
      <c r="N418" s="2822"/>
      <c r="O418" s="2822"/>
      <c r="P418" s="2822"/>
      <c r="Q418" s="2822"/>
      <c r="R418" s="2822"/>
      <c r="S418" s="2822"/>
      <c r="T418" s="2822"/>
      <c r="U418" s="2822"/>
      <c r="V418" s="2822"/>
      <c r="W418" s="2822"/>
      <c r="X418" s="2822"/>
      <c r="Y418" s="2822"/>
      <c r="Z418" s="2822"/>
      <c r="AA418" s="2822"/>
      <c r="AB418" s="2822"/>
      <c r="AC418" s="2822"/>
      <c r="AD418" s="2822"/>
      <c r="AE418" s="2822"/>
      <c r="AF418" s="2822"/>
      <c r="AG418" s="2822"/>
      <c r="AH418" s="2822"/>
      <c r="AI418" s="2822"/>
      <c r="AJ418" s="2822"/>
      <c r="AK418" s="2822"/>
      <c r="AL418" s="2822"/>
      <c r="AM418" s="2822"/>
      <c r="AN418" s="2822"/>
      <c r="AO418" s="2822"/>
      <c r="AP418" s="2822"/>
      <c r="AQ418" s="2822"/>
      <c r="AR418" s="2822"/>
      <c r="AS418" s="2822"/>
      <c r="AT418" s="2822"/>
      <c r="AU418" s="2822"/>
      <c r="AV418" s="2822"/>
      <c r="AW418" s="2822"/>
      <c r="AX418" s="2822"/>
      <c r="AY418" s="2822"/>
      <c r="AZ418" s="2822"/>
      <c r="BA418" s="2822"/>
      <c r="BB418" s="2822"/>
      <c r="BC418" s="2822"/>
      <c r="BD418" s="2822"/>
      <c r="BE418" s="2822"/>
      <c r="BF418" s="2822"/>
      <c r="BG418" s="2822"/>
      <c r="BH418" s="2822"/>
      <c r="BI418" s="2822"/>
      <c r="BJ418" s="2822"/>
      <c r="BK418" s="2822"/>
      <c r="BL418" s="2822"/>
      <c r="BM418" s="2822"/>
      <c r="BN418" s="2822"/>
      <c r="BO418" s="2822"/>
      <c r="BP418" s="2822"/>
      <c r="BQ418" s="2822"/>
      <c r="BR418" s="2822"/>
      <c r="BS418" s="2822"/>
      <c r="BT418" s="2822"/>
      <c r="BU418" s="2822"/>
      <c r="BV418" s="2822"/>
      <c r="BW418" s="2822"/>
      <c r="BX418" s="2822"/>
      <c r="BY418" s="2822"/>
      <c r="BZ418" s="2822"/>
      <c r="CA418" s="2822"/>
      <c r="CB418" s="2822"/>
      <c r="CC418" s="2822"/>
      <c r="CD418" s="2822"/>
      <c r="CE418" s="2822"/>
      <c r="CF418" s="2822"/>
      <c r="CG418" s="2822"/>
      <c r="CH418" s="2822"/>
      <c r="CI418" s="2822"/>
      <c r="CJ418" s="2822"/>
      <c r="CK418" s="2822"/>
      <c r="CL418" s="2822"/>
      <c r="CM418" s="2822"/>
      <c r="CN418" s="2822"/>
    </row>
    <row r="419" spans="1:92" x14ac:dyDescent="0.2">
      <c r="A419" s="2822"/>
      <c r="B419" s="2822"/>
      <c r="C419" s="2822"/>
      <c r="D419" s="2822"/>
      <c r="E419" s="2822"/>
      <c r="F419" s="2822"/>
      <c r="G419" s="2822"/>
      <c r="H419" s="2822"/>
      <c r="I419" s="2822"/>
      <c r="J419" s="2822"/>
      <c r="K419" s="2822"/>
      <c r="L419" s="2822"/>
      <c r="M419" s="2822"/>
      <c r="N419" s="2822"/>
      <c r="O419" s="2822"/>
      <c r="P419" s="2822"/>
      <c r="Q419" s="2822"/>
      <c r="R419" s="2822"/>
      <c r="S419" s="2822"/>
      <c r="T419" s="2822"/>
      <c r="U419" s="2822"/>
      <c r="V419" s="2822"/>
      <c r="W419" s="2822"/>
      <c r="X419" s="2822"/>
      <c r="Y419" s="2822"/>
      <c r="Z419" s="2822"/>
      <c r="AA419" s="2822"/>
      <c r="AB419" s="2822"/>
      <c r="AC419" s="2822"/>
      <c r="AD419" s="2822"/>
      <c r="AE419" s="2822"/>
      <c r="AF419" s="2822"/>
      <c r="AG419" s="2822"/>
      <c r="AH419" s="2822"/>
      <c r="AI419" s="2822"/>
      <c r="AJ419" s="2822"/>
      <c r="AK419" s="2822"/>
      <c r="AL419" s="2822"/>
      <c r="AM419" s="2822"/>
      <c r="AN419" s="2822"/>
      <c r="AO419" s="2822"/>
      <c r="AP419" s="2822"/>
      <c r="AQ419" s="2822"/>
      <c r="AR419" s="2822"/>
      <c r="AS419" s="2822"/>
      <c r="AT419" s="2822"/>
      <c r="AU419" s="2822"/>
      <c r="AV419" s="2822"/>
      <c r="AW419" s="2822"/>
      <c r="AX419" s="2822"/>
      <c r="AY419" s="2822"/>
      <c r="AZ419" s="2822"/>
      <c r="BA419" s="2822"/>
      <c r="BB419" s="2822"/>
      <c r="BC419" s="2822"/>
      <c r="BD419" s="2822"/>
      <c r="BE419" s="2822"/>
      <c r="BF419" s="2822"/>
      <c r="BG419" s="2822"/>
      <c r="BH419" s="2822"/>
      <c r="BI419" s="2822"/>
      <c r="BJ419" s="2822"/>
      <c r="BK419" s="2822"/>
      <c r="BL419" s="2822"/>
      <c r="BM419" s="2822"/>
      <c r="BN419" s="2822"/>
      <c r="BO419" s="2822"/>
      <c r="BP419" s="2822"/>
      <c r="BQ419" s="2822"/>
      <c r="BR419" s="2822"/>
      <c r="BS419" s="2822"/>
      <c r="BT419" s="2822"/>
      <c r="BU419" s="2822"/>
      <c r="BV419" s="2822"/>
      <c r="BW419" s="2822"/>
      <c r="BX419" s="2822"/>
      <c r="BY419" s="2822"/>
      <c r="BZ419" s="2822"/>
      <c r="CA419" s="2822"/>
      <c r="CB419" s="2822"/>
      <c r="CC419" s="2822"/>
      <c r="CD419" s="2822"/>
      <c r="CE419" s="2822"/>
      <c r="CF419" s="2822"/>
      <c r="CG419" s="2822"/>
      <c r="CH419" s="2822"/>
      <c r="CI419" s="2822"/>
      <c r="CJ419" s="2822"/>
      <c r="CK419" s="2822"/>
      <c r="CL419" s="2822"/>
      <c r="CM419" s="2822"/>
      <c r="CN419" s="2822"/>
    </row>
    <row r="420" spans="1:92" x14ac:dyDescent="0.2">
      <c r="A420" s="2822"/>
      <c r="B420" s="2822"/>
      <c r="C420" s="2822"/>
      <c r="D420" s="2822"/>
      <c r="E420" s="2822"/>
      <c r="F420" s="2822"/>
      <c r="G420" s="2822"/>
      <c r="H420" s="2822"/>
      <c r="I420" s="2822"/>
      <c r="J420" s="2822"/>
      <c r="K420" s="2822"/>
      <c r="L420" s="2822"/>
      <c r="M420" s="2822"/>
      <c r="N420" s="2822"/>
      <c r="O420" s="2822"/>
      <c r="P420" s="2822"/>
      <c r="Q420" s="2822"/>
      <c r="R420" s="2822"/>
      <c r="S420" s="2822"/>
      <c r="T420" s="2822"/>
      <c r="U420" s="2822"/>
      <c r="V420" s="2822"/>
      <c r="W420" s="2822"/>
      <c r="X420" s="2822"/>
      <c r="Y420" s="2822"/>
      <c r="Z420" s="2822"/>
      <c r="AA420" s="2822"/>
      <c r="AB420" s="2822"/>
      <c r="AC420" s="2822"/>
      <c r="AD420" s="2822"/>
      <c r="AE420" s="2822"/>
      <c r="AF420" s="2822"/>
      <c r="AG420" s="2822"/>
      <c r="AH420" s="2822"/>
      <c r="AI420" s="2822"/>
      <c r="AJ420" s="2822"/>
      <c r="AK420" s="2822"/>
      <c r="AL420" s="2822"/>
      <c r="AM420" s="2822"/>
      <c r="AN420" s="2822"/>
      <c r="AO420" s="2822"/>
      <c r="AP420" s="2822"/>
      <c r="AQ420" s="2822"/>
      <c r="AR420" s="2822"/>
      <c r="AS420" s="2822"/>
      <c r="AT420" s="2822"/>
      <c r="AU420" s="2822"/>
      <c r="AV420" s="2822"/>
      <c r="AW420" s="2822"/>
      <c r="AX420" s="2822"/>
      <c r="AY420" s="2822"/>
      <c r="AZ420" s="2822"/>
      <c r="BA420" s="2822"/>
      <c r="BB420" s="2822"/>
      <c r="BC420" s="2822"/>
      <c r="BD420" s="2822"/>
      <c r="BE420" s="2822"/>
      <c r="BF420" s="2822"/>
      <c r="BG420" s="2822"/>
      <c r="BH420" s="2822"/>
      <c r="BI420" s="2822"/>
      <c r="BJ420" s="2822"/>
      <c r="BK420" s="2822"/>
      <c r="BL420" s="2822"/>
      <c r="BM420" s="2822"/>
      <c r="BN420" s="2822"/>
      <c r="BO420" s="2822"/>
      <c r="BP420" s="2822"/>
      <c r="BQ420" s="2822"/>
      <c r="BR420" s="2822"/>
      <c r="BS420" s="2822"/>
      <c r="BT420" s="2822"/>
      <c r="BU420" s="2822"/>
      <c r="BV420" s="2822"/>
      <c r="BW420" s="2822"/>
      <c r="BX420" s="2822"/>
      <c r="BY420" s="2822"/>
      <c r="BZ420" s="2822"/>
      <c r="CA420" s="2822"/>
      <c r="CB420" s="2822"/>
      <c r="CC420" s="2822"/>
      <c r="CD420" s="2822"/>
      <c r="CE420" s="2822"/>
      <c r="CF420" s="2822"/>
      <c r="CG420" s="2822"/>
      <c r="CH420" s="2822"/>
      <c r="CI420" s="2822"/>
      <c r="CJ420" s="2822"/>
      <c r="CK420" s="2822"/>
      <c r="CL420" s="2822"/>
      <c r="CM420" s="2822"/>
      <c r="CN420" s="2822"/>
    </row>
    <row r="421" spans="1:92" x14ac:dyDescent="0.2">
      <c r="A421" s="2822"/>
      <c r="B421" s="2822"/>
      <c r="C421" s="2822"/>
      <c r="D421" s="2822"/>
      <c r="E421" s="2822"/>
      <c r="F421" s="2822"/>
      <c r="G421" s="2822"/>
      <c r="H421" s="2822"/>
      <c r="I421" s="2822"/>
      <c r="J421" s="2822"/>
      <c r="K421" s="2822"/>
      <c r="L421" s="2822"/>
      <c r="M421" s="2822"/>
      <c r="N421" s="2822"/>
      <c r="O421" s="2822"/>
      <c r="P421" s="2822"/>
      <c r="Q421" s="2822"/>
      <c r="R421" s="2822"/>
      <c r="S421" s="2822"/>
      <c r="T421" s="2822"/>
      <c r="U421" s="2822"/>
      <c r="V421" s="2822"/>
      <c r="W421" s="2822"/>
      <c r="X421" s="2822"/>
      <c r="Y421" s="2822"/>
      <c r="Z421" s="2822"/>
      <c r="AA421" s="2822"/>
      <c r="AB421" s="2822"/>
      <c r="AC421" s="2822"/>
      <c r="AD421" s="2822"/>
      <c r="AE421" s="2822"/>
      <c r="AF421" s="2822"/>
      <c r="AG421" s="2822"/>
      <c r="AH421" s="2822"/>
      <c r="AI421" s="2822"/>
      <c r="AJ421" s="2822"/>
      <c r="AK421" s="2822"/>
      <c r="AL421" s="2822"/>
      <c r="AM421" s="2822"/>
      <c r="AN421" s="2822"/>
      <c r="AO421" s="2822"/>
      <c r="AP421" s="2822"/>
      <c r="AQ421" s="2822"/>
      <c r="AR421" s="2822"/>
      <c r="AS421" s="2822"/>
      <c r="AT421" s="2822"/>
      <c r="AU421" s="2822"/>
      <c r="AV421" s="2822"/>
      <c r="AW421" s="2822"/>
      <c r="AX421" s="2822"/>
      <c r="AY421" s="2822"/>
      <c r="AZ421" s="2822"/>
      <c r="BA421" s="2822"/>
      <c r="BB421" s="2822"/>
      <c r="BC421" s="2822"/>
      <c r="BD421" s="2822"/>
      <c r="BE421" s="2822"/>
      <c r="BF421" s="2822"/>
      <c r="BG421" s="2822"/>
      <c r="BH421" s="2822"/>
      <c r="BI421" s="2822"/>
      <c r="BJ421" s="2822"/>
      <c r="BK421" s="2822"/>
      <c r="BL421" s="2822"/>
      <c r="BM421" s="2822"/>
      <c r="BN421" s="2822"/>
      <c r="BO421" s="2822"/>
      <c r="BP421" s="2822"/>
      <c r="BQ421" s="2822"/>
      <c r="BR421" s="2822"/>
      <c r="BS421" s="2822"/>
      <c r="BT421" s="2822"/>
      <c r="BU421" s="2822"/>
      <c r="BV421" s="2822"/>
      <c r="BW421" s="2822"/>
      <c r="BX421" s="2822"/>
      <c r="BY421" s="2822"/>
      <c r="BZ421" s="2822"/>
      <c r="CA421" s="2822"/>
      <c r="CB421" s="2822"/>
      <c r="CC421" s="2822"/>
      <c r="CD421" s="2822"/>
      <c r="CE421" s="2822"/>
      <c r="CF421" s="2822"/>
      <c r="CG421" s="2822"/>
      <c r="CH421" s="2822"/>
      <c r="CI421" s="2822"/>
      <c r="CJ421" s="2822"/>
      <c r="CK421" s="2822"/>
      <c r="CL421" s="2822"/>
      <c r="CM421" s="2822"/>
      <c r="CN421" s="2822"/>
    </row>
    <row r="422" spans="1:92" x14ac:dyDescent="0.2">
      <c r="A422" s="2822"/>
      <c r="B422" s="2822"/>
      <c r="C422" s="2822"/>
      <c r="D422" s="2822"/>
      <c r="E422" s="2822"/>
      <c r="F422" s="2822"/>
      <c r="G422" s="2822"/>
      <c r="H422" s="2822"/>
      <c r="I422" s="2822"/>
      <c r="J422" s="2822"/>
      <c r="K422" s="2822"/>
      <c r="L422" s="2822"/>
      <c r="M422" s="2822"/>
      <c r="N422" s="2822"/>
      <c r="O422" s="2822"/>
      <c r="P422" s="2822"/>
      <c r="Q422" s="2822"/>
      <c r="R422" s="2822"/>
      <c r="S422" s="2822"/>
      <c r="T422" s="2822"/>
      <c r="U422" s="2822"/>
      <c r="V422" s="2822"/>
      <c r="W422" s="2822"/>
      <c r="X422" s="2822"/>
      <c r="Y422" s="2822"/>
      <c r="Z422" s="2822"/>
      <c r="AA422" s="2822"/>
      <c r="AB422" s="2822"/>
      <c r="AC422" s="2822"/>
      <c r="AD422" s="2822"/>
      <c r="AE422" s="2822"/>
      <c r="AF422" s="2822"/>
      <c r="AG422" s="2822"/>
      <c r="AH422" s="2822"/>
      <c r="AI422" s="2822"/>
      <c r="AJ422" s="2822"/>
      <c r="AK422" s="2822"/>
      <c r="AL422" s="2822"/>
      <c r="AM422" s="2822"/>
      <c r="AN422" s="2822"/>
      <c r="AO422" s="2822"/>
      <c r="AP422" s="2822"/>
      <c r="AQ422" s="2822"/>
      <c r="AR422" s="2822"/>
      <c r="AS422" s="2822"/>
      <c r="AT422" s="2822"/>
      <c r="AU422" s="2822"/>
      <c r="AV422" s="2822"/>
      <c r="AW422" s="2822"/>
      <c r="AX422" s="2822"/>
      <c r="AY422" s="2822"/>
      <c r="AZ422" s="2822"/>
      <c r="BA422" s="2822"/>
      <c r="BB422" s="2822"/>
      <c r="BC422" s="2822"/>
      <c r="BD422" s="2822"/>
      <c r="BE422" s="2822"/>
      <c r="BF422" s="2822"/>
      <c r="BG422" s="2822"/>
      <c r="BH422" s="2822"/>
      <c r="BI422" s="2822"/>
      <c r="BJ422" s="2822"/>
      <c r="BK422" s="2822"/>
      <c r="BL422" s="2822"/>
      <c r="BM422" s="2822"/>
      <c r="BN422" s="2822"/>
      <c r="BO422" s="2822"/>
      <c r="BP422" s="2822"/>
      <c r="BQ422" s="2822"/>
      <c r="BR422" s="2822"/>
      <c r="BS422" s="2822"/>
      <c r="BT422" s="2822"/>
      <c r="BU422" s="2822"/>
      <c r="BV422" s="2822"/>
      <c r="BW422" s="2822"/>
      <c r="BX422" s="2822"/>
      <c r="BY422" s="2822"/>
      <c r="BZ422" s="2822"/>
      <c r="CA422" s="2822"/>
      <c r="CB422" s="2822"/>
      <c r="CC422" s="2822"/>
      <c r="CD422" s="2822"/>
      <c r="CE422" s="2822"/>
      <c r="CF422" s="2822"/>
      <c r="CG422" s="2822"/>
      <c r="CH422" s="2822"/>
      <c r="CI422" s="2822"/>
      <c r="CJ422" s="2822"/>
      <c r="CK422" s="2822"/>
      <c r="CL422" s="2822"/>
      <c r="CM422" s="2822"/>
      <c r="CN422" s="2822"/>
    </row>
    <row r="423" spans="1:92" x14ac:dyDescent="0.2">
      <c r="A423" s="2822"/>
      <c r="B423" s="2822"/>
      <c r="C423" s="2822"/>
      <c r="D423" s="2822"/>
      <c r="E423" s="2822"/>
      <c r="F423" s="2822"/>
      <c r="G423" s="2822"/>
      <c r="H423" s="2822"/>
      <c r="I423" s="2822"/>
      <c r="J423" s="2822"/>
      <c r="K423" s="2822"/>
      <c r="L423" s="2822"/>
      <c r="M423" s="2822"/>
      <c r="N423" s="2822"/>
      <c r="O423" s="2822"/>
      <c r="P423" s="2822"/>
      <c r="Q423" s="2822"/>
      <c r="R423" s="2822"/>
      <c r="S423" s="2822"/>
      <c r="T423" s="2822"/>
      <c r="U423" s="2822"/>
      <c r="V423" s="2822"/>
      <c r="W423" s="2822"/>
      <c r="X423" s="2822"/>
      <c r="Y423" s="2822"/>
      <c r="Z423" s="2822"/>
      <c r="AA423" s="2822"/>
      <c r="AB423" s="2822"/>
      <c r="AC423" s="2822"/>
      <c r="AD423" s="2822"/>
      <c r="AE423" s="2822"/>
      <c r="AF423" s="2822"/>
      <c r="AG423" s="2822"/>
      <c r="AH423" s="2822"/>
      <c r="AI423" s="2822"/>
      <c r="AJ423" s="2822"/>
      <c r="AK423" s="2822"/>
      <c r="AL423" s="2822"/>
      <c r="AM423" s="2822"/>
      <c r="AN423" s="2822"/>
      <c r="AO423" s="2822"/>
      <c r="AP423" s="2822"/>
      <c r="AQ423" s="2822"/>
      <c r="AR423" s="2822"/>
      <c r="AS423" s="2822"/>
      <c r="AT423" s="2822"/>
      <c r="AU423" s="2822"/>
      <c r="AV423" s="2822"/>
      <c r="AW423" s="2822"/>
      <c r="AX423" s="2822"/>
      <c r="AY423" s="2822"/>
      <c r="AZ423" s="2822"/>
      <c r="BA423" s="2822"/>
      <c r="BB423" s="2822"/>
      <c r="BC423" s="2822"/>
      <c r="BD423" s="2822"/>
      <c r="BE423" s="2822"/>
      <c r="BF423" s="2822"/>
      <c r="BG423" s="2822"/>
      <c r="BH423" s="2822"/>
      <c r="BI423" s="2822"/>
      <c r="BJ423" s="2822"/>
      <c r="BK423" s="2822"/>
      <c r="BL423" s="2822"/>
      <c r="BM423" s="2822"/>
      <c r="BN423" s="2822"/>
      <c r="BO423" s="2822"/>
      <c r="BP423" s="2822"/>
      <c r="BQ423" s="2822"/>
      <c r="BR423" s="2822"/>
      <c r="BS423" s="2822"/>
      <c r="BT423" s="2822"/>
      <c r="BU423" s="2822"/>
      <c r="BV423" s="2822"/>
      <c r="BW423" s="2822"/>
      <c r="BX423" s="2822"/>
      <c r="BY423" s="2822"/>
      <c r="BZ423" s="2822"/>
      <c r="CA423" s="2822"/>
      <c r="CB423" s="2822"/>
      <c r="CC423" s="2822"/>
      <c r="CD423" s="2822"/>
      <c r="CE423" s="2822"/>
      <c r="CF423" s="2822"/>
      <c r="CG423" s="2822"/>
      <c r="CH423" s="2822"/>
      <c r="CI423" s="2822"/>
      <c r="CJ423" s="2822"/>
      <c r="CK423" s="2822"/>
      <c r="CL423" s="2822"/>
      <c r="CM423" s="2822"/>
      <c r="CN423" s="2822"/>
    </row>
    <row r="424" spans="1:92" x14ac:dyDescent="0.2">
      <c r="A424" s="2822"/>
      <c r="B424" s="2822"/>
      <c r="C424" s="2822"/>
      <c r="D424" s="2822"/>
      <c r="E424" s="2822"/>
      <c r="F424" s="2822"/>
      <c r="G424" s="2822"/>
      <c r="H424" s="2822"/>
      <c r="I424" s="2822"/>
      <c r="J424" s="2822"/>
      <c r="K424" s="2822"/>
      <c r="L424" s="2822"/>
      <c r="M424" s="2822"/>
      <c r="N424" s="2822"/>
      <c r="O424" s="2822"/>
      <c r="P424" s="2822"/>
      <c r="Q424" s="2822"/>
      <c r="R424" s="2822"/>
      <c r="S424" s="2822"/>
      <c r="T424" s="2822"/>
      <c r="U424" s="2822"/>
      <c r="V424" s="2822"/>
      <c r="W424" s="2822"/>
      <c r="X424" s="2822"/>
      <c r="Y424" s="2822"/>
      <c r="Z424" s="2822"/>
      <c r="AA424" s="2822"/>
      <c r="AB424" s="2822"/>
      <c r="AC424" s="2822"/>
      <c r="AD424" s="2822"/>
      <c r="AE424" s="2822"/>
      <c r="AF424" s="2822"/>
      <c r="AG424" s="2822"/>
      <c r="AH424" s="2822"/>
      <c r="AI424" s="2822"/>
      <c r="AJ424" s="2822"/>
      <c r="AK424" s="2822"/>
      <c r="AL424" s="2822"/>
      <c r="AM424" s="2822"/>
      <c r="AN424" s="2822"/>
      <c r="AO424" s="2822"/>
      <c r="AP424" s="2822"/>
      <c r="AQ424" s="2822"/>
      <c r="AR424" s="2822"/>
      <c r="AS424" s="2822"/>
      <c r="AT424" s="2822"/>
      <c r="AU424" s="2822"/>
      <c r="AV424" s="2822"/>
      <c r="AW424" s="2822"/>
      <c r="AX424" s="2822"/>
      <c r="AY424" s="2822"/>
      <c r="AZ424" s="2822"/>
      <c r="BA424" s="2822"/>
      <c r="BB424" s="2822"/>
      <c r="BC424" s="2822"/>
      <c r="BD424" s="2822"/>
      <c r="BE424" s="2822"/>
      <c r="BF424" s="2822"/>
      <c r="BG424" s="2822"/>
      <c r="BH424" s="2822"/>
      <c r="BI424" s="2822"/>
      <c r="BJ424" s="2822"/>
      <c r="BK424" s="2822"/>
      <c r="BL424" s="2822"/>
      <c r="BM424" s="2822"/>
      <c r="BN424" s="2822"/>
      <c r="BO424" s="2822"/>
      <c r="BP424" s="2822"/>
      <c r="BQ424" s="2822"/>
      <c r="BR424" s="2822"/>
      <c r="BS424" s="2822"/>
      <c r="BT424" s="2822"/>
      <c r="BU424" s="2822"/>
      <c r="BV424" s="2822"/>
      <c r="BW424" s="2822"/>
      <c r="BX424" s="2822"/>
      <c r="BY424" s="2822"/>
      <c r="BZ424" s="2822"/>
      <c r="CA424" s="2822"/>
      <c r="CB424" s="2822"/>
      <c r="CC424" s="2822"/>
      <c r="CD424" s="2822"/>
      <c r="CE424" s="2822"/>
      <c r="CF424" s="2822"/>
      <c r="CG424" s="2822"/>
      <c r="CH424" s="2822"/>
      <c r="CI424" s="2822"/>
      <c r="CJ424" s="2822"/>
      <c r="CK424" s="2822"/>
      <c r="CL424" s="2822"/>
      <c r="CM424" s="2822"/>
      <c r="CN424" s="2822"/>
    </row>
    <row r="425" spans="1:92" x14ac:dyDescent="0.2">
      <c r="A425" s="2822"/>
      <c r="B425" s="2822"/>
      <c r="C425" s="2822"/>
      <c r="D425" s="2822"/>
      <c r="E425" s="2822"/>
      <c r="F425" s="2822"/>
      <c r="G425" s="2822"/>
      <c r="H425" s="2822"/>
      <c r="I425" s="2822"/>
      <c r="J425" s="2822"/>
      <c r="K425" s="2822"/>
      <c r="L425" s="2822"/>
      <c r="M425" s="2822"/>
      <c r="N425" s="2822"/>
      <c r="O425" s="2822"/>
      <c r="P425" s="2822"/>
      <c r="Q425" s="2822"/>
      <c r="R425" s="2822"/>
      <c r="S425" s="2822"/>
      <c r="T425" s="2822"/>
      <c r="U425" s="2822"/>
      <c r="V425" s="2822"/>
      <c r="W425" s="2822"/>
      <c r="X425" s="2822"/>
      <c r="Y425" s="2822"/>
      <c r="Z425" s="2822"/>
      <c r="AA425" s="2822"/>
      <c r="AB425" s="2822"/>
      <c r="AC425" s="2822"/>
      <c r="AD425" s="2822"/>
      <c r="AE425" s="2822"/>
      <c r="AF425" s="2822"/>
      <c r="AG425" s="2822"/>
      <c r="AH425" s="2822"/>
      <c r="AI425" s="2822"/>
      <c r="AJ425" s="2822"/>
      <c r="AK425" s="2822"/>
      <c r="AL425" s="2822"/>
      <c r="AM425" s="2822"/>
      <c r="AN425" s="2822"/>
      <c r="AO425" s="2822"/>
      <c r="AP425" s="2822"/>
      <c r="AQ425" s="2822"/>
      <c r="AR425" s="2822"/>
      <c r="AS425" s="2822"/>
      <c r="AT425" s="2822"/>
      <c r="AU425" s="2822"/>
      <c r="AV425" s="2822"/>
      <c r="AW425" s="2822"/>
      <c r="AX425" s="2822"/>
      <c r="AY425" s="2822"/>
      <c r="AZ425" s="2822"/>
      <c r="BA425" s="2822"/>
      <c r="BB425" s="2822"/>
      <c r="BC425" s="2822"/>
      <c r="BD425" s="2822"/>
      <c r="BE425" s="2822"/>
      <c r="BF425" s="2822"/>
      <c r="BG425" s="2822"/>
      <c r="BH425" s="2822"/>
      <c r="BI425" s="2822"/>
      <c r="BJ425" s="2822"/>
      <c r="BK425" s="2822"/>
      <c r="BL425" s="2822"/>
      <c r="BM425" s="2822"/>
      <c r="BN425" s="2822"/>
      <c r="BO425" s="2822"/>
      <c r="BP425" s="2822"/>
      <c r="BQ425" s="2822"/>
      <c r="BR425" s="2822"/>
      <c r="BS425" s="2822"/>
      <c r="BT425" s="2822"/>
      <c r="BU425" s="2822"/>
      <c r="BV425" s="2822"/>
      <c r="BW425" s="2822"/>
      <c r="BX425" s="2822"/>
      <c r="BY425" s="2822"/>
      <c r="BZ425" s="2822"/>
      <c r="CA425" s="2822"/>
      <c r="CB425" s="2822"/>
      <c r="CC425" s="2822"/>
      <c r="CD425" s="2822"/>
      <c r="CE425" s="2822"/>
      <c r="CF425" s="2822"/>
      <c r="CG425" s="2822"/>
      <c r="CH425" s="2822"/>
      <c r="CI425" s="2822"/>
      <c r="CJ425" s="2822"/>
      <c r="CK425" s="2822"/>
      <c r="CL425" s="2822"/>
      <c r="CM425" s="2822"/>
      <c r="CN425" s="2822"/>
    </row>
    <row r="426" spans="1:92" x14ac:dyDescent="0.2">
      <c r="A426" s="2822"/>
      <c r="B426" s="2822"/>
      <c r="C426" s="2822"/>
      <c r="D426" s="2822"/>
      <c r="E426" s="2822"/>
      <c r="F426" s="2822"/>
      <c r="G426" s="2822"/>
      <c r="H426" s="2822"/>
      <c r="I426" s="2822"/>
      <c r="J426" s="2822"/>
      <c r="K426" s="2822"/>
      <c r="L426" s="2822"/>
      <c r="M426" s="2822"/>
      <c r="N426" s="2822"/>
      <c r="O426" s="2822"/>
      <c r="P426" s="2822"/>
      <c r="Q426" s="2822"/>
      <c r="R426" s="2822"/>
      <c r="S426" s="2822"/>
      <c r="T426" s="2822"/>
      <c r="U426" s="2822"/>
      <c r="V426" s="2822"/>
      <c r="W426" s="2822"/>
      <c r="X426" s="2822"/>
      <c r="Y426" s="2822"/>
      <c r="Z426" s="2822"/>
      <c r="AA426" s="2822"/>
      <c r="AB426" s="2822"/>
      <c r="AC426" s="2822"/>
      <c r="AD426" s="2822"/>
      <c r="AE426" s="2822"/>
      <c r="AF426" s="2822"/>
      <c r="AG426" s="2822"/>
      <c r="AH426" s="2822"/>
      <c r="AI426" s="2822"/>
      <c r="AJ426" s="2822"/>
      <c r="AK426" s="2822"/>
      <c r="AL426" s="2822"/>
      <c r="AM426" s="2822"/>
      <c r="AN426" s="2822"/>
      <c r="AO426" s="2822"/>
      <c r="AP426" s="2822"/>
      <c r="AQ426" s="2822"/>
      <c r="AR426" s="2822"/>
      <c r="AS426" s="2822"/>
      <c r="AT426" s="2822"/>
      <c r="AU426" s="2822"/>
      <c r="AV426" s="2822"/>
      <c r="AW426" s="2822"/>
      <c r="AX426" s="2822"/>
      <c r="AY426" s="2822"/>
      <c r="AZ426" s="2822"/>
      <c r="BA426" s="2822"/>
      <c r="BB426" s="2822"/>
      <c r="BC426" s="2822"/>
      <c r="BD426" s="2822"/>
      <c r="BE426" s="2822"/>
      <c r="BF426" s="2822"/>
      <c r="BG426" s="2822"/>
      <c r="BH426" s="2822"/>
      <c r="BI426" s="2822"/>
      <c r="BJ426" s="2822"/>
      <c r="BK426" s="2822"/>
      <c r="BL426" s="2822"/>
      <c r="BM426" s="2822"/>
      <c r="BN426" s="2822"/>
      <c r="BO426" s="2822"/>
      <c r="BP426" s="2822"/>
      <c r="BQ426" s="2822"/>
      <c r="BR426" s="2822"/>
      <c r="BS426" s="2822"/>
      <c r="BT426" s="2822"/>
      <c r="BU426" s="2822"/>
      <c r="BV426" s="2822"/>
      <c r="BW426" s="2822"/>
      <c r="BX426" s="2822"/>
      <c r="BY426" s="2822"/>
      <c r="BZ426" s="2822"/>
      <c r="CA426" s="2822"/>
      <c r="CB426" s="2822"/>
      <c r="CC426" s="2822"/>
      <c r="CD426" s="2822"/>
      <c r="CE426" s="2822"/>
      <c r="CF426" s="2822"/>
      <c r="CG426" s="2822"/>
      <c r="CH426" s="2822"/>
      <c r="CI426" s="2822"/>
      <c r="CJ426" s="2822"/>
      <c r="CK426" s="2822"/>
      <c r="CL426" s="2822"/>
      <c r="CM426" s="2822"/>
      <c r="CN426" s="2822"/>
    </row>
    <row r="427" spans="1:92" x14ac:dyDescent="0.2">
      <c r="A427" s="2822"/>
      <c r="B427" s="2822"/>
      <c r="C427" s="2822"/>
      <c r="D427" s="2822"/>
      <c r="E427" s="2822"/>
      <c r="F427" s="2822"/>
      <c r="G427" s="2822"/>
      <c r="H427" s="2822"/>
      <c r="I427" s="2822"/>
      <c r="J427" s="2822"/>
      <c r="K427" s="2822"/>
      <c r="L427" s="2822"/>
      <c r="M427" s="2822"/>
      <c r="N427" s="2822"/>
      <c r="O427" s="2822"/>
      <c r="P427" s="2822"/>
      <c r="Q427" s="2822"/>
      <c r="R427" s="2822"/>
      <c r="S427" s="2822"/>
      <c r="T427" s="2822"/>
      <c r="U427" s="2822"/>
      <c r="V427" s="2822"/>
      <c r="W427" s="2822"/>
      <c r="X427" s="2822"/>
      <c r="Y427" s="2822"/>
      <c r="Z427" s="2822"/>
      <c r="AA427" s="2822"/>
      <c r="AB427" s="2822"/>
      <c r="AC427" s="2822"/>
      <c r="AD427" s="2822"/>
      <c r="AE427" s="2822"/>
      <c r="AF427" s="2822"/>
      <c r="AG427" s="2822"/>
      <c r="AH427" s="2822"/>
      <c r="AI427" s="2822"/>
      <c r="AJ427" s="2822"/>
      <c r="AK427" s="2822"/>
      <c r="AL427" s="2822"/>
      <c r="AM427" s="2822"/>
      <c r="AN427" s="2822"/>
      <c r="AO427" s="2822"/>
      <c r="AP427" s="2822"/>
      <c r="AQ427" s="2822"/>
      <c r="AR427" s="2822"/>
      <c r="AS427" s="2822"/>
      <c r="AT427" s="2822"/>
      <c r="AU427" s="2822"/>
      <c r="AV427" s="2822"/>
      <c r="AW427" s="2822"/>
      <c r="AX427" s="2822"/>
      <c r="AY427" s="2822"/>
      <c r="AZ427" s="2822"/>
      <c r="BA427" s="2822"/>
      <c r="BB427" s="2822"/>
      <c r="BC427" s="2822"/>
      <c r="BD427" s="2822"/>
      <c r="BE427" s="2822"/>
      <c r="BF427" s="2822"/>
      <c r="BG427" s="2822"/>
      <c r="BH427" s="2822"/>
      <c r="BI427" s="2822"/>
      <c r="BJ427" s="2822"/>
      <c r="BK427" s="2822"/>
      <c r="BL427" s="2822"/>
      <c r="BM427" s="2822"/>
      <c r="BN427" s="2822"/>
      <c r="BO427" s="2822"/>
      <c r="BP427" s="2822"/>
      <c r="BQ427" s="2822"/>
      <c r="BR427" s="2822"/>
      <c r="BS427" s="2822"/>
      <c r="BT427" s="2822"/>
      <c r="BU427" s="2822"/>
      <c r="BV427" s="2822"/>
      <c r="BW427" s="2822"/>
      <c r="BX427" s="2822"/>
      <c r="BY427" s="2822"/>
      <c r="BZ427" s="2822"/>
      <c r="CA427" s="2822"/>
      <c r="CB427" s="2822"/>
      <c r="CC427" s="2822"/>
      <c r="CD427" s="2822"/>
      <c r="CE427" s="2822"/>
      <c r="CF427" s="2822"/>
      <c r="CG427" s="2822"/>
      <c r="CH427" s="2822"/>
      <c r="CI427" s="2822"/>
      <c r="CJ427" s="2822"/>
      <c r="CK427" s="2822"/>
      <c r="CL427" s="2822"/>
      <c r="CM427" s="2822"/>
      <c r="CN427" s="2822"/>
    </row>
    <row r="428" spans="1:92" x14ac:dyDescent="0.2">
      <c r="A428" s="2822"/>
      <c r="B428" s="2822"/>
      <c r="C428" s="2822"/>
      <c r="D428" s="2822"/>
      <c r="E428" s="2822"/>
      <c r="F428" s="2822"/>
      <c r="G428" s="2822"/>
      <c r="H428" s="2822"/>
      <c r="I428" s="2822"/>
      <c r="J428" s="2822"/>
      <c r="K428" s="2822"/>
      <c r="L428" s="2822"/>
      <c r="M428" s="2822"/>
      <c r="N428" s="2822"/>
      <c r="O428" s="2822"/>
      <c r="P428" s="2822"/>
      <c r="Q428" s="2822"/>
      <c r="R428" s="2822"/>
      <c r="S428" s="2822"/>
      <c r="T428" s="2822"/>
      <c r="U428" s="2822"/>
      <c r="V428" s="2822"/>
      <c r="W428" s="2822"/>
      <c r="X428" s="2822"/>
      <c r="Y428" s="2822"/>
      <c r="Z428" s="2822"/>
      <c r="AA428" s="2822"/>
      <c r="AB428" s="2822"/>
      <c r="AC428" s="2822"/>
      <c r="AD428" s="2822"/>
      <c r="AE428" s="2822"/>
      <c r="AF428" s="2822"/>
      <c r="AG428" s="2822"/>
      <c r="AH428" s="2822"/>
      <c r="AI428" s="2822"/>
      <c r="AJ428" s="2822"/>
      <c r="AK428" s="2822"/>
      <c r="AL428" s="2822"/>
      <c r="AM428" s="2822"/>
      <c r="AN428" s="2822"/>
      <c r="AO428" s="2822"/>
      <c r="AP428" s="2822"/>
      <c r="AQ428" s="2822"/>
      <c r="AR428" s="2822"/>
      <c r="AS428" s="2822"/>
      <c r="AT428" s="2822"/>
      <c r="AU428" s="2822"/>
      <c r="AV428" s="2822"/>
      <c r="AW428" s="2822"/>
      <c r="AX428" s="2822"/>
      <c r="AY428" s="2822"/>
      <c r="AZ428" s="2822"/>
      <c r="BA428" s="2822"/>
      <c r="BB428" s="2822"/>
      <c r="BC428" s="2822"/>
      <c r="BD428" s="2822"/>
      <c r="BE428" s="2822"/>
      <c r="BF428" s="2822"/>
      <c r="BG428" s="2822"/>
      <c r="BH428" s="2822"/>
      <c r="BI428" s="2822"/>
      <c r="BJ428" s="2822"/>
      <c r="BK428" s="2822"/>
      <c r="BL428" s="2822"/>
      <c r="BM428" s="2822"/>
      <c r="BN428" s="2822"/>
      <c r="BO428" s="2822"/>
      <c r="BP428" s="2822"/>
      <c r="BQ428" s="2822"/>
      <c r="BR428" s="2822"/>
      <c r="BS428" s="2822"/>
      <c r="BT428" s="2822"/>
      <c r="BU428" s="2822"/>
      <c r="BV428" s="2822"/>
      <c r="BW428" s="2822"/>
      <c r="BX428" s="2822"/>
      <c r="BY428" s="2822"/>
      <c r="BZ428" s="2822"/>
      <c r="CA428" s="2822"/>
      <c r="CB428" s="2822"/>
      <c r="CC428" s="2822"/>
      <c r="CD428" s="2822"/>
      <c r="CE428" s="2822"/>
      <c r="CF428" s="2822"/>
      <c r="CG428" s="2822"/>
      <c r="CH428" s="2822"/>
      <c r="CI428" s="2822"/>
      <c r="CJ428" s="2822"/>
      <c r="CK428" s="2822"/>
      <c r="CL428" s="2822"/>
      <c r="CM428" s="2822"/>
      <c r="CN428" s="2822"/>
    </row>
    <row r="429" spans="1:92" x14ac:dyDescent="0.2">
      <c r="A429" s="2822"/>
      <c r="B429" s="2822"/>
      <c r="C429" s="2822"/>
      <c r="D429" s="2822"/>
      <c r="E429" s="2822"/>
      <c r="F429" s="2822"/>
      <c r="G429" s="2822"/>
      <c r="H429" s="2822"/>
      <c r="I429" s="2822"/>
      <c r="J429" s="2822"/>
      <c r="K429" s="2822"/>
      <c r="L429" s="2822"/>
      <c r="M429" s="2822"/>
      <c r="N429" s="2822"/>
      <c r="O429" s="2822"/>
      <c r="P429" s="2822"/>
      <c r="Q429" s="2822"/>
      <c r="R429" s="2822"/>
      <c r="S429" s="2822"/>
      <c r="T429" s="2822"/>
      <c r="U429" s="2822"/>
      <c r="V429" s="2822"/>
      <c r="W429" s="2822"/>
      <c r="X429" s="2822"/>
      <c r="Y429" s="2822"/>
      <c r="Z429" s="2822"/>
      <c r="AA429" s="2822"/>
      <c r="AB429" s="2822"/>
      <c r="AC429" s="2822"/>
      <c r="AD429" s="2822"/>
      <c r="AE429" s="2822"/>
      <c r="AF429" s="2822"/>
      <c r="AG429" s="2822"/>
      <c r="AH429" s="2822"/>
      <c r="AI429" s="2822"/>
      <c r="AJ429" s="2822"/>
      <c r="AK429" s="2822"/>
      <c r="AL429" s="2822"/>
      <c r="AM429" s="2822"/>
      <c r="AN429" s="2822"/>
      <c r="AO429" s="2822"/>
      <c r="AP429" s="2822"/>
      <c r="AQ429" s="2822"/>
      <c r="AR429" s="2822"/>
      <c r="AS429" s="2822"/>
      <c r="AT429" s="2822"/>
      <c r="AU429" s="2822"/>
      <c r="AV429" s="2822"/>
      <c r="AW429" s="2822"/>
      <c r="AX429" s="2822"/>
      <c r="AY429" s="2822"/>
      <c r="AZ429" s="2822"/>
      <c r="BA429" s="2822"/>
      <c r="BB429" s="2822"/>
      <c r="BC429" s="2822"/>
      <c r="BD429" s="2822"/>
      <c r="BE429" s="2822"/>
      <c r="BF429" s="2822"/>
      <c r="BG429" s="2822"/>
      <c r="BH429" s="2822"/>
      <c r="BI429" s="2822"/>
      <c r="BJ429" s="2822"/>
      <c r="BK429" s="2822"/>
      <c r="BL429" s="2822"/>
      <c r="BM429" s="2822"/>
      <c r="BN429" s="2822"/>
      <c r="BO429" s="2822"/>
      <c r="BP429" s="2822"/>
      <c r="BQ429" s="2822"/>
      <c r="BR429" s="2822"/>
      <c r="BS429" s="2822"/>
      <c r="BT429" s="2822"/>
      <c r="BU429" s="2822"/>
      <c r="BV429" s="2822"/>
      <c r="BW429" s="2822"/>
      <c r="BX429" s="2822"/>
      <c r="BY429" s="2822"/>
      <c r="BZ429" s="2822"/>
      <c r="CA429" s="2822"/>
      <c r="CB429" s="2822"/>
      <c r="CC429" s="2822"/>
      <c r="CD429" s="2822"/>
      <c r="CE429" s="2822"/>
      <c r="CF429" s="2822"/>
      <c r="CG429" s="2822"/>
      <c r="CH429" s="2822"/>
      <c r="CI429" s="2822"/>
      <c r="CJ429" s="2822"/>
      <c r="CK429" s="2822"/>
      <c r="CL429" s="2822"/>
      <c r="CM429" s="2822"/>
      <c r="CN429" s="2822"/>
    </row>
    <row r="430" spans="1:92" x14ac:dyDescent="0.2">
      <c r="A430" s="2822"/>
      <c r="B430" s="2822"/>
      <c r="C430" s="2822"/>
      <c r="D430" s="2822"/>
      <c r="E430" s="2822"/>
      <c r="F430" s="2822"/>
      <c r="G430" s="2822"/>
      <c r="H430" s="2822"/>
      <c r="I430" s="2822"/>
      <c r="J430" s="2822"/>
      <c r="K430" s="2822"/>
      <c r="L430" s="2822"/>
      <c r="M430" s="2822"/>
      <c r="N430" s="2822"/>
      <c r="O430" s="2822"/>
      <c r="P430" s="2822"/>
      <c r="Q430" s="2822"/>
      <c r="R430" s="2822"/>
      <c r="S430" s="2822"/>
      <c r="T430" s="2822"/>
      <c r="U430" s="2822"/>
      <c r="V430" s="2822"/>
      <c r="W430" s="2822"/>
      <c r="X430" s="2822"/>
      <c r="Y430" s="2822"/>
      <c r="Z430" s="2822"/>
      <c r="AA430" s="2822"/>
      <c r="AB430" s="2822"/>
      <c r="AC430" s="2822"/>
      <c r="AD430" s="2822"/>
      <c r="AE430" s="2822"/>
      <c r="AF430" s="2822"/>
      <c r="AG430" s="2822"/>
      <c r="AH430" s="2822"/>
      <c r="AI430" s="2822"/>
      <c r="AJ430" s="2822"/>
      <c r="AK430" s="2822"/>
      <c r="AL430" s="2822"/>
      <c r="AM430" s="2822"/>
      <c r="AN430" s="2822"/>
      <c r="AO430" s="2822"/>
      <c r="AP430" s="2822"/>
      <c r="AQ430" s="2822"/>
      <c r="AR430" s="2822"/>
      <c r="AS430" s="2822"/>
      <c r="AT430" s="2822"/>
      <c r="AU430" s="2822"/>
      <c r="AV430" s="2822"/>
      <c r="AW430" s="2822"/>
      <c r="AX430" s="2822"/>
      <c r="AY430" s="2822"/>
      <c r="AZ430" s="2822"/>
      <c r="BA430" s="2822"/>
      <c r="BB430" s="2822"/>
      <c r="BC430" s="2822"/>
      <c r="BD430" s="2822"/>
      <c r="BE430" s="2822"/>
      <c r="BF430" s="2822"/>
      <c r="BG430" s="2822"/>
      <c r="BH430" s="2822"/>
      <c r="BI430" s="2822"/>
      <c r="BJ430" s="2822"/>
      <c r="BK430" s="2822"/>
      <c r="BL430" s="2822"/>
      <c r="BM430" s="2822"/>
      <c r="BN430" s="2822"/>
      <c r="BO430" s="2822"/>
      <c r="BP430" s="2822"/>
      <c r="BQ430" s="2822"/>
      <c r="BR430" s="2822"/>
      <c r="BS430" s="2822"/>
      <c r="BT430" s="2822"/>
      <c r="BU430" s="2822"/>
      <c r="BV430" s="2822"/>
      <c r="BW430" s="2822"/>
      <c r="BX430" s="2822"/>
      <c r="BY430" s="2822"/>
      <c r="BZ430" s="2822"/>
      <c r="CA430" s="2822"/>
      <c r="CB430" s="2822"/>
      <c r="CC430" s="2822"/>
      <c r="CD430" s="2822"/>
      <c r="CE430" s="2822"/>
      <c r="CF430" s="2822"/>
      <c r="CG430" s="2822"/>
      <c r="CH430" s="2822"/>
      <c r="CI430" s="2822"/>
      <c r="CJ430" s="2822"/>
      <c r="CK430" s="2822"/>
      <c r="CL430" s="2822"/>
      <c r="CM430" s="2822"/>
      <c r="CN430" s="2822"/>
    </row>
    <row r="431" spans="1:92" x14ac:dyDescent="0.2">
      <c r="A431" s="2822"/>
      <c r="B431" s="2822"/>
      <c r="C431" s="2822"/>
      <c r="D431" s="2822"/>
      <c r="E431" s="2822"/>
      <c r="F431" s="2822"/>
      <c r="G431" s="2822"/>
      <c r="H431" s="2822"/>
      <c r="I431" s="2822"/>
      <c r="J431" s="2822"/>
      <c r="K431" s="2822"/>
      <c r="L431" s="2822"/>
      <c r="M431" s="2822"/>
      <c r="N431" s="2822"/>
      <c r="O431" s="2822"/>
      <c r="P431" s="2822"/>
      <c r="Q431" s="2822"/>
      <c r="R431" s="2822"/>
      <c r="S431" s="2822"/>
      <c r="T431" s="2822"/>
      <c r="U431" s="2822"/>
      <c r="V431" s="2822"/>
      <c r="W431" s="2822"/>
      <c r="X431" s="2822"/>
      <c r="Y431" s="2822"/>
      <c r="Z431" s="2822"/>
      <c r="AA431" s="2822"/>
      <c r="AB431" s="2822"/>
      <c r="AC431" s="2822"/>
      <c r="AD431" s="2822"/>
      <c r="AE431" s="2822"/>
      <c r="AF431" s="2822"/>
      <c r="AG431" s="2822"/>
      <c r="AH431" s="2822"/>
      <c r="AI431" s="2822"/>
      <c r="AJ431" s="2822"/>
      <c r="AK431" s="2822"/>
      <c r="AL431" s="2822"/>
      <c r="AM431" s="2822"/>
      <c r="AN431" s="2822"/>
      <c r="AO431" s="2822"/>
      <c r="AP431" s="2822"/>
      <c r="AQ431" s="2822"/>
      <c r="AR431" s="2822"/>
      <c r="AS431" s="2822"/>
      <c r="AT431" s="2822"/>
      <c r="AU431" s="2822"/>
      <c r="AV431" s="2822"/>
      <c r="AW431" s="2822"/>
      <c r="AX431" s="2822"/>
      <c r="AY431" s="2822"/>
      <c r="AZ431" s="2822"/>
      <c r="BA431" s="2822"/>
      <c r="BB431" s="2822"/>
      <c r="BC431" s="2822"/>
      <c r="BD431" s="2822"/>
      <c r="BE431" s="2822"/>
      <c r="BF431" s="2822"/>
      <c r="BG431" s="2822"/>
      <c r="BH431" s="2822"/>
      <c r="BI431" s="2822"/>
      <c r="BJ431" s="2822"/>
      <c r="BK431" s="2822"/>
      <c r="BL431" s="2822"/>
      <c r="BM431" s="2822"/>
      <c r="BN431" s="2822"/>
      <c r="BO431" s="2822"/>
      <c r="BP431" s="2822"/>
      <c r="BQ431" s="2822"/>
      <c r="BR431" s="2822"/>
      <c r="BS431" s="2822"/>
      <c r="BT431" s="2822"/>
      <c r="BU431" s="2822"/>
      <c r="BV431" s="2822"/>
      <c r="BW431" s="2822"/>
      <c r="BX431" s="2822"/>
      <c r="BY431" s="2822"/>
      <c r="BZ431" s="2822"/>
      <c r="CA431" s="2822"/>
      <c r="CB431" s="2822"/>
      <c r="CC431" s="2822"/>
      <c r="CD431" s="2822"/>
      <c r="CE431" s="2822"/>
      <c r="CF431" s="2822"/>
      <c r="CG431" s="2822"/>
      <c r="CH431" s="2822"/>
      <c r="CI431" s="2822"/>
      <c r="CJ431" s="2822"/>
      <c r="CK431" s="2822"/>
      <c r="CL431" s="2822"/>
      <c r="CM431" s="2822"/>
      <c r="CN431" s="2822"/>
    </row>
    <row r="432" spans="1:92" x14ac:dyDescent="0.2">
      <c r="A432" s="2822"/>
      <c r="B432" s="2822"/>
      <c r="C432" s="2822"/>
      <c r="D432" s="2822"/>
      <c r="E432" s="2822"/>
      <c r="F432" s="2822"/>
      <c r="G432" s="2822"/>
      <c r="H432" s="2822"/>
      <c r="I432" s="2822"/>
      <c r="J432" s="2822"/>
      <c r="K432" s="2822"/>
      <c r="L432" s="2822"/>
      <c r="M432" s="2822"/>
      <c r="N432" s="2822"/>
      <c r="O432" s="2822"/>
      <c r="P432" s="2822"/>
      <c r="Q432" s="2822"/>
      <c r="R432" s="2822"/>
      <c r="S432" s="2822"/>
      <c r="T432" s="2822"/>
      <c r="U432" s="2822"/>
      <c r="V432" s="2822"/>
      <c r="W432" s="2822"/>
      <c r="X432" s="2822"/>
      <c r="Y432" s="2822"/>
      <c r="Z432" s="2822"/>
      <c r="AA432" s="2822"/>
      <c r="AB432" s="2822"/>
      <c r="AC432" s="2822"/>
      <c r="AD432" s="2822"/>
      <c r="AE432" s="2822"/>
      <c r="AF432" s="2822"/>
      <c r="AG432" s="2822"/>
      <c r="AH432" s="2822"/>
      <c r="AI432" s="2822"/>
      <c r="AJ432" s="2822"/>
      <c r="AK432" s="2822"/>
      <c r="AL432" s="2822"/>
      <c r="AM432" s="2822"/>
      <c r="AN432" s="2822"/>
      <c r="AO432" s="2822"/>
      <c r="AP432" s="2822"/>
      <c r="AQ432" s="2822"/>
      <c r="AR432" s="2822"/>
      <c r="AS432" s="2822"/>
      <c r="AT432" s="2822"/>
      <c r="AU432" s="2822"/>
      <c r="AV432" s="2822"/>
      <c r="AW432" s="2822"/>
      <c r="AX432" s="2822"/>
      <c r="AY432" s="2822"/>
      <c r="AZ432" s="2822"/>
      <c r="BA432" s="2822"/>
      <c r="BB432" s="2822"/>
      <c r="BC432" s="2822"/>
      <c r="BD432" s="2822"/>
      <c r="BE432" s="2822"/>
      <c r="BF432" s="2822"/>
      <c r="BG432" s="2822"/>
      <c r="BH432" s="2822"/>
      <c r="BI432" s="2822"/>
      <c r="BJ432" s="2822"/>
      <c r="BK432" s="2822"/>
      <c r="BL432" s="2822"/>
      <c r="BM432" s="2822"/>
      <c r="BN432" s="2822"/>
      <c r="BO432" s="2822"/>
      <c r="BP432" s="2822"/>
      <c r="BQ432" s="2822"/>
      <c r="BR432" s="2822"/>
      <c r="BS432" s="2822"/>
      <c r="BT432" s="2822"/>
      <c r="BU432" s="2822"/>
      <c r="BV432" s="2822"/>
      <c r="BW432" s="2822"/>
      <c r="BX432" s="2822"/>
      <c r="BY432" s="2822"/>
      <c r="BZ432" s="2822"/>
      <c r="CA432" s="2822"/>
      <c r="CB432" s="2822"/>
      <c r="CC432" s="2822"/>
      <c r="CD432" s="2822"/>
      <c r="CE432" s="2822"/>
      <c r="CF432" s="2822"/>
      <c r="CG432" s="2822"/>
      <c r="CH432" s="2822"/>
      <c r="CI432" s="2822"/>
      <c r="CJ432" s="2822"/>
      <c r="CK432" s="2822"/>
      <c r="CL432" s="2822"/>
      <c r="CM432" s="2822"/>
      <c r="CN432" s="2822"/>
    </row>
  </sheetData>
  <sheetProtection formatCells="0" formatColumns="0" formatRows="0" insertColumns="0" insertRows="0" insertHyperlinks="0" deleteColumns="0" deleteRows="0" sort="0" autoFilter="0" pivotTables="0"/>
  <mergeCells count="475">
    <mergeCell ref="BM235:CA235"/>
    <mergeCell ref="CB235:CJ235"/>
    <mergeCell ref="B236:D236"/>
    <mergeCell ref="E236:G236"/>
    <mergeCell ref="H236:J236"/>
    <mergeCell ref="K236:M236"/>
    <mergeCell ref="N236:P236"/>
    <mergeCell ref="Q236:S236"/>
    <mergeCell ref="T236:V236"/>
    <mergeCell ref="W236:Y236"/>
    <mergeCell ref="BV236:BX236"/>
    <mergeCell ref="BY236:CA236"/>
    <mergeCell ref="CB236:CD236"/>
    <mergeCell ref="CE236:CG236"/>
    <mergeCell ref="CH236:CJ236"/>
    <mergeCell ref="BD236:BF236"/>
    <mergeCell ref="BG236:BI236"/>
    <mergeCell ref="BJ236:BL236"/>
    <mergeCell ref="BM236:BO236"/>
    <mergeCell ref="BP236:BR236"/>
    <mergeCell ref="BS236:BU236"/>
    <mergeCell ref="CE231:CG231"/>
    <mergeCell ref="CH231:CJ231"/>
    <mergeCell ref="BA231:BC231"/>
    <mergeCell ref="BD231:BF231"/>
    <mergeCell ref="BG231:BI231"/>
    <mergeCell ref="BJ231:BL231"/>
    <mergeCell ref="BM231:BO231"/>
    <mergeCell ref="BP231:BR231"/>
    <mergeCell ref="A235:A237"/>
    <mergeCell ref="B235:P235"/>
    <mergeCell ref="Q235:AE235"/>
    <mergeCell ref="AF235:AN235"/>
    <mergeCell ref="AO235:BC235"/>
    <mergeCell ref="BD235:BL235"/>
    <mergeCell ref="Z236:AB236"/>
    <mergeCell ref="AC236:AE236"/>
    <mergeCell ref="AF236:AH236"/>
    <mergeCell ref="AI236:AK236"/>
    <mergeCell ref="AL236:AN236"/>
    <mergeCell ref="AO236:AQ236"/>
    <mergeCell ref="AR236:AT236"/>
    <mergeCell ref="AU236:AW236"/>
    <mergeCell ref="AX236:AZ236"/>
    <mergeCell ref="BA236:BC236"/>
    <mergeCell ref="T231:V231"/>
    <mergeCell ref="W231:Y231"/>
    <mergeCell ref="Z231:AB231"/>
    <mergeCell ref="AC231:AE231"/>
    <mergeCell ref="AF231:AH231"/>
    <mergeCell ref="BS231:BU231"/>
    <mergeCell ref="BV231:BX231"/>
    <mergeCell ref="BY231:CA231"/>
    <mergeCell ref="CB231:CD231"/>
    <mergeCell ref="B231:D231"/>
    <mergeCell ref="E231:G231"/>
    <mergeCell ref="H231:J231"/>
    <mergeCell ref="K231:M231"/>
    <mergeCell ref="N231:P231"/>
    <mergeCell ref="BD230:BF230"/>
    <mergeCell ref="BG230:BI230"/>
    <mergeCell ref="BJ230:BL230"/>
    <mergeCell ref="BM230:BO230"/>
    <mergeCell ref="AL230:AN230"/>
    <mergeCell ref="AO230:AQ230"/>
    <mergeCell ref="AR230:AT230"/>
    <mergeCell ref="AU230:AW230"/>
    <mergeCell ref="AX230:AZ230"/>
    <mergeCell ref="BA230:BC230"/>
    <mergeCell ref="T230:V230"/>
    <mergeCell ref="W230:Y230"/>
    <mergeCell ref="AI231:AK231"/>
    <mergeCell ref="AL231:AN231"/>
    <mergeCell ref="AO231:AQ231"/>
    <mergeCell ref="AR231:AT231"/>
    <mergeCell ref="AU231:AW231"/>
    <mergeCell ref="AX231:AZ231"/>
    <mergeCell ref="Q231:S231"/>
    <mergeCell ref="B230:D230"/>
    <mergeCell ref="E230:G230"/>
    <mergeCell ref="H230:J230"/>
    <mergeCell ref="K230:M230"/>
    <mergeCell ref="N230:P230"/>
    <mergeCell ref="Q230:S230"/>
    <mergeCell ref="BV230:BX230"/>
    <mergeCell ref="BY230:CA230"/>
    <mergeCell ref="CB230:CD230"/>
    <mergeCell ref="BP230:BR230"/>
    <mergeCell ref="BS230:BU230"/>
    <mergeCell ref="CE229:CG229"/>
    <mergeCell ref="CH229:CJ229"/>
    <mergeCell ref="BA229:BC229"/>
    <mergeCell ref="BD229:BF229"/>
    <mergeCell ref="BG229:BI229"/>
    <mergeCell ref="BJ229:BL229"/>
    <mergeCell ref="BM229:BO229"/>
    <mergeCell ref="BP229:BR229"/>
    <mergeCell ref="Z230:AB230"/>
    <mergeCell ref="AC230:AE230"/>
    <mergeCell ref="AF230:AH230"/>
    <mergeCell ref="AI230:AK230"/>
    <mergeCell ref="CE230:CG230"/>
    <mergeCell ref="CH230:CJ230"/>
    <mergeCell ref="T229:V229"/>
    <mergeCell ref="W229:Y229"/>
    <mergeCell ref="Z229:AB229"/>
    <mergeCell ref="AC229:AE229"/>
    <mergeCell ref="AF229:AH229"/>
    <mergeCell ref="BS229:BU229"/>
    <mergeCell ref="BV229:BX229"/>
    <mergeCell ref="BY229:CA229"/>
    <mergeCell ref="CB229:CD229"/>
    <mergeCell ref="B229:D229"/>
    <mergeCell ref="E229:G229"/>
    <mergeCell ref="H229:J229"/>
    <mergeCell ref="K229:M229"/>
    <mergeCell ref="N229:P229"/>
    <mergeCell ref="BD228:BF228"/>
    <mergeCell ref="BG228:BI228"/>
    <mergeCell ref="BJ228:BL228"/>
    <mergeCell ref="BM228:BO228"/>
    <mergeCell ref="AL228:AN228"/>
    <mergeCell ref="AO228:AQ228"/>
    <mergeCell ref="AR228:AT228"/>
    <mergeCell ref="AU228:AW228"/>
    <mergeCell ref="AX228:AZ228"/>
    <mergeCell ref="BA228:BC228"/>
    <mergeCell ref="T228:V228"/>
    <mergeCell ref="W228:Y228"/>
    <mergeCell ref="AI229:AK229"/>
    <mergeCell ref="AL229:AN229"/>
    <mergeCell ref="AO229:AQ229"/>
    <mergeCell ref="AR229:AT229"/>
    <mergeCell ref="AU229:AW229"/>
    <mergeCell ref="AX229:AZ229"/>
    <mergeCell ref="Q229:S229"/>
    <mergeCell ref="CE227:CG227"/>
    <mergeCell ref="CH227:CJ227"/>
    <mergeCell ref="B228:D228"/>
    <mergeCell ref="E228:G228"/>
    <mergeCell ref="H228:J228"/>
    <mergeCell ref="K228:M228"/>
    <mergeCell ref="N228:P228"/>
    <mergeCell ref="Q228:S228"/>
    <mergeCell ref="BG227:BI227"/>
    <mergeCell ref="BJ227:BL227"/>
    <mergeCell ref="BM227:BO227"/>
    <mergeCell ref="BP227:BR227"/>
    <mergeCell ref="BS227:BU227"/>
    <mergeCell ref="BV227:BX227"/>
    <mergeCell ref="AO227:AQ227"/>
    <mergeCell ref="AR227:AT227"/>
    <mergeCell ref="AU227:AW227"/>
    <mergeCell ref="AX227:AZ227"/>
    <mergeCell ref="BV228:BX228"/>
    <mergeCell ref="BY228:CA228"/>
    <mergeCell ref="CB228:CD228"/>
    <mergeCell ref="CE228:CG228"/>
    <mergeCell ref="CH228:CJ228"/>
    <mergeCell ref="BP228:BR228"/>
    <mergeCell ref="AI227:AK227"/>
    <mergeCell ref="AL227:AN227"/>
    <mergeCell ref="CB194:CD194"/>
    <mergeCell ref="AI194:AK194"/>
    <mergeCell ref="AL194:AN194"/>
    <mergeCell ref="AO194:AQ194"/>
    <mergeCell ref="Z228:AB228"/>
    <mergeCell ref="AC228:AE228"/>
    <mergeCell ref="AF228:AH228"/>
    <mergeCell ref="AI228:AK228"/>
    <mergeCell ref="BY227:CA227"/>
    <mergeCell ref="CB227:CD227"/>
    <mergeCell ref="BS228:BU228"/>
    <mergeCell ref="B227:D227"/>
    <mergeCell ref="E227:G227"/>
    <mergeCell ref="H227:J227"/>
    <mergeCell ref="K227:M227"/>
    <mergeCell ref="N227:P227"/>
    <mergeCell ref="Q227:S227"/>
    <mergeCell ref="T227:V227"/>
    <mergeCell ref="BJ194:BL194"/>
    <mergeCell ref="BM194:BO194"/>
    <mergeCell ref="AR194:AT194"/>
    <mergeCell ref="AU194:AW194"/>
    <mergeCell ref="AX194:AZ194"/>
    <mergeCell ref="BA194:BC194"/>
    <mergeCell ref="BD194:BF194"/>
    <mergeCell ref="BG194:BI194"/>
    <mergeCell ref="Z194:AB194"/>
    <mergeCell ref="AC194:AE194"/>
    <mergeCell ref="AF194:AH194"/>
    <mergeCell ref="BA227:BC227"/>
    <mergeCell ref="BD227:BF227"/>
    <mergeCell ref="W227:Y227"/>
    <mergeCell ref="Z227:AB227"/>
    <mergeCell ref="AC227:AE227"/>
    <mergeCell ref="AF227:AH227"/>
    <mergeCell ref="CB193:CJ193"/>
    <mergeCell ref="B194:D194"/>
    <mergeCell ref="E194:G194"/>
    <mergeCell ref="H194:J194"/>
    <mergeCell ref="K194:M194"/>
    <mergeCell ref="N194:P194"/>
    <mergeCell ref="Q194:S194"/>
    <mergeCell ref="T194:V194"/>
    <mergeCell ref="W194:Y194"/>
    <mergeCell ref="CE194:CG194"/>
    <mergeCell ref="CH194:CJ194"/>
    <mergeCell ref="BP194:BR194"/>
    <mergeCell ref="BS194:BU194"/>
    <mergeCell ref="BV194:BX194"/>
    <mergeCell ref="BY194:CA194"/>
    <mergeCell ref="A193:A195"/>
    <mergeCell ref="B193:P193"/>
    <mergeCell ref="Q193:AE193"/>
    <mergeCell ref="AF193:AN193"/>
    <mergeCell ref="AO193:BC193"/>
    <mergeCell ref="BD193:BL193"/>
    <mergeCell ref="BG173:BI173"/>
    <mergeCell ref="BJ173:BL173"/>
    <mergeCell ref="BM173:BO173"/>
    <mergeCell ref="AO173:AQ173"/>
    <mergeCell ref="AR173:AT173"/>
    <mergeCell ref="AU173:AW173"/>
    <mergeCell ref="AX173:AZ173"/>
    <mergeCell ref="BA173:BC173"/>
    <mergeCell ref="BD173:BF173"/>
    <mergeCell ref="W173:Y173"/>
    <mergeCell ref="Z173:AB173"/>
    <mergeCell ref="BM193:CA193"/>
    <mergeCell ref="AC173:AE173"/>
    <mergeCell ref="AF173:AH173"/>
    <mergeCell ref="AI173:AK173"/>
    <mergeCell ref="AL173:AN173"/>
    <mergeCell ref="BD172:BL172"/>
    <mergeCell ref="BM172:CA172"/>
    <mergeCell ref="CB172:CJ172"/>
    <mergeCell ref="B173:D173"/>
    <mergeCell ref="E173:G173"/>
    <mergeCell ref="H173:J173"/>
    <mergeCell ref="K173:M173"/>
    <mergeCell ref="N173:P173"/>
    <mergeCell ref="Q173:S173"/>
    <mergeCell ref="T173:V173"/>
    <mergeCell ref="BY173:CA173"/>
    <mergeCell ref="CB173:CD173"/>
    <mergeCell ref="CE173:CG173"/>
    <mergeCell ref="CH173:CJ173"/>
    <mergeCell ref="BP173:BR173"/>
    <mergeCell ref="BS173:BU173"/>
    <mergeCell ref="BV173:BX173"/>
    <mergeCell ref="BV165:BX165"/>
    <mergeCell ref="BY165:CA165"/>
    <mergeCell ref="CB165:CD165"/>
    <mergeCell ref="CE165:CG165"/>
    <mergeCell ref="CH165:CJ165"/>
    <mergeCell ref="A172:A174"/>
    <mergeCell ref="B172:P172"/>
    <mergeCell ref="Q172:AE172"/>
    <mergeCell ref="AF172:AN172"/>
    <mergeCell ref="AO172:BC172"/>
    <mergeCell ref="BD165:BF165"/>
    <mergeCell ref="BG165:BI165"/>
    <mergeCell ref="BJ165:BL165"/>
    <mergeCell ref="BM165:BO165"/>
    <mergeCell ref="BP165:BR165"/>
    <mergeCell ref="BS165:BU165"/>
    <mergeCell ref="AL165:AN165"/>
    <mergeCell ref="AO165:AQ165"/>
    <mergeCell ref="AR165:AT165"/>
    <mergeCell ref="AU165:AW165"/>
    <mergeCell ref="AX165:AZ165"/>
    <mergeCell ref="BA165:BC165"/>
    <mergeCell ref="T165:V165"/>
    <mergeCell ref="W165:Y165"/>
    <mergeCell ref="Z165:AB165"/>
    <mergeCell ref="AC165:AE165"/>
    <mergeCell ref="AF165:AH165"/>
    <mergeCell ref="AI165:AK165"/>
    <mergeCell ref="B165:D165"/>
    <mergeCell ref="E165:G165"/>
    <mergeCell ref="H165:J165"/>
    <mergeCell ref="K165:M165"/>
    <mergeCell ref="N165:P165"/>
    <mergeCell ref="Q165:S165"/>
    <mergeCell ref="BS164:BU164"/>
    <mergeCell ref="BV164:BX164"/>
    <mergeCell ref="BY164:CA164"/>
    <mergeCell ref="CB164:CD164"/>
    <mergeCell ref="CE164:CG164"/>
    <mergeCell ref="CH164:CJ164"/>
    <mergeCell ref="BA164:BC164"/>
    <mergeCell ref="BD164:BF164"/>
    <mergeCell ref="BG164:BI164"/>
    <mergeCell ref="BJ164:BL164"/>
    <mergeCell ref="BM164:BO164"/>
    <mergeCell ref="BP164:BR164"/>
    <mergeCell ref="AI164:AK164"/>
    <mergeCell ref="AL164:AN164"/>
    <mergeCell ref="AO164:AQ164"/>
    <mergeCell ref="AR164:AT164"/>
    <mergeCell ref="AU164:AW164"/>
    <mergeCell ref="AX164:AZ164"/>
    <mergeCell ref="Q164:S164"/>
    <mergeCell ref="T164:V164"/>
    <mergeCell ref="W164:Y164"/>
    <mergeCell ref="Z164:AB164"/>
    <mergeCell ref="AC164:AE164"/>
    <mergeCell ref="AF164:AH164"/>
    <mergeCell ref="BV163:BX163"/>
    <mergeCell ref="BY163:CA163"/>
    <mergeCell ref="CB163:CD163"/>
    <mergeCell ref="CE163:CG163"/>
    <mergeCell ref="CH163:CJ163"/>
    <mergeCell ref="B164:D164"/>
    <mergeCell ref="E164:G164"/>
    <mergeCell ref="H164:J164"/>
    <mergeCell ref="K164:M164"/>
    <mergeCell ref="N164:P164"/>
    <mergeCell ref="BD163:BF163"/>
    <mergeCell ref="BG163:BI163"/>
    <mergeCell ref="BJ163:BL163"/>
    <mergeCell ref="BM163:BO163"/>
    <mergeCell ref="BP163:BR163"/>
    <mergeCell ref="BS163:BU163"/>
    <mergeCell ref="AL163:AN163"/>
    <mergeCell ref="AO163:AQ163"/>
    <mergeCell ref="AR163:AT163"/>
    <mergeCell ref="AU163:AW163"/>
    <mergeCell ref="AX163:AZ163"/>
    <mergeCell ref="BA163:BC163"/>
    <mergeCell ref="T163:V163"/>
    <mergeCell ref="W163:Y163"/>
    <mergeCell ref="Z163:AB163"/>
    <mergeCell ref="AC163:AE163"/>
    <mergeCell ref="AF163:AH163"/>
    <mergeCell ref="AI163:AK163"/>
    <mergeCell ref="B163:D163"/>
    <mergeCell ref="E163:G163"/>
    <mergeCell ref="H163:J163"/>
    <mergeCell ref="K163:M163"/>
    <mergeCell ref="N163:P163"/>
    <mergeCell ref="Q163:S163"/>
    <mergeCell ref="BS162:BU162"/>
    <mergeCell ref="BV162:BX162"/>
    <mergeCell ref="BY162:CA162"/>
    <mergeCell ref="CB162:CD162"/>
    <mergeCell ref="CE162:CG162"/>
    <mergeCell ref="CH162:CJ162"/>
    <mergeCell ref="BA162:BC162"/>
    <mergeCell ref="BD162:BF162"/>
    <mergeCell ref="BG162:BI162"/>
    <mergeCell ref="BJ162:BL162"/>
    <mergeCell ref="BM162:BO162"/>
    <mergeCell ref="BP162:BR162"/>
    <mergeCell ref="AI162:AK162"/>
    <mergeCell ref="AL162:AN162"/>
    <mergeCell ref="AO162:AQ162"/>
    <mergeCell ref="AR162:AT162"/>
    <mergeCell ref="AU162:AW162"/>
    <mergeCell ref="AX162:AZ162"/>
    <mergeCell ref="Q162:S162"/>
    <mergeCell ref="T162:V162"/>
    <mergeCell ref="W162:Y162"/>
    <mergeCell ref="Z162:AB162"/>
    <mergeCell ref="AC162:AE162"/>
    <mergeCell ref="AF162:AH162"/>
    <mergeCell ref="BV161:BX161"/>
    <mergeCell ref="BY161:CA161"/>
    <mergeCell ref="CB161:CD161"/>
    <mergeCell ref="CE161:CG161"/>
    <mergeCell ref="CH161:CJ161"/>
    <mergeCell ref="B162:D162"/>
    <mergeCell ref="E162:G162"/>
    <mergeCell ref="H162:J162"/>
    <mergeCell ref="K162:M162"/>
    <mergeCell ref="N162:P162"/>
    <mergeCell ref="BD161:BF161"/>
    <mergeCell ref="BG161:BI161"/>
    <mergeCell ref="BJ161:BL161"/>
    <mergeCell ref="BM161:BO161"/>
    <mergeCell ref="BP161:BR161"/>
    <mergeCell ref="BS161:BU161"/>
    <mergeCell ref="AL161:AN161"/>
    <mergeCell ref="AO161:AQ161"/>
    <mergeCell ref="AR161:AT161"/>
    <mergeCell ref="AU161:AW161"/>
    <mergeCell ref="AX161:AZ161"/>
    <mergeCell ref="BA161:BC161"/>
    <mergeCell ref="T161:V161"/>
    <mergeCell ref="W161:Y161"/>
    <mergeCell ref="Z161:AB161"/>
    <mergeCell ref="AC161:AE161"/>
    <mergeCell ref="AF161:AH161"/>
    <mergeCell ref="AI161:AK161"/>
    <mergeCell ref="BY27:CA27"/>
    <mergeCell ref="CB27:CD27"/>
    <mergeCell ref="CE27:CG27"/>
    <mergeCell ref="CH27:CJ27"/>
    <mergeCell ref="B161:D161"/>
    <mergeCell ref="E161:G161"/>
    <mergeCell ref="H161:J161"/>
    <mergeCell ref="K161:M161"/>
    <mergeCell ref="N161:P161"/>
    <mergeCell ref="Q161:S161"/>
    <mergeCell ref="BG27:BI27"/>
    <mergeCell ref="BJ27:BL27"/>
    <mergeCell ref="BM27:BO27"/>
    <mergeCell ref="BP27:BR27"/>
    <mergeCell ref="BS27:BU27"/>
    <mergeCell ref="BV27:BX27"/>
    <mergeCell ref="AO27:AQ27"/>
    <mergeCell ref="AR27:AT27"/>
    <mergeCell ref="AU27:AW27"/>
    <mergeCell ref="AX27:AZ27"/>
    <mergeCell ref="CB26:CJ26"/>
    <mergeCell ref="B27:D27"/>
    <mergeCell ref="E27:G27"/>
    <mergeCell ref="H27:J27"/>
    <mergeCell ref="K27:M27"/>
    <mergeCell ref="N27:P27"/>
    <mergeCell ref="Q27:S27"/>
    <mergeCell ref="T27:V27"/>
    <mergeCell ref="BA27:BC27"/>
    <mergeCell ref="BD27:BF27"/>
    <mergeCell ref="W27:Y27"/>
    <mergeCell ref="Z27:AB27"/>
    <mergeCell ref="AC27:AE27"/>
    <mergeCell ref="AF27:AH27"/>
    <mergeCell ref="AI27:AK27"/>
    <mergeCell ref="AL27:AN27"/>
    <mergeCell ref="BD26:BL26"/>
    <mergeCell ref="A26:A28"/>
    <mergeCell ref="B26:P26"/>
    <mergeCell ref="Q26:AE26"/>
    <mergeCell ref="AF26:AN26"/>
    <mergeCell ref="AO26:BC26"/>
    <mergeCell ref="BD6:BF6"/>
    <mergeCell ref="BG6:BI6"/>
    <mergeCell ref="BJ6:BL6"/>
    <mergeCell ref="BM6:BO6"/>
    <mergeCell ref="BM26:CA26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</mergeCells>
  <printOptions horizontalCentered="1"/>
  <pageMargins left="0" right="0" top="0.19685039370078741" bottom="0.19685039370078741" header="0" footer="0"/>
  <pageSetup paperSize="9" scale="40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G68"/>
  <sheetViews>
    <sheetView workbookViewId="0">
      <selection activeCell="B5" sqref="B5"/>
    </sheetView>
  </sheetViews>
  <sheetFormatPr defaultRowHeight="12.75" x14ac:dyDescent="0.2"/>
  <cols>
    <col min="1" max="7" width="12.7109375" style="2527" customWidth="1"/>
    <col min="8" max="258" width="9.140625" style="2527"/>
    <col min="259" max="259" width="20.7109375" style="2527" customWidth="1"/>
    <col min="260" max="262" width="14.7109375" style="2527" customWidth="1"/>
    <col min="263" max="514" width="9.140625" style="2527"/>
    <col min="515" max="515" width="20.7109375" style="2527" customWidth="1"/>
    <col min="516" max="518" width="14.7109375" style="2527" customWidth="1"/>
    <col min="519" max="770" width="9.140625" style="2527"/>
    <col min="771" max="771" width="20.7109375" style="2527" customWidth="1"/>
    <col min="772" max="774" width="14.7109375" style="2527" customWidth="1"/>
    <col min="775" max="1026" width="9.140625" style="2527"/>
    <col min="1027" max="1027" width="20.7109375" style="2527" customWidth="1"/>
    <col min="1028" max="1030" width="14.7109375" style="2527" customWidth="1"/>
    <col min="1031" max="1282" width="9.140625" style="2527"/>
    <col min="1283" max="1283" width="20.7109375" style="2527" customWidth="1"/>
    <col min="1284" max="1286" width="14.7109375" style="2527" customWidth="1"/>
    <col min="1287" max="1538" width="9.140625" style="2527"/>
    <col min="1539" max="1539" width="20.7109375" style="2527" customWidth="1"/>
    <col min="1540" max="1542" width="14.7109375" style="2527" customWidth="1"/>
    <col min="1543" max="1794" width="9.140625" style="2527"/>
    <col min="1795" max="1795" width="20.7109375" style="2527" customWidth="1"/>
    <col min="1796" max="1798" width="14.7109375" style="2527" customWidth="1"/>
    <col min="1799" max="2050" width="9.140625" style="2527"/>
    <col min="2051" max="2051" width="20.7109375" style="2527" customWidth="1"/>
    <col min="2052" max="2054" width="14.7109375" style="2527" customWidth="1"/>
    <col min="2055" max="2306" width="9.140625" style="2527"/>
    <col min="2307" max="2307" width="20.7109375" style="2527" customWidth="1"/>
    <col min="2308" max="2310" width="14.7109375" style="2527" customWidth="1"/>
    <col min="2311" max="2562" width="9.140625" style="2527"/>
    <col min="2563" max="2563" width="20.7109375" style="2527" customWidth="1"/>
    <col min="2564" max="2566" width="14.7109375" style="2527" customWidth="1"/>
    <col min="2567" max="2818" width="9.140625" style="2527"/>
    <col min="2819" max="2819" width="20.7109375" style="2527" customWidth="1"/>
    <col min="2820" max="2822" width="14.7109375" style="2527" customWidth="1"/>
    <col min="2823" max="3074" width="9.140625" style="2527"/>
    <col min="3075" max="3075" width="20.7109375" style="2527" customWidth="1"/>
    <col min="3076" max="3078" width="14.7109375" style="2527" customWidth="1"/>
    <col min="3079" max="3330" width="9.140625" style="2527"/>
    <col min="3331" max="3331" width="20.7109375" style="2527" customWidth="1"/>
    <col min="3332" max="3334" width="14.7109375" style="2527" customWidth="1"/>
    <col min="3335" max="3586" width="9.140625" style="2527"/>
    <col min="3587" max="3587" width="20.7109375" style="2527" customWidth="1"/>
    <col min="3588" max="3590" width="14.7109375" style="2527" customWidth="1"/>
    <col min="3591" max="3842" width="9.140625" style="2527"/>
    <col min="3843" max="3843" width="20.7109375" style="2527" customWidth="1"/>
    <col min="3844" max="3846" width="14.7109375" style="2527" customWidth="1"/>
    <col min="3847" max="4098" width="9.140625" style="2527"/>
    <col min="4099" max="4099" width="20.7109375" style="2527" customWidth="1"/>
    <col min="4100" max="4102" width="14.7109375" style="2527" customWidth="1"/>
    <col min="4103" max="4354" width="9.140625" style="2527"/>
    <col min="4355" max="4355" width="20.7109375" style="2527" customWidth="1"/>
    <col min="4356" max="4358" width="14.7109375" style="2527" customWidth="1"/>
    <col min="4359" max="4610" width="9.140625" style="2527"/>
    <col min="4611" max="4611" width="20.7109375" style="2527" customWidth="1"/>
    <col min="4612" max="4614" width="14.7109375" style="2527" customWidth="1"/>
    <col min="4615" max="4866" width="9.140625" style="2527"/>
    <col min="4867" max="4867" width="20.7109375" style="2527" customWidth="1"/>
    <col min="4868" max="4870" width="14.7109375" style="2527" customWidth="1"/>
    <col min="4871" max="5122" width="9.140625" style="2527"/>
    <col min="5123" max="5123" width="20.7109375" style="2527" customWidth="1"/>
    <col min="5124" max="5126" width="14.7109375" style="2527" customWidth="1"/>
    <col min="5127" max="5378" width="9.140625" style="2527"/>
    <col min="5379" max="5379" width="20.7109375" style="2527" customWidth="1"/>
    <col min="5380" max="5382" width="14.7109375" style="2527" customWidth="1"/>
    <col min="5383" max="5634" width="9.140625" style="2527"/>
    <col min="5635" max="5635" width="20.7109375" style="2527" customWidth="1"/>
    <col min="5636" max="5638" width="14.7109375" style="2527" customWidth="1"/>
    <col min="5639" max="5890" width="9.140625" style="2527"/>
    <col min="5891" max="5891" width="20.7109375" style="2527" customWidth="1"/>
    <col min="5892" max="5894" width="14.7109375" style="2527" customWidth="1"/>
    <col min="5895" max="6146" width="9.140625" style="2527"/>
    <col min="6147" max="6147" width="20.7109375" style="2527" customWidth="1"/>
    <col min="6148" max="6150" width="14.7109375" style="2527" customWidth="1"/>
    <col min="6151" max="6402" width="9.140625" style="2527"/>
    <col min="6403" max="6403" width="20.7109375" style="2527" customWidth="1"/>
    <col min="6404" max="6406" width="14.7109375" style="2527" customWidth="1"/>
    <col min="6407" max="6658" width="9.140625" style="2527"/>
    <col min="6659" max="6659" width="20.7109375" style="2527" customWidth="1"/>
    <col min="6660" max="6662" width="14.7109375" style="2527" customWidth="1"/>
    <col min="6663" max="6914" width="9.140625" style="2527"/>
    <col min="6915" max="6915" width="20.7109375" style="2527" customWidth="1"/>
    <col min="6916" max="6918" width="14.7109375" style="2527" customWidth="1"/>
    <col min="6919" max="7170" width="9.140625" style="2527"/>
    <col min="7171" max="7171" width="20.7109375" style="2527" customWidth="1"/>
    <col min="7172" max="7174" width="14.7109375" style="2527" customWidth="1"/>
    <col min="7175" max="7426" width="9.140625" style="2527"/>
    <col min="7427" max="7427" width="20.7109375" style="2527" customWidth="1"/>
    <col min="7428" max="7430" width="14.7109375" style="2527" customWidth="1"/>
    <col min="7431" max="7682" width="9.140625" style="2527"/>
    <col min="7683" max="7683" width="20.7109375" style="2527" customWidth="1"/>
    <col min="7684" max="7686" width="14.7109375" style="2527" customWidth="1"/>
    <col min="7687" max="7938" width="9.140625" style="2527"/>
    <col min="7939" max="7939" width="20.7109375" style="2527" customWidth="1"/>
    <col min="7940" max="7942" width="14.7109375" style="2527" customWidth="1"/>
    <col min="7943" max="8194" width="9.140625" style="2527"/>
    <col min="8195" max="8195" width="20.7109375" style="2527" customWidth="1"/>
    <col min="8196" max="8198" width="14.7109375" style="2527" customWidth="1"/>
    <col min="8199" max="8450" width="9.140625" style="2527"/>
    <col min="8451" max="8451" width="20.7109375" style="2527" customWidth="1"/>
    <col min="8452" max="8454" width="14.7109375" style="2527" customWidth="1"/>
    <col min="8455" max="8706" width="9.140625" style="2527"/>
    <col min="8707" max="8707" width="20.7109375" style="2527" customWidth="1"/>
    <col min="8708" max="8710" width="14.7109375" style="2527" customWidth="1"/>
    <col min="8711" max="8962" width="9.140625" style="2527"/>
    <col min="8963" max="8963" width="20.7109375" style="2527" customWidth="1"/>
    <col min="8964" max="8966" width="14.7109375" style="2527" customWidth="1"/>
    <col min="8967" max="9218" width="9.140625" style="2527"/>
    <col min="9219" max="9219" width="20.7109375" style="2527" customWidth="1"/>
    <col min="9220" max="9222" width="14.7109375" style="2527" customWidth="1"/>
    <col min="9223" max="9474" width="9.140625" style="2527"/>
    <col min="9475" max="9475" width="20.7109375" style="2527" customWidth="1"/>
    <col min="9476" max="9478" width="14.7109375" style="2527" customWidth="1"/>
    <col min="9479" max="9730" width="9.140625" style="2527"/>
    <col min="9731" max="9731" width="20.7109375" style="2527" customWidth="1"/>
    <col min="9732" max="9734" width="14.7109375" style="2527" customWidth="1"/>
    <col min="9735" max="9986" width="9.140625" style="2527"/>
    <col min="9987" max="9987" width="20.7109375" style="2527" customWidth="1"/>
    <col min="9988" max="9990" width="14.7109375" style="2527" customWidth="1"/>
    <col min="9991" max="10242" width="9.140625" style="2527"/>
    <col min="10243" max="10243" width="20.7109375" style="2527" customWidth="1"/>
    <col min="10244" max="10246" width="14.7109375" style="2527" customWidth="1"/>
    <col min="10247" max="10498" width="9.140625" style="2527"/>
    <col min="10499" max="10499" width="20.7109375" style="2527" customWidth="1"/>
    <col min="10500" max="10502" width="14.7109375" style="2527" customWidth="1"/>
    <col min="10503" max="10754" width="9.140625" style="2527"/>
    <col min="10755" max="10755" width="20.7109375" style="2527" customWidth="1"/>
    <col min="10756" max="10758" width="14.7109375" style="2527" customWidth="1"/>
    <col min="10759" max="11010" width="9.140625" style="2527"/>
    <col min="11011" max="11011" width="20.7109375" style="2527" customWidth="1"/>
    <col min="11012" max="11014" width="14.7109375" style="2527" customWidth="1"/>
    <col min="11015" max="11266" width="9.140625" style="2527"/>
    <col min="11267" max="11267" width="20.7109375" style="2527" customWidth="1"/>
    <col min="11268" max="11270" width="14.7109375" style="2527" customWidth="1"/>
    <col min="11271" max="11522" width="9.140625" style="2527"/>
    <col min="11523" max="11523" width="20.7109375" style="2527" customWidth="1"/>
    <col min="11524" max="11526" width="14.7109375" style="2527" customWidth="1"/>
    <col min="11527" max="11778" width="9.140625" style="2527"/>
    <col min="11779" max="11779" width="20.7109375" style="2527" customWidth="1"/>
    <col min="11780" max="11782" width="14.7109375" style="2527" customWidth="1"/>
    <col min="11783" max="12034" width="9.140625" style="2527"/>
    <col min="12035" max="12035" width="20.7109375" style="2527" customWidth="1"/>
    <col min="12036" max="12038" width="14.7109375" style="2527" customWidth="1"/>
    <col min="12039" max="12290" width="9.140625" style="2527"/>
    <col min="12291" max="12291" width="20.7109375" style="2527" customWidth="1"/>
    <col min="12292" max="12294" width="14.7109375" style="2527" customWidth="1"/>
    <col min="12295" max="12546" width="9.140625" style="2527"/>
    <col min="12547" max="12547" width="20.7109375" style="2527" customWidth="1"/>
    <col min="12548" max="12550" width="14.7109375" style="2527" customWidth="1"/>
    <col min="12551" max="12802" width="9.140625" style="2527"/>
    <col min="12803" max="12803" width="20.7109375" style="2527" customWidth="1"/>
    <col min="12804" max="12806" width="14.7109375" style="2527" customWidth="1"/>
    <col min="12807" max="13058" width="9.140625" style="2527"/>
    <col min="13059" max="13059" width="20.7109375" style="2527" customWidth="1"/>
    <col min="13060" max="13062" width="14.7109375" style="2527" customWidth="1"/>
    <col min="13063" max="13314" width="9.140625" style="2527"/>
    <col min="13315" max="13315" width="20.7109375" style="2527" customWidth="1"/>
    <col min="13316" max="13318" width="14.7109375" style="2527" customWidth="1"/>
    <col min="13319" max="13570" width="9.140625" style="2527"/>
    <col min="13571" max="13571" width="20.7109375" style="2527" customWidth="1"/>
    <col min="13572" max="13574" width="14.7109375" style="2527" customWidth="1"/>
    <col min="13575" max="13826" width="9.140625" style="2527"/>
    <col min="13827" max="13827" width="20.7109375" style="2527" customWidth="1"/>
    <col min="13828" max="13830" width="14.7109375" style="2527" customWidth="1"/>
    <col min="13831" max="14082" width="9.140625" style="2527"/>
    <col min="14083" max="14083" width="20.7109375" style="2527" customWidth="1"/>
    <col min="14084" max="14086" width="14.7109375" style="2527" customWidth="1"/>
    <col min="14087" max="14338" width="9.140625" style="2527"/>
    <col min="14339" max="14339" width="20.7109375" style="2527" customWidth="1"/>
    <col min="14340" max="14342" width="14.7109375" style="2527" customWidth="1"/>
    <col min="14343" max="14594" width="9.140625" style="2527"/>
    <col min="14595" max="14595" width="20.7109375" style="2527" customWidth="1"/>
    <col min="14596" max="14598" width="14.7109375" style="2527" customWidth="1"/>
    <col min="14599" max="14850" width="9.140625" style="2527"/>
    <col min="14851" max="14851" width="20.7109375" style="2527" customWidth="1"/>
    <col min="14852" max="14854" width="14.7109375" style="2527" customWidth="1"/>
    <col min="14855" max="15106" width="9.140625" style="2527"/>
    <col min="15107" max="15107" width="20.7109375" style="2527" customWidth="1"/>
    <col min="15108" max="15110" width="14.7109375" style="2527" customWidth="1"/>
    <col min="15111" max="15362" width="9.140625" style="2527"/>
    <col min="15363" max="15363" width="20.7109375" style="2527" customWidth="1"/>
    <col min="15364" max="15366" width="14.7109375" style="2527" customWidth="1"/>
    <col min="15367" max="15618" width="9.140625" style="2527"/>
    <col min="15619" max="15619" width="20.7109375" style="2527" customWidth="1"/>
    <col min="15620" max="15622" width="14.7109375" style="2527" customWidth="1"/>
    <col min="15623" max="15874" width="9.140625" style="2527"/>
    <col min="15875" max="15875" width="20.7109375" style="2527" customWidth="1"/>
    <col min="15876" max="15878" width="14.7109375" style="2527" customWidth="1"/>
    <col min="15879" max="16130" width="9.140625" style="2527"/>
    <col min="16131" max="16131" width="20.7109375" style="2527" customWidth="1"/>
    <col min="16132" max="16134" width="14.7109375" style="2527" customWidth="1"/>
    <col min="16135" max="16384" width="9.140625" style="2527"/>
  </cols>
  <sheetData>
    <row r="1" spans="1:7" ht="15.75" x14ac:dyDescent="0.25">
      <c r="A1" s="4550" t="s">
        <v>3924</v>
      </c>
      <c r="B1" s="4550"/>
      <c r="C1" s="4550"/>
      <c r="D1" s="4550"/>
      <c r="E1" s="4550"/>
      <c r="F1" s="4550"/>
      <c r="G1" s="4242"/>
    </row>
    <row r="2" spans="1:7" ht="15.75" x14ac:dyDescent="0.2">
      <c r="A2" s="4551" t="s">
        <v>368</v>
      </c>
      <c r="B2" s="4551"/>
      <c r="C2" s="4551"/>
      <c r="D2" s="4552"/>
      <c r="E2" s="4552"/>
      <c r="F2" s="4552"/>
      <c r="G2" s="4552"/>
    </row>
    <row r="3" spans="1:7" ht="13.5" x14ac:dyDescent="0.25">
      <c r="A3" s="4553" t="s">
        <v>1560</v>
      </c>
      <c r="B3" s="4555" t="s">
        <v>1708</v>
      </c>
      <c r="C3" s="4556"/>
      <c r="D3" s="4557" t="s">
        <v>1709</v>
      </c>
      <c r="E3" s="4555" t="s">
        <v>3572</v>
      </c>
      <c r="F3" s="4559"/>
      <c r="G3" s="4560"/>
    </row>
    <row r="4" spans="1:7" ht="15.75" x14ac:dyDescent="0.25">
      <c r="A4" s="4554"/>
      <c r="B4" s="2528" t="s">
        <v>3573</v>
      </c>
      <c r="C4" s="2528" t="s">
        <v>1677</v>
      </c>
      <c r="D4" s="4558"/>
      <c r="E4" s="2528" t="s">
        <v>3573</v>
      </c>
      <c r="F4" s="2528" t="s">
        <v>1677</v>
      </c>
      <c r="G4" s="2528" t="s">
        <v>1596</v>
      </c>
    </row>
    <row r="5" spans="1:7" ht="15.75" x14ac:dyDescent="0.25">
      <c r="A5" s="2529" t="s">
        <v>258</v>
      </c>
      <c r="B5" s="2530">
        <f>SUM('[43]ФАКТИЧЕСКАЯ СЕБЕСТ ВОДА 2019'!C14)*1000</f>
        <v>305052.07694444444</v>
      </c>
      <c r="C5" s="2530">
        <f>SUM('[43]ФАКТИЧЕСКАЯ СЕБЕСТ ВОДА 2019'!F14)*1000</f>
        <v>311435</v>
      </c>
      <c r="D5" s="2532">
        <v>36.85</v>
      </c>
      <c r="E5" s="2533">
        <f>B5*D5/1000</f>
        <v>11241.169035402778</v>
      </c>
      <c r="F5" s="2533">
        <f>C5*D5/1000</f>
        <v>11476.37975</v>
      </c>
      <c r="G5" s="2533">
        <f>SUM(F5-E5)</f>
        <v>235.21071459722225</v>
      </c>
    </row>
    <row r="6" spans="1:7" ht="15.75" x14ac:dyDescent="0.25">
      <c r="A6" s="2529" t="s">
        <v>259</v>
      </c>
      <c r="B6" s="2530">
        <f>SUM('[43]ФАКТИЧЕСКАЯ СЕБЕСТ ВОДА 2019'!L14)*1000</f>
        <v>305052.07694444444</v>
      </c>
      <c r="C6" s="2530">
        <f>SUM('[43]ФАКТИЧЕСКАЯ СЕБЕСТ ВОДА 2019'!O14)*1000</f>
        <v>296910</v>
      </c>
      <c r="D6" s="2532">
        <v>36.85</v>
      </c>
      <c r="E6" s="2533">
        <f t="shared" ref="E6:E16" si="0">B6*D6/1000</f>
        <v>11241.169035402778</v>
      </c>
      <c r="F6" s="2533">
        <f t="shared" ref="F6:F16" si="1">C6*D6/1000</f>
        <v>10941.1335</v>
      </c>
      <c r="G6" s="2533">
        <f t="shared" ref="G6:G16" si="2">SUM(F6-E6)</f>
        <v>-300.0355354027779</v>
      </c>
    </row>
    <row r="7" spans="1:7" ht="15.75" x14ac:dyDescent="0.25">
      <c r="A7" s="2529" t="s">
        <v>260</v>
      </c>
      <c r="B7" s="2530">
        <f>SUM('[43]ФАКТИЧЕСКАЯ СЕБЕСТ ВОДА 2019'!U14)*1000</f>
        <v>305052.07694444444</v>
      </c>
      <c r="C7" s="2530">
        <f>SUM('[43]ФАКТИЧЕСКАЯ СЕБЕСТ ВОДА 2019'!X14)*1000</f>
        <v>282129</v>
      </c>
      <c r="D7" s="2532">
        <v>36.85</v>
      </c>
      <c r="E7" s="2533">
        <f t="shared" si="0"/>
        <v>11241.169035402778</v>
      </c>
      <c r="F7" s="2533">
        <f t="shared" si="1"/>
        <v>10396.453649999999</v>
      </c>
      <c r="G7" s="2533">
        <f t="shared" si="2"/>
        <v>-844.71538540277834</v>
      </c>
    </row>
    <row r="8" spans="1:7" ht="15.75" x14ac:dyDescent="0.25">
      <c r="A8" s="2529" t="s">
        <v>261</v>
      </c>
      <c r="B8" s="2530">
        <f>SUM('[43]ФАКТИЧЕСКАЯ СЕБЕСТ ВОДА 2019'!AP14)*1000</f>
        <v>305052.07694444444</v>
      </c>
      <c r="C8" s="2530">
        <f>SUM('[43]ФАКТИЧЕСКАЯ СЕБЕСТ ВОДА 2019'!AS14)*1000</f>
        <v>295099.99999999994</v>
      </c>
      <c r="D8" s="2532">
        <v>36.85</v>
      </c>
      <c r="E8" s="2533">
        <f t="shared" si="0"/>
        <v>11241.169035402778</v>
      </c>
      <c r="F8" s="2533">
        <f t="shared" si="1"/>
        <v>10874.434999999998</v>
      </c>
      <c r="G8" s="2533">
        <f t="shared" si="2"/>
        <v>-366.73403540278014</v>
      </c>
    </row>
    <row r="9" spans="1:7" ht="15.75" x14ac:dyDescent="0.25">
      <c r="A9" s="2529" t="s">
        <v>262</v>
      </c>
      <c r="B9" s="2530">
        <f>SUM('[43]ФАКТИЧЕСКАЯ СЕБЕСТ ВОДА 2019'!AY14)*1000</f>
        <v>305052.07694444444</v>
      </c>
      <c r="C9" s="2530">
        <f>SUM('[43]ФАКТИЧЕСКАЯ СЕБЕСТ ВОДА 2019'!BB14)*1000</f>
        <v>283635</v>
      </c>
      <c r="D9" s="2532">
        <v>36.85</v>
      </c>
      <c r="E9" s="2533">
        <f t="shared" si="0"/>
        <v>11241.169035402778</v>
      </c>
      <c r="F9" s="2533">
        <f t="shared" si="1"/>
        <v>10451.94975</v>
      </c>
      <c r="G9" s="2533">
        <f t="shared" si="2"/>
        <v>-789.21928540277804</v>
      </c>
    </row>
    <row r="10" spans="1:7" ht="15.75" x14ac:dyDescent="0.25">
      <c r="A10" s="2529" t="s">
        <v>263</v>
      </c>
      <c r="B10" s="2530">
        <f>SUM('[43]ФАКТИЧЕСКАЯ СЕБЕСТ ВОДА 2019'!BH14)*1000</f>
        <v>305052.07694444444</v>
      </c>
      <c r="C10" s="2530">
        <f>SUM('[43]ФАКТИЧЕСКАЯ СЕБЕСТ ВОДА 2019'!BK14)*1000</f>
        <v>281722.00000000006</v>
      </c>
      <c r="D10" s="2532">
        <v>36.85</v>
      </c>
      <c r="E10" s="2533">
        <f t="shared" si="0"/>
        <v>11241.169035402778</v>
      </c>
      <c r="F10" s="2533">
        <f t="shared" si="1"/>
        <v>10381.455700000002</v>
      </c>
      <c r="G10" s="2533">
        <f t="shared" si="2"/>
        <v>-859.71333540277556</v>
      </c>
    </row>
    <row r="11" spans="1:7" ht="15.75" x14ac:dyDescent="0.25">
      <c r="A11" s="2529" t="s">
        <v>1210</v>
      </c>
      <c r="B11" s="2530">
        <f>SUM('[43]ФАКТИЧЕСКАЯ СЕБЕСТ ВОДА 2019'!CO14)*1000</f>
        <v>305052.07694444444</v>
      </c>
      <c r="C11" s="2530">
        <f>SUM('[43]ФАКТИЧЕСКАЯ СЕБЕСТ ВОДА 2019'!CR14)*1000</f>
        <v>275601</v>
      </c>
      <c r="D11" s="2532">
        <v>38.11</v>
      </c>
      <c r="E11" s="2533">
        <f t="shared" si="0"/>
        <v>11625.534652352779</v>
      </c>
      <c r="F11" s="2533">
        <f t="shared" si="1"/>
        <v>10503.154109999999</v>
      </c>
      <c r="G11" s="2533">
        <f t="shared" si="2"/>
        <v>-1122.3805423527792</v>
      </c>
    </row>
    <row r="12" spans="1:7" ht="15.75" x14ac:dyDescent="0.25">
      <c r="A12" s="2529" t="s">
        <v>264</v>
      </c>
      <c r="B12" s="2530">
        <f>SUM('[43]ФАКТИЧЕСКАЯ СЕБЕСТ ВОДА 2019'!CX14)*1000</f>
        <v>305052.07694444444</v>
      </c>
      <c r="C12" s="2530">
        <f>SUM('[43]ФАКТИЧЕСКАЯ СЕБЕСТ ВОДА 2019'!DA14)*1000</f>
        <v>310862</v>
      </c>
      <c r="D12" s="2532">
        <v>38.11</v>
      </c>
      <c r="E12" s="2533">
        <f t="shared" si="0"/>
        <v>11625.534652352779</v>
      </c>
      <c r="F12" s="2533">
        <f t="shared" si="1"/>
        <v>11846.95082</v>
      </c>
      <c r="G12" s="2533">
        <f t="shared" si="2"/>
        <v>221.4161676472213</v>
      </c>
    </row>
    <row r="13" spans="1:7" ht="15.75" x14ac:dyDescent="0.25">
      <c r="A13" s="2529" t="s">
        <v>1228</v>
      </c>
      <c r="B13" s="2530">
        <f>SUM('[43]ФАКТИЧЕСКАЯ СЕБЕСТ ВОДА 2019'!DG14)*1000</f>
        <v>305052.07694444444</v>
      </c>
      <c r="C13" s="2530">
        <f>SUM('[43]ФАКТИЧЕСКАЯ СЕБЕСТ ВОДА 2019'!DJ14)*1000</f>
        <v>301030.99999999994</v>
      </c>
      <c r="D13" s="2532">
        <v>38.11</v>
      </c>
      <c r="E13" s="2533">
        <f t="shared" si="0"/>
        <v>11625.534652352779</v>
      </c>
      <c r="F13" s="2533">
        <f t="shared" si="1"/>
        <v>11472.291409999998</v>
      </c>
      <c r="G13" s="2533">
        <f t="shared" si="2"/>
        <v>-153.24324235278073</v>
      </c>
    </row>
    <row r="14" spans="1:7" ht="15.75" x14ac:dyDescent="0.25">
      <c r="A14" s="2529" t="s">
        <v>265</v>
      </c>
      <c r="B14" s="2530">
        <f>SUM('[43]ФАКТИЧЕСКАЯ СЕБЕСТ ВОДА 2019'!EN14)*1000</f>
        <v>305052.07694444444</v>
      </c>
      <c r="C14" s="2530">
        <f>SUM('[43]ФАКТИЧЕСКАЯ СЕБЕСТ ВОДА 2019'!EQ14)*1000</f>
        <v>302602</v>
      </c>
      <c r="D14" s="2532">
        <v>38.11</v>
      </c>
      <c r="E14" s="2533">
        <f t="shared" si="0"/>
        <v>11625.534652352779</v>
      </c>
      <c r="F14" s="2533">
        <f t="shared" si="1"/>
        <v>11532.16222</v>
      </c>
      <c r="G14" s="2533">
        <f t="shared" si="2"/>
        <v>-93.37243235277856</v>
      </c>
    </row>
    <row r="15" spans="1:7" ht="15.75" x14ac:dyDescent="0.25">
      <c r="A15" s="2529" t="s">
        <v>266</v>
      </c>
      <c r="B15" s="2530">
        <f>SUM('[43]ФАКТИЧЕСКАЯ СЕБЕСТ ВОДА 2019'!EW14)*1000</f>
        <v>305052.07694444444</v>
      </c>
      <c r="C15" s="2530">
        <f>SUM('[43]ФАКТИЧЕСКАЯ СЕБЕСТ ВОДА 2019'!EZ14)*1000</f>
        <v>293135</v>
      </c>
      <c r="D15" s="2532">
        <v>38.11</v>
      </c>
      <c r="E15" s="2533">
        <f t="shared" si="0"/>
        <v>11625.534652352779</v>
      </c>
      <c r="F15" s="2533">
        <f t="shared" si="1"/>
        <v>11171.37485</v>
      </c>
      <c r="G15" s="2533">
        <f t="shared" si="2"/>
        <v>-454.15980235277857</v>
      </c>
    </row>
    <row r="16" spans="1:7" ht="15.75" x14ac:dyDescent="0.25">
      <c r="A16" s="2529" t="s">
        <v>1319</v>
      </c>
      <c r="B16" s="2530">
        <f>SUM('[43]ФАКТИЧЕСКАЯ СЕБЕСТ ВОДА 2019'!FF14)*1000</f>
        <v>305052.07694444444</v>
      </c>
      <c r="C16" s="2530">
        <f>SUM('[43]ФАКТИЧЕСКАЯ СЕБЕСТ ВОДА 2019'!FI14)*1000</f>
        <v>293711</v>
      </c>
      <c r="D16" s="2532">
        <v>38.11</v>
      </c>
      <c r="E16" s="2533">
        <f t="shared" si="0"/>
        <v>11625.534652352779</v>
      </c>
      <c r="F16" s="2533">
        <f t="shared" si="1"/>
        <v>11193.326209999999</v>
      </c>
      <c r="G16" s="2533">
        <f t="shared" si="2"/>
        <v>-432.20844235277946</v>
      </c>
    </row>
    <row r="17" spans="1:7" ht="15.75" x14ac:dyDescent="0.25">
      <c r="A17" s="2535" t="s">
        <v>282</v>
      </c>
      <c r="B17" s="2536">
        <f>SUM(B5:B16)</f>
        <v>3660624.9233333324</v>
      </c>
      <c r="C17" s="2536">
        <f>SUM(C5:C16)</f>
        <v>3527873</v>
      </c>
      <c r="D17" s="2536">
        <f>F17/C17*1000</f>
        <v>37.484644988637626</v>
      </c>
      <c r="E17" s="2537">
        <f>SUM(E5:E16)</f>
        <v>137200.22212653336</v>
      </c>
      <c r="F17" s="2537">
        <f>SUM(F5:F16)</f>
        <v>132241.06696999999</v>
      </c>
      <c r="G17" s="2537">
        <f>SUM(G5:G16)</f>
        <v>-4959.155156533343</v>
      </c>
    </row>
    <row r="18" spans="1:7" ht="15" x14ac:dyDescent="0.2">
      <c r="A18" s="2538"/>
      <c r="B18" s="2538"/>
      <c r="C18" s="2538"/>
      <c r="D18" s="2538"/>
      <c r="E18" s="2538"/>
      <c r="F18" s="2538"/>
    </row>
    <row r="19" spans="1:7" ht="15.75" x14ac:dyDescent="0.2">
      <c r="A19" s="4551" t="s">
        <v>25</v>
      </c>
      <c r="B19" s="4551"/>
      <c r="C19" s="4551"/>
      <c r="D19" s="4552"/>
      <c r="E19" s="4552"/>
      <c r="F19" s="4552"/>
      <c r="G19" s="4552"/>
    </row>
    <row r="20" spans="1:7" ht="15.75" customHeight="1" x14ac:dyDescent="0.25">
      <c r="A20" s="4553" t="s">
        <v>1560</v>
      </c>
      <c r="B20" s="4555" t="s">
        <v>1708</v>
      </c>
      <c r="C20" s="4556"/>
      <c r="D20" s="4557" t="s">
        <v>1709</v>
      </c>
      <c r="E20" s="4555" t="s">
        <v>3572</v>
      </c>
      <c r="F20" s="4559"/>
      <c r="G20" s="4560"/>
    </row>
    <row r="21" spans="1:7" ht="15.75" customHeight="1" x14ac:dyDescent="0.25">
      <c r="A21" s="4554"/>
      <c r="B21" s="2528" t="s">
        <v>3573</v>
      </c>
      <c r="C21" s="2528" t="s">
        <v>1677</v>
      </c>
      <c r="D21" s="4558"/>
      <c r="E21" s="2528" t="s">
        <v>3573</v>
      </c>
      <c r="F21" s="2528" t="s">
        <v>1677</v>
      </c>
      <c r="G21" s="2528" t="s">
        <v>1596</v>
      </c>
    </row>
    <row r="22" spans="1:7" ht="15.75" x14ac:dyDescent="0.25">
      <c r="A22" s="2529" t="s">
        <v>258</v>
      </c>
      <c r="B22" s="3572">
        <f>SUM('[43]ФАКТИЧЕСКАЯ СЕБЕСТ ВОДА 2019'!D14)*1000</f>
        <v>147.5</v>
      </c>
      <c r="C22" s="2531">
        <f>SUM('[43]ФАКТИЧЕСКАЯ СЕБЕСТ ВОДА 2019'!G14)*1000</f>
        <v>120</v>
      </c>
      <c r="D22" s="2531">
        <v>17.41</v>
      </c>
      <c r="E22" s="2533">
        <f>B22*D22/1000</f>
        <v>2.5679750000000001</v>
      </c>
      <c r="F22" s="2533">
        <f>C22*D22/1000</f>
        <v>2.0891999999999999</v>
      </c>
      <c r="G22" s="2533">
        <f>SUM(F22-E22)</f>
        <v>-0.47877500000000017</v>
      </c>
    </row>
    <row r="23" spans="1:7" ht="15.75" x14ac:dyDescent="0.25">
      <c r="A23" s="2529" t="s">
        <v>259</v>
      </c>
      <c r="B23" s="3572">
        <f>SUM('[43]ФАКТИЧЕСКАЯ СЕБЕСТ ВОДА 2019'!M14)*1000</f>
        <v>147.5</v>
      </c>
      <c r="C23" s="2531">
        <f>SUM('[43]ФАКТИЧЕСКАЯ СЕБЕСТ ВОДА 2019'!P14)*1000</f>
        <v>90</v>
      </c>
      <c r="D23" s="2531">
        <v>17.41</v>
      </c>
      <c r="E23" s="2533">
        <f t="shared" ref="E23:E33" si="3">B23*D23/1000</f>
        <v>2.5679750000000001</v>
      </c>
      <c r="F23" s="2533">
        <f t="shared" ref="F23:F33" si="4">C23*D23/1000</f>
        <v>1.5669000000000002</v>
      </c>
      <c r="G23" s="2533">
        <f t="shared" ref="G23:G33" si="5">SUM(F23-E23)</f>
        <v>-1.0010749999999999</v>
      </c>
    </row>
    <row r="24" spans="1:7" ht="15.75" x14ac:dyDescent="0.25">
      <c r="A24" s="2529" t="s">
        <v>260</v>
      </c>
      <c r="B24" s="3572">
        <f>SUM('[43]ФАКТИЧЕСКАЯ СЕБЕСТ ВОДА 2019'!V14)*1000</f>
        <v>147.5</v>
      </c>
      <c r="C24" s="2531">
        <f>SUM('[43]ФАКТИЧЕСКАЯ СЕБЕСТ ВОДА 2019'!Y14)*1000</f>
        <v>75</v>
      </c>
      <c r="D24" s="2531">
        <v>17.41</v>
      </c>
      <c r="E24" s="2533">
        <f t="shared" si="3"/>
        <v>2.5679750000000001</v>
      </c>
      <c r="F24" s="2533">
        <f t="shared" si="4"/>
        <v>1.30575</v>
      </c>
      <c r="G24" s="2533">
        <f t="shared" si="5"/>
        <v>-1.2622250000000002</v>
      </c>
    </row>
    <row r="25" spans="1:7" ht="15.75" x14ac:dyDescent="0.25">
      <c r="A25" s="2529" t="s">
        <v>261</v>
      </c>
      <c r="B25" s="3572">
        <f>SUM('[43]ФАКТИЧЕСКАЯ СЕБЕСТ ВОДА 2019'!AQ14)*1000</f>
        <v>147.5</v>
      </c>
      <c r="C25" s="2531">
        <f>SUM('[43]ФАКТИЧЕСКАЯ СЕБЕСТ ВОДА 2019'!AT14)*1000</f>
        <v>95</v>
      </c>
      <c r="D25" s="2531">
        <v>17.41</v>
      </c>
      <c r="E25" s="2533">
        <f t="shared" si="3"/>
        <v>2.5679750000000001</v>
      </c>
      <c r="F25" s="2533">
        <f t="shared" si="4"/>
        <v>1.65395</v>
      </c>
      <c r="G25" s="2533">
        <f t="shared" si="5"/>
        <v>-0.91402500000000009</v>
      </c>
    </row>
    <row r="26" spans="1:7" ht="15.75" x14ac:dyDescent="0.25">
      <c r="A26" s="2529" t="s">
        <v>262</v>
      </c>
      <c r="B26" s="3572">
        <f>SUM('[43]ФАКТИЧЕСКАЯ СЕБЕСТ ВОДА 2019'!AZ14)*1000</f>
        <v>147.5</v>
      </c>
      <c r="C26" s="2531">
        <f>SUM('[43]ФАКТИЧЕСКАЯ СЕБЕСТ ВОДА 2019'!BC14)*1000</f>
        <v>97</v>
      </c>
      <c r="D26" s="2531">
        <v>17.41</v>
      </c>
      <c r="E26" s="2533">
        <f t="shared" si="3"/>
        <v>2.5679750000000001</v>
      </c>
      <c r="F26" s="2533">
        <f t="shared" si="4"/>
        <v>1.6887699999999999</v>
      </c>
      <c r="G26" s="2533">
        <f t="shared" si="5"/>
        <v>-0.87920500000000024</v>
      </c>
    </row>
    <row r="27" spans="1:7" ht="15.75" x14ac:dyDescent="0.25">
      <c r="A27" s="2529" t="s">
        <v>263</v>
      </c>
      <c r="B27" s="3572">
        <f>SUM('[43]ФАКТИЧЕСКАЯ СЕБЕСТ ВОДА 2019'!BI14)*1000</f>
        <v>147.5</v>
      </c>
      <c r="C27" s="2531">
        <f>SUM('[43]ФАКТИЧЕСКАЯ СЕБЕСТ ВОДА 2019'!BL14)*1000</f>
        <v>81</v>
      </c>
      <c r="D27" s="2531">
        <v>17.41</v>
      </c>
      <c r="E27" s="2533">
        <f t="shared" si="3"/>
        <v>2.5679750000000001</v>
      </c>
      <c r="F27" s="2533">
        <f t="shared" si="4"/>
        <v>1.41021</v>
      </c>
      <c r="G27" s="2533">
        <f t="shared" si="5"/>
        <v>-1.1577650000000002</v>
      </c>
    </row>
    <row r="28" spans="1:7" ht="15.75" x14ac:dyDescent="0.25">
      <c r="A28" s="2529" t="s">
        <v>1210</v>
      </c>
      <c r="B28" s="3572">
        <f>SUM('[43]ФАКТИЧЕСКАЯ СЕБЕСТ ВОДА 2019'!CP14)*1000</f>
        <v>147.5</v>
      </c>
      <c r="C28" s="2531">
        <f>SUM('[43]ФАКТИЧЕСКАЯ СЕБЕСТ ВОДА 2019'!CS14)*1000</f>
        <v>91</v>
      </c>
      <c r="D28" s="2531">
        <v>17.41</v>
      </c>
      <c r="E28" s="2533">
        <f t="shared" si="3"/>
        <v>2.5679750000000001</v>
      </c>
      <c r="F28" s="2533">
        <f t="shared" si="4"/>
        <v>1.5843099999999999</v>
      </c>
      <c r="G28" s="2533">
        <f t="shared" si="5"/>
        <v>-0.98366500000000023</v>
      </c>
    </row>
    <row r="29" spans="1:7" ht="15.75" x14ac:dyDescent="0.25">
      <c r="A29" s="2529" t="s">
        <v>264</v>
      </c>
      <c r="B29" s="3572">
        <f>SUM('[43]ФАКТИЧЕСКАЯ СЕБЕСТ ВОДА 2019'!CY14)*1000</f>
        <v>147.5</v>
      </c>
      <c r="C29" s="2531">
        <f>SUM('[43]ФАКТИЧЕСКАЯ СЕБЕСТ ВОДА 2019'!DB14)*1000</f>
        <v>90</v>
      </c>
      <c r="D29" s="2531">
        <v>17.41</v>
      </c>
      <c r="E29" s="2533">
        <f t="shared" si="3"/>
        <v>2.5679750000000001</v>
      </c>
      <c r="F29" s="2533">
        <f t="shared" si="4"/>
        <v>1.5669000000000002</v>
      </c>
      <c r="G29" s="2533">
        <f t="shared" si="5"/>
        <v>-1.0010749999999999</v>
      </c>
    </row>
    <row r="30" spans="1:7" ht="15.75" x14ac:dyDescent="0.25">
      <c r="A30" s="2529" t="s">
        <v>1228</v>
      </c>
      <c r="B30" s="3572">
        <f>SUM('[43]ФАКТИЧЕСКАЯ СЕБЕСТ ВОДА 2019'!DH14)*1000</f>
        <v>147.5</v>
      </c>
      <c r="C30" s="2531">
        <f>SUM('[43]ФАКТИЧЕСКАЯ СЕБЕСТ ВОДА 2019'!DK14)*1000</f>
        <v>90</v>
      </c>
      <c r="D30" s="2531">
        <v>17.41</v>
      </c>
      <c r="E30" s="2533">
        <f t="shared" si="3"/>
        <v>2.5679750000000001</v>
      </c>
      <c r="F30" s="2533">
        <f t="shared" si="4"/>
        <v>1.5669000000000002</v>
      </c>
      <c r="G30" s="2533">
        <f t="shared" si="5"/>
        <v>-1.0010749999999999</v>
      </c>
    </row>
    <row r="31" spans="1:7" ht="15.75" x14ac:dyDescent="0.25">
      <c r="A31" s="2529" t="s">
        <v>265</v>
      </c>
      <c r="B31" s="3572">
        <f>SUM('[43]ФАКТИЧЕСКАЯ СЕБЕСТ ВОДА 2019'!EO14)*1000</f>
        <v>147.5</v>
      </c>
      <c r="C31" s="2531">
        <f>SUM('[43]ФАКТИЧЕСКАЯ СЕБЕСТ ВОДА 2019'!ER14)*1000</f>
        <v>76</v>
      </c>
      <c r="D31" s="2531">
        <v>17.41</v>
      </c>
      <c r="E31" s="2533">
        <f t="shared" si="3"/>
        <v>2.5679750000000001</v>
      </c>
      <c r="F31" s="2533">
        <f t="shared" si="4"/>
        <v>1.3231600000000001</v>
      </c>
      <c r="G31" s="2533">
        <f t="shared" si="5"/>
        <v>-1.244815</v>
      </c>
    </row>
    <row r="32" spans="1:7" ht="15.75" x14ac:dyDescent="0.25">
      <c r="A32" s="2529" t="s">
        <v>266</v>
      </c>
      <c r="B32" s="3572">
        <f>SUM('[43]ФАКТИЧЕСКАЯ СЕБЕСТ ВОДА 2019'!EX14)*1000</f>
        <v>147.5</v>
      </c>
      <c r="C32" s="2531">
        <f>SUM('[43]ФАКТИЧЕСКАЯ СЕБЕСТ ВОДА 2019'!FA14)*1000</f>
        <v>157</v>
      </c>
      <c r="D32" s="2531">
        <v>17.41</v>
      </c>
      <c r="E32" s="2533">
        <f t="shared" si="3"/>
        <v>2.5679750000000001</v>
      </c>
      <c r="F32" s="2533">
        <f t="shared" si="4"/>
        <v>2.7333699999999999</v>
      </c>
      <c r="G32" s="2533">
        <f t="shared" si="5"/>
        <v>0.16539499999999974</v>
      </c>
    </row>
    <row r="33" spans="1:7" ht="15.75" x14ac:dyDescent="0.25">
      <c r="A33" s="2529" t="s">
        <v>1319</v>
      </c>
      <c r="B33" s="3572">
        <f>SUM('[43]ФАКТИЧЕСКАЯ СЕБЕСТ ВОДА 2019'!FG14)*1000</f>
        <v>147.5</v>
      </c>
      <c r="C33" s="2531">
        <f>SUM('[43]ФАКТИЧЕСКАЯ СЕБЕСТ ВОДА 2019'!FJ14)*1000</f>
        <v>67</v>
      </c>
      <c r="D33" s="2531">
        <v>17.41</v>
      </c>
      <c r="E33" s="2533">
        <f t="shared" si="3"/>
        <v>2.5679750000000001</v>
      </c>
      <c r="F33" s="2533">
        <f t="shared" si="4"/>
        <v>1.1664700000000001</v>
      </c>
      <c r="G33" s="2533">
        <f t="shared" si="5"/>
        <v>-1.401505</v>
      </c>
    </row>
    <row r="34" spans="1:7" ht="15.75" x14ac:dyDescent="0.25">
      <c r="A34" s="2535" t="s">
        <v>282</v>
      </c>
      <c r="B34" s="3573">
        <f>SUM(B22:B33)</f>
        <v>1770</v>
      </c>
      <c r="C34" s="2537">
        <f>SUM(C22:C33)</f>
        <v>1129</v>
      </c>
      <c r="D34" s="2537">
        <f>F34/C34*1000</f>
        <v>17.41</v>
      </c>
      <c r="E34" s="2537">
        <f>SUM(E22:E33)</f>
        <v>30.815700000000003</v>
      </c>
      <c r="F34" s="2537">
        <f>SUM(F22:F33)</f>
        <v>19.655889999999999</v>
      </c>
      <c r="G34" s="2537">
        <f>SUM(G22:G33)</f>
        <v>-11.15981</v>
      </c>
    </row>
    <row r="35" spans="1:7" ht="15" x14ac:dyDescent="0.2">
      <c r="A35" s="2538"/>
      <c r="B35" s="2538"/>
      <c r="C35" s="2538"/>
      <c r="D35" s="2538"/>
      <c r="E35" s="2538"/>
      <c r="F35" s="2538"/>
    </row>
    <row r="36" spans="1:7" ht="15.75" x14ac:dyDescent="0.2">
      <c r="A36" s="4551" t="s">
        <v>47</v>
      </c>
      <c r="B36" s="4551"/>
      <c r="C36" s="4551"/>
      <c r="D36" s="4552"/>
      <c r="E36" s="4552"/>
      <c r="F36" s="4552"/>
      <c r="G36" s="4552"/>
    </row>
    <row r="37" spans="1:7" ht="12.75" customHeight="1" x14ac:dyDescent="0.25">
      <c r="A37" s="4553" t="s">
        <v>1560</v>
      </c>
      <c r="B37" s="4555" t="s">
        <v>1708</v>
      </c>
      <c r="C37" s="4556"/>
      <c r="D37" s="4557" t="s">
        <v>1709</v>
      </c>
      <c r="E37" s="4555" t="s">
        <v>3572</v>
      </c>
      <c r="F37" s="4559"/>
      <c r="G37" s="4560"/>
    </row>
    <row r="38" spans="1:7" ht="15.75" x14ac:dyDescent="0.25">
      <c r="A38" s="4554"/>
      <c r="B38" s="2528" t="s">
        <v>3573</v>
      </c>
      <c r="C38" s="2528" t="s">
        <v>1677</v>
      </c>
      <c r="D38" s="4558"/>
      <c r="E38" s="2528" t="s">
        <v>3573</v>
      </c>
      <c r="F38" s="2528" t="s">
        <v>1677</v>
      </c>
      <c r="G38" s="2528" t="s">
        <v>1596</v>
      </c>
    </row>
    <row r="39" spans="1:7" ht="15.75" x14ac:dyDescent="0.25">
      <c r="A39" s="2529" t="s">
        <v>258</v>
      </c>
      <c r="B39" s="2530">
        <f>SUM('[43]ФАКТИЧЕСКАЯ СЕБЕСТ. СТОКИ 2019'!C9)*1000</f>
        <v>250194.74804095269</v>
      </c>
      <c r="C39" s="2530">
        <f>SUM('[43]ФАКТИЧЕСКАЯ СЕБЕСТ. СТОКИ 2019'!F9)*1000</f>
        <v>266293</v>
      </c>
      <c r="D39" s="2531">
        <v>32.06</v>
      </c>
      <c r="E39" s="2533">
        <f>B39*D39/1000</f>
        <v>8021.2436221929438</v>
      </c>
      <c r="F39" s="2533">
        <f>C39*D39/1000</f>
        <v>8537.3535800000009</v>
      </c>
      <c r="G39" s="2533">
        <f>SUM(F39-E39)</f>
        <v>516.10995780705707</v>
      </c>
    </row>
    <row r="40" spans="1:7" ht="15.75" x14ac:dyDescent="0.25">
      <c r="A40" s="2529" t="s">
        <v>259</v>
      </c>
      <c r="B40" s="2530">
        <f>SUM('[43]ФАКТИЧЕСКАЯ СЕБЕСТ. СТОКИ 2019'!L9)*1000</f>
        <v>250194.74804095269</v>
      </c>
      <c r="C40" s="2530">
        <f>SUM('[43]ФАКТИЧЕСКАЯ СЕБЕСТ. СТОКИ 2019'!O9)*1000</f>
        <v>256132.99999999997</v>
      </c>
      <c r="D40" s="2531">
        <v>32.06</v>
      </c>
      <c r="E40" s="2533">
        <f t="shared" ref="E40:E50" si="6">B40*D40/1000</f>
        <v>8021.2436221929438</v>
      </c>
      <c r="F40" s="2533">
        <f t="shared" ref="F40:F50" si="7">C40*D40/1000</f>
        <v>8211.6239800000003</v>
      </c>
      <c r="G40" s="2533">
        <f t="shared" ref="G40:G50" si="8">SUM(F40-E40)</f>
        <v>190.3803578070565</v>
      </c>
    </row>
    <row r="41" spans="1:7" ht="15.75" x14ac:dyDescent="0.25">
      <c r="A41" s="2529" t="s">
        <v>260</v>
      </c>
      <c r="B41" s="2530">
        <f>SUM('[43]ФАКТИЧЕСКАЯ СЕБЕСТ. СТОКИ 2019'!U9)*1000</f>
        <v>250194.74804095269</v>
      </c>
      <c r="C41" s="2530">
        <f>SUM('[43]ФАКТИЧЕСКАЯ СЕБЕСТ. СТОКИ 2019'!X9)*1000</f>
        <v>248363</v>
      </c>
      <c r="D41" s="2531">
        <v>32.06</v>
      </c>
      <c r="E41" s="2533">
        <f t="shared" si="6"/>
        <v>8021.2436221929438</v>
      </c>
      <c r="F41" s="2533">
        <f t="shared" si="7"/>
        <v>7962.5177800000001</v>
      </c>
      <c r="G41" s="2533">
        <f t="shared" si="8"/>
        <v>-58.725842192943674</v>
      </c>
    </row>
    <row r="42" spans="1:7" ht="15.75" x14ac:dyDescent="0.25">
      <c r="A42" s="2529" t="s">
        <v>261</v>
      </c>
      <c r="B42" s="2530">
        <f>SUM('[43]ФАКТИЧЕСКАЯ СЕБЕСТ. СТОКИ 2019'!AP9)*1000</f>
        <v>250194.74804095269</v>
      </c>
      <c r="C42" s="2530">
        <f>SUM('[43]ФАКТИЧЕСКАЯ СЕБЕСТ. СТОКИ 2019'!AS9)*1000</f>
        <v>259787.00000000003</v>
      </c>
      <c r="D42" s="2531">
        <v>32.06</v>
      </c>
      <c r="E42" s="2533">
        <f t="shared" si="6"/>
        <v>8021.2436221929438</v>
      </c>
      <c r="F42" s="2533">
        <f t="shared" si="7"/>
        <v>8328.7712200000024</v>
      </c>
      <c r="G42" s="2533">
        <f t="shared" si="8"/>
        <v>307.52759780705856</v>
      </c>
    </row>
    <row r="43" spans="1:7" ht="15.75" x14ac:dyDescent="0.25">
      <c r="A43" s="2529" t="s">
        <v>262</v>
      </c>
      <c r="B43" s="2530">
        <f>SUM('[43]ФАКТИЧЕСКАЯ СЕБЕСТ. СТОКИ 2019'!AY9)*1000</f>
        <v>250194.74804095269</v>
      </c>
      <c r="C43" s="2530">
        <f>SUM('[43]ФАКТИЧЕСКАЯ СЕБЕСТ. СТОКИ 2019'!BB9)*1000</f>
        <v>253662.00000000003</v>
      </c>
      <c r="D43" s="2531">
        <v>32.06</v>
      </c>
      <c r="E43" s="2533">
        <f t="shared" si="6"/>
        <v>8021.2436221929438</v>
      </c>
      <c r="F43" s="2533">
        <f t="shared" si="7"/>
        <v>8132.4037200000012</v>
      </c>
      <c r="G43" s="2533">
        <f t="shared" si="8"/>
        <v>111.16009780705735</v>
      </c>
    </row>
    <row r="44" spans="1:7" ht="15.75" x14ac:dyDescent="0.25">
      <c r="A44" s="2529" t="s">
        <v>263</v>
      </c>
      <c r="B44" s="2530">
        <f>SUM('[43]ФАКТИЧЕСКАЯ СЕБЕСТ. СТОКИ 2019'!BH9)*1000</f>
        <v>250194.74804095269</v>
      </c>
      <c r="C44" s="2530">
        <f>SUM('[43]ФАКТИЧЕСКАЯ СЕБЕСТ. СТОКИ 2019'!BK9)*1000</f>
        <v>254412.99999999997</v>
      </c>
      <c r="D44" s="2531">
        <v>32.06</v>
      </c>
      <c r="E44" s="2533">
        <f t="shared" si="6"/>
        <v>8021.2436221929438</v>
      </c>
      <c r="F44" s="2533">
        <f t="shared" si="7"/>
        <v>8156.480779999999</v>
      </c>
      <c r="G44" s="2533">
        <f t="shared" si="8"/>
        <v>135.23715780705515</v>
      </c>
    </row>
    <row r="45" spans="1:7" ht="15.75" x14ac:dyDescent="0.25">
      <c r="A45" s="2529" t="s">
        <v>1210</v>
      </c>
      <c r="B45" s="2530">
        <f>SUM('[43]ФАКТИЧЕСКАЯ СЕБЕСТ. СТОКИ 2019'!CO9)*1000</f>
        <v>250194.74804095269</v>
      </c>
      <c r="C45" s="2530">
        <f>SUM('[43]ФАКТИЧЕСКАЯ СЕБЕСТ. СТОКИ 2019'!CR9)*1000</f>
        <v>241745</v>
      </c>
      <c r="D45" s="2531">
        <v>32.06</v>
      </c>
      <c r="E45" s="2533">
        <f t="shared" si="6"/>
        <v>8021.2436221929438</v>
      </c>
      <c r="F45" s="2533">
        <f t="shared" si="7"/>
        <v>7750.3447000000006</v>
      </c>
      <c r="G45" s="2533">
        <f t="shared" si="8"/>
        <v>-270.89892219294325</v>
      </c>
    </row>
    <row r="46" spans="1:7" ht="15.75" x14ac:dyDescent="0.25">
      <c r="A46" s="2529" t="s">
        <v>264</v>
      </c>
      <c r="B46" s="2530">
        <f>SUM('[43]ФАКТИЧЕСКАЯ СЕБЕСТ. СТОКИ 2019'!CX9)*1000</f>
        <v>250194.74804095269</v>
      </c>
      <c r="C46" s="2530">
        <f>SUM('[43]ФАКТИЧЕСКАЯ СЕБЕСТ. СТОКИ 2019'!DA9)*1000</f>
        <v>275254</v>
      </c>
      <c r="D46" s="2531">
        <v>32.06</v>
      </c>
      <c r="E46" s="2533">
        <f t="shared" si="6"/>
        <v>8021.2436221929438</v>
      </c>
      <c r="F46" s="2533">
        <f t="shared" si="7"/>
        <v>8824.6432399999994</v>
      </c>
      <c r="G46" s="2533">
        <f t="shared" si="8"/>
        <v>803.39961780705562</v>
      </c>
    </row>
    <row r="47" spans="1:7" ht="15.75" x14ac:dyDescent="0.25">
      <c r="A47" s="2529" t="s">
        <v>1228</v>
      </c>
      <c r="B47" s="2530">
        <f>SUM('[43]ФАКТИЧЕСКАЯ СЕБЕСТ. СТОКИ 2019'!DG9)*1000</f>
        <v>250194.74804095269</v>
      </c>
      <c r="C47" s="2530">
        <f>SUM('[43]ФАКТИЧЕСКАЯ СЕБЕСТ. СТОКИ 2019'!DJ9)*1000</f>
        <v>253471</v>
      </c>
      <c r="D47" s="2531">
        <v>32.06</v>
      </c>
      <c r="E47" s="2533">
        <f t="shared" si="6"/>
        <v>8021.2436221929438</v>
      </c>
      <c r="F47" s="2533">
        <f t="shared" si="7"/>
        <v>8126.2802600000005</v>
      </c>
      <c r="G47" s="2533">
        <f t="shared" si="8"/>
        <v>105.03663780705665</v>
      </c>
    </row>
    <row r="48" spans="1:7" ht="15.75" x14ac:dyDescent="0.25">
      <c r="A48" s="2529" t="s">
        <v>265</v>
      </c>
      <c r="B48" s="2530">
        <f>SUM('[43]ФАКТИЧЕСКАЯ СЕБЕСТ. СТОКИ 2019'!EN9)*1000</f>
        <v>250194.74804095269</v>
      </c>
      <c r="C48" s="2530">
        <f>SUM('[43]ФАКТИЧЕСКАЯ СЕБЕСТ. СТОКИ 2019'!EQ9)*1000</f>
        <v>258966</v>
      </c>
      <c r="D48" s="2531">
        <v>32.06</v>
      </c>
      <c r="E48" s="2533">
        <f t="shared" si="6"/>
        <v>8021.2436221929438</v>
      </c>
      <c r="F48" s="2533">
        <f t="shared" si="7"/>
        <v>8302.4499600000017</v>
      </c>
      <c r="G48" s="2533">
        <f t="shared" si="8"/>
        <v>281.20633780705793</v>
      </c>
    </row>
    <row r="49" spans="1:7" ht="15.75" x14ac:dyDescent="0.25">
      <c r="A49" s="2529" t="s">
        <v>266</v>
      </c>
      <c r="B49" s="2530">
        <f>SUM('[43]ФАКТИЧЕСКАЯ СЕБЕСТ. СТОКИ 2019'!EW9)*1000</f>
        <v>250194.74804095269</v>
      </c>
      <c r="C49" s="2530">
        <f>SUM('[43]ФАКТИЧЕСКАЯ СЕБЕСТ. СТОКИ 2019'!EZ9)*1000</f>
        <v>269019</v>
      </c>
      <c r="D49" s="2531">
        <v>32.06</v>
      </c>
      <c r="E49" s="2533">
        <f t="shared" si="6"/>
        <v>8021.2436221929438</v>
      </c>
      <c r="F49" s="2533">
        <f t="shared" si="7"/>
        <v>8624.7491399999999</v>
      </c>
      <c r="G49" s="2533">
        <f t="shared" si="8"/>
        <v>603.50551780705609</v>
      </c>
    </row>
    <row r="50" spans="1:7" ht="15.75" x14ac:dyDescent="0.25">
      <c r="A50" s="2529" t="s">
        <v>1319</v>
      </c>
      <c r="B50" s="2530">
        <f>SUM('[43]ФАКТИЧЕСКАЯ СЕБЕСТ. СТОКИ 2019'!FF9)*1000</f>
        <v>250194.74804095269</v>
      </c>
      <c r="C50" s="2530">
        <f>SUM('[43]ФАКТИЧЕСКАЯ СЕБЕСТ. СТОКИ 2019'!FI9)*1000</f>
        <v>268492</v>
      </c>
      <c r="D50" s="2531">
        <v>32.06</v>
      </c>
      <c r="E50" s="2533">
        <f t="shared" si="6"/>
        <v>8021.2436221929438</v>
      </c>
      <c r="F50" s="2533">
        <f t="shared" si="7"/>
        <v>8607.8535200000006</v>
      </c>
      <c r="G50" s="2533">
        <f t="shared" si="8"/>
        <v>586.60989780705677</v>
      </c>
    </row>
    <row r="51" spans="1:7" ht="15.75" x14ac:dyDescent="0.25">
      <c r="A51" s="2535" t="s">
        <v>282</v>
      </c>
      <c r="B51" s="2536">
        <f>SUM(B39:B50)</f>
        <v>3002336.9764914322</v>
      </c>
      <c r="C51" s="2537">
        <f>SUM(C39:C50)</f>
        <v>3105598</v>
      </c>
      <c r="D51" s="2537">
        <f>F51/C51*1000</f>
        <v>32.06</v>
      </c>
      <c r="E51" s="2537">
        <f>SUM(E39:E50)</f>
        <v>96254.923466315318</v>
      </c>
      <c r="F51" s="2537">
        <f>SUM(F39:F50)</f>
        <v>99565.471880000012</v>
      </c>
      <c r="G51" s="2537">
        <f>SUM(G39:G50)</f>
        <v>3310.5484136846808</v>
      </c>
    </row>
    <row r="52" spans="1:7" ht="15" x14ac:dyDescent="0.2">
      <c r="A52" s="2538"/>
      <c r="B52" s="2538"/>
      <c r="C52" s="2538"/>
      <c r="D52" s="2538"/>
      <c r="E52" s="2538"/>
      <c r="F52" s="2538"/>
    </row>
    <row r="53" spans="1:7" ht="15.75" x14ac:dyDescent="0.2">
      <c r="A53" s="4551" t="s">
        <v>1752</v>
      </c>
      <c r="B53" s="4551"/>
      <c r="C53" s="4551"/>
      <c r="D53" s="4552"/>
      <c r="E53" s="4552"/>
      <c r="F53" s="4552"/>
      <c r="G53" s="4552"/>
    </row>
    <row r="54" spans="1:7" ht="12.75" customHeight="1" x14ac:dyDescent="0.25">
      <c r="A54" s="4553" t="s">
        <v>1560</v>
      </c>
      <c r="B54" s="4555" t="s">
        <v>1708</v>
      </c>
      <c r="C54" s="4556"/>
      <c r="D54" s="4557" t="s">
        <v>1709</v>
      </c>
      <c r="E54" s="4555" t="s">
        <v>3572</v>
      </c>
      <c r="F54" s="4559"/>
      <c r="G54" s="4560"/>
    </row>
    <row r="55" spans="1:7" ht="15.75" x14ac:dyDescent="0.25">
      <c r="A55" s="4554"/>
      <c r="B55" s="2528" t="s">
        <v>3573</v>
      </c>
      <c r="C55" s="2528" t="s">
        <v>1677</v>
      </c>
      <c r="D55" s="4558"/>
      <c r="E55" s="2528" t="s">
        <v>3573</v>
      </c>
      <c r="F55" s="2528" t="s">
        <v>1677</v>
      </c>
      <c r="G55" s="2528" t="s">
        <v>1596</v>
      </c>
    </row>
    <row r="56" spans="1:7" ht="15.75" x14ac:dyDescent="0.25">
      <c r="A56" s="2529" t="s">
        <v>258</v>
      </c>
      <c r="B56" s="2530">
        <f>SUM('[43]ФАКТИЧЕСКАЯ СЕБЕСТ. СТОКИ 2019'!D9)*1000</f>
        <v>1472.2222222222224</v>
      </c>
      <c r="C56" s="2530">
        <f>SUM('[43]ФАКТИЧЕСКАЯ СЕБЕСТ. СТОКИ 2019'!G9)*1000</f>
        <v>202.5</v>
      </c>
      <c r="D56" s="2532">
        <v>14.24</v>
      </c>
      <c r="E56" s="2533">
        <f>B56*D56/1000</f>
        <v>20.96444444444445</v>
      </c>
      <c r="F56" s="2533">
        <f>C56*D56/1000</f>
        <v>2.8835999999999999</v>
      </c>
      <c r="G56" s="2533">
        <f>SUM(F56-E56)</f>
        <v>-18.080844444444448</v>
      </c>
    </row>
    <row r="57" spans="1:7" ht="15.75" x14ac:dyDescent="0.25">
      <c r="A57" s="2529" t="s">
        <v>259</v>
      </c>
      <c r="B57" s="2530">
        <f>SUM('[43]ФАКТИЧЕСКАЯ СЕБЕСТ. СТОКИ 2019'!M9)*1000</f>
        <v>1472.2222222222224</v>
      </c>
      <c r="C57" s="2530">
        <f>SUM('[43]ФАКТИЧЕСКАЯ СЕБЕСТ. СТОКИ 2019'!P9)*1000</f>
        <v>173</v>
      </c>
      <c r="D57" s="2532">
        <v>14.24</v>
      </c>
      <c r="E57" s="2533">
        <f t="shared" ref="E57:E67" si="9">B57*D57/1000</f>
        <v>20.96444444444445</v>
      </c>
      <c r="F57" s="2533">
        <f t="shared" ref="F57:F67" si="10">C57*D57/1000</f>
        <v>2.4635199999999999</v>
      </c>
      <c r="G57" s="2533">
        <f t="shared" ref="G57:G67" si="11">SUM(F57-E57)</f>
        <v>-18.500924444444451</v>
      </c>
    </row>
    <row r="58" spans="1:7" ht="15.75" x14ac:dyDescent="0.25">
      <c r="A58" s="2529" t="s">
        <v>260</v>
      </c>
      <c r="B58" s="2530">
        <f>SUM('[43]ФАКТИЧЕСКАЯ СЕБЕСТ. СТОКИ 2019'!V9)*1000</f>
        <v>1472.2222222222224</v>
      </c>
      <c r="C58" s="2530">
        <f>SUM('[43]ФАКТИЧЕСКАЯ СЕБЕСТ. СТОКИ 2019'!Y9)*1000</f>
        <v>3680</v>
      </c>
      <c r="D58" s="2532">
        <v>14.24</v>
      </c>
      <c r="E58" s="2533">
        <f t="shared" si="9"/>
        <v>20.96444444444445</v>
      </c>
      <c r="F58" s="2533">
        <f t="shared" si="10"/>
        <v>52.403200000000005</v>
      </c>
      <c r="G58" s="2533">
        <f t="shared" si="11"/>
        <v>31.438755555555556</v>
      </c>
    </row>
    <row r="59" spans="1:7" ht="15.75" x14ac:dyDescent="0.25">
      <c r="A59" s="2529" t="s">
        <v>261</v>
      </c>
      <c r="B59" s="2530">
        <f>SUM('[43]ФАКТИЧЕСКАЯ СЕБЕСТ. СТОКИ 2019'!AQ9)*1000</f>
        <v>1472.2222222222224</v>
      </c>
      <c r="C59" s="2530">
        <f>SUM('[43]ФАКТИЧЕСКАЯ СЕБЕСТ. СТОКИ 2019'!AT9)*1000</f>
        <v>300</v>
      </c>
      <c r="D59" s="2532">
        <v>14.24</v>
      </c>
      <c r="E59" s="2533">
        <f t="shared" si="9"/>
        <v>20.96444444444445</v>
      </c>
      <c r="F59" s="2533">
        <f t="shared" si="10"/>
        <v>4.2720000000000002</v>
      </c>
      <c r="G59" s="2533">
        <f t="shared" si="11"/>
        <v>-16.692444444444448</v>
      </c>
    </row>
    <row r="60" spans="1:7" ht="15.75" x14ac:dyDescent="0.25">
      <c r="A60" s="2529" t="s">
        <v>262</v>
      </c>
      <c r="B60" s="2530">
        <f>SUM('[43]ФАКТИЧЕСКАЯ СЕБЕСТ. СТОКИ 2019'!AZ9)*1000</f>
        <v>1472.2222222222224</v>
      </c>
      <c r="C60" s="2530">
        <f>SUM('[43]ФАКТИЧЕСКАЯ СЕБЕСТ. СТОКИ 2019'!BC9)*1000</f>
        <v>510</v>
      </c>
      <c r="D60" s="2532">
        <v>14.24</v>
      </c>
      <c r="E60" s="2533">
        <f t="shared" si="9"/>
        <v>20.96444444444445</v>
      </c>
      <c r="F60" s="2533">
        <f t="shared" si="10"/>
        <v>7.2624000000000004</v>
      </c>
      <c r="G60" s="2533">
        <f t="shared" si="11"/>
        <v>-13.70204444444445</v>
      </c>
    </row>
    <row r="61" spans="1:7" ht="15.75" x14ac:dyDescent="0.25">
      <c r="A61" s="2529" t="s">
        <v>263</v>
      </c>
      <c r="B61" s="2530">
        <f>SUM('[43]ФАКТИЧЕСКАЯ СЕБЕСТ. СТОКИ 2019'!BI9)*1000</f>
        <v>1472.2222222222224</v>
      </c>
      <c r="C61" s="2530">
        <f>SUM('[43]ФАКТИЧЕСКАЯ СЕБЕСТ. СТОКИ 2019'!BL9)*1000</f>
        <v>3866</v>
      </c>
      <c r="D61" s="2532">
        <v>14.24</v>
      </c>
      <c r="E61" s="2533">
        <f t="shared" si="9"/>
        <v>20.96444444444445</v>
      </c>
      <c r="F61" s="2533">
        <f t="shared" si="10"/>
        <v>55.051840000000006</v>
      </c>
      <c r="G61" s="2533">
        <f t="shared" si="11"/>
        <v>34.08739555555556</v>
      </c>
    </row>
    <row r="62" spans="1:7" ht="15.75" x14ac:dyDescent="0.25">
      <c r="A62" s="2529" t="s">
        <v>1210</v>
      </c>
      <c r="B62" s="2530">
        <f>SUM('[43]ФАКТИЧЕСКАЯ СЕБЕСТ. СТОКИ 2019'!CP9)*1000</f>
        <v>1472.2222222222224</v>
      </c>
      <c r="C62" s="2530">
        <f>SUM('[43]ФАКТИЧЕСКАЯ СЕБЕСТ. СТОКИ 2019'!CS9)*1000</f>
        <v>311</v>
      </c>
      <c r="D62" s="2532">
        <v>14.56</v>
      </c>
      <c r="E62" s="2533">
        <f t="shared" si="9"/>
        <v>21.43555555555556</v>
      </c>
      <c r="F62" s="2533">
        <f t="shared" si="10"/>
        <v>4.5281599999999997</v>
      </c>
      <c r="G62" s="2533">
        <f t="shared" si="11"/>
        <v>-16.90739555555556</v>
      </c>
    </row>
    <row r="63" spans="1:7" ht="15.75" x14ac:dyDescent="0.25">
      <c r="A63" s="2529" t="s">
        <v>264</v>
      </c>
      <c r="B63" s="2530">
        <f>SUM('[43]ФАКТИЧЕСКАЯ СЕБЕСТ. СТОКИ 2019'!CY9)*1000</f>
        <v>1472.2222222222224</v>
      </c>
      <c r="C63" s="2530">
        <f>SUM('[43]ФАКТИЧЕСКАЯ СЕБЕСТ. СТОКИ 2019'!DB9)*1000</f>
        <v>379</v>
      </c>
      <c r="D63" s="2532">
        <v>14.56</v>
      </c>
      <c r="E63" s="2533">
        <f t="shared" si="9"/>
        <v>21.43555555555556</v>
      </c>
      <c r="F63" s="2533">
        <f t="shared" si="10"/>
        <v>5.5182399999999996</v>
      </c>
      <c r="G63" s="2533">
        <f t="shared" si="11"/>
        <v>-15.917315555555561</v>
      </c>
    </row>
    <row r="64" spans="1:7" ht="15.75" x14ac:dyDescent="0.25">
      <c r="A64" s="2529" t="s">
        <v>1228</v>
      </c>
      <c r="B64" s="2530">
        <f>SUM('[43]ФАКТИЧЕСКАЯ СЕБЕСТ. СТОКИ 2019'!DH9)*1000</f>
        <v>1472.2222222222224</v>
      </c>
      <c r="C64" s="2530">
        <f>SUM('[43]ФАКТИЧЕСКАЯ СЕБЕСТ. СТОКИ 2019'!DK9)*1000</f>
        <v>3908</v>
      </c>
      <c r="D64" s="2532">
        <v>14.56</v>
      </c>
      <c r="E64" s="2533">
        <f t="shared" si="9"/>
        <v>21.43555555555556</v>
      </c>
      <c r="F64" s="2533">
        <f t="shared" si="10"/>
        <v>56.900480000000002</v>
      </c>
      <c r="G64" s="2533">
        <f t="shared" si="11"/>
        <v>35.464924444444442</v>
      </c>
    </row>
    <row r="65" spans="1:7" ht="15.75" x14ac:dyDescent="0.25">
      <c r="A65" s="2529" t="s">
        <v>265</v>
      </c>
      <c r="B65" s="2530">
        <f>SUM('[43]ФАКТИЧЕСКАЯ СЕБЕСТ. СТОКИ 2019'!EO9)*1000</f>
        <v>1472.2222222222224</v>
      </c>
      <c r="C65" s="2530">
        <f>SUM('[43]ФАКТИЧЕСКАЯ СЕБЕСТ. СТОКИ 2019'!ER9)*1000</f>
        <v>371</v>
      </c>
      <c r="D65" s="2532">
        <v>14.56</v>
      </c>
      <c r="E65" s="2533">
        <f t="shared" si="9"/>
        <v>21.43555555555556</v>
      </c>
      <c r="F65" s="2533">
        <f t="shared" si="10"/>
        <v>5.4017600000000003</v>
      </c>
      <c r="G65" s="2533">
        <f t="shared" si="11"/>
        <v>-16.03379555555556</v>
      </c>
    </row>
    <row r="66" spans="1:7" ht="15.75" x14ac:dyDescent="0.25">
      <c r="A66" s="2529" t="s">
        <v>266</v>
      </c>
      <c r="B66" s="2530">
        <f>SUM('[43]ФАКТИЧЕСКАЯ СЕБЕСТ. СТОКИ 2019'!EX9)*1000</f>
        <v>1472.2222222222224</v>
      </c>
      <c r="C66" s="2530">
        <f>SUM('[43]ФАКТИЧЕСКАЯ СЕБЕСТ. СТОКИ 2019'!FA9)*1000</f>
        <v>409</v>
      </c>
      <c r="D66" s="2532">
        <v>14.56</v>
      </c>
      <c r="E66" s="2533">
        <f t="shared" si="9"/>
        <v>21.43555555555556</v>
      </c>
      <c r="F66" s="2533">
        <f t="shared" si="10"/>
        <v>5.9550400000000003</v>
      </c>
      <c r="G66" s="2533">
        <f t="shared" si="11"/>
        <v>-15.480515555555559</v>
      </c>
    </row>
    <row r="67" spans="1:7" ht="15.75" x14ac:dyDescent="0.25">
      <c r="A67" s="2529" t="s">
        <v>1319</v>
      </c>
      <c r="B67" s="2530">
        <f>SUM('[43]ФАКТИЧЕСКАЯ СЕБЕСТ. СТОКИ 2019'!FG9)*1000</f>
        <v>1472.2222222222224</v>
      </c>
      <c r="C67" s="2530">
        <f>SUM('[43]ФАКТИЧЕСКАЯ СЕБЕСТ. СТОКИ 2019'!FJ9)*1000</f>
        <v>725</v>
      </c>
      <c r="D67" s="2532">
        <v>14.56</v>
      </c>
      <c r="E67" s="2533">
        <f t="shared" si="9"/>
        <v>21.43555555555556</v>
      </c>
      <c r="F67" s="2533">
        <f t="shared" si="10"/>
        <v>10.555999999999999</v>
      </c>
      <c r="G67" s="2533">
        <f t="shared" si="11"/>
        <v>-10.879555555555561</v>
      </c>
    </row>
    <row r="68" spans="1:7" ht="15.75" x14ac:dyDescent="0.25">
      <c r="A68" s="2535" t="s">
        <v>282</v>
      </c>
      <c r="B68" s="2536">
        <f>SUM(B56:B67)</f>
        <v>17666.666666666668</v>
      </c>
      <c r="C68" s="2537">
        <f>SUM(C56:C67)</f>
        <v>14834.5</v>
      </c>
      <c r="D68" s="2537">
        <f>F68/C68*1000</f>
        <v>14.371649870234927</v>
      </c>
      <c r="E68" s="2537">
        <f>SUM(E56:E67)</f>
        <v>254.40000000000009</v>
      </c>
      <c r="F68" s="2537">
        <f>SUM(F56:F67)</f>
        <v>213.19624000000005</v>
      </c>
      <c r="G68" s="2537">
        <f>SUM(G56:G67)</f>
        <v>-41.203760000000045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rintOptions horizontalCentered="1"/>
  <pageMargins left="0.70866141732283472" right="0.70866141732283472" top="0.35433070866141736" bottom="0.35433070866141736" header="0.31496062992125984" footer="0.31496062992125984"/>
  <pageSetup paperSize="9" scale="7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1">
    <tabColor rgb="FFFFFF00"/>
    <pageSetUpPr fitToPage="1"/>
  </sheetPr>
  <dimension ref="A1:BX90"/>
  <sheetViews>
    <sheetView zoomScale="73" zoomScaleNormal="73" zoomScalePageLayoutView="90" workbookViewId="0">
      <pane xSplit="26" ySplit="38" topLeftCell="BF57" activePane="bottomRight" state="frozen"/>
      <selection pane="topRight" activeCell="AA1" sqref="AA1"/>
      <selection pane="bottomLeft" activeCell="A39" sqref="A39"/>
      <selection pane="bottomRight" activeCell="BX42" sqref="BX42:BX47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6" width="15.85546875" hidden="1" customWidth="1"/>
    <col min="27" max="27" width="16.140625" hidden="1" customWidth="1"/>
    <col min="28" max="28" width="15.7109375" hidden="1" customWidth="1"/>
    <col min="29" max="30" width="12.5703125" hidden="1" customWidth="1"/>
    <col min="31" max="31" width="16.85546875" hidden="1" customWidth="1"/>
    <col min="32" max="32" width="15.140625" hidden="1" customWidth="1"/>
    <col min="33" max="33" width="14.7109375" hidden="1" customWidth="1"/>
    <col min="34" max="34" width="16" hidden="1" customWidth="1"/>
    <col min="35" max="35" width="14.7109375" hidden="1" customWidth="1"/>
    <col min="36" max="36" width="16.140625" hidden="1" customWidth="1"/>
    <col min="37" max="37" width="15.42578125" hidden="1" customWidth="1"/>
    <col min="38" max="41" width="20" hidden="1" customWidth="1"/>
    <col min="42" max="42" width="16.42578125" hidden="1" customWidth="1"/>
    <col min="43" max="43" width="15.42578125" hidden="1" customWidth="1"/>
    <col min="44" max="44" width="15.7109375" hidden="1" customWidth="1"/>
    <col min="45" max="45" width="15.42578125" hidden="1" customWidth="1"/>
    <col min="46" max="46" width="16.85546875" hidden="1" customWidth="1"/>
    <col min="47" max="47" width="15.42578125" hidden="1" customWidth="1"/>
    <col min="48" max="48" width="20" hidden="1" customWidth="1"/>
    <col min="49" max="49" width="15.7109375" hidden="1" customWidth="1"/>
    <col min="50" max="50" width="18.42578125" customWidth="1"/>
    <col min="51" max="51" width="17.28515625" customWidth="1"/>
    <col min="52" max="52" width="17.85546875" customWidth="1"/>
    <col min="53" max="53" width="16.85546875" customWidth="1"/>
    <col min="54" max="54" width="18" customWidth="1"/>
    <col min="55" max="63" width="18.28515625" customWidth="1"/>
    <col min="64" max="67" width="18" customWidth="1"/>
    <col min="68" max="68" width="46" hidden="1" customWidth="1"/>
    <col min="69" max="74" width="18.140625" customWidth="1"/>
  </cols>
  <sheetData>
    <row r="1" spans="1:74" x14ac:dyDescent="0.2">
      <c r="A1" s="4701" t="s">
        <v>1494</v>
      </c>
      <c r="B1" s="4701"/>
      <c r="C1" s="4701"/>
      <c r="D1" s="4701"/>
      <c r="E1" s="4701"/>
      <c r="F1" s="4701"/>
      <c r="G1" s="4701"/>
      <c r="H1" s="4701"/>
      <c r="I1" s="4701"/>
      <c r="J1" s="4701"/>
      <c r="K1" s="4701"/>
      <c r="L1" s="4701"/>
      <c r="M1" s="4701"/>
      <c r="N1" s="4701"/>
      <c r="O1" s="4701"/>
      <c r="P1" s="4701"/>
      <c r="Q1" s="4701"/>
      <c r="R1" s="4701"/>
      <c r="S1" s="4701"/>
      <c r="T1" s="4701"/>
      <c r="U1" s="4701"/>
      <c r="V1" s="4701"/>
      <c r="W1" s="4701"/>
      <c r="X1" s="4701"/>
      <c r="Y1" s="4701"/>
      <c r="Z1" s="4701"/>
      <c r="AA1" s="4701"/>
      <c r="AB1" s="4701"/>
      <c r="AC1" s="4701"/>
      <c r="AD1" s="4701"/>
      <c r="AE1" s="4701"/>
      <c r="AF1" s="4701"/>
      <c r="AG1" s="4701"/>
      <c r="AH1" s="4701"/>
      <c r="AI1" s="4701"/>
      <c r="AJ1" s="4701"/>
      <c r="AK1" s="4701"/>
      <c r="AL1" s="4701"/>
      <c r="AM1" s="4701"/>
      <c r="AN1" s="4701"/>
      <c r="AO1" s="4701"/>
      <c r="AP1" s="4701"/>
      <c r="AQ1" s="4701"/>
      <c r="AR1" s="4701"/>
      <c r="AS1" s="4701"/>
      <c r="AT1" s="4701"/>
      <c r="AU1" s="4701"/>
      <c r="AV1" s="4701"/>
      <c r="AW1" s="4701"/>
      <c r="AX1" s="4701"/>
      <c r="AY1" s="4701"/>
      <c r="AZ1" s="4701"/>
      <c r="BA1" s="4701"/>
      <c r="BB1" s="4701"/>
      <c r="BC1" s="4701"/>
      <c r="BD1" s="4701"/>
      <c r="BE1" s="4701"/>
      <c r="BF1" s="4701"/>
      <c r="BG1" s="4701"/>
      <c r="BH1" s="4701"/>
      <c r="BI1" s="4701"/>
      <c r="BJ1" s="4701"/>
      <c r="BK1" s="4701"/>
      <c r="BL1" s="4242"/>
      <c r="BM1" s="4242"/>
      <c r="BN1" s="4242"/>
      <c r="BO1" s="4242"/>
      <c r="BP1" s="4242"/>
      <c r="BQ1" s="4242"/>
      <c r="BR1" s="4242"/>
      <c r="BS1" s="4242"/>
      <c r="BT1" s="4242"/>
      <c r="BU1" s="4242"/>
      <c r="BV1" s="4242"/>
    </row>
    <row r="2" spans="1:74" ht="25.5" x14ac:dyDescent="0.35">
      <c r="A2" s="4702" t="s">
        <v>3889</v>
      </c>
      <c r="B2" s="4702"/>
      <c r="C2" s="4702"/>
      <c r="D2" s="4702"/>
      <c r="E2" s="4702"/>
      <c r="F2" s="4702"/>
      <c r="G2" s="4702"/>
      <c r="H2" s="4702"/>
      <c r="I2" s="4702"/>
      <c r="J2" s="4702"/>
      <c r="K2" s="4702"/>
      <c r="L2" s="4702"/>
      <c r="M2" s="4702"/>
      <c r="N2" s="4702"/>
      <c r="O2" s="4702"/>
      <c r="P2" s="4702"/>
      <c r="Q2" s="4702"/>
      <c r="R2" s="4702"/>
      <c r="S2" s="4702"/>
      <c r="T2" s="4702"/>
      <c r="U2" s="4702"/>
      <c r="V2" s="4702"/>
      <c r="W2" s="4702"/>
      <c r="X2" s="4702"/>
      <c r="Y2" s="4702"/>
      <c r="Z2" s="4702"/>
      <c r="AA2" s="4702"/>
      <c r="AB2" s="4702"/>
      <c r="AC2" s="4702"/>
      <c r="AD2" s="4702"/>
      <c r="AE2" s="4702"/>
      <c r="AF2" s="4702"/>
      <c r="AG2" s="4702"/>
      <c r="AH2" s="4702"/>
      <c r="AI2" s="4702"/>
      <c r="AJ2" s="4702"/>
      <c r="AK2" s="4702"/>
      <c r="AL2" s="4702"/>
      <c r="AM2" s="4702"/>
      <c r="AN2" s="4702"/>
      <c r="AO2" s="4702"/>
      <c r="AP2" s="4702"/>
      <c r="AQ2" s="4702"/>
      <c r="AR2" s="4702"/>
      <c r="AS2" s="4702"/>
      <c r="AT2" s="4702"/>
      <c r="AU2" s="4702"/>
      <c r="AV2" s="4702"/>
      <c r="AW2" s="4702"/>
      <c r="AX2" s="4702"/>
      <c r="AY2" s="4702"/>
      <c r="AZ2" s="4702"/>
      <c r="BA2" s="4702"/>
      <c r="BB2" s="4702"/>
      <c r="BC2" s="4702"/>
      <c r="BD2" s="4702"/>
      <c r="BE2" s="4702"/>
      <c r="BF2" s="4702"/>
      <c r="BG2" s="4702"/>
      <c r="BH2" s="4702"/>
      <c r="BI2" s="4702"/>
      <c r="BJ2" s="4702"/>
      <c r="BK2" s="4702"/>
      <c r="BL2" s="4242"/>
      <c r="BM2" s="4242"/>
      <c r="BN2" s="4242"/>
      <c r="BO2" s="4242"/>
      <c r="BP2" s="4242"/>
      <c r="BQ2" s="4242"/>
      <c r="BR2" s="4242"/>
      <c r="BS2" s="4242"/>
      <c r="BT2" s="4242"/>
      <c r="BU2" s="4242"/>
      <c r="BV2" s="4242"/>
    </row>
    <row r="3" spans="1:74" ht="18.75" x14ac:dyDescent="0.3">
      <c r="A3" s="4408" t="s">
        <v>56</v>
      </c>
      <c r="B3" s="4408"/>
      <c r="C3" s="4408"/>
      <c r="D3" s="4408"/>
      <c r="E3" s="4408"/>
      <c r="F3" s="4408"/>
      <c r="G3" s="4408"/>
      <c r="H3" s="4408"/>
      <c r="I3" s="4408"/>
      <c r="J3" s="4408"/>
      <c r="K3" s="4408"/>
      <c r="L3" s="4408"/>
      <c r="M3" s="4408"/>
      <c r="N3" s="4408"/>
      <c r="O3" s="4408"/>
      <c r="P3" s="4408"/>
      <c r="Q3" s="4408"/>
      <c r="R3" s="4408"/>
      <c r="S3" s="4408"/>
      <c r="T3" s="4408"/>
      <c r="U3" s="4408"/>
      <c r="V3" s="4408"/>
      <c r="W3" s="4408"/>
      <c r="X3" s="4408"/>
      <c r="Y3" s="4408"/>
      <c r="Z3" s="4408"/>
      <c r="AA3" s="4408"/>
      <c r="AB3" s="4408"/>
      <c r="AC3" s="4408"/>
      <c r="AD3" s="4408"/>
      <c r="AE3" s="4408"/>
      <c r="AF3" s="4408"/>
      <c r="AG3" s="4408"/>
      <c r="AH3" s="4408"/>
      <c r="AI3" s="4408"/>
      <c r="AJ3" s="4408"/>
      <c r="AK3" s="4408"/>
      <c r="AL3" s="4408"/>
      <c r="AM3" s="4408"/>
      <c r="AN3" s="4408"/>
      <c r="AO3" s="4408"/>
      <c r="AP3" s="4408"/>
      <c r="AQ3" s="4408"/>
      <c r="AR3" s="4408"/>
      <c r="AS3" s="4408"/>
      <c r="AT3" s="4408"/>
      <c r="AU3" s="4408"/>
      <c r="AV3" s="4408"/>
      <c r="AW3" s="4408"/>
      <c r="AX3" s="4408"/>
      <c r="AY3" s="4408"/>
      <c r="AZ3" s="4408"/>
      <c r="BA3" s="4408"/>
      <c r="BB3" s="4408"/>
      <c r="BC3" s="4408"/>
      <c r="BD3" s="4408"/>
      <c r="BE3" s="4408"/>
      <c r="BF3" s="4408"/>
      <c r="BG3" s="4408"/>
      <c r="BH3" s="4408"/>
      <c r="BI3" s="4408"/>
      <c r="BJ3" s="4408"/>
      <c r="BK3" s="4408"/>
      <c r="BL3" s="4242"/>
      <c r="BM3" s="4242"/>
      <c r="BN3" s="4242"/>
      <c r="BO3" s="4242"/>
      <c r="BP3" s="4242"/>
      <c r="BQ3" s="4242"/>
      <c r="BR3" s="4242"/>
      <c r="BS3" s="4242"/>
      <c r="BT3" s="4242"/>
      <c r="BU3" s="4242"/>
      <c r="BV3" s="4242"/>
    </row>
    <row r="4" spans="1:74" x14ac:dyDescent="0.2">
      <c r="A4" s="4409" t="s">
        <v>19</v>
      </c>
      <c r="B4" s="4410"/>
      <c r="C4" s="4410"/>
      <c r="D4" s="4410"/>
      <c r="E4" s="4410"/>
      <c r="F4" s="4410"/>
      <c r="G4" s="4410"/>
      <c r="H4" s="4410"/>
      <c r="I4" s="4410"/>
      <c r="J4" s="4410"/>
      <c r="K4" s="4410"/>
      <c r="L4" s="4410"/>
      <c r="M4" s="4410"/>
      <c r="N4" s="4410"/>
      <c r="O4" s="4410"/>
      <c r="P4" s="4410"/>
      <c r="Q4" s="4410"/>
      <c r="R4" s="4410"/>
      <c r="S4" s="4410"/>
      <c r="T4" s="4410"/>
      <c r="U4" s="4410"/>
      <c r="V4" s="4410"/>
      <c r="W4" s="4410"/>
      <c r="X4" s="4410"/>
      <c r="Y4" s="4410"/>
      <c r="Z4" s="4410"/>
      <c r="AA4" s="4410"/>
      <c r="AB4" s="4410"/>
      <c r="AC4" s="4410"/>
      <c r="AD4" s="4410"/>
      <c r="AE4" s="4410"/>
      <c r="AF4" s="4410"/>
      <c r="AG4" s="4410"/>
      <c r="AH4" s="4410"/>
      <c r="AI4" s="4410"/>
      <c r="AJ4" s="4410"/>
      <c r="AK4" s="4410"/>
      <c r="AL4" s="4410"/>
      <c r="AM4" s="4410"/>
      <c r="AN4" s="4410"/>
      <c r="AO4" s="4410"/>
      <c r="AP4" s="4410"/>
      <c r="AQ4" s="4410"/>
      <c r="AR4" s="4410"/>
      <c r="AS4" s="4410"/>
      <c r="AT4" s="4410"/>
      <c r="AU4" s="4410"/>
      <c r="AV4" s="4410"/>
      <c r="AW4" s="4410"/>
      <c r="AX4" s="4410"/>
      <c r="AY4" s="4410"/>
      <c r="AZ4" s="4410"/>
      <c r="BA4" s="4410"/>
      <c r="BB4" s="4410"/>
      <c r="BC4" s="4410"/>
      <c r="BD4" s="4410"/>
      <c r="BE4" s="4410"/>
      <c r="BF4" s="4410"/>
      <c r="BG4" s="4410"/>
      <c r="BH4" s="4410"/>
      <c r="BI4" s="4410"/>
      <c r="BJ4" s="4410"/>
      <c r="BK4" s="4410"/>
      <c r="BL4" s="4242"/>
      <c r="BM4" s="4242"/>
      <c r="BN4" s="4242"/>
      <c r="BO4" s="4242"/>
      <c r="BP4" s="4242"/>
      <c r="BQ4" s="4242"/>
      <c r="BR4" s="4242"/>
      <c r="BS4" s="4242"/>
      <c r="BT4" s="4242"/>
      <c r="BU4" s="4242"/>
      <c r="BV4" s="4242"/>
    </row>
    <row r="5" spans="1:74" ht="12.75" hidden="1" customHeight="1" x14ac:dyDescent="0.2">
      <c r="A5" s="4411"/>
      <c r="B5" s="4413" t="s">
        <v>57</v>
      </c>
      <c r="C5" s="4415" t="s">
        <v>58</v>
      </c>
      <c r="D5" s="4417"/>
      <c r="E5" s="4415" t="s">
        <v>66</v>
      </c>
      <c r="F5" s="4417"/>
      <c r="G5" s="4415" t="s">
        <v>92</v>
      </c>
      <c r="H5" s="4417"/>
      <c r="I5" s="4415" t="s">
        <v>117</v>
      </c>
      <c r="J5" s="4416"/>
      <c r="K5" s="4416"/>
      <c r="L5" s="4416"/>
      <c r="M5" s="4338" t="s">
        <v>154</v>
      </c>
      <c r="N5" s="4418"/>
      <c r="O5" s="4418"/>
      <c r="P5" s="4418"/>
      <c r="Q5" s="4418"/>
      <c r="R5" s="4418"/>
      <c r="S5" s="4418"/>
      <c r="T5" s="4418"/>
      <c r="U5" s="4418"/>
      <c r="V5" s="4418"/>
      <c r="W5" s="4418"/>
      <c r="X5" s="4418"/>
      <c r="Y5" s="4418"/>
      <c r="Z5" s="4418"/>
      <c r="AA5" s="4418"/>
      <c r="AB5" s="4418"/>
      <c r="AC5" s="4418"/>
      <c r="AD5" s="4418"/>
      <c r="AE5" s="4418"/>
      <c r="AF5" s="4418"/>
      <c r="AG5" s="4418"/>
      <c r="AH5" s="4418"/>
      <c r="AI5" s="4418"/>
      <c r="AJ5" s="4418"/>
      <c r="AK5" s="4418"/>
      <c r="AL5" s="4418"/>
      <c r="AM5" s="4418"/>
      <c r="AN5" s="4418"/>
      <c r="AO5" s="4418"/>
      <c r="AP5" s="4418"/>
      <c r="AQ5" s="4418"/>
      <c r="AR5" s="4418"/>
      <c r="AS5" s="4418"/>
      <c r="AT5" s="4418"/>
      <c r="AU5" s="4418"/>
      <c r="AV5" s="4418"/>
      <c r="AW5" s="4418"/>
      <c r="AX5" s="4418"/>
      <c r="AY5" s="4418"/>
      <c r="AZ5" s="4418"/>
      <c r="BA5" s="4418"/>
      <c r="BB5" s="4418"/>
      <c r="BC5" s="4418"/>
      <c r="BD5" s="4418"/>
      <c r="BE5" s="4418"/>
      <c r="BF5" s="4418"/>
      <c r="BG5" s="4418"/>
      <c r="BH5" s="4418"/>
      <c r="BI5" s="4418"/>
      <c r="BJ5" s="4418"/>
      <c r="BK5" s="4418"/>
    </row>
    <row r="6" spans="1:74" ht="12.75" hidden="1" customHeight="1" x14ac:dyDescent="0.2">
      <c r="A6" s="4411"/>
      <c r="B6" s="4413"/>
      <c r="C6" s="4403" t="s">
        <v>60</v>
      </c>
      <c r="D6" s="4406" t="s">
        <v>61</v>
      </c>
      <c r="E6" s="4403" t="s">
        <v>60</v>
      </c>
      <c r="F6" s="4406" t="s">
        <v>65</v>
      </c>
      <c r="G6" s="4403" t="s">
        <v>60</v>
      </c>
      <c r="H6" s="4406" t="s">
        <v>109</v>
      </c>
      <c r="I6" s="4403" t="s">
        <v>59</v>
      </c>
      <c r="J6" s="4400" t="s">
        <v>62</v>
      </c>
      <c r="K6" s="592"/>
      <c r="L6" s="4400" t="s">
        <v>107</v>
      </c>
      <c r="M6" s="4403" t="s">
        <v>93</v>
      </c>
      <c r="N6" s="977"/>
      <c r="O6" s="359"/>
      <c r="P6" s="592"/>
      <c r="Q6" s="1184"/>
      <c r="R6" s="1256"/>
      <c r="S6" s="592"/>
      <c r="T6" s="592"/>
      <c r="U6" s="1738"/>
      <c r="V6" s="1738"/>
      <c r="W6" s="1738"/>
      <c r="X6" s="1738"/>
      <c r="Y6" s="1738"/>
      <c r="Z6" s="1738"/>
      <c r="AA6" s="592"/>
      <c r="AB6" s="970"/>
      <c r="AC6" s="592"/>
      <c r="AD6" s="1566"/>
      <c r="AE6" s="1566"/>
      <c r="AF6" s="1566"/>
      <c r="AG6" s="1566"/>
      <c r="AH6" s="1587"/>
      <c r="AI6" s="1587"/>
      <c r="AJ6" s="1587"/>
      <c r="AK6" s="1587"/>
      <c r="AL6" s="1738"/>
      <c r="AM6" s="1738"/>
      <c r="AN6" s="2088"/>
      <c r="AO6" s="2088"/>
      <c r="AP6" s="2088"/>
      <c r="AQ6" s="2088"/>
      <c r="AR6" s="1738"/>
      <c r="AS6" s="1738"/>
      <c r="AT6" s="2088"/>
      <c r="AU6" s="2088"/>
      <c r="AV6" s="2088"/>
      <c r="AW6" s="2088"/>
      <c r="AX6" s="2088"/>
      <c r="AY6" s="2088"/>
      <c r="AZ6" s="2088"/>
      <c r="BA6" s="2088"/>
      <c r="BB6" s="2088"/>
      <c r="BC6" s="2088"/>
      <c r="BD6" s="2736"/>
      <c r="BE6" s="2736"/>
      <c r="BF6" s="2590"/>
      <c r="BG6" s="2590"/>
      <c r="BH6" s="2590"/>
      <c r="BI6" s="2590"/>
      <c r="BJ6" s="2590"/>
      <c r="BK6" s="2590"/>
    </row>
    <row r="7" spans="1:74" ht="12.75" hidden="1" customHeight="1" x14ac:dyDescent="0.2">
      <c r="A7" s="4411"/>
      <c r="B7" s="4413"/>
      <c r="C7" s="4404"/>
      <c r="D7" s="4407"/>
      <c r="E7" s="4404"/>
      <c r="F7" s="4407"/>
      <c r="G7" s="4404"/>
      <c r="H7" s="4407"/>
      <c r="I7" s="4404"/>
      <c r="J7" s="4401"/>
      <c r="K7" s="582"/>
      <c r="L7" s="4401"/>
      <c r="M7" s="4404"/>
      <c r="N7" s="978"/>
      <c r="O7" s="360"/>
      <c r="P7" s="582"/>
      <c r="Q7" s="1177"/>
      <c r="R7" s="1254"/>
      <c r="S7" s="582"/>
      <c r="T7" s="582"/>
      <c r="U7" s="1577"/>
      <c r="V7" s="1577"/>
      <c r="W7" s="1891"/>
      <c r="X7" s="1891"/>
      <c r="Y7" s="1891"/>
      <c r="Z7" s="1891"/>
      <c r="AA7" s="582"/>
      <c r="AB7" s="944"/>
      <c r="AC7" s="582"/>
      <c r="AD7" s="1374"/>
      <c r="AE7" s="1374"/>
      <c r="AF7" s="1374"/>
      <c r="AG7" s="1374"/>
      <c r="AH7" s="1573"/>
      <c r="AI7" s="1573"/>
      <c r="AJ7" s="1573"/>
      <c r="AK7" s="1573"/>
      <c r="AL7" s="1891"/>
      <c r="AM7" s="1891"/>
      <c r="AN7" s="2066"/>
      <c r="AO7" s="2066"/>
      <c r="AP7" s="2066"/>
      <c r="AQ7" s="2066"/>
      <c r="AR7" s="1891"/>
      <c r="AS7" s="1891"/>
      <c r="AT7" s="2235"/>
      <c r="AU7" s="2235"/>
      <c r="AV7" s="2394"/>
      <c r="AW7" s="2394"/>
      <c r="AX7" s="2066"/>
      <c r="AY7" s="2066"/>
      <c r="AZ7" s="2066"/>
      <c r="BA7" s="2066"/>
      <c r="BB7" s="2396"/>
      <c r="BC7" s="2396"/>
      <c r="BD7" s="2718"/>
      <c r="BE7" s="2718"/>
      <c r="BF7" s="2579"/>
      <c r="BG7" s="2579"/>
      <c r="BH7" s="2579"/>
      <c r="BI7" s="2579"/>
      <c r="BJ7" s="2579"/>
      <c r="BK7" s="2579"/>
    </row>
    <row r="8" spans="1:74" ht="13.5" hidden="1" customHeight="1" thickBot="1" x14ac:dyDescent="0.25">
      <c r="A8" s="4412"/>
      <c r="B8" s="4414"/>
      <c r="C8" s="4405"/>
      <c r="D8" s="4279"/>
      <c r="E8" s="4405"/>
      <c r="F8" s="4279"/>
      <c r="G8" s="4405"/>
      <c r="H8" s="4279"/>
      <c r="I8" s="4405"/>
      <c r="J8" s="4402"/>
      <c r="K8" s="583"/>
      <c r="L8" s="4402"/>
      <c r="M8" s="4405"/>
      <c r="N8" s="979"/>
      <c r="O8" s="265"/>
      <c r="P8" s="583"/>
      <c r="Q8" s="1178"/>
      <c r="R8" s="1255"/>
      <c r="S8" s="583"/>
      <c r="T8" s="583"/>
      <c r="U8" s="1578"/>
      <c r="V8" s="1578"/>
      <c r="W8" s="1892"/>
      <c r="X8" s="1892"/>
      <c r="Y8" s="1892"/>
      <c r="Z8" s="1892"/>
      <c r="AA8" s="583"/>
      <c r="AB8" s="945"/>
      <c r="AC8" s="583"/>
      <c r="AD8" s="1375"/>
      <c r="AE8" s="1375"/>
      <c r="AF8" s="1375"/>
      <c r="AG8" s="1375"/>
      <c r="AH8" s="1574"/>
      <c r="AI8" s="1574"/>
      <c r="AJ8" s="1574"/>
      <c r="AK8" s="1574"/>
      <c r="AL8" s="1892"/>
      <c r="AM8" s="1892"/>
      <c r="AN8" s="2067"/>
      <c r="AO8" s="2067"/>
      <c r="AP8" s="2067"/>
      <c r="AQ8" s="2067"/>
      <c r="AR8" s="1892"/>
      <c r="AS8" s="1892"/>
      <c r="AT8" s="2236"/>
      <c r="AU8" s="2236"/>
      <c r="AV8" s="2395"/>
      <c r="AW8" s="2395"/>
      <c r="AX8" s="2067"/>
      <c r="AY8" s="2067"/>
      <c r="AZ8" s="2067"/>
      <c r="BA8" s="2067"/>
      <c r="BB8" s="2397"/>
      <c r="BC8" s="2397"/>
      <c r="BD8" s="2719"/>
      <c r="BE8" s="2719"/>
      <c r="BF8" s="2580"/>
      <c r="BG8" s="2580"/>
      <c r="BH8" s="2580"/>
      <c r="BI8" s="2580"/>
      <c r="BJ8" s="2580"/>
      <c r="BK8" s="2580"/>
    </row>
    <row r="9" spans="1:74" ht="13.5" hidden="1" thickBot="1" x14ac:dyDescent="0.25">
      <c r="A9" s="4368" t="s">
        <v>46</v>
      </c>
      <c r="B9" s="4369"/>
      <c r="C9" s="4369"/>
      <c r="D9" s="4369"/>
      <c r="E9" s="4369"/>
      <c r="F9" s="4369"/>
      <c r="G9" s="4369"/>
      <c r="H9" s="4369"/>
      <c r="I9" s="4369"/>
      <c r="J9" s="4369"/>
      <c r="K9" s="4369"/>
      <c r="L9" s="4369"/>
      <c r="M9" s="4369"/>
      <c r="N9" s="4369"/>
      <c r="O9" s="4369"/>
      <c r="P9" s="4369"/>
      <c r="Q9" s="4369"/>
      <c r="R9" s="4369"/>
      <c r="S9" s="4369"/>
      <c r="T9" s="4369"/>
      <c r="U9" s="4369"/>
      <c r="V9" s="4369"/>
      <c r="W9" s="4369"/>
      <c r="X9" s="4369"/>
      <c r="Y9" s="4369"/>
      <c r="Z9" s="4369"/>
      <c r="AA9" s="4369"/>
      <c r="AB9" s="4369"/>
      <c r="AC9" s="4369"/>
      <c r="AD9" s="4369"/>
      <c r="AE9" s="4369"/>
      <c r="AF9" s="4369"/>
      <c r="AG9" s="4369"/>
      <c r="AH9" s="4369"/>
      <c r="AI9" s="4369"/>
      <c r="AJ9" s="4369"/>
      <c r="AK9" s="4369"/>
      <c r="AL9" s="4369"/>
      <c r="AM9" s="4369"/>
      <c r="AN9" s="4369"/>
      <c r="AO9" s="4369"/>
      <c r="AP9" s="4369"/>
      <c r="AQ9" s="4369"/>
      <c r="AR9" s="4369"/>
      <c r="AS9" s="4369"/>
      <c r="AT9" s="4369"/>
      <c r="AU9" s="4369"/>
      <c r="AV9" s="4369"/>
      <c r="AW9" s="4369"/>
      <c r="AX9" s="4369"/>
      <c r="AY9" s="4369"/>
      <c r="AZ9" s="4369"/>
      <c r="BA9" s="4369"/>
      <c r="BB9" s="4369"/>
      <c r="BC9" s="4369"/>
      <c r="BD9" s="4369"/>
      <c r="BE9" s="4369"/>
      <c r="BF9" s="4369"/>
      <c r="BG9" s="4369"/>
      <c r="BH9" s="4369"/>
      <c r="BI9" s="4369"/>
      <c r="BJ9" s="4369"/>
      <c r="BK9" s="4369"/>
    </row>
    <row r="10" spans="1:74" hidden="1" x14ac:dyDescent="0.2">
      <c r="A10" s="33" t="s">
        <v>18</v>
      </c>
      <c r="B10" s="37">
        <f>B11+B13</f>
        <v>10513.699999999999</v>
      </c>
      <c r="C10" s="42">
        <f>C11+C13</f>
        <v>8838.9000000000015</v>
      </c>
      <c r="D10" s="43">
        <f>C10/B10*100</f>
        <v>84.07030826445498</v>
      </c>
      <c r="E10" s="42">
        <f>E11+E12+E13</f>
        <v>8862.9</v>
      </c>
      <c r="F10" s="107">
        <f>E10/C10*100</f>
        <v>100.27152699996604</v>
      </c>
      <c r="G10" s="41">
        <f>G11+G12+G13</f>
        <v>8372.9</v>
      </c>
      <c r="H10" s="43">
        <f>G10/E10*100</f>
        <v>94.471335567365088</v>
      </c>
      <c r="I10" s="115">
        <f>SUM(I11:I13)</f>
        <v>6659.1</v>
      </c>
      <c r="J10" s="42">
        <f>J11+J12+J13</f>
        <v>0</v>
      </c>
      <c r="K10" s="42"/>
      <c r="L10" s="42">
        <f>L11+L12+L13</f>
        <v>6666.9000000000005</v>
      </c>
      <c r="M10" s="41">
        <f>M11+M13</f>
        <v>6659.1</v>
      </c>
      <c r="N10" s="115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</row>
    <row r="11" spans="1:74" hidden="1" x14ac:dyDescent="0.2">
      <c r="A11" s="34" t="s">
        <v>20</v>
      </c>
      <c r="B11" s="38">
        <v>744.9</v>
      </c>
      <c r="C11" s="4">
        <v>643.70000000000005</v>
      </c>
      <c r="D11" s="45">
        <f>C11/B11*100</f>
        <v>86.414283796482763</v>
      </c>
      <c r="E11" s="4">
        <v>811.9</v>
      </c>
      <c r="F11" s="108">
        <f>E11/C11*100</f>
        <v>126.13018486872764</v>
      </c>
      <c r="G11" s="44">
        <v>876.4</v>
      </c>
      <c r="H11" s="45">
        <f t="shared" ref="H11:H20" si="0">G11/E11*100</f>
        <v>107.9443281192265</v>
      </c>
      <c r="I11" s="113">
        <v>841.6</v>
      </c>
      <c r="J11" s="11"/>
      <c r="K11" s="593"/>
      <c r="L11" s="11">
        <v>580.70000000000005</v>
      </c>
      <c r="M11" s="44">
        <v>876</v>
      </c>
      <c r="N11" s="980"/>
      <c r="O11" s="6"/>
      <c r="P11" s="597"/>
      <c r="Q11" s="1185"/>
      <c r="R11" s="1257"/>
      <c r="S11" s="597"/>
      <c r="T11" s="597"/>
      <c r="U11" s="1739"/>
      <c r="V11" s="1739"/>
      <c r="W11" s="1739"/>
      <c r="X11" s="1739"/>
      <c r="Y11" s="1739"/>
      <c r="Z11" s="1739"/>
      <c r="AA11" s="597"/>
      <c r="AB11" s="971"/>
      <c r="AC11" s="597"/>
      <c r="AD11" s="1564"/>
      <c r="AE11" s="1564"/>
      <c r="AF11" s="1564"/>
      <c r="AG11" s="1564"/>
      <c r="AH11" s="1588"/>
      <c r="AI11" s="1588"/>
      <c r="AJ11" s="1588"/>
      <c r="AK11" s="1588"/>
      <c r="AL11" s="1739"/>
      <c r="AM11" s="1739"/>
      <c r="AN11" s="2089"/>
      <c r="AO11" s="2089"/>
      <c r="AP11" s="2089"/>
      <c r="AQ11" s="2089"/>
      <c r="AR11" s="1739"/>
      <c r="AS11" s="1739"/>
      <c r="AT11" s="2089"/>
      <c r="AU11" s="2089"/>
      <c r="AV11" s="2089"/>
      <c r="AW11" s="2089"/>
      <c r="AX11" s="2089"/>
      <c r="AY11" s="2089"/>
      <c r="AZ11" s="2089"/>
      <c r="BA11" s="2089"/>
      <c r="BB11" s="2089"/>
      <c r="BC11" s="2089"/>
      <c r="BD11" s="2089"/>
      <c r="BE11" s="2089"/>
      <c r="BF11" s="2423"/>
      <c r="BG11" s="2423"/>
      <c r="BH11" s="2423"/>
      <c r="BI11" s="2423"/>
      <c r="BJ11" s="2423"/>
      <c r="BK11" s="2423"/>
    </row>
    <row r="12" spans="1:74" hidden="1" x14ac:dyDescent="0.2">
      <c r="A12" s="55" t="s">
        <v>110</v>
      </c>
      <c r="B12" s="32"/>
      <c r="C12" s="2"/>
      <c r="D12" s="47"/>
      <c r="E12" s="2">
        <v>54.2</v>
      </c>
      <c r="F12" s="109"/>
      <c r="G12" s="56">
        <v>0</v>
      </c>
      <c r="H12" s="45">
        <f t="shared" si="0"/>
        <v>0</v>
      </c>
      <c r="I12" s="112">
        <v>22.5</v>
      </c>
      <c r="J12" s="17"/>
      <c r="K12" s="594"/>
      <c r="L12" s="31"/>
      <c r="M12" s="56"/>
      <c r="N12" s="981"/>
      <c r="O12" s="6"/>
      <c r="P12" s="597"/>
      <c r="Q12" s="1185"/>
      <c r="R12" s="1257"/>
      <c r="S12" s="597"/>
      <c r="T12" s="597"/>
      <c r="U12" s="1739"/>
      <c r="V12" s="1739"/>
      <c r="W12" s="1739"/>
      <c r="X12" s="1739"/>
      <c r="Y12" s="1739"/>
      <c r="Z12" s="1739"/>
      <c r="AA12" s="597"/>
      <c r="AB12" s="971"/>
      <c r="AC12" s="597"/>
      <c r="AD12" s="1564"/>
      <c r="AE12" s="1564"/>
      <c r="AF12" s="1564"/>
      <c r="AG12" s="1564"/>
      <c r="AH12" s="1588"/>
      <c r="AI12" s="1588"/>
      <c r="AJ12" s="1588"/>
      <c r="AK12" s="1588"/>
      <c r="AL12" s="1739"/>
      <c r="AM12" s="1739"/>
      <c r="AN12" s="2089"/>
      <c r="AO12" s="2089"/>
      <c r="AP12" s="2089"/>
      <c r="AQ12" s="2089"/>
      <c r="AR12" s="1739"/>
      <c r="AS12" s="1739"/>
      <c r="AT12" s="2089"/>
      <c r="AU12" s="2089"/>
      <c r="AV12" s="2089"/>
      <c r="AW12" s="2089"/>
      <c r="AX12" s="2089"/>
      <c r="AY12" s="2089"/>
      <c r="AZ12" s="2089"/>
      <c r="BA12" s="2089"/>
      <c r="BB12" s="2089"/>
      <c r="BC12" s="2089"/>
      <c r="BD12" s="2089"/>
      <c r="BE12" s="2089"/>
      <c r="BF12" s="2423"/>
      <c r="BG12" s="2423"/>
      <c r="BH12" s="2423"/>
      <c r="BI12" s="2423"/>
      <c r="BJ12" s="2423"/>
      <c r="BK12" s="2423"/>
    </row>
    <row r="13" spans="1:74" hidden="1" x14ac:dyDescent="0.2">
      <c r="A13" s="34" t="s">
        <v>21</v>
      </c>
      <c r="B13" s="38">
        <f>B14+B16</f>
        <v>9768.7999999999993</v>
      </c>
      <c r="C13" s="4">
        <f>C14+C16</f>
        <v>8195.2000000000007</v>
      </c>
      <c r="D13" s="45">
        <f>C13/B13*100</f>
        <v>83.891573171730414</v>
      </c>
      <c r="E13" s="4">
        <f>E14+E16</f>
        <v>7996.7999999999993</v>
      </c>
      <c r="F13" s="108">
        <f>E13/C13*100</f>
        <v>97.579070675517357</v>
      </c>
      <c r="G13" s="44">
        <f>G14+G16</f>
        <v>7496.5</v>
      </c>
      <c r="H13" s="45">
        <f t="shared" si="0"/>
        <v>93.74374749899961</v>
      </c>
      <c r="I13" s="113">
        <f>I14+I16</f>
        <v>5795</v>
      </c>
      <c r="J13" s="4">
        <f>J14+J16</f>
        <v>0</v>
      </c>
      <c r="K13" s="595"/>
      <c r="L13" s="4">
        <f>L14+L16</f>
        <v>6086.2000000000007</v>
      </c>
      <c r="M13" s="44">
        <f>M14+M16</f>
        <v>5783.1</v>
      </c>
      <c r="N13" s="980"/>
      <c r="O13" s="6"/>
      <c r="P13" s="597"/>
      <c r="Q13" s="1185"/>
      <c r="R13" s="1257"/>
      <c r="S13" s="597"/>
      <c r="T13" s="597"/>
      <c r="U13" s="1739"/>
      <c r="V13" s="1739"/>
      <c r="W13" s="1739"/>
      <c r="X13" s="1739"/>
      <c r="Y13" s="1739"/>
      <c r="Z13" s="1739"/>
      <c r="AA13" s="597"/>
      <c r="AB13" s="971"/>
      <c r="AC13" s="597"/>
      <c r="AD13" s="1564"/>
      <c r="AE13" s="1564"/>
      <c r="AF13" s="1564"/>
      <c r="AG13" s="1564"/>
      <c r="AH13" s="1588"/>
      <c r="AI13" s="1588"/>
      <c r="AJ13" s="1588"/>
      <c r="AK13" s="1588"/>
      <c r="AL13" s="1739"/>
      <c r="AM13" s="1739"/>
      <c r="AN13" s="2089"/>
      <c r="AO13" s="2089"/>
      <c r="AP13" s="2089"/>
      <c r="AQ13" s="2089"/>
      <c r="AR13" s="1739"/>
      <c r="AS13" s="1739"/>
      <c r="AT13" s="2089"/>
      <c r="AU13" s="2089"/>
      <c r="AV13" s="2089"/>
      <c r="AW13" s="2089"/>
      <c r="AX13" s="2089"/>
      <c r="AY13" s="2089"/>
      <c r="AZ13" s="2089"/>
      <c r="BA13" s="2089"/>
      <c r="BB13" s="2089"/>
      <c r="BC13" s="2089"/>
      <c r="BD13" s="2089"/>
      <c r="BE13" s="2089"/>
      <c r="BF13" s="2423"/>
      <c r="BG13" s="2423"/>
      <c r="BH13" s="2423"/>
      <c r="BI13" s="2423"/>
      <c r="BJ13" s="2423"/>
      <c r="BK13" s="2423"/>
    </row>
    <row r="14" spans="1:74" hidden="1" x14ac:dyDescent="0.2">
      <c r="A14" s="34" t="s">
        <v>51</v>
      </c>
      <c r="B14" s="38">
        <v>4444.8999999999996</v>
      </c>
      <c r="C14" s="4">
        <v>3172</v>
      </c>
      <c r="D14" s="45">
        <f>C14/B14*100</f>
        <v>71.36268532475421</v>
      </c>
      <c r="E14" s="4">
        <v>3094</v>
      </c>
      <c r="F14" s="108">
        <f>E14/C14*100</f>
        <v>97.540983606557376</v>
      </c>
      <c r="G14" s="44">
        <v>2972.2</v>
      </c>
      <c r="H14" s="45">
        <f t="shared" si="0"/>
        <v>96.063348416289585</v>
      </c>
      <c r="I14" s="113">
        <v>1150</v>
      </c>
      <c r="J14" s="11"/>
      <c r="K14" s="593"/>
      <c r="L14" s="11">
        <v>2822.4</v>
      </c>
      <c r="M14" s="44">
        <v>1683.1</v>
      </c>
      <c r="N14" s="980"/>
      <c r="O14" s="6"/>
      <c r="P14" s="597"/>
      <c r="Q14" s="1185"/>
      <c r="R14" s="1257"/>
      <c r="S14" s="597"/>
      <c r="T14" s="597"/>
      <c r="U14" s="1739"/>
      <c r="V14" s="1739"/>
      <c r="W14" s="1739"/>
      <c r="X14" s="1739"/>
      <c r="Y14" s="1739"/>
      <c r="Z14" s="1739"/>
      <c r="AA14" s="597"/>
      <c r="AB14" s="971"/>
      <c r="AC14" s="597"/>
      <c r="AD14" s="1564"/>
      <c r="AE14" s="1564"/>
      <c r="AF14" s="1564"/>
      <c r="AG14" s="1564"/>
      <c r="AH14" s="1588"/>
      <c r="AI14" s="1588"/>
      <c r="AJ14" s="1588"/>
      <c r="AK14" s="1588"/>
      <c r="AL14" s="1739"/>
      <c r="AM14" s="1739"/>
      <c r="AN14" s="2089"/>
      <c r="AO14" s="2089"/>
      <c r="AP14" s="2089"/>
      <c r="AQ14" s="2089"/>
      <c r="AR14" s="1739"/>
      <c r="AS14" s="1739"/>
      <c r="AT14" s="2089"/>
      <c r="AU14" s="2089"/>
      <c r="AV14" s="2089"/>
      <c r="AW14" s="2089"/>
      <c r="AX14" s="2089"/>
      <c r="AY14" s="2089"/>
      <c r="AZ14" s="2089"/>
      <c r="BA14" s="2089"/>
      <c r="BB14" s="2089"/>
      <c r="BC14" s="2089"/>
      <c r="BD14" s="2089"/>
      <c r="BE14" s="2089"/>
      <c r="BF14" s="2423"/>
      <c r="BG14" s="2423"/>
      <c r="BH14" s="2423"/>
      <c r="BI14" s="2423"/>
      <c r="BJ14" s="2423"/>
      <c r="BK14" s="2423"/>
    </row>
    <row r="15" spans="1:74" ht="27.75" hidden="1" customHeight="1" x14ac:dyDescent="0.2">
      <c r="A15" s="35" t="s">
        <v>111</v>
      </c>
      <c r="B15" s="39">
        <f>B14/B13*100</f>
        <v>45.500982720497909</v>
      </c>
      <c r="C15" s="30">
        <f>C14/C13*100</f>
        <v>38.705583756345177</v>
      </c>
      <c r="D15" s="47">
        <f>C15/B15*100</f>
        <v>85.065379783343786</v>
      </c>
      <c r="E15" s="30">
        <f>E14/E13*100</f>
        <v>38.69047619047619</v>
      </c>
      <c r="F15" s="109">
        <f>E15/C15*100</f>
        <v>99.960967993754878</v>
      </c>
      <c r="G15" s="46">
        <f>G14/G13*100</f>
        <v>39.647835656639764</v>
      </c>
      <c r="H15" s="45"/>
      <c r="I15" s="118">
        <f>I14/I13*100</f>
        <v>19.844693701466781</v>
      </c>
      <c r="J15" s="17" t="e">
        <f>J14/J13*100</f>
        <v>#DIV/0!</v>
      </c>
      <c r="K15" s="594"/>
      <c r="L15" s="31">
        <f>L14/L13*100</f>
        <v>46.373763596332687</v>
      </c>
      <c r="M15" s="46">
        <f>M14/M13*100</f>
        <v>29.103767875360965</v>
      </c>
      <c r="N15" s="982"/>
      <c r="O15" s="6"/>
      <c r="P15" s="597"/>
      <c r="Q15" s="1185"/>
      <c r="R15" s="1257"/>
      <c r="S15" s="597"/>
      <c r="T15" s="597"/>
      <c r="U15" s="1739"/>
      <c r="V15" s="1739"/>
      <c r="W15" s="1739"/>
      <c r="X15" s="1739"/>
      <c r="Y15" s="1739"/>
      <c r="Z15" s="1739"/>
      <c r="AA15" s="597"/>
      <c r="AB15" s="971"/>
      <c r="AC15" s="597"/>
      <c r="AD15" s="1564"/>
      <c r="AE15" s="1564"/>
      <c r="AF15" s="1564"/>
      <c r="AG15" s="1564"/>
      <c r="AH15" s="1588"/>
      <c r="AI15" s="1588"/>
      <c r="AJ15" s="1588"/>
      <c r="AK15" s="1588"/>
      <c r="AL15" s="1739"/>
      <c r="AM15" s="1739"/>
      <c r="AN15" s="2089"/>
      <c r="AO15" s="2089"/>
      <c r="AP15" s="2089"/>
      <c r="AQ15" s="2089"/>
      <c r="AR15" s="1739"/>
      <c r="AS15" s="1739"/>
      <c r="AT15" s="2089"/>
      <c r="AU15" s="2089"/>
      <c r="AV15" s="2089"/>
      <c r="AW15" s="2089"/>
      <c r="AX15" s="2089"/>
      <c r="AY15" s="2089"/>
      <c r="AZ15" s="2089"/>
      <c r="BA15" s="2089"/>
      <c r="BB15" s="2089"/>
      <c r="BC15" s="2089"/>
      <c r="BD15" s="2089"/>
      <c r="BE15" s="2089"/>
      <c r="BF15" s="2423"/>
      <c r="BG15" s="2423"/>
      <c r="BH15" s="2423"/>
      <c r="BI15" s="2423"/>
      <c r="BJ15" s="2423"/>
      <c r="BK15" s="2423"/>
    </row>
    <row r="16" spans="1:74" hidden="1" x14ac:dyDescent="0.2">
      <c r="A16" s="34" t="s">
        <v>22</v>
      </c>
      <c r="B16" s="38">
        <f>SUM(B18:B20)</f>
        <v>5323.9</v>
      </c>
      <c r="C16" s="4">
        <f>SUM(C18:C20)</f>
        <v>5023.2000000000007</v>
      </c>
      <c r="D16" s="45">
        <f>C16/B16*100</f>
        <v>94.351884896410539</v>
      </c>
      <c r="E16" s="4">
        <f>SUM(E18:E20)</f>
        <v>4902.7999999999993</v>
      </c>
      <c r="F16" s="108">
        <f>E16/C16*100</f>
        <v>97.603121516164975</v>
      </c>
      <c r="G16" s="44">
        <f>SUM(G18:G20)</f>
        <v>4524.3</v>
      </c>
      <c r="H16" s="45">
        <f t="shared" si="0"/>
        <v>92.279921677408851</v>
      </c>
      <c r="I16" s="113">
        <f>SUM(I18:I20)</f>
        <v>4645</v>
      </c>
      <c r="J16" s="4">
        <f>SUM(J18:J20)</f>
        <v>0</v>
      </c>
      <c r="K16" s="595"/>
      <c r="L16" s="4">
        <f>SUM(L18:L20)</f>
        <v>3263.8</v>
      </c>
      <c r="M16" s="44">
        <f>SUM(M18:M20)</f>
        <v>4100</v>
      </c>
      <c r="N16" s="980"/>
      <c r="O16" s="6"/>
      <c r="P16" s="597"/>
      <c r="Q16" s="1185"/>
      <c r="R16" s="1257"/>
      <c r="S16" s="597"/>
      <c r="T16" s="597"/>
      <c r="U16" s="1739"/>
      <c r="V16" s="1739"/>
      <c r="W16" s="1739"/>
      <c r="X16" s="1739"/>
      <c r="Y16" s="1739"/>
      <c r="Z16" s="1739"/>
      <c r="AA16" s="597"/>
      <c r="AB16" s="971"/>
      <c r="AC16" s="597"/>
      <c r="AD16" s="1564"/>
      <c r="AE16" s="1564"/>
      <c r="AF16" s="1564"/>
      <c r="AG16" s="1564"/>
      <c r="AH16" s="1588"/>
      <c r="AI16" s="1588"/>
      <c r="AJ16" s="1588"/>
      <c r="AK16" s="1588"/>
      <c r="AL16" s="1739"/>
      <c r="AM16" s="1739"/>
      <c r="AN16" s="2089"/>
      <c r="AO16" s="2089"/>
      <c r="AP16" s="2089"/>
      <c r="AQ16" s="2089"/>
      <c r="AR16" s="1739"/>
      <c r="AS16" s="1739"/>
      <c r="AT16" s="2089"/>
      <c r="AU16" s="2089"/>
      <c r="AV16" s="2089"/>
      <c r="AW16" s="2089"/>
      <c r="AX16" s="2089"/>
      <c r="AY16" s="2089"/>
      <c r="AZ16" s="2089"/>
      <c r="BA16" s="2089"/>
      <c r="BB16" s="2089"/>
      <c r="BC16" s="2089"/>
      <c r="BD16" s="2089"/>
      <c r="BE16" s="2089"/>
      <c r="BF16" s="2423"/>
      <c r="BG16" s="2423"/>
      <c r="BH16" s="2423"/>
      <c r="BI16" s="2423"/>
      <c r="BJ16" s="2423"/>
      <c r="BK16" s="2423"/>
    </row>
    <row r="17" spans="1:63" hidden="1" x14ac:dyDescent="0.2">
      <c r="A17" s="34" t="s">
        <v>50</v>
      </c>
      <c r="B17" s="38"/>
      <c r="C17" s="4"/>
      <c r="D17" s="45"/>
      <c r="E17" s="4"/>
      <c r="F17" s="108"/>
      <c r="G17" s="44"/>
      <c r="H17" s="45"/>
      <c r="I17" s="113"/>
      <c r="J17" s="11"/>
      <c r="K17" s="593"/>
      <c r="L17" s="6"/>
      <c r="M17" s="44"/>
      <c r="N17" s="980"/>
      <c r="O17" s="6"/>
      <c r="P17" s="597"/>
      <c r="Q17" s="1185"/>
      <c r="R17" s="1257"/>
      <c r="S17" s="597"/>
      <c r="T17" s="597"/>
      <c r="U17" s="1739"/>
      <c r="V17" s="1739"/>
      <c r="W17" s="1739"/>
      <c r="X17" s="1739"/>
      <c r="Y17" s="1739"/>
      <c r="Z17" s="1739"/>
      <c r="AA17" s="597"/>
      <c r="AB17" s="971"/>
      <c r="AC17" s="597"/>
      <c r="AD17" s="1564"/>
      <c r="AE17" s="1564"/>
      <c r="AF17" s="1564"/>
      <c r="AG17" s="1564"/>
      <c r="AH17" s="1588"/>
      <c r="AI17" s="1588"/>
      <c r="AJ17" s="1588"/>
      <c r="AK17" s="1588"/>
      <c r="AL17" s="1739"/>
      <c r="AM17" s="1739"/>
      <c r="AN17" s="2089"/>
      <c r="AO17" s="2089"/>
      <c r="AP17" s="2089"/>
      <c r="AQ17" s="2089"/>
      <c r="AR17" s="1739"/>
      <c r="AS17" s="1739"/>
      <c r="AT17" s="2089"/>
      <c r="AU17" s="2089"/>
      <c r="AV17" s="2089"/>
      <c r="AW17" s="2089"/>
      <c r="AX17" s="2089"/>
      <c r="AY17" s="2089"/>
      <c r="AZ17" s="2089"/>
      <c r="BA17" s="2089"/>
      <c r="BB17" s="2089"/>
      <c r="BC17" s="2089"/>
      <c r="BD17" s="2089"/>
      <c r="BE17" s="2089"/>
      <c r="BF17" s="2423"/>
      <c r="BG17" s="2423"/>
      <c r="BH17" s="2423"/>
      <c r="BI17" s="2423"/>
      <c r="BJ17" s="2423"/>
      <c r="BK17" s="2423"/>
    </row>
    <row r="18" spans="1:63" hidden="1" x14ac:dyDescent="0.2">
      <c r="A18" s="34" t="s">
        <v>24</v>
      </c>
      <c r="B18" s="38">
        <v>3682.8</v>
      </c>
      <c r="C18" s="4">
        <v>3570.3</v>
      </c>
      <c r="D18" s="45">
        <f>C18/B18*100</f>
        <v>96.945259042033243</v>
      </c>
      <c r="E18" s="4">
        <v>3407.1</v>
      </c>
      <c r="F18" s="108">
        <f>E18/C18*100</f>
        <v>95.42895554995377</v>
      </c>
      <c r="G18" s="44">
        <v>3159.6</v>
      </c>
      <c r="H18" s="45">
        <f t="shared" si="0"/>
        <v>92.735757682486579</v>
      </c>
      <c r="I18" s="113">
        <v>3192</v>
      </c>
      <c r="J18" s="11"/>
      <c r="K18" s="593"/>
      <c r="L18" s="11">
        <v>2288.1</v>
      </c>
      <c r="M18" s="44">
        <v>2860</v>
      </c>
      <c r="N18" s="980"/>
      <c r="O18" s="6"/>
      <c r="P18" s="597"/>
      <c r="Q18" s="1185"/>
      <c r="R18" s="1257"/>
      <c r="S18" s="597"/>
      <c r="T18" s="597"/>
      <c r="U18" s="1739"/>
      <c r="V18" s="1739"/>
      <c r="W18" s="1739"/>
      <c r="X18" s="1739"/>
      <c r="Y18" s="1739"/>
      <c r="Z18" s="1739"/>
      <c r="AA18" s="597"/>
      <c r="AB18" s="971"/>
      <c r="AC18" s="597"/>
      <c r="AD18" s="1564"/>
      <c r="AE18" s="1564"/>
      <c r="AF18" s="1564"/>
      <c r="AG18" s="1564"/>
      <c r="AH18" s="1588"/>
      <c r="AI18" s="1588"/>
      <c r="AJ18" s="1588"/>
      <c r="AK18" s="1588"/>
      <c r="AL18" s="1739"/>
      <c r="AM18" s="1739"/>
      <c r="AN18" s="2089"/>
      <c r="AO18" s="2089"/>
      <c r="AP18" s="2089"/>
      <c r="AQ18" s="2089"/>
      <c r="AR18" s="1739"/>
      <c r="AS18" s="1739"/>
      <c r="AT18" s="2089"/>
      <c r="AU18" s="2089"/>
      <c r="AV18" s="2089"/>
      <c r="AW18" s="2089"/>
      <c r="AX18" s="2089"/>
      <c r="AY18" s="2089"/>
      <c r="AZ18" s="2089"/>
      <c r="BA18" s="2089"/>
      <c r="BB18" s="2089"/>
      <c r="BC18" s="2089"/>
      <c r="BD18" s="2089"/>
      <c r="BE18" s="2089"/>
      <c r="BF18" s="2423"/>
      <c r="BG18" s="2423"/>
      <c r="BH18" s="2423"/>
      <c r="BI18" s="2423"/>
      <c r="BJ18" s="2423"/>
      <c r="BK18" s="2423"/>
    </row>
    <row r="19" spans="1:63" hidden="1" x14ac:dyDescent="0.2">
      <c r="A19" s="34" t="s">
        <v>25</v>
      </c>
      <c r="B19" s="38">
        <v>129.69999999999999</v>
      </c>
      <c r="C19" s="4">
        <v>59.4</v>
      </c>
      <c r="D19" s="45">
        <f>C19/B19*100</f>
        <v>45.797995373939862</v>
      </c>
      <c r="E19" s="4">
        <v>46.1</v>
      </c>
      <c r="F19" s="108">
        <f>E19/C19*100</f>
        <v>77.609427609427613</v>
      </c>
      <c r="G19" s="44">
        <v>54.9</v>
      </c>
      <c r="H19" s="45">
        <f t="shared" si="0"/>
        <v>119.08893709327548</v>
      </c>
      <c r="I19" s="113">
        <v>59</v>
      </c>
      <c r="J19" s="11"/>
      <c r="K19" s="593"/>
      <c r="L19" s="11">
        <v>36.799999999999997</v>
      </c>
      <c r="M19" s="44">
        <v>55</v>
      </c>
      <c r="N19" s="980"/>
      <c r="O19" s="6"/>
      <c r="P19" s="597"/>
      <c r="Q19" s="1185"/>
      <c r="R19" s="1257"/>
      <c r="S19" s="597"/>
      <c r="T19" s="597"/>
      <c r="U19" s="1739"/>
      <c r="V19" s="1739"/>
      <c r="W19" s="1739"/>
      <c r="X19" s="1739"/>
      <c r="Y19" s="1739"/>
      <c r="Z19" s="1739"/>
      <c r="AA19" s="597"/>
      <c r="AB19" s="971"/>
      <c r="AC19" s="597"/>
      <c r="AD19" s="1564"/>
      <c r="AE19" s="1564"/>
      <c r="AF19" s="1564"/>
      <c r="AG19" s="1564"/>
      <c r="AH19" s="1588"/>
      <c r="AI19" s="1588"/>
      <c r="AJ19" s="1588"/>
      <c r="AK19" s="1588"/>
      <c r="AL19" s="1739"/>
      <c r="AM19" s="1739"/>
      <c r="AN19" s="2089"/>
      <c r="AO19" s="2089"/>
      <c r="AP19" s="2089"/>
      <c r="AQ19" s="2089"/>
      <c r="AR19" s="1739"/>
      <c r="AS19" s="1739"/>
      <c r="AT19" s="2089"/>
      <c r="AU19" s="2089"/>
      <c r="AV19" s="2089"/>
      <c r="AW19" s="2089"/>
      <c r="AX19" s="2089"/>
      <c r="AY19" s="2089"/>
      <c r="AZ19" s="2089"/>
      <c r="BA19" s="2089"/>
      <c r="BB19" s="2089"/>
      <c r="BC19" s="2089"/>
      <c r="BD19" s="2089"/>
      <c r="BE19" s="2089"/>
      <c r="BF19" s="2423"/>
      <c r="BG19" s="2423"/>
      <c r="BH19" s="2423"/>
      <c r="BI19" s="2423"/>
      <c r="BJ19" s="2423"/>
      <c r="BK19" s="2423"/>
    </row>
    <row r="20" spans="1:63" ht="13.5" hidden="1" thickBot="1" x14ac:dyDescent="0.25">
      <c r="A20" s="36" t="s">
        <v>26</v>
      </c>
      <c r="B20" s="40">
        <v>1511.4</v>
      </c>
      <c r="C20" s="49">
        <v>1393.5</v>
      </c>
      <c r="D20" s="50">
        <f>C20/B20*100</f>
        <v>92.199285430726476</v>
      </c>
      <c r="E20" s="49">
        <v>1449.6</v>
      </c>
      <c r="F20" s="114">
        <f>E20/C20*100</f>
        <v>104.0258342303552</v>
      </c>
      <c r="G20" s="52">
        <v>1309.8</v>
      </c>
      <c r="H20" s="119">
        <f t="shared" si="0"/>
        <v>90.355960264900673</v>
      </c>
      <c r="I20" s="117">
        <v>1394</v>
      </c>
      <c r="J20" s="51"/>
      <c r="K20" s="51"/>
      <c r="L20" s="51">
        <v>938.9</v>
      </c>
      <c r="M20" s="48">
        <v>1185</v>
      </c>
      <c r="N20" s="983"/>
      <c r="O20" s="53"/>
      <c r="P20" s="53"/>
      <c r="Q20" s="972"/>
      <c r="R20" s="1258"/>
      <c r="S20" s="53"/>
      <c r="T20" s="53"/>
      <c r="U20" s="1589"/>
      <c r="V20" s="1589"/>
      <c r="W20" s="1589"/>
      <c r="X20" s="1589"/>
      <c r="Y20" s="1589"/>
      <c r="Z20" s="1589"/>
      <c r="AA20" s="53"/>
      <c r="AB20" s="972"/>
      <c r="AC20" s="53"/>
      <c r="AD20" s="1258"/>
      <c r="AE20" s="1258"/>
      <c r="AF20" s="1258"/>
      <c r="AG20" s="1258"/>
      <c r="AH20" s="1589"/>
      <c r="AI20" s="1589"/>
      <c r="AJ20" s="1589"/>
      <c r="AK20" s="1589"/>
      <c r="AL20" s="1589"/>
      <c r="AM20" s="1589"/>
      <c r="AN20" s="2090"/>
      <c r="AO20" s="2090"/>
      <c r="AP20" s="2090"/>
      <c r="AQ20" s="2090"/>
      <c r="AR20" s="1589"/>
      <c r="AS20" s="1589"/>
      <c r="AT20" s="2090"/>
      <c r="AU20" s="2090"/>
      <c r="AV20" s="2090"/>
      <c r="AW20" s="2090"/>
      <c r="AX20" s="2090"/>
      <c r="AY20" s="2090"/>
      <c r="AZ20" s="2090"/>
      <c r="BA20" s="2090"/>
      <c r="BB20" s="2090"/>
      <c r="BC20" s="2090"/>
      <c r="BD20" s="2090"/>
      <c r="BE20" s="2090"/>
      <c r="BF20" s="2635"/>
      <c r="BG20" s="2635"/>
      <c r="BH20" s="2635"/>
      <c r="BI20" s="2635"/>
      <c r="BJ20" s="2635"/>
      <c r="BK20" s="2635"/>
    </row>
    <row r="21" spans="1:63" ht="13.5" hidden="1" thickBot="1" x14ac:dyDescent="0.25">
      <c r="A21" s="4371" t="s">
        <v>47</v>
      </c>
      <c r="B21" s="4372"/>
      <c r="C21" s="4372"/>
      <c r="D21" s="4372"/>
      <c r="E21" s="4372"/>
      <c r="F21" s="4372"/>
      <c r="G21" s="4372"/>
      <c r="H21" s="4372"/>
      <c r="I21" s="4372"/>
      <c r="J21" s="4372"/>
      <c r="K21" s="4372"/>
      <c r="L21" s="4372"/>
      <c r="M21" s="4372"/>
      <c r="N21" s="4372"/>
      <c r="O21" s="4372"/>
      <c r="P21" s="4372"/>
      <c r="Q21" s="4372"/>
      <c r="R21" s="4372"/>
      <c r="S21" s="4372"/>
      <c r="T21" s="4372"/>
      <c r="U21" s="4372"/>
      <c r="V21" s="4372"/>
      <c r="W21" s="4372"/>
      <c r="X21" s="4372"/>
      <c r="Y21" s="4372"/>
      <c r="Z21" s="4372"/>
      <c r="AA21" s="4372"/>
      <c r="AB21" s="4372"/>
      <c r="AC21" s="4372"/>
      <c r="AD21" s="4372"/>
      <c r="AE21" s="4372"/>
      <c r="AF21" s="4372"/>
      <c r="AG21" s="4372"/>
      <c r="AH21" s="4372"/>
      <c r="AI21" s="4372"/>
      <c r="AJ21" s="4372"/>
      <c r="AK21" s="4372"/>
      <c r="AL21" s="4372"/>
      <c r="AM21" s="4372"/>
      <c r="AN21" s="4372"/>
      <c r="AO21" s="4372"/>
      <c r="AP21" s="4372"/>
      <c r="AQ21" s="4372"/>
      <c r="AR21" s="4372"/>
      <c r="AS21" s="4372"/>
      <c r="AT21" s="4372"/>
      <c r="AU21" s="4372"/>
      <c r="AV21" s="4372"/>
      <c r="AW21" s="4372"/>
      <c r="AX21" s="4372"/>
      <c r="AY21" s="4372"/>
      <c r="AZ21" s="4372"/>
      <c r="BA21" s="4372"/>
      <c r="BB21" s="4372"/>
      <c r="BC21" s="4372"/>
      <c r="BD21" s="4372"/>
      <c r="BE21" s="4372"/>
      <c r="BF21" s="4372"/>
      <c r="BG21" s="4372"/>
      <c r="BH21" s="4372"/>
      <c r="BI21" s="4372"/>
      <c r="BJ21" s="4372"/>
      <c r="BK21" s="4372"/>
    </row>
    <row r="22" spans="1:63" hidden="1" x14ac:dyDescent="0.2">
      <c r="A22" s="148" t="s">
        <v>115</v>
      </c>
      <c r="B22" s="149">
        <f>SUM(B24:B27)</f>
        <v>4738.2</v>
      </c>
      <c r="C22" s="145">
        <f>SUM(C24:C27)</f>
        <v>4585.8</v>
      </c>
      <c r="D22" s="150">
        <f>C22/B22*100</f>
        <v>96.783588704571372</v>
      </c>
      <c r="E22" s="149">
        <f>SUM(E24:E27)</f>
        <v>4415.2</v>
      </c>
      <c r="F22" s="151">
        <f>SUM(F24:F27)</f>
        <v>389.68342743817789</v>
      </c>
      <c r="G22" s="152">
        <f>SUM(G24:G27)</f>
        <v>4093.2000000000003</v>
      </c>
      <c r="H22" s="153">
        <f>G22/E22*100</f>
        <v>92.707012139880419</v>
      </c>
      <c r="I22" s="116">
        <f>SUM(I24:I27)</f>
        <v>4224.5</v>
      </c>
      <c r="J22" s="145">
        <f>SUM(J24:J27)</f>
        <v>0</v>
      </c>
      <c r="K22" s="145"/>
      <c r="L22" s="145">
        <f>SUM(L24:L27)</f>
        <v>2958.3</v>
      </c>
      <c r="M22" s="41">
        <f>SUM(M24:M27)</f>
        <v>3695</v>
      </c>
      <c r="N22" s="115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</row>
    <row r="23" spans="1:63" hidden="1" x14ac:dyDescent="0.2">
      <c r="A23" s="34" t="s">
        <v>23</v>
      </c>
      <c r="B23" s="38"/>
      <c r="C23" s="4"/>
      <c r="D23" s="108"/>
      <c r="E23" s="38"/>
      <c r="F23" s="106"/>
      <c r="G23" s="120"/>
      <c r="H23" s="45"/>
      <c r="I23" s="113"/>
      <c r="J23" s="11"/>
      <c r="K23" s="593"/>
      <c r="L23" s="6"/>
      <c r="M23" s="44"/>
      <c r="N23" s="980"/>
      <c r="O23" s="6"/>
      <c r="P23" s="597"/>
      <c r="Q23" s="1185"/>
      <c r="R23" s="1257"/>
      <c r="S23" s="597"/>
      <c r="T23" s="597"/>
      <c r="U23" s="1739"/>
      <c r="V23" s="1739"/>
      <c r="W23" s="1739"/>
      <c r="X23" s="1739"/>
      <c r="Y23" s="1739"/>
      <c r="Z23" s="1739"/>
      <c r="AA23" s="597"/>
      <c r="AB23" s="971"/>
      <c r="AC23" s="597"/>
      <c r="AD23" s="1564"/>
      <c r="AE23" s="1564"/>
      <c r="AF23" s="1564"/>
      <c r="AG23" s="1564"/>
      <c r="AH23" s="1588"/>
      <c r="AI23" s="1588"/>
      <c r="AJ23" s="1588"/>
      <c r="AK23" s="1588"/>
      <c r="AL23" s="1739"/>
      <c r="AM23" s="1739"/>
      <c r="AN23" s="2089"/>
      <c r="AO23" s="2089"/>
      <c r="AP23" s="2089"/>
      <c r="AQ23" s="2089"/>
      <c r="AR23" s="1739"/>
      <c r="AS23" s="1739"/>
      <c r="AT23" s="2089"/>
      <c r="AU23" s="2089"/>
      <c r="AV23" s="2089"/>
      <c r="AW23" s="2089"/>
      <c r="AX23" s="2089"/>
      <c r="AY23" s="2089"/>
      <c r="AZ23" s="2089"/>
      <c r="BA23" s="2089"/>
      <c r="BB23" s="2089"/>
      <c r="BC23" s="2089"/>
      <c r="BD23" s="2089"/>
      <c r="BE23" s="2089"/>
      <c r="BF23" s="2423"/>
      <c r="BG23" s="2423"/>
      <c r="BH23" s="2423"/>
      <c r="BI23" s="2423"/>
      <c r="BJ23" s="2423"/>
      <c r="BK23" s="2423"/>
    </row>
    <row r="24" spans="1:63" hidden="1" x14ac:dyDescent="0.2">
      <c r="A24" s="34" t="s">
        <v>27</v>
      </c>
      <c r="B24" s="38">
        <v>3483.6</v>
      </c>
      <c r="C24" s="4">
        <v>3439.8</v>
      </c>
      <c r="D24" s="108">
        <f>C24/B24*100</f>
        <v>98.742679986221162</v>
      </c>
      <c r="E24" s="38">
        <v>3278.3</v>
      </c>
      <c r="F24" s="106">
        <f>E24/C24*100</f>
        <v>95.304959590673874</v>
      </c>
      <c r="G24" s="121">
        <v>3032.3</v>
      </c>
      <c r="H24" s="45">
        <f>G24/E24*100</f>
        <v>92.496110789128522</v>
      </c>
      <c r="I24" s="113">
        <v>3064.5</v>
      </c>
      <c r="J24" s="11"/>
      <c r="K24" s="593"/>
      <c r="L24" s="11">
        <v>2188.8000000000002</v>
      </c>
      <c r="M24" s="44">
        <v>2632</v>
      </c>
      <c r="N24" s="980"/>
      <c r="O24" s="6"/>
      <c r="P24" s="597"/>
      <c r="Q24" s="1185"/>
      <c r="R24" s="1257"/>
      <c r="S24" s="597"/>
      <c r="T24" s="597"/>
      <c r="U24" s="1739"/>
      <c r="V24" s="1739"/>
      <c r="W24" s="1739"/>
      <c r="X24" s="1739"/>
      <c r="Y24" s="1739"/>
      <c r="Z24" s="1739"/>
      <c r="AA24" s="597"/>
      <c r="AB24" s="971"/>
      <c r="AC24" s="597"/>
      <c r="AD24" s="1564"/>
      <c r="AE24" s="1564"/>
      <c r="AF24" s="1564"/>
      <c r="AG24" s="1564"/>
      <c r="AH24" s="1588"/>
      <c r="AI24" s="1588"/>
      <c r="AJ24" s="1588"/>
      <c r="AK24" s="1588"/>
      <c r="AL24" s="1739"/>
      <c r="AM24" s="1739"/>
      <c r="AN24" s="2089"/>
      <c r="AO24" s="2089"/>
      <c r="AP24" s="2089"/>
      <c r="AQ24" s="2089"/>
      <c r="AR24" s="1739"/>
      <c r="AS24" s="1739"/>
      <c r="AT24" s="2089"/>
      <c r="AU24" s="2089"/>
      <c r="AV24" s="2089"/>
      <c r="AW24" s="2089"/>
      <c r="AX24" s="2089"/>
      <c r="AY24" s="2089"/>
      <c r="AZ24" s="2089"/>
      <c r="BA24" s="2089"/>
      <c r="BB24" s="2089"/>
      <c r="BC24" s="2089"/>
      <c r="BD24" s="2089"/>
      <c r="BE24" s="2089"/>
      <c r="BF24" s="2423"/>
      <c r="BG24" s="2423"/>
      <c r="BH24" s="2423"/>
      <c r="BI24" s="2423"/>
      <c r="BJ24" s="2423"/>
      <c r="BK24" s="2423"/>
    </row>
    <row r="25" spans="1:63" hidden="1" x14ac:dyDescent="0.2">
      <c r="A25" s="34" t="s">
        <v>28</v>
      </c>
      <c r="B25" s="38">
        <v>293.89999999999998</v>
      </c>
      <c r="C25" s="4">
        <v>272.2</v>
      </c>
      <c r="D25" s="108">
        <f>C25/B25*100</f>
        <v>92.61653623681525</v>
      </c>
      <c r="E25" s="38">
        <v>252.6</v>
      </c>
      <c r="F25" s="106">
        <f>E25/C25*100</f>
        <v>92.799412196914034</v>
      </c>
      <c r="G25" s="121"/>
      <c r="H25" s="45">
        <f>G25/E25*100</f>
        <v>0</v>
      </c>
      <c r="I25" s="113"/>
      <c r="J25" s="11"/>
      <c r="K25" s="593"/>
      <c r="L25" s="11"/>
      <c r="M25" s="44"/>
      <c r="N25" s="980"/>
      <c r="O25" s="6"/>
      <c r="P25" s="597"/>
      <c r="Q25" s="1185"/>
      <c r="R25" s="1257"/>
      <c r="S25" s="597"/>
      <c r="T25" s="597"/>
      <c r="U25" s="1739"/>
      <c r="V25" s="1739"/>
      <c r="W25" s="1739"/>
      <c r="X25" s="1739"/>
      <c r="Y25" s="1739"/>
      <c r="Z25" s="1739"/>
      <c r="AA25" s="597"/>
      <c r="AB25" s="971"/>
      <c r="AC25" s="597"/>
      <c r="AD25" s="1564"/>
      <c r="AE25" s="1564"/>
      <c r="AF25" s="1564"/>
      <c r="AG25" s="1564"/>
      <c r="AH25" s="1588"/>
      <c r="AI25" s="1588"/>
      <c r="AJ25" s="1588"/>
      <c r="AK25" s="1588"/>
      <c r="AL25" s="1739"/>
      <c r="AM25" s="1739"/>
      <c r="AN25" s="2089"/>
      <c r="AO25" s="2089"/>
      <c r="AP25" s="2089"/>
      <c r="AQ25" s="2089"/>
      <c r="AR25" s="1739"/>
      <c r="AS25" s="1739"/>
      <c r="AT25" s="2089"/>
      <c r="AU25" s="2089"/>
      <c r="AV25" s="2089"/>
      <c r="AW25" s="2089"/>
      <c r="AX25" s="2089"/>
      <c r="AY25" s="2089"/>
      <c r="AZ25" s="2089"/>
      <c r="BA25" s="2089"/>
      <c r="BB25" s="2089"/>
      <c r="BC25" s="2089"/>
      <c r="BD25" s="2089"/>
      <c r="BE25" s="2089"/>
      <c r="BF25" s="2423"/>
      <c r="BG25" s="2423"/>
      <c r="BH25" s="2423"/>
      <c r="BI25" s="2423"/>
      <c r="BJ25" s="2423"/>
      <c r="BK25" s="2423"/>
    </row>
    <row r="26" spans="1:63" hidden="1" x14ac:dyDescent="0.2">
      <c r="A26" s="34" t="s">
        <v>29</v>
      </c>
      <c r="B26" s="38">
        <v>932.3</v>
      </c>
      <c r="C26" s="4">
        <v>845.1</v>
      </c>
      <c r="D26" s="108">
        <f>C26/B26*100</f>
        <v>90.646787514748482</v>
      </c>
      <c r="E26" s="38">
        <v>855.5</v>
      </c>
      <c r="F26" s="106">
        <f>E26/C26*100</f>
        <v>101.23062359484085</v>
      </c>
      <c r="G26" s="121">
        <v>1034.5</v>
      </c>
      <c r="H26" s="45">
        <f>G26/E26*100</f>
        <v>120.92343658679134</v>
      </c>
      <c r="I26" s="116">
        <v>1132</v>
      </c>
      <c r="J26" s="11"/>
      <c r="K26" s="593"/>
      <c r="L26" s="11">
        <v>755.4</v>
      </c>
      <c r="M26" s="44">
        <v>1035</v>
      </c>
      <c r="N26" s="980"/>
      <c r="O26" s="6"/>
      <c r="P26" s="597"/>
      <c r="Q26" s="1185"/>
      <c r="R26" s="1257"/>
      <c r="S26" s="597"/>
      <c r="T26" s="597"/>
      <c r="U26" s="1739"/>
      <c r="V26" s="1739"/>
      <c r="W26" s="1739"/>
      <c r="X26" s="1739"/>
      <c r="Y26" s="1739"/>
      <c r="Z26" s="1739"/>
      <c r="AA26" s="597"/>
      <c r="AB26" s="971"/>
      <c r="AC26" s="597"/>
      <c r="AD26" s="1564"/>
      <c r="AE26" s="1564"/>
      <c r="AF26" s="1564"/>
      <c r="AG26" s="1564"/>
      <c r="AH26" s="1588"/>
      <c r="AI26" s="1588"/>
      <c r="AJ26" s="1588"/>
      <c r="AK26" s="1588"/>
      <c r="AL26" s="1739"/>
      <c r="AM26" s="1739"/>
      <c r="AN26" s="2089"/>
      <c r="AO26" s="2089"/>
      <c r="AP26" s="2089"/>
      <c r="AQ26" s="2089"/>
      <c r="AR26" s="1739"/>
      <c r="AS26" s="1739"/>
      <c r="AT26" s="2089"/>
      <c r="AU26" s="2089"/>
      <c r="AV26" s="2089"/>
      <c r="AW26" s="2089"/>
      <c r="AX26" s="2089"/>
      <c r="AY26" s="2089"/>
      <c r="AZ26" s="2089"/>
      <c r="BA26" s="2089"/>
      <c r="BB26" s="2089"/>
      <c r="BC26" s="2089"/>
      <c r="BD26" s="2089"/>
      <c r="BE26" s="2089"/>
      <c r="BF26" s="2423"/>
      <c r="BG26" s="2423"/>
      <c r="BH26" s="2423"/>
      <c r="BI26" s="2423"/>
      <c r="BJ26" s="2423"/>
      <c r="BK26" s="2423"/>
    </row>
    <row r="27" spans="1:63" ht="13.5" hidden="1" thickBot="1" x14ac:dyDescent="0.25">
      <c r="A27" s="36" t="s">
        <v>67</v>
      </c>
      <c r="B27" s="40">
        <v>28.4</v>
      </c>
      <c r="C27" s="49">
        <v>28.7</v>
      </c>
      <c r="D27" s="114">
        <f>C27/B27*100</f>
        <v>101.05633802816902</v>
      </c>
      <c r="E27" s="40">
        <v>28.8</v>
      </c>
      <c r="F27" s="106">
        <f>E27/C27*100</f>
        <v>100.34843205574913</v>
      </c>
      <c r="G27" s="122">
        <v>26.4</v>
      </c>
      <c r="H27" s="50">
        <f>G27/E27*100</f>
        <v>91.666666666666657</v>
      </c>
      <c r="I27" s="117">
        <v>28</v>
      </c>
      <c r="J27" s="51"/>
      <c r="K27" s="51"/>
      <c r="L27" s="51">
        <v>14.1</v>
      </c>
      <c r="M27" s="48">
        <v>28</v>
      </c>
      <c r="N27" s="983"/>
      <c r="O27" s="53"/>
      <c r="P27" s="53"/>
      <c r="Q27" s="972"/>
      <c r="R27" s="1258"/>
      <c r="S27" s="53"/>
      <c r="T27" s="53"/>
      <c r="U27" s="1589"/>
      <c r="V27" s="1589"/>
      <c r="W27" s="1589"/>
      <c r="X27" s="1589"/>
      <c r="Y27" s="1589"/>
      <c r="Z27" s="1589"/>
      <c r="AA27" s="53"/>
      <c r="AB27" s="972"/>
      <c r="AC27" s="53"/>
      <c r="AD27" s="1258"/>
      <c r="AE27" s="1258"/>
      <c r="AF27" s="1258"/>
      <c r="AG27" s="1258"/>
      <c r="AH27" s="1589"/>
      <c r="AI27" s="1589"/>
      <c r="AJ27" s="1589"/>
      <c r="AK27" s="1589"/>
      <c r="AL27" s="1589"/>
      <c r="AM27" s="1589"/>
      <c r="AN27" s="2090"/>
      <c r="AO27" s="2090"/>
      <c r="AP27" s="2090"/>
      <c r="AQ27" s="2090"/>
      <c r="AR27" s="1589"/>
      <c r="AS27" s="1589"/>
      <c r="AT27" s="2090"/>
      <c r="AU27" s="2090"/>
      <c r="AV27" s="2090"/>
      <c r="AW27" s="2090"/>
      <c r="AX27" s="2090"/>
      <c r="AY27" s="2090"/>
      <c r="AZ27" s="2090"/>
      <c r="BA27" s="2090"/>
      <c r="BB27" s="2090"/>
      <c r="BC27" s="2090"/>
      <c r="BD27" s="2090"/>
      <c r="BE27" s="2090"/>
      <c r="BF27" s="2635"/>
      <c r="BG27" s="2635"/>
      <c r="BH27" s="2635"/>
      <c r="BI27" s="2635"/>
      <c r="BJ27" s="2635"/>
      <c r="BK27" s="2635"/>
    </row>
    <row r="28" spans="1:63" hidden="1" x14ac:dyDescent="0.2">
      <c r="A28" s="231" t="s">
        <v>354</v>
      </c>
      <c r="E28" s="159">
        <f>E11/E10</f>
        <v>9.1606584752169151E-2</v>
      </c>
      <c r="F28" s="159">
        <f t="shared" ref="F28:M28" si="1">F11/F10</f>
        <v>1.257886347624589</v>
      </c>
      <c r="G28" s="159">
        <f t="shared" si="1"/>
        <v>0.10467102198760286</v>
      </c>
      <c r="I28" s="159">
        <f t="shared" si="1"/>
        <v>0.12638344521031369</v>
      </c>
      <c r="J28" s="159" t="e">
        <f t="shared" si="1"/>
        <v>#DIV/0!</v>
      </c>
      <c r="K28" s="159"/>
      <c r="L28" s="159">
        <f t="shared" si="1"/>
        <v>8.7101951431699895E-2</v>
      </c>
      <c r="M28" s="159">
        <f t="shared" si="1"/>
        <v>0.1315493084651079</v>
      </c>
      <c r="N28" s="159"/>
    </row>
    <row r="29" spans="1:63" hidden="1" x14ac:dyDescent="0.2">
      <c r="A29" s="105" t="s">
        <v>241</v>
      </c>
    </row>
    <row r="30" spans="1:63" hidden="1" x14ac:dyDescent="0.2">
      <c r="A30" s="105"/>
    </row>
    <row r="31" spans="1:63" hidden="1" x14ac:dyDescent="0.2">
      <c r="A31" s="105"/>
    </row>
    <row r="32" spans="1:63" ht="34.5" hidden="1" customHeight="1" x14ac:dyDescent="0.25">
      <c r="A32" s="4374" t="s">
        <v>233</v>
      </c>
      <c r="B32" s="4374"/>
      <c r="C32" s="4374"/>
      <c r="D32" s="4374"/>
      <c r="E32" s="4374"/>
      <c r="F32" s="4374"/>
      <c r="G32" s="4374"/>
      <c r="H32" s="4374"/>
      <c r="I32" s="4374"/>
      <c r="J32" s="4374"/>
      <c r="K32" s="4374"/>
      <c r="L32" s="4374"/>
    </row>
    <row r="33" spans="1:76" ht="9.75" customHeight="1" thickBot="1" x14ac:dyDescent="0.25">
      <c r="A33" s="136"/>
      <c r="B33" s="136"/>
      <c r="C33" s="136"/>
      <c r="D33" s="136"/>
      <c r="E33" s="136"/>
      <c r="F33" s="136"/>
      <c r="G33" s="136"/>
      <c r="H33" s="136"/>
      <c r="I33" s="136"/>
    </row>
    <row r="34" spans="1:76" ht="34.5" customHeight="1" x14ac:dyDescent="0.3">
      <c r="A34" s="4723" t="s">
        <v>527</v>
      </c>
      <c r="B34" s="2399"/>
      <c r="C34" s="2399"/>
      <c r="D34" s="2399"/>
      <c r="E34" s="4722" t="s">
        <v>232</v>
      </c>
      <c r="F34" s="4722"/>
      <c r="G34" s="4722"/>
      <c r="H34" s="4722"/>
      <c r="I34" s="4722"/>
      <c r="J34" s="4722"/>
      <c r="K34" s="4722"/>
      <c r="L34" s="4722" t="s">
        <v>362</v>
      </c>
      <c r="M34" s="4722"/>
      <c r="N34" s="4722"/>
      <c r="O34" s="4722"/>
      <c r="P34" s="4722"/>
      <c r="Q34" s="4722"/>
      <c r="R34" s="4722"/>
      <c r="S34" s="4722"/>
      <c r="T34" s="2400" t="s">
        <v>1515</v>
      </c>
      <c r="U34" s="4722" t="s">
        <v>818</v>
      </c>
      <c r="V34" s="4722"/>
      <c r="W34" s="4722" t="s">
        <v>1798</v>
      </c>
      <c r="X34" s="4722"/>
      <c r="Y34" s="4722"/>
      <c r="Z34" s="4722"/>
      <c r="AA34" s="4722"/>
      <c r="AB34" s="4722"/>
      <c r="AC34" s="4722"/>
      <c r="AD34" s="4722"/>
      <c r="AE34" s="4722"/>
      <c r="AF34" s="4722"/>
      <c r="AG34" s="4722"/>
      <c r="AH34" s="4722"/>
      <c r="AI34" s="4722"/>
      <c r="AJ34" s="4722"/>
      <c r="AK34" s="4722"/>
      <c r="AL34" s="4722"/>
      <c r="AM34" s="4722"/>
      <c r="AN34" s="4722"/>
      <c r="AO34" s="4722"/>
      <c r="AP34" s="4722"/>
      <c r="AQ34" s="4722"/>
      <c r="AR34" s="4722"/>
      <c r="AS34" s="4722"/>
      <c r="AT34" s="4722"/>
      <c r="AU34" s="4722"/>
      <c r="AV34" s="4726"/>
      <c r="AW34" s="4726"/>
      <c r="AX34" s="4715" t="s">
        <v>1800</v>
      </c>
      <c r="AY34" s="4716"/>
      <c r="AZ34" s="4716"/>
      <c r="BA34" s="4716"/>
      <c r="BB34" s="4382"/>
      <c r="BC34" s="4382"/>
      <c r="BD34" s="4382"/>
      <c r="BE34" s="4382"/>
      <c r="BF34" s="4382"/>
      <c r="BG34" s="4382"/>
      <c r="BH34" s="4382"/>
      <c r="BI34" s="4382"/>
      <c r="BJ34" s="4382"/>
      <c r="BK34" s="4382"/>
      <c r="BL34" s="4380"/>
      <c r="BM34" s="4380"/>
      <c r="BN34" s="4380"/>
      <c r="BO34" s="4380"/>
      <c r="BP34" s="4380"/>
      <c r="BQ34" s="4380"/>
      <c r="BR34" s="4380"/>
      <c r="BS34" s="4380"/>
      <c r="BT34" s="4380"/>
      <c r="BU34" s="4380"/>
      <c r="BV34" s="4381"/>
    </row>
    <row r="35" spans="1:76" ht="34.5" customHeight="1" x14ac:dyDescent="0.3">
      <c r="A35" s="4724"/>
      <c r="B35" s="2401"/>
      <c r="C35" s="2401"/>
      <c r="D35" s="2401"/>
      <c r="E35" s="4718"/>
      <c r="F35" s="4718"/>
      <c r="G35" s="4718"/>
      <c r="H35" s="4718"/>
      <c r="I35" s="4718"/>
      <c r="J35" s="4718"/>
      <c r="K35" s="4718"/>
      <c r="L35" s="4718"/>
      <c r="M35" s="4718"/>
      <c r="N35" s="4718"/>
      <c r="O35" s="4718"/>
      <c r="P35" s="4718"/>
      <c r="Q35" s="4718"/>
      <c r="R35" s="4718"/>
      <c r="S35" s="4718"/>
      <c r="T35" s="2402"/>
      <c r="U35" s="3915"/>
      <c r="V35" s="3915"/>
      <c r="W35" s="4718" t="s">
        <v>818</v>
      </c>
      <c r="X35" s="4718"/>
      <c r="Y35" s="4718"/>
      <c r="Z35" s="4718"/>
      <c r="AA35" s="4718" t="s">
        <v>1799</v>
      </c>
      <c r="AB35" s="4718"/>
      <c r="AC35" s="4718"/>
      <c r="AD35" s="4718"/>
      <c r="AE35" s="4718"/>
      <c r="AF35" s="4718"/>
      <c r="AG35" s="2402"/>
      <c r="AH35" s="3915"/>
      <c r="AI35" s="3915"/>
      <c r="AJ35" s="4718" t="s">
        <v>1517</v>
      </c>
      <c r="AK35" s="4718"/>
      <c r="AL35" s="2402"/>
      <c r="AM35" s="2402"/>
      <c r="AN35" s="4718" t="s">
        <v>895</v>
      </c>
      <c r="AO35" s="4718"/>
      <c r="AP35" s="4718"/>
      <c r="AQ35" s="4718"/>
      <c r="AR35" s="4718" t="s">
        <v>1676</v>
      </c>
      <c r="AS35" s="4718"/>
      <c r="AT35" s="4718" t="s">
        <v>896</v>
      </c>
      <c r="AU35" s="4718"/>
      <c r="AV35" s="4718" t="s">
        <v>3512</v>
      </c>
      <c r="AW35" s="4708"/>
      <c r="AX35" s="4720" t="s">
        <v>3689</v>
      </c>
      <c r="AY35" s="4721"/>
      <c r="AZ35" s="4721"/>
      <c r="BA35" s="4712"/>
      <c r="BB35" s="4720" t="s">
        <v>3692</v>
      </c>
      <c r="BC35" s="4721"/>
      <c r="BD35" s="4721"/>
      <c r="BE35" s="4712"/>
      <c r="BF35" s="4709" t="s">
        <v>3643</v>
      </c>
      <c r="BG35" s="4710"/>
      <c r="BH35" s="4709" t="s">
        <v>3644</v>
      </c>
      <c r="BI35" s="4710"/>
      <c r="BJ35" s="4709" t="s">
        <v>3642</v>
      </c>
      <c r="BK35" s="4710"/>
      <c r="BL35" s="4720" t="s">
        <v>3885</v>
      </c>
      <c r="BM35" s="4721"/>
      <c r="BN35" s="4721"/>
      <c r="BO35" s="4714"/>
      <c r="BP35" s="279"/>
      <c r="BQ35" s="4709" t="s">
        <v>3940</v>
      </c>
      <c r="BR35" s="4710"/>
      <c r="BS35" s="4709" t="s">
        <v>3941</v>
      </c>
      <c r="BT35" s="4710"/>
      <c r="BU35" s="4709" t="s">
        <v>3942</v>
      </c>
      <c r="BV35" s="4713"/>
    </row>
    <row r="36" spans="1:76" ht="35.25" customHeight="1" x14ac:dyDescent="0.3">
      <c r="A36" s="4724"/>
      <c r="B36" s="2401"/>
      <c r="C36" s="2401"/>
      <c r="D36" s="2401"/>
      <c r="E36" s="4707" t="s">
        <v>512</v>
      </c>
      <c r="F36" s="4707" t="s">
        <v>153</v>
      </c>
      <c r="G36" s="4707" t="s">
        <v>513</v>
      </c>
      <c r="H36" s="4707" t="s">
        <v>514</v>
      </c>
      <c r="I36" s="4707" t="s">
        <v>515</v>
      </c>
      <c r="J36" s="2403"/>
      <c r="K36" s="4707" t="s">
        <v>643</v>
      </c>
      <c r="L36" s="4707" t="s">
        <v>512</v>
      </c>
      <c r="M36" s="4707" t="s">
        <v>513</v>
      </c>
      <c r="N36" s="4707"/>
      <c r="O36" s="4707" t="s">
        <v>516</v>
      </c>
      <c r="P36" s="4707" t="s">
        <v>514</v>
      </c>
      <c r="Q36" s="4707"/>
      <c r="R36" s="4707" t="s">
        <v>878</v>
      </c>
      <c r="S36" s="4707"/>
      <c r="T36" s="4707" t="s">
        <v>512</v>
      </c>
      <c r="U36" s="4707" t="s">
        <v>239</v>
      </c>
      <c r="V36" s="4707"/>
      <c r="W36" s="4707" t="s">
        <v>1519</v>
      </c>
      <c r="X36" s="4707"/>
      <c r="Y36" s="4707" t="s">
        <v>1678</v>
      </c>
      <c r="Z36" s="4707"/>
      <c r="AA36" s="4707" t="s">
        <v>818</v>
      </c>
      <c r="AB36" s="4707"/>
      <c r="AC36" s="4707" t="s">
        <v>516</v>
      </c>
      <c r="AD36" s="4707" t="s">
        <v>512</v>
      </c>
      <c r="AE36" s="4707" t="s">
        <v>1516</v>
      </c>
      <c r="AF36" s="4707"/>
      <c r="AG36" s="4707" t="s">
        <v>516</v>
      </c>
      <c r="AH36" s="4707" t="s">
        <v>119</v>
      </c>
      <c r="AI36" s="4707"/>
      <c r="AJ36" s="4707" t="s">
        <v>120</v>
      </c>
      <c r="AK36" s="4707"/>
      <c r="AL36" s="4707" t="s">
        <v>119</v>
      </c>
      <c r="AM36" s="4707"/>
      <c r="AN36" s="4707" t="s">
        <v>1519</v>
      </c>
      <c r="AO36" s="4707"/>
      <c r="AP36" s="4707" t="s">
        <v>1678</v>
      </c>
      <c r="AQ36" s="4707"/>
      <c r="AR36" s="4707" t="s">
        <v>120</v>
      </c>
      <c r="AS36" s="4707"/>
      <c r="AT36" s="4707" t="s">
        <v>239</v>
      </c>
      <c r="AU36" s="4707"/>
      <c r="AV36" s="4707" t="s">
        <v>3513</v>
      </c>
      <c r="AW36" s="4708"/>
      <c r="AX36" s="4705" t="s">
        <v>3687</v>
      </c>
      <c r="AY36" s="4706"/>
      <c r="AZ36" s="4705" t="s">
        <v>3688</v>
      </c>
      <c r="BA36" s="4706"/>
      <c r="BB36" s="4705" t="s">
        <v>3690</v>
      </c>
      <c r="BC36" s="4706"/>
      <c r="BD36" s="4705" t="s">
        <v>3691</v>
      </c>
      <c r="BE36" s="4706"/>
      <c r="BF36" s="4711"/>
      <c r="BG36" s="4712"/>
      <c r="BH36" s="4711"/>
      <c r="BI36" s="4712"/>
      <c r="BJ36" s="4711"/>
      <c r="BK36" s="4712"/>
      <c r="BL36" s="4705" t="s">
        <v>3886</v>
      </c>
      <c r="BM36" s="4706"/>
      <c r="BN36" s="4705" t="s">
        <v>3887</v>
      </c>
      <c r="BO36" s="4728"/>
      <c r="BP36" s="279"/>
      <c r="BQ36" s="4711"/>
      <c r="BR36" s="4712"/>
      <c r="BS36" s="4711"/>
      <c r="BT36" s="4712"/>
      <c r="BU36" s="4711"/>
      <c r="BV36" s="4714"/>
    </row>
    <row r="37" spans="1:76" ht="38.25" thickBot="1" x14ac:dyDescent="0.3">
      <c r="A37" s="4725"/>
      <c r="B37" s="2420"/>
      <c r="C37" s="2420"/>
      <c r="D37" s="2420"/>
      <c r="E37" s="4717"/>
      <c r="F37" s="4717"/>
      <c r="G37" s="4717"/>
      <c r="H37" s="4717"/>
      <c r="I37" s="4717"/>
      <c r="J37" s="2420"/>
      <c r="K37" s="4717"/>
      <c r="L37" s="4717"/>
      <c r="M37" s="3916" t="s">
        <v>368</v>
      </c>
      <c r="N37" s="3916" t="s">
        <v>25</v>
      </c>
      <c r="O37" s="4719"/>
      <c r="P37" s="3916" t="s">
        <v>368</v>
      </c>
      <c r="Q37" s="3916" t="s">
        <v>25</v>
      </c>
      <c r="R37" s="3916" t="s">
        <v>368</v>
      </c>
      <c r="S37" s="3916" t="s">
        <v>25</v>
      </c>
      <c r="T37" s="4717"/>
      <c r="U37" s="3916" t="s">
        <v>368</v>
      </c>
      <c r="V37" s="3916" t="s">
        <v>25</v>
      </c>
      <c r="W37" s="3916" t="s">
        <v>368</v>
      </c>
      <c r="X37" s="3916" t="s">
        <v>25</v>
      </c>
      <c r="Y37" s="3916" t="s">
        <v>368</v>
      </c>
      <c r="Z37" s="3916" t="s">
        <v>25</v>
      </c>
      <c r="AA37" s="3916" t="s">
        <v>368</v>
      </c>
      <c r="AB37" s="3916" t="s">
        <v>25</v>
      </c>
      <c r="AC37" s="4719"/>
      <c r="AD37" s="4717"/>
      <c r="AE37" s="3916" t="s">
        <v>368</v>
      </c>
      <c r="AF37" s="3916" t="s">
        <v>25</v>
      </c>
      <c r="AG37" s="4719"/>
      <c r="AH37" s="3916" t="s">
        <v>368</v>
      </c>
      <c r="AI37" s="3916" t="s">
        <v>25</v>
      </c>
      <c r="AJ37" s="3916" t="s">
        <v>368</v>
      </c>
      <c r="AK37" s="3916" t="s">
        <v>25</v>
      </c>
      <c r="AL37" s="3916" t="s">
        <v>368</v>
      </c>
      <c r="AM37" s="3916" t="s">
        <v>25</v>
      </c>
      <c r="AN37" s="3916" t="s">
        <v>368</v>
      </c>
      <c r="AO37" s="3916" t="s">
        <v>25</v>
      </c>
      <c r="AP37" s="3916" t="s">
        <v>368</v>
      </c>
      <c r="AQ37" s="3916" t="s">
        <v>25</v>
      </c>
      <c r="AR37" s="3916" t="s">
        <v>368</v>
      </c>
      <c r="AS37" s="3916" t="s">
        <v>25</v>
      </c>
      <c r="AT37" s="3916" t="s">
        <v>368</v>
      </c>
      <c r="AU37" s="3916" t="s">
        <v>25</v>
      </c>
      <c r="AV37" s="3916" t="s">
        <v>368</v>
      </c>
      <c r="AW37" s="3916" t="s">
        <v>25</v>
      </c>
      <c r="AX37" s="3916" t="s">
        <v>368</v>
      </c>
      <c r="AY37" s="3916" t="s">
        <v>25</v>
      </c>
      <c r="AZ37" s="3916" t="s">
        <v>368</v>
      </c>
      <c r="BA37" s="3916" t="s">
        <v>25</v>
      </c>
      <c r="BB37" s="3916" t="s">
        <v>368</v>
      </c>
      <c r="BC37" s="3916" t="s">
        <v>25</v>
      </c>
      <c r="BD37" s="3916" t="s">
        <v>368</v>
      </c>
      <c r="BE37" s="3916" t="s">
        <v>25</v>
      </c>
      <c r="BF37" s="3916" t="s">
        <v>368</v>
      </c>
      <c r="BG37" s="3916" t="s">
        <v>25</v>
      </c>
      <c r="BH37" s="3916" t="s">
        <v>368</v>
      </c>
      <c r="BI37" s="3916" t="s">
        <v>25</v>
      </c>
      <c r="BJ37" s="3916" t="s">
        <v>368</v>
      </c>
      <c r="BK37" s="3916" t="s">
        <v>25</v>
      </c>
      <c r="BL37" s="3916" t="s">
        <v>368</v>
      </c>
      <c r="BM37" s="3916" t="s">
        <v>25</v>
      </c>
      <c r="BN37" s="3916" t="s">
        <v>368</v>
      </c>
      <c r="BO37" s="3245" t="s">
        <v>25</v>
      </c>
      <c r="BP37" s="279"/>
      <c r="BQ37" s="3916" t="s">
        <v>368</v>
      </c>
      <c r="BR37" s="3916" t="s">
        <v>25</v>
      </c>
      <c r="BS37" s="3916" t="s">
        <v>368</v>
      </c>
      <c r="BT37" s="3916" t="s">
        <v>25</v>
      </c>
      <c r="BU37" s="3916" t="s">
        <v>368</v>
      </c>
      <c r="BV37" s="3245" t="s">
        <v>25</v>
      </c>
    </row>
    <row r="38" spans="1:76" ht="20.100000000000001" customHeight="1" thickBot="1" x14ac:dyDescent="0.3">
      <c r="A38" s="4331" t="s">
        <v>510</v>
      </c>
      <c r="B38" s="4332"/>
      <c r="C38" s="4332"/>
      <c r="D38" s="4332"/>
      <c r="E38" s="4332"/>
      <c r="F38" s="4332"/>
      <c r="G38" s="4332"/>
      <c r="H38" s="4332"/>
      <c r="I38" s="4332"/>
      <c r="J38" s="4332"/>
      <c r="K38" s="4332"/>
      <c r="L38" s="4332"/>
      <c r="M38" s="4332"/>
      <c r="N38" s="4332"/>
      <c r="O38" s="4332"/>
      <c r="P38" s="4332"/>
      <c r="Q38" s="4332"/>
      <c r="R38" s="4332"/>
      <c r="S38" s="4332"/>
      <c r="T38" s="4332"/>
      <c r="U38" s="4332"/>
      <c r="V38" s="4332"/>
      <c r="W38" s="4332"/>
      <c r="X38" s="4332"/>
      <c r="Y38" s="4332"/>
      <c r="Z38" s="4332"/>
      <c r="AA38" s="4332"/>
      <c r="AB38" s="4332"/>
      <c r="AC38" s="4332"/>
      <c r="AD38" s="4332"/>
      <c r="AE38" s="4332"/>
      <c r="AF38" s="4332"/>
      <c r="AG38" s="4332"/>
      <c r="AH38" s="4332"/>
      <c r="AI38" s="4332"/>
      <c r="AJ38" s="4332"/>
      <c r="AK38" s="4332"/>
      <c r="AL38" s="4332"/>
      <c r="AM38" s="4332"/>
      <c r="AN38" s="4332"/>
      <c r="AO38" s="4332"/>
      <c r="AP38" s="4332"/>
      <c r="AQ38" s="4332"/>
      <c r="AR38" s="4332"/>
      <c r="AS38" s="4332"/>
      <c r="AT38" s="4332"/>
      <c r="AU38" s="4332"/>
      <c r="AV38" s="4332"/>
      <c r="AW38" s="4332"/>
      <c r="AX38" s="4332"/>
      <c r="AY38" s="4332"/>
      <c r="AZ38" s="4332"/>
      <c r="BA38" s="4332"/>
      <c r="BB38" s="4332"/>
      <c r="BC38" s="4332"/>
      <c r="BD38" s="4332"/>
      <c r="BE38" s="4332"/>
      <c r="BF38" s="4332"/>
      <c r="BG38" s="4332"/>
      <c r="BH38" s="4332"/>
      <c r="BI38" s="4332"/>
      <c r="BJ38" s="4332"/>
      <c r="BK38" s="4332"/>
      <c r="BL38" s="4699"/>
      <c r="BM38" s="4699"/>
      <c r="BN38" s="4699"/>
      <c r="BO38" s="4699"/>
      <c r="BP38" s="4699"/>
      <c r="BQ38" s="4699"/>
      <c r="BR38" s="4699"/>
      <c r="BS38" s="4699"/>
      <c r="BT38" s="4699"/>
      <c r="BU38" s="4699"/>
      <c r="BV38" s="4700"/>
    </row>
    <row r="39" spans="1:76" ht="36" customHeight="1" x14ac:dyDescent="0.2">
      <c r="A39" s="3248" t="s">
        <v>521</v>
      </c>
      <c r="B39" s="3249"/>
      <c r="C39" s="3249"/>
      <c r="D39" s="3249"/>
      <c r="E39" s="3250">
        <f>E42+E44</f>
        <v>5875</v>
      </c>
      <c r="F39" s="3251" t="e">
        <f>E39/C39*100</f>
        <v>#DIV/0!</v>
      </c>
      <c r="G39" s="3250" t="e">
        <f>SUM(G42:G44)</f>
        <v>#REF!</v>
      </c>
      <c r="H39" s="3250">
        <f>SUM(H42:H44)-H43</f>
        <v>3493.3</v>
      </c>
      <c r="I39" s="3250">
        <f>SUM(I42:I44)-I43</f>
        <v>5158</v>
      </c>
      <c r="J39" s="3250">
        <f>SUM(J42:J44)-J43</f>
        <v>0</v>
      </c>
      <c r="K39" s="3252">
        <f>SUM(K40:K41)</f>
        <v>6977.9000000000005</v>
      </c>
      <c r="L39" s="3252">
        <f>SUM(L40:L41)</f>
        <v>5800.03</v>
      </c>
      <c r="M39" s="3252">
        <f>SUM(M40:M41)</f>
        <v>5561.39</v>
      </c>
      <c r="N39" s="3252">
        <f>N41</f>
        <v>46.13</v>
      </c>
      <c r="O39" s="3252" t="e">
        <f>SUM(M39/G39*100)</f>
        <v>#REF!</v>
      </c>
      <c r="P39" s="3252">
        <f t="shared" ref="P39:Q39" si="2">SUM(P40:P41)</f>
        <v>3367.79</v>
      </c>
      <c r="Q39" s="3252">
        <f t="shared" si="2"/>
        <v>13.7</v>
      </c>
      <c r="R39" s="3252">
        <f>SUM(R40:R41)</f>
        <v>6697.91</v>
      </c>
      <c r="S39" s="3252">
        <f>SUM(S40:S41)</f>
        <v>18.22</v>
      </c>
      <c r="T39" s="3252">
        <f t="shared" ref="T39:V39" si="3">SUM(T40:T41)</f>
        <v>5779.357</v>
      </c>
      <c r="U39" s="3252">
        <f t="shared" si="3"/>
        <v>4681.12</v>
      </c>
      <c r="V39" s="3252">
        <f t="shared" si="3"/>
        <v>1.95</v>
      </c>
      <c r="W39" s="3252">
        <f t="shared" ref="W39:X39" si="4">SUM(W40:W41)</f>
        <v>6329.630000000001</v>
      </c>
      <c r="X39" s="3252">
        <f t="shared" si="4"/>
        <v>2.4</v>
      </c>
      <c r="Y39" s="3252">
        <f t="shared" ref="Y39:Z39" si="5">SUM(Y40:Y41)</f>
        <v>5627.2590286425911</v>
      </c>
      <c r="Z39" s="3252">
        <f t="shared" si="5"/>
        <v>2.4</v>
      </c>
      <c r="AA39" s="2637">
        <f>SUM(AA40:AA41)</f>
        <v>5654.317</v>
      </c>
      <c r="AB39" s="2637">
        <f>SUM(AB40:AB41)</f>
        <v>21.42</v>
      </c>
      <c r="AC39" s="3252">
        <f>SUM(AA39/M39*100)</f>
        <v>101.67093118806629</v>
      </c>
      <c r="AD39" s="2637">
        <f>SUM(AD40:AD41)</f>
        <v>5782.63</v>
      </c>
      <c r="AE39" s="2637">
        <f>SUM(AE40:AE41)</f>
        <v>5538.98</v>
      </c>
      <c r="AF39" s="2637">
        <f>SUM(AF40:AF41)</f>
        <v>21.42</v>
      </c>
      <c r="AG39" s="3250">
        <f>SUM(AE39/Q39*100)</f>
        <v>40430.510948905103</v>
      </c>
      <c r="AH39" s="2637">
        <f t="shared" ref="AH39:BA39" si="6">SUM(AH40:AH41)</f>
        <v>5618.25</v>
      </c>
      <c r="AI39" s="2637">
        <f t="shared" si="6"/>
        <v>18</v>
      </c>
      <c r="AJ39" s="2637">
        <f t="shared" si="6"/>
        <v>5550.3362214411945</v>
      </c>
      <c r="AK39" s="2637">
        <f t="shared" si="6"/>
        <v>20.349</v>
      </c>
      <c r="AL39" s="2637">
        <f t="shared" si="6"/>
        <v>1850</v>
      </c>
      <c r="AM39" s="2637">
        <f t="shared" si="6"/>
        <v>20</v>
      </c>
      <c r="AN39" s="2637">
        <f t="shared" si="6"/>
        <v>6766</v>
      </c>
      <c r="AO39" s="2637">
        <f t="shared" si="6"/>
        <v>1.77</v>
      </c>
      <c r="AP39" s="2637">
        <f t="shared" si="6"/>
        <v>5955.747459526774</v>
      </c>
      <c r="AQ39" s="2637">
        <f t="shared" si="6"/>
        <v>1.77</v>
      </c>
      <c r="AR39" s="2637">
        <f t="shared" si="6"/>
        <v>5304.8611437166173</v>
      </c>
      <c r="AS39" s="2637">
        <f t="shared" si="6"/>
        <v>21.42</v>
      </c>
      <c r="AT39" s="2637">
        <f t="shared" ref="AT39:AU39" si="7">SUM(AT40:AT41)</f>
        <v>5254.5210000000006</v>
      </c>
      <c r="AU39" s="2637">
        <f t="shared" si="7"/>
        <v>1.171</v>
      </c>
      <c r="AV39" s="2637">
        <f t="shared" ref="AV39:AW39" si="8">SUM(AV40:AV41)</f>
        <v>7136.38</v>
      </c>
      <c r="AW39" s="2637">
        <f t="shared" si="8"/>
        <v>1.33</v>
      </c>
      <c r="AX39" s="2637">
        <f t="shared" si="6"/>
        <v>6145</v>
      </c>
      <c r="AY39" s="2637">
        <f t="shared" si="6"/>
        <v>5</v>
      </c>
      <c r="AZ39" s="2637">
        <f t="shared" si="6"/>
        <v>6253.3816796622659</v>
      </c>
      <c r="BA39" s="2637">
        <f t="shared" si="6"/>
        <v>1.77</v>
      </c>
      <c r="BB39" s="2637">
        <f t="shared" ref="BB39:BC39" si="9">SUM(BB40:BB41)</f>
        <v>6253.3816796622659</v>
      </c>
      <c r="BC39" s="2637">
        <f t="shared" si="9"/>
        <v>1.77</v>
      </c>
      <c r="BD39" s="2637">
        <f t="shared" ref="BD39:BE39" si="10">SUM(BD40:BD41)</f>
        <v>5933.7859999999991</v>
      </c>
      <c r="BE39" s="2637">
        <f t="shared" si="10"/>
        <v>1.77</v>
      </c>
      <c r="BF39" s="2637">
        <f t="shared" ref="BF39:BG39" si="11">SUM(BF40:BF41)</f>
        <v>3480.3870000000002</v>
      </c>
      <c r="BG39" s="2637">
        <f t="shared" si="11"/>
        <v>0.55800000000000005</v>
      </c>
      <c r="BH39" s="2637">
        <f t="shared" ref="BH39:BI39" si="12">SUM(BH40:BH41)</f>
        <v>5262.8230000000003</v>
      </c>
      <c r="BI39" s="2637">
        <f t="shared" si="12"/>
        <v>0.82899999999999996</v>
      </c>
      <c r="BJ39" s="2637">
        <f t="shared" ref="BJ39:BM39" si="13">SUM(BJ40:BJ41)</f>
        <v>6957.982</v>
      </c>
      <c r="BK39" s="2637">
        <f t="shared" si="13"/>
        <v>1.129</v>
      </c>
      <c r="BL39" s="2421">
        <f t="shared" si="13"/>
        <v>5933.7859999999991</v>
      </c>
      <c r="BM39" s="2421">
        <f t="shared" si="13"/>
        <v>1.77</v>
      </c>
      <c r="BN39" s="4067">
        <f t="shared" ref="BN39:BO39" si="14">SUM(BN40:BN41)</f>
        <v>5987.92</v>
      </c>
      <c r="BO39" s="4067">
        <f t="shared" si="14"/>
        <v>1.7698</v>
      </c>
      <c r="BQ39" s="3956">
        <f t="shared" ref="BQ39:BV39" si="15">SUM(BQ40:BQ41)</f>
        <v>3251.1729999999998</v>
      </c>
      <c r="BR39" s="3957">
        <f t="shared" si="15"/>
        <v>0.54100000000000004</v>
      </c>
      <c r="BS39" s="3957">
        <f t="shared" si="15"/>
        <v>4710.8989999999994</v>
      </c>
      <c r="BT39" s="3957">
        <f t="shared" si="15"/>
        <v>0.72599999999999998</v>
      </c>
      <c r="BU39" s="3984">
        <f t="shared" si="15"/>
        <v>0</v>
      </c>
      <c r="BV39" s="3985">
        <f t="shared" si="15"/>
        <v>0</v>
      </c>
    </row>
    <row r="40" spans="1:76" ht="36" customHeight="1" x14ac:dyDescent="0.2">
      <c r="A40" s="3186" t="s">
        <v>520</v>
      </c>
      <c r="B40" s="3253"/>
      <c r="C40" s="3253"/>
      <c r="D40" s="3253"/>
      <c r="E40" s="3254">
        <f>SUM(E39-E41)</f>
        <v>5850</v>
      </c>
      <c r="F40" s="3255"/>
      <c r="G40" s="3254" t="e">
        <f>SUM(G39-G41)</f>
        <v>#REF!</v>
      </c>
      <c r="H40" s="3254">
        <f>SUM(H39-H41)</f>
        <v>3465.3</v>
      </c>
      <c r="I40" s="3254">
        <f>SUM(I39-I41)</f>
        <v>5119.5</v>
      </c>
      <c r="J40" s="3256"/>
      <c r="K40" s="3257">
        <v>6928.1</v>
      </c>
      <c r="L40" s="3257">
        <v>5753.9</v>
      </c>
      <c r="M40" s="2653">
        <f>M42+M44</f>
        <v>5561.39</v>
      </c>
      <c r="N40" s="3257"/>
      <c r="O40" s="3257" t="e">
        <f t="shared" ref="O40:O70" si="16">SUM(M40/G40*100)</f>
        <v>#REF!</v>
      </c>
      <c r="P40" s="2746">
        <v>3367.79</v>
      </c>
      <c r="Q40" s="2746"/>
      <c r="R40" s="2653">
        <f>R42+R44</f>
        <v>6697.91</v>
      </c>
      <c r="S40" s="2653">
        <v>0</v>
      </c>
      <c r="T40" s="2653">
        <f t="shared" ref="T40:U40" si="17">T42+T44</f>
        <v>5757.9369999999999</v>
      </c>
      <c r="U40" s="2653">
        <f t="shared" si="17"/>
        <v>4681.12</v>
      </c>
      <c r="V40" s="2653"/>
      <c r="W40" s="2653">
        <f t="shared" ref="W40" si="18">W42+W44</f>
        <v>6329.630000000001</v>
      </c>
      <c r="X40" s="2653"/>
      <c r="Y40" s="2653">
        <f t="shared" ref="Y40" si="19">Y42+Y44</f>
        <v>5627.2590286425911</v>
      </c>
      <c r="Z40" s="2653"/>
      <c r="AA40" s="2653">
        <f>AA42+AA44</f>
        <v>5654.317</v>
      </c>
      <c r="AB40" s="2653"/>
      <c r="AC40" s="3257">
        <f>SUM(AA40/M40*100)</f>
        <v>101.67093118806629</v>
      </c>
      <c r="AD40" s="2654">
        <v>5736.5</v>
      </c>
      <c r="AE40" s="2653">
        <f>AE42+AE44</f>
        <v>5538.98</v>
      </c>
      <c r="AF40" s="2653"/>
      <c r="AG40" s="3254" t="e">
        <f>SUM(AE40/Q40*100)</f>
        <v>#DIV/0!</v>
      </c>
      <c r="AH40" s="2653">
        <f>AH42+AH44</f>
        <v>5618.25</v>
      </c>
      <c r="AI40" s="2653"/>
      <c r="AJ40" s="2653">
        <f>AJ42+AJ44</f>
        <v>5550.3362214411945</v>
      </c>
      <c r="AK40" s="2653"/>
      <c r="AL40" s="2653">
        <f>AL42+AL44</f>
        <v>1850</v>
      </c>
      <c r="AM40" s="2653"/>
      <c r="AN40" s="2653">
        <f>AN42+AN44</f>
        <v>6766</v>
      </c>
      <c r="AO40" s="2653">
        <v>0</v>
      </c>
      <c r="AP40" s="2653">
        <f t="shared" ref="AP40" si="20">AP42+AP44</f>
        <v>5955.747459526774</v>
      </c>
      <c r="AQ40" s="2653">
        <v>0</v>
      </c>
      <c r="AR40" s="2653">
        <f>AR42+AR44</f>
        <v>5304.8611437166173</v>
      </c>
      <c r="AS40" s="2653"/>
      <c r="AT40" s="2653">
        <f>AT42+AT44</f>
        <v>5254.5210000000006</v>
      </c>
      <c r="AU40" s="2653"/>
      <c r="AV40" s="2653">
        <v>7136.38</v>
      </c>
      <c r="AW40" s="2653"/>
      <c r="AX40" s="2653">
        <f>AX42+AX44</f>
        <v>6145</v>
      </c>
      <c r="AY40" s="2653"/>
      <c r="AZ40" s="2653">
        <f>AZ42+AZ44</f>
        <v>6253.3816796622659</v>
      </c>
      <c r="BA40" s="2653"/>
      <c r="BB40" s="2653">
        <f>BB42+BB44</f>
        <v>6253.3816796622659</v>
      </c>
      <c r="BC40" s="2653"/>
      <c r="BD40" s="2653">
        <f>BD42+BD44</f>
        <v>5933.7859999999991</v>
      </c>
      <c r="BE40" s="2653"/>
      <c r="BF40" s="2653">
        <f>BF42+BF44</f>
        <v>3480.3870000000002</v>
      </c>
      <c r="BG40" s="2653"/>
      <c r="BH40" s="2653">
        <f>BH42+BH44</f>
        <v>5262.8230000000003</v>
      </c>
      <c r="BI40" s="2653"/>
      <c r="BJ40" s="2653">
        <f>BJ42+BJ44</f>
        <v>6957.982</v>
      </c>
      <c r="BK40" s="2653"/>
      <c r="BL40" s="2407">
        <f>BL42+BL44</f>
        <v>5933.7859999999991</v>
      </c>
      <c r="BM40" s="2407"/>
      <c r="BN40" s="4068">
        <v>5987.92</v>
      </c>
      <c r="BO40" s="4068"/>
      <c r="BQ40" s="3958">
        <f>BQ42+BQ44</f>
        <v>3251.1729999999998</v>
      </c>
      <c r="BR40" s="2407"/>
      <c r="BS40" s="2407">
        <f>BS42+BS44</f>
        <v>4710.8989999999994</v>
      </c>
      <c r="BT40" s="2407"/>
      <c r="BU40" s="3292">
        <f>BU42+BU44</f>
        <v>0</v>
      </c>
      <c r="BV40" s="3293"/>
    </row>
    <row r="41" spans="1:76" ht="36" customHeight="1" x14ac:dyDescent="0.2">
      <c r="A41" s="3186" t="s">
        <v>519</v>
      </c>
      <c r="B41" s="3253"/>
      <c r="C41" s="3253"/>
      <c r="D41" s="3253"/>
      <c r="E41" s="3254">
        <v>25</v>
      </c>
      <c r="F41" s="3255"/>
      <c r="G41" s="3254">
        <v>46</v>
      </c>
      <c r="H41" s="3254">
        <v>28</v>
      </c>
      <c r="I41" s="3254">
        <v>38.5</v>
      </c>
      <c r="J41" s="3256"/>
      <c r="K41" s="3257">
        <v>49.8</v>
      </c>
      <c r="L41" s="3257">
        <v>46.13</v>
      </c>
      <c r="M41" s="3257">
        <v>0</v>
      </c>
      <c r="N41" s="3257">
        <v>46.13</v>
      </c>
      <c r="O41" s="3257">
        <f t="shared" si="16"/>
        <v>0</v>
      </c>
      <c r="P41" s="2746"/>
      <c r="Q41" s="2746">
        <v>13.7</v>
      </c>
      <c r="R41" s="3257">
        <v>0</v>
      </c>
      <c r="S41" s="3257">
        <v>18.22</v>
      </c>
      <c r="T41" s="2654">
        <v>21.42</v>
      </c>
      <c r="U41" s="2654"/>
      <c r="V41" s="2654">
        <v>1.95</v>
      </c>
      <c r="W41" s="2654"/>
      <c r="X41" s="2654">
        <v>2.4</v>
      </c>
      <c r="Y41" s="2654"/>
      <c r="Z41" s="2654">
        <v>2.4</v>
      </c>
      <c r="AA41" s="2653"/>
      <c r="AB41" s="2653">
        <f>AB49</f>
        <v>21.42</v>
      </c>
      <c r="AC41" s="3257">
        <f>SUM(AA41/40*100)</f>
        <v>0</v>
      </c>
      <c r="AD41" s="2654">
        <v>46.13</v>
      </c>
      <c r="AE41" s="2653"/>
      <c r="AF41" s="2653">
        <f>AF49</f>
        <v>21.42</v>
      </c>
      <c r="AG41" s="3254">
        <f>SUM(AE41/40*100)</f>
        <v>0</v>
      </c>
      <c r="AH41" s="2653"/>
      <c r="AI41" s="2653">
        <f>AI49</f>
        <v>18</v>
      </c>
      <c r="AJ41" s="2653"/>
      <c r="AK41" s="2653">
        <f>AK44</f>
        <v>20.349</v>
      </c>
      <c r="AL41" s="2653"/>
      <c r="AM41" s="2653">
        <f>AM49</f>
        <v>20</v>
      </c>
      <c r="AN41" s="2653"/>
      <c r="AO41" s="2653">
        <f>AO46</f>
        <v>1.77</v>
      </c>
      <c r="AP41" s="2653">
        <f t="shared" ref="AP41:AQ41" si="21">AP46</f>
        <v>0</v>
      </c>
      <c r="AQ41" s="2653">
        <f t="shared" si="21"/>
        <v>1.77</v>
      </c>
      <c r="AR41" s="2653"/>
      <c r="AS41" s="2653">
        <f>AS44</f>
        <v>21.42</v>
      </c>
      <c r="AT41" s="2653"/>
      <c r="AU41" s="2653">
        <f>AU44</f>
        <v>1.171</v>
      </c>
      <c r="AV41" s="2653"/>
      <c r="AW41" s="2653">
        <f>AW44</f>
        <v>1.33</v>
      </c>
      <c r="AX41" s="2653"/>
      <c r="AY41" s="2653">
        <f>AY42+AY44</f>
        <v>5</v>
      </c>
      <c r="AZ41" s="2653"/>
      <c r="BA41" s="2653">
        <f>BA44</f>
        <v>1.77</v>
      </c>
      <c r="BB41" s="2653"/>
      <c r="BC41" s="2653">
        <f>BC44</f>
        <v>1.77</v>
      </c>
      <c r="BD41" s="2653"/>
      <c r="BE41" s="2653">
        <f>BE44</f>
        <v>1.77</v>
      </c>
      <c r="BF41" s="2653"/>
      <c r="BG41" s="2653">
        <f>BG44</f>
        <v>0.55800000000000005</v>
      </c>
      <c r="BH41" s="2653"/>
      <c r="BI41" s="2653">
        <f>BI44</f>
        <v>0.82899999999999996</v>
      </c>
      <c r="BJ41" s="2653"/>
      <c r="BK41" s="2653">
        <f>BK44</f>
        <v>1.129</v>
      </c>
      <c r="BL41" s="2407"/>
      <c r="BM41" s="2407">
        <f>BM44</f>
        <v>1.77</v>
      </c>
      <c r="BN41" s="4068"/>
      <c r="BO41" s="4068">
        <f>BO44</f>
        <v>1.7698</v>
      </c>
      <c r="BQ41" s="3958"/>
      <c r="BR41" s="2407">
        <f>BR44</f>
        <v>0.54100000000000004</v>
      </c>
      <c r="BS41" s="2407"/>
      <c r="BT41" s="2407">
        <f>BT44</f>
        <v>0.72599999999999998</v>
      </c>
      <c r="BU41" s="3292"/>
      <c r="BV41" s="3293">
        <f>BV44</f>
        <v>0</v>
      </c>
    </row>
    <row r="42" spans="1:76" ht="36" customHeight="1" x14ac:dyDescent="0.2">
      <c r="A42" s="3186" t="s">
        <v>20</v>
      </c>
      <c r="B42" s="2755"/>
      <c r="C42" s="2755"/>
      <c r="D42" s="2755"/>
      <c r="E42" s="3254">
        <v>876</v>
      </c>
      <c r="F42" s="3254" t="e">
        <f>E42/C42*100</f>
        <v>#DIV/0!</v>
      </c>
      <c r="G42" s="3254">
        <v>507</v>
      </c>
      <c r="H42" s="3254">
        <f>3493.3-3054.18</f>
        <v>439.12000000000035</v>
      </c>
      <c r="I42" s="3254">
        <v>648.79999999999995</v>
      </c>
      <c r="J42" s="3258"/>
      <c r="K42" s="3231">
        <v>841</v>
      </c>
      <c r="L42" s="3257">
        <v>754</v>
      </c>
      <c r="M42" s="3257">
        <v>557.12</v>
      </c>
      <c r="N42" s="3257"/>
      <c r="O42" s="3257">
        <f t="shared" si="16"/>
        <v>109.88560157790927</v>
      </c>
      <c r="P42" s="3231">
        <v>479.3</v>
      </c>
      <c r="Q42" s="3231">
        <v>0</v>
      </c>
      <c r="R42" s="3257">
        <v>1030.98</v>
      </c>
      <c r="S42" s="3257"/>
      <c r="T42" s="2654">
        <v>750</v>
      </c>
      <c r="U42" s="2654">
        <v>877.4</v>
      </c>
      <c r="V42" s="2654"/>
      <c r="W42" s="2654">
        <v>1185.4000000000001</v>
      </c>
      <c r="X42" s="2654"/>
      <c r="Y42" s="2654">
        <v>1185.4000000000001</v>
      </c>
      <c r="Z42" s="2654"/>
      <c r="AA42" s="2654">
        <v>686.4</v>
      </c>
      <c r="AB42" s="2654"/>
      <c r="AC42" s="3257">
        <f>SUM(AA42/41*100)</f>
        <v>1674.1463414634147</v>
      </c>
      <c r="AD42" s="2654">
        <v>750</v>
      </c>
      <c r="AE42" s="2654">
        <v>686.4</v>
      </c>
      <c r="AF42" s="2654"/>
      <c r="AG42" s="3254">
        <f>SUM(AE42/41*100)</f>
        <v>1674.1463414634147</v>
      </c>
      <c r="AH42" s="2654">
        <v>900</v>
      </c>
      <c r="AI42" s="2654"/>
      <c r="AJ42" s="2654">
        <f>AJ44*15.39/84.61</f>
        <v>854.19674447979992</v>
      </c>
      <c r="AK42" s="2654"/>
      <c r="AL42" s="2654">
        <v>920</v>
      </c>
      <c r="AM42" s="2654"/>
      <c r="AN42" s="2654">
        <v>1403.07</v>
      </c>
      <c r="AO42" s="2654"/>
      <c r="AP42" s="2654">
        <f>AN42</f>
        <v>1403.07</v>
      </c>
      <c r="AQ42" s="2654"/>
      <c r="AR42" s="2654">
        <f>AR44*15.39/84.61</f>
        <v>816.41813001798744</v>
      </c>
      <c r="AS42" s="2654"/>
      <c r="AT42" s="2654">
        <v>895.72299999999996</v>
      </c>
      <c r="AU42" s="2654"/>
      <c r="AV42" s="2654">
        <v>1314.27</v>
      </c>
      <c r="AW42" s="2654"/>
      <c r="AX42" s="2654">
        <v>1000</v>
      </c>
      <c r="AY42" s="2654"/>
      <c r="AZ42" s="2654">
        <f>AT42/9*12</f>
        <v>1194.2973333333332</v>
      </c>
      <c r="BA42" s="2654"/>
      <c r="BB42" s="2654">
        <f>SUM(AZ42)</f>
        <v>1194.2973333333332</v>
      </c>
      <c r="BC42" s="2654"/>
      <c r="BD42" s="2654">
        <v>1133.3530000000001</v>
      </c>
      <c r="BE42" s="2654"/>
      <c r="BF42" s="2654">
        <v>494.08300000000003</v>
      </c>
      <c r="BG42" s="2654"/>
      <c r="BH42" s="2654">
        <v>989.60299999999995</v>
      </c>
      <c r="BI42" s="2654"/>
      <c r="BJ42" s="2654">
        <v>1446.1365000000001</v>
      </c>
      <c r="BK42" s="2654"/>
      <c r="BL42" s="2412">
        <v>1133.3530000000001</v>
      </c>
      <c r="BM42" s="2412"/>
      <c r="BN42" s="4069">
        <v>1143.693</v>
      </c>
      <c r="BO42" s="4069"/>
      <c r="BQ42" s="3959">
        <v>780.14200000000005</v>
      </c>
      <c r="BR42" s="2412"/>
      <c r="BS42" s="2412">
        <v>987.29700000000003</v>
      </c>
      <c r="BT42" s="2412"/>
      <c r="BU42" s="3294"/>
      <c r="BV42" s="3295"/>
      <c r="BX42" s="155"/>
    </row>
    <row r="43" spans="1:76" s="181" customFormat="1" ht="31.5" customHeight="1" x14ac:dyDescent="0.2">
      <c r="A43" s="3053" t="s">
        <v>373</v>
      </c>
      <c r="B43" s="3259"/>
      <c r="C43" s="3259"/>
      <c r="D43" s="3259"/>
      <c r="E43" s="3260">
        <f>E42/E39</f>
        <v>0.14910638297872342</v>
      </c>
      <c r="F43" s="3255"/>
      <c r="G43" s="3260">
        <f>507/5558.2</f>
        <v>9.1216580907488035E-2</v>
      </c>
      <c r="H43" s="3260">
        <f>439.12/3493</f>
        <v>0.12571428571428572</v>
      </c>
      <c r="I43" s="3260">
        <f>SUM(648.8/5158)</f>
        <v>0.12578518805738659</v>
      </c>
      <c r="J43" s="3261"/>
      <c r="K43" s="3262">
        <f>SUM(K42/K39)</f>
        <v>0.12052336662892847</v>
      </c>
      <c r="L43" s="3262">
        <f>SUM(L42/L39)</f>
        <v>0.12999932758968488</v>
      </c>
      <c r="M43" s="3262">
        <f>SUM(M42/M39)</f>
        <v>0.10017639475023329</v>
      </c>
      <c r="N43" s="3262"/>
      <c r="O43" s="3257">
        <f t="shared" si="16"/>
        <v>109.82257145971334</v>
      </c>
      <c r="P43" s="3262">
        <f t="shared" ref="P43:Q43" si="22">SUM(P42/P39)</f>
        <v>0.14231885004706352</v>
      </c>
      <c r="Q43" s="3262">
        <f t="shared" si="22"/>
        <v>0</v>
      </c>
      <c r="R43" s="3262">
        <f>SUM(R42/R39)</f>
        <v>0.15392562754650332</v>
      </c>
      <c r="S43" s="3262"/>
      <c r="T43" s="3262">
        <f>SUM(T42/T39)</f>
        <v>0.12977222206553429</v>
      </c>
      <c r="U43" s="3262"/>
      <c r="V43" s="3262"/>
      <c r="W43" s="3262">
        <f>SUM(W42/W39)</f>
        <v>0.18727792935764015</v>
      </c>
      <c r="X43" s="3262"/>
      <c r="Y43" s="3262">
        <f>SUM(Y42/Y39)</f>
        <v>0.2106531783886875</v>
      </c>
      <c r="Z43" s="3262"/>
      <c r="AA43" s="3262">
        <f>SUM(AA42/AA39)</f>
        <v>0.12139397207478816</v>
      </c>
      <c r="AB43" s="2655"/>
      <c r="AC43" s="3257">
        <f>SUM(AA43/M43*100)</f>
        <v>121.18021653449998</v>
      </c>
      <c r="AD43" s="3262">
        <f>SUM(AD42/AD39)</f>
        <v>0.12969877028272603</v>
      </c>
      <c r="AE43" s="3262">
        <f>SUM(AE42/AE39)</f>
        <v>0.12392173288222742</v>
      </c>
      <c r="AF43" s="2655"/>
      <c r="AG43" s="3254" t="e">
        <f>SUM(AE43/Q43*100)</f>
        <v>#DIV/0!</v>
      </c>
      <c r="AH43" s="3262">
        <f>SUM(AH42/AH39)</f>
        <v>0.16019223067681218</v>
      </c>
      <c r="AI43" s="2655"/>
      <c r="AJ43" s="3262">
        <f>SUM(AJ42/AJ39)</f>
        <v>0.15390000000000001</v>
      </c>
      <c r="AK43" s="2655"/>
      <c r="AL43" s="3262">
        <f>SUM(AL42/AL39)</f>
        <v>0.49729729729729732</v>
      </c>
      <c r="AM43" s="2655"/>
      <c r="AN43" s="3262">
        <f>SUM(AN42/AN39)</f>
        <v>0.20737067691398167</v>
      </c>
      <c r="AO43" s="3262">
        <f t="shared" ref="AO43:AQ43" si="23">SUM(AO42/AO39)</f>
        <v>0</v>
      </c>
      <c r="AP43" s="3262">
        <f t="shared" si="23"/>
        <v>0.23558252083970729</v>
      </c>
      <c r="AQ43" s="3262">
        <f t="shared" si="23"/>
        <v>0</v>
      </c>
      <c r="AR43" s="3262">
        <f>SUM(AR42/AR39)</f>
        <v>0.15390000000000001</v>
      </c>
      <c r="AS43" s="2655"/>
      <c r="AT43" s="3262">
        <f>SUM(AT42/AT39)</f>
        <v>0.1704671082292753</v>
      </c>
      <c r="AU43" s="2655"/>
      <c r="AV43" s="3262">
        <f>SUM(AV42/AV39)</f>
        <v>0.18416480064122145</v>
      </c>
      <c r="AW43" s="2655"/>
      <c r="AX43" s="3263">
        <f>AX42/AX40</f>
        <v>0.16273393002441008</v>
      </c>
      <c r="AY43" s="2655"/>
      <c r="AZ43" s="2655">
        <f>AZ42/AZ40</f>
        <v>0.19098423773132542</v>
      </c>
      <c r="BA43" s="2655"/>
      <c r="BB43" s="2655">
        <f>BB42/BB40</f>
        <v>0.19098423773132542</v>
      </c>
      <c r="BC43" s="2655"/>
      <c r="BD43" s="2655">
        <f>BD42/BD40</f>
        <v>0.19099997876566499</v>
      </c>
      <c r="BE43" s="2655"/>
      <c r="BF43" s="2655">
        <f>BF42/BF40</f>
        <v>0.14196208640016184</v>
      </c>
      <c r="BG43" s="2655"/>
      <c r="BH43" s="2655">
        <f>BH42/BH40</f>
        <v>0.18803653476470705</v>
      </c>
      <c r="BI43" s="2655"/>
      <c r="BJ43" s="2655">
        <f>BJ42/BJ40</f>
        <v>0.20783849397713303</v>
      </c>
      <c r="BK43" s="2655"/>
      <c r="BL43" s="2413">
        <f>BL42/BL40</f>
        <v>0.19099997876566499</v>
      </c>
      <c r="BM43" s="2413"/>
      <c r="BN43" s="4070">
        <f>BN42/BN40</f>
        <v>0.19100004676081175</v>
      </c>
      <c r="BO43" s="4070"/>
      <c r="BQ43" s="3960">
        <f>BQ42/BQ40</f>
        <v>0.23995708625779069</v>
      </c>
      <c r="BR43" s="2413"/>
      <c r="BS43" s="2413">
        <f>BS42/BS40</f>
        <v>0.20957719535061145</v>
      </c>
      <c r="BT43" s="2413"/>
      <c r="BU43" s="3296" t="e">
        <f>BU42/BU40</f>
        <v>#DIV/0!</v>
      </c>
      <c r="BV43" s="3297"/>
      <c r="BX43" s="4196"/>
    </row>
    <row r="44" spans="1:76" ht="36" customHeight="1" x14ac:dyDescent="0.2">
      <c r="A44" s="3095" t="s">
        <v>522</v>
      </c>
      <c r="B44" s="3264"/>
      <c r="C44" s="3264"/>
      <c r="D44" s="3264"/>
      <c r="E44" s="3256">
        <f>E47+E49</f>
        <v>4999</v>
      </c>
      <c r="F44" s="3265" t="e">
        <f>E44/C44*100</f>
        <v>#DIV/0!</v>
      </c>
      <c r="G44" s="3256" t="e">
        <f>G47+G49</f>
        <v>#REF!</v>
      </c>
      <c r="H44" s="3256">
        <f>H47+H49</f>
        <v>3054.18</v>
      </c>
      <c r="I44" s="3256">
        <f>I47+I49</f>
        <v>4509.2</v>
      </c>
      <c r="J44" s="3266"/>
      <c r="K44" s="2746">
        <f>SUM(K45:K46)</f>
        <v>6136.9000000000005</v>
      </c>
      <c r="L44" s="2746">
        <f>L47+L49</f>
        <v>5046.03</v>
      </c>
      <c r="M44" s="2746">
        <f>M47+M49</f>
        <v>5004.2700000000004</v>
      </c>
      <c r="N44" s="2746">
        <f>N47+N49</f>
        <v>46.13</v>
      </c>
      <c r="O44" s="2746" t="e">
        <f t="shared" si="16"/>
        <v>#REF!</v>
      </c>
      <c r="P44" s="2746">
        <f t="shared" ref="P44:Q44" si="24">SUM(P45:P46)</f>
        <v>2888.49</v>
      </c>
      <c r="Q44" s="2746">
        <f t="shared" si="24"/>
        <v>13.7</v>
      </c>
      <c r="R44" s="2746">
        <f>R47+R49</f>
        <v>5666.93</v>
      </c>
      <c r="S44" s="2746">
        <f t="shared" ref="S44:V44" si="25">S47+S49</f>
        <v>18.22</v>
      </c>
      <c r="T44" s="2746">
        <f t="shared" si="25"/>
        <v>5007.9369999999999</v>
      </c>
      <c r="U44" s="2746">
        <f t="shared" si="25"/>
        <v>3803.72</v>
      </c>
      <c r="V44" s="2746">
        <f t="shared" si="25"/>
        <v>1.95</v>
      </c>
      <c r="W44" s="2746">
        <f t="shared" ref="W44:X44" si="26">W47+W49</f>
        <v>5144.2300000000005</v>
      </c>
      <c r="X44" s="2746">
        <f t="shared" si="26"/>
        <v>2.4</v>
      </c>
      <c r="Y44" s="2746">
        <f t="shared" ref="Y44:Z44" si="27">Y47+Y49</f>
        <v>4441.8590286425906</v>
      </c>
      <c r="Z44" s="2746">
        <f t="shared" si="27"/>
        <v>2.4</v>
      </c>
      <c r="AA44" s="2653">
        <f>SUM(AA45:AA46)</f>
        <v>4967.9170000000004</v>
      </c>
      <c r="AB44" s="2653">
        <f>SUM(AB45:AB46)</f>
        <v>21.42</v>
      </c>
      <c r="AC44" s="2746">
        <f>SUM(AA44/M44*100)</f>
        <v>99.273560379435963</v>
      </c>
      <c r="AD44" s="2653">
        <f>SUM(AD45:AD46)</f>
        <v>5032.63</v>
      </c>
      <c r="AE44" s="2653">
        <f>SUM(AE45:AE46)</f>
        <v>4852.58</v>
      </c>
      <c r="AF44" s="2653">
        <f>SUM(AF45:AF46)</f>
        <v>21.42</v>
      </c>
      <c r="AG44" s="3256">
        <f>SUM(AE44/Q44*100)</f>
        <v>35420.291970802922</v>
      </c>
      <c r="AH44" s="2653">
        <f>SUM(AH45:AH46)</f>
        <v>4718.25</v>
      </c>
      <c r="AI44" s="2653">
        <f>SUM(AI45:AI46)</f>
        <v>18</v>
      </c>
      <c r="AJ44" s="2653">
        <f>SUM(AJ45:AJ46)</f>
        <v>4696.1394769613944</v>
      </c>
      <c r="AK44" s="2653">
        <f>AK46+AK47</f>
        <v>20.349</v>
      </c>
      <c r="AL44" s="2653">
        <f t="shared" ref="AL44:AM44" si="28">AL46+AL47</f>
        <v>930</v>
      </c>
      <c r="AM44" s="2653">
        <f t="shared" si="28"/>
        <v>20</v>
      </c>
      <c r="AN44" s="2653">
        <f>SUM(AN45:AN46)</f>
        <v>5362.93</v>
      </c>
      <c r="AO44" s="2653">
        <f t="shared" ref="AO44:AQ44" si="29">SUM(AO45:AO46)</f>
        <v>1.77</v>
      </c>
      <c r="AP44" s="2653">
        <f t="shared" si="29"/>
        <v>4552.6774595267743</v>
      </c>
      <c r="AQ44" s="2653">
        <f t="shared" si="29"/>
        <v>1.77</v>
      </c>
      <c r="AR44" s="2653">
        <f>SUM(AR45:AR46)</f>
        <v>4488.4430136986302</v>
      </c>
      <c r="AS44" s="2653">
        <f>AS46+AS47</f>
        <v>21.42</v>
      </c>
      <c r="AT44" s="2653">
        <f>AT45</f>
        <v>4358.7980000000007</v>
      </c>
      <c r="AU44" s="2653">
        <f t="shared" ref="AU44:AW44" si="30">AU46+AU47</f>
        <v>1.171</v>
      </c>
      <c r="AV44" s="2653">
        <f>AV45</f>
        <v>5822.11</v>
      </c>
      <c r="AW44" s="2653">
        <f t="shared" si="30"/>
        <v>1.33</v>
      </c>
      <c r="AX44" s="2653">
        <f>AX45</f>
        <v>5145</v>
      </c>
      <c r="AY44" s="2653">
        <f t="shared" ref="AY44:BA44" si="31">AY46+AY47</f>
        <v>5</v>
      </c>
      <c r="AZ44" s="2653">
        <f>AZ45</f>
        <v>5059.084346328933</v>
      </c>
      <c r="BA44" s="2653">
        <f t="shared" si="31"/>
        <v>1.77</v>
      </c>
      <c r="BB44" s="2653">
        <f>BB45</f>
        <v>5059.084346328933</v>
      </c>
      <c r="BC44" s="2653">
        <f t="shared" ref="BC44:BG44" si="32">BC46+BC47</f>
        <v>1.77</v>
      </c>
      <c r="BD44" s="2653">
        <f>BD45</f>
        <v>4800.4329999999991</v>
      </c>
      <c r="BE44" s="2653">
        <f t="shared" ref="BE44" si="33">BE46+BE47</f>
        <v>1.77</v>
      </c>
      <c r="BF44" s="2653">
        <f>BF45</f>
        <v>2986.3040000000001</v>
      </c>
      <c r="BG44" s="2653">
        <f t="shared" si="32"/>
        <v>0.55800000000000005</v>
      </c>
      <c r="BH44" s="2653">
        <f>BH45</f>
        <v>4273.22</v>
      </c>
      <c r="BI44" s="2653">
        <f t="shared" ref="BI44:BK44" si="34">BI46+BI47</f>
        <v>0.82899999999999996</v>
      </c>
      <c r="BJ44" s="2653">
        <f>BJ45</f>
        <v>5511.8455000000004</v>
      </c>
      <c r="BK44" s="2653">
        <f t="shared" si="34"/>
        <v>1.129</v>
      </c>
      <c r="BL44" s="2407">
        <f>BL45</f>
        <v>4800.4329999999991</v>
      </c>
      <c r="BM44" s="2407">
        <f t="shared" ref="BM44:BO44" si="35">BM46+BM47</f>
        <v>1.77</v>
      </c>
      <c r="BN44" s="4068">
        <f>BN45</f>
        <v>4844.2269999999999</v>
      </c>
      <c r="BO44" s="4068">
        <f t="shared" si="35"/>
        <v>1.7698</v>
      </c>
      <c r="BQ44" s="3958">
        <f>BQ45</f>
        <v>2471.0309999999999</v>
      </c>
      <c r="BR44" s="2407">
        <f t="shared" ref="BR44" si="36">BR46+BR47</f>
        <v>0.54100000000000004</v>
      </c>
      <c r="BS44" s="2407">
        <f>BS45</f>
        <v>3723.6019999999999</v>
      </c>
      <c r="BT44" s="2407">
        <f t="shared" ref="BT44" si="37">BT46+BT47</f>
        <v>0.72599999999999998</v>
      </c>
      <c r="BU44" s="3292">
        <f>BU45</f>
        <v>0</v>
      </c>
      <c r="BV44" s="3293">
        <f t="shared" ref="BV44" si="38">BV46+BV47</f>
        <v>0</v>
      </c>
    </row>
    <row r="45" spans="1:76" ht="36" customHeight="1" x14ac:dyDescent="0.2">
      <c r="A45" s="3186" t="s">
        <v>520</v>
      </c>
      <c r="B45" s="3264"/>
      <c r="C45" s="3264"/>
      <c r="D45" s="3264"/>
      <c r="E45" s="3254">
        <f>SUM(E44-E46)</f>
        <v>4974</v>
      </c>
      <c r="F45" s="3255"/>
      <c r="G45" s="3254" t="e">
        <f>SUM(G44-G46)</f>
        <v>#REF!</v>
      </c>
      <c r="H45" s="3254">
        <f>SUM(H44-H46)</f>
        <v>3026.18</v>
      </c>
      <c r="I45" s="3254">
        <f>SUM(I44-I46)</f>
        <v>4470.7</v>
      </c>
      <c r="J45" s="3266"/>
      <c r="K45" s="3257">
        <f>SUM(K40-K42)</f>
        <v>6087.1</v>
      </c>
      <c r="L45" s="3257">
        <f>SUM(L44-L46)</f>
        <v>4999.8999999999996</v>
      </c>
      <c r="M45" s="2654">
        <f>M49+M47</f>
        <v>5004.2700000000004</v>
      </c>
      <c r="N45" s="3257"/>
      <c r="O45" s="3257" t="e">
        <f t="shared" si="16"/>
        <v>#REF!</v>
      </c>
      <c r="P45" s="3257">
        <f t="shared" ref="P45" si="39">SUM(P40-P42)</f>
        <v>2888.49</v>
      </c>
      <c r="Q45" s="3257"/>
      <c r="R45" s="2654">
        <f>R49+R47</f>
        <v>5666.93</v>
      </c>
      <c r="S45" s="3257"/>
      <c r="T45" s="2654">
        <f>SUM(T40-T42)</f>
        <v>5007.9369999999999</v>
      </c>
      <c r="U45" s="2654"/>
      <c r="V45" s="2654"/>
      <c r="W45" s="2654"/>
      <c r="X45" s="2654"/>
      <c r="Y45" s="2654"/>
      <c r="Z45" s="2654"/>
      <c r="AA45" s="2654">
        <f>AA49+AA47</f>
        <v>4967.9170000000004</v>
      </c>
      <c r="AB45" s="2654"/>
      <c r="AC45" s="3257">
        <f>SUM(AA45/45*100)</f>
        <v>11039.815555555557</v>
      </c>
      <c r="AD45" s="2654">
        <f>SUM(AD40-AD42)</f>
        <v>4986.5</v>
      </c>
      <c r="AE45" s="2654">
        <f>AE49+AE47</f>
        <v>4852.58</v>
      </c>
      <c r="AF45" s="2654"/>
      <c r="AG45" s="3254">
        <f>SUM(AE45/45*100)</f>
        <v>10783.511111111111</v>
      </c>
      <c r="AH45" s="2654">
        <f>AH49+AH47</f>
        <v>4718.25</v>
      </c>
      <c r="AI45" s="2654"/>
      <c r="AJ45" s="2654">
        <f>AJ49+AJ47</f>
        <v>4696.1394769613944</v>
      </c>
      <c r="AK45" s="2654">
        <v>0</v>
      </c>
      <c r="AL45" s="2654">
        <f>AL49+AL47</f>
        <v>4530</v>
      </c>
      <c r="AM45" s="2654"/>
      <c r="AN45" s="2654">
        <f>AN49+AN47</f>
        <v>5362.93</v>
      </c>
      <c r="AO45" s="2654"/>
      <c r="AP45" s="2654">
        <f>AP49+AP47</f>
        <v>4552.6774595267743</v>
      </c>
      <c r="AQ45" s="2654">
        <v>0</v>
      </c>
      <c r="AR45" s="2654">
        <f>AR49+AR47</f>
        <v>4488.4430136986302</v>
      </c>
      <c r="AS45" s="2654">
        <v>0</v>
      </c>
      <c r="AT45" s="2654">
        <f>AT47+AT49</f>
        <v>4358.7980000000007</v>
      </c>
      <c r="AU45" s="2654"/>
      <c r="AV45" s="2654">
        <f>AV47+AV49</f>
        <v>5822.11</v>
      </c>
      <c r="AW45" s="2654"/>
      <c r="AX45" s="2654">
        <f>AX49+AX47</f>
        <v>5145</v>
      </c>
      <c r="AY45" s="2654"/>
      <c r="AZ45" s="2654">
        <f>AZ49+AZ47</f>
        <v>5059.084346328933</v>
      </c>
      <c r="BA45" s="2654"/>
      <c r="BB45" s="2654">
        <f>BB49+BB47</f>
        <v>5059.084346328933</v>
      </c>
      <c r="BC45" s="2654"/>
      <c r="BD45" s="2654">
        <f>BD49+BD47</f>
        <v>4800.4329999999991</v>
      </c>
      <c r="BE45" s="2654"/>
      <c r="BF45" s="2654">
        <f>BF49+BF47</f>
        <v>2986.3040000000001</v>
      </c>
      <c r="BG45" s="2654"/>
      <c r="BH45" s="2654">
        <f>BH49+BH47</f>
        <v>4273.22</v>
      </c>
      <c r="BI45" s="2654"/>
      <c r="BJ45" s="2654">
        <f>BJ49+BJ47</f>
        <v>5511.8455000000004</v>
      </c>
      <c r="BK45" s="2654"/>
      <c r="BL45" s="2412">
        <f>BL49+BL47</f>
        <v>4800.4329999999991</v>
      </c>
      <c r="BM45" s="2412"/>
      <c r="BN45" s="4069">
        <f>BN49+BN47</f>
        <v>4844.2269999999999</v>
      </c>
      <c r="BO45" s="4069"/>
      <c r="BP45" s="155">
        <f>S44-Q44</f>
        <v>4.5199999999999996</v>
      </c>
      <c r="BQ45" s="3959">
        <f>BQ49+BQ47</f>
        <v>2471.0309999999999</v>
      </c>
      <c r="BR45" s="2412"/>
      <c r="BS45" s="2412">
        <f>BS49+BS47</f>
        <v>3723.6019999999999</v>
      </c>
      <c r="BT45" s="2412"/>
      <c r="BU45" s="3294">
        <f>BU49+BU47</f>
        <v>0</v>
      </c>
      <c r="BV45" s="3295"/>
    </row>
    <row r="46" spans="1:76" ht="36" customHeight="1" x14ac:dyDescent="0.2">
      <c r="A46" s="3186" t="s">
        <v>519</v>
      </c>
      <c r="B46" s="3264"/>
      <c r="C46" s="3264"/>
      <c r="D46" s="3264"/>
      <c r="E46" s="3254">
        <v>25</v>
      </c>
      <c r="F46" s="3255"/>
      <c r="G46" s="3254">
        <v>46</v>
      </c>
      <c r="H46" s="3254">
        <v>28</v>
      </c>
      <c r="I46" s="3254">
        <v>38.5</v>
      </c>
      <c r="J46" s="3266"/>
      <c r="K46" s="3257">
        <f>SUM(K41)</f>
        <v>49.8</v>
      </c>
      <c r="L46" s="3257">
        <v>46.13</v>
      </c>
      <c r="M46" s="3257">
        <v>46.13</v>
      </c>
      <c r="N46" s="3257">
        <v>0</v>
      </c>
      <c r="O46" s="3257">
        <f t="shared" si="16"/>
        <v>100.28260869565217</v>
      </c>
      <c r="P46" s="3257">
        <f t="shared" ref="P46" si="40">SUM(P41)</f>
        <v>0</v>
      </c>
      <c r="Q46" s="3257">
        <f>Q39-Q42</f>
        <v>13.7</v>
      </c>
      <c r="R46" s="3257">
        <v>0</v>
      </c>
      <c r="S46" s="3257">
        <v>18.22</v>
      </c>
      <c r="T46" s="2654">
        <f>SUM(T41)</f>
        <v>21.42</v>
      </c>
      <c r="U46" s="2654"/>
      <c r="V46" s="2654"/>
      <c r="W46" s="2654"/>
      <c r="X46" s="2654"/>
      <c r="Y46" s="2654"/>
      <c r="Z46" s="2654"/>
      <c r="AA46" s="2654">
        <f>SUM(AA41)</f>
        <v>0</v>
      </c>
      <c r="AB46" s="2654">
        <f>AB49</f>
        <v>21.42</v>
      </c>
      <c r="AC46" s="3257">
        <f>SUM(AA46/46*100)</f>
        <v>0</v>
      </c>
      <c r="AD46" s="2654">
        <f>SUM(AD41)</f>
        <v>46.13</v>
      </c>
      <c r="AE46" s="2654">
        <f>SUM(AE41)</f>
        <v>0</v>
      </c>
      <c r="AF46" s="2654">
        <f>AF49</f>
        <v>21.42</v>
      </c>
      <c r="AG46" s="3254">
        <f>SUM(AE46/46*100)</f>
        <v>0</v>
      </c>
      <c r="AH46" s="2654">
        <f>SUM(AH41)</f>
        <v>0</v>
      </c>
      <c r="AI46" s="2654">
        <f>AI49</f>
        <v>18</v>
      </c>
      <c r="AJ46" s="2654">
        <f>SUM(AJ41)</f>
        <v>0</v>
      </c>
      <c r="AK46" s="2654">
        <f>AK49</f>
        <v>20.349</v>
      </c>
      <c r="AL46" s="2654">
        <f>SUM(AL41)</f>
        <v>0</v>
      </c>
      <c r="AM46" s="2654">
        <f>AM49</f>
        <v>20</v>
      </c>
      <c r="AN46" s="2654">
        <v>0</v>
      </c>
      <c r="AO46" s="2654">
        <f>AO49</f>
        <v>1.77</v>
      </c>
      <c r="AP46" s="2654">
        <v>0</v>
      </c>
      <c r="AQ46" s="2654">
        <f>AQ49</f>
        <v>1.77</v>
      </c>
      <c r="AR46" s="2654">
        <f>SUM(AR41)</f>
        <v>0</v>
      </c>
      <c r="AS46" s="2654">
        <f>AS49</f>
        <v>21.42</v>
      </c>
      <c r="AT46" s="2654"/>
      <c r="AU46" s="2654">
        <v>1.171</v>
      </c>
      <c r="AV46" s="2654"/>
      <c r="AW46" s="2654">
        <v>1.33</v>
      </c>
      <c r="AX46" s="2654"/>
      <c r="AY46" s="2654">
        <f>AY49+AY47</f>
        <v>5</v>
      </c>
      <c r="AZ46" s="2654"/>
      <c r="BA46" s="2654">
        <f>BA49</f>
        <v>1.77</v>
      </c>
      <c r="BB46" s="2654"/>
      <c r="BC46" s="2654">
        <f>BC49</f>
        <v>1.77</v>
      </c>
      <c r="BD46" s="2654"/>
      <c r="BE46" s="2654">
        <f>BE49</f>
        <v>1.77</v>
      </c>
      <c r="BF46" s="2654"/>
      <c r="BG46" s="2654">
        <f>BG49</f>
        <v>0.55800000000000005</v>
      </c>
      <c r="BH46" s="2654"/>
      <c r="BI46" s="2654">
        <f>BI49</f>
        <v>0.82899999999999996</v>
      </c>
      <c r="BJ46" s="2654"/>
      <c r="BK46" s="2654">
        <f>BK49</f>
        <v>1.129</v>
      </c>
      <c r="BL46" s="2412"/>
      <c r="BM46" s="2412">
        <f>BM49</f>
        <v>1.77</v>
      </c>
      <c r="BN46" s="4069"/>
      <c r="BO46" s="4069">
        <f>BO49</f>
        <v>1.7698</v>
      </c>
      <c r="BQ46" s="3959"/>
      <c r="BR46" s="2412">
        <f>BR49</f>
        <v>0.54100000000000004</v>
      </c>
      <c r="BS46" s="2412"/>
      <c r="BT46" s="2412">
        <f>BT49</f>
        <v>0.72599999999999998</v>
      </c>
      <c r="BU46" s="3294"/>
      <c r="BV46" s="3295">
        <f>BV49</f>
        <v>0</v>
      </c>
      <c r="BX46" s="155"/>
    </row>
    <row r="47" spans="1:76" ht="36" customHeight="1" x14ac:dyDescent="0.2">
      <c r="A47" s="3186" t="s">
        <v>51</v>
      </c>
      <c r="B47" s="2755"/>
      <c r="C47" s="2755"/>
      <c r="D47" s="2755"/>
      <c r="E47" s="3254">
        <v>999</v>
      </c>
      <c r="F47" s="3254" t="e">
        <f>E47/C47*100</f>
        <v>#DIV/0!</v>
      </c>
      <c r="G47" s="3254">
        <f>E47</f>
        <v>999</v>
      </c>
      <c r="H47" s="3254">
        <v>981.98</v>
      </c>
      <c r="I47" s="3254">
        <v>1481.3</v>
      </c>
      <c r="J47" s="3258"/>
      <c r="K47" s="3257">
        <v>2097.9</v>
      </c>
      <c r="L47" s="3257">
        <v>1007.9</v>
      </c>
      <c r="M47" s="3257">
        <v>998</v>
      </c>
      <c r="N47" s="3257"/>
      <c r="O47" s="3257">
        <f t="shared" si="16"/>
        <v>99.899899899899907</v>
      </c>
      <c r="P47" s="3257">
        <v>911.71</v>
      </c>
      <c r="Q47" s="3257">
        <v>0</v>
      </c>
      <c r="R47" s="3257">
        <v>1904.73</v>
      </c>
      <c r="S47" s="3257"/>
      <c r="T47" s="2654">
        <v>997.3</v>
      </c>
      <c r="U47" s="2654">
        <v>1134.54</v>
      </c>
      <c r="V47" s="2654"/>
      <c r="W47" s="2654">
        <v>1577.89</v>
      </c>
      <c r="X47" s="2654"/>
      <c r="Y47" s="2654">
        <f>(Y49+Z49)/80.3*19.7</f>
        <v>875.51902864259023</v>
      </c>
      <c r="Z47" s="2654"/>
      <c r="AA47" s="2654">
        <v>978.7</v>
      </c>
      <c r="AB47" s="2654"/>
      <c r="AC47" s="3257">
        <f t="shared" ref="AC47:AC59" si="41">SUM(AA47/M47*100)</f>
        <v>98.06613226452906</v>
      </c>
      <c r="AD47" s="2654">
        <v>997.3</v>
      </c>
      <c r="AE47" s="2654">
        <v>956</v>
      </c>
      <c r="AF47" s="2654"/>
      <c r="AG47" s="3254" t="e">
        <f t="shared" ref="AG47:AG59" si="42">SUM(AE47/Q47*100)</f>
        <v>#DIV/0!</v>
      </c>
      <c r="AH47" s="2654">
        <v>947.25</v>
      </c>
      <c r="AI47" s="2654"/>
      <c r="AJ47" s="2654">
        <f>(AJ49)*19.7/80.3</f>
        <v>925.13947696139473</v>
      </c>
      <c r="AK47" s="2654"/>
      <c r="AL47" s="2654">
        <v>930</v>
      </c>
      <c r="AM47" s="2654"/>
      <c r="AN47" s="2654">
        <v>1707.13</v>
      </c>
      <c r="AO47" s="2654">
        <v>0</v>
      </c>
      <c r="AP47" s="2654">
        <f>(AP49)*19.7/80.3</f>
        <v>896.8774595267746</v>
      </c>
      <c r="AQ47" s="2654"/>
      <c r="AR47" s="2654">
        <f>(AR49+AS49)*19.7/80.3</f>
        <v>888.44301369863024</v>
      </c>
      <c r="AS47" s="2654"/>
      <c r="AT47" s="2654">
        <v>1590.7380000000001</v>
      </c>
      <c r="AU47" s="2654"/>
      <c r="AV47" s="2654">
        <v>2163.58</v>
      </c>
      <c r="AW47" s="2654"/>
      <c r="AX47" s="2654">
        <v>1545</v>
      </c>
      <c r="AY47" s="2654">
        <v>0</v>
      </c>
      <c r="AZ47" s="2654">
        <f>потери!H122/1000</f>
        <v>1398.4594229955999</v>
      </c>
      <c r="BA47" s="2654"/>
      <c r="BB47" s="2654">
        <f>SUM(AZ47)</f>
        <v>1398.4594229955999</v>
      </c>
      <c r="BC47" s="2654"/>
      <c r="BD47" s="2654">
        <v>1327.473</v>
      </c>
      <c r="BE47" s="2654"/>
      <c r="BF47" s="2654">
        <v>1235.373</v>
      </c>
      <c r="BG47" s="2654"/>
      <c r="BH47" s="2654">
        <v>1634.7919999999999</v>
      </c>
      <c r="BI47" s="2654"/>
      <c r="BJ47" s="2654">
        <v>1983.9725000000001</v>
      </c>
      <c r="BK47" s="2654"/>
      <c r="BL47" s="2412">
        <v>1327.473</v>
      </c>
      <c r="BM47" s="2412"/>
      <c r="BN47" s="4069">
        <v>1339.557</v>
      </c>
      <c r="BO47" s="4069"/>
      <c r="BQ47" s="3959">
        <v>702.649</v>
      </c>
      <c r="BR47" s="2412"/>
      <c r="BS47" s="2412">
        <v>1091.2809999999999</v>
      </c>
      <c r="BT47" s="2412"/>
      <c r="BU47" s="3294"/>
      <c r="BV47" s="3295"/>
    </row>
    <row r="48" spans="1:76" s="181" customFormat="1" ht="36" customHeight="1" x14ac:dyDescent="0.2">
      <c r="A48" s="3053" t="s">
        <v>111</v>
      </c>
      <c r="B48" s="3259"/>
      <c r="C48" s="3259"/>
      <c r="D48" s="3259"/>
      <c r="E48" s="3267">
        <f>E47/E44*100</f>
        <v>19.983996799359872</v>
      </c>
      <c r="F48" s="3255"/>
      <c r="G48" s="3255" t="e">
        <f>G47/G44*100</f>
        <v>#REF!</v>
      </c>
      <c r="H48" s="3255">
        <f>H47/H44*100</f>
        <v>32.152001519229387</v>
      </c>
      <c r="I48" s="3255">
        <f>I47/I44*100</f>
        <v>32.850616517342324</v>
      </c>
      <c r="J48" s="3261"/>
      <c r="K48" s="3268">
        <f>K47/K44*100</f>
        <v>34.18501197673092</v>
      </c>
      <c r="L48" s="2754">
        <f>L47/L44*100</f>
        <v>19.974118267231862</v>
      </c>
      <c r="M48" s="2754">
        <f>M47/(M44+N44)*100</f>
        <v>19.760811024869316</v>
      </c>
      <c r="N48" s="2754"/>
      <c r="O48" s="3257" t="e">
        <f t="shared" si="16"/>
        <v>#REF!</v>
      </c>
      <c r="P48" s="3268">
        <f t="shared" ref="P48:Q48" si="43">P47/P44*100</f>
        <v>31.563550505627514</v>
      </c>
      <c r="Q48" s="3268">
        <f t="shared" si="43"/>
        <v>0</v>
      </c>
      <c r="R48" s="2754">
        <f>R47/R44*100</f>
        <v>33.611320415110121</v>
      </c>
      <c r="S48" s="2754"/>
      <c r="T48" s="3269">
        <f>T47/T44*100</f>
        <v>19.914387900646513</v>
      </c>
      <c r="U48" s="3270">
        <f>U47/U44</f>
        <v>0.29827116612158622</v>
      </c>
      <c r="V48" s="3269"/>
      <c r="W48" s="3270">
        <f>W47/W44</f>
        <v>0.30673006455776664</v>
      </c>
      <c r="X48" s="3269"/>
      <c r="Y48" s="3270">
        <f>Y47/Y44</f>
        <v>0.19710644191923946</v>
      </c>
      <c r="Z48" s="3269"/>
      <c r="AA48" s="3269">
        <f>AA47/AA44*100</f>
        <v>19.700409648550892</v>
      </c>
      <c r="AB48" s="3269"/>
      <c r="AC48" s="3257">
        <f t="shared" si="41"/>
        <v>99.694337564169771</v>
      </c>
      <c r="AD48" s="3269">
        <f>AD47/AD44*100</f>
        <v>19.816676370009318</v>
      </c>
      <c r="AE48" s="3269">
        <f>AE47/AE44*100</f>
        <v>19.700860160986526</v>
      </c>
      <c r="AF48" s="3269"/>
      <c r="AG48" s="3254" t="e">
        <f t="shared" si="42"/>
        <v>#DIV/0!</v>
      </c>
      <c r="AH48" s="3269">
        <f>AH47/AH44*100</f>
        <v>20.076299475441107</v>
      </c>
      <c r="AI48" s="3269"/>
      <c r="AJ48" s="3268">
        <f>AJ47/(AJ44+AK44)*100</f>
        <v>19.615005559335476</v>
      </c>
      <c r="AK48" s="3268">
        <f t="shared" ref="AK48:AQ48" si="44">AK47/(AK44+AL44)*100</f>
        <v>0</v>
      </c>
      <c r="AL48" s="3268">
        <f t="shared" si="44"/>
        <v>97.894736842105274</v>
      </c>
      <c r="AM48" s="3268">
        <f t="shared" si="44"/>
        <v>0</v>
      </c>
      <c r="AN48" s="3268">
        <f t="shared" si="44"/>
        <v>31.821537085018729</v>
      </c>
      <c r="AO48" s="3268">
        <f t="shared" si="44"/>
        <v>0</v>
      </c>
      <c r="AP48" s="3268">
        <f>AP47/(AP44+AQ44)*100</f>
        <v>19.692343967010299</v>
      </c>
      <c r="AQ48" s="3268">
        <f t="shared" si="44"/>
        <v>0</v>
      </c>
      <c r="AR48" s="3268">
        <f>AR47/(AR44+AS44)*100</f>
        <v>19.7</v>
      </c>
      <c r="AS48" s="3269"/>
      <c r="AT48" s="3268">
        <f>AT47/(AT44+AU44)*100</f>
        <v>36.485075925998551</v>
      </c>
      <c r="AU48" s="3269"/>
      <c r="AV48" s="3268">
        <f>AV47/(AV44+AW44)*100</f>
        <v>37.152954267580675</v>
      </c>
      <c r="AW48" s="3269"/>
      <c r="AX48" s="3269">
        <f>AX47/AX44*100</f>
        <v>30.029154518950435</v>
      </c>
      <c r="AY48" s="3269">
        <f t="shared" ref="AY48:BJ48" si="45">AY47/AY44*100</f>
        <v>0</v>
      </c>
      <c r="AZ48" s="2656">
        <f t="shared" si="45"/>
        <v>27.642540176472369</v>
      </c>
      <c r="BA48" s="3269">
        <v>0</v>
      </c>
      <c r="BB48" s="2656">
        <f>SUM(AZ48)</f>
        <v>27.642540176472369</v>
      </c>
      <c r="BC48" s="3269">
        <v>0</v>
      </c>
      <c r="BD48" s="2656">
        <f t="shared" si="45"/>
        <v>27.653192951552501</v>
      </c>
      <c r="BE48" s="3269">
        <v>0</v>
      </c>
      <c r="BF48" s="2656">
        <f t="shared" si="45"/>
        <v>41.367958519963139</v>
      </c>
      <c r="BG48" s="2656">
        <v>0</v>
      </c>
      <c r="BH48" s="2656">
        <f t="shared" si="45"/>
        <v>38.256677634196222</v>
      </c>
      <c r="BI48" s="2656">
        <v>0</v>
      </c>
      <c r="BJ48" s="2656">
        <f t="shared" si="45"/>
        <v>35.994704495980514</v>
      </c>
      <c r="BK48" s="2656">
        <v>0</v>
      </c>
      <c r="BL48" s="2422">
        <f t="shared" ref="BL48:BN48" si="46">BL47/BL44*100</f>
        <v>27.653192951552501</v>
      </c>
      <c r="BM48" s="2415">
        <v>0</v>
      </c>
      <c r="BN48" s="4071">
        <f t="shared" si="46"/>
        <v>27.652647161249877</v>
      </c>
      <c r="BO48" s="4072">
        <v>0</v>
      </c>
      <c r="BQ48" s="3961">
        <f t="shared" ref="BQ48" si="47">BQ47/BQ44*100</f>
        <v>28.435458721481034</v>
      </c>
      <c r="BR48" s="2422">
        <v>0</v>
      </c>
      <c r="BS48" s="2422">
        <f t="shared" ref="BS48" si="48">BS47/BS44*100</f>
        <v>29.30713325430591</v>
      </c>
      <c r="BT48" s="2422">
        <v>0</v>
      </c>
      <c r="BU48" s="3298" t="e">
        <f t="shared" ref="BU48" si="49">BU47/BU44*100</f>
        <v>#DIV/0!</v>
      </c>
      <c r="BV48" s="3986">
        <v>0</v>
      </c>
    </row>
    <row r="49" spans="1:74" ht="36" customHeight="1" x14ac:dyDescent="0.2">
      <c r="A49" s="3095" t="s">
        <v>517</v>
      </c>
      <c r="B49" s="3264"/>
      <c r="C49" s="3264"/>
      <c r="D49" s="3264"/>
      <c r="E49" s="3256">
        <f>SUM(E50:E52)</f>
        <v>4000</v>
      </c>
      <c r="F49" s="3265" t="e">
        <f>E49/C49*100</f>
        <v>#DIV/0!</v>
      </c>
      <c r="G49" s="3256" t="e">
        <f>SUM(G50:G52)</f>
        <v>#REF!</v>
      </c>
      <c r="H49" s="3256">
        <f>SUM(H50:H52)</f>
        <v>2072.1999999999998</v>
      </c>
      <c r="I49" s="3256">
        <f>SUM(I50:I52)</f>
        <v>3027.8999999999996</v>
      </c>
      <c r="J49" s="3266"/>
      <c r="K49" s="2758">
        <f>SUM(K50:K52)</f>
        <v>4039</v>
      </c>
      <c r="L49" s="2746">
        <f>SUM(L50:L52)</f>
        <v>4038.13</v>
      </c>
      <c r="M49" s="2746">
        <f>SUM(M50:M57)</f>
        <v>4006.27</v>
      </c>
      <c r="N49" s="2746">
        <f>SUM(N50:N57)</f>
        <v>46.13</v>
      </c>
      <c r="O49" s="2746" t="e">
        <f t="shared" si="16"/>
        <v>#REF!</v>
      </c>
      <c r="P49" s="2758">
        <f>SUM(P50:P57)</f>
        <v>1976.78</v>
      </c>
      <c r="Q49" s="2758">
        <f t="shared" ref="Q49" si="50">SUM(Q50:Q52)</f>
        <v>13.7</v>
      </c>
      <c r="R49" s="2746">
        <f t="shared" ref="R49:AB49" si="51">SUM(R50:R57)</f>
        <v>3762.2000000000003</v>
      </c>
      <c r="S49" s="2746">
        <f t="shared" si="51"/>
        <v>18.22</v>
      </c>
      <c r="T49" s="2746">
        <f t="shared" si="51"/>
        <v>4010.6369999999997</v>
      </c>
      <c r="U49" s="2746">
        <f t="shared" si="51"/>
        <v>2669.18</v>
      </c>
      <c r="V49" s="2746">
        <f t="shared" si="51"/>
        <v>1.95</v>
      </c>
      <c r="W49" s="2746">
        <f t="shared" si="51"/>
        <v>3566.34</v>
      </c>
      <c r="X49" s="2746">
        <f t="shared" si="51"/>
        <v>2.4</v>
      </c>
      <c r="Y49" s="2746">
        <f t="shared" si="51"/>
        <v>3566.34</v>
      </c>
      <c r="Z49" s="2746">
        <f t="shared" si="51"/>
        <v>2.4</v>
      </c>
      <c r="AA49" s="2653">
        <f t="shared" si="51"/>
        <v>3989.2170000000001</v>
      </c>
      <c r="AB49" s="2653">
        <f t="shared" si="51"/>
        <v>21.42</v>
      </c>
      <c r="AC49" s="2658">
        <f t="shared" si="41"/>
        <v>99.574342218572383</v>
      </c>
      <c r="AD49" s="2653">
        <f>SUM(AD50:AD57)</f>
        <v>4039.0169999999998</v>
      </c>
      <c r="AE49" s="2653">
        <f>SUM(AE50:AE57)</f>
        <v>3896.5800000000004</v>
      </c>
      <c r="AF49" s="2653">
        <f>SUM(AF50:AF57)</f>
        <v>21.42</v>
      </c>
      <c r="AG49" s="3271">
        <f t="shared" si="42"/>
        <v>28442.189781021905</v>
      </c>
      <c r="AH49" s="2653">
        <f t="shared" ref="AH49:AU49" si="52">SUM(AH50:AH57)</f>
        <v>3771</v>
      </c>
      <c r="AI49" s="2653">
        <f t="shared" si="52"/>
        <v>18</v>
      </c>
      <c r="AJ49" s="2653">
        <f t="shared" si="52"/>
        <v>3771</v>
      </c>
      <c r="AK49" s="2653">
        <f t="shared" si="52"/>
        <v>20.349</v>
      </c>
      <c r="AL49" s="2653">
        <f t="shared" si="52"/>
        <v>3600</v>
      </c>
      <c r="AM49" s="2653">
        <f t="shared" si="52"/>
        <v>20</v>
      </c>
      <c r="AN49" s="2653">
        <f t="shared" si="52"/>
        <v>3655.8</v>
      </c>
      <c r="AO49" s="2653">
        <f t="shared" si="52"/>
        <v>1.77</v>
      </c>
      <c r="AP49" s="2653">
        <f t="shared" si="52"/>
        <v>3655.8</v>
      </c>
      <c r="AQ49" s="2653">
        <f t="shared" si="52"/>
        <v>1.77</v>
      </c>
      <c r="AR49" s="2653">
        <f t="shared" si="52"/>
        <v>3600</v>
      </c>
      <c r="AS49" s="2653">
        <f t="shared" si="52"/>
        <v>21.42</v>
      </c>
      <c r="AT49" s="2653">
        <f t="shared" si="52"/>
        <v>2768.0600000000004</v>
      </c>
      <c r="AU49" s="2653">
        <f t="shared" si="52"/>
        <v>1.171</v>
      </c>
      <c r="AV49" s="2653">
        <f>SUM(AV50:AV57)-AV53-AV54-AV55-AV56</f>
        <v>3658.5299999999997</v>
      </c>
      <c r="AW49" s="2653">
        <f>SUM(AW50:AW57)</f>
        <v>1.33</v>
      </c>
      <c r="AX49" s="2653">
        <f>SUM(AX50:AX57)</f>
        <v>3600</v>
      </c>
      <c r="AY49" s="2653">
        <f>SUM(AY50:AY57)</f>
        <v>5</v>
      </c>
      <c r="AZ49" s="2653">
        <f>AZ50+AZ52+AZ57</f>
        <v>3660.6249233333333</v>
      </c>
      <c r="BA49" s="2653">
        <f>BA50+BA51+BA52+BA57</f>
        <v>1.77</v>
      </c>
      <c r="BB49" s="2653">
        <f>BB50+BB52+BB57</f>
        <v>3660.6249233333333</v>
      </c>
      <c r="BC49" s="2653">
        <f>BC50+BC51+BC52+BC57</f>
        <v>1.77</v>
      </c>
      <c r="BD49" s="2653">
        <f>BD50+BD52+BD57</f>
        <v>3472.9599999999996</v>
      </c>
      <c r="BE49" s="2653">
        <f>BE50+BE51+BE52+BE57</f>
        <v>1.77</v>
      </c>
      <c r="BF49" s="2653">
        <f>BF50+BF52+BF57</f>
        <v>1750.931</v>
      </c>
      <c r="BG49" s="2653">
        <f>BG50+BG51+BG52+BG57</f>
        <v>0.55800000000000005</v>
      </c>
      <c r="BH49" s="2653">
        <f>BH50+BH52+BH57</f>
        <v>2638.4280000000003</v>
      </c>
      <c r="BI49" s="2653">
        <f>BI50+BI51+BI52+BI57</f>
        <v>0.82899999999999996</v>
      </c>
      <c r="BJ49" s="2653">
        <f>BJ50+BJ52+BJ57</f>
        <v>3527.873</v>
      </c>
      <c r="BK49" s="2653">
        <f>BK50+BK51+BK52+BK57</f>
        <v>1.129</v>
      </c>
      <c r="BL49" s="2407">
        <f>BL50+BL52+BL57</f>
        <v>3472.9599999999996</v>
      </c>
      <c r="BM49" s="2407">
        <f>BM50+BM51+BM52+BM57</f>
        <v>1.77</v>
      </c>
      <c r="BN49" s="4068">
        <f>BN50+BN52+BN57</f>
        <v>3504.67</v>
      </c>
      <c r="BO49" s="4068">
        <f>BO50+BO51+BO52+BO57</f>
        <v>1.7698</v>
      </c>
      <c r="BQ49" s="3958">
        <f>BQ50+BQ52+BQ57</f>
        <v>1768.3819999999998</v>
      </c>
      <c r="BR49" s="2407">
        <f>BR50+BR51+BR52+BR57</f>
        <v>0.54100000000000004</v>
      </c>
      <c r="BS49" s="2407">
        <f>BS50+BS52+BS57</f>
        <v>2632.3209999999999</v>
      </c>
      <c r="BT49" s="2407">
        <f>BT50+BT51+BT52+BT57</f>
        <v>0.72599999999999998</v>
      </c>
      <c r="BU49" s="3292">
        <f>BU50+BU52+BU57</f>
        <v>0</v>
      </c>
      <c r="BV49" s="3293">
        <f>BV50+BV51+BV52+BV57</f>
        <v>0</v>
      </c>
    </row>
    <row r="50" spans="1:74" ht="30" customHeight="1" x14ac:dyDescent="0.2">
      <c r="A50" s="3186" t="s">
        <v>24</v>
      </c>
      <c r="B50" s="2755"/>
      <c r="C50" s="2755"/>
      <c r="D50" s="2755"/>
      <c r="E50" s="3254">
        <v>2800</v>
      </c>
      <c r="F50" s="3254" t="e">
        <f>E50/C50*100</f>
        <v>#DIV/0!</v>
      </c>
      <c r="G50" s="3254">
        <f>E50</f>
        <v>2800</v>
      </c>
      <c r="H50" s="3254">
        <f>1426.4</f>
        <v>1426.4</v>
      </c>
      <c r="I50" s="3254">
        <v>2084.6999999999998</v>
      </c>
      <c r="J50" s="3258"/>
      <c r="K50" s="3231">
        <v>2780.7</v>
      </c>
      <c r="L50" s="3257">
        <v>2800</v>
      </c>
      <c r="M50" s="3257">
        <v>2445.42</v>
      </c>
      <c r="N50" s="3257"/>
      <c r="O50" s="3257">
        <f t="shared" si="16"/>
        <v>87.33642857142857</v>
      </c>
      <c r="P50" s="3231">
        <v>1238.5999999999999</v>
      </c>
      <c r="Q50" s="3231"/>
      <c r="R50" s="3257">
        <v>2377.86</v>
      </c>
      <c r="S50" s="3257"/>
      <c r="T50" s="2654">
        <v>2428.56</v>
      </c>
      <c r="U50" s="2654">
        <v>1744.17</v>
      </c>
      <c r="V50" s="2654"/>
      <c r="W50" s="2654">
        <v>2311.15</v>
      </c>
      <c r="X50" s="2654"/>
      <c r="Y50" s="2654">
        <v>2311.15</v>
      </c>
      <c r="Z50" s="2654"/>
      <c r="AA50" s="2654">
        <f>T50</f>
        <v>2428.56</v>
      </c>
      <c r="AB50" s="2654">
        <v>0</v>
      </c>
      <c r="AC50" s="3257">
        <f t="shared" si="41"/>
        <v>99.310547881345528</v>
      </c>
      <c r="AD50" s="2654">
        <v>2428.56</v>
      </c>
      <c r="AE50" s="2654">
        <v>2388.7330000000002</v>
      </c>
      <c r="AF50" s="2654">
        <v>0</v>
      </c>
      <c r="AG50" s="3254" t="e">
        <f t="shared" si="42"/>
        <v>#DIV/0!</v>
      </c>
      <c r="AH50" s="2654">
        <v>2380</v>
      </c>
      <c r="AI50" s="2654">
        <v>0</v>
      </c>
      <c r="AJ50" s="2654">
        <v>2380</v>
      </c>
      <c r="AK50" s="2654">
        <v>0</v>
      </c>
      <c r="AL50" s="2654">
        <v>2360</v>
      </c>
      <c r="AM50" s="2654">
        <v>0</v>
      </c>
      <c r="AN50" s="2654">
        <v>2447.77</v>
      </c>
      <c r="AO50" s="2654">
        <v>0</v>
      </c>
      <c r="AP50" s="2654">
        <v>2447.77</v>
      </c>
      <c r="AQ50" s="2654"/>
      <c r="AR50" s="2654">
        <v>2360</v>
      </c>
      <c r="AS50" s="2654">
        <v>0</v>
      </c>
      <c r="AT50" s="2654">
        <v>1845.43</v>
      </c>
      <c r="AU50" s="2654"/>
      <c r="AV50" s="2654">
        <v>2423.98</v>
      </c>
      <c r="AW50" s="2654"/>
      <c r="AX50" s="2654">
        <v>2360</v>
      </c>
      <c r="AY50" s="2654"/>
      <c r="AZ50" s="2654">
        <f>AT50/9*12</f>
        <v>2460.5733333333333</v>
      </c>
      <c r="BA50" s="2654"/>
      <c r="BB50" s="2654">
        <f>SUM(AZ50)</f>
        <v>2460.5733333333333</v>
      </c>
      <c r="BC50" s="2654"/>
      <c r="BD50" s="2654">
        <v>2302.7809999999999</v>
      </c>
      <c r="BE50" s="2654"/>
      <c r="BF50" s="2654">
        <v>1191.5940000000001</v>
      </c>
      <c r="BG50" s="2654"/>
      <c r="BH50" s="2654">
        <v>1796.0029999999999</v>
      </c>
      <c r="BI50" s="2654"/>
      <c r="BJ50" s="2654">
        <v>2389.7370000000001</v>
      </c>
      <c r="BK50" s="2654"/>
      <c r="BL50" s="2412">
        <v>2302.7809999999999</v>
      </c>
      <c r="BM50" s="2412"/>
      <c r="BN50" s="4069">
        <v>2374.02</v>
      </c>
      <c r="BO50" s="4069"/>
      <c r="BQ50" s="3959">
        <v>1221.021</v>
      </c>
      <c r="BR50" s="2412"/>
      <c r="BS50" s="2412">
        <v>1813.961</v>
      </c>
      <c r="BT50" s="2412"/>
      <c r="BU50" s="3294"/>
      <c r="BV50" s="3295"/>
    </row>
    <row r="51" spans="1:74" ht="28.5" customHeight="1" x14ac:dyDescent="0.2">
      <c r="A51" s="3186" t="s">
        <v>25</v>
      </c>
      <c r="B51" s="2755"/>
      <c r="C51" s="2755"/>
      <c r="D51" s="2755"/>
      <c r="E51" s="3254">
        <v>25</v>
      </c>
      <c r="F51" s="3254" t="e">
        <f>E51/C51*100</f>
        <v>#DIV/0!</v>
      </c>
      <c r="G51" s="3254" t="e">
        <f>#REF!</f>
        <v>#REF!</v>
      </c>
      <c r="H51" s="3254">
        <v>28</v>
      </c>
      <c r="I51" s="3254">
        <v>38.5</v>
      </c>
      <c r="J51" s="3258"/>
      <c r="K51" s="3231">
        <v>49.8</v>
      </c>
      <c r="L51" s="3257">
        <v>46.13</v>
      </c>
      <c r="M51" s="3257">
        <v>0</v>
      </c>
      <c r="N51" s="3257">
        <v>46.13</v>
      </c>
      <c r="O51" s="3257" t="e">
        <f t="shared" si="16"/>
        <v>#REF!</v>
      </c>
      <c r="P51" s="3231"/>
      <c r="Q51" s="3231">
        <v>13.7</v>
      </c>
      <c r="R51" s="3257">
        <v>0</v>
      </c>
      <c r="S51" s="3257">
        <v>18.22</v>
      </c>
      <c r="T51" s="2654">
        <v>21.42</v>
      </c>
      <c r="U51" s="2654"/>
      <c r="V51" s="2654">
        <v>1.95</v>
      </c>
      <c r="W51" s="2654"/>
      <c r="X51" s="2654">
        <v>2.4</v>
      </c>
      <c r="Y51" s="2654"/>
      <c r="Z51" s="2654">
        <v>2.4</v>
      </c>
      <c r="AA51" s="2654"/>
      <c r="AB51" s="2654">
        <v>21.42</v>
      </c>
      <c r="AC51" s="3257" t="e">
        <f t="shared" si="41"/>
        <v>#DIV/0!</v>
      </c>
      <c r="AD51" s="2654">
        <v>49.8</v>
      </c>
      <c r="AE51" s="2654"/>
      <c r="AF51" s="2654">
        <f>AB51</f>
        <v>21.42</v>
      </c>
      <c r="AG51" s="3254">
        <f t="shared" si="42"/>
        <v>0</v>
      </c>
      <c r="AH51" s="2654"/>
      <c r="AI51" s="2654">
        <v>18</v>
      </c>
      <c r="AJ51" s="2654"/>
      <c r="AK51" s="2654">
        <f>AB51*(1-0.05)</f>
        <v>20.349</v>
      </c>
      <c r="AL51" s="2654"/>
      <c r="AM51" s="2654">
        <v>20</v>
      </c>
      <c r="AN51" s="2654">
        <v>0</v>
      </c>
      <c r="AO51" s="2654">
        <v>1.77</v>
      </c>
      <c r="AP51" s="2654">
        <v>0</v>
      </c>
      <c r="AQ51" s="2654">
        <v>1.77</v>
      </c>
      <c r="AR51" s="2654"/>
      <c r="AS51" s="2654">
        <f>AF51</f>
        <v>21.42</v>
      </c>
      <c r="AT51" s="2654"/>
      <c r="AU51" s="2654">
        <v>1.171</v>
      </c>
      <c r="AV51" s="2654"/>
      <c r="AW51" s="2654">
        <v>1.33</v>
      </c>
      <c r="AX51" s="2654"/>
      <c r="AY51" s="2654">
        <v>5</v>
      </c>
      <c r="AZ51" s="2654"/>
      <c r="BA51" s="2654">
        <f>AQ51</f>
        <v>1.77</v>
      </c>
      <c r="BB51" s="2654"/>
      <c r="BC51" s="2654">
        <v>1.77</v>
      </c>
      <c r="BD51" s="2654"/>
      <c r="BE51" s="2654">
        <v>1.77</v>
      </c>
      <c r="BF51" s="2654"/>
      <c r="BG51" s="2654">
        <v>0.55800000000000005</v>
      </c>
      <c r="BH51" s="2654"/>
      <c r="BI51" s="2654">
        <v>0.82899999999999996</v>
      </c>
      <c r="BJ51" s="2654"/>
      <c r="BK51" s="2654">
        <v>1.129</v>
      </c>
      <c r="BL51" s="2412"/>
      <c r="BM51" s="2412">
        <v>1.77</v>
      </c>
      <c r="BN51" s="4069"/>
      <c r="BO51" s="4069">
        <v>1.7698</v>
      </c>
      <c r="BQ51" s="3959"/>
      <c r="BR51" s="2412">
        <v>0.54100000000000004</v>
      </c>
      <c r="BS51" s="2412"/>
      <c r="BT51" s="2412">
        <v>0.72599999999999998</v>
      </c>
      <c r="BU51" s="3294"/>
      <c r="BV51" s="3295"/>
    </row>
    <row r="52" spans="1:74" ht="27.75" customHeight="1" x14ac:dyDescent="0.2">
      <c r="A52" s="3186" t="s">
        <v>3678</v>
      </c>
      <c r="B52" s="2755"/>
      <c r="C52" s="2755"/>
      <c r="D52" s="2755"/>
      <c r="E52" s="3254">
        <v>1175</v>
      </c>
      <c r="F52" s="3254" t="e">
        <f>E52/C52*100</f>
        <v>#DIV/0!</v>
      </c>
      <c r="G52" s="3254" t="e">
        <f>#REF!</f>
        <v>#REF!</v>
      </c>
      <c r="H52" s="3254">
        <v>617.79999999999995</v>
      </c>
      <c r="I52" s="3254">
        <v>904.7</v>
      </c>
      <c r="J52" s="3258"/>
      <c r="K52" s="3231">
        <v>1208.5</v>
      </c>
      <c r="L52" s="3257">
        <v>1192</v>
      </c>
      <c r="M52" s="3257">
        <v>1003.29</v>
      </c>
      <c r="N52" s="3257"/>
      <c r="O52" s="3257" t="e">
        <f t="shared" si="16"/>
        <v>#REF!</v>
      </c>
      <c r="P52" s="3231">
        <v>539.03</v>
      </c>
      <c r="Q52" s="3231"/>
      <c r="R52" s="3257">
        <v>995.48</v>
      </c>
      <c r="S52" s="3257"/>
      <c r="T52" s="2654">
        <v>1003.1</v>
      </c>
      <c r="U52" s="2654">
        <f>671.02-1.95</f>
        <v>669.06999999999994</v>
      </c>
      <c r="V52" s="2654"/>
      <c r="W52" s="2654">
        <v>914.56</v>
      </c>
      <c r="X52" s="2654"/>
      <c r="Y52" s="2654">
        <v>914.56</v>
      </c>
      <c r="Z52" s="2654"/>
      <c r="AA52" s="2654">
        <f>T52+13.577</f>
        <v>1016.677</v>
      </c>
      <c r="AB52" s="2654">
        <v>0</v>
      </c>
      <c r="AC52" s="3257">
        <f t="shared" si="41"/>
        <v>101.33431011970617</v>
      </c>
      <c r="AD52" s="2654">
        <v>1003.1</v>
      </c>
      <c r="AE52" s="2654">
        <v>977.11300000000006</v>
      </c>
      <c r="AF52" s="2654">
        <v>0</v>
      </c>
      <c r="AG52" s="3254" t="e">
        <f t="shared" si="42"/>
        <v>#DIV/0!</v>
      </c>
      <c r="AH52" s="2654">
        <v>996</v>
      </c>
      <c r="AI52" s="2654">
        <v>0</v>
      </c>
      <c r="AJ52" s="2654">
        <v>996</v>
      </c>
      <c r="AK52" s="2654">
        <v>0</v>
      </c>
      <c r="AL52" s="2654">
        <v>920</v>
      </c>
      <c r="AM52" s="2654">
        <v>0</v>
      </c>
      <c r="AN52" s="2654">
        <v>895.28</v>
      </c>
      <c r="AO52" s="2654">
        <v>0</v>
      </c>
      <c r="AP52" s="2654">
        <v>895.28</v>
      </c>
      <c r="AQ52" s="2654"/>
      <c r="AR52" s="2654">
        <v>920</v>
      </c>
      <c r="AS52" s="2654">
        <v>0</v>
      </c>
      <c r="AT52" s="2654">
        <v>693.83</v>
      </c>
      <c r="AU52" s="2654"/>
      <c r="AV52" s="2654">
        <v>924.27</v>
      </c>
      <c r="AW52" s="2654"/>
      <c r="AX52" s="2654">
        <v>920</v>
      </c>
      <c r="AY52" s="2654"/>
      <c r="AZ52" s="2654">
        <f>AN52</f>
        <v>895.28</v>
      </c>
      <c r="BA52" s="2654"/>
      <c r="BB52" s="2654">
        <f>AP52</f>
        <v>895.28</v>
      </c>
      <c r="BC52" s="2654"/>
      <c r="BD52" s="2654">
        <v>895.28</v>
      </c>
      <c r="BE52" s="2654"/>
      <c r="BF52" s="2654">
        <v>421.73399999999998</v>
      </c>
      <c r="BG52" s="2654"/>
      <c r="BH52" s="2654">
        <v>644.04700000000003</v>
      </c>
      <c r="BI52" s="2654"/>
      <c r="BJ52" s="2654">
        <v>864.65</v>
      </c>
      <c r="BK52" s="2654"/>
      <c r="BL52" s="2412">
        <v>895.28</v>
      </c>
      <c r="BM52" s="2412"/>
      <c r="BN52" s="4069">
        <v>858.15800000000002</v>
      </c>
      <c r="BO52" s="4069"/>
      <c r="BQ52" s="3959">
        <v>372.77499999999998</v>
      </c>
      <c r="BR52" s="2412"/>
      <c r="BS52" s="2412">
        <v>577.91300000000001</v>
      </c>
      <c r="BT52" s="2412"/>
      <c r="BU52" s="3294"/>
      <c r="BV52" s="3295"/>
    </row>
    <row r="53" spans="1:74" ht="27.75" customHeight="1" x14ac:dyDescent="0.2">
      <c r="A53" s="3053" t="s">
        <v>3679</v>
      </c>
      <c r="B53" s="2755"/>
      <c r="C53" s="2755"/>
      <c r="D53" s="2755"/>
      <c r="E53" s="3254"/>
      <c r="F53" s="3254"/>
      <c r="G53" s="3254"/>
      <c r="H53" s="3254"/>
      <c r="I53" s="3254"/>
      <c r="J53" s="3258"/>
      <c r="K53" s="3231"/>
      <c r="L53" s="3257"/>
      <c r="M53" s="3257"/>
      <c r="N53" s="3257"/>
      <c r="O53" s="3257"/>
      <c r="P53" s="3231"/>
      <c r="Q53" s="3231"/>
      <c r="R53" s="3257"/>
      <c r="S53" s="3257"/>
      <c r="T53" s="2654"/>
      <c r="U53" s="2654"/>
      <c r="V53" s="2654"/>
      <c r="W53" s="2654"/>
      <c r="X53" s="2654"/>
      <c r="Y53" s="2654"/>
      <c r="Z53" s="2654"/>
      <c r="AA53" s="2654"/>
      <c r="AB53" s="2654"/>
      <c r="AC53" s="3257"/>
      <c r="AD53" s="2654"/>
      <c r="AE53" s="2654"/>
      <c r="AF53" s="2654"/>
      <c r="AG53" s="3254"/>
      <c r="AH53" s="2654"/>
      <c r="AI53" s="2654"/>
      <c r="AJ53" s="2654"/>
      <c r="AK53" s="2654"/>
      <c r="AL53" s="2654"/>
      <c r="AM53" s="2654"/>
      <c r="AN53" s="2654"/>
      <c r="AO53" s="2654"/>
      <c r="AP53" s="2654"/>
      <c r="AQ53" s="2654"/>
      <c r="AR53" s="2654"/>
      <c r="AS53" s="2654"/>
      <c r="AT53" s="2654"/>
      <c r="AU53" s="2654"/>
      <c r="AV53" s="2657">
        <f>SUM(AV54:AV56)</f>
        <v>310.53699999999998</v>
      </c>
      <c r="AW53" s="2654"/>
      <c r="AX53" s="2654"/>
      <c r="AY53" s="2654"/>
      <c r="AZ53" s="2657">
        <f>SUM(AZ54:AZ56)</f>
        <v>300.80400000000003</v>
      </c>
      <c r="BA53" s="2654"/>
      <c r="BB53" s="2657">
        <f>SUM(BB54:BB56)</f>
        <v>300.80400000000003</v>
      </c>
      <c r="BC53" s="2654"/>
      <c r="BD53" s="2657">
        <f>SUM(BD54:BD56)</f>
        <v>300.80400000000003</v>
      </c>
      <c r="BE53" s="2654"/>
      <c r="BF53" s="2657">
        <f>SUM(BF54:BF56)</f>
        <v>141.69400000000002</v>
      </c>
      <c r="BG53" s="2654"/>
      <c r="BH53" s="2657">
        <f>SUM(BH54:BH56)</f>
        <v>209.55100000000002</v>
      </c>
      <c r="BI53" s="2657"/>
      <c r="BJ53" s="2657">
        <v>290.233</v>
      </c>
      <c r="BK53" s="2654"/>
      <c r="BL53" s="2416">
        <f>SUM(BL54:BL56)</f>
        <v>300.80400000000003</v>
      </c>
      <c r="BM53" s="2412"/>
      <c r="BN53" s="4073">
        <f>SUM(BN54:BN56)</f>
        <v>288.32399999999996</v>
      </c>
      <c r="BO53" s="4069"/>
      <c r="BQ53" s="3962">
        <f>SUM(BQ54:BQ56)</f>
        <v>124.25999999999999</v>
      </c>
      <c r="BR53" s="2412"/>
      <c r="BS53" s="2416">
        <f>SUM(BS54:BS56)</f>
        <v>186.98699999999999</v>
      </c>
      <c r="BT53" s="2416"/>
      <c r="BU53" s="3299">
        <f>SUM(BU54:BU56)</f>
        <v>0</v>
      </c>
      <c r="BV53" s="3295"/>
    </row>
    <row r="54" spans="1:74" ht="27.75" customHeight="1" x14ac:dyDescent="0.2">
      <c r="A54" s="3054" t="s">
        <v>3681</v>
      </c>
      <c r="B54" s="2755"/>
      <c r="C54" s="2755"/>
      <c r="D54" s="2755"/>
      <c r="E54" s="3254"/>
      <c r="F54" s="3254"/>
      <c r="G54" s="3254"/>
      <c r="H54" s="3254"/>
      <c r="I54" s="3254"/>
      <c r="J54" s="3258"/>
      <c r="K54" s="3231"/>
      <c r="L54" s="3257"/>
      <c r="M54" s="3257"/>
      <c r="N54" s="3257"/>
      <c r="O54" s="3257"/>
      <c r="P54" s="3231"/>
      <c r="Q54" s="3231"/>
      <c r="R54" s="3257"/>
      <c r="S54" s="3257"/>
      <c r="T54" s="2654"/>
      <c r="U54" s="2654"/>
      <c r="V54" s="2654"/>
      <c r="W54" s="2654"/>
      <c r="X54" s="2654"/>
      <c r="Y54" s="2654"/>
      <c r="Z54" s="2654"/>
      <c r="AA54" s="2654"/>
      <c r="AB54" s="2654"/>
      <c r="AC54" s="3257"/>
      <c r="AD54" s="2654"/>
      <c r="AE54" s="2654"/>
      <c r="AF54" s="2654"/>
      <c r="AG54" s="3254"/>
      <c r="AH54" s="2654"/>
      <c r="AI54" s="2654"/>
      <c r="AJ54" s="2654"/>
      <c r="AK54" s="2654"/>
      <c r="AL54" s="2654"/>
      <c r="AM54" s="2654"/>
      <c r="AN54" s="2654"/>
      <c r="AO54" s="2654"/>
      <c r="AP54" s="2654"/>
      <c r="AQ54" s="2654"/>
      <c r="AR54" s="2654"/>
      <c r="AS54" s="2654"/>
      <c r="AT54" s="2654"/>
      <c r="AU54" s="2654"/>
      <c r="AV54" s="2657">
        <v>119.095</v>
      </c>
      <c r="AW54" s="2654"/>
      <c r="AX54" s="2654"/>
      <c r="AY54" s="2654"/>
      <c r="AZ54" s="2657">
        <v>115.357</v>
      </c>
      <c r="BA54" s="2654"/>
      <c r="BB54" s="2657">
        <v>115.357</v>
      </c>
      <c r="BC54" s="2654"/>
      <c r="BD54" s="2657">
        <v>115.357</v>
      </c>
      <c r="BE54" s="2654"/>
      <c r="BF54" s="2657">
        <v>54.34</v>
      </c>
      <c r="BG54" s="2654"/>
      <c r="BH54" s="2657">
        <v>74.677000000000007</v>
      </c>
      <c r="BI54" s="2657"/>
      <c r="BJ54" s="2657">
        <v>104.788</v>
      </c>
      <c r="BK54" s="2654"/>
      <c r="BL54" s="2416">
        <v>115.357</v>
      </c>
      <c r="BM54" s="2412"/>
      <c r="BN54" s="4073">
        <v>110.428</v>
      </c>
      <c r="BO54" s="4069"/>
      <c r="BQ54" s="3962">
        <v>47.325000000000003</v>
      </c>
      <c r="BR54" s="2412"/>
      <c r="BS54" s="2416">
        <v>78.103999999999999</v>
      </c>
      <c r="BT54" s="2416"/>
      <c r="BU54" s="3299"/>
      <c r="BV54" s="3295"/>
    </row>
    <row r="55" spans="1:74" ht="27.75" customHeight="1" x14ac:dyDescent="0.2">
      <c r="A55" s="3054" t="s">
        <v>3680</v>
      </c>
      <c r="B55" s="2755"/>
      <c r="C55" s="2755"/>
      <c r="D55" s="2755"/>
      <c r="E55" s="3254"/>
      <c r="F55" s="3254"/>
      <c r="G55" s="3254"/>
      <c r="H55" s="3254"/>
      <c r="I55" s="3254"/>
      <c r="J55" s="3258"/>
      <c r="K55" s="3231"/>
      <c r="L55" s="3257"/>
      <c r="M55" s="3257"/>
      <c r="N55" s="3257"/>
      <c r="O55" s="3257"/>
      <c r="P55" s="3231"/>
      <c r="Q55" s="3231"/>
      <c r="R55" s="3257"/>
      <c r="S55" s="3257"/>
      <c r="T55" s="2654"/>
      <c r="U55" s="2654"/>
      <c r="V55" s="2654"/>
      <c r="W55" s="2654"/>
      <c r="X55" s="2654"/>
      <c r="Y55" s="2654"/>
      <c r="Z55" s="2654"/>
      <c r="AA55" s="2654"/>
      <c r="AB55" s="2654"/>
      <c r="AC55" s="3257"/>
      <c r="AD55" s="2654"/>
      <c r="AE55" s="2654"/>
      <c r="AF55" s="2654"/>
      <c r="AG55" s="3254"/>
      <c r="AH55" s="2654"/>
      <c r="AI55" s="2654"/>
      <c r="AJ55" s="2654"/>
      <c r="AK55" s="2654"/>
      <c r="AL55" s="2654"/>
      <c r="AM55" s="2654"/>
      <c r="AN55" s="2654"/>
      <c r="AO55" s="2654"/>
      <c r="AP55" s="2654"/>
      <c r="AQ55" s="2654"/>
      <c r="AR55" s="2654"/>
      <c r="AS55" s="2654"/>
      <c r="AT55" s="2654"/>
      <c r="AU55" s="2654"/>
      <c r="AV55" s="2657">
        <v>91.5</v>
      </c>
      <c r="AW55" s="2654"/>
      <c r="AX55" s="2654"/>
      <c r="AY55" s="2654"/>
      <c r="AZ55" s="2657">
        <v>88.64</v>
      </c>
      <c r="BA55" s="2654"/>
      <c r="BB55" s="2657">
        <v>88.64</v>
      </c>
      <c r="BC55" s="2654"/>
      <c r="BD55" s="2657">
        <v>88.64</v>
      </c>
      <c r="BE55" s="2654"/>
      <c r="BF55" s="2657">
        <v>41.752000000000002</v>
      </c>
      <c r="BG55" s="2654"/>
      <c r="BH55" s="2657">
        <v>66.778000000000006</v>
      </c>
      <c r="BI55" s="2657"/>
      <c r="BJ55" s="2657">
        <v>89.426000000000002</v>
      </c>
      <c r="BK55" s="2654"/>
      <c r="BL55" s="2416">
        <v>88.64</v>
      </c>
      <c r="BM55" s="2412"/>
      <c r="BN55" s="4073">
        <v>85.055999999999997</v>
      </c>
      <c r="BO55" s="4069"/>
      <c r="BQ55" s="3962">
        <v>40.710999999999999</v>
      </c>
      <c r="BR55" s="2412"/>
      <c r="BS55" s="2416">
        <v>61.357999999999997</v>
      </c>
      <c r="BT55" s="2416"/>
      <c r="BU55" s="3299"/>
      <c r="BV55" s="3295"/>
    </row>
    <row r="56" spans="1:74" ht="27.75" customHeight="1" x14ac:dyDescent="0.2">
      <c r="A56" s="3054" t="s">
        <v>3682</v>
      </c>
      <c r="B56" s="2755"/>
      <c r="C56" s="2755"/>
      <c r="D56" s="2755"/>
      <c r="E56" s="3254"/>
      <c r="F56" s="3254"/>
      <c r="G56" s="3254"/>
      <c r="H56" s="3254"/>
      <c r="I56" s="3254"/>
      <c r="J56" s="3258"/>
      <c r="K56" s="3231"/>
      <c r="L56" s="3257"/>
      <c r="M56" s="3257"/>
      <c r="N56" s="3257"/>
      <c r="O56" s="3257"/>
      <c r="P56" s="3231"/>
      <c r="Q56" s="3231"/>
      <c r="R56" s="3257"/>
      <c r="S56" s="3257"/>
      <c r="T56" s="2654"/>
      <c r="U56" s="2654"/>
      <c r="V56" s="2654"/>
      <c r="W56" s="2654"/>
      <c r="X56" s="2654"/>
      <c r="Y56" s="2654"/>
      <c r="Z56" s="2654"/>
      <c r="AA56" s="2654"/>
      <c r="AB56" s="2654"/>
      <c r="AC56" s="3257"/>
      <c r="AD56" s="2654"/>
      <c r="AE56" s="2654"/>
      <c r="AF56" s="2654"/>
      <c r="AG56" s="3254"/>
      <c r="AH56" s="2654"/>
      <c r="AI56" s="2654"/>
      <c r="AJ56" s="2654"/>
      <c r="AK56" s="2654"/>
      <c r="AL56" s="2654"/>
      <c r="AM56" s="2654"/>
      <c r="AN56" s="2654"/>
      <c r="AO56" s="2654"/>
      <c r="AP56" s="2654"/>
      <c r="AQ56" s="2654"/>
      <c r="AR56" s="2654"/>
      <c r="AS56" s="2654"/>
      <c r="AT56" s="2654"/>
      <c r="AU56" s="2654"/>
      <c r="AV56" s="2657">
        <v>99.941999999999993</v>
      </c>
      <c r="AW56" s="2654"/>
      <c r="AX56" s="2654"/>
      <c r="AY56" s="2654"/>
      <c r="AZ56" s="2657">
        <v>96.807000000000002</v>
      </c>
      <c r="BA56" s="2654"/>
      <c r="BB56" s="2657">
        <v>96.807000000000002</v>
      </c>
      <c r="BC56" s="2654"/>
      <c r="BD56" s="2657">
        <v>96.807000000000002</v>
      </c>
      <c r="BE56" s="2654"/>
      <c r="BF56" s="2657">
        <v>45.601999999999997</v>
      </c>
      <c r="BG56" s="2654"/>
      <c r="BH56" s="2657">
        <v>68.096000000000004</v>
      </c>
      <c r="BI56" s="2657"/>
      <c r="BJ56" s="2657">
        <v>96.019000000000005</v>
      </c>
      <c r="BK56" s="2654"/>
      <c r="BL56" s="2416">
        <v>96.807000000000002</v>
      </c>
      <c r="BM56" s="2412"/>
      <c r="BN56" s="4073">
        <v>92.84</v>
      </c>
      <c r="BO56" s="4069"/>
      <c r="BQ56" s="3962">
        <v>36.223999999999997</v>
      </c>
      <c r="BR56" s="2412"/>
      <c r="BS56" s="2416">
        <v>47.524999999999999</v>
      </c>
      <c r="BT56" s="2416"/>
      <c r="BU56" s="3299"/>
      <c r="BV56" s="3295"/>
    </row>
    <row r="57" spans="1:74" ht="36" customHeight="1" x14ac:dyDescent="0.2">
      <c r="A57" s="3186" t="s">
        <v>828</v>
      </c>
      <c r="B57" s="2755"/>
      <c r="C57" s="2755"/>
      <c r="D57" s="2755"/>
      <c r="E57" s="3254"/>
      <c r="F57" s="3254"/>
      <c r="G57" s="3254"/>
      <c r="H57" s="3254"/>
      <c r="I57" s="3254"/>
      <c r="J57" s="3258"/>
      <c r="K57" s="3231"/>
      <c r="L57" s="3257"/>
      <c r="M57" s="3257">
        <f>SUM(M58:M59)</f>
        <v>557.56000000000006</v>
      </c>
      <c r="N57" s="3257"/>
      <c r="O57" s="3257"/>
      <c r="P57" s="3231">
        <v>199.15</v>
      </c>
      <c r="Q57" s="3231"/>
      <c r="R57" s="3257">
        <f>SUM(R58:R59)</f>
        <v>388.86</v>
      </c>
      <c r="S57" s="3257"/>
      <c r="T57" s="3257">
        <f t="shared" ref="T57:U57" si="53">SUM(T58:T59)</f>
        <v>557.55700000000002</v>
      </c>
      <c r="U57" s="3257">
        <f t="shared" si="53"/>
        <v>255.94</v>
      </c>
      <c r="V57" s="2654"/>
      <c r="W57" s="3257">
        <f t="shared" ref="W57" si="54">SUM(W58:W59)</f>
        <v>340.63</v>
      </c>
      <c r="X57" s="2654"/>
      <c r="Y57" s="3257">
        <f t="shared" ref="Y57" si="55">SUM(Y58:Y59)</f>
        <v>340.63</v>
      </c>
      <c r="Z57" s="2654"/>
      <c r="AA57" s="2654">
        <f>SUM(AA58:AA59)</f>
        <v>543.98</v>
      </c>
      <c r="AB57" s="2654"/>
      <c r="AC57" s="3257">
        <f t="shared" si="41"/>
        <v>97.564387689217298</v>
      </c>
      <c r="AD57" s="2654">
        <f>SUM(AD58:AD59)</f>
        <v>557.55700000000002</v>
      </c>
      <c r="AE57" s="2654">
        <v>530.73400000000004</v>
      </c>
      <c r="AF57" s="2654"/>
      <c r="AG57" s="3254" t="e">
        <f t="shared" si="42"/>
        <v>#DIV/0!</v>
      </c>
      <c r="AH57" s="2654">
        <v>395</v>
      </c>
      <c r="AI57" s="2654"/>
      <c r="AJ57" s="2654">
        <f>AJ58+AJ59</f>
        <v>395</v>
      </c>
      <c r="AK57" s="2654"/>
      <c r="AL57" s="2654">
        <v>320</v>
      </c>
      <c r="AM57" s="2654"/>
      <c r="AN57" s="2654">
        <f>AN58+AN59</f>
        <v>312.75</v>
      </c>
      <c r="AO57" s="2654">
        <f t="shared" ref="AO57:AQ57" si="56">AO58+AO59</f>
        <v>0</v>
      </c>
      <c r="AP57" s="2654">
        <f t="shared" si="56"/>
        <v>312.75</v>
      </c>
      <c r="AQ57" s="2654">
        <f t="shared" si="56"/>
        <v>0</v>
      </c>
      <c r="AR57" s="2654">
        <v>320</v>
      </c>
      <c r="AS57" s="2654"/>
      <c r="AT57" s="2654">
        <f>AT58+AT59</f>
        <v>228.8</v>
      </c>
      <c r="AU57" s="2654"/>
      <c r="AV57" s="2654">
        <f>AV58+AV59</f>
        <v>310.27999999999997</v>
      </c>
      <c r="AW57" s="2654"/>
      <c r="AX57" s="2654">
        <v>320</v>
      </c>
      <c r="AY57" s="2654"/>
      <c r="AZ57" s="2654">
        <f>AZ58+AZ59</f>
        <v>304.77159</v>
      </c>
      <c r="BA57" s="2654"/>
      <c r="BB57" s="2654">
        <f>BB58+BB59</f>
        <v>304.77159</v>
      </c>
      <c r="BC57" s="2654"/>
      <c r="BD57" s="2654">
        <f>BD58+BD59</f>
        <v>274.899</v>
      </c>
      <c r="BE57" s="2654"/>
      <c r="BF57" s="2654">
        <f>BF58+BF59</f>
        <v>137.60300000000001</v>
      </c>
      <c r="BG57" s="2654"/>
      <c r="BH57" s="2654">
        <f>BH58+BH59</f>
        <v>198.37799999999999</v>
      </c>
      <c r="BI57" s="2654"/>
      <c r="BJ57" s="2654">
        <f>BJ58+BJ59</f>
        <v>273.48599999999999</v>
      </c>
      <c r="BK57" s="2654"/>
      <c r="BL57" s="2412">
        <f>BL58+BL59</f>
        <v>274.899</v>
      </c>
      <c r="BM57" s="2412"/>
      <c r="BN57" s="4069">
        <f>BN58+BN59</f>
        <v>272.49200000000002</v>
      </c>
      <c r="BO57" s="4069"/>
      <c r="BQ57" s="3959">
        <f>BQ58+BQ59</f>
        <v>174.58600000000001</v>
      </c>
      <c r="BR57" s="2412"/>
      <c r="BS57" s="2412">
        <f>BS58+BS59</f>
        <v>240.447</v>
      </c>
      <c r="BT57" s="2412"/>
      <c r="BU57" s="3294">
        <f>BU58+BU59</f>
        <v>0</v>
      </c>
      <c r="BV57" s="3295"/>
    </row>
    <row r="58" spans="1:74" ht="24.75" customHeight="1" x14ac:dyDescent="0.2">
      <c r="A58" s="3053" t="s">
        <v>639</v>
      </c>
      <c r="B58" s="2755"/>
      <c r="C58" s="2755"/>
      <c r="D58" s="2755"/>
      <c r="E58" s="3254"/>
      <c r="F58" s="3254"/>
      <c r="G58" s="3254"/>
      <c r="H58" s="3254"/>
      <c r="I58" s="3254"/>
      <c r="J58" s="3258"/>
      <c r="K58" s="3231"/>
      <c r="L58" s="3257"/>
      <c r="M58" s="3257">
        <v>509.79</v>
      </c>
      <c r="N58" s="3257"/>
      <c r="O58" s="3257"/>
      <c r="P58" s="3231">
        <v>177.62</v>
      </c>
      <c r="Q58" s="3231"/>
      <c r="R58" s="3257">
        <v>347.5</v>
      </c>
      <c r="S58" s="3257"/>
      <c r="T58" s="2654">
        <v>509.79</v>
      </c>
      <c r="U58" s="2654">
        <v>234.95</v>
      </c>
      <c r="V58" s="2654"/>
      <c r="W58" s="2654">
        <v>319.64</v>
      </c>
      <c r="X58" s="2654"/>
      <c r="Y58" s="2657">
        <v>319.64</v>
      </c>
      <c r="Z58" s="2657"/>
      <c r="AA58" s="2657">
        <v>494.28</v>
      </c>
      <c r="AB58" s="2657">
        <v>0</v>
      </c>
      <c r="AC58" s="2754">
        <f t="shared" si="41"/>
        <v>96.957570764432404</v>
      </c>
      <c r="AD58" s="2657">
        <v>509.79</v>
      </c>
      <c r="AE58" s="2657"/>
      <c r="AF58" s="2657"/>
      <c r="AG58" s="3255" t="e">
        <f t="shared" si="42"/>
        <v>#DIV/0!</v>
      </c>
      <c r="AH58" s="2657">
        <v>350</v>
      </c>
      <c r="AI58" s="2657"/>
      <c r="AJ58" s="2657">
        <v>350</v>
      </c>
      <c r="AK58" s="2657"/>
      <c r="AL58" s="2657"/>
      <c r="AM58" s="2657"/>
      <c r="AN58" s="2657">
        <v>312.75</v>
      </c>
      <c r="AO58" s="2657"/>
      <c r="AP58" s="2657">
        <v>312.75</v>
      </c>
      <c r="AQ58" s="2657"/>
      <c r="AR58" s="2657">
        <v>284.24099999999999</v>
      </c>
      <c r="AS58" s="2657"/>
      <c r="AT58" s="2657">
        <v>228.8</v>
      </c>
      <c r="AU58" s="2657"/>
      <c r="AV58" s="2657">
        <v>310.27999999999997</v>
      </c>
      <c r="AW58" s="2657"/>
      <c r="AX58" s="2657">
        <v>320</v>
      </c>
      <c r="AY58" s="2657"/>
      <c r="AZ58" s="2657">
        <v>266.33958999999999</v>
      </c>
      <c r="BA58" s="2657"/>
      <c r="BB58" s="2657">
        <v>266.33958999999999</v>
      </c>
      <c r="BC58" s="2657"/>
      <c r="BD58" s="2657">
        <v>240.23400000000001</v>
      </c>
      <c r="BE58" s="2657"/>
      <c r="BF58" s="2657">
        <v>137.60300000000001</v>
      </c>
      <c r="BG58" s="2657"/>
      <c r="BH58" s="2657">
        <v>198.37799999999999</v>
      </c>
      <c r="BI58" s="2657"/>
      <c r="BJ58" s="2657">
        <v>273.48599999999999</v>
      </c>
      <c r="BK58" s="2657"/>
      <c r="BL58" s="2416">
        <v>240.23400000000001</v>
      </c>
      <c r="BM58" s="2416"/>
      <c r="BN58" s="4073">
        <v>237.143</v>
      </c>
      <c r="BO58" s="4073"/>
      <c r="BQ58" s="3962">
        <v>174.58600000000001</v>
      </c>
      <c r="BR58" s="2416"/>
      <c r="BS58" s="2416">
        <v>240.447</v>
      </c>
      <c r="BT58" s="2416"/>
      <c r="BU58" s="3299"/>
      <c r="BV58" s="3300"/>
    </row>
    <row r="59" spans="1:74" ht="30" customHeight="1" thickBot="1" x14ac:dyDescent="0.25">
      <c r="A59" s="3272" t="s">
        <v>640</v>
      </c>
      <c r="B59" s="3273"/>
      <c r="C59" s="3273"/>
      <c r="D59" s="3273"/>
      <c r="E59" s="3274"/>
      <c r="F59" s="3274"/>
      <c r="G59" s="3274"/>
      <c r="H59" s="3274"/>
      <c r="I59" s="3274"/>
      <c r="J59" s="3275"/>
      <c r="K59" s="3276"/>
      <c r="L59" s="3277"/>
      <c r="M59" s="3277">
        <v>47.77</v>
      </c>
      <c r="N59" s="3277"/>
      <c r="O59" s="3277"/>
      <c r="P59" s="3276">
        <v>21.53</v>
      </c>
      <c r="Q59" s="3276"/>
      <c r="R59" s="3277">
        <v>41.36</v>
      </c>
      <c r="S59" s="3277"/>
      <c r="T59" s="3278">
        <v>47.767000000000003</v>
      </c>
      <c r="U59" s="3278">
        <v>20.99</v>
      </c>
      <c r="V59" s="3278"/>
      <c r="W59" s="3278">
        <v>20.99</v>
      </c>
      <c r="X59" s="3278"/>
      <c r="Y59" s="2638">
        <v>20.99</v>
      </c>
      <c r="Z59" s="2638"/>
      <c r="AA59" s="2638">
        <v>49.7</v>
      </c>
      <c r="AB59" s="2638">
        <v>0</v>
      </c>
      <c r="AC59" s="3279">
        <f t="shared" si="41"/>
        <v>104.04019258949131</v>
      </c>
      <c r="AD59" s="2638">
        <v>47.767000000000003</v>
      </c>
      <c r="AE59" s="2638"/>
      <c r="AF59" s="2638"/>
      <c r="AG59" s="3280" t="e">
        <f t="shared" si="42"/>
        <v>#DIV/0!</v>
      </c>
      <c r="AH59" s="2638">
        <v>45</v>
      </c>
      <c r="AI59" s="2638"/>
      <c r="AJ59" s="2638">
        <v>45</v>
      </c>
      <c r="AK59" s="2638"/>
      <c r="AL59" s="2638"/>
      <c r="AM59" s="2638"/>
      <c r="AN59" s="2638"/>
      <c r="AO59" s="2638"/>
      <c r="AP59" s="2638"/>
      <c r="AQ59" s="2638"/>
      <c r="AR59" s="2638">
        <v>46.085000000000001</v>
      </c>
      <c r="AS59" s="2638"/>
      <c r="AT59" s="2638">
        <v>0</v>
      </c>
      <c r="AU59" s="2638"/>
      <c r="AV59" s="2638">
        <v>0</v>
      </c>
      <c r="AW59" s="2638"/>
      <c r="AX59" s="2638">
        <v>0</v>
      </c>
      <c r="AY59" s="2638"/>
      <c r="AZ59" s="2638">
        <v>38.432000000000002</v>
      </c>
      <c r="BA59" s="2638"/>
      <c r="BB59" s="2638">
        <v>38.432000000000002</v>
      </c>
      <c r="BC59" s="2638"/>
      <c r="BD59" s="2638">
        <v>34.664999999999999</v>
      </c>
      <c r="BE59" s="2638"/>
      <c r="BF59" s="2638"/>
      <c r="BG59" s="2638"/>
      <c r="BH59" s="2638"/>
      <c r="BI59" s="2638"/>
      <c r="BJ59" s="2638"/>
      <c r="BK59" s="2638"/>
      <c r="BL59" s="2418">
        <v>34.664999999999999</v>
      </c>
      <c r="BM59" s="2418"/>
      <c r="BN59" s="4074">
        <v>35.348999999999997</v>
      </c>
      <c r="BO59" s="4074"/>
      <c r="BQ59" s="3963"/>
      <c r="BR59" s="2418"/>
      <c r="BS59" s="2418"/>
      <c r="BT59" s="2418"/>
      <c r="BU59" s="3301"/>
      <c r="BV59" s="3302"/>
    </row>
    <row r="60" spans="1:74" ht="20.100000000000001" customHeight="1" thickBot="1" x14ac:dyDescent="0.25">
      <c r="A60" s="4703" t="s">
        <v>511</v>
      </c>
      <c r="B60" s="4704"/>
      <c r="C60" s="4704"/>
      <c r="D60" s="4704"/>
      <c r="E60" s="4704"/>
      <c r="F60" s="4704"/>
      <c r="G60" s="4704"/>
      <c r="H60" s="4704"/>
      <c r="I60" s="4704"/>
      <c r="J60" s="4704"/>
      <c r="K60" s="4704"/>
      <c r="L60" s="4704"/>
      <c r="M60" s="4704"/>
      <c r="N60" s="4704"/>
      <c r="O60" s="4704"/>
      <c r="P60" s="4704"/>
      <c r="Q60" s="4704"/>
      <c r="R60" s="4704"/>
      <c r="S60" s="4704"/>
      <c r="T60" s="4704"/>
      <c r="U60" s="4704"/>
      <c r="V60" s="4704"/>
      <c r="W60" s="4704"/>
      <c r="X60" s="4704"/>
      <c r="Y60" s="4704"/>
      <c r="Z60" s="4704"/>
      <c r="AA60" s="4704"/>
      <c r="AB60" s="4704"/>
      <c r="AC60" s="4704"/>
      <c r="AD60" s="4704"/>
      <c r="AE60" s="4704"/>
      <c r="AF60" s="4704"/>
      <c r="AG60" s="4704"/>
      <c r="AH60" s="4704"/>
      <c r="AI60" s="4704"/>
      <c r="AJ60" s="4704"/>
      <c r="AK60" s="4704"/>
      <c r="AL60" s="4704"/>
      <c r="AM60" s="4704"/>
      <c r="AN60" s="4704"/>
      <c r="AO60" s="4704"/>
      <c r="AP60" s="4704"/>
      <c r="AQ60" s="4704"/>
      <c r="AR60" s="4704"/>
      <c r="AS60" s="4704"/>
      <c r="AT60" s="4704"/>
      <c r="AU60" s="4704"/>
      <c r="AV60" s="4704"/>
      <c r="AW60" s="4704"/>
      <c r="AX60" s="4704"/>
      <c r="AY60" s="4704"/>
      <c r="AZ60" s="4704"/>
      <c r="BA60" s="4704"/>
      <c r="BB60" s="4704"/>
      <c r="BC60" s="4704"/>
      <c r="BD60" s="4704"/>
      <c r="BE60" s="4704"/>
      <c r="BF60" s="4704"/>
      <c r="BG60" s="4704"/>
      <c r="BH60" s="4704"/>
      <c r="BI60" s="4704"/>
      <c r="BJ60" s="4704"/>
      <c r="BK60" s="4704"/>
      <c r="BL60" s="4699"/>
      <c r="BM60" s="4699"/>
      <c r="BN60" s="4699"/>
      <c r="BO60" s="4699"/>
      <c r="BP60" s="4699"/>
      <c r="BQ60" s="4699"/>
      <c r="BR60" s="4699"/>
      <c r="BS60" s="4699"/>
      <c r="BT60" s="4699"/>
      <c r="BU60" s="4699"/>
      <c r="BV60" s="4700"/>
    </row>
    <row r="61" spans="1:74" s="1593" customFormat="1" ht="45" customHeight="1" x14ac:dyDescent="1.8">
      <c r="A61" s="3281"/>
      <c r="B61" s="3282"/>
      <c r="C61" s="3282"/>
      <c r="D61" s="3282"/>
      <c r="E61" s="3282"/>
      <c r="F61" s="3282"/>
      <c r="G61" s="3282"/>
      <c r="H61" s="3282"/>
      <c r="I61" s="3282"/>
      <c r="J61" s="3282"/>
      <c r="K61" s="3283"/>
      <c r="L61" s="3283"/>
      <c r="M61" s="3283" t="s">
        <v>47</v>
      </c>
      <c r="N61" s="3283" t="s">
        <v>1518</v>
      </c>
      <c r="O61" s="3282"/>
      <c r="P61" s="3282"/>
      <c r="Q61" s="3282"/>
      <c r="R61" s="3283" t="s">
        <v>47</v>
      </c>
      <c r="S61" s="3283" t="s">
        <v>1518</v>
      </c>
      <c r="T61" s="3282"/>
      <c r="U61" s="3283" t="s">
        <v>47</v>
      </c>
      <c r="V61" s="3283" t="s">
        <v>1518</v>
      </c>
      <c r="W61" s="3283" t="s">
        <v>47</v>
      </c>
      <c r="X61" s="3283" t="s">
        <v>1518</v>
      </c>
      <c r="Y61" s="3283" t="s">
        <v>47</v>
      </c>
      <c r="Z61" s="3283" t="s">
        <v>1518</v>
      </c>
      <c r="AA61" s="3283" t="s">
        <v>47</v>
      </c>
      <c r="AB61" s="3283" t="s">
        <v>1518</v>
      </c>
      <c r="AC61" s="3282"/>
      <c r="AD61" s="3282"/>
      <c r="AE61" s="3283" t="s">
        <v>47</v>
      </c>
      <c r="AF61" s="3283" t="s">
        <v>1518</v>
      </c>
      <c r="AG61" s="3282"/>
      <c r="AH61" s="3283" t="s">
        <v>47</v>
      </c>
      <c r="AI61" s="3283" t="s">
        <v>1518</v>
      </c>
      <c r="AJ61" s="3283" t="s">
        <v>47</v>
      </c>
      <c r="AK61" s="3283" t="s">
        <v>1518</v>
      </c>
      <c r="AL61" s="3283" t="s">
        <v>47</v>
      </c>
      <c r="AM61" s="3283" t="s">
        <v>1518</v>
      </c>
      <c r="AN61" s="3283" t="s">
        <v>47</v>
      </c>
      <c r="AO61" s="3283" t="s">
        <v>1518</v>
      </c>
      <c r="AP61" s="3283" t="s">
        <v>47</v>
      </c>
      <c r="AQ61" s="3283" t="s">
        <v>1518</v>
      </c>
      <c r="AR61" s="3283" t="s">
        <v>47</v>
      </c>
      <c r="AS61" s="3283" t="s">
        <v>1518</v>
      </c>
      <c r="AT61" s="3283" t="s">
        <v>47</v>
      </c>
      <c r="AU61" s="3283" t="s">
        <v>1518</v>
      </c>
      <c r="AV61" s="3283" t="s">
        <v>47</v>
      </c>
      <c r="AW61" s="3283" t="s">
        <v>1518</v>
      </c>
      <c r="AX61" s="3283" t="s">
        <v>47</v>
      </c>
      <c r="AY61" s="3283" t="s">
        <v>1518</v>
      </c>
      <c r="AZ61" s="3283" t="s">
        <v>47</v>
      </c>
      <c r="BA61" s="3283" t="s">
        <v>1518</v>
      </c>
      <c r="BB61" s="3283" t="s">
        <v>47</v>
      </c>
      <c r="BC61" s="3283" t="s">
        <v>1518</v>
      </c>
      <c r="BD61" s="3283" t="s">
        <v>47</v>
      </c>
      <c r="BE61" s="3283" t="s">
        <v>1518</v>
      </c>
      <c r="BF61" s="3283" t="s">
        <v>47</v>
      </c>
      <c r="BG61" s="3283" t="s">
        <v>1518</v>
      </c>
      <c r="BH61" s="3283" t="s">
        <v>47</v>
      </c>
      <c r="BI61" s="3283" t="s">
        <v>1518</v>
      </c>
      <c r="BJ61" s="3283" t="s">
        <v>47</v>
      </c>
      <c r="BK61" s="3283" t="s">
        <v>1518</v>
      </c>
      <c r="BL61" s="2419" t="s">
        <v>47</v>
      </c>
      <c r="BM61" s="2419" t="s">
        <v>1518</v>
      </c>
      <c r="BN61" s="2419" t="s">
        <v>47</v>
      </c>
      <c r="BO61" s="2419" t="s">
        <v>1518</v>
      </c>
      <c r="BQ61" s="3987" t="s">
        <v>47</v>
      </c>
      <c r="BR61" s="3988" t="s">
        <v>1518</v>
      </c>
      <c r="BS61" s="3988" t="s">
        <v>47</v>
      </c>
      <c r="BT61" s="3988" t="s">
        <v>1518</v>
      </c>
      <c r="BU61" s="3929" t="s">
        <v>47</v>
      </c>
      <c r="BV61" s="3930" t="s">
        <v>1518</v>
      </c>
    </row>
    <row r="62" spans="1:74" ht="20.100000000000001" customHeight="1" x14ac:dyDescent="0.2">
      <c r="A62" s="3095" t="s">
        <v>884</v>
      </c>
      <c r="B62" s="2755"/>
      <c r="C62" s="2755"/>
      <c r="D62" s="2755"/>
      <c r="E62" s="3256"/>
      <c r="F62" s="3265"/>
      <c r="G62" s="3256">
        <v>3672.7</v>
      </c>
      <c r="H62" s="3256">
        <v>2386.9</v>
      </c>
      <c r="I62" s="3256">
        <v>3499.5</v>
      </c>
      <c r="J62" s="3266"/>
      <c r="K62" s="2658">
        <v>4393.3999999999996</v>
      </c>
      <c r="L62" s="2658"/>
      <c r="M62" s="2658">
        <f>M63</f>
        <v>3644.7</v>
      </c>
      <c r="N62" s="2658">
        <f>N63</f>
        <v>28</v>
      </c>
      <c r="O62" s="2658"/>
      <c r="P62" s="2658">
        <v>2027.43</v>
      </c>
      <c r="Q62" s="2658"/>
      <c r="R62" s="2658">
        <v>3840.95</v>
      </c>
      <c r="S62" s="2658"/>
      <c r="T62" s="2658">
        <v>4618.88</v>
      </c>
      <c r="U62" s="2658">
        <f>U63+V63+U71</f>
        <v>3278.7200000000003</v>
      </c>
      <c r="V62" s="2658"/>
      <c r="W62" s="2658">
        <f>W63+X63</f>
        <v>4217.37</v>
      </c>
      <c r="X62" s="2658"/>
      <c r="Y62" s="2658">
        <f>Y63+Z63</f>
        <v>3061.4900000000002</v>
      </c>
      <c r="Z62" s="2658"/>
      <c r="AA62" s="2658">
        <v>3445</v>
      </c>
      <c r="AB62" s="2658">
        <f>AB63</f>
        <v>18.93</v>
      </c>
      <c r="AC62" s="2658">
        <v>3445</v>
      </c>
      <c r="AD62" s="2658">
        <v>3445</v>
      </c>
      <c r="AE62" s="2658">
        <v>3445</v>
      </c>
      <c r="AF62" s="2658">
        <f>AF63</f>
        <v>18.93</v>
      </c>
      <c r="AG62" s="2658">
        <v>3445</v>
      </c>
      <c r="AH62" s="2658">
        <f>AH63</f>
        <v>3200</v>
      </c>
      <c r="AI62" s="2658">
        <f>AI63</f>
        <v>23</v>
      </c>
      <c r="AJ62" s="2658">
        <f t="shared" ref="AJ62:AQ62" si="57">AJ63</f>
        <v>3272.75</v>
      </c>
      <c r="AK62" s="2658">
        <f t="shared" si="57"/>
        <v>23</v>
      </c>
      <c r="AL62" s="2658">
        <f t="shared" si="57"/>
        <v>3230</v>
      </c>
      <c r="AM62" s="2658">
        <f t="shared" si="57"/>
        <v>23</v>
      </c>
      <c r="AN62" s="2658">
        <f>AN63+AO63+AN71</f>
        <v>4359.4799999999996</v>
      </c>
      <c r="AO62" s="2658">
        <v>0</v>
      </c>
      <c r="AP62" s="2658">
        <f t="shared" si="57"/>
        <v>3178.1</v>
      </c>
      <c r="AQ62" s="2658">
        <f t="shared" si="57"/>
        <v>19.22</v>
      </c>
      <c r="AR62" s="2658">
        <f>AR63+AS63</f>
        <v>3248.93</v>
      </c>
      <c r="AS62" s="2658"/>
      <c r="AT62" s="2658"/>
      <c r="AU62" s="2658"/>
      <c r="AV62" s="2658">
        <f>SUM(AV63:AW63)</f>
        <v>3150.37</v>
      </c>
      <c r="AW62" s="2658"/>
      <c r="AX62" s="2658">
        <f>AX63+AY63+AX71</f>
        <v>4217.37</v>
      </c>
      <c r="AY62" s="2658"/>
      <c r="AZ62" s="2658">
        <f>AZ63+BA63</f>
        <v>3020.0036431580988</v>
      </c>
      <c r="BA62" s="2658"/>
      <c r="BB62" s="2658">
        <f>SUM(BB63:BC63)</f>
        <v>3020.0036431580988</v>
      </c>
      <c r="BC62" s="2658"/>
      <c r="BD62" s="2658">
        <f>SUM(BD63:BE63)</f>
        <v>2844.4046666666663</v>
      </c>
      <c r="BE62" s="2658"/>
      <c r="BF62" s="2658">
        <f>SUM(BF63:BG63)</f>
        <v>1547.3829999999998</v>
      </c>
      <c r="BG62" s="2658"/>
      <c r="BH62" s="2658">
        <f>SUM(BH63:BI63)</f>
        <v>2322.4540000000002</v>
      </c>
      <c r="BI62" s="2658"/>
      <c r="BJ62" s="2658">
        <f>SUM(BJ63:BK63)</f>
        <v>3120.433</v>
      </c>
      <c r="BK62" s="2658"/>
      <c r="BL62" s="2417">
        <f>SUM(BL63:BM63)</f>
        <v>2844.4046666666663</v>
      </c>
      <c r="BM62" s="2417"/>
      <c r="BN62" s="4075">
        <f>SUM(BN63:BO63)</f>
        <v>2844.4049999999997</v>
      </c>
      <c r="BO62" s="4075"/>
      <c r="BQ62" s="3964">
        <f>SUM(BQ63:BR63)</f>
        <v>1567.3310000000001</v>
      </c>
      <c r="BR62" s="2417"/>
      <c r="BS62" s="2417">
        <f>SUM(BS63:BT63)</f>
        <v>2286.9459999999999</v>
      </c>
      <c r="BT62" s="2417"/>
      <c r="BU62" s="3303">
        <f>SUM(BU63:BV63)</f>
        <v>0</v>
      </c>
      <c r="BV62" s="3304"/>
    </row>
    <row r="63" spans="1:74" ht="36" customHeight="1" x14ac:dyDescent="0.2">
      <c r="A63" s="3095" t="s">
        <v>885</v>
      </c>
      <c r="B63" s="2755"/>
      <c r="C63" s="2755"/>
      <c r="D63" s="2755"/>
      <c r="E63" s="3256">
        <v>3600</v>
      </c>
      <c r="F63" s="3265" t="e">
        <f>E63/#REF!*100</f>
        <v>#REF!</v>
      </c>
      <c r="G63" s="3256" t="e">
        <f>SUM(G64:G70)</f>
        <v>#REF!</v>
      </c>
      <c r="H63" s="3256">
        <f>SUM(H64:H70)</f>
        <v>1773.7999999999997</v>
      </c>
      <c r="I63" s="3256">
        <f>SUM(I64:I70)</f>
        <v>2603.1999999999998</v>
      </c>
      <c r="J63" s="3266"/>
      <c r="K63" s="2658">
        <f>SUM(K64:K70)</f>
        <v>3476.2</v>
      </c>
      <c r="L63" s="2658">
        <f>SUM(L64:L70)</f>
        <v>3672.7</v>
      </c>
      <c r="M63" s="2658">
        <f>SUM(M64:M70)</f>
        <v>3644.7</v>
      </c>
      <c r="N63" s="2658">
        <f>SUM(N64:N70)</f>
        <v>28</v>
      </c>
      <c r="O63" s="2658" t="e">
        <f t="shared" si="16"/>
        <v>#REF!</v>
      </c>
      <c r="P63" s="2658">
        <f>SUM(P64:P70)</f>
        <v>1670.74</v>
      </c>
      <c r="Q63" s="2658">
        <f>SUM(Q64:Q70)</f>
        <v>0</v>
      </c>
      <c r="R63" s="2658">
        <f>R64+R65</f>
        <v>3186.5699999999997</v>
      </c>
      <c r="S63" s="2658">
        <f>SUM(S64:S70)</f>
        <v>23.38</v>
      </c>
      <c r="T63" s="2658">
        <f>SUM(T64:T70)</f>
        <v>3473</v>
      </c>
      <c r="U63" s="2658">
        <f>SUM(U64:U70)</f>
        <v>2289.52</v>
      </c>
      <c r="V63" s="2658">
        <f>SUM(V64:V70)</f>
        <v>15.34</v>
      </c>
      <c r="W63" s="2658">
        <f>W64+W65+W71</f>
        <v>4196.72</v>
      </c>
      <c r="X63" s="2658">
        <f>X64+X65+X70</f>
        <v>20.65</v>
      </c>
      <c r="Y63" s="2658">
        <f>Y64+Y65+Y71</f>
        <v>3040.84</v>
      </c>
      <c r="Z63" s="2658">
        <f>Z64+Z65+Z70</f>
        <v>20.65</v>
      </c>
      <c r="AA63" s="2658">
        <f>SUM(AA64:AA70)</f>
        <v>3445</v>
      </c>
      <c r="AB63" s="2658">
        <f>SUM(AB64:AB70)</f>
        <v>18.93</v>
      </c>
      <c r="AC63" s="3284">
        <f>SUM(AA63/M63*100)</f>
        <v>94.520811040689225</v>
      </c>
      <c r="AD63" s="2658">
        <f>SUM(AD64:AD70)</f>
        <v>3473</v>
      </c>
      <c r="AE63" s="2658">
        <f>SUM(AE64:AE70)</f>
        <v>3445</v>
      </c>
      <c r="AF63" s="2658">
        <f>SUM(AF64:AF70)</f>
        <v>18.93</v>
      </c>
      <c r="AG63" s="3254" t="e">
        <f>SUM(AE63/Q63*100)</f>
        <v>#DIV/0!</v>
      </c>
      <c r="AH63" s="2658">
        <f>SUM(AH64:AH70)</f>
        <v>3200</v>
      </c>
      <c r="AI63" s="2658">
        <f>SUM(AI64:AI70)</f>
        <v>23</v>
      </c>
      <c r="AJ63" s="2658">
        <f>AE63*(1-0.05)</f>
        <v>3272.75</v>
      </c>
      <c r="AK63" s="2658">
        <f t="shared" ref="AK63:AQ63" si="58">SUM(AK64:AK70)</f>
        <v>23</v>
      </c>
      <c r="AL63" s="2658">
        <f t="shared" si="58"/>
        <v>3230</v>
      </c>
      <c r="AM63" s="2658">
        <f t="shared" si="58"/>
        <v>23</v>
      </c>
      <c r="AN63" s="2658">
        <f t="shared" si="58"/>
        <v>3178.1</v>
      </c>
      <c r="AO63" s="2658">
        <f t="shared" si="58"/>
        <v>19.22</v>
      </c>
      <c r="AP63" s="2658">
        <f t="shared" si="58"/>
        <v>3178.1</v>
      </c>
      <c r="AQ63" s="2658">
        <f t="shared" si="58"/>
        <v>19.22</v>
      </c>
      <c r="AR63" s="2658">
        <f>AR64+AR65</f>
        <v>3230</v>
      </c>
      <c r="AS63" s="2658">
        <f>SUM(AS64:AS70)</f>
        <v>18.93</v>
      </c>
      <c r="AT63" s="2658">
        <f>AT64+AT65</f>
        <v>2357.9</v>
      </c>
      <c r="AU63" s="2658">
        <f>SUM(AU64:AU70)</f>
        <v>13.25</v>
      </c>
      <c r="AV63" s="2658">
        <f>AV64+AV65</f>
        <v>3132.12</v>
      </c>
      <c r="AW63" s="2658">
        <f>SUM(AW64:AW70)</f>
        <v>18.25</v>
      </c>
      <c r="AX63" s="2658">
        <f>SUM(AX64:AX70)</f>
        <v>3230</v>
      </c>
      <c r="AY63" s="2658">
        <f>SUM(AY64:AY70)</f>
        <v>18.93</v>
      </c>
      <c r="AZ63" s="2658">
        <f>'ф1.1. п5 МУ'!J33</f>
        <v>3002.3369764914323</v>
      </c>
      <c r="BA63" s="2658">
        <f>SUM(BA64:BA70)</f>
        <v>17.666666666666668</v>
      </c>
      <c r="BB63" s="2658">
        <f>BB64+BB65</f>
        <v>3002.3369764914323</v>
      </c>
      <c r="BC63" s="2658">
        <f t="shared" ref="BC63:BK63" si="59">SUM(BC64:BC71)</f>
        <v>17.666666666666668</v>
      </c>
      <c r="BD63" s="2658">
        <f>BD64+BD65</f>
        <v>2826.7379999999998</v>
      </c>
      <c r="BE63" s="2658">
        <f t="shared" ref="BE63" si="60">SUM(BE64:BE71)</f>
        <v>17.666666666666668</v>
      </c>
      <c r="BF63" s="2658">
        <f>SUM(BF64+BF65)</f>
        <v>1538.6509999999998</v>
      </c>
      <c r="BG63" s="2658">
        <f t="shared" si="59"/>
        <v>8.7319999999999993</v>
      </c>
      <c r="BH63" s="2658">
        <f>SUM(BH64+BH65)</f>
        <v>2309.123</v>
      </c>
      <c r="BI63" s="2658">
        <f t="shared" si="59"/>
        <v>13.331</v>
      </c>
      <c r="BJ63" s="2658">
        <f>SUM(BJ64+BJ65)</f>
        <v>3105.598</v>
      </c>
      <c r="BK63" s="2658">
        <f t="shared" si="59"/>
        <v>14.835000000000001</v>
      </c>
      <c r="BL63" s="2417">
        <f>BL64+BL65</f>
        <v>2826.7379999999998</v>
      </c>
      <c r="BM63" s="2417">
        <f t="shared" ref="BM63:BO63" si="61">SUM(BM64:BM71)</f>
        <v>17.666666666666668</v>
      </c>
      <c r="BN63" s="4075">
        <f>BN64+BN65</f>
        <v>2826.7379999999998</v>
      </c>
      <c r="BO63" s="4075">
        <f t="shared" si="61"/>
        <v>17.667000000000002</v>
      </c>
      <c r="BQ63" s="3964">
        <f>SUM(BQ64+BQ65)</f>
        <v>1559.5720000000001</v>
      </c>
      <c r="BR63" s="2417">
        <f t="shared" ref="BR63" si="62">SUM(BR64:BR71)</f>
        <v>7.7590000000000003</v>
      </c>
      <c r="BS63" s="2417">
        <f>SUM(BS64+BS65)</f>
        <v>2275.0949999999998</v>
      </c>
      <c r="BT63" s="2417">
        <f t="shared" ref="BT63" si="63">SUM(BT64:BT71)</f>
        <v>11.851000000000001</v>
      </c>
      <c r="BU63" s="3303">
        <f>SUM(BU64+BU65)</f>
        <v>0</v>
      </c>
      <c r="BV63" s="3304">
        <f t="shared" ref="BV63" si="64">SUM(BV64:BV71)</f>
        <v>0</v>
      </c>
    </row>
    <row r="64" spans="1:74" ht="36" customHeight="1" x14ac:dyDescent="0.2">
      <c r="A64" s="3186" t="s">
        <v>27</v>
      </c>
      <c r="B64" s="2755"/>
      <c r="C64" s="2755"/>
      <c r="D64" s="2755"/>
      <c r="E64" s="3254">
        <v>2600</v>
      </c>
      <c r="F64" s="3255" t="e">
        <f>E64/#REF!*100</f>
        <v>#REF!</v>
      </c>
      <c r="G64" s="3254">
        <f>E64</f>
        <v>2600</v>
      </c>
      <c r="H64" s="3254">
        <v>1250.8</v>
      </c>
      <c r="I64" s="3258">
        <v>1837.1</v>
      </c>
      <c r="J64" s="3258"/>
      <c r="K64" s="3231">
        <v>2448.6999999999998</v>
      </c>
      <c r="L64" s="3257">
        <v>2600</v>
      </c>
      <c r="M64" s="3257">
        <v>2600</v>
      </c>
      <c r="N64" s="3257"/>
      <c r="O64" s="3257">
        <f t="shared" si="16"/>
        <v>100</v>
      </c>
      <c r="P64" s="3231">
        <v>1186.01</v>
      </c>
      <c r="Q64" s="3231"/>
      <c r="R64" s="3231">
        <v>2289.52</v>
      </c>
      <c r="S64" s="3231"/>
      <c r="T64" s="3257">
        <v>2448</v>
      </c>
      <c r="U64" s="3257">
        <v>1686.35</v>
      </c>
      <c r="V64" s="3257"/>
      <c r="W64" s="3257">
        <v>2239.89</v>
      </c>
      <c r="X64" s="3257"/>
      <c r="Y64" s="3257">
        <v>2239.89</v>
      </c>
      <c r="Z64" s="3257"/>
      <c r="AA64" s="3257">
        <f>T64</f>
        <v>2448</v>
      </c>
      <c r="AB64" s="3257"/>
      <c r="AC64" s="3257">
        <f>SUM(AA64/M64*100)</f>
        <v>94.15384615384616</v>
      </c>
      <c r="AD64" s="3257">
        <v>2448</v>
      </c>
      <c r="AE64" s="3257">
        <f>AD64</f>
        <v>2448</v>
      </c>
      <c r="AF64" s="3257"/>
      <c r="AG64" s="3254" t="e">
        <f>SUM(AE64/Q64*100)</f>
        <v>#DIV/0!</v>
      </c>
      <c r="AH64" s="2654">
        <v>2300</v>
      </c>
      <c r="AI64" s="2654"/>
      <c r="AJ64" s="2659">
        <f>AH64</f>
        <v>2300</v>
      </c>
      <c r="AK64" s="2659"/>
      <c r="AL64" s="2659">
        <v>2280</v>
      </c>
      <c r="AM64" s="2659"/>
      <c r="AN64" s="2659">
        <v>2420.66</v>
      </c>
      <c r="AO64" s="2659"/>
      <c r="AP64" s="2659">
        <v>2420.66</v>
      </c>
      <c r="AQ64" s="2659"/>
      <c r="AR64" s="2659">
        <v>2280</v>
      </c>
      <c r="AS64" s="2659"/>
      <c r="AT64" s="2659">
        <v>1805.9</v>
      </c>
      <c r="AU64" s="2659"/>
      <c r="AV64" s="2659">
        <v>2384.92</v>
      </c>
      <c r="AW64" s="2659"/>
      <c r="AX64" s="2659">
        <v>2280</v>
      </c>
      <c r="AY64" s="2659"/>
      <c r="AZ64" s="2659">
        <f>AX64</f>
        <v>2280</v>
      </c>
      <c r="BA64" s="2659"/>
      <c r="BB64" s="2659">
        <f>SUM(AZ64)</f>
        <v>2280</v>
      </c>
      <c r="BC64" s="2659"/>
      <c r="BD64" s="2659">
        <v>2146.6489999999999</v>
      </c>
      <c r="BE64" s="2659"/>
      <c r="BF64" s="2659">
        <v>1172.6869999999999</v>
      </c>
      <c r="BG64" s="2659"/>
      <c r="BH64" s="2659">
        <v>1750.2370000000001</v>
      </c>
      <c r="BI64" s="2659"/>
      <c r="BJ64" s="2659">
        <v>2347.616</v>
      </c>
      <c r="BK64" s="2659"/>
      <c r="BL64" s="2412">
        <v>2146.6489999999999</v>
      </c>
      <c r="BM64" s="2412"/>
      <c r="BN64" s="4069">
        <v>2146.6489999999999</v>
      </c>
      <c r="BO64" s="4069"/>
      <c r="BQ64" s="3959">
        <v>1225.816</v>
      </c>
      <c r="BR64" s="2412"/>
      <c r="BS64" s="2412">
        <v>1807.895</v>
      </c>
      <c r="BT64" s="2412"/>
      <c r="BU64" s="3294"/>
      <c r="BV64" s="3295"/>
    </row>
    <row r="65" spans="1:74" ht="36" customHeight="1" x14ac:dyDescent="0.2">
      <c r="A65" s="3186" t="s">
        <v>3683</v>
      </c>
      <c r="B65" s="2755"/>
      <c r="C65" s="2755"/>
      <c r="D65" s="2755"/>
      <c r="E65" s="3254">
        <v>972</v>
      </c>
      <c r="F65" s="3255" t="e">
        <f>E65/#REF!*100</f>
        <v>#REF!</v>
      </c>
      <c r="G65" s="3254" t="e">
        <f>#REF!+2.4</f>
        <v>#REF!</v>
      </c>
      <c r="H65" s="3254">
        <v>513.4</v>
      </c>
      <c r="I65" s="3258">
        <v>751.9</v>
      </c>
      <c r="J65" s="3258"/>
      <c r="K65" s="3231">
        <v>997.3</v>
      </c>
      <c r="L65" s="3257">
        <v>1044.7</v>
      </c>
      <c r="M65" s="3257">
        <v>1044.7</v>
      </c>
      <c r="N65" s="3257"/>
      <c r="O65" s="3257" t="e">
        <f t="shared" si="16"/>
        <v>#REF!</v>
      </c>
      <c r="P65" s="3231">
        <v>475.06</v>
      </c>
      <c r="Q65" s="3231"/>
      <c r="R65" s="3231">
        <v>897.05</v>
      </c>
      <c r="S65" s="3231"/>
      <c r="T65" s="3257">
        <v>997</v>
      </c>
      <c r="U65" s="3257">
        <v>603.16999999999996</v>
      </c>
      <c r="V65" s="3257"/>
      <c r="W65" s="3257">
        <v>800.95</v>
      </c>
      <c r="X65" s="3257"/>
      <c r="Y65" s="3257">
        <v>800.95</v>
      </c>
      <c r="Z65" s="3257"/>
      <c r="AA65" s="3257">
        <f>T65</f>
        <v>997</v>
      </c>
      <c r="AB65" s="3257"/>
      <c r="AC65" s="3257">
        <f>SUM(AA65/M65*100)</f>
        <v>95.434095912702205</v>
      </c>
      <c r="AD65" s="3257">
        <v>997</v>
      </c>
      <c r="AE65" s="3257">
        <f>AD65</f>
        <v>997</v>
      </c>
      <c r="AF65" s="3257"/>
      <c r="AG65" s="3254" t="e">
        <f>SUM(AE65/Q65*100)</f>
        <v>#DIV/0!</v>
      </c>
      <c r="AH65" s="2654">
        <v>900</v>
      </c>
      <c r="AI65" s="2654"/>
      <c r="AJ65" s="2659">
        <f>AJ63-AJ64</f>
        <v>972.75</v>
      </c>
      <c r="AK65" s="2659"/>
      <c r="AL65" s="2659">
        <v>950</v>
      </c>
      <c r="AM65" s="2659"/>
      <c r="AN65" s="2659">
        <v>757.44</v>
      </c>
      <c r="AO65" s="2659"/>
      <c r="AP65" s="2659">
        <v>757.44</v>
      </c>
      <c r="AQ65" s="2659"/>
      <c r="AR65" s="2659">
        <v>950</v>
      </c>
      <c r="AS65" s="2659"/>
      <c r="AT65" s="2659">
        <v>552</v>
      </c>
      <c r="AU65" s="2659"/>
      <c r="AV65" s="2659">
        <v>747.2</v>
      </c>
      <c r="AW65" s="2659"/>
      <c r="AX65" s="2659">
        <v>950</v>
      </c>
      <c r="AY65" s="2659"/>
      <c r="AZ65" s="2659">
        <f>AZ63-AZ64</f>
        <v>722.33697649143232</v>
      </c>
      <c r="BA65" s="2659"/>
      <c r="BB65" s="2659">
        <f>SUM(AZ65)</f>
        <v>722.33697649143232</v>
      </c>
      <c r="BC65" s="2659"/>
      <c r="BD65" s="2659">
        <v>680.08900000000006</v>
      </c>
      <c r="BE65" s="2659"/>
      <c r="BF65" s="2659">
        <v>365.964</v>
      </c>
      <c r="BG65" s="2659"/>
      <c r="BH65" s="2659">
        <v>558.88599999999997</v>
      </c>
      <c r="BI65" s="2659"/>
      <c r="BJ65" s="2659">
        <v>757.98199999999997</v>
      </c>
      <c r="BK65" s="2659"/>
      <c r="BL65" s="2412">
        <v>680.08900000000006</v>
      </c>
      <c r="BM65" s="2412"/>
      <c r="BN65" s="4069">
        <v>680.08900000000006</v>
      </c>
      <c r="BO65" s="4069"/>
      <c r="BQ65" s="3959">
        <v>333.75599999999997</v>
      </c>
      <c r="BR65" s="2412"/>
      <c r="BS65" s="2412">
        <v>467.2</v>
      </c>
      <c r="BT65" s="2412"/>
      <c r="BU65" s="3294"/>
      <c r="BV65" s="3295"/>
    </row>
    <row r="66" spans="1:74" ht="36" customHeight="1" x14ac:dyDescent="0.2">
      <c r="A66" s="3053" t="s">
        <v>3679</v>
      </c>
      <c r="B66" s="2755"/>
      <c r="C66" s="2755"/>
      <c r="D66" s="2755"/>
      <c r="E66" s="3254"/>
      <c r="F66" s="3255"/>
      <c r="G66" s="3254"/>
      <c r="H66" s="3254"/>
      <c r="I66" s="3258"/>
      <c r="J66" s="3258"/>
      <c r="K66" s="3231"/>
      <c r="L66" s="3257"/>
      <c r="M66" s="3257"/>
      <c r="N66" s="3257"/>
      <c r="O66" s="3257"/>
      <c r="P66" s="3231"/>
      <c r="Q66" s="3231"/>
      <c r="R66" s="3231"/>
      <c r="S66" s="3231"/>
      <c r="T66" s="3257"/>
      <c r="U66" s="3257"/>
      <c r="V66" s="3257"/>
      <c r="W66" s="3257"/>
      <c r="X66" s="3257"/>
      <c r="Y66" s="3257"/>
      <c r="Z66" s="3257"/>
      <c r="AA66" s="3257"/>
      <c r="AB66" s="3257"/>
      <c r="AC66" s="3257"/>
      <c r="AD66" s="3257"/>
      <c r="AE66" s="3257"/>
      <c r="AF66" s="3257"/>
      <c r="AG66" s="3254"/>
      <c r="AH66" s="2654"/>
      <c r="AI66" s="2654"/>
      <c r="AJ66" s="2659"/>
      <c r="AK66" s="2659"/>
      <c r="AL66" s="2659"/>
      <c r="AM66" s="2659"/>
      <c r="AN66" s="2659"/>
      <c r="AO66" s="2659"/>
      <c r="AP66" s="2659"/>
      <c r="AQ66" s="2659"/>
      <c r="AR66" s="2659"/>
      <c r="AS66" s="2659"/>
      <c r="AT66" s="2659"/>
      <c r="AU66" s="2659"/>
      <c r="AV66" s="2687">
        <f>SUM(AV67:AV69)</f>
        <v>327.62799999999999</v>
      </c>
      <c r="AW66" s="2659"/>
      <c r="AX66" s="2659"/>
      <c r="AY66" s="2659"/>
      <c r="AZ66" s="2687">
        <f>SUM(AZ67:AZ69)</f>
        <v>316.72300000000001</v>
      </c>
      <c r="BA66" s="2659"/>
      <c r="BB66" s="2687">
        <f>SUM(BB67:BB69)</f>
        <v>316.72300000000001</v>
      </c>
      <c r="BC66" s="2659"/>
      <c r="BD66" s="2687">
        <f>SUM(BD67:BD69)</f>
        <v>298.20000000000005</v>
      </c>
      <c r="BE66" s="2659"/>
      <c r="BF66" s="2687">
        <f>SUM(BF67:BF69)</f>
        <v>160.46299999999999</v>
      </c>
      <c r="BG66" s="2659"/>
      <c r="BH66" s="2687">
        <f>SUM(BH67:BH69)</f>
        <v>219.98500000000001</v>
      </c>
      <c r="BI66" s="2687"/>
      <c r="BJ66" s="2687">
        <v>305.94</v>
      </c>
      <c r="BK66" s="2659"/>
      <c r="BL66" s="2416">
        <f>SUM(BL67:BL69)</f>
        <v>298.20000000000005</v>
      </c>
      <c r="BM66" s="2412"/>
      <c r="BN66" s="4073">
        <f>SUM(BN67:BN69)</f>
        <v>298.20000000000005</v>
      </c>
      <c r="BO66" s="4069"/>
      <c r="BQ66" s="3962">
        <f>SUM(BQ67:BQ69)</f>
        <v>130.74200000000002</v>
      </c>
      <c r="BR66" s="2412"/>
      <c r="BS66" s="2416">
        <f>SUM(BS67:BS69)</f>
        <v>189.316</v>
      </c>
      <c r="BT66" s="2416"/>
      <c r="BU66" s="3299">
        <f>SUM(BU67:BU69)</f>
        <v>0</v>
      </c>
      <c r="BV66" s="3295"/>
    </row>
    <row r="67" spans="1:74" ht="36" customHeight="1" x14ac:dyDescent="0.2">
      <c r="A67" s="3054" t="s">
        <v>3681</v>
      </c>
      <c r="B67" s="2755"/>
      <c r="C67" s="2755"/>
      <c r="D67" s="2755"/>
      <c r="E67" s="3254"/>
      <c r="F67" s="3255"/>
      <c r="G67" s="3254"/>
      <c r="H67" s="3254"/>
      <c r="I67" s="3258"/>
      <c r="J67" s="3258"/>
      <c r="K67" s="3231"/>
      <c r="L67" s="3257"/>
      <c r="M67" s="3257"/>
      <c r="N67" s="3257"/>
      <c r="O67" s="3257"/>
      <c r="P67" s="3231"/>
      <c r="Q67" s="3231"/>
      <c r="R67" s="3231"/>
      <c r="S67" s="3231"/>
      <c r="T67" s="3257"/>
      <c r="U67" s="3257"/>
      <c r="V67" s="3257"/>
      <c r="W67" s="3257"/>
      <c r="X67" s="3257"/>
      <c r="Y67" s="3257"/>
      <c r="Z67" s="3257"/>
      <c r="AA67" s="3257"/>
      <c r="AB67" s="3257"/>
      <c r="AC67" s="3257"/>
      <c r="AD67" s="3257"/>
      <c r="AE67" s="3257"/>
      <c r="AF67" s="3257"/>
      <c r="AG67" s="3254"/>
      <c r="AH67" s="2654"/>
      <c r="AI67" s="2654"/>
      <c r="AJ67" s="2659"/>
      <c r="AK67" s="2659"/>
      <c r="AL67" s="2659"/>
      <c r="AM67" s="2659"/>
      <c r="AN67" s="2659"/>
      <c r="AO67" s="2659"/>
      <c r="AP67" s="2659"/>
      <c r="AQ67" s="2659"/>
      <c r="AR67" s="2659"/>
      <c r="AS67" s="2659"/>
      <c r="AT67" s="2659"/>
      <c r="AU67" s="2659"/>
      <c r="AV67" s="2687">
        <v>120.295</v>
      </c>
      <c r="AW67" s="2659"/>
      <c r="AX67" s="2659"/>
      <c r="AY67" s="2659"/>
      <c r="AZ67" s="2687">
        <v>116.289</v>
      </c>
      <c r="BA67" s="2659"/>
      <c r="BB67" s="2687">
        <v>116.289</v>
      </c>
      <c r="BC67" s="2659"/>
      <c r="BD67" s="2687">
        <v>109.488</v>
      </c>
      <c r="BE67" s="2659"/>
      <c r="BF67" s="2687">
        <v>58.915999999999997</v>
      </c>
      <c r="BG67" s="2659"/>
      <c r="BH67" s="2687">
        <v>76.165000000000006</v>
      </c>
      <c r="BI67" s="2687"/>
      <c r="BJ67" s="2687">
        <v>107.04300000000001</v>
      </c>
      <c r="BK67" s="2659"/>
      <c r="BL67" s="2416">
        <v>109.488</v>
      </c>
      <c r="BM67" s="2412"/>
      <c r="BN67" s="4073">
        <v>109.488</v>
      </c>
      <c r="BO67" s="4069"/>
      <c r="BQ67" s="3962">
        <v>47.767000000000003</v>
      </c>
      <c r="BR67" s="2412"/>
      <c r="BS67" s="2416">
        <v>72.343999999999994</v>
      </c>
      <c r="BT67" s="2416"/>
      <c r="BU67" s="3299"/>
      <c r="BV67" s="3295"/>
    </row>
    <row r="68" spans="1:74" ht="36" customHeight="1" x14ac:dyDescent="0.2">
      <c r="A68" s="3054" t="s">
        <v>3680</v>
      </c>
      <c r="B68" s="2755"/>
      <c r="C68" s="2755"/>
      <c r="D68" s="2755"/>
      <c r="E68" s="3254"/>
      <c r="F68" s="3255"/>
      <c r="G68" s="3254"/>
      <c r="H68" s="3254"/>
      <c r="I68" s="3258"/>
      <c r="J68" s="3258"/>
      <c r="K68" s="3231"/>
      <c r="L68" s="3257"/>
      <c r="M68" s="3257"/>
      <c r="N68" s="3257"/>
      <c r="O68" s="3257"/>
      <c r="P68" s="3231"/>
      <c r="Q68" s="3231"/>
      <c r="R68" s="3231"/>
      <c r="S68" s="3231"/>
      <c r="T68" s="3257"/>
      <c r="U68" s="3257"/>
      <c r="V68" s="3257"/>
      <c r="W68" s="3257"/>
      <c r="X68" s="3257"/>
      <c r="Y68" s="3257"/>
      <c r="Z68" s="3257"/>
      <c r="AA68" s="3257"/>
      <c r="AB68" s="3257"/>
      <c r="AC68" s="3257"/>
      <c r="AD68" s="3257"/>
      <c r="AE68" s="3257"/>
      <c r="AF68" s="3257"/>
      <c r="AG68" s="3254"/>
      <c r="AH68" s="2654"/>
      <c r="AI68" s="2654"/>
      <c r="AJ68" s="2659"/>
      <c r="AK68" s="2659"/>
      <c r="AL68" s="2659"/>
      <c r="AM68" s="2659"/>
      <c r="AN68" s="2659"/>
      <c r="AO68" s="2659"/>
      <c r="AP68" s="2659"/>
      <c r="AQ68" s="2659"/>
      <c r="AR68" s="2659"/>
      <c r="AS68" s="2659"/>
      <c r="AT68" s="2659"/>
      <c r="AU68" s="2659"/>
      <c r="AV68" s="2687">
        <v>93.442999999999998</v>
      </c>
      <c r="AW68" s="2659"/>
      <c r="AX68" s="2659"/>
      <c r="AY68" s="2659"/>
      <c r="AZ68" s="2687">
        <v>90.334999999999994</v>
      </c>
      <c r="BA68" s="2659"/>
      <c r="BB68" s="2687">
        <v>90.334999999999994</v>
      </c>
      <c r="BC68" s="2659"/>
      <c r="BD68" s="2687">
        <v>85.052000000000007</v>
      </c>
      <c r="BE68" s="2659"/>
      <c r="BF68" s="2687">
        <v>45.767000000000003</v>
      </c>
      <c r="BG68" s="2659"/>
      <c r="BH68" s="2687">
        <v>68.283000000000001</v>
      </c>
      <c r="BI68" s="2687"/>
      <c r="BJ68" s="2687">
        <v>91.513000000000005</v>
      </c>
      <c r="BK68" s="2659"/>
      <c r="BL68" s="2416">
        <v>85.052000000000007</v>
      </c>
      <c r="BM68" s="2412"/>
      <c r="BN68" s="4073">
        <v>85.052000000000007</v>
      </c>
      <c r="BO68" s="4069"/>
      <c r="BQ68" s="3962">
        <v>41.579000000000001</v>
      </c>
      <c r="BR68" s="2412"/>
      <c r="BS68" s="2416">
        <v>62.764000000000003</v>
      </c>
      <c r="BT68" s="2416"/>
      <c r="BU68" s="3299"/>
      <c r="BV68" s="3295"/>
    </row>
    <row r="69" spans="1:74" ht="36" customHeight="1" x14ac:dyDescent="0.2">
      <c r="A69" s="3054" t="s">
        <v>3682</v>
      </c>
      <c r="B69" s="2755"/>
      <c r="C69" s="2755"/>
      <c r="D69" s="2755"/>
      <c r="E69" s="3254"/>
      <c r="F69" s="3255"/>
      <c r="G69" s="3254"/>
      <c r="H69" s="3254"/>
      <c r="I69" s="3258"/>
      <c r="J69" s="3258"/>
      <c r="K69" s="3231"/>
      <c r="L69" s="3257"/>
      <c r="M69" s="3257"/>
      <c r="N69" s="3257"/>
      <c r="O69" s="3257"/>
      <c r="P69" s="3231"/>
      <c r="Q69" s="3231"/>
      <c r="R69" s="3231"/>
      <c r="S69" s="3231"/>
      <c r="T69" s="3257"/>
      <c r="U69" s="3257"/>
      <c r="V69" s="3257"/>
      <c r="W69" s="3257"/>
      <c r="X69" s="3257"/>
      <c r="Y69" s="3257"/>
      <c r="Z69" s="3257"/>
      <c r="AA69" s="3257"/>
      <c r="AB69" s="3257"/>
      <c r="AC69" s="3257"/>
      <c r="AD69" s="3257"/>
      <c r="AE69" s="3257"/>
      <c r="AF69" s="3257"/>
      <c r="AG69" s="3254"/>
      <c r="AH69" s="2654"/>
      <c r="AI69" s="2654"/>
      <c r="AJ69" s="2659"/>
      <c r="AK69" s="2659"/>
      <c r="AL69" s="2659"/>
      <c r="AM69" s="2659"/>
      <c r="AN69" s="2659"/>
      <c r="AO69" s="2659"/>
      <c r="AP69" s="2659"/>
      <c r="AQ69" s="2659"/>
      <c r="AR69" s="2659"/>
      <c r="AS69" s="2659"/>
      <c r="AT69" s="2659"/>
      <c r="AU69" s="2659"/>
      <c r="AV69" s="2687">
        <v>113.89</v>
      </c>
      <c r="AW69" s="2659"/>
      <c r="AX69" s="2659"/>
      <c r="AY69" s="2659"/>
      <c r="AZ69" s="2687">
        <v>110.099</v>
      </c>
      <c r="BA69" s="2659"/>
      <c r="BB69" s="2687">
        <v>110.099</v>
      </c>
      <c r="BC69" s="2659"/>
      <c r="BD69" s="2687">
        <v>103.66</v>
      </c>
      <c r="BE69" s="2659"/>
      <c r="BF69" s="2687">
        <v>55.78</v>
      </c>
      <c r="BG69" s="2659"/>
      <c r="BH69" s="2687">
        <v>75.537000000000006</v>
      </c>
      <c r="BI69" s="2687"/>
      <c r="BJ69" s="2687">
        <v>107.384</v>
      </c>
      <c r="BK69" s="2659"/>
      <c r="BL69" s="2416">
        <v>103.66</v>
      </c>
      <c r="BM69" s="2412"/>
      <c r="BN69" s="4073">
        <v>103.66</v>
      </c>
      <c r="BO69" s="4069"/>
      <c r="BQ69" s="3962">
        <v>41.396000000000001</v>
      </c>
      <c r="BR69" s="2412"/>
      <c r="BS69" s="2416">
        <v>54.207999999999998</v>
      </c>
      <c r="BT69" s="2416"/>
      <c r="BU69" s="3299"/>
      <c r="BV69" s="3295"/>
    </row>
    <row r="70" spans="1:74" ht="36" customHeight="1" x14ac:dyDescent="0.2">
      <c r="A70" s="3186" t="s">
        <v>67</v>
      </c>
      <c r="B70" s="2755"/>
      <c r="C70" s="2755"/>
      <c r="D70" s="2755"/>
      <c r="E70" s="3254">
        <v>28</v>
      </c>
      <c r="F70" s="3255" t="e">
        <f>E70/#REF!*100</f>
        <v>#REF!</v>
      </c>
      <c r="G70" s="3254">
        <v>28</v>
      </c>
      <c r="H70" s="3254">
        <v>9.6</v>
      </c>
      <c r="I70" s="3258">
        <v>14.2</v>
      </c>
      <c r="J70" s="3258"/>
      <c r="K70" s="3231">
        <v>30.2</v>
      </c>
      <c r="L70" s="3257">
        <v>28</v>
      </c>
      <c r="M70" s="3257"/>
      <c r="N70" s="3257">
        <v>28</v>
      </c>
      <c r="O70" s="3257">
        <f t="shared" si="16"/>
        <v>0</v>
      </c>
      <c r="P70" s="3231">
        <v>9.67</v>
      </c>
      <c r="Q70" s="3231"/>
      <c r="R70" s="3231"/>
      <c r="S70" s="3231">
        <v>23.38</v>
      </c>
      <c r="T70" s="3257">
        <v>28</v>
      </c>
      <c r="U70" s="3257"/>
      <c r="V70" s="3257">
        <v>15.34</v>
      </c>
      <c r="W70" s="3257"/>
      <c r="X70" s="3257">
        <v>20.65</v>
      </c>
      <c r="Y70" s="3257"/>
      <c r="Z70" s="3257">
        <v>20.65</v>
      </c>
      <c r="AA70" s="3257"/>
      <c r="AB70" s="3257">
        <v>18.93</v>
      </c>
      <c r="AC70" s="3257" t="e">
        <f>SUM(AA70/M70*100)</f>
        <v>#DIV/0!</v>
      </c>
      <c r="AD70" s="3257">
        <v>28</v>
      </c>
      <c r="AE70" s="3257"/>
      <c r="AF70" s="3257">
        <f>AB70</f>
        <v>18.93</v>
      </c>
      <c r="AG70" s="3254" t="e">
        <f>SUM(AE70/Q70*100)</f>
        <v>#DIV/0!</v>
      </c>
      <c r="AH70" s="2654"/>
      <c r="AI70" s="2654">
        <v>23</v>
      </c>
      <c r="AJ70" s="2659"/>
      <c r="AK70" s="2659">
        <v>23</v>
      </c>
      <c r="AL70" s="2659"/>
      <c r="AM70" s="2659">
        <v>23</v>
      </c>
      <c r="AN70" s="2659"/>
      <c r="AO70" s="2659">
        <v>19.22</v>
      </c>
      <c r="AP70" s="2659"/>
      <c r="AQ70" s="2659">
        <v>19.22</v>
      </c>
      <c r="AR70" s="2659"/>
      <c r="AS70" s="2659">
        <f>AF70</f>
        <v>18.93</v>
      </c>
      <c r="AT70" s="2659"/>
      <c r="AU70" s="2659">
        <v>13.25</v>
      </c>
      <c r="AV70" s="2659"/>
      <c r="AW70" s="2659">
        <v>18.25</v>
      </c>
      <c r="AX70" s="2659"/>
      <c r="AY70" s="2659">
        <v>18.93</v>
      </c>
      <c r="AZ70" s="2659"/>
      <c r="BA70" s="2659">
        <f>AU70/9*12</f>
        <v>17.666666666666668</v>
      </c>
      <c r="BB70" s="2659"/>
      <c r="BC70" s="2659">
        <f>SUM(BA70)</f>
        <v>17.666666666666668</v>
      </c>
      <c r="BD70" s="2659"/>
      <c r="BE70" s="2659">
        <f>SUM(BC70)</f>
        <v>17.666666666666668</v>
      </c>
      <c r="BF70" s="2659"/>
      <c r="BG70" s="2659">
        <v>8.7319999999999993</v>
      </c>
      <c r="BH70" s="2659"/>
      <c r="BI70" s="2659">
        <v>13.331</v>
      </c>
      <c r="BJ70" s="2659"/>
      <c r="BK70" s="2659">
        <v>14.835000000000001</v>
      </c>
      <c r="BL70" s="2412"/>
      <c r="BM70" s="2412">
        <f>SUM(BE70)</f>
        <v>17.666666666666668</v>
      </c>
      <c r="BN70" s="4069"/>
      <c r="BO70" s="4069">
        <v>17.667000000000002</v>
      </c>
      <c r="BQ70" s="3959"/>
      <c r="BR70" s="2412">
        <v>7.7590000000000003</v>
      </c>
      <c r="BS70" s="2412"/>
      <c r="BT70" s="2412">
        <v>11.851000000000001</v>
      </c>
      <c r="BU70" s="3294"/>
      <c r="BV70" s="3295"/>
    </row>
    <row r="71" spans="1:74" ht="19.5" thickBot="1" x14ac:dyDescent="0.25">
      <c r="A71" s="3285" t="s">
        <v>1536</v>
      </c>
      <c r="B71" s="3286"/>
      <c r="C71" s="3286"/>
      <c r="D71" s="3286"/>
      <c r="E71" s="3247">
        <v>29</v>
      </c>
      <c r="F71" s="3287" t="e">
        <f>E71/#REF!*100</f>
        <v>#REF!</v>
      </c>
      <c r="G71" s="3247">
        <v>28</v>
      </c>
      <c r="H71" s="3247">
        <v>9.6</v>
      </c>
      <c r="I71" s="3288">
        <v>14.2</v>
      </c>
      <c r="J71" s="3288"/>
      <c r="K71" s="3289">
        <f>K62-K63</f>
        <v>917.19999999999982</v>
      </c>
      <c r="L71" s="3290"/>
      <c r="M71" s="3290"/>
      <c r="N71" s="3290"/>
      <c r="O71" s="3290"/>
      <c r="P71" s="3291"/>
      <c r="Q71" s="3291"/>
      <c r="R71" s="3289">
        <f>R62-R63-S63</f>
        <v>631.00000000000011</v>
      </c>
      <c r="S71" s="3291"/>
      <c r="T71" s="3290"/>
      <c r="U71" s="3290">
        <v>973.86</v>
      </c>
      <c r="V71" s="3290"/>
      <c r="W71" s="3290">
        <v>1155.8800000000001</v>
      </c>
      <c r="X71" s="3290"/>
      <c r="Y71" s="3290">
        <v>0</v>
      </c>
      <c r="Z71" s="3290"/>
      <c r="AA71" s="3290"/>
      <c r="AB71" s="3290"/>
      <c r="AC71" s="3290"/>
      <c r="AD71" s="3290"/>
      <c r="AE71" s="3290"/>
      <c r="AF71" s="3290"/>
      <c r="AG71" s="3247"/>
      <c r="AH71" s="3290"/>
      <c r="AI71" s="3290"/>
      <c r="AJ71" s="3247"/>
      <c r="AK71" s="3247"/>
      <c r="AL71" s="3247"/>
      <c r="AM71" s="3247"/>
      <c r="AN71" s="3247">
        <v>1162.1600000000001</v>
      </c>
      <c r="AO71" s="3247"/>
      <c r="AP71" s="3247">
        <v>0</v>
      </c>
      <c r="AQ71" s="3247">
        <v>0</v>
      </c>
      <c r="AR71" s="3247"/>
      <c r="AS71" s="3247"/>
      <c r="AT71" s="3247"/>
      <c r="AU71" s="3247"/>
      <c r="AV71" s="3247"/>
      <c r="AW71" s="3247"/>
      <c r="AX71" s="3247">
        <v>968.44</v>
      </c>
      <c r="AY71" s="3247"/>
      <c r="AZ71" s="3247"/>
      <c r="BA71" s="3247"/>
      <c r="BB71" s="3247"/>
      <c r="BC71" s="3247"/>
      <c r="BD71" s="3247"/>
      <c r="BE71" s="3247"/>
      <c r="BF71" s="3247"/>
      <c r="BG71" s="3247"/>
      <c r="BH71" s="3247"/>
      <c r="BI71" s="3247"/>
      <c r="BJ71" s="3247"/>
      <c r="BK71" s="3247"/>
      <c r="BL71" s="3246"/>
      <c r="BM71" s="3246"/>
      <c r="BN71" s="4076"/>
      <c r="BO71" s="4076"/>
      <c r="BQ71" s="3954"/>
      <c r="BR71" s="3246"/>
      <c r="BS71" s="3246"/>
      <c r="BT71" s="3246"/>
      <c r="BU71" s="3305"/>
      <c r="BV71" s="3306"/>
    </row>
    <row r="72" spans="1:74" hidden="1" outlineLevel="1" x14ac:dyDescent="0.2">
      <c r="A72" s="157" t="s">
        <v>267</v>
      </c>
    </row>
    <row r="73" spans="1:74" hidden="1" outlineLevel="1" x14ac:dyDescent="0.2">
      <c r="A73" s="25"/>
      <c r="B73" s="25"/>
      <c r="C73" s="25"/>
      <c r="D73" s="25"/>
      <c r="E73" s="25" t="s">
        <v>258</v>
      </c>
      <c r="F73" s="25" t="s">
        <v>259</v>
      </c>
      <c r="G73" s="25" t="s">
        <v>259</v>
      </c>
      <c r="H73" s="25" t="s">
        <v>260</v>
      </c>
      <c r="I73" s="25" t="s">
        <v>261</v>
      </c>
      <c r="J73" s="25" t="s">
        <v>263</v>
      </c>
      <c r="K73" s="579"/>
      <c r="L73" s="25" t="s">
        <v>262</v>
      </c>
      <c r="M73" s="25" t="s">
        <v>264</v>
      </c>
      <c r="N73" s="974"/>
      <c r="O73" s="25"/>
      <c r="P73" s="579"/>
      <c r="Q73" s="1186"/>
      <c r="R73" s="1259"/>
      <c r="S73" s="579"/>
      <c r="T73" s="579"/>
      <c r="U73" s="1740"/>
      <c r="V73" s="1740"/>
      <c r="W73" s="1740"/>
      <c r="X73" s="1740"/>
      <c r="Y73" s="1740"/>
      <c r="Z73" s="1740"/>
      <c r="AA73" s="579"/>
      <c r="AB73" s="974"/>
      <c r="AC73" s="579"/>
      <c r="AD73" s="1366"/>
      <c r="AE73" s="1366"/>
      <c r="AF73" s="1366"/>
      <c r="AG73" s="1366"/>
      <c r="AH73" s="1591"/>
      <c r="AI73" s="1591"/>
      <c r="AJ73" s="1591"/>
      <c r="AK73" s="1591"/>
      <c r="AL73" s="1740"/>
      <c r="AM73" s="1740"/>
      <c r="AN73" s="2091"/>
      <c r="AO73" s="2091"/>
      <c r="AP73" s="2091"/>
      <c r="AQ73" s="2091"/>
      <c r="AR73" s="1740"/>
      <c r="AS73" s="1740"/>
      <c r="AT73" s="2091"/>
      <c r="AU73" s="2091"/>
      <c r="AV73" s="2091"/>
      <c r="AW73" s="2091"/>
      <c r="AX73" s="2091"/>
      <c r="AY73" s="2091"/>
      <c r="AZ73" s="2091"/>
      <c r="BA73" s="2091"/>
      <c r="BB73" s="2091"/>
      <c r="BC73" s="2091"/>
      <c r="BD73" s="2091"/>
      <c r="BE73" s="2091"/>
      <c r="BF73" s="2636"/>
      <c r="BG73" s="2636"/>
      <c r="BH73" s="2636"/>
      <c r="BI73" s="2636"/>
      <c r="BJ73" s="2636"/>
      <c r="BK73" s="2636"/>
    </row>
    <row r="74" spans="1:74" hidden="1" outlineLevel="1" x14ac:dyDescent="0.2">
      <c r="A74" s="25" t="s">
        <v>254</v>
      </c>
      <c r="B74" s="25"/>
      <c r="C74" s="25"/>
      <c r="D74" s="25"/>
      <c r="E74" s="25"/>
      <c r="F74" s="25"/>
      <c r="G74" s="25"/>
      <c r="H74" s="25"/>
      <c r="I74" s="25"/>
      <c r="J74" s="25"/>
      <c r="K74" s="579"/>
      <c r="L74" s="25"/>
      <c r="M74" s="25"/>
      <c r="N74" s="974"/>
      <c r="O74" s="25"/>
      <c r="P74" s="579"/>
      <c r="Q74" s="1186"/>
      <c r="R74" s="1259"/>
      <c r="S74" s="579"/>
      <c r="T74" s="579"/>
      <c r="U74" s="1740"/>
      <c r="V74" s="1740"/>
      <c r="W74" s="1740"/>
      <c r="X74" s="1740"/>
      <c r="Y74" s="1740"/>
      <c r="Z74" s="1740"/>
      <c r="AA74" s="579"/>
      <c r="AB74" s="974"/>
      <c r="AC74" s="579"/>
      <c r="AD74" s="1366"/>
      <c r="AE74" s="1366"/>
      <c r="AF74" s="1366"/>
      <c r="AG74" s="1366"/>
      <c r="AH74" s="1591"/>
      <c r="AI74" s="1591"/>
      <c r="AJ74" s="1591"/>
      <c r="AK74" s="1591"/>
      <c r="AL74" s="1740"/>
      <c r="AM74" s="1740"/>
      <c r="AN74" s="2091"/>
      <c r="AO74" s="2091"/>
      <c r="AP74" s="2091"/>
      <c r="AQ74" s="2091"/>
      <c r="AR74" s="1740"/>
      <c r="AS74" s="1740"/>
      <c r="AT74" s="2091"/>
      <c r="AU74" s="2091"/>
      <c r="AV74" s="2091"/>
      <c r="AW74" s="2091"/>
      <c r="AX74" s="2091"/>
      <c r="AY74" s="2091"/>
      <c r="AZ74" s="2091"/>
      <c r="BA74" s="2091"/>
      <c r="BB74" s="2091"/>
      <c r="BC74" s="2091"/>
      <c r="BD74" s="2091"/>
      <c r="BE74" s="2091"/>
      <c r="BF74" s="2636"/>
      <c r="BG74" s="2636"/>
      <c r="BH74" s="2636"/>
      <c r="BI74" s="2636"/>
      <c r="BJ74" s="2636"/>
      <c r="BK74" s="2636"/>
    </row>
    <row r="75" spans="1:74" hidden="1" outlineLevel="1" x14ac:dyDescent="0.2">
      <c r="A75" s="156" t="s">
        <v>230</v>
      </c>
      <c r="B75" s="25"/>
      <c r="C75" s="25"/>
      <c r="D75" s="25"/>
      <c r="E75" s="25"/>
      <c r="F75" s="25"/>
      <c r="G75" s="25"/>
      <c r="H75" s="25"/>
      <c r="I75" s="25"/>
      <c r="J75" s="25"/>
      <c r="K75" s="579"/>
      <c r="L75" s="25"/>
      <c r="M75" s="25"/>
      <c r="N75" s="974"/>
      <c r="O75" s="25"/>
      <c r="P75" s="579"/>
      <c r="Q75" s="1186"/>
      <c r="R75" s="1259"/>
      <c r="S75" s="579"/>
      <c r="T75" s="579"/>
      <c r="U75" s="1740"/>
      <c r="V75" s="1740"/>
      <c r="W75" s="1740"/>
      <c r="X75" s="1740"/>
      <c r="Y75" s="1740"/>
      <c r="Z75" s="1740"/>
      <c r="AA75" s="579"/>
      <c r="AB75" s="974"/>
      <c r="AC75" s="579"/>
      <c r="AD75" s="1366"/>
      <c r="AE75" s="1366"/>
      <c r="AF75" s="1366"/>
      <c r="AG75" s="1366"/>
      <c r="AH75" s="1591"/>
      <c r="AI75" s="1591"/>
      <c r="AJ75" s="1591"/>
      <c r="AK75" s="1591"/>
      <c r="AL75" s="1740"/>
      <c r="AM75" s="1740"/>
      <c r="AN75" s="2091"/>
      <c r="AO75" s="2091"/>
      <c r="AP75" s="2091"/>
      <c r="AQ75" s="2091"/>
      <c r="AR75" s="1740"/>
      <c r="AS75" s="1740"/>
      <c r="AT75" s="2091"/>
      <c r="AU75" s="2091"/>
      <c r="AV75" s="2091"/>
      <c r="AW75" s="2091"/>
      <c r="AX75" s="2091"/>
      <c r="AY75" s="2091"/>
      <c r="AZ75" s="2091"/>
      <c r="BA75" s="2091"/>
      <c r="BB75" s="2091"/>
      <c r="BC75" s="2091"/>
      <c r="BD75" s="2091"/>
      <c r="BE75" s="2091"/>
      <c r="BF75" s="2636"/>
      <c r="BG75" s="2636"/>
      <c r="BH75" s="2636"/>
      <c r="BI75" s="2636"/>
      <c r="BJ75" s="2636"/>
      <c r="BK75" s="2636"/>
    </row>
    <row r="76" spans="1:74" hidden="1" outlineLevel="1" x14ac:dyDescent="0.2">
      <c r="A76" s="25" t="s">
        <v>255</v>
      </c>
      <c r="B76" s="25"/>
      <c r="C76" s="25"/>
      <c r="D76" s="25"/>
      <c r="E76" s="25">
        <v>236.8</v>
      </c>
      <c r="F76" s="25">
        <v>236.8</v>
      </c>
      <c r="G76" s="25">
        <v>236.8</v>
      </c>
      <c r="H76" s="25">
        <v>236.8</v>
      </c>
      <c r="I76" s="25">
        <v>236.8</v>
      </c>
      <c r="J76" s="25">
        <v>236.8</v>
      </c>
      <c r="K76" s="579"/>
      <c r="L76" s="25">
        <f>I76</f>
        <v>236.8</v>
      </c>
      <c r="M76" s="25">
        <v>229.09</v>
      </c>
      <c r="N76" s="974"/>
      <c r="O76" s="25"/>
      <c r="P76" s="579"/>
      <c r="Q76" s="1186"/>
      <c r="R76" s="1259"/>
      <c r="S76" s="579"/>
      <c r="T76" s="579"/>
      <c r="U76" s="1740"/>
      <c r="V76" s="1740"/>
      <c r="W76" s="1740"/>
      <c r="X76" s="1740"/>
      <c r="Y76" s="1740"/>
      <c r="Z76" s="1740"/>
      <c r="AA76" s="579"/>
      <c r="AB76" s="974"/>
      <c r="AC76" s="579"/>
      <c r="AD76" s="1366"/>
      <c r="AE76" s="1366"/>
      <c r="AF76" s="1366"/>
      <c r="AG76" s="1366"/>
      <c r="AH76" s="1591"/>
      <c r="AI76" s="1591"/>
      <c r="AJ76" s="1591"/>
      <c r="AK76" s="1591"/>
      <c r="AL76" s="1740"/>
      <c r="AM76" s="1740"/>
      <c r="AN76" s="2091"/>
      <c r="AO76" s="2091"/>
      <c r="AP76" s="2091"/>
      <c r="AQ76" s="2091"/>
      <c r="AR76" s="1740"/>
      <c r="AS76" s="1740"/>
      <c r="AT76" s="2091"/>
      <c r="AU76" s="2091"/>
      <c r="AV76" s="2091"/>
      <c r="AW76" s="2091"/>
      <c r="AX76" s="2091"/>
      <c r="AY76" s="2091"/>
      <c r="AZ76" s="2091"/>
      <c r="BA76" s="2091"/>
      <c r="BB76" s="2091"/>
      <c r="BC76" s="2091"/>
      <c r="BD76" s="2091"/>
      <c r="BE76" s="2091"/>
      <c r="BF76" s="2636"/>
      <c r="BG76" s="2636"/>
      <c r="BH76" s="2636"/>
      <c r="BI76" s="2636"/>
      <c r="BJ76" s="2636"/>
      <c r="BK76" s="2636"/>
    </row>
    <row r="77" spans="1:74" hidden="1" outlineLevel="1" x14ac:dyDescent="0.2">
      <c r="A77" s="25" t="s">
        <v>256</v>
      </c>
      <c r="B77" s="25"/>
      <c r="C77" s="25"/>
      <c r="D77" s="25"/>
      <c r="E77" s="25">
        <v>100.3</v>
      </c>
      <c r="F77" s="25">
        <v>100.3</v>
      </c>
      <c r="G77" s="25">
        <v>100.3</v>
      </c>
      <c r="H77" s="25">
        <v>100.3</v>
      </c>
      <c r="I77" s="25">
        <v>100.3</v>
      </c>
      <c r="J77" s="25">
        <v>100.3</v>
      </c>
      <c r="K77" s="579"/>
      <c r="L77" s="25">
        <f>I77</f>
        <v>100.3</v>
      </c>
      <c r="M77" s="25">
        <v>87.4</v>
      </c>
      <c r="N77" s="974"/>
      <c r="O77" s="25"/>
      <c r="P77" s="579"/>
      <c r="Q77" s="1186"/>
      <c r="R77" s="1259"/>
      <c r="S77" s="579"/>
      <c r="T77" s="579"/>
      <c r="U77" s="1740"/>
      <c r="V77" s="1740"/>
      <c r="W77" s="1740"/>
      <c r="X77" s="1740"/>
      <c r="Y77" s="1740"/>
      <c r="Z77" s="1740"/>
      <c r="AA77" s="579"/>
      <c r="AB77" s="974"/>
      <c r="AC77" s="579"/>
      <c r="AD77" s="1366"/>
      <c r="AE77" s="1366"/>
      <c r="AF77" s="1366"/>
      <c r="AG77" s="1366"/>
      <c r="AH77" s="1591"/>
      <c r="AI77" s="1591"/>
      <c r="AJ77" s="1591"/>
      <c r="AK77" s="1591"/>
      <c r="AL77" s="1740"/>
      <c r="AM77" s="1740"/>
      <c r="AN77" s="2091"/>
      <c r="AO77" s="2091"/>
      <c r="AP77" s="2091"/>
      <c r="AQ77" s="2091"/>
      <c r="AR77" s="1740"/>
      <c r="AS77" s="1740"/>
      <c r="AT77" s="2091"/>
      <c r="AU77" s="2091"/>
      <c r="AV77" s="2091"/>
      <c r="AW77" s="2091"/>
      <c r="AX77" s="2091"/>
      <c r="AY77" s="2091"/>
      <c r="AZ77" s="2091"/>
      <c r="BA77" s="2091"/>
      <c r="BB77" s="2091"/>
      <c r="BC77" s="2091"/>
      <c r="BD77" s="2091"/>
      <c r="BE77" s="2091"/>
      <c r="BF77" s="2636"/>
      <c r="BG77" s="2636"/>
      <c r="BH77" s="2636"/>
      <c r="BI77" s="2636"/>
      <c r="BJ77" s="2636"/>
      <c r="BK77" s="2636"/>
    </row>
    <row r="78" spans="1:74" hidden="1" outlineLevel="1" x14ac:dyDescent="0.2">
      <c r="A78" s="25" t="s">
        <v>257</v>
      </c>
      <c r="B78" s="25"/>
      <c r="C78" s="25"/>
      <c r="D78" s="25"/>
      <c r="E78" s="25">
        <v>3.6</v>
      </c>
      <c r="F78" s="25">
        <v>3.6</v>
      </c>
      <c r="G78" s="25">
        <v>3.6</v>
      </c>
      <c r="H78" s="25">
        <v>3.6</v>
      </c>
      <c r="I78" s="25">
        <v>3.6</v>
      </c>
      <c r="J78" s="25">
        <v>3.6</v>
      </c>
      <c r="K78" s="579"/>
      <c r="L78" s="25">
        <f>I78</f>
        <v>3.6</v>
      </c>
      <c r="M78" s="25">
        <v>2.1</v>
      </c>
      <c r="N78" s="974"/>
      <c r="O78" s="25"/>
      <c r="P78" s="579"/>
      <c r="Q78" s="1186"/>
      <c r="R78" s="1259"/>
      <c r="S78" s="579"/>
      <c r="T78" s="579"/>
      <c r="U78" s="1740"/>
      <c r="V78" s="1740"/>
      <c r="W78" s="1740"/>
      <c r="X78" s="1740"/>
      <c r="Y78" s="1740"/>
      <c r="Z78" s="1740"/>
      <c r="AA78" s="579"/>
      <c r="AB78" s="974"/>
      <c r="AC78" s="579"/>
      <c r="AD78" s="1366"/>
      <c r="AE78" s="1366"/>
      <c r="AF78" s="1366"/>
      <c r="AG78" s="1366"/>
      <c r="AH78" s="1591"/>
      <c r="AI78" s="1591"/>
      <c r="AJ78" s="1591"/>
      <c r="AK78" s="1591"/>
      <c r="AL78" s="1740"/>
      <c r="AM78" s="1740"/>
      <c r="AN78" s="2091"/>
      <c r="AO78" s="2091"/>
      <c r="AP78" s="2091"/>
      <c r="AQ78" s="2091"/>
      <c r="AR78" s="1740"/>
      <c r="AS78" s="1740"/>
      <c r="AT78" s="2091"/>
      <c r="AU78" s="2091"/>
      <c r="AV78" s="2091"/>
      <c r="AW78" s="2091"/>
      <c r="AX78" s="2091"/>
      <c r="AY78" s="2091"/>
      <c r="AZ78" s="2091"/>
      <c r="BA78" s="2091"/>
      <c r="BB78" s="2091"/>
      <c r="BC78" s="2091"/>
      <c r="BD78" s="2091"/>
      <c r="BE78" s="2091"/>
      <c r="BF78" s="2636"/>
      <c r="BG78" s="2636"/>
      <c r="BH78" s="2636"/>
      <c r="BI78" s="2636"/>
      <c r="BJ78" s="2636"/>
      <c r="BK78" s="2636"/>
    </row>
    <row r="79" spans="1:74" hidden="1" outlineLevel="1" x14ac:dyDescent="0.2">
      <c r="A79" s="25"/>
      <c r="B79" s="25"/>
      <c r="C79" s="25"/>
      <c r="D79" s="25"/>
      <c r="E79" s="4344" t="s">
        <v>268</v>
      </c>
      <c r="F79" s="4345"/>
      <c r="G79" s="4345"/>
      <c r="H79" s="4345"/>
      <c r="I79" s="4345"/>
      <c r="J79" s="158"/>
      <c r="K79" s="596"/>
      <c r="L79" s="4345" t="s">
        <v>269</v>
      </c>
      <c r="M79" s="4345"/>
      <c r="N79" s="984"/>
      <c r="O79" s="260"/>
      <c r="P79" s="598"/>
      <c r="Q79" s="1187"/>
      <c r="R79" s="1260"/>
      <c r="S79" s="598"/>
      <c r="T79" s="598"/>
      <c r="U79" s="1741"/>
      <c r="V79" s="1741"/>
      <c r="W79" s="1741"/>
      <c r="X79" s="1741"/>
      <c r="Y79" s="1741"/>
      <c r="Z79" s="1741"/>
      <c r="AA79" s="598"/>
      <c r="AB79" s="975"/>
      <c r="AC79" s="598"/>
      <c r="AD79" s="1567"/>
      <c r="AE79" s="1567"/>
      <c r="AF79" s="1567"/>
      <c r="AG79" s="1567"/>
      <c r="AH79" s="1592"/>
      <c r="AI79" s="1592"/>
      <c r="AJ79" s="1592"/>
      <c r="AK79" s="1592"/>
      <c r="AL79" s="1741"/>
      <c r="AM79" s="1741"/>
      <c r="AN79" s="2092"/>
      <c r="AO79" s="2092"/>
      <c r="AP79" s="2092"/>
      <c r="AQ79" s="2092"/>
      <c r="AR79" s="1741"/>
      <c r="AS79" s="1741"/>
      <c r="AT79" s="2092"/>
      <c r="AU79" s="2092"/>
      <c r="AV79" s="2092"/>
      <c r="AW79" s="2092"/>
      <c r="AX79" s="2092"/>
      <c r="AY79" s="2092"/>
      <c r="AZ79" s="2092"/>
      <c r="BA79" s="2092"/>
      <c r="BB79" s="2092"/>
      <c r="BC79" s="2092"/>
      <c r="BD79" s="2092"/>
      <c r="BE79" s="2092"/>
      <c r="BF79" s="2092"/>
      <c r="BG79" s="2092"/>
      <c r="BH79" s="2092"/>
      <c r="BI79" s="2092"/>
      <c r="BJ79" s="2092"/>
      <c r="BK79" s="2092"/>
    </row>
    <row r="80" spans="1:74" collapsed="1" x14ac:dyDescent="0.2"/>
    <row r="85" spans="1:67" ht="27.75" x14ac:dyDescent="0.4">
      <c r="A85" s="4727" t="s">
        <v>3514</v>
      </c>
      <c r="B85" s="4727"/>
      <c r="C85" s="4727"/>
      <c r="D85" s="4727"/>
      <c r="E85" s="4727"/>
      <c r="F85" s="4727"/>
      <c r="G85" s="4727"/>
      <c r="H85" s="4727"/>
      <c r="I85" s="4727"/>
      <c r="J85" s="4727"/>
      <c r="K85" s="4727"/>
      <c r="L85" s="4727"/>
      <c r="M85" s="4727"/>
      <c r="N85" s="4727"/>
      <c r="O85" s="4727"/>
      <c r="P85" s="4727"/>
      <c r="Q85" s="4727"/>
      <c r="R85" s="4727"/>
      <c r="S85" s="4727"/>
      <c r="T85" s="4727"/>
      <c r="U85" s="4727"/>
      <c r="V85" s="4727"/>
      <c r="W85" s="4727"/>
      <c r="X85" s="4727"/>
      <c r="Y85" s="4727"/>
      <c r="Z85" s="4727"/>
      <c r="AA85" s="4727"/>
      <c r="AB85" s="4727"/>
      <c r="AC85" s="4727"/>
      <c r="AD85" s="4727"/>
      <c r="AE85" s="4727"/>
      <c r="AF85" s="4727"/>
      <c r="AG85" s="4727"/>
      <c r="AH85" s="4727"/>
      <c r="AI85" s="4727"/>
      <c r="AJ85" s="4727"/>
      <c r="AK85" s="4727"/>
      <c r="AL85" s="4727"/>
      <c r="AM85" s="4727"/>
      <c r="AN85" s="4727"/>
      <c r="AO85" s="4727"/>
      <c r="AP85" s="4727"/>
      <c r="AQ85" s="4727"/>
      <c r="AR85" s="4727"/>
      <c r="AS85" s="4727"/>
      <c r="AT85" s="4727"/>
      <c r="AU85" s="4727"/>
      <c r="AV85" s="4727"/>
      <c r="AW85" s="4727"/>
      <c r="AX85" s="4727"/>
      <c r="AY85" s="4727"/>
      <c r="AZ85" s="4727"/>
      <c r="BA85" s="4727"/>
      <c r="BB85" s="4727"/>
      <c r="BC85" s="4727"/>
      <c r="BD85" s="4242"/>
      <c r="BE85" s="4242"/>
      <c r="BF85" s="4242"/>
      <c r="BG85" s="4242"/>
      <c r="BH85" s="4242"/>
      <c r="BI85" s="4242"/>
      <c r="BJ85" s="4242"/>
      <c r="BK85" s="4242"/>
      <c r="BL85" s="4242"/>
      <c r="BM85" s="4242"/>
      <c r="BN85" s="4242"/>
      <c r="BO85" s="4242"/>
    </row>
    <row r="86" spans="1:67" x14ac:dyDescent="0.2">
      <c r="V86">
        <f>V70/9*12</f>
        <v>20.453333333333333</v>
      </c>
    </row>
    <row r="90" spans="1:67" hidden="1" x14ac:dyDescent="0.2">
      <c r="AB90">
        <f>AA62/T62</f>
        <v>0.74585180823056674</v>
      </c>
    </row>
  </sheetData>
  <mergeCells count="85">
    <mergeCell ref="A3:BV3"/>
    <mergeCell ref="A85:BO85"/>
    <mergeCell ref="BL35:BO35"/>
    <mergeCell ref="BL36:BM36"/>
    <mergeCell ref="BN36:BO36"/>
    <mergeCell ref="AE36:AF36"/>
    <mergeCell ref="AA36:AB36"/>
    <mergeCell ref="M36:N36"/>
    <mergeCell ref="R36:S36"/>
    <mergeCell ref="E79:I79"/>
    <mergeCell ref="L79:M79"/>
    <mergeCell ref="AC36:AC37"/>
    <mergeCell ref="AX35:BA35"/>
    <mergeCell ref="E36:E37"/>
    <mergeCell ref="F36:F37"/>
    <mergeCell ref="G36:G37"/>
    <mergeCell ref="B5:B8"/>
    <mergeCell ref="M6:M8"/>
    <mergeCell ref="U34:V34"/>
    <mergeCell ref="G5:H5"/>
    <mergeCell ref="E5:F5"/>
    <mergeCell ref="J6:J8"/>
    <mergeCell ref="I6:I8"/>
    <mergeCell ref="F6:F8"/>
    <mergeCell ref="G6:G8"/>
    <mergeCell ref="M5:BK5"/>
    <mergeCell ref="A21:BK21"/>
    <mergeCell ref="C5:D5"/>
    <mergeCell ref="D6:D8"/>
    <mergeCell ref="C6:C8"/>
    <mergeCell ref="E34:K35"/>
    <mergeCell ref="E6:E8"/>
    <mergeCell ref="K36:K37"/>
    <mergeCell ref="A9:BK9"/>
    <mergeCell ref="H36:H37"/>
    <mergeCell ref="I36:I37"/>
    <mergeCell ref="H6:H8"/>
    <mergeCell ref="A5:A8"/>
    <mergeCell ref="L6:L8"/>
    <mergeCell ref="I5:L5"/>
    <mergeCell ref="BB35:BE35"/>
    <mergeCell ref="AR35:AS35"/>
    <mergeCell ref="L34:S35"/>
    <mergeCell ref="A32:L32"/>
    <mergeCell ref="A34:A37"/>
    <mergeCell ref="U36:V36"/>
    <mergeCell ref="W36:X36"/>
    <mergeCell ref="W34:AW34"/>
    <mergeCell ref="AA35:AF35"/>
    <mergeCell ref="Y36:Z36"/>
    <mergeCell ref="AT35:AU35"/>
    <mergeCell ref="P36:Q36"/>
    <mergeCell ref="AD36:AD37"/>
    <mergeCell ref="BH35:BI36"/>
    <mergeCell ref="AT36:AU36"/>
    <mergeCell ref="AV35:AW35"/>
    <mergeCell ref="O36:O37"/>
    <mergeCell ref="AJ35:AK35"/>
    <mergeCell ref="BB36:BC36"/>
    <mergeCell ref="AL36:AM36"/>
    <mergeCell ref="AG36:AG37"/>
    <mergeCell ref="AR36:AS36"/>
    <mergeCell ref="AP36:AQ36"/>
    <mergeCell ref="AN36:AO36"/>
    <mergeCell ref="AH36:AI36"/>
    <mergeCell ref="BF35:BG36"/>
    <mergeCell ref="BD36:BE36"/>
    <mergeCell ref="AJ36:AK36"/>
    <mergeCell ref="AX36:AY36"/>
    <mergeCell ref="A38:BV38"/>
    <mergeCell ref="A1:BV1"/>
    <mergeCell ref="A2:BV2"/>
    <mergeCell ref="A4:BV4"/>
    <mergeCell ref="A60:BV60"/>
    <mergeCell ref="AZ36:BA36"/>
    <mergeCell ref="AV36:AW36"/>
    <mergeCell ref="BQ35:BR36"/>
    <mergeCell ref="BS35:BT36"/>
    <mergeCell ref="BU35:BV36"/>
    <mergeCell ref="AX34:BV34"/>
    <mergeCell ref="T36:T37"/>
    <mergeCell ref="BJ35:BK36"/>
    <mergeCell ref="AN35:AQ35"/>
    <mergeCell ref="W35:Z35"/>
    <mergeCell ref="L36:L37"/>
  </mergeCells>
  <phoneticPr fontId="9" type="noConversion"/>
  <printOptions horizontalCentered="1" verticalCentered="1"/>
  <pageMargins left="0.15748031496062992" right="0.15748031496062992" top="0.35433070866141736" bottom="0.31496062992125984" header="0.51181102362204722" footer="0.51181102362204722"/>
  <pageSetup paperSize="9" scale="3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2">
    <tabColor rgb="FFFFFF00"/>
    <pageSetUpPr fitToPage="1"/>
  </sheetPr>
  <dimension ref="A1:EM181"/>
  <sheetViews>
    <sheetView zoomScale="80" zoomScaleNormal="80" zoomScaleSheetLayoutView="75" zoomScalePageLayoutView="70" workbookViewId="0">
      <pane xSplit="24" ySplit="7" topLeftCell="BS151" activePane="bottomRight" state="frozen"/>
      <selection pane="topRight" activeCell="Y1" sqref="Y1"/>
      <selection pane="bottomLeft" activeCell="A7" sqref="A7"/>
      <selection pane="bottomRight" activeCell="CW153" sqref="CW153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70" width="13.7109375" style="1661" hidden="1" customWidth="1" outlineLevel="1"/>
    <col min="71" max="72" width="13.7109375" style="1661" customWidth="1" outlineLevel="1"/>
    <col min="73" max="73" width="10.7109375" style="1661" customWidth="1" outlineLevel="1"/>
    <col min="74" max="75" width="13.7109375" style="1661" customWidth="1" outlineLevel="1"/>
    <col min="76" max="76" width="10.7109375" style="1661" customWidth="1" outlineLevel="1"/>
    <col min="77" max="78" width="13.7109375" style="1661" customWidth="1" outlineLevel="1"/>
    <col min="79" max="79" width="10.7109375" style="1661" customWidth="1" outlineLevel="1"/>
    <col min="80" max="80" width="43.42578125" hidden="1" customWidth="1"/>
    <col min="81" max="83" width="0" hidden="1" customWidth="1"/>
    <col min="84" max="84" width="13.85546875" customWidth="1"/>
    <col min="85" max="85" width="13.7109375" customWidth="1"/>
    <col min="86" max="86" width="10.7109375" customWidth="1"/>
    <col min="87" max="88" width="13.7109375" customWidth="1"/>
    <col min="89" max="89" width="10.7109375" customWidth="1"/>
    <col min="90" max="91" width="13.7109375" customWidth="1"/>
    <col min="92" max="92" width="10.7109375" customWidth="1"/>
    <col min="93" max="94" width="13.7109375" customWidth="1"/>
    <col min="95" max="95" width="10.7109375" customWidth="1"/>
    <col min="96" max="96" width="13.7109375" customWidth="1"/>
    <col min="97" max="97" width="13.85546875" customWidth="1"/>
    <col min="98" max="98" width="10.7109375" customWidth="1"/>
    <col min="99" max="99" width="14.85546875" customWidth="1"/>
    <col min="100" max="100" width="14.140625" customWidth="1"/>
    <col min="101" max="101" width="10.7109375" customWidth="1"/>
    <col min="102" max="110" width="13.7109375" customWidth="1"/>
  </cols>
  <sheetData>
    <row r="1" spans="1:110" x14ac:dyDescent="0.25">
      <c r="CB1" t="s">
        <v>1493</v>
      </c>
      <c r="CW1" s="155"/>
    </row>
    <row r="2" spans="1:110" ht="25.5" x14ac:dyDescent="0.2">
      <c r="A2" s="4729" t="s">
        <v>3925</v>
      </c>
      <c r="B2" s="4729"/>
      <c r="C2" s="4729"/>
      <c r="D2" s="4729"/>
      <c r="E2" s="4729"/>
      <c r="F2" s="4729"/>
      <c r="G2" s="4729"/>
      <c r="H2" s="4729"/>
      <c r="I2" s="4729"/>
      <c r="J2" s="4729"/>
      <c r="K2" s="4729"/>
      <c r="L2" s="4729"/>
      <c r="M2" s="4729"/>
      <c r="N2" s="4729"/>
      <c r="O2" s="4729"/>
      <c r="P2" s="4729"/>
      <c r="Q2" s="4729"/>
      <c r="R2" s="4729"/>
      <c r="S2" s="4729"/>
      <c r="T2" s="4729"/>
      <c r="U2" s="4729"/>
      <c r="V2" s="4729"/>
      <c r="W2" s="4729"/>
      <c r="X2" s="4729"/>
      <c r="Y2" s="4729"/>
      <c r="Z2" s="4729"/>
      <c r="AA2" s="4729"/>
      <c r="AB2" s="4729"/>
      <c r="AC2" s="4729"/>
      <c r="AD2" s="4729"/>
      <c r="AE2" s="4729"/>
      <c r="AF2" s="4729"/>
      <c r="AG2" s="4729"/>
      <c r="AH2" s="4729"/>
      <c r="AI2" s="4729"/>
      <c r="AJ2" s="4729"/>
      <c r="AK2" s="4729"/>
      <c r="AL2" s="4729"/>
      <c r="AM2" s="4729"/>
      <c r="AN2" s="4729"/>
      <c r="AO2" s="4729"/>
      <c r="AP2" s="4729"/>
      <c r="AQ2" s="4729"/>
      <c r="AR2" s="4729"/>
      <c r="AS2" s="4729"/>
      <c r="AT2" s="4729"/>
      <c r="AU2" s="4729"/>
      <c r="AV2" s="4729"/>
      <c r="AW2" s="4729"/>
      <c r="AX2" s="4729"/>
      <c r="AY2" s="4729"/>
      <c r="AZ2" s="4729"/>
      <c r="BA2" s="4729"/>
      <c r="BB2" s="4729"/>
      <c r="BC2" s="4729"/>
      <c r="BD2" s="4729"/>
      <c r="BE2" s="4729"/>
      <c r="BF2" s="4729"/>
      <c r="BG2" s="4729"/>
      <c r="BH2" s="4729"/>
      <c r="BI2" s="4729"/>
      <c r="BJ2" s="4729"/>
      <c r="BK2" s="4729"/>
      <c r="BL2" s="4729"/>
      <c r="BM2" s="4729"/>
      <c r="BN2" s="4729"/>
      <c r="BO2" s="4729"/>
      <c r="BP2" s="4729"/>
      <c r="BQ2" s="4729"/>
      <c r="BR2" s="4729"/>
      <c r="BS2" s="4729"/>
      <c r="BT2" s="4729"/>
      <c r="BU2" s="4729"/>
      <c r="BV2" s="4729"/>
      <c r="BW2" s="4729"/>
      <c r="BX2" s="4729"/>
      <c r="BY2" s="4729"/>
      <c r="BZ2" s="4729"/>
      <c r="CA2" s="4729"/>
      <c r="CB2" s="4729"/>
      <c r="CC2" s="4242"/>
      <c r="CD2" s="4242"/>
      <c r="CE2" s="4242"/>
      <c r="CF2" s="4242"/>
      <c r="CG2" s="4242"/>
      <c r="CH2" s="4242"/>
      <c r="CI2" s="4242"/>
      <c r="CJ2" s="4242"/>
      <c r="CK2" s="4242"/>
      <c r="CL2" s="4242"/>
      <c r="CM2" s="4242"/>
      <c r="CN2" s="4242"/>
      <c r="CO2" s="4242"/>
      <c r="CP2" s="4242"/>
      <c r="CQ2" s="4242"/>
      <c r="CR2" s="4242"/>
      <c r="CS2" s="4242"/>
      <c r="CT2" s="4242"/>
      <c r="CU2" s="4242"/>
      <c r="CV2" s="4242"/>
      <c r="CW2" s="4242"/>
      <c r="CX2" s="4242"/>
      <c r="CY2" s="4242"/>
      <c r="CZ2" s="4242"/>
      <c r="DA2" s="4242"/>
      <c r="DB2" s="4242"/>
      <c r="DC2" s="4242"/>
      <c r="DD2" s="4242"/>
      <c r="DE2" s="4242"/>
      <c r="DF2" s="4242"/>
    </row>
    <row r="3" spans="1:110" x14ac:dyDescent="0.2">
      <c r="A3" s="367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857"/>
      <c r="AF3" s="857"/>
      <c r="AG3" s="857"/>
      <c r="AH3" s="857"/>
      <c r="AI3" s="367"/>
      <c r="AJ3" s="368"/>
      <c r="AK3" s="368"/>
      <c r="AL3" s="367"/>
      <c r="AM3" s="367"/>
      <c r="AN3" s="367"/>
      <c r="AO3" s="367"/>
      <c r="AP3" s="367"/>
      <c r="AQ3" s="367"/>
      <c r="AR3" s="367"/>
      <c r="AS3" s="367"/>
      <c r="AT3" s="857"/>
      <c r="AU3" s="857"/>
      <c r="AV3" s="857"/>
      <c r="AW3" s="857"/>
      <c r="AX3" s="857"/>
      <c r="AY3" s="857"/>
      <c r="AZ3" s="857"/>
      <c r="BA3" s="1368"/>
      <c r="BB3" s="857"/>
      <c r="BC3" s="857"/>
      <c r="BD3" s="857"/>
      <c r="BE3" s="857"/>
      <c r="BF3" s="857"/>
      <c r="BG3" s="1665"/>
      <c r="BH3" s="1665"/>
      <c r="BI3" s="1665"/>
      <c r="BJ3" s="1665"/>
      <c r="BK3" s="1665"/>
      <c r="BL3" s="1665"/>
      <c r="BM3" s="1665"/>
      <c r="BN3" s="1665"/>
      <c r="BO3" s="1665"/>
      <c r="BP3" s="1665"/>
      <c r="BQ3" s="1665"/>
      <c r="BR3" s="1665"/>
      <c r="BS3" s="1665"/>
      <c r="BT3" s="1665"/>
      <c r="BU3" s="1665"/>
      <c r="BV3" s="1665"/>
      <c r="BW3" s="1665"/>
      <c r="BX3" s="1665"/>
      <c r="BY3" s="1665"/>
      <c r="BZ3" s="1665"/>
      <c r="CA3" s="1665"/>
      <c r="CB3" s="367"/>
    </row>
    <row r="4" spans="1:110" ht="23.25" customHeight="1" x14ac:dyDescent="0.2">
      <c r="A4" s="4763" t="s">
        <v>527</v>
      </c>
      <c r="B4" s="4736" t="s">
        <v>57</v>
      </c>
      <c r="C4" s="4763" t="s">
        <v>58</v>
      </c>
      <c r="D4" s="4763"/>
      <c r="E4" s="4761" t="s">
        <v>66</v>
      </c>
      <c r="F4" s="4761"/>
      <c r="G4" s="4761" t="s">
        <v>92</v>
      </c>
      <c r="H4" s="4761"/>
      <c r="I4" s="4761" t="s">
        <v>117</v>
      </c>
      <c r="J4" s="4761"/>
      <c r="K4" s="4761"/>
      <c r="L4" s="4761"/>
      <c r="M4" s="4761"/>
      <c r="N4" s="4761"/>
      <c r="O4" s="4749" t="s">
        <v>155</v>
      </c>
      <c r="P4" s="4749"/>
      <c r="Q4" s="4749"/>
      <c r="R4" s="4749"/>
      <c r="S4" s="4749"/>
      <c r="T4" s="4749"/>
      <c r="U4" s="4749"/>
      <c r="V4" s="4749"/>
      <c r="W4" s="4749"/>
      <c r="X4" s="4749"/>
      <c r="Y4" s="4738" t="s">
        <v>229</v>
      </c>
      <c r="Z4" s="4738"/>
      <c r="AA4" s="4738"/>
      <c r="AB4" s="4738"/>
      <c r="AC4" s="4738"/>
      <c r="AD4" s="4738"/>
      <c r="AE4" s="4762"/>
      <c r="AF4" s="4762"/>
      <c r="AG4" s="4762"/>
      <c r="AH4" s="4738" t="s">
        <v>364</v>
      </c>
      <c r="AI4" s="4737"/>
      <c r="AJ4" s="4737"/>
      <c r="AK4" s="4737"/>
      <c r="AL4" s="4737"/>
      <c r="AM4" s="4737"/>
      <c r="AN4" s="4737"/>
      <c r="AO4" s="4737"/>
      <c r="AP4" s="4737"/>
      <c r="AQ4" s="4737"/>
      <c r="AR4" s="4737"/>
      <c r="AS4" s="4737"/>
      <c r="AT4" s="4737"/>
      <c r="AU4" s="4737"/>
      <c r="AV4" s="4737"/>
      <c r="AW4" s="4737"/>
      <c r="AX4" s="4737"/>
      <c r="AY4" s="4737"/>
      <c r="AZ4" s="4738" t="s">
        <v>818</v>
      </c>
      <c r="BA4" s="4738"/>
      <c r="BB4" s="4738"/>
      <c r="BC4" s="4738"/>
      <c r="BD4" s="4738"/>
      <c r="BE4" s="4738"/>
      <c r="BF4" s="4738"/>
      <c r="BG4" s="4738"/>
      <c r="BH4" s="4738"/>
      <c r="BI4" s="4738"/>
      <c r="BJ4" s="4738" t="s">
        <v>895</v>
      </c>
      <c r="BK4" s="4738"/>
      <c r="BL4" s="4738"/>
      <c r="BM4" s="4738" t="s">
        <v>896</v>
      </c>
      <c r="BN4" s="4739"/>
      <c r="BO4" s="4739"/>
      <c r="BP4" s="4739"/>
      <c r="BQ4" s="4739"/>
      <c r="BR4" s="4739"/>
      <c r="BS4" s="4738" t="s">
        <v>1802</v>
      </c>
      <c r="BT4" s="4738"/>
      <c r="BU4" s="4738"/>
      <c r="BV4" s="4738"/>
      <c r="BW4" s="4738"/>
      <c r="BX4" s="4738"/>
      <c r="BY4" s="4738" t="s">
        <v>3523</v>
      </c>
      <c r="BZ4" s="4753"/>
      <c r="CA4" s="4753"/>
      <c r="CB4" s="4753"/>
      <c r="CC4" s="4753"/>
      <c r="CD4" s="4753"/>
      <c r="CE4" s="4753"/>
      <c r="CF4" s="4753"/>
      <c r="CG4" s="4753"/>
      <c r="CH4" s="4753"/>
      <c r="CI4" s="4738" t="s">
        <v>3648</v>
      </c>
      <c r="CJ4" s="4739"/>
      <c r="CK4" s="4739"/>
      <c r="CL4" s="4738" t="s">
        <v>3649</v>
      </c>
      <c r="CM4" s="4739"/>
      <c r="CN4" s="4739"/>
      <c r="CO4" s="4738" t="s">
        <v>3642</v>
      </c>
      <c r="CP4" s="4739"/>
      <c r="CQ4" s="4739"/>
      <c r="CR4" s="4738" t="s">
        <v>3926</v>
      </c>
      <c r="CS4" s="4753"/>
      <c r="CT4" s="4753"/>
      <c r="CU4" s="4753"/>
      <c r="CV4" s="4753"/>
      <c r="CW4" s="4753"/>
      <c r="CX4" s="4738" t="s">
        <v>3943</v>
      </c>
      <c r="CY4" s="4739"/>
      <c r="CZ4" s="4739"/>
      <c r="DA4" s="4738" t="s">
        <v>3944</v>
      </c>
      <c r="DB4" s="4739"/>
      <c r="DC4" s="4739"/>
      <c r="DD4" s="4738" t="s">
        <v>3942</v>
      </c>
      <c r="DE4" s="4739"/>
      <c r="DF4" s="4739"/>
    </row>
    <row r="5" spans="1:110" ht="24" customHeight="1" x14ac:dyDescent="0.2">
      <c r="A5" s="4763"/>
      <c r="B5" s="4736"/>
      <c r="C5" s="4736" t="s">
        <v>60</v>
      </c>
      <c r="D5" s="4736" t="s">
        <v>61</v>
      </c>
      <c r="E5" s="4736" t="s">
        <v>60</v>
      </c>
      <c r="F5" s="4736" t="s">
        <v>65</v>
      </c>
      <c r="G5" s="4736" t="s">
        <v>60</v>
      </c>
      <c r="H5" s="4736" t="s">
        <v>109</v>
      </c>
      <c r="I5" s="4736" t="s">
        <v>59</v>
      </c>
      <c r="J5" s="4736" t="s">
        <v>113</v>
      </c>
      <c r="K5" s="4736" t="s">
        <v>107</v>
      </c>
      <c r="L5" s="4736" t="s">
        <v>60</v>
      </c>
      <c r="M5" s="4736" t="s">
        <v>64</v>
      </c>
      <c r="N5" s="4736" t="s">
        <v>214</v>
      </c>
      <c r="O5" s="4736" t="s">
        <v>119</v>
      </c>
      <c r="P5" s="4736" t="s">
        <v>94</v>
      </c>
      <c r="Q5" s="4736" t="s">
        <v>120</v>
      </c>
      <c r="R5" s="4736" t="s">
        <v>94</v>
      </c>
      <c r="S5" s="4736" t="s">
        <v>153</v>
      </c>
      <c r="T5" s="4736" t="s">
        <v>23</v>
      </c>
      <c r="U5" s="4736"/>
      <c r="V5" s="4736" t="s">
        <v>107</v>
      </c>
      <c r="W5" s="4760" t="s">
        <v>370</v>
      </c>
      <c r="X5" s="4760"/>
      <c r="Y5" s="4736" t="s">
        <v>119</v>
      </c>
      <c r="Z5" s="4736" t="s">
        <v>94</v>
      </c>
      <c r="AA5" s="4749" t="s">
        <v>120</v>
      </c>
      <c r="AB5" s="4750"/>
      <c r="AC5" s="4750"/>
      <c r="AD5" s="4750"/>
      <c r="AE5" s="4749" t="s">
        <v>817</v>
      </c>
      <c r="AF5" s="4750"/>
      <c r="AG5" s="4750"/>
      <c r="AH5" s="4749" t="str">
        <f>Y5</f>
        <v>предложение предприятия</v>
      </c>
      <c r="AI5" s="4750"/>
      <c r="AJ5" s="4750"/>
      <c r="AK5" s="4750"/>
      <c r="AL5" s="4749" t="s">
        <v>238</v>
      </c>
      <c r="AM5" s="4750"/>
      <c r="AN5" s="4750"/>
      <c r="AO5" s="4750"/>
      <c r="AP5" s="3576"/>
      <c r="AQ5" s="3576"/>
      <c r="AR5" s="3576"/>
      <c r="AS5" s="3576"/>
      <c r="AT5" s="4749" t="s">
        <v>847</v>
      </c>
      <c r="AU5" s="4750"/>
      <c r="AV5" s="4750"/>
      <c r="AW5" s="4749" t="s">
        <v>1519</v>
      </c>
      <c r="AX5" s="4750"/>
      <c r="AY5" s="4750"/>
      <c r="AZ5" s="4749" t="s">
        <v>1487</v>
      </c>
      <c r="BA5" s="4749"/>
      <c r="BB5" s="4750"/>
      <c r="BC5" s="4750"/>
      <c r="BD5" s="4749" t="s">
        <v>1588</v>
      </c>
      <c r="BE5" s="4750"/>
      <c r="BF5" s="4750"/>
      <c r="BG5" s="4743" t="s">
        <v>1677</v>
      </c>
      <c r="BH5" s="4743"/>
      <c r="BI5" s="4743"/>
      <c r="BJ5" s="4743" t="s">
        <v>1677</v>
      </c>
      <c r="BK5" s="4743"/>
      <c r="BL5" s="4743"/>
      <c r="BM5" s="4749" t="s">
        <v>1588</v>
      </c>
      <c r="BN5" s="4750"/>
      <c r="BO5" s="4750"/>
      <c r="BP5" s="4743" t="s">
        <v>1677</v>
      </c>
      <c r="BQ5" s="4743"/>
      <c r="BR5" s="4743"/>
      <c r="BS5" s="4743" t="s">
        <v>1820</v>
      </c>
      <c r="BT5" s="4743"/>
      <c r="BU5" s="4743"/>
      <c r="BV5" s="4743" t="s">
        <v>1524</v>
      </c>
      <c r="BW5" s="4743"/>
      <c r="BX5" s="4743"/>
      <c r="BY5" s="4743" t="s">
        <v>119</v>
      </c>
      <c r="BZ5" s="4739"/>
      <c r="CA5" s="4739"/>
      <c r="CB5" s="3577"/>
      <c r="CC5" s="3575"/>
      <c r="CD5" s="3575"/>
      <c r="CE5" s="3575"/>
      <c r="CF5" s="4743" t="s">
        <v>1524</v>
      </c>
      <c r="CG5" s="4739"/>
      <c r="CH5" s="4739"/>
      <c r="CI5" s="4739"/>
      <c r="CJ5" s="4739"/>
      <c r="CK5" s="4739"/>
      <c r="CL5" s="4739"/>
      <c r="CM5" s="4739"/>
      <c r="CN5" s="4739"/>
      <c r="CO5" s="4739"/>
      <c r="CP5" s="4739"/>
      <c r="CQ5" s="4739"/>
      <c r="CR5" s="4743" t="s">
        <v>119</v>
      </c>
      <c r="CS5" s="4739"/>
      <c r="CT5" s="4739"/>
      <c r="CU5" s="4743" t="s">
        <v>1524</v>
      </c>
      <c r="CV5" s="4739"/>
      <c r="CW5" s="4739"/>
      <c r="CX5" s="4739"/>
      <c r="CY5" s="4739"/>
      <c r="CZ5" s="4739"/>
      <c r="DA5" s="4739"/>
      <c r="DB5" s="4739"/>
      <c r="DC5" s="4739"/>
      <c r="DD5" s="4739"/>
      <c r="DE5" s="4739"/>
      <c r="DF5" s="4739"/>
    </row>
    <row r="6" spans="1:110" ht="18.75" customHeight="1" x14ac:dyDescent="0.2">
      <c r="A6" s="4763"/>
      <c r="B6" s="4736"/>
      <c r="C6" s="4736"/>
      <c r="D6" s="4736"/>
      <c r="E6" s="4736"/>
      <c r="F6" s="4736"/>
      <c r="G6" s="4736"/>
      <c r="H6" s="4736"/>
      <c r="I6" s="4736"/>
      <c r="J6" s="4736"/>
      <c r="K6" s="4736"/>
      <c r="L6" s="4736"/>
      <c r="M6" s="4736"/>
      <c r="N6" s="4736"/>
      <c r="O6" s="4736"/>
      <c r="P6" s="4736"/>
      <c r="Q6" s="4736"/>
      <c r="R6" s="4736"/>
      <c r="S6" s="4736"/>
      <c r="T6" s="4736" t="s">
        <v>156</v>
      </c>
      <c r="U6" s="4736" t="s">
        <v>157</v>
      </c>
      <c r="V6" s="4736"/>
      <c r="W6" s="4760"/>
      <c r="X6" s="4760"/>
      <c r="Y6" s="4736"/>
      <c r="Z6" s="4736"/>
      <c r="AA6" s="4736" t="s">
        <v>290</v>
      </c>
      <c r="AB6" s="3574"/>
      <c r="AC6" s="4736" t="s">
        <v>50</v>
      </c>
      <c r="AD6" s="4737"/>
      <c r="AE6" s="4736" t="s">
        <v>290</v>
      </c>
      <c r="AF6" s="4736" t="s">
        <v>50</v>
      </c>
      <c r="AG6" s="4737"/>
      <c r="AH6" s="4736" t="s">
        <v>290</v>
      </c>
      <c r="AI6" s="4736" t="s">
        <v>94</v>
      </c>
      <c r="AJ6" s="4736" t="s">
        <v>50</v>
      </c>
      <c r="AK6" s="4737"/>
      <c r="AL6" s="4736" t="s">
        <v>290</v>
      </c>
      <c r="AM6" s="4736" t="s">
        <v>94</v>
      </c>
      <c r="AN6" s="4736" t="s">
        <v>50</v>
      </c>
      <c r="AO6" s="4737"/>
      <c r="AP6" s="3576"/>
      <c r="AQ6" s="3576"/>
      <c r="AR6" s="3576"/>
      <c r="AS6" s="3576"/>
      <c r="AT6" s="4736" t="s">
        <v>290</v>
      </c>
      <c r="AU6" s="4736" t="s">
        <v>50</v>
      </c>
      <c r="AV6" s="4737"/>
      <c r="AW6" s="4736" t="s">
        <v>290</v>
      </c>
      <c r="AX6" s="4736" t="s">
        <v>50</v>
      </c>
      <c r="AY6" s="4737"/>
      <c r="AZ6" s="4736" t="s">
        <v>290</v>
      </c>
      <c r="BA6" s="4758" t="s">
        <v>94</v>
      </c>
      <c r="BB6" s="4736" t="s">
        <v>50</v>
      </c>
      <c r="BC6" s="4737"/>
      <c r="BD6" s="4736" t="s">
        <v>290</v>
      </c>
      <c r="BE6" s="4736" t="s">
        <v>50</v>
      </c>
      <c r="BF6" s="4737"/>
      <c r="BG6" s="4736" t="s">
        <v>290</v>
      </c>
      <c r="BH6" s="4736" t="s">
        <v>50</v>
      </c>
      <c r="BI6" s="4737"/>
      <c r="BJ6" s="4736" t="s">
        <v>290</v>
      </c>
      <c r="BK6" s="4736" t="s">
        <v>50</v>
      </c>
      <c r="BL6" s="4737"/>
      <c r="BM6" s="4736" t="s">
        <v>290</v>
      </c>
      <c r="BN6" s="4736" t="s">
        <v>50</v>
      </c>
      <c r="BO6" s="4737"/>
      <c r="BP6" s="4736" t="s">
        <v>290</v>
      </c>
      <c r="BQ6" s="4736" t="s">
        <v>50</v>
      </c>
      <c r="BR6" s="4737"/>
      <c r="BS6" s="4736" t="s">
        <v>290</v>
      </c>
      <c r="BT6" s="4736" t="s">
        <v>50</v>
      </c>
      <c r="BU6" s="4737"/>
      <c r="BV6" s="4736" t="s">
        <v>290</v>
      </c>
      <c r="BW6" s="4736" t="s">
        <v>50</v>
      </c>
      <c r="BX6" s="4737"/>
      <c r="BY6" s="4736" t="s">
        <v>290</v>
      </c>
      <c r="BZ6" s="4736" t="s">
        <v>50</v>
      </c>
      <c r="CA6" s="4737"/>
      <c r="CB6" s="4736" t="s">
        <v>290</v>
      </c>
      <c r="CC6" s="4736" t="s">
        <v>50</v>
      </c>
      <c r="CD6" s="4737"/>
      <c r="CE6" s="3575"/>
      <c r="CF6" s="4736" t="s">
        <v>290</v>
      </c>
      <c r="CG6" s="4736" t="s">
        <v>50</v>
      </c>
      <c r="CH6" s="4736"/>
      <c r="CI6" s="4736" t="s">
        <v>290</v>
      </c>
      <c r="CJ6" s="4736" t="s">
        <v>50</v>
      </c>
      <c r="CK6" s="4736"/>
      <c r="CL6" s="4736" t="s">
        <v>290</v>
      </c>
      <c r="CM6" s="4736" t="s">
        <v>50</v>
      </c>
      <c r="CN6" s="4737"/>
      <c r="CO6" s="4736" t="s">
        <v>290</v>
      </c>
      <c r="CP6" s="4736" t="s">
        <v>50</v>
      </c>
      <c r="CQ6" s="4737"/>
      <c r="CR6" s="4736" t="s">
        <v>290</v>
      </c>
      <c r="CS6" s="4736" t="s">
        <v>50</v>
      </c>
      <c r="CT6" s="4737"/>
      <c r="CU6" s="4736" t="s">
        <v>290</v>
      </c>
      <c r="CV6" s="4736" t="s">
        <v>50</v>
      </c>
      <c r="CW6" s="4736"/>
      <c r="CX6" s="4736" t="s">
        <v>290</v>
      </c>
      <c r="CY6" s="4736" t="s">
        <v>50</v>
      </c>
      <c r="CZ6" s="4736"/>
      <c r="DA6" s="4736" t="s">
        <v>290</v>
      </c>
      <c r="DB6" s="4736" t="s">
        <v>50</v>
      </c>
      <c r="DC6" s="4737"/>
      <c r="DD6" s="4736" t="s">
        <v>290</v>
      </c>
      <c r="DE6" s="4736" t="s">
        <v>50</v>
      </c>
      <c r="DF6" s="4737"/>
    </row>
    <row r="7" spans="1:110" ht="39.75" customHeight="1" x14ac:dyDescent="0.2">
      <c r="A7" s="4763"/>
      <c r="B7" s="4736"/>
      <c r="C7" s="4736"/>
      <c r="D7" s="4736"/>
      <c r="E7" s="4736"/>
      <c r="F7" s="4736"/>
      <c r="G7" s="4736"/>
      <c r="H7" s="4736"/>
      <c r="I7" s="4736"/>
      <c r="J7" s="4736"/>
      <c r="K7" s="4736"/>
      <c r="L7" s="4736"/>
      <c r="M7" s="4736"/>
      <c r="N7" s="4736"/>
      <c r="O7" s="4736"/>
      <c r="P7" s="4736"/>
      <c r="Q7" s="4736"/>
      <c r="R7" s="4736"/>
      <c r="S7" s="4736"/>
      <c r="T7" s="4736"/>
      <c r="U7" s="4736"/>
      <c r="V7" s="4736"/>
      <c r="W7" s="3574" t="str">
        <f>T6</f>
        <v>питьевая</v>
      </c>
      <c r="X7" s="1614" t="str">
        <f>U6</f>
        <v>техническая</v>
      </c>
      <c r="Y7" s="4736"/>
      <c r="Z7" s="4736"/>
      <c r="AA7" s="4737"/>
      <c r="AB7" s="3574"/>
      <c r="AC7" s="3574" t="s">
        <v>368</v>
      </c>
      <c r="AD7" s="3574" t="s">
        <v>369</v>
      </c>
      <c r="AE7" s="4736"/>
      <c r="AF7" s="3574" t="s">
        <v>368</v>
      </c>
      <c r="AG7" s="3574" t="s">
        <v>369</v>
      </c>
      <c r="AH7" s="4737"/>
      <c r="AI7" s="4737"/>
      <c r="AJ7" s="3574" t="s">
        <v>368</v>
      </c>
      <c r="AK7" s="3574" t="s">
        <v>369</v>
      </c>
      <c r="AL7" s="4736"/>
      <c r="AM7" s="4737"/>
      <c r="AN7" s="3574" t="s">
        <v>368</v>
      </c>
      <c r="AO7" s="3574" t="s">
        <v>369</v>
      </c>
      <c r="AP7" s="3576"/>
      <c r="AQ7" s="3576" t="s">
        <v>355</v>
      </c>
      <c r="AR7" s="3576" t="s">
        <v>356</v>
      </c>
      <c r="AS7" s="3576"/>
      <c r="AT7" s="4736"/>
      <c r="AU7" s="3574" t="s">
        <v>368</v>
      </c>
      <c r="AV7" s="3574" t="s">
        <v>369</v>
      </c>
      <c r="AW7" s="4736"/>
      <c r="AX7" s="3574" t="s">
        <v>368</v>
      </c>
      <c r="AY7" s="3574" t="s">
        <v>369</v>
      </c>
      <c r="AZ7" s="4737"/>
      <c r="BA7" s="4759"/>
      <c r="BB7" s="3574" t="s">
        <v>368</v>
      </c>
      <c r="BC7" s="3574" t="s">
        <v>369</v>
      </c>
      <c r="BD7" s="4737"/>
      <c r="BE7" s="3574" t="s">
        <v>368</v>
      </c>
      <c r="BF7" s="3574" t="s">
        <v>369</v>
      </c>
      <c r="BG7" s="4737"/>
      <c r="BH7" s="3574" t="s">
        <v>368</v>
      </c>
      <c r="BI7" s="3574" t="s">
        <v>369</v>
      </c>
      <c r="BJ7" s="4737"/>
      <c r="BK7" s="3574" t="s">
        <v>368</v>
      </c>
      <c r="BL7" s="3574" t="s">
        <v>369</v>
      </c>
      <c r="BM7" s="4737"/>
      <c r="BN7" s="3574" t="s">
        <v>368</v>
      </c>
      <c r="BO7" s="3574" t="s">
        <v>369</v>
      </c>
      <c r="BP7" s="4737"/>
      <c r="BQ7" s="3574" t="s">
        <v>368</v>
      </c>
      <c r="BR7" s="3574" t="s">
        <v>369</v>
      </c>
      <c r="BS7" s="4737"/>
      <c r="BT7" s="3574" t="s">
        <v>368</v>
      </c>
      <c r="BU7" s="3574" t="s">
        <v>369</v>
      </c>
      <c r="BV7" s="4737"/>
      <c r="BW7" s="3574" t="s">
        <v>368</v>
      </c>
      <c r="BX7" s="3574" t="s">
        <v>369</v>
      </c>
      <c r="BY7" s="4737"/>
      <c r="BZ7" s="3574" t="s">
        <v>368</v>
      </c>
      <c r="CA7" s="3574" t="s">
        <v>369</v>
      </c>
      <c r="CB7" s="4737"/>
      <c r="CC7" s="3574" t="s">
        <v>368</v>
      </c>
      <c r="CD7" s="3574" t="s">
        <v>369</v>
      </c>
      <c r="CE7" s="3575"/>
      <c r="CF7" s="4736"/>
      <c r="CG7" s="3574" t="s">
        <v>368</v>
      </c>
      <c r="CH7" s="3574" t="s">
        <v>369</v>
      </c>
      <c r="CI7" s="4736"/>
      <c r="CJ7" s="3574" t="s">
        <v>368</v>
      </c>
      <c r="CK7" s="3574" t="s">
        <v>369</v>
      </c>
      <c r="CL7" s="4737"/>
      <c r="CM7" s="3574" t="s">
        <v>368</v>
      </c>
      <c r="CN7" s="3574" t="s">
        <v>369</v>
      </c>
      <c r="CO7" s="4737"/>
      <c r="CP7" s="3574" t="s">
        <v>368</v>
      </c>
      <c r="CQ7" s="3574" t="s">
        <v>369</v>
      </c>
      <c r="CR7" s="4737"/>
      <c r="CS7" s="3574" t="s">
        <v>368</v>
      </c>
      <c r="CT7" s="3574" t="s">
        <v>369</v>
      </c>
      <c r="CU7" s="4736"/>
      <c r="CV7" s="3574" t="s">
        <v>368</v>
      </c>
      <c r="CW7" s="3574" t="s">
        <v>369</v>
      </c>
      <c r="CX7" s="4736"/>
      <c r="CY7" s="3917" t="s">
        <v>368</v>
      </c>
      <c r="CZ7" s="3917" t="s">
        <v>369</v>
      </c>
      <c r="DA7" s="4737"/>
      <c r="DB7" s="3917" t="s">
        <v>368</v>
      </c>
      <c r="DC7" s="3917" t="s">
        <v>369</v>
      </c>
      <c r="DD7" s="4737"/>
      <c r="DE7" s="3917" t="s">
        <v>368</v>
      </c>
      <c r="DF7" s="3917" t="s">
        <v>369</v>
      </c>
    </row>
    <row r="8" spans="1:110" s="2219" customFormat="1" ht="21" customHeight="1" x14ac:dyDescent="0.2">
      <c r="A8" s="3694" t="s">
        <v>15</v>
      </c>
      <c r="B8" s="3695"/>
      <c r="C8" s="3695"/>
      <c r="D8" s="3695"/>
      <c r="E8" s="3696">
        <f t="shared" ref="E8:U8" si="0">SUM(E9:E16)-E15</f>
        <v>14586.3</v>
      </c>
      <c r="F8" s="3696">
        <f t="shared" si="0"/>
        <v>599.44377737908462</v>
      </c>
      <c r="G8" s="3696">
        <f t="shared" si="0"/>
        <v>17580.600000000002</v>
      </c>
      <c r="H8" s="3696">
        <f t="shared" si="0"/>
        <v>1301.6186267528969</v>
      </c>
      <c r="I8" s="3696">
        <f t="shared" si="0"/>
        <v>15573.576100000002</v>
      </c>
      <c r="J8" s="3696">
        <f t="shared" si="0"/>
        <v>8330.6</v>
      </c>
      <c r="K8" s="3696">
        <f t="shared" si="0"/>
        <v>12986.934203563882</v>
      </c>
      <c r="L8" s="3696">
        <f t="shared" si="0"/>
        <v>18032</v>
      </c>
      <c r="M8" s="3696">
        <f t="shared" si="0"/>
        <v>765.16293628894141</v>
      </c>
      <c r="N8" s="3696">
        <f t="shared" si="0"/>
        <v>578.89100723393869</v>
      </c>
      <c r="O8" s="3696">
        <f t="shared" si="0"/>
        <v>21075.699999999997</v>
      </c>
      <c r="P8" s="3696">
        <f t="shared" si="0"/>
        <v>940.91457929714295</v>
      </c>
      <c r="Q8" s="3697">
        <f t="shared" si="0"/>
        <v>18706.910516308828</v>
      </c>
      <c r="R8" s="3696">
        <f t="shared" si="0"/>
        <v>790.298382141395</v>
      </c>
      <c r="S8" s="3696">
        <f t="shared" si="0"/>
        <v>659.14699828891662</v>
      </c>
      <c r="T8" s="3696" t="e">
        <f t="shared" si="0"/>
        <v>#REF!</v>
      </c>
      <c r="U8" s="3696" t="e">
        <f t="shared" si="0"/>
        <v>#REF!</v>
      </c>
      <c r="V8" s="3696">
        <f>SUM(V9:V16)-V15</f>
        <v>13489.2</v>
      </c>
      <c r="W8" s="3696" t="e">
        <f>SUM(W9:W16)-W15</f>
        <v>#REF!</v>
      </c>
      <c r="X8" s="3696" t="e">
        <f>SUM(X9:X16)-X15</f>
        <v>#REF!</v>
      </c>
      <c r="Y8" s="3698">
        <f>SUM(Y9:Y16)-Y15</f>
        <v>21736.2</v>
      </c>
      <c r="Z8" s="3699">
        <f>Y8/Q8</f>
        <v>1.1619342478305124</v>
      </c>
      <c r="AA8" s="3698" t="e">
        <f>SUM(AA9:AA16)-AA15</f>
        <v>#REF!</v>
      </c>
      <c r="AB8" s="3699" t="e">
        <f t="shared" ref="AB8:AB56" si="1">AA8/Q8</f>
        <v>#REF!</v>
      </c>
      <c r="AC8" s="3698" t="e">
        <f>SUM(AC9:AC16)</f>
        <v>#REF!</v>
      </c>
      <c r="AD8" s="3698" t="e">
        <f>SUM(AD9:AD16)</f>
        <v>#REF!</v>
      </c>
      <c r="AE8" s="3698">
        <f>SUM(AE9:AE16)-AE15</f>
        <v>18010.500000000004</v>
      </c>
      <c r="AF8" s="3698">
        <f>SUM(AF9:AF16)-AF15</f>
        <v>17789.478747214656</v>
      </c>
      <c r="AG8" s="3698">
        <f>SUM(AG9:AG16)-AG15</f>
        <v>221.02125278534345</v>
      </c>
      <c r="AH8" s="3698">
        <f>SUM(AJ8+AK8)</f>
        <v>19788.650000000001</v>
      </c>
      <c r="AI8" s="3700" t="e">
        <f>SUM(AH8/AA8)</f>
        <v>#REF!</v>
      </c>
      <c r="AJ8" s="3698">
        <f>SUM(AJ9:AJ16)-AJ15</f>
        <v>19566.560000000001</v>
      </c>
      <c r="AK8" s="3698">
        <f>SUM(AK9:AK16)-AK15</f>
        <v>222.09</v>
      </c>
      <c r="AL8" s="3698">
        <f>SUM(AN8+AO8)</f>
        <v>17147.985534335643</v>
      </c>
      <c r="AM8" s="3700" t="e">
        <f>SUM(AL8/AA8)</f>
        <v>#REF!</v>
      </c>
      <c r="AN8" s="3698">
        <f>SUM(AN9:AN16)-AN15</f>
        <v>16952.7835373218</v>
      </c>
      <c r="AO8" s="3698">
        <f>SUM(AO9:AO16)-AO15</f>
        <v>195.20199701384391</v>
      </c>
      <c r="AP8" s="3696" t="e">
        <f>AA8-Y8</f>
        <v>#REF!</v>
      </c>
      <c r="AQ8" s="3696" t="e">
        <f>AP8*AC8/AA8</f>
        <v>#REF!</v>
      </c>
      <c r="AR8" s="3696" t="e">
        <f>AP8-AQ8</f>
        <v>#REF!</v>
      </c>
      <c r="AS8" s="3696" t="e">
        <f t="shared" ref="AS8:AS35" si="2">AQ8+AR8</f>
        <v>#REF!</v>
      </c>
      <c r="AT8" s="3698">
        <f t="shared" ref="AT8:AZ8" si="3">SUM(AT9:AT16)-AT15</f>
        <v>8911.48</v>
      </c>
      <c r="AU8" s="3698">
        <f t="shared" si="3"/>
        <v>8850.280179956595</v>
      </c>
      <c r="AV8" s="3698">
        <f t="shared" si="3"/>
        <v>61.199820043406589</v>
      </c>
      <c r="AW8" s="3698">
        <f t="shared" si="3"/>
        <v>17487.72</v>
      </c>
      <c r="AX8" s="3698">
        <f t="shared" si="3"/>
        <v>17403.669999999998</v>
      </c>
      <c r="AY8" s="3698">
        <f t="shared" si="3"/>
        <v>84.05</v>
      </c>
      <c r="AZ8" s="3698">
        <f t="shared" si="3"/>
        <v>20844.7973009989</v>
      </c>
      <c r="BA8" s="3701">
        <f>SUM(AZ8/AL8)</f>
        <v>1.2155828601126983</v>
      </c>
      <c r="BB8" s="3698">
        <f>SUM(BB9:BB16)-BB15</f>
        <v>20733.921825560112</v>
      </c>
      <c r="BC8" s="3698">
        <f>SUM(BC9:BC16)-BC15</f>
        <v>110.87547543878928</v>
      </c>
      <c r="BD8" s="3698">
        <f>SUM(BD9:BD16)-BD15</f>
        <v>18195.358581097094</v>
      </c>
      <c r="BE8" s="3698">
        <f t="shared" ref="BE8:BU8" si="4">SUM(BE9:BE16)-BE15</f>
        <v>18098.18085576142</v>
      </c>
      <c r="BF8" s="3698">
        <f t="shared" si="4"/>
        <v>97.177725335676428</v>
      </c>
      <c r="BG8" s="3698">
        <f t="shared" si="4"/>
        <v>16263.019999999999</v>
      </c>
      <c r="BH8" s="3698">
        <f t="shared" si="4"/>
        <v>16252.11</v>
      </c>
      <c r="BI8" s="3698">
        <f t="shared" si="4"/>
        <v>10.910000000000002</v>
      </c>
      <c r="BJ8" s="3698">
        <f t="shared" si="4"/>
        <v>15380.949999999999</v>
      </c>
      <c r="BK8" s="3698">
        <f t="shared" si="4"/>
        <v>15373.61</v>
      </c>
      <c r="BL8" s="3698">
        <f t="shared" si="4"/>
        <v>7.3400000000000007</v>
      </c>
      <c r="BM8" s="3698">
        <f>SUM(BM9:BM16)-BM15</f>
        <v>18922.29</v>
      </c>
      <c r="BN8" s="3698">
        <f t="shared" ref="BN8:BO8" si="5">SUM(BN9:BN16)-BN15</f>
        <v>18812.309999999998</v>
      </c>
      <c r="BO8" s="3698">
        <f t="shared" si="5"/>
        <v>109.97999999999999</v>
      </c>
      <c r="BP8" s="3698">
        <f>SUM(BP9:BP16)-BP15</f>
        <v>16519.018</v>
      </c>
      <c r="BQ8" s="3698">
        <f t="shared" ref="BQ8:BR8" si="6">SUM(BQ9:BQ16)-BQ15</f>
        <v>16513.018</v>
      </c>
      <c r="BR8" s="3698">
        <f t="shared" si="6"/>
        <v>6.0000000000000009</v>
      </c>
      <c r="BS8" s="3698">
        <f t="shared" si="4"/>
        <v>22980.91</v>
      </c>
      <c r="BT8" s="3698">
        <f t="shared" si="4"/>
        <v>22949.21</v>
      </c>
      <c r="BU8" s="3698">
        <f t="shared" si="4"/>
        <v>31.7</v>
      </c>
      <c r="BV8" s="3698">
        <f>SUM(BV9:BV16)-BV15</f>
        <v>19573.094654397479</v>
      </c>
      <c r="BW8" s="3698">
        <f t="shared" ref="BW8" si="7">SUM(BW9:BW16)-BW15</f>
        <v>19564.497707176608</v>
      </c>
      <c r="BX8" s="3698">
        <f t="shared" ref="BX8" si="8">SUM(BX9:BX16)-BX15</f>
        <v>8.596947220871904</v>
      </c>
      <c r="BY8" s="3698">
        <f>SUM(BY9:BY16)-BY15</f>
        <v>20079.808741292542</v>
      </c>
      <c r="BZ8" s="3698">
        <f t="shared" ref="BZ8" si="9">SUM(BZ9:BZ16)-BZ15</f>
        <v>20071.016242401733</v>
      </c>
      <c r="CA8" s="3698">
        <f t="shared" ref="CA8" si="10">SUM(CA9:CA16)-CA15</f>
        <v>8.8056105570836145</v>
      </c>
      <c r="CB8" s="3585"/>
      <c r="CC8" s="365"/>
      <c r="CD8" s="365"/>
      <c r="CE8" s="365"/>
      <c r="CF8" s="3698">
        <f>SUM(CF9:CF16)-CF15</f>
        <v>18466.557734312253</v>
      </c>
      <c r="CG8" s="3698">
        <f t="shared" ref="CG8" si="11">SUM(CG9:CG16)-CG15</f>
        <v>18457.8828242604</v>
      </c>
      <c r="CH8" s="3698">
        <f t="shared" ref="CH8" si="12">SUM(CH9:CH16)-CH15</f>
        <v>8.6749100518532334</v>
      </c>
      <c r="CI8" s="3698">
        <f>SUM(CI9:CI16)-CI15</f>
        <v>8397.23</v>
      </c>
      <c r="CJ8" s="3698">
        <f t="shared" ref="CJ8" si="13">SUM(CJ9:CJ16)-CJ15</f>
        <v>8386.9600000000009</v>
      </c>
      <c r="CK8" s="3698">
        <f t="shared" ref="CK8" si="14">SUM(CK9:CK16)-CK15</f>
        <v>10.27</v>
      </c>
      <c r="CL8" s="3698">
        <f>SUM(CL9:CL16)-CL15</f>
        <v>13117.258</v>
      </c>
      <c r="CM8" s="3698">
        <f t="shared" ref="CM8" si="15">SUM(CM9:CM16)-CM15</f>
        <v>13101.662</v>
      </c>
      <c r="CN8" s="3698">
        <f t="shared" ref="CN8" si="16">SUM(CN9:CN16)-CN15</f>
        <v>15.596</v>
      </c>
      <c r="CO8" s="3698">
        <f>SUM(CO9:CO16)-CO15</f>
        <v>18107.37</v>
      </c>
      <c r="CP8" s="3698">
        <f t="shared" ref="CP8" si="17">SUM(CP9:CP16)-CP15</f>
        <v>18087.589999999997</v>
      </c>
      <c r="CQ8" s="3698">
        <f t="shared" ref="CQ8" si="18">SUM(CQ9:CQ16)-CQ15</f>
        <v>19.78</v>
      </c>
      <c r="CR8" s="3702">
        <f>SUM(CR9:CR16)-CR15</f>
        <v>19634.129037689581</v>
      </c>
      <c r="CS8" s="3702">
        <f t="shared" ref="CS8" si="19">SUM(CS9:CS16)-CS15</f>
        <v>19607.034647210352</v>
      </c>
      <c r="CT8" s="3702">
        <f t="shared" ref="CT8" si="20">SUM(CT9:CT16)-CT15</f>
        <v>27.094390479228036</v>
      </c>
      <c r="CU8" s="4131">
        <f>SUM(CU9:CU16)-CU15</f>
        <v>17599.20792039295</v>
      </c>
      <c r="CV8" s="4131">
        <f t="shared" ref="CV8" si="21">SUM(CV9:CV16)-CV15</f>
        <v>17576.241024156883</v>
      </c>
      <c r="CW8" s="4131">
        <f t="shared" ref="CW8" si="22">SUM(CW9:CW16)-CW15</f>
        <v>22.966896236068596</v>
      </c>
      <c r="CX8" s="3702">
        <f>SUM(CX9:CX16)-CX15</f>
        <v>9987.2237400000013</v>
      </c>
      <c r="CY8" s="3702">
        <f t="shared" ref="CY8" si="23">SUM(CY9:CY16)-CY15</f>
        <v>9978.4321199999995</v>
      </c>
      <c r="CZ8" s="3702">
        <f t="shared" ref="CZ8" si="24">SUM(CZ9:CZ16)-CZ15</f>
        <v>8.79162</v>
      </c>
      <c r="DA8" s="3702">
        <f>SUM(DA9:DA16)-DA15</f>
        <v>14515.532000000001</v>
      </c>
      <c r="DB8" s="3702">
        <f t="shared" ref="DB8" si="25">SUM(DB9:DB16)-DB15</f>
        <v>14500.924000000001</v>
      </c>
      <c r="DC8" s="3702">
        <f t="shared" ref="DC8" si="26">SUM(DC9:DC16)-DC15</f>
        <v>14.608000000000001</v>
      </c>
      <c r="DD8" s="4027">
        <f>SUM(DD9:DD16)-DD15</f>
        <v>2204.39</v>
      </c>
      <c r="DE8" s="4027">
        <f t="shared" ref="DE8" si="27">SUM(DE9:DE16)-DE15</f>
        <v>2199.9399999999996</v>
      </c>
      <c r="DF8" s="4027">
        <f t="shared" ref="DF8" si="28">SUM(DF9:DF16)-DF15</f>
        <v>4.4500000000000028</v>
      </c>
    </row>
    <row r="9" spans="1:110" ht="21" customHeight="1" x14ac:dyDescent="0.2">
      <c r="A9" s="3466" t="s">
        <v>1</v>
      </c>
      <c r="B9" s="3581">
        <v>4424.7</v>
      </c>
      <c r="C9" s="2125">
        <v>4746.7</v>
      </c>
      <c r="D9" s="3341">
        <f t="shared" ref="D9:D42" si="29">C9/B9*100</f>
        <v>107.27732953646576</v>
      </c>
      <c r="E9" s="2125">
        <v>5856.8</v>
      </c>
      <c r="F9" s="3341">
        <f t="shared" ref="F9:F29" si="30">E9/C9*100</f>
        <v>123.38677396928392</v>
      </c>
      <c r="G9" s="2125">
        <v>6391.7</v>
      </c>
      <c r="H9" s="3341">
        <f t="shared" ref="H9:H80" si="31">G9/E9*100</f>
        <v>109.1329736374812</v>
      </c>
      <c r="I9" s="3583">
        <v>4954.6000000000004</v>
      </c>
      <c r="J9" s="3583">
        <v>3215.8</v>
      </c>
      <c r="K9" s="3583">
        <v>4218.5</v>
      </c>
      <c r="L9" s="3583">
        <v>6305.3</v>
      </c>
      <c r="M9" s="3604">
        <f t="shared" ref="M9:M81" si="32">L9/I9*100</f>
        <v>127.2615347353974</v>
      </c>
      <c r="N9" s="3604">
        <f t="shared" ref="N9:N80" si="33">L9/G9*100</f>
        <v>98.648246945257128</v>
      </c>
      <c r="O9" s="3583">
        <v>5985</v>
      </c>
      <c r="P9" s="3604">
        <f t="shared" ref="P9:P83" si="34">O9/I9*100</f>
        <v>120.7968352641989</v>
      </c>
      <c r="Q9" s="3605">
        <f>электр!AC9</f>
        <v>5549</v>
      </c>
      <c r="R9" s="3604">
        <f>Q9/I9*100</f>
        <v>111.9969321438663</v>
      </c>
      <c r="S9" s="3604">
        <f>Q9/L9*100</f>
        <v>88.005328850332248</v>
      </c>
      <c r="T9" s="3583" t="e">
        <f>Q9/Q79*T79</f>
        <v>#REF!</v>
      </c>
      <c r="U9" s="3583" t="e">
        <f>Q9-T9</f>
        <v>#REF!</v>
      </c>
      <c r="V9" s="3583">
        <v>4317.3</v>
      </c>
      <c r="W9" s="3583" t="e">
        <f>1138.8*(объемы!#REF!-объемы!#REF!)/объемы!#REF!</f>
        <v>#REF!</v>
      </c>
      <c r="X9" s="3583" t="e">
        <f>1138.8-W9</f>
        <v>#REF!</v>
      </c>
      <c r="Y9" s="1602">
        <v>6269</v>
      </c>
      <c r="Z9" s="1596">
        <f t="shared" ref="Z9:Z83" si="35">Y9/Q9</f>
        <v>1.1297531086682284</v>
      </c>
      <c r="AA9" s="1602" t="e">
        <f>электр!Q48</f>
        <v>#REF!</v>
      </c>
      <c r="AB9" s="1596" t="e">
        <f t="shared" si="1"/>
        <v>#REF!</v>
      </c>
      <c r="AC9" s="1602" t="e">
        <f t="shared" ref="AC9:AC14" si="36">$AC$79/$AA$79*AA9</f>
        <v>#REF!</v>
      </c>
      <c r="AD9" s="1602" t="e">
        <f>AA9-AC9</f>
        <v>#REF!</v>
      </c>
      <c r="AE9" s="1602">
        <f>SUM(электр!AG48)</f>
        <v>4561</v>
      </c>
      <c r="AF9" s="1602">
        <f>AE9*AF79/(AF79+AG79)</f>
        <v>4504.7638524387221</v>
      </c>
      <c r="AG9" s="1602">
        <f>SUM(AE9-AF9)</f>
        <v>56.236147561277903</v>
      </c>
      <c r="AH9" s="1603">
        <f t="shared" ref="AH9:AH84" si="37">SUM(AJ9+AK9)</f>
        <v>5268.12</v>
      </c>
      <c r="AI9" s="1597" t="e">
        <f t="shared" ref="AI9:AI86" si="38">SUM(AH9/AA9)</f>
        <v>#REF!</v>
      </c>
      <c r="AJ9" s="1602">
        <v>5208.1499999999996</v>
      </c>
      <c r="AK9" s="1602">
        <v>59.97</v>
      </c>
      <c r="AL9" s="1603">
        <f t="shared" ref="AL9:AL84" si="39">SUM(AN9+AO9)</f>
        <v>4595.8327049355248</v>
      </c>
      <c r="AM9" s="1597" t="e">
        <f t="shared" ref="AM9:AM86" si="40">SUM(AL9/AA9)</f>
        <v>#REF!</v>
      </c>
      <c r="AN9" s="1602">
        <f>электр!AN48*AN79/(AN79+AO79)</f>
        <v>4543.5166051727483</v>
      </c>
      <c r="AO9" s="1602">
        <f>-AN9+электр!AN48</f>
        <v>52.316099762776503</v>
      </c>
      <c r="AP9" s="1598" t="e">
        <f t="shared" ref="AP9:AP86" si="41">AA9-Y9</f>
        <v>#REF!</v>
      </c>
      <c r="AQ9" s="1598" t="e">
        <f>AP9*AC9/AA9</f>
        <v>#REF!</v>
      </c>
      <c r="AR9" s="1598" t="e">
        <f t="shared" ref="AR9:AR86" si="42">AP9-AQ9</f>
        <v>#REF!</v>
      </c>
      <c r="AS9" s="1598" t="e">
        <f t="shared" si="2"/>
        <v>#REF!</v>
      </c>
      <c r="AT9" s="1602">
        <f>SUM(электр!AT48)</f>
        <v>2048.4</v>
      </c>
      <c r="AU9" s="1602">
        <f>AT9*AU79/(AU79+AV79)</f>
        <v>2034.3013504280375</v>
      </c>
      <c r="AV9" s="1602">
        <f>SUM(AT9-AU9)</f>
        <v>14.098649571962596</v>
      </c>
      <c r="AW9" s="1602">
        <f>AX9+AY9</f>
        <v>3813.4100000000003</v>
      </c>
      <c r="AX9" s="1602">
        <v>3795.03</v>
      </c>
      <c r="AY9" s="1602">
        <v>18.38</v>
      </c>
      <c r="AZ9" s="1602">
        <v>5274.76</v>
      </c>
      <c r="BA9" s="1599">
        <f>SUM(AZ9/AL9)</f>
        <v>1.1477267208476423</v>
      </c>
      <c r="BB9" s="1602">
        <f>AZ9*BB79/(BB79+BC79)</f>
        <v>5246.5885750617672</v>
      </c>
      <c r="BC9" s="1602">
        <f>SUM(AZ9-BB9)</f>
        <v>28.171424938233031</v>
      </c>
      <c r="BD9" s="1602">
        <f>SUM(электр!BD48)</f>
        <v>3864.6286869024211</v>
      </c>
      <c r="BE9" s="1602">
        <f>BD9*BE79/(BE79+BF79)</f>
        <v>3843.9884877336981</v>
      </c>
      <c r="BF9" s="1602">
        <f>SUM(BD9-BE9)</f>
        <v>20.640199168723029</v>
      </c>
      <c r="BG9" s="1602">
        <f>BH9+BI9</f>
        <v>1929.8899999999999</v>
      </c>
      <c r="BH9" s="1602">
        <v>1928.59</v>
      </c>
      <c r="BI9" s="1602">
        <v>1.3</v>
      </c>
      <c r="BJ9" s="1602">
        <f>BK9+BL9</f>
        <v>2203.6800000000003</v>
      </c>
      <c r="BK9" s="1602">
        <v>2202.61</v>
      </c>
      <c r="BL9" s="1602">
        <v>1.07</v>
      </c>
      <c r="BM9" s="1602">
        <f>SUM(BN9:BO9)</f>
        <v>3989.03</v>
      </c>
      <c r="BN9" s="1602">
        <v>3965.44</v>
      </c>
      <c r="BO9" s="1602">
        <v>23.59</v>
      </c>
      <c r="BP9" s="1602">
        <f>SUM(BQ9:BR9)</f>
        <v>3108.1840000000002</v>
      </c>
      <c r="BQ9" s="1602">
        <v>3107.0540000000001</v>
      </c>
      <c r="BR9" s="1602">
        <v>1.1299999999999999</v>
      </c>
      <c r="BS9" s="1602">
        <f>BT9+BU9</f>
        <v>4869.12</v>
      </c>
      <c r="BT9" s="1602">
        <v>4862.37</v>
      </c>
      <c r="BU9" s="1602">
        <v>6.75</v>
      </c>
      <c r="BV9" s="1602">
        <f>BW9+BX9</f>
        <v>4305.7336586955207</v>
      </c>
      <c r="BW9" s="1602">
        <f>'ЭЭ вода'!T20</f>
        <v>4304.5152791955206</v>
      </c>
      <c r="BX9" s="1602">
        <f>'ЭЭ вода'!T21</f>
        <v>1.2183794999999999</v>
      </c>
      <c r="BY9" s="1602">
        <f>BZ9+CA9</f>
        <v>4486.5744723607322</v>
      </c>
      <c r="BZ9" s="1602">
        <f>SUM('ЭЭ вода'!Z20)</f>
        <v>4485.3049209217324</v>
      </c>
      <c r="CA9" s="1602">
        <f>SUM('ЭЭ вода'!Z21)</f>
        <v>1.269551439</v>
      </c>
      <c r="CB9" s="3578" t="s">
        <v>963</v>
      </c>
      <c r="CC9" s="365"/>
      <c r="CD9" s="365"/>
      <c r="CE9" s="365"/>
      <c r="CF9" s="1602">
        <f>CG9+CH9</f>
        <v>2991.6705692592573</v>
      </c>
      <c r="CG9" s="1602">
        <f>SUM('ЭЭ вода'!AE20)</f>
        <v>2990.7784444258655</v>
      </c>
      <c r="CH9" s="1602">
        <f>SUM('ЭЭ вода'!AE21)</f>
        <v>0.89212483339199999</v>
      </c>
      <c r="CI9" s="1602">
        <f>CJ9+CK9</f>
        <v>2332.87</v>
      </c>
      <c r="CJ9" s="1602">
        <f>SUM('ЭЭ вода'!AF20)</f>
        <v>2332.46</v>
      </c>
      <c r="CK9" s="1602">
        <f>SUM('ЭЭ вода'!AF21)</f>
        <v>0.41</v>
      </c>
      <c r="CL9" s="1602">
        <f>CM9+CN9</f>
        <v>3926.018</v>
      </c>
      <c r="CM9" s="1602">
        <f>SUM('ЭЭ вода'!AG20)</f>
        <v>3925.4119999999998</v>
      </c>
      <c r="CN9" s="1602">
        <f>SUM('ЭЭ вода'!AG21)</f>
        <v>0.60599999999999998</v>
      </c>
      <c r="CO9" s="1602">
        <f>CP9+CQ9</f>
        <v>5647.2300000000005</v>
      </c>
      <c r="CP9" s="1602">
        <f>SUM('ЭЭ вода'!AH20)</f>
        <v>5646.39</v>
      </c>
      <c r="CQ9" s="1602">
        <f>SUM('ЭЭ вода'!AH21)+0.01</f>
        <v>0.84</v>
      </c>
      <c r="CR9" s="2371">
        <f>CS9+CT9</f>
        <v>3129.2874154451833</v>
      </c>
      <c r="CS9" s="2371">
        <f>SUM('ЭЭ вода'!AI20)</f>
        <v>3128.3542528694552</v>
      </c>
      <c r="CT9" s="2371">
        <f>SUM('ЭЭ вода'!AI21)</f>
        <v>0.93316257572803196</v>
      </c>
      <c r="CU9" s="4101">
        <f>CV9+CW9</f>
        <v>4994.2281316503177</v>
      </c>
      <c r="CV9" s="4101">
        <f>SUM('ЭЭ вода'!AJ20)</f>
        <v>4992.752465089523</v>
      </c>
      <c r="CW9" s="4101">
        <f>SUM('ЭЭ вода'!AJ21)</f>
        <v>1.4756665607949733</v>
      </c>
      <c r="CX9" s="2371">
        <f>CY9+CZ9</f>
        <v>3122.0537399999998</v>
      </c>
      <c r="CY9" s="2371">
        <f>SUM('ЭЭ вода'!AK20)</f>
        <v>3121.66212</v>
      </c>
      <c r="CZ9" s="2371">
        <f>SUM('ЭЭ вода'!AK21)</f>
        <v>0.39162000000000002</v>
      </c>
      <c r="DA9" s="2371">
        <f>DB9+DC9</f>
        <v>4140.3710000000001</v>
      </c>
      <c r="DB9" s="2371">
        <f>SUM('ЭЭ вода'!AL20)</f>
        <v>4139.8310000000001</v>
      </c>
      <c r="DC9" s="2371">
        <f>SUM('ЭЭ вода'!AL21)</f>
        <v>0.54</v>
      </c>
      <c r="DD9" s="3487">
        <f>DE9+DF9</f>
        <v>0.01</v>
      </c>
      <c r="DE9" s="3487">
        <f>SUM('ЭЭ вода'!AW20)</f>
        <v>0</v>
      </c>
      <c r="DF9" s="3487">
        <f>SUM('ЭЭ вода'!AW21)+0.01</f>
        <v>0.01</v>
      </c>
    </row>
    <row r="10" spans="1:110" ht="21" customHeight="1" x14ac:dyDescent="0.2">
      <c r="A10" s="3466" t="s">
        <v>2</v>
      </c>
      <c r="B10" s="3581">
        <v>332.4</v>
      </c>
      <c r="C10" s="2125">
        <v>358.9</v>
      </c>
      <c r="D10" s="3341">
        <f t="shared" si="29"/>
        <v>107.97232250300843</v>
      </c>
      <c r="E10" s="2125">
        <v>315.89999999999998</v>
      </c>
      <c r="F10" s="3341">
        <f t="shared" si="30"/>
        <v>88.018946781833378</v>
      </c>
      <c r="G10" s="2125">
        <v>2033.4</v>
      </c>
      <c r="H10" s="3341">
        <f t="shared" si="31"/>
        <v>643.68471035137713</v>
      </c>
      <c r="I10" s="3583">
        <v>1050</v>
      </c>
      <c r="J10" s="3583">
        <v>158.4</v>
      </c>
      <c r="K10" s="3583">
        <v>2823.9</v>
      </c>
      <c r="L10" s="3583">
        <v>3765.8</v>
      </c>
      <c r="M10" s="3604">
        <f t="shared" si="32"/>
        <v>358.64761904761906</v>
      </c>
      <c r="N10" s="3604">
        <f t="shared" si="33"/>
        <v>185.19720664896232</v>
      </c>
      <c r="O10" s="3583">
        <v>3856</v>
      </c>
      <c r="P10" s="3604">
        <f t="shared" si="34"/>
        <v>367.23809523809524</v>
      </c>
      <c r="Q10" s="3605">
        <v>3772</v>
      </c>
      <c r="R10" s="3604">
        <f t="shared" ref="R10:R83" si="43">Q10/I10*100</f>
        <v>359.23809523809524</v>
      </c>
      <c r="S10" s="3604">
        <f t="shared" ref="S10:S80" si="44">Q10/L10*100</f>
        <v>100.16463965160125</v>
      </c>
      <c r="T10" s="3583" t="e">
        <f>Q10/Q79*T79</f>
        <v>#REF!</v>
      </c>
      <c r="U10" s="3583" t="e">
        <f t="shared" ref="U10:U16" si="45">Q10-T10</f>
        <v>#REF!</v>
      </c>
      <c r="V10" s="3583">
        <v>2819.3</v>
      </c>
      <c r="W10" s="3583" t="e">
        <f>3756.7*(объемы!#REF!-объемы!#REF!)/объемы!#REF!</f>
        <v>#REF!</v>
      </c>
      <c r="X10" s="3583" t="e">
        <f>3756.7-W10</f>
        <v>#REF!</v>
      </c>
      <c r="Y10" s="1602">
        <v>3847.4</v>
      </c>
      <c r="Z10" s="1596">
        <f t="shared" si="35"/>
        <v>1.0199893955461294</v>
      </c>
      <c r="AA10" s="1602" t="e">
        <f>Аморт!G7</f>
        <v>#REF!</v>
      </c>
      <c r="AB10" s="1596" t="e">
        <f t="shared" si="1"/>
        <v>#REF!</v>
      </c>
      <c r="AC10" s="1602" t="e">
        <f t="shared" si="36"/>
        <v>#REF!</v>
      </c>
      <c r="AD10" s="1602" t="e">
        <f t="shared" ref="AD10:AD55" si="46">AA10-AC10</f>
        <v>#REF!</v>
      </c>
      <c r="AE10" s="1602">
        <f>SUM(Аморт!L7)</f>
        <v>3695.7</v>
      </c>
      <c r="AF10" s="1602">
        <f>AE10*AF79/(AF79+AG79)</f>
        <v>3650.1328150532308</v>
      </c>
      <c r="AG10" s="1602">
        <f>SUM(AE10-AF10)</f>
        <v>45.567184946768975</v>
      </c>
      <c r="AH10" s="1603">
        <f t="shared" si="37"/>
        <v>3759.1</v>
      </c>
      <c r="AI10" s="1597" t="e">
        <f t="shared" si="38"/>
        <v>#REF!</v>
      </c>
      <c r="AJ10" s="1602">
        <v>3716.31</v>
      </c>
      <c r="AK10" s="1602">
        <v>42.79</v>
      </c>
      <c r="AL10" s="1603">
        <f t="shared" si="39"/>
        <v>3759.1</v>
      </c>
      <c r="AM10" s="1597" t="e">
        <f t="shared" si="40"/>
        <v>#REF!</v>
      </c>
      <c r="AN10" s="1602">
        <f>Аморт!O7*AN79/(AN79+AO79)</f>
        <v>3716.3087446945019</v>
      </c>
      <c r="AO10" s="1602">
        <f>-AN10+Аморт!O7</f>
        <v>42.791255305497998</v>
      </c>
      <c r="AP10" s="1598" t="e">
        <f t="shared" si="41"/>
        <v>#REF!</v>
      </c>
      <c r="AQ10" s="1598" t="e">
        <f>AP10*AC10/AA10</f>
        <v>#REF!</v>
      </c>
      <c r="AR10" s="1598" t="e">
        <f t="shared" si="42"/>
        <v>#REF!</v>
      </c>
      <c r="AS10" s="1598" t="e">
        <f t="shared" si="2"/>
        <v>#REF!</v>
      </c>
      <c r="AT10" s="1602">
        <f>SUM(Аморт!Q7)</f>
        <v>1827.75</v>
      </c>
      <c r="AU10" s="1602">
        <f>AT10*AU79/(AU79+AV79)</f>
        <v>1815.1700318516137</v>
      </c>
      <c r="AV10" s="1602">
        <f>SUM(AT10-AU10)</f>
        <v>12.579968148386342</v>
      </c>
      <c r="AW10" s="1602">
        <f t="shared" ref="AW10:AW16" si="47">AX10+AY10</f>
        <v>3621.84</v>
      </c>
      <c r="AX10" s="1602">
        <v>3604.38</v>
      </c>
      <c r="AY10" s="1602">
        <v>17.46</v>
      </c>
      <c r="AZ10" s="1602">
        <f>SUM(Аморт!T7)</f>
        <v>3759.1</v>
      </c>
      <c r="BA10" s="1599">
        <f t="shared" ref="BA10:BA86" si="48">SUM(AZ10/AL10)</f>
        <v>1</v>
      </c>
      <c r="BB10" s="1602">
        <f>AZ10*BB79/(BB79+BC79)</f>
        <v>3739.0234081768058</v>
      </c>
      <c r="BC10" s="1602">
        <f>SUM(AZ10-BB10)</f>
        <v>20.076591823194121</v>
      </c>
      <c r="BD10" s="1602">
        <f>SUM(Аморт!U7)</f>
        <v>3644.55</v>
      </c>
      <c r="BE10" s="1602">
        <f>BD10*BE79/(BE79+BF79)</f>
        <v>3625.0851965286315</v>
      </c>
      <c r="BF10" s="1602">
        <f>SUM(BD10-BE10)</f>
        <v>19.464803471368668</v>
      </c>
      <c r="BG10" s="1602">
        <f t="shared" ref="BG10:BG58" si="49">BH10+BI10</f>
        <v>3566.58</v>
      </c>
      <c r="BH10" s="1602">
        <v>3564.18</v>
      </c>
      <c r="BI10" s="1602">
        <v>2.4</v>
      </c>
      <c r="BJ10" s="1602">
        <f t="shared" ref="BJ10:BJ14" si="50">BK10+BL10</f>
        <v>3595.1099999999997</v>
      </c>
      <c r="BK10" s="1602">
        <v>3593.37</v>
      </c>
      <c r="BL10" s="1602">
        <v>1.74</v>
      </c>
      <c r="BM10" s="1602">
        <f t="shared" ref="BM10:BM16" si="51">SUM(BN10:BO10)</f>
        <v>3566.58</v>
      </c>
      <c r="BN10" s="1602">
        <v>3545.48</v>
      </c>
      <c r="BO10" s="1602">
        <v>21.1</v>
      </c>
      <c r="BP10" s="1602">
        <f t="shared" ref="BP10:BP14" si="52">SUM(BQ10:BR10)</f>
        <v>2969.39</v>
      </c>
      <c r="BQ10" s="1602">
        <v>2968.31</v>
      </c>
      <c r="BR10" s="1602">
        <v>1.08</v>
      </c>
      <c r="BS10" s="1602">
        <f t="shared" ref="BS10:BS14" si="53">BT10+BU10</f>
        <v>3595.1099999999997</v>
      </c>
      <c r="BT10" s="1602">
        <v>3590.12</v>
      </c>
      <c r="BU10" s="1602">
        <v>4.99</v>
      </c>
      <c r="BV10" s="1602">
        <f>Аморт!AM7</f>
        <v>3595.11</v>
      </c>
      <c r="BW10" s="1602">
        <f>BV10/$BV$79*$BW$79</f>
        <v>3593.3725181518635</v>
      </c>
      <c r="BX10" s="1602">
        <f>BV10/$BV$79*$BX$79</f>
        <v>1.7374818481367909</v>
      </c>
      <c r="BY10" s="1602">
        <f>SUM(Аморт!AS7)</f>
        <v>3595.11</v>
      </c>
      <c r="BZ10" s="1602">
        <f>BY10/$BV$79*$BW$79</f>
        <v>3593.3725181518635</v>
      </c>
      <c r="CA10" s="1602">
        <f>BY10/$BV$79*$BX$79</f>
        <v>1.7374818481367909</v>
      </c>
      <c r="CB10" s="3578" t="s">
        <v>963</v>
      </c>
      <c r="CC10" s="365"/>
      <c r="CD10" s="365"/>
      <c r="CE10" s="365"/>
      <c r="CF10" s="1602">
        <f>SUM(Аморт!AT7)</f>
        <v>3595.11</v>
      </c>
      <c r="CG10" s="1602">
        <f>CF10/CF151*CG151+0.1</f>
        <v>3593.3786793794047</v>
      </c>
      <c r="CH10" s="1602">
        <f>CF10/CF151*CH151-0.1</f>
        <v>1.7313206205949816</v>
      </c>
      <c r="CI10" s="1602">
        <f>SUM(CJ10:CK10)</f>
        <v>1155.57</v>
      </c>
      <c r="CJ10" s="1602">
        <f>SUM(Аморт!AV7)</f>
        <v>1155.57</v>
      </c>
      <c r="CK10" s="1602">
        <f>SUM(Аморт!AW7)</f>
        <v>0</v>
      </c>
      <c r="CL10" s="1602">
        <f>SUM(CM10:CN10)</f>
        <v>1731.27</v>
      </c>
      <c r="CM10" s="1602">
        <f>SUM(Аморт!AY7)</f>
        <v>1731.27</v>
      </c>
      <c r="CN10" s="1602">
        <f>SUM(Аморт!AZ7)</f>
        <v>0</v>
      </c>
      <c r="CO10" s="1602">
        <f>SUM(CP10:CQ10)</f>
        <v>2385.85</v>
      </c>
      <c r="CP10" s="1602">
        <f>SUM(Аморт!BB7)</f>
        <v>2385.85</v>
      </c>
      <c r="CQ10" s="1602">
        <f>SUM(Аморт!BC7)</f>
        <v>0</v>
      </c>
      <c r="CR10" s="2371">
        <f>SUM(CS10:CT10)</f>
        <v>2385.85</v>
      </c>
      <c r="CS10" s="2371">
        <f>SUM(Аморт!BD7)</f>
        <v>2385.85</v>
      </c>
      <c r="CT10" s="2371">
        <v>0</v>
      </c>
      <c r="CU10" s="4101">
        <f>SUM(CV10:CW10)</f>
        <v>1251.653402217785</v>
      </c>
      <c r="CV10" s="4101">
        <f>SUM(Аморт!BE7)</f>
        <v>1251.653402217785</v>
      </c>
      <c r="CW10" s="4101">
        <v>0</v>
      </c>
      <c r="CX10" s="2371">
        <f>SUM(CY10:CZ10)</f>
        <v>1443.085</v>
      </c>
      <c r="CY10" s="2371">
        <f>SUM(Аморт!BJ7)</f>
        <v>1443.085</v>
      </c>
      <c r="CZ10" s="2371">
        <v>0</v>
      </c>
      <c r="DA10" s="2371">
        <f>SUM(DB10:DC10)</f>
        <v>2164.8000000000002</v>
      </c>
      <c r="DB10" s="2371">
        <f>SUM(Аморт!BM7)</f>
        <v>2164.8000000000002</v>
      </c>
      <c r="DC10" s="2371">
        <f>SUM(Аморт!BN7)</f>
        <v>0</v>
      </c>
      <c r="DD10" s="3487">
        <f>SUM(DE10:DF10)</f>
        <v>0</v>
      </c>
      <c r="DE10" s="3487">
        <f>SUM(Аморт!BQ7)</f>
        <v>0</v>
      </c>
      <c r="DF10" s="3487">
        <f>SUM(Аморт!BR7)</f>
        <v>0</v>
      </c>
    </row>
    <row r="11" spans="1:110" ht="21" customHeight="1" x14ac:dyDescent="0.2">
      <c r="A11" s="3466" t="s">
        <v>210</v>
      </c>
      <c r="B11" s="3581"/>
      <c r="C11" s="2125"/>
      <c r="D11" s="3341"/>
      <c r="E11" s="2125"/>
      <c r="F11" s="3341"/>
      <c r="G11" s="2125"/>
      <c r="H11" s="3341"/>
      <c r="I11" s="3583"/>
      <c r="J11" s="3583"/>
      <c r="K11" s="3583">
        <v>9.1999999999999993</v>
      </c>
      <c r="L11" s="3583">
        <v>9.1999999999999993</v>
      </c>
      <c r="M11" s="3604"/>
      <c r="N11" s="3604"/>
      <c r="O11" s="3583"/>
      <c r="P11" s="3604"/>
      <c r="Q11" s="3605"/>
      <c r="R11" s="3604"/>
      <c r="S11" s="3604">
        <f t="shared" si="44"/>
        <v>0</v>
      </c>
      <c r="T11" s="3583"/>
      <c r="U11" s="3583">
        <f t="shared" si="45"/>
        <v>0</v>
      </c>
      <c r="V11" s="3583">
        <v>0</v>
      </c>
      <c r="W11" s="3583">
        <v>0</v>
      </c>
      <c r="X11" s="3583">
        <v>0</v>
      </c>
      <c r="Y11" s="1602"/>
      <c r="Z11" s="1596"/>
      <c r="AA11" s="1602"/>
      <c r="AB11" s="1596"/>
      <c r="AC11" s="1602" t="e">
        <f t="shared" si="36"/>
        <v>#REF!</v>
      </c>
      <c r="AD11" s="1602" t="e">
        <f t="shared" si="46"/>
        <v>#REF!</v>
      </c>
      <c r="AE11" s="1602">
        <f>SUM(AF11:AG11)</f>
        <v>0</v>
      </c>
      <c r="AF11" s="1602">
        <v>0</v>
      </c>
      <c r="AG11" s="1602">
        <v>0</v>
      </c>
      <c r="AH11" s="1603">
        <v>0</v>
      </c>
      <c r="AI11" s="1597"/>
      <c r="AJ11" s="1602">
        <v>0</v>
      </c>
      <c r="AK11" s="1602">
        <v>0</v>
      </c>
      <c r="AL11" s="1603">
        <v>0</v>
      </c>
      <c r="AM11" s="1597"/>
      <c r="AN11" s="1602">
        <v>0</v>
      </c>
      <c r="AO11" s="1602">
        <v>0</v>
      </c>
      <c r="AP11" s="1598">
        <f t="shared" si="41"/>
        <v>0</v>
      </c>
      <c r="AQ11" s="1598"/>
      <c r="AR11" s="1598"/>
      <c r="AS11" s="1598">
        <f t="shared" si="2"/>
        <v>0</v>
      </c>
      <c r="AT11" s="1602">
        <v>0</v>
      </c>
      <c r="AU11" s="1602">
        <v>0</v>
      </c>
      <c r="AV11" s="1602">
        <v>0</v>
      </c>
      <c r="AW11" s="1602">
        <f t="shared" si="47"/>
        <v>0</v>
      </c>
      <c r="AX11" s="1602">
        <v>0</v>
      </c>
      <c r="AY11" s="1602">
        <v>0</v>
      </c>
      <c r="AZ11" s="1603">
        <v>0</v>
      </c>
      <c r="BA11" s="1599"/>
      <c r="BB11" s="1602">
        <v>0</v>
      </c>
      <c r="BC11" s="1602">
        <v>0</v>
      </c>
      <c r="BD11" s="1603">
        <v>0</v>
      </c>
      <c r="BE11" s="1602">
        <v>0</v>
      </c>
      <c r="BF11" s="1602">
        <v>0</v>
      </c>
      <c r="BG11" s="1602">
        <f t="shared" si="49"/>
        <v>0</v>
      </c>
      <c r="BH11" s="1602">
        <v>0</v>
      </c>
      <c r="BI11" s="1602">
        <v>0</v>
      </c>
      <c r="BJ11" s="1602">
        <f t="shared" si="50"/>
        <v>0</v>
      </c>
      <c r="BK11" s="1602">
        <v>0</v>
      </c>
      <c r="BL11" s="1602">
        <v>0</v>
      </c>
      <c r="BM11" s="1602">
        <f t="shared" si="51"/>
        <v>0</v>
      </c>
      <c r="BN11" s="1602">
        <v>0</v>
      </c>
      <c r="BO11" s="1602">
        <v>0</v>
      </c>
      <c r="BP11" s="1602">
        <f t="shared" si="52"/>
        <v>0</v>
      </c>
      <c r="BQ11" s="1602">
        <v>0</v>
      </c>
      <c r="BR11" s="1602">
        <v>0</v>
      </c>
      <c r="BS11" s="1602">
        <f t="shared" si="53"/>
        <v>0</v>
      </c>
      <c r="BT11" s="1602">
        <v>0</v>
      </c>
      <c r="BU11" s="1602">
        <v>0</v>
      </c>
      <c r="BV11" s="1602">
        <f t="shared" ref="BV11" si="54">BW11+BX11</f>
        <v>0</v>
      </c>
      <c r="BW11" s="1602">
        <v>0</v>
      </c>
      <c r="BX11" s="1602">
        <v>0</v>
      </c>
      <c r="BY11" s="1602">
        <f t="shared" ref="BY11" si="55">BZ11+CA11</f>
        <v>0</v>
      </c>
      <c r="BZ11" s="1602">
        <v>0</v>
      </c>
      <c r="CA11" s="1602">
        <v>0</v>
      </c>
      <c r="CB11" s="3579"/>
      <c r="CC11" s="365"/>
      <c r="CD11" s="365"/>
      <c r="CE11" s="365"/>
      <c r="CF11" s="1602">
        <f t="shared" ref="CF11" si="56">CG11+CH11</f>
        <v>0</v>
      </c>
      <c r="CG11" s="1602">
        <v>0</v>
      </c>
      <c r="CH11" s="1602">
        <v>0</v>
      </c>
      <c r="CI11" s="1602">
        <f t="shared" ref="CI11:CI14" si="57">CJ11+CK11</f>
        <v>0</v>
      </c>
      <c r="CJ11" s="1602">
        <v>0</v>
      </c>
      <c r="CK11" s="1602">
        <v>0</v>
      </c>
      <c r="CL11" s="1602">
        <f t="shared" ref="CL11:CL14" si="58">CM11+CN11</f>
        <v>0</v>
      </c>
      <c r="CM11" s="1602">
        <v>0</v>
      </c>
      <c r="CN11" s="1602">
        <v>0</v>
      </c>
      <c r="CO11" s="1602">
        <f t="shared" ref="CO11:CO14" si="59">CP11+CQ11</f>
        <v>0</v>
      </c>
      <c r="CP11" s="1602">
        <v>0</v>
      </c>
      <c r="CQ11" s="1602">
        <v>0</v>
      </c>
      <c r="CR11" s="2371">
        <f t="shared" ref="CR11:CR14" si="60">CS11+CT11</f>
        <v>0</v>
      </c>
      <c r="CS11" s="2371">
        <v>0</v>
      </c>
      <c r="CT11" s="2371">
        <v>0</v>
      </c>
      <c r="CU11" s="4101">
        <f t="shared" ref="CU11:CU13" si="61">CV11+CW11</f>
        <v>0</v>
      </c>
      <c r="CV11" s="4101">
        <v>0</v>
      </c>
      <c r="CW11" s="4101">
        <v>0</v>
      </c>
      <c r="CX11" s="2371">
        <f t="shared" ref="CX11:CX14" si="62">CY11+CZ11</f>
        <v>0</v>
      </c>
      <c r="CY11" s="2371">
        <v>0</v>
      </c>
      <c r="CZ11" s="2371">
        <v>0</v>
      </c>
      <c r="DA11" s="2371">
        <f t="shared" ref="DA11:DA14" si="63">DB11+DC11</f>
        <v>0</v>
      </c>
      <c r="DB11" s="2371">
        <v>0</v>
      </c>
      <c r="DC11" s="2371">
        <v>0</v>
      </c>
      <c r="DD11" s="3487">
        <f t="shared" ref="DD11:DD14" si="64">DE11+DF11</f>
        <v>0</v>
      </c>
      <c r="DE11" s="3487">
        <v>0</v>
      </c>
      <c r="DF11" s="3487">
        <v>0</v>
      </c>
    </row>
    <row r="12" spans="1:110" s="385" customFormat="1" ht="21" customHeight="1" x14ac:dyDescent="0.2">
      <c r="A12" s="3466" t="s">
        <v>3</v>
      </c>
      <c r="B12" s="3581">
        <v>430.7</v>
      </c>
      <c r="C12" s="2125">
        <v>299.2</v>
      </c>
      <c r="D12" s="3341">
        <f t="shared" si="29"/>
        <v>69.468307406547481</v>
      </c>
      <c r="E12" s="2125">
        <v>196.7</v>
      </c>
      <c r="F12" s="3341">
        <f t="shared" si="30"/>
        <v>65.741978609625662</v>
      </c>
      <c r="G12" s="2125">
        <v>430.7</v>
      </c>
      <c r="H12" s="3341">
        <f t="shared" si="31"/>
        <v>218.96288764616165</v>
      </c>
      <c r="I12" s="3583">
        <v>477.1</v>
      </c>
      <c r="J12" s="3583">
        <v>283.5</v>
      </c>
      <c r="K12" s="3583">
        <v>89</v>
      </c>
      <c r="L12" s="3583">
        <v>94.7</v>
      </c>
      <c r="M12" s="3604">
        <f t="shared" si="32"/>
        <v>19.849088241458812</v>
      </c>
      <c r="N12" s="3604">
        <f t="shared" si="33"/>
        <v>21.987462270722084</v>
      </c>
      <c r="O12" s="3583">
        <v>524.79999999999995</v>
      </c>
      <c r="P12" s="3604">
        <f t="shared" si="34"/>
        <v>109.99790400335358</v>
      </c>
      <c r="Q12" s="3605">
        <v>124.5</v>
      </c>
      <c r="R12" s="3604">
        <f t="shared" si="43"/>
        <v>26.095158247746802</v>
      </c>
      <c r="S12" s="3604">
        <f t="shared" si="44"/>
        <v>131.46779303062303</v>
      </c>
      <c r="T12" s="3583" t="e">
        <f>Q12/Q79*T79</f>
        <v>#REF!</v>
      </c>
      <c r="U12" s="3583" t="e">
        <f t="shared" si="45"/>
        <v>#REF!</v>
      </c>
      <c r="V12" s="3583">
        <v>9.9</v>
      </c>
      <c r="W12" s="3583">
        <v>20</v>
      </c>
      <c r="X12" s="3583">
        <v>0</v>
      </c>
      <c r="Y12" s="1602">
        <v>478</v>
      </c>
      <c r="Z12" s="1596">
        <f t="shared" si="35"/>
        <v>3.8393574297188753</v>
      </c>
      <c r="AA12" s="1602">
        <v>0</v>
      </c>
      <c r="AB12" s="1596">
        <f t="shared" si="1"/>
        <v>0</v>
      </c>
      <c r="AC12" s="1602" t="e">
        <f t="shared" si="36"/>
        <v>#REF!</v>
      </c>
      <c r="AD12" s="1602" t="e">
        <f t="shared" si="46"/>
        <v>#REF!</v>
      </c>
      <c r="AE12" s="1602">
        <f>SUM(AF12:AG12)</f>
        <v>84.7</v>
      </c>
      <c r="AF12" s="1602">
        <v>84.7</v>
      </c>
      <c r="AG12" s="1602">
        <v>0</v>
      </c>
      <c r="AH12" s="1603">
        <f t="shared" si="37"/>
        <v>278</v>
      </c>
      <c r="AI12" s="1597"/>
      <c r="AJ12" s="1602">
        <v>278</v>
      </c>
      <c r="AK12" s="1602">
        <v>0</v>
      </c>
      <c r="AL12" s="1603">
        <f t="shared" si="39"/>
        <v>0</v>
      </c>
      <c r="AM12" s="1597"/>
      <c r="AN12" s="1602">
        <v>0</v>
      </c>
      <c r="AO12" s="1602">
        <v>0</v>
      </c>
      <c r="AP12" s="1598">
        <f t="shared" si="41"/>
        <v>-478</v>
      </c>
      <c r="AQ12" s="1598">
        <f>AP12</f>
        <v>-478</v>
      </c>
      <c r="AR12" s="1598">
        <f t="shared" si="42"/>
        <v>0</v>
      </c>
      <c r="AS12" s="1598">
        <f t="shared" si="2"/>
        <v>-478</v>
      </c>
      <c r="AT12" s="1602">
        <f>SUM(AU12:AV12)</f>
        <v>20.11</v>
      </c>
      <c r="AU12" s="1602">
        <v>20.11</v>
      </c>
      <c r="AV12" s="1602">
        <v>0</v>
      </c>
      <c r="AW12" s="1602">
        <f t="shared" si="47"/>
        <v>50.2</v>
      </c>
      <c r="AX12" s="1602">
        <v>50.2</v>
      </c>
      <c r="AY12" s="1602"/>
      <c r="AZ12" s="1603">
        <f>SUM(BB12:BC12)</f>
        <v>84.7</v>
      </c>
      <c r="BA12" s="1599"/>
      <c r="BB12" s="1602">
        <f>SUM(AF12)</f>
        <v>84.7</v>
      </c>
      <c r="BC12" s="1602">
        <v>0</v>
      </c>
      <c r="BD12" s="1603">
        <f>SUM(BE12:BF12)</f>
        <v>0</v>
      </c>
      <c r="BE12" s="1602">
        <v>0</v>
      </c>
      <c r="BF12" s="1602">
        <v>0</v>
      </c>
      <c r="BG12" s="1602">
        <f t="shared" si="49"/>
        <v>45.07</v>
      </c>
      <c r="BH12" s="1602">
        <v>45.07</v>
      </c>
      <c r="BI12" s="1602">
        <v>0</v>
      </c>
      <c r="BJ12" s="1602">
        <f t="shared" si="50"/>
        <v>209.65</v>
      </c>
      <c r="BK12" s="1602">
        <v>209.65</v>
      </c>
      <c r="BL12" s="1602">
        <v>0</v>
      </c>
      <c r="BM12" s="1602">
        <f t="shared" si="51"/>
        <v>0</v>
      </c>
      <c r="BN12" s="1602">
        <v>0</v>
      </c>
      <c r="BO12" s="1602">
        <v>0</v>
      </c>
      <c r="BP12" s="1602">
        <f t="shared" si="52"/>
        <v>27.13</v>
      </c>
      <c r="BQ12" s="1602">
        <v>27.13</v>
      </c>
      <c r="BR12" s="1602">
        <v>0</v>
      </c>
      <c r="BS12" s="1602">
        <f t="shared" si="53"/>
        <v>131.51</v>
      </c>
      <c r="BT12" s="1602">
        <v>131.51</v>
      </c>
      <c r="BU12" s="1602">
        <v>0</v>
      </c>
      <c r="BV12" s="1602">
        <f>BW12</f>
        <v>0</v>
      </c>
      <c r="BW12" s="1602">
        <v>0</v>
      </c>
      <c r="BX12" s="1602">
        <f>BV12/$BV$79*$BX$79</f>
        <v>0</v>
      </c>
      <c r="BY12" s="1602">
        <f>BZ12</f>
        <v>27.13</v>
      </c>
      <c r="BZ12" s="1602">
        <f>SUM('рем программа'!I27:J27)</f>
        <v>27.13</v>
      </c>
      <c r="CA12" s="1602">
        <f>BY12/$BV$79*$BX$79</f>
        <v>1.3111666274453669E-2</v>
      </c>
      <c r="CB12" s="3578" t="s">
        <v>1492</v>
      </c>
      <c r="CC12" s="365"/>
      <c r="CD12" s="365"/>
      <c r="CE12" s="365"/>
      <c r="CF12" s="1602">
        <f>SUM('рем программа'!K27)</f>
        <v>0</v>
      </c>
      <c r="CG12" s="1602">
        <v>0</v>
      </c>
      <c r="CH12" s="1602">
        <v>0</v>
      </c>
      <c r="CI12" s="1602">
        <f t="shared" si="57"/>
        <v>0</v>
      </c>
      <c r="CJ12" s="1602">
        <f>SUM('рем программа'!L27)</f>
        <v>0</v>
      </c>
      <c r="CK12" s="1602">
        <v>0</v>
      </c>
      <c r="CL12" s="1602">
        <f t="shared" si="58"/>
        <v>0</v>
      </c>
      <c r="CM12" s="1602">
        <f>SUM('рем программа'!M27)</f>
        <v>0</v>
      </c>
      <c r="CN12" s="1602">
        <v>0</v>
      </c>
      <c r="CO12" s="1602">
        <f t="shared" si="59"/>
        <v>0</v>
      </c>
      <c r="CP12" s="1602">
        <f>SUM('рем программа'!N27)</f>
        <v>0</v>
      </c>
      <c r="CQ12" s="1602">
        <v>0</v>
      </c>
      <c r="CR12" s="2371">
        <f t="shared" si="60"/>
        <v>144.47854080000002</v>
      </c>
      <c r="CS12" s="2371">
        <f>SUM('рем программа'!O27)</f>
        <v>144.47854080000002</v>
      </c>
      <c r="CT12" s="2371">
        <v>0</v>
      </c>
      <c r="CU12" s="4101">
        <f t="shared" si="61"/>
        <v>0</v>
      </c>
      <c r="CV12" s="4101">
        <f>SUM('рем программа'!P27)</f>
        <v>0</v>
      </c>
      <c r="CW12" s="4101">
        <v>0</v>
      </c>
      <c r="CX12" s="2371">
        <f t="shared" si="62"/>
        <v>0</v>
      </c>
      <c r="CY12" s="2371">
        <f>SUM('рем программа'!Q27)</f>
        <v>0</v>
      </c>
      <c r="CZ12" s="2371">
        <v>0</v>
      </c>
      <c r="DA12" s="2371">
        <f t="shared" si="63"/>
        <v>0</v>
      </c>
      <c r="DB12" s="2371">
        <f>SUM('рем программа'!R27)</f>
        <v>0</v>
      </c>
      <c r="DC12" s="2371">
        <v>0</v>
      </c>
      <c r="DD12" s="3487">
        <f t="shared" si="64"/>
        <v>0</v>
      </c>
      <c r="DE12" s="3487">
        <f>SUM('рем программа'!AC27)</f>
        <v>0</v>
      </c>
      <c r="DF12" s="3487">
        <v>0</v>
      </c>
    </row>
    <row r="13" spans="1:110" ht="21" customHeight="1" x14ac:dyDescent="0.2">
      <c r="A13" s="3466" t="s">
        <v>4</v>
      </c>
      <c r="B13" s="3581">
        <v>3660.5</v>
      </c>
      <c r="C13" s="2125">
        <v>4691.6000000000004</v>
      </c>
      <c r="D13" s="3341">
        <f t="shared" si="29"/>
        <v>128.16828302144515</v>
      </c>
      <c r="E13" s="2125">
        <v>5232.7</v>
      </c>
      <c r="F13" s="3341">
        <f t="shared" si="30"/>
        <v>111.53337880467218</v>
      </c>
      <c r="G13" s="2125">
        <v>5489.3</v>
      </c>
      <c r="H13" s="3341">
        <f t="shared" si="31"/>
        <v>104.90377816423644</v>
      </c>
      <c r="I13" s="3583">
        <v>5688.7</v>
      </c>
      <c r="J13" s="3583">
        <v>2902.6</v>
      </c>
      <c r="K13" s="3583">
        <v>3448.6</v>
      </c>
      <c r="L13" s="3583">
        <v>4913.3999999999996</v>
      </c>
      <c r="M13" s="3604">
        <f t="shared" si="32"/>
        <v>86.371227169652116</v>
      </c>
      <c r="N13" s="3604">
        <f t="shared" si="33"/>
        <v>89.508680523928362</v>
      </c>
      <c r="O13" s="3583">
        <v>6949</v>
      </c>
      <c r="P13" s="3604">
        <f t="shared" si="34"/>
        <v>122.15444653435759</v>
      </c>
      <c r="Q13" s="3605">
        <f>ЗП!AP9</f>
        <v>6092.5977000000012</v>
      </c>
      <c r="R13" s="3604">
        <f t="shared" si="43"/>
        <v>107.10000000000002</v>
      </c>
      <c r="S13" s="3604">
        <f t="shared" si="44"/>
        <v>123.99962754915133</v>
      </c>
      <c r="T13" s="3583" t="e">
        <f>Q13/Q79*T79</f>
        <v>#REF!</v>
      </c>
      <c r="U13" s="3583" t="e">
        <f t="shared" si="45"/>
        <v>#REF!</v>
      </c>
      <c r="V13" s="3583">
        <v>4239.5</v>
      </c>
      <c r="W13" s="3583" t="e">
        <f>5586.1*(объемы!#REF!-объемы!#REF!)/объемы!#REF!</f>
        <v>#REF!</v>
      </c>
      <c r="X13" s="3583" t="e">
        <f>5586.1-W13</f>
        <v>#REF!</v>
      </c>
      <c r="Y13" s="1602">
        <v>7172.3</v>
      </c>
      <c r="Z13" s="1596">
        <f t="shared" si="35"/>
        <v>1.1772154265166725</v>
      </c>
      <c r="AA13" s="1602">
        <f>ЗП!U25</f>
        <v>6433.7831712000025</v>
      </c>
      <c r="AB13" s="1596">
        <f t="shared" si="1"/>
        <v>1.0560000000000003</v>
      </c>
      <c r="AC13" s="1602" t="e">
        <f t="shared" si="36"/>
        <v>#REF!</v>
      </c>
      <c r="AD13" s="1602" t="e">
        <f t="shared" si="46"/>
        <v>#REF!</v>
      </c>
      <c r="AE13" s="1602">
        <f>SUM(ЗП!AS25)</f>
        <v>6293.5</v>
      </c>
      <c r="AF13" s="1602">
        <f>AE13*AF79/(AF79+AG79)</f>
        <v>6215.902500618965</v>
      </c>
      <c r="AG13" s="1602">
        <f>SUM(AE13-AF13)</f>
        <v>77.59749938103505</v>
      </c>
      <c r="AH13" s="1603">
        <f t="shared" si="37"/>
        <v>6900.59</v>
      </c>
      <c r="AI13" s="1597">
        <f t="shared" si="38"/>
        <v>1.0725555736614809</v>
      </c>
      <c r="AJ13" s="1602">
        <v>6822.04</v>
      </c>
      <c r="AK13" s="1602">
        <v>78.55</v>
      </c>
      <c r="AL13" s="1603">
        <f t="shared" si="39"/>
        <v>5622.7018867924526</v>
      </c>
      <c r="AM13" s="1597">
        <f t="shared" si="40"/>
        <v>0.87393400386288267</v>
      </c>
      <c r="AN13" s="1602">
        <f>ЗП!BB25*AN79/(AN79+AO79)</f>
        <v>5558.6965472312704</v>
      </c>
      <c r="AO13" s="1602">
        <f>-AN13+ЗП!BB25</f>
        <v>64.005339561182154</v>
      </c>
      <c r="AP13" s="1598">
        <f t="shared" si="41"/>
        <v>-738.51682879999771</v>
      </c>
      <c r="AQ13" s="1598" t="e">
        <f t="shared" ref="AQ13:AQ20" si="65">AP13*AC13/AA13</f>
        <v>#REF!</v>
      </c>
      <c r="AR13" s="1598" t="e">
        <f t="shared" si="42"/>
        <v>#REF!</v>
      </c>
      <c r="AS13" s="1598" t="e">
        <f t="shared" si="2"/>
        <v>#REF!</v>
      </c>
      <c r="AT13" s="1602">
        <f>SUM(ЗП!BG25)</f>
        <v>3051.5</v>
      </c>
      <c r="AU13" s="1602">
        <f>AT13*AU79/(AU79+AV79)</f>
        <v>3030.4972519191351</v>
      </c>
      <c r="AV13" s="1602">
        <f>SUM(AT13-AU13)</f>
        <v>21.002748080864876</v>
      </c>
      <c r="AW13" s="1602">
        <f t="shared" si="47"/>
        <v>6226.66</v>
      </c>
      <c r="AX13" s="1602">
        <v>6196.65</v>
      </c>
      <c r="AY13" s="1602">
        <v>30.01</v>
      </c>
      <c r="AZ13" s="1602">
        <v>7590.65</v>
      </c>
      <c r="BA13" s="1599">
        <f t="shared" si="48"/>
        <v>1.3500004362369262</v>
      </c>
      <c r="BB13" s="1602">
        <f>AZ13*BB79/(BB79+BC79)</f>
        <v>7550.109875575874</v>
      </c>
      <c r="BC13" s="1602">
        <f>SUM(AZ13-BB13)</f>
        <v>40.540124424125679</v>
      </c>
      <c r="BD13" s="1602">
        <f>SUM(ЗП!BS25)</f>
        <v>6975.4151999999985</v>
      </c>
      <c r="BE13" s="1602">
        <f>BD13*BE79/(BE79+BF79)</f>
        <v>6938.1609200479606</v>
      </c>
      <c r="BF13" s="1602">
        <f>SUM(BD13-BE13)</f>
        <v>37.254279952037905</v>
      </c>
      <c r="BG13" s="1602">
        <f t="shared" si="49"/>
        <v>6840.58</v>
      </c>
      <c r="BH13" s="1602">
        <v>6835.98</v>
      </c>
      <c r="BI13" s="1602">
        <v>4.5999999999999996</v>
      </c>
      <c r="BJ13" s="1602">
        <f t="shared" si="50"/>
        <v>6200.02</v>
      </c>
      <c r="BK13" s="1602">
        <v>6197.02</v>
      </c>
      <c r="BL13" s="1602">
        <v>3</v>
      </c>
      <c r="BM13" s="1602">
        <f t="shared" si="51"/>
        <v>7614.89</v>
      </c>
      <c r="BN13" s="1602">
        <v>7572.79</v>
      </c>
      <c r="BO13" s="1602">
        <v>42.1</v>
      </c>
      <c r="BP13" s="1602">
        <f t="shared" si="52"/>
        <v>7384.28</v>
      </c>
      <c r="BQ13" s="1602">
        <v>7381.59</v>
      </c>
      <c r="BR13" s="1602">
        <v>2.69</v>
      </c>
      <c r="BS13" s="1602">
        <f t="shared" si="53"/>
        <v>9717.7199999999993</v>
      </c>
      <c r="BT13" s="1602">
        <v>9704.24</v>
      </c>
      <c r="BU13" s="1602">
        <v>13.48</v>
      </c>
      <c r="BV13" s="1602">
        <f>ЗП!CR25</f>
        <v>7837.6569480000007</v>
      </c>
      <c r="BW13" s="1602">
        <f>BV13/$BV$79*$BW$79</f>
        <v>7833.8690842965052</v>
      </c>
      <c r="BX13" s="1602">
        <f>BV13/$BV$79*$BX$79</f>
        <v>3.7878637034953591</v>
      </c>
      <c r="BY13" s="1602">
        <f>SUM(ЗП!CU25)</f>
        <v>8539.7803829250006</v>
      </c>
      <c r="BZ13" s="1602">
        <f>BY13/$BV$79*$BW$79</f>
        <v>8535.6531897647346</v>
      </c>
      <c r="CA13" s="1602">
        <f>BY13/$BV$79*$BX$79</f>
        <v>4.1271931602668186</v>
      </c>
      <c r="CB13" s="3578" t="s">
        <v>963</v>
      </c>
      <c r="CC13" s="365"/>
      <c r="CD13" s="365"/>
      <c r="CE13" s="365"/>
      <c r="CF13" s="1602">
        <f>SUM(ЗП!CX25)</f>
        <v>7992.0587898756003</v>
      </c>
      <c r="CG13" s="1602">
        <f>CF13/CF151*CG151</f>
        <v>7987.9876982920587</v>
      </c>
      <c r="CH13" s="1602">
        <f>CF13/CF151*CH151</f>
        <v>4.0710915835416897</v>
      </c>
      <c r="CI13" s="1602">
        <f t="shared" si="57"/>
        <v>3497.87</v>
      </c>
      <c r="CJ13" s="1602">
        <f>SUM(ЗП!DA25)</f>
        <v>3490.29</v>
      </c>
      <c r="CK13" s="1602">
        <f>SUM(ЗП!DA30)</f>
        <v>7.58</v>
      </c>
      <c r="CL13" s="1602">
        <f t="shared" si="58"/>
        <v>5320.46</v>
      </c>
      <c r="CM13" s="1602">
        <f>SUM(ЗП!DD25)</f>
        <v>5308.94</v>
      </c>
      <c r="CN13" s="1602">
        <f>SUM(ЗП!DD30)</f>
        <v>11.52</v>
      </c>
      <c r="CO13" s="1602">
        <f t="shared" si="59"/>
        <v>7199.77</v>
      </c>
      <c r="CP13" s="1602">
        <f>SUM(ЗП!DG25)</f>
        <v>7185.22</v>
      </c>
      <c r="CQ13" s="1602">
        <f>SUM(ЗП!DG30)</f>
        <v>14.55</v>
      </c>
      <c r="CR13" s="2371">
        <f t="shared" si="60"/>
        <v>10054.11395175</v>
      </c>
      <c r="CS13" s="2371">
        <f>SUM(ЗП!DJ25)</f>
        <v>10034.0057238465</v>
      </c>
      <c r="CT13" s="2371">
        <f>SUM(ЗП!DJ30)</f>
        <v>20.108227903500001</v>
      </c>
      <c r="CU13" s="4101">
        <f t="shared" si="61"/>
        <v>8229.4106339028622</v>
      </c>
      <c r="CV13" s="4101">
        <f>SUM(ЗП!DM25)</f>
        <v>8212.8916339028619</v>
      </c>
      <c r="CW13" s="4101">
        <f>SUM(ЗП!DM30)</f>
        <v>16.518999999999998</v>
      </c>
      <c r="CX13" s="2371">
        <f t="shared" si="62"/>
        <v>3885.5299999999997</v>
      </c>
      <c r="CY13" s="2371">
        <f>SUM(ЗП!DR25)</f>
        <v>3879.08</v>
      </c>
      <c r="CZ13" s="2371">
        <f>SUM(ЗП!DR30)</f>
        <v>6.45</v>
      </c>
      <c r="DA13" s="2371">
        <f t="shared" si="63"/>
        <v>5887.03</v>
      </c>
      <c r="DB13" s="2371">
        <f>SUM(ЗП!DU25)</f>
        <v>5876.23</v>
      </c>
      <c r="DC13" s="2371">
        <f>SUM(ЗП!DU30)-0.01</f>
        <v>10.8</v>
      </c>
      <c r="DD13" s="3487">
        <f t="shared" si="64"/>
        <v>25</v>
      </c>
      <c r="DE13" s="3487">
        <f>SUM(ЗП!DV25)</f>
        <v>24.95</v>
      </c>
      <c r="DF13" s="3487">
        <f>SUM(ЗП!DV30)</f>
        <v>0.05</v>
      </c>
    </row>
    <row r="14" spans="1:110" ht="21" customHeight="1" x14ac:dyDescent="0.2">
      <c r="A14" s="3466" t="s">
        <v>5</v>
      </c>
      <c r="B14" s="3581">
        <v>941.4</v>
      </c>
      <c r="C14" s="2125">
        <v>1188.5999999999999</v>
      </c>
      <c r="D14" s="3341">
        <f t="shared" si="29"/>
        <v>126.25876354365838</v>
      </c>
      <c r="E14" s="2125">
        <v>1266.7</v>
      </c>
      <c r="F14" s="3341">
        <f t="shared" si="30"/>
        <v>106.57075551068485</v>
      </c>
      <c r="G14" s="2125">
        <v>1763.9</v>
      </c>
      <c r="H14" s="3341">
        <f t="shared" si="31"/>
        <v>139.251598642141</v>
      </c>
      <c r="I14" s="3583">
        <f>I13*30.3/100</f>
        <v>1723.6760999999999</v>
      </c>
      <c r="J14" s="3583">
        <v>893.7</v>
      </c>
      <c r="K14" s="3583">
        <v>1027.5999999999999</v>
      </c>
      <c r="L14" s="3583">
        <v>1463.3</v>
      </c>
      <c r="M14" s="3604">
        <f t="shared" si="32"/>
        <v>84.894139914105665</v>
      </c>
      <c r="N14" s="3604">
        <f t="shared" si="33"/>
        <v>82.958217586030941</v>
      </c>
      <c r="O14" s="3583">
        <v>2098.6</v>
      </c>
      <c r="P14" s="3604">
        <f t="shared" si="34"/>
        <v>121.75141257687568</v>
      </c>
      <c r="Q14" s="3605">
        <f>Q13*0.302</f>
        <v>1839.9645054000002</v>
      </c>
      <c r="R14" s="3604">
        <f t="shared" si="43"/>
        <v>106.74653465346537</v>
      </c>
      <c r="S14" s="3604">
        <f t="shared" si="44"/>
        <v>125.74075756167569</v>
      </c>
      <c r="T14" s="3583" t="e">
        <f>Q14/Q79*T79</f>
        <v>#REF!</v>
      </c>
      <c r="U14" s="3583" t="e">
        <f t="shared" si="45"/>
        <v>#REF!</v>
      </c>
      <c r="V14" s="3583">
        <v>1271.0999999999999</v>
      </c>
      <c r="W14" s="3583"/>
      <c r="X14" s="3583"/>
      <c r="Y14" s="1602">
        <v>2166</v>
      </c>
      <c r="Z14" s="1596">
        <f t="shared" si="35"/>
        <v>1.1771966218060934</v>
      </c>
      <c r="AA14" s="1602">
        <f>AA13*V15</f>
        <v>1928.9967658715232</v>
      </c>
      <c r="AB14" s="1596">
        <f t="shared" si="1"/>
        <v>1.0483880315137752</v>
      </c>
      <c r="AC14" s="1602" t="e">
        <f t="shared" si="36"/>
        <v>#REF!</v>
      </c>
      <c r="AD14" s="1602" t="e">
        <f t="shared" si="46"/>
        <v>#REF!</v>
      </c>
      <c r="AE14" s="1602">
        <v>1885.2</v>
      </c>
      <c r="AF14" s="1602">
        <f>AE14*AF79/(AF79+AG79)</f>
        <v>1861.9558900718</v>
      </c>
      <c r="AG14" s="1602">
        <f>SUM(AE14-AF14)</f>
        <v>23.244109928200032</v>
      </c>
      <c r="AH14" s="1603">
        <f t="shared" si="37"/>
        <v>2077.0699999999997</v>
      </c>
      <c r="AI14" s="1597">
        <f t="shared" si="38"/>
        <v>1.0767617845442976</v>
      </c>
      <c r="AJ14" s="1602">
        <v>2053.4299999999998</v>
      </c>
      <c r="AK14" s="1602">
        <v>23.64</v>
      </c>
      <c r="AL14" s="1603">
        <f t="shared" si="39"/>
        <v>1685.815867036652</v>
      </c>
      <c r="AM14" s="1597">
        <f t="shared" si="40"/>
        <v>0.87393400386288267</v>
      </c>
      <c r="AN14" s="1602">
        <f>AN13*AA15</f>
        <v>1666.6255882027756</v>
      </c>
      <c r="AO14" s="1602">
        <f>AO13*AA15</f>
        <v>19.190278833876313</v>
      </c>
      <c r="AP14" s="1598">
        <f t="shared" si="41"/>
        <v>-237.00323412847683</v>
      </c>
      <c r="AQ14" s="1598" t="e">
        <f t="shared" si="65"/>
        <v>#REF!</v>
      </c>
      <c r="AR14" s="1598" t="e">
        <f t="shared" si="42"/>
        <v>#REF!</v>
      </c>
      <c r="AS14" s="1598" t="e">
        <f t="shared" si="2"/>
        <v>#REF!</v>
      </c>
      <c r="AT14" s="1602">
        <v>916.4</v>
      </c>
      <c r="AU14" s="1602">
        <v>910.09</v>
      </c>
      <c r="AV14" s="1602">
        <f>AT14-AU14</f>
        <v>6.3099999999999454</v>
      </c>
      <c r="AW14" s="1602">
        <f t="shared" si="47"/>
        <v>1871.76</v>
      </c>
      <c r="AX14" s="1602">
        <v>1862.74</v>
      </c>
      <c r="AY14" s="1602">
        <v>9.02</v>
      </c>
      <c r="AZ14" s="1603">
        <f t="shared" ref="AZ14" si="66">SUM(BB14+BC14)</f>
        <v>2284.7773009988996</v>
      </c>
      <c r="BA14" s="1599">
        <f t="shared" si="48"/>
        <v>1.3552946947967155</v>
      </c>
      <c r="BB14" s="1602">
        <f>SUM(BB13*AH15)</f>
        <v>2272.5747681375619</v>
      </c>
      <c r="BC14" s="1602">
        <f>SUM(BC13*AH15)</f>
        <v>12.202532861337756</v>
      </c>
      <c r="BD14" s="1603">
        <f t="shared" ref="BD14" si="67">SUM(BE14+BF14)</f>
        <v>2099.5923028993166</v>
      </c>
      <c r="BE14" s="1602">
        <f>SUM(BE13*AZ15)</f>
        <v>2088.3788056099575</v>
      </c>
      <c r="BF14" s="1602">
        <f>SUM(BF13*AZ15)</f>
        <v>11.213497289359223</v>
      </c>
      <c r="BG14" s="1602">
        <f t="shared" si="49"/>
        <v>2063.7199999999998</v>
      </c>
      <c r="BH14" s="1602">
        <v>2062.33</v>
      </c>
      <c r="BI14" s="1602">
        <v>1.39</v>
      </c>
      <c r="BJ14" s="1602">
        <f t="shared" si="50"/>
        <v>1863.0900000000001</v>
      </c>
      <c r="BK14" s="1602">
        <v>1862.19</v>
      </c>
      <c r="BL14" s="1602">
        <v>0.9</v>
      </c>
      <c r="BM14" s="1602">
        <f t="shared" si="51"/>
        <v>2292.08</v>
      </c>
      <c r="BN14" s="1602">
        <v>2279.41</v>
      </c>
      <c r="BO14" s="1602">
        <v>12.67</v>
      </c>
      <c r="BP14" s="1602">
        <f t="shared" si="52"/>
        <v>2237.61</v>
      </c>
      <c r="BQ14" s="1602">
        <v>2236.8000000000002</v>
      </c>
      <c r="BR14" s="1602">
        <v>0.81</v>
      </c>
      <c r="BS14" s="1602">
        <f t="shared" si="53"/>
        <v>2925.04</v>
      </c>
      <c r="BT14" s="1602">
        <v>2920.98</v>
      </c>
      <c r="BU14" s="1602">
        <v>4.0599999999999996</v>
      </c>
      <c r="BV14" s="1602">
        <f>BV13*BS15</f>
        <v>2359.1398063720626</v>
      </c>
      <c r="BW14" s="1602">
        <f>BV14/$BV$79*$BW$79</f>
        <v>2357.9996569494333</v>
      </c>
      <c r="BX14" s="1602">
        <f>BV14/$BV$79*$BX$79</f>
        <v>1.1401494226291831</v>
      </c>
      <c r="BY14" s="1602">
        <f>SUM(BY13*BY15)</f>
        <v>2587.7537122965018</v>
      </c>
      <c r="BZ14" s="1602">
        <f t="shared" ref="BZ14:CA14" si="68">SUM(BZ13*BZ15)</f>
        <v>2586.5030759870251</v>
      </c>
      <c r="CA14" s="1602">
        <f t="shared" si="68"/>
        <v>1.250636309476975</v>
      </c>
      <c r="CB14" s="3578" t="s">
        <v>241</v>
      </c>
      <c r="CC14" s="365"/>
      <c r="CD14" s="365"/>
      <c r="CE14" s="365"/>
      <c r="CF14" s="1602">
        <f>SUM(CF13*CF15)</f>
        <v>2405.6148605575918</v>
      </c>
      <c r="CG14" s="1602">
        <f t="shared" ref="CG14:CH14" si="69">SUM(CG13*CG15)</f>
        <v>2404.3894593600348</v>
      </c>
      <c r="CH14" s="1602">
        <f t="shared" si="69"/>
        <v>1.2254011975569148</v>
      </c>
      <c r="CI14" s="1602">
        <f t="shared" si="57"/>
        <v>1064.75</v>
      </c>
      <c r="CJ14" s="1602">
        <v>1062.47</v>
      </c>
      <c r="CK14" s="1602">
        <v>2.2799999999999998</v>
      </c>
      <c r="CL14" s="1602">
        <f t="shared" si="58"/>
        <v>1613.75</v>
      </c>
      <c r="CM14" s="1602">
        <v>1610.28</v>
      </c>
      <c r="CN14" s="1602">
        <v>3.47</v>
      </c>
      <c r="CO14" s="1602">
        <f t="shared" si="59"/>
        <v>2179.3799999999997</v>
      </c>
      <c r="CP14" s="1602">
        <v>2174.9899999999998</v>
      </c>
      <c r="CQ14" s="1602">
        <v>4.3899999999999997</v>
      </c>
      <c r="CR14" s="2371">
        <f t="shared" si="60"/>
        <v>3026.2929999999997</v>
      </c>
      <c r="CS14" s="2371">
        <v>3020.24</v>
      </c>
      <c r="CT14" s="2371">
        <v>6.0529999999999999</v>
      </c>
      <c r="CU14" s="4101">
        <f>SUM(CU13*CU15)</f>
        <v>2477.0579189965574</v>
      </c>
      <c r="CV14" s="4101">
        <f t="shared" ref="CV14:CW14" si="70">SUM(CV13*CV15)</f>
        <v>2472.0856893212836</v>
      </c>
      <c r="CW14" s="4101">
        <f t="shared" si="70"/>
        <v>4.9722296752736233</v>
      </c>
      <c r="CX14" s="2371">
        <f t="shared" si="62"/>
        <v>1169.7250000000001</v>
      </c>
      <c r="CY14" s="2371">
        <v>1167.7750000000001</v>
      </c>
      <c r="CZ14" s="2371">
        <v>1.95</v>
      </c>
      <c r="DA14" s="2371">
        <f t="shared" si="63"/>
        <v>1773.402</v>
      </c>
      <c r="DB14" s="2371">
        <v>1770.134</v>
      </c>
      <c r="DC14" s="2371">
        <v>3.2679999999999998</v>
      </c>
      <c r="DD14" s="3487">
        <f t="shared" si="64"/>
        <v>2179.3799999999997</v>
      </c>
      <c r="DE14" s="3487">
        <v>2174.9899999999998</v>
      </c>
      <c r="DF14" s="3487">
        <v>4.3899999999999997</v>
      </c>
    </row>
    <row r="15" spans="1:110" s="181" customFormat="1" ht="21" customHeight="1" x14ac:dyDescent="0.2">
      <c r="A15" s="3470" t="s">
        <v>310</v>
      </c>
      <c r="B15" s="3350"/>
      <c r="C15" s="3341"/>
      <c r="D15" s="3341"/>
      <c r="E15" s="3606">
        <f t="shared" ref="E15:K15" si="71">E14/E13</f>
        <v>0.24207388155254458</v>
      </c>
      <c r="F15" s="3606">
        <f t="shared" si="71"/>
        <v>0.95550548770984201</v>
      </c>
      <c r="G15" s="3606">
        <f t="shared" si="71"/>
        <v>0.32133423205144557</v>
      </c>
      <c r="H15" s="3606"/>
      <c r="I15" s="3606">
        <f t="shared" si="71"/>
        <v>0.30299999999999999</v>
      </c>
      <c r="J15" s="3606">
        <f t="shared" si="71"/>
        <v>0.30789636877282439</v>
      </c>
      <c r="K15" s="3606">
        <f t="shared" si="71"/>
        <v>0.29797599025691585</v>
      </c>
      <c r="L15" s="3606">
        <f>L14/L13</f>
        <v>0.29781821142182602</v>
      </c>
      <c r="M15" s="3604"/>
      <c r="N15" s="3604"/>
      <c r="O15" s="3604"/>
      <c r="P15" s="3604"/>
      <c r="Q15" s="3607">
        <f>Q14/Q13</f>
        <v>0.30199999999999999</v>
      </c>
      <c r="R15" s="3604"/>
      <c r="S15" s="3604"/>
      <c r="T15" s="3604"/>
      <c r="U15" s="3604"/>
      <c r="V15" s="3606">
        <f>V14/V13</f>
        <v>0.29982309234579546</v>
      </c>
      <c r="W15" s="3606"/>
      <c r="X15" s="3604"/>
      <c r="Y15" s="1604">
        <f>Y14/Y13</f>
        <v>0.30199517588500202</v>
      </c>
      <c r="Z15" s="1596">
        <f t="shared" si="35"/>
        <v>0.99998402610927828</v>
      </c>
      <c r="AA15" s="1604">
        <f>AA14/AA13</f>
        <v>0.29982309234579546</v>
      </c>
      <c r="AB15" s="1596"/>
      <c r="AC15" s="1605"/>
      <c r="AD15" s="1605"/>
      <c r="AE15" s="1604">
        <f>AE14/AE13</f>
        <v>0.29954715182330977</v>
      </c>
      <c r="AF15" s="1604">
        <f>AF14/AF13</f>
        <v>0.29954715182330977</v>
      </c>
      <c r="AG15" s="1604">
        <f>AG14/AG13</f>
        <v>0.29954715182330899</v>
      </c>
      <c r="AH15" s="1604">
        <f>SUM(AH14/AH13)</f>
        <v>0.30099890009404989</v>
      </c>
      <c r="AI15" s="1597"/>
      <c r="AJ15" s="1604">
        <f>SUM(AJ14/AJ13)</f>
        <v>0.30099940780177187</v>
      </c>
      <c r="AK15" s="1604">
        <f>SUM(AK14/AK13)</f>
        <v>0.30095480585614259</v>
      </c>
      <c r="AL15" s="1604">
        <f>SUM(AL14/AL13)</f>
        <v>0.29982309234579546</v>
      </c>
      <c r="AM15" s="1597">
        <f t="shared" si="40"/>
        <v>1</v>
      </c>
      <c r="AN15" s="1604">
        <f>AN14/AN13</f>
        <v>0.29982309234579546</v>
      </c>
      <c r="AO15" s="1604">
        <f>AO14/AO13</f>
        <v>0.29982309234579546</v>
      </c>
      <c r="AP15" s="1598">
        <f t="shared" si="41"/>
        <v>-2.1720835392065596E-3</v>
      </c>
      <c r="AQ15" s="1598">
        <f t="shared" si="65"/>
        <v>0</v>
      </c>
      <c r="AR15" s="1598">
        <f t="shared" si="42"/>
        <v>-2.1720835392065596E-3</v>
      </c>
      <c r="AS15" s="1598">
        <f t="shared" si="2"/>
        <v>-2.1720835392065596E-3</v>
      </c>
      <c r="AT15" s="1604">
        <f>AT14/AT13</f>
        <v>0.30031132230050794</v>
      </c>
      <c r="AU15" s="1604">
        <f t="shared" ref="AU15:AV15" si="72">AU14/AU13</f>
        <v>0.3003104521621538</v>
      </c>
      <c r="AV15" s="1604">
        <f t="shared" si="72"/>
        <v>0.30043687500822058</v>
      </c>
      <c r="AW15" s="1604">
        <f>AW14/AW13</f>
        <v>0.30060417623573471</v>
      </c>
      <c r="AX15" s="1604">
        <f t="shared" ref="AX15:AY15" si="73">AX14/AX13</f>
        <v>0.30060435880677466</v>
      </c>
      <c r="AY15" s="1604">
        <f t="shared" si="73"/>
        <v>0.30056647784071971</v>
      </c>
      <c r="AZ15" s="1604">
        <f>SUM(AZ14/AZ13)</f>
        <v>0.30099890009404989</v>
      </c>
      <c r="BA15" s="1599">
        <f t="shared" si="48"/>
        <v>1.0039216717400083</v>
      </c>
      <c r="BB15" s="1604">
        <f>SUM(BB14/BB13)</f>
        <v>0.30099890009404989</v>
      </c>
      <c r="BC15" s="1604">
        <f>SUM(BC14/BC13)</f>
        <v>0.30099890009404989</v>
      </c>
      <c r="BD15" s="1604">
        <f>SUM(BD14/BD13)</f>
        <v>0.30099890009404989</v>
      </c>
      <c r="BE15" s="1604">
        <f t="shared" ref="BE15:BX15" si="74">SUM(BE14/BE13)</f>
        <v>0.30099890009404989</v>
      </c>
      <c r="BF15" s="1604">
        <f t="shared" si="74"/>
        <v>0.30099890009404989</v>
      </c>
      <c r="BG15" s="1604">
        <f t="shared" si="74"/>
        <v>0.30168786857254792</v>
      </c>
      <c r="BH15" s="1604">
        <f t="shared" si="74"/>
        <v>0.30168754150831339</v>
      </c>
      <c r="BI15" s="1604">
        <f t="shared" si="74"/>
        <v>0.30217391304347824</v>
      </c>
      <c r="BJ15" s="1604">
        <f t="shared" si="74"/>
        <v>0.30049741775026534</v>
      </c>
      <c r="BK15" s="1604">
        <f t="shared" si="74"/>
        <v>0.30049765855201371</v>
      </c>
      <c r="BL15" s="1604">
        <f t="shared" si="74"/>
        <v>0.3</v>
      </c>
      <c r="BM15" s="1604">
        <f t="shared" ref="BM15:BO15" si="75">SUM(BM14/BM13)</f>
        <v>0.30099975180206145</v>
      </c>
      <c r="BN15" s="1604">
        <f t="shared" si="75"/>
        <v>0.30100002773086271</v>
      </c>
      <c r="BO15" s="1604">
        <f t="shared" si="75"/>
        <v>0.30095011876484562</v>
      </c>
      <c r="BP15" s="1604">
        <f t="shared" ref="BP15:BR15" si="76">SUM(BP14/BP13)</f>
        <v>0.30302344981501245</v>
      </c>
      <c r="BQ15" s="1604">
        <f t="shared" si="76"/>
        <v>0.3030241452044885</v>
      </c>
      <c r="BR15" s="1604">
        <f t="shared" si="76"/>
        <v>0.30111524163568776</v>
      </c>
      <c r="BS15" s="1604">
        <f t="shared" si="74"/>
        <v>0.30100064624212264</v>
      </c>
      <c r="BT15" s="1604">
        <f t="shared" si="74"/>
        <v>0.30100038745950225</v>
      </c>
      <c r="BU15" s="1604">
        <f t="shared" si="74"/>
        <v>0.301186943620178</v>
      </c>
      <c r="BV15" s="1604">
        <f t="shared" si="74"/>
        <v>0.30100064624212264</v>
      </c>
      <c r="BW15" s="1604">
        <f t="shared" si="74"/>
        <v>0.30100064624212258</v>
      </c>
      <c r="BX15" s="1604">
        <f t="shared" si="74"/>
        <v>0.30100064624212264</v>
      </c>
      <c r="BY15" s="1604">
        <f>SUM(BP15)</f>
        <v>0.30302344981501245</v>
      </c>
      <c r="BZ15" s="1604">
        <f>SUM(BY15)</f>
        <v>0.30302344981501245</v>
      </c>
      <c r="CA15" s="1604">
        <f>SUM(BY15)</f>
        <v>0.30302344981501245</v>
      </c>
      <c r="CB15" s="3608"/>
      <c r="CC15" s="3609"/>
      <c r="CD15" s="3609"/>
      <c r="CE15" s="3609"/>
      <c r="CF15" s="1604">
        <f>SUM(BW15)</f>
        <v>0.30100064624212258</v>
      </c>
      <c r="CG15" s="1604">
        <f>SUM(CF15)</f>
        <v>0.30100064624212258</v>
      </c>
      <c r="CH15" s="1604">
        <f>SUM(CF15)</f>
        <v>0.30100064624212258</v>
      </c>
      <c r="CI15" s="1604">
        <f>SUM(CI14/CI13)</f>
        <v>0.30439953457389785</v>
      </c>
      <c r="CJ15" s="1604">
        <f t="shared" ref="CJ15:CQ15" si="77">SUM(CJ14/CJ13)</f>
        <v>0.30440737016121872</v>
      </c>
      <c r="CK15" s="1604">
        <f t="shared" si="77"/>
        <v>0.30079155672823216</v>
      </c>
      <c r="CL15" s="1604">
        <f t="shared" si="77"/>
        <v>0.30331024009202212</v>
      </c>
      <c r="CM15" s="1604">
        <f t="shared" si="77"/>
        <v>0.30331478600247885</v>
      </c>
      <c r="CN15" s="1604">
        <f t="shared" si="77"/>
        <v>0.30121527777777779</v>
      </c>
      <c r="CO15" s="1604">
        <f t="shared" si="77"/>
        <v>0.30270133629268708</v>
      </c>
      <c r="CP15" s="1604">
        <f t="shared" si="77"/>
        <v>0.30270332710759024</v>
      </c>
      <c r="CQ15" s="1604">
        <f t="shared" si="77"/>
        <v>0.30171821305841923</v>
      </c>
      <c r="CR15" s="3651">
        <f t="shared" ref="CR15:CT15" si="78">SUM(CR14/CR13)</f>
        <v>0.30100046752237664</v>
      </c>
      <c r="CS15" s="3651">
        <f t="shared" si="78"/>
        <v>0.30100042626268325</v>
      </c>
      <c r="CT15" s="3651">
        <f t="shared" si="78"/>
        <v>0.30102105610939617</v>
      </c>
      <c r="CU15" s="4102">
        <f>SUM(BV15)</f>
        <v>0.30100064624212264</v>
      </c>
      <c r="CV15" s="4102">
        <f>SUM(BW15)</f>
        <v>0.30100064624212258</v>
      </c>
      <c r="CW15" s="4102">
        <f>SUM(BX15)</f>
        <v>0.30100064624212264</v>
      </c>
      <c r="CX15" s="3651">
        <f>SUM(CX14/CX13)</f>
        <v>0.30104644668809666</v>
      </c>
      <c r="CY15" s="3651">
        <f t="shared" ref="CY15:DF15" si="79">SUM(CY14/CY13)</f>
        <v>0.30104431978716606</v>
      </c>
      <c r="CZ15" s="3651">
        <f t="shared" si="79"/>
        <v>0.30232558139534882</v>
      </c>
      <c r="DA15" s="3651">
        <f t="shared" si="79"/>
        <v>0.30123882501023436</v>
      </c>
      <c r="DB15" s="3651">
        <f t="shared" si="79"/>
        <v>0.30123633690308244</v>
      </c>
      <c r="DC15" s="3651">
        <f t="shared" si="79"/>
        <v>0.30259259259259258</v>
      </c>
      <c r="DD15" s="3733">
        <f t="shared" si="79"/>
        <v>87.17519999999999</v>
      </c>
      <c r="DE15" s="3733">
        <f t="shared" si="79"/>
        <v>87.173947895791571</v>
      </c>
      <c r="DF15" s="3733">
        <f t="shared" si="79"/>
        <v>87.799999999999983</v>
      </c>
    </row>
    <row r="16" spans="1:110" ht="21" customHeight="1" x14ac:dyDescent="0.2">
      <c r="A16" s="3466" t="s">
        <v>6</v>
      </c>
      <c r="B16" s="3581">
        <v>1425.4</v>
      </c>
      <c r="C16" s="2125">
        <v>1648.4</v>
      </c>
      <c r="D16" s="3341">
        <f t="shared" si="29"/>
        <v>115.64473130349376</v>
      </c>
      <c r="E16" s="2125">
        <v>1717.5</v>
      </c>
      <c r="F16" s="3341">
        <f t="shared" si="30"/>
        <v>104.1919437029847</v>
      </c>
      <c r="G16" s="2125">
        <v>1471.6</v>
      </c>
      <c r="H16" s="3341">
        <f t="shared" si="31"/>
        <v>85.682678311499274</v>
      </c>
      <c r="I16" s="3583">
        <v>1679.5</v>
      </c>
      <c r="J16" s="3583">
        <v>876.6</v>
      </c>
      <c r="K16" s="3583">
        <f>'цех вода'!K48</f>
        <v>1370.1342035638834</v>
      </c>
      <c r="L16" s="3583">
        <v>1480.3</v>
      </c>
      <c r="M16" s="3604">
        <f t="shared" si="32"/>
        <v>88.139327180708534</v>
      </c>
      <c r="N16" s="3604">
        <f t="shared" si="33"/>
        <v>100.59119325903778</v>
      </c>
      <c r="O16" s="3583">
        <v>1662.3</v>
      </c>
      <c r="P16" s="3604">
        <f t="shared" si="34"/>
        <v>98.975885680261982</v>
      </c>
      <c r="Q16" s="3605">
        <f>'цех вода'!P48</f>
        <v>1328.848310908827</v>
      </c>
      <c r="R16" s="3604">
        <f t="shared" si="43"/>
        <v>79.121661858221316</v>
      </c>
      <c r="S16" s="3604">
        <f t="shared" si="44"/>
        <v>89.768851645533132</v>
      </c>
      <c r="T16" s="3583" t="e">
        <f>Q16/Q79*T79</f>
        <v>#REF!</v>
      </c>
      <c r="U16" s="3583" t="e">
        <f t="shared" si="45"/>
        <v>#REF!</v>
      </c>
      <c r="V16" s="3583">
        <v>832.1</v>
      </c>
      <c r="W16" s="3583"/>
      <c r="X16" s="3583"/>
      <c r="Y16" s="1602">
        <v>1803.5</v>
      </c>
      <c r="Z16" s="1596">
        <f t="shared" si="35"/>
        <v>1.357190271601842</v>
      </c>
      <c r="AA16" s="1602">
        <f>'цех вода'!W48</f>
        <v>1410.9363841017698</v>
      </c>
      <c r="AB16" s="1596">
        <f t="shared" si="1"/>
        <v>1.0617738477138907</v>
      </c>
      <c r="AC16" s="1602">
        <f>AA16-AD16</f>
        <v>1338.8363841017699</v>
      </c>
      <c r="AD16" s="1602">
        <v>72.099999999999994</v>
      </c>
      <c r="AE16" s="1602">
        <v>1490.4</v>
      </c>
      <c r="AF16" s="1602">
        <f>AE16*AF79/(AF79+AG79)</f>
        <v>1472.0236890319386</v>
      </c>
      <c r="AG16" s="1602">
        <f>SUM(AE16-AF16)</f>
        <v>18.376310968061489</v>
      </c>
      <c r="AH16" s="1603">
        <f t="shared" si="37"/>
        <v>1505.7700000000002</v>
      </c>
      <c r="AI16" s="1597">
        <f t="shared" si="38"/>
        <v>1.0672132471504754</v>
      </c>
      <c r="AJ16" s="1602">
        <v>1488.63</v>
      </c>
      <c r="AK16" s="1602">
        <v>17.14</v>
      </c>
      <c r="AL16" s="1603">
        <f t="shared" si="39"/>
        <v>1484.5350755710156</v>
      </c>
      <c r="AM16" s="1597">
        <f t="shared" si="40"/>
        <v>1.0521630119532994</v>
      </c>
      <c r="AN16" s="1602">
        <f>'цех вода'!AB48*AN79/(AN79+AO79)</f>
        <v>1467.6360520205046</v>
      </c>
      <c r="AO16" s="1602">
        <f>-AN16+'цех вода'!AB48</f>
        <v>16.899023550510947</v>
      </c>
      <c r="AP16" s="1598">
        <f t="shared" si="41"/>
        <v>-392.56361589823018</v>
      </c>
      <c r="AQ16" s="1598">
        <f t="shared" si="65"/>
        <v>-372.50329494741624</v>
      </c>
      <c r="AR16" s="1598">
        <f t="shared" si="42"/>
        <v>-20.060320950813946</v>
      </c>
      <c r="AS16" s="1598">
        <f t="shared" si="2"/>
        <v>-392.56361589823018</v>
      </c>
      <c r="AT16" s="1602">
        <v>1047.32</v>
      </c>
      <c r="AU16" s="1602">
        <f>AT16*AU79/(AU79+AV79)</f>
        <v>1040.1115457578071</v>
      </c>
      <c r="AV16" s="1602">
        <f>SUM(AT16-AU16)</f>
        <v>7.208454242192829</v>
      </c>
      <c r="AW16" s="1602">
        <f t="shared" si="47"/>
        <v>1903.8500000000001</v>
      </c>
      <c r="AX16" s="1602">
        <v>1894.67</v>
      </c>
      <c r="AY16" s="1602">
        <v>9.18</v>
      </c>
      <c r="AZ16" s="1602">
        <v>1850.81</v>
      </c>
      <c r="BA16" s="1599">
        <f t="shared" ref="BA16" si="80">SUM(AZ16/AL16)</f>
        <v>1.2467270261621131</v>
      </c>
      <c r="BB16" s="1602">
        <f>AZ16*BB79/(BB79+BC79)</f>
        <v>1840.9251986081013</v>
      </c>
      <c r="BC16" s="1602">
        <f>SUM(AZ16-BB16)</f>
        <v>9.8848013918986908</v>
      </c>
      <c r="BD16" s="1602">
        <f>SUM('цех вода'!AG48)</f>
        <v>1611.1723912953566</v>
      </c>
      <c r="BE16" s="1602">
        <f>BD16*BE79/(BE79+BF79)</f>
        <v>1602.567445841169</v>
      </c>
      <c r="BF16" s="1602">
        <f>SUM(BD16-BE16)</f>
        <v>8.6049454541876003</v>
      </c>
      <c r="BG16" s="1602">
        <f t="shared" si="49"/>
        <v>1817.18</v>
      </c>
      <c r="BH16" s="1602">
        <v>1815.96</v>
      </c>
      <c r="BI16" s="1602">
        <v>1.22</v>
      </c>
      <c r="BJ16" s="1602">
        <f t="shared" ref="BJ16" si="81">BK16+BL16</f>
        <v>1309.4000000000001</v>
      </c>
      <c r="BK16" s="1602">
        <v>1308.77</v>
      </c>
      <c r="BL16" s="1602">
        <v>0.63</v>
      </c>
      <c r="BM16" s="1602">
        <f t="shared" si="51"/>
        <v>1459.71</v>
      </c>
      <c r="BN16" s="1602">
        <v>1449.19</v>
      </c>
      <c r="BO16" s="1602">
        <v>10.52</v>
      </c>
      <c r="BP16" s="1602">
        <f t="shared" ref="BP16" si="82">SUM(BQ16:BR16)</f>
        <v>792.42399999999998</v>
      </c>
      <c r="BQ16" s="1602">
        <v>792.13400000000001</v>
      </c>
      <c r="BR16" s="1602">
        <v>0.28999999999999998</v>
      </c>
      <c r="BS16" s="1602">
        <f t="shared" ref="BS16" si="83">BT16+BU16</f>
        <v>1742.41</v>
      </c>
      <c r="BT16" s="1602">
        <v>1739.99</v>
      </c>
      <c r="BU16" s="1602">
        <v>2.42</v>
      </c>
      <c r="BV16" s="1602">
        <f>'цех вода'!AM48</f>
        <v>1475.4542413298955</v>
      </c>
      <c r="BW16" s="1602">
        <f>BV16/$BV$79*$BW$79</f>
        <v>1474.7411685832849</v>
      </c>
      <c r="BX16" s="1602">
        <f t="shared" ref="BX16" si="84">BV16/$BV$79*$BX$79</f>
        <v>0.71307274661057185</v>
      </c>
      <c r="BY16" s="1602">
        <f>SUM('цех вода'!AN48)</f>
        <v>843.46017371030848</v>
      </c>
      <c r="BZ16" s="1602">
        <f t="shared" ref="BZ16" si="85">BY16/$BV$79*$BW$79</f>
        <v>843.0525375763799</v>
      </c>
      <c r="CA16" s="1602">
        <f t="shared" ref="CA16" si="86">BY16/$BV$79*$BX$79</f>
        <v>0.40763613392857673</v>
      </c>
      <c r="CB16" s="3578" t="s">
        <v>963</v>
      </c>
      <c r="CC16" s="365"/>
      <c r="CD16" s="365"/>
      <c r="CE16" s="365"/>
      <c r="CF16" s="1602">
        <f>SUM('цех вода'!AX48)</f>
        <v>1482.103514619803</v>
      </c>
      <c r="CG16" s="1602">
        <f>CF16/CF151*CG151</f>
        <v>1481.3485428030356</v>
      </c>
      <c r="CH16" s="1602">
        <f>CF16/CF151*CH151</f>
        <v>0.75497181676764868</v>
      </c>
      <c r="CI16" s="1602">
        <f>SUM(CJ16:CK16)</f>
        <v>346.17</v>
      </c>
      <c r="CJ16" s="1602">
        <f>SUM('цех вода'!AY48)</f>
        <v>346.17</v>
      </c>
      <c r="CK16" s="1602">
        <v>0</v>
      </c>
      <c r="CL16" s="1602">
        <f>SUM(CM16:CN16)</f>
        <v>525.76</v>
      </c>
      <c r="CM16" s="1602">
        <f>SUM('цех вода'!AZ48)</f>
        <v>525.76</v>
      </c>
      <c r="CN16" s="1602">
        <v>0</v>
      </c>
      <c r="CO16" s="1602">
        <f>SUM(CP16:CQ16)</f>
        <v>695.14</v>
      </c>
      <c r="CP16" s="1602">
        <f>SUM('цех вода'!BA48)</f>
        <v>695.14</v>
      </c>
      <c r="CQ16" s="1602">
        <v>0</v>
      </c>
      <c r="CR16" s="2371">
        <f>SUM(CS16:CT16)</f>
        <v>894.10612969439967</v>
      </c>
      <c r="CS16" s="2371">
        <f>SUM('цех вода'!BB48)</f>
        <v>894.10612969439967</v>
      </c>
      <c r="CT16" s="2371">
        <v>0</v>
      </c>
      <c r="CU16" s="4101">
        <f>SUM(CV16:CW16)</f>
        <v>646.85783362542975</v>
      </c>
      <c r="CV16" s="4101">
        <f>SUM('цех вода'!BC48)</f>
        <v>646.85783362542975</v>
      </c>
      <c r="CW16" s="4101">
        <v>0</v>
      </c>
      <c r="CX16" s="2371">
        <f>SUM(CY16:CZ16)</f>
        <v>366.83</v>
      </c>
      <c r="CY16" s="2371">
        <f>SUM('цех вода'!BD48)</f>
        <v>366.83</v>
      </c>
      <c r="CZ16" s="2371">
        <v>0</v>
      </c>
      <c r="DA16" s="2371">
        <f>SUM(DB16:DC16)</f>
        <v>549.92899999999997</v>
      </c>
      <c r="DB16" s="2371">
        <f>SUM('цех вода'!BE48)</f>
        <v>549.92899999999997</v>
      </c>
      <c r="DC16" s="2371">
        <v>0</v>
      </c>
      <c r="DD16" s="3487">
        <f>SUM(DE16:DF16)</f>
        <v>0</v>
      </c>
      <c r="DE16" s="3487">
        <f>SUM('цех вода'!BP48)</f>
        <v>0</v>
      </c>
      <c r="DF16" s="3487">
        <v>0</v>
      </c>
    </row>
    <row r="17" spans="1:110" s="2219" customFormat="1" ht="21" customHeight="1" x14ac:dyDescent="0.2">
      <c r="A17" s="3610" t="s">
        <v>7</v>
      </c>
      <c r="B17" s="2652">
        <f>SUM(B18:B26)</f>
        <v>32241.4</v>
      </c>
      <c r="C17" s="3611">
        <f>SUM(C18:C26)</f>
        <v>38466.400000000001</v>
      </c>
      <c r="D17" s="3341">
        <f t="shared" si="29"/>
        <v>119.30747424119299</v>
      </c>
      <c r="E17" s="3611">
        <f>SUM(E18:E26)-E25</f>
        <v>40420.1</v>
      </c>
      <c r="F17" s="3611">
        <f t="shared" ref="F17:AO17" si="87">SUM(F18:F26)-F25</f>
        <v>846.38801117543824</v>
      </c>
      <c r="G17" s="3611">
        <f t="shared" si="87"/>
        <v>43502.200000000004</v>
      </c>
      <c r="H17" s="3341">
        <f t="shared" si="31"/>
        <v>107.62516668687114</v>
      </c>
      <c r="I17" s="3611">
        <f t="shared" si="87"/>
        <v>42972.08265199999</v>
      </c>
      <c r="J17" s="3611">
        <f t="shared" si="87"/>
        <v>22818.600000000002</v>
      </c>
      <c r="K17" s="3611">
        <f t="shared" si="87"/>
        <v>33887.847162203478</v>
      </c>
      <c r="L17" s="3611">
        <f t="shared" si="87"/>
        <v>49679.3</v>
      </c>
      <c r="M17" s="3611">
        <f t="shared" si="87"/>
        <v>811.78554777666386</v>
      </c>
      <c r="N17" s="3611">
        <f t="shared" si="87"/>
        <v>826.1004360911046</v>
      </c>
      <c r="O17" s="3611">
        <f t="shared" si="87"/>
        <v>55955.439999999995</v>
      </c>
      <c r="P17" s="3611">
        <f t="shared" si="87"/>
        <v>885.33762958856801</v>
      </c>
      <c r="Q17" s="3612" t="e">
        <f t="shared" si="87"/>
        <v>#REF!</v>
      </c>
      <c r="R17" s="3611" t="e">
        <f t="shared" si="87"/>
        <v>#REF!</v>
      </c>
      <c r="S17" s="3611" t="e">
        <f t="shared" si="87"/>
        <v>#REF!</v>
      </c>
      <c r="T17" s="3584" t="e">
        <f t="shared" si="87"/>
        <v>#REF!</v>
      </c>
      <c r="U17" s="3584">
        <f t="shared" si="87"/>
        <v>0</v>
      </c>
      <c r="V17" s="3584">
        <f t="shared" si="87"/>
        <v>37348.199999999997</v>
      </c>
      <c r="W17" s="3584">
        <f t="shared" si="87"/>
        <v>26965.47</v>
      </c>
      <c r="X17" s="3584">
        <f t="shared" si="87"/>
        <v>0</v>
      </c>
      <c r="Y17" s="1606">
        <f t="shared" si="87"/>
        <v>58405.5</v>
      </c>
      <c r="Z17" s="3613" t="e">
        <f t="shared" si="35"/>
        <v>#REF!</v>
      </c>
      <c r="AA17" s="1606" t="e">
        <f t="shared" si="87"/>
        <v>#REF!</v>
      </c>
      <c r="AB17" s="3613" t="e">
        <f t="shared" si="1"/>
        <v>#REF!</v>
      </c>
      <c r="AC17" s="1606" t="e">
        <f t="shared" si="87"/>
        <v>#REF!</v>
      </c>
      <c r="AD17" s="1606">
        <f t="shared" si="87"/>
        <v>0</v>
      </c>
      <c r="AE17" s="1606">
        <f t="shared" ref="AE17:AG17" si="88">SUM(AE18:AE26)-AE25</f>
        <v>46595.739391100004</v>
      </c>
      <c r="AF17" s="1606">
        <f t="shared" si="88"/>
        <v>46595.739391100004</v>
      </c>
      <c r="AG17" s="1606">
        <f t="shared" si="88"/>
        <v>0</v>
      </c>
      <c r="AH17" s="1595">
        <f t="shared" si="37"/>
        <v>48828.71</v>
      </c>
      <c r="AI17" s="1597" t="e">
        <f t="shared" si="38"/>
        <v>#REF!</v>
      </c>
      <c r="AJ17" s="1606">
        <f t="shared" si="87"/>
        <v>48828.71</v>
      </c>
      <c r="AK17" s="1606">
        <f t="shared" si="87"/>
        <v>0</v>
      </c>
      <c r="AL17" s="1595">
        <f t="shared" si="39"/>
        <v>46188.131916917446</v>
      </c>
      <c r="AM17" s="1597" t="e">
        <f t="shared" si="40"/>
        <v>#REF!</v>
      </c>
      <c r="AN17" s="1606">
        <f t="shared" si="87"/>
        <v>46188.131916917446</v>
      </c>
      <c r="AO17" s="1606">
        <f t="shared" si="87"/>
        <v>0</v>
      </c>
      <c r="AP17" s="1598" t="e">
        <f t="shared" si="41"/>
        <v>#REF!</v>
      </c>
      <c r="AQ17" s="1598" t="e">
        <f t="shared" si="65"/>
        <v>#REF!</v>
      </c>
      <c r="AR17" s="1598" t="e">
        <f t="shared" si="42"/>
        <v>#REF!</v>
      </c>
      <c r="AS17" s="1598" t="e">
        <f t="shared" si="2"/>
        <v>#REF!</v>
      </c>
      <c r="AT17" s="1606">
        <f t="shared" ref="AT17:BD17" si="89">SUM(AT18:AT26)-AT25</f>
        <v>25684.637081399997</v>
      </c>
      <c r="AU17" s="1606">
        <f t="shared" si="89"/>
        <v>25684.637081399997</v>
      </c>
      <c r="AV17" s="1606">
        <f t="shared" si="89"/>
        <v>0</v>
      </c>
      <c r="AW17" s="1606">
        <f t="shared" si="89"/>
        <v>50837.42</v>
      </c>
      <c r="AX17" s="1606">
        <f t="shared" si="89"/>
        <v>50837.42</v>
      </c>
      <c r="AY17" s="1606">
        <f t="shared" si="89"/>
        <v>0</v>
      </c>
      <c r="AZ17" s="1606">
        <f t="shared" si="89"/>
        <v>53392.06897</v>
      </c>
      <c r="BA17" s="1599">
        <f t="shared" si="48"/>
        <v>1.1559694396396221</v>
      </c>
      <c r="BB17" s="1606">
        <f t="shared" si="89"/>
        <v>53392.06897</v>
      </c>
      <c r="BC17" s="1606">
        <f t="shared" si="89"/>
        <v>0</v>
      </c>
      <c r="BD17" s="1606">
        <f t="shared" si="89"/>
        <v>53576.313206309816</v>
      </c>
      <c r="BE17" s="1606">
        <f t="shared" ref="BE17:BF17" si="90">SUM(BE18:BE26)-BE25</f>
        <v>53576.313206309816</v>
      </c>
      <c r="BF17" s="1606">
        <f t="shared" si="90"/>
        <v>0</v>
      </c>
      <c r="BG17" s="1606">
        <f>SUM(BG18:BG26)-BG25</f>
        <v>56590.159999999996</v>
      </c>
      <c r="BH17" s="1606">
        <f t="shared" ref="BH17:BI17" si="91">SUM(BH18:BH26)-BH25</f>
        <v>56590.159999999996</v>
      </c>
      <c r="BI17" s="1606">
        <f t="shared" si="91"/>
        <v>0</v>
      </c>
      <c r="BJ17" s="1606">
        <f>SUM(BJ18:BJ26)-BJ25</f>
        <v>72363.720000000016</v>
      </c>
      <c r="BK17" s="1606">
        <f t="shared" ref="BK17:BL17" si="92">SUM(BK18:BK26)-BK25</f>
        <v>72363.720000000016</v>
      </c>
      <c r="BL17" s="1606">
        <f t="shared" si="92"/>
        <v>0</v>
      </c>
      <c r="BM17" s="1606">
        <f t="shared" ref="BM17:BN17" si="93">SUM(BM18:BM26)-BM25</f>
        <v>59040.708000000006</v>
      </c>
      <c r="BN17" s="1606">
        <f t="shared" si="93"/>
        <v>59040.708000000006</v>
      </c>
      <c r="BO17" s="1606">
        <v>0</v>
      </c>
      <c r="BP17" s="1606">
        <f t="shared" ref="BP17:BQ17" si="94">SUM(BP18:BP26)-BP25</f>
        <v>69144.41</v>
      </c>
      <c r="BQ17" s="1606">
        <f t="shared" si="94"/>
        <v>69144.41</v>
      </c>
      <c r="BR17" s="1606">
        <v>0</v>
      </c>
      <c r="BS17" s="1606">
        <f>SUM(BS18:BS26)-BS25</f>
        <v>77581.809999999983</v>
      </c>
      <c r="BT17" s="1606">
        <f t="shared" ref="BT17" si="95">SUM(BT18:BT26)-BT25</f>
        <v>77581.809999999983</v>
      </c>
      <c r="BU17" s="1606"/>
      <c r="BV17" s="1606">
        <f>SUM(BV18:BV26)-BV25</f>
        <v>71098.324250721693</v>
      </c>
      <c r="BW17" s="1606">
        <f t="shared" ref="BW17:BX17" si="96">SUM(BW18:BW26)-BW25</f>
        <v>71098.324250721693</v>
      </c>
      <c r="BX17" s="1606">
        <f t="shared" si="96"/>
        <v>0</v>
      </c>
      <c r="BY17" s="1606">
        <f>SUM(BY18:BY26)-BY25</f>
        <v>77777.633966200607</v>
      </c>
      <c r="BZ17" s="1606">
        <f t="shared" ref="BZ17:CA17" si="97">SUM(BZ18:BZ26)-BZ25</f>
        <v>77777.633966200607</v>
      </c>
      <c r="CA17" s="1606">
        <f t="shared" si="97"/>
        <v>0</v>
      </c>
      <c r="CB17" s="3578"/>
      <c r="CC17" s="365"/>
      <c r="CD17" s="365"/>
      <c r="CE17" s="365"/>
      <c r="CF17" s="1606">
        <f>SUM(CF18:CF26)-CF25</f>
        <v>73190.515983078236</v>
      </c>
      <c r="CG17" s="1606">
        <f t="shared" ref="CG17:CH17" si="98">SUM(CG18:CG26)-CG25</f>
        <v>73190.515983078236</v>
      </c>
      <c r="CH17" s="1606">
        <f t="shared" si="98"/>
        <v>0</v>
      </c>
      <c r="CI17" s="1606">
        <f>SUM(CI18:CI26)-CI25</f>
        <v>35383.430959999998</v>
      </c>
      <c r="CJ17" s="1606">
        <f t="shared" ref="CJ17:CK17" si="99">SUM(CJ18:CJ26)-CJ25</f>
        <v>35383.430959999998</v>
      </c>
      <c r="CK17" s="1606">
        <f t="shared" si="99"/>
        <v>0</v>
      </c>
      <c r="CL17" s="1606">
        <f>SUM(CL18:CL26)-CL25</f>
        <v>53306.273549999991</v>
      </c>
      <c r="CM17" s="1606">
        <f t="shared" ref="CM17:CN17" si="100">SUM(CM18:CM26)-CM25</f>
        <v>53306.273549999991</v>
      </c>
      <c r="CN17" s="1606">
        <f t="shared" si="100"/>
        <v>0</v>
      </c>
      <c r="CO17" s="1606">
        <f>SUM(CO18:CO26)-CO25</f>
        <v>69985.792000000001</v>
      </c>
      <c r="CP17" s="1606">
        <f t="shared" ref="CP17:CQ17" si="101">SUM(CP18:CP26)-CP25</f>
        <v>69985.792000000001</v>
      </c>
      <c r="CQ17" s="1606">
        <f t="shared" si="101"/>
        <v>0</v>
      </c>
      <c r="CR17" s="2374">
        <f>SUM(CR18:CR26)-CR25</f>
        <v>85031.297633093272</v>
      </c>
      <c r="CS17" s="2374">
        <f t="shared" ref="CS17:CT17" si="102">SUM(CS18:CS26)-CS25</f>
        <v>85031.297633093272</v>
      </c>
      <c r="CT17" s="2374">
        <f t="shared" si="102"/>
        <v>0</v>
      </c>
      <c r="CU17" s="4103">
        <f>SUM(CU18:CU26)-CU25</f>
        <v>70769.358887994051</v>
      </c>
      <c r="CV17" s="4103">
        <f t="shared" ref="CV17:CW17" si="103">SUM(CV18:CV26)-CV25</f>
        <v>70769.358887994051</v>
      </c>
      <c r="CW17" s="4103">
        <f t="shared" si="103"/>
        <v>0</v>
      </c>
      <c r="CX17" s="2374">
        <f>SUM(CX18:CX26)-CX25</f>
        <v>35825.705649999996</v>
      </c>
      <c r="CY17" s="2374">
        <f t="shared" ref="CY17:CZ17" si="104">SUM(CY18:CY26)-CY25</f>
        <v>35825.705649999996</v>
      </c>
      <c r="CZ17" s="2374">
        <f t="shared" si="104"/>
        <v>0</v>
      </c>
      <c r="DA17" s="2374">
        <f>SUM(DA18:DA26)-DA25</f>
        <v>49904.981399999997</v>
      </c>
      <c r="DB17" s="2374">
        <f t="shared" ref="DB17:DC17" si="105">SUM(DB18:DB26)-DB25</f>
        <v>49904.981399999997</v>
      </c>
      <c r="DC17" s="2374">
        <f t="shared" si="105"/>
        <v>0</v>
      </c>
      <c r="DD17" s="3489">
        <f>SUM(DD18:DD26)-DD25</f>
        <v>6392.48</v>
      </c>
      <c r="DE17" s="3489">
        <f t="shared" ref="DE17:DF17" si="106">SUM(DE18:DE26)-DE25</f>
        <v>6392.48</v>
      </c>
      <c r="DF17" s="3489">
        <f t="shared" si="106"/>
        <v>0</v>
      </c>
    </row>
    <row r="18" spans="1:110" ht="21" customHeight="1" x14ac:dyDescent="0.2">
      <c r="A18" s="3466" t="s">
        <v>1</v>
      </c>
      <c r="B18" s="3581">
        <v>3989.5</v>
      </c>
      <c r="C18" s="2125">
        <v>6013.8</v>
      </c>
      <c r="D18" s="3341">
        <f t="shared" si="29"/>
        <v>150.74069432259682</v>
      </c>
      <c r="E18" s="2125">
        <v>6816.9</v>
      </c>
      <c r="F18" s="3341">
        <f t="shared" si="30"/>
        <v>113.35428514416841</v>
      </c>
      <c r="G18" s="2125">
        <v>6550.5</v>
      </c>
      <c r="H18" s="3341">
        <f t="shared" si="31"/>
        <v>96.092065308277967</v>
      </c>
      <c r="I18" s="3583">
        <v>6178.2</v>
      </c>
      <c r="J18" s="3583">
        <v>3776.7</v>
      </c>
      <c r="K18" s="3583">
        <v>4790</v>
      </c>
      <c r="L18" s="3583">
        <v>7070.5</v>
      </c>
      <c r="M18" s="3604">
        <f t="shared" si="32"/>
        <v>114.44271794373766</v>
      </c>
      <c r="N18" s="3604">
        <f t="shared" si="33"/>
        <v>107.93832531867797</v>
      </c>
      <c r="O18" s="3583">
        <v>7686</v>
      </c>
      <c r="P18" s="3604">
        <f t="shared" si="34"/>
        <v>124.40516655336506</v>
      </c>
      <c r="Q18" s="3605" t="e">
        <f>электр!AC11</f>
        <v>#REF!</v>
      </c>
      <c r="R18" s="3604" t="e">
        <f t="shared" si="43"/>
        <v>#REF!</v>
      </c>
      <c r="S18" s="3604" t="e">
        <f t="shared" si="44"/>
        <v>#REF!</v>
      </c>
      <c r="T18" s="3583" t="e">
        <f>Q18</f>
        <v>#REF!</v>
      </c>
      <c r="U18" s="3583"/>
      <c r="V18" s="3583">
        <v>5782</v>
      </c>
      <c r="W18" s="3583">
        <v>1930.37</v>
      </c>
      <c r="X18" s="3583">
        <v>0</v>
      </c>
      <c r="Y18" s="1602">
        <v>7979.9</v>
      </c>
      <c r="Z18" s="1596" t="e">
        <f t="shared" si="35"/>
        <v>#REF!</v>
      </c>
      <c r="AA18" s="1602" t="e">
        <f>электр!Q50</f>
        <v>#REF!</v>
      </c>
      <c r="AB18" s="1596" t="e">
        <f t="shared" si="1"/>
        <v>#REF!</v>
      </c>
      <c r="AC18" s="1602" t="e">
        <f>AA18</f>
        <v>#REF!</v>
      </c>
      <c r="AD18" s="1602">
        <v>0</v>
      </c>
      <c r="AE18" s="1602">
        <f>SUM(электр!AG50)</f>
        <v>6145.2</v>
      </c>
      <c r="AF18" s="1602">
        <f>SUM(AE18)</f>
        <v>6145.2</v>
      </c>
      <c r="AG18" s="1602">
        <v>0</v>
      </c>
      <c r="AH18" s="1603">
        <f t="shared" si="37"/>
        <v>5917.63</v>
      </c>
      <c r="AI18" s="1597" t="e">
        <f t="shared" si="38"/>
        <v>#REF!</v>
      </c>
      <c r="AJ18" s="1602">
        <v>5917.63</v>
      </c>
      <c r="AK18" s="1602">
        <v>0</v>
      </c>
      <c r="AL18" s="1603">
        <f t="shared" si="39"/>
        <v>5121.0862883337822</v>
      </c>
      <c r="AM18" s="1597" t="e">
        <f t="shared" si="40"/>
        <v>#REF!</v>
      </c>
      <c r="AN18" s="1602">
        <f>электр!AN50</f>
        <v>5121.0862883337822</v>
      </c>
      <c r="AO18" s="1602">
        <v>0</v>
      </c>
      <c r="AP18" s="1598" t="e">
        <f t="shared" si="41"/>
        <v>#REF!</v>
      </c>
      <c r="AQ18" s="1598" t="e">
        <f t="shared" si="65"/>
        <v>#REF!</v>
      </c>
      <c r="AR18" s="1598" t="e">
        <f t="shared" si="42"/>
        <v>#REF!</v>
      </c>
      <c r="AS18" s="1598" t="e">
        <f t="shared" si="2"/>
        <v>#REF!</v>
      </c>
      <c r="AT18" s="1602">
        <v>2722.6</v>
      </c>
      <c r="AU18" s="1602">
        <f>SUM(AT18)</f>
        <v>2722.6</v>
      </c>
      <c r="AV18" s="1602">
        <v>0</v>
      </c>
      <c r="AW18" s="1602">
        <f>AX18+AY18</f>
        <v>6087.79</v>
      </c>
      <c r="AX18" s="1602">
        <v>6087.79</v>
      </c>
      <c r="AY18" s="1602">
        <v>0</v>
      </c>
      <c r="AZ18" s="1602">
        <v>5514.45</v>
      </c>
      <c r="BA18" s="1599">
        <f t="shared" si="48"/>
        <v>1.0768125529464969</v>
      </c>
      <c r="BB18" s="1602">
        <f>SUM(AZ18)</f>
        <v>5514.45</v>
      </c>
      <c r="BC18" s="1602">
        <v>0</v>
      </c>
      <c r="BD18" s="1602">
        <f>SUM(электр!BD50)</f>
        <v>5376.3079941809738</v>
      </c>
      <c r="BE18" s="1602">
        <f>SUM(BD18)</f>
        <v>5376.3079941809738</v>
      </c>
      <c r="BF18" s="1602">
        <v>0</v>
      </c>
      <c r="BG18" s="1602">
        <f t="shared" si="49"/>
        <v>8522.8700000000008</v>
      </c>
      <c r="BH18" s="1602">
        <v>8522.8700000000008</v>
      </c>
      <c r="BI18" s="1602">
        <v>0</v>
      </c>
      <c r="BJ18" s="1602">
        <f t="shared" ref="BJ18:BJ24" si="107">BK18+BL18</f>
        <v>9131.09</v>
      </c>
      <c r="BK18" s="1602">
        <v>9131.09</v>
      </c>
      <c r="BL18" s="1602"/>
      <c r="BM18" s="1602">
        <f t="shared" ref="BM18:BM24" si="108">SUM(BN18:BO18)</f>
        <v>5035.26</v>
      </c>
      <c r="BN18" s="1602">
        <v>5035.26</v>
      </c>
      <c r="BO18" s="1602">
        <v>0</v>
      </c>
      <c r="BP18" s="1602">
        <f t="shared" ref="BP18:BP24" si="109">SUM(BQ18:BR18)</f>
        <v>7834.96</v>
      </c>
      <c r="BQ18" s="1602">
        <v>7834.96</v>
      </c>
      <c r="BR18" s="1602">
        <v>0</v>
      </c>
      <c r="BS18" s="1602">
        <f t="shared" ref="BS18:BS24" si="110">BT18+BU18</f>
        <v>6755.79</v>
      </c>
      <c r="BT18" s="1602">
        <v>6755.79</v>
      </c>
      <c r="BU18" s="1602"/>
      <c r="BV18" s="1602">
        <f t="shared" ref="BV18:BV21" si="111">BW18+BX18</f>
        <v>7714.901264777769</v>
      </c>
      <c r="BW18" s="1602">
        <f>'ЭЭ вода'!T45</f>
        <v>7714.901264777769</v>
      </c>
      <c r="BX18" s="1602"/>
      <c r="BY18" s="1602">
        <f t="shared" ref="BY18:BY19" si="112">BZ18+CA18</f>
        <v>8038.9271178984354</v>
      </c>
      <c r="BZ18" s="1602">
        <f>SUM('ЭЭ вода'!Z43)</f>
        <v>8038.9271178984354</v>
      </c>
      <c r="CA18" s="1602">
        <v>0</v>
      </c>
      <c r="CB18" s="3578" t="str">
        <f>CB9</f>
        <v>Приложение</v>
      </c>
      <c r="CC18" s="365"/>
      <c r="CD18" s="365"/>
      <c r="CE18" s="365"/>
      <c r="CF18" s="1602">
        <f t="shared" ref="CF18:CF19" si="113">CG18+CH18</f>
        <v>8689.34539141397</v>
      </c>
      <c r="CG18" s="1602">
        <f>SUM('ЭЭ вода'!AE43)</f>
        <v>8689.34539141397</v>
      </c>
      <c r="CH18" s="1602">
        <v>0</v>
      </c>
      <c r="CI18" s="1602">
        <f t="shared" ref="CI18:CI19" si="114">CJ18+CK18</f>
        <v>3173.4270000000001</v>
      </c>
      <c r="CJ18" s="1602">
        <f>SUM('ЭЭ вода'!AF43)</f>
        <v>3173.4270000000001</v>
      </c>
      <c r="CK18" s="1602">
        <v>0</v>
      </c>
      <c r="CL18" s="1602">
        <f t="shared" ref="CL18:CL19" si="115">CM18+CN18</f>
        <v>5104.1189999999997</v>
      </c>
      <c r="CM18" s="1602">
        <f>SUM('ЭЭ вода'!AG43)</f>
        <v>5104.1189999999997</v>
      </c>
      <c r="CN18" s="1602">
        <v>0</v>
      </c>
      <c r="CO18" s="1602">
        <f t="shared" ref="CO18:CO19" si="116">CP18+CQ18</f>
        <v>7190.16</v>
      </c>
      <c r="CP18" s="1602">
        <f>SUM('ЭЭ вода'!AH43)</f>
        <v>7190.16</v>
      </c>
      <c r="CQ18" s="1602">
        <v>0</v>
      </c>
      <c r="CR18" s="2371">
        <f t="shared" ref="CR18:CR19" si="117">CS18+CT18</f>
        <v>9089.0552794190116</v>
      </c>
      <c r="CS18" s="2371">
        <f>SUM('ЭЭ вода'!AI43)</f>
        <v>9089.0552794190116</v>
      </c>
      <c r="CT18" s="2371">
        <v>0</v>
      </c>
      <c r="CU18" s="4101">
        <f t="shared" ref="CU18:CU19" si="118">CV18+CW18</f>
        <v>7034.7116053485497</v>
      </c>
      <c r="CV18" s="4101">
        <f>SUM('ЭЭ вода'!AJ43)</f>
        <v>7034.7116053485497</v>
      </c>
      <c r="CW18" s="4101">
        <v>0</v>
      </c>
      <c r="CX18" s="2371">
        <f t="shared" ref="CX18:CX19" si="119">CY18+CZ18</f>
        <v>3549.7312700000002</v>
      </c>
      <c r="CY18" s="2371">
        <f>SUM('ЭЭ вода'!AK43)</f>
        <v>3549.7312700000002</v>
      </c>
      <c r="CZ18" s="2371">
        <v>0</v>
      </c>
      <c r="DA18" s="2371">
        <f t="shared" ref="DA18:DA19" si="120">DB18+DC18</f>
        <v>5097.884</v>
      </c>
      <c r="DB18" s="2371">
        <f>SUM('ЭЭ вода'!AL43)</f>
        <v>5097.884</v>
      </c>
      <c r="DC18" s="2371">
        <v>0</v>
      </c>
      <c r="DD18" s="3487">
        <f t="shared" ref="DD18:DD19" si="121">DE18+DF18</f>
        <v>0</v>
      </c>
      <c r="DE18" s="3487">
        <f>SUM('ЭЭ вода'!AW43)</f>
        <v>0</v>
      </c>
      <c r="DF18" s="3487">
        <v>0</v>
      </c>
    </row>
    <row r="19" spans="1:110" ht="21" customHeight="1" x14ac:dyDescent="0.2">
      <c r="A19" s="3466" t="s">
        <v>1906</v>
      </c>
      <c r="B19" s="3581">
        <v>5737.6</v>
      </c>
      <c r="C19" s="2125">
        <v>5889.5</v>
      </c>
      <c r="D19" s="3341">
        <f t="shared" si="29"/>
        <v>102.64744841048521</v>
      </c>
      <c r="E19" s="2125">
        <v>4309.1000000000004</v>
      </c>
      <c r="F19" s="3341">
        <f t="shared" si="30"/>
        <v>73.165803548688345</v>
      </c>
      <c r="G19" s="2125">
        <v>3796.7</v>
      </c>
      <c r="H19" s="3341">
        <f t="shared" si="31"/>
        <v>88.108885846232383</v>
      </c>
      <c r="I19" s="3583">
        <f>6071.7*0.95756</f>
        <v>5814.0170519999992</v>
      </c>
      <c r="J19" s="3583">
        <v>1709.7</v>
      </c>
      <c r="K19" s="3583">
        <v>5672.4</v>
      </c>
      <c r="L19" s="3583">
        <v>8063.5</v>
      </c>
      <c r="M19" s="3604">
        <f t="shared" si="32"/>
        <v>138.69068370252177</v>
      </c>
      <c r="N19" s="3604">
        <f t="shared" si="33"/>
        <v>212.38180525192934</v>
      </c>
      <c r="O19" s="3583">
        <f>ХР!AB15</f>
        <v>6597.94</v>
      </c>
      <c r="P19" s="3604">
        <f t="shared" si="34"/>
        <v>113.48332729313778</v>
      </c>
      <c r="Q19" s="3605" t="e">
        <f>ХР!AK15</f>
        <v>#REF!</v>
      </c>
      <c r="R19" s="3604" t="e">
        <f t="shared" si="43"/>
        <v>#REF!</v>
      </c>
      <c r="S19" s="3604" t="e">
        <f t="shared" si="44"/>
        <v>#REF!</v>
      </c>
      <c r="T19" s="3583" t="e">
        <f t="shared" ref="T19:T26" si="122">Q19</f>
        <v>#REF!</v>
      </c>
      <c r="U19" s="3583"/>
      <c r="V19" s="3583">
        <v>3670.1</v>
      </c>
      <c r="W19" s="3583">
        <v>4408.3999999999996</v>
      </c>
      <c r="X19" s="3583">
        <v>0</v>
      </c>
      <c r="Y19" s="1602">
        <v>6984.1</v>
      </c>
      <c r="Z19" s="1596" t="e">
        <f t="shared" si="35"/>
        <v>#REF!</v>
      </c>
      <c r="AA19" s="1602" t="e">
        <f>ХР!O39</f>
        <v>#REF!</v>
      </c>
      <c r="AB19" s="1596" t="e">
        <f t="shared" si="1"/>
        <v>#REF!</v>
      </c>
      <c r="AC19" s="1602" t="e">
        <f t="shared" ref="AC19:AC26" si="123">AA19</f>
        <v>#REF!</v>
      </c>
      <c r="AD19" s="1602">
        <v>0</v>
      </c>
      <c r="AE19" s="1602">
        <f>SUM(ХР!AF39)</f>
        <v>4087.3393910999998</v>
      </c>
      <c r="AF19" s="1602">
        <f>SUM(AE19)</f>
        <v>4087.3393910999998</v>
      </c>
      <c r="AG19" s="1602">
        <v>0</v>
      </c>
      <c r="AH19" s="1603">
        <f t="shared" si="37"/>
        <v>4631.88</v>
      </c>
      <c r="AI19" s="1597" t="e">
        <f t="shared" si="38"/>
        <v>#REF!</v>
      </c>
      <c r="AJ19" s="1602">
        <v>4631.88</v>
      </c>
      <c r="AK19" s="1602">
        <v>0</v>
      </c>
      <c r="AL19" s="1603">
        <f t="shared" si="39"/>
        <v>3968.311174693004</v>
      </c>
      <c r="AM19" s="1597" t="e">
        <f t="shared" si="40"/>
        <v>#REF!</v>
      </c>
      <c r="AN19" s="1602">
        <f>ХР!AP39</f>
        <v>3968.311174693004</v>
      </c>
      <c r="AO19" s="1602">
        <v>0</v>
      </c>
      <c r="AP19" s="1598" t="e">
        <f t="shared" si="41"/>
        <v>#REF!</v>
      </c>
      <c r="AQ19" s="1598" t="e">
        <f t="shared" si="65"/>
        <v>#REF!</v>
      </c>
      <c r="AR19" s="1598" t="e">
        <f t="shared" si="42"/>
        <v>#REF!</v>
      </c>
      <c r="AS19" s="1598" t="e">
        <f t="shared" si="2"/>
        <v>#REF!</v>
      </c>
      <c r="AT19" s="1602">
        <f>SUM(ХР!AT39)</f>
        <v>2640.0770813999998</v>
      </c>
      <c r="AU19" s="1602">
        <f>SUM(AT19)</f>
        <v>2640.0770813999998</v>
      </c>
      <c r="AV19" s="1602">
        <v>0</v>
      </c>
      <c r="AW19" s="1602">
        <f t="shared" ref="AW19:AW42" si="124">AX19+AY19</f>
        <v>5707.19</v>
      </c>
      <c r="AX19" s="1602">
        <v>5707.19</v>
      </c>
      <c r="AY19" s="1602">
        <v>0</v>
      </c>
      <c r="AZ19" s="1602">
        <v>6791.38</v>
      </c>
      <c r="BA19" s="1599">
        <f t="shared" ref="BA19" si="125">SUM(AZ19/AL19)</f>
        <v>1.711403088374337</v>
      </c>
      <c r="BB19" s="1602">
        <f>SUM(AZ19)</f>
        <v>6791.38</v>
      </c>
      <c r="BC19" s="1602">
        <v>0</v>
      </c>
      <c r="BD19" s="1602">
        <f>SUM(ХР!BH39)</f>
        <v>6985.4283978386675</v>
      </c>
      <c r="BE19" s="1602">
        <f>SUM(BD19)</f>
        <v>6985.4283978386675</v>
      </c>
      <c r="BF19" s="1602">
        <v>0</v>
      </c>
      <c r="BG19" s="1602">
        <f t="shared" si="49"/>
        <v>8877.36</v>
      </c>
      <c r="BH19" s="1602">
        <v>8877.36</v>
      </c>
      <c r="BI19" s="1602">
        <v>0</v>
      </c>
      <c r="BJ19" s="1602">
        <f t="shared" si="107"/>
        <v>14052.2</v>
      </c>
      <c r="BK19" s="1602">
        <v>14052.2</v>
      </c>
      <c r="BL19" s="1602"/>
      <c r="BM19" s="1602">
        <f t="shared" si="108"/>
        <v>7625.8140000000003</v>
      </c>
      <c r="BN19" s="1602">
        <v>7625.8140000000003</v>
      </c>
      <c r="BO19" s="1602">
        <v>0</v>
      </c>
      <c r="BP19" s="1602">
        <f t="shared" si="109"/>
        <v>12899.94</v>
      </c>
      <c r="BQ19" s="1602">
        <v>12899.94</v>
      </c>
      <c r="BR19" s="1602">
        <v>0</v>
      </c>
      <c r="BS19" s="1602">
        <f t="shared" si="110"/>
        <v>13684.63</v>
      </c>
      <c r="BT19" s="1602">
        <v>13684.63</v>
      </c>
      <c r="BU19" s="1602"/>
      <c r="BV19" s="1602">
        <f t="shared" si="111"/>
        <v>11981.832285756163</v>
      </c>
      <c r="BW19" s="1602">
        <f>'хим реагенты'!I44</f>
        <v>11981.832285756163</v>
      </c>
      <c r="BX19" s="1602"/>
      <c r="BY19" s="1602">
        <f t="shared" si="112"/>
        <v>13937.242556447221</v>
      </c>
      <c r="BZ19" s="1602">
        <f>SUM('хим реагенты'!J44)</f>
        <v>13937.242556447221</v>
      </c>
      <c r="CA19" s="1602">
        <v>0</v>
      </c>
      <c r="CB19" s="3578" t="str">
        <f t="shared" ref="CB19" si="126">CB10</f>
        <v>Приложение</v>
      </c>
      <c r="CC19" s="363">
        <f>BD19/BE85</f>
        <v>5.3667614302372997E-2</v>
      </c>
      <c r="CD19" s="365"/>
      <c r="CE19" s="365"/>
      <c r="CF19" s="1602">
        <f t="shared" si="113"/>
        <v>12217.874381785559</v>
      </c>
      <c r="CG19" s="1602">
        <f>SUM('хим реагенты'!L44)</f>
        <v>12217.874381785559</v>
      </c>
      <c r="CH19" s="1602">
        <v>0</v>
      </c>
      <c r="CI19" s="1602">
        <f t="shared" si="114"/>
        <v>5300.6039599999995</v>
      </c>
      <c r="CJ19" s="1602">
        <f>SUM('хим реагенты'!M44)</f>
        <v>5300.6039599999995</v>
      </c>
      <c r="CK19" s="1602">
        <v>0</v>
      </c>
      <c r="CL19" s="1602">
        <f t="shared" si="115"/>
        <v>9302.0645499999991</v>
      </c>
      <c r="CM19" s="1602">
        <f>SUM('хим реагенты'!N44)</f>
        <v>9302.0645499999991</v>
      </c>
      <c r="CN19" s="1602">
        <v>0</v>
      </c>
      <c r="CO19" s="1602">
        <f t="shared" si="116"/>
        <v>12289.241999999998</v>
      </c>
      <c r="CP19" s="1602">
        <f>SUM('хим реагенты'!O44)</f>
        <v>12289.241999999998</v>
      </c>
      <c r="CQ19" s="1602">
        <v>0</v>
      </c>
      <c r="CR19" s="2371">
        <f t="shared" si="117"/>
        <v>12854.547132000002</v>
      </c>
      <c r="CS19" s="2371">
        <f>SUM('хим реагенты'!P44)</f>
        <v>12854.547132000002</v>
      </c>
      <c r="CT19" s="2371">
        <v>0</v>
      </c>
      <c r="CU19" s="4101">
        <f t="shared" si="118"/>
        <v>12555.472992936357</v>
      </c>
      <c r="CV19" s="4101">
        <f>SUM('хим реагенты'!Q44)</f>
        <v>12555.472992936357</v>
      </c>
      <c r="CW19" s="4101">
        <v>0</v>
      </c>
      <c r="CX19" s="2371">
        <f t="shared" si="119"/>
        <v>9670.8643799999991</v>
      </c>
      <c r="CY19" s="2371">
        <f>SUM('хим реагенты'!R44)</f>
        <v>9670.8643799999991</v>
      </c>
      <c r="CZ19" s="2371">
        <v>0</v>
      </c>
      <c r="DA19" s="2371">
        <f t="shared" si="120"/>
        <v>12168.492399999999</v>
      </c>
      <c r="DB19" s="2371">
        <f>SUM('хим реагенты'!S44)</f>
        <v>12168.492399999999</v>
      </c>
      <c r="DC19" s="2371">
        <v>0</v>
      </c>
      <c r="DD19" s="3487">
        <f t="shared" si="121"/>
        <v>0</v>
      </c>
      <c r="DE19" s="3487">
        <f>SUM('хим реагенты'!AD44)</f>
        <v>0</v>
      </c>
      <c r="DF19" s="3487">
        <v>0</v>
      </c>
    </row>
    <row r="20" spans="1:110" ht="21" customHeight="1" x14ac:dyDescent="0.2">
      <c r="A20" s="3466" t="s">
        <v>2</v>
      </c>
      <c r="B20" s="3581">
        <v>401</v>
      </c>
      <c r="C20" s="2125">
        <v>472.2</v>
      </c>
      <c r="D20" s="3341">
        <f t="shared" si="29"/>
        <v>117.75561097256858</v>
      </c>
      <c r="E20" s="2125">
        <v>481.5</v>
      </c>
      <c r="F20" s="3341">
        <f t="shared" si="30"/>
        <v>101.96950444726811</v>
      </c>
      <c r="G20" s="2125">
        <v>782.8</v>
      </c>
      <c r="H20" s="3341">
        <f t="shared" si="31"/>
        <v>162.57528556593977</v>
      </c>
      <c r="I20" s="3583">
        <v>542</v>
      </c>
      <c r="J20" s="3583">
        <v>268.7</v>
      </c>
      <c r="K20" s="3583">
        <v>396.5</v>
      </c>
      <c r="L20" s="3583">
        <v>535</v>
      </c>
      <c r="M20" s="3604">
        <f t="shared" si="32"/>
        <v>98.708487084870839</v>
      </c>
      <c r="N20" s="3604">
        <f t="shared" si="33"/>
        <v>68.344404701073074</v>
      </c>
      <c r="O20" s="3583">
        <v>698</v>
      </c>
      <c r="P20" s="3604">
        <f t="shared" si="34"/>
        <v>128.78228782287823</v>
      </c>
      <c r="Q20" s="3605">
        <v>542</v>
      </c>
      <c r="R20" s="3604">
        <f t="shared" si="43"/>
        <v>100</v>
      </c>
      <c r="S20" s="3604">
        <f t="shared" si="44"/>
        <v>101.30841121495327</v>
      </c>
      <c r="T20" s="3583">
        <f t="shared" si="122"/>
        <v>542</v>
      </c>
      <c r="U20" s="3583"/>
      <c r="V20" s="3583">
        <v>461.2</v>
      </c>
      <c r="W20" s="3583">
        <v>635.20000000000005</v>
      </c>
      <c r="X20" s="3583">
        <v>0</v>
      </c>
      <c r="Y20" s="1602">
        <v>575.29999999999995</v>
      </c>
      <c r="Z20" s="1596">
        <f t="shared" si="35"/>
        <v>1.0614391143911439</v>
      </c>
      <c r="AA20" s="1602">
        <f>Аморт!G8</f>
        <v>575.29999999999995</v>
      </c>
      <c r="AB20" s="1596">
        <f t="shared" si="1"/>
        <v>1.0614391143911439</v>
      </c>
      <c r="AC20" s="1602">
        <f t="shared" si="123"/>
        <v>575.29999999999995</v>
      </c>
      <c r="AD20" s="1602">
        <v>0</v>
      </c>
      <c r="AE20" s="1602">
        <f>SUM(Аморт!L8)</f>
        <v>1043.5999999999999</v>
      </c>
      <c r="AF20" s="1602">
        <f>SUM(AE20)</f>
        <v>1043.5999999999999</v>
      </c>
      <c r="AG20" s="1602">
        <v>0</v>
      </c>
      <c r="AH20" s="1603">
        <f t="shared" si="37"/>
        <v>721.2</v>
      </c>
      <c r="AI20" s="1597">
        <f t="shared" si="38"/>
        <v>1.2536068138362595</v>
      </c>
      <c r="AJ20" s="1602">
        <v>721.2</v>
      </c>
      <c r="AK20" s="1602">
        <v>0</v>
      </c>
      <c r="AL20" s="1603">
        <f t="shared" si="39"/>
        <v>721.2</v>
      </c>
      <c r="AM20" s="1597">
        <f t="shared" si="40"/>
        <v>1.2536068138362595</v>
      </c>
      <c r="AN20" s="1602">
        <f>Аморт!O8</f>
        <v>721.2</v>
      </c>
      <c r="AO20" s="1602">
        <v>0</v>
      </c>
      <c r="AP20" s="1598">
        <f t="shared" si="41"/>
        <v>0</v>
      </c>
      <c r="AQ20" s="1598">
        <f t="shared" si="65"/>
        <v>0</v>
      </c>
      <c r="AR20" s="1598">
        <f t="shared" si="42"/>
        <v>0</v>
      </c>
      <c r="AS20" s="1598">
        <f t="shared" si="2"/>
        <v>0</v>
      </c>
      <c r="AT20" s="1602">
        <f>SUM(Аморт!Q8)</f>
        <v>725.7</v>
      </c>
      <c r="AU20" s="1602">
        <f>SUM(AT20)</f>
        <v>725.7</v>
      </c>
      <c r="AV20" s="1602">
        <v>0</v>
      </c>
      <c r="AW20" s="1602">
        <f t="shared" si="124"/>
        <v>1561.14</v>
      </c>
      <c r="AX20" s="1602">
        <v>1561.14</v>
      </c>
      <c r="AY20" s="1602">
        <v>0</v>
      </c>
      <c r="AZ20" s="1602">
        <f>SUM(Аморт!T8)</f>
        <v>721.2</v>
      </c>
      <c r="BA20" s="1599">
        <f t="shared" si="48"/>
        <v>1</v>
      </c>
      <c r="BB20" s="1602">
        <f>SUM(AZ20)</f>
        <v>721.2</v>
      </c>
      <c r="BC20" s="1602">
        <f>SUM(AZ20-BB20)</f>
        <v>0</v>
      </c>
      <c r="BD20" s="1602">
        <f>SUM(Аморт!U8)</f>
        <v>1535.71</v>
      </c>
      <c r="BE20" s="1602">
        <f>SUM(BD20)</f>
        <v>1535.71</v>
      </c>
      <c r="BF20" s="1602">
        <f>SUM(BD20-BE20)</f>
        <v>0</v>
      </c>
      <c r="BG20" s="1602">
        <f t="shared" si="49"/>
        <v>1344.19</v>
      </c>
      <c r="BH20" s="1602">
        <v>1344.19</v>
      </c>
      <c r="BI20" s="1602">
        <v>0</v>
      </c>
      <c r="BJ20" s="1602">
        <f t="shared" si="107"/>
        <v>2802.12</v>
      </c>
      <c r="BK20" s="1602">
        <v>2802.12</v>
      </c>
      <c r="BL20" s="1602"/>
      <c r="BM20" s="1602">
        <f t="shared" si="108"/>
        <v>1344.194</v>
      </c>
      <c r="BN20" s="1602">
        <v>1344.194</v>
      </c>
      <c r="BO20" s="1602">
        <v>0</v>
      </c>
      <c r="BP20" s="1602">
        <f t="shared" si="109"/>
        <v>3021.59</v>
      </c>
      <c r="BQ20" s="1602">
        <v>3021.59</v>
      </c>
      <c r="BR20" s="1602">
        <v>0</v>
      </c>
      <c r="BS20" s="1602">
        <f t="shared" si="110"/>
        <v>2802.12</v>
      </c>
      <c r="BT20" s="1602">
        <v>2802.12</v>
      </c>
      <c r="BU20" s="1602"/>
      <c r="BV20" s="1602">
        <f>Аморт!AM8</f>
        <v>2802.12</v>
      </c>
      <c r="BW20" s="1602">
        <f>Аморт!AM8</f>
        <v>2802.12</v>
      </c>
      <c r="BX20" s="1602"/>
      <c r="BY20" s="1602">
        <f>SUM(Аморт!AS8)</f>
        <v>3021.59</v>
      </c>
      <c r="BZ20" s="1602">
        <f>SUM(Аморт!AS8)</f>
        <v>3021.59</v>
      </c>
      <c r="CA20" s="1602">
        <v>0</v>
      </c>
      <c r="CB20" s="3578" t="s">
        <v>963</v>
      </c>
      <c r="CC20" s="365"/>
      <c r="CD20" s="365"/>
      <c r="CE20" s="365"/>
      <c r="CF20" s="1602">
        <f>SUM(CG20:CH20)</f>
        <v>3021.59</v>
      </c>
      <c r="CG20" s="1602">
        <f>SUM(Аморт!AT8)</f>
        <v>3021.59</v>
      </c>
      <c r="CH20" s="1602">
        <v>0</v>
      </c>
      <c r="CI20" s="1602">
        <f>SUM(CJ20:CK20)</f>
        <v>3307.34</v>
      </c>
      <c r="CJ20" s="1602">
        <f>SUM(Аморт!AV8)</f>
        <v>3307.34</v>
      </c>
      <c r="CK20" s="1602">
        <f>SUM(Аморт!AW8)</f>
        <v>0</v>
      </c>
      <c r="CL20" s="1602">
        <f>SUM(CM20:CN20)</f>
        <v>4757.53</v>
      </c>
      <c r="CM20" s="1602">
        <f>SUM(Аморт!AY8)</f>
        <v>4757.53</v>
      </c>
      <c r="CN20" s="1602">
        <f>SUM(Аморт!AZ8)</f>
        <v>0</v>
      </c>
      <c r="CO20" s="1602">
        <f>SUM(CP20:CQ20)</f>
        <v>5705.59</v>
      </c>
      <c r="CP20" s="1602">
        <f>SUM(Аморт!BB8)</f>
        <v>5705.59</v>
      </c>
      <c r="CQ20" s="1602">
        <f>SUM(Аморт!BC8)</f>
        <v>0</v>
      </c>
      <c r="CR20" s="2371">
        <f>SUM(CS20:CT20)</f>
        <v>5705.59</v>
      </c>
      <c r="CS20" s="2371">
        <f>SUM(Аморт!BD8)</f>
        <v>5705.59</v>
      </c>
      <c r="CT20" s="2371">
        <f>SUM(Аморт!BF8)</f>
        <v>0</v>
      </c>
      <c r="CU20" s="4101">
        <f>SUM(CV20:CW20)</f>
        <v>2993.239782534431</v>
      </c>
      <c r="CV20" s="4101">
        <f>SUM(Аморт!BE8)</f>
        <v>2993.239782534431</v>
      </c>
      <c r="CW20" s="4101">
        <v>0</v>
      </c>
      <c r="CX20" s="2371">
        <f>SUM(CY20:CZ20)</f>
        <v>2500.84</v>
      </c>
      <c r="CY20" s="2371">
        <f>SUM(Аморт!BJ8)</f>
        <v>2500.84</v>
      </c>
      <c r="CZ20" s="2371">
        <v>0</v>
      </c>
      <c r="DA20" s="2371">
        <f>SUM(DB20:DC20)</f>
        <v>3748.76</v>
      </c>
      <c r="DB20" s="2371">
        <f>SUM(Аморт!BM8)</f>
        <v>3748.76</v>
      </c>
      <c r="DC20" s="2371">
        <f>SUM(Аморт!BO8)</f>
        <v>0</v>
      </c>
      <c r="DD20" s="3487">
        <f>SUM(DE20:DF20)</f>
        <v>0</v>
      </c>
      <c r="DE20" s="3487">
        <f>SUM(Аморт!BQ8)</f>
        <v>0</v>
      </c>
      <c r="DF20" s="3487">
        <f>SUM(Аморт!BR8)</f>
        <v>0</v>
      </c>
    </row>
    <row r="21" spans="1:110" ht="21" customHeight="1" x14ac:dyDescent="0.2">
      <c r="A21" s="3466" t="s">
        <v>210</v>
      </c>
      <c r="B21" s="3581">
        <v>90.7</v>
      </c>
      <c r="C21" s="2125">
        <v>52.1</v>
      </c>
      <c r="D21" s="3341">
        <f t="shared" si="29"/>
        <v>57.44211686879823</v>
      </c>
      <c r="E21" s="2125">
        <v>49</v>
      </c>
      <c r="F21" s="3341">
        <f t="shared" si="30"/>
        <v>94.049904030710181</v>
      </c>
      <c r="G21" s="2125"/>
      <c r="H21" s="3341">
        <f t="shared" si="31"/>
        <v>0</v>
      </c>
      <c r="I21" s="3583">
        <v>0</v>
      </c>
      <c r="J21" s="3583">
        <v>216.7</v>
      </c>
      <c r="K21" s="3583">
        <v>125.5</v>
      </c>
      <c r="L21" s="3583">
        <v>169.7</v>
      </c>
      <c r="M21" s="3604"/>
      <c r="N21" s="3604"/>
      <c r="O21" s="3583">
        <v>0</v>
      </c>
      <c r="P21" s="3604"/>
      <c r="Q21" s="3605"/>
      <c r="R21" s="3604"/>
      <c r="S21" s="3604">
        <f t="shared" si="44"/>
        <v>0</v>
      </c>
      <c r="T21" s="3583">
        <f t="shared" si="122"/>
        <v>0</v>
      </c>
      <c r="U21" s="3583"/>
      <c r="V21" s="3583">
        <v>0</v>
      </c>
      <c r="W21" s="3583">
        <v>0</v>
      </c>
      <c r="X21" s="3583">
        <v>0</v>
      </c>
      <c r="Y21" s="1602">
        <v>0</v>
      </c>
      <c r="Z21" s="1596"/>
      <c r="AA21" s="1602">
        <v>0</v>
      </c>
      <c r="AB21" s="1596"/>
      <c r="AC21" s="1602">
        <f t="shared" si="123"/>
        <v>0</v>
      </c>
      <c r="AD21" s="1602">
        <v>0</v>
      </c>
      <c r="AE21" s="1602">
        <v>0</v>
      </c>
      <c r="AF21" s="1602">
        <f t="shared" ref="AF21" si="127">AD21</f>
        <v>0</v>
      </c>
      <c r="AG21" s="1602">
        <v>0</v>
      </c>
      <c r="AH21" s="1603">
        <f t="shared" si="37"/>
        <v>0</v>
      </c>
      <c r="AI21" s="1597"/>
      <c r="AJ21" s="1602">
        <v>0</v>
      </c>
      <c r="AK21" s="1602">
        <v>0</v>
      </c>
      <c r="AL21" s="1603">
        <f t="shared" si="39"/>
        <v>0</v>
      </c>
      <c r="AM21" s="1597"/>
      <c r="AN21" s="1602">
        <v>0</v>
      </c>
      <c r="AO21" s="1602">
        <v>0</v>
      </c>
      <c r="AP21" s="1598">
        <f t="shared" si="41"/>
        <v>0</v>
      </c>
      <c r="AQ21" s="1598"/>
      <c r="AR21" s="1598"/>
      <c r="AS21" s="1598">
        <f t="shared" si="2"/>
        <v>0</v>
      </c>
      <c r="AT21" s="1602">
        <v>0</v>
      </c>
      <c r="AU21" s="1602">
        <f t="shared" ref="AU21" si="128">AS21</f>
        <v>0</v>
      </c>
      <c r="AV21" s="1602">
        <v>0</v>
      </c>
      <c r="AW21" s="1602">
        <f t="shared" si="124"/>
        <v>0</v>
      </c>
      <c r="AX21" s="1602">
        <v>0</v>
      </c>
      <c r="AY21" s="1602">
        <v>0</v>
      </c>
      <c r="AZ21" s="1603">
        <f t="shared" ref="AZ21:AZ22" si="129">SUM(BB21+BC21)</f>
        <v>0</v>
      </c>
      <c r="BA21" s="1599"/>
      <c r="BB21" s="1602">
        <v>0</v>
      </c>
      <c r="BC21" s="1602">
        <v>0</v>
      </c>
      <c r="BD21" s="1603">
        <f t="shared" ref="BD21:BD22" si="130">SUM(BE21+BF21)</f>
        <v>0</v>
      </c>
      <c r="BE21" s="1602">
        <v>0</v>
      </c>
      <c r="BF21" s="1602">
        <v>0</v>
      </c>
      <c r="BG21" s="1602">
        <f t="shared" si="49"/>
        <v>0</v>
      </c>
      <c r="BH21" s="1602">
        <v>0</v>
      </c>
      <c r="BI21" s="1602">
        <v>0</v>
      </c>
      <c r="BJ21" s="1602">
        <f t="shared" si="107"/>
        <v>0</v>
      </c>
      <c r="BK21" s="1602">
        <v>0</v>
      </c>
      <c r="BL21" s="1602"/>
      <c r="BM21" s="1602">
        <f t="shared" si="108"/>
        <v>0</v>
      </c>
      <c r="BN21" s="1602">
        <v>0</v>
      </c>
      <c r="BO21" s="1602">
        <v>0</v>
      </c>
      <c r="BP21" s="1602">
        <f t="shared" si="109"/>
        <v>0</v>
      </c>
      <c r="BQ21" s="1602">
        <v>0</v>
      </c>
      <c r="BR21" s="1602">
        <v>0</v>
      </c>
      <c r="BS21" s="1602">
        <f t="shared" si="110"/>
        <v>0</v>
      </c>
      <c r="BT21" s="1602">
        <v>0</v>
      </c>
      <c r="BU21" s="1602"/>
      <c r="BV21" s="1602">
        <f t="shared" si="111"/>
        <v>0</v>
      </c>
      <c r="BW21" s="1602">
        <v>0</v>
      </c>
      <c r="BX21" s="1602"/>
      <c r="BY21" s="1602">
        <f t="shared" ref="BY21" si="131">BZ21+CA21</f>
        <v>0</v>
      </c>
      <c r="BZ21" s="1602">
        <v>0</v>
      </c>
      <c r="CA21" s="1602">
        <v>0</v>
      </c>
      <c r="CB21" s="3578"/>
      <c r="CC21" s="365"/>
      <c r="CD21" s="365"/>
      <c r="CE21" s="365"/>
      <c r="CF21" s="1602">
        <f t="shared" ref="CF21" si="132">CG21+CH21</f>
        <v>0</v>
      </c>
      <c r="CG21" s="1602">
        <v>0</v>
      </c>
      <c r="CH21" s="1602">
        <v>0</v>
      </c>
      <c r="CI21" s="1602">
        <f t="shared" ref="CI21:CI22" si="133">CJ21+CK21</f>
        <v>0</v>
      </c>
      <c r="CJ21" s="1602">
        <v>0</v>
      </c>
      <c r="CK21" s="1602">
        <v>0</v>
      </c>
      <c r="CL21" s="1602">
        <f t="shared" ref="CL21:CL22" si="134">CM21+CN21</f>
        <v>0</v>
      </c>
      <c r="CM21" s="1602">
        <v>0</v>
      </c>
      <c r="CN21" s="1602">
        <v>0</v>
      </c>
      <c r="CO21" s="1602">
        <f t="shared" ref="CO21:CO22" si="135">CP21+CQ21</f>
        <v>0</v>
      </c>
      <c r="CP21" s="1602">
        <v>0</v>
      </c>
      <c r="CQ21" s="1602">
        <v>0</v>
      </c>
      <c r="CR21" s="2371">
        <f t="shared" ref="CR21:CR22" si="136">CS21+CT21</f>
        <v>0</v>
      </c>
      <c r="CS21" s="2371">
        <v>0</v>
      </c>
      <c r="CT21" s="2371">
        <v>0</v>
      </c>
      <c r="CU21" s="4101">
        <f t="shared" ref="CU21:CU22" si="137">CV21+CW21</f>
        <v>0</v>
      </c>
      <c r="CV21" s="4101">
        <v>0</v>
      </c>
      <c r="CW21" s="4101">
        <v>0</v>
      </c>
      <c r="CX21" s="2371">
        <f t="shared" ref="CX21:CX22" si="138">CY21+CZ21</f>
        <v>0</v>
      </c>
      <c r="CY21" s="2371">
        <v>0</v>
      </c>
      <c r="CZ21" s="2371">
        <v>0</v>
      </c>
      <c r="DA21" s="2371">
        <f t="shared" ref="DA21:DA22" si="139">DB21+DC21</f>
        <v>0</v>
      </c>
      <c r="DB21" s="2371">
        <v>0</v>
      </c>
      <c r="DC21" s="2371">
        <v>0</v>
      </c>
      <c r="DD21" s="3487">
        <f t="shared" ref="DD21:DD22" si="140">DE21+DF21</f>
        <v>0</v>
      </c>
      <c r="DE21" s="3487">
        <v>0</v>
      </c>
      <c r="DF21" s="3487">
        <v>0</v>
      </c>
    </row>
    <row r="22" spans="1:110" s="385" customFormat="1" ht="21" customHeight="1" x14ac:dyDescent="0.2">
      <c r="A22" s="3466" t="s">
        <v>3</v>
      </c>
      <c r="B22" s="3581">
        <v>2355.1999999999998</v>
      </c>
      <c r="C22" s="2125">
        <v>1131.3</v>
      </c>
      <c r="D22" s="3341">
        <f t="shared" si="29"/>
        <v>48.034137228260867</v>
      </c>
      <c r="E22" s="2125">
        <v>1504.8</v>
      </c>
      <c r="F22" s="3341">
        <f t="shared" si="30"/>
        <v>133.0151153540175</v>
      </c>
      <c r="G22" s="2125">
        <v>822.8</v>
      </c>
      <c r="H22" s="3341">
        <f t="shared" si="31"/>
        <v>54.678362573099413</v>
      </c>
      <c r="I22" s="3583">
        <v>864.8</v>
      </c>
      <c r="J22" s="3583">
        <v>479</v>
      </c>
      <c r="K22" s="3583">
        <v>683.2</v>
      </c>
      <c r="L22" s="3583">
        <v>1076.5999999999999</v>
      </c>
      <c r="M22" s="3604">
        <f t="shared" si="32"/>
        <v>124.49121184088807</v>
      </c>
      <c r="N22" s="3604">
        <f t="shared" si="33"/>
        <v>130.84589207583858</v>
      </c>
      <c r="O22" s="3583">
        <v>951.3</v>
      </c>
      <c r="P22" s="3604">
        <f t="shared" si="34"/>
        <v>110.0023126734505</v>
      </c>
      <c r="Q22" s="3605">
        <v>0</v>
      </c>
      <c r="R22" s="3604">
        <f t="shared" si="43"/>
        <v>0</v>
      </c>
      <c r="S22" s="3604">
        <f t="shared" si="44"/>
        <v>0</v>
      </c>
      <c r="T22" s="3583">
        <f t="shared" si="122"/>
        <v>0</v>
      </c>
      <c r="U22" s="3583"/>
      <c r="V22" s="3583">
        <f>936.5+417.8+6.4</f>
        <v>1360.7</v>
      </c>
      <c r="W22" s="3583">
        <v>1500</v>
      </c>
      <c r="X22" s="3583">
        <v>0</v>
      </c>
      <c r="Y22" s="1602">
        <v>1076</v>
      </c>
      <c r="Z22" s="1596"/>
      <c r="AA22" s="1602">
        <v>0</v>
      </c>
      <c r="AB22" s="1596"/>
      <c r="AC22" s="1602">
        <f t="shared" si="123"/>
        <v>0</v>
      </c>
      <c r="AD22" s="1602">
        <v>0</v>
      </c>
      <c r="AE22" s="1602">
        <f>SUM(AF22:AG22)</f>
        <v>1500</v>
      </c>
      <c r="AF22" s="1602">
        <v>1500</v>
      </c>
      <c r="AG22" s="1602">
        <v>0</v>
      </c>
      <c r="AH22" s="1603">
        <f t="shared" si="37"/>
        <v>998</v>
      </c>
      <c r="AI22" s="1597"/>
      <c r="AJ22" s="1602">
        <v>998</v>
      </c>
      <c r="AK22" s="1602">
        <v>0</v>
      </c>
      <c r="AL22" s="1603">
        <f t="shared" si="39"/>
        <v>0</v>
      </c>
      <c r="AM22" s="1597"/>
      <c r="AN22" s="1602">
        <v>0</v>
      </c>
      <c r="AO22" s="1602">
        <v>0</v>
      </c>
      <c r="AP22" s="1598">
        <f t="shared" si="41"/>
        <v>-1076</v>
      </c>
      <c r="AQ22" s="1598">
        <f>AP22</f>
        <v>-1076</v>
      </c>
      <c r="AR22" s="1598">
        <f t="shared" si="42"/>
        <v>0</v>
      </c>
      <c r="AS22" s="1598">
        <f t="shared" si="2"/>
        <v>-1076</v>
      </c>
      <c r="AT22" s="1602">
        <v>2401.02</v>
      </c>
      <c r="AU22" s="1602">
        <v>2401.02</v>
      </c>
      <c r="AV22" s="1602">
        <v>0</v>
      </c>
      <c r="AW22" s="1602">
        <f t="shared" si="124"/>
        <v>2704.14</v>
      </c>
      <c r="AX22" s="1602">
        <v>2704.14</v>
      </c>
      <c r="AY22" s="1602">
        <v>0</v>
      </c>
      <c r="AZ22" s="1603">
        <f t="shared" si="129"/>
        <v>1500</v>
      </c>
      <c r="BA22" s="1599"/>
      <c r="BB22" s="1602">
        <f>SUM(AF22)</f>
        <v>1500</v>
      </c>
      <c r="BC22" s="1602">
        <v>0</v>
      </c>
      <c r="BD22" s="1603">
        <f t="shared" si="130"/>
        <v>0</v>
      </c>
      <c r="BE22" s="1602">
        <v>0</v>
      </c>
      <c r="BF22" s="1602">
        <v>0</v>
      </c>
      <c r="BG22" s="1602">
        <f t="shared" si="49"/>
        <v>1296.07</v>
      </c>
      <c r="BH22" s="1602">
        <v>1296.07</v>
      </c>
      <c r="BI22" s="1602">
        <v>0</v>
      </c>
      <c r="BJ22" s="1602">
        <f t="shared" si="107"/>
        <v>4707.6899999999996</v>
      </c>
      <c r="BK22" s="1602">
        <v>4707.6899999999996</v>
      </c>
      <c r="BL22" s="1602"/>
      <c r="BM22" s="1602">
        <f t="shared" si="108"/>
        <v>0</v>
      </c>
      <c r="BN22" s="1602">
        <v>0</v>
      </c>
      <c r="BO22" s="1602">
        <v>0</v>
      </c>
      <c r="BP22" s="1602">
        <f t="shared" si="109"/>
        <v>2275</v>
      </c>
      <c r="BQ22" s="1602">
        <v>2275</v>
      </c>
      <c r="BR22" s="1602">
        <v>0</v>
      </c>
      <c r="BS22" s="1602">
        <f t="shared" si="110"/>
        <v>1398.9</v>
      </c>
      <c r="BT22" s="1602">
        <v>1398.9</v>
      </c>
      <c r="BU22" s="1602"/>
      <c r="BV22" s="1602">
        <f>BW22</f>
        <v>0</v>
      </c>
      <c r="BW22" s="1602">
        <v>0</v>
      </c>
      <c r="BX22" s="1602"/>
      <c r="BY22" s="1602">
        <f>BZ22</f>
        <v>720.43499999999995</v>
      </c>
      <c r="BZ22" s="1602">
        <f>SUM('рем программа'!I28:J28)</f>
        <v>720.43499999999995</v>
      </c>
      <c r="CA22" s="1602">
        <v>0</v>
      </c>
      <c r="CB22" s="3578"/>
      <c r="CC22" s="365"/>
      <c r="CD22" s="365"/>
      <c r="CE22" s="365"/>
      <c r="CF22" s="1602">
        <f>SUM('рем программа'!K28)</f>
        <v>0</v>
      </c>
      <c r="CG22" s="1602">
        <v>0</v>
      </c>
      <c r="CH22" s="1602">
        <v>0</v>
      </c>
      <c r="CI22" s="1602">
        <f t="shared" si="133"/>
        <v>2353.4699999999998</v>
      </c>
      <c r="CJ22" s="1602">
        <f>SUM('рем программа'!L28)</f>
        <v>2353.4699999999998</v>
      </c>
      <c r="CK22" s="1602">
        <v>0</v>
      </c>
      <c r="CL22" s="1602">
        <f t="shared" si="134"/>
        <v>3415.99</v>
      </c>
      <c r="CM22" s="1602">
        <f>SUM('рем программа'!M28)</f>
        <v>3415.99</v>
      </c>
      <c r="CN22" s="1602">
        <v>0</v>
      </c>
      <c r="CO22" s="1602">
        <f t="shared" si="135"/>
        <v>3651.89</v>
      </c>
      <c r="CP22" s="1602">
        <f>SUM('рем программа'!N28)</f>
        <v>3651.89</v>
      </c>
      <c r="CQ22" s="1602">
        <v>0</v>
      </c>
      <c r="CR22" s="2371">
        <f t="shared" si="136"/>
        <v>1536.8345586</v>
      </c>
      <c r="CS22" s="2371">
        <f>SUM('рем программа'!O28)</f>
        <v>1536.8345586</v>
      </c>
      <c r="CT22" s="2371">
        <v>0</v>
      </c>
      <c r="CU22" s="4101">
        <f t="shared" si="137"/>
        <v>0</v>
      </c>
      <c r="CV22" s="4101">
        <f>SUM('рем программа'!P28)</f>
        <v>0</v>
      </c>
      <c r="CW22" s="4101">
        <v>0</v>
      </c>
      <c r="CX22" s="2371">
        <f t="shared" si="138"/>
        <v>1768.05</v>
      </c>
      <c r="CY22" s="2371">
        <f>SUM('рем программа'!Q28)</f>
        <v>1768.05</v>
      </c>
      <c r="CZ22" s="2371">
        <v>0</v>
      </c>
      <c r="DA22" s="2371">
        <f t="shared" si="139"/>
        <v>1919.63</v>
      </c>
      <c r="DB22" s="2371">
        <f>SUM('рем программа'!R28)</f>
        <v>1919.63</v>
      </c>
      <c r="DC22" s="2371">
        <v>0</v>
      </c>
      <c r="DD22" s="3487">
        <f t="shared" si="140"/>
        <v>0</v>
      </c>
      <c r="DE22" s="3487">
        <f>SUM('рем программа'!AC28)</f>
        <v>0</v>
      </c>
      <c r="DF22" s="3487">
        <v>0</v>
      </c>
    </row>
    <row r="23" spans="1:110" ht="21" customHeight="1" x14ac:dyDescent="0.2">
      <c r="A23" s="3466" t="s">
        <v>4</v>
      </c>
      <c r="B23" s="3581">
        <v>10759.4</v>
      </c>
      <c r="C23" s="2125">
        <v>14019.6</v>
      </c>
      <c r="D23" s="3341">
        <f t="shared" si="29"/>
        <v>130.30094614941353</v>
      </c>
      <c r="E23" s="2125">
        <v>14545.3</v>
      </c>
      <c r="F23" s="3341">
        <f t="shared" si="30"/>
        <v>103.74975034951068</v>
      </c>
      <c r="G23" s="2125">
        <v>15741.5</v>
      </c>
      <c r="H23" s="3341">
        <f t="shared" si="31"/>
        <v>108.22396237960028</v>
      </c>
      <c r="I23" s="3583">
        <v>16062.8</v>
      </c>
      <c r="J23" s="3583">
        <v>8015.8</v>
      </c>
      <c r="K23" s="3583">
        <v>11685.6</v>
      </c>
      <c r="L23" s="3583">
        <v>16509</v>
      </c>
      <c r="M23" s="3604">
        <f t="shared" si="32"/>
        <v>102.77784695071843</v>
      </c>
      <c r="N23" s="3604">
        <f t="shared" si="33"/>
        <v>104.87564717466569</v>
      </c>
      <c r="O23" s="3583">
        <v>20707.5</v>
      </c>
      <c r="P23" s="3604">
        <f t="shared" si="34"/>
        <v>128.91588017033146</v>
      </c>
      <c r="Q23" s="3605">
        <f>ЗП!AP10</f>
        <v>17203.258799999996</v>
      </c>
      <c r="R23" s="3604">
        <f t="shared" si="43"/>
        <v>107.09999999999997</v>
      </c>
      <c r="S23" s="3604">
        <f t="shared" si="44"/>
        <v>104.20533527166998</v>
      </c>
      <c r="T23" s="3583">
        <f t="shared" si="122"/>
        <v>17203.258799999996</v>
      </c>
      <c r="U23" s="3583"/>
      <c r="V23" s="3583">
        <v>13934.4</v>
      </c>
      <c r="W23" s="3583">
        <f>18491.5</f>
        <v>18491.5</v>
      </c>
      <c r="X23" s="3583">
        <f>18491.5-W23</f>
        <v>0</v>
      </c>
      <c r="Y23" s="1602">
        <v>21702.3</v>
      </c>
      <c r="Z23" s="1596">
        <f t="shared" si="35"/>
        <v>1.2615226133783446</v>
      </c>
      <c r="AA23" s="1602">
        <f>ЗП!U26</f>
        <v>18166.641292799999</v>
      </c>
      <c r="AB23" s="1596">
        <f t="shared" si="1"/>
        <v>1.0560000000000003</v>
      </c>
      <c r="AC23" s="1602">
        <f t="shared" si="123"/>
        <v>18166.641292799999</v>
      </c>
      <c r="AD23" s="1602">
        <v>0</v>
      </c>
      <c r="AE23" s="1602">
        <f>SUM(ЗП!AS26)</f>
        <v>18581.7</v>
      </c>
      <c r="AF23" s="1602">
        <f>SUM(AE23)</f>
        <v>18581.7</v>
      </c>
      <c r="AG23" s="1602">
        <v>0</v>
      </c>
      <c r="AH23" s="1603">
        <f t="shared" si="37"/>
        <v>19007.599999999999</v>
      </c>
      <c r="AI23" s="1597">
        <f t="shared" si="38"/>
        <v>1.0462913696398739</v>
      </c>
      <c r="AJ23" s="1602">
        <v>19007.599999999999</v>
      </c>
      <c r="AK23" s="1602">
        <v>0</v>
      </c>
      <c r="AL23" s="1603">
        <f t="shared" si="39"/>
        <v>19007.602758620687</v>
      </c>
      <c r="AM23" s="1597">
        <f t="shared" si="40"/>
        <v>1.046291521490766</v>
      </c>
      <c r="AN23" s="1602">
        <f>ЗП!BB26</f>
        <v>19007.602758620687</v>
      </c>
      <c r="AO23" s="1602">
        <v>0</v>
      </c>
      <c r="AP23" s="1598">
        <f t="shared" si="41"/>
        <v>-3535.6587072000002</v>
      </c>
      <c r="AQ23" s="1598">
        <f t="shared" ref="AQ23:AQ29" si="141">AP23*AC23/AA23</f>
        <v>-3535.6587072000002</v>
      </c>
      <c r="AR23" s="1598">
        <f t="shared" si="42"/>
        <v>0</v>
      </c>
      <c r="AS23" s="1598">
        <f t="shared" si="2"/>
        <v>-3535.6587072000002</v>
      </c>
      <c r="AT23" s="1602">
        <f>SUM(ЗП!BG26)</f>
        <v>9180.1</v>
      </c>
      <c r="AU23" s="1602">
        <f>SUM(AT23)</f>
        <v>9180.1</v>
      </c>
      <c r="AV23" s="1602">
        <v>0</v>
      </c>
      <c r="AW23" s="1602">
        <f t="shared" si="124"/>
        <v>19270.03</v>
      </c>
      <c r="AX23" s="1602">
        <v>19270.03</v>
      </c>
      <c r="AY23" s="1602">
        <v>0</v>
      </c>
      <c r="AZ23" s="1602">
        <v>20617.97</v>
      </c>
      <c r="BA23" s="1599">
        <f t="shared" si="48"/>
        <v>1.0847222693902812</v>
      </c>
      <c r="BB23" s="1602">
        <f>SUM(AZ23)</f>
        <v>20617.97</v>
      </c>
      <c r="BC23" s="1602">
        <v>0</v>
      </c>
      <c r="BD23" s="1603">
        <f>SUM(ЗП!BS26)</f>
        <v>22489.748317808218</v>
      </c>
      <c r="BE23" s="1602">
        <f>SUM(BD23)</f>
        <v>22489.748317808218</v>
      </c>
      <c r="BF23" s="1602">
        <v>0</v>
      </c>
      <c r="BG23" s="1602">
        <f t="shared" si="49"/>
        <v>19819.95</v>
      </c>
      <c r="BH23" s="1602">
        <v>19819.95</v>
      </c>
      <c r="BI23" s="1602">
        <v>0</v>
      </c>
      <c r="BJ23" s="1602">
        <f t="shared" si="107"/>
        <v>21790.06</v>
      </c>
      <c r="BK23" s="1602">
        <v>21790.06</v>
      </c>
      <c r="BL23" s="1602"/>
      <c r="BM23" s="1602">
        <f t="shared" si="108"/>
        <v>24551.49</v>
      </c>
      <c r="BN23" s="1602">
        <v>24551.49</v>
      </c>
      <c r="BO23" s="1602">
        <v>0</v>
      </c>
      <c r="BP23" s="1602">
        <f t="shared" si="109"/>
        <v>21020.13</v>
      </c>
      <c r="BQ23" s="1602">
        <v>21020.13</v>
      </c>
      <c r="BR23" s="1602">
        <v>0</v>
      </c>
      <c r="BS23" s="1602">
        <f t="shared" si="110"/>
        <v>27149.85</v>
      </c>
      <c r="BT23" s="1602">
        <v>27149.85</v>
      </c>
      <c r="BU23" s="1602"/>
      <c r="BV23" s="1602">
        <f>ЗП!CR26</f>
        <v>25894.323839999997</v>
      </c>
      <c r="BW23" s="1602">
        <f>BV23</f>
        <v>25894.323839999997</v>
      </c>
      <c r="BX23" s="1602"/>
      <c r="BY23" s="1602">
        <f>SUM(ЗП!CU26)</f>
        <v>27085.462736639998</v>
      </c>
      <c r="BZ23" s="1602">
        <f>BY23</f>
        <v>27085.462736639998</v>
      </c>
      <c r="CA23" s="1602">
        <v>0</v>
      </c>
      <c r="CB23" s="3578" t="str">
        <f>CB13</f>
        <v>Приложение</v>
      </c>
      <c r="CC23" s="365"/>
      <c r="CD23" s="365"/>
      <c r="CE23" s="365"/>
      <c r="CF23" s="1602">
        <f>SUM(ЗП!CX26)</f>
        <v>26404.442019648002</v>
      </c>
      <c r="CG23" s="1602">
        <f>CF23</f>
        <v>26404.442019648002</v>
      </c>
      <c r="CH23" s="1602">
        <v>0</v>
      </c>
      <c r="CI23" s="1602">
        <f>SUM(CJ23:CK23)</f>
        <v>10157.24</v>
      </c>
      <c r="CJ23" s="1602">
        <f>SUM(ЗП!DA26)</f>
        <v>10157.24</v>
      </c>
      <c r="CK23" s="1602">
        <v>0</v>
      </c>
      <c r="CL23" s="1602">
        <f>SUM(CM23:CN23)</f>
        <v>15929.13</v>
      </c>
      <c r="CM23" s="1602">
        <f>SUM(ЗП!DD26)</f>
        <v>15929.13</v>
      </c>
      <c r="CN23" s="1602">
        <v>0</v>
      </c>
      <c r="CO23" s="1602">
        <f>SUM(CP23:CQ23)</f>
        <v>20892.52</v>
      </c>
      <c r="CP23" s="1602">
        <f>SUM(ЗП!DG26)</f>
        <v>20892.52</v>
      </c>
      <c r="CQ23" s="1602">
        <v>0</v>
      </c>
      <c r="CR23" s="2371">
        <f>SUM(CS23:CT23)</f>
        <v>29155.15097088</v>
      </c>
      <c r="CS23" s="2371">
        <f>SUM(ЗП!DJ26)</f>
        <v>29155.15097088</v>
      </c>
      <c r="CT23" s="2371">
        <v>0</v>
      </c>
      <c r="CU23" s="4101">
        <f>SUM(CV23:CW23)</f>
        <v>27134.037256552227</v>
      </c>
      <c r="CV23" s="4101">
        <f>SUM(ЗП!DM26)</f>
        <v>27134.037256552227</v>
      </c>
      <c r="CW23" s="4101">
        <v>0</v>
      </c>
      <c r="CX23" s="2371">
        <f>SUM(CY23:CZ23)</f>
        <v>10141.36</v>
      </c>
      <c r="CY23" s="2371">
        <f>SUM(ЗП!DR26)</f>
        <v>10141.36</v>
      </c>
      <c r="CZ23" s="2371">
        <v>0</v>
      </c>
      <c r="DA23" s="2371">
        <f>SUM(DB23:DC23)</f>
        <v>15150.65</v>
      </c>
      <c r="DB23" s="2371">
        <f>SUM(ЗП!DU26)</f>
        <v>15150.65</v>
      </c>
      <c r="DC23" s="2371">
        <v>0</v>
      </c>
      <c r="DD23" s="3487">
        <f>SUM(DE23:DF23)</f>
        <v>64</v>
      </c>
      <c r="DE23" s="3487">
        <f>SUM(ЗП!DV26)</f>
        <v>64</v>
      </c>
      <c r="DF23" s="3487">
        <v>0</v>
      </c>
    </row>
    <row r="24" spans="1:110" ht="21" customHeight="1" x14ac:dyDescent="0.2">
      <c r="A24" s="3466" t="s">
        <v>5</v>
      </c>
      <c r="B24" s="3581">
        <v>2718.6</v>
      </c>
      <c r="C24" s="2125">
        <v>3582.5</v>
      </c>
      <c r="D24" s="3341">
        <f t="shared" si="29"/>
        <v>131.77738541896565</v>
      </c>
      <c r="E24" s="2125">
        <v>3729.7</v>
      </c>
      <c r="F24" s="3341">
        <f t="shared" si="30"/>
        <v>104.10886252616886</v>
      </c>
      <c r="G24" s="2125">
        <v>5216.5</v>
      </c>
      <c r="H24" s="3341">
        <f t="shared" si="31"/>
        <v>139.86379601576536</v>
      </c>
      <c r="I24" s="3583">
        <f>I23*30.2/100</f>
        <v>4850.9655999999995</v>
      </c>
      <c r="J24" s="3583">
        <v>2641.4</v>
      </c>
      <c r="K24" s="3583">
        <v>3470.4</v>
      </c>
      <c r="L24" s="3583">
        <v>4958.8</v>
      </c>
      <c r="M24" s="3604">
        <f t="shared" si="32"/>
        <v>102.22294711799236</v>
      </c>
      <c r="N24" s="3604">
        <f t="shared" si="33"/>
        <v>95.059906067286505</v>
      </c>
      <c r="O24" s="3583">
        <v>6253.7</v>
      </c>
      <c r="P24" s="3604">
        <f t="shared" si="34"/>
        <v>128.91660167616939</v>
      </c>
      <c r="Q24" s="3605">
        <f>Q23*0.302</f>
        <v>5195.3841575999986</v>
      </c>
      <c r="R24" s="3604">
        <f t="shared" si="43"/>
        <v>107.09999999999997</v>
      </c>
      <c r="S24" s="3604">
        <f t="shared" si="44"/>
        <v>104.77099616036134</v>
      </c>
      <c r="T24" s="3583">
        <f t="shared" si="122"/>
        <v>5195.3841575999986</v>
      </c>
      <c r="U24" s="3583"/>
      <c r="V24" s="3583">
        <v>4182.8</v>
      </c>
      <c r="W24" s="3583"/>
      <c r="X24" s="3583">
        <v>0</v>
      </c>
      <c r="Y24" s="1602">
        <v>6554.1</v>
      </c>
      <c r="Z24" s="1596">
        <f t="shared" si="35"/>
        <v>1.2615236527625051</v>
      </c>
      <c r="AA24" s="1602">
        <f>AA23*V25</f>
        <v>5453.2256286258353</v>
      </c>
      <c r="AB24" s="1596">
        <f t="shared" si="1"/>
        <v>1.0496289520089976</v>
      </c>
      <c r="AC24" s="1602">
        <f t="shared" si="123"/>
        <v>5453.2256286258353</v>
      </c>
      <c r="AD24" s="1602">
        <v>0</v>
      </c>
      <c r="AE24" s="1602">
        <v>5541.6</v>
      </c>
      <c r="AF24" s="1602">
        <f>SUM(AE24)</f>
        <v>5541.6</v>
      </c>
      <c r="AG24" s="1602">
        <v>0</v>
      </c>
      <c r="AH24" s="1603">
        <f t="shared" si="37"/>
        <v>5721.29</v>
      </c>
      <c r="AI24" s="1597">
        <f t="shared" si="38"/>
        <v>1.0491570291841592</v>
      </c>
      <c r="AJ24" s="1602">
        <v>5721.29</v>
      </c>
      <c r="AK24" s="1602">
        <v>0</v>
      </c>
      <c r="AL24" s="1603">
        <f t="shared" si="39"/>
        <v>5705.6637400073641</v>
      </c>
      <c r="AM24" s="1597">
        <f t="shared" si="40"/>
        <v>1.046291521490766</v>
      </c>
      <c r="AN24" s="1602">
        <f>AN23*AA25</f>
        <v>5705.6637400073641</v>
      </c>
      <c r="AO24" s="1602">
        <v>0</v>
      </c>
      <c r="AP24" s="1598">
        <f t="shared" si="41"/>
        <v>-1100.8743713741651</v>
      </c>
      <c r="AQ24" s="1598">
        <f t="shared" si="141"/>
        <v>-1100.8743713741651</v>
      </c>
      <c r="AR24" s="1598">
        <f t="shared" si="42"/>
        <v>0</v>
      </c>
      <c r="AS24" s="1598">
        <f t="shared" si="2"/>
        <v>-1100.8743713741651</v>
      </c>
      <c r="AT24" s="1602">
        <v>2693.1</v>
      </c>
      <c r="AU24" s="1602">
        <f>SUM(AT24)</f>
        <v>2693.1</v>
      </c>
      <c r="AV24" s="1602">
        <v>0</v>
      </c>
      <c r="AW24" s="1602">
        <f t="shared" si="124"/>
        <v>5698.26</v>
      </c>
      <c r="AX24" s="1602">
        <v>5698.26</v>
      </c>
      <c r="AY24" s="1602">
        <v>0</v>
      </c>
      <c r="AZ24" s="1603">
        <f t="shared" ref="AZ24" si="142">SUM(BB24+BC24)</f>
        <v>6206.0089699999999</v>
      </c>
      <c r="BA24" s="1599">
        <f t="shared" si="48"/>
        <v>1.0876927300296861</v>
      </c>
      <c r="BB24" s="1602">
        <f>SUM(BB23*AH25)</f>
        <v>6206.0089699999999</v>
      </c>
      <c r="BC24" s="1602">
        <f>SUM(BC23*AH25)</f>
        <v>0</v>
      </c>
      <c r="BD24" s="1603">
        <f t="shared" ref="BD24" si="143">SUM(BE24+BF24)</f>
        <v>6707.09296124499</v>
      </c>
      <c r="BE24" s="1602">
        <f>BE23*BE25</f>
        <v>6707.09296124499</v>
      </c>
      <c r="BF24" s="1602">
        <f>SUM(BF23*AZ25)</f>
        <v>0</v>
      </c>
      <c r="BG24" s="1602">
        <f t="shared" si="49"/>
        <v>5984.48</v>
      </c>
      <c r="BH24" s="1602">
        <v>5984.48</v>
      </c>
      <c r="BI24" s="1602">
        <f>SUM(BI23*BC25)</f>
        <v>0</v>
      </c>
      <c r="BJ24" s="1602">
        <f t="shared" si="107"/>
        <v>6583.41</v>
      </c>
      <c r="BK24" s="1602">
        <v>6583.41</v>
      </c>
      <c r="BL24" s="1602"/>
      <c r="BM24" s="1602">
        <f t="shared" si="108"/>
        <v>7321.25</v>
      </c>
      <c r="BN24" s="1602">
        <v>7321.25</v>
      </c>
      <c r="BO24" s="1602">
        <f>SUM(BO23*BI25)</f>
        <v>0</v>
      </c>
      <c r="BP24" s="1602">
        <f t="shared" si="109"/>
        <v>6314.9</v>
      </c>
      <c r="BQ24" s="1602">
        <v>6314.9</v>
      </c>
      <c r="BR24" s="1602">
        <f>SUM(BR23*BL25)</f>
        <v>0</v>
      </c>
      <c r="BS24" s="1602">
        <f t="shared" si="110"/>
        <v>8096.09</v>
      </c>
      <c r="BT24" s="1602">
        <v>8096.09</v>
      </c>
      <c r="BU24" s="1602"/>
      <c r="BV24" s="1602">
        <f>BV23*BS25</f>
        <v>7721.6918803523995</v>
      </c>
      <c r="BW24" s="1602">
        <f>BV24</f>
        <v>7721.6918803523995</v>
      </c>
      <c r="BX24" s="1602"/>
      <c r="BY24" s="1602">
        <f>SUM(BY23*BY25)</f>
        <v>8137.0566516766503</v>
      </c>
      <c r="BZ24" s="1602">
        <f t="shared" ref="BZ24" si="144">SUM(BZ23*BZ25)</f>
        <v>8137.0566516766503</v>
      </c>
      <c r="CA24" s="1602">
        <f t="shared" ref="CA24" si="145">SUM(CA23*CA25)</f>
        <v>0</v>
      </c>
      <c r="CB24" s="3578" t="s">
        <v>241</v>
      </c>
      <c r="CC24" s="365"/>
      <c r="CD24" s="365"/>
      <c r="CE24" s="365"/>
      <c r="CF24" s="1602">
        <f>SUM(CF23*CF25)</f>
        <v>7873.8092103953431</v>
      </c>
      <c r="CG24" s="1602">
        <f t="shared" ref="CG24:CH24" si="146">SUM(CG23*CG25)</f>
        <v>7873.8092103953431</v>
      </c>
      <c r="CH24" s="1602">
        <f t="shared" si="146"/>
        <v>0</v>
      </c>
      <c r="CI24" s="1602">
        <f t="shared" ref="CI24" si="147">CJ24+CK24</f>
        <v>3079.36</v>
      </c>
      <c r="CJ24" s="1602">
        <v>3079.36</v>
      </c>
      <c r="CK24" s="1602">
        <v>0</v>
      </c>
      <c r="CL24" s="1602">
        <f t="shared" ref="CL24" si="148">CM24+CN24</f>
        <v>4804.38</v>
      </c>
      <c r="CM24" s="1602">
        <v>4804.38</v>
      </c>
      <c r="CN24" s="1602">
        <v>0</v>
      </c>
      <c r="CO24" s="1602">
        <f t="shared" ref="CO24" si="149">CP24+CQ24</f>
        <v>6328.48</v>
      </c>
      <c r="CP24" s="1602">
        <v>6328.48</v>
      </c>
      <c r="CQ24" s="1602">
        <v>0</v>
      </c>
      <c r="CR24" s="2371">
        <f t="shared" ref="CR24" si="150">CS24+CT24</f>
        <v>8775.7000000000007</v>
      </c>
      <c r="CS24" s="2371">
        <v>8775.7000000000007</v>
      </c>
      <c r="CT24" s="2371">
        <v>0</v>
      </c>
      <c r="CU24" s="4101">
        <f t="shared" ref="CU24" si="151">CV24+CW24</f>
        <v>8091.3746371490051</v>
      </c>
      <c r="CV24" s="4101">
        <f t="shared" ref="CV24" si="152">SUM(CV23*CV25)</f>
        <v>8091.3746371490051</v>
      </c>
      <c r="CW24" s="4101">
        <v>0</v>
      </c>
      <c r="CX24" s="2371">
        <f t="shared" ref="CX24" si="153">CY24+CZ24</f>
        <v>3056.71</v>
      </c>
      <c r="CY24" s="2371">
        <v>3056.71</v>
      </c>
      <c r="CZ24" s="2371">
        <v>0</v>
      </c>
      <c r="DA24" s="2371">
        <f t="shared" ref="DA24" si="154">DB24+DC24</f>
        <v>4561.96</v>
      </c>
      <c r="DB24" s="2371">
        <v>4561.96</v>
      </c>
      <c r="DC24" s="2371">
        <v>0</v>
      </c>
      <c r="DD24" s="3487">
        <f t="shared" ref="DD24" si="155">DE24+DF24</f>
        <v>6328.48</v>
      </c>
      <c r="DE24" s="3487">
        <v>6328.48</v>
      </c>
      <c r="DF24" s="3487">
        <v>0</v>
      </c>
    </row>
    <row r="25" spans="1:110" s="181" customFormat="1" ht="21" customHeight="1" x14ac:dyDescent="0.2">
      <c r="A25" s="3470" t="str">
        <f>A15</f>
        <v>то же в %</v>
      </c>
      <c r="B25" s="3350"/>
      <c r="C25" s="3341"/>
      <c r="D25" s="3341"/>
      <c r="E25" s="3606">
        <f>E24/E23</f>
        <v>0.25641959945824422</v>
      </c>
      <c r="F25" s="3606">
        <f t="shared" ref="F25:AC25" si="156">F24/F23</f>
        <v>1.0034613305135522</v>
      </c>
      <c r="G25" s="3606">
        <f t="shared" si="156"/>
        <v>0.33138519200838545</v>
      </c>
      <c r="H25" s="3606"/>
      <c r="I25" s="3606">
        <f t="shared" si="156"/>
        <v>0.30199999999999999</v>
      </c>
      <c r="J25" s="3606">
        <f t="shared" si="156"/>
        <v>0.32952418972529257</v>
      </c>
      <c r="K25" s="3606">
        <f t="shared" si="156"/>
        <v>0.29698089956869994</v>
      </c>
      <c r="L25" s="3606">
        <f t="shared" si="156"/>
        <v>0.30036949542673697</v>
      </c>
      <c r="M25" s="3606">
        <f t="shared" si="156"/>
        <v>0.99460097823422844</v>
      </c>
      <c r="N25" s="3606">
        <f t="shared" si="156"/>
        <v>0.90640590669222276</v>
      </c>
      <c r="O25" s="3606">
        <f t="shared" si="156"/>
        <v>0.30200169020886153</v>
      </c>
      <c r="P25" s="3606">
        <f t="shared" si="156"/>
        <v>1.0000055967180845</v>
      </c>
      <c r="Q25" s="3607">
        <f t="shared" si="156"/>
        <v>0.30199999999999999</v>
      </c>
      <c r="R25" s="3606">
        <f t="shared" si="156"/>
        <v>1</v>
      </c>
      <c r="S25" s="3606">
        <f t="shared" si="156"/>
        <v>1.0054283294345403</v>
      </c>
      <c r="T25" s="3606">
        <f t="shared" si="156"/>
        <v>0.30199999999999999</v>
      </c>
      <c r="U25" s="3606"/>
      <c r="V25" s="3606">
        <f t="shared" si="156"/>
        <v>0.30017797680560343</v>
      </c>
      <c r="W25" s="3606"/>
      <c r="X25" s="3606">
        <v>0</v>
      </c>
      <c r="Y25" s="1604">
        <f t="shared" si="156"/>
        <v>0.30200024882155352</v>
      </c>
      <c r="Z25" s="1596">
        <f t="shared" si="35"/>
        <v>1.0000008239124289</v>
      </c>
      <c r="AA25" s="1604">
        <f t="shared" si="156"/>
        <v>0.30017797680560343</v>
      </c>
      <c r="AB25" s="1604"/>
      <c r="AC25" s="1604">
        <f t="shared" si="156"/>
        <v>0.30017797680560343</v>
      </c>
      <c r="AD25" s="1604"/>
      <c r="AE25" s="1604">
        <f t="shared" ref="AE25" si="157">AE24/AE23</f>
        <v>0.29822890263000695</v>
      </c>
      <c r="AF25" s="1604">
        <f t="shared" ref="AF25" si="158">AF24/AF23</f>
        <v>0.29822890263000695</v>
      </c>
      <c r="AG25" s="1604"/>
      <c r="AH25" s="1604">
        <v>0.30099999999999999</v>
      </c>
      <c r="AI25" s="1597">
        <f t="shared" si="38"/>
        <v>1.0027384527111025</v>
      </c>
      <c r="AJ25" s="1604">
        <v>0.30099999999999999</v>
      </c>
      <c r="AK25" s="1604">
        <v>0</v>
      </c>
      <c r="AL25" s="1604">
        <f>SUM(AL24/AL23)</f>
        <v>0.30017797680560343</v>
      </c>
      <c r="AM25" s="1597">
        <f t="shared" si="40"/>
        <v>1</v>
      </c>
      <c r="AN25" s="1604">
        <f>AA25</f>
        <v>0.30017797680560343</v>
      </c>
      <c r="AO25" s="1604">
        <v>0</v>
      </c>
      <c r="AP25" s="1598">
        <f t="shared" si="41"/>
        <v>-1.8222720159500883E-3</v>
      </c>
      <c r="AQ25" s="1598">
        <f t="shared" si="141"/>
        <v>-1.8222720159500883E-3</v>
      </c>
      <c r="AR25" s="1598">
        <f t="shared" si="42"/>
        <v>0</v>
      </c>
      <c r="AS25" s="1598">
        <f t="shared" si="2"/>
        <v>-1.8222720159500883E-3</v>
      </c>
      <c r="AT25" s="1604">
        <f>AT24/AT23</f>
        <v>0.29336281739850328</v>
      </c>
      <c r="AU25" s="1604">
        <f t="shared" ref="AU25" si="159">AU24/AU23</f>
        <v>0.29336281739850328</v>
      </c>
      <c r="AV25" s="1604">
        <v>0</v>
      </c>
      <c r="AW25" s="1604">
        <f>AW24/AW23</f>
        <v>0.29570581882851249</v>
      </c>
      <c r="AX25" s="1604">
        <f t="shared" ref="AX25" si="160">AX24/AX23</f>
        <v>0.29570581882851249</v>
      </c>
      <c r="AY25" s="1604">
        <v>0</v>
      </c>
      <c r="AZ25" s="1604">
        <f>SUM(AZ24/AZ23)</f>
        <v>0.30099999999999999</v>
      </c>
      <c r="BA25" s="1599">
        <f t="shared" si="48"/>
        <v>1.0027384527111025</v>
      </c>
      <c r="BB25" s="1604">
        <f>SUM(BB24/BB23)</f>
        <v>0.30099999999999999</v>
      </c>
      <c r="BC25" s="1604"/>
      <c r="BD25" s="1604">
        <f>AF25</f>
        <v>0.29822890263000695</v>
      </c>
      <c r="BE25" s="1604">
        <f>BD25</f>
        <v>0.29822890263000695</v>
      </c>
      <c r="BF25" s="1604"/>
      <c r="BG25" s="1604">
        <f>SUM(BG24/BG23)</f>
        <v>0.3019422349703203</v>
      </c>
      <c r="BH25" s="1604">
        <f>BF25</f>
        <v>0</v>
      </c>
      <c r="BI25" s="1604">
        <f>BG25</f>
        <v>0.3019422349703203</v>
      </c>
      <c r="BJ25" s="1604">
        <f t="shared" ref="BJ25:BV25" si="161">SUM(BJ24/BJ23)</f>
        <v>0.30212904416050251</v>
      </c>
      <c r="BK25" s="1604">
        <f t="shared" si="161"/>
        <v>0.30212904416050251</v>
      </c>
      <c r="BL25" s="1604"/>
      <c r="BM25" s="1604">
        <f t="shared" ref="BM25:BN25" si="162">SUM(BM24/BM23)</f>
        <v>0.29819982412472723</v>
      </c>
      <c r="BN25" s="1604">
        <f t="shared" si="162"/>
        <v>0.29819982412472723</v>
      </c>
      <c r="BO25" s="1604">
        <v>0</v>
      </c>
      <c r="BP25" s="1604">
        <f t="shared" ref="BP25:BQ25" si="163">SUM(BP24/BP23)</f>
        <v>0.30042154829679929</v>
      </c>
      <c r="BQ25" s="1604">
        <f t="shared" si="163"/>
        <v>0.30042154829679929</v>
      </c>
      <c r="BR25" s="1604">
        <v>0</v>
      </c>
      <c r="BS25" s="1604">
        <f t="shared" si="161"/>
        <v>0.29820017421827377</v>
      </c>
      <c r="BT25" s="1604">
        <f t="shared" si="161"/>
        <v>0.29820017421827377</v>
      </c>
      <c r="BU25" s="1604"/>
      <c r="BV25" s="1604">
        <f t="shared" si="161"/>
        <v>0.29820017421827377</v>
      </c>
      <c r="BW25" s="1604">
        <f t="shared" ref="BW25" si="164">SUM(BW24/BW23)</f>
        <v>0.29820017421827377</v>
      </c>
      <c r="BX25" s="1604"/>
      <c r="BY25" s="1604">
        <f>SUM(BP25)</f>
        <v>0.30042154829679929</v>
      </c>
      <c r="BZ25" s="1604">
        <f>SUM(BY25)</f>
        <v>0.30042154829679929</v>
      </c>
      <c r="CA25" s="1604">
        <v>0</v>
      </c>
      <c r="CB25" s="3608"/>
      <c r="CC25" s="3609"/>
      <c r="CD25" s="3609"/>
      <c r="CE25" s="3609"/>
      <c r="CF25" s="1604">
        <f>SUM(BW25)</f>
        <v>0.29820017421827377</v>
      </c>
      <c r="CG25" s="1604">
        <f>SUM(CF25)</f>
        <v>0.29820017421827377</v>
      </c>
      <c r="CH25" s="1604">
        <v>0</v>
      </c>
      <c r="CI25" s="1604">
        <f>SUM(CI24/CI23)</f>
        <v>0.30316897109844804</v>
      </c>
      <c r="CJ25" s="1604">
        <f t="shared" ref="CJ25" si="165">SUM(CJ24/CJ23)</f>
        <v>0.30316897109844804</v>
      </c>
      <c r="CK25" s="1604">
        <v>0</v>
      </c>
      <c r="CL25" s="1604">
        <f t="shared" ref="CL25" si="166">SUM(CL24/CL23)</f>
        <v>0.30160969243141339</v>
      </c>
      <c r="CM25" s="1604">
        <f t="shared" ref="CM25" si="167">SUM(CM24/CM23)</f>
        <v>0.30160969243141339</v>
      </c>
      <c r="CN25" s="1604">
        <v>0</v>
      </c>
      <c r="CO25" s="1604">
        <f t="shared" ref="CO25" si="168">SUM(CO24/CO23)</f>
        <v>0.30290649476463344</v>
      </c>
      <c r="CP25" s="1604">
        <f t="shared" ref="CP25" si="169">SUM(CP24/CP23)</f>
        <v>0.30290649476463344</v>
      </c>
      <c r="CQ25" s="1604">
        <v>0</v>
      </c>
      <c r="CR25" s="3651">
        <f t="shared" ref="CR25:CS25" si="170">SUM(CR24/CR23)</f>
        <v>0.30099998483167245</v>
      </c>
      <c r="CS25" s="3651">
        <f t="shared" si="170"/>
        <v>0.30099998483167245</v>
      </c>
      <c r="CT25" s="3651">
        <v>0</v>
      </c>
      <c r="CU25" s="4102">
        <f>SUM(BV25)</f>
        <v>0.29820017421827377</v>
      </c>
      <c r="CV25" s="4102">
        <f>SUM(BW25)</f>
        <v>0.29820017421827377</v>
      </c>
      <c r="CW25" s="4102">
        <v>0</v>
      </c>
      <c r="CX25" s="3651">
        <f>SUM(CX24/CX23)</f>
        <v>0.30141026450101366</v>
      </c>
      <c r="CY25" s="3651">
        <f t="shared" ref="CY25" si="171">SUM(CY24/CY23)</f>
        <v>0.30141026450101366</v>
      </c>
      <c r="CZ25" s="3651">
        <v>0</v>
      </c>
      <c r="DA25" s="3651">
        <f t="shared" ref="DA25:DB25" si="172">SUM(DA24/DA23)</f>
        <v>0.30110655318418683</v>
      </c>
      <c r="DB25" s="3651">
        <f t="shared" si="172"/>
        <v>0.30110655318418683</v>
      </c>
      <c r="DC25" s="3651">
        <v>0</v>
      </c>
      <c r="DD25" s="3733">
        <f t="shared" ref="DD25:DE25" si="173">SUM(DD24/DD23)</f>
        <v>98.882499999999993</v>
      </c>
      <c r="DE25" s="3733">
        <f t="shared" si="173"/>
        <v>98.882499999999993</v>
      </c>
      <c r="DF25" s="3733">
        <v>0</v>
      </c>
    </row>
    <row r="26" spans="1:110" ht="21" customHeight="1" x14ac:dyDescent="0.2">
      <c r="A26" s="3466" t="s">
        <v>6</v>
      </c>
      <c r="B26" s="3581">
        <v>6189.4</v>
      </c>
      <c r="C26" s="2125">
        <v>7305.4</v>
      </c>
      <c r="D26" s="3341">
        <f t="shared" si="29"/>
        <v>118.03082689759911</v>
      </c>
      <c r="E26" s="2125">
        <v>8983.7999999999993</v>
      </c>
      <c r="F26" s="3341">
        <f t="shared" si="30"/>
        <v>122.97478577490624</v>
      </c>
      <c r="G26" s="2125">
        <v>10591.4</v>
      </c>
      <c r="H26" s="3341">
        <f t="shared" si="31"/>
        <v>117.89443220018256</v>
      </c>
      <c r="I26" s="3583">
        <v>8659.2999999999993</v>
      </c>
      <c r="J26" s="3583">
        <v>5710.6</v>
      </c>
      <c r="K26" s="3583">
        <f>'цех вода'!K49</f>
        <v>7064.2471622034736</v>
      </c>
      <c r="L26" s="3583">
        <v>11296.2</v>
      </c>
      <c r="M26" s="3604">
        <f t="shared" si="32"/>
        <v>130.45165313593478</v>
      </c>
      <c r="N26" s="3604">
        <f t="shared" si="33"/>
        <v>106.65445550163342</v>
      </c>
      <c r="O26" s="3583">
        <v>13061</v>
      </c>
      <c r="P26" s="3604">
        <f t="shared" si="34"/>
        <v>150.83205339923552</v>
      </c>
      <c r="Q26" s="3605">
        <f>'цех вода'!P49</f>
        <v>10441.008114528178</v>
      </c>
      <c r="R26" s="3604">
        <f t="shared" si="43"/>
        <v>120.57565986313188</v>
      </c>
      <c r="S26" s="3604">
        <f t="shared" si="44"/>
        <v>92.42938434631273</v>
      </c>
      <c r="T26" s="3583">
        <f t="shared" si="122"/>
        <v>10441.008114528178</v>
      </c>
      <c r="U26" s="3583"/>
      <c r="V26" s="3583">
        <v>7957</v>
      </c>
      <c r="W26" s="3583"/>
      <c r="X26" s="3583">
        <v>0</v>
      </c>
      <c r="Y26" s="1602">
        <v>13533.8</v>
      </c>
      <c r="Z26" s="1596">
        <f t="shared" si="35"/>
        <v>1.2962158300756748</v>
      </c>
      <c r="AA26" s="1602">
        <f>'цех вода'!W49</f>
        <v>11085.989359774539</v>
      </c>
      <c r="AB26" s="1596">
        <f t="shared" si="1"/>
        <v>1.0617738477138907</v>
      </c>
      <c r="AC26" s="1602">
        <f t="shared" si="123"/>
        <v>11085.989359774539</v>
      </c>
      <c r="AD26" s="1602">
        <v>0</v>
      </c>
      <c r="AE26" s="1602">
        <v>9696.2999999999993</v>
      </c>
      <c r="AF26" s="1602">
        <f>SUM(AE26)</f>
        <v>9696.2999999999993</v>
      </c>
      <c r="AG26" s="1602">
        <v>0</v>
      </c>
      <c r="AH26" s="1603">
        <f t="shared" si="37"/>
        <v>11831.11</v>
      </c>
      <c r="AI26" s="1597">
        <f t="shared" si="38"/>
        <v>1.0672128229645546</v>
      </c>
      <c r="AJ26" s="1602">
        <v>11831.11</v>
      </c>
      <c r="AK26" s="1602">
        <v>0</v>
      </c>
      <c r="AL26" s="1603">
        <f t="shared" si="39"/>
        <v>11664.267955262609</v>
      </c>
      <c r="AM26" s="1597">
        <f t="shared" si="40"/>
        <v>1.0521630119532994</v>
      </c>
      <c r="AN26" s="1602">
        <f>'цех вода'!AB49</f>
        <v>11664.267955262609</v>
      </c>
      <c r="AO26" s="1602">
        <v>0</v>
      </c>
      <c r="AP26" s="1598">
        <f t="shared" si="41"/>
        <v>-2447.8106402254598</v>
      </c>
      <c r="AQ26" s="1598">
        <f t="shared" si="141"/>
        <v>-2447.8106402254598</v>
      </c>
      <c r="AR26" s="1598">
        <f t="shared" si="42"/>
        <v>0</v>
      </c>
      <c r="AS26" s="1598">
        <f t="shared" si="2"/>
        <v>-2447.8106402254598</v>
      </c>
      <c r="AT26" s="1602">
        <v>5322.04</v>
      </c>
      <c r="AU26" s="1602">
        <f>SUM(AT26)</f>
        <v>5322.04</v>
      </c>
      <c r="AV26" s="1602">
        <v>0</v>
      </c>
      <c r="AW26" s="1602">
        <f t="shared" si="124"/>
        <v>9808.8700000000008</v>
      </c>
      <c r="AX26" s="1602">
        <v>9808.8700000000008</v>
      </c>
      <c r="AY26" s="1602">
        <v>0</v>
      </c>
      <c r="AZ26" s="1602">
        <v>12041.06</v>
      </c>
      <c r="BA26" s="1599">
        <f t="shared" ref="BA26" si="174">SUM(AZ26/AL26)</f>
        <v>1.0323031026192597</v>
      </c>
      <c r="BB26" s="1602">
        <f>SUM(AZ26)</f>
        <v>12041.06</v>
      </c>
      <c r="BC26" s="1602">
        <v>0</v>
      </c>
      <c r="BD26" s="1603">
        <f>'цех вода'!AG49</f>
        <v>10482.025535236962</v>
      </c>
      <c r="BE26" s="1602">
        <f>SUM(BD26)</f>
        <v>10482.025535236962</v>
      </c>
      <c r="BF26" s="1602">
        <v>0</v>
      </c>
      <c r="BG26" s="1602">
        <f t="shared" si="49"/>
        <v>10745.24</v>
      </c>
      <c r="BH26" s="1602">
        <v>10745.24</v>
      </c>
      <c r="BI26" s="1602">
        <v>0</v>
      </c>
      <c r="BJ26" s="1602">
        <f t="shared" ref="BJ26" si="175">BK26+BL26</f>
        <v>13297.15</v>
      </c>
      <c r="BK26" s="1602">
        <v>13297.15</v>
      </c>
      <c r="BL26" s="1602"/>
      <c r="BM26" s="1603">
        <f t="shared" ref="BM26" si="176">SUM(BN26+BO26)</f>
        <v>13162.7</v>
      </c>
      <c r="BN26" s="1602">
        <v>13162.7</v>
      </c>
      <c r="BO26" s="1602">
        <v>0</v>
      </c>
      <c r="BP26" s="1603">
        <f t="shared" ref="BP26" si="177">SUM(BQ26+BR26)</f>
        <v>15777.89</v>
      </c>
      <c r="BQ26" s="1602">
        <v>15777.89</v>
      </c>
      <c r="BR26" s="1602">
        <v>0</v>
      </c>
      <c r="BS26" s="1602">
        <f t="shared" ref="BS26" si="178">BT26+BU26</f>
        <v>17694.43</v>
      </c>
      <c r="BT26" s="1602">
        <v>17694.43</v>
      </c>
      <c r="BU26" s="1602"/>
      <c r="BV26" s="1602">
        <f t="shared" ref="BV26" si="179">BW26+BX26</f>
        <v>14983.454979835366</v>
      </c>
      <c r="BW26" s="1602">
        <f>'цех вода'!AM49</f>
        <v>14983.454979835366</v>
      </c>
      <c r="BX26" s="1602"/>
      <c r="BY26" s="1602">
        <f t="shared" ref="BY26" si="180">BZ26+CA26</f>
        <v>16836.919903538299</v>
      </c>
      <c r="BZ26" s="1602">
        <f>SUM('цех вода'!AN49)</f>
        <v>16836.919903538299</v>
      </c>
      <c r="CA26" s="1602">
        <v>0</v>
      </c>
      <c r="CB26" s="3578" t="str">
        <f>CB16</f>
        <v>Приложение</v>
      </c>
      <c r="CC26" s="365"/>
      <c r="CD26" s="365"/>
      <c r="CE26" s="365"/>
      <c r="CF26" s="1602">
        <f t="shared" ref="CF26" si="181">CG26+CH26</f>
        <v>14983.454979835366</v>
      </c>
      <c r="CG26" s="1602">
        <f>SUM('цех вода'!AM49)</f>
        <v>14983.454979835366</v>
      </c>
      <c r="CH26" s="1602">
        <v>0</v>
      </c>
      <c r="CI26" s="1602">
        <f t="shared" ref="CI26" si="182">CJ26+CK26</f>
        <v>8011.99</v>
      </c>
      <c r="CJ26" s="1602">
        <f>SUM('цех вода'!AY49)</f>
        <v>8011.99</v>
      </c>
      <c r="CK26" s="1602">
        <v>0</v>
      </c>
      <c r="CL26" s="1602">
        <f t="shared" ref="CL26" si="183">CM26+CN26</f>
        <v>9993.06</v>
      </c>
      <c r="CM26" s="1602">
        <f>SUM('цех вода'!AZ49)</f>
        <v>9993.06</v>
      </c>
      <c r="CN26" s="1602">
        <v>0</v>
      </c>
      <c r="CO26" s="1602">
        <f t="shared" ref="CO26" si="184">CP26+CQ26</f>
        <v>13927.91</v>
      </c>
      <c r="CP26" s="1602">
        <f>SUM('цех вода'!BA49)</f>
        <v>13927.91</v>
      </c>
      <c r="CQ26" s="1602">
        <v>0</v>
      </c>
      <c r="CR26" s="2371">
        <f t="shared" ref="CR26" si="185">CS26+CT26</f>
        <v>17914.419692194271</v>
      </c>
      <c r="CS26" s="2371">
        <f>SUM('цех вода'!BB49)</f>
        <v>17914.419692194271</v>
      </c>
      <c r="CT26" s="2371">
        <v>0</v>
      </c>
      <c r="CU26" s="4101">
        <f t="shared" ref="CU26" si="186">CV26+CW26</f>
        <v>12960.522613473488</v>
      </c>
      <c r="CV26" s="4101">
        <f>SUM('цех вода'!BC49)</f>
        <v>12960.522613473488</v>
      </c>
      <c r="CW26" s="4101">
        <v>0</v>
      </c>
      <c r="CX26" s="2371">
        <f t="shared" ref="CX26" si="187">CY26+CZ26</f>
        <v>5138.1499999999996</v>
      </c>
      <c r="CY26" s="2371">
        <f>SUM('цех вода'!BD49)</f>
        <v>5138.1499999999996</v>
      </c>
      <c r="CZ26" s="2371">
        <v>0</v>
      </c>
      <c r="DA26" s="2371">
        <f t="shared" ref="DA26" si="188">DB26+DC26</f>
        <v>7257.6049999999996</v>
      </c>
      <c r="DB26" s="2371">
        <f>SUM('цех вода'!BE49)</f>
        <v>7257.6049999999996</v>
      </c>
      <c r="DC26" s="2371">
        <v>0</v>
      </c>
      <c r="DD26" s="3487">
        <f t="shared" ref="DD26" si="189">DE26+DF26</f>
        <v>0</v>
      </c>
      <c r="DE26" s="3487">
        <f>SUM('цех вода'!BP49)</f>
        <v>0</v>
      </c>
      <c r="DF26" s="3487">
        <v>0</v>
      </c>
    </row>
    <row r="27" spans="1:110" s="2219" customFormat="1" ht="21" customHeight="1" x14ac:dyDescent="0.2">
      <c r="A27" s="3610" t="s">
        <v>16</v>
      </c>
      <c r="B27" s="2652">
        <f>SUM(B28:B34)</f>
        <v>12845.2</v>
      </c>
      <c r="C27" s="3611">
        <f>SUM(C28:C34)</f>
        <v>12180.900000000001</v>
      </c>
      <c r="D27" s="3341">
        <f t="shared" si="29"/>
        <v>94.828418397533724</v>
      </c>
      <c r="E27" s="3611">
        <f>SUM(E28:E34)-E33</f>
        <v>13961.699999999999</v>
      </c>
      <c r="F27" s="3611">
        <f>SUM(F28:F34)-F33</f>
        <v>568.47806769444355</v>
      </c>
      <c r="G27" s="3611">
        <f>SUM(G28:G34)-G33</f>
        <v>16318.199999999999</v>
      </c>
      <c r="H27" s="3341">
        <f t="shared" si="31"/>
        <v>116.87831711038055</v>
      </c>
      <c r="I27" s="3584">
        <f>SUM(I28:I34)-I33</f>
        <v>15689.528200000002</v>
      </c>
      <c r="J27" s="3584">
        <f>SUM(J28:J34)-J33</f>
        <v>8282.6</v>
      </c>
      <c r="K27" s="3584">
        <f>SUM(K28:K34)-K33</f>
        <v>11231.541001831447</v>
      </c>
      <c r="L27" s="3584">
        <f>SUM(L28:L34)-L33</f>
        <v>16770.900000000001</v>
      </c>
      <c r="M27" s="3614">
        <f t="shared" si="32"/>
        <v>106.89231560194396</v>
      </c>
      <c r="N27" s="3604">
        <f t="shared" si="33"/>
        <v>102.7742030370997</v>
      </c>
      <c r="O27" s="3584">
        <f>SUM(O28:O34)</f>
        <v>19432.602000566199</v>
      </c>
      <c r="P27" s="3604">
        <f t="shared" si="34"/>
        <v>123.85714696357917</v>
      </c>
      <c r="Q27" s="3615">
        <f>SUM(Q28:Q34)-Q33</f>
        <v>16138.03883700253</v>
      </c>
      <c r="R27" s="3604">
        <f t="shared" si="43"/>
        <v>102.85866235928323</v>
      </c>
      <c r="S27" s="3604">
        <f t="shared" si="44"/>
        <v>96.226432910592337</v>
      </c>
      <c r="T27" s="3584" t="e">
        <f>SUM(T28:T34)-T33</f>
        <v>#REF!</v>
      </c>
      <c r="U27" s="3584" t="e">
        <f>SUM(U28:U34)</f>
        <v>#REF!</v>
      </c>
      <c r="V27" s="3584">
        <f>SUM(V28:V34)-V33</f>
        <v>13925.8</v>
      </c>
      <c r="W27" s="3584" t="e">
        <f>SUM(W28:W34)-W33</f>
        <v>#REF!</v>
      </c>
      <c r="X27" s="3584" t="e">
        <f>SUM(X28:X34)-X33</f>
        <v>#REF!</v>
      </c>
      <c r="Y27" s="1606">
        <f>SUM(Y28:Y34)-Y33</f>
        <v>20746.8</v>
      </c>
      <c r="Z27" s="1596">
        <f t="shared" si="35"/>
        <v>1.2855837199022071</v>
      </c>
      <c r="AA27" s="1606" t="e">
        <f>SUM(AA28:AA34)-AA33</f>
        <v>#REF!</v>
      </c>
      <c r="AB27" s="1596" t="e">
        <f t="shared" si="1"/>
        <v>#REF!</v>
      </c>
      <c r="AC27" s="1606" t="e">
        <f>SUM(AC28:AC34)-AC33</f>
        <v>#REF!</v>
      </c>
      <c r="AD27" s="1606" t="e">
        <f>SUM(AD28:AD34)-AD33</f>
        <v>#REF!</v>
      </c>
      <c r="AE27" s="1606">
        <f>SUM(AE28:AE34)-AE33</f>
        <v>16058.300000000001</v>
      </c>
      <c r="AF27" s="1606">
        <f>SUM(AF28:AF34)-AF33</f>
        <v>15863.911081950979</v>
      </c>
      <c r="AG27" s="1606">
        <f>SUM(AG28:AG34)-AG33</f>
        <v>194.38891804902261</v>
      </c>
      <c r="AH27" s="1595">
        <f t="shared" si="37"/>
        <v>18846.049999999996</v>
      </c>
      <c r="AI27" s="1597" t="e">
        <f t="shared" si="38"/>
        <v>#REF!</v>
      </c>
      <c r="AJ27" s="1606">
        <f>SUM(AJ28:AJ34)-AJ33</f>
        <v>18631.679999999997</v>
      </c>
      <c r="AK27" s="1606">
        <f>SUM(AK28:AK34)-AK33</f>
        <v>214.36999999999998</v>
      </c>
      <c r="AL27" s="1595">
        <f t="shared" si="39"/>
        <v>18173.702953335123</v>
      </c>
      <c r="AM27" s="1597" t="e">
        <f t="shared" si="40"/>
        <v>#REF!</v>
      </c>
      <c r="AN27" s="1606">
        <f>SUM(AN28:AN34)-AN33</f>
        <v>17969.281918178833</v>
      </c>
      <c r="AO27" s="1606">
        <f>SUM(AO28:AO34)-AO33</f>
        <v>204.42103515629208</v>
      </c>
      <c r="AP27" s="1598" t="e">
        <f t="shared" si="41"/>
        <v>#REF!</v>
      </c>
      <c r="AQ27" s="1598" t="e">
        <f t="shared" si="141"/>
        <v>#REF!</v>
      </c>
      <c r="AR27" s="1598" t="e">
        <f t="shared" si="42"/>
        <v>#REF!</v>
      </c>
      <c r="AS27" s="1598" t="e">
        <f t="shared" si="2"/>
        <v>#REF!</v>
      </c>
      <c r="AT27" s="1606">
        <f t="shared" ref="AT27:AZ27" si="190">SUM(AT28:AT34)-AT33</f>
        <v>7881.34</v>
      </c>
      <c r="AU27" s="1606">
        <f t="shared" si="190"/>
        <v>7828.1401733250268</v>
      </c>
      <c r="AV27" s="1606">
        <f t="shared" si="190"/>
        <v>53.19982667497321</v>
      </c>
      <c r="AW27" s="1606">
        <f t="shared" si="190"/>
        <v>16393.490000000002</v>
      </c>
      <c r="AX27" s="1606">
        <f t="shared" si="190"/>
        <v>16316.11</v>
      </c>
      <c r="AY27" s="1606">
        <f t="shared" si="190"/>
        <v>77.38000000000001</v>
      </c>
      <c r="AZ27" s="1606">
        <f t="shared" si="190"/>
        <v>20142.307000000001</v>
      </c>
      <c r="BA27" s="1599">
        <f t="shared" si="48"/>
        <v>1.1083215705527756</v>
      </c>
      <c r="BB27" s="1606">
        <f>SUM(BB28:BB34)-BB33</f>
        <v>21373.584955906259</v>
      </c>
      <c r="BC27" s="1606">
        <f>SUM(BC28:BC34)-BC33</f>
        <v>106.20804409374369</v>
      </c>
      <c r="BD27" s="1606">
        <f>SUM(BD28:BD34)-BD33</f>
        <v>18282.658427547103</v>
      </c>
      <c r="BE27" s="1606">
        <f t="shared" ref="BE27:BU27" si="191">SUM(BE28:BE34)-BE33</f>
        <v>18186.382405893168</v>
      </c>
      <c r="BF27" s="1606">
        <f t="shared" si="191"/>
        <v>96.276021653932204</v>
      </c>
      <c r="BG27" s="1606">
        <f t="shared" si="191"/>
        <v>16673.330000000002</v>
      </c>
      <c r="BH27" s="1606">
        <f t="shared" si="191"/>
        <v>16662.309999999998</v>
      </c>
      <c r="BI27" s="1606">
        <f t="shared" si="191"/>
        <v>11.02</v>
      </c>
      <c r="BJ27" s="1606">
        <f t="shared" si="191"/>
        <v>14443.529999999999</v>
      </c>
      <c r="BK27" s="1606">
        <f t="shared" si="191"/>
        <v>14436.84</v>
      </c>
      <c r="BL27" s="1606">
        <f t="shared" si="191"/>
        <v>6.69</v>
      </c>
      <c r="BM27" s="1606">
        <f>SUM(BM28:BM34)-BM33</f>
        <v>18691.259999999998</v>
      </c>
      <c r="BN27" s="1606">
        <f t="shared" ref="BN27:BO27" si="192">SUM(BN28:BN34)-BN33</f>
        <v>18582.63</v>
      </c>
      <c r="BO27" s="1606">
        <f t="shared" si="192"/>
        <v>108.63000000000001</v>
      </c>
      <c r="BP27" s="1606">
        <f>SUM(BP28:BP34)-BP33</f>
        <v>15193.307999999997</v>
      </c>
      <c r="BQ27" s="1606">
        <f t="shared" ref="BQ27:BR27" si="193">SUM(BQ28:BQ34)-BQ33</f>
        <v>15187.779999999999</v>
      </c>
      <c r="BR27" s="1606">
        <f t="shared" si="193"/>
        <v>5.5279999999999996</v>
      </c>
      <c r="BS27" s="1606">
        <f t="shared" si="191"/>
        <v>20387.870000000003</v>
      </c>
      <c r="BT27" s="1606">
        <f t="shared" si="191"/>
        <v>20359.66</v>
      </c>
      <c r="BU27" s="1606">
        <f t="shared" si="191"/>
        <v>28.209999999999997</v>
      </c>
      <c r="BV27" s="1606">
        <f>SUM(BV28:BV34)-BV33</f>
        <v>19441.441874880904</v>
      </c>
      <c r="BW27" s="1606">
        <f t="shared" ref="BW27" si="194">SUM(BW28:BW34)-BW33</f>
        <v>19432.046014292711</v>
      </c>
      <c r="BX27" s="1606">
        <f t="shared" ref="BX27" si="195">SUM(BX28:BX34)-BX33</f>
        <v>9.3958605881912014</v>
      </c>
      <c r="BY27" s="1606">
        <f>SUM(BY28:BY34)-BY33</f>
        <v>19735.290397455257</v>
      </c>
      <c r="BZ27" s="1606">
        <f t="shared" ref="BZ27" si="196">SUM(BZ28:BZ34)-BZ33</f>
        <v>19725.752522721719</v>
      </c>
      <c r="CA27" s="1606">
        <f t="shared" ref="CA27" si="197">SUM(CA28:CA34)-CA33</f>
        <v>9.537874733537171</v>
      </c>
      <c r="CB27" s="3441"/>
      <c r="CC27" s="365"/>
      <c r="CD27" s="365"/>
      <c r="CE27" s="365"/>
      <c r="CF27" s="1606">
        <f>SUM(CF28:CF34)-CF33</f>
        <v>19774.965723815749</v>
      </c>
      <c r="CG27" s="1606">
        <f t="shared" ref="CG27" si="198">SUM(CG28:CG34)-CG33</f>
        <v>19764.892512564471</v>
      </c>
      <c r="CH27" s="1606">
        <f t="shared" ref="CH27" si="199">SUM(CH28:CH34)-CH33</f>
        <v>10.073211251278194</v>
      </c>
      <c r="CI27" s="1606">
        <f>SUM(CI28:CI34)-CI33</f>
        <v>7259.7899999999991</v>
      </c>
      <c r="CJ27" s="1606">
        <f t="shared" ref="CJ27" si="200">SUM(CJ28:CJ34)-CJ33</f>
        <v>7259.7899999999991</v>
      </c>
      <c r="CK27" s="1606">
        <f t="shared" ref="CK27" si="201">SUM(CK28:CK34)-CK33</f>
        <v>0</v>
      </c>
      <c r="CL27" s="1606">
        <f>SUM(CL28:CL34)-CL33</f>
        <v>11455.82</v>
      </c>
      <c r="CM27" s="1606">
        <f t="shared" ref="CM27" si="202">SUM(CM28:CM34)-CM33</f>
        <v>11455.82</v>
      </c>
      <c r="CN27" s="1606">
        <f t="shared" ref="CN27" si="203">SUM(CN28:CN34)-CN33</f>
        <v>0</v>
      </c>
      <c r="CO27" s="1606">
        <f>SUM(CO28:CO34)-CO33</f>
        <v>14344.080000000002</v>
      </c>
      <c r="CP27" s="1606">
        <f t="shared" ref="CP27" si="204">SUM(CP28:CP34)-CP33</f>
        <v>14344.080000000002</v>
      </c>
      <c r="CQ27" s="1606">
        <f t="shared" ref="CQ27" si="205">SUM(CQ28:CQ34)-CQ33</f>
        <v>0</v>
      </c>
      <c r="CR27" s="2374">
        <f>SUM(CR28:CR34)-CR33</f>
        <v>22321.509050483292</v>
      </c>
      <c r="CS27" s="2374">
        <f t="shared" ref="CS27" si="206">SUM(CS28:CS34)-CS33</f>
        <v>22295.347822579792</v>
      </c>
      <c r="CT27" s="2374">
        <f t="shared" ref="CT27" si="207">SUM(CT28:CT34)-CT33</f>
        <v>26.161227903500002</v>
      </c>
      <c r="CU27" s="4103">
        <f>SUM(CU28:CU34)-CU33</f>
        <v>19240.069710719687</v>
      </c>
      <c r="CV27" s="4103">
        <f t="shared" ref="CV27" si="208">SUM(CV28:CV34)-CV33</f>
        <v>19240.069710719687</v>
      </c>
      <c r="CW27" s="4103">
        <f t="shared" ref="CW27" si="209">SUM(CW28:CW34)-CW33</f>
        <v>0</v>
      </c>
      <c r="CX27" s="2374">
        <f>SUM(CX28:CX34)-CX33</f>
        <v>6673.9349999999995</v>
      </c>
      <c r="CY27" s="2374">
        <f t="shared" ref="CY27" si="210">SUM(CY28:CY34)-CY33</f>
        <v>6673.9349999999995</v>
      </c>
      <c r="CZ27" s="2374">
        <f t="shared" ref="CZ27" si="211">SUM(CZ28:CZ34)-CZ33</f>
        <v>0</v>
      </c>
      <c r="DA27" s="2374">
        <f>SUM(DA28:DA34)-DA33</f>
        <v>10373.984</v>
      </c>
      <c r="DB27" s="2374">
        <f t="shared" ref="DB27" si="212">SUM(DB28:DB34)-DB33</f>
        <v>10373.984</v>
      </c>
      <c r="DC27" s="2374">
        <f t="shared" ref="DC27" si="213">SUM(DC28:DC34)-DC33</f>
        <v>0</v>
      </c>
      <c r="DD27" s="3489">
        <f>SUM(DD28:DD34)-DD33</f>
        <v>2659.58</v>
      </c>
      <c r="DE27" s="3489">
        <f t="shared" ref="DE27" si="214">SUM(DE28:DE34)-DE33</f>
        <v>2659.58</v>
      </c>
      <c r="DF27" s="3489">
        <f t="shared" ref="DF27" si="215">SUM(DF28:DF34)-DF33</f>
        <v>0</v>
      </c>
    </row>
    <row r="28" spans="1:110" s="385" customFormat="1" ht="46.5" customHeight="1" x14ac:dyDescent="0.2">
      <c r="A28" s="3466" t="s">
        <v>3</v>
      </c>
      <c r="B28" s="3581">
        <v>853.3</v>
      </c>
      <c r="C28" s="2125">
        <v>417.9</v>
      </c>
      <c r="D28" s="3341">
        <f t="shared" si="29"/>
        <v>48.974569319114025</v>
      </c>
      <c r="E28" s="2125">
        <v>562.4</v>
      </c>
      <c r="F28" s="3341">
        <f t="shared" si="30"/>
        <v>134.5776501555396</v>
      </c>
      <c r="G28" s="2125">
        <v>623.79999999999995</v>
      </c>
      <c r="H28" s="3341">
        <f t="shared" si="31"/>
        <v>110.91749644381224</v>
      </c>
      <c r="I28" s="3583">
        <v>583.20000000000005</v>
      </c>
      <c r="J28" s="3583">
        <v>332.5</v>
      </c>
      <c r="K28" s="3583">
        <v>504.5</v>
      </c>
      <c r="L28" s="3583">
        <v>710</v>
      </c>
      <c r="M28" s="3604">
        <f t="shared" si="32"/>
        <v>121.7421124828532</v>
      </c>
      <c r="N28" s="3604">
        <f t="shared" si="33"/>
        <v>113.81853158063481</v>
      </c>
      <c r="O28" s="3583">
        <v>686.4</v>
      </c>
      <c r="P28" s="3604">
        <f t="shared" si="34"/>
        <v>117.6954732510288</v>
      </c>
      <c r="Q28" s="3605">
        <v>0</v>
      </c>
      <c r="R28" s="3604">
        <f t="shared" si="43"/>
        <v>0</v>
      </c>
      <c r="S28" s="3604">
        <f t="shared" si="44"/>
        <v>0</v>
      </c>
      <c r="T28" s="3583" t="e">
        <f>Q28/Q79*T79</f>
        <v>#REF!</v>
      </c>
      <c r="U28" s="3583" t="e">
        <f t="shared" ref="U28:U34" si="216">Q28-T28</f>
        <v>#REF!</v>
      </c>
      <c r="V28" s="3583">
        <v>286</v>
      </c>
      <c r="W28" s="3583">
        <v>300</v>
      </c>
      <c r="X28" s="3583"/>
      <c r="Y28" s="1602">
        <v>780</v>
      </c>
      <c r="Z28" s="1596"/>
      <c r="AA28" s="1602">
        <f>Y28</f>
        <v>780</v>
      </c>
      <c r="AB28" s="1596"/>
      <c r="AC28" s="1602" t="e">
        <f>$AC$79/$AA$79*AA28</f>
        <v>#REF!</v>
      </c>
      <c r="AD28" s="1602" t="e">
        <f t="shared" si="46"/>
        <v>#REF!</v>
      </c>
      <c r="AE28" s="1602">
        <f>SUM(AF28:AG28)</f>
        <v>292.5</v>
      </c>
      <c r="AF28" s="1602">
        <v>292.5</v>
      </c>
      <c r="AG28" s="1602">
        <v>0</v>
      </c>
      <c r="AH28" s="1603">
        <f t="shared" si="37"/>
        <v>828.26</v>
      </c>
      <c r="AI28" s="1597">
        <f t="shared" si="38"/>
        <v>1.0618717948717948</v>
      </c>
      <c r="AJ28" s="1602">
        <v>819</v>
      </c>
      <c r="AK28" s="1602">
        <v>9.26</v>
      </c>
      <c r="AL28" s="1603">
        <f t="shared" si="39"/>
        <v>215.84899999999999</v>
      </c>
      <c r="AM28" s="1597">
        <f t="shared" si="40"/>
        <v>0.27672948717948714</v>
      </c>
      <c r="AN28" s="1602">
        <f>'Ремонт вода 2015'!G49/1000</f>
        <v>215.84899999999999</v>
      </c>
      <c r="AO28" s="1602">
        <v>0</v>
      </c>
      <c r="AP28" s="1598">
        <f t="shared" si="41"/>
        <v>0</v>
      </c>
      <c r="AQ28" s="1598" t="e">
        <f t="shared" si="141"/>
        <v>#REF!</v>
      </c>
      <c r="AR28" s="1598" t="e">
        <f t="shared" si="42"/>
        <v>#REF!</v>
      </c>
      <c r="AS28" s="1598" t="e">
        <f t="shared" si="2"/>
        <v>#REF!</v>
      </c>
      <c r="AT28" s="1602">
        <v>151.91</v>
      </c>
      <c r="AU28" s="1602">
        <v>151.91</v>
      </c>
      <c r="AV28" s="1602">
        <v>0</v>
      </c>
      <c r="AW28" s="1602">
        <f t="shared" si="124"/>
        <v>339.39</v>
      </c>
      <c r="AX28" s="1602">
        <v>339.39</v>
      </c>
      <c r="AY28" s="1602"/>
      <c r="AZ28" s="1603">
        <v>256.13</v>
      </c>
      <c r="BA28" s="1599">
        <f t="shared" si="48"/>
        <v>1.1866165699169327</v>
      </c>
      <c r="BB28" s="1602">
        <f>SUM('Ремонт вода 2016'!K191/1000)</f>
        <v>1593.616</v>
      </c>
      <c r="BC28" s="1602">
        <v>0</v>
      </c>
      <c r="BD28" s="1603">
        <f>' текРемвода 2016'!I197/1000</f>
        <v>256.13299999999998</v>
      </c>
      <c r="BE28" s="1602">
        <f>BD28</f>
        <v>256.13299999999998</v>
      </c>
      <c r="BF28" s="1602">
        <v>0</v>
      </c>
      <c r="BG28" s="1602">
        <f t="shared" si="49"/>
        <v>291.54000000000002</v>
      </c>
      <c r="BH28" s="1602">
        <v>291.54000000000002</v>
      </c>
      <c r="BI28" s="1602">
        <v>0</v>
      </c>
      <c r="BJ28" s="1602">
        <f t="shared" ref="BJ28:BJ32" si="217">BK28+BL28</f>
        <v>566.03</v>
      </c>
      <c r="BK28" s="1602">
        <v>566.03</v>
      </c>
      <c r="BL28" s="1602">
        <v>0</v>
      </c>
      <c r="BM28" s="1603">
        <f>SUM(BN28:BO28)</f>
        <v>279.61</v>
      </c>
      <c r="BN28" s="1602">
        <v>279.61</v>
      </c>
      <c r="BO28" s="1602">
        <v>0</v>
      </c>
      <c r="BP28" s="1603">
        <f>SUM(BQ28:BR28)</f>
        <v>996.73</v>
      </c>
      <c r="BQ28" s="1602">
        <v>996.37</v>
      </c>
      <c r="BR28" s="1602">
        <v>0.36</v>
      </c>
      <c r="BS28" s="1602">
        <f t="shared" ref="BS28:BS32" si="218">BT28+BU28</f>
        <v>1049.73</v>
      </c>
      <c r="BT28" s="1602">
        <v>1048.27</v>
      </c>
      <c r="BU28" s="1602">
        <v>1.46</v>
      </c>
      <c r="BV28" s="1602">
        <f>'рем программа'!B30</f>
        <v>1049.5662500000001</v>
      </c>
      <c r="BW28" s="1602">
        <f>BV28/$BV$79*$BW$79</f>
        <v>1049.0590047953215</v>
      </c>
      <c r="BX28" s="1602">
        <f>BV28/$BV$79*$BX$79</f>
        <v>0.50724520467857759</v>
      </c>
      <c r="BY28" s="1602">
        <f>SUM('рем программа'!I30:J30)</f>
        <v>1052.53394</v>
      </c>
      <c r="BZ28" s="1602">
        <f>BY28/$BV$79*$BW$79</f>
        <v>1052.0252605394835</v>
      </c>
      <c r="CA28" s="1602">
        <f>BY28/$BV$79*$BX$79</f>
        <v>0.50867946051661794</v>
      </c>
      <c r="CB28" s="3578" t="s">
        <v>3509</v>
      </c>
      <c r="CC28" s="365"/>
      <c r="CD28" s="365"/>
      <c r="CE28" s="365"/>
      <c r="CF28" s="1602">
        <f>SUM('рем программа'!K30)</f>
        <v>1070.2427051249999</v>
      </c>
      <c r="CG28" s="1602">
        <f>CF28/CF151*CG151</f>
        <v>1069.6975319495098</v>
      </c>
      <c r="CH28" s="1602">
        <f>CF28/CF151*CH151</f>
        <v>0.5451731754902539</v>
      </c>
      <c r="CI28" s="1602">
        <f>SUM(CJ28:CK28)</f>
        <v>197.37</v>
      </c>
      <c r="CJ28" s="1602">
        <f>SUM('рем программа'!L30)</f>
        <v>197.37</v>
      </c>
      <c r="CK28" s="1602">
        <v>0</v>
      </c>
      <c r="CL28" s="1602">
        <f>SUM(CM28:CN28)</f>
        <v>294.45</v>
      </c>
      <c r="CM28" s="1602">
        <f>SUM('рем программа'!M30)</f>
        <v>294.45</v>
      </c>
      <c r="CN28" s="1602">
        <v>0</v>
      </c>
      <c r="CO28" s="1602">
        <f>SUM(CP28:CQ28)</f>
        <v>515.79999999999995</v>
      </c>
      <c r="CP28" s="1602">
        <f>SUM('рем программа'!N30)</f>
        <v>515.79999999999995</v>
      </c>
      <c r="CQ28" s="1602">
        <v>0</v>
      </c>
      <c r="CR28" s="2371">
        <f>SUM(CS28:CT28)</f>
        <v>1153.2394764000001</v>
      </c>
      <c r="CS28" s="2371">
        <f>SUM('рем программа'!O30)</f>
        <v>1153.2394764000001</v>
      </c>
      <c r="CT28" s="2371">
        <v>0</v>
      </c>
      <c r="CU28" s="4101">
        <f>SUM(CV28:CW28)</f>
        <v>1099.8151527991322</v>
      </c>
      <c r="CV28" s="4101">
        <f>SUM('рем программа'!P30)</f>
        <v>1099.8151527991322</v>
      </c>
      <c r="CW28" s="4101">
        <v>0</v>
      </c>
      <c r="CX28" s="2371">
        <f>SUM(CY28:CZ28)</f>
        <v>379.27</v>
      </c>
      <c r="CY28" s="2371">
        <f>SUM('рем программа'!Q30)</f>
        <v>379.27</v>
      </c>
      <c r="CZ28" s="2371">
        <v>0</v>
      </c>
      <c r="DA28" s="2371">
        <f>SUM(DB28:DC28)</f>
        <v>496.94</v>
      </c>
      <c r="DB28" s="2371">
        <f>SUM('рем программа'!R30)</f>
        <v>496.94</v>
      </c>
      <c r="DC28" s="2371">
        <v>0</v>
      </c>
      <c r="DD28" s="3487">
        <f>SUM(DE28:DF28)</f>
        <v>0</v>
      </c>
      <c r="DE28" s="3487">
        <f>SUM('рем программа'!AC30)</f>
        <v>0</v>
      </c>
      <c r="DF28" s="3487">
        <v>0</v>
      </c>
    </row>
    <row r="29" spans="1:110" ht="21" customHeight="1" x14ac:dyDescent="0.2">
      <c r="A29" s="3466" t="s">
        <v>2</v>
      </c>
      <c r="B29" s="3581">
        <v>332.9</v>
      </c>
      <c r="C29" s="2125">
        <v>352.9</v>
      </c>
      <c r="D29" s="3341">
        <f t="shared" si="29"/>
        <v>106.00781015319916</v>
      </c>
      <c r="E29" s="2125">
        <v>309.39999999999998</v>
      </c>
      <c r="F29" s="3341">
        <f t="shared" si="30"/>
        <v>87.673561915556817</v>
      </c>
      <c r="G29" s="2125">
        <v>267</v>
      </c>
      <c r="H29" s="3341">
        <f t="shared" si="31"/>
        <v>86.296056884292184</v>
      </c>
      <c r="I29" s="3583">
        <v>257</v>
      </c>
      <c r="J29" s="3583">
        <v>129.80000000000001</v>
      </c>
      <c r="K29" s="3583">
        <v>203.5</v>
      </c>
      <c r="L29" s="3583">
        <v>272.89999999999998</v>
      </c>
      <c r="M29" s="3604">
        <f t="shared" si="32"/>
        <v>106.18677042801556</v>
      </c>
      <c r="N29" s="3604">
        <f t="shared" si="33"/>
        <v>102.20973782771534</v>
      </c>
      <c r="O29" s="3583">
        <v>257</v>
      </c>
      <c r="P29" s="3604">
        <f t="shared" si="34"/>
        <v>100</v>
      </c>
      <c r="Q29" s="3605">
        <v>257</v>
      </c>
      <c r="R29" s="3604">
        <f t="shared" si="43"/>
        <v>100</v>
      </c>
      <c r="S29" s="3604">
        <f t="shared" si="44"/>
        <v>94.173689996335668</v>
      </c>
      <c r="T29" s="3583" t="e">
        <f>Q29/Q79*T79</f>
        <v>#REF!</v>
      </c>
      <c r="U29" s="3583" t="e">
        <f t="shared" si="216"/>
        <v>#REF!</v>
      </c>
      <c r="V29" s="3583">
        <v>205.4</v>
      </c>
      <c r="W29" s="3583" t="e">
        <f>272.9*(объемы!#REF!-объемы!#REF!)/объемы!#REF!</f>
        <v>#REF!</v>
      </c>
      <c r="X29" s="3583" t="e">
        <f>272.9-W29</f>
        <v>#REF!</v>
      </c>
      <c r="Y29" s="1602">
        <v>298.89999999999998</v>
      </c>
      <c r="Z29" s="1596">
        <f t="shared" si="35"/>
        <v>1.1630350194552528</v>
      </c>
      <c r="AA29" s="1602" t="e">
        <f>Аморт!G9</f>
        <v>#REF!</v>
      </c>
      <c r="AB29" s="1596" t="e">
        <f t="shared" si="1"/>
        <v>#REF!</v>
      </c>
      <c r="AC29" s="1602" t="e">
        <f>$AC$79/$AA$79*AA29</f>
        <v>#REF!</v>
      </c>
      <c r="AD29" s="1602" t="e">
        <f t="shared" si="46"/>
        <v>#REF!</v>
      </c>
      <c r="AE29" s="1602">
        <f>SUM(Аморт!L9)</f>
        <v>72.099999999999994</v>
      </c>
      <c r="AF29" s="1602">
        <f>AF79/AE79*AE29</f>
        <v>71.211022530329288</v>
      </c>
      <c r="AG29" s="1602">
        <f>AE29-AF29</f>
        <v>0.88897746967070645</v>
      </c>
      <c r="AH29" s="1603">
        <f t="shared" si="37"/>
        <v>273</v>
      </c>
      <c r="AI29" s="1597" t="e">
        <f t="shared" si="38"/>
        <v>#REF!</v>
      </c>
      <c r="AJ29" s="1602">
        <v>269.89</v>
      </c>
      <c r="AK29" s="1602">
        <v>3.11</v>
      </c>
      <c r="AL29" s="1603">
        <f t="shared" si="39"/>
        <v>273</v>
      </c>
      <c r="AM29" s="1597" t="e">
        <f t="shared" si="40"/>
        <v>#REF!</v>
      </c>
      <c r="AN29" s="1602">
        <f>Аморт!O9*AN79/(AN79+AO79)</f>
        <v>269.89233787385251</v>
      </c>
      <c r="AO29" s="1602">
        <f>-AN29+Аморт!O9</f>
        <v>3.1076621261474884</v>
      </c>
      <c r="AP29" s="1598" t="e">
        <f t="shared" si="41"/>
        <v>#REF!</v>
      </c>
      <c r="AQ29" s="1598" t="e">
        <f t="shared" si="141"/>
        <v>#REF!</v>
      </c>
      <c r="AR29" s="1598" t="e">
        <f t="shared" si="42"/>
        <v>#REF!</v>
      </c>
      <c r="AS29" s="1598" t="e">
        <f t="shared" si="2"/>
        <v>#REF!</v>
      </c>
      <c r="AT29" s="1602">
        <f>SUM(Аморт!Q9)</f>
        <v>26.95</v>
      </c>
      <c r="AU29" s="1602">
        <f>AU79/AT79*AT29</f>
        <v>26.764509565531931</v>
      </c>
      <c r="AV29" s="1602">
        <f>AT29-AU29</f>
        <v>0.18549043446806834</v>
      </c>
      <c r="AW29" s="1602">
        <f t="shared" si="124"/>
        <v>53.89</v>
      </c>
      <c r="AX29" s="1602">
        <v>53.63</v>
      </c>
      <c r="AY29" s="1602">
        <v>0.26</v>
      </c>
      <c r="AZ29" s="1603">
        <f>SUM(Аморт!T9)</f>
        <v>273</v>
      </c>
      <c r="BA29" s="1599">
        <f t="shared" si="48"/>
        <v>1</v>
      </c>
      <c r="BB29" s="1602">
        <f>BB79/AZ79*AZ29</f>
        <v>271.54196228678882</v>
      </c>
      <c r="BC29" s="1602">
        <f>AZ29-BB29</f>
        <v>1.4580377132111835</v>
      </c>
      <c r="BD29" s="1603">
        <f>SUM(Аморт!U9)</f>
        <v>53.89</v>
      </c>
      <c r="BE29" s="1602">
        <f>BE79/BD79*BD29</f>
        <v>53.602184423571615</v>
      </c>
      <c r="BF29" s="1602">
        <f>BD29-BE29</f>
        <v>0.28781557642838607</v>
      </c>
      <c r="BG29" s="1602">
        <f t="shared" si="49"/>
        <v>53.89</v>
      </c>
      <c r="BH29" s="1602">
        <v>53.85</v>
      </c>
      <c r="BI29" s="1602">
        <v>0.04</v>
      </c>
      <c r="BJ29" s="1602">
        <f t="shared" si="217"/>
        <v>53.88</v>
      </c>
      <c r="BK29" s="1602">
        <v>53.88</v>
      </c>
      <c r="BL29" s="1602">
        <v>0</v>
      </c>
      <c r="BM29" s="1603">
        <f t="shared" ref="BM29:BM42" si="219">SUM(BN29+BO29)</f>
        <v>53.89</v>
      </c>
      <c r="BN29" s="1602">
        <v>53.89</v>
      </c>
      <c r="BO29" s="1602">
        <v>0</v>
      </c>
      <c r="BP29" s="1603">
        <f t="shared" ref="BP29:BP32" si="220">SUM(BQ29+BR29)</f>
        <v>51.454000000000001</v>
      </c>
      <c r="BQ29" s="1602">
        <v>51.43</v>
      </c>
      <c r="BR29" s="1602">
        <v>2.4E-2</v>
      </c>
      <c r="BS29" s="1602">
        <f t="shared" si="218"/>
        <v>53.88</v>
      </c>
      <c r="BT29" s="1602">
        <v>53.88</v>
      </c>
      <c r="BU29" s="1602">
        <v>0</v>
      </c>
      <c r="BV29" s="1602">
        <f>Аморт!AM9</f>
        <v>53.88</v>
      </c>
      <c r="BW29" s="1602">
        <f>BV29/$BV$79*$BW$79</f>
        <v>53.853960317771197</v>
      </c>
      <c r="BX29" s="1602">
        <f>BV29/$BV$79*$BX$79</f>
        <v>2.6039682228808099E-2</v>
      </c>
      <c r="BY29" s="1602">
        <f>SUM(Аморт!AS9)</f>
        <v>53.88</v>
      </c>
      <c r="BZ29" s="1602">
        <f>BY29/$BV$79*$BW$79</f>
        <v>53.853960317771197</v>
      </c>
      <c r="CA29" s="1602">
        <f>BY29/$BV$79*$BX$79</f>
        <v>2.6039682228808099E-2</v>
      </c>
      <c r="CB29" s="3578" t="str">
        <f>CB20</f>
        <v>Приложение</v>
      </c>
      <c r="CC29" s="365"/>
      <c r="CD29" s="365"/>
      <c r="CE29" s="365"/>
      <c r="CF29" s="1602">
        <f>SUM(Аморт!AT9)</f>
        <v>53.88</v>
      </c>
      <c r="CG29" s="1602">
        <f>CF29/CF151*CG151</f>
        <v>53.852553953832384</v>
      </c>
      <c r="CH29" s="1602">
        <f>CF29/CF151*CH151</f>
        <v>2.7446046167615906E-2</v>
      </c>
      <c r="CI29" s="1602">
        <f>SUM(CJ29:CK29)</f>
        <v>22.59</v>
      </c>
      <c r="CJ29" s="1602">
        <f>SUM(Аморт!AV9)</f>
        <v>22.59</v>
      </c>
      <c r="CK29" s="1602">
        <f>SUM(Аморт!AW9)</f>
        <v>0</v>
      </c>
      <c r="CL29" s="1602">
        <f>SUM(CM29:CN29)</f>
        <v>34.06</v>
      </c>
      <c r="CM29" s="1602">
        <f>SUM(Аморт!AY9)</f>
        <v>34.06</v>
      </c>
      <c r="CN29" s="1602">
        <f>SUM(Аморт!AZ9)</f>
        <v>0</v>
      </c>
      <c r="CO29" s="1602">
        <f>SUM(CP29:CQ29)</f>
        <v>41.95</v>
      </c>
      <c r="CP29" s="1602">
        <f>SUM(Аморт!BB9)</f>
        <v>41.95</v>
      </c>
      <c r="CQ29" s="1602">
        <f>SUM(Аморт!BC9)</f>
        <v>0</v>
      </c>
      <c r="CR29" s="2371">
        <f>SUM(CS29:CT29)</f>
        <v>41.95</v>
      </c>
      <c r="CS29" s="2371">
        <f>SUM(Аморт!BD9)</f>
        <v>41.95</v>
      </c>
      <c r="CT29" s="2371">
        <v>0</v>
      </c>
      <c r="CU29" s="4101">
        <f>SUM(CV29:CW29)</f>
        <v>22.007611636538794</v>
      </c>
      <c r="CV29" s="4101">
        <f>SUM(Аморт!BE9)</f>
        <v>22.007611636538794</v>
      </c>
      <c r="CW29" s="4101">
        <v>0</v>
      </c>
      <c r="CX29" s="2371">
        <f>SUM(CY29:CZ29)</f>
        <v>23.655000000000001</v>
      </c>
      <c r="CY29" s="2371">
        <f>SUM(Аморт!BJ9)</f>
        <v>23.655000000000001</v>
      </c>
      <c r="CZ29" s="2371">
        <v>0</v>
      </c>
      <c r="DA29" s="2371">
        <f>SUM(DB29:DC29)</f>
        <v>55.16</v>
      </c>
      <c r="DB29" s="2371">
        <f>SUM(Аморт!BM9)</f>
        <v>55.16</v>
      </c>
      <c r="DC29" s="2371">
        <f>SUM(Аморт!BO9)</f>
        <v>0</v>
      </c>
      <c r="DD29" s="3487">
        <f>SUM(DE29:DF29)</f>
        <v>0</v>
      </c>
      <c r="DE29" s="3487">
        <f>SUM(Аморт!BQ9)</f>
        <v>0</v>
      </c>
      <c r="DF29" s="3487">
        <f>SUM(Аморт!BR9)</f>
        <v>0</v>
      </c>
    </row>
    <row r="30" spans="1:110" ht="21" customHeight="1" x14ac:dyDescent="0.2">
      <c r="A30" s="3466" t="s">
        <v>210</v>
      </c>
      <c r="B30" s="3581">
        <v>35.4</v>
      </c>
      <c r="C30" s="1732"/>
      <c r="D30" s="3341">
        <f t="shared" si="29"/>
        <v>0</v>
      </c>
      <c r="E30" s="3581">
        <v>8.6999999999999993</v>
      </c>
      <c r="F30" s="3341"/>
      <c r="G30" s="2125"/>
      <c r="H30" s="3341">
        <f t="shared" si="31"/>
        <v>0</v>
      </c>
      <c r="I30" s="3583"/>
      <c r="J30" s="3583"/>
      <c r="K30" s="3583"/>
      <c r="L30" s="3583">
        <v>33.299999999999997</v>
      </c>
      <c r="M30" s="3604"/>
      <c r="N30" s="3604"/>
      <c r="O30" s="3583"/>
      <c r="P30" s="3604"/>
      <c r="Q30" s="3605"/>
      <c r="R30" s="3604"/>
      <c r="S30" s="3604"/>
      <c r="T30" s="3583"/>
      <c r="U30" s="3583">
        <f t="shared" si="216"/>
        <v>0</v>
      </c>
      <c r="V30" s="3583">
        <v>0</v>
      </c>
      <c r="W30" s="3583">
        <v>0</v>
      </c>
      <c r="X30" s="3583">
        <v>0</v>
      </c>
      <c r="Y30" s="1602">
        <v>0</v>
      </c>
      <c r="Z30" s="1596"/>
      <c r="AA30" s="1602">
        <v>0</v>
      </c>
      <c r="AB30" s="1596"/>
      <c r="AC30" s="1602" t="e">
        <f>$AC$79/$AA$79*AA30</f>
        <v>#REF!</v>
      </c>
      <c r="AD30" s="1602" t="e">
        <f t="shared" si="46"/>
        <v>#REF!</v>
      </c>
      <c r="AE30" s="1602">
        <v>0</v>
      </c>
      <c r="AF30" s="1602">
        <v>0</v>
      </c>
      <c r="AG30" s="1602">
        <v>0</v>
      </c>
      <c r="AH30" s="1603">
        <f t="shared" si="37"/>
        <v>0</v>
      </c>
      <c r="AI30" s="1597"/>
      <c r="AJ30" s="1602">
        <v>0</v>
      </c>
      <c r="AK30" s="1602">
        <v>0</v>
      </c>
      <c r="AL30" s="1603">
        <f t="shared" si="39"/>
        <v>0</v>
      </c>
      <c r="AM30" s="1597"/>
      <c r="AN30" s="1602">
        <v>0</v>
      </c>
      <c r="AO30" s="1602">
        <v>0</v>
      </c>
      <c r="AP30" s="1598">
        <f t="shared" si="41"/>
        <v>0</v>
      </c>
      <c r="AQ30" s="1598"/>
      <c r="AR30" s="1598"/>
      <c r="AS30" s="1598">
        <f t="shared" si="2"/>
        <v>0</v>
      </c>
      <c r="AT30" s="1602">
        <v>0</v>
      </c>
      <c r="AU30" s="1602">
        <v>0</v>
      </c>
      <c r="AV30" s="1602">
        <v>0</v>
      </c>
      <c r="AW30" s="1602">
        <f t="shared" si="124"/>
        <v>0</v>
      </c>
      <c r="AX30" s="1602">
        <v>0</v>
      </c>
      <c r="AY30" s="1602">
        <v>0</v>
      </c>
      <c r="AZ30" s="1603">
        <f t="shared" ref="AZ30" si="221">SUM(BB30+BC30)</f>
        <v>0</v>
      </c>
      <c r="BA30" s="1599"/>
      <c r="BB30" s="1602">
        <v>0</v>
      </c>
      <c r="BC30" s="1602">
        <v>0</v>
      </c>
      <c r="BD30" s="1603">
        <f t="shared" ref="BD30" si="222">SUM(BE30+BF30)</f>
        <v>0</v>
      </c>
      <c r="BE30" s="1602">
        <v>0</v>
      </c>
      <c r="BF30" s="1602">
        <v>0</v>
      </c>
      <c r="BG30" s="1602">
        <f t="shared" si="49"/>
        <v>0</v>
      </c>
      <c r="BH30" s="1602">
        <v>0</v>
      </c>
      <c r="BI30" s="1602">
        <v>0</v>
      </c>
      <c r="BJ30" s="1602">
        <f t="shared" si="217"/>
        <v>0</v>
      </c>
      <c r="BK30" s="1602">
        <v>0</v>
      </c>
      <c r="BL30" s="1602">
        <v>0</v>
      </c>
      <c r="BM30" s="1603">
        <f t="shared" si="219"/>
        <v>0</v>
      </c>
      <c r="BN30" s="1602">
        <v>0</v>
      </c>
      <c r="BO30" s="1602">
        <v>0</v>
      </c>
      <c r="BP30" s="1603">
        <f t="shared" si="220"/>
        <v>10.91</v>
      </c>
      <c r="BQ30" s="1602">
        <v>10.91</v>
      </c>
      <c r="BR30" s="1602">
        <v>0</v>
      </c>
      <c r="BS30" s="1602">
        <f t="shared" si="218"/>
        <v>0</v>
      </c>
      <c r="BT30" s="1602">
        <v>0</v>
      </c>
      <c r="BU30" s="1602">
        <v>0</v>
      </c>
      <c r="BV30" s="1602">
        <v>0</v>
      </c>
      <c r="BW30" s="1602">
        <f>BV30/$BV$79*$BW$79</f>
        <v>0</v>
      </c>
      <c r="BX30" s="1602">
        <f>BV30/$BV$79*$BX$79</f>
        <v>0</v>
      </c>
      <c r="BY30" s="1602">
        <v>0</v>
      </c>
      <c r="BZ30" s="1602">
        <f>BY30/$BV$79*$BW$79</f>
        <v>0</v>
      </c>
      <c r="CA30" s="1602">
        <f>BY30/$BV$79*$BX$79</f>
        <v>0</v>
      </c>
      <c r="CB30" s="3578"/>
      <c r="CC30" s="365"/>
      <c r="CD30" s="365"/>
      <c r="CE30" s="365"/>
      <c r="CF30" s="1602">
        <v>0</v>
      </c>
      <c r="CG30" s="1602">
        <f>CF30/$BV$79*$BW$79</f>
        <v>0</v>
      </c>
      <c r="CH30" s="1602">
        <f>CF30/$BV$79*$BX$79</f>
        <v>0</v>
      </c>
      <c r="CI30" s="1602">
        <f t="shared" ref="CI30:CI31" si="223">SUM(CJ30:CK30)</f>
        <v>0</v>
      </c>
      <c r="CJ30" s="1602">
        <v>0</v>
      </c>
      <c r="CK30" s="1602">
        <v>0</v>
      </c>
      <c r="CL30" s="1602">
        <f t="shared" ref="CL30:CL31" si="224">SUM(CM30:CN30)</f>
        <v>0</v>
      </c>
      <c r="CM30" s="1602">
        <v>0</v>
      </c>
      <c r="CN30" s="1602">
        <v>0</v>
      </c>
      <c r="CO30" s="1602">
        <f t="shared" ref="CO30:CO31" si="225">SUM(CP30:CQ30)</f>
        <v>0</v>
      </c>
      <c r="CP30" s="1602">
        <v>0</v>
      </c>
      <c r="CQ30" s="1602">
        <v>0</v>
      </c>
      <c r="CR30" s="2371">
        <f t="shared" ref="CR30:CR31" si="226">SUM(CS30:CT30)</f>
        <v>0</v>
      </c>
      <c r="CS30" s="2371">
        <v>0</v>
      </c>
      <c r="CT30" s="2371">
        <v>0</v>
      </c>
      <c r="CU30" s="4101">
        <f t="shared" ref="CU30:CU31" si="227">SUM(CV30:CW30)</f>
        <v>0</v>
      </c>
      <c r="CV30" s="4101">
        <v>0</v>
      </c>
      <c r="CW30" s="4101">
        <v>0</v>
      </c>
      <c r="CX30" s="2371">
        <f t="shared" ref="CX30:CX31" si="228">SUM(CY30:CZ30)</f>
        <v>0</v>
      </c>
      <c r="CY30" s="2371">
        <v>0</v>
      </c>
      <c r="CZ30" s="2371">
        <v>0</v>
      </c>
      <c r="DA30" s="2371">
        <f t="shared" ref="DA30:DA31" si="229">SUM(DB30:DC30)</f>
        <v>0</v>
      </c>
      <c r="DB30" s="2371">
        <v>0</v>
      </c>
      <c r="DC30" s="2371">
        <v>0</v>
      </c>
      <c r="DD30" s="3487">
        <f t="shared" ref="DD30:DD31" si="230">SUM(DE30:DF30)</f>
        <v>0</v>
      </c>
      <c r="DE30" s="3487">
        <v>0</v>
      </c>
      <c r="DF30" s="3487">
        <v>0</v>
      </c>
    </row>
    <row r="31" spans="1:110" ht="21" customHeight="1" x14ac:dyDescent="0.2">
      <c r="A31" s="3466" t="s">
        <v>4</v>
      </c>
      <c r="B31" s="3581">
        <v>6114.5</v>
      </c>
      <c r="C31" s="2125">
        <v>6562.1</v>
      </c>
      <c r="D31" s="3341">
        <f t="shared" si="29"/>
        <v>107.32030419494644</v>
      </c>
      <c r="E31" s="2125">
        <v>7516.4</v>
      </c>
      <c r="F31" s="3341">
        <f t="shared" ref="F31:F42" si="231">E31/C31*100</f>
        <v>114.54260069185169</v>
      </c>
      <c r="G31" s="2125">
        <v>8370</v>
      </c>
      <c r="H31" s="3341">
        <f t="shared" si="31"/>
        <v>111.35650045234422</v>
      </c>
      <c r="I31" s="3583">
        <v>8699.1</v>
      </c>
      <c r="J31" s="3583">
        <v>4218.3999999999996</v>
      </c>
      <c r="K31" s="3583">
        <v>5882</v>
      </c>
      <c r="L31" s="3583">
        <v>8778.6</v>
      </c>
      <c r="M31" s="3604">
        <f t="shared" si="32"/>
        <v>100.91388764354934</v>
      </c>
      <c r="N31" s="3604">
        <f t="shared" si="33"/>
        <v>104.88172043010752</v>
      </c>
      <c r="O31" s="3583">
        <v>10597</v>
      </c>
      <c r="P31" s="3604">
        <f t="shared" si="34"/>
        <v>121.81719948040602</v>
      </c>
      <c r="Q31" s="3605">
        <f>ЗП!AP11</f>
        <v>9316.8646200000003</v>
      </c>
      <c r="R31" s="3604">
        <f t="shared" si="43"/>
        <v>107.10147739421319</v>
      </c>
      <c r="S31" s="3604">
        <f t="shared" si="44"/>
        <v>106.13155423416035</v>
      </c>
      <c r="T31" s="3583" t="e">
        <f>Q31/Q79*T79</f>
        <v>#REF!</v>
      </c>
      <c r="U31" s="3583" t="e">
        <f t="shared" si="216"/>
        <v>#REF!</v>
      </c>
      <c r="V31" s="3583">
        <v>7252.1</v>
      </c>
      <c r="W31" s="3583" t="e">
        <f>9723.8*(объемы!#REF!-объемы!#REF!)/объемы!#REF!</f>
        <v>#REF!</v>
      </c>
      <c r="X31" s="3583" t="e">
        <f>9723.8-W31</f>
        <v>#REF!</v>
      </c>
      <c r="Y31" s="1602">
        <v>11262.6</v>
      </c>
      <c r="Z31" s="1596">
        <f t="shared" si="35"/>
        <v>1.2088401473413273</v>
      </c>
      <c r="AA31" s="1602">
        <f>ЗП!U27</f>
        <v>9838.6090387200002</v>
      </c>
      <c r="AB31" s="1596">
        <f t="shared" si="1"/>
        <v>1.056</v>
      </c>
      <c r="AC31" s="1602" t="e">
        <f>$AC$79/$AA$79*AA31</f>
        <v>#REF!</v>
      </c>
      <c r="AD31" s="1602" t="e">
        <f t="shared" si="46"/>
        <v>#REF!</v>
      </c>
      <c r="AE31" s="1602">
        <f>SUM(ЗП!AS27)</f>
        <v>9116.1</v>
      </c>
      <c r="AF31" s="1602">
        <f>AF79/AE79*AE31</f>
        <v>9003.7004506065859</v>
      </c>
      <c r="AG31" s="1602">
        <f>AE31-AF31</f>
        <v>112.39954939341442</v>
      </c>
      <c r="AH31" s="1603">
        <f t="shared" si="37"/>
        <v>10364.799999999999</v>
      </c>
      <c r="AI31" s="1597">
        <f t="shared" si="38"/>
        <v>1.0534822513232476</v>
      </c>
      <c r="AJ31" s="1602">
        <v>10246.81</v>
      </c>
      <c r="AK31" s="1602">
        <v>117.99</v>
      </c>
      <c r="AL31" s="1603">
        <f t="shared" si="39"/>
        <v>10364.799999999999</v>
      </c>
      <c r="AM31" s="1597">
        <f t="shared" si="40"/>
        <v>1.0534822513232476</v>
      </c>
      <c r="AN31" s="1602">
        <f>ЗП!BB27*AN79/(AN79+AO79)</f>
        <v>10246.813566281708</v>
      </c>
      <c r="AO31" s="1602">
        <f>-AN31+ЗП!BB27</f>
        <v>117.98643371829166</v>
      </c>
      <c r="AP31" s="1598">
        <f t="shared" si="41"/>
        <v>-1423.9909612800002</v>
      </c>
      <c r="AQ31" s="1598" t="e">
        <f t="shared" ref="AQ31:AQ36" si="232">AP31*AC31/AA31</f>
        <v>#REF!</v>
      </c>
      <c r="AR31" s="1598" t="e">
        <f t="shared" si="42"/>
        <v>#REF!</v>
      </c>
      <c r="AS31" s="1598" t="e">
        <f t="shared" si="2"/>
        <v>#REF!</v>
      </c>
      <c r="AT31" s="1602">
        <f>SUM(ЗП!BG27)</f>
        <v>4499.5</v>
      </c>
      <c r="AU31" s="1602">
        <f>AU79/AT79*AT31</f>
        <v>4468.5310126200711</v>
      </c>
      <c r="AV31" s="1602">
        <f>AT31-AU31</f>
        <v>30.968987379928876</v>
      </c>
      <c r="AW31" s="1602">
        <f t="shared" si="124"/>
        <v>9142.15</v>
      </c>
      <c r="AX31" s="1602">
        <v>9098.09</v>
      </c>
      <c r="AY31" s="1602">
        <v>44.06</v>
      </c>
      <c r="AZ31" s="1603">
        <f>SUM(ЗП!BO27)</f>
        <v>11401.28</v>
      </c>
      <c r="BA31" s="1599">
        <f t="shared" si="48"/>
        <v>1.1000000000000001</v>
      </c>
      <c r="BB31" s="1602">
        <f>BB79/AZ79*AZ31</f>
        <v>11340.388072458316</v>
      </c>
      <c r="BC31" s="1602">
        <f>AZ31-BB31</f>
        <v>60.891927541684709</v>
      </c>
      <c r="BD31" s="1603">
        <f>SUM(ЗП!BS27)</f>
        <v>10629.419452631584</v>
      </c>
      <c r="BE31" s="1602">
        <f>BE79/BD79*BD31</f>
        <v>10572.649875959507</v>
      </c>
      <c r="BF31" s="1602">
        <f>BD31-BE31</f>
        <v>56.769576672077164</v>
      </c>
      <c r="BG31" s="1602">
        <f t="shared" si="49"/>
        <v>9289.84</v>
      </c>
      <c r="BH31" s="1602">
        <v>9283.59</v>
      </c>
      <c r="BI31" s="1602">
        <v>6.25</v>
      </c>
      <c r="BJ31" s="1602">
        <f t="shared" si="217"/>
        <v>8455.32</v>
      </c>
      <c r="BK31" s="1602">
        <v>8451.23</v>
      </c>
      <c r="BL31" s="1602">
        <v>4.09</v>
      </c>
      <c r="BM31" s="1603">
        <f t="shared" si="219"/>
        <v>11603.869999999999</v>
      </c>
      <c r="BN31" s="1602">
        <v>11539.72</v>
      </c>
      <c r="BO31" s="1602">
        <v>64.150000000000006</v>
      </c>
      <c r="BP31" s="1603">
        <f t="shared" si="220"/>
        <v>8862.2699999999986</v>
      </c>
      <c r="BQ31" s="1602">
        <v>8859.0499999999993</v>
      </c>
      <c r="BR31" s="1602">
        <v>3.22</v>
      </c>
      <c r="BS31" s="1602">
        <f t="shared" si="218"/>
        <v>11936.81</v>
      </c>
      <c r="BT31" s="1602">
        <v>11920.25</v>
      </c>
      <c r="BU31" s="1602">
        <v>16.559999999999999</v>
      </c>
      <c r="BV31" s="1602">
        <f>ЗП!CR27</f>
        <v>11652.445728000001</v>
      </c>
      <c r="BW31" s="1602">
        <f>BV31/$BV$79*$BW$79</f>
        <v>11646.814213821352</v>
      </c>
      <c r="BX31" s="1602">
        <f>BV31/$BV$79*$BX$79</f>
        <v>5.6315141786479668</v>
      </c>
      <c r="BY31" s="1602">
        <f>SUM(ЗП!CU27)</f>
        <v>12188.458231487999</v>
      </c>
      <c r="BZ31" s="1602">
        <f>BY31/$BV$79*$BW$79</f>
        <v>12182.567667657133</v>
      </c>
      <c r="CA31" s="1602">
        <f>BY31/$BV$79*$BX$79</f>
        <v>5.8905638308657728</v>
      </c>
      <c r="CB31" s="3578" t="str">
        <f>CB23</f>
        <v>Приложение</v>
      </c>
      <c r="CC31" s="365"/>
      <c r="CD31" s="365"/>
      <c r="CE31" s="365"/>
      <c r="CF31" s="1602">
        <f>SUM(ЗП!CX27)</f>
        <v>11881.998908841599</v>
      </c>
      <c r="CG31" s="1602">
        <f>CF31/CF151*CG151</f>
        <v>11875.946312505006</v>
      </c>
      <c r="CH31" s="1602">
        <f>CF31/CF151*CH151</f>
        <v>6.0525963365929529</v>
      </c>
      <c r="CI31" s="1602">
        <f t="shared" si="223"/>
        <v>4499.58</v>
      </c>
      <c r="CJ31" s="1602">
        <f>SUM(ЗП!DA27)</f>
        <v>4499.58</v>
      </c>
      <c r="CK31" s="1602">
        <v>0</v>
      </c>
      <c r="CL31" s="1602">
        <f t="shared" si="224"/>
        <v>6758.01</v>
      </c>
      <c r="CM31" s="1602">
        <f>SUM(ЗП!DD27)</f>
        <v>6758.01</v>
      </c>
      <c r="CN31" s="1602">
        <v>0</v>
      </c>
      <c r="CO31" s="1602">
        <f t="shared" si="225"/>
        <v>8745.2900000000009</v>
      </c>
      <c r="CP31" s="1602">
        <f>SUM(ЗП!DG27)</f>
        <v>8745.2900000000009</v>
      </c>
      <c r="CQ31" s="1602">
        <v>0</v>
      </c>
      <c r="CR31" s="2371">
        <f t="shared" si="226"/>
        <v>13857.416208223502</v>
      </c>
      <c r="CS31" s="2371">
        <f>SUM(ЗП!DJ27)</f>
        <v>13837.307980320002</v>
      </c>
      <c r="CT31" s="2371">
        <f>SUM(ЗП!DJ30)</f>
        <v>20.108227903500001</v>
      </c>
      <c r="CU31" s="4101">
        <f t="shared" si="227"/>
        <v>12210.316765448499</v>
      </c>
      <c r="CV31" s="4101">
        <f>SUM(ЗП!DM27)</f>
        <v>12210.316765448499</v>
      </c>
      <c r="CW31" s="4100">
        <v>0</v>
      </c>
      <c r="CX31" s="2371">
        <f t="shared" si="228"/>
        <v>4048.07</v>
      </c>
      <c r="CY31" s="2371">
        <f>SUM(ЗП!DR27)</f>
        <v>4048.07</v>
      </c>
      <c r="CZ31" s="2371">
        <v>0</v>
      </c>
      <c r="DA31" s="2371">
        <f t="shared" si="229"/>
        <v>6254.85</v>
      </c>
      <c r="DB31" s="2371">
        <f>SUM(ЗП!DU27)</f>
        <v>6254.85</v>
      </c>
      <c r="DC31" s="2371">
        <v>0</v>
      </c>
      <c r="DD31" s="3487">
        <f t="shared" si="230"/>
        <v>27</v>
      </c>
      <c r="DE31" s="3487">
        <f>SUM(ЗП!DV27)</f>
        <v>27</v>
      </c>
      <c r="DF31" s="3487">
        <v>0</v>
      </c>
    </row>
    <row r="32" spans="1:110" ht="21" customHeight="1" x14ac:dyDescent="0.2">
      <c r="A32" s="3466" t="s">
        <v>5</v>
      </c>
      <c r="B32" s="3581">
        <v>1537.3</v>
      </c>
      <c r="C32" s="2125">
        <v>1692.9</v>
      </c>
      <c r="D32" s="3341">
        <f t="shared" si="29"/>
        <v>110.1216418395889</v>
      </c>
      <c r="E32" s="2125">
        <v>2020.4</v>
      </c>
      <c r="F32" s="3341">
        <f t="shared" si="231"/>
        <v>119.34550180164216</v>
      </c>
      <c r="G32" s="2125">
        <v>2846.8</v>
      </c>
      <c r="H32" s="3341">
        <f t="shared" si="31"/>
        <v>140.90279152643041</v>
      </c>
      <c r="I32" s="3583">
        <f>I31*30.2/100</f>
        <v>2627.1282000000001</v>
      </c>
      <c r="J32" s="3583">
        <v>1433.5</v>
      </c>
      <c r="K32" s="3583">
        <v>1767.4</v>
      </c>
      <c r="L32" s="3583">
        <v>2640.5</v>
      </c>
      <c r="M32" s="3604">
        <f t="shared" si="32"/>
        <v>100.50898924536686</v>
      </c>
      <c r="N32" s="3604">
        <f t="shared" si="33"/>
        <v>92.75326682590979</v>
      </c>
      <c r="O32" s="3583">
        <v>3200.3</v>
      </c>
      <c r="P32" s="3604">
        <f t="shared" si="34"/>
        <v>121.81742786667206</v>
      </c>
      <c r="Q32" s="3605">
        <f>Q31*0.302</f>
        <v>2813.6931152400002</v>
      </c>
      <c r="R32" s="3604">
        <f t="shared" si="43"/>
        <v>107.10147739421321</v>
      </c>
      <c r="S32" s="3604">
        <f t="shared" si="44"/>
        <v>106.5591030198826</v>
      </c>
      <c r="T32" s="3583" t="e">
        <f>Q32/Q79*T79</f>
        <v>#REF!</v>
      </c>
      <c r="U32" s="3583" t="e">
        <f t="shared" si="216"/>
        <v>#REF!</v>
      </c>
      <c r="V32" s="3583">
        <v>2190.9</v>
      </c>
      <c r="W32" s="3583"/>
      <c r="X32" s="3583"/>
      <c r="Y32" s="1602">
        <v>3401.3</v>
      </c>
      <c r="Z32" s="1596">
        <f t="shared" si="35"/>
        <v>1.2088382992364393</v>
      </c>
      <c r="AA32" s="1602">
        <f>AA31*0.302</f>
        <v>2971.25992969344</v>
      </c>
      <c r="AB32" s="1596">
        <f t="shared" si="1"/>
        <v>1.0559999999999998</v>
      </c>
      <c r="AC32" s="1602" t="e">
        <f>$AC$79/$AA$79*AA32</f>
        <v>#REF!</v>
      </c>
      <c r="AD32" s="1602" t="e">
        <f t="shared" si="46"/>
        <v>#REF!</v>
      </c>
      <c r="AE32" s="1602">
        <v>2737.5</v>
      </c>
      <c r="AF32" s="1602">
        <f>AF79/AE79*AE32</f>
        <v>2703.7472146570935</v>
      </c>
      <c r="AG32" s="1602">
        <f>AE32-AF32</f>
        <v>33.752785342906463</v>
      </c>
      <c r="AH32" s="1603">
        <f t="shared" si="37"/>
        <v>3130.17</v>
      </c>
      <c r="AI32" s="1597">
        <f t="shared" si="38"/>
        <v>1.0534823859462727</v>
      </c>
      <c r="AJ32" s="1602">
        <v>3094.54</v>
      </c>
      <c r="AK32" s="1602">
        <v>35.630000000000003</v>
      </c>
      <c r="AL32" s="1603">
        <f t="shared" si="39"/>
        <v>3130.1695999999997</v>
      </c>
      <c r="AM32" s="1597">
        <f t="shared" si="40"/>
        <v>1.0534822513232476</v>
      </c>
      <c r="AN32" s="1602">
        <f>AN31*0.302</f>
        <v>3094.5376970170755</v>
      </c>
      <c r="AO32" s="1602">
        <f>AO31*0.302</f>
        <v>35.631902982924082</v>
      </c>
      <c r="AP32" s="1598">
        <f t="shared" si="41"/>
        <v>-430.04007030656021</v>
      </c>
      <c r="AQ32" s="1598" t="e">
        <f t="shared" si="232"/>
        <v>#REF!</v>
      </c>
      <c r="AR32" s="1598" t="e">
        <f t="shared" si="42"/>
        <v>#REF!</v>
      </c>
      <c r="AS32" s="1598" t="e">
        <f t="shared" si="2"/>
        <v>#REF!</v>
      </c>
      <c r="AT32" s="1602">
        <v>1349.84</v>
      </c>
      <c r="AU32" s="1602">
        <f>AT32*AU79/(AU79+AV79)</f>
        <v>1340.5493726136408</v>
      </c>
      <c r="AV32" s="1602">
        <f>AT32-AU32</f>
        <v>9.2906273863591196</v>
      </c>
      <c r="AW32" s="1602">
        <f t="shared" si="124"/>
        <v>2748.41</v>
      </c>
      <c r="AX32" s="1602">
        <v>2735.16</v>
      </c>
      <c r="AY32" s="1602">
        <v>13.25</v>
      </c>
      <c r="AZ32" s="1603">
        <f t="shared" ref="AZ32" si="233">SUM(BB32+BC32)</f>
        <v>3443.1870000000008</v>
      </c>
      <c r="BA32" s="1599">
        <f t="shared" si="48"/>
        <v>1.1000001405674635</v>
      </c>
      <c r="BB32" s="1602">
        <f>SUM(BB31*AH33)</f>
        <v>3424.7976355324613</v>
      </c>
      <c r="BC32" s="1602">
        <f>SUM(BC31*AH33)</f>
        <v>18.389364467539679</v>
      </c>
      <c r="BD32" s="1603">
        <f t="shared" ref="BD32" si="234">SUM(BE32+BF32)</f>
        <v>3191.9390695120683</v>
      </c>
      <c r="BE32" s="1602">
        <f>BE31*BE33</f>
        <v>3174.8915693596114</v>
      </c>
      <c r="BF32" s="1602">
        <f>BF31*BF33</f>
        <v>17.047500152456781</v>
      </c>
      <c r="BG32" s="1602">
        <f t="shared" si="49"/>
        <v>2681.4100000000003</v>
      </c>
      <c r="BH32" s="1602">
        <v>2679.61</v>
      </c>
      <c r="BI32" s="1602">
        <v>1.8</v>
      </c>
      <c r="BJ32" s="1602">
        <f t="shared" si="217"/>
        <v>2540.58</v>
      </c>
      <c r="BK32" s="1602">
        <v>2539.35</v>
      </c>
      <c r="BL32" s="1602">
        <v>1.23</v>
      </c>
      <c r="BM32" s="1603">
        <f t="shared" si="219"/>
        <v>3484.6400000000003</v>
      </c>
      <c r="BN32" s="1602">
        <v>3465.38</v>
      </c>
      <c r="BO32" s="1602">
        <v>19.260000000000002</v>
      </c>
      <c r="BP32" s="1603">
        <f t="shared" si="220"/>
        <v>2666.08</v>
      </c>
      <c r="BQ32" s="1602">
        <v>2665.11</v>
      </c>
      <c r="BR32" s="1602">
        <v>0.97</v>
      </c>
      <c r="BS32" s="1602">
        <f t="shared" si="218"/>
        <v>3584.62</v>
      </c>
      <c r="BT32" s="1602">
        <v>3579.65</v>
      </c>
      <c r="BU32" s="1602">
        <v>4.97</v>
      </c>
      <c r="BV32" s="1602">
        <f>BV31*BS33</f>
        <v>3499.2255054326379</v>
      </c>
      <c r="BW32" s="1602">
        <f>BV32/$BV$79*$BW$79</f>
        <v>3497.534363632185</v>
      </c>
      <c r="BX32" s="1602">
        <f>BV32/$BV$79*$BX$79</f>
        <v>1.6911418004529752</v>
      </c>
      <c r="BY32" s="1602">
        <f>SUM(BY31*BY33)</f>
        <v>3666.7134630072801</v>
      </c>
      <c r="BZ32" s="1602">
        <f t="shared" ref="BZ32" si="235">SUM(BZ31*BZ33)</f>
        <v>3664.9413758988762</v>
      </c>
      <c r="CA32" s="1602">
        <f t="shared" ref="CA32" si="236">SUM(CA31*CA33)</f>
        <v>1.7720871084038992</v>
      </c>
      <c r="CB32" s="3578" t="s">
        <v>241</v>
      </c>
      <c r="CC32" s="365"/>
      <c r="CD32" s="365"/>
      <c r="CE32" s="365"/>
      <c r="CF32" s="1602">
        <f>SUM(CF31*CF33)</f>
        <v>3568.1602478896607</v>
      </c>
      <c r="CG32" s="1602">
        <f t="shared" ref="CG32:CH32" si="237">SUM(CG31*CG33)</f>
        <v>3566.3426552597975</v>
      </c>
      <c r="CH32" s="1602">
        <f t="shared" si="237"/>
        <v>1.8175926298632412</v>
      </c>
      <c r="CI32" s="1602">
        <f t="shared" ref="CI32" si="238">CJ32+CK32</f>
        <v>1355.19</v>
      </c>
      <c r="CJ32" s="1602">
        <v>1355.19</v>
      </c>
      <c r="CK32" s="1602">
        <v>0</v>
      </c>
      <c r="CL32" s="1602">
        <f t="shared" ref="CL32" si="239">CM32+CN32</f>
        <v>2034.73</v>
      </c>
      <c r="CM32" s="1602">
        <v>2034.73</v>
      </c>
      <c r="CN32" s="1602">
        <v>0</v>
      </c>
      <c r="CO32" s="1602">
        <f t="shared" ref="CO32" si="240">CP32+CQ32</f>
        <v>2632.58</v>
      </c>
      <c r="CP32" s="1602">
        <v>2632.58</v>
      </c>
      <c r="CQ32" s="1602">
        <v>0</v>
      </c>
      <c r="CR32" s="2371">
        <f t="shared" ref="CR32" si="241">CS32+CT32</f>
        <v>4171.0829999999996</v>
      </c>
      <c r="CS32" s="2371">
        <v>4165.03</v>
      </c>
      <c r="CT32" s="2371">
        <v>6.0529999999999999</v>
      </c>
      <c r="CU32" s="4101">
        <f t="shared" ref="CU32" si="242">CV32+CW32</f>
        <v>3666.7539890273874</v>
      </c>
      <c r="CV32" s="4101">
        <f t="shared" ref="CV32:CW32" si="243">SUM(CV31*CV33)</f>
        <v>3666.7539890273874</v>
      </c>
      <c r="CW32" s="4101">
        <f t="shared" si="243"/>
        <v>0</v>
      </c>
      <c r="CX32" s="2371">
        <f t="shared" ref="CX32" si="244">CY32+CZ32</f>
        <v>1220.19</v>
      </c>
      <c r="CY32" s="2371">
        <v>1220.19</v>
      </c>
      <c r="CZ32" s="2371">
        <v>0</v>
      </c>
      <c r="DA32" s="2371">
        <f t="shared" ref="DA32" si="245">DB32+DC32</f>
        <v>1884.2940000000001</v>
      </c>
      <c r="DB32" s="2371">
        <v>1884.2940000000001</v>
      </c>
      <c r="DC32" s="2371">
        <v>0</v>
      </c>
      <c r="DD32" s="3487">
        <f t="shared" ref="DD32" si="246">DE32+DF32</f>
        <v>2632.58</v>
      </c>
      <c r="DE32" s="3487">
        <v>2632.58</v>
      </c>
      <c r="DF32" s="3487">
        <v>0</v>
      </c>
    </row>
    <row r="33" spans="1:110" s="181" customFormat="1" ht="21" customHeight="1" x14ac:dyDescent="0.2">
      <c r="A33" s="3470" t="str">
        <f>A25</f>
        <v>то же в %</v>
      </c>
      <c r="B33" s="3350"/>
      <c r="C33" s="3341"/>
      <c r="D33" s="3341"/>
      <c r="E33" s="3606">
        <f>E32/E31</f>
        <v>0.26879889308711619</v>
      </c>
      <c r="F33" s="3606">
        <f>F32/F31</f>
        <v>1.0419311337509394</v>
      </c>
      <c r="G33" s="3606">
        <f>G32/G31</f>
        <v>0.3401194743130227</v>
      </c>
      <c r="H33" s="3606"/>
      <c r="I33" s="3606">
        <f t="shared" ref="I33:T33" si="247">I32/I31</f>
        <v>0.30199999999999999</v>
      </c>
      <c r="J33" s="3606">
        <f t="shared" si="247"/>
        <v>0.33982078513180358</v>
      </c>
      <c r="K33" s="3606">
        <f t="shared" si="247"/>
        <v>0.30047602856171374</v>
      </c>
      <c r="L33" s="3606">
        <f t="shared" si="247"/>
        <v>0.30078828059143825</v>
      </c>
      <c r="M33" s="3606">
        <f t="shared" si="247"/>
        <v>0.99598768407761007</v>
      </c>
      <c r="N33" s="3606">
        <f t="shared" si="247"/>
        <v>0.88436065355850024</v>
      </c>
      <c r="O33" s="3606">
        <f t="shared" si="247"/>
        <v>0.3020005661979806</v>
      </c>
      <c r="P33" s="3606">
        <f t="shared" si="247"/>
        <v>1.0000018748277502</v>
      </c>
      <c r="Q33" s="3607">
        <f t="shared" si="247"/>
        <v>0.30199999999999999</v>
      </c>
      <c r="R33" s="3606">
        <f t="shared" si="247"/>
        <v>1.0000000000000002</v>
      </c>
      <c r="S33" s="3606">
        <f t="shared" si="247"/>
        <v>1.0040284794546488</v>
      </c>
      <c r="T33" s="3606" t="e">
        <f t="shared" si="247"/>
        <v>#REF!</v>
      </c>
      <c r="U33" s="3606"/>
      <c r="V33" s="3606">
        <f>V32/V31</f>
        <v>0.3021055969994898</v>
      </c>
      <c r="W33" s="3606"/>
      <c r="X33" s="3606">
        <v>0</v>
      </c>
      <c r="Y33" s="1604">
        <f>Y32/Y31</f>
        <v>0.30199953829488752</v>
      </c>
      <c r="Z33" s="1596">
        <f>Y33/Q33</f>
        <v>0.9999984711751243</v>
      </c>
      <c r="AA33" s="1604">
        <f>AA32/AA31</f>
        <v>0.30199999999999999</v>
      </c>
      <c r="AB33" s="1604"/>
      <c r="AC33" s="1604" t="e">
        <f>AC32/AC31</f>
        <v>#REF!</v>
      </c>
      <c r="AD33" s="1604"/>
      <c r="AE33" s="1604">
        <f>AE32/AE31</f>
        <v>0.30029288840622631</v>
      </c>
      <c r="AF33" s="1604">
        <f>AF32/AF31</f>
        <v>0.30029288840622637</v>
      </c>
      <c r="AG33" s="1604"/>
      <c r="AH33" s="1604">
        <f>AH32/AH31</f>
        <v>0.30200003859215813</v>
      </c>
      <c r="AI33" s="1597">
        <f t="shared" si="38"/>
        <v>1.000000127788603</v>
      </c>
      <c r="AJ33" s="1604">
        <f>AJ32/AJ31</f>
        <v>0.30200032985875608</v>
      </c>
      <c r="AK33" s="1604">
        <f>AK32/AK31</f>
        <v>0.30197474362234089</v>
      </c>
      <c r="AL33" s="1604">
        <f>AL32/AL31</f>
        <v>0.30199999999999999</v>
      </c>
      <c r="AM33" s="1597">
        <f t="shared" si="40"/>
        <v>1</v>
      </c>
      <c r="AN33" s="1604">
        <f>AN32/AN31</f>
        <v>0.30199999999999999</v>
      </c>
      <c r="AO33" s="1604">
        <f>AO32/AO31</f>
        <v>0.30199999999999999</v>
      </c>
      <c r="AP33" s="1598">
        <f>AA33-Y33</f>
        <v>4.6170511247556334E-7</v>
      </c>
      <c r="AQ33" s="1598" t="e">
        <f t="shared" si="232"/>
        <v>#REF!</v>
      </c>
      <c r="AR33" s="1598" t="e">
        <f>AP33-AQ33</f>
        <v>#REF!</v>
      </c>
      <c r="AS33" s="1598" t="e">
        <f>AQ33+AR33</f>
        <v>#REF!</v>
      </c>
      <c r="AT33" s="1604">
        <f>AT32/AT31</f>
        <v>0.29999777753083673</v>
      </c>
      <c r="AU33" s="1604">
        <f t="shared" ref="AU33" si="248">AU32/AU31</f>
        <v>0.29999777753083678</v>
      </c>
      <c r="AV33" s="1604">
        <f t="shared" ref="AV33" si="249">AV32/AV31</f>
        <v>0.29999777753083434</v>
      </c>
      <c r="AW33" s="1604">
        <f>AW32/AW31</f>
        <v>0.30063059564763212</v>
      </c>
      <c r="AX33" s="1604">
        <f t="shared" ref="AX33:AY33" si="250">AX32/AX31</f>
        <v>0.30063013225852897</v>
      </c>
      <c r="AY33" s="1604">
        <f t="shared" si="250"/>
        <v>0.30072628234226056</v>
      </c>
      <c r="AZ33" s="1604">
        <f>SUM(AZ32/AZ31)</f>
        <v>0.30200003859215813</v>
      </c>
      <c r="BA33" s="1599">
        <f t="shared" si="48"/>
        <v>1.000000127788603</v>
      </c>
      <c r="BB33" s="1604">
        <f>SUM(BB32/BB31)</f>
        <v>0.30200003859215813</v>
      </c>
      <c r="BC33" s="1604">
        <f>SUM(BC32/BC31)</f>
        <v>0.30200003859215813</v>
      </c>
      <c r="BD33" s="1604">
        <f>AF33</f>
        <v>0.30029288840622637</v>
      </c>
      <c r="BE33" s="1604">
        <f>BD33</f>
        <v>0.30029288840622637</v>
      </c>
      <c r="BF33" s="1604">
        <f>BD33</f>
        <v>0.30029288840622637</v>
      </c>
      <c r="BG33" s="1604">
        <f>SUM(BG32/BG31)</f>
        <v>0.28863898624734119</v>
      </c>
      <c r="BH33" s="1604">
        <f>BH32/BH31</f>
        <v>0.28863941643265162</v>
      </c>
      <c r="BI33" s="1604">
        <f>BI32/BI31</f>
        <v>0.28800000000000003</v>
      </c>
      <c r="BJ33" s="1604">
        <f>SUM(BJ32/BJ31)</f>
        <v>0.30047118264004202</v>
      </c>
      <c r="BK33" s="1604">
        <f>BK32/BK31</f>
        <v>0.300471055692485</v>
      </c>
      <c r="BL33" s="1604">
        <f>BL32/BL31</f>
        <v>0.30073349633251834</v>
      </c>
      <c r="BM33" s="1604">
        <f>SUM(BM32/BM31)</f>
        <v>0.30029981376902709</v>
      </c>
      <c r="BN33" s="1604">
        <f>BN32/BN31</f>
        <v>0.30030018059363661</v>
      </c>
      <c r="BO33" s="1604">
        <f>BO32/BO31</f>
        <v>0.30023382696804363</v>
      </c>
      <c r="BP33" s="1604">
        <f>SUM(BP32/BP31)</f>
        <v>0.30083488767550531</v>
      </c>
      <c r="BQ33" s="1604">
        <f>BQ32/BQ31</f>
        <v>0.30083473961655033</v>
      </c>
      <c r="BR33" s="1604">
        <f>BR32/BR31</f>
        <v>0.30124223602484468</v>
      </c>
      <c r="BS33" s="1604">
        <f>SUM(BS32/BS31)</f>
        <v>0.30029966129979452</v>
      </c>
      <c r="BT33" s="1604">
        <f>BT32/BT31</f>
        <v>0.30029990981732768</v>
      </c>
      <c r="BU33" s="1604">
        <f>BU32/BU31</f>
        <v>0.3001207729468599</v>
      </c>
      <c r="BV33" s="1604">
        <f>SUM(BV32/BV31)</f>
        <v>0.30029966129979452</v>
      </c>
      <c r="BW33" s="1604">
        <f t="shared" ref="BW33:BX33" si="251">SUM(BW32/BW31)</f>
        <v>0.30029966129979457</v>
      </c>
      <c r="BX33" s="1604">
        <f t="shared" si="251"/>
        <v>0.30029966129979457</v>
      </c>
      <c r="BY33" s="1604">
        <f>SUM(BP33)</f>
        <v>0.30083488767550531</v>
      </c>
      <c r="BZ33" s="1604">
        <f>SUM(BY33)</f>
        <v>0.30083488767550531</v>
      </c>
      <c r="CA33" s="1604">
        <f>SUM(BY33)</f>
        <v>0.30083488767550531</v>
      </c>
      <c r="CB33" s="3608"/>
      <c r="CC33" s="3609"/>
      <c r="CD33" s="3609"/>
      <c r="CE33" s="3609"/>
      <c r="CF33" s="1604">
        <f>SUM(BW33)</f>
        <v>0.30029966129979457</v>
      </c>
      <c r="CG33" s="1604">
        <f>SUM(CF33)</f>
        <v>0.30029966129979457</v>
      </c>
      <c r="CH33" s="1604">
        <f>SUM(CF33)</f>
        <v>0.30029966129979457</v>
      </c>
      <c r="CI33" s="1604">
        <f>SUM(CI32/CI31)</f>
        <v>0.30118144360140281</v>
      </c>
      <c r="CJ33" s="1604">
        <f t="shared" ref="CJ33" si="252">SUM(CJ32/CJ31)</f>
        <v>0.30118144360140281</v>
      </c>
      <c r="CK33" s="1604">
        <v>0</v>
      </c>
      <c r="CL33" s="1604">
        <f t="shared" ref="CL33" si="253">SUM(CL32/CL31)</f>
        <v>0.30108419490352928</v>
      </c>
      <c r="CM33" s="1604">
        <f t="shared" ref="CM33" si="254">SUM(CM32/CM31)</f>
        <v>0.30108419490352928</v>
      </c>
      <c r="CN33" s="1604">
        <v>0</v>
      </c>
      <c r="CO33" s="1604">
        <f t="shared" ref="CO33" si="255">SUM(CO32/CO31)</f>
        <v>0.30102832496120763</v>
      </c>
      <c r="CP33" s="1604">
        <f t="shared" ref="CP33" si="256">SUM(CP32/CP31)</f>
        <v>0.30102832496120763</v>
      </c>
      <c r="CQ33" s="1604">
        <v>0</v>
      </c>
      <c r="CR33" s="3651">
        <f t="shared" ref="CR33:CT33" si="257">SUM(CR32/CR31)</f>
        <v>0.3010000520533348</v>
      </c>
      <c r="CS33" s="3651">
        <f t="shared" si="257"/>
        <v>0.30100002153046529</v>
      </c>
      <c r="CT33" s="3651">
        <f t="shared" si="257"/>
        <v>0.30102105610939617</v>
      </c>
      <c r="CU33" s="4102">
        <f>SUM(BV33)</f>
        <v>0.30029966129979452</v>
      </c>
      <c r="CV33" s="4102">
        <f>SUM(BW33)</f>
        <v>0.30029966129979457</v>
      </c>
      <c r="CW33" s="4102">
        <f>SUM(BX33)</f>
        <v>0.30029966129979457</v>
      </c>
      <c r="CX33" s="3651">
        <f>SUM(CX32/CX31)</f>
        <v>0.30142512357740847</v>
      </c>
      <c r="CY33" s="3651">
        <f t="shared" ref="CY33" si="258">SUM(CY32/CY31)</f>
        <v>0.30142512357740847</v>
      </c>
      <c r="CZ33" s="3651">
        <v>0</v>
      </c>
      <c r="DA33" s="3651">
        <f t="shared" ref="DA33:DB33" si="259">SUM(DA32/DA31)</f>
        <v>0.30125326746444758</v>
      </c>
      <c r="DB33" s="3651">
        <f t="shared" si="259"/>
        <v>0.30125326746444758</v>
      </c>
      <c r="DC33" s="3651">
        <v>0</v>
      </c>
      <c r="DD33" s="3733">
        <f t="shared" ref="DD33:DE33" si="260">SUM(DD32/DD31)</f>
        <v>97.502962962962954</v>
      </c>
      <c r="DE33" s="3733">
        <f t="shared" si="260"/>
        <v>97.502962962962954</v>
      </c>
      <c r="DF33" s="3733">
        <v>0</v>
      </c>
    </row>
    <row r="34" spans="1:110" ht="21" customHeight="1" x14ac:dyDescent="0.2">
      <c r="A34" s="3466" t="s">
        <v>6</v>
      </c>
      <c r="B34" s="3581">
        <v>3971.8</v>
      </c>
      <c r="C34" s="2125">
        <v>3155.1</v>
      </c>
      <c r="D34" s="3341">
        <f t="shared" si="29"/>
        <v>79.437534619064394</v>
      </c>
      <c r="E34" s="2125">
        <v>3544.4</v>
      </c>
      <c r="F34" s="3341">
        <f t="shared" si="231"/>
        <v>112.33875312985326</v>
      </c>
      <c r="G34" s="2125">
        <v>4210.6000000000004</v>
      </c>
      <c r="H34" s="3341">
        <f t="shared" si="31"/>
        <v>118.79584696986795</v>
      </c>
      <c r="I34" s="3583">
        <v>3523.1</v>
      </c>
      <c r="J34" s="3583">
        <v>2168.4</v>
      </c>
      <c r="K34" s="3583">
        <f>'цех вода'!K50</f>
        <v>2874.1410018314482</v>
      </c>
      <c r="L34" s="3583">
        <v>4335.6000000000004</v>
      </c>
      <c r="M34" s="3604">
        <f t="shared" si="32"/>
        <v>123.06207601260255</v>
      </c>
      <c r="N34" s="3604">
        <f t="shared" si="33"/>
        <v>102.96869804778417</v>
      </c>
      <c r="O34" s="3583">
        <v>4691.6000000000004</v>
      </c>
      <c r="P34" s="3604">
        <f t="shared" si="34"/>
        <v>133.16681331781669</v>
      </c>
      <c r="Q34" s="3605">
        <f>'цех вода'!P50</f>
        <v>3750.4811017625302</v>
      </c>
      <c r="R34" s="3604">
        <f t="shared" si="43"/>
        <v>106.45400646483296</v>
      </c>
      <c r="S34" s="3604">
        <f t="shared" si="44"/>
        <v>86.50431547565573</v>
      </c>
      <c r="T34" s="3583" t="e">
        <f>Q34/Q79*T79</f>
        <v>#REF!</v>
      </c>
      <c r="U34" s="3583" t="e">
        <f t="shared" si="216"/>
        <v>#REF!</v>
      </c>
      <c r="V34" s="3583">
        <v>3991.4</v>
      </c>
      <c r="W34" s="3583"/>
      <c r="X34" s="3583"/>
      <c r="Y34" s="1602">
        <v>5004</v>
      </c>
      <c r="Z34" s="1596">
        <f t="shared" si="35"/>
        <v>1.3342288267092937</v>
      </c>
      <c r="AA34" s="1602">
        <f>'цех вода'!W50</f>
        <v>3982.1627501966336</v>
      </c>
      <c r="AB34" s="1596">
        <f t="shared" si="1"/>
        <v>1.0617738477138907</v>
      </c>
      <c r="AC34" s="1602" t="e">
        <f>$AC$79/$AA$79*AA34</f>
        <v>#REF!</v>
      </c>
      <c r="AD34" s="1602" t="e">
        <f t="shared" si="46"/>
        <v>#REF!</v>
      </c>
      <c r="AE34" s="1602">
        <v>3840.1</v>
      </c>
      <c r="AF34" s="1602">
        <f>AE34*AF79/(AF79+AG79)</f>
        <v>3792.7523941569689</v>
      </c>
      <c r="AG34" s="1602">
        <f>SUM(AE34-AF34)</f>
        <v>47.347605843031033</v>
      </c>
      <c r="AH34" s="1603">
        <f t="shared" si="37"/>
        <v>4249.82</v>
      </c>
      <c r="AI34" s="1597">
        <f t="shared" si="38"/>
        <v>1.0672140408601205</v>
      </c>
      <c r="AJ34" s="1602">
        <v>4201.4399999999996</v>
      </c>
      <c r="AK34" s="1602">
        <v>48.38</v>
      </c>
      <c r="AL34" s="1603">
        <f t="shared" si="39"/>
        <v>4189.8843533351246</v>
      </c>
      <c r="AM34" s="1597">
        <f t="shared" si="40"/>
        <v>1.0521630119532994</v>
      </c>
      <c r="AN34" s="1602">
        <f>'цех вода'!AB50*AN79/(AN79+AO79)</f>
        <v>4142.1893170061958</v>
      </c>
      <c r="AO34" s="1602">
        <f>'цех вода'!AB50-AN34</f>
        <v>47.695036328928836</v>
      </c>
      <c r="AP34" s="1598">
        <f t="shared" si="41"/>
        <v>-1021.8372498033664</v>
      </c>
      <c r="AQ34" s="1598" t="e">
        <f t="shared" si="232"/>
        <v>#REF!</v>
      </c>
      <c r="AR34" s="1598" t="e">
        <f t="shared" si="42"/>
        <v>#REF!</v>
      </c>
      <c r="AS34" s="1598" t="e">
        <f t="shared" si="2"/>
        <v>#REF!</v>
      </c>
      <c r="AT34" s="1602">
        <v>1853.14</v>
      </c>
      <c r="AU34" s="1602">
        <f>AT34*AU79/(AU79+AV79)</f>
        <v>1840.385278525783</v>
      </c>
      <c r="AV34" s="1602">
        <f>SUM(AT34-AU34)</f>
        <v>12.754721474217149</v>
      </c>
      <c r="AW34" s="1602">
        <f t="shared" si="124"/>
        <v>4109.6500000000005</v>
      </c>
      <c r="AX34" s="1602">
        <v>4089.84</v>
      </c>
      <c r="AY34" s="1602">
        <v>19.809999999999999</v>
      </c>
      <c r="AZ34" s="1602">
        <v>4768.71</v>
      </c>
      <c r="BA34" s="1599">
        <f t="shared" si="48"/>
        <v>1.1381483587259713</v>
      </c>
      <c r="BB34" s="1602">
        <f>AZ34*BB79/(BB79+BC79)</f>
        <v>4743.2412856286919</v>
      </c>
      <c r="BC34" s="1602">
        <f>SUM(AZ34-BB34)</f>
        <v>25.468714371308124</v>
      </c>
      <c r="BD34" s="1602">
        <f>SUM('цех вода'!AG50)</f>
        <v>4151.2769054034479</v>
      </c>
      <c r="BE34" s="1602">
        <f>BD34*BE79/(BE79+BF79)</f>
        <v>4129.1057761504781</v>
      </c>
      <c r="BF34" s="1602">
        <f>SUM(BD34-BE34)</f>
        <v>22.171129252969877</v>
      </c>
      <c r="BG34" s="1602">
        <f t="shared" si="49"/>
        <v>4356.6500000000005</v>
      </c>
      <c r="BH34" s="1602">
        <v>4353.72</v>
      </c>
      <c r="BI34" s="1602">
        <v>2.93</v>
      </c>
      <c r="BJ34" s="1602">
        <f t="shared" ref="BJ34" si="261">BK34+BL34</f>
        <v>2827.72</v>
      </c>
      <c r="BK34" s="1602">
        <v>2826.35</v>
      </c>
      <c r="BL34" s="1602">
        <v>1.37</v>
      </c>
      <c r="BM34" s="1603">
        <f t="shared" si="219"/>
        <v>3269.25</v>
      </c>
      <c r="BN34" s="1602">
        <v>3244.03</v>
      </c>
      <c r="BO34" s="1602">
        <v>25.22</v>
      </c>
      <c r="BP34" s="1603">
        <f t="shared" ref="BP34" si="262">SUM(BQ34+BR34)</f>
        <v>2605.864</v>
      </c>
      <c r="BQ34" s="1602">
        <v>2604.91</v>
      </c>
      <c r="BR34" s="1602">
        <v>0.95399999999999996</v>
      </c>
      <c r="BS34" s="1602">
        <f t="shared" ref="BS34" si="263">BT34+BU34</f>
        <v>3762.83</v>
      </c>
      <c r="BT34" s="1602">
        <v>3757.61</v>
      </c>
      <c r="BU34" s="1602">
        <v>5.22</v>
      </c>
      <c r="BV34" s="1602">
        <f>'цех вода'!AM50</f>
        <v>3186.3243914482641</v>
      </c>
      <c r="BW34" s="1602">
        <f>BV34/$BV$79*$BW$79</f>
        <v>3184.7844717260814</v>
      </c>
      <c r="BX34" s="1602">
        <f>BV34/$BV$79*$BX$79</f>
        <v>1.5399197221828722</v>
      </c>
      <c r="BY34" s="1602">
        <f>SUM('цех вода'!AN50)</f>
        <v>2773.7047629599765</v>
      </c>
      <c r="BZ34" s="1602">
        <f>BY34/$BV$79*$BW$79</f>
        <v>2772.3642583084547</v>
      </c>
      <c r="CA34" s="1602">
        <f>BY34/$BV$79*$BX$79</f>
        <v>1.3405046515220729</v>
      </c>
      <c r="CB34" s="3578" t="str">
        <f>CB26</f>
        <v>Приложение</v>
      </c>
      <c r="CC34" s="365"/>
      <c r="CD34" s="365"/>
      <c r="CE34" s="365"/>
      <c r="CF34" s="1602">
        <f>SUM('цех вода'!AX50)</f>
        <v>3200.6838619594887</v>
      </c>
      <c r="CG34" s="1602">
        <f>CF34/CF151*CG151</f>
        <v>3199.0534588963246</v>
      </c>
      <c r="CH34" s="1602">
        <f>CF34/CF151*CH151</f>
        <v>1.6304030631641295</v>
      </c>
      <c r="CI34" s="1602">
        <f t="shared" ref="CI34" si="264">CJ34+CK34</f>
        <v>1185.06</v>
      </c>
      <c r="CJ34" s="1602">
        <f>SUM('цех вода'!AY50)</f>
        <v>1185.06</v>
      </c>
      <c r="CK34" s="1602">
        <v>0</v>
      </c>
      <c r="CL34" s="1602">
        <f t="shared" ref="CL34" si="265">CM34+CN34</f>
        <v>2334.5700000000002</v>
      </c>
      <c r="CM34" s="1602">
        <f>SUM('цех вода'!AZ50)</f>
        <v>2334.5700000000002</v>
      </c>
      <c r="CN34" s="1602">
        <v>0</v>
      </c>
      <c r="CO34" s="1602">
        <f t="shared" ref="CO34" si="266">CP34+CQ34</f>
        <v>2408.46</v>
      </c>
      <c r="CP34" s="1602">
        <f>SUM('цех вода'!BA50)</f>
        <v>2408.46</v>
      </c>
      <c r="CQ34" s="1602">
        <v>0</v>
      </c>
      <c r="CR34" s="2371">
        <f t="shared" ref="CR34" si="267">CS34+CT34</f>
        <v>3097.8203658597895</v>
      </c>
      <c r="CS34" s="2371">
        <f>SUM('цех вода'!BB50)</f>
        <v>3097.8203658597895</v>
      </c>
      <c r="CT34" s="2371">
        <v>0</v>
      </c>
      <c r="CU34" s="4101">
        <f t="shared" ref="CU34" si="268">CV34+CW34</f>
        <v>2241.1761918081293</v>
      </c>
      <c r="CV34" s="4101">
        <f>SUM('цех вода'!BC50)</f>
        <v>2241.1761918081293</v>
      </c>
      <c r="CW34" s="4101">
        <v>0</v>
      </c>
      <c r="CX34" s="2371">
        <f t="shared" ref="CX34" si="269">CY34+CZ34</f>
        <v>1002.75</v>
      </c>
      <c r="CY34" s="2371">
        <f>SUM('цех вода'!BD50)</f>
        <v>1002.75</v>
      </c>
      <c r="CZ34" s="2371">
        <v>0</v>
      </c>
      <c r="DA34" s="2371">
        <f t="shared" ref="DA34" si="270">DB34+DC34</f>
        <v>1682.74</v>
      </c>
      <c r="DB34" s="2371">
        <f>SUM('цех вода'!BE50)</f>
        <v>1682.74</v>
      </c>
      <c r="DC34" s="2371">
        <v>0</v>
      </c>
      <c r="DD34" s="3487">
        <f t="shared" ref="DD34" si="271">DE34+DF34</f>
        <v>0</v>
      </c>
      <c r="DE34" s="3487">
        <f>SUM('цех вода'!BP50)</f>
        <v>0</v>
      </c>
      <c r="DF34" s="3487">
        <v>0</v>
      </c>
    </row>
    <row r="35" spans="1:110" s="2219" customFormat="1" ht="21" customHeight="1" x14ac:dyDescent="0.2">
      <c r="A35" s="3616" t="s">
        <v>523</v>
      </c>
      <c r="B35" s="2652">
        <f>SUM(B36:B42)</f>
        <v>7249.7</v>
      </c>
      <c r="C35" s="3611">
        <f>SUM(C36:C42)</f>
        <v>10354.4</v>
      </c>
      <c r="D35" s="3341">
        <f t="shared" si="29"/>
        <v>142.82522035394567</v>
      </c>
      <c r="E35" s="3611">
        <f>SUM(E36:E42)-E41</f>
        <v>11764.7</v>
      </c>
      <c r="F35" s="1743">
        <f t="shared" si="231"/>
        <v>113.62029668546705</v>
      </c>
      <c r="G35" s="3611">
        <v>16478.3</v>
      </c>
      <c r="H35" s="3341">
        <f t="shared" si="31"/>
        <v>140.06562003280999</v>
      </c>
      <c r="I35" s="3611">
        <f>SUM(I36:I42)-I41</f>
        <v>14063.7084</v>
      </c>
      <c r="J35" s="3611">
        <f>SUM(J36:J42)-J41</f>
        <v>8204.1999999999989</v>
      </c>
      <c r="K35" s="3611">
        <f>SUM(K36:K42)-K41</f>
        <v>10064.388220844954</v>
      </c>
      <c r="L35" s="3611">
        <f>SUM(L36:L42)-L41</f>
        <v>14542.8</v>
      </c>
      <c r="M35" s="3614">
        <f t="shared" si="32"/>
        <v>103.40658087023475</v>
      </c>
      <c r="N35" s="3604">
        <f t="shared" si="33"/>
        <v>88.25424952816735</v>
      </c>
      <c r="O35" s="3584">
        <v>18477</v>
      </c>
      <c r="P35" s="3604">
        <f t="shared" si="34"/>
        <v>131.38071036797095</v>
      </c>
      <c r="Q35" s="3615">
        <f>SUM(Q36:Q42)-Q41</f>
        <v>13651.565713400467</v>
      </c>
      <c r="R35" s="3604">
        <f t="shared" si="43"/>
        <v>97.069459385267592</v>
      </c>
      <c r="S35" s="3604">
        <f t="shared" si="44"/>
        <v>93.871645854996757</v>
      </c>
      <c r="T35" s="3584" t="e">
        <f t="shared" ref="T35:Y35" si="272">SUM(T36:T42)-T41</f>
        <v>#REF!</v>
      </c>
      <c r="U35" s="3584" t="e">
        <f t="shared" si="272"/>
        <v>#REF!</v>
      </c>
      <c r="V35" s="3584">
        <f t="shared" si="272"/>
        <v>11610.7</v>
      </c>
      <c r="W35" s="3584" t="e">
        <f t="shared" si="272"/>
        <v>#REF!</v>
      </c>
      <c r="X35" s="3584" t="e">
        <f t="shared" si="272"/>
        <v>#REF!</v>
      </c>
      <c r="Y35" s="1606">
        <f t="shared" si="272"/>
        <v>18050.300000000003</v>
      </c>
      <c r="Z35" s="1596">
        <f t="shared" si="35"/>
        <v>1.3222146366904795</v>
      </c>
      <c r="AA35" s="1606" t="e">
        <f>SUM(AA36:AA42)-AA41</f>
        <v>#REF!</v>
      </c>
      <c r="AB35" s="1596" t="e">
        <f t="shared" si="1"/>
        <v>#REF!</v>
      </c>
      <c r="AC35" s="1606" t="e">
        <f>SUM(AC36:AC42)-AC41</f>
        <v>#REF!</v>
      </c>
      <c r="AD35" s="1606" t="e">
        <f>SUM(AD36:AD42)-AD41</f>
        <v>#REF!</v>
      </c>
      <c r="AE35" s="1606">
        <f>SUM(AE36:AE42)-AE41</f>
        <v>14424.1</v>
      </c>
      <c r="AF35" s="1606">
        <f>SUM(AF36:AF42)-AF41</f>
        <v>14257.620782371874</v>
      </c>
      <c r="AG35" s="1606">
        <f>SUM(AG36:AG42)-AG41</f>
        <v>166.47921762812553</v>
      </c>
      <c r="AH35" s="1595">
        <f t="shared" si="37"/>
        <v>16341.494330000001</v>
      </c>
      <c r="AI35" s="1597" t="e">
        <f t="shared" si="38"/>
        <v>#REF!</v>
      </c>
      <c r="AJ35" s="1606">
        <f>SUM(AJ36:AJ42)-AJ41</f>
        <v>16173.394330000001</v>
      </c>
      <c r="AK35" s="1606">
        <f>SUM(AK36:AK42)-AK41</f>
        <v>168.1</v>
      </c>
      <c r="AL35" s="1595">
        <f t="shared" si="39"/>
        <v>14730.639229466893</v>
      </c>
      <c r="AM35" s="1597" t="e">
        <f t="shared" si="40"/>
        <v>#REF!</v>
      </c>
      <c r="AN35" s="1606">
        <f>SUM(AN36:AN42)-AN41</f>
        <v>14562.954798597455</v>
      </c>
      <c r="AO35" s="1606">
        <f>SUM(AO36:AO42)-AO41</f>
        <v>167.68443086943822</v>
      </c>
      <c r="AP35" s="1598" t="e">
        <f t="shared" si="41"/>
        <v>#REF!</v>
      </c>
      <c r="AQ35" s="1598" t="e">
        <f t="shared" si="232"/>
        <v>#REF!</v>
      </c>
      <c r="AR35" s="1598" t="e">
        <f t="shared" si="42"/>
        <v>#REF!</v>
      </c>
      <c r="AS35" s="1598" t="e">
        <f t="shared" si="2"/>
        <v>#REF!</v>
      </c>
      <c r="AT35" s="1606">
        <f t="shared" ref="AT35:AZ35" si="273">SUM(AT36:AT42)-AT41</f>
        <v>6773.28</v>
      </c>
      <c r="AU35" s="1606">
        <f t="shared" si="273"/>
        <v>6728.6354464249835</v>
      </c>
      <c r="AV35" s="1606">
        <f t="shared" si="273"/>
        <v>44.644553575017312</v>
      </c>
      <c r="AW35" s="1606">
        <f t="shared" si="273"/>
        <v>14627.66</v>
      </c>
      <c r="AX35" s="1606">
        <f t="shared" si="273"/>
        <v>14562.61</v>
      </c>
      <c r="AY35" s="1606">
        <f t="shared" si="273"/>
        <v>65.050000000000011</v>
      </c>
      <c r="AZ35" s="1606">
        <f t="shared" si="273"/>
        <v>17093.778010000002</v>
      </c>
      <c r="BA35" s="1599">
        <f t="shared" si="48"/>
        <v>1.1604233695307622</v>
      </c>
      <c r="BB35" s="1606">
        <f>SUM(BB36:BB42)-BB41</f>
        <v>17007.407284607951</v>
      </c>
      <c r="BC35" s="1606">
        <f>SUM(BC36:BC42)-BC41</f>
        <v>86.370725392052066</v>
      </c>
      <c r="BD35" s="1606">
        <f>SUM(BD36:BD42)-BD41</f>
        <v>15209.271831229213</v>
      </c>
      <c r="BE35" s="1606">
        <f t="shared" ref="BE35:BU35" si="274">SUM(BE36:BE42)-BE41</f>
        <v>15129.347517609058</v>
      </c>
      <c r="BF35" s="1606">
        <f t="shared" si="274"/>
        <v>79.924313620153953</v>
      </c>
      <c r="BG35" s="1606">
        <f t="shared" si="274"/>
        <v>14459.76</v>
      </c>
      <c r="BH35" s="1606">
        <f t="shared" si="274"/>
        <v>14450.9</v>
      </c>
      <c r="BI35" s="1606">
        <f t="shared" si="274"/>
        <v>8.86</v>
      </c>
      <c r="BJ35" s="1606">
        <f t="shared" si="274"/>
        <v>14914.53</v>
      </c>
      <c r="BK35" s="1606">
        <f t="shared" si="274"/>
        <v>14908.07</v>
      </c>
      <c r="BL35" s="1606">
        <f t="shared" si="274"/>
        <v>6.46</v>
      </c>
      <c r="BM35" s="1606">
        <f>SUM(BM36:BM42)-BM41</f>
        <v>16783.0059</v>
      </c>
      <c r="BN35" s="1606">
        <f t="shared" ref="BN35:BO35" si="275">SUM(BN36:BN42)-BN41</f>
        <v>16710.641</v>
      </c>
      <c r="BO35" s="1606">
        <f t="shared" si="275"/>
        <v>72.364900000000006</v>
      </c>
      <c r="BP35" s="1606">
        <f>SUM(BP36:BP42)-BP41</f>
        <v>15282.380000000001</v>
      </c>
      <c r="BQ35" s="1606">
        <f t="shared" ref="BQ35:BR35" si="276">SUM(BQ36:BQ42)-BQ41</f>
        <v>15276.819999999998</v>
      </c>
      <c r="BR35" s="1606">
        <f t="shared" si="276"/>
        <v>5.56</v>
      </c>
      <c r="BS35" s="1606">
        <f t="shared" si="274"/>
        <v>16784.819999999996</v>
      </c>
      <c r="BT35" s="1606">
        <f t="shared" si="274"/>
        <v>16767.669999999998</v>
      </c>
      <c r="BU35" s="1606">
        <f t="shared" si="274"/>
        <v>17.149999999999995</v>
      </c>
      <c r="BV35" s="1606">
        <f>SUM(BV36:BV42)-BV41</f>
        <v>15485.369266070755</v>
      </c>
      <c r="BW35" s="1606">
        <f t="shared" ref="BW35" si="277">SUM(BW36:BW42)-BW41</f>
        <v>15479.874461452297</v>
      </c>
      <c r="BX35" s="1606">
        <f t="shared" ref="BX35" si="278">SUM(BX36:BX42)-BX41</f>
        <v>5.4948046184569357</v>
      </c>
      <c r="BY35" s="1606">
        <f>SUM(BY36:BY42)-BY41</f>
        <v>15808.750180118781</v>
      </c>
      <c r="BZ35" s="1606">
        <f t="shared" ref="BZ35" si="279">SUM(BZ36:BZ42)-BZ41</f>
        <v>15803.114487704337</v>
      </c>
      <c r="CA35" s="1606">
        <f t="shared" ref="CA35" si="280">SUM(CA36:CA42)-CA41</f>
        <v>5.6356924144437537</v>
      </c>
      <c r="CB35" s="3441"/>
      <c r="CC35" s="365"/>
      <c r="CD35" s="365"/>
      <c r="CE35" s="365"/>
      <c r="CF35" s="1606">
        <f>SUM(CF36:CF42)-CF41</f>
        <v>15690.859913103546</v>
      </c>
      <c r="CG35" s="1606">
        <f t="shared" ref="CG35" si="281">SUM(CG36:CG42)-CG41</f>
        <v>15684.672617703272</v>
      </c>
      <c r="CH35" s="1606">
        <f t="shared" ref="CH35" si="282">SUM(CH36:CH42)-CH41</f>
        <v>6.1872954002737703</v>
      </c>
      <c r="CI35" s="1606">
        <f>SUM(CI36:CI42)-CI41</f>
        <v>7765.2099999999991</v>
      </c>
      <c r="CJ35" s="1606">
        <f t="shared" ref="CJ35" si="283">SUM(CJ36:CJ42)-CJ41</f>
        <v>7765.2099999999991</v>
      </c>
      <c r="CK35" s="1606">
        <f t="shared" ref="CK35" si="284">SUM(CK36:CK42)-CK41</f>
        <v>0</v>
      </c>
      <c r="CL35" s="1606">
        <f>SUM(CL36:CL42)-CL41</f>
        <v>12036.94</v>
      </c>
      <c r="CM35" s="1606">
        <f t="shared" ref="CM35" si="285">SUM(CM36:CM42)-CM41</f>
        <v>12036.94</v>
      </c>
      <c r="CN35" s="1606">
        <f t="shared" ref="CN35" si="286">SUM(CN36:CN42)-CN41</f>
        <v>0</v>
      </c>
      <c r="CO35" s="1606">
        <f>SUM(CO36:CO42)-CO41</f>
        <v>16519.969999999998</v>
      </c>
      <c r="CP35" s="1606">
        <f t="shared" ref="CP35" si="287">SUM(CP36:CP42)-CP41</f>
        <v>16519.969999999998</v>
      </c>
      <c r="CQ35" s="1606">
        <f t="shared" ref="CQ35" si="288">SUM(CQ36:CQ42)-CQ41</f>
        <v>0</v>
      </c>
      <c r="CR35" s="2374">
        <f>SUM(CR36:CR42)-CR41</f>
        <v>20156.284235526022</v>
      </c>
      <c r="CS35" s="2374">
        <f t="shared" ref="CS35" si="289">SUM(CS36:CS42)-CS41</f>
        <v>20156.284235526022</v>
      </c>
      <c r="CT35" s="2374">
        <f t="shared" ref="CT35" si="290">SUM(CT36:CT42)-CT41</f>
        <v>0</v>
      </c>
      <c r="CU35" s="4103">
        <f>SUM(CU36:CU42)-CU41</f>
        <v>15141.562196626362</v>
      </c>
      <c r="CV35" s="4103">
        <f t="shared" ref="CV35" si="291">SUM(CV36:CV42)-CV41</f>
        <v>15141.562196626362</v>
      </c>
      <c r="CW35" s="4103">
        <f t="shared" ref="CW35" si="292">SUM(CW36:CW42)-CW41</f>
        <v>0</v>
      </c>
      <c r="CX35" s="2374">
        <f>SUM(CX36:CX42)-CX41</f>
        <v>8833.6250000000018</v>
      </c>
      <c r="CY35" s="2374">
        <f t="shared" ref="CY35" si="293">SUM(CY36:CY42)-CY41</f>
        <v>8833.6250000000018</v>
      </c>
      <c r="CZ35" s="2374">
        <f t="shared" ref="CZ35" si="294">SUM(CZ36:CZ42)-CZ41</f>
        <v>0</v>
      </c>
      <c r="DA35" s="2374">
        <f>SUM(DA36:DA42)-DA41</f>
        <v>12975.849</v>
      </c>
      <c r="DB35" s="2374">
        <f t="shared" ref="DB35" si="295">SUM(DB36:DB42)-DB41</f>
        <v>12975.849</v>
      </c>
      <c r="DC35" s="2374">
        <f t="shared" ref="DC35" si="296">SUM(DC36:DC42)-DC41</f>
        <v>0</v>
      </c>
      <c r="DD35" s="3489">
        <f>SUM(DD36:DD42)-DD41</f>
        <v>1879.31</v>
      </c>
      <c r="DE35" s="3489">
        <f t="shared" ref="DE35" si="297">SUM(DE36:DE42)-DE41</f>
        <v>1879.31</v>
      </c>
      <c r="DF35" s="3489">
        <f t="shared" ref="DF35" si="298">SUM(DF36:DF42)-DF41</f>
        <v>0</v>
      </c>
    </row>
    <row r="36" spans="1:110" ht="21" customHeight="1" x14ac:dyDescent="0.2">
      <c r="A36" s="3466" t="s">
        <v>2</v>
      </c>
      <c r="B36" s="3581">
        <v>928.8</v>
      </c>
      <c r="C36" s="2125">
        <v>1802</v>
      </c>
      <c r="D36" s="3341">
        <f t="shared" si="29"/>
        <v>194.01378122308356</v>
      </c>
      <c r="E36" s="2125">
        <v>1837.4</v>
      </c>
      <c r="F36" s="3341">
        <f t="shared" si="231"/>
        <v>101.96448390677027</v>
      </c>
      <c r="G36" s="3341">
        <v>2253.5</v>
      </c>
      <c r="H36" s="3341">
        <f t="shared" si="31"/>
        <v>122.6461304016545</v>
      </c>
      <c r="I36" s="3583">
        <v>2250</v>
      </c>
      <c r="J36" s="3583">
        <v>949.2</v>
      </c>
      <c r="K36" s="3583">
        <v>1968.8</v>
      </c>
      <c r="L36" s="3583">
        <v>2598.4</v>
      </c>
      <c r="M36" s="3604">
        <f t="shared" si="32"/>
        <v>115.48444444444445</v>
      </c>
      <c r="N36" s="3604">
        <f t="shared" si="33"/>
        <v>115.30508098513424</v>
      </c>
      <c r="O36" s="3583">
        <v>2628</v>
      </c>
      <c r="P36" s="3604">
        <f t="shared" si="34"/>
        <v>116.8</v>
      </c>
      <c r="Q36" s="3605">
        <v>2628</v>
      </c>
      <c r="R36" s="3604">
        <f t="shared" si="43"/>
        <v>116.8</v>
      </c>
      <c r="S36" s="3604">
        <f t="shared" si="44"/>
        <v>101.13916256157636</v>
      </c>
      <c r="T36" s="3583" t="e">
        <f>Q36/Q79*T79</f>
        <v>#REF!</v>
      </c>
      <c r="U36" s="3583" t="e">
        <f t="shared" ref="U36:U42" si="299">Q36-T36</f>
        <v>#REF!</v>
      </c>
      <c r="V36" s="3583">
        <v>2012.2</v>
      </c>
      <c r="W36" s="3583" t="e">
        <f>2690.2*(объемы!#REF!-объемы!#REF!)/объемы!#REF!</f>
        <v>#REF!</v>
      </c>
      <c r="X36" s="3583" t="e">
        <f>2690.2-W36</f>
        <v>#REF!</v>
      </c>
      <c r="Y36" s="1602">
        <v>2715.2</v>
      </c>
      <c r="Z36" s="1596">
        <f t="shared" si="35"/>
        <v>1.0331811263318111</v>
      </c>
      <c r="AA36" s="1602" t="e">
        <f>Аморт!G10</f>
        <v>#REF!</v>
      </c>
      <c r="AB36" s="1596" t="e">
        <f t="shared" si="1"/>
        <v>#REF!</v>
      </c>
      <c r="AC36" s="1602" t="e">
        <f>$AC$79/$AA$79*AA36</f>
        <v>#REF!</v>
      </c>
      <c r="AD36" s="1602" t="e">
        <f t="shared" si="46"/>
        <v>#REF!</v>
      </c>
      <c r="AE36" s="1602">
        <f>SUM(Аморт!L10)</f>
        <v>2798.4</v>
      </c>
      <c r="AF36" s="1602">
        <f>AF79/AE79*AE36</f>
        <v>2763.8963307749445</v>
      </c>
      <c r="AG36" s="1602">
        <f>AE36-AF36</f>
        <v>34.503669225055546</v>
      </c>
      <c r="AH36" s="1603">
        <f t="shared" si="37"/>
        <v>2797</v>
      </c>
      <c r="AI36" s="1597" t="e">
        <f t="shared" si="38"/>
        <v>#REF!</v>
      </c>
      <c r="AJ36" s="1602">
        <v>2765.16</v>
      </c>
      <c r="AK36" s="1602">
        <v>31.84</v>
      </c>
      <c r="AL36" s="1603">
        <f t="shared" si="39"/>
        <v>2797</v>
      </c>
      <c r="AM36" s="1597" t="e">
        <f t="shared" si="40"/>
        <v>#REF!</v>
      </c>
      <c r="AN36" s="1602">
        <f>Аморт!O10*AN79/(AN79+AO79)</f>
        <v>2765.1606924291777</v>
      </c>
      <c r="AO36" s="1602">
        <f>-AN36+Аморт!O10</f>
        <v>31.839307570822257</v>
      </c>
      <c r="AP36" s="1598" t="e">
        <f t="shared" si="41"/>
        <v>#REF!</v>
      </c>
      <c r="AQ36" s="1598" t="e">
        <f t="shared" si="232"/>
        <v>#REF!</v>
      </c>
      <c r="AR36" s="1598" t="e">
        <f t="shared" si="42"/>
        <v>#REF!</v>
      </c>
      <c r="AS36" s="1598" t="e">
        <f>AQ36+AR36</f>
        <v>#REF!</v>
      </c>
      <c r="AT36" s="1602">
        <f>SUM(Аморт!Q10)</f>
        <v>1412.82</v>
      </c>
      <c r="AU36" s="1602">
        <f>AU79/AT79*AT36</f>
        <v>1403.0958962662271</v>
      </c>
      <c r="AV36" s="1602">
        <f>AT36-AU36</f>
        <v>9.7241037337728358</v>
      </c>
      <c r="AW36" s="1602">
        <f t="shared" si="124"/>
        <v>3059.78</v>
      </c>
      <c r="AX36" s="1602">
        <v>3045.03</v>
      </c>
      <c r="AY36" s="1602">
        <v>14.75</v>
      </c>
      <c r="AZ36" s="1603">
        <f>SUM(Аморт!T10)</f>
        <v>2797</v>
      </c>
      <c r="BA36" s="1599">
        <f t="shared" si="48"/>
        <v>1</v>
      </c>
      <c r="BB36" s="1602">
        <f>BB79/AZ79*AZ36</f>
        <v>2782.0617894364409</v>
      </c>
      <c r="BC36" s="1602">
        <f>AZ36-BB36</f>
        <v>14.938210563559096</v>
      </c>
      <c r="BD36" s="1603">
        <f>SUM(Аморт!U10)</f>
        <v>2901.95</v>
      </c>
      <c r="BE36" s="1602">
        <f>BE79/BD79*BD36</f>
        <v>2886.4512727404644</v>
      </c>
      <c r="BF36" s="1602">
        <f>BD36-BE36</f>
        <v>15.498727259535372</v>
      </c>
      <c r="BG36" s="1602">
        <f t="shared" si="49"/>
        <v>3533.2400000000002</v>
      </c>
      <c r="BH36" s="1602">
        <v>3530.86</v>
      </c>
      <c r="BI36" s="1602">
        <v>2.38</v>
      </c>
      <c r="BJ36" s="1602">
        <f t="shared" ref="BJ36:BJ40" si="300">BK36+BL36</f>
        <v>3533.27</v>
      </c>
      <c r="BK36" s="1602">
        <v>3531.56</v>
      </c>
      <c r="BL36" s="1602">
        <v>1.71</v>
      </c>
      <c r="BM36" s="1603">
        <f t="shared" si="219"/>
        <v>3533.24</v>
      </c>
      <c r="BN36" s="1602">
        <v>3533.24</v>
      </c>
      <c r="BO36" s="1602">
        <v>0</v>
      </c>
      <c r="BP36" s="1603">
        <f t="shared" ref="BP36:BP40" si="301">SUM(BQ36+BR36)</f>
        <v>3544.43</v>
      </c>
      <c r="BQ36" s="1602">
        <v>3543.14</v>
      </c>
      <c r="BR36" s="1602">
        <v>1.29</v>
      </c>
      <c r="BS36" s="1602">
        <f t="shared" ref="BS36:BS40" si="302">BT36+BU36</f>
        <v>3533.27</v>
      </c>
      <c r="BT36" s="1602">
        <v>3533.27</v>
      </c>
      <c r="BU36" s="1602">
        <v>0</v>
      </c>
      <c r="BV36" s="1602">
        <f>Аморт!AM10</f>
        <v>3533.27</v>
      </c>
      <c r="BW36" s="1602">
        <f>BV36</f>
        <v>3533.27</v>
      </c>
      <c r="BX36" s="1602">
        <v>0</v>
      </c>
      <c r="BY36" s="1602">
        <f>SUM(Аморт!AS10)</f>
        <v>3544.43</v>
      </c>
      <c r="BZ36" s="1602">
        <f>BY36</f>
        <v>3544.43</v>
      </c>
      <c r="CA36" s="1602">
        <v>0</v>
      </c>
      <c r="CB36" s="3578" t="str">
        <f>CB29</f>
        <v>Приложение</v>
      </c>
      <c r="CC36" s="365"/>
      <c r="CD36" s="365"/>
      <c r="CE36" s="365"/>
      <c r="CF36" s="1602">
        <f>SUM(Аморт!AT10)</f>
        <v>3544.43</v>
      </c>
      <c r="CG36" s="1602">
        <f>CF36</f>
        <v>3544.43</v>
      </c>
      <c r="CH36" s="1602">
        <v>0</v>
      </c>
      <c r="CI36" s="1602">
        <f>SUM(CJ36:CK36)</f>
        <v>1776.75</v>
      </c>
      <c r="CJ36" s="1602">
        <f>SUM(Аморт!AV10)</f>
        <v>1776.75</v>
      </c>
      <c r="CK36" s="1602">
        <f>SUM(Аморт!AW10)</f>
        <v>0</v>
      </c>
      <c r="CL36" s="1602">
        <f>SUM(CM36:CN36)</f>
        <v>2670.81</v>
      </c>
      <c r="CM36" s="1602">
        <f>SUM(Аморт!AY10)</f>
        <v>2670.81</v>
      </c>
      <c r="CN36" s="1602">
        <f>SUM(Аморт!AZ10)</f>
        <v>0</v>
      </c>
      <c r="CO36" s="1602">
        <f>SUM(CP36:CQ36)</f>
        <v>3575.59</v>
      </c>
      <c r="CP36" s="1602">
        <f>SUM(Аморт!BB10)</f>
        <v>3575.59</v>
      </c>
      <c r="CQ36" s="1602">
        <f>SUM(Аморт!BC10)</f>
        <v>0</v>
      </c>
      <c r="CR36" s="2371">
        <f>SUM(CS36:CT36)</f>
        <v>3575.59</v>
      </c>
      <c r="CS36" s="2371">
        <f>SUM(Аморт!BD10)</f>
        <v>3575.59</v>
      </c>
      <c r="CT36" s="2371">
        <f>SUM(Аморт!BF10)</f>
        <v>0</v>
      </c>
      <c r="CU36" s="4101">
        <f>SUM(CV36:CW36)</f>
        <v>1875.8092036112455</v>
      </c>
      <c r="CV36" s="4101">
        <f>SUM(Аморт!BE10)</f>
        <v>1875.8092036112455</v>
      </c>
      <c r="CW36" s="4101">
        <v>0</v>
      </c>
      <c r="CX36" s="2371">
        <f>SUM(CY36:CZ36)</f>
        <v>1827.8309999999999</v>
      </c>
      <c r="CY36" s="2371">
        <f>SUM(Аморт!BJ10)</f>
        <v>1827.8309999999999</v>
      </c>
      <c r="CZ36" s="2371">
        <v>0</v>
      </c>
      <c r="DA36" s="2371">
        <f>SUM(DB36:DC36)</f>
        <v>2745.6750000000002</v>
      </c>
      <c r="DB36" s="2371">
        <f>SUM(Аморт!BM10)</f>
        <v>2745.6750000000002</v>
      </c>
      <c r="DC36" s="2371">
        <f>SUM(Аморт!BO10)</f>
        <v>0</v>
      </c>
      <c r="DD36" s="3487">
        <f>SUM(DE36:DF36)</f>
        <v>0</v>
      </c>
      <c r="DE36" s="3487">
        <f>SUM(Аморт!BQ10)</f>
        <v>0</v>
      </c>
      <c r="DF36" s="3487">
        <f>SUM(Аморт!BR10)</f>
        <v>0</v>
      </c>
    </row>
    <row r="37" spans="1:110" ht="21" customHeight="1" x14ac:dyDescent="0.2">
      <c r="A37" s="3466" t="s">
        <v>210</v>
      </c>
      <c r="B37" s="3581">
        <v>6.1</v>
      </c>
      <c r="C37" s="2125">
        <v>5.6</v>
      </c>
      <c r="D37" s="3341">
        <f t="shared" si="29"/>
        <v>91.803278688524586</v>
      </c>
      <c r="E37" s="2125">
        <v>33.5</v>
      </c>
      <c r="F37" s="3341">
        <f t="shared" si="231"/>
        <v>598.21428571428578</v>
      </c>
      <c r="G37" s="3341"/>
      <c r="H37" s="3341">
        <f t="shared" si="31"/>
        <v>0</v>
      </c>
      <c r="I37" s="3583"/>
      <c r="J37" s="3583"/>
      <c r="K37" s="3583"/>
      <c r="L37" s="3583">
        <f>K37/9*12</f>
        <v>0</v>
      </c>
      <c r="M37" s="3604"/>
      <c r="N37" s="3604"/>
      <c r="O37" s="3583"/>
      <c r="P37" s="3604"/>
      <c r="Q37" s="3605"/>
      <c r="R37" s="3604"/>
      <c r="S37" s="3604"/>
      <c r="T37" s="3583"/>
      <c r="U37" s="3583">
        <f t="shared" si="299"/>
        <v>0</v>
      </c>
      <c r="V37" s="3583">
        <v>0</v>
      </c>
      <c r="W37" s="3583"/>
      <c r="X37" s="3583">
        <v>0</v>
      </c>
      <c r="Y37" s="1602">
        <v>0</v>
      </c>
      <c r="Z37" s="1596"/>
      <c r="AA37" s="1602">
        <v>0</v>
      </c>
      <c r="AB37" s="1596"/>
      <c r="AC37" s="1602" t="e">
        <f>$AC$79/$AA$79*AA37</f>
        <v>#REF!</v>
      </c>
      <c r="AD37" s="1602" t="e">
        <f t="shared" si="46"/>
        <v>#REF!</v>
      </c>
      <c r="AE37" s="1602">
        <v>0</v>
      </c>
      <c r="AF37" s="1602">
        <v>0</v>
      </c>
      <c r="AG37" s="1602">
        <v>0</v>
      </c>
      <c r="AH37" s="1603">
        <f t="shared" si="37"/>
        <v>0</v>
      </c>
      <c r="AI37" s="1597"/>
      <c r="AJ37" s="1602">
        <v>0</v>
      </c>
      <c r="AK37" s="1602">
        <v>0</v>
      </c>
      <c r="AL37" s="1603">
        <f t="shared" si="39"/>
        <v>0</v>
      </c>
      <c r="AM37" s="1597"/>
      <c r="AN37" s="1602">
        <v>0</v>
      </c>
      <c r="AO37" s="1602">
        <v>0</v>
      </c>
      <c r="AP37" s="1598">
        <f t="shared" si="41"/>
        <v>0</v>
      </c>
      <c r="AQ37" s="1598"/>
      <c r="AR37" s="1598"/>
      <c r="AS37" s="1598">
        <f t="shared" ref="AS37:AS86" si="303">AQ37+AR37</f>
        <v>0</v>
      </c>
      <c r="AT37" s="1602">
        <v>0</v>
      </c>
      <c r="AU37" s="1602">
        <v>0</v>
      </c>
      <c r="AV37" s="1602">
        <v>0</v>
      </c>
      <c r="AW37" s="1602">
        <f t="shared" si="124"/>
        <v>0</v>
      </c>
      <c r="AX37" s="1602">
        <v>0</v>
      </c>
      <c r="AY37" s="1602">
        <v>0</v>
      </c>
      <c r="AZ37" s="1603">
        <f t="shared" ref="AZ37:AZ38" si="304">SUM(BB37+BC37)</f>
        <v>0</v>
      </c>
      <c r="BA37" s="1599"/>
      <c r="BB37" s="1602">
        <v>0</v>
      </c>
      <c r="BC37" s="1602">
        <v>0</v>
      </c>
      <c r="BD37" s="1603">
        <f t="shared" ref="BD37" si="305">SUM(BE37+BF37)</f>
        <v>0</v>
      </c>
      <c r="BE37" s="1602">
        <v>0</v>
      </c>
      <c r="BF37" s="1602">
        <v>0</v>
      </c>
      <c r="BG37" s="1602">
        <f t="shared" si="49"/>
        <v>0</v>
      </c>
      <c r="BH37" s="1602">
        <v>0</v>
      </c>
      <c r="BI37" s="1602">
        <v>0</v>
      </c>
      <c r="BJ37" s="1602">
        <f t="shared" si="300"/>
        <v>0</v>
      </c>
      <c r="BK37" s="1602">
        <v>0</v>
      </c>
      <c r="BL37" s="1602">
        <v>0</v>
      </c>
      <c r="BM37" s="1603">
        <f t="shared" si="219"/>
        <v>0</v>
      </c>
      <c r="BN37" s="1602">
        <v>0</v>
      </c>
      <c r="BO37" s="1602">
        <v>0</v>
      </c>
      <c r="BP37" s="1603">
        <f t="shared" si="301"/>
        <v>0</v>
      </c>
      <c r="BQ37" s="1602">
        <v>0</v>
      </c>
      <c r="BR37" s="1602">
        <v>0</v>
      </c>
      <c r="BS37" s="1602">
        <f t="shared" si="302"/>
        <v>0</v>
      </c>
      <c r="BT37" s="1602">
        <v>0</v>
      </c>
      <c r="BU37" s="1602">
        <v>0</v>
      </c>
      <c r="BV37" s="1602">
        <v>0</v>
      </c>
      <c r="BW37" s="1602">
        <f t="shared" ref="BW37" si="306">BV37</f>
        <v>0</v>
      </c>
      <c r="BX37" s="1602">
        <v>0</v>
      </c>
      <c r="BY37" s="1602">
        <v>0</v>
      </c>
      <c r="BZ37" s="1602">
        <f t="shared" ref="BZ37" si="307">BY37</f>
        <v>0</v>
      </c>
      <c r="CA37" s="1602">
        <v>0</v>
      </c>
      <c r="CB37" s="3578"/>
      <c r="CC37" s="365"/>
      <c r="CD37" s="365"/>
      <c r="CE37" s="365"/>
      <c r="CF37" s="1602">
        <v>0</v>
      </c>
      <c r="CG37" s="1602">
        <f t="shared" ref="CG37" si="308">CF37</f>
        <v>0</v>
      </c>
      <c r="CH37" s="1602">
        <v>0</v>
      </c>
      <c r="CI37" s="1602">
        <f t="shared" ref="CI37:CI39" si="309">SUM(CJ37:CK37)</f>
        <v>0</v>
      </c>
      <c r="CJ37" s="1602">
        <v>0</v>
      </c>
      <c r="CK37" s="1602">
        <v>0</v>
      </c>
      <c r="CL37" s="1602">
        <f t="shared" ref="CL37:CL39" si="310">SUM(CM37:CN37)</f>
        <v>0</v>
      </c>
      <c r="CM37" s="1602">
        <v>0</v>
      </c>
      <c r="CN37" s="1602">
        <v>0</v>
      </c>
      <c r="CO37" s="1602">
        <f t="shared" ref="CO37:CO39" si="311">SUM(CP37:CQ37)</f>
        <v>0</v>
      </c>
      <c r="CP37" s="1602">
        <v>0</v>
      </c>
      <c r="CQ37" s="1602">
        <v>0</v>
      </c>
      <c r="CR37" s="2371">
        <f t="shared" ref="CR37:CR39" si="312">SUM(CS37:CT37)</f>
        <v>0</v>
      </c>
      <c r="CS37" s="2371">
        <v>0</v>
      </c>
      <c r="CT37" s="2371">
        <v>0</v>
      </c>
      <c r="CU37" s="4101">
        <f t="shared" ref="CU37:CU39" si="313">SUM(CV37:CW37)</f>
        <v>0</v>
      </c>
      <c r="CV37" s="4101">
        <v>0</v>
      </c>
      <c r="CW37" s="4101">
        <v>0</v>
      </c>
      <c r="CX37" s="2371">
        <f t="shared" ref="CX37:CX39" si="314">SUM(CY37:CZ37)</f>
        <v>0</v>
      </c>
      <c r="CY37" s="2371">
        <v>0</v>
      </c>
      <c r="CZ37" s="2371">
        <v>0</v>
      </c>
      <c r="DA37" s="2371">
        <f t="shared" ref="DA37:DA39" si="315">SUM(DB37:DC37)</f>
        <v>0</v>
      </c>
      <c r="DB37" s="2371">
        <v>0</v>
      </c>
      <c r="DC37" s="2371">
        <v>0</v>
      </c>
      <c r="DD37" s="3487">
        <f t="shared" ref="DD37:DD39" si="316">SUM(DE37:DF37)</f>
        <v>0</v>
      </c>
      <c r="DE37" s="3487">
        <v>0</v>
      </c>
      <c r="DF37" s="3487">
        <v>0</v>
      </c>
    </row>
    <row r="38" spans="1:110" s="385" customFormat="1" ht="43.5" customHeight="1" x14ac:dyDescent="0.2">
      <c r="A38" s="3466" t="s">
        <v>3</v>
      </c>
      <c r="B38" s="3581">
        <v>398.6</v>
      </c>
      <c r="C38" s="2125">
        <v>1512.8</v>
      </c>
      <c r="D38" s="3341">
        <f t="shared" si="29"/>
        <v>379.52834922227794</v>
      </c>
      <c r="E38" s="2125">
        <v>1300.3</v>
      </c>
      <c r="F38" s="3341">
        <f t="shared" si="231"/>
        <v>85.953199365415117</v>
      </c>
      <c r="G38" s="3341">
        <f>G35-G36-G39-G40-G42</f>
        <v>3074.9069999999965</v>
      </c>
      <c r="H38" s="3341">
        <f t="shared" si="31"/>
        <v>236.47673613781407</v>
      </c>
      <c r="I38" s="3583">
        <v>1667.9</v>
      </c>
      <c r="J38" s="3583">
        <v>1509.7</v>
      </c>
      <c r="K38" s="3583">
        <v>1071.7</v>
      </c>
      <c r="L38" s="3583">
        <v>2187.1</v>
      </c>
      <c r="M38" s="3604">
        <f t="shared" si="32"/>
        <v>131.12896456622099</v>
      </c>
      <c r="N38" s="3604"/>
      <c r="O38" s="3583">
        <f>O35-O36-O39-O40-O42</f>
        <v>3385.7971999999991</v>
      </c>
      <c r="P38" s="3604">
        <f t="shared" si="34"/>
        <v>202.99761376581324</v>
      </c>
      <c r="Q38" s="3605">
        <v>300</v>
      </c>
      <c r="R38" s="3604">
        <f t="shared" si="43"/>
        <v>17.986689849511361</v>
      </c>
      <c r="S38" s="3604">
        <f t="shared" si="44"/>
        <v>13.716793928032555</v>
      </c>
      <c r="T38" s="3583">
        <v>285.7</v>
      </c>
      <c r="U38" s="3583">
        <v>14.3</v>
      </c>
      <c r="V38" s="3583">
        <v>816.6</v>
      </c>
      <c r="W38" s="3583">
        <f>3058.7-W12-W22-W28</f>
        <v>1238.6999999999998</v>
      </c>
      <c r="X38" s="3583">
        <v>0</v>
      </c>
      <c r="Y38" s="1602">
        <v>2406</v>
      </c>
      <c r="Z38" s="1596">
        <f t="shared" si="35"/>
        <v>8.02</v>
      </c>
      <c r="AA38" s="1602">
        <v>0</v>
      </c>
      <c r="AB38" s="1596">
        <f t="shared" si="1"/>
        <v>0</v>
      </c>
      <c r="AC38" s="1602" t="e">
        <f>$AC$79/$AA$79*AA38</f>
        <v>#REF!</v>
      </c>
      <c r="AD38" s="1602" t="e">
        <f t="shared" si="46"/>
        <v>#REF!</v>
      </c>
      <c r="AE38" s="1602">
        <v>921.9</v>
      </c>
      <c r="AF38" s="1602">
        <f>SUM(AE38)</f>
        <v>921.9</v>
      </c>
      <c r="AG38" s="1602">
        <v>0</v>
      </c>
      <c r="AH38" s="1603">
        <f t="shared" si="37"/>
        <v>1575</v>
      </c>
      <c r="AI38" s="1597"/>
      <c r="AJ38" s="1602">
        <v>1575</v>
      </c>
      <c r="AK38" s="1602">
        <v>0</v>
      </c>
      <c r="AL38" s="1603">
        <f t="shared" si="39"/>
        <v>0</v>
      </c>
      <c r="AM38" s="1597"/>
      <c r="AN38" s="1602">
        <v>0</v>
      </c>
      <c r="AO38" s="1602">
        <v>0</v>
      </c>
      <c r="AP38" s="1598">
        <f t="shared" si="41"/>
        <v>-2406</v>
      </c>
      <c r="AQ38" s="1598">
        <f>AP38</f>
        <v>-2406</v>
      </c>
      <c r="AR38" s="1598">
        <f t="shared" si="42"/>
        <v>0</v>
      </c>
      <c r="AS38" s="1598">
        <f t="shared" si="303"/>
        <v>-2406</v>
      </c>
      <c r="AT38" s="1602">
        <v>286.85000000000002</v>
      </c>
      <c r="AU38" s="1602">
        <v>286.85000000000002</v>
      </c>
      <c r="AV38" s="1602">
        <v>0</v>
      </c>
      <c r="AW38" s="1602">
        <f t="shared" si="124"/>
        <v>1131.27</v>
      </c>
      <c r="AX38" s="1602">
        <v>1131.27</v>
      </c>
      <c r="AY38" s="1602">
        <v>0</v>
      </c>
      <c r="AZ38" s="1603">
        <f t="shared" si="304"/>
        <v>921.9</v>
      </c>
      <c r="BA38" s="1599"/>
      <c r="BB38" s="1602">
        <v>921.9</v>
      </c>
      <c r="BC38" s="1602">
        <v>0</v>
      </c>
      <c r="BD38" s="1603">
        <f>BE38+BF38</f>
        <v>244.40677966101694</v>
      </c>
      <c r="BE38" s="1602">
        <f>'Кап Рем'!G10</f>
        <v>244.40677966101694</v>
      </c>
      <c r="BF38" s="1602">
        <v>0</v>
      </c>
      <c r="BG38" s="1602">
        <f t="shared" si="49"/>
        <v>1283.98</v>
      </c>
      <c r="BH38" s="1602">
        <v>1283.98</v>
      </c>
      <c r="BI38" s="1602">
        <v>0</v>
      </c>
      <c r="BJ38" s="1602">
        <f t="shared" si="300"/>
        <v>1564.17</v>
      </c>
      <c r="BK38" s="1602">
        <v>1564.17</v>
      </c>
      <c r="BL38" s="1602">
        <v>0</v>
      </c>
      <c r="BM38" s="1603">
        <f t="shared" si="219"/>
        <v>266.81</v>
      </c>
      <c r="BN38" s="1602">
        <v>266.81</v>
      </c>
      <c r="BO38" s="1602">
        <v>0</v>
      </c>
      <c r="BP38" s="1603">
        <f t="shared" si="301"/>
        <v>1747.0300000000002</v>
      </c>
      <c r="BQ38" s="1602">
        <v>1746.39</v>
      </c>
      <c r="BR38" s="1602">
        <v>0.64</v>
      </c>
      <c r="BS38" s="1602">
        <f t="shared" si="302"/>
        <v>880.43</v>
      </c>
      <c r="BT38" s="1602">
        <v>880.43</v>
      </c>
      <c r="BU38" s="1602">
        <v>0</v>
      </c>
      <c r="BV38" s="1602">
        <f>ремонты!E33</f>
        <v>582.52608000000009</v>
      </c>
      <c r="BW38" s="1602">
        <f>BV38</f>
        <v>582.52608000000009</v>
      </c>
      <c r="BX38" s="1602">
        <v>0</v>
      </c>
      <c r="BY38" s="1602">
        <f>SUM('рем программа'!I31:J31)</f>
        <v>603.22905688320009</v>
      </c>
      <c r="BZ38" s="1602">
        <f>BY38</f>
        <v>603.22905688320009</v>
      </c>
      <c r="CA38" s="1602">
        <v>0</v>
      </c>
      <c r="CB38" s="3578" t="s">
        <v>3494</v>
      </c>
      <c r="CC38" s="365"/>
      <c r="CD38" s="365"/>
      <c r="CE38" s="365"/>
      <c r="CF38" s="1602">
        <f>SUM('рем программа'!K31)</f>
        <v>594.0018437760001</v>
      </c>
      <c r="CG38" s="1602">
        <f>CF38/CF151*CG151</f>
        <v>593.69926393138383</v>
      </c>
      <c r="CH38" s="1602">
        <f>CF38/CF151*CH151</f>
        <v>0.30257984461627824</v>
      </c>
      <c r="CI38" s="1602">
        <f t="shared" si="309"/>
        <v>719.17</v>
      </c>
      <c r="CJ38" s="1602">
        <f>SUM('рем программа'!L31)</f>
        <v>719.17</v>
      </c>
      <c r="CK38" s="1602">
        <v>0</v>
      </c>
      <c r="CL38" s="1602">
        <f t="shared" si="310"/>
        <v>948.25</v>
      </c>
      <c r="CM38" s="1602">
        <f>SUM('рем программа'!M31)</f>
        <v>948.25</v>
      </c>
      <c r="CN38" s="1602">
        <v>0</v>
      </c>
      <c r="CO38" s="1602">
        <f t="shared" si="311"/>
        <v>1203.47</v>
      </c>
      <c r="CP38" s="1602">
        <f>SUM('рем программа'!N31)</f>
        <v>1203.47</v>
      </c>
      <c r="CQ38" s="1602">
        <v>0</v>
      </c>
      <c r="CR38" s="2371">
        <f t="shared" si="312"/>
        <v>967.24613699999998</v>
      </c>
      <c r="CS38" s="2371">
        <f>SUM('рем программа'!O31)</f>
        <v>967.24613699999998</v>
      </c>
      <c r="CT38" s="2371">
        <v>0</v>
      </c>
      <c r="CU38" s="4101">
        <f t="shared" si="313"/>
        <v>610.41913358025613</v>
      </c>
      <c r="CV38" s="4101">
        <f>SUM('рем программа'!P31)</f>
        <v>610.41913358025613</v>
      </c>
      <c r="CW38" s="4101">
        <v>0</v>
      </c>
      <c r="CX38" s="2371">
        <f t="shared" si="314"/>
        <v>605.74</v>
      </c>
      <c r="CY38" s="2371">
        <f>SUM('рем программа'!Q31)</f>
        <v>605.74</v>
      </c>
      <c r="CZ38" s="2371">
        <v>0</v>
      </c>
      <c r="DA38" s="2371">
        <f t="shared" si="315"/>
        <v>890.72</v>
      </c>
      <c r="DB38" s="2371">
        <f>SUM('рем программа'!R31)</f>
        <v>890.72</v>
      </c>
      <c r="DC38" s="2371">
        <v>0</v>
      </c>
      <c r="DD38" s="3487">
        <f t="shared" si="316"/>
        <v>0</v>
      </c>
      <c r="DE38" s="3487">
        <f>SUM('рем программа'!AC31)</f>
        <v>0</v>
      </c>
      <c r="DF38" s="3487">
        <v>0</v>
      </c>
    </row>
    <row r="39" spans="1:110" ht="21" customHeight="1" x14ac:dyDescent="0.2">
      <c r="A39" s="3466" t="s">
        <v>4</v>
      </c>
      <c r="B39" s="3581">
        <v>3889.5</v>
      </c>
      <c r="C39" s="2125">
        <v>4434.3</v>
      </c>
      <c r="D39" s="3341">
        <f t="shared" si="29"/>
        <v>114.00694176629386</v>
      </c>
      <c r="E39" s="2125">
        <v>5312</v>
      </c>
      <c r="F39" s="3341">
        <f t="shared" si="231"/>
        <v>119.79342850055249</v>
      </c>
      <c r="G39" s="2125">
        <v>6821.5</v>
      </c>
      <c r="H39" s="3341">
        <f t="shared" si="31"/>
        <v>128.4167921686747</v>
      </c>
      <c r="I39" s="3583">
        <v>6174.2</v>
      </c>
      <c r="J39" s="3583">
        <v>3312</v>
      </c>
      <c r="K39" s="3583">
        <v>4099.3</v>
      </c>
      <c r="L39" s="3583">
        <v>5838.5</v>
      </c>
      <c r="M39" s="3604">
        <f t="shared" si="32"/>
        <v>94.562858346020533</v>
      </c>
      <c r="N39" s="3604">
        <f t="shared" si="33"/>
        <v>85.589679689217917</v>
      </c>
      <c r="O39" s="3583">
        <f>ЗП!AF12</f>
        <v>7541.4</v>
      </c>
      <c r="P39" s="3604">
        <f t="shared" si="34"/>
        <v>122.14375951540279</v>
      </c>
      <c r="Q39" s="3605">
        <f>ЗП!AP12</f>
        <v>6612.6753000000008</v>
      </c>
      <c r="R39" s="3604">
        <f t="shared" si="43"/>
        <v>107.10173463768587</v>
      </c>
      <c r="S39" s="3604">
        <f t="shared" si="44"/>
        <v>113.25983214866832</v>
      </c>
      <c r="T39" s="3583" t="e">
        <f>Q39/Q79*T79</f>
        <v>#REF!</v>
      </c>
      <c r="U39" s="3583" t="e">
        <f t="shared" si="299"/>
        <v>#REF!</v>
      </c>
      <c r="V39" s="3583">
        <v>5176.6000000000004</v>
      </c>
      <c r="W39" s="3583" t="e">
        <f>6847.9*(объемы!#REF!-объемы!#REF!)/объемы!#REF!</f>
        <v>#REF!</v>
      </c>
      <c r="X39" s="3583" t="e">
        <f>6847.9-W39</f>
        <v>#REF!</v>
      </c>
      <c r="Y39" s="1602">
        <v>7766.2</v>
      </c>
      <c r="Z39" s="1596">
        <f t="shared" si="35"/>
        <v>1.174441454882867</v>
      </c>
      <c r="AA39" s="1602">
        <f>ЗП!U28</f>
        <v>6982.9851168000005</v>
      </c>
      <c r="AB39" s="1596">
        <f t="shared" si="1"/>
        <v>1.056</v>
      </c>
      <c r="AC39" s="1602" t="e">
        <f>$AC$79/$AA$79*AA39</f>
        <v>#REF!</v>
      </c>
      <c r="AD39" s="1602" t="e">
        <f t="shared" si="46"/>
        <v>#REF!</v>
      </c>
      <c r="AE39" s="1602">
        <f>SUM(ЗП!AS28)</f>
        <v>6448.8</v>
      </c>
      <c r="AF39" s="1602">
        <f>AF79/AE79*AE39</f>
        <v>6369.2876850705625</v>
      </c>
      <c r="AG39" s="1602">
        <f>AE39-AF39</f>
        <v>79.512314929437707</v>
      </c>
      <c r="AH39" s="1603">
        <f t="shared" si="37"/>
        <v>7359.1</v>
      </c>
      <c r="AI39" s="1597">
        <f t="shared" si="38"/>
        <v>1.0538616189078114</v>
      </c>
      <c r="AJ39" s="1602">
        <v>7275.33</v>
      </c>
      <c r="AK39" s="1602">
        <v>83.77</v>
      </c>
      <c r="AL39" s="1603">
        <f t="shared" si="39"/>
        <v>7359.1</v>
      </c>
      <c r="AM39" s="1597">
        <f t="shared" si="40"/>
        <v>1.0538616189078114</v>
      </c>
      <c r="AN39" s="1602">
        <f>ЗП!BB28*AN79/(AN79+AO79)</f>
        <v>7275.3285847892603</v>
      </c>
      <c r="AO39" s="1602">
        <f>-AN39+ЗП!BB28</f>
        <v>83.771415210740088</v>
      </c>
      <c r="AP39" s="1598">
        <f t="shared" si="41"/>
        <v>-783.21488319999935</v>
      </c>
      <c r="AQ39" s="1598" t="e">
        <f t="shared" ref="AQ39:AQ54" si="317">AP39*AC39/AA39</f>
        <v>#REF!</v>
      </c>
      <c r="AR39" s="1598" t="e">
        <f t="shared" si="42"/>
        <v>#REF!</v>
      </c>
      <c r="AS39" s="1598" t="e">
        <f t="shared" si="303"/>
        <v>#REF!</v>
      </c>
      <c r="AT39" s="1602">
        <f>SUM(ЗП!BG28)</f>
        <v>2995.9</v>
      </c>
      <c r="AU39" s="1602">
        <f>AU79/AT79*AT39</f>
        <v>2975.2799334833808</v>
      </c>
      <c r="AV39" s="1602">
        <f>AT39-AU39</f>
        <v>20.620066516619318</v>
      </c>
      <c r="AW39" s="1602">
        <f t="shared" si="124"/>
        <v>6134.37</v>
      </c>
      <c r="AX39" s="1602">
        <v>6104.8</v>
      </c>
      <c r="AY39" s="1602">
        <v>29.57</v>
      </c>
      <c r="AZ39" s="1603">
        <f>SUM(ЗП!BO28)</f>
        <v>8095.010000000002</v>
      </c>
      <c r="BA39" s="1599">
        <f t="shared" si="48"/>
        <v>1.1000000000000003</v>
      </c>
      <c r="BB39" s="1602">
        <f>BB79/AZ79*AZ39</f>
        <v>8051.7761909566998</v>
      </c>
      <c r="BC39" s="1602">
        <f>AZ39-BB39</f>
        <v>43.233809043302244</v>
      </c>
      <c r="BD39" s="1603">
        <f>SUM(ЗП!BS28)</f>
        <v>7369.5470048780498</v>
      </c>
      <c r="BE39" s="1602">
        <f>BE79/BD79*BD39</f>
        <v>7330.1877467740405</v>
      </c>
      <c r="BF39" s="1602">
        <f>BD39-BE39</f>
        <v>39.359258104009314</v>
      </c>
      <c r="BG39" s="1602">
        <f t="shared" si="49"/>
        <v>5452.53</v>
      </c>
      <c r="BH39" s="1602">
        <v>5448.86</v>
      </c>
      <c r="BI39" s="1602">
        <v>3.67</v>
      </c>
      <c r="BJ39" s="1602">
        <f t="shared" si="300"/>
        <v>5676.66</v>
      </c>
      <c r="BK39" s="1602">
        <v>5673.91</v>
      </c>
      <c r="BL39" s="1602">
        <v>2.75</v>
      </c>
      <c r="BM39" s="1603">
        <f t="shared" si="219"/>
        <v>8045.1468999999997</v>
      </c>
      <c r="BN39" s="1602">
        <v>8000.67</v>
      </c>
      <c r="BO39" s="1602">
        <v>44.476900000000001</v>
      </c>
      <c r="BP39" s="1603">
        <f t="shared" si="301"/>
        <v>5780.39</v>
      </c>
      <c r="BQ39" s="1602">
        <v>5778.29</v>
      </c>
      <c r="BR39" s="1602">
        <v>2.1</v>
      </c>
      <c r="BS39" s="1602">
        <f t="shared" si="302"/>
        <v>7051.9299999999994</v>
      </c>
      <c r="BT39" s="1602">
        <v>7042.15</v>
      </c>
      <c r="BU39" s="1602">
        <v>9.7799999999999994</v>
      </c>
      <c r="BV39" s="1602">
        <f>ЗП!CR28</f>
        <v>6658.5404159999989</v>
      </c>
      <c r="BW39" s="1602">
        <f>BV39/$BV$79*$BW$79</f>
        <v>6655.3224078979138</v>
      </c>
      <c r="BX39" s="1602">
        <f>BV39/$BV$79*$BX$79</f>
        <v>3.2180081020845517</v>
      </c>
      <c r="BY39" s="1602">
        <f>SUM(ЗП!CU28)</f>
        <v>6964.8332751359994</v>
      </c>
      <c r="BZ39" s="1602">
        <f>BY39/$BV$79*$BW$79</f>
        <v>6961.4672386612192</v>
      </c>
      <c r="CA39" s="1602">
        <f>BY39/$BV$79*$BX$79</f>
        <v>3.3660364747804419</v>
      </c>
      <c r="CB39" s="3578" t="str">
        <f>CB31</f>
        <v>Приложение</v>
      </c>
      <c r="CC39" s="365"/>
      <c r="CD39" s="365"/>
      <c r="CE39" s="365"/>
      <c r="CF39" s="1602">
        <f>SUM(ЗП!CX28)</f>
        <v>6789.7136621952004</v>
      </c>
      <c r="CG39" s="1602">
        <f>CF39/CF151*CG151</f>
        <v>6786.2550357171476</v>
      </c>
      <c r="CH39" s="1602">
        <f>CF39/CF151*CH151</f>
        <v>3.4586264780531168</v>
      </c>
      <c r="CI39" s="1602">
        <f t="shared" si="309"/>
        <v>3032.81</v>
      </c>
      <c r="CJ39" s="1602">
        <f>SUM(ЗП!DA28)</f>
        <v>3032.81</v>
      </c>
      <c r="CK39" s="1602">
        <v>0</v>
      </c>
      <c r="CL39" s="1602">
        <f t="shared" si="310"/>
        <v>4668.76</v>
      </c>
      <c r="CM39" s="1602">
        <f>SUM(ЗП!DD28)</f>
        <v>4668.76</v>
      </c>
      <c r="CN39" s="1602">
        <v>0</v>
      </c>
      <c r="CO39" s="1602">
        <f t="shared" si="311"/>
        <v>6034.71</v>
      </c>
      <c r="CP39" s="1602">
        <f>SUM(ЗП!DG28)</f>
        <v>6034.71</v>
      </c>
      <c r="CQ39" s="1602">
        <v>0</v>
      </c>
      <c r="CR39" s="2371">
        <f t="shared" si="312"/>
        <v>8199.8862105600001</v>
      </c>
      <c r="CS39" s="2371">
        <f>SUM(ЗП!DJ28)</f>
        <v>8199.8862105600001</v>
      </c>
      <c r="CT39" s="2371">
        <v>0</v>
      </c>
      <c r="CU39" s="4101">
        <f t="shared" si="313"/>
        <v>6977.3238659705721</v>
      </c>
      <c r="CV39" s="4101">
        <f>SUM(ЗП!DM28)</f>
        <v>6977.3238659705721</v>
      </c>
      <c r="CW39" s="4101">
        <v>0</v>
      </c>
      <c r="CX39" s="2371">
        <f t="shared" si="314"/>
        <v>2745.82</v>
      </c>
      <c r="CY39" s="2371">
        <f>SUM(ЗП!DR28)</f>
        <v>2745.82</v>
      </c>
      <c r="CZ39" s="2371">
        <v>0</v>
      </c>
      <c r="DA39" s="2371">
        <f t="shared" si="315"/>
        <v>4078.0200000000004</v>
      </c>
      <c r="DB39" s="2371">
        <f>SUM(ЗП!DU28)+0.01</f>
        <v>4078.0200000000004</v>
      </c>
      <c r="DC39" s="2371">
        <v>0</v>
      </c>
      <c r="DD39" s="3487">
        <f t="shared" si="316"/>
        <v>18</v>
      </c>
      <c r="DE39" s="3487">
        <f>SUM(ЗП!DV28)</f>
        <v>18</v>
      </c>
      <c r="DF39" s="3487">
        <v>0</v>
      </c>
    </row>
    <row r="40" spans="1:110" ht="21" customHeight="1" x14ac:dyDescent="0.2">
      <c r="A40" s="3466" t="s">
        <v>5</v>
      </c>
      <c r="B40" s="3581">
        <v>991</v>
      </c>
      <c r="C40" s="2125">
        <v>1109.0999999999999</v>
      </c>
      <c r="D40" s="3341">
        <f t="shared" si="29"/>
        <v>111.91725529767911</v>
      </c>
      <c r="E40" s="2125">
        <v>1349.6</v>
      </c>
      <c r="F40" s="3341">
        <f t="shared" si="231"/>
        <v>121.68424848976649</v>
      </c>
      <c r="G40" s="2125">
        <f>G39*0.302</f>
        <v>2060.0929999999998</v>
      </c>
      <c r="H40" s="3341">
        <f t="shared" si="31"/>
        <v>152.64470954356847</v>
      </c>
      <c r="I40" s="3583">
        <f>I39*30.2/100</f>
        <v>1864.6084000000001</v>
      </c>
      <c r="J40" s="3583">
        <v>1103.4000000000001</v>
      </c>
      <c r="K40" s="3583">
        <v>1205.7</v>
      </c>
      <c r="L40" s="3583">
        <v>1728</v>
      </c>
      <c r="M40" s="3604">
        <f t="shared" si="32"/>
        <v>92.673614470470042</v>
      </c>
      <c r="N40" s="3604"/>
      <c r="O40" s="3583">
        <f>O39*0.302</f>
        <v>2277.5027999999998</v>
      </c>
      <c r="P40" s="3604">
        <f t="shared" si="34"/>
        <v>122.14375951540279</v>
      </c>
      <c r="Q40" s="3605">
        <f>Q39*0.302</f>
        <v>1997.0279406000002</v>
      </c>
      <c r="R40" s="3604">
        <f t="shared" si="43"/>
        <v>107.10173463768587</v>
      </c>
      <c r="S40" s="3604">
        <f t="shared" si="44"/>
        <v>115.5687465625</v>
      </c>
      <c r="T40" s="3583" t="e">
        <f>Q40/Q79*T79</f>
        <v>#REF!</v>
      </c>
      <c r="U40" s="3583" t="e">
        <f t="shared" si="299"/>
        <v>#REF!</v>
      </c>
      <c r="V40" s="3583">
        <v>1556.7</v>
      </c>
      <c r="W40" s="3583"/>
      <c r="X40" s="3583">
        <v>0</v>
      </c>
      <c r="Y40" s="1602">
        <v>2345.4</v>
      </c>
      <c r="Z40" s="1596">
        <f t="shared" si="35"/>
        <v>1.1744452605381839</v>
      </c>
      <c r="AA40" s="1602">
        <f>AA39*V41</f>
        <v>2099.9136366191242</v>
      </c>
      <c r="AB40" s="1596">
        <f t="shared" si="1"/>
        <v>1.0515194073790537</v>
      </c>
      <c r="AC40" s="1602" t="e">
        <f>$AC$79/$AA$79*AA40</f>
        <v>#REF!</v>
      </c>
      <c r="AD40" s="1602" t="e">
        <f t="shared" si="46"/>
        <v>#REF!</v>
      </c>
      <c r="AE40" s="1602">
        <v>1965.4</v>
      </c>
      <c r="AF40" s="1602">
        <f>AF79/AE79*AE40</f>
        <v>1941.167041346868</v>
      </c>
      <c r="AG40" s="1602">
        <f>AE40-AF40</f>
        <v>24.232958653132073</v>
      </c>
      <c r="AH40" s="1603">
        <f t="shared" si="37"/>
        <v>2215.0943299999999</v>
      </c>
      <c r="AI40" s="1597">
        <f t="shared" si="38"/>
        <v>1.0548502049666755</v>
      </c>
      <c r="AJ40" s="1602">
        <f>AJ39*AJ41</f>
        <v>2189.8743300000001</v>
      </c>
      <c r="AK40" s="1602">
        <v>25.22</v>
      </c>
      <c r="AL40" s="1603">
        <f t="shared" si="39"/>
        <v>2213.0183846540194</v>
      </c>
      <c r="AM40" s="1597">
        <f t="shared" si="40"/>
        <v>1.0538616189078112</v>
      </c>
      <c r="AN40" s="1602">
        <f>AN39*AA41</f>
        <v>2187.8267604105858</v>
      </c>
      <c r="AO40" s="1602">
        <f>AO39*AA41</f>
        <v>25.191624243433733</v>
      </c>
      <c r="AP40" s="1598">
        <f t="shared" si="41"/>
        <v>-245.4863633808759</v>
      </c>
      <c r="AQ40" s="1598" t="e">
        <f t="shared" si="317"/>
        <v>#REF!</v>
      </c>
      <c r="AR40" s="1598" t="e">
        <f t="shared" si="42"/>
        <v>#REF!</v>
      </c>
      <c r="AS40" s="1598" t="e">
        <f t="shared" si="303"/>
        <v>#REF!</v>
      </c>
      <c r="AT40" s="1602">
        <v>927.99</v>
      </c>
      <c r="AU40" s="1602">
        <f>AU79/AT79*AT40</f>
        <v>921.60286574092686</v>
      </c>
      <c r="AV40" s="1602">
        <f>AT40-AU40</f>
        <v>6.3871342590731501</v>
      </c>
      <c r="AW40" s="1602">
        <f t="shared" si="124"/>
        <v>1903.67</v>
      </c>
      <c r="AX40" s="1602">
        <v>1894.5</v>
      </c>
      <c r="AY40" s="1602">
        <v>9.17</v>
      </c>
      <c r="AZ40" s="1603">
        <f t="shared" ref="AZ40" si="318">SUM(BB40+BC40)</f>
        <v>2436.5980100000006</v>
      </c>
      <c r="BA40" s="1599">
        <f t="shared" si="48"/>
        <v>1.1010292670392503</v>
      </c>
      <c r="BB40" s="1602">
        <f>SUM(BB39*AH41)</f>
        <v>2423.5846334779667</v>
      </c>
      <c r="BC40" s="1602">
        <f>SUM(BC39*AH41)</f>
        <v>13.013376522033974</v>
      </c>
      <c r="BD40" s="1603">
        <f t="shared" ref="BD40" si="319">SUM(BE40+BF40)</f>
        <v>2218.2336484682928</v>
      </c>
      <c r="BE40" s="1602">
        <f>SUM(BE39*AZ41)</f>
        <v>2206.386511778986</v>
      </c>
      <c r="BF40" s="1602">
        <f>SUM(BF39*AZ41)</f>
        <v>11.847136689306803</v>
      </c>
      <c r="BG40" s="1602">
        <f t="shared" si="49"/>
        <v>1684.7700000000002</v>
      </c>
      <c r="BH40" s="1602">
        <v>1683.64</v>
      </c>
      <c r="BI40" s="1602">
        <v>1.1299999999999999</v>
      </c>
      <c r="BJ40" s="1602">
        <f t="shared" si="300"/>
        <v>1738.25</v>
      </c>
      <c r="BK40" s="1602">
        <v>1737.41</v>
      </c>
      <c r="BL40" s="1602">
        <v>0.84</v>
      </c>
      <c r="BM40" s="1603">
        <f t="shared" si="219"/>
        <v>2421.5899999999997</v>
      </c>
      <c r="BN40" s="1602">
        <v>2408.1999999999998</v>
      </c>
      <c r="BO40" s="1602">
        <v>13.39</v>
      </c>
      <c r="BP40" s="1603">
        <f t="shared" si="301"/>
        <v>1768.01</v>
      </c>
      <c r="BQ40" s="1602">
        <v>1767.37</v>
      </c>
      <c r="BR40" s="1602">
        <v>0.64</v>
      </c>
      <c r="BS40" s="1602">
        <f t="shared" si="302"/>
        <v>2122.63</v>
      </c>
      <c r="BT40" s="1602">
        <v>2119.69</v>
      </c>
      <c r="BU40" s="1602">
        <v>2.94</v>
      </c>
      <c r="BV40" s="1602">
        <f>BV39*BS41</f>
        <v>2004.2197870957427</v>
      </c>
      <c r="BW40" s="1602">
        <f>BV40/$BV$79*$BW$79</f>
        <v>2003.2511670814024</v>
      </c>
      <c r="BX40" s="1602">
        <f>BV40/$BV$79*$BX$79</f>
        <v>0.96862001434043377</v>
      </c>
      <c r="BY40" s="1602">
        <f>BY39*BV41</f>
        <v>2096.4138973021472</v>
      </c>
      <c r="BZ40" s="1602">
        <f>BY40/$BV$79*$BW$79</f>
        <v>2095.400720767147</v>
      </c>
      <c r="CA40" s="1602">
        <f>BY40/$BV$79*$BX$79</f>
        <v>1.0131765350000936</v>
      </c>
      <c r="CB40" s="3578" t="s">
        <v>241</v>
      </c>
      <c r="CC40" s="365"/>
      <c r="CD40" s="365"/>
      <c r="CE40" s="365"/>
      <c r="CF40" s="1602">
        <f>SUM(CF39*CF41)</f>
        <v>2043.7029169015293</v>
      </c>
      <c r="CG40" s="1602">
        <f t="shared" ref="CG40:CH40" si="320">SUM(CG39*CG41)</f>
        <v>2042.6618707877549</v>
      </c>
      <c r="CH40" s="1602">
        <f t="shared" si="320"/>
        <v>1.0410461137745113</v>
      </c>
      <c r="CI40" s="1602">
        <f t="shared" ref="CI40" si="321">CJ40+CK40</f>
        <v>933.41</v>
      </c>
      <c r="CJ40" s="1602">
        <v>933.41</v>
      </c>
      <c r="CK40" s="1602">
        <v>0</v>
      </c>
      <c r="CL40" s="1602">
        <f t="shared" ref="CL40" si="322">CM40+CN40</f>
        <v>1437.13</v>
      </c>
      <c r="CM40" s="1602">
        <v>1437.13</v>
      </c>
      <c r="CN40" s="1602">
        <v>0</v>
      </c>
      <c r="CO40" s="1602">
        <f t="shared" ref="CO40" si="323">CP40+CQ40</f>
        <v>1861.31</v>
      </c>
      <c r="CP40" s="1602">
        <v>1861.31</v>
      </c>
      <c r="CQ40" s="1602">
        <v>0</v>
      </c>
      <c r="CR40" s="2371">
        <f t="shared" ref="CR40" si="324">CS40+CT40</f>
        <v>2468.17</v>
      </c>
      <c r="CS40" s="2371">
        <v>2468.17</v>
      </c>
      <c r="CT40" s="2371">
        <v>0</v>
      </c>
      <c r="CU40" s="4101">
        <f t="shared" ref="CU40" si="325">CV40+CW40</f>
        <v>2100.1735634961096</v>
      </c>
      <c r="CV40" s="4101">
        <f t="shared" ref="CV40" si="326">SUM(CV39*CV41)</f>
        <v>2100.1735634961096</v>
      </c>
      <c r="CW40" s="4101">
        <v>0</v>
      </c>
      <c r="CX40" s="2371">
        <f t="shared" ref="CX40" si="327">CY40+CZ40</f>
        <v>849.31399999999996</v>
      </c>
      <c r="CY40" s="2371">
        <v>849.31399999999996</v>
      </c>
      <c r="CZ40" s="2371">
        <v>0</v>
      </c>
      <c r="DA40" s="2371">
        <f t="shared" ref="DA40" si="328">DB40+DC40</f>
        <v>1263.0239999999999</v>
      </c>
      <c r="DB40" s="2371">
        <v>1263.0239999999999</v>
      </c>
      <c r="DC40" s="2371">
        <v>0</v>
      </c>
      <c r="DD40" s="3487">
        <f t="shared" ref="DD40" si="329">DE40+DF40</f>
        <v>1861.31</v>
      </c>
      <c r="DE40" s="3487">
        <v>1861.31</v>
      </c>
      <c r="DF40" s="3487">
        <v>0</v>
      </c>
    </row>
    <row r="41" spans="1:110" s="181" customFormat="1" ht="21" customHeight="1" x14ac:dyDescent="0.2">
      <c r="A41" s="3470" t="str">
        <f>A25</f>
        <v>то же в %</v>
      </c>
      <c r="B41" s="3350"/>
      <c r="C41" s="3341"/>
      <c r="D41" s="3341"/>
      <c r="E41" s="3606">
        <f>E40/E39</f>
        <v>0.25406626506024094</v>
      </c>
      <c r="F41" s="3606">
        <f t="shared" ref="F41:AD41" si="330">F40/F39</f>
        <v>1.0157840042887267</v>
      </c>
      <c r="G41" s="3606">
        <f t="shared" si="330"/>
        <v>0.30199999999999999</v>
      </c>
      <c r="H41" s="3606">
        <f t="shared" si="330"/>
        <v>1.1886662714878482</v>
      </c>
      <c r="I41" s="3606">
        <f t="shared" si="330"/>
        <v>0.30200000000000005</v>
      </c>
      <c r="J41" s="3606">
        <f t="shared" si="330"/>
        <v>0.33315217391304353</v>
      </c>
      <c r="K41" s="3606">
        <f t="shared" si="330"/>
        <v>0.29412338691971801</v>
      </c>
      <c r="L41" s="3606">
        <f t="shared" si="330"/>
        <v>0.29596642973366449</v>
      </c>
      <c r="M41" s="3606">
        <f t="shared" si="330"/>
        <v>0.9800212905088227</v>
      </c>
      <c r="N41" s="3606">
        <f t="shared" si="330"/>
        <v>0</v>
      </c>
      <c r="O41" s="3606">
        <f t="shared" si="330"/>
        <v>0.30199999999999999</v>
      </c>
      <c r="P41" s="3606">
        <f t="shared" si="330"/>
        <v>1</v>
      </c>
      <c r="Q41" s="3607">
        <f t="shared" si="330"/>
        <v>0.30199999999999999</v>
      </c>
      <c r="R41" s="3606">
        <f t="shared" si="330"/>
        <v>1</v>
      </c>
      <c r="S41" s="3606">
        <f t="shared" si="330"/>
        <v>1.0203859953703702</v>
      </c>
      <c r="T41" s="3606" t="e">
        <f t="shared" si="330"/>
        <v>#REF!</v>
      </c>
      <c r="U41" s="3606" t="e">
        <f t="shared" si="330"/>
        <v>#REF!</v>
      </c>
      <c r="V41" s="3606">
        <f t="shared" si="330"/>
        <v>0.30071861839817637</v>
      </c>
      <c r="W41" s="3606"/>
      <c r="X41" s="3606">
        <v>0</v>
      </c>
      <c r="Y41" s="1604">
        <f t="shared" si="330"/>
        <v>0.30200097859957253</v>
      </c>
      <c r="Z41" s="1596">
        <f t="shared" si="35"/>
        <v>1.0000032403959356</v>
      </c>
      <c r="AA41" s="1604">
        <f t="shared" si="330"/>
        <v>0.30071861839817632</v>
      </c>
      <c r="AB41" s="1604">
        <f t="shared" si="330"/>
        <v>0.99575701456349774</v>
      </c>
      <c r="AC41" s="1604" t="e">
        <f t="shared" si="330"/>
        <v>#REF!</v>
      </c>
      <c r="AD41" s="1604" t="e">
        <f t="shared" si="330"/>
        <v>#REF!</v>
      </c>
      <c r="AE41" s="1604">
        <f t="shared" ref="AE41" si="331">AE40/AE39</f>
        <v>0.30476987966753505</v>
      </c>
      <c r="AF41" s="1604">
        <f t="shared" ref="AF41:AG41" si="332">AF40/AF39</f>
        <v>0.30476987966753499</v>
      </c>
      <c r="AG41" s="1604">
        <f t="shared" si="332"/>
        <v>0.30476987966753749</v>
      </c>
      <c r="AH41" s="1604">
        <v>0.30099999999999999</v>
      </c>
      <c r="AI41" s="1597">
        <f t="shared" si="38"/>
        <v>1.0009356973084091</v>
      </c>
      <c r="AJ41" s="1604">
        <v>0.30099999999999999</v>
      </c>
      <c r="AK41" s="1604">
        <v>0.30099999999999999</v>
      </c>
      <c r="AL41" s="1604">
        <f>SUM(AL40/AL39)</f>
        <v>0.30071861839817632</v>
      </c>
      <c r="AM41" s="1597">
        <f t="shared" si="40"/>
        <v>1</v>
      </c>
      <c r="AN41" s="1604">
        <f>AN40/AN39</f>
        <v>0.30071861839817632</v>
      </c>
      <c r="AO41" s="1604">
        <f>AO40/AO39</f>
        <v>0.30071861839817632</v>
      </c>
      <c r="AP41" s="1598">
        <f t="shared" si="41"/>
        <v>-1.2823602013962154E-3</v>
      </c>
      <c r="AQ41" s="1598" t="e">
        <f t="shared" si="317"/>
        <v>#REF!</v>
      </c>
      <c r="AR41" s="1598" t="e">
        <f t="shared" si="42"/>
        <v>#REF!</v>
      </c>
      <c r="AS41" s="1598" t="e">
        <f t="shared" si="303"/>
        <v>#REF!</v>
      </c>
      <c r="AT41" s="1604">
        <f t="shared" ref="AT41" si="333">AT40/AT39</f>
        <v>0.30975332955038554</v>
      </c>
      <c r="AU41" s="1604">
        <f t="shared" ref="AU41:AW41" si="334">AU40/AU39</f>
        <v>0.30975332955038554</v>
      </c>
      <c r="AV41" s="1604">
        <f t="shared" si="334"/>
        <v>0.30975332955038049</v>
      </c>
      <c r="AW41" s="1604">
        <f t="shared" si="334"/>
        <v>0.31032852599370436</v>
      </c>
      <c r="AX41" s="1604">
        <f t="shared" ref="AX41:AY41" si="335">AX40/AX39</f>
        <v>0.31032957672651029</v>
      </c>
      <c r="AY41" s="1604">
        <f t="shared" si="335"/>
        <v>0.31011159959418327</v>
      </c>
      <c r="AZ41" s="1604">
        <f>SUM(AZ40/AZ39)</f>
        <v>0.30099999999999999</v>
      </c>
      <c r="BA41" s="1599">
        <f t="shared" si="48"/>
        <v>1.0009356973084091</v>
      </c>
      <c r="BB41" s="1604">
        <f t="shared" ref="BB41:BG41" si="336">SUM(BB40/BB39)</f>
        <v>0.30099999999999999</v>
      </c>
      <c r="BC41" s="1604">
        <f t="shared" si="336"/>
        <v>0.30099999999999999</v>
      </c>
      <c r="BD41" s="1604">
        <f t="shared" si="336"/>
        <v>0.30099999999999999</v>
      </c>
      <c r="BE41" s="1604">
        <f t="shared" si="336"/>
        <v>0.30099999999999999</v>
      </c>
      <c r="BF41" s="1604">
        <f t="shared" si="336"/>
        <v>0.30099999999999999</v>
      </c>
      <c r="BG41" s="1604">
        <f t="shared" si="336"/>
        <v>0.30898867131405061</v>
      </c>
      <c r="BH41" s="1604">
        <f t="shared" ref="BH41:BI41" si="337">SUM(BH40/BH39)</f>
        <v>0.30898940328802726</v>
      </c>
      <c r="BI41" s="1604">
        <f t="shared" si="337"/>
        <v>0.30790190735694822</v>
      </c>
      <c r="BJ41" s="1604">
        <f>SUM(BJ40/BJ39)</f>
        <v>0.30620998967702839</v>
      </c>
      <c r="BK41" s="1604">
        <f t="shared" ref="BK41:BL41" si="338">SUM(BK40/BK39)</f>
        <v>0.3062103558216468</v>
      </c>
      <c r="BL41" s="1604">
        <f t="shared" si="338"/>
        <v>0.30545454545454542</v>
      </c>
      <c r="BM41" s="1604">
        <f t="shared" ref="BM41:BS41" si="339">SUM(BM40/BM39)</f>
        <v>0.30100009733818528</v>
      </c>
      <c r="BN41" s="1604">
        <f t="shared" si="339"/>
        <v>0.30099979126748133</v>
      </c>
      <c r="BO41" s="1604">
        <f t="shared" si="339"/>
        <v>0.30105515447344577</v>
      </c>
      <c r="BP41" s="1604">
        <f t="shared" si="339"/>
        <v>0.30586344520006431</v>
      </c>
      <c r="BQ41" s="1604">
        <f t="shared" si="339"/>
        <v>0.30586384553215568</v>
      </c>
      <c r="BR41" s="1604">
        <f t="shared" si="339"/>
        <v>0.30476190476190473</v>
      </c>
      <c r="BS41" s="1604">
        <f t="shared" si="339"/>
        <v>0.30099986812120944</v>
      </c>
      <c r="BT41" s="1604">
        <f t="shared" ref="BT41:BU41" si="340">SUM(BT40/BT39)</f>
        <v>0.30100040470594919</v>
      </c>
      <c r="BU41" s="1604">
        <f t="shared" si="340"/>
        <v>0.30061349693251538</v>
      </c>
      <c r="BV41" s="1604">
        <f>SUM(BV40/BV39)</f>
        <v>0.30099986812120944</v>
      </c>
      <c r="BW41" s="1604">
        <f t="shared" ref="BW41:BX41" si="341">SUM(BW40/BW39)</f>
        <v>0.30099986812120949</v>
      </c>
      <c r="BX41" s="1604">
        <f t="shared" si="341"/>
        <v>0.30099986812120949</v>
      </c>
      <c r="BY41" s="1604">
        <f>SUM(BY40/BY39)</f>
        <v>0.30099986812120949</v>
      </c>
      <c r="BZ41" s="1604">
        <f t="shared" ref="BZ41:CA41" si="342">SUM(BZ40/BZ39)</f>
        <v>0.30099986812120944</v>
      </c>
      <c r="CA41" s="1604">
        <f t="shared" si="342"/>
        <v>0.30099986812120944</v>
      </c>
      <c r="CB41" s="3608"/>
      <c r="CC41" s="3609"/>
      <c r="CD41" s="3609"/>
      <c r="CE41" s="3609"/>
      <c r="CF41" s="1604">
        <f>SUM(BV41)</f>
        <v>0.30099986812120944</v>
      </c>
      <c r="CG41" s="1604">
        <f>SUM(CF41)</f>
        <v>0.30099986812120944</v>
      </c>
      <c r="CH41" s="1604">
        <f>SUM(CF41)</f>
        <v>0.30099986812120944</v>
      </c>
      <c r="CI41" s="1604">
        <f>SUM(CI40/CI39)</f>
        <v>0.30777068131534779</v>
      </c>
      <c r="CJ41" s="1604">
        <f t="shared" ref="CJ41" si="343">SUM(CJ40/CJ39)</f>
        <v>0.30777068131534779</v>
      </c>
      <c r="CK41" s="1604">
        <v>0</v>
      </c>
      <c r="CL41" s="1604">
        <f t="shared" ref="CL41" si="344">SUM(CL40/CL39)</f>
        <v>0.30781835005440417</v>
      </c>
      <c r="CM41" s="1604">
        <f t="shared" ref="CM41" si="345">SUM(CM40/CM39)</f>
        <v>0.30781835005440417</v>
      </c>
      <c r="CN41" s="1604">
        <v>0</v>
      </c>
      <c r="CO41" s="1604">
        <f t="shared" ref="CO41" si="346">SUM(CO40/CO39)</f>
        <v>0.30843404239806055</v>
      </c>
      <c r="CP41" s="1604">
        <f t="shared" ref="CP41" si="347">SUM(CP40/CP39)</f>
        <v>0.30843404239806055</v>
      </c>
      <c r="CQ41" s="1604">
        <v>0</v>
      </c>
      <c r="CR41" s="3651">
        <f t="shared" ref="CR41:CS41" si="348">SUM(CR40/CR39)</f>
        <v>0.30100051837566166</v>
      </c>
      <c r="CS41" s="3651">
        <f t="shared" si="348"/>
        <v>0.30100051837566166</v>
      </c>
      <c r="CT41" s="3651">
        <v>0</v>
      </c>
      <c r="CU41" s="4102">
        <f>SUM(BV41)</f>
        <v>0.30099986812120944</v>
      </c>
      <c r="CV41" s="4102">
        <f t="shared" ref="CV41:CW41" si="349">SUM(BW41)</f>
        <v>0.30099986812120949</v>
      </c>
      <c r="CW41" s="4102">
        <f t="shared" si="349"/>
        <v>0.30099986812120949</v>
      </c>
      <c r="CX41" s="3651">
        <f>SUM(CX40/CX39)</f>
        <v>0.30931160818990316</v>
      </c>
      <c r="CY41" s="3651">
        <f t="shared" ref="CY41" si="350">SUM(CY40/CY39)</f>
        <v>0.30931160818990316</v>
      </c>
      <c r="CZ41" s="3651">
        <v>0</v>
      </c>
      <c r="DA41" s="3651">
        <f t="shared" ref="DA41:DB41" si="351">SUM(DA40/DA39)</f>
        <v>0.30971500875424834</v>
      </c>
      <c r="DB41" s="3651">
        <f t="shared" si="351"/>
        <v>0.30971500875424834</v>
      </c>
      <c r="DC41" s="3651">
        <v>0</v>
      </c>
      <c r="DD41" s="3733">
        <f t="shared" ref="DD41:DE41" si="352">SUM(DD40/DD39)</f>
        <v>103.4061111111111</v>
      </c>
      <c r="DE41" s="3733">
        <f t="shared" si="352"/>
        <v>103.4061111111111</v>
      </c>
      <c r="DF41" s="3733">
        <v>0</v>
      </c>
    </row>
    <row r="42" spans="1:110" ht="21" customHeight="1" x14ac:dyDescent="0.2">
      <c r="A42" s="3466" t="s">
        <v>6</v>
      </c>
      <c r="B42" s="3581">
        <v>1035.7</v>
      </c>
      <c r="C42" s="2125">
        <v>1490.6</v>
      </c>
      <c r="D42" s="3341">
        <f t="shared" si="29"/>
        <v>143.92198513082937</v>
      </c>
      <c r="E42" s="2125">
        <v>1931.9</v>
      </c>
      <c r="F42" s="3341">
        <f t="shared" si="231"/>
        <v>129.60552797531199</v>
      </c>
      <c r="G42" s="2125">
        <f>'цех вода'!G46-вода!G16-вода!G26-вода!G34</f>
        <v>2268.3000000000029</v>
      </c>
      <c r="H42" s="3341">
        <f t="shared" si="31"/>
        <v>117.4129095708889</v>
      </c>
      <c r="I42" s="3583">
        <v>2107</v>
      </c>
      <c r="J42" s="3583">
        <v>1329.9</v>
      </c>
      <c r="K42" s="3583">
        <f>'цех вода'!K51</f>
        <v>1718.888220844955</v>
      </c>
      <c r="L42" s="3583">
        <v>2190.8000000000002</v>
      </c>
      <c r="M42" s="3604">
        <f t="shared" si="32"/>
        <v>103.97721879449455</v>
      </c>
      <c r="N42" s="3604"/>
      <c r="O42" s="3583">
        <f>'цех вода'!N51</f>
        <v>2644.3000000000011</v>
      </c>
      <c r="P42" s="3604">
        <f t="shared" si="34"/>
        <v>125.50071191267209</v>
      </c>
      <c r="Q42" s="3605">
        <f>'цех вода'!P51</f>
        <v>2113.8624728004652</v>
      </c>
      <c r="R42" s="3604">
        <f t="shared" si="43"/>
        <v>100.32569875654795</v>
      </c>
      <c r="S42" s="3604">
        <f t="shared" si="44"/>
        <v>96.48815377033344</v>
      </c>
      <c r="T42" s="3583" t="e">
        <f>Q42/Q79*T79</f>
        <v>#REF!</v>
      </c>
      <c r="U42" s="3583" t="e">
        <f t="shared" si="299"/>
        <v>#REF!</v>
      </c>
      <c r="V42" s="3583">
        <v>2048.6</v>
      </c>
      <c r="W42" s="3583"/>
      <c r="X42" s="3583"/>
      <c r="Y42" s="1602">
        <v>2817.5</v>
      </c>
      <c r="Z42" s="1596">
        <f t="shared" si="35"/>
        <v>1.3328681672783325</v>
      </c>
      <c r="AA42" s="1602">
        <f>'цех вода'!W51</f>
        <v>2244.4438912833493</v>
      </c>
      <c r="AB42" s="1596">
        <f t="shared" si="1"/>
        <v>1.0617738477138905</v>
      </c>
      <c r="AC42" s="1602" t="e">
        <f>$AC$79/$AA$79*AA42</f>
        <v>#REF!</v>
      </c>
      <c r="AD42" s="1602" t="e">
        <f t="shared" si="46"/>
        <v>#REF!</v>
      </c>
      <c r="AE42" s="1602">
        <v>2289.6</v>
      </c>
      <c r="AF42" s="1602">
        <f>AE42*AF79/(AF79+AG79)</f>
        <v>2261.3697251794997</v>
      </c>
      <c r="AG42" s="1602">
        <f>SUM(AE42-AF42)</f>
        <v>28.230274820500199</v>
      </c>
      <c r="AH42" s="1603">
        <f t="shared" si="37"/>
        <v>2395.3000000000002</v>
      </c>
      <c r="AI42" s="1597">
        <f t="shared" si="38"/>
        <v>1.0672131343102513</v>
      </c>
      <c r="AJ42" s="1602">
        <v>2368.0300000000002</v>
      </c>
      <c r="AK42" s="1602">
        <v>27.27</v>
      </c>
      <c r="AL42" s="1603">
        <f t="shared" si="39"/>
        <v>2361.5208448128728</v>
      </c>
      <c r="AM42" s="1597">
        <f t="shared" si="40"/>
        <v>1.0521630119532996</v>
      </c>
      <c r="AN42" s="1602">
        <f>'цех вода'!AB51*AN79/(AN79+AO79)</f>
        <v>2334.6387609684307</v>
      </c>
      <c r="AO42" s="1602">
        <f>'цех вода'!AB51-AN42</f>
        <v>26.88208384444215</v>
      </c>
      <c r="AP42" s="1598">
        <f t="shared" si="41"/>
        <v>-573.05610871665067</v>
      </c>
      <c r="AQ42" s="1598" t="e">
        <f t="shared" si="317"/>
        <v>#REF!</v>
      </c>
      <c r="AR42" s="1598" t="e">
        <f t="shared" si="42"/>
        <v>#REF!</v>
      </c>
      <c r="AS42" s="1598" t="e">
        <f t="shared" si="303"/>
        <v>#REF!</v>
      </c>
      <c r="AT42" s="1602">
        <v>1149.72</v>
      </c>
      <c r="AU42" s="1602">
        <f>AT42*AU79/(AU79+AV79)</f>
        <v>1141.806750934448</v>
      </c>
      <c r="AV42" s="1602">
        <f>SUM(AT42-AU42)</f>
        <v>7.9132490655520087</v>
      </c>
      <c r="AW42" s="1602">
        <f t="shared" si="124"/>
        <v>2398.5700000000002</v>
      </c>
      <c r="AX42" s="1602">
        <v>2387.0100000000002</v>
      </c>
      <c r="AY42" s="1602">
        <v>11.56</v>
      </c>
      <c r="AZ42" s="1602">
        <v>2843.27</v>
      </c>
      <c r="BA42" s="1599">
        <f t="shared" si="48"/>
        <v>1.2039995354033393</v>
      </c>
      <c r="BB42" s="1602">
        <f>AZ42*BB79/(BB79+BC79)</f>
        <v>2828.0846707368432</v>
      </c>
      <c r="BC42" s="1602">
        <f>SUM(AZ42-BB42)</f>
        <v>15.185329263156746</v>
      </c>
      <c r="BD42" s="1602">
        <f>SUM('цех вода'!AG51)</f>
        <v>2475.1343982218523</v>
      </c>
      <c r="BE42" s="1602">
        <f>BD42*BE79/(BE79+BF79)</f>
        <v>2461.9152066545498</v>
      </c>
      <c r="BF42" s="1602">
        <f>SUM(BD42-BE42)</f>
        <v>13.21919156730246</v>
      </c>
      <c r="BG42" s="1602">
        <f t="shared" si="49"/>
        <v>2505.2399999999998</v>
      </c>
      <c r="BH42" s="1602">
        <v>2503.56</v>
      </c>
      <c r="BI42" s="1602">
        <v>1.68</v>
      </c>
      <c r="BJ42" s="1602">
        <f t="shared" ref="BJ42" si="353">BK42+BL42</f>
        <v>2402.1799999999998</v>
      </c>
      <c r="BK42" s="1602">
        <v>2401.02</v>
      </c>
      <c r="BL42" s="1602">
        <v>1.1599999999999999</v>
      </c>
      <c r="BM42" s="1603">
        <f t="shared" si="219"/>
        <v>2516.2190000000001</v>
      </c>
      <c r="BN42" s="1602">
        <v>2501.721</v>
      </c>
      <c r="BO42" s="1602">
        <v>14.497999999999999</v>
      </c>
      <c r="BP42" s="1603">
        <f t="shared" ref="BP42" si="354">SUM(BQ42+BR42)</f>
        <v>2442.52</v>
      </c>
      <c r="BQ42" s="1602">
        <v>2441.63</v>
      </c>
      <c r="BR42" s="1602">
        <v>0.89</v>
      </c>
      <c r="BS42" s="1602">
        <f t="shared" ref="BS42" si="355">BT42+BU42</f>
        <v>3196.56</v>
      </c>
      <c r="BT42" s="1602">
        <v>3192.13</v>
      </c>
      <c r="BU42" s="1602">
        <v>4.43</v>
      </c>
      <c r="BV42" s="1602">
        <f>'цех вода'!AM51</f>
        <v>2706.8129829750114</v>
      </c>
      <c r="BW42" s="1602">
        <f>BV42/$BV$79*$BW$79</f>
        <v>2705.5048064729795</v>
      </c>
      <c r="BX42" s="1602">
        <f>BV42/$BV$79*$BX$79</f>
        <v>1.3081765020319496</v>
      </c>
      <c r="BY42" s="1602">
        <f>SUM('цех вода'!AN51)</f>
        <v>2599.8439507974344</v>
      </c>
      <c r="BZ42" s="1602">
        <f>BY42/$BV$79*$BW$79</f>
        <v>2598.587471392771</v>
      </c>
      <c r="CA42" s="1602">
        <f>BY42/$BV$79*$BX$79</f>
        <v>1.2564794046632182</v>
      </c>
      <c r="CB42" s="3578" t="str">
        <f>CB34</f>
        <v>Приложение</v>
      </c>
      <c r="CC42" s="365"/>
      <c r="CD42" s="365"/>
      <c r="CE42" s="365"/>
      <c r="CF42" s="1602">
        <f>SUM('цех вода'!AX51)</f>
        <v>2719.011490230816</v>
      </c>
      <c r="CG42" s="1602">
        <f>CF42/CF151*CG151</f>
        <v>2717.6264472669859</v>
      </c>
      <c r="CH42" s="1602">
        <f>CF42/CF151*CH151</f>
        <v>1.3850429638298645</v>
      </c>
      <c r="CI42" s="1602">
        <f t="shared" ref="CI42" si="356">CJ42+CK42</f>
        <v>1303.07</v>
      </c>
      <c r="CJ42" s="1602">
        <f>SUM('цех вода'!AY51)</f>
        <v>1303.07</v>
      </c>
      <c r="CK42" s="1602">
        <v>0</v>
      </c>
      <c r="CL42" s="1602">
        <f t="shared" ref="CL42" si="357">CM42+CN42</f>
        <v>2311.9899999999998</v>
      </c>
      <c r="CM42" s="1602">
        <f>SUM('цех вода'!AZ51)</f>
        <v>2311.9899999999998</v>
      </c>
      <c r="CN42" s="1602">
        <v>0</v>
      </c>
      <c r="CO42" s="1602">
        <f t="shared" ref="CO42" si="358">CP42+CQ42</f>
        <v>3844.89</v>
      </c>
      <c r="CP42" s="1602">
        <f>SUM('цех вода'!BA51)</f>
        <v>3844.89</v>
      </c>
      <c r="CQ42" s="1602">
        <v>0</v>
      </c>
      <c r="CR42" s="2371">
        <f t="shared" ref="CR42" si="359">CS42+CT42</f>
        <v>4945.3918879660223</v>
      </c>
      <c r="CS42" s="2371">
        <f>SUM('цех вода'!BB51)</f>
        <v>4945.3918879660223</v>
      </c>
      <c r="CT42" s="2371">
        <v>0</v>
      </c>
      <c r="CU42" s="4101">
        <f t="shared" ref="CU42" si="360">CV42+CW42</f>
        <v>3577.8364299681775</v>
      </c>
      <c r="CV42" s="4101">
        <f>SUM('цех вода'!BC51)</f>
        <v>3577.8364299681775</v>
      </c>
      <c r="CW42" s="4101">
        <v>0</v>
      </c>
      <c r="CX42" s="2371">
        <f t="shared" ref="CX42" si="361">CY42+CZ42</f>
        <v>2804.92</v>
      </c>
      <c r="CY42" s="2371">
        <f>SUM('цех вода'!BD51)</f>
        <v>2804.92</v>
      </c>
      <c r="CZ42" s="2371">
        <v>0</v>
      </c>
      <c r="DA42" s="2371">
        <f t="shared" ref="DA42" si="362">DB42+DC42</f>
        <v>3998.41</v>
      </c>
      <c r="DB42" s="2371">
        <f>SUM('цех вода'!BE51)</f>
        <v>3998.41</v>
      </c>
      <c r="DC42" s="2371">
        <v>0</v>
      </c>
      <c r="DD42" s="3487">
        <f t="shared" ref="DD42" si="363">DE42+DF42</f>
        <v>0</v>
      </c>
      <c r="DE42" s="3487">
        <f>SUM('цех вода'!BP51)</f>
        <v>0</v>
      </c>
      <c r="DF42" s="3487">
        <v>0</v>
      </c>
    </row>
    <row r="43" spans="1:110" s="2226" customFormat="1" ht="45" customHeight="1" x14ac:dyDescent="0.2">
      <c r="A43" s="3616" t="s">
        <v>1936</v>
      </c>
      <c r="B43" s="2652"/>
      <c r="C43" s="3611"/>
      <c r="D43" s="1743"/>
      <c r="E43" s="3611"/>
      <c r="F43" s="1743"/>
      <c r="G43" s="3611"/>
      <c r="H43" s="1743"/>
      <c r="I43" s="3584"/>
      <c r="J43" s="3584"/>
      <c r="K43" s="3584"/>
      <c r="L43" s="3584"/>
      <c r="M43" s="3614"/>
      <c r="N43" s="3614"/>
      <c r="O43" s="3584"/>
      <c r="P43" s="3614"/>
      <c r="Q43" s="3615"/>
      <c r="R43" s="3614"/>
      <c r="S43" s="3614"/>
      <c r="T43" s="3584"/>
      <c r="U43" s="3584"/>
      <c r="V43" s="3584"/>
      <c r="W43" s="3584"/>
      <c r="X43" s="3584"/>
      <c r="Y43" s="1606"/>
      <c r="Z43" s="1609"/>
      <c r="AA43" s="1606"/>
      <c r="AB43" s="1609"/>
      <c r="AC43" s="1606"/>
      <c r="AD43" s="1606"/>
      <c r="AE43" s="1606"/>
      <c r="AF43" s="1606"/>
      <c r="AG43" s="1606"/>
      <c r="AH43" s="1595"/>
      <c r="AI43" s="1610"/>
      <c r="AJ43" s="1606"/>
      <c r="AK43" s="1606"/>
      <c r="AL43" s="1595"/>
      <c r="AM43" s="1610"/>
      <c r="AN43" s="1606"/>
      <c r="AO43" s="1606"/>
      <c r="AP43" s="1598"/>
      <c r="AQ43" s="1598"/>
      <c r="AR43" s="1598"/>
      <c r="AS43" s="1598"/>
      <c r="AT43" s="1606"/>
      <c r="AU43" s="1606"/>
      <c r="AV43" s="1606"/>
      <c r="AW43" s="1606"/>
      <c r="AX43" s="1606"/>
      <c r="AY43" s="1606"/>
      <c r="AZ43" s="1606"/>
      <c r="BA43" s="1611"/>
      <c r="BB43" s="1606"/>
      <c r="BC43" s="1606"/>
      <c r="BD43" s="1606"/>
      <c r="BE43" s="1606"/>
      <c r="BF43" s="1606"/>
      <c r="BG43" s="1606"/>
      <c r="BH43" s="1606"/>
      <c r="BI43" s="1606"/>
      <c r="BJ43" s="1606"/>
      <c r="BK43" s="1606"/>
      <c r="BL43" s="1606"/>
      <c r="BM43" s="1606"/>
      <c r="BN43" s="1606"/>
      <c r="BO43" s="1606"/>
      <c r="BP43" s="1606">
        <f>SUM(BQ43:BR43)</f>
        <v>633.24599999999998</v>
      </c>
      <c r="BQ43" s="1606">
        <f>SUM(BQ44:BQ51)-BQ50</f>
        <v>633.24599999999998</v>
      </c>
      <c r="BR43" s="1606">
        <f>SUM(BR44:BR51)-BR50</f>
        <v>0</v>
      </c>
      <c r="BS43" s="1606">
        <f>BS44+BS45+BS47+BS48+BS49</f>
        <v>8975.7000000000007</v>
      </c>
      <c r="BT43" s="1606">
        <f t="shared" ref="BT43:BX43" si="364">BT44+BT45+BT47+BT48+BT49</f>
        <v>8975.7000000000007</v>
      </c>
      <c r="BU43" s="1606">
        <f t="shared" si="364"/>
        <v>0</v>
      </c>
      <c r="BV43" s="1606">
        <f>BV44+BV45+BV47+BV48+BV49</f>
        <v>4606.540798384136</v>
      </c>
      <c r="BW43" s="1606">
        <f t="shared" si="364"/>
        <v>4606.540798384136</v>
      </c>
      <c r="BX43" s="1606">
        <f t="shared" si="364"/>
        <v>0</v>
      </c>
      <c r="BY43" s="1606">
        <f>BY44+BY45+BY47+BY48+BY49</f>
        <v>4837.3345563558723</v>
      </c>
      <c r="BZ43" s="1606">
        <f t="shared" ref="BZ43:CA43" si="365">BZ44+BZ45+BZ47+BZ48+BZ49</f>
        <v>4837.3345563558723</v>
      </c>
      <c r="CA43" s="1606">
        <f t="shared" si="365"/>
        <v>0</v>
      </c>
      <c r="CB43" s="3441"/>
      <c r="CC43" s="3617"/>
      <c r="CD43" s="3617"/>
      <c r="CE43" s="3617"/>
      <c r="CF43" s="1606">
        <f>CF44+CF45+CF47+CF48+CF49</f>
        <v>4912.117968725468</v>
      </c>
      <c r="CG43" s="1606">
        <f t="shared" ref="CG43:CH43" si="366">CG44+CG45+CG47+CG48+CG49</f>
        <v>4912.117968725468</v>
      </c>
      <c r="CH43" s="1606">
        <f t="shared" si="366"/>
        <v>0</v>
      </c>
      <c r="CI43" s="1606">
        <f>CI44+CI45+CI47+CI48+CI49</f>
        <v>3278.7638716000001</v>
      </c>
      <c r="CJ43" s="1606">
        <f t="shared" ref="CJ43:CK43" si="367">CJ44+CJ45+CJ47+CJ48+CJ49</f>
        <v>3278.7638716000001</v>
      </c>
      <c r="CK43" s="1606">
        <f t="shared" si="367"/>
        <v>0</v>
      </c>
      <c r="CL43" s="1606">
        <f>CL44+CL45+CL46+CL47+CL48+CL49</f>
        <v>5524.1615715999997</v>
      </c>
      <c r="CM43" s="1606">
        <f>CM44+CM45+CM46+CM47+CM48+CM49</f>
        <v>5524.1615715999997</v>
      </c>
      <c r="CN43" s="1606">
        <f t="shared" ref="CN43" si="368">CN44+CN45+CN47+CN48+CN49</f>
        <v>0</v>
      </c>
      <c r="CO43" s="1606">
        <f>CO44+CO45+CO46+CO47+CO48+CO49</f>
        <v>7352.5558823999991</v>
      </c>
      <c r="CP43" s="1606">
        <f>CP44+CP45+CP46+CP47+CP48+CP49</f>
        <v>7352.5558823999991</v>
      </c>
      <c r="CQ43" s="1606">
        <f t="shared" ref="CQ43" si="369">CQ44+CQ45+CQ47+CQ48+CQ49</f>
        <v>0</v>
      </c>
      <c r="CR43" s="2374">
        <f>CR44+CR45+CR46+CR47+CR48+CR49</f>
        <v>5849.2214513766676</v>
      </c>
      <c r="CS43" s="2374">
        <f>CS44+CS45+CS46+CS47+CS48+CS49</f>
        <v>5849.2214513766676</v>
      </c>
      <c r="CT43" s="2374">
        <f t="shared" ref="CT43" si="370">CT44+CT45+CT47+CT48+CT49</f>
        <v>0</v>
      </c>
      <c r="CU43" s="4103">
        <f>CU44+CU45+CU46+CU47+CU48+CU49</f>
        <v>3635.3303517730242</v>
      </c>
      <c r="CV43" s="4103">
        <f>CV44+CV45+CV46+CV47+CV48+CV49</f>
        <v>3635.3303517730242</v>
      </c>
      <c r="CW43" s="4103">
        <f t="shared" ref="CW43" si="371">CW44+CW45+CW47+CW48+CW49</f>
        <v>0</v>
      </c>
      <c r="CX43" s="2374">
        <f>CX44+CX45+CX47+CX48+CX49</f>
        <v>3567.0953525999998</v>
      </c>
      <c r="CY43" s="2374">
        <f t="shared" ref="CY43:CZ43" si="372">CY44+CY45+CY47+CY48+CY49</f>
        <v>3567.0953525999998</v>
      </c>
      <c r="CZ43" s="2374">
        <f t="shared" si="372"/>
        <v>0</v>
      </c>
      <c r="DA43" s="2374">
        <f>DA44+DA45+DA46+DA47+DA48+DA49</f>
        <v>5236.8335504999995</v>
      </c>
      <c r="DB43" s="2374">
        <f>DB44+DB45+DB46+DB47+DB48+DB49</f>
        <v>5236.8335504999995</v>
      </c>
      <c r="DC43" s="2374">
        <f t="shared" ref="DC43" si="373">DC44+DC45+DC47+DC48+DC49</f>
        <v>0</v>
      </c>
      <c r="DD43" s="3489">
        <f>DD44+DD45+DD46+DD47+DD48+DD49</f>
        <v>1189.7800000000002</v>
      </c>
      <c r="DE43" s="3489">
        <f>DE44+DE45+DE46+DE47+DE48+DE49</f>
        <v>1189.7800000000002</v>
      </c>
      <c r="DF43" s="3489">
        <f t="shared" ref="DF43" si="374">DF44+DF45+DF47+DF48+DF49</f>
        <v>0</v>
      </c>
    </row>
    <row r="44" spans="1:110" s="565" customFormat="1" ht="22.5" customHeight="1" x14ac:dyDescent="0.2">
      <c r="A44" s="3494" t="s">
        <v>2</v>
      </c>
      <c r="B44" s="3581"/>
      <c r="C44" s="2125"/>
      <c r="D44" s="3341"/>
      <c r="E44" s="2125"/>
      <c r="F44" s="3341"/>
      <c r="G44" s="2125"/>
      <c r="H44" s="3341"/>
      <c r="I44" s="3583"/>
      <c r="J44" s="3583"/>
      <c r="K44" s="3583"/>
      <c r="L44" s="3583"/>
      <c r="M44" s="3604"/>
      <c r="N44" s="3604"/>
      <c r="O44" s="3583"/>
      <c r="P44" s="3604"/>
      <c r="Q44" s="3605"/>
      <c r="R44" s="3604"/>
      <c r="S44" s="3604"/>
      <c r="T44" s="3583"/>
      <c r="U44" s="3583"/>
      <c r="V44" s="3583"/>
      <c r="W44" s="3583"/>
      <c r="X44" s="3583"/>
      <c r="Y44" s="1602"/>
      <c r="Z44" s="1596"/>
      <c r="AA44" s="1602"/>
      <c r="AB44" s="1596"/>
      <c r="AC44" s="1602"/>
      <c r="AD44" s="1602"/>
      <c r="AE44" s="1602"/>
      <c r="AF44" s="1602"/>
      <c r="AG44" s="1602"/>
      <c r="AH44" s="1603"/>
      <c r="AI44" s="1597"/>
      <c r="AJ44" s="1602"/>
      <c r="AK44" s="1602"/>
      <c r="AL44" s="1603"/>
      <c r="AM44" s="1597"/>
      <c r="AN44" s="1602"/>
      <c r="AO44" s="1602"/>
      <c r="AP44" s="2225"/>
      <c r="AQ44" s="2225"/>
      <c r="AR44" s="2225"/>
      <c r="AS44" s="2225"/>
      <c r="AT44" s="1602"/>
      <c r="AU44" s="1602"/>
      <c r="AV44" s="1602"/>
      <c r="AW44" s="1602"/>
      <c r="AX44" s="1602"/>
      <c r="AY44" s="1602"/>
      <c r="AZ44" s="1602"/>
      <c r="BA44" s="1599"/>
      <c r="BB44" s="1602"/>
      <c r="BC44" s="1602"/>
      <c r="BD44" s="1602"/>
      <c r="BE44" s="1602"/>
      <c r="BF44" s="1602"/>
      <c r="BG44" s="1602"/>
      <c r="BH44" s="1602"/>
      <c r="BI44" s="1602"/>
      <c r="BJ44" s="1602"/>
      <c r="BK44" s="1602"/>
      <c r="BL44" s="1602"/>
      <c r="BM44" s="1602"/>
      <c r="BN44" s="1602"/>
      <c r="BO44" s="1602"/>
      <c r="BP44" s="1603">
        <f t="shared" ref="BP44:BP51" si="375">SUM(BQ44+BR44)</f>
        <v>330.7</v>
      </c>
      <c r="BQ44" s="1602">
        <v>330.7</v>
      </c>
      <c r="BR44" s="1602"/>
      <c r="BS44" s="1602">
        <v>2766.9</v>
      </c>
      <c r="BT44" s="1602">
        <f>BS44</f>
        <v>2766.9</v>
      </c>
      <c r="BU44" s="1602"/>
      <c r="BV44" s="1602">
        <f>BW44</f>
        <v>0</v>
      </c>
      <c r="BW44" s="1602">
        <f>Аморт!AM11</f>
        <v>0</v>
      </c>
      <c r="BX44" s="1602"/>
      <c r="BY44" s="1602">
        <f>BZ44</f>
        <v>0</v>
      </c>
      <c r="BZ44" s="1602">
        <f>SUM(Аморт!AS11)</f>
        <v>0</v>
      </c>
      <c r="CA44" s="1602">
        <v>0</v>
      </c>
      <c r="CB44" s="3578"/>
      <c r="CC44" s="365"/>
      <c r="CD44" s="365"/>
      <c r="CE44" s="365"/>
      <c r="CF44" s="1602">
        <f>CG44</f>
        <v>0</v>
      </c>
      <c r="CG44" s="1602">
        <f>SUM(Аморт!AT11)</f>
        <v>0</v>
      </c>
      <c r="CH44" s="1602">
        <v>0</v>
      </c>
      <c r="CI44" s="1602">
        <f t="shared" ref="CI44:CI48" si="376">CJ44+CK44</f>
        <v>1984.2</v>
      </c>
      <c r="CJ44" s="1602">
        <f>SUM(Аморт!AV11)</f>
        <v>1984.2</v>
      </c>
      <c r="CK44" s="1602">
        <v>0</v>
      </c>
      <c r="CL44" s="1602">
        <f t="shared" ref="CL44:CL48" si="377">CM44+CN44</f>
        <v>2976.3</v>
      </c>
      <c r="CM44" s="1602">
        <f>SUM(Аморт!AY11)</f>
        <v>2976.3</v>
      </c>
      <c r="CN44" s="1602">
        <v>0</v>
      </c>
      <c r="CO44" s="1602">
        <f t="shared" ref="CO44:CO48" si="378">CP44+CQ44</f>
        <v>3968.43</v>
      </c>
      <c r="CP44" s="1602">
        <f>SUM(Аморт!BB11)</f>
        <v>3968.43</v>
      </c>
      <c r="CQ44" s="1602">
        <v>0</v>
      </c>
      <c r="CR44" s="2371">
        <f t="shared" ref="CR44:CR49" si="379">CS44+CT44</f>
        <v>0</v>
      </c>
      <c r="CS44" s="2371">
        <f>SUM(Аморт!BE11)</f>
        <v>0</v>
      </c>
      <c r="CT44" s="2371">
        <v>0</v>
      </c>
      <c r="CU44" s="4101">
        <f t="shared" ref="CU44:CU49" si="380">CV44+CW44</f>
        <v>0</v>
      </c>
      <c r="CV44" s="4101">
        <f>SUM(Аморт!BE11)</f>
        <v>0</v>
      </c>
      <c r="CW44" s="4101">
        <v>0</v>
      </c>
      <c r="CX44" s="2371">
        <f t="shared" ref="CX44:CX49" si="381">CY44+CZ44</f>
        <v>1984.2058999999999</v>
      </c>
      <c r="CY44" s="2371">
        <f>SUM(Аморт!BJ11)</f>
        <v>1984.2058999999999</v>
      </c>
      <c r="CZ44" s="2371">
        <v>0</v>
      </c>
      <c r="DA44" s="2371">
        <f t="shared" ref="DA44:DA49" si="382">DB44+DC44</f>
        <v>2976.3049999999998</v>
      </c>
      <c r="DB44" s="2371">
        <f>SUM(Аморт!BM11)</f>
        <v>2976.3049999999998</v>
      </c>
      <c r="DC44" s="2371">
        <v>0</v>
      </c>
      <c r="DD44" s="3487">
        <f t="shared" ref="DD44:DD49" si="383">DE44+DF44</f>
        <v>0</v>
      </c>
      <c r="DE44" s="3487">
        <f>SUM(Аморт!BQ11)</f>
        <v>0</v>
      </c>
      <c r="DF44" s="3487">
        <v>0</v>
      </c>
    </row>
    <row r="45" spans="1:110" s="565" customFormat="1" ht="21" customHeight="1" x14ac:dyDescent="0.2">
      <c r="A45" s="3494" t="s">
        <v>1</v>
      </c>
      <c r="B45" s="3581"/>
      <c r="C45" s="2125"/>
      <c r="D45" s="3341"/>
      <c r="E45" s="2125"/>
      <c r="F45" s="3341"/>
      <c r="G45" s="2125"/>
      <c r="H45" s="3341"/>
      <c r="I45" s="3583"/>
      <c r="J45" s="3583"/>
      <c r="K45" s="3583"/>
      <c r="L45" s="3583"/>
      <c r="M45" s="3604"/>
      <c r="N45" s="3604"/>
      <c r="O45" s="3583"/>
      <c r="P45" s="3604"/>
      <c r="Q45" s="3605"/>
      <c r="R45" s="3604"/>
      <c r="S45" s="3604"/>
      <c r="T45" s="3583"/>
      <c r="U45" s="3583"/>
      <c r="V45" s="3583"/>
      <c r="W45" s="3583"/>
      <c r="X45" s="3583"/>
      <c r="Y45" s="1602"/>
      <c r="Z45" s="1596"/>
      <c r="AA45" s="1602"/>
      <c r="AB45" s="1596"/>
      <c r="AC45" s="1602"/>
      <c r="AD45" s="1602"/>
      <c r="AE45" s="1602"/>
      <c r="AF45" s="1602"/>
      <c r="AG45" s="1602"/>
      <c r="AH45" s="1603"/>
      <c r="AI45" s="1597"/>
      <c r="AJ45" s="1602"/>
      <c r="AK45" s="1602"/>
      <c r="AL45" s="1603"/>
      <c r="AM45" s="1597"/>
      <c r="AN45" s="1602"/>
      <c r="AO45" s="1602"/>
      <c r="AP45" s="2225"/>
      <c r="AQ45" s="2225"/>
      <c r="AR45" s="2225"/>
      <c r="AS45" s="2225"/>
      <c r="AT45" s="1602"/>
      <c r="AU45" s="1602"/>
      <c r="AV45" s="1602"/>
      <c r="AW45" s="1602"/>
      <c r="AX45" s="1602"/>
      <c r="AY45" s="1602"/>
      <c r="AZ45" s="1602"/>
      <c r="BA45" s="1599"/>
      <c r="BB45" s="1602"/>
      <c r="BC45" s="1602"/>
      <c r="BD45" s="1602"/>
      <c r="BE45" s="1602"/>
      <c r="BF45" s="1602"/>
      <c r="BG45" s="1602"/>
      <c r="BH45" s="1602"/>
      <c r="BI45" s="1602"/>
      <c r="BJ45" s="1602"/>
      <c r="BK45" s="1602"/>
      <c r="BL45" s="1602"/>
      <c r="BM45" s="1602"/>
      <c r="BN45" s="1602"/>
      <c r="BO45" s="1602"/>
      <c r="BP45" s="1603">
        <f t="shared" si="375"/>
        <v>71.11</v>
      </c>
      <c r="BQ45" s="1602">
        <v>71.11</v>
      </c>
      <c r="BR45" s="1602"/>
      <c r="BS45" s="1602">
        <v>1504.3</v>
      </c>
      <c r="BT45" s="1602">
        <f t="shared" ref="BT45:BT49" si="384">BS45</f>
        <v>1504.3</v>
      </c>
      <c r="BU45" s="1602"/>
      <c r="BV45" s="1602">
        <f t="shared" ref="BV45:BV49" si="385">BW45</f>
        <v>1307.865</v>
      </c>
      <c r="BW45" s="1602">
        <f>'ЭЭ вода'!T27</f>
        <v>1307.865</v>
      </c>
      <c r="BX45" s="1602"/>
      <c r="BY45" s="1602">
        <f t="shared" ref="BY45:BY48" si="386">BZ45</f>
        <v>1362.7953299999999</v>
      </c>
      <c r="BZ45" s="1602">
        <f>SUM('ЭЭ вода'!Z27)</f>
        <v>1362.7953299999999</v>
      </c>
      <c r="CA45" s="1602">
        <v>0</v>
      </c>
      <c r="CB45" s="3578"/>
      <c r="CC45" s="365"/>
      <c r="CD45" s="365"/>
      <c r="CE45" s="365"/>
      <c r="CF45" s="1602">
        <f t="shared" ref="CF45" si="387">CG45</f>
        <v>1542.7195983333334</v>
      </c>
      <c r="CG45" s="1602">
        <f>SUM('ЭЭ вода'!AE27)</f>
        <v>1542.7195983333334</v>
      </c>
      <c r="CH45" s="1602">
        <v>0</v>
      </c>
      <c r="CI45" s="1602">
        <f t="shared" si="376"/>
        <v>75.982299999999995</v>
      </c>
      <c r="CJ45" s="1602">
        <f>SUM('ЭЭ вода'!AF27)</f>
        <v>75.982299999999995</v>
      </c>
      <c r="CK45" s="1602">
        <v>0</v>
      </c>
      <c r="CL45" s="1602">
        <f t="shared" si="377"/>
        <v>183.75</v>
      </c>
      <c r="CM45" s="1602">
        <f>SUM('ЭЭ вода'!AG27)</f>
        <v>183.75</v>
      </c>
      <c r="CN45" s="1602">
        <v>0</v>
      </c>
      <c r="CO45" s="1602">
        <f t="shared" si="378"/>
        <v>344.77</v>
      </c>
      <c r="CP45" s="1602">
        <f>SUM('ЭЭ вода'!AH27)</f>
        <v>344.77</v>
      </c>
      <c r="CQ45" s="1602">
        <v>0</v>
      </c>
      <c r="CR45" s="2371">
        <f t="shared" si="379"/>
        <v>1613.6846998566668</v>
      </c>
      <c r="CS45" s="2371">
        <f>SUM('ЭЭ вода'!AI27)</f>
        <v>1613.6846998566668</v>
      </c>
      <c r="CT45" s="2371">
        <v>0</v>
      </c>
      <c r="CU45" s="4101">
        <f t="shared" si="380"/>
        <v>409.53658158304779</v>
      </c>
      <c r="CV45" s="4101">
        <f>SUM('ЭЭ вода'!AJ27)</f>
        <v>409.53658158304779</v>
      </c>
      <c r="CW45" s="4101">
        <v>0</v>
      </c>
      <c r="CX45" s="2371">
        <f t="shared" si="381"/>
        <v>265.08638999999999</v>
      </c>
      <c r="CY45" s="2371">
        <f>SUM('ЭЭ вода'!AK27)</f>
        <v>265.08638999999999</v>
      </c>
      <c r="CZ45" s="2371">
        <v>0</v>
      </c>
      <c r="DA45" s="2371">
        <f t="shared" si="382"/>
        <v>408.61</v>
      </c>
      <c r="DB45" s="2371">
        <f>SUM('ЭЭ вода'!AL27)</f>
        <v>408.61</v>
      </c>
      <c r="DC45" s="2371">
        <v>0</v>
      </c>
      <c r="DD45" s="3487">
        <f t="shared" si="383"/>
        <v>0</v>
      </c>
      <c r="DE45" s="3487">
        <f>SUM('ЭЭ вода'!AW27)</f>
        <v>0</v>
      </c>
      <c r="DF45" s="3487">
        <v>0</v>
      </c>
    </row>
    <row r="46" spans="1:110" s="565" customFormat="1" ht="21" customHeight="1" x14ac:dyDescent="0.2">
      <c r="A46" s="3494" t="s">
        <v>9</v>
      </c>
      <c r="B46" s="3581"/>
      <c r="C46" s="2125"/>
      <c r="D46" s="3341"/>
      <c r="E46" s="2125"/>
      <c r="F46" s="3341"/>
      <c r="G46" s="2125"/>
      <c r="H46" s="3341"/>
      <c r="I46" s="3583"/>
      <c r="J46" s="3583"/>
      <c r="K46" s="3583"/>
      <c r="L46" s="3583"/>
      <c r="M46" s="3604"/>
      <c r="N46" s="3604"/>
      <c r="O46" s="3583"/>
      <c r="P46" s="3604"/>
      <c r="Q46" s="3605"/>
      <c r="R46" s="3604"/>
      <c r="S46" s="3604"/>
      <c r="T46" s="3583"/>
      <c r="U46" s="3583"/>
      <c r="V46" s="3583"/>
      <c r="W46" s="3583"/>
      <c r="X46" s="3583"/>
      <c r="Y46" s="1602"/>
      <c r="Z46" s="1596"/>
      <c r="AA46" s="1602"/>
      <c r="AB46" s="1596"/>
      <c r="AC46" s="1602"/>
      <c r="AD46" s="1602"/>
      <c r="AE46" s="1602"/>
      <c r="AF46" s="1602"/>
      <c r="AG46" s="1602"/>
      <c r="AH46" s="1603"/>
      <c r="AI46" s="1597"/>
      <c r="AJ46" s="1602"/>
      <c r="AK46" s="1602"/>
      <c r="AL46" s="1603"/>
      <c r="AM46" s="1597"/>
      <c r="AN46" s="1602"/>
      <c r="AO46" s="1602"/>
      <c r="AP46" s="2225"/>
      <c r="AQ46" s="2225"/>
      <c r="AR46" s="2225"/>
      <c r="AS46" s="2225"/>
      <c r="AT46" s="1602"/>
      <c r="AU46" s="1602"/>
      <c r="AV46" s="1602"/>
      <c r="AW46" s="1602"/>
      <c r="AX46" s="1602"/>
      <c r="AY46" s="1602"/>
      <c r="AZ46" s="1602"/>
      <c r="BA46" s="1599"/>
      <c r="BB46" s="1602"/>
      <c r="BC46" s="1602"/>
      <c r="BD46" s="1602"/>
      <c r="BE46" s="1602"/>
      <c r="BF46" s="1602"/>
      <c r="BG46" s="1602"/>
      <c r="BH46" s="1602"/>
      <c r="BI46" s="1602"/>
      <c r="BJ46" s="1602"/>
      <c r="BK46" s="1602"/>
      <c r="BL46" s="1602"/>
      <c r="BM46" s="1602"/>
      <c r="BN46" s="1602"/>
      <c r="BO46" s="1602"/>
      <c r="BP46" s="1603">
        <f t="shared" si="375"/>
        <v>1.36</v>
      </c>
      <c r="BQ46" s="1602">
        <v>1.36</v>
      </c>
      <c r="BR46" s="1602"/>
      <c r="BS46" s="1602"/>
      <c r="BT46" s="1602"/>
      <c r="BU46" s="1602"/>
      <c r="BV46" s="1602"/>
      <c r="BW46" s="1602"/>
      <c r="BX46" s="1602"/>
      <c r="BY46" s="1602"/>
      <c r="BZ46" s="1602"/>
      <c r="CA46" s="1602"/>
      <c r="CB46" s="3578"/>
      <c r="CC46" s="365"/>
      <c r="CD46" s="365"/>
      <c r="CE46" s="365"/>
      <c r="CF46" s="1602">
        <v>0</v>
      </c>
      <c r="CG46" s="1602">
        <v>0</v>
      </c>
      <c r="CH46" s="1602">
        <v>0</v>
      </c>
      <c r="CI46" s="1602">
        <f t="shared" si="376"/>
        <v>0</v>
      </c>
      <c r="CJ46" s="1602">
        <v>0</v>
      </c>
      <c r="CK46" s="1602">
        <v>0</v>
      </c>
      <c r="CL46" s="1602">
        <f t="shared" si="377"/>
        <v>557.87</v>
      </c>
      <c r="CM46" s="1602">
        <v>557.87</v>
      </c>
      <c r="CN46" s="1602">
        <v>0</v>
      </c>
      <c r="CO46" s="1602">
        <f t="shared" si="378"/>
        <v>656.2</v>
      </c>
      <c r="CP46" s="1602">
        <v>656.2</v>
      </c>
      <c r="CQ46" s="1602">
        <v>0</v>
      </c>
      <c r="CR46" s="2371">
        <f t="shared" si="379"/>
        <v>679.5213480000001</v>
      </c>
      <c r="CS46" s="2371">
        <f>SUM('рем программа'!O29)</f>
        <v>679.5213480000001</v>
      </c>
      <c r="CT46" s="2371">
        <v>0</v>
      </c>
      <c r="CU46" s="4101">
        <f t="shared" si="380"/>
        <v>0</v>
      </c>
      <c r="CV46" s="4101">
        <f>SUM('рем программа'!P29)</f>
        <v>0</v>
      </c>
      <c r="CW46" s="4101">
        <v>0</v>
      </c>
      <c r="CX46" s="2371">
        <f t="shared" si="381"/>
        <v>0</v>
      </c>
      <c r="CY46" s="2371">
        <v>0</v>
      </c>
      <c r="CZ46" s="2371">
        <v>0</v>
      </c>
      <c r="DA46" s="2371">
        <f t="shared" si="382"/>
        <v>0</v>
      </c>
      <c r="DB46" s="2371">
        <v>0</v>
      </c>
      <c r="DC46" s="2371">
        <v>0</v>
      </c>
      <c r="DD46" s="3487">
        <f t="shared" si="383"/>
        <v>656.2</v>
      </c>
      <c r="DE46" s="3487">
        <v>656.2</v>
      </c>
      <c r="DF46" s="3487">
        <v>0</v>
      </c>
    </row>
    <row r="47" spans="1:110" s="565" customFormat="1" ht="21" customHeight="1" x14ac:dyDescent="0.2">
      <c r="A47" s="3466" t="s">
        <v>3966</v>
      </c>
      <c r="B47" s="3581"/>
      <c r="C47" s="2125"/>
      <c r="D47" s="3341"/>
      <c r="E47" s="2125"/>
      <c r="F47" s="3341"/>
      <c r="G47" s="2125"/>
      <c r="H47" s="3341"/>
      <c r="I47" s="3583"/>
      <c r="J47" s="3583"/>
      <c r="K47" s="3583"/>
      <c r="L47" s="3583"/>
      <c r="M47" s="3604"/>
      <c r="N47" s="3604"/>
      <c r="O47" s="3583"/>
      <c r="P47" s="3604"/>
      <c r="Q47" s="3605"/>
      <c r="R47" s="3604"/>
      <c r="S47" s="3604"/>
      <c r="T47" s="3583"/>
      <c r="U47" s="3583"/>
      <c r="V47" s="3583"/>
      <c r="W47" s="3583"/>
      <c r="X47" s="3583"/>
      <c r="Y47" s="1602"/>
      <c r="Z47" s="1596"/>
      <c r="AA47" s="1602"/>
      <c r="AB47" s="1596"/>
      <c r="AC47" s="1602"/>
      <c r="AD47" s="1602"/>
      <c r="AE47" s="1602"/>
      <c r="AF47" s="1602"/>
      <c r="AG47" s="1602"/>
      <c r="AH47" s="1603"/>
      <c r="AI47" s="1597"/>
      <c r="AJ47" s="1602"/>
      <c r="AK47" s="1602"/>
      <c r="AL47" s="1603"/>
      <c r="AM47" s="1597"/>
      <c r="AN47" s="1602"/>
      <c r="AO47" s="1602"/>
      <c r="AP47" s="2225"/>
      <c r="AQ47" s="2225"/>
      <c r="AR47" s="2225"/>
      <c r="AS47" s="2225"/>
      <c r="AT47" s="1602"/>
      <c r="AU47" s="1602"/>
      <c r="AV47" s="1602"/>
      <c r="AW47" s="1602"/>
      <c r="AX47" s="1602"/>
      <c r="AY47" s="1602"/>
      <c r="AZ47" s="1602"/>
      <c r="BA47" s="1599"/>
      <c r="BB47" s="1602"/>
      <c r="BC47" s="1602"/>
      <c r="BD47" s="1602"/>
      <c r="BE47" s="1602"/>
      <c r="BF47" s="1602"/>
      <c r="BG47" s="1602"/>
      <c r="BH47" s="1602"/>
      <c r="BI47" s="1602"/>
      <c r="BJ47" s="1602"/>
      <c r="BK47" s="1602"/>
      <c r="BL47" s="1602"/>
      <c r="BM47" s="1602"/>
      <c r="BN47" s="1602"/>
      <c r="BO47" s="1602"/>
      <c r="BP47" s="1603">
        <f t="shared" si="375"/>
        <v>0</v>
      </c>
      <c r="BQ47" s="1602"/>
      <c r="BR47" s="1602"/>
      <c r="BS47" s="1602">
        <v>322.10000000000002</v>
      </c>
      <c r="BT47" s="1602">
        <f t="shared" si="384"/>
        <v>322.10000000000002</v>
      </c>
      <c r="BU47" s="1602"/>
      <c r="BV47" s="1602">
        <f t="shared" si="385"/>
        <v>313.61784093</v>
      </c>
      <c r="BW47" s="1602">
        <f>'Тепловая энергия (3 подъем)'!H10</f>
        <v>313.61784093</v>
      </c>
      <c r="BX47" s="1602"/>
      <c r="BY47" s="1602">
        <f t="shared" si="386"/>
        <v>353.4558371333834</v>
      </c>
      <c r="BZ47" s="1602">
        <f>'Тепловая энергия (3 подъем)'!K10</f>
        <v>353.4558371333834</v>
      </c>
      <c r="CA47" s="1602">
        <v>0</v>
      </c>
      <c r="CB47" s="3578"/>
      <c r="CC47" s="365"/>
      <c r="CD47" s="365"/>
      <c r="CE47" s="365"/>
      <c r="CF47" s="1602">
        <f t="shared" ref="CF47" si="388">CG47</f>
        <v>326.78964000000002</v>
      </c>
      <c r="CG47" s="1602">
        <f>SUM('Тепловая энергия (3 подъем)'!O10)</f>
        <v>326.78964000000002</v>
      </c>
      <c r="CH47" s="1602">
        <v>0</v>
      </c>
      <c r="CI47" s="1602">
        <f t="shared" si="376"/>
        <v>78.551571600000017</v>
      </c>
      <c r="CJ47" s="1602">
        <f>SUM('Тепловая энергия (3 подъем)'!P10)</f>
        <v>78.551571600000017</v>
      </c>
      <c r="CK47" s="1602">
        <v>0</v>
      </c>
      <c r="CL47" s="1602">
        <f t="shared" si="377"/>
        <v>78.551571600000017</v>
      </c>
      <c r="CM47" s="1602">
        <f>SUM('Тепловая энергия (3 подъем)'!Q10)</f>
        <v>78.551571600000017</v>
      </c>
      <c r="CN47" s="1602">
        <v>0</v>
      </c>
      <c r="CO47" s="1602">
        <f t="shared" si="378"/>
        <v>125.1658824</v>
      </c>
      <c r="CP47" s="1602">
        <f>SUM('Тепловая энергия (3 подъем)'!R10)</f>
        <v>125.1658824</v>
      </c>
      <c r="CQ47" s="1602">
        <v>0</v>
      </c>
      <c r="CR47" s="2371">
        <f t="shared" si="379"/>
        <v>0</v>
      </c>
      <c r="CS47" s="2371">
        <f>SUM('Тепловая энергия (3 подъем)'!X10)</f>
        <v>0</v>
      </c>
      <c r="CT47" s="2371">
        <v>0</v>
      </c>
      <c r="CU47" s="4101">
        <f t="shared" si="380"/>
        <v>97.823550499999996</v>
      </c>
      <c r="CV47" s="4101">
        <f>SUM('Тепловая энергия (3 подъем)'!V10)</f>
        <v>97.823550499999996</v>
      </c>
      <c r="CW47" s="4101">
        <v>0</v>
      </c>
      <c r="CX47" s="2371">
        <f t="shared" si="381"/>
        <v>92.009062600000007</v>
      </c>
      <c r="CY47" s="2371">
        <f>SUM('Тепловая энергия (3 подъем)'!U10)</f>
        <v>92.009062600000007</v>
      </c>
      <c r="CZ47" s="2371">
        <v>0</v>
      </c>
      <c r="DA47" s="2371">
        <f t="shared" si="382"/>
        <v>97.823550499999996</v>
      </c>
      <c r="DB47" s="2371">
        <f>SUM('Тепловая энергия (3 подъем)'!V10)</f>
        <v>97.823550499999996</v>
      </c>
      <c r="DC47" s="2371">
        <v>0</v>
      </c>
      <c r="DD47" s="3487">
        <f t="shared" si="383"/>
        <v>0</v>
      </c>
      <c r="DE47" s="3487">
        <f>SUM('Тепловая энергия (3 подъем)'!AJ10)</f>
        <v>0</v>
      </c>
      <c r="DF47" s="3487">
        <v>0</v>
      </c>
    </row>
    <row r="48" spans="1:110" s="565" customFormat="1" ht="21" customHeight="1" x14ac:dyDescent="0.2">
      <c r="A48" s="3466" t="s">
        <v>4</v>
      </c>
      <c r="B48" s="3581"/>
      <c r="C48" s="2125"/>
      <c r="D48" s="3341"/>
      <c r="E48" s="2125"/>
      <c r="F48" s="3341"/>
      <c r="G48" s="2125"/>
      <c r="H48" s="3341"/>
      <c r="I48" s="3583"/>
      <c r="J48" s="3583"/>
      <c r="K48" s="3583"/>
      <c r="L48" s="3583"/>
      <c r="M48" s="3604"/>
      <c r="N48" s="3604"/>
      <c r="O48" s="3583"/>
      <c r="P48" s="3604"/>
      <c r="Q48" s="3605"/>
      <c r="R48" s="3604"/>
      <c r="S48" s="3604"/>
      <c r="T48" s="3583"/>
      <c r="U48" s="3583"/>
      <c r="V48" s="3583"/>
      <c r="W48" s="3583"/>
      <c r="X48" s="3583"/>
      <c r="Y48" s="1602"/>
      <c r="Z48" s="1596"/>
      <c r="AA48" s="1602"/>
      <c r="AB48" s="1596"/>
      <c r="AC48" s="1602"/>
      <c r="AD48" s="1602"/>
      <c r="AE48" s="1602"/>
      <c r="AF48" s="1602"/>
      <c r="AG48" s="1602"/>
      <c r="AH48" s="1603"/>
      <c r="AI48" s="1597"/>
      <c r="AJ48" s="1602"/>
      <c r="AK48" s="1602"/>
      <c r="AL48" s="1603"/>
      <c r="AM48" s="1597"/>
      <c r="AN48" s="1602"/>
      <c r="AO48" s="1602"/>
      <c r="AP48" s="2225"/>
      <c r="AQ48" s="2225"/>
      <c r="AR48" s="2225"/>
      <c r="AS48" s="2225"/>
      <c r="AT48" s="1602"/>
      <c r="AU48" s="1602"/>
      <c r="AV48" s="1602"/>
      <c r="AW48" s="1602"/>
      <c r="AX48" s="1602"/>
      <c r="AY48" s="1602"/>
      <c r="AZ48" s="1602"/>
      <c r="BA48" s="1599"/>
      <c r="BB48" s="1602"/>
      <c r="BC48" s="1602"/>
      <c r="BD48" s="1602"/>
      <c r="BE48" s="1602"/>
      <c r="BF48" s="1602"/>
      <c r="BG48" s="1602"/>
      <c r="BH48" s="1602"/>
      <c r="BI48" s="1602"/>
      <c r="BJ48" s="1602"/>
      <c r="BK48" s="1602"/>
      <c r="BL48" s="1602"/>
      <c r="BM48" s="1602"/>
      <c r="BN48" s="1602"/>
      <c r="BO48" s="1602"/>
      <c r="BP48" s="1603">
        <f t="shared" si="375"/>
        <v>145.87</v>
      </c>
      <c r="BQ48" s="1602">
        <v>145.87</v>
      </c>
      <c r="BR48" s="1602"/>
      <c r="BS48" s="1602">
        <v>3368.5</v>
      </c>
      <c r="BT48" s="1602">
        <f t="shared" si="384"/>
        <v>3368.5</v>
      </c>
      <c r="BU48" s="1602"/>
      <c r="BV48" s="1602">
        <f t="shared" si="385"/>
        <v>2294.4431657731507</v>
      </c>
      <c r="BW48" s="1602">
        <f>ЗП!CR29</f>
        <v>2294.4431657731507</v>
      </c>
      <c r="BX48" s="1602"/>
      <c r="BY48" s="1602">
        <f t="shared" si="386"/>
        <v>2398.9981281023997</v>
      </c>
      <c r="BZ48" s="1602">
        <f>SUM(ЗП!CU29)</f>
        <v>2398.9981281023997</v>
      </c>
      <c r="CA48" s="1602">
        <v>0</v>
      </c>
      <c r="CB48" s="3578"/>
      <c r="CC48" s="365"/>
      <c r="CD48" s="365"/>
      <c r="CE48" s="365"/>
      <c r="CF48" s="1602">
        <f>SUM(ЗП!CX29)</f>
        <v>2338.6791503116801</v>
      </c>
      <c r="CG48" s="1602">
        <f>SUM(CF48)</f>
        <v>2338.6791503116801</v>
      </c>
      <c r="CH48" s="1602">
        <v>0</v>
      </c>
      <c r="CI48" s="1602">
        <f t="shared" si="376"/>
        <v>875.79</v>
      </c>
      <c r="CJ48" s="1602">
        <f>SUM(ЗП!DA29)</f>
        <v>875.79</v>
      </c>
      <c r="CK48" s="1602">
        <v>0</v>
      </c>
      <c r="CL48" s="1602">
        <f t="shared" si="377"/>
        <v>1327.67</v>
      </c>
      <c r="CM48" s="1602">
        <f>SUM(ЗП!DD29)</f>
        <v>1327.67</v>
      </c>
      <c r="CN48" s="1602">
        <v>0</v>
      </c>
      <c r="CO48" s="1602">
        <f t="shared" si="378"/>
        <v>1730.41</v>
      </c>
      <c r="CP48" s="1602">
        <f>SUM(ЗП!DG29)</f>
        <v>1730.41</v>
      </c>
      <c r="CQ48" s="1602">
        <v>0</v>
      </c>
      <c r="CR48" s="2371">
        <f t="shared" si="379"/>
        <v>2733.29540352</v>
      </c>
      <c r="CS48" s="2371">
        <f>SUM(ЗП!DJ29)</f>
        <v>2733.29540352</v>
      </c>
      <c r="CT48" s="2371">
        <v>0</v>
      </c>
      <c r="CU48" s="4101">
        <f t="shared" si="380"/>
        <v>2404.2916404311986</v>
      </c>
      <c r="CV48" s="4101">
        <f>SUM(ЗП!DM29)</f>
        <v>2404.2916404311986</v>
      </c>
      <c r="CW48" s="4101">
        <v>0</v>
      </c>
      <c r="CX48" s="2371">
        <f t="shared" si="381"/>
        <v>942.12</v>
      </c>
      <c r="CY48" s="2371">
        <f>SUM(ЗП!DR29)</f>
        <v>942.12</v>
      </c>
      <c r="CZ48" s="2371">
        <v>0</v>
      </c>
      <c r="DA48" s="2371">
        <f t="shared" si="382"/>
        <v>1349.03</v>
      </c>
      <c r="DB48" s="2371">
        <f>SUM(ЗП!DU29)</f>
        <v>1349.03</v>
      </c>
      <c r="DC48" s="2371">
        <v>0</v>
      </c>
      <c r="DD48" s="3487">
        <f t="shared" si="383"/>
        <v>6</v>
      </c>
      <c r="DE48" s="3487">
        <f>SUM(ЗП!DV29)</f>
        <v>6</v>
      </c>
      <c r="DF48" s="3487">
        <v>0</v>
      </c>
    </row>
    <row r="49" spans="1:143" s="565" customFormat="1" ht="21" customHeight="1" x14ac:dyDescent="0.2">
      <c r="A49" s="3466" t="s">
        <v>5</v>
      </c>
      <c r="B49" s="3581"/>
      <c r="C49" s="2125"/>
      <c r="D49" s="3341"/>
      <c r="E49" s="2125"/>
      <c r="F49" s="3341"/>
      <c r="G49" s="2125"/>
      <c r="H49" s="3341"/>
      <c r="I49" s="3583"/>
      <c r="J49" s="3583"/>
      <c r="K49" s="3583"/>
      <c r="L49" s="3583"/>
      <c r="M49" s="3604"/>
      <c r="N49" s="3604"/>
      <c r="O49" s="3583"/>
      <c r="P49" s="3604"/>
      <c r="Q49" s="3605"/>
      <c r="R49" s="3604"/>
      <c r="S49" s="3604"/>
      <c r="T49" s="3583"/>
      <c r="U49" s="3583"/>
      <c r="V49" s="3583"/>
      <c r="W49" s="3583"/>
      <c r="X49" s="3583"/>
      <c r="Y49" s="1602"/>
      <c r="Z49" s="1596"/>
      <c r="AA49" s="1602"/>
      <c r="AB49" s="1596"/>
      <c r="AC49" s="1602"/>
      <c r="AD49" s="1602"/>
      <c r="AE49" s="1602"/>
      <c r="AF49" s="1602"/>
      <c r="AG49" s="1602"/>
      <c r="AH49" s="1603"/>
      <c r="AI49" s="1597"/>
      <c r="AJ49" s="1602"/>
      <c r="AK49" s="1602"/>
      <c r="AL49" s="1603"/>
      <c r="AM49" s="1597"/>
      <c r="AN49" s="1602"/>
      <c r="AO49" s="1602"/>
      <c r="AP49" s="2225"/>
      <c r="AQ49" s="2225"/>
      <c r="AR49" s="2225"/>
      <c r="AS49" s="2225"/>
      <c r="AT49" s="1602"/>
      <c r="AU49" s="1602"/>
      <c r="AV49" s="1602"/>
      <c r="AW49" s="1602"/>
      <c r="AX49" s="1602"/>
      <c r="AY49" s="1602"/>
      <c r="AZ49" s="1602"/>
      <c r="BA49" s="1599"/>
      <c r="BB49" s="1602"/>
      <c r="BC49" s="1602"/>
      <c r="BD49" s="1602"/>
      <c r="BE49" s="1602"/>
      <c r="BF49" s="1602"/>
      <c r="BG49" s="1602"/>
      <c r="BH49" s="1602"/>
      <c r="BI49" s="1602"/>
      <c r="BJ49" s="1602"/>
      <c r="BK49" s="1602"/>
      <c r="BL49" s="1602"/>
      <c r="BM49" s="1602"/>
      <c r="BN49" s="1602"/>
      <c r="BO49" s="1602"/>
      <c r="BP49" s="1603">
        <f t="shared" si="375"/>
        <v>44.03</v>
      </c>
      <c r="BQ49" s="1602">
        <v>44.03</v>
      </c>
      <c r="BR49" s="1602"/>
      <c r="BS49" s="1602">
        <v>1013.9</v>
      </c>
      <c r="BT49" s="1602">
        <f t="shared" si="384"/>
        <v>1013.9</v>
      </c>
      <c r="BU49" s="1602"/>
      <c r="BV49" s="1602">
        <f t="shared" si="385"/>
        <v>690.61479168098481</v>
      </c>
      <c r="BW49" s="1602">
        <f>BW48*BS50</f>
        <v>690.61479168098481</v>
      </c>
      <c r="BX49" s="1602"/>
      <c r="BY49" s="1602">
        <f>BY48*BV50</f>
        <v>722.08526112008997</v>
      </c>
      <c r="BZ49" s="1602">
        <f>BZ48*BW50</f>
        <v>722.08526112008997</v>
      </c>
      <c r="CA49" s="1602">
        <v>0</v>
      </c>
      <c r="CB49" s="3578"/>
      <c r="CC49" s="365"/>
      <c r="CD49" s="365"/>
      <c r="CE49" s="365"/>
      <c r="CF49" s="1602">
        <f>SUM(CF48*CF50)</f>
        <v>703.92958008045491</v>
      </c>
      <c r="CG49" s="1602">
        <f t="shared" ref="CG49:CH49" si="389">SUM(CG48*CG50)</f>
        <v>703.92958008045491</v>
      </c>
      <c r="CH49" s="1602">
        <f t="shared" si="389"/>
        <v>0</v>
      </c>
      <c r="CI49" s="1602">
        <f t="shared" ref="CI49" si="390">CJ49+CK49</f>
        <v>264.24</v>
      </c>
      <c r="CJ49" s="1602">
        <v>264.24</v>
      </c>
      <c r="CK49" s="1602">
        <v>0</v>
      </c>
      <c r="CL49" s="1602">
        <f t="shared" ref="CL49" si="391">CM49+CN49</f>
        <v>400.02</v>
      </c>
      <c r="CM49" s="1602">
        <v>400.02</v>
      </c>
      <c r="CN49" s="1602">
        <v>0</v>
      </c>
      <c r="CO49" s="1602">
        <f t="shared" ref="CO49" si="392">CP49+CQ49</f>
        <v>527.58000000000004</v>
      </c>
      <c r="CP49" s="1602">
        <v>527.58000000000004</v>
      </c>
      <c r="CQ49" s="1602">
        <v>0</v>
      </c>
      <c r="CR49" s="2371">
        <f t="shared" si="379"/>
        <v>822.72</v>
      </c>
      <c r="CS49" s="2371">
        <v>822.72</v>
      </c>
      <c r="CT49" s="2371">
        <v>0</v>
      </c>
      <c r="CU49" s="4101">
        <f t="shared" si="380"/>
        <v>723.67857925877763</v>
      </c>
      <c r="CV49" s="4101">
        <f t="shared" ref="CV49" si="393">SUM(CV48*CV50)</f>
        <v>723.67857925877763</v>
      </c>
      <c r="CW49" s="4101">
        <v>0</v>
      </c>
      <c r="CX49" s="2371">
        <f t="shared" si="381"/>
        <v>283.67399999999998</v>
      </c>
      <c r="CY49" s="2371">
        <v>283.67399999999998</v>
      </c>
      <c r="CZ49" s="2371">
        <v>0</v>
      </c>
      <c r="DA49" s="2371">
        <f t="shared" si="382"/>
        <v>405.065</v>
      </c>
      <c r="DB49" s="2371">
        <v>405.065</v>
      </c>
      <c r="DC49" s="2371">
        <v>0</v>
      </c>
      <c r="DD49" s="3487">
        <f t="shared" si="383"/>
        <v>527.58000000000004</v>
      </c>
      <c r="DE49" s="3487">
        <v>527.58000000000004</v>
      </c>
      <c r="DF49" s="3487">
        <v>0</v>
      </c>
    </row>
    <row r="50" spans="1:143" s="565" customFormat="1" ht="21" customHeight="1" x14ac:dyDescent="0.2">
      <c r="A50" s="3470" t="str">
        <f>A33</f>
        <v>то же в %</v>
      </c>
      <c r="B50" s="3581"/>
      <c r="C50" s="2125"/>
      <c r="D50" s="3341"/>
      <c r="E50" s="2125"/>
      <c r="F50" s="3341"/>
      <c r="G50" s="2125"/>
      <c r="H50" s="3341"/>
      <c r="I50" s="3583"/>
      <c r="J50" s="3583"/>
      <c r="K50" s="3583"/>
      <c r="L50" s="3583"/>
      <c r="M50" s="3604"/>
      <c r="N50" s="3604"/>
      <c r="O50" s="3583"/>
      <c r="P50" s="3604"/>
      <c r="Q50" s="3605"/>
      <c r="R50" s="3604"/>
      <c r="S50" s="3604"/>
      <c r="T50" s="3583"/>
      <c r="U50" s="3583"/>
      <c r="V50" s="3583"/>
      <c r="W50" s="3583"/>
      <c r="X50" s="3583"/>
      <c r="Y50" s="1602"/>
      <c r="Z50" s="1596"/>
      <c r="AA50" s="1602"/>
      <c r="AB50" s="1596"/>
      <c r="AC50" s="1602"/>
      <c r="AD50" s="1602"/>
      <c r="AE50" s="1602"/>
      <c r="AF50" s="1602"/>
      <c r="AG50" s="1602"/>
      <c r="AH50" s="1603"/>
      <c r="AI50" s="1597"/>
      <c r="AJ50" s="1602"/>
      <c r="AK50" s="1602"/>
      <c r="AL50" s="1603"/>
      <c r="AM50" s="1597"/>
      <c r="AN50" s="1602"/>
      <c r="AO50" s="1602"/>
      <c r="AP50" s="2225"/>
      <c r="AQ50" s="2225"/>
      <c r="AR50" s="2225"/>
      <c r="AS50" s="2225"/>
      <c r="AT50" s="1602"/>
      <c r="AU50" s="1602"/>
      <c r="AV50" s="1602"/>
      <c r="AW50" s="1602"/>
      <c r="AX50" s="1602"/>
      <c r="AY50" s="1602"/>
      <c r="AZ50" s="1602"/>
      <c r="BA50" s="1599"/>
      <c r="BB50" s="1602"/>
      <c r="BC50" s="1602"/>
      <c r="BD50" s="1602"/>
      <c r="BE50" s="1602"/>
      <c r="BF50" s="1602"/>
      <c r="BG50" s="1602"/>
      <c r="BH50" s="1602"/>
      <c r="BI50" s="1602"/>
      <c r="BJ50" s="1602"/>
      <c r="BK50" s="1602"/>
      <c r="BL50" s="1602"/>
      <c r="BM50" s="1602"/>
      <c r="BN50" s="1602"/>
      <c r="BO50" s="1602"/>
      <c r="BP50" s="1735">
        <f>BP49/BP48</f>
        <v>0.30184410776718995</v>
      </c>
      <c r="BQ50" s="1735">
        <f>BQ49/BQ48</f>
        <v>0.30184410776718995</v>
      </c>
      <c r="BR50" s="1602"/>
      <c r="BS50" s="1735">
        <f>BS49/BS48</f>
        <v>0.30099450794122012</v>
      </c>
      <c r="BT50" s="1735">
        <f t="shared" ref="BT50:BW50" si="394">BT49/BT48</f>
        <v>0.30099450794122012</v>
      </c>
      <c r="BU50" s="1735">
        <v>0</v>
      </c>
      <c r="BV50" s="1735">
        <f t="shared" si="394"/>
        <v>0.30099450794122012</v>
      </c>
      <c r="BW50" s="1735">
        <f t="shared" si="394"/>
        <v>0.30099450794122012</v>
      </c>
      <c r="BX50" s="1735">
        <v>0</v>
      </c>
      <c r="BY50" s="1735">
        <f>SUM(BP50)</f>
        <v>0.30184410776718995</v>
      </c>
      <c r="BZ50" s="1735">
        <f>SUM(BY50)</f>
        <v>0.30184410776718995</v>
      </c>
      <c r="CA50" s="1735">
        <v>0</v>
      </c>
      <c r="CB50" s="3578"/>
      <c r="CC50" s="365"/>
      <c r="CD50" s="365"/>
      <c r="CE50" s="365"/>
      <c r="CF50" s="1735">
        <f>SUM(BW50)</f>
        <v>0.30099450794122012</v>
      </c>
      <c r="CG50" s="1735">
        <f>SUM(CF50)</f>
        <v>0.30099450794122012</v>
      </c>
      <c r="CH50" s="1735">
        <v>0</v>
      </c>
      <c r="CI50" s="1604">
        <f>SUM(CI49/CI48)</f>
        <v>0.30171616483403557</v>
      </c>
      <c r="CJ50" s="1604">
        <f t="shared" ref="CJ50" si="395">SUM(CJ49/CJ48)</f>
        <v>0.30171616483403557</v>
      </c>
      <c r="CK50" s="1604">
        <v>0</v>
      </c>
      <c r="CL50" s="1604">
        <f t="shared" ref="CL50" si="396">SUM(CL49/CL48)</f>
        <v>0.30129474944828155</v>
      </c>
      <c r="CM50" s="1604">
        <f t="shared" ref="CM50" si="397">SUM(CM49/CM48)</f>
        <v>0.30129474944828155</v>
      </c>
      <c r="CN50" s="1604">
        <v>0</v>
      </c>
      <c r="CO50" s="1604">
        <f t="shared" ref="CO50" si="398">SUM(CO49/CO48)</f>
        <v>0.30488728104899998</v>
      </c>
      <c r="CP50" s="1604">
        <f t="shared" ref="CP50" si="399">SUM(CP49/CP48)</f>
        <v>0.30488728104899998</v>
      </c>
      <c r="CQ50" s="1604">
        <v>0</v>
      </c>
      <c r="CR50" s="3651">
        <f t="shared" ref="CR50:CS50" si="400">SUM(CR49/CR48)</f>
        <v>0.30099929884654342</v>
      </c>
      <c r="CS50" s="3651">
        <f t="shared" si="400"/>
        <v>0.30099929884654342</v>
      </c>
      <c r="CT50" s="3651">
        <v>0</v>
      </c>
      <c r="CU50" s="4102">
        <f>SUM(BV50)</f>
        <v>0.30099450794122012</v>
      </c>
      <c r="CV50" s="4102">
        <f t="shared" ref="CV50:CW50" si="401">SUM(BW50)</f>
        <v>0.30099450794122012</v>
      </c>
      <c r="CW50" s="4102">
        <f t="shared" si="401"/>
        <v>0</v>
      </c>
      <c r="CX50" s="3651">
        <f>SUM(CX49/CX48)</f>
        <v>0.30110177047509867</v>
      </c>
      <c r="CY50" s="3651">
        <f t="shared" ref="CY50" si="402">SUM(CY49/CY48)</f>
        <v>0.30110177047509867</v>
      </c>
      <c r="CZ50" s="3651">
        <v>0</v>
      </c>
      <c r="DA50" s="3651">
        <f t="shared" ref="DA50:DB50" si="403">SUM(DA49/DA48)</f>
        <v>0.30026389331593811</v>
      </c>
      <c r="DB50" s="3651">
        <f t="shared" si="403"/>
        <v>0.30026389331593811</v>
      </c>
      <c r="DC50" s="3651">
        <v>0</v>
      </c>
      <c r="DD50" s="3733">
        <f t="shared" ref="DD50:DE50" si="404">SUM(DD49/DD48)</f>
        <v>87.93</v>
      </c>
      <c r="DE50" s="3733">
        <f t="shared" si="404"/>
        <v>87.93</v>
      </c>
      <c r="DF50" s="3733">
        <v>0</v>
      </c>
    </row>
    <row r="51" spans="1:143" s="565" customFormat="1" ht="21" customHeight="1" x14ac:dyDescent="0.2">
      <c r="A51" s="3466" t="s">
        <v>6</v>
      </c>
      <c r="B51" s="3581"/>
      <c r="C51" s="2125"/>
      <c r="D51" s="3341"/>
      <c r="E51" s="2125"/>
      <c r="F51" s="3341"/>
      <c r="G51" s="2125"/>
      <c r="H51" s="3341"/>
      <c r="I51" s="3583"/>
      <c r="J51" s="3583"/>
      <c r="K51" s="3583"/>
      <c r="L51" s="3583"/>
      <c r="M51" s="3604"/>
      <c r="N51" s="3604"/>
      <c r="O51" s="3583"/>
      <c r="P51" s="3604"/>
      <c r="Q51" s="3605"/>
      <c r="R51" s="3604"/>
      <c r="S51" s="3604"/>
      <c r="T51" s="3583"/>
      <c r="U51" s="3583"/>
      <c r="V51" s="3583"/>
      <c r="W51" s="3583"/>
      <c r="X51" s="3583"/>
      <c r="Y51" s="1602"/>
      <c r="Z51" s="1596"/>
      <c r="AA51" s="1602"/>
      <c r="AB51" s="1596"/>
      <c r="AC51" s="1602"/>
      <c r="AD51" s="1602"/>
      <c r="AE51" s="1602"/>
      <c r="AF51" s="1602"/>
      <c r="AG51" s="1602"/>
      <c r="AH51" s="1603"/>
      <c r="AI51" s="1597"/>
      <c r="AJ51" s="1602"/>
      <c r="AK51" s="1602"/>
      <c r="AL51" s="1603"/>
      <c r="AM51" s="1597"/>
      <c r="AN51" s="1602"/>
      <c r="AO51" s="1602"/>
      <c r="AP51" s="2225"/>
      <c r="AQ51" s="2225"/>
      <c r="AR51" s="2225"/>
      <c r="AS51" s="2225"/>
      <c r="AT51" s="1602"/>
      <c r="AU51" s="1602"/>
      <c r="AV51" s="1602"/>
      <c r="AW51" s="1602"/>
      <c r="AX51" s="1602"/>
      <c r="AY51" s="1602"/>
      <c r="AZ51" s="1602"/>
      <c r="BA51" s="1599"/>
      <c r="BB51" s="1602"/>
      <c r="BC51" s="1602"/>
      <c r="BD51" s="1602"/>
      <c r="BE51" s="1602"/>
      <c r="BF51" s="1602"/>
      <c r="BG51" s="1602"/>
      <c r="BH51" s="1602"/>
      <c r="BI51" s="1602"/>
      <c r="BJ51" s="1602"/>
      <c r="BK51" s="1602"/>
      <c r="BL51" s="1602"/>
      <c r="BM51" s="1602"/>
      <c r="BN51" s="1602"/>
      <c r="BO51" s="1602"/>
      <c r="BP51" s="1603">
        <f t="shared" si="375"/>
        <v>40.176000000000002</v>
      </c>
      <c r="BQ51" s="1602">
        <v>40.176000000000002</v>
      </c>
      <c r="BR51" s="1602"/>
      <c r="BS51" s="1735"/>
      <c r="BT51" s="1735"/>
      <c r="BU51" s="1735"/>
      <c r="BV51" s="1735"/>
      <c r="BW51" s="1735"/>
      <c r="BX51" s="1735"/>
      <c r="BY51" s="1735"/>
      <c r="BZ51" s="1735"/>
      <c r="CA51" s="1735"/>
      <c r="CB51" s="3578"/>
      <c r="CC51" s="365"/>
      <c r="CD51" s="365"/>
      <c r="CE51" s="365"/>
      <c r="CF51" s="1735"/>
      <c r="CG51" s="1735"/>
      <c r="CH51" s="1735"/>
      <c r="CI51" s="1735"/>
      <c r="CJ51" s="1735"/>
      <c r="CK51" s="1735"/>
      <c r="CL51" s="1735"/>
      <c r="CM51" s="1735"/>
      <c r="CN51" s="1735"/>
      <c r="CO51" s="1735"/>
      <c r="CP51" s="1735"/>
      <c r="CQ51" s="1735"/>
      <c r="CR51" s="3652"/>
      <c r="CS51" s="3652"/>
      <c r="CT51" s="3652"/>
      <c r="CU51" s="4132"/>
      <c r="CV51" s="4132"/>
      <c r="CW51" s="4132"/>
      <c r="CX51" s="3652"/>
      <c r="CY51" s="3652"/>
      <c r="CZ51" s="3652"/>
      <c r="DA51" s="4032"/>
      <c r="DB51" s="4032"/>
      <c r="DC51" s="4032"/>
      <c r="DD51" s="4028"/>
      <c r="DE51" s="4028"/>
      <c r="DF51" s="4028"/>
    </row>
    <row r="52" spans="1:143" s="2219" customFormat="1" ht="21" customHeight="1" x14ac:dyDescent="0.2">
      <c r="A52" s="3610" t="s">
        <v>10</v>
      </c>
      <c r="B52" s="2652">
        <v>1494.1</v>
      </c>
      <c r="C52" s="3611">
        <v>1404.8</v>
      </c>
      <c r="D52" s="3341">
        <f>C52/B52*100</f>
        <v>94.02315775383174</v>
      </c>
      <c r="E52" s="3611">
        <v>1410.5</v>
      </c>
      <c r="F52" s="1743">
        <f>E52/C52*100</f>
        <v>100.40575170842826</v>
      </c>
      <c r="G52" s="3611">
        <v>1428.5</v>
      </c>
      <c r="H52" s="3341">
        <f t="shared" si="31"/>
        <v>101.27614321162707</v>
      </c>
      <c r="I52" s="3584">
        <f>SUM(I53:I55)</f>
        <v>1137.367</v>
      </c>
      <c r="J52" s="3584">
        <v>677.2</v>
      </c>
      <c r="K52" s="3584">
        <v>1258.5</v>
      </c>
      <c r="L52" s="3584">
        <v>1566.1</v>
      </c>
      <c r="M52" s="3614">
        <f t="shared" si="32"/>
        <v>137.6952206279943</v>
      </c>
      <c r="N52" s="3604">
        <f t="shared" si="33"/>
        <v>109.63248162408119</v>
      </c>
      <c r="O52" s="3584">
        <v>1885.8</v>
      </c>
      <c r="P52" s="3604">
        <f t="shared" si="34"/>
        <v>165.80400169866013</v>
      </c>
      <c r="Q52" s="3615">
        <f>SUM(Q53:Q56)</f>
        <v>3665.1</v>
      </c>
      <c r="R52" s="3584">
        <f t="shared" ref="R52:AO52" si="405">SUM(R53:R56)</f>
        <v>185.27161278777811</v>
      </c>
      <c r="S52" s="3584">
        <f t="shared" si="405"/>
        <v>0</v>
      </c>
      <c r="T52" s="3584" t="e">
        <f t="shared" si="405"/>
        <v>#REF!</v>
      </c>
      <c r="U52" s="3584" t="e">
        <f t="shared" si="405"/>
        <v>#REF!</v>
      </c>
      <c r="V52" s="3584" t="e">
        <f t="shared" si="405"/>
        <v>#REF!</v>
      </c>
      <c r="W52" s="3584">
        <f t="shared" si="405"/>
        <v>0</v>
      </c>
      <c r="X52" s="3584">
        <f t="shared" si="405"/>
        <v>0</v>
      </c>
      <c r="Y52" s="1606">
        <f t="shared" si="405"/>
        <v>4337.3</v>
      </c>
      <c r="Z52" s="1596">
        <f t="shared" si="35"/>
        <v>1.1834056369539714</v>
      </c>
      <c r="AA52" s="1606" t="e">
        <f t="shared" si="405"/>
        <v>#REF!</v>
      </c>
      <c r="AB52" s="1596" t="e">
        <f t="shared" si="1"/>
        <v>#REF!</v>
      </c>
      <c r="AC52" s="1606" t="e">
        <f t="shared" si="405"/>
        <v>#REF!</v>
      </c>
      <c r="AD52" s="1606" t="e">
        <f t="shared" si="405"/>
        <v>#REF!</v>
      </c>
      <c r="AE52" s="1606">
        <f>SUM(AE53:AE56)</f>
        <v>4024.3500000000004</v>
      </c>
      <c r="AF52" s="1606">
        <f>SUM(AF53:AF56)</f>
        <v>3976.8345704382273</v>
      </c>
      <c r="AG52" s="1606">
        <f>SUM(AG53:AG56)</f>
        <v>47.515429561772656</v>
      </c>
      <c r="AH52" s="1595">
        <f t="shared" si="37"/>
        <v>3223.45</v>
      </c>
      <c r="AI52" s="1597" t="e">
        <f t="shared" si="38"/>
        <v>#REF!</v>
      </c>
      <c r="AJ52" s="1606">
        <f t="shared" si="405"/>
        <v>3186.56</v>
      </c>
      <c r="AK52" s="1606">
        <f t="shared" si="405"/>
        <v>36.89</v>
      </c>
      <c r="AL52" s="1595" t="e">
        <f t="shared" si="39"/>
        <v>#REF!</v>
      </c>
      <c r="AM52" s="1597" t="e">
        <f t="shared" si="40"/>
        <v>#REF!</v>
      </c>
      <c r="AN52" s="1606" t="e">
        <f t="shared" si="405"/>
        <v>#REF!</v>
      </c>
      <c r="AO52" s="1606">
        <f t="shared" si="405"/>
        <v>36.598383401633441</v>
      </c>
      <c r="AP52" s="1598" t="e">
        <f t="shared" si="41"/>
        <v>#REF!</v>
      </c>
      <c r="AQ52" s="1598" t="e">
        <f t="shared" si="317"/>
        <v>#REF!</v>
      </c>
      <c r="AR52" s="1598" t="e">
        <f t="shared" si="42"/>
        <v>#REF!</v>
      </c>
      <c r="AS52" s="1598" t="e">
        <f t="shared" si="303"/>
        <v>#REF!</v>
      </c>
      <c r="AT52" s="1606">
        <f t="shared" ref="AT52:AZ52" si="406">SUM(AT53:AT56)</f>
        <v>917.55000000000007</v>
      </c>
      <c r="AU52" s="1606">
        <f t="shared" si="406"/>
        <v>911.23472177565213</v>
      </c>
      <c r="AV52" s="1606">
        <f t="shared" si="406"/>
        <v>6.3152782243478924</v>
      </c>
      <c r="AW52" s="1606">
        <f t="shared" si="406"/>
        <v>4009.77</v>
      </c>
      <c r="AX52" s="1606">
        <f t="shared" si="406"/>
        <v>3990.45</v>
      </c>
      <c r="AY52" s="1606">
        <f t="shared" si="406"/>
        <v>19.32</v>
      </c>
      <c r="AZ52" s="1606">
        <f t="shared" si="406"/>
        <v>4420.8999999999996</v>
      </c>
      <c r="BA52" s="1599" t="e">
        <f t="shared" si="48"/>
        <v>#REF!</v>
      </c>
      <c r="BB52" s="1606">
        <f>SUM(BB53:BB56)</f>
        <v>4381.0563420773306</v>
      </c>
      <c r="BC52" s="1606">
        <f>SUM(BC53:BC56)</f>
        <v>39.843657922669166</v>
      </c>
      <c r="BD52" s="1606">
        <f>SUM(BD53:BD56)</f>
        <v>3154.5307358921218</v>
      </c>
      <c r="BE52" s="1606">
        <f t="shared" ref="BE52:BL52" si="407">SUM(BE53:BE56)</f>
        <v>3136.7529139804451</v>
      </c>
      <c r="BF52" s="1606">
        <f t="shared" si="407"/>
        <v>17.777821911676497</v>
      </c>
      <c r="BG52" s="1606">
        <f t="shared" si="407"/>
        <v>4091.95</v>
      </c>
      <c r="BH52" s="1606">
        <f t="shared" si="407"/>
        <v>4089.2000000000003</v>
      </c>
      <c r="BI52" s="1606">
        <f t="shared" si="407"/>
        <v>2.75</v>
      </c>
      <c r="BJ52" s="1606">
        <f t="shared" si="407"/>
        <v>4236.59</v>
      </c>
      <c r="BK52" s="1606">
        <f t="shared" si="407"/>
        <v>4234.54</v>
      </c>
      <c r="BL52" s="1606">
        <f t="shared" si="407"/>
        <v>2.0500000000000003</v>
      </c>
      <c r="BM52" s="1606">
        <f>SUM(BM53:BM56)</f>
        <v>3523.82</v>
      </c>
      <c r="BN52" s="1606">
        <f t="shared" ref="BN52:BO52" si="408">SUM(BN53:BN56)</f>
        <v>3502.9300000000003</v>
      </c>
      <c r="BO52" s="1606">
        <f t="shared" si="408"/>
        <v>20.89</v>
      </c>
      <c r="BP52" s="1606">
        <f>SUM(BP53:BP56)</f>
        <v>4718.3</v>
      </c>
      <c r="BQ52" s="1606">
        <f t="shared" ref="BQ52:BR52" si="409">SUM(BQ53:BQ56)</f>
        <v>4716.59</v>
      </c>
      <c r="BR52" s="1606">
        <f t="shared" si="409"/>
        <v>1.71</v>
      </c>
      <c r="BS52" s="1606">
        <f>SUM(BS53:BS57)</f>
        <v>7289.78</v>
      </c>
      <c r="BT52" s="1606">
        <f t="shared" ref="BT52:BU52" si="410">SUM(BT53:BT57)</f>
        <v>7286.05</v>
      </c>
      <c r="BU52" s="1606">
        <f t="shared" si="410"/>
        <v>3.73</v>
      </c>
      <c r="BV52" s="1606">
        <f t="shared" ref="BV52:CA52" si="411">SUM(BV53:BV57)</f>
        <v>6648.9677381678157</v>
      </c>
      <c r="BW52" s="1606">
        <f t="shared" si="411"/>
        <v>6646.6681943163603</v>
      </c>
      <c r="BX52" s="1606">
        <f t="shared" si="411"/>
        <v>2.2995438514545756</v>
      </c>
      <c r="BY52" s="1606">
        <f t="shared" si="411"/>
        <v>8049.6994632278365</v>
      </c>
      <c r="BZ52" s="1606">
        <f t="shared" si="411"/>
        <v>8047.3436809562545</v>
      </c>
      <c r="CA52" s="1606">
        <f t="shared" si="411"/>
        <v>2.3557822715825516</v>
      </c>
      <c r="CB52" s="3618" t="s">
        <v>241</v>
      </c>
      <c r="CC52" s="365"/>
      <c r="CD52" s="365"/>
      <c r="CE52" s="365"/>
      <c r="CF52" s="1606">
        <f t="shared" ref="CF52:CH52" si="412">SUM(CF53:CF57)</f>
        <v>6445.1921967693988</v>
      </c>
      <c r="CG52" s="1606">
        <f t="shared" si="412"/>
        <v>6443.3212990978163</v>
      </c>
      <c r="CH52" s="1606">
        <f t="shared" si="412"/>
        <v>1.8708976715825516</v>
      </c>
      <c r="CI52" s="1606">
        <f t="shared" ref="CI52:CK52" si="413">SUM(CI53:CI57)</f>
        <v>3177.0067785000001</v>
      </c>
      <c r="CJ52" s="1606">
        <f t="shared" si="413"/>
        <v>3177.0067785000001</v>
      </c>
      <c r="CK52" s="1606">
        <f t="shared" si="413"/>
        <v>0</v>
      </c>
      <c r="CL52" s="1606">
        <f t="shared" ref="CL52:CN52" si="414">SUM(CL53:CL57)</f>
        <v>4766.0355731699992</v>
      </c>
      <c r="CM52" s="1606">
        <f t="shared" si="414"/>
        <v>4766.0355731699992</v>
      </c>
      <c r="CN52" s="1606">
        <f t="shared" si="414"/>
        <v>0</v>
      </c>
      <c r="CO52" s="1606">
        <f t="shared" ref="CO52:CQ52" si="415">SUM(CO53:CO57)</f>
        <v>6354.3249378799992</v>
      </c>
      <c r="CP52" s="1606">
        <f t="shared" si="415"/>
        <v>6354.3249378799992</v>
      </c>
      <c r="CQ52" s="1606">
        <f t="shared" si="415"/>
        <v>0</v>
      </c>
      <c r="CR52" s="2374">
        <f t="shared" ref="CR52:CT52" si="416">SUM(CR53:CR57)</f>
        <v>7775.3079739999994</v>
      </c>
      <c r="CS52" s="2374">
        <f t="shared" si="416"/>
        <v>7774.0937539999995</v>
      </c>
      <c r="CT52" s="2374">
        <f t="shared" si="416"/>
        <v>1.2142200000000001</v>
      </c>
      <c r="CU52" s="4103">
        <f t="shared" ref="CU52:CW52" si="417">SUM(CU53:CU57)</f>
        <v>5070.8663199999992</v>
      </c>
      <c r="CV52" s="4103">
        <f t="shared" si="417"/>
        <v>5070.1323199999997</v>
      </c>
      <c r="CW52" s="4103">
        <f t="shared" si="417"/>
        <v>0.73399999999999999</v>
      </c>
      <c r="CX52" s="2374">
        <f t="shared" ref="CX52:DF52" si="418">SUM(CX53:CX57)</f>
        <v>2537.2637800000002</v>
      </c>
      <c r="CY52" s="2374">
        <f t="shared" si="418"/>
        <v>2537.2637800000002</v>
      </c>
      <c r="CZ52" s="2374">
        <f t="shared" si="418"/>
        <v>0</v>
      </c>
      <c r="DA52" s="2374">
        <f t="shared" si="418"/>
        <v>4227.7289609999998</v>
      </c>
      <c r="DB52" s="2374">
        <f t="shared" si="418"/>
        <v>4227.7289609999998</v>
      </c>
      <c r="DC52" s="2374">
        <f t="shared" si="418"/>
        <v>0</v>
      </c>
      <c r="DD52" s="3489">
        <f t="shared" si="418"/>
        <v>3048.754937879999</v>
      </c>
      <c r="DE52" s="3489">
        <f t="shared" si="418"/>
        <v>3048.754937879999</v>
      </c>
      <c r="DF52" s="3489">
        <f t="shared" si="418"/>
        <v>0</v>
      </c>
    </row>
    <row r="53" spans="1:143" ht="21" customHeight="1" x14ac:dyDescent="0.2">
      <c r="A53" s="3470" t="s">
        <v>829</v>
      </c>
      <c r="B53" s="3350"/>
      <c r="C53" s="3341"/>
      <c r="D53" s="3341"/>
      <c r="E53" s="3341"/>
      <c r="F53" s="1743"/>
      <c r="G53" s="1743"/>
      <c r="H53" s="3341"/>
      <c r="I53" s="3604">
        <v>995.76700000000005</v>
      </c>
      <c r="J53" s="3604"/>
      <c r="K53" s="3604">
        <v>1206</v>
      </c>
      <c r="L53" s="3604">
        <v>1608</v>
      </c>
      <c r="M53" s="3614">
        <f t="shared" si="32"/>
        <v>161.48355990909519</v>
      </c>
      <c r="N53" s="3604"/>
      <c r="O53" s="3604">
        <v>1768.8</v>
      </c>
      <c r="P53" s="3604">
        <f t="shared" si="34"/>
        <v>177.63191590000471</v>
      </c>
      <c r="Q53" s="3619">
        <v>1022.1</v>
      </c>
      <c r="R53" s="3604">
        <f t="shared" si="43"/>
        <v>102.64449414371033</v>
      </c>
      <c r="S53" s="3604"/>
      <c r="T53" s="3583" t="e">
        <f>Q53/Q79*T79</f>
        <v>#REF!</v>
      </c>
      <c r="U53" s="3583" t="e">
        <f>Q53-T53</f>
        <v>#REF!</v>
      </c>
      <c r="V53" s="3583">
        <v>1206</v>
      </c>
      <c r="W53" s="3583"/>
      <c r="X53" s="3583"/>
      <c r="Y53" s="1602">
        <v>1688.4</v>
      </c>
      <c r="Z53" s="1596">
        <f t="shared" si="35"/>
        <v>1.6518931611388319</v>
      </c>
      <c r="AA53" s="1602" t="e">
        <f>Q53*(объемы!G39/объемы!#REF!)</f>
        <v>#REF!</v>
      </c>
      <c r="AB53" s="1596" t="e">
        <f t="shared" si="1"/>
        <v>#REF!</v>
      </c>
      <c r="AC53" s="1602" t="e">
        <f>$AC$79/$AA$79*AA53</f>
        <v>#REF!</v>
      </c>
      <c r="AD53" s="1602" t="e">
        <f t="shared" si="46"/>
        <v>#REF!</v>
      </c>
      <c r="AE53" s="1602">
        <v>1608</v>
      </c>
      <c r="AF53" s="1602">
        <f>AF79/AE79*AE53</f>
        <v>1588.1737063629612</v>
      </c>
      <c r="AG53" s="1602">
        <f>AE53-AF53</f>
        <v>19.826293637038816</v>
      </c>
      <c r="AH53" s="1603">
        <f t="shared" si="37"/>
        <v>777.31000000000006</v>
      </c>
      <c r="AI53" s="1597" t="e">
        <f t="shared" si="38"/>
        <v>#REF!</v>
      </c>
      <c r="AJ53" s="1602">
        <v>768.46</v>
      </c>
      <c r="AK53" s="1602">
        <v>8.85</v>
      </c>
      <c r="AL53" s="1603">
        <f t="shared" si="39"/>
        <v>777.30736823713823</v>
      </c>
      <c r="AM53" s="1597" t="e">
        <f t="shared" si="40"/>
        <v>#REF!</v>
      </c>
      <c r="AN53" s="1602">
        <f>вод.налог!D26*AN79/(AN79+AO79)</f>
        <v>768.45898483550479</v>
      </c>
      <c r="AO53" s="1602">
        <f>вод.налог!D26-вода!AN53</f>
        <v>8.8483834016334413</v>
      </c>
      <c r="AP53" s="1598" t="e">
        <f t="shared" si="41"/>
        <v>#REF!</v>
      </c>
      <c r="AQ53" s="1598" t="e">
        <f t="shared" si="317"/>
        <v>#REF!</v>
      </c>
      <c r="AR53" s="1598" t="e">
        <f t="shared" si="42"/>
        <v>#REF!</v>
      </c>
      <c r="AS53" s="1598" t="e">
        <f t="shared" si="303"/>
        <v>#REF!</v>
      </c>
      <c r="AT53" s="1602">
        <v>872.97</v>
      </c>
      <c r="AU53" s="1602">
        <f>AT53*AU79/(AU79+AV79)</f>
        <v>866.96155530324347</v>
      </c>
      <c r="AV53" s="1602">
        <f>SUM(AT53-AU53)</f>
        <v>6.0084446967565555</v>
      </c>
      <c r="AW53" s="1602">
        <f>AX53+AY53</f>
        <v>1745.8500000000001</v>
      </c>
      <c r="AX53" s="1602">
        <v>1737.44</v>
      </c>
      <c r="AY53" s="1602">
        <v>8.41</v>
      </c>
      <c r="AZ53" s="1602">
        <v>2004.55</v>
      </c>
      <c r="BA53" s="1599">
        <f t="shared" ref="BA53" si="419">SUM(AZ53/AL53)</f>
        <v>2.5788382844564248</v>
      </c>
      <c r="BB53" s="1602">
        <f>AZ53*BB79/(BB79+BC79)</f>
        <v>1993.8441044028666</v>
      </c>
      <c r="BC53" s="1602">
        <f>SUM(AZ53-BB53)</f>
        <v>10.705895597133349</v>
      </c>
      <c r="BD53" s="1602">
        <f>BE53+BF53</f>
        <v>1193.4749305587886</v>
      </c>
      <c r="BE53" s="1602">
        <f>вод.налог!D36</f>
        <v>1186.1707105587886</v>
      </c>
      <c r="BF53" s="1602">
        <f>0.341*BF79</f>
        <v>7.3042200000000008</v>
      </c>
      <c r="BG53" s="1602">
        <f t="shared" si="49"/>
        <v>2004.55</v>
      </c>
      <c r="BH53" s="1602">
        <v>2003.2</v>
      </c>
      <c r="BI53" s="1602">
        <v>1.35</v>
      </c>
      <c r="BJ53" s="1602">
        <f t="shared" ref="BJ53:BJ58" si="420">BK53+BL53</f>
        <v>2304.7199999999998</v>
      </c>
      <c r="BK53" s="1602">
        <v>2303.6</v>
      </c>
      <c r="BL53" s="1602">
        <v>1.1200000000000001</v>
      </c>
      <c r="BM53" s="1603">
        <f t="shared" ref="BM53:BM56" si="421">SUM(BN53+BO53)</f>
        <v>1436.42</v>
      </c>
      <c r="BN53" s="1602">
        <v>1426.75</v>
      </c>
      <c r="BO53" s="1602">
        <v>9.67</v>
      </c>
      <c r="BP53" s="1603">
        <f t="shared" ref="BP53:BP57" si="422">SUM(BQ53+BR53)</f>
        <v>2652</v>
      </c>
      <c r="BQ53" s="1602">
        <v>2651.04</v>
      </c>
      <c r="BR53" s="1602">
        <v>0.96</v>
      </c>
      <c r="BS53" s="1602">
        <f t="shared" ref="BS53:BS58" si="423">BT53+BU53</f>
        <v>2304.7199999999998</v>
      </c>
      <c r="BT53" s="1602">
        <v>2303.6</v>
      </c>
      <c r="BU53" s="1602">
        <v>1.1200000000000001</v>
      </c>
      <c r="BV53" s="1602">
        <f>вод.налог!M70</f>
        <v>1827.8817929780155</v>
      </c>
      <c r="BW53" s="1602">
        <f>вод.налог!M73</f>
        <v>1826.9639063780155</v>
      </c>
      <c r="BX53" s="1602">
        <f>вод.налог!M72</f>
        <v>0.91788659999999989</v>
      </c>
      <c r="BY53" s="1602">
        <f>SUM(вод.налог!AH70)</f>
        <v>3506.5972664584369</v>
      </c>
      <c r="BZ53" s="1602">
        <f>SUM(вод.налог!AH73)</f>
        <v>3505.5423818584377</v>
      </c>
      <c r="CA53" s="1602">
        <f>SUM(вод.налог!AH72)</f>
        <v>1.0548846000000001</v>
      </c>
      <c r="CB53" s="3618" t="s">
        <v>963</v>
      </c>
      <c r="CC53" s="365"/>
      <c r="CD53" s="365"/>
      <c r="CE53" s="365"/>
      <c r="CF53" s="1602">
        <f>SUM(CG53:CH53)</f>
        <v>1902.09</v>
      </c>
      <c r="CG53" s="1602">
        <f>SUM('Н 2019-2024'!T10)</f>
        <v>1901.52</v>
      </c>
      <c r="CH53" s="1602">
        <f>SUM('Н 2019-2024'!T19)</f>
        <v>0.56999999999999995</v>
      </c>
      <c r="CI53" s="1602">
        <f>SUM(CJ53:CK53)</f>
        <v>1524.3667784999998</v>
      </c>
      <c r="CJ53" s="1602">
        <f>SUM(вод.налог!AN73+вод.налог!AN72)</f>
        <v>1524.3667784999998</v>
      </c>
      <c r="CK53" s="1602">
        <v>0</v>
      </c>
      <c r="CL53" s="1602">
        <f>SUM(CM53:CN53)</f>
        <v>2286.565573169999</v>
      </c>
      <c r="CM53" s="1602">
        <f>SUM(вод.налог!AQ73+вод.налог!AQ72)</f>
        <v>2286.565573169999</v>
      </c>
      <c r="CN53" s="1602">
        <v>0</v>
      </c>
      <c r="CO53" s="1602">
        <f>SUM(CP53:CQ53)</f>
        <v>3048.7609378799993</v>
      </c>
      <c r="CP53" s="1602">
        <f>SUM(вод.налог!AT70)-0.003</f>
        <v>3048.7609378799993</v>
      </c>
      <c r="CQ53" s="1602">
        <v>0</v>
      </c>
      <c r="CR53" s="2371">
        <f>SUM(CS53:CT53)</f>
        <v>4461.8279739999998</v>
      </c>
      <c r="CS53" s="2371">
        <f>SUM(вод.налог!AW73)</f>
        <v>4460.613754</v>
      </c>
      <c r="CT53" s="2371">
        <f>SUM(вод.налог!AW72)</f>
        <v>1.2142200000000001</v>
      </c>
      <c r="CU53" s="4101">
        <f>SUM(CV53:CW53)</f>
        <v>2468.9839999999999</v>
      </c>
      <c r="CV53" s="4101">
        <f>SUM(вод.налог!AZ73)</f>
        <v>2468.25</v>
      </c>
      <c r="CW53" s="4101">
        <f>SUM(вод.налог!AZ72)</f>
        <v>0.73399999999999999</v>
      </c>
      <c r="CX53" s="2371">
        <f>SUM(CY53:CZ53)</f>
        <v>898.33178000000021</v>
      </c>
      <c r="CY53" s="2371">
        <f>SUM(вод.налог!BC73+вод.налог!BC72)</f>
        <v>898.33178000000021</v>
      </c>
      <c r="CZ53" s="2371">
        <v>0</v>
      </c>
      <c r="DA53" s="2371">
        <f>SUM(DB53:DC53)</f>
        <v>1773.6949609999999</v>
      </c>
      <c r="DB53" s="2371">
        <f>SUM(вод.налог!BF72+вод.налог!BF73)</f>
        <v>1773.6949609999999</v>
      </c>
      <c r="DC53" s="2371">
        <v>0</v>
      </c>
      <c r="DD53" s="3487">
        <f>SUM(DE53:DF53)</f>
        <v>3048.7609378799993</v>
      </c>
      <c r="DE53" s="3487">
        <f>SUM(вод.налог!BI70)-0.003</f>
        <v>3048.7609378799993</v>
      </c>
      <c r="DF53" s="3487">
        <v>0</v>
      </c>
    </row>
    <row r="54" spans="1:143" ht="21" customHeight="1" x14ac:dyDescent="0.2">
      <c r="A54" s="3470" t="s">
        <v>524</v>
      </c>
      <c r="B54" s="3350"/>
      <c r="C54" s="3341"/>
      <c r="D54" s="3341"/>
      <c r="E54" s="3341"/>
      <c r="F54" s="1743"/>
      <c r="G54" s="1743"/>
      <c r="H54" s="3341"/>
      <c r="I54" s="3604">
        <v>141.6</v>
      </c>
      <c r="J54" s="3604"/>
      <c r="K54" s="3604">
        <v>52.5</v>
      </c>
      <c r="L54" s="3604">
        <v>86.5</v>
      </c>
      <c r="M54" s="3614">
        <f t="shared" si="32"/>
        <v>61.087570621468934</v>
      </c>
      <c r="N54" s="3604"/>
      <c r="O54" s="3604">
        <v>117</v>
      </c>
      <c r="P54" s="3604">
        <f t="shared" si="34"/>
        <v>82.627118644067792</v>
      </c>
      <c r="Q54" s="3619">
        <v>117</v>
      </c>
      <c r="R54" s="3604">
        <f t="shared" si="43"/>
        <v>82.627118644067792</v>
      </c>
      <c r="S54" s="3604"/>
      <c r="T54" s="3583" t="e">
        <f>Q54/Q79*T79</f>
        <v>#REF!</v>
      </c>
      <c r="U54" s="3583" t="e">
        <f>Q54-T54</f>
        <v>#REF!</v>
      </c>
      <c r="V54" s="3583">
        <v>92.8</v>
      </c>
      <c r="W54" s="3583"/>
      <c r="X54" s="3583"/>
      <c r="Y54" s="1602">
        <v>122.9</v>
      </c>
      <c r="Z54" s="1596">
        <f t="shared" si="35"/>
        <v>1.0504273504273505</v>
      </c>
      <c r="AA54" s="1602">
        <f>Y54</f>
        <v>122.9</v>
      </c>
      <c r="AB54" s="1596">
        <f t="shared" si="1"/>
        <v>1.0504273504273505</v>
      </c>
      <c r="AC54" s="1602" t="e">
        <f>$AC$79/$AA$79*AA54</f>
        <v>#REF!</v>
      </c>
      <c r="AD54" s="1602">
        <v>1.21</v>
      </c>
      <c r="AE54" s="1602">
        <v>93.2</v>
      </c>
      <c r="AF54" s="1602">
        <f>AF79/AE79*AE54</f>
        <v>92.050864075266162</v>
      </c>
      <c r="AG54" s="1602">
        <f>AE54-AF54</f>
        <v>1.1491359247338409</v>
      </c>
      <c r="AH54" s="1603">
        <f t="shared" si="37"/>
        <v>123</v>
      </c>
      <c r="AI54" s="1597">
        <f t="shared" si="38"/>
        <v>1.000813669650122</v>
      </c>
      <c r="AJ54" s="1602">
        <v>121.5</v>
      </c>
      <c r="AK54" s="1602">
        <v>1.5</v>
      </c>
      <c r="AL54" s="1603" t="e">
        <f t="shared" si="39"/>
        <v>#REF!</v>
      </c>
      <c r="AM54" s="1597" t="e">
        <f t="shared" si="40"/>
        <v>#REF!</v>
      </c>
      <c r="AN54" s="1602" t="e">
        <f>AC54</f>
        <v>#REF!</v>
      </c>
      <c r="AO54" s="1602">
        <f>AD54</f>
        <v>1.21</v>
      </c>
      <c r="AP54" s="1598">
        <f t="shared" si="41"/>
        <v>0</v>
      </c>
      <c r="AQ54" s="1598" t="e">
        <f t="shared" si="317"/>
        <v>#REF!</v>
      </c>
      <c r="AR54" s="1598" t="e">
        <f t="shared" si="42"/>
        <v>#REF!</v>
      </c>
      <c r="AS54" s="1598" t="e">
        <f t="shared" si="303"/>
        <v>#REF!</v>
      </c>
      <c r="AT54" s="1602">
        <v>44.58</v>
      </c>
      <c r="AU54" s="1602">
        <f>AT54*AU79/(AU79+AV79)</f>
        <v>44.273166472408661</v>
      </c>
      <c r="AV54" s="1602">
        <f>SUM(AT54-AU54)</f>
        <v>0.30683352759133697</v>
      </c>
      <c r="AW54" s="1602">
        <f t="shared" ref="AW54:AW56" si="424">AX54+AY54</f>
        <v>88.7</v>
      </c>
      <c r="AX54" s="1602">
        <v>88.27</v>
      </c>
      <c r="AY54" s="1602">
        <v>0.43</v>
      </c>
      <c r="AZ54" s="1602">
        <f>SUM(AE54)</f>
        <v>93.2</v>
      </c>
      <c r="BA54" s="1599" t="e">
        <f t="shared" ref="BA54" si="425">SUM(AZ54/AL54)</f>
        <v>#REF!</v>
      </c>
      <c r="BB54" s="1602">
        <f>AZ54*BB79/(BB79+BC79)</f>
        <v>92.702237674464186</v>
      </c>
      <c r="BC54" s="1602">
        <f>SUM(AZ54-BB54)</f>
        <v>0.49776232553581679</v>
      </c>
      <c r="BD54" s="1602">
        <f>AW54/3*4</f>
        <v>118.26666666666667</v>
      </c>
      <c r="BE54" s="1602">
        <f>BD54*BE79/(BE79+BF79)</f>
        <v>117.63502835085798</v>
      </c>
      <c r="BF54" s="1602">
        <f>SUM(BD54-BE54)</f>
        <v>0.63163831580868646</v>
      </c>
      <c r="BG54" s="1602">
        <f t="shared" si="49"/>
        <v>91.16</v>
      </c>
      <c r="BH54" s="1602">
        <v>91.1</v>
      </c>
      <c r="BI54" s="1602">
        <v>0.06</v>
      </c>
      <c r="BJ54" s="1602">
        <f t="shared" si="420"/>
        <v>87.11</v>
      </c>
      <c r="BK54" s="1602">
        <v>87.07</v>
      </c>
      <c r="BL54" s="1602">
        <v>0.04</v>
      </c>
      <c r="BM54" s="1603">
        <f t="shared" si="421"/>
        <v>91.16</v>
      </c>
      <c r="BN54" s="1602">
        <v>90.67</v>
      </c>
      <c r="BO54" s="1602">
        <v>0.49</v>
      </c>
      <c r="BP54" s="1603">
        <f t="shared" si="422"/>
        <v>84.27</v>
      </c>
      <c r="BQ54" s="1602">
        <v>84.24</v>
      </c>
      <c r="BR54" s="1602">
        <v>0.03</v>
      </c>
      <c r="BS54" s="1602">
        <f t="shared" si="423"/>
        <v>87.11</v>
      </c>
      <c r="BT54" s="1602">
        <v>87.07</v>
      </c>
      <c r="BU54" s="1602">
        <v>0.04</v>
      </c>
      <c r="BV54" s="1602">
        <f>BJ54</f>
        <v>87.11</v>
      </c>
      <c r="BW54" s="1602">
        <f>BV54/$BV$79*$BW$79</f>
        <v>87.067900580568832</v>
      </c>
      <c r="BX54" s="1602">
        <f>BV54/$BV$79*$BX$79</f>
        <v>4.2099419431170626E-2</v>
      </c>
      <c r="BY54" s="1602">
        <f>SUM(BZ54:CA54)</f>
        <v>87.11</v>
      </c>
      <c r="BZ54" s="1602">
        <f>SUM('Н 2019-2024'!S11)</f>
        <v>87.07</v>
      </c>
      <c r="CA54" s="1602">
        <f>SUM('Н 2019-2024'!S20)</f>
        <v>0.04</v>
      </c>
      <c r="CB54" s="3618" t="s">
        <v>1996</v>
      </c>
      <c r="CC54" s="365"/>
      <c r="CD54" s="365"/>
      <c r="CE54" s="365"/>
      <c r="CF54" s="1602">
        <f>SUM(CG54:CH54)</f>
        <v>87.11</v>
      </c>
      <c r="CG54" s="1602">
        <f>SUM('Н 2019-2024'!T11)</f>
        <v>87.07</v>
      </c>
      <c r="CH54" s="1602">
        <f>SUM('Н 2019-2024'!T20)</f>
        <v>0.04</v>
      </c>
      <c r="CI54" s="1602">
        <f t="shared" ref="CI54:CI57" si="426">SUM(CJ54:CK54)</f>
        <v>39.44</v>
      </c>
      <c r="CJ54" s="1602">
        <f>SUM('Н 2019-2024'!U11)</f>
        <v>39.44</v>
      </c>
      <c r="CK54" s="1602">
        <f>SUM('Н 2019-2024'!U20)</f>
        <v>0</v>
      </c>
      <c r="CL54" s="1602">
        <f t="shared" ref="CL54:CL57" si="427">SUM(CM54:CN54)</f>
        <v>59.67</v>
      </c>
      <c r="CM54" s="1602">
        <f>SUM('Н 2019-2024'!V11)</f>
        <v>59.67</v>
      </c>
      <c r="CN54" s="1602">
        <f>SUM('Н 2019-2024'!V20)</f>
        <v>0</v>
      </c>
      <c r="CO54" s="1602">
        <f t="shared" ref="CO54:CO57" si="428">SUM(CP54:CQ54)</f>
        <v>79.156999999999996</v>
      </c>
      <c r="CP54" s="1602">
        <f>SUM('Н 2019-2024'!W11)-0.003</f>
        <v>79.156999999999996</v>
      </c>
      <c r="CQ54" s="1602">
        <f>SUM('Н 2019-2024'!W20)</f>
        <v>0</v>
      </c>
      <c r="CR54" s="2371">
        <f t="shared" ref="CR54:CR57" si="429">SUM(CS54:CT54)</f>
        <v>87.07</v>
      </c>
      <c r="CS54" s="2371">
        <f>SUM('Н 2019-2024'!X11)</f>
        <v>87.07</v>
      </c>
      <c r="CT54" s="2371">
        <f>SUM('Н 2019-2024'!X20)</f>
        <v>0</v>
      </c>
      <c r="CU54" s="4101">
        <f t="shared" ref="CU54:CU57" si="430">SUM(CV54:CW54)</f>
        <v>79.16</v>
      </c>
      <c r="CV54" s="4101">
        <f>SUM('Н 2019-2024'!Y11)</f>
        <v>79.16</v>
      </c>
      <c r="CW54" s="4101">
        <f>SUM('Н 2019-2024'!AA20)</f>
        <v>0</v>
      </c>
      <c r="CX54" s="2371">
        <f t="shared" ref="CX54:CX57" si="431">SUM(CY54:CZ54)</f>
        <v>35.857999999999997</v>
      </c>
      <c r="CY54" s="2371">
        <f>SUM('Н 2019-2024'!Z11)</f>
        <v>35.857999999999997</v>
      </c>
      <c r="CZ54" s="2371">
        <f>SUM('Н 2019-2024'!AJ20)</f>
        <v>0</v>
      </c>
      <c r="DA54" s="2371">
        <f t="shared" ref="DA54:DA57" si="432">SUM(DB54:DC54)</f>
        <v>53.784999999999997</v>
      </c>
      <c r="DB54" s="2371">
        <f>SUM('Н 2019-2024'!AA11)</f>
        <v>53.784999999999997</v>
      </c>
      <c r="DC54" s="2371">
        <f>SUM('Н 2019-2024'!AK20)</f>
        <v>0</v>
      </c>
      <c r="DD54" s="3487">
        <f t="shared" ref="DD54:DD57" si="433">SUM(DE54:DF54)</f>
        <v>-3.0000000000000001E-3</v>
      </c>
      <c r="DE54" s="3487">
        <f>SUM('Н 2019-2024'!AL11)-0.003</f>
        <v>-3.0000000000000001E-3</v>
      </c>
      <c r="DF54" s="3487">
        <f>SUM('Н 2019-2024'!AL20)</f>
        <v>0</v>
      </c>
    </row>
    <row r="55" spans="1:143" ht="21" customHeight="1" x14ac:dyDescent="0.2">
      <c r="A55" s="3470" t="s">
        <v>525</v>
      </c>
      <c r="B55" s="3350"/>
      <c r="C55" s="3341"/>
      <c r="D55" s="3341"/>
      <c r="E55" s="3341"/>
      <c r="F55" s="1743"/>
      <c r="G55" s="1743"/>
      <c r="H55" s="3341"/>
      <c r="I55" s="3604">
        <v>0</v>
      </c>
      <c r="J55" s="3604"/>
      <c r="K55" s="3604">
        <v>0</v>
      </c>
      <c r="L55" s="3604">
        <v>0</v>
      </c>
      <c r="M55" s="3614" t="e">
        <f t="shared" si="32"/>
        <v>#DIV/0!</v>
      </c>
      <c r="N55" s="3604"/>
      <c r="O55" s="3604"/>
      <c r="P55" s="3604"/>
      <c r="Q55" s="3619"/>
      <c r="R55" s="3604"/>
      <c r="S55" s="3604"/>
      <c r="T55" s="3583"/>
      <c r="U55" s="3583">
        <f>Q55-T55</f>
        <v>0</v>
      </c>
      <c r="V55" s="3583"/>
      <c r="W55" s="3583"/>
      <c r="X55" s="3583"/>
      <c r="Y55" s="1602">
        <v>0</v>
      </c>
      <c r="Z55" s="1596"/>
      <c r="AA55" s="1602">
        <v>0</v>
      </c>
      <c r="AB55" s="1596"/>
      <c r="AC55" s="1602" t="e">
        <f>$AC$79/$AA$79*AA55</f>
        <v>#REF!</v>
      </c>
      <c r="AD55" s="1602" t="e">
        <f t="shared" si="46"/>
        <v>#REF!</v>
      </c>
      <c r="AE55" s="1602">
        <v>0</v>
      </c>
      <c r="AF55" s="1602">
        <f>AE55*AF79/(AF79+AG79)</f>
        <v>0</v>
      </c>
      <c r="AG55" s="1602">
        <f>SUM(AE55-AF55)</f>
        <v>0</v>
      </c>
      <c r="AH55" s="1603">
        <f t="shared" si="37"/>
        <v>0</v>
      </c>
      <c r="AI55" s="1597"/>
      <c r="AJ55" s="1602">
        <v>0</v>
      </c>
      <c r="AK55" s="1602">
        <v>0</v>
      </c>
      <c r="AL55" s="1603">
        <f t="shared" si="39"/>
        <v>0</v>
      </c>
      <c r="AM55" s="1597"/>
      <c r="AN55" s="1602"/>
      <c r="AO55" s="1602"/>
      <c r="AP55" s="1598">
        <f t="shared" si="41"/>
        <v>0</v>
      </c>
      <c r="AQ55" s="1598"/>
      <c r="AR55" s="1598"/>
      <c r="AS55" s="1598">
        <f t="shared" si="303"/>
        <v>0</v>
      </c>
      <c r="AT55" s="1602">
        <v>0</v>
      </c>
      <c r="AU55" s="1602">
        <f>AT55*AU79/(AU79+AV79)</f>
        <v>0</v>
      </c>
      <c r="AV55" s="1602">
        <f>SUM(AT55-AU55)</f>
        <v>0</v>
      </c>
      <c r="AW55" s="1602">
        <f t="shared" si="424"/>
        <v>0</v>
      </c>
      <c r="AX55" s="1602">
        <v>0</v>
      </c>
      <c r="AY55" s="1602">
        <v>0</v>
      </c>
      <c r="AZ55" s="1602">
        <v>0</v>
      </c>
      <c r="BA55" s="1599"/>
      <c r="BB55" s="1602">
        <f>AZ55*BB79/(BB79+BC79)</f>
        <v>0</v>
      </c>
      <c r="BC55" s="1602">
        <f>SUM(AZ55-BB55)</f>
        <v>0</v>
      </c>
      <c r="BD55" s="1602">
        <v>0</v>
      </c>
      <c r="BE55" s="1602">
        <f>BD55*BE79/(BE79+BF79)</f>
        <v>0</v>
      </c>
      <c r="BF55" s="1602">
        <f>SUM(BD55-BE55)</f>
        <v>0</v>
      </c>
      <c r="BG55" s="1602">
        <f t="shared" si="49"/>
        <v>0</v>
      </c>
      <c r="BH55" s="1602">
        <f>BF55*BH79/(BH79+BI79)</f>
        <v>0</v>
      </c>
      <c r="BI55" s="1602">
        <f>SUM(BF55-BH55)</f>
        <v>0</v>
      </c>
      <c r="BJ55" s="1602">
        <f t="shared" si="420"/>
        <v>0</v>
      </c>
      <c r="BK55" s="1602">
        <f>BI55*BK79/(BK79+BL79)</f>
        <v>0</v>
      </c>
      <c r="BL55" s="1602">
        <f>SUM(BI55-BK55)</f>
        <v>0</v>
      </c>
      <c r="BM55" s="1603">
        <f t="shared" si="421"/>
        <v>0</v>
      </c>
      <c r="BN55" s="1602">
        <v>0</v>
      </c>
      <c r="BO55" s="1602">
        <v>0</v>
      </c>
      <c r="BP55" s="1603">
        <f t="shared" si="422"/>
        <v>0</v>
      </c>
      <c r="BQ55" s="1602">
        <v>0</v>
      </c>
      <c r="BR55" s="1602">
        <v>0</v>
      </c>
      <c r="BS55" s="1602">
        <f t="shared" si="423"/>
        <v>0</v>
      </c>
      <c r="BT55" s="1602">
        <f>BL55*BT79/(BT79+BU79)</f>
        <v>0</v>
      </c>
      <c r="BU55" s="1602">
        <f>SUM(BL55-BT55)</f>
        <v>0</v>
      </c>
      <c r="BV55" s="1602">
        <v>0</v>
      </c>
      <c r="BW55" s="1602">
        <f>BV55/$BV$79*$BW$79</f>
        <v>0</v>
      </c>
      <c r="BX55" s="1602">
        <f>BV55/$BV$79*$BX$79</f>
        <v>0</v>
      </c>
      <c r="BY55" s="1602">
        <v>0</v>
      </c>
      <c r="BZ55" s="1602">
        <f>BY55/$BV$79*$BW$79</f>
        <v>0</v>
      </c>
      <c r="CA55" s="1602">
        <f>BY55/$BV$79*$BX$79</f>
        <v>0</v>
      </c>
      <c r="CB55" s="3618"/>
      <c r="CC55" s="365"/>
      <c r="CD55" s="365"/>
      <c r="CE55" s="365"/>
      <c r="CF55" s="1602">
        <v>0</v>
      </c>
      <c r="CG55" s="1602">
        <f>CF55/$BV$79*$BW$79</f>
        <v>0</v>
      </c>
      <c r="CH55" s="1602">
        <f>CF55/$BV$79*$BX$79</f>
        <v>0</v>
      </c>
      <c r="CI55" s="1602">
        <f t="shared" si="426"/>
        <v>0</v>
      </c>
      <c r="CJ55" s="1602">
        <v>0</v>
      </c>
      <c r="CK55" s="1602">
        <v>0</v>
      </c>
      <c r="CL55" s="1602">
        <f t="shared" si="427"/>
        <v>0</v>
      </c>
      <c r="CM55" s="1602">
        <v>0</v>
      </c>
      <c r="CN55" s="1602">
        <v>0</v>
      </c>
      <c r="CO55" s="1602">
        <f t="shared" si="428"/>
        <v>0</v>
      </c>
      <c r="CP55" s="1602">
        <v>0</v>
      </c>
      <c r="CQ55" s="1602">
        <v>0</v>
      </c>
      <c r="CR55" s="2371">
        <f t="shared" si="429"/>
        <v>0</v>
      </c>
      <c r="CS55" s="2371">
        <v>0</v>
      </c>
      <c r="CT55" s="2371">
        <v>0</v>
      </c>
      <c r="CU55" s="4101">
        <f t="shared" si="430"/>
        <v>0</v>
      </c>
      <c r="CV55" s="4101">
        <v>0</v>
      </c>
      <c r="CW55" s="4101">
        <v>0</v>
      </c>
      <c r="CX55" s="2371">
        <f t="shared" si="431"/>
        <v>0</v>
      </c>
      <c r="CY55" s="2371">
        <v>0</v>
      </c>
      <c r="CZ55" s="2371">
        <v>0</v>
      </c>
      <c r="DA55" s="2371">
        <f t="shared" si="432"/>
        <v>0</v>
      </c>
      <c r="DB55" s="2371">
        <v>0</v>
      </c>
      <c r="DC55" s="2371">
        <v>0</v>
      </c>
      <c r="DD55" s="3487">
        <f t="shared" si="433"/>
        <v>0</v>
      </c>
      <c r="DE55" s="3487">
        <v>0</v>
      </c>
      <c r="DF55" s="3487">
        <v>0</v>
      </c>
    </row>
    <row r="56" spans="1:143" ht="21" customHeight="1" x14ac:dyDescent="0.2">
      <c r="A56" s="3470" t="s">
        <v>526</v>
      </c>
      <c r="B56" s="3350"/>
      <c r="C56" s="3341"/>
      <c r="D56" s="3341"/>
      <c r="E56" s="3341"/>
      <c r="F56" s="1743"/>
      <c r="G56" s="1743"/>
      <c r="H56" s="3341"/>
      <c r="I56" s="3604"/>
      <c r="J56" s="3604"/>
      <c r="K56" s="3604"/>
      <c r="L56" s="3604">
        <v>0</v>
      </c>
      <c r="M56" s="3614"/>
      <c r="N56" s="3604"/>
      <c r="O56" s="3604"/>
      <c r="P56" s="3604"/>
      <c r="Q56" s="3619">
        <v>2526</v>
      </c>
      <c r="R56" s="3604"/>
      <c r="S56" s="3604"/>
      <c r="T56" s="3583" t="e">
        <f>Q56/Q79*T79</f>
        <v>#REF!</v>
      </c>
      <c r="U56" s="3583" t="e">
        <f>Q56-T56</f>
        <v>#REF!</v>
      </c>
      <c r="V56" s="3583" t="e">
        <f>3064*#REF!</f>
        <v>#REF!</v>
      </c>
      <c r="W56" s="3583"/>
      <c r="X56" s="3583">
        <v>0</v>
      </c>
      <c r="Y56" s="1602">
        <v>2526</v>
      </c>
      <c r="Z56" s="1596">
        <f t="shared" si="35"/>
        <v>1</v>
      </c>
      <c r="AA56" s="1602">
        <f>AC56+AD56</f>
        <v>2323.15</v>
      </c>
      <c r="AB56" s="1596">
        <f t="shared" si="1"/>
        <v>0.91969517022961211</v>
      </c>
      <c r="AC56" s="1602">
        <v>2296.61</v>
      </c>
      <c r="AD56" s="1602">
        <v>26.54</v>
      </c>
      <c r="AE56" s="1602">
        <v>2323.15</v>
      </c>
      <c r="AF56" s="1602">
        <v>2296.61</v>
      </c>
      <c r="AG56" s="1602">
        <v>26.54</v>
      </c>
      <c r="AH56" s="1603">
        <f t="shared" si="37"/>
        <v>2323.14</v>
      </c>
      <c r="AI56" s="1597">
        <f t="shared" si="38"/>
        <v>0.99999569549964473</v>
      </c>
      <c r="AJ56" s="1602">
        <v>2296.6</v>
      </c>
      <c r="AK56" s="1602">
        <v>26.54</v>
      </c>
      <c r="AL56" s="1603">
        <f t="shared" si="39"/>
        <v>2323.15</v>
      </c>
      <c r="AM56" s="1597">
        <f t="shared" si="40"/>
        <v>1</v>
      </c>
      <c r="AN56" s="1602">
        <f>AC56</f>
        <v>2296.61</v>
      </c>
      <c r="AO56" s="1602">
        <f>AD56</f>
        <v>26.54</v>
      </c>
      <c r="AP56" s="1598">
        <f t="shared" si="41"/>
        <v>-202.84999999999991</v>
      </c>
      <c r="AQ56" s="1598">
        <f>AP56*AC56/AA56</f>
        <v>-200.53261240126545</v>
      </c>
      <c r="AR56" s="1598">
        <f t="shared" si="42"/>
        <v>-2.3173875987344559</v>
      </c>
      <c r="AS56" s="1598">
        <f t="shared" si="303"/>
        <v>-202.84999999999991</v>
      </c>
      <c r="AT56" s="1602">
        <v>0</v>
      </c>
      <c r="AU56" s="1602">
        <f>AT56*AU79/(AU79+AV79)</f>
        <v>0</v>
      </c>
      <c r="AV56" s="1602">
        <f>SUM(AT56-AU56)</f>
        <v>0</v>
      </c>
      <c r="AW56" s="1602">
        <f t="shared" si="424"/>
        <v>2175.2199999999998</v>
      </c>
      <c r="AX56" s="1602">
        <v>2164.7399999999998</v>
      </c>
      <c r="AY56" s="1602">
        <v>10.48</v>
      </c>
      <c r="AZ56" s="1602">
        <f>SUM(BB56:BC56)</f>
        <v>2323.15</v>
      </c>
      <c r="BA56" s="1599">
        <f t="shared" ref="BA56" si="434">SUM(AZ56/AL56)</f>
        <v>1</v>
      </c>
      <c r="BB56" s="1602">
        <v>2294.5100000000002</v>
      </c>
      <c r="BC56" s="1602">
        <v>28.64</v>
      </c>
      <c r="BD56" s="1602">
        <f>'налог на имущ'!C15</f>
        <v>1842.7891386666663</v>
      </c>
      <c r="BE56" s="1602">
        <f>BD56*BE79/BD79</f>
        <v>1832.9471750707985</v>
      </c>
      <c r="BF56" s="1602">
        <f>BD56-BE56</f>
        <v>9.84196359586781</v>
      </c>
      <c r="BG56" s="1602">
        <f t="shared" si="49"/>
        <v>1996.24</v>
      </c>
      <c r="BH56" s="1602">
        <v>1994.9</v>
      </c>
      <c r="BI56" s="1602">
        <v>1.34</v>
      </c>
      <c r="BJ56" s="1602">
        <f t="shared" si="420"/>
        <v>1844.76</v>
      </c>
      <c r="BK56" s="1602">
        <v>1843.87</v>
      </c>
      <c r="BL56" s="1602">
        <v>0.89</v>
      </c>
      <c r="BM56" s="1603">
        <f t="shared" si="421"/>
        <v>1996.24</v>
      </c>
      <c r="BN56" s="1602">
        <v>1985.51</v>
      </c>
      <c r="BO56" s="1602">
        <v>10.73</v>
      </c>
      <c r="BP56" s="1603">
        <f t="shared" si="422"/>
        <v>1982.03</v>
      </c>
      <c r="BQ56" s="1602">
        <v>1981.31</v>
      </c>
      <c r="BR56" s="1602">
        <v>0.72</v>
      </c>
      <c r="BS56" s="1602">
        <f t="shared" si="423"/>
        <v>1854.33</v>
      </c>
      <c r="BT56" s="1602">
        <v>1851.76</v>
      </c>
      <c r="BU56" s="1602">
        <v>2.57</v>
      </c>
      <c r="BV56" s="1602">
        <f>BW56+BX56</f>
        <v>1846.77021838</v>
      </c>
      <c r="BW56" s="1602">
        <f>имущество!G26/1000-имущество!G35/1000</f>
        <v>1845.4306605479765</v>
      </c>
      <c r="BX56" s="1602">
        <f>'Н 2019-2024'!M17</f>
        <v>1.3395578320234052</v>
      </c>
      <c r="BY56" s="1602">
        <f>BZ56+CA56</f>
        <v>1627.1138583799996</v>
      </c>
      <c r="BZ56" s="1602">
        <f>SUM(имущество!M34-имущество!M30)/1000</f>
        <v>1625.852960708417</v>
      </c>
      <c r="CA56" s="1602">
        <f>SUM(имущество!M35/1000)</f>
        <v>1.2608976715825515</v>
      </c>
      <c r="CB56" s="3618" t="s">
        <v>963</v>
      </c>
      <c r="CC56" s="365"/>
      <c r="CD56" s="365"/>
      <c r="CE56" s="365"/>
      <c r="CF56" s="1602">
        <f>SUM(CG56:CH56)</f>
        <v>4455.992196769399</v>
      </c>
      <c r="CG56" s="1602">
        <f>SUM('Н 2019-2024'!T8)</f>
        <v>4454.7312990978162</v>
      </c>
      <c r="CH56" s="1602">
        <f>SUM('Н 2019-2024'!T17)</f>
        <v>1.2608976715825515</v>
      </c>
      <c r="CI56" s="1602">
        <f t="shared" si="426"/>
        <v>1613.2</v>
      </c>
      <c r="CJ56" s="1602">
        <f>SUM(имущество!Q33/1000)</f>
        <v>1613.2</v>
      </c>
      <c r="CK56" s="1602">
        <v>0</v>
      </c>
      <c r="CL56" s="1602">
        <f t="shared" si="427"/>
        <v>2419.8000000000002</v>
      </c>
      <c r="CM56" s="1602">
        <f>SUM(имущество!R33/1000)</f>
        <v>2419.8000000000002</v>
      </c>
      <c r="CN56" s="1602">
        <v>0</v>
      </c>
      <c r="CO56" s="1602">
        <f t="shared" si="428"/>
        <v>3226.4069999999997</v>
      </c>
      <c r="CP56" s="1602">
        <f>SUM(имущество!S33)/1000-0.003</f>
        <v>3226.4069999999997</v>
      </c>
      <c r="CQ56" s="1602">
        <v>0</v>
      </c>
      <c r="CR56" s="2371">
        <f t="shared" si="429"/>
        <v>3226.41</v>
      </c>
      <c r="CS56" s="2371">
        <f>SUM(имущество!T33/1000)</f>
        <v>3226.41</v>
      </c>
      <c r="CT56" s="2371">
        <v>0</v>
      </c>
      <c r="CU56" s="4101">
        <f t="shared" si="430"/>
        <v>2522.7223199999999</v>
      </c>
      <c r="CV56" s="4101">
        <f>SUM(имущество!U33)/1000</f>
        <v>2522.7223199999999</v>
      </c>
      <c r="CW56" s="4101">
        <v>0</v>
      </c>
      <c r="CX56" s="2371">
        <f t="shared" ref="CX56" si="435">SUM(CY56:CZ56)</f>
        <v>1603.0740000000001</v>
      </c>
      <c r="CY56" s="2371">
        <f>SUM(имущество!V33)/1000</f>
        <v>1603.0740000000001</v>
      </c>
      <c r="CZ56" s="2371">
        <v>0</v>
      </c>
      <c r="DA56" s="2371">
        <f t="shared" si="432"/>
        <v>2400.2489999999998</v>
      </c>
      <c r="DB56" s="2371">
        <f>SUM(имущество!W33)/1000</f>
        <v>2400.2489999999998</v>
      </c>
      <c r="DC56" s="2371">
        <v>0</v>
      </c>
      <c r="DD56" s="3487">
        <f t="shared" si="433"/>
        <v>-3.0000000000000001E-3</v>
      </c>
      <c r="DE56" s="3487">
        <f>SUM(имущество!AK33)/1000-0.003</f>
        <v>-3.0000000000000001E-3</v>
      </c>
      <c r="DF56" s="3487">
        <v>0</v>
      </c>
    </row>
    <row r="57" spans="1:143" ht="21" customHeight="1" x14ac:dyDescent="0.2">
      <c r="A57" s="3470" t="s">
        <v>1997</v>
      </c>
      <c r="B57" s="3350"/>
      <c r="C57" s="3341"/>
      <c r="D57" s="3341"/>
      <c r="E57" s="3341"/>
      <c r="F57" s="1743"/>
      <c r="G57" s="1743"/>
      <c r="H57" s="3341"/>
      <c r="I57" s="3604"/>
      <c r="J57" s="3604"/>
      <c r="K57" s="3604"/>
      <c r="L57" s="3604"/>
      <c r="M57" s="3614"/>
      <c r="N57" s="3604"/>
      <c r="O57" s="3604"/>
      <c r="P57" s="3604"/>
      <c r="Q57" s="3619"/>
      <c r="R57" s="3604"/>
      <c r="S57" s="3604"/>
      <c r="T57" s="3583"/>
      <c r="U57" s="3583"/>
      <c r="V57" s="3583"/>
      <c r="W57" s="3583"/>
      <c r="X57" s="3583"/>
      <c r="Y57" s="1602"/>
      <c r="Z57" s="1596"/>
      <c r="AA57" s="1602"/>
      <c r="AB57" s="1596"/>
      <c r="AC57" s="1602"/>
      <c r="AD57" s="1602"/>
      <c r="AE57" s="1602"/>
      <c r="AF57" s="1602"/>
      <c r="AG57" s="1602"/>
      <c r="AH57" s="1603"/>
      <c r="AI57" s="1597"/>
      <c r="AJ57" s="1602"/>
      <c r="AK57" s="1602"/>
      <c r="AL57" s="1603"/>
      <c r="AM57" s="1597"/>
      <c r="AN57" s="1602"/>
      <c r="AO57" s="1602"/>
      <c r="AP57" s="1598"/>
      <c r="AQ57" s="1598"/>
      <c r="AR57" s="1598"/>
      <c r="AS57" s="1598"/>
      <c r="AT57" s="1602"/>
      <c r="AU57" s="1602"/>
      <c r="AV57" s="1602"/>
      <c r="AW57" s="1602"/>
      <c r="AX57" s="1602"/>
      <c r="AY57" s="1602"/>
      <c r="AZ57" s="1602"/>
      <c r="BA57" s="1599"/>
      <c r="BB57" s="1602"/>
      <c r="BC57" s="1602"/>
      <c r="BD57" s="1602"/>
      <c r="BE57" s="1602"/>
      <c r="BF57" s="1602"/>
      <c r="BG57" s="1602"/>
      <c r="BH57" s="1602"/>
      <c r="BI57" s="1602"/>
      <c r="BJ57" s="1602"/>
      <c r="BK57" s="1602"/>
      <c r="BL57" s="1602"/>
      <c r="BM57" s="1602"/>
      <c r="BN57" s="1602"/>
      <c r="BO57" s="1602"/>
      <c r="BP57" s="1603">
        <f t="shared" si="422"/>
        <v>0</v>
      </c>
      <c r="BQ57" s="1602"/>
      <c r="BR57" s="1602"/>
      <c r="BS57" s="1602">
        <v>3043.62</v>
      </c>
      <c r="BT57" s="1602">
        <v>3043.62</v>
      </c>
      <c r="BU57" s="1602">
        <v>0</v>
      </c>
      <c r="BV57" s="1602">
        <f>Аморт!U87/1000</f>
        <v>2887.2057268098001</v>
      </c>
      <c r="BW57" s="1602">
        <f>имущество!G30/1000</f>
        <v>2887.2057268098001</v>
      </c>
      <c r="BX57" s="1602">
        <v>0</v>
      </c>
      <c r="BY57" s="1602">
        <f>SUM(BZ57:CA57)</f>
        <v>2828.8783383893997</v>
      </c>
      <c r="BZ57" s="1602">
        <f>SUM(имущество!M30/1000)</f>
        <v>2828.8783383893997</v>
      </c>
      <c r="CA57" s="1602">
        <v>0</v>
      </c>
      <c r="CB57" s="3618"/>
      <c r="CC57" s="365"/>
      <c r="CD57" s="365"/>
      <c r="CE57" s="365"/>
      <c r="CF57" s="1602">
        <f>SUM(CG57:CH57)</f>
        <v>0</v>
      </c>
      <c r="CG57" s="1602">
        <f>SUM(имущество!U30/1000)</f>
        <v>0</v>
      </c>
      <c r="CH57" s="1602">
        <v>0</v>
      </c>
      <c r="CI57" s="1602">
        <f t="shared" si="426"/>
        <v>0</v>
      </c>
      <c r="CJ57" s="1602">
        <f>SUM(имущество!Q30)</f>
        <v>0</v>
      </c>
      <c r="CK57" s="1602">
        <v>0</v>
      </c>
      <c r="CL57" s="1602">
        <f t="shared" si="427"/>
        <v>0</v>
      </c>
      <c r="CM57" s="1602">
        <f>SUM(имущество!R30)</f>
        <v>0</v>
      </c>
      <c r="CN57" s="1602">
        <v>0</v>
      </c>
      <c r="CO57" s="1602">
        <f t="shared" si="428"/>
        <v>0</v>
      </c>
      <c r="CP57" s="1602">
        <f>SUM(имущество!S30)</f>
        <v>0</v>
      </c>
      <c r="CQ57" s="1602">
        <v>0</v>
      </c>
      <c r="CR57" s="2371">
        <f t="shared" si="429"/>
        <v>0</v>
      </c>
      <c r="CS57" s="2371">
        <f>SUM(имущество!T30/1000)</f>
        <v>0</v>
      </c>
      <c r="CT57" s="2371">
        <v>0</v>
      </c>
      <c r="CU57" s="4101">
        <f t="shared" si="430"/>
        <v>0</v>
      </c>
      <c r="CV57" s="4101">
        <f>SUM(имущество!W30/1000)</f>
        <v>0</v>
      </c>
      <c r="CW57" s="4101">
        <v>0</v>
      </c>
      <c r="CX57" s="2371">
        <f t="shared" si="431"/>
        <v>0</v>
      </c>
      <c r="CY57" s="2371">
        <v>0</v>
      </c>
      <c r="CZ57" s="2371">
        <v>0</v>
      </c>
      <c r="DA57" s="2371">
        <f t="shared" si="432"/>
        <v>0</v>
      </c>
      <c r="DB57" s="2371">
        <f>SUM(имущество!AJ30)</f>
        <v>0</v>
      </c>
      <c r="DC57" s="2371">
        <v>0</v>
      </c>
      <c r="DD57" s="3487">
        <f t="shared" si="433"/>
        <v>0</v>
      </c>
      <c r="DE57" s="3487">
        <f>SUM(имущество!AK30)</f>
        <v>0</v>
      </c>
      <c r="DF57" s="3487">
        <v>0</v>
      </c>
    </row>
    <row r="58" spans="1:143" s="2219" customFormat="1" ht="20.25" customHeight="1" x14ac:dyDescent="0.2">
      <c r="A58" s="3610" t="s">
        <v>11</v>
      </c>
      <c r="B58" s="2652">
        <v>8687.7999999999993</v>
      </c>
      <c r="C58" s="3611">
        <v>9434.2999999999993</v>
      </c>
      <c r="D58" s="1743">
        <f>C58/B58*100</f>
        <v>108.59250903565921</v>
      </c>
      <c r="E58" s="3611">
        <v>9717.6</v>
      </c>
      <c r="F58" s="1743">
        <f>E58/C58*100</f>
        <v>103.00287249716462</v>
      </c>
      <c r="G58" s="3611">
        <v>10985.6</v>
      </c>
      <c r="H58" s="1743">
        <f t="shared" si="31"/>
        <v>113.04848933893142</v>
      </c>
      <c r="I58" s="3584">
        <v>9819.5</v>
      </c>
      <c r="J58" s="3584">
        <v>5737.6</v>
      </c>
      <c r="K58" s="3584">
        <v>8579.1</v>
      </c>
      <c r="L58" s="3584">
        <v>12008</v>
      </c>
      <c r="M58" s="3614">
        <f t="shared" si="32"/>
        <v>122.28728550333521</v>
      </c>
      <c r="N58" s="3614">
        <f t="shared" si="33"/>
        <v>109.3067288086222</v>
      </c>
      <c r="O58" s="3584">
        <v>14719.1</v>
      </c>
      <c r="P58" s="3614">
        <f t="shared" si="34"/>
        <v>149.89663424817965</v>
      </c>
      <c r="Q58" s="3615" t="e">
        <f>#REF!-800</f>
        <v>#REF!</v>
      </c>
      <c r="R58" s="3614" t="e">
        <f t="shared" si="43"/>
        <v>#REF!</v>
      </c>
      <c r="S58" s="3614" t="e">
        <f t="shared" si="44"/>
        <v>#REF!</v>
      </c>
      <c r="T58" s="3584" t="e">
        <f>Q58/Q79*T79</f>
        <v>#REF!</v>
      </c>
      <c r="U58" s="3584" t="e">
        <f>Q58-T58</f>
        <v>#REF!</v>
      </c>
      <c r="V58" s="3584">
        <v>10509.8</v>
      </c>
      <c r="W58" s="3584" t="e">
        <f>'ОХР '!X56*(объемы!#REF!-объемы!#REF!)/объемы!#REF!</f>
        <v>#REF!</v>
      </c>
      <c r="X58" s="3584" t="e">
        <f>'ОХР '!X56-W58</f>
        <v>#REF!</v>
      </c>
      <c r="Y58" s="1606">
        <v>15517.1</v>
      </c>
      <c r="Z58" s="1609" t="e">
        <f t="shared" si="35"/>
        <v>#REF!</v>
      </c>
      <c r="AA58" s="1606">
        <v>9765</v>
      </c>
      <c r="AB58" s="1609" t="e">
        <f>AA58/Q58</f>
        <v>#REF!</v>
      </c>
      <c r="AC58" s="1606">
        <f>AA58-AD58</f>
        <v>9598.7999999999993</v>
      </c>
      <c r="AD58" s="1606">
        <v>166.2</v>
      </c>
      <c r="AE58" s="1606">
        <f>SUM('ОХР '!AD56)</f>
        <v>14207.04</v>
      </c>
      <c r="AF58" s="1606">
        <f>AF79/AE79*AE58</f>
        <v>14031.870256994307</v>
      </c>
      <c r="AG58" s="1606">
        <f>AE58-AF58</f>
        <v>175.16974300569382</v>
      </c>
      <c r="AH58" s="1595">
        <f t="shared" si="37"/>
        <v>13395.76</v>
      </c>
      <c r="AI58" s="1610">
        <f t="shared" si="38"/>
        <v>1.3718136200716846</v>
      </c>
      <c r="AJ58" s="1606">
        <v>13243.27</v>
      </c>
      <c r="AK58" s="1606">
        <v>152.49</v>
      </c>
      <c r="AL58" s="1595">
        <f t="shared" si="39"/>
        <v>13073.01213648671</v>
      </c>
      <c r="AM58" s="1610">
        <f t="shared" si="40"/>
        <v>1.3387621235521465</v>
      </c>
      <c r="AN58" s="1606">
        <f>'ОХР '!AH56*AN79/(AN79+AO79)</f>
        <v>12924.197100987714</v>
      </c>
      <c r="AO58" s="1606">
        <f>'ОХР '!AD49-вода!AN58</f>
        <v>148.81503549899571</v>
      </c>
      <c r="AP58" s="1598">
        <f t="shared" si="41"/>
        <v>-5752.1</v>
      </c>
      <c r="AQ58" s="1598">
        <f>AP58*AC58/AA58</f>
        <v>-5654.1994347158216</v>
      </c>
      <c r="AR58" s="1598">
        <f t="shared" si="42"/>
        <v>-97.900565284178811</v>
      </c>
      <c r="AS58" s="1598">
        <f t="shared" si="303"/>
        <v>-5752.1</v>
      </c>
      <c r="AT58" s="1606">
        <v>6505.01</v>
      </c>
      <c r="AU58" s="1606">
        <f>AU79/AT79*AT58</f>
        <v>6460.2375647080098</v>
      </c>
      <c r="AV58" s="1606">
        <f>AT58-AU58</f>
        <v>44.772435291990405</v>
      </c>
      <c r="AW58" s="1606">
        <f>AX58+AY58</f>
        <v>12858.359999999999</v>
      </c>
      <c r="AX58" s="1606">
        <v>12796.39</v>
      </c>
      <c r="AY58" s="1606">
        <v>61.97</v>
      </c>
      <c r="AZ58" s="1595">
        <v>14993.56</v>
      </c>
      <c r="BA58" s="1611">
        <f t="shared" ref="BA58:BA62" si="436">SUM(AZ58/AL58)</f>
        <v>1.1469093613210264</v>
      </c>
      <c r="BB58" s="1606">
        <f>BB79/AZ79*AZ58</f>
        <v>14913.482432471448</v>
      </c>
      <c r="BC58" s="1606">
        <f>AZ58-BB58</f>
        <v>80.077567528551299</v>
      </c>
      <c r="BD58" s="1595">
        <f>SUM('ОХР '!AM56)-3000</f>
        <v>9920.4365701392053</v>
      </c>
      <c r="BE58" s="1606">
        <f>BE79/BD79*BD58</f>
        <v>9867.4535274623486</v>
      </c>
      <c r="BF58" s="1606">
        <f>BD58-BE58</f>
        <v>52.983042676856712</v>
      </c>
      <c r="BG58" s="1606">
        <f t="shared" si="49"/>
        <v>12499.66</v>
      </c>
      <c r="BH58" s="1606">
        <v>12491.25</v>
      </c>
      <c r="BI58" s="1606">
        <v>8.41</v>
      </c>
      <c r="BJ58" s="1606">
        <f t="shared" si="420"/>
        <v>13552.08</v>
      </c>
      <c r="BK58" s="1606">
        <v>13545.52</v>
      </c>
      <c r="BL58" s="1606">
        <v>6.56</v>
      </c>
      <c r="BM58" s="1595">
        <f>SUM(BN58:BO58)</f>
        <v>10744.474</v>
      </c>
      <c r="BN58" s="1606">
        <v>10689.54</v>
      </c>
      <c r="BO58" s="1606">
        <v>54.933999999999997</v>
      </c>
      <c r="BP58" s="1595">
        <f>SUM(BQ58:BR58)</f>
        <v>14946.199999999999</v>
      </c>
      <c r="BQ58" s="1606">
        <v>14940.764999999999</v>
      </c>
      <c r="BR58" s="1606">
        <v>5.4349999999999996</v>
      </c>
      <c r="BS58" s="1606">
        <f t="shared" si="423"/>
        <v>13338.21</v>
      </c>
      <c r="BT58" s="1606">
        <v>13319.71</v>
      </c>
      <c r="BU58" s="1606">
        <v>18.5</v>
      </c>
      <c r="BV58" s="1606">
        <f>'ОХР '!BL49-'вода 2019-2021 коррект'!X64</f>
        <v>10331.669406318586</v>
      </c>
      <c r="BW58" s="1606">
        <f>BV58/BV79*BW79</f>
        <v>10326.676210545877</v>
      </c>
      <c r="BX58" s="1606">
        <f>BV58/BV79*BX79</f>
        <v>4.9931957727103642</v>
      </c>
      <c r="BY58" s="1606">
        <f>SUM('ОХР '!BQ49)</f>
        <v>17096.328834818723</v>
      </c>
      <c r="BZ58" s="1606">
        <f>BY58/BY79*BZ79</f>
        <v>17088.066344652838</v>
      </c>
      <c r="CA58" s="1606">
        <f>BY58/BY79*CA79</f>
        <v>8.2624901658850884</v>
      </c>
      <c r="CB58" s="3578" t="s">
        <v>963</v>
      </c>
      <c r="CC58" s="365"/>
      <c r="CD58" s="365"/>
      <c r="CE58" s="365"/>
      <c r="CF58" s="1606">
        <f>SUM(CG58:CH58)</f>
        <v>10943.583293623064</v>
      </c>
      <c r="CG58" s="1606">
        <f>SUM(BW58*1.03)*(1-0.01)+409.76</f>
        <v>10939.871731893631</v>
      </c>
      <c r="CH58" s="1606">
        <f>SUM(BX58*1.03)*(1-0.01)-1.38</f>
        <v>3.7115617294327592</v>
      </c>
      <c r="CI58" s="1606">
        <f>SUM(CJ58:CK58)</f>
        <v>7613.2697599999992</v>
      </c>
      <c r="CJ58" s="1606">
        <f>SUM('ОХР '!CC49)</f>
        <v>7611.0199999999995</v>
      </c>
      <c r="CK58" s="1606">
        <f>SUM('ОХР '!CD49)</f>
        <v>2.2497600000000002</v>
      </c>
      <c r="CL58" s="1606">
        <f>SUM(CM58:CN58)</f>
        <v>11544.607460000001</v>
      </c>
      <c r="CM58" s="1606">
        <f>SUM('ОХР '!CJ49+'ОХР '!CN49)</f>
        <v>11541.240660000001</v>
      </c>
      <c r="CN58" s="1606">
        <f>SUM('ОХР '!CK49)</f>
        <v>3.3668</v>
      </c>
      <c r="CO58" s="1606">
        <f>SUM(CP58:CQ58)</f>
        <v>15402.399099999999</v>
      </c>
      <c r="CP58" s="1606">
        <f>SUM('ОХР '!CQ49)</f>
        <v>15398.109999999999</v>
      </c>
      <c r="CQ58" s="1606">
        <f>SUM('ОХР '!CR49)</f>
        <v>4.2891000000000004</v>
      </c>
      <c r="CR58" s="2374">
        <f>SUM(CS58:CT58)</f>
        <v>16868.629724981929</v>
      </c>
      <c r="CS58" s="2374">
        <f>SUM('ОХР '!CX49)</f>
        <v>16863.919566479821</v>
      </c>
      <c r="CT58" s="2374">
        <f>SUM('ОХР '!CY49)</f>
        <v>4.7101585021076158</v>
      </c>
      <c r="CU58" s="4103">
        <f>SUM(CV58:CW58)</f>
        <v>15015.45108188538</v>
      </c>
      <c r="CV58" s="4103">
        <f>SUM('ОХР '!DD49)</f>
        <v>15010.218832495006</v>
      </c>
      <c r="CW58" s="4133">
        <f>SUM(BX58*(1+0.032)*0.99*(1+0.036)*0.99)</f>
        <v>5.2322493903738136</v>
      </c>
      <c r="CX58" s="2374">
        <f>SUM(CY58:CZ58)</f>
        <v>6765.8957499999997</v>
      </c>
      <c r="CY58" s="2374">
        <f>SUM('ОХР '!DG49)</f>
        <v>6764.2136599999994</v>
      </c>
      <c r="CZ58" s="2374">
        <f>SUM('ОХР '!DH49)</f>
        <v>1.6820900000000001</v>
      </c>
      <c r="DA58" s="2374">
        <f>SUM(DB58:DC58)</f>
        <v>10253.265360000001</v>
      </c>
      <c r="DB58" s="2374">
        <f>SUM('ОХР '!DN49)</f>
        <v>10250.386930000001</v>
      </c>
      <c r="DC58" s="2374">
        <f>SUM('ОХР '!DO49)</f>
        <v>2.8784299999999998</v>
      </c>
      <c r="DD58" s="3489">
        <f>SUM(DE58:DF58)</f>
        <v>0</v>
      </c>
      <c r="DE58" s="3489">
        <f>SUM('ОХР '!EC49)</f>
        <v>0</v>
      </c>
      <c r="DF58" s="3489">
        <f>SUM('ОХР '!ED49)</f>
        <v>0</v>
      </c>
    </row>
    <row r="59" spans="1:143" s="2219" customFormat="1" ht="20.25" customHeight="1" x14ac:dyDescent="0.2">
      <c r="A59" s="3475" t="s">
        <v>3686</v>
      </c>
      <c r="B59" s="3620"/>
      <c r="C59" s="1743"/>
      <c r="D59" s="1743"/>
      <c r="E59" s="1743"/>
      <c r="F59" s="1743"/>
      <c r="G59" s="1743"/>
      <c r="H59" s="1743"/>
      <c r="I59" s="3614"/>
      <c r="J59" s="3614"/>
      <c r="K59" s="3614"/>
      <c r="L59" s="3614"/>
      <c r="M59" s="3614"/>
      <c r="N59" s="3614"/>
      <c r="O59" s="3614"/>
      <c r="P59" s="3614"/>
      <c r="Q59" s="3621"/>
      <c r="R59" s="3614"/>
      <c r="S59" s="3614"/>
      <c r="T59" s="3614"/>
      <c r="U59" s="3614"/>
      <c r="V59" s="3614"/>
      <c r="W59" s="3614"/>
      <c r="X59" s="3614"/>
      <c r="Y59" s="1734"/>
      <c r="Z59" s="1609"/>
      <c r="AA59" s="1734"/>
      <c r="AB59" s="1609"/>
      <c r="AC59" s="1734"/>
      <c r="AD59" s="1734"/>
      <c r="AE59" s="1734"/>
      <c r="AF59" s="1734"/>
      <c r="AG59" s="1734"/>
      <c r="AH59" s="3622"/>
      <c r="AI59" s="1611"/>
      <c r="AJ59" s="1734"/>
      <c r="AK59" s="1734"/>
      <c r="AL59" s="3622"/>
      <c r="AM59" s="1611"/>
      <c r="AN59" s="1734"/>
      <c r="AO59" s="1734"/>
      <c r="AP59" s="3623"/>
      <c r="AQ59" s="3623"/>
      <c r="AR59" s="3623"/>
      <c r="AS59" s="3623"/>
      <c r="AT59" s="1734"/>
      <c r="AU59" s="1734"/>
      <c r="AV59" s="1734"/>
      <c r="AW59" s="1734"/>
      <c r="AX59" s="1734"/>
      <c r="AY59" s="1734"/>
      <c r="AZ59" s="3622"/>
      <c r="BA59" s="1611"/>
      <c r="BB59" s="1734"/>
      <c r="BC59" s="1734"/>
      <c r="BD59" s="3622"/>
      <c r="BE59" s="1734"/>
      <c r="BF59" s="1734"/>
      <c r="BG59" s="1734"/>
      <c r="BH59" s="1734"/>
      <c r="BI59" s="1734"/>
      <c r="BJ59" s="1734"/>
      <c r="BK59" s="1734"/>
      <c r="BL59" s="1734"/>
      <c r="BM59" s="3622"/>
      <c r="BN59" s="1734"/>
      <c r="BO59" s="1734"/>
      <c r="BP59" s="3622">
        <f>SUM(BQ59:BR59)</f>
        <v>136.50051999999999</v>
      </c>
      <c r="BQ59" s="1734">
        <f>SUM('Аренда земли'!G9)</f>
        <v>136.5</v>
      </c>
      <c r="BR59" s="2756">
        <f>SUM('Аренда земли'!G12)</f>
        <v>5.1999999999999995E-4</v>
      </c>
      <c r="BS59" s="1734"/>
      <c r="BT59" s="1734"/>
      <c r="BU59" s="1734"/>
      <c r="BV59" s="1734">
        <f>'Аренда земли'!M7</f>
        <v>63.916885499999999</v>
      </c>
      <c r="BW59" s="1734">
        <f>BV59/BV79*BW79</f>
        <v>63.885995088205725</v>
      </c>
      <c r="BX59" s="1734">
        <f>BV59-BW59</f>
        <v>3.0890411794274542E-2</v>
      </c>
      <c r="BY59" s="1734">
        <f>SUM(BZ59:CA59)</f>
        <v>147.08531632288</v>
      </c>
      <c r="BZ59" s="1734">
        <f>SUM('Аренда земли'!S9)</f>
        <v>147.084756</v>
      </c>
      <c r="CA59" s="2756">
        <f>SUM('Аренда земли'!S12)</f>
        <v>5.6032287999999999E-4</v>
      </c>
      <c r="CB59" s="3608"/>
      <c r="CC59" s="3609"/>
      <c r="CD59" s="3609"/>
      <c r="CE59" s="3609"/>
      <c r="CF59" s="1734">
        <f>SUM(CG59:CH59)</f>
        <v>138.11089028999999</v>
      </c>
      <c r="CG59" s="1734">
        <f>SUM('Аренда земли'!T7)</f>
        <v>138.11089028999999</v>
      </c>
      <c r="CH59" s="2756">
        <v>0</v>
      </c>
      <c r="CI59" s="1734">
        <f>SUM(CJ59:CK59)</f>
        <v>44.824379999999998</v>
      </c>
      <c r="CJ59" s="1734">
        <f>SUM('Аренда земли'!U9)</f>
        <v>44.822929999999999</v>
      </c>
      <c r="CK59" s="2756">
        <f>SUM('Аренда земли'!U12)</f>
        <v>1.4499999999999999E-3</v>
      </c>
      <c r="CL59" s="1734">
        <f>SUM(CM59:CN59)</f>
        <v>67.213049999999996</v>
      </c>
      <c r="CM59" s="1734">
        <f>SUM('Аренда земли'!V9)</f>
        <v>67.210719999999995</v>
      </c>
      <c r="CN59" s="2756">
        <f>SUM('Аренда земли'!V12)</f>
        <v>2.33E-3</v>
      </c>
      <c r="CO59" s="1734">
        <f>SUM(CP59:CQ59)</f>
        <v>89.509</v>
      </c>
      <c r="CP59" s="1734">
        <f>SUM('Аренда земли'!W9)</f>
        <v>89.506</v>
      </c>
      <c r="CQ59" s="2756">
        <f>SUM('Аренда земли'!W12)</f>
        <v>3.0000000000000001E-3</v>
      </c>
      <c r="CR59" s="3653">
        <f>SUM(CS59:CT59)</f>
        <v>138.11089028999999</v>
      </c>
      <c r="CS59" s="3653">
        <f>SUM('Аренда земли'!Y7)</f>
        <v>138.11089028999999</v>
      </c>
      <c r="CT59" s="3654">
        <f>SUM('Аренда земли'!Y11)</f>
        <v>0</v>
      </c>
      <c r="CU59" s="4134">
        <f>SUM(CV59:CW59)</f>
        <v>86.286980999999997</v>
      </c>
      <c r="CV59" s="4134">
        <f>SUM('Аренда земли'!Z7)</f>
        <v>86.286980999999997</v>
      </c>
      <c r="CW59" s="4135">
        <v>0</v>
      </c>
      <c r="CX59" s="3653">
        <f>SUM(CY59:CZ59)</f>
        <v>0</v>
      </c>
      <c r="CY59" s="3653">
        <f>SUM('Аренда земли'!AN9)</f>
        <v>0</v>
      </c>
      <c r="CZ59" s="3654">
        <f>SUM('Аренда земли'!AN12)</f>
        <v>0</v>
      </c>
      <c r="DA59" s="3653">
        <f>SUM(DB59:DC59)</f>
        <v>0</v>
      </c>
      <c r="DB59" s="3653">
        <f>SUM('Аренда земли'!AO9)</f>
        <v>0</v>
      </c>
      <c r="DC59" s="3654">
        <f>SUM('Аренда земли'!AO12)</f>
        <v>0</v>
      </c>
      <c r="DD59" s="3734">
        <f>SUM(DE59:DF59)</f>
        <v>0</v>
      </c>
      <c r="DE59" s="3734">
        <f>SUM('Аренда земли'!AP9)</f>
        <v>0</v>
      </c>
      <c r="DF59" s="4029">
        <f>SUM('Аренда земли'!AP12)</f>
        <v>0</v>
      </c>
    </row>
    <row r="60" spans="1:143" s="2219" customFormat="1" ht="20.25" customHeight="1" x14ac:dyDescent="0.2">
      <c r="A60" s="3610" t="s">
        <v>3565</v>
      </c>
      <c r="B60" s="2652"/>
      <c r="C60" s="3611"/>
      <c r="D60" s="1743"/>
      <c r="E60" s="3611"/>
      <c r="F60" s="1743"/>
      <c r="G60" s="3611"/>
      <c r="H60" s="1743"/>
      <c r="I60" s="3584"/>
      <c r="J60" s="3584"/>
      <c r="K60" s="3584"/>
      <c r="L60" s="3584"/>
      <c r="M60" s="3614"/>
      <c r="N60" s="3614"/>
      <c r="O60" s="3584"/>
      <c r="P60" s="3614"/>
      <c r="Q60" s="3615"/>
      <c r="R60" s="3614"/>
      <c r="S60" s="3614"/>
      <c r="T60" s="3584"/>
      <c r="U60" s="3584"/>
      <c r="V60" s="3584"/>
      <c r="W60" s="3584"/>
      <c r="X60" s="3584"/>
      <c r="Y60" s="1606"/>
      <c r="Z60" s="1609"/>
      <c r="AA60" s="1606"/>
      <c r="AB60" s="1609"/>
      <c r="AC60" s="1606"/>
      <c r="AD60" s="1606"/>
      <c r="AE60" s="1606"/>
      <c r="AF60" s="1606"/>
      <c r="AG60" s="1606"/>
      <c r="AH60" s="1595"/>
      <c r="AI60" s="1610"/>
      <c r="AJ60" s="1606"/>
      <c r="AK60" s="1606"/>
      <c r="AL60" s="1595"/>
      <c r="AM60" s="1610"/>
      <c r="AN60" s="1606"/>
      <c r="AO60" s="1606"/>
      <c r="AP60" s="1598"/>
      <c r="AQ60" s="1598"/>
      <c r="AR60" s="1598"/>
      <c r="AS60" s="1598"/>
      <c r="AT60" s="1606"/>
      <c r="AU60" s="1606"/>
      <c r="AV60" s="1606"/>
      <c r="AW60" s="1606"/>
      <c r="AX60" s="1606"/>
      <c r="AY60" s="1606"/>
      <c r="AZ60" s="1595"/>
      <c r="BA60" s="1611"/>
      <c r="BB60" s="1606"/>
      <c r="BC60" s="1606"/>
      <c r="BD60" s="1595"/>
      <c r="BE60" s="1606"/>
      <c r="BF60" s="1606"/>
      <c r="BG60" s="1606"/>
      <c r="BH60" s="1606"/>
      <c r="BI60" s="1606"/>
      <c r="BJ60" s="1606"/>
      <c r="BK60" s="1606"/>
      <c r="BL60" s="1606"/>
      <c r="BM60" s="1595"/>
      <c r="BN60" s="1606"/>
      <c r="BO60" s="1606"/>
      <c r="BP60" s="1595"/>
      <c r="BQ60" s="1606"/>
      <c r="BR60" s="1606"/>
      <c r="BS60" s="1606"/>
      <c r="BT60" s="1606"/>
      <c r="BU60" s="1606"/>
      <c r="BV60" s="1606">
        <f>BW60</f>
        <v>30.794479507533907</v>
      </c>
      <c r="BW60" s="1606">
        <f>'[44]индексация вода'!$R$32</f>
        <v>30.794479507533907</v>
      </c>
      <c r="BX60" s="1606"/>
      <c r="BY60" s="1606">
        <f>BZ60</f>
        <v>0</v>
      </c>
      <c r="BZ60" s="1606">
        <f>SUM('Транспортировка КЭМЗ'!I8)</f>
        <v>0</v>
      </c>
      <c r="CA60" s="1606"/>
      <c r="CB60" s="3578"/>
      <c r="CC60" s="365"/>
      <c r="CD60" s="365"/>
      <c r="CE60" s="365"/>
      <c r="CF60" s="1606">
        <f>CG60</f>
        <v>0</v>
      </c>
      <c r="CG60" s="1606">
        <f>SUM('Транспортировка КЭМЗ'!T8)</f>
        <v>0</v>
      </c>
      <c r="CH60" s="1606">
        <v>0</v>
      </c>
      <c r="CI60" s="1606">
        <f>CJ60</f>
        <v>0</v>
      </c>
      <c r="CJ60" s="1606">
        <v>0</v>
      </c>
      <c r="CK60" s="1606">
        <v>0</v>
      </c>
      <c r="CL60" s="1606">
        <f>CM60</f>
        <v>0</v>
      </c>
      <c r="CM60" s="1606">
        <v>0</v>
      </c>
      <c r="CN60" s="1606">
        <v>0</v>
      </c>
      <c r="CO60" s="1606">
        <f>CP60</f>
        <v>0</v>
      </c>
      <c r="CP60" s="1606">
        <f>SUM('Транспортировка КЭМЗ'!Z8)</f>
        <v>0</v>
      </c>
      <c r="CQ60" s="1606">
        <v>0</v>
      </c>
      <c r="CR60" s="2374">
        <f>CS60</f>
        <v>0</v>
      </c>
      <c r="CS60" s="2374">
        <f>SUM('Транспортировка КЭМЗ'!K8)</f>
        <v>0</v>
      </c>
      <c r="CT60" s="2374">
        <v>0</v>
      </c>
      <c r="CU60" s="4103">
        <f>CV60</f>
        <v>0</v>
      </c>
      <c r="CV60" s="4103">
        <f>SUM('Транспортировка КЭМЗ'!N8)</f>
        <v>0</v>
      </c>
      <c r="CW60" s="4103">
        <v>0</v>
      </c>
      <c r="CX60" s="2374">
        <f>CY60</f>
        <v>0</v>
      </c>
      <c r="CY60" s="2374">
        <v>0</v>
      </c>
      <c r="CZ60" s="2374">
        <v>0</v>
      </c>
      <c r="DA60" s="2374">
        <f>DB60</f>
        <v>0</v>
      </c>
      <c r="DB60" s="2374">
        <v>0</v>
      </c>
      <c r="DC60" s="2374">
        <v>0</v>
      </c>
      <c r="DD60" s="3489">
        <f>DE60</f>
        <v>0</v>
      </c>
      <c r="DE60" s="3489">
        <f>SUM('Транспортировка КЭМЗ'!AO8)</f>
        <v>0</v>
      </c>
      <c r="DF60" s="3489">
        <v>0</v>
      </c>
    </row>
    <row r="61" spans="1:143" ht="21" customHeight="1" x14ac:dyDescent="0.2">
      <c r="A61" s="3610" t="s">
        <v>2094</v>
      </c>
      <c r="B61" s="2652"/>
      <c r="C61" s="3611"/>
      <c r="D61" s="3611"/>
      <c r="E61" s="3611"/>
      <c r="F61" s="3611"/>
      <c r="G61" s="3611"/>
      <c r="H61" s="3611"/>
      <c r="I61" s="3584"/>
      <c r="J61" s="3584"/>
      <c r="K61" s="3584"/>
      <c r="L61" s="3584"/>
      <c r="M61" s="3584"/>
      <c r="N61" s="3584"/>
      <c r="O61" s="3584"/>
      <c r="P61" s="3584"/>
      <c r="Q61" s="3615"/>
      <c r="R61" s="3584"/>
      <c r="S61" s="3584"/>
      <c r="T61" s="3584"/>
      <c r="U61" s="3584"/>
      <c r="V61" s="3584"/>
      <c r="W61" s="3584"/>
      <c r="X61" s="3584"/>
      <c r="Y61" s="1606"/>
      <c r="Z61" s="1736"/>
      <c r="AA61" s="1606"/>
      <c r="AB61" s="1736"/>
      <c r="AC61" s="1606"/>
      <c r="AD61" s="1606"/>
      <c r="AE61" s="1606"/>
      <c r="AF61" s="1606"/>
      <c r="AG61" s="1606"/>
      <c r="AH61" s="1595"/>
      <c r="AI61" s="1610"/>
      <c r="AJ61" s="1606"/>
      <c r="AK61" s="1606"/>
      <c r="AL61" s="1595"/>
      <c r="AM61" s="1610"/>
      <c r="AN61" s="1606"/>
      <c r="AO61" s="1606"/>
      <c r="AP61" s="1598"/>
      <c r="AQ61" s="1598"/>
      <c r="AR61" s="1598"/>
      <c r="AS61" s="1598"/>
      <c r="AT61" s="1606"/>
      <c r="AU61" s="1606"/>
      <c r="AV61" s="1606"/>
      <c r="AW61" s="1606"/>
      <c r="AX61" s="1606"/>
      <c r="AY61" s="1606"/>
      <c r="AZ61" s="1595">
        <v>1162.33</v>
      </c>
      <c r="BA61" s="1610"/>
      <c r="BB61" s="1606">
        <v>1162.33</v>
      </c>
      <c r="BC61" s="1606"/>
      <c r="BD61" s="1595">
        <f>BE61+BF61</f>
        <v>395.92549126618718</v>
      </c>
      <c r="BE61" s="1606">
        <f>'Резерв ДЗ'!F7</f>
        <v>395.92549126618718</v>
      </c>
      <c r="BF61" s="1606"/>
      <c r="BG61" s="1595">
        <v>0</v>
      </c>
      <c r="BH61" s="1606">
        <f>'Резерв ДЗ'!I7</f>
        <v>0</v>
      </c>
      <c r="BI61" s="1606"/>
      <c r="BJ61" s="1595">
        <v>0</v>
      </c>
      <c r="BK61" s="1606">
        <v>0</v>
      </c>
      <c r="BL61" s="1606">
        <v>0</v>
      </c>
      <c r="BM61" s="1595">
        <f>BN61+BO61</f>
        <v>436.83499999999998</v>
      </c>
      <c r="BN61" s="1606">
        <v>436.83499999999998</v>
      </c>
      <c r="BO61" s="1606"/>
      <c r="BP61" s="1595">
        <f>BQ61+BR61</f>
        <v>0</v>
      </c>
      <c r="BQ61" s="1606"/>
      <c r="BR61" s="1606"/>
      <c r="BS61" s="1595">
        <f>BT61+BU61</f>
        <v>294.81</v>
      </c>
      <c r="BT61" s="1606">
        <v>294.81</v>
      </c>
      <c r="BU61" s="1606">
        <v>0</v>
      </c>
      <c r="BV61" s="1595">
        <f>BW61+BX61</f>
        <v>294.81</v>
      </c>
      <c r="BW61" s="1606">
        <f>BT61</f>
        <v>294.81</v>
      </c>
      <c r="BX61" s="1606">
        <v>0</v>
      </c>
      <c r="BY61" s="1595">
        <f>BZ61+CA61</f>
        <v>294.81</v>
      </c>
      <c r="BZ61" s="1606">
        <f>BW61</f>
        <v>294.81</v>
      </c>
      <c r="CA61" s="1606">
        <v>0</v>
      </c>
      <c r="CB61" s="3578" t="s">
        <v>963</v>
      </c>
      <c r="CC61" s="365"/>
      <c r="CD61" s="365"/>
      <c r="CE61" s="365"/>
      <c r="CF61" s="1595">
        <f>CG61+CH61</f>
        <v>294.80500000000001</v>
      </c>
      <c r="CG61" s="1606">
        <f>SUM('рез к 2018-2024 (кор) '!G59:G62)</f>
        <v>294.80500000000001</v>
      </c>
      <c r="CH61" s="1606">
        <v>0</v>
      </c>
      <c r="CI61" s="1595">
        <f>CJ61+CK61</f>
        <v>0</v>
      </c>
      <c r="CJ61" s="1606">
        <v>0</v>
      </c>
      <c r="CK61" s="1606">
        <v>0</v>
      </c>
      <c r="CL61" s="1595">
        <f>CM61+CN61</f>
        <v>0</v>
      </c>
      <c r="CM61" s="1606">
        <v>0</v>
      </c>
      <c r="CN61" s="1606">
        <v>0</v>
      </c>
      <c r="CO61" s="1595">
        <f>CP61+CQ61</f>
        <v>0</v>
      </c>
      <c r="CP61" s="1606">
        <f>CM61</f>
        <v>0</v>
      </c>
      <c r="CQ61" s="1606">
        <v>0</v>
      </c>
      <c r="CR61" s="3650">
        <f>CS61+CT61</f>
        <v>361.3957437703653</v>
      </c>
      <c r="CS61" s="2374">
        <f>SUM('рез к 2018-2024 (кор) '!F69:F72)</f>
        <v>361.3957437703653</v>
      </c>
      <c r="CT61" s="2374">
        <v>0</v>
      </c>
      <c r="CU61" s="4136">
        <f>CV61+CW61</f>
        <v>0</v>
      </c>
      <c r="CV61" s="4103">
        <f>SUM('рез к 2018-2024 (кор) '!G69:G72)</f>
        <v>0</v>
      </c>
      <c r="CW61" s="4103">
        <v>0</v>
      </c>
      <c r="CX61" s="3650">
        <f>CY61+CZ61</f>
        <v>0</v>
      </c>
      <c r="CY61" s="2374">
        <v>0</v>
      </c>
      <c r="CZ61" s="2374">
        <v>0</v>
      </c>
      <c r="DA61" s="3650">
        <f>DB61+DC61</f>
        <v>0</v>
      </c>
      <c r="DB61" s="2374">
        <v>0</v>
      </c>
      <c r="DC61" s="2374">
        <v>0</v>
      </c>
      <c r="DD61" s="4030">
        <f>DE61+DF61</f>
        <v>0</v>
      </c>
      <c r="DE61" s="3489">
        <f>DB61</f>
        <v>0</v>
      </c>
      <c r="DF61" s="3489">
        <v>0</v>
      </c>
    </row>
    <row r="62" spans="1:143" ht="42" customHeight="1" x14ac:dyDescent="0.2">
      <c r="A62" s="3616" t="s">
        <v>506</v>
      </c>
      <c r="B62" s="2652"/>
      <c r="C62" s="3611"/>
      <c r="D62" s="1743"/>
      <c r="E62" s="3611"/>
      <c r="F62" s="1743"/>
      <c r="G62" s="3611"/>
      <c r="H62" s="1743"/>
      <c r="I62" s="3584"/>
      <c r="J62" s="3584"/>
      <c r="K62" s="3584"/>
      <c r="L62" s="3584"/>
      <c r="M62" s="3614"/>
      <c r="N62" s="3614"/>
      <c r="O62" s="3584"/>
      <c r="P62" s="3614"/>
      <c r="Q62" s="3615"/>
      <c r="R62" s="3614"/>
      <c r="S62" s="3614"/>
      <c r="T62" s="3584"/>
      <c r="U62" s="3584"/>
      <c r="V62" s="3584"/>
      <c r="W62" s="3584"/>
      <c r="X62" s="3584"/>
      <c r="Y62" s="1606"/>
      <c r="Z62" s="1609"/>
      <c r="AA62" s="1606"/>
      <c r="AB62" s="1609"/>
      <c r="AC62" s="1606"/>
      <c r="AD62" s="1606"/>
      <c r="AE62" s="1606"/>
      <c r="AF62" s="1606"/>
      <c r="AG62" s="1606"/>
      <c r="AH62" s="1595">
        <f t="shared" si="37"/>
        <v>1147.31</v>
      </c>
      <c r="AI62" s="1610"/>
      <c r="AJ62" s="1606">
        <v>1147.31</v>
      </c>
      <c r="AK62" s="1606">
        <v>0</v>
      </c>
      <c r="AL62" s="1595">
        <f t="shared" si="39"/>
        <v>1287.3</v>
      </c>
      <c r="AM62" s="1610"/>
      <c r="AN62" s="1606">
        <v>1269.8</v>
      </c>
      <c r="AO62" s="1606">
        <v>17.5</v>
      </c>
      <c r="AP62" s="1598"/>
      <c r="AQ62" s="1598"/>
      <c r="AR62" s="1598"/>
      <c r="AS62" s="1598"/>
      <c r="AT62" s="1606"/>
      <c r="AU62" s="1606"/>
      <c r="AV62" s="1606"/>
      <c r="AW62" s="1606"/>
      <c r="AX62" s="1606"/>
      <c r="AY62" s="1606"/>
      <c r="AZ62" s="1606">
        <v>1785.8</v>
      </c>
      <c r="BA62" s="1611">
        <f t="shared" si="436"/>
        <v>1.3872446205235764</v>
      </c>
      <c r="BB62" s="1606">
        <f>SUM(AZ62)</f>
        <v>1785.8</v>
      </c>
      <c r="BC62" s="1606">
        <v>0</v>
      </c>
      <c r="BD62" s="1595">
        <f>BE62+BF62</f>
        <v>1785.8</v>
      </c>
      <c r="BE62" s="1606">
        <f>'Выпадающ15-16'!G14</f>
        <v>1785.8</v>
      </c>
      <c r="BF62" s="1606">
        <v>0</v>
      </c>
      <c r="BG62" s="1595">
        <v>0</v>
      </c>
      <c r="BH62" s="1606">
        <f>'Выпадающ15-16'!J14</f>
        <v>0</v>
      </c>
      <c r="BI62" s="1606">
        <v>0</v>
      </c>
      <c r="BJ62" s="1595">
        <v>0</v>
      </c>
      <c r="BK62" s="1606">
        <f>'Выпадающ15-16'!M14</f>
        <v>0</v>
      </c>
      <c r="BL62" s="1606">
        <v>0</v>
      </c>
      <c r="BM62" s="1595">
        <f>BN62+BO62</f>
        <v>0</v>
      </c>
      <c r="BN62" s="1606">
        <f>'Выпадающ15-16'!P14</f>
        <v>0</v>
      </c>
      <c r="BO62" s="1606">
        <v>0</v>
      </c>
      <c r="BP62" s="1595">
        <f>BQ62+BR62</f>
        <v>0</v>
      </c>
      <c r="BQ62" s="1606">
        <f>'Выпадающ15-16'!S14</f>
        <v>0</v>
      </c>
      <c r="BR62" s="1606">
        <v>0</v>
      </c>
      <c r="BS62" s="1595">
        <v>0</v>
      </c>
      <c r="BT62" s="1606">
        <f>'Выпадающ15-16'!P14</f>
        <v>0</v>
      </c>
      <c r="BU62" s="1606">
        <v>0</v>
      </c>
      <c r="BV62" s="1595">
        <v>0</v>
      </c>
      <c r="BW62" s="1606">
        <v>0</v>
      </c>
      <c r="BX62" s="1606">
        <v>0</v>
      </c>
      <c r="BY62" s="1595">
        <v>0</v>
      </c>
      <c r="BZ62" s="1606">
        <v>0</v>
      </c>
      <c r="CA62" s="1606">
        <v>0</v>
      </c>
      <c r="CB62" s="3578" t="s">
        <v>963</v>
      </c>
      <c r="CC62" s="365"/>
      <c r="CD62" s="365"/>
      <c r="CE62" s="365"/>
      <c r="CF62" s="1595">
        <v>0</v>
      </c>
      <c r="CG62" s="1606">
        <v>0</v>
      </c>
      <c r="CH62" s="1606">
        <v>0</v>
      </c>
      <c r="CI62" s="1595">
        <v>0</v>
      </c>
      <c r="CJ62" s="1606">
        <v>0</v>
      </c>
      <c r="CK62" s="1606">
        <v>0</v>
      </c>
      <c r="CL62" s="1595">
        <v>0</v>
      </c>
      <c r="CM62" s="1606">
        <v>0</v>
      </c>
      <c r="CN62" s="1606">
        <v>0</v>
      </c>
      <c r="CO62" s="3648">
        <v>-0.02</v>
      </c>
      <c r="CP62" s="3648">
        <v>-0.02</v>
      </c>
      <c r="CQ62" s="3648">
        <v>0</v>
      </c>
      <c r="CR62" s="3655">
        <f>SUM(CS62:CT62)</f>
        <v>0</v>
      </c>
      <c r="CS62" s="3655">
        <v>0</v>
      </c>
      <c r="CT62" s="3655">
        <v>0</v>
      </c>
      <c r="CU62" s="4137">
        <f>SUM(CV62:CW62)</f>
        <v>0</v>
      </c>
      <c r="CV62" s="4137">
        <v>0</v>
      </c>
      <c r="CW62" s="4137">
        <v>0</v>
      </c>
      <c r="CX62" s="3650">
        <v>0</v>
      </c>
      <c r="CY62" s="2374">
        <v>0</v>
      </c>
      <c r="CZ62" s="2374">
        <v>0</v>
      </c>
      <c r="DA62" s="3650">
        <v>0</v>
      </c>
      <c r="DB62" s="2374">
        <v>0</v>
      </c>
      <c r="DC62" s="2374">
        <v>0</v>
      </c>
      <c r="DD62" s="4031">
        <v>-0.02</v>
      </c>
      <c r="DE62" s="4031">
        <v>-0.02</v>
      </c>
      <c r="DF62" s="4031">
        <v>0</v>
      </c>
    </row>
    <row r="63" spans="1:143" s="2219" customFormat="1" ht="21" customHeight="1" x14ac:dyDescent="0.2">
      <c r="A63" s="3624" t="s">
        <v>3674</v>
      </c>
      <c r="B63" s="3582" t="e">
        <f>#REF!+B17+B27+B35+B52+B58</f>
        <v>#REF!</v>
      </c>
      <c r="C63" s="3625" t="e">
        <f>#REF!+C17+C27+C35+C52+C58</f>
        <v>#REF!</v>
      </c>
      <c r="D63" s="3626" t="e">
        <f>C63/B63*100</f>
        <v>#REF!</v>
      </c>
      <c r="E63" s="3625">
        <f>E8+E17+E27+E35+E52+E58</f>
        <v>91860.9</v>
      </c>
      <c r="F63" s="3625" t="e">
        <f>#REF!+F17+F27+F35+F52+F58</f>
        <v>#REF!</v>
      </c>
      <c r="G63" s="3625">
        <f>G8+G17+G27+G35+G52+G58</f>
        <v>106293.40000000001</v>
      </c>
      <c r="H63" s="3626">
        <f t="shared" si="31"/>
        <v>115.71125473405988</v>
      </c>
      <c r="I63" s="3627">
        <f>I8+I17+I27+I35+I52+I58</f>
        <v>99255.762351999991</v>
      </c>
      <c r="J63" s="3627" t="e">
        <f>#REF!+J17+J27+J35+J52+J58</f>
        <v>#REF!</v>
      </c>
      <c r="K63" s="3627">
        <f>K8+K17+K27+K35+K52+K58</f>
        <v>78008.310588443768</v>
      </c>
      <c r="L63" s="3627">
        <f>L8+L17+L27+L35+L52+L58</f>
        <v>112599.10000000002</v>
      </c>
      <c r="M63" s="3627" t="e">
        <f>#REF!+M17+M27+M35+M52+M58</f>
        <v>#REF!</v>
      </c>
      <c r="N63" s="3628">
        <f t="shared" si="33"/>
        <v>105.93235327875486</v>
      </c>
      <c r="O63" s="3627">
        <f>O8+O17+O27+O35+O52+O58</f>
        <v>131545.64200056618</v>
      </c>
      <c r="P63" s="3628">
        <f t="shared" si="34"/>
        <v>132.53199500302418</v>
      </c>
      <c r="Q63" s="3629" t="e">
        <f t="shared" ref="Q63:Y63" si="437">Q8+Q17+Q27+Q35+Q52+Q58</f>
        <v>#REF!</v>
      </c>
      <c r="R63" s="3627" t="e">
        <f t="shared" si="437"/>
        <v>#REF!</v>
      </c>
      <c r="S63" s="3627" t="e">
        <f t="shared" si="437"/>
        <v>#REF!</v>
      </c>
      <c r="T63" s="3627" t="e">
        <f t="shared" si="437"/>
        <v>#REF!</v>
      </c>
      <c r="U63" s="3627" t="e">
        <f t="shared" si="437"/>
        <v>#REF!</v>
      </c>
      <c r="V63" s="3627" t="e">
        <f t="shared" si="437"/>
        <v>#REF!</v>
      </c>
      <c r="W63" s="3627" t="e">
        <f t="shared" si="437"/>
        <v>#REF!</v>
      </c>
      <c r="X63" s="3627" t="e">
        <f t="shared" si="437"/>
        <v>#REF!</v>
      </c>
      <c r="Y63" s="2738">
        <f t="shared" si="437"/>
        <v>138793.20000000001</v>
      </c>
      <c r="Z63" s="3630" t="e">
        <f t="shared" si="35"/>
        <v>#REF!</v>
      </c>
      <c r="AA63" s="2738" t="e">
        <f>AA8+AA17+AA27+AA35+AA52+AA58</f>
        <v>#REF!</v>
      </c>
      <c r="AB63" s="3630" t="e">
        <f t="shared" ref="AB63:AB83" si="438">AA63/Q63</f>
        <v>#REF!</v>
      </c>
      <c r="AC63" s="2738" t="e">
        <f>AC8+AC17+AC27+AC35+AC52+AC58+0.02</f>
        <v>#REF!</v>
      </c>
      <c r="AD63" s="2738" t="e">
        <f>AD8+AD17+AD27+AD35+AD52+AD58</f>
        <v>#REF!</v>
      </c>
      <c r="AE63" s="2738">
        <f>AE8+AE17+AE27+AE35+AE52+AE58</f>
        <v>113320.02939110002</v>
      </c>
      <c r="AF63" s="2738">
        <f>AF8+AF17+AF27+AF35+AF52+AF58</f>
        <v>112515.45483007004</v>
      </c>
      <c r="AG63" s="2738">
        <f>AG8+AG17+AG27+AG35+AG52+AG58</f>
        <v>804.57456102995798</v>
      </c>
      <c r="AH63" s="3631">
        <f t="shared" si="37"/>
        <v>121571.42432999999</v>
      </c>
      <c r="AI63" s="3632" t="e">
        <f t="shared" si="38"/>
        <v>#REF!</v>
      </c>
      <c r="AJ63" s="2738">
        <f>AJ8+AJ17+AJ27+AJ35+AJ52+AJ58+AJ62</f>
        <v>120777.48432999999</v>
      </c>
      <c r="AK63" s="2738">
        <f>AK8+AK17+AK27+AK35+AK52+AK58</f>
        <v>793.93999999999994</v>
      </c>
      <c r="AL63" s="3631" t="e">
        <f t="shared" si="39"/>
        <v>#REF!</v>
      </c>
      <c r="AM63" s="3632" t="e">
        <f t="shared" si="40"/>
        <v>#REF!</v>
      </c>
      <c r="AN63" s="2738" t="e">
        <f>AN8+AN17+AN27+AN35+AN52+AN58+AN62</f>
        <v>#REF!</v>
      </c>
      <c r="AO63" s="2738">
        <f>AO8+AO17+AO27+AO35+AO52+AO58+AO62</f>
        <v>770.2208819402033</v>
      </c>
      <c r="AP63" s="3633" t="e">
        <f t="shared" si="41"/>
        <v>#REF!</v>
      </c>
      <c r="AQ63" s="3633" t="e">
        <f>AP63*AC63/AA63</f>
        <v>#REF!</v>
      </c>
      <c r="AR63" s="3633" t="e">
        <f t="shared" si="42"/>
        <v>#REF!</v>
      </c>
      <c r="AS63" s="3633" t="e">
        <f t="shared" si="303"/>
        <v>#REF!</v>
      </c>
      <c r="AT63" s="2738">
        <f t="shared" ref="AT63:AY63" si="439">AT8+AT17+AT27+AT35+AT52+AT58</f>
        <v>56673.297081399993</v>
      </c>
      <c r="AU63" s="2738">
        <f t="shared" si="439"/>
        <v>56463.165167590261</v>
      </c>
      <c r="AV63" s="2738">
        <f t="shared" si="439"/>
        <v>210.13191380973541</v>
      </c>
      <c r="AW63" s="2738">
        <f t="shared" si="439"/>
        <v>116214.42000000001</v>
      </c>
      <c r="AX63" s="2738">
        <f t="shared" si="439"/>
        <v>115906.65</v>
      </c>
      <c r="AY63" s="2738">
        <f t="shared" si="439"/>
        <v>307.77</v>
      </c>
      <c r="AZ63" s="3631">
        <f t="shared" ref="AZ63" si="440">SUM(BB63+BC63)</f>
        <v>135173.02728099888</v>
      </c>
      <c r="BA63" s="3634" t="e">
        <f t="shared" si="48"/>
        <v>#REF!</v>
      </c>
      <c r="BB63" s="2738">
        <f>BB8+BB17+BB27+BB35+BB52+BB58+BB62+BB61</f>
        <v>134749.65181062307</v>
      </c>
      <c r="BC63" s="2738">
        <f>BC8+BC17+BC27+BC35+BC52+BC58</f>
        <v>423.37547037580555</v>
      </c>
      <c r="BD63" s="2738">
        <f>BD8+BD17+BD27+BD35+BD52+BD58+BD62+BD61</f>
        <v>120520.29484348075</v>
      </c>
      <c r="BE63" s="2738">
        <f t="shared" ref="BE63:BL63" si="441">BE8+BE17+BE27+BE35+BE52+BE58+BE62+BE61</f>
        <v>120176.15591828243</v>
      </c>
      <c r="BF63" s="2738">
        <f t="shared" si="441"/>
        <v>344.13892519829579</v>
      </c>
      <c r="BG63" s="2738">
        <f t="shared" si="441"/>
        <v>120577.87999999999</v>
      </c>
      <c r="BH63" s="2738">
        <f t="shared" si="441"/>
        <v>120535.92999999998</v>
      </c>
      <c r="BI63" s="2738">
        <f t="shared" si="441"/>
        <v>41.95</v>
      </c>
      <c r="BJ63" s="2738">
        <f t="shared" si="441"/>
        <v>134891.4</v>
      </c>
      <c r="BK63" s="2738">
        <f t="shared" si="441"/>
        <v>134862.30000000002</v>
      </c>
      <c r="BL63" s="2738">
        <f t="shared" si="441"/>
        <v>29.1</v>
      </c>
      <c r="BM63" s="2738">
        <f>BM8+BM17+BM27+BM35+BM52+BM58+BM62+BM61</f>
        <v>128142.39290000002</v>
      </c>
      <c r="BN63" s="2738">
        <f>BN8+BN17+BN27+BN35+BN52+BN58+BN62+BN61</f>
        <v>127775.59400000003</v>
      </c>
      <c r="BO63" s="2738">
        <f>BO8+BO17+BO27+BO35+BO52+BO58+BO62+BO61</f>
        <v>366.7989</v>
      </c>
      <c r="BP63" s="2738">
        <f>BP8+BP17+BP27+BP35+BP52+BP58+BP62+BP61+BP43</f>
        <v>136436.86200000002</v>
      </c>
      <c r="BQ63" s="2738">
        <f t="shared" ref="BQ63:BR63" si="442">BQ8+BQ17+BQ27+BQ35+BQ52+BQ58+BQ62+BQ61+BQ43</f>
        <v>136412.62899999999</v>
      </c>
      <c r="BR63" s="2738">
        <f t="shared" si="442"/>
        <v>24.233000000000001</v>
      </c>
      <c r="BS63" s="2738">
        <f>BS8+BS17+BS27+BS35+BS52+BS58+BS62+BS61+BS43</f>
        <v>167633.91</v>
      </c>
      <c r="BT63" s="2738">
        <f t="shared" ref="BT63:BU63" si="443">BT8+BT17+BT27+BT35+BT52+BT58+BT62+BT61+BT43</f>
        <v>167534.61999999997</v>
      </c>
      <c r="BU63" s="2738">
        <f t="shared" si="443"/>
        <v>99.289999999999992</v>
      </c>
      <c r="BV63" s="2738">
        <f>BV8+BV17+BV27+BV35+BV52+BV58+BV62+BV61+BV43+BV59+BV60</f>
        <v>147574.92935394892</v>
      </c>
      <c r="BW63" s="2738">
        <f t="shared" ref="BW63:BX63" si="444">BW8+BW17+BW27+BW35+BW52+BW58+BW62+BW61+BW43+BW59+BW60</f>
        <v>147544.11811148544</v>
      </c>
      <c r="BX63" s="2738">
        <f t="shared" si="444"/>
        <v>30.811242463479257</v>
      </c>
      <c r="BY63" s="2738">
        <f>BY8+BY17+BY27+BY35+BY52+BY58+BY62+BY61+BY43+BY59+BY60</f>
        <v>163826.74145579251</v>
      </c>
      <c r="BZ63" s="2738">
        <f t="shared" ref="BZ63:CA63" si="445">BZ8+BZ17+BZ27+BZ35+BZ52+BZ58+BZ62+BZ61+BZ43+BZ59+BZ60</f>
        <v>163792.15655699334</v>
      </c>
      <c r="CA63" s="2738">
        <f t="shared" si="445"/>
        <v>34.598010465412173</v>
      </c>
      <c r="CB63" s="3446"/>
      <c r="CC63" s="365"/>
      <c r="CD63" s="365"/>
      <c r="CE63" s="365"/>
      <c r="CF63" s="2738">
        <f>CF8+CF17+CF27+CF35+CF52+CF58+CF62+CF61+CF43+CF59+CF60</f>
        <v>149856.70870371771</v>
      </c>
      <c r="CG63" s="2738">
        <f t="shared" ref="CG63:CH63" si="446">CG8+CG17+CG27+CG35+CG52+CG58+CG62+CG61+CG43+CG59+CG60</f>
        <v>149826.19082761329</v>
      </c>
      <c r="CH63" s="2738">
        <f t="shared" si="446"/>
        <v>30.517876104420505</v>
      </c>
      <c r="CI63" s="2738">
        <f>CI8+CI17+CI27+CI35+CI52+CI58+CI62+CI61+CI43+CI60-CI47</f>
        <v>72796.149798500002</v>
      </c>
      <c r="CJ63" s="2738">
        <f>CJ8+CJ17+CJ27+CJ35+CJ52+CJ58+CJ62+CJ61+CJ43+CJ60-CJ47</f>
        <v>72783.630038500007</v>
      </c>
      <c r="CK63" s="2738">
        <f>CK8+CK17+CK27+CK35+CK52+CK58+CK62+CK61+CK43+CK60</f>
        <v>12.51976</v>
      </c>
      <c r="CL63" s="2738">
        <f>CL8+CL17+CL27+CL35+CL52+CL58+CL62+CL61+CL43+CL60-CL47</f>
        <v>111672.54458316999</v>
      </c>
      <c r="CM63" s="2738">
        <f>CM8+CM17+CM27+CM35+CM52+CM58+CM62+CM61+CM43+CM60-CM47</f>
        <v>111653.58178317</v>
      </c>
      <c r="CN63" s="2738">
        <f>CN8+CN17+CN27+CN35+CN52+CN58+CN62+CN61+CN43+CN60</f>
        <v>18.962800000000001</v>
      </c>
      <c r="CO63" s="2738">
        <f>CO8+CO17+CO27+CO35+CO52+CO58+CO62+CO61+CO43+CO60-CO47</f>
        <v>147941.30603787999</v>
      </c>
      <c r="CP63" s="2738">
        <f>CP8+CP17+CP27+CP35+CP52+CP58+CP62+CP61+CP43+CP60-CP47</f>
        <v>147917.23693787999</v>
      </c>
      <c r="CQ63" s="2738">
        <f>CQ8+CQ17+CQ27+CQ35+CQ52+CQ58+CQ62+CQ61+CQ43+CQ60</f>
        <v>24.069100000000002</v>
      </c>
      <c r="CR63" s="3656">
        <f>CR8+CR17+CR27+CR35+CR52+CR58+CR62+CR61+CR43+CR60-CR47</f>
        <v>177997.77485092115</v>
      </c>
      <c r="CS63" s="3656">
        <f>CS8+CS17+CS27+CS35+CS52+CS58+CS62+CS61+CS43+CS60-CS47</f>
        <v>177938.59485403632</v>
      </c>
      <c r="CT63" s="3656">
        <f>CT8+CT17+CT27+CT35+CT52+CT58+CT62+CT61+CT43+CT60</f>
        <v>59.179996884835653</v>
      </c>
      <c r="CU63" s="4139">
        <f>CU8+CU17+CU27+CU35+CU52+CU58+CU62+CU61+CU43+CU60-CU47</f>
        <v>146374.02291889145</v>
      </c>
      <c r="CV63" s="4139">
        <f>CV8+CV17+CV27+CV35+CV52+CV58+CV62+CV61+CV43+CV60-CV47</f>
        <v>146345.08977326503</v>
      </c>
      <c r="CW63" s="4139">
        <f>CW8+CW17+CW27+CW35+CW52+CW58+CW62+CW61+CW43+CW60</f>
        <v>28.933145626442407</v>
      </c>
      <c r="CX63" s="3656">
        <f>CX8+CX17+CX27+CX35+CX52+CX58+CX62+CX61+CX43+CX60-CX47</f>
        <v>74098.735209999984</v>
      </c>
      <c r="CY63" s="3656">
        <f>CY8+CY17+CY27+CY35+CY52+CY58+CY62+CY61+CY43+CY60-CY47</f>
        <v>74088.261499999979</v>
      </c>
      <c r="CZ63" s="3656">
        <f>CZ8+CZ17+CZ27+CZ35+CZ52+CZ58+CZ62+CZ61+CZ43+CZ60</f>
        <v>10.473710000000001</v>
      </c>
      <c r="DA63" s="3656">
        <f>DA8+DA17+DA27+DA35+DA52+DA58+DA62+DA61+DA43+DA60-DA47</f>
        <v>107390.350721</v>
      </c>
      <c r="DB63" s="3656">
        <f>DB8+DB17+DB27+DB35+DB52+DB58+DB62+DB61+DB43+DB60-DB47</f>
        <v>107372.86429099999</v>
      </c>
      <c r="DC63" s="3656">
        <f>DC8+DC17+DC27+DC35+DC52+DC58+DC62+DC61+DC43+DC60</f>
        <v>17.486429999999999</v>
      </c>
      <c r="DD63" s="3735">
        <f>DD8+DD17+DD27+DD35+DD52+DD58+DD62+DD61+DD43+DD60-DD47</f>
        <v>17374.274937879996</v>
      </c>
      <c r="DE63" s="3735">
        <f>DE8+DE17+DE27+DE35+DE52+DE58+DE62+DE61+DE43+DE60-DE47</f>
        <v>17369.824937879996</v>
      </c>
      <c r="DF63" s="3735">
        <f>DF8+DF17+DF27+DF35+DF52+DF58+DF62+DF61+DF43+DF60</f>
        <v>4.4500000000000028</v>
      </c>
    </row>
    <row r="64" spans="1:143" s="2219" customFormat="1" ht="21" customHeight="1" x14ac:dyDescent="0.2">
      <c r="A64" s="3610" t="s">
        <v>13</v>
      </c>
      <c r="B64" s="3582"/>
      <c r="C64" s="3625"/>
      <c r="D64" s="3626"/>
      <c r="E64" s="3625"/>
      <c r="F64" s="3625"/>
      <c r="G64" s="3625"/>
      <c r="H64" s="3626"/>
      <c r="I64" s="3627"/>
      <c r="J64" s="3627"/>
      <c r="K64" s="3627"/>
      <c r="L64" s="3627"/>
      <c r="M64" s="3627"/>
      <c r="N64" s="3628"/>
      <c r="O64" s="3627"/>
      <c r="P64" s="3628"/>
      <c r="Q64" s="3629"/>
      <c r="R64" s="3627"/>
      <c r="S64" s="3627"/>
      <c r="T64" s="3627"/>
      <c r="U64" s="3627"/>
      <c r="V64" s="3627"/>
      <c r="W64" s="3627"/>
      <c r="X64" s="3627"/>
      <c r="Y64" s="2738"/>
      <c r="Z64" s="3630"/>
      <c r="AA64" s="2738"/>
      <c r="AB64" s="3630"/>
      <c r="AC64" s="2738"/>
      <c r="AD64" s="2738"/>
      <c r="AE64" s="2738"/>
      <c r="AF64" s="2738"/>
      <c r="AG64" s="2738"/>
      <c r="AH64" s="3631"/>
      <c r="AI64" s="3632"/>
      <c r="AJ64" s="2738"/>
      <c r="AK64" s="2738"/>
      <c r="AL64" s="3631"/>
      <c r="AM64" s="3632"/>
      <c r="AN64" s="2738"/>
      <c r="AO64" s="2738"/>
      <c r="AP64" s="3633"/>
      <c r="AQ64" s="3633"/>
      <c r="AR64" s="3633"/>
      <c r="AS64" s="3633"/>
      <c r="AT64" s="2738"/>
      <c r="AU64" s="2738"/>
      <c r="AV64" s="2738"/>
      <c r="AW64" s="2738"/>
      <c r="AX64" s="2738"/>
      <c r="AY64" s="2738"/>
      <c r="AZ64" s="3631"/>
      <c r="BA64" s="3634"/>
      <c r="BB64" s="2738"/>
      <c r="BC64" s="2738"/>
      <c r="BD64" s="2738"/>
      <c r="BE64" s="2738"/>
      <c r="BF64" s="2738"/>
      <c r="BG64" s="2738"/>
      <c r="BH64" s="2738"/>
      <c r="BI64" s="2738"/>
      <c r="BJ64" s="2738"/>
      <c r="BK64" s="2738"/>
      <c r="BL64" s="2738"/>
      <c r="BM64" s="2738">
        <f>SUM(BM151)</f>
        <v>3621.42</v>
      </c>
      <c r="BN64" s="2738">
        <f t="shared" ref="BN64:CQ64" si="447">SUM(BN151)</f>
        <v>3600</v>
      </c>
      <c r="BO64" s="2738">
        <f t="shared" si="447"/>
        <v>21.42</v>
      </c>
      <c r="BP64" s="2738">
        <f t="shared" si="447"/>
        <v>3659.8610000000003</v>
      </c>
      <c r="BQ64" s="2738">
        <f t="shared" si="447"/>
        <v>3658.53</v>
      </c>
      <c r="BR64" s="2738">
        <f t="shared" si="447"/>
        <v>1.331</v>
      </c>
      <c r="BS64" s="2738">
        <f t="shared" si="447"/>
        <v>3605</v>
      </c>
      <c r="BT64" s="2738">
        <f t="shared" si="447"/>
        <v>3600</v>
      </c>
      <c r="BU64" s="2738">
        <f t="shared" si="447"/>
        <v>5</v>
      </c>
      <c r="BV64" s="2738">
        <f t="shared" si="447"/>
        <v>3662.3949233333333</v>
      </c>
      <c r="BW64" s="2738">
        <f t="shared" si="447"/>
        <v>3660.6249233333333</v>
      </c>
      <c r="BX64" s="2738">
        <f t="shared" si="447"/>
        <v>1.77</v>
      </c>
      <c r="BY64" s="2738">
        <f t="shared" si="447"/>
        <v>3662.3949233333333</v>
      </c>
      <c r="BZ64" s="2738">
        <f t="shared" si="447"/>
        <v>3660.6249233333333</v>
      </c>
      <c r="CA64" s="2738">
        <f t="shared" si="447"/>
        <v>1.77</v>
      </c>
      <c r="CB64" s="2738">
        <f t="shared" si="447"/>
        <v>0</v>
      </c>
      <c r="CC64" s="2738">
        <f t="shared" si="447"/>
        <v>0</v>
      </c>
      <c r="CD64" s="2738">
        <f t="shared" si="447"/>
        <v>0</v>
      </c>
      <c r="CE64" s="2738">
        <f t="shared" si="447"/>
        <v>0</v>
      </c>
      <c r="CF64" s="2738">
        <f t="shared" si="447"/>
        <v>3474.7299999999996</v>
      </c>
      <c r="CG64" s="2738">
        <f t="shared" si="447"/>
        <v>3472.9599999999996</v>
      </c>
      <c r="CH64" s="2738">
        <f t="shared" si="447"/>
        <v>1.77</v>
      </c>
      <c r="CI64" s="2738">
        <f t="shared" si="447"/>
        <v>1751.489</v>
      </c>
      <c r="CJ64" s="2738">
        <f t="shared" si="447"/>
        <v>1750.931</v>
      </c>
      <c r="CK64" s="2738">
        <f t="shared" si="447"/>
        <v>0.55800000000000005</v>
      </c>
      <c r="CL64" s="2738">
        <f t="shared" si="447"/>
        <v>2639.2570000000005</v>
      </c>
      <c r="CM64" s="2738">
        <f t="shared" si="447"/>
        <v>2638.4280000000003</v>
      </c>
      <c r="CN64" s="2738">
        <f t="shared" si="447"/>
        <v>0.82899999999999996</v>
      </c>
      <c r="CO64" s="2738">
        <f t="shared" si="447"/>
        <v>3529.002</v>
      </c>
      <c r="CP64" s="2738">
        <f t="shared" si="447"/>
        <v>3527.873</v>
      </c>
      <c r="CQ64" s="2738">
        <f t="shared" si="447"/>
        <v>1.129</v>
      </c>
      <c r="CR64" s="3656">
        <f t="shared" ref="CR64:CT64" si="448">SUM(CR151)</f>
        <v>3474.7299999999996</v>
      </c>
      <c r="CS64" s="3656">
        <f t="shared" si="448"/>
        <v>3472.9599999999996</v>
      </c>
      <c r="CT64" s="3656">
        <f t="shared" si="448"/>
        <v>1.77</v>
      </c>
      <c r="CU64" s="4139">
        <f t="shared" ref="CU64:CW64" si="449">SUM(CU151)</f>
        <v>3506.4398000000001</v>
      </c>
      <c r="CV64" s="4139">
        <f t="shared" si="449"/>
        <v>3504.67</v>
      </c>
      <c r="CW64" s="4139">
        <f t="shared" si="449"/>
        <v>1.7698</v>
      </c>
      <c r="CX64" s="3656">
        <f t="shared" ref="CX64:DF64" si="450">SUM(CX151)</f>
        <v>1768.9229999999998</v>
      </c>
      <c r="CY64" s="3656">
        <f t="shared" si="450"/>
        <v>1768.3819999999998</v>
      </c>
      <c r="CZ64" s="3656">
        <f t="shared" si="450"/>
        <v>0.54100000000000004</v>
      </c>
      <c r="DA64" s="3656">
        <f t="shared" si="450"/>
        <v>2633.047</v>
      </c>
      <c r="DB64" s="3656">
        <f t="shared" si="450"/>
        <v>2632.3209999999999</v>
      </c>
      <c r="DC64" s="3656">
        <f t="shared" si="450"/>
        <v>0.72599999999999998</v>
      </c>
      <c r="DD64" s="3735">
        <f t="shared" si="450"/>
        <v>0</v>
      </c>
      <c r="DE64" s="3735">
        <f t="shared" si="450"/>
        <v>0</v>
      </c>
      <c r="DF64" s="3735">
        <f t="shared" si="450"/>
        <v>0</v>
      </c>
      <c r="DG64" s="523"/>
      <c r="DH64" s="523"/>
      <c r="DI64" s="523"/>
      <c r="DJ64" s="523"/>
      <c r="DK64" s="523"/>
      <c r="DL64" s="523"/>
      <c r="DM64" s="523"/>
      <c r="DN64" s="523"/>
      <c r="DO64" s="523"/>
      <c r="DP64" s="523"/>
      <c r="DQ64" s="523"/>
      <c r="DR64" s="523"/>
      <c r="DS64" s="523"/>
      <c r="DT64" s="523"/>
      <c r="DU64" s="523"/>
      <c r="DV64" s="523"/>
      <c r="DW64" s="523"/>
      <c r="DX64" s="523"/>
      <c r="DY64" s="523"/>
      <c r="DZ64" s="523"/>
      <c r="EA64" s="523"/>
      <c r="EB64" s="523"/>
      <c r="EC64" s="523"/>
      <c r="ED64" s="523"/>
      <c r="EE64" s="523"/>
      <c r="EF64" s="523"/>
      <c r="EG64" s="523"/>
      <c r="EH64" s="523"/>
      <c r="EI64" s="523"/>
      <c r="EJ64" s="523"/>
      <c r="EK64" s="523"/>
      <c r="EL64" s="523"/>
      <c r="EM64" s="523"/>
    </row>
    <row r="65" spans="1:143" s="2219" customFormat="1" ht="21" customHeight="1" x14ac:dyDescent="0.2">
      <c r="A65" s="3635" t="s">
        <v>14</v>
      </c>
      <c r="B65" s="3636"/>
      <c r="C65" s="3637"/>
      <c r="D65" s="3638"/>
      <c r="E65" s="3637"/>
      <c r="F65" s="3637"/>
      <c r="G65" s="3637"/>
      <c r="H65" s="3638"/>
      <c r="I65" s="3639"/>
      <c r="J65" s="3639"/>
      <c r="K65" s="3639"/>
      <c r="L65" s="3639"/>
      <c r="M65" s="3639"/>
      <c r="N65" s="3640"/>
      <c r="O65" s="3639"/>
      <c r="P65" s="3640"/>
      <c r="Q65" s="3641"/>
      <c r="R65" s="3639"/>
      <c r="S65" s="3639"/>
      <c r="T65" s="3639"/>
      <c r="U65" s="3639"/>
      <c r="V65" s="3639"/>
      <c r="W65" s="3639"/>
      <c r="X65" s="3639"/>
      <c r="Y65" s="3642"/>
      <c r="Z65" s="3643"/>
      <c r="AA65" s="3642"/>
      <c r="AB65" s="3643"/>
      <c r="AC65" s="3642"/>
      <c r="AD65" s="3642"/>
      <c r="AE65" s="3642"/>
      <c r="AF65" s="3642"/>
      <c r="AG65" s="3642"/>
      <c r="AH65" s="3644"/>
      <c r="AI65" s="3645"/>
      <c r="AJ65" s="3642"/>
      <c r="AK65" s="3642"/>
      <c r="AL65" s="3644"/>
      <c r="AM65" s="3645"/>
      <c r="AN65" s="3642"/>
      <c r="AO65" s="3642"/>
      <c r="AP65" s="3646"/>
      <c r="AQ65" s="3646"/>
      <c r="AR65" s="3646"/>
      <c r="AS65" s="3646"/>
      <c r="AT65" s="3642"/>
      <c r="AU65" s="3642"/>
      <c r="AV65" s="3642"/>
      <c r="AW65" s="3642"/>
      <c r="AX65" s="3642"/>
      <c r="AY65" s="3642"/>
      <c r="AZ65" s="3644"/>
      <c r="BA65" s="3647"/>
      <c r="BB65" s="3642"/>
      <c r="BC65" s="3642"/>
      <c r="BD65" s="3642"/>
      <c r="BE65" s="3642"/>
      <c r="BF65" s="3642"/>
      <c r="BG65" s="3642"/>
      <c r="BH65" s="3642"/>
      <c r="BI65" s="3642"/>
      <c r="BJ65" s="3642"/>
      <c r="BK65" s="3642"/>
      <c r="BL65" s="3642"/>
      <c r="BM65" s="3642">
        <f>SUM(BM63/BM64)</f>
        <v>35.38457094178527</v>
      </c>
      <c r="BN65" s="3642">
        <f t="shared" ref="BN65:CN65" si="451">SUM(BN63/BN64)</f>
        <v>35.49322055555556</v>
      </c>
      <c r="BO65" s="3642">
        <f t="shared" si="451"/>
        <v>17.124131652661063</v>
      </c>
      <c r="BP65" s="3642">
        <f t="shared" si="451"/>
        <v>37.279246944077933</v>
      </c>
      <c r="BQ65" s="3642">
        <f t="shared" si="451"/>
        <v>37.286185708467606</v>
      </c>
      <c r="BR65" s="3642">
        <f t="shared" si="451"/>
        <v>18.206611570247937</v>
      </c>
      <c r="BS65" s="3642">
        <f t="shared" si="451"/>
        <v>46.50039112343967</v>
      </c>
      <c r="BT65" s="3642">
        <f t="shared" si="451"/>
        <v>46.537394444444438</v>
      </c>
      <c r="BU65" s="3642">
        <f t="shared" si="451"/>
        <v>19.857999999999997</v>
      </c>
      <c r="BV65" s="3642">
        <f t="shared" si="451"/>
        <v>40.294652117864288</v>
      </c>
      <c r="BW65" s="3642">
        <f t="shared" si="451"/>
        <v>40.305718614059224</v>
      </c>
      <c r="BX65" s="3642">
        <f t="shared" si="451"/>
        <v>17.407481617784892</v>
      </c>
      <c r="BY65" s="3642">
        <f t="shared" si="451"/>
        <v>44.732134268765698</v>
      </c>
      <c r="BZ65" s="3642">
        <f t="shared" si="451"/>
        <v>44.7443155164462</v>
      </c>
      <c r="CA65" s="3642">
        <f t="shared" si="451"/>
        <v>19.546898568029476</v>
      </c>
      <c r="CB65" s="3642" t="e">
        <f t="shared" si="451"/>
        <v>#DIV/0!</v>
      </c>
      <c r="CC65" s="3642" t="e">
        <f t="shared" si="451"/>
        <v>#DIV/0!</v>
      </c>
      <c r="CD65" s="3642" t="e">
        <f t="shared" si="451"/>
        <v>#DIV/0!</v>
      </c>
      <c r="CE65" s="3642" t="e">
        <f t="shared" si="451"/>
        <v>#DIV/0!</v>
      </c>
      <c r="CF65" s="3642">
        <f t="shared" si="451"/>
        <v>43.127583640662074</v>
      </c>
      <c r="CG65" s="3642">
        <f t="shared" si="451"/>
        <v>43.14077640618185</v>
      </c>
      <c r="CH65" s="3642">
        <f t="shared" si="451"/>
        <v>17.241737912101978</v>
      </c>
      <c r="CI65" s="3642">
        <f t="shared" si="451"/>
        <v>41.562436189151057</v>
      </c>
      <c r="CJ65" s="3642">
        <f t="shared" si="451"/>
        <v>41.568531277646009</v>
      </c>
      <c r="CK65" s="3642">
        <f t="shared" si="451"/>
        <v>22.436845878136197</v>
      </c>
      <c r="CL65" s="3642">
        <f t="shared" si="451"/>
        <v>42.31211457738673</v>
      </c>
      <c r="CM65" s="3642">
        <f t="shared" si="451"/>
        <v>42.318221980349655</v>
      </c>
      <c r="CN65" s="3642">
        <f t="shared" si="451"/>
        <v>22.874306393244876</v>
      </c>
      <c r="CO65" s="2738">
        <f t="shared" ref="CO65:CQ65" si="452">SUM(CO63/CO64)</f>
        <v>41.921570471731101</v>
      </c>
      <c r="CP65" s="2738">
        <f t="shared" si="452"/>
        <v>41.928163779671202</v>
      </c>
      <c r="CQ65" s="2738">
        <f t="shared" si="452"/>
        <v>21.318954827280781</v>
      </c>
      <c r="CR65" s="3656">
        <f t="shared" ref="CR65:CT65" si="453">SUM(CR63/CR64)</f>
        <v>51.226361429786252</v>
      </c>
      <c r="CS65" s="3656">
        <f t="shared" si="453"/>
        <v>51.235428814048056</v>
      </c>
      <c r="CT65" s="3656">
        <f t="shared" si="453"/>
        <v>33.435026488607711</v>
      </c>
      <c r="CU65" s="4139">
        <f t="shared" ref="CU65:CW65" si="454">SUM(CU63/CU64)</f>
        <v>41.744342201138444</v>
      </c>
      <c r="CV65" s="4139">
        <f t="shared" si="454"/>
        <v>41.757166801229509</v>
      </c>
      <c r="CW65" s="4139">
        <f t="shared" si="454"/>
        <v>16.348257219144767</v>
      </c>
      <c r="CX65" s="3978">
        <f t="shared" ref="CX65:DF65" si="455">SUM(CX63/CX64)</f>
        <v>41.88918071052273</v>
      </c>
      <c r="CY65" s="3978">
        <f t="shared" si="455"/>
        <v>41.896073076970914</v>
      </c>
      <c r="CZ65" s="3978">
        <f t="shared" si="455"/>
        <v>19.359907578558225</v>
      </c>
      <c r="DA65" s="3978">
        <f t="shared" si="455"/>
        <v>40.785580629969765</v>
      </c>
      <c r="DB65" s="3978">
        <f t="shared" si="455"/>
        <v>40.790186413815029</v>
      </c>
      <c r="DC65" s="3978">
        <f t="shared" si="455"/>
        <v>24.085991735537188</v>
      </c>
      <c r="DD65" s="3735" t="e">
        <f t="shared" si="455"/>
        <v>#DIV/0!</v>
      </c>
      <c r="DE65" s="3735" t="e">
        <f t="shared" si="455"/>
        <v>#DIV/0!</v>
      </c>
      <c r="DF65" s="3735" t="e">
        <f t="shared" si="455"/>
        <v>#DIV/0!</v>
      </c>
      <c r="DG65" s="523"/>
      <c r="DH65" s="523"/>
      <c r="DI65" s="523"/>
      <c r="DJ65" s="523"/>
      <c r="DK65" s="523"/>
      <c r="DL65" s="523"/>
      <c r="DM65" s="523"/>
      <c r="DN65" s="523"/>
      <c r="DO65" s="523"/>
      <c r="DP65" s="523"/>
      <c r="DQ65" s="523"/>
      <c r="DR65" s="523"/>
      <c r="DS65" s="523"/>
      <c r="DT65" s="523"/>
      <c r="DU65" s="523"/>
      <c r="DV65" s="523"/>
      <c r="DW65" s="523"/>
      <c r="DX65" s="523"/>
      <c r="DY65" s="523"/>
      <c r="DZ65" s="523"/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23"/>
    </row>
    <row r="66" spans="1:143" s="2219" customFormat="1" ht="69.75" customHeight="1" x14ac:dyDescent="0.2">
      <c r="A66" s="2739" t="s">
        <v>3675</v>
      </c>
      <c r="B66" s="2740"/>
      <c r="C66" s="2741"/>
      <c r="D66" s="2742"/>
      <c r="E66" s="2741"/>
      <c r="F66" s="2741"/>
      <c r="G66" s="2741"/>
      <c r="H66" s="2742"/>
      <c r="I66" s="2743"/>
      <c r="J66" s="2743"/>
      <c r="K66" s="2743"/>
      <c r="L66" s="2743"/>
      <c r="M66" s="2743"/>
      <c r="N66" s="2744"/>
      <c r="O66" s="2743"/>
      <c r="P66" s="2744"/>
      <c r="Q66" s="2745"/>
      <c r="R66" s="2743"/>
      <c r="S66" s="2743"/>
      <c r="T66" s="2743"/>
      <c r="U66" s="2743"/>
      <c r="V66" s="2743"/>
      <c r="W66" s="2743"/>
      <c r="X66" s="2743"/>
      <c r="Y66" s="2746"/>
      <c r="Z66" s="2747"/>
      <c r="AA66" s="2746"/>
      <c r="AB66" s="2747"/>
      <c r="AC66" s="2746"/>
      <c r="AD66" s="2746"/>
      <c r="AE66" s="2746"/>
      <c r="AF66" s="2746"/>
      <c r="AG66" s="2746"/>
      <c r="AH66" s="2748"/>
      <c r="AI66" s="2749"/>
      <c r="AJ66" s="2746"/>
      <c r="AK66" s="2746"/>
      <c r="AL66" s="2748"/>
      <c r="AM66" s="2749"/>
      <c r="AN66" s="2746"/>
      <c r="AO66" s="2746"/>
      <c r="AP66" s="2750"/>
      <c r="AQ66" s="2750"/>
      <c r="AR66" s="2750"/>
      <c r="AS66" s="2750"/>
      <c r="AT66" s="2746"/>
      <c r="AU66" s="2746"/>
      <c r="AV66" s="2746"/>
      <c r="AW66" s="2746"/>
      <c r="AX66" s="2746"/>
      <c r="AY66" s="2746"/>
      <c r="AZ66" s="2748"/>
      <c r="BA66" s="2751"/>
      <c r="BB66" s="2746"/>
      <c r="BC66" s="2746"/>
      <c r="BD66" s="2746"/>
      <c r="BE66" s="2746"/>
      <c r="BF66" s="2746"/>
      <c r="BG66" s="2746"/>
      <c r="BH66" s="2746"/>
      <c r="BI66" s="2746"/>
      <c r="BJ66" s="2746"/>
      <c r="BK66" s="2746"/>
      <c r="BL66" s="2746"/>
      <c r="BM66" s="2746"/>
      <c r="BN66" s="2746"/>
      <c r="BO66" s="2746"/>
      <c r="BP66" s="2746"/>
      <c r="BQ66" s="2746"/>
      <c r="BR66" s="2746"/>
      <c r="BS66" s="2746"/>
      <c r="BT66" s="2746"/>
      <c r="BU66" s="2746"/>
      <c r="BV66" s="2746"/>
      <c r="BW66" s="2746"/>
      <c r="BX66" s="2746"/>
      <c r="BY66" s="2746"/>
      <c r="BZ66" s="2746"/>
      <c r="CA66" s="2746"/>
      <c r="CB66" s="2752"/>
      <c r="CC66" s="3649"/>
      <c r="CD66" s="3649"/>
      <c r="CE66" s="3649"/>
      <c r="CF66" s="2746"/>
      <c r="CG66" s="2746"/>
      <c r="CH66" s="2746"/>
      <c r="CI66" s="2746"/>
      <c r="CJ66" s="2746">
        <f>SUM(CJ67:CJ68)</f>
        <v>8152.0592999999999</v>
      </c>
      <c r="CK66" s="2746">
        <f>SUM(CK67:CK68)</f>
        <v>0.43</v>
      </c>
      <c r="CL66" s="2746"/>
      <c r="CM66" s="2746">
        <f>SUM(CM67:CM68)</f>
        <v>11833.197039999999</v>
      </c>
      <c r="CN66" s="2746">
        <f>SUM(CN67:CN68)</f>
        <v>0.63376999999999994</v>
      </c>
      <c r="CO66" s="2746"/>
      <c r="CP66" s="2746">
        <f>SUM(CP67:CP68)</f>
        <v>16589.37</v>
      </c>
      <c r="CQ66" s="2746">
        <f>SUM(CQ67:CQ68)</f>
        <v>0.86399999999999999</v>
      </c>
      <c r="CR66" s="3657"/>
      <c r="CS66" s="3657">
        <f>SUM(CS67:CS68)</f>
        <v>19521.388914557308</v>
      </c>
      <c r="CT66" s="3657">
        <f>SUM(CT67:CT68)</f>
        <v>0.96866164251143072</v>
      </c>
      <c r="CU66" s="4167"/>
      <c r="CV66" s="4147">
        <f>SUM(CV67:CV68)</f>
        <v>12565.575762321121</v>
      </c>
      <c r="CW66" s="4147">
        <f>SUM(CW67:CW68)</f>
        <v>1.4756665607949733</v>
      </c>
      <c r="CX66" s="3657"/>
      <c r="CY66" s="3657">
        <f>SUM(CY67:CY68)</f>
        <v>8242.6339599999992</v>
      </c>
      <c r="CZ66" s="3657">
        <f>SUM(CZ67:CZ68)</f>
        <v>0.40139000000000002</v>
      </c>
      <c r="DA66" s="3657"/>
      <c r="DB66" s="3657">
        <f>SUM(DB67:DB68)</f>
        <v>11021.270900000001</v>
      </c>
      <c r="DC66" s="3657">
        <f>SUM(DC67:DC68)</f>
        <v>0.55088000000000004</v>
      </c>
      <c r="DD66" s="3602"/>
      <c r="DE66" s="3602">
        <f>SUM(DE67:DE68)</f>
        <v>0</v>
      </c>
      <c r="DF66" s="3602">
        <f>SUM(DF67:DF68)</f>
        <v>0</v>
      </c>
      <c r="DG66" s="523"/>
      <c r="DH66" s="523"/>
      <c r="DI66" s="523"/>
      <c r="DJ66" s="523"/>
      <c r="DK66" s="523"/>
      <c r="DL66" s="523"/>
      <c r="DM66" s="523"/>
      <c r="DN66" s="523"/>
      <c r="DO66" s="523"/>
      <c r="DP66" s="523"/>
      <c r="DQ66" s="523"/>
      <c r="DR66" s="523"/>
      <c r="DS66" s="523"/>
      <c r="DT66" s="523"/>
      <c r="DU66" s="523"/>
      <c r="DV66" s="523"/>
      <c r="DW66" s="523"/>
      <c r="DX66" s="523"/>
      <c r="DY66" s="523"/>
      <c r="DZ66" s="523"/>
      <c r="EA66" s="523"/>
      <c r="EB66" s="523"/>
      <c r="EC66" s="523"/>
      <c r="ED66" s="523"/>
      <c r="EE66" s="523"/>
      <c r="EF66" s="523"/>
      <c r="EG66" s="523"/>
      <c r="EH66" s="523"/>
      <c r="EI66" s="523"/>
      <c r="EJ66" s="523"/>
      <c r="EK66" s="523"/>
      <c r="EL66" s="523"/>
      <c r="EM66" s="523"/>
    </row>
    <row r="67" spans="1:143" s="2219" customFormat="1" ht="21" customHeight="1" x14ac:dyDescent="0.2">
      <c r="A67" s="2753" t="s">
        <v>3667</v>
      </c>
      <c r="B67" s="2740"/>
      <c r="C67" s="2741"/>
      <c r="D67" s="2742"/>
      <c r="E67" s="2741"/>
      <c r="F67" s="2741"/>
      <c r="G67" s="2741"/>
      <c r="H67" s="2742"/>
      <c r="I67" s="2743"/>
      <c r="J67" s="2743"/>
      <c r="K67" s="2743"/>
      <c r="L67" s="2743"/>
      <c r="M67" s="2743"/>
      <c r="N67" s="2744"/>
      <c r="O67" s="2743"/>
      <c r="P67" s="2744"/>
      <c r="Q67" s="2745"/>
      <c r="R67" s="2743"/>
      <c r="S67" s="2743"/>
      <c r="T67" s="2743"/>
      <c r="U67" s="2743"/>
      <c r="V67" s="2743"/>
      <c r="W67" s="2743"/>
      <c r="X67" s="2743"/>
      <c r="Y67" s="2746"/>
      <c r="Z67" s="2747"/>
      <c r="AA67" s="2746"/>
      <c r="AB67" s="2747"/>
      <c r="AC67" s="2746"/>
      <c r="AD67" s="2746"/>
      <c r="AE67" s="2746"/>
      <c r="AF67" s="2746"/>
      <c r="AG67" s="2746"/>
      <c r="AH67" s="2748"/>
      <c r="AI67" s="2749"/>
      <c r="AJ67" s="2746"/>
      <c r="AK67" s="2746"/>
      <c r="AL67" s="2748"/>
      <c r="AM67" s="2749"/>
      <c r="AN67" s="2746"/>
      <c r="AO67" s="2746"/>
      <c r="AP67" s="2750"/>
      <c r="AQ67" s="2750"/>
      <c r="AR67" s="2750"/>
      <c r="AS67" s="2750"/>
      <c r="AT67" s="2746"/>
      <c r="AU67" s="2746"/>
      <c r="AV67" s="2746"/>
      <c r="AW67" s="2746"/>
      <c r="AX67" s="2746"/>
      <c r="AY67" s="2746"/>
      <c r="AZ67" s="2748"/>
      <c r="BA67" s="2751"/>
      <c r="BB67" s="2746"/>
      <c r="BC67" s="2746"/>
      <c r="BD67" s="2746"/>
      <c r="BE67" s="2746"/>
      <c r="BF67" s="2746"/>
      <c r="BG67" s="2746"/>
      <c r="BH67" s="2746"/>
      <c r="BI67" s="2746"/>
      <c r="BJ67" s="2746"/>
      <c r="BK67" s="2746"/>
      <c r="BL67" s="2746"/>
      <c r="BM67" s="2746"/>
      <c r="BN67" s="2746"/>
      <c r="BO67" s="2746"/>
      <c r="BP67" s="2746"/>
      <c r="BQ67" s="2746"/>
      <c r="BR67" s="2746"/>
      <c r="BS67" s="2746"/>
      <c r="BT67" s="2746"/>
      <c r="BU67" s="2746"/>
      <c r="BV67" s="2746"/>
      <c r="BW67" s="2746"/>
      <c r="BX67" s="2746"/>
      <c r="BY67" s="2746"/>
      <c r="BZ67" s="2746"/>
      <c r="CA67" s="2746"/>
      <c r="CB67" s="2752"/>
      <c r="CC67" s="3649"/>
      <c r="CD67" s="3649"/>
      <c r="CE67" s="3649"/>
      <c r="CF67" s="2746"/>
      <c r="CG67" s="2746"/>
      <c r="CH67" s="2746"/>
      <c r="CI67" s="2746"/>
      <c r="CJ67" s="2754">
        <f>SUM('ЭЭ вода'!AF49+'цех вода'!AY18)</f>
        <v>8077.1093000000001</v>
      </c>
      <c r="CK67" s="2754">
        <f>SUM('ЭЭ вода'!AF50)</f>
        <v>0.41</v>
      </c>
      <c r="CL67" s="2754"/>
      <c r="CM67" s="2754">
        <f>SUM('ЭЭ вода'!AG49+'цех вода'!AZ18)</f>
        <v>11735.571</v>
      </c>
      <c r="CN67" s="2754">
        <f>SUM('ЭЭ вода'!AG50)</f>
        <v>0.60599999999999998</v>
      </c>
      <c r="CO67" s="2754"/>
      <c r="CP67" s="2754">
        <f>SUM('ЭЭ вода'!AH49+'цех вода'!BA18)</f>
        <v>16466.77</v>
      </c>
      <c r="CQ67" s="2754">
        <f>SUM('ЭЭ вода'!AH50)</f>
        <v>0.83</v>
      </c>
      <c r="CR67" s="3658"/>
      <c r="CS67" s="3658">
        <f>SUM('ЭЭ вода'!AI49+'цех вода'!BB18)</f>
        <v>19393.94527014983</v>
      </c>
      <c r="CT67" s="3658">
        <f>SUM('ЭЭ вода'!AI50)</f>
        <v>0.93316257572803196</v>
      </c>
      <c r="CU67" s="4166"/>
      <c r="CV67" s="4148">
        <f>SUM('ЭЭ вода'!AJ49+'Тепловая энергия (3 подъем)'!T10)</f>
        <v>12565.575762321121</v>
      </c>
      <c r="CW67" s="4148">
        <f>SUM('ЭЭ вода'!AJ50)</f>
        <v>1.4756665607949733</v>
      </c>
      <c r="CX67" s="3657"/>
      <c r="CY67" s="3658">
        <f>SUM('ЭЭ вода'!AK49+'цех вода'!BD18)</f>
        <v>8205.949779999999</v>
      </c>
      <c r="CZ67" s="3658">
        <f>SUM('ЭЭ вода'!AK50)</f>
        <v>0.39162000000000002</v>
      </c>
      <c r="DA67" s="3658"/>
      <c r="DB67" s="3658">
        <f>SUM('ЭЭ вода'!AL49+'цех вода'!BE18)</f>
        <v>10982.365000000002</v>
      </c>
      <c r="DC67" s="3658">
        <f>SUM('ЭЭ вода'!AL50)</f>
        <v>0.54</v>
      </c>
      <c r="DD67" s="3603"/>
      <c r="DE67" s="3603">
        <f>SUM('ЭЭ вода'!AW49+'цех вода'!BP18)</f>
        <v>0</v>
      </c>
      <c r="DF67" s="3603">
        <f>SUM('ЭЭ вода'!AW50)</f>
        <v>0</v>
      </c>
      <c r="DG67" s="523"/>
      <c r="DH67" s="523"/>
      <c r="DI67" s="523"/>
      <c r="DJ67" s="523"/>
      <c r="DK67" s="523"/>
      <c r="DL67" s="523"/>
      <c r="DM67" s="523"/>
      <c r="DN67" s="523"/>
      <c r="DO67" s="523"/>
      <c r="DP67" s="523"/>
      <c r="DQ67" s="523"/>
      <c r="DR67" s="523"/>
      <c r="DS67" s="523"/>
      <c r="DT67" s="523"/>
      <c r="DU67" s="523"/>
      <c r="DV67" s="523"/>
      <c r="DW67" s="523"/>
      <c r="DX67" s="523"/>
      <c r="DY67" s="523"/>
      <c r="DZ67" s="523"/>
      <c r="EA67" s="523"/>
      <c r="EB67" s="523"/>
      <c r="EC67" s="523"/>
      <c r="ED67" s="523"/>
      <c r="EE67" s="523"/>
      <c r="EF67" s="523"/>
      <c r="EG67" s="523"/>
      <c r="EH67" s="523"/>
      <c r="EI67" s="523"/>
      <c r="EJ67" s="523"/>
      <c r="EK67" s="523"/>
      <c r="EL67" s="523"/>
      <c r="EM67" s="523"/>
    </row>
    <row r="68" spans="1:143" s="2219" customFormat="1" ht="21" customHeight="1" x14ac:dyDescent="0.2">
      <c r="A68" s="2753" t="s">
        <v>3668</v>
      </c>
      <c r="B68" s="2740"/>
      <c r="C68" s="2741"/>
      <c r="D68" s="2742"/>
      <c r="E68" s="2741"/>
      <c r="F68" s="2741"/>
      <c r="G68" s="2741"/>
      <c r="H68" s="2742"/>
      <c r="I68" s="2743"/>
      <c r="J68" s="2743"/>
      <c r="K68" s="2743"/>
      <c r="L68" s="2743"/>
      <c r="M68" s="2743"/>
      <c r="N68" s="2744"/>
      <c r="O68" s="2743"/>
      <c r="P68" s="2744"/>
      <c r="Q68" s="2745"/>
      <c r="R68" s="2743"/>
      <c r="S68" s="2743"/>
      <c r="T68" s="2743"/>
      <c r="U68" s="2743"/>
      <c r="V68" s="2743"/>
      <c r="W68" s="2743"/>
      <c r="X68" s="2743"/>
      <c r="Y68" s="2746"/>
      <c r="Z68" s="2747"/>
      <c r="AA68" s="2746"/>
      <c r="AB68" s="2747"/>
      <c r="AC68" s="2746"/>
      <c r="AD68" s="2746"/>
      <c r="AE68" s="2746"/>
      <c r="AF68" s="2746"/>
      <c r="AG68" s="2746"/>
      <c r="AH68" s="2748"/>
      <c r="AI68" s="2749"/>
      <c r="AJ68" s="2746"/>
      <c r="AK68" s="2746"/>
      <c r="AL68" s="2748"/>
      <c r="AM68" s="2749"/>
      <c r="AN68" s="2746"/>
      <c r="AO68" s="2746"/>
      <c r="AP68" s="2750"/>
      <c r="AQ68" s="2750"/>
      <c r="AR68" s="2750"/>
      <c r="AS68" s="2750"/>
      <c r="AT68" s="2746"/>
      <c r="AU68" s="2746"/>
      <c r="AV68" s="2746"/>
      <c r="AW68" s="2746"/>
      <c r="AX68" s="2746"/>
      <c r="AY68" s="2746"/>
      <c r="AZ68" s="2748"/>
      <c r="BA68" s="2751"/>
      <c r="BB68" s="2746"/>
      <c r="BC68" s="2746"/>
      <c r="BD68" s="2746"/>
      <c r="BE68" s="2746"/>
      <c r="BF68" s="2746"/>
      <c r="BG68" s="2746"/>
      <c r="BH68" s="2746"/>
      <c r="BI68" s="2746"/>
      <c r="BJ68" s="2746"/>
      <c r="BK68" s="2746"/>
      <c r="BL68" s="2746"/>
      <c r="BM68" s="2746"/>
      <c r="BN68" s="2746"/>
      <c r="BO68" s="2746"/>
      <c r="BP68" s="2746"/>
      <c r="BQ68" s="2746"/>
      <c r="BR68" s="2746"/>
      <c r="BS68" s="2746"/>
      <c r="BT68" s="2746"/>
      <c r="BU68" s="2746"/>
      <c r="BV68" s="2746"/>
      <c r="BW68" s="2746"/>
      <c r="BX68" s="2746"/>
      <c r="BY68" s="2746"/>
      <c r="BZ68" s="2746"/>
      <c r="CA68" s="2746"/>
      <c r="CB68" s="2752"/>
      <c r="CC68" s="3649"/>
      <c r="CD68" s="3649"/>
      <c r="CE68" s="3649"/>
      <c r="CF68" s="2746"/>
      <c r="CG68" s="2746"/>
      <c r="CH68" s="2746"/>
      <c r="CI68" s="2746"/>
      <c r="CJ68" s="2754">
        <f>SUM('ОХР '!CC17+'ОХР '!CC21)</f>
        <v>74.95</v>
      </c>
      <c r="CK68" s="2754">
        <f>SUM('ОХР '!CD21+'ОХР '!CD17)</f>
        <v>0.02</v>
      </c>
      <c r="CL68" s="2754"/>
      <c r="CM68" s="2754">
        <f>SUM('ОХР '!CJ17+'ОХР '!CJ21)</f>
        <v>97.626040000000003</v>
      </c>
      <c r="CN68" s="2754">
        <f>SUM('ОХР '!CK21+'ОХР '!CK17)</f>
        <v>2.7770000000000003E-2</v>
      </c>
      <c r="CO68" s="2754"/>
      <c r="CP68" s="2754">
        <f>SUM('ОХР '!CQ17+'ОХР '!CQ21)</f>
        <v>122.6</v>
      </c>
      <c r="CQ68" s="2754">
        <f>SUM('ОХР '!CR17+'ОХР '!CR21)</f>
        <v>3.4000000000000002E-2</v>
      </c>
      <c r="CR68" s="3658"/>
      <c r="CS68" s="3658">
        <f>SUM('ОХР '!CX17+'ОХР '!CX21)</f>
        <v>127.44364440747938</v>
      </c>
      <c r="CT68" s="3658">
        <f>SUM('ОХР '!CY17+'ОХР '!CY21)</f>
        <v>3.5499066783398731E-2</v>
      </c>
      <c r="CU68" s="4166"/>
      <c r="CV68" s="4148">
        <v>0</v>
      </c>
      <c r="CW68" s="4148">
        <f>SUM('ОХР '!DB17+'ОХР '!DB21)</f>
        <v>0</v>
      </c>
      <c r="CX68" s="3657"/>
      <c r="CY68" s="3658">
        <f>SUM('ОХР '!DG17+'ОХР '!DG21)</f>
        <v>36.684180000000005</v>
      </c>
      <c r="CZ68" s="2416">
        <f>SUM('ОХР '!DH21+'ОХР '!DH17)</f>
        <v>9.7700000000000009E-3</v>
      </c>
      <c r="DA68" s="3658"/>
      <c r="DB68" s="3658">
        <f>SUM('ОХР '!DN17+'ОХР '!DN21)</f>
        <v>38.905899999999995</v>
      </c>
      <c r="DC68" s="2416">
        <f>SUM('ОХР '!DO21+'ОХР '!DO17)</f>
        <v>1.0879999999999999E-2</v>
      </c>
      <c r="DD68" s="3603"/>
      <c r="DE68" s="3603">
        <f>SUM('ОХР '!EC17+'ОХР '!EC21)</f>
        <v>0</v>
      </c>
      <c r="DF68" s="3603">
        <f>SUM('ОХР '!ED17+'ОХР '!ED21)</f>
        <v>0</v>
      </c>
      <c r="DG68" s="523"/>
      <c r="DH68" s="523"/>
      <c r="DI68" s="523"/>
      <c r="DJ68" s="523"/>
      <c r="DK68" s="523"/>
      <c r="DL68" s="523"/>
      <c r="DM68" s="523"/>
      <c r="DN68" s="523"/>
      <c r="DO68" s="523"/>
      <c r="DP68" s="523"/>
      <c r="DQ68" s="523"/>
      <c r="DR68" s="523"/>
      <c r="DS68" s="523"/>
      <c r="DT68" s="523"/>
      <c r="DU68" s="523"/>
      <c r="DV68" s="523"/>
      <c r="DW68" s="523"/>
      <c r="DX68" s="523"/>
      <c r="DY68" s="523"/>
      <c r="DZ68" s="523"/>
      <c r="EA68" s="523"/>
      <c r="EB68" s="523"/>
      <c r="EC68" s="523"/>
      <c r="ED68" s="523"/>
      <c r="EE68" s="523"/>
      <c r="EF68" s="523"/>
      <c r="EG68" s="523"/>
      <c r="EH68" s="523"/>
      <c r="EI68" s="523"/>
      <c r="EJ68" s="523"/>
      <c r="EK68" s="523"/>
      <c r="EL68" s="523"/>
      <c r="EM68" s="523"/>
    </row>
    <row r="69" spans="1:143" s="2219" customFormat="1" ht="21" customHeight="1" x14ac:dyDescent="0.2">
      <c r="A69" s="2755" t="s">
        <v>3676</v>
      </c>
      <c r="B69" s="2740"/>
      <c r="C69" s="2741"/>
      <c r="D69" s="2742"/>
      <c r="E69" s="2741"/>
      <c r="F69" s="2741"/>
      <c r="G69" s="2741"/>
      <c r="H69" s="2742"/>
      <c r="I69" s="2743"/>
      <c r="J69" s="2743"/>
      <c r="K69" s="2743"/>
      <c r="L69" s="2743"/>
      <c r="M69" s="2743"/>
      <c r="N69" s="2744"/>
      <c r="O69" s="2743"/>
      <c r="P69" s="2744"/>
      <c r="Q69" s="2745"/>
      <c r="R69" s="2743"/>
      <c r="S69" s="2743"/>
      <c r="T69" s="2743"/>
      <c r="U69" s="2743"/>
      <c r="V69" s="2743"/>
      <c r="W69" s="2743"/>
      <c r="X69" s="2743"/>
      <c r="Y69" s="2746"/>
      <c r="Z69" s="2747"/>
      <c r="AA69" s="2746"/>
      <c r="AB69" s="2747"/>
      <c r="AC69" s="2746"/>
      <c r="AD69" s="2746"/>
      <c r="AE69" s="2746"/>
      <c r="AF69" s="2746"/>
      <c r="AG69" s="2746"/>
      <c r="AH69" s="2748"/>
      <c r="AI69" s="2749"/>
      <c r="AJ69" s="2746"/>
      <c r="AK69" s="2746"/>
      <c r="AL69" s="2748"/>
      <c r="AM69" s="2749"/>
      <c r="AN69" s="2746"/>
      <c r="AO69" s="2746"/>
      <c r="AP69" s="2750"/>
      <c r="AQ69" s="2750"/>
      <c r="AR69" s="2750"/>
      <c r="AS69" s="2750"/>
      <c r="AT69" s="2746"/>
      <c r="AU69" s="2746"/>
      <c r="AV69" s="2746"/>
      <c r="AW69" s="2746"/>
      <c r="AX69" s="2746"/>
      <c r="AY69" s="2746"/>
      <c r="AZ69" s="2748"/>
      <c r="BA69" s="2751"/>
      <c r="BB69" s="2746"/>
      <c r="BC69" s="2746"/>
      <c r="BD69" s="2746"/>
      <c r="BE69" s="2746"/>
      <c r="BF69" s="2746"/>
      <c r="BG69" s="2746"/>
      <c r="BH69" s="2746"/>
      <c r="BI69" s="2746"/>
      <c r="BJ69" s="2746"/>
      <c r="BK69" s="2746"/>
      <c r="BL69" s="2746"/>
      <c r="BM69" s="2746"/>
      <c r="BN69" s="2746"/>
      <c r="BO69" s="2746"/>
      <c r="BP69" s="2746"/>
      <c r="BQ69" s="2746"/>
      <c r="BR69" s="2746"/>
      <c r="BS69" s="2746"/>
      <c r="BT69" s="2746"/>
      <c r="BU69" s="2746"/>
      <c r="BV69" s="2746"/>
      <c r="BW69" s="2746"/>
      <c r="BX69" s="2746"/>
      <c r="BY69" s="2746"/>
      <c r="BZ69" s="2746"/>
      <c r="CA69" s="2746"/>
      <c r="CB69" s="2752"/>
      <c r="CC69" s="3649"/>
      <c r="CD69" s="3649"/>
      <c r="CE69" s="3649"/>
      <c r="CF69" s="2746"/>
      <c r="CG69" s="2746"/>
      <c r="CH69" s="2746"/>
      <c r="CI69" s="2746"/>
      <c r="CJ69" s="2746">
        <f>SUM(CJ70:CJ71)</f>
        <v>44.822929999999999</v>
      </c>
      <c r="CK69" s="2653">
        <f>SUM(CK70:CK71)</f>
        <v>1.4499999999999999E-3</v>
      </c>
      <c r="CL69" s="2746"/>
      <c r="CM69" s="2746">
        <f>SUM(CM70:CM71)</f>
        <v>67.210719999999995</v>
      </c>
      <c r="CN69" s="2653">
        <f>SUM(CN70:CN71)</f>
        <v>2.33E-3</v>
      </c>
      <c r="CO69" s="2746"/>
      <c r="CP69" s="2746">
        <f>SUM(CP70:CP71)</f>
        <v>89.506</v>
      </c>
      <c r="CQ69" s="2653">
        <f>SUM(CQ70:CQ71)</f>
        <v>3.0000000000000001E-3</v>
      </c>
      <c r="CR69" s="3657"/>
      <c r="CS69" s="3657">
        <f>SUM(CS70:CS71)</f>
        <v>138.11089028999999</v>
      </c>
      <c r="CT69" s="2407">
        <f>SUM(CT70:CT71)</f>
        <v>0</v>
      </c>
      <c r="CU69" s="4167"/>
      <c r="CV69" s="4147">
        <f>SUM(CV70:CV71)</f>
        <v>86.286980999999997</v>
      </c>
      <c r="CW69" s="4068">
        <f>SUM(CW70:CW71)</f>
        <v>0</v>
      </c>
      <c r="CX69" s="3657"/>
      <c r="CY69" s="3657">
        <f>SUM(CY70:CY71)</f>
        <v>65.468450000000004</v>
      </c>
      <c r="CZ69" s="2407">
        <f>SUM(CZ70:CZ71)</f>
        <v>3.13E-3</v>
      </c>
      <c r="DA69" s="3657"/>
      <c r="DB69" s="3657">
        <f>SUM(DB70:DB71)</f>
        <v>98.12679</v>
      </c>
      <c r="DC69" s="2407">
        <f>SUM(DC70:DC71)</f>
        <v>6.5300000000000002E-3</v>
      </c>
      <c r="DD69" s="3602"/>
      <c r="DE69" s="3602">
        <f>SUM(DE70:DE71)</f>
        <v>0</v>
      </c>
      <c r="DF69" s="3292">
        <f>SUM(DF70:DF71)</f>
        <v>0</v>
      </c>
      <c r="DG69" s="523"/>
      <c r="DH69" s="523"/>
      <c r="DI69" s="523"/>
      <c r="DJ69" s="523"/>
      <c r="DK69" s="523"/>
      <c r="DL69" s="523"/>
      <c r="DM69" s="523"/>
      <c r="DN69" s="523"/>
      <c r="DO69" s="523"/>
      <c r="DP69" s="523"/>
      <c r="DQ69" s="523"/>
      <c r="DR69" s="523"/>
      <c r="DS69" s="523"/>
      <c r="DT69" s="523"/>
      <c r="DU69" s="523"/>
      <c r="DV69" s="523"/>
      <c r="DW69" s="523"/>
      <c r="DX69" s="523"/>
      <c r="DY69" s="523"/>
      <c r="DZ69" s="523"/>
      <c r="EA69" s="523"/>
      <c r="EB69" s="523"/>
      <c r="EC69" s="523"/>
      <c r="ED69" s="523"/>
      <c r="EE69" s="523"/>
      <c r="EF69" s="523"/>
      <c r="EG69" s="523"/>
      <c r="EH69" s="523"/>
      <c r="EI69" s="523"/>
      <c r="EJ69" s="523"/>
      <c r="EK69" s="523"/>
      <c r="EL69" s="523"/>
      <c r="EM69" s="523"/>
    </row>
    <row r="70" spans="1:143" s="2219" customFormat="1" ht="21" customHeight="1" x14ac:dyDescent="0.2">
      <c r="A70" s="2753" t="s">
        <v>3667</v>
      </c>
      <c r="B70" s="2740"/>
      <c r="C70" s="2741"/>
      <c r="D70" s="2742"/>
      <c r="E70" s="2741"/>
      <c r="F70" s="2741"/>
      <c r="G70" s="2741"/>
      <c r="H70" s="2742"/>
      <c r="I70" s="2743"/>
      <c r="J70" s="2743"/>
      <c r="K70" s="2743"/>
      <c r="L70" s="2743"/>
      <c r="M70" s="2743"/>
      <c r="N70" s="2744"/>
      <c r="O70" s="2743"/>
      <c r="P70" s="2744"/>
      <c r="Q70" s="2745"/>
      <c r="R70" s="2743"/>
      <c r="S70" s="2743"/>
      <c r="T70" s="2743"/>
      <c r="U70" s="2743"/>
      <c r="V70" s="2743"/>
      <c r="W70" s="2743"/>
      <c r="X70" s="2743"/>
      <c r="Y70" s="2746"/>
      <c r="Z70" s="2747"/>
      <c r="AA70" s="2746"/>
      <c r="AB70" s="2747"/>
      <c r="AC70" s="2746"/>
      <c r="AD70" s="2746"/>
      <c r="AE70" s="2746"/>
      <c r="AF70" s="2746"/>
      <c r="AG70" s="2746"/>
      <c r="AH70" s="2748"/>
      <c r="AI70" s="2749"/>
      <c r="AJ70" s="2746"/>
      <c r="AK70" s="2746"/>
      <c r="AL70" s="2748"/>
      <c r="AM70" s="2749"/>
      <c r="AN70" s="2746"/>
      <c r="AO70" s="2746"/>
      <c r="AP70" s="2750"/>
      <c r="AQ70" s="2750"/>
      <c r="AR70" s="2750"/>
      <c r="AS70" s="2750"/>
      <c r="AT70" s="2746"/>
      <c r="AU70" s="2746"/>
      <c r="AV70" s="2746"/>
      <c r="AW70" s="2746"/>
      <c r="AX70" s="2746"/>
      <c r="AY70" s="2746"/>
      <c r="AZ70" s="2748"/>
      <c r="BA70" s="2751"/>
      <c r="BB70" s="2746"/>
      <c r="BC70" s="2746"/>
      <c r="BD70" s="2746"/>
      <c r="BE70" s="2746"/>
      <c r="BF70" s="2746"/>
      <c r="BG70" s="2746"/>
      <c r="BH70" s="2746"/>
      <c r="BI70" s="2746"/>
      <c r="BJ70" s="2746"/>
      <c r="BK70" s="2746"/>
      <c r="BL70" s="2746"/>
      <c r="BM70" s="2746"/>
      <c r="BN70" s="2746"/>
      <c r="BO70" s="2746"/>
      <c r="BP70" s="2746"/>
      <c r="BQ70" s="2746"/>
      <c r="BR70" s="2746"/>
      <c r="BS70" s="2746"/>
      <c r="BT70" s="2746"/>
      <c r="BU70" s="2746"/>
      <c r="BV70" s="2746"/>
      <c r="BW70" s="2746"/>
      <c r="BX70" s="2746"/>
      <c r="BY70" s="2746"/>
      <c r="BZ70" s="2746"/>
      <c r="CA70" s="2746"/>
      <c r="CB70" s="2752"/>
      <c r="CC70" s="3649"/>
      <c r="CD70" s="3649"/>
      <c r="CE70" s="3649"/>
      <c r="CF70" s="2746"/>
      <c r="CG70" s="2746"/>
      <c r="CH70" s="2746"/>
      <c r="CI70" s="2746"/>
      <c r="CJ70" s="2754">
        <f>SUM('Аренда земли'!U10)</f>
        <v>40.353000000000002</v>
      </c>
      <c r="CK70" s="2754">
        <v>0</v>
      </c>
      <c r="CL70" s="2754"/>
      <c r="CM70" s="2754">
        <f>SUM('Аренда земли'!V10)</f>
        <v>60.529499999999999</v>
      </c>
      <c r="CN70" s="2754">
        <v>0</v>
      </c>
      <c r="CO70" s="2754"/>
      <c r="CP70" s="2754">
        <f>SUM('Аренда земли'!W10)</f>
        <v>80.706000000000003</v>
      </c>
      <c r="CQ70" s="2754">
        <v>0</v>
      </c>
      <c r="CR70" s="3658"/>
      <c r="CS70" s="3658">
        <f>SUM('Аренда земли'!Y7)</f>
        <v>138.11089028999999</v>
      </c>
      <c r="CT70" s="3658">
        <f>SUM('Аренда земли'!Y12)</f>
        <v>0</v>
      </c>
      <c r="CU70" s="4166"/>
      <c r="CV70" s="4148">
        <f>SUM('Аренда земли'!Z9)</f>
        <v>86.286980999999997</v>
      </c>
      <c r="CW70" s="4148">
        <f>SUM('Аренда земли'!Z12)</f>
        <v>0</v>
      </c>
      <c r="CX70" s="3657"/>
      <c r="CY70" s="3658">
        <f>SUM('Аренда земли'!AA10)</f>
        <v>52.128</v>
      </c>
      <c r="CZ70" s="3658">
        <v>0</v>
      </c>
      <c r="DA70" s="3658"/>
      <c r="DB70" s="3658">
        <f>SUM('Аренда земли'!AB10)</f>
        <v>78.191999999999993</v>
      </c>
      <c r="DC70" s="3658">
        <v>0</v>
      </c>
      <c r="DD70" s="3603"/>
      <c r="DE70" s="3603">
        <f>SUM('Аренда земли'!AP10)</f>
        <v>0</v>
      </c>
      <c r="DF70" s="3603">
        <v>0</v>
      </c>
      <c r="DG70" s="523"/>
      <c r="DH70" s="523"/>
      <c r="DI70" s="523"/>
      <c r="DJ70" s="523"/>
      <c r="DK70" s="523"/>
      <c r="DL70" s="523"/>
      <c r="DM70" s="523"/>
      <c r="DN70" s="523"/>
      <c r="DO70" s="523"/>
      <c r="DP70" s="523"/>
      <c r="DQ70" s="523"/>
      <c r="DR70" s="523"/>
      <c r="DS70" s="523"/>
      <c r="DT70" s="523"/>
      <c r="DU70" s="523"/>
      <c r="DV70" s="523"/>
      <c r="DW70" s="523"/>
      <c r="DX70" s="523"/>
      <c r="DY70" s="523"/>
      <c r="DZ70" s="523"/>
      <c r="EA70" s="523"/>
      <c r="EB70" s="523"/>
      <c r="EC70" s="523"/>
      <c r="ED70" s="523"/>
      <c r="EE70" s="523"/>
      <c r="EF70" s="523"/>
      <c r="EG70" s="523"/>
      <c r="EH70" s="523"/>
      <c r="EI70" s="523"/>
      <c r="EJ70" s="523"/>
      <c r="EK70" s="523"/>
      <c r="EL70" s="523"/>
      <c r="EM70" s="523"/>
    </row>
    <row r="71" spans="1:143" s="2219" customFormat="1" ht="21" customHeight="1" x14ac:dyDescent="0.2">
      <c r="A71" s="2753" t="s">
        <v>3668</v>
      </c>
      <c r="B71" s="2740"/>
      <c r="C71" s="2741"/>
      <c r="D71" s="2742"/>
      <c r="E71" s="2741"/>
      <c r="F71" s="2741"/>
      <c r="G71" s="2741"/>
      <c r="H71" s="2742"/>
      <c r="I71" s="2743"/>
      <c r="J71" s="2743"/>
      <c r="K71" s="2743"/>
      <c r="L71" s="2743"/>
      <c r="M71" s="2743"/>
      <c r="N71" s="2744"/>
      <c r="O71" s="2743"/>
      <c r="P71" s="2744"/>
      <c r="Q71" s="2745"/>
      <c r="R71" s="2743"/>
      <c r="S71" s="2743"/>
      <c r="T71" s="2743"/>
      <c r="U71" s="2743"/>
      <c r="V71" s="2743"/>
      <c r="W71" s="2743"/>
      <c r="X71" s="2743"/>
      <c r="Y71" s="2746"/>
      <c r="Z71" s="2747"/>
      <c r="AA71" s="2746"/>
      <c r="AB71" s="2747"/>
      <c r="AC71" s="2746"/>
      <c r="AD71" s="2746"/>
      <c r="AE71" s="2746"/>
      <c r="AF71" s="2746"/>
      <c r="AG71" s="2746"/>
      <c r="AH71" s="2748"/>
      <c r="AI71" s="2749"/>
      <c r="AJ71" s="2746"/>
      <c r="AK71" s="2746"/>
      <c r="AL71" s="2748"/>
      <c r="AM71" s="2749"/>
      <c r="AN71" s="2746"/>
      <c r="AO71" s="2746"/>
      <c r="AP71" s="2750"/>
      <c r="AQ71" s="2750"/>
      <c r="AR71" s="2750"/>
      <c r="AS71" s="2750"/>
      <c r="AT71" s="2746"/>
      <c r="AU71" s="2746"/>
      <c r="AV71" s="2746"/>
      <c r="AW71" s="2746"/>
      <c r="AX71" s="2746"/>
      <c r="AY71" s="2746"/>
      <c r="AZ71" s="2748"/>
      <c r="BA71" s="2751"/>
      <c r="BB71" s="2746"/>
      <c r="BC71" s="2746"/>
      <c r="BD71" s="2746"/>
      <c r="BE71" s="2746"/>
      <c r="BF71" s="2746"/>
      <c r="BG71" s="2746"/>
      <c r="BH71" s="2746"/>
      <c r="BI71" s="2746"/>
      <c r="BJ71" s="2746"/>
      <c r="BK71" s="2746"/>
      <c r="BL71" s="2746"/>
      <c r="BM71" s="2746"/>
      <c r="BN71" s="2746"/>
      <c r="BO71" s="2746"/>
      <c r="BP71" s="2746"/>
      <c r="BQ71" s="2746"/>
      <c r="BR71" s="2746"/>
      <c r="BS71" s="2746"/>
      <c r="BT71" s="2746"/>
      <c r="BU71" s="2746"/>
      <c r="BV71" s="2746"/>
      <c r="BW71" s="2746"/>
      <c r="BX71" s="2746"/>
      <c r="BY71" s="2746"/>
      <c r="BZ71" s="2746"/>
      <c r="CA71" s="2746"/>
      <c r="CB71" s="2752"/>
      <c r="CC71" s="3649"/>
      <c r="CD71" s="3649"/>
      <c r="CE71" s="3649"/>
      <c r="CF71" s="2746"/>
      <c r="CG71" s="2746"/>
      <c r="CH71" s="2746"/>
      <c r="CI71" s="2746"/>
      <c r="CJ71" s="2754">
        <f>SUM('Аренда земли'!U11)</f>
        <v>4.4699299999999997</v>
      </c>
      <c r="CK71" s="2657">
        <f>SUM('Аренда земли'!U12)</f>
        <v>1.4499999999999999E-3</v>
      </c>
      <c r="CL71" s="2754"/>
      <c r="CM71" s="2754">
        <f>SUM('Аренда земли'!V11)</f>
        <v>6.6812199999999997</v>
      </c>
      <c r="CN71" s="2657">
        <f>SUM('Аренда земли'!V12)</f>
        <v>2.33E-3</v>
      </c>
      <c r="CO71" s="2754"/>
      <c r="CP71" s="2754">
        <f>SUM('Аренда земли'!W11)</f>
        <v>8.8000000000000007</v>
      </c>
      <c r="CQ71" s="2657">
        <f>SUM('Аренда земли'!W12)</f>
        <v>3.0000000000000001E-3</v>
      </c>
      <c r="CR71" s="3658"/>
      <c r="CS71" s="3658">
        <v>0</v>
      </c>
      <c r="CT71" s="2416">
        <v>0</v>
      </c>
      <c r="CU71" s="4166"/>
      <c r="CV71" s="4148">
        <v>0</v>
      </c>
      <c r="CW71" s="4073">
        <v>0</v>
      </c>
      <c r="CX71" s="3657"/>
      <c r="CY71" s="3658">
        <f>SUM('Аренда земли'!AA11)</f>
        <v>13.340450000000001</v>
      </c>
      <c r="CZ71" s="2416">
        <f>SUM('Аренда земли'!AA12)</f>
        <v>3.13E-3</v>
      </c>
      <c r="DA71" s="3658"/>
      <c r="DB71" s="3658">
        <f>SUM('Аренда земли'!AB11)</f>
        <v>19.93479</v>
      </c>
      <c r="DC71" s="2416">
        <f>SUM('Аренда земли'!AB12)</f>
        <v>6.5300000000000002E-3</v>
      </c>
      <c r="DD71" s="3603"/>
      <c r="DE71" s="3603">
        <f>SUM('Аренда земли'!AP11)</f>
        <v>0</v>
      </c>
      <c r="DF71" s="3299">
        <f>SUM('Аренда земли'!AP12)</f>
        <v>0</v>
      </c>
      <c r="DG71" s="523"/>
      <c r="DH71" s="523"/>
      <c r="DI71" s="523"/>
      <c r="DJ71" s="523"/>
      <c r="DK71" s="523"/>
      <c r="DL71" s="523"/>
      <c r="DM71" s="523"/>
      <c r="DN71" s="523"/>
      <c r="DO71" s="523"/>
      <c r="DP71" s="523"/>
      <c r="DQ71" s="523"/>
      <c r="DR71" s="523"/>
      <c r="DS71" s="523"/>
      <c r="DT71" s="523"/>
      <c r="DU71" s="523"/>
      <c r="DV71" s="523"/>
      <c r="DW71" s="523"/>
      <c r="DX71" s="523"/>
      <c r="DY71" s="523"/>
      <c r="DZ71" s="523"/>
      <c r="EA71" s="523"/>
      <c r="EB71" s="523"/>
      <c r="EC71" s="523"/>
      <c r="ED71" s="523"/>
      <c r="EE71" s="523"/>
      <c r="EF71" s="523"/>
      <c r="EG71" s="523"/>
      <c r="EH71" s="523"/>
      <c r="EI71" s="523"/>
      <c r="EJ71" s="523"/>
      <c r="EK71" s="523"/>
      <c r="EL71" s="523"/>
      <c r="EM71" s="523"/>
    </row>
    <row r="72" spans="1:143" s="2219" customFormat="1" ht="21" customHeight="1" x14ac:dyDescent="0.2">
      <c r="A72" s="3659"/>
      <c r="B72" s="3379"/>
      <c r="C72" s="3660"/>
      <c r="D72" s="3661"/>
      <c r="E72" s="3660"/>
      <c r="F72" s="3660"/>
      <c r="G72" s="3660"/>
      <c r="H72" s="3661"/>
      <c r="I72" s="3662"/>
      <c r="J72" s="3662"/>
      <c r="K72" s="3662"/>
      <c r="L72" s="3662"/>
      <c r="M72" s="3662"/>
      <c r="N72" s="3663"/>
      <c r="O72" s="3662"/>
      <c r="P72" s="3663"/>
      <c r="Q72" s="3664"/>
      <c r="R72" s="3662"/>
      <c r="S72" s="3662"/>
      <c r="T72" s="3662"/>
      <c r="U72" s="3662"/>
      <c r="V72" s="3662"/>
      <c r="W72" s="3662"/>
      <c r="X72" s="3662"/>
      <c r="Y72" s="3665"/>
      <c r="Z72" s="3666"/>
      <c r="AA72" s="3665"/>
      <c r="AB72" s="3666"/>
      <c r="AC72" s="3665"/>
      <c r="AD72" s="3665"/>
      <c r="AE72" s="3665"/>
      <c r="AF72" s="3665"/>
      <c r="AG72" s="3665"/>
      <c r="AH72" s="3667"/>
      <c r="AI72" s="3668"/>
      <c r="AJ72" s="3665"/>
      <c r="AK72" s="3665"/>
      <c r="AL72" s="3667"/>
      <c r="AM72" s="3668"/>
      <c r="AN72" s="3665"/>
      <c r="AO72" s="3665"/>
      <c r="AP72" s="3563"/>
      <c r="AQ72" s="3563"/>
      <c r="AR72" s="3563"/>
      <c r="AS72" s="3563"/>
      <c r="AT72" s="3665"/>
      <c r="AU72" s="3665"/>
      <c r="AV72" s="3665"/>
      <c r="AW72" s="3665"/>
      <c r="AX72" s="3665"/>
      <c r="AY72" s="3665"/>
      <c r="AZ72" s="3667"/>
      <c r="BA72" s="3669"/>
      <c r="BB72" s="3665"/>
      <c r="BC72" s="3665"/>
      <c r="BD72" s="3665"/>
      <c r="BE72" s="3665"/>
      <c r="BF72" s="3665"/>
      <c r="BG72" s="3665"/>
      <c r="BH72" s="3665"/>
      <c r="BI72" s="3665"/>
      <c r="BJ72" s="3665"/>
      <c r="BK72" s="3665"/>
      <c r="BL72" s="3665"/>
      <c r="BM72" s="3665"/>
      <c r="BN72" s="3665"/>
      <c r="BO72" s="3665"/>
      <c r="BP72" s="3665"/>
      <c r="BQ72" s="3665"/>
      <c r="BR72" s="3665"/>
      <c r="BS72" s="3665"/>
      <c r="BT72" s="3665"/>
      <c r="BU72" s="3665"/>
      <c r="BV72" s="3665"/>
      <c r="BW72" s="3665"/>
      <c r="BX72" s="3665"/>
      <c r="BY72" s="3665"/>
      <c r="BZ72" s="3665"/>
      <c r="CA72" s="3665"/>
      <c r="CB72" s="3670"/>
      <c r="CC72" s="523"/>
      <c r="CD72" s="523"/>
      <c r="CE72" s="523"/>
      <c r="CF72" s="523"/>
      <c r="CG72" s="523"/>
      <c r="CH72" s="523"/>
      <c r="CI72" s="523"/>
      <c r="CJ72" s="523"/>
      <c r="CK72" s="523"/>
      <c r="CL72" s="523"/>
      <c r="CM72" s="523"/>
      <c r="CN72" s="523"/>
      <c r="CO72" s="523"/>
      <c r="CP72" s="523"/>
      <c r="CQ72" s="523"/>
      <c r="CR72" s="523"/>
      <c r="CS72" s="523"/>
      <c r="CT72" s="523"/>
      <c r="CU72" s="523"/>
      <c r="CV72" s="523"/>
      <c r="CW72" s="523"/>
      <c r="CX72" s="523"/>
      <c r="CY72" s="523"/>
      <c r="CZ72" s="523"/>
      <c r="DA72" s="523"/>
      <c r="DB72" s="523"/>
      <c r="DC72" s="523"/>
      <c r="DD72" s="523"/>
      <c r="DE72" s="523"/>
      <c r="DF72" s="523"/>
      <c r="DG72" s="523"/>
      <c r="DH72" s="523"/>
      <c r="DI72" s="523"/>
      <c r="DJ72" s="523"/>
      <c r="DK72" s="523"/>
      <c r="DL72" s="523"/>
      <c r="DM72" s="523"/>
      <c r="DN72" s="523"/>
      <c r="DO72" s="523"/>
      <c r="DP72" s="523"/>
      <c r="DQ72" s="523"/>
      <c r="DR72" s="523"/>
      <c r="DS72" s="523"/>
      <c r="DT72" s="523"/>
      <c r="DU72" s="523"/>
      <c r="DV72" s="523"/>
      <c r="DW72" s="523"/>
      <c r="DX72" s="523"/>
      <c r="DY72" s="523"/>
      <c r="DZ72" s="523"/>
      <c r="EA72" s="523"/>
      <c r="EB72" s="523"/>
      <c r="EC72" s="523"/>
      <c r="ED72" s="523"/>
      <c r="EE72" s="523"/>
      <c r="EF72" s="523"/>
      <c r="EG72" s="523"/>
      <c r="EH72" s="523"/>
      <c r="EI72" s="523"/>
      <c r="EJ72" s="523"/>
      <c r="EK72" s="523"/>
      <c r="EL72" s="523"/>
      <c r="EM72" s="523"/>
    </row>
    <row r="73" spans="1:143" s="2219" customFormat="1" ht="21" customHeight="1" x14ac:dyDescent="0.2">
      <c r="A73" s="3659"/>
      <c r="B73" s="3379"/>
      <c r="C73" s="3660"/>
      <c r="D73" s="3661"/>
      <c r="E73" s="3660"/>
      <c r="F73" s="3660"/>
      <c r="G73" s="3660"/>
      <c r="H73" s="3661"/>
      <c r="I73" s="3662"/>
      <c r="J73" s="3662"/>
      <c r="K73" s="3662"/>
      <c r="L73" s="3662"/>
      <c r="M73" s="3662"/>
      <c r="N73" s="3663"/>
      <c r="O73" s="3662"/>
      <c r="P73" s="3663"/>
      <c r="Q73" s="3664"/>
      <c r="R73" s="3662"/>
      <c r="S73" s="3662"/>
      <c r="T73" s="3662"/>
      <c r="U73" s="3662"/>
      <c r="V73" s="3662"/>
      <c r="W73" s="3662"/>
      <c r="X73" s="3662"/>
      <c r="Y73" s="3665"/>
      <c r="Z73" s="3666"/>
      <c r="AA73" s="3665"/>
      <c r="AB73" s="3666"/>
      <c r="AC73" s="3665"/>
      <c r="AD73" s="3665"/>
      <c r="AE73" s="3665"/>
      <c r="AF73" s="3665"/>
      <c r="AG73" s="3665"/>
      <c r="AH73" s="3667"/>
      <c r="AI73" s="3668"/>
      <c r="AJ73" s="3665"/>
      <c r="AK73" s="3665"/>
      <c r="AL73" s="3667"/>
      <c r="AM73" s="3668"/>
      <c r="AN73" s="3665"/>
      <c r="AO73" s="3665"/>
      <c r="AP73" s="3563"/>
      <c r="AQ73" s="3563"/>
      <c r="AR73" s="3563"/>
      <c r="AS73" s="3563"/>
      <c r="AT73" s="3665"/>
      <c r="AU73" s="3665"/>
      <c r="AV73" s="3665"/>
      <c r="AW73" s="3665"/>
      <c r="AX73" s="3665"/>
      <c r="AY73" s="3665"/>
      <c r="AZ73" s="3667"/>
      <c r="BA73" s="3669"/>
      <c r="BB73" s="3665"/>
      <c r="BC73" s="3665"/>
      <c r="BD73" s="3665"/>
      <c r="BE73" s="3665"/>
      <c r="BF73" s="3665"/>
      <c r="BG73" s="3665"/>
      <c r="BH73" s="3665"/>
      <c r="BI73" s="3665"/>
      <c r="BJ73" s="3665"/>
      <c r="BK73" s="3665"/>
      <c r="BL73" s="3665"/>
      <c r="BM73" s="3665"/>
      <c r="BN73" s="3665"/>
      <c r="BO73" s="3665"/>
      <c r="BP73" s="3665"/>
      <c r="BQ73" s="3665"/>
      <c r="BR73" s="3665"/>
      <c r="BS73" s="3665"/>
      <c r="BT73" s="3665"/>
      <c r="BU73" s="3665"/>
      <c r="BV73" s="3665"/>
      <c r="BW73" s="3665"/>
      <c r="BX73" s="3665"/>
      <c r="BY73" s="3665"/>
      <c r="BZ73" s="3665"/>
      <c r="CA73" s="3665"/>
      <c r="CB73" s="3671"/>
      <c r="CC73" s="523"/>
      <c r="CD73" s="523"/>
      <c r="CE73" s="523"/>
      <c r="CF73" s="523"/>
      <c r="CG73" s="523"/>
      <c r="CH73" s="523"/>
      <c r="CI73" s="523"/>
      <c r="CJ73" s="523"/>
      <c r="CK73" s="523"/>
      <c r="CL73" s="523"/>
      <c r="CM73" s="523"/>
      <c r="CN73" s="523"/>
      <c r="CO73" s="523"/>
      <c r="CP73" s="523"/>
      <c r="CQ73" s="523"/>
      <c r="CR73" s="523"/>
      <c r="CS73" s="523"/>
      <c r="CT73" s="523"/>
      <c r="CU73" s="523"/>
      <c r="CV73" s="523"/>
      <c r="CW73" s="523"/>
      <c r="CX73" s="523"/>
      <c r="CY73" s="523"/>
      <c r="CZ73" s="523"/>
      <c r="DA73" s="523"/>
      <c r="DB73" s="523"/>
      <c r="DC73" s="523"/>
      <c r="DD73" s="523"/>
      <c r="DE73" s="523"/>
      <c r="DF73" s="523"/>
      <c r="DG73" s="523"/>
      <c r="DH73" s="523"/>
      <c r="DI73" s="523"/>
      <c r="DJ73" s="523"/>
      <c r="DK73" s="523"/>
      <c r="DL73" s="523"/>
      <c r="DM73" s="523"/>
      <c r="DN73" s="523"/>
      <c r="DO73" s="523"/>
      <c r="DP73" s="523"/>
      <c r="DQ73" s="523"/>
      <c r="DR73" s="523"/>
      <c r="DS73" s="523"/>
      <c r="DT73" s="523"/>
      <c r="DU73" s="523"/>
      <c r="DV73" s="523"/>
      <c r="DW73" s="523"/>
      <c r="DX73" s="523"/>
      <c r="DY73" s="523"/>
      <c r="DZ73" s="523"/>
      <c r="EA73" s="523"/>
      <c r="EB73" s="523"/>
      <c r="EC73" s="523"/>
      <c r="ED73" s="523"/>
      <c r="EE73" s="523"/>
      <c r="EF73" s="523"/>
      <c r="EG73" s="523"/>
      <c r="EH73" s="523"/>
      <c r="EI73" s="523"/>
      <c r="EJ73" s="523"/>
      <c r="EK73" s="523"/>
      <c r="EL73" s="523"/>
      <c r="EM73" s="523"/>
    </row>
    <row r="74" spans="1:143" s="2219" customFormat="1" ht="21" customHeight="1" x14ac:dyDescent="0.2">
      <c r="A74" s="3659"/>
      <c r="B74" s="3379"/>
      <c r="C74" s="3660"/>
      <c r="D74" s="3661"/>
      <c r="E74" s="3660"/>
      <c r="F74" s="3660"/>
      <c r="G74" s="3660"/>
      <c r="H74" s="3661"/>
      <c r="I74" s="3662"/>
      <c r="J74" s="3662"/>
      <c r="K74" s="3662"/>
      <c r="L74" s="3662"/>
      <c r="M74" s="3662"/>
      <c r="N74" s="3663"/>
      <c r="O74" s="3662"/>
      <c r="P74" s="3663"/>
      <c r="Q74" s="3664"/>
      <c r="R74" s="3662"/>
      <c r="S74" s="3662"/>
      <c r="T74" s="3662"/>
      <c r="U74" s="3662"/>
      <c r="V74" s="3662"/>
      <c r="W74" s="3662"/>
      <c r="X74" s="3662"/>
      <c r="Y74" s="3665"/>
      <c r="Z74" s="3666"/>
      <c r="AA74" s="3665"/>
      <c r="AB74" s="3666"/>
      <c r="AC74" s="3665"/>
      <c r="AD74" s="3665"/>
      <c r="AE74" s="3665"/>
      <c r="AF74" s="3665"/>
      <c r="AG74" s="3665"/>
      <c r="AH74" s="3667"/>
      <c r="AI74" s="3668"/>
      <c r="AJ74" s="3665"/>
      <c r="AK74" s="3665"/>
      <c r="AL74" s="3667"/>
      <c r="AM74" s="3668"/>
      <c r="AN74" s="3665"/>
      <c r="AO74" s="3665"/>
      <c r="AP74" s="3563"/>
      <c r="AQ74" s="3563"/>
      <c r="AR74" s="3563"/>
      <c r="AS74" s="3563"/>
      <c r="AT74" s="3665"/>
      <c r="AU74" s="3665"/>
      <c r="AV74" s="3665"/>
      <c r="AW74" s="3665"/>
      <c r="AX74" s="3665"/>
      <c r="AY74" s="3665"/>
      <c r="AZ74" s="3667"/>
      <c r="BA74" s="3669"/>
      <c r="BB74" s="3665"/>
      <c r="BC74" s="3665"/>
      <c r="BD74" s="3665"/>
      <c r="BE74" s="3665"/>
      <c r="BF74" s="3665"/>
      <c r="BG74" s="3665"/>
      <c r="BH74" s="3665"/>
      <c r="BI74" s="3665"/>
      <c r="BJ74" s="3665"/>
      <c r="BK74" s="3665"/>
      <c r="BL74" s="3665"/>
      <c r="BM74" s="3665"/>
      <c r="BN74" s="3665"/>
      <c r="BO74" s="3665"/>
      <c r="BP74" s="3665"/>
      <c r="BQ74" s="3665"/>
      <c r="BR74" s="3665"/>
      <c r="BS74" s="3665"/>
      <c r="BT74" s="3665"/>
      <c r="BU74" s="3665"/>
      <c r="BV74" s="3665"/>
      <c r="BW74" s="3665"/>
      <c r="BX74" s="3665"/>
      <c r="BY74" s="3665"/>
      <c r="BZ74" s="3665"/>
      <c r="CA74" s="3665"/>
      <c r="CB74" s="3671"/>
      <c r="CC74" s="523"/>
      <c r="CD74" s="523"/>
      <c r="CE74" s="523"/>
      <c r="CF74" s="523"/>
      <c r="CG74" s="523"/>
      <c r="CH74" s="523"/>
      <c r="CI74" s="523"/>
      <c r="CJ74" s="523"/>
      <c r="CK74" s="523"/>
      <c r="CL74" s="523"/>
      <c r="CM74" s="523"/>
      <c r="CN74" s="523"/>
      <c r="CO74" s="523"/>
      <c r="CP74" s="523"/>
      <c r="CQ74" s="523"/>
      <c r="CR74" s="523"/>
      <c r="CS74" s="523"/>
      <c r="CT74" s="523"/>
      <c r="CU74" s="523"/>
      <c r="CV74" s="523"/>
      <c r="CW74" s="523"/>
      <c r="CX74" s="523"/>
      <c r="CY74" s="523"/>
      <c r="CZ74" s="523"/>
      <c r="DA74" s="523"/>
      <c r="DB74" s="523"/>
      <c r="DC74" s="523"/>
      <c r="DD74" s="523"/>
      <c r="DE74" s="523"/>
      <c r="DF74" s="523"/>
      <c r="DG74" s="523"/>
      <c r="DH74" s="523"/>
      <c r="DI74" s="523"/>
      <c r="DJ74" s="523"/>
      <c r="DK74" s="523"/>
      <c r="DL74" s="523"/>
      <c r="DM74" s="523"/>
      <c r="DN74" s="523"/>
      <c r="DO74" s="523"/>
      <c r="DP74" s="523"/>
      <c r="DQ74" s="523"/>
      <c r="DR74" s="523"/>
      <c r="DS74" s="523"/>
      <c r="DT74" s="523"/>
      <c r="DU74" s="523"/>
      <c r="DV74" s="523"/>
      <c r="DW74" s="523"/>
      <c r="DX74" s="523"/>
      <c r="DY74" s="523"/>
      <c r="DZ74" s="523"/>
      <c r="EA74" s="523"/>
      <c r="EB74" s="523"/>
      <c r="EC74" s="523"/>
      <c r="ED74" s="523"/>
      <c r="EE74" s="523"/>
      <c r="EF74" s="523"/>
      <c r="EG74" s="523"/>
      <c r="EH74" s="523"/>
      <c r="EI74" s="523"/>
      <c r="EJ74" s="523"/>
      <c r="EK74" s="523"/>
      <c r="EL74" s="523"/>
      <c r="EM74" s="523"/>
    </row>
    <row r="75" spans="1:143" s="2219" customFormat="1" ht="21" customHeight="1" x14ac:dyDescent="0.2">
      <c r="A75" s="3685" t="s">
        <v>3566</v>
      </c>
      <c r="B75" s="3379"/>
      <c r="C75" s="3660"/>
      <c r="D75" s="3661"/>
      <c r="E75" s="3660"/>
      <c r="F75" s="3660"/>
      <c r="G75" s="3660"/>
      <c r="H75" s="3661"/>
      <c r="I75" s="3662"/>
      <c r="J75" s="3662"/>
      <c r="K75" s="3662"/>
      <c r="L75" s="3662"/>
      <c r="M75" s="3662"/>
      <c r="N75" s="3663"/>
      <c r="O75" s="3662"/>
      <c r="P75" s="3663"/>
      <c r="Q75" s="3664"/>
      <c r="R75" s="3662"/>
      <c r="S75" s="3662"/>
      <c r="T75" s="3662"/>
      <c r="U75" s="3662"/>
      <c r="V75" s="3662"/>
      <c r="W75" s="3662"/>
      <c r="X75" s="3662"/>
      <c r="Y75" s="3665"/>
      <c r="Z75" s="3666"/>
      <c r="AA75" s="3665"/>
      <c r="AB75" s="3666"/>
      <c r="AC75" s="3665"/>
      <c r="AD75" s="3665"/>
      <c r="AE75" s="3665"/>
      <c r="AF75" s="3665"/>
      <c r="AG75" s="3665"/>
      <c r="AH75" s="3667"/>
      <c r="AI75" s="3668"/>
      <c r="AJ75" s="3665"/>
      <c r="AK75" s="3665"/>
      <c r="AL75" s="3667"/>
      <c r="AM75" s="3668"/>
      <c r="AN75" s="3665"/>
      <c r="AO75" s="3665"/>
      <c r="AP75" s="3563"/>
      <c r="AQ75" s="3563"/>
      <c r="AR75" s="3563"/>
      <c r="AS75" s="3563"/>
      <c r="AT75" s="3665"/>
      <c r="AU75" s="3665"/>
      <c r="AV75" s="3665"/>
      <c r="AW75" s="3665"/>
      <c r="AX75" s="3665"/>
      <c r="AY75" s="3665"/>
      <c r="AZ75" s="3667"/>
      <c r="BA75" s="3669"/>
      <c r="BB75" s="3665"/>
      <c r="BC75" s="3665"/>
      <c r="BD75" s="3665"/>
      <c r="BE75" s="3665"/>
      <c r="BF75" s="3665"/>
      <c r="BG75" s="3665"/>
      <c r="BH75" s="3665"/>
      <c r="BI75" s="3665"/>
      <c r="BJ75" s="3665"/>
      <c r="BK75" s="3665"/>
      <c r="BL75" s="3665"/>
      <c r="BM75" s="3665"/>
      <c r="BN75" s="3665"/>
      <c r="BO75" s="3665"/>
      <c r="BP75" s="3665"/>
      <c r="BQ75" s="3665"/>
      <c r="BR75" s="3665"/>
      <c r="BS75" s="3665"/>
      <c r="BT75" s="3665"/>
      <c r="BU75" s="3665"/>
      <c r="BV75" s="3665"/>
      <c r="BW75" s="3665"/>
      <c r="BX75" s="3665"/>
      <c r="BY75" s="3665"/>
      <c r="BZ75" s="3665"/>
      <c r="CA75" s="3665"/>
      <c r="CB75" s="3671"/>
      <c r="CC75" s="523"/>
      <c r="CD75" s="523"/>
      <c r="CE75" s="523"/>
      <c r="CF75" s="523"/>
      <c r="CG75" s="523"/>
      <c r="CH75" s="523"/>
      <c r="CI75" s="523"/>
      <c r="CJ75" s="523"/>
      <c r="CK75" s="523"/>
      <c r="CL75" s="523"/>
      <c r="CM75" s="523"/>
      <c r="CN75" s="523"/>
      <c r="CO75" s="523"/>
      <c r="CP75" s="523"/>
      <c r="CQ75" s="523"/>
      <c r="CR75" s="523"/>
      <c r="CS75" s="523"/>
      <c r="CT75" s="523"/>
      <c r="CU75" s="523"/>
      <c r="CV75" s="523"/>
      <c r="CW75" s="523"/>
      <c r="CX75" s="523"/>
      <c r="CY75" s="523"/>
      <c r="CZ75" s="523"/>
      <c r="DA75" s="523"/>
      <c r="DB75" s="523"/>
      <c r="DC75" s="523"/>
      <c r="DD75" s="523"/>
      <c r="DE75" s="523"/>
      <c r="DF75" s="523"/>
      <c r="DG75" s="523"/>
      <c r="DH75" s="523"/>
      <c r="DI75" s="523"/>
      <c r="DJ75" s="523"/>
      <c r="DK75" s="523"/>
      <c r="DL75" s="523"/>
      <c r="DM75" s="523"/>
      <c r="DN75" s="523"/>
      <c r="DO75" s="523"/>
      <c r="DP75" s="523"/>
      <c r="DQ75" s="523"/>
      <c r="DR75" s="523"/>
      <c r="DS75" s="523"/>
      <c r="DT75" s="523"/>
      <c r="DU75" s="523"/>
      <c r="DV75" s="523"/>
      <c r="DW75" s="523"/>
      <c r="DX75" s="523"/>
      <c r="DY75" s="523"/>
      <c r="DZ75" s="523"/>
      <c r="EA75" s="523"/>
      <c r="EB75" s="523"/>
      <c r="EC75" s="523"/>
      <c r="ED75" s="523"/>
      <c r="EE75" s="523"/>
      <c r="EF75" s="523"/>
      <c r="EG75" s="523"/>
      <c r="EH75" s="523"/>
      <c r="EI75" s="523"/>
      <c r="EJ75" s="523"/>
      <c r="EK75" s="523"/>
      <c r="EL75" s="523"/>
      <c r="EM75" s="523"/>
    </row>
    <row r="76" spans="1:143" s="2219" customFormat="1" ht="21" customHeight="1" x14ac:dyDescent="0.2">
      <c r="A76" s="3672"/>
      <c r="B76" s="3673"/>
      <c r="C76" s="3674"/>
      <c r="D76" s="3675"/>
      <c r="E76" s="3674"/>
      <c r="F76" s="3674"/>
      <c r="G76" s="3674"/>
      <c r="H76" s="3675"/>
      <c r="I76" s="3676"/>
      <c r="J76" s="3676"/>
      <c r="K76" s="3676"/>
      <c r="L76" s="3676"/>
      <c r="M76" s="3676"/>
      <c r="N76" s="3677"/>
      <c r="O76" s="3676"/>
      <c r="P76" s="3677"/>
      <c r="Q76" s="3678"/>
      <c r="R76" s="3676"/>
      <c r="S76" s="3676"/>
      <c r="T76" s="3676"/>
      <c r="U76" s="3676"/>
      <c r="V76" s="3676"/>
      <c r="W76" s="3676"/>
      <c r="X76" s="3676"/>
      <c r="Y76" s="3679"/>
      <c r="Z76" s="3680"/>
      <c r="AA76" s="3679"/>
      <c r="AB76" s="3680"/>
      <c r="AC76" s="3679"/>
      <c r="AD76" s="3679"/>
      <c r="AE76" s="3679"/>
      <c r="AF76" s="3679"/>
      <c r="AG76" s="3679"/>
      <c r="AH76" s="3681"/>
      <c r="AI76" s="3682"/>
      <c r="AJ76" s="3679"/>
      <c r="AK76" s="3679"/>
      <c r="AL76" s="3681"/>
      <c r="AM76" s="3682"/>
      <c r="AN76" s="3679"/>
      <c r="AO76" s="3679"/>
      <c r="AP76" s="3683"/>
      <c r="AQ76" s="3683"/>
      <c r="AR76" s="3683"/>
      <c r="AS76" s="3683"/>
      <c r="AT76" s="3679"/>
      <c r="AU76" s="3679"/>
      <c r="AV76" s="3679"/>
      <c r="AW76" s="3679"/>
      <c r="AX76" s="3679"/>
      <c r="AY76" s="3679"/>
      <c r="AZ76" s="3681"/>
      <c r="BA76" s="3684"/>
      <c r="BB76" s="3679"/>
      <c r="BC76" s="3679"/>
      <c r="BD76" s="3679"/>
      <c r="BE76" s="3679"/>
      <c r="BF76" s="3679"/>
      <c r="BG76" s="3679"/>
      <c r="BH76" s="3679"/>
      <c r="BI76" s="3679"/>
      <c r="BJ76" s="3679"/>
      <c r="BK76" s="3679"/>
      <c r="BL76" s="3679"/>
      <c r="BM76" s="3679"/>
      <c r="BN76" s="3679"/>
      <c r="BO76" s="3679"/>
      <c r="BP76" s="3679"/>
      <c r="BQ76" s="3679"/>
      <c r="BR76" s="3679"/>
      <c r="BS76" s="3679"/>
      <c r="BT76" s="3679"/>
      <c r="BU76" s="3679"/>
      <c r="BV76" s="3679"/>
      <c r="BW76" s="3679"/>
      <c r="BX76" s="3679"/>
      <c r="BY76" s="3679"/>
      <c r="BZ76" s="3679"/>
      <c r="CA76" s="3679"/>
      <c r="CB76" s="3671"/>
      <c r="CC76" s="523"/>
      <c r="CD76" s="523"/>
      <c r="CE76" s="523"/>
      <c r="CF76" s="523"/>
      <c r="CG76" s="523"/>
      <c r="CH76" s="523"/>
      <c r="CI76" s="523"/>
      <c r="CJ76" s="523"/>
      <c r="CK76" s="523"/>
      <c r="CL76" s="523"/>
      <c r="CM76" s="523"/>
      <c r="CN76" s="523"/>
      <c r="CO76" s="523"/>
      <c r="CP76" s="523"/>
      <c r="CQ76" s="523"/>
      <c r="CR76" s="523"/>
      <c r="CS76" s="523"/>
      <c r="CT76" s="523"/>
      <c r="CU76" s="523"/>
      <c r="CV76" s="523"/>
      <c r="CW76" s="523"/>
      <c r="CX76" s="523"/>
      <c r="CY76" s="523"/>
      <c r="CZ76" s="523"/>
      <c r="DA76" s="523"/>
      <c r="DB76" s="523"/>
      <c r="DC76" s="523"/>
      <c r="DD76" s="523"/>
      <c r="DE76" s="523"/>
      <c r="DF76" s="523"/>
      <c r="DG76" s="523"/>
      <c r="DH76" s="523"/>
      <c r="DI76" s="523"/>
      <c r="DJ76" s="523"/>
      <c r="DK76" s="523"/>
      <c r="DL76" s="523"/>
      <c r="DM76" s="523"/>
      <c r="DN76" s="523"/>
      <c r="DO76" s="523"/>
      <c r="DP76" s="523"/>
      <c r="DQ76" s="523"/>
      <c r="DR76" s="523"/>
      <c r="DS76" s="523"/>
      <c r="DT76" s="523"/>
      <c r="DU76" s="523"/>
      <c r="DV76" s="523"/>
      <c r="DW76" s="523"/>
      <c r="DX76" s="523"/>
      <c r="DY76" s="523"/>
      <c r="DZ76" s="523"/>
      <c r="EA76" s="523"/>
      <c r="EB76" s="523"/>
      <c r="EC76" s="523"/>
      <c r="ED76" s="523"/>
      <c r="EE76" s="523"/>
      <c r="EF76" s="523"/>
      <c r="EG76" s="523"/>
      <c r="EH76" s="523"/>
      <c r="EI76" s="523"/>
      <c r="EJ76" s="523"/>
      <c r="EK76" s="523"/>
      <c r="EL76" s="523"/>
      <c r="EM76" s="523"/>
    </row>
    <row r="77" spans="1:143" ht="34.5" hidden="1" customHeight="1" x14ac:dyDescent="0.2">
      <c r="A77" s="2438" t="s">
        <v>1821</v>
      </c>
      <c r="B77" s="2439"/>
      <c r="C77" s="2440"/>
      <c r="D77" s="2441"/>
      <c r="E77" s="2440"/>
      <c r="F77" s="2440"/>
      <c r="G77" s="2440"/>
      <c r="H77" s="2441"/>
      <c r="I77" s="2442"/>
      <c r="J77" s="2442"/>
      <c r="K77" s="2442"/>
      <c r="L77" s="2442"/>
      <c r="M77" s="2442"/>
      <c r="N77" s="2443"/>
      <c r="O77" s="2442"/>
      <c r="P77" s="2443"/>
      <c r="Q77" s="2444"/>
      <c r="R77" s="2442"/>
      <c r="S77" s="2442"/>
      <c r="T77" s="2442"/>
      <c r="U77" s="2442"/>
      <c r="V77" s="2442"/>
      <c r="W77" s="2442"/>
      <c r="X77" s="2442"/>
      <c r="Y77" s="2437"/>
      <c r="Z77" s="2445"/>
      <c r="AA77" s="2437"/>
      <c r="AB77" s="2445"/>
      <c r="AC77" s="2437"/>
      <c r="AD77" s="2437"/>
      <c r="AE77" s="2437"/>
      <c r="AF77" s="2437"/>
      <c r="AG77" s="2437"/>
      <c r="AH77" s="2435"/>
      <c r="AI77" s="2446"/>
      <c r="AJ77" s="2437"/>
      <c r="AK77" s="2437"/>
      <c r="AL77" s="2435"/>
      <c r="AM77" s="2446"/>
      <c r="AN77" s="2437"/>
      <c r="AO77" s="2437"/>
      <c r="AP77" s="2447"/>
      <c r="AQ77" s="2447"/>
      <c r="AR77" s="2447"/>
      <c r="AS77" s="2447"/>
      <c r="AT77" s="2437"/>
      <c r="AU77" s="2437"/>
      <c r="AV77" s="2437"/>
      <c r="AW77" s="2437"/>
      <c r="AX77" s="2437"/>
      <c r="AY77" s="2437"/>
      <c r="AZ77" s="2435"/>
      <c r="BA77" s="2448"/>
      <c r="BB77" s="2437"/>
      <c r="BC77" s="2437"/>
      <c r="BD77" s="2437"/>
      <c r="BE77" s="2437"/>
      <c r="BF77" s="2437"/>
      <c r="BG77" s="2437"/>
      <c r="BH77" s="2437"/>
      <c r="BI77" s="2437"/>
      <c r="BJ77" s="2437"/>
      <c r="BK77" s="2437"/>
      <c r="BL77" s="2437"/>
      <c r="BM77" s="2437"/>
      <c r="BN77" s="2437"/>
      <c r="BO77" s="2437"/>
      <c r="BP77" s="2437"/>
      <c r="BQ77" s="2437"/>
      <c r="BR77" s="2437"/>
      <c r="BS77" s="2437">
        <f>BT77+BU77</f>
        <v>5605.37</v>
      </c>
      <c r="BT77" s="2437">
        <v>5605.37</v>
      </c>
      <c r="BU77" s="2437">
        <v>0</v>
      </c>
      <c r="BV77" s="2437">
        <f>BW77+BX77</f>
        <v>0</v>
      </c>
      <c r="BW77" s="2437">
        <f>BX77+CB77</f>
        <v>0</v>
      </c>
      <c r="BX77" s="2437">
        <f>CB77+CC77</f>
        <v>0</v>
      </c>
      <c r="BY77" s="2437"/>
      <c r="BZ77" s="2437"/>
      <c r="CA77" s="2437"/>
      <c r="CB77" s="2449"/>
    </row>
    <row r="78" spans="1:143" ht="21" hidden="1" customHeight="1" x14ac:dyDescent="0.2">
      <c r="A78" s="2438" t="s">
        <v>1822</v>
      </c>
      <c r="B78" s="2439"/>
      <c r="C78" s="2440"/>
      <c r="D78" s="2441"/>
      <c r="E78" s="2440"/>
      <c r="F78" s="2440"/>
      <c r="G78" s="2440"/>
      <c r="H78" s="2441"/>
      <c r="I78" s="2442"/>
      <c r="J78" s="2442"/>
      <c r="K78" s="2442"/>
      <c r="L78" s="2442"/>
      <c r="M78" s="2442"/>
      <c r="N78" s="2443"/>
      <c r="O78" s="2442"/>
      <c r="P78" s="2443"/>
      <c r="Q78" s="2444"/>
      <c r="R78" s="2442"/>
      <c r="S78" s="2442"/>
      <c r="T78" s="2442"/>
      <c r="U78" s="2442"/>
      <c r="V78" s="2442"/>
      <c r="W78" s="2442"/>
      <c r="X78" s="2442"/>
      <c r="Y78" s="2437"/>
      <c r="Z78" s="2445"/>
      <c r="AA78" s="2437"/>
      <c r="AB78" s="2445"/>
      <c r="AC78" s="2437"/>
      <c r="AD78" s="2437"/>
      <c r="AE78" s="2437"/>
      <c r="AF78" s="2437"/>
      <c r="AG78" s="2437"/>
      <c r="AH78" s="2435"/>
      <c r="AI78" s="2446"/>
      <c r="AJ78" s="2437"/>
      <c r="AK78" s="2437"/>
      <c r="AL78" s="2435"/>
      <c r="AM78" s="2446"/>
      <c r="AN78" s="2437"/>
      <c r="AO78" s="2437"/>
      <c r="AP78" s="2447"/>
      <c r="AQ78" s="2447"/>
      <c r="AR78" s="2447"/>
      <c r="AS78" s="2447"/>
      <c r="AT78" s="2437"/>
      <c r="AU78" s="2437"/>
      <c r="AV78" s="2437"/>
      <c r="AW78" s="2437"/>
      <c r="AX78" s="2437"/>
      <c r="AY78" s="2437"/>
      <c r="AZ78" s="2435"/>
      <c r="BA78" s="2448"/>
      <c r="BB78" s="2437"/>
      <c r="BC78" s="2437"/>
      <c r="BD78" s="2437"/>
      <c r="BE78" s="2437"/>
      <c r="BF78" s="2437"/>
      <c r="BG78" s="2437"/>
      <c r="BH78" s="2437"/>
      <c r="BI78" s="2437"/>
      <c r="BJ78" s="2437"/>
      <c r="BK78" s="2437"/>
      <c r="BL78" s="2437"/>
      <c r="BM78" s="2437"/>
      <c r="BN78" s="2437"/>
      <c r="BO78" s="2437"/>
      <c r="BP78" s="2437"/>
      <c r="BQ78" s="2437"/>
      <c r="BR78" s="2437"/>
      <c r="BS78" s="2437">
        <f>BT78+BU78</f>
        <v>173239.27999999997</v>
      </c>
      <c r="BT78" s="2437">
        <f>BT63+BT77</f>
        <v>173139.98999999996</v>
      </c>
      <c r="BU78" s="2437">
        <f>BU63+BU77</f>
        <v>99.289999999999992</v>
      </c>
      <c r="BV78" s="2437">
        <f>BW78+BX78</f>
        <v>147574.92935394892</v>
      </c>
      <c r="BW78" s="2437">
        <f>BW63+BW77</f>
        <v>147544.11811148544</v>
      </c>
      <c r="BX78" s="2437">
        <f>BX63+BX77</f>
        <v>30.811242463479257</v>
      </c>
      <c r="BY78" s="2437"/>
      <c r="BZ78" s="2437"/>
      <c r="CA78" s="2437"/>
      <c r="CB78" s="2449"/>
    </row>
    <row r="79" spans="1:143" ht="21" hidden="1" customHeight="1" x14ac:dyDescent="0.2">
      <c r="A79" s="2438" t="s">
        <v>13</v>
      </c>
      <c r="B79" s="2439">
        <f>объемы!B16</f>
        <v>5323.9</v>
      </c>
      <c r="C79" s="2440">
        <f>объемы!C16</f>
        <v>5023.2000000000007</v>
      </c>
      <c r="D79" s="2441">
        <f>C79/B79*100</f>
        <v>94.351884896410539</v>
      </c>
      <c r="E79" s="2440">
        <f>объемы!E16</f>
        <v>4902.7999999999993</v>
      </c>
      <c r="F79" s="2441">
        <f>E79/C79*100</f>
        <v>97.603121516164975</v>
      </c>
      <c r="G79" s="2440">
        <f>объемы!G16</f>
        <v>4524.3</v>
      </c>
      <c r="H79" s="2441">
        <f t="shared" si="31"/>
        <v>92.279921677408851</v>
      </c>
      <c r="I79" s="2442">
        <f>объемы!I16</f>
        <v>4645</v>
      </c>
      <c r="J79" s="2442">
        <f>объемы!J16</f>
        <v>0</v>
      </c>
      <c r="K79" s="2442">
        <f>объемы!L16</f>
        <v>3263.8</v>
      </c>
      <c r="L79" s="2442">
        <v>4431.5</v>
      </c>
      <c r="M79" s="2443">
        <f t="shared" si="32"/>
        <v>95.403659849300325</v>
      </c>
      <c r="N79" s="2443">
        <f t="shared" si="33"/>
        <v>97.948853966359422</v>
      </c>
      <c r="O79" s="2442">
        <f>объемы!M16</f>
        <v>4100</v>
      </c>
      <c r="P79" s="2443">
        <f t="shared" si="34"/>
        <v>88.266953713670617</v>
      </c>
      <c r="Q79" s="2444" t="e">
        <f>объемы!#REF!</f>
        <v>#REF!</v>
      </c>
      <c r="R79" s="2443" t="e">
        <f t="shared" si="43"/>
        <v>#REF!</v>
      </c>
      <c r="S79" s="2443" t="e">
        <f t="shared" si="44"/>
        <v>#REF!</v>
      </c>
      <c r="T79" s="2442" t="e">
        <f>объемы!#REF!+объемы!#REF!</f>
        <v>#REF!</v>
      </c>
      <c r="U79" s="2442" t="e">
        <f>объемы!#REF!</f>
        <v>#REF!</v>
      </c>
      <c r="V79" s="2442" t="e">
        <f>объемы!#REF!</f>
        <v>#REF!</v>
      </c>
      <c r="W79" s="2442" t="e">
        <f>объемы!#REF!-X79</f>
        <v>#REF!</v>
      </c>
      <c r="X79" s="2442" t="e">
        <f>объемы!#REF!</f>
        <v>#REF!</v>
      </c>
      <c r="Y79" s="2437">
        <f>объемы!E49</f>
        <v>4000</v>
      </c>
      <c r="Z79" s="2445" t="e">
        <f t="shared" si="35"/>
        <v>#REF!</v>
      </c>
      <c r="AA79" s="2437" t="e">
        <f>объемы!G49</f>
        <v>#REF!</v>
      </c>
      <c r="AB79" s="2445" t="e">
        <f t="shared" si="438"/>
        <v>#REF!</v>
      </c>
      <c r="AC79" s="2437" t="e">
        <f>объемы!G50+объемы!G52</f>
        <v>#REF!</v>
      </c>
      <c r="AD79" s="2437" t="e">
        <f>объемы!G51</f>
        <v>#REF!</v>
      </c>
      <c r="AE79" s="2435">
        <f>SUM(AF79+AG79)</f>
        <v>4039</v>
      </c>
      <c r="AF79" s="2437">
        <f>SUM(объемы!K49-объемы!K51)</f>
        <v>3989.2</v>
      </c>
      <c r="AG79" s="2437">
        <f>SUM(объемы!K51)</f>
        <v>49.8</v>
      </c>
      <c r="AH79" s="2435">
        <f t="shared" si="37"/>
        <v>4052.4</v>
      </c>
      <c r="AI79" s="2446" t="e">
        <f t="shared" si="38"/>
        <v>#REF!</v>
      </c>
      <c r="AJ79" s="2437">
        <v>4006.27</v>
      </c>
      <c r="AK79" s="2437">
        <v>46.13</v>
      </c>
      <c r="AL79" s="2435">
        <f t="shared" si="39"/>
        <v>4052.4</v>
      </c>
      <c r="AM79" s="2446" t="e">
        <f t="shared" si="40"/>
        <v>#REF!</v>
      </c>
      <c r="AN79" s="2437">
        <f>SUM(объемы!M49-объемы!M51)</f>
        <v>4006.27</v>
      </c>
      <c r="AO79" s="2437">
        <f>SUM(объемы!M46)</f>
        <v>46.13</v>
      </c>
      <c r="AP79" s="2447" t="e">
        <f>объемы!G49-объемы!E49</f>
        <v>#REF!</v>
      </c>
      <c r="AQ79" s="2447" t="e">
        <f>AP79-AR79</f>
        <v>#REF!</v>
      </c>
      <c r="AR79" s="2447" t="e">
        <f>объемы!G51-объемы!E51</f>
        <v>#REF!</v>
      </c>
      <c r="AS79" s="2447" t="e">
        <f t="shared" si="303"/>
        <v>#REF!</v>
      </c>
      <c r="AT79" s="2437">
        <f>SUM(AU79:AV79)</f>
        <v>1990.48</v>
      </c>
      <c r="AU79" s="2437">
        <f>SUM(объемы!P49-объемы!P51)</f>
        <v>1976.78</v>
      </c>
      <c r="AV79" s="2437">
        <f>объемы!Q49</f>
        <v>13.7</v>
      </c>
      <c r="AW79" s="2437">
        <f>SUM(AX79:AY79)</f>
        <v>3780.42</v>
      </c>
      <c r="AX79" s="2437">
        <f>объемы!R49</f>
        <v>3762.2000000000003</v>
      </c>
      <c r="AY79" s="2437">
        <v>18.22</v>
      </c>
      <c r="AZ79" s="2435">
        <f>SUM(BB79+BC79)</f>
        <v>4010.6369999999997</v>
      </c>
      <c r="BA79" s="2448">
        <f t="shared" si="48"/>
        <v>0.98969425525614441</v>
      </c>
      <c r="BB79" s="2437">
        <f>SUM(объемы!T49-объемы!T51)</f>
        <v>3989.2169999999996</v>
      </c>
      <c r="BC79" s="2437">
        <f>SUM(объемы!T51)</f>
        <v>21.42</v>
      </c>
      <c r="BD79" s="2435">
        <f>SUM(BE79+BF79)</f>
        <v>4010.6370000000002</v>
      </c>
      <c r="BE79" s="2437">
        <f>SUM(объемы!AA49-объемы!AA51)</f>
        <v>3989.2170000000001</v>
      </c>
      <c r="BF79" s="2437">
        <f>объемы!AB49</f>
        <v>21.42</v>
      </c>
      <c r="BG79" s="2436">
        <f t="shared" ref="BG79" si="456">BH79+BI79</f>
        <v>3568.7400000000002</v>
      </c>
      <c r="BH79" s="2437">
        <v>3566.34</v>
      </c>
      <c r="BI79" s="2437">
        <v>2.4</v>
      </c>
      <c r="BJ79" s="2436">
        <f t="shared" ref="BJ79" si="457">BK79+BL79</f>
        <v>3657.57</v>
      </c>
      <c r="BK79" s="2437">
        <v>3655.8</v>
      </c>
      <c r="BL79" s="2437">
        <v>1.77</v>
      </c>
      <c r="BM79" s="2437"/>
      <c r="BN79" s="2437"/>
      <c r="BO79" s="2437"/>
      <c r="BP79" s="2437"/>
      <c r="BQ79" s="2437"/>
      <c r="BR79" s="2437"/>
      <c r="BS79" s="2437">
        <f t="shared" ref="BS79" si="458">BT79+BU79</f>
        <v>3605</v>
      </c>
      <c r="BT79" s="2437">
        <v>3600</v>
      </c>
      <c r="BU79" s="2437">
        <v>5</v>
      </c>
      <c r="BV79" s="2437">
        <f t="shared" ref="BV79" si="459">BW79+BX79</f>
        <v>3662.3949233333333</v>
      </c>
      <c r="BW79" s="2437">
        <f>объемы!AZ49</f>
        <v>3660.6249233333333</v>
      </c>
      <c r="BX79" s="2437">
        <f>объемы!BA44</f>
        <v>1.77</v>
      </c>
      <c r="BY79" s="2437">
        <f t="shared" ref="BY79" si="460">BZ79+CA79</f>
        <v>3662.3949233333333</v>
      </c>
      <c r="BZ79" s="2437">
        <f>SUM(объемы!BB49)</f>
        <v>3660.6249233333333</v>
      </c>
      <c r="CA79" s="2437">
        <f>SUM(объемы!BC49)</f>
        <v>1.77</v>
      </c>
      <c r="CB79" s="2449"/>
    </row>
    <row r="80" spans="1:143" ht="21" hidden="1" customHeight="1" x14ac:dyDescent="0.2">
      <c r="A80" s="2438" t="s">
        <v>14</v>
      </c>
      <c r="B80" s="2450" t="e">
        <f>B63/B79</f>
        <v>#REF!</v>
      </c>
      <c r="C80" s="2450" t="e">
        <f>C63/C79</f>
        <v>#REF!</v>
      </c>
      <c r="D80" s="2441" t="e">
        <f>C80/B80*100</f>
        <v>#REF!</v>
      </c>
      <c r="E80" s="2450">
        <f>E63/E79</f>
        <v>18.736415925593541</v>
      </c>
      <c r="F80" s="2450" t="e">
        <f>F63/F79</f>
        <v>#REF!</v>
      </c>
      <c r="G80" s="2450">
        <f>G63/G79</f>
        <v>23.49388855734589</v>
      </c>
      <c r="H80" s="2441">
        <f t="shared" si="31"/>
        <v>125.39158316427927</v>
      </c>
      <c r="I80" s="2442" t="e">
        <f>#REF!/#REF!</f>
        <v>#REF!</v>
      </c>
      <c r="J80" s="2442" t="e">
        <f>J63/J79</f>
        <v>#REF!</v>
      </c>
      <c r="K80" s="2442">
        <f>K63/K79</f>
        <v>23.901069486011327</v>
      </c>
      <c r="L80" s="2442">
        <f>L63/L79</f>
        <v>25.40880063184024</v>
      </c>
      <c r="M80" s="2443" t="e">
        <f t="shared" si="32"/>
        <v>#REF!</v>
      </c>
      <c r="N80" s="2443">
        <f t="shared" si="33"/>
        <v>108.1506816967326</v>
      </c>
      <c r="O80" s="2442">
        <f>O63/O79</f>
        <v>32.084302926967361</v>
      </c>
      <c r="P80" s="2443" t="e">
        <f t="shared" si="34"/>
        <v>#REF!</v>
      </c>
      <c r="Q80" s="2444" t="e">
        <f>Q63/Q79</f>
        <v>#REF!</v>
      </c>
      <c r="R80" s="2443" t="e">
        <f t="shared" si="43"/>
        <v>#REF!</v>
      </c>
      <c r="S80" s="2443" t="e">
        <f t="shared" si="44"/>
        <v>#REF!</v>
      </c>
      <c r="T80" s="2442" t="e">
        <f t="shared" ref="T80:Y80" si="461">T63/T79</f>
        <v>#REF!</v>
      </c>
      <c r="U80" s="2442" t="e">
        <f t="shared" si="461"/>
        <v>#REF!</v>
      </c>
      <c r="V80" s="2442" t="e">
        <f t="shared" si="461"/>
        <v>#REF!</v>
      </c>
      <c r="W80" s="2442" t="e">
        <f t="shared" si="461"/>
        <v>#REF!</v>
      </c>
      <c r="X80" s="2442" t="e">
        <f t="shared" si="461"/>
        <v>#REF!</v>
      </c>
      <c r="Y80" s="2437">
        <f t="shared" si="461"/>
        <v>34.698300000000003</v>
      </c>
      <c r="Z80" s="2445" t="e">
        <f t="shared" si="35"/>
        <v>#REF!</v>
      </c>
      <c r="AA80" s="2437" t="e">
        <f>AA63/AA79</f>
        <v>#REF!</v>
      </c>
      <c r="AB80" s="2445" t="e">
        <f t="shared" si="438"/>
        <v>#REF!</v>
      </c>
      <c r="AC80" s="2437" t="e">
        <f t="shared" ref="AC80:AH80" si="462">AC63/AC79</f>
        <v>#REF!</v>
      </c>
      <c r="AD80" s="2437" t="e">
        <f t="shared" si="462"/>
        <v>#REF!</v>
      </c>
      <c r="AE80" s="2437">
        <f t="shared" si="462"/>
        <v>28.056456893067594</v>
      </c>
      <c r="AF80" s="2437">
        <f t="shared" si="462"/>
        <v>28.205017254103591</v>
      </c>
      <c r="AG80" s="2437">
        <f t="shared" si="462"/>
        <v>16.156115683332491</v>
      </c>
      <c r="AH80" s="2437">
        <f t="shared" si="462"/>
        <v>29.999857943440922</v>
      </c>
      <c r="AI80" s="2446" t="e">
        <f t="shared" si="38"/>
        <v>#REF!</v>
      </c>
      <c r="AJ80" s="2437">
        <f>AJ63/AJ79</f>
        <v>30.147115478986688</v>
      </c>
      <c r="AK80" s="2437">
        <f>AK63/AK79</f>
        <v>17.210925644916539</v>
      </c>
      <c r="AL80" s="2437" t="e">
        <f>AL63/AL79</f>
        <v>#REF!</v>
      </c>
      <c r="AM80" s="2446" t="e">
        <f t="shared" si="40"/>
        <v>#REF!</v>
      </c>
      <c r="AN80" s="2437" t="e">
        <f>AN63/AN79</f>
        <v>#REF!</v>
      </c>
      <c r="AO80" s="2437">
        <f>AO63/AO79</f>
        <v>16.696745760680756</v>
      </c>
      <c r="AP80" s="2447" t="e">
        <f t="shared" si="41"/>
        <v>#REF!</v>
      </c>
      <c r="AQ80" s="2447" t="e">
        <f t="shared" ref="AQ80" si="463">AP80*AC80/AA80</f>
        <v>#REF!</v>
      </c>
      <c r="AR80" s="2447" t="e">
        <f t="shared" si="42"/>
        <v>#REF!</v>
      </c>
      <c r="AS80" s="2447" t="e">
        <f t="shared" si="303"/>
        <v>#REF!</v>
      </c>
      <c r="AT80" s="2437">
        <f t="shared" ref="AT80:AZ80" si="464">AT63/AT79</f>
        <v>28.472176098930909</v>
      </c>
      <c r="AU80" s="2437">
        <f t="shared" si="464"/>
        <v>28.563201351485883</v>
      </c>
      <c r="AV80" s="2437">
        <f t="shared" si="464"/>
        <v>15.338095898520834</v>
      </c>
      <c r="AW80" s="2437">
        <f t="shared" si="464"/>
        <v>30.741139873347407</v>
      </c>
      <c r="AX80" s="2437">
        <f t="shared" si="464"/>
        <v>30.808210621444896</v>
      </c>
      <c r="AY80" s="2437">
        <f t="shared" si="464"/>
        <v>16.891877058177826</v>
      </c>
      <c r="AZ80" s="2437">
        <f t="shared" si="464"/>
        <v>33.703630440999497</v>
      </c>
      <c r="BA80" s="2448" t="e">
        <f t="shared" si="48"/>
        <v>#REF!</v>
      </c>
      <c r="BB80" s="2437">
        <f>BB63/BB79</f>
        <v>33.77847126657263</v>
      </c>
      <c r="BC80" s="2437">
        <f>BC63/BC79</f>
        <v>19.765428122119772</v>
      </c>
      <c r="BD80" s="2437">
        <f>BD63/BD79</f>
        <v>30.050162815403326</v>
      </c>
      <c r="BE80" s="2437">
        <f t="shared" ref="BE80:BL80" si="465">BE63/BE79</f>
        <v>30.125249119885538</v>
      </c>
      <c r="BF80" s="2437">
        <f t="shared" si="465"/>
        <v>16.066243006456386</v>
      </c>
      <c r="BG80" s="2437">
        <f t="shared" si="465"/>
        <v>33.787241435352527</v>
      </c>
      <c r="BH80" s="2437">
        <f t="shared" si="465"/>
        <v>33.798216098296848</v>
      </c>
      <c r="BI80" s="2437">
        <f t="shared" si="465"/>
        <v>17.479166666666668</v>
      </c>
      <c r="BJ80" s="2437">
        <f t="shared" si="465"/>
        <v>36.88005971177585</v>
      </c>
      <c r="BK80" s="2437">
        <f t="shared" si="465"/>
        <v>36.889955686853767</v>
      </c>
      <c r="BL80" s="2437">
        <f t="shared" si="465"/>
        <v>16.440677966101696</v>
      </c>
      <c r="BM80" s="2437"/>
      <c r="BN80" s="2437"/>
      <c r="BO80" s="2437"/>
      <c r="BP80" s="2437"/>
      <c r="BQ80" s="2437"/>
      <c r="BR80" s="2437"/>
      <c r="BS80" s="2437">
        <f>BS78/BS79</f>
        <v>48.055278779472943</v>
      </c>
      <c r="BT80" s="2437">
        <f t="shared" ref="BT80:BU80" si="466">BT78/BT79</f>
        <v>48.094441666666654</v>
      </c>
      <c r="BU80" s="2437">
        <f t="shared" si="466"/>
        <v>19.857999999999997</v>
      </c>
      <c r="BV80" s="2437">
        <f>BV78/BV79</f>
        <v>40.294652117864288</v>
      </c>
      <c r="BW80" s="2437">
        <f>BW78/BW79</f>
        <v>40.305718614059224</v>
      </c>
      <c r="BX80" s="2437">
        <f t="shared" ref="BX80" si="467">BX78/BX79</f>
        <v>17.407481617784892</v>
      </c>
      <c r="BY80" s="2437"/>
      <c r="BZ80" s="2437"/>
      <c r="CA80" s="2437"/>
      <c r="CB80" s="2451"/>
    </row>
    <row r="81" spans="1:80" ht="21" hidden="1" customHeight="1" x14ac:dyDescent="0.2">
      <c r="A81" s="2452" t="s">
        <v>421</v>
      </c>
      <c r="B81" s="2453"/>
      <c r="C81" s="2453"/>
      <c r="D81" s="2453"/>
      <c r="E81" s="2453"/>
      <c r="F81" s="2441"/>
      <c r="G81" s="2441"/>
      <c r="H81" s="2441"/>
      <c r="I81" s="2442">
        <v>0</v>
      </c>
      <c r="J81" s="2454"/>
      <c r="K81" s="2454"/>
      <c r="L81" s="2454"/>
      <c r="M81" s="2443" t="e">
        <f t="shared" si="32"/>
        <v>#DIV/0!</v>
      </c>
      <c r="N81" s="2443"/>
      <c r="O81" s="2442"/>
      <c r="P81" s="2443"/>
      <c r="Q81" s="2444">
        <f>T81+U81</f>
        <v>129.11000000000001</v>
      </c>
      <c r="R81" s="2443"/>
      <c r="S81" s="2443"/>
      <c r="T81" s="2442">
        <v>4.16</v>
      </c>
      <c r="U81" s="2442">
        <v>124.95</v>
      </c>
      <c r="V81" s="2442">
        <v>0</v>
      </c>
      <c r="W81" s="2442"/>
      <c r="X81" s="2442"/>
      <c r="Y81" s="2437">
        <f>E119</f>
        <v>0</v>
      </c>
      <c r="Z81" s="2445">
        <f t="shared" si="35"/>
        <v>0</v>
      </c>
      <c r="AA81" s="2437">
        <f>AC81+AD81</f>
        <v>0</v>
      </c>
      <c r="AB81" s="2445">
        <f t="shared" si="438"/>
        <v>0</v>
      </c>
      <c r="AC81" s="2437">
        <f>G112</f>
        <v>0</v>
      </c>
      <c r="AD81" s="2437">
        <v>0</v>
      </c>
      <c r="AE81" s="2437">
        <v>0</v>
      </c>
      <c r="AF81" s="2437">
        <v>0</v>
      </c>
      <c r="AG81" s="2437">
        <v>0</v>
      </c>
      <c r="AH81" s="2435">
        <f t="shared" si="37"/>
        <v>6078.58</v>
      </c>
      <c r="AI81" s="2446"/>
      <c r="AJ81" s="2437">
        <v>6038.88</v>
      </c>
      <c r="AK81" s="2437">
        <v>39.700000000000003</v>
      </c>
      <c r="AL81" s="2435" t="e">
        <f t="shared" si="39"/>
        <v>#REF!</v>
      </c>
      <c r="AM81" s="2446"/>
      <c r="AN81" s="2437" t="e">
        <f>AN63*0.05</f>
        <v>#REF!</v>
      </c>
      <c r="AO81" s="2437">
        <f>AO63*0.05+60</f>
        <v>98.511044097010171</v>
      </c>
      <c r="AP81" s="2447">
        <f t="shared" si="41"/>
        <v>0</v>
      </c>
      <c r="AQ81" s="2447">
        <f>AP81</f>
        <v>0</v>
      </c>
      <c r="AR81" s="2447">
        <f t="shared" si="42"/>
        <v>0</v>
      </c>
      <c r="AS81" s="2447">
        <f t="shared" si="303"/>
        <v>0</v>
      </c>
      <c r="AT81" s="2437">
        <v>0</v>
      </c>
      <c r="AU81" s="2437">
        <f>Y112</f>
        <v>0</v>
      </c>
      <c r="AV81" s="2437">
        <v>0</v>
      </c>
      <c r="AW81" s="2437">
        <f>AY81+CE81</f>
        <v>0</v>
      </c>
      <c r="AX81" s="2437">
        <f>AB112</f>
        <v>0</v>
      </c>
      <c r="AY81" s="2437">
        <v>0</v>
      </c>
      <c r="AZ81" s="2435">
        <f t="shared" ref="AZ81" si="468">SUM(BB81+BC81)</f>
        <v>6800.9889110875247</v>
      </c>
      <c r="BA81" s="2448" t="e">
        <f t="shared" si="48"/>
        <v>#REF!</v>
      </c>
      <c r="BB81" s="2437">
        <f>SUM(BB63*0.05)</f>
        <v>6737.4825905311536</v>
      </c>
      <c r="BC81" s="2437">
        <f>SUM(BC63*0.15)</f>
        <v>63.506320556370831</v>
      </c>
      <c r="BD81" s="2435">
        <f t="shared" ref="BD81" si="469">SUM(BE81+BF81)</f>
        <v>6008.8077959141219</v>
      </c>
      <c r="BE81" s="2437">
        <f>SUM(BE63*0.05)</f>
        <v>6008.8077959141219</v>
      </c>
      <c r="BF81" s="2437">
        <v>0</v>
      </c>
      <c r="BG81" s="2435">
        <v>0</v>
      </c>
      <c r="BH81" s="2437">
        <v>0</v>
      </c>
      <c r="BI81" s="2437">
        <v>0</v>
      </c>
      <c r="BJ81" s="2435">
        <v>0</v>
      </c>
      <c r="BK81" s="2437">
        <v>0</v>
      </c>
      <c r="BL81" s="2437">
        <v>0</v>
      </c>
      <c r="BM81" s="2437"/>
      <c r="BN81" s="2437"/>
      <c r="BO81" s="2437"/>
      <c r="BP81" s="2437"/>
      <c r="BQ81" s="2437"/>
      <c r="BR81" s="2437"/>
      <c r="BS81" s="2435">
        <v>0</v>
      </c>
      <c r="BT81" s="2437">
        <v>0</v>
      </c>
      <c r="BU81" s="2437">
        <v>0</v>
      </c>
      <c r="BV81" s="2435">
        <v>0</v>
      </c>
      <c r="BW81" s="2437">
        <v>0</v>
      </c>
      <c r="BX81" s="2437">
        <v>0</v>
      </c>
      <c r="BY81" s="2437"/>
      <c r="BZ81" s="2437"/>
      <c r="CA81" s="2437"/>
      <c r="CB81" s="2455">
        <v>0.05</v>
      </c>
    </row>
    <row r="82" spans="1:80" ht="21" hidden="1" customHeight="1" x14ac:dyDescent="0.2">
      <c r="A82" s="2452" t="s">
        <v>529</v>
      </c>
      <c r="B82" s="2453"/>
      <c r="C82" s="2453"/>
      <c r="D82" s="2453"/>
      <c r="E82" s="2453"/>
      <c r="F82" s="2441"/>
      <c r="G82" s="2441"/>
      <c r="H82" s="2441"/>
      <c r="I82" s="2442"/>
      <c r="J82" s="2454"/>
      <c r="K82" s="2454"/>
      <c r="L82" s="2454"/>
      <c r="M82" s="2443"/>
      <c r="N82" s="2443"/>
      <c r="O82" s="2442"/>
      <c r="P82" s="2443"/>
      <c r="Q82" s="2444"/>
      <c r="R82" s="2443"/>
      <c r="S82" s="2443"/>
      <c r="T82" s="2442"/>
      <c r="U82" s="2442"/>
      <c r="V82" s="2442"/>
      <c r="W82" s="2442"/>
      <c r="X82" s="2442"/>
      <c r="Y82" s="2435">
        <f>SUM(Y63+Y81)</f>
        <v>138793.20000000001</v>
      </c>
      <c r="Z82" s="2445"/>
      <c r="AA82" s="2435" t="e">
        <f>SUM(AA63+AA81)</f>
        <v>#REF!</v>
      </c>
      <c r="AB82" s="2445"/>
      <c r="AC82" s="2435" t="e">
        <f t="shared" ref="AC82:AH82" si="470">SUM(AC63+AC81)</f>
        <v>#REF!</v>
      </c>
      <c r="AD82" s="2435" t="e">
        <f t="shared" si="470"/>
        <v>#REF!</v>
      </c>
      <c r="AE82" s="2435">
        <f t="shared" si="470"/>
        <v>113320.02939110002</v>
      </c>
      <c r="AF82" s="2435">
        <f t="shared" si="470"/>
        <v>112515.45483007004</v>
      </c>
      <c r="AG82" s="2435">
        <f t="shared" si="470"/>
        <v>804.57456102995798</v>
      </c>
      <c r="AH82" s="2435">
        <f t="shared" si="470"/>
        <v>127650.00433</v>
      </c>
      <c r="AI82" s="2446" t="e">
        <f t="shared" si="38"/>
        <v>#REF!</v>
      </c>
      <c r="AJ82" s="2435">
        <f>SUM(AJ63+AJ81)</f>
        <v>126816.36433</v>
      </c>
      <c r="AK82" s="2435">
        <f>SUM(AK63+AK81)</f>
        <v>833.64</v>
      </c>
      <c r="AL82" s="2435" t="e">
        <f>SUM(AL63+AL81)</f>
        <v>#REF!</v>
      </c>
      <c r="AM82" s="2446" t="e">
        <f t="shared" si="40"/>
        <v>#REF!</v>
      </c>
      <c r="AN82" s="2435" t="e">
        <f>SUM(AN63+AN81)</f>
        <v>#REF!</v>
      </c>
      <c r="AO82" s="2435">
        <f>SUM(AO63+AO81)</f>
        <v>868.7319260372135</v>
      </c>
      <c r="AP82" s="2447"/>
      <c r="AQ82" s="2447"/>
      <c r="AR82" s="2447"/>
      <c r="AS82" s="2447"/>
      <c r="AT82" s="2435">
        <f t="shared" ref="AT82:AZ82" si="471">SUM(AT63+AT81)</f>
        <v>56673.297081399993</v>
      </c>
      <c r="AU82" s="2435">
        <f t="shared" si="471"/>
        <v>56463.165167590261</v>
      </c>
      <c r="AV82" s="2435">
        <f t="shared" si="471"/>
        <v>210.13191380973541</v>
      </c>
      <c r="AW82" s="2435">
        <f t="shared" si="471"/>
        <v>116214.42000000001</v>
      </c>
      <c r="AX82" s="2435">
        <f t="shared" si="471"/>
        <v>115906.65</v>
      </c>
      <c r="AY82" s="2435">
        <f t="shared" si="471"/>
        <v>307.77</v>
      </c>
      <c r="AZ82" s="2435">
        <f t="shared" si="471"/>
        <v>141974.01619208642</v>
      </c>
      <c r="BA82" s="2448" t="e">
        <f t="shared" si="48"/>
        <v>#REF!</v>
      </c>
      <c r="BB82" s="2435">
        <f>SUM(BB63+BB81)</f>
        <v>141487.13440115421</v>
      </c>
      <c r="BC82" s="2435">
        <f>SUM(BC63+BC81)</f>
        <v>486.88179093217639</v>
      </c>
      <c r="BD82" s="2435">
        <f>SUM(BD63+BD81)</f>
        <v>126529.10263939487</v>
      </c>
      <c r="BE82" s="2435">
        <f t="shared" ref="BE82:BL82" si="472">SUM(BE63+BE81)</f>
        <v>126184.96371419655</v>
      </c>
      <c r="BF82" s="2435">
        <f t="shared" si="472"/>
        <v>344.13892519829579</v>
      </c>
      <c r="BG82" s="2435">
        <f t="shared" si="472"/>
        <v>120577.87999999999</v>
      </c>
      <c r="BH82" s="2435">
        <f t="shared" si="472"/>
        <v>120535.92999999998</v>
      </c>
      <c r="BI82" s="2435">
        <f t="shared" si="472"/>
        <v>41.95</v>
      </c>
      <c r="BJ82" s="2435">
        <f t="shared" si="472"/>
        <v>134891.4</v>
      </c>
      <c r="BK82" s="2435">
        <f t="shared" si="472"/>
        <v>134862.30000000002</v>
      </c>
      <c r="BL82" s="2435">
        <f t="shared" si="472"/>
        <v>29.1</v>
      </c>
      <c r="BM82" s="2435"/>
      <c r="BN82" s="2435"/>
      <c r="BO82" s="2435"/>
      <c r="BP82" s="2435"/>
      <c r="BQ82" s="2435"/>
      <c r="BR82" s="2435"/>
      <c r="BS82" s="2435">
        <f>BS78+BS81</f>
        <v>173239.27999999997</v>
      </c>
      <c r="BT82" s="2435">
        <f t="shared" ref="BT82:BU82" si="473">BT78+BT81</f>
        <v>173139.98999999996</v>
      </c>
      <c r="BU82" s="2435">
        <f t="shared" si="473"/>
        <v>99.289999999999992</v>
      </c>
      <c r="BV82" s="2435">
        <f>BV78+BV81</f>
        <v>147574.92935394892</v>
      </c>
      <c r="BW82" s="2435">
        <f>BW78+BW81</f>
        <v>147544.11811148544</v>
      </c>
      <c r="BX82" s="2435">
        <f t="shared" ref="BX82" si="474">BX78+BX81</f>
        <v>30.811242463479257</v>
      </c>
      <c r="BY82" s="2435"/>
      <c r="BZ82" s="2435"/>
      <c r="CA82" s="2435"/>
      <c r="CB82" s="2449"/>
    </row>
    <row r="83" spans="1:80" ht="21" hidden="1" customHeight="1" x14ac:dyDescent="0.2">
      <c r="A83" s="2438" t="s">
        <v>69</v>
      </c>
      <c r="B83" s="2453"/>
      <c r="C83" s="2453"/>
      <c r="D83" s="2453"/>
      <c r="E83" s="2453"/>
      <c r="F83" s="2441"/>
      <c r="G83" s="2441"/>
      <c r="H83" s="2441"/>
      <c r="I83" s="2442" t="e">
        <f>(#REF!+I81)/#REF!</f>
        <v>#REF!</v>
      </c>
      <c r="J83" s="2454"/>
      <c r="K83" s="2454"/>
      <c r="L83" s="2454"/>
      <c r="M83" s="2443" t="e">
        <f>L83/I83*100</f>
        <v>#REF!</v>
      </c>
      <c r="N83" s="2443"/>
      <c r="O83" s="2442">
        <f>(O63+O81)/O79</f>
        <v>32.084302926967361</v>
      </c>
      <c r="P83" s="2443" t="e">
        <f t="shared" si="34"/>
        <v>#REF!</v>
      </c>
      <c r="Q83" s="2444" t="e">
        <f>(Q63+Q81)/Q79</f>
        <v>#REF!</v>
      </c>
      <c r="R83" s="2443" t="e">
        <f t="shared" si="43"/>
        <v>#REF!</v>
      </c>
      <c r="S83" s="2443"/>
      <c r="T83" s="2442" t="e">
        <f>T80</f>
        <v>#REF!</v>
      </c>
      <c r="U83" s="2442" t="e">
        <f>(U63+U81)/U79</f>
        <v>#REF!</v>
      </c>
      <c r="V83" s="2442" t="e">
        <f>(V63+V81)/V79</f>
        <v>#REF!</v>
      </c>
      <c r="W83" s="2442" t="e">
        <f>(W63+W81)/W79</f>
        <v>#REF!</v>
      </c>
      <c r="X83" s="2442" t="e">
        <f>(X63+X81)/X79</f>
        <v>#REF!</v>
      </c>
      <c r="Y83" s="2437">
        <f>(Y63+Y81)/Y79</f>
        <v>34.698300000000003</v>
      </c>
      <c r="Z83" s="2445" t="e">
        <f t="shared" si="35"/>
        <v>#REF!</v>
      </c>
      <c r="AA83" s="2437" t="e">
        <f>(AA63+AA81)/AA79</f>
        <v>#REF!</v>
      </c>
      <c r="AB83" s="2445" t="e">
        <f t="shared" si="438"/>
        <v>#REF!</v>
      </c>
      <c r="AC83" s="2437" t="e">
        <f>AC80</f>
        <v>#REF!</v>
      </c>
      <c r="AD83" s="2437" t="e">
        <f>(AD63+AD81)/AD79</f>
        <v>#REF!</v>
      </c>
      <c r="AE83" s="2437">
        <f>(AE63+AE81)/AE79</f>
        <v>28.056456893067594</v>
      </c>
      <c r="AF83" s="2437">
        <f>AF80</f>
        <v>28.205017254103591</v>
      </c>
      <c r="AG83" s="2437">
        <f>(AG63+AG81)/AG79</f>
        <v>16.156115683332491</v>
      </c>
      <c r="AH83" s="2437">
        <f>(AH63+AH81)/AH79</f>
        <v>31.499853008093968</v>
      </c>
      <c r="AI83" s="2446" t="e">
        <f t="shared" si="38"/>
        <v>#REF!</v>
      </c>
      <c r="AJ83" s="2437">
        <f>(AJ63+AJ81)/AJ79</f>
        <v>31.654472696548162</v>
      </c>
      <c r="AK83" s="2437">
        <f>(AK63+AK81)/AK79</f>
        <v>18.071536960763058</v>
      </c>
      <c r="AL83" s="2437" t="e">
        <f>(AL63+AL81)/AL79</f>
        <v>#REF!</v>
      </c>
      <c r="AM83" s="2446" t="e">
        <f t="shared" si="40"/>
        <v>#REF!</v>
      </c>
      <c r="AN83" s="2437" t="e">
        <f>(AN63+AN81)/AN79</f>
        <v>#REF!</v>
      </c>
      <c r="AO83" s="2437">
        <f>(AO63+AO81)/AO79</f>
        <v>18.832255062588629</v>
      </c>
      <c r="AP83" s="2447" t="e">
        <f t="shared" si="41"/>
        <v>#REF!</v>
      </c>
      <c r="AQ83" s="2447" t="e">
        <f>AP83</f>
        <v>#REF!</v>
      </c>
      <c r="AR83" s="2447" t="e">
        <f t="shared" si="42"/>
        <v>#REF!</v>
      </c>
      <c r="AS83" s="2447" t="e">
        <f t="shared" si="303"/>
        <v>#REF!</v>
      </c>
      <c r="AT83" s="2437">
        <f>(AT63+AT81)/AT79</f>
        <v>28.472176098930909</v>
      </c>
      <c r="AU83" s="2437">
        <f>AU80</f>
        <v>28.563201351485883</v>
      </c>
      <c r="AV83" s="2437">
        <f>(AV63+AV81)/AV79</f>
        <v>15.338095898520834</v>
      </c>
      <c r="AW83" s="2437">
        <f>(AW63+AW81)/AW79</f>
        <v>30.741139873347407</v>
      </c>
      <c r="AX83" s="2437">
        <f>AX80</f>
        <v>30.808210621444896</v>
      </c>
      <c r="AY83" s="2437">
        <f>(AY63+AY81)/AY79</f>
        <v>16.891877058177826</v>
      </c>
      <c r="AZ83" s="2437">
        <f>(AZ63+AZ81)/AZ79</f>
        <v>35.399368277928524</v>
      </c>
      <c r="BA83" s="2448" t="e">
        <f t="shared" si="48"/>
        <v>#REF!</v>
      </c>
      <c r="BB83" s="2437">
        <f>(BB63+BB81)/BB79</f>
        <v>35.467394829901259</v>
      </c>
      <c r="BC83" s="2437">
        <f>(BC63+BC81)/BC79</f>
        <v>22.730242340437737</v>
      </c>
      <c r="BD83" s="2437">
        <f>(BD63+BD81)/BD79</f>
        <v>31.548380628661945</v>
      </c>
      <c r="BE83" s="2437">
        <f t="shared" ref="BE83:BL83" si="475">(BE63+BE81)/BE79</f>
        <v>31.631511575879816</v>
      </c>
      <c r="BF83" s="2437">
        <f t="shared" si="475"/>
        <v>16.066243006456386</v>
      </c>
      <c r="BG83" s="2437">
        <f t="shared" si="475"/>
        <v>33.787241435352527</v>
      </c>
      <c r="BH83" s="2437">
        <f t="shared" si="475"/>
        <v>33.798216098296848</v>
      </c>
      <c r="BI83" s="2437">
        <f t="shared" si="475"/>
        <v>17.479166666666668</v>
      </c>
      <c r="BJ83" s="2437">
        <f t="shared" si="475"/>
        <v>36.88005971177585</v>
      </c>
      <c r="BK83" s="2437">
        <f t="shared" si="475"/>
        <v>36.889955686853767</v>
      </c>
      <c r="BL83" s="2437">
        <f t="shared" si="475"/>
        <v>16.440677966101696</v>
      </c>
      <c r="BM83" s="2437"/>
      <c r="BN83" s="2437"/>
      <c r="BO83" s="2437"/>
      <c r="BP83" s="2437"/>
      <c r="BQ83" s="2437"/>
      <c r="BR83" s="2437"/>
      <c r="BS83" s="2437">
        <f>BS82/BS79</f>
        <v>48.055278779472943</v>
      </c>
      <c r="BT83" s="2437">
        <f t="shared" ref="BT83:BU83" si="476">BT82/BT79</f>
        <v>48.094441666666654</v>
      </c>
      <c r="BU83" s="2437">
        <f t="shared" si="476"/>
        <v>19.857999999999997</v>
      </c>
      <c r="BV83" s="2437">
        <f>BV82/BV79</f>
        <v>40.294652117864288</v>
      </c>
      <c r="BW83" s="2437">
        <f t="shared" ref="BW83:BX83" si="477">BW82/BW79</f>
        <v>40.305718614059224</v>
      </c>
      <c r="BX83" s="2437">
        <f t="shared" si="477"/>
        <v>17.407481617784892</v>
      </c>
      <c r="BY83" s="2437"/>
      <c r="BZ83" s="2437"/>
      <c r="CA83" s="2437"/>
      <c r="CB83" s="2449"/>
    </row>
    <row r="84" spans="1:80" ht="21" hidden="1" customHeight="1" x14ac:dyDescent="0.2">
      <c r="A84" s="2438" t="s">
        <v>312</v>
      </c>
      <c r="B84" s="2453"/>
      <c r="C84" s="2453"/>
      <c r="D84" s="2453"/>
      <c r="E84" s="2453"/>
      <c r="F84" s="2441"/>
      <c r="G84" s="2441"/>
      <c r="H84" s="2441"/>
      <c r="I84" s="2442"/>
      <c r="J84" s="2454"/>
      <c r="K84" s="2454"/>
      <c r="L84" s="2454"/>
      <c r="M84" s="2443"/>
      <c r="N84" s="2443"/>
      <c r="O84" s="2442"/>
      <c r="P84" s="2443"/>
      <c r="Q84" s="2444"/>
      <c r="R84" s="2443"/>
      <c r="S84" s="2443"/>
      <c r="T84" s="2442"/>
      <c r="U84" s="2442"/>
      <c r="V84" s="2442"/>
      <c r="W84" s="2442"/>
      <c r="X84" s="2442"/>
      <c r="Y84" s="2437">
        <v>4665</v>
      </c>
      <c r="Z84" s="2445"/>
      <c r="AA84" s="2437">
        <f>AC84+AD84</f>
        <v>4665</v>
      </c>
      <c r="AB84" s="2445"/>
      <c r="AC84" s="2437">
        <f>4665</f>
        <v>4665</v>
      </c>
      <c r="AD84" s="2437">
        <v>0</v>
      </c>
      <c r="AE84" s="2437">
        <f>AF84</f>
        <v>824.7</v>
      </c>
      <c r="AF84" s="2437">
        <f>'кап влож'!N16</f>
        <v>824.7</v>
      </c>
      <c r="AG84" s="2437">
        <v>0</v>
      </c>
      <c r="AH84" s="2435">
        <f t="shared" si="37"/>
        <v>4274</v>
      </c>
      <c r="AI84" s="2446">
        <f t="shared" si="38"/>
        <v>0.91618435155412647</v>
      </c>
      <c r="AJ84" s="2437">
        <v>4274</v>
      </c>
      <c r="AK84" s="2437">
        <v>0</v>
      </c>
      <c r="AL84" s="2435">
        <f t="shared" si="39"/>
        <v>4444</v>
      </c>
      <c r="AM84" s="2446">
        <f t="shared" si="40"/>
        <v>0.95262593783494109</v>
      </c>
      <c r="AN84" s="2437">
        <v>4444</v>
      </c>
      <c r="AO84" s="2437">
        <v>0</v>
      </c>
      <c r="AP84" s="2447">
        <f t="shared" si="41"/>
        <v>0</v>
      </c>
      <c r="AQ84" s="2447">
        <f>AP84*AC84/AA84</f>
        <v>0</v>
      </c>
      <c r="AR84" s="2447">
        <f t="shared" si="42"/>
        <v>0</v>
      </c>
      <c r="AS84" s="2447">
        <f t="shared" si="303"/>
        <v>0</v>
      </c>
      <c r="AT84" s="2437">
        <v>0</v>
      </c>
      <c r="AU84" s="2437">
        <v>0</v>
      </c>
      <c r="AV84" s="2437">
        <v>0</v>
      </c>
      <c r="AW84" s="2437">
        <f>AY84+CE84</f>
        <v>0</v>
      </c>
      <c r="AX84" s="2437">
        <v>0</v>
      </c>
      <c r="AY84" s="2437">
        <v>0</v>
      </c>
      <c r="AZ84" s="2435">
        <f t="shared" ref="AZ84" si="478">SUM(BB84+BC84)</f>
        <v>3976</v>
      </c>
      <c r="BA84" s="2448">
        <f t="shared" si="48"/>
        <v>0.89468946894689472</v>
      </c>
      <c r="BB84" s="2437">
        <v>3976</v>
      </c>
      <c r="BC84" s="2437">
        <v>0</v>
      </c>
      <c r="BD84" s="2435">
        <f t="shared" ref="BD84" si="479">SUM(BE84+BF84)</f>
        <v>3976</v>
      </c>
      <c r="BE84" s="2437">
        <f>BB84</f>
        <v>3976</v>
      </c>
      <c r="BF84" s="2437">
        <v>0</v>
      </c>
      <c r="BG84" s="2435">
        <v>0</v>
      </c>
      <c r="BH84" s="2437">
        <v>0</v>
      </c>
      <c r="BI84" s="2437">
        <v>0</v>
      </c>
      <c r="BJ84" s="2435">
        <v>0</v>
      </c>
      <c r="BK84" s="2437">
        <v>0</v>
      </c>
      <c r="BL84" s="2437">
        <v>0</v>
      </c>
      <c r="BM84" s="2437"/>
      <c r="BN84" s="2437"/>
      <c r="BO84" s="2437"/>
      <c r="BP84" s="2437"/>
      <c r="BQ84" s="2437"/>
      <c r="BR84" s="2437"/>
      <c r="BS84" s="2435">
        <v>0</v>
      </c>
      <c r="BT84" s="2437">
        <v>0</v>
      </c>
      <c r="BU84" s="2437">
        <v>0</v>
      </c>
      <c r="BV84" s="2435">
        <v>0</v>
      </c>
      <c r="BW84" s="2437">
        <v>0</v>
      </c>
      <c r="BX84" s="2437">
        <v>0</v>
      </c>
      <c r="BY84" s="2437"/>
      <c r="BZ84" s="2437"/>
      <c r="CA84" s="2437"/>
      <c r="CB84" s="2456" t="s">
        <v>964</v>
      </c>
    </row>
    <row r="85" spans="1:80" ht="21" hidden="1" customHeight="1" x14ac:dyDescent="0.2">
      <c r="A85" s="2452" t="s">
        <v>530</v>
      </c>
      <c r="B85" s="2453"/>
      <c r="C85" s="2453"/>
      <c r="D85" s="2453"/>
      <c r="E85" s="2453"/>
      <c r="F85" s="2441"/>
      <c r="G85" s="2441"/>
      <c r="H85" s="2441"/>
      <c r="I85" s="2442"/>
      <c r="J85" s="2454"/>
      <c r="K85" s="2454"/>
      <c r="L85" s="2454"/>
      <c r="M85" s="2443"/>
      <c r="N85" s="2443"/>
      <c r="O85" s="2442"/>
      <c r="P85" s="2443"/>
      <c r="Q85" s="2444"/>
      <c r="R85" s="2443"/>
      <c r="S85" s="2443"/>
      <c r="T85" s="2442"/>
      <c r="U85" s="2442"/>
      <c r="V85" s="2442"/>
      <c r="W85" s="2442"/>
      <c r="X85" s="2442"/>
      <c r="Y85" s="2437">
        <f>Y63+Y81+Y84</f>
        <v>143458.20000000001</v>
      </c>
      <c r="Z85" s="2445"/>
      <c r="AA85" s="2437" t="e">
        <f>AC85+AD85</f>
        <v>#REF!</v>
      </c>
      <c r="AB85" s="2445"/>
      <c r="AC85" s="2437" t="e">
        <f>AC63+AC81+AC84+0.02</f>
        <v>#REF!</v>
      </c>
      <c r="AD85" s="2437" t="e">
        <f>AD63+AD81+AD84</f>
        <v>#REF!</v>
      </c>
      <c r="AE85" s="2437">
        <f>SUM(AF85:AG85)</f>
        <v>114144.7293911</v>
      </c>
      <c r="AF85" s="2437">
        <f>AF63+AF81+AF84</f>
        <v>113340.15483007004</v>
      </c>
      <c r="AG85" s="2437">
        <f>AG63+AG81+AG84</f>
        <v>804.57456102995798</v>
      </c>
      <c r="AH85" s="2437">
        <f>AH63+AH81+AH84</f>
        <v>131924.00433</v>
      </c>
      <c r="AI85" s="2446" t="e">
        <f t="shared" si="38"/>
        <v>#REF!</v>
      </c>
      <c r="AJ85" s="2437">
        <f>AJ63+AJ81+AJ84</f>
        <v>131090.36433000001</v>
      </c>
      <c r="AK85" s="2437">
        <f>AK63+AK81+AK84</f>
        <v>833.64</v>
      </c>
      <c r="AL85" s="2437" t="e">
        <f>AL63+AL81+AL84</f>
        <v>#REF!</v>
      </c>
      <c r="AM85" s="2446" t="e">
        <f t="shared" si="40"/>
        <v>#REF!</v>
      </c>
      <c r="AN85" s="2437" t="e">
        <f>AN63+AN81+AN84</f>
        <v>#REF!</v>
      </c>
      <c r="AO85" s="2437">
        <f>AO63+AO81+AO84</f>
        <v>868.7319260372135</v>
      </c>
      <c r="AP85" s="2447" t="e">
        <f t="shared" si="41"/>
        <v>#REF!</v>
      </c>
      <c r="AQ85" s="2447" t="e">
        <f>AP85-AR85</f>
        <v>#REF!</v>
      </c>
      <c r="AR85" s="2447" t="e">
        <f>AR63</f>
        <v>#REF!</v>
      </c>
      <c r="AS85" s="2447" t="e">
        <f t="shared" si="303"/>
        <v>#REF!</v>
      </c>
      <c r="AT85" s="2437">
        <f>AU85+AV85</f>
        <v>56673.2970814</v>
      </c>
      <c r="AU85" s="2437">
        <f>AU63+AU81+AU84</f>
        <v>56463.165167590261</v>
      </c>
      <c r="AV85" s="2437">
        <f>AV63+AV81+AV84</f>
        <v>210.13191380973541</v>
      </c>
      <c r="AW85" s="2437">
        <f>AX85+AY85</f>
        <v>116214.44</v>
      </c>
      <c r="AX85" s="2437">
        <f>AX63+AX81+AX84+0.02</f>
        <v>115906.67</v>
      </c>
      <c r="AY85" s="2437">
        <f>AY63+AY81+AY84</f>
        <v>307.77</v>
      </c>
      <c r="AZ85" s="2437">
        <f>AZ63+AZ81+AZ84</f>
        <v>145950.01619208642</v>
      </c>
      <c r="BA85" s="2448" t="e">
        <f t="shared" si="48"/>
        <v>#REF!</v>
      </c>
      <c r="BB85" s="2437">
        <f>BB63+BB81+BB84</f>
        <v>145463.13440115421</v>
      </c>
      <c r="BC85" s="2437">
        <f>BC63+BC81+BC84</f>
        <v>486.88179093217639</v>
      </c>
      <c r="BD85" s="2437">
        <f>BD63+BD81+BD84</f>
        <v>130505.10263939487</v>
      </c>
      <c r="BE85" s="2437">
        <f t="shared" ref="BE85:BL85" si="480">BE63+BE81+BE84</f>
        <v>130160.96371419655</v>
      </c>
      <c r="BF85" s="2437">
        <f t="shared" si="480"/>
        <v>344.13892519829579</v>
      </c>
      <c r="BG85" s="2437">
        <f t="shared" si="480"/>
        <v>120577.87999999999</v>
      </c>
      <c r="BH85" s="2437">
        <f t="shared" si="480"/>
        <v>120535.92999999998</v>
      </c>
      <c r="BI85" s="2437">
        <f t="shared" si="480"/>
        <v>41.95</v>
      </c>
      <c r="BJ85" s="2437">
        <f t="shared" si="480"/>
        <v>134891.4</v>
      </c>
      <c r="BK85" s="2437">
        <f t="shared" si="480"/>
        <v>134862.30000000002</v>
      </c>
      <c r="BL85" s="2437">
        <f t="shared" si="480"/>
        <v>29.1</v>
      </c>
      <c r="BM85" s="2437"/>
      <c r="BN85" s="2437"/>
      <c r="BO85" s="2437"/>
      <c r="BP85" s="2437"/>
      <c r="BQ85" s="2437"/>
      <c r="BR85" s="2437"/>
      <c r="BS85" s="2437">
        <f>(BS82+BS84)/BS79</f>
        <v>48.055278779472943</v>
      </c>
      <c r="BT85" s="2437">
        <f t="shared" ref="BT85:BU85" si="481">(BT82+BT84)/BT79</f>
        <v>48.094441666666654</v>
      </c>
      <c r="BU85" s="2437">
        <f t="shared" si="481"/>
        <v>19.857999999999997</v>
      </c>
      <c r="BV85" s="2437">
        <f>(BV82+BV84)/BV79</f>
        <v>40.294652117864288</v>
      </c>
      <c r="BW85" s="2437">
        <f t="shared" ref="BW85:BX85" si="482">(BW82+BW84)/BW79</f>
        <v>40.305718614059224</v>
      </c>
      <c r="BX85" s="2437">
        <f t="shared" si="482"/>
        <v>17.407481617784892</v>
      </c>
      <c r="BY85" s="2437"/>
      <c r="BZ85" s="2437"/>
      <c r="CA85" s="2437"/>
      <c r="CB85" s="2449"/>
    </row>
    <row r="86" spans="1:80" ht="37.5" hidden="1" customHeight="1" x14ac:dyDescent="0.2">
      <c r="A86" s="2452" t="s">
        <v>313</v>
      </c>
      <c r="B86" s="2453"/>
      <c r="C86" s="2453"/>
      <c r="D86" s="2453"/>
      <c r="E86" s="2453"/>
      <c r="F86" s="2441"/>
      <c r="G86" s="2441"/>
      <c r="H86" s="2441"/>
      <c r="I86" s="2442"/>
      <c r="J86" s="2454"/>
      <c r="K86" s="2454"/>
      <c r="L86" s="2454"/>
      <c r="M86" s="2443"/>
      <c r="N86" s="2443"/>
      <c r="O86" s="2442"/>
      <c r="P86" s="2443"/>
      <c r="Q86" s="2444"/>
      <c r="R86" s="2443"/>
      <c r="S86" s="2443"/>
      <c r="T86" s="2442"/>
      <c r="U86" s="2442"/>
      <c r="V86" s="2442"/>
      <c r="W86" s="2442"/>
      <c r="X86" s="2442"/>
      <c r="Y86" s="2437">
        <f>Y85/Y79</f>
        <v>35.864550000000001</v>
      </c>
      <c r="Z86" s="2445"/>
      <c r="AA86" s="2437" t="e">
        <f>AA85/AA79</f>
        <v>#REF!</v>
      </c>
      <c r="AB86" s="2445"/>
      <c r="AC86" s="2437" t="e">
        <f>AC85/AC79+0.02</f>
        <v>#REF!</v>
      </c>
      <c r="AD86" s="2437" t="e">
        <f>AD85/AD79</f>
        <v>#REF!</v>
      </c>
      <c r="AE86" s="2437">
        <f>AE85/AE79</f>
        <v>28.260641097078484</v>
      </c>
      <c r="AF86" s="2437">
        <f>AF85/AF79+0.02</f>
        <v>28.431750433688467</v>
      </c>
      <c r="AG86" s="2437">
        <f>AG85/AG79</f>
        <v>16.156115683332491</v>
      </c>
      <c r="AH86" s="2437">
        <f>AH85/AH79</f>
        <v>32.554536652354159</v>
      </c>
      <c r="AI86" s="2446" t="e">
        <f t="shared" si="38"/>
        <v>#REF!</v>
      </c>
      <c r="AJ86" s="2437">
        <f>AJ85/AJ79</f>
        <v>32.721300444053945</v>
      </c>
      <c r="AK86" s="2437">
        <f>AK85/AK79</f>
        <v>18.071536960763058</v>
      </c>
      <c r="AL86" s="2437" t="e">
        <f>AL85/AL79</f>
        <v>#REF!</v>
      </c>
      <c r="AM86" s="2446" t="e">
        <f t="shared" si="40"/>
        <v>#REF!</v>
      </c>
      <c r="AN86" s="2437" t="e">
        <f>AN85/AN79</f>
        <v>#REF!</v>
      </c>
      <c r="AO86" s="2437">
        <f>AO85/AO79</f>
        <v>18.832255062588629</v>
      </c>
      <c r="AP86" s="2447" t="e">
        <f t="shared" si="41"/>
        <v>#REF!</v>
      </c>
      <c r="AQ86" s="2447" t="e">
        <f>AP86</f>
        <v>#REF!</v>
      </c>
      <c r="AR86" s="2447" t="e">
        <f t="shared" si="42"/>
        <v>#REF!</v>
      </c>
      <c r="AS86" s="2447" t="e">
        <f t="shared" si="303"/>
        <v>#REF!</v>
      </c>
      <c r="AT86" s="2437">
        <f>AT85/AT79</f>
        <v>28.472176098930913</v>
      </c>
      <c r="AU86" s="2437">
        <f>AU85/AU79+0.02</f>
        <v>28.583201351485883</v>
      </c>
      <c r="AV86" s="2437">
        <f>AV85/AV79</f>
        <v>15.338095898520834</v>
      </c>
      <c r="AW86" s="2437">
        <f>AW85/AW79</f>
        <v>30.741145163764873</v>
      </c>
      <c r="AX86" s="2437">
        <f>AX85/AX79+0.02</f>
        <v>30.828215937483385</v>
      </c>
      <c r="AY86" s="2437">
        <f>AY85/AY79</f>
        <v>16.891877058177826</v>
      </c>
      <c r="AZ86" s="2437">
        <f>AZ85/AZ79</f>
        <v>36.390731993966654</v>
      </c>
      <c r="BA86" s="2448" t="e">
        <f t="shared" si="48"/>
        <v>#REF!</v>
      </c>
      <c r="BB86" s="2437">
        <f>BB85/BB79</f>
        <v>36.464081648392209</v>
      </c>
      <c r="BC86" s="2437">
        <f>BC85/BC79</f>
        <v>22.730242340437737</v>
      </c>
      <c r="BD86" s="2437">
        <f>BD85/BD79</f>
        <v>32.539744344700075</v>
      </c>
      <c r="BE86" s="2437">
        <f t="shared" ref="BE86:BV86" si="483">BE85/BE79</f>
        <v>32.628198394370763</v>
      </c>
      <c r="BF86" s="2437">
        <f t="shared" si="483"/>
        <v>16.066243006456386</v>
      </c>
      <c r="BG86" s="2437">
        <f t="shared" si="483"/>
        <v>33.787241435352527</v>
      </c>
      <c r="BH86" s="2437">
        <f t="shared" si="483"/>
        <v>33.798216098296848</v>
      </c>
      <c r="BI86" s="2437">
        <f t="shared" si="483"/>
        <v>17.479166666666668</v>
      </c>
      <c r="BJ86" s="2437">
        <f t="shared" si="483"/>
        <v>36.88005971177585</v>
      </c>
      <c r="BK86" s="2437">
        <f t="shared" si="483"/>
        <v>36.889955686853767</v>
      </c>
      <c r="BL86" s="2437">
        <f t="shared" si="483"/>
        <v>16.440677966101696</v>
      </c>
      <c r="BM86" s="2437"/>
      <c r="BN86" s="2437"/>
      <c r="BO86" s="2437"/>
      <c r="BP86" s="2437"/>
      <c r="BQ86" s="2437"/>
      <c r="BR86" s="2437"/>
      <c r="BS86" s="2437">
        <f>BS85/BS79</f>
        <v>1.3330174418716489E-2</v>
      </c>
      <c r="BT86" s="2437">
        <f t="shared" si="483"/>
        <v>1.3359567129629626E-2</v>
      </c>
      <c r="BU86" s="2437">
        <f t="shared" si="483"/>
        <v>3.9715999999999996</v>
      </c>
      <c r="BV86" s="2437">
        <f t="shared" si="483"/>
        <v>1.1002268450391489E-2</v>
      </c>
      <c r="BW86" s="2437"/>
      <c r="BX86" s="2437"/>
      <c r="BY86" s="2437"/>
      <c r="BZ86" s="2437"/>
      <c r="CA86" s="2437"/>
      <c r="CB86" s="2449"/>
    </row>
    <row r="87" spans="1:80" hidden="1" x14ac:dyDescent="0.25">
      <c r="A87" s="27"/>
      <c r="Q87" s="26"/>
      <c r="R87" s="26"/>
      <c r="S87" s="26"/>
      <c r="T87" s="26"/>
      <c r="Y87" s="363"/>
      <c r="Z87" s="365"/>
      <c r="AA87" s="363"/>
      <c r="AB87" s="365"/>
      <c r="AC87" s="364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3"/>
      <c r="AO87" s="363"/>
      <c r="BD87" s="155">
        <f>BE79</f>
        <v>3989.2170000000001</v>
      </c>
      <c r="BE87">
        <f>BD87/2</f>
        <v>1994.6085</v>
      </c>
      <c r="BF87">
        <f>BE87</f>
        <v>1994.6085</v>
      </c>
      <c r="CB87" s="161"/>
    </row>
    <row r="88" spans="1:80" hidden="1" x14ac:dyDescent="0.25">
      <c r="A88" s="4768" t="s">
        <v>423</v>
      </c>
      <c r="B88" s="4769"/>
      <c r="C88" s="4769"/>
      <c r="D88" s="4769"/>
      <c r="E88" s="4769"/>
      <c r="F88" s="4769"/>
      <c r="G88" s="4769"/>
      <c r="H88" s="4769"/>
      <c r="K88" s="4769" t="s">
        <v>424</v>
      </c>
      <c r="L88" s="4769"/>
      <c r="M88" s="4769"/>
      <c r="N88" s="4769"/>
      <c r="O88" s="4769"/>
      <c r="P88" s="4769"/>
      <c r="Q88" s="4769"/>
      <c r="R88" s="4769"/>
      <c r="S88" s="4769"/>
      <c r="T88" s="4769"/>
      <c r="Y88" s="363"/>
      <c r="Z88" s="365"/>
      <c r="AA88" s="363"/>
      <c r="AB88" s="365"/>
      <c r="AC88" s="364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3"/>
      <c r="AO88" s="363"/>
      <c r="CB88" s="161"/>
    </row>
    <row r="89" spans="1:80" ht="26.25" hidden="1" x14ac:dyDescent="0.25">
      <c r="A89" s="366" t="s">
        <v>250</v>
      </c>
      <c r="B89" s="25"/>
      <c r="C89" s="25"/>
      <c r="D89" s="25"/>
      <c r="E89" s="154">
        <f>H89/2</f>
        <v>2003.135</v>
      </c>
      <c r="F89" s="154"/>
      <c r="G89" s="154">
        <f>H89-E89</f>
        <v>2003.135</v>
      </c>
      <c r="H89" s="154">
        <f>AN79</f>
        <v>4006.27</v>
      </c>
      <c r="K89" s="182" t="s">
        <v>250</v>
      </c>
      <c r="L89" s="166">
        <f>E89</f>
        <v>2003.135</v>
      </c>
      <c r="M89" s="25"/>
      <c r="N89" s="25"/>
      <c r="O89" s="154">
        <f>CE63/2</f>
        <v>0</v>
      </c>
      <c r="P89" s="154" t="e">
        <f>S89/2</f>
        <v>#REF!</v>
      </c>
      <c r="Q89" s="154">
        <f>G89</f>
        <v>2003.135</v>
      </c>
      <c r="R89" s="154">
        <f>CE63</f>
        <v>0</v>
      </c>
      <c r="S89" s="154" t="e">
        <f>AA79</f>
        <v>#REF!</v>
      </c>
      <c r="T89" s="154">
        <f>AN79</f>
        <v>4006.27</v>
      </c>
      <c r="X89" s="224" t="s">
        <v>314</v>
      </c>
      <c r="Y89" s="25" t="s">
        <v>252</v>
      </c>
      <c r="Z89" s="25" t="s">
        <v>253</v>
      </c>
      <c r="AA89" s="25">
        <v>2014</v>
      </c>
      <c r="AN89" s="155" t="e">
        <f>#REF!-AN84</f>
        <v>#REF!</v>
      </c>
      <c r="CB89" s="161"/>
    </row>
    <row r="90" spans="1:80" ht="39" hidden="1" x14ac:dyDescent="0.25">
      <c r="A90" s="14" t="s">
        <v>283</v>
      </c>
      <c r="B90" s="25"/>
      <c r="C90" s="25"/>
      <c r="D90" s="25"/>
      <c r="E90" s="227" t="e">
        <f>#REF!</f>
        <v>#REF!</v>
      </c>
      <c r="F90" s="227"/>
      <c r="G90" s="227" t="e">
        <f>G91/G89</f>
        <v>#REF!</v>
      </c>
      <c r="H90" s="227" t="e">
        <f>AN83</f>
        <v>#REF!</v>
      </c>
      <c r="K90" s="182" t="s">
        <v>283</v>
      </c>
      <c r="L90" s="227">
        <v>30</v>
      </c>
      <c r="M90" s="228"/>
      <c r="N90" s="228"/>
      <c r="O90" s="227">
        <v>26.38</v>
      </c>
      <c r="P90" s="227" t="e">
        <f>P91/P89</f>
        <v>#REF!</v>
      </c>
      <c r="Q90" s="227" t="e">
        <f>Q91/Q89</f>
        <v>#REF!</v>
      </c>
      <c r="R90" s="227">
        <f>CE83</f>
        <v>0</v>
      </c>
      <c r="S90" s="227" t="e">
        <f>AA86</f>
        <v>#REF!</v>
      </c>
      <c r="T90" s="227" t="e">
        <f>AN86</f>
        <v>#REF!</v>
      </c>
      <c r="X90" s="225" t="s">
        <v>250</v>
      </c>
      <c r="Y90" s="154">
        <f>AA90/2</f>
        <v>1400</v>
      </c>
      <c r="Z90" s="154">
        <f>AA90/2</f>
        <v>1400</v>
      </c>
      <c r="AA90" s="154">
        <f>объемы!G50</f>
        <v>2800</v>
      </c>
      <c r="AD90" s="155"/>
      <c r="AE90" s="155"/>
      <c r="AF90" s="155"/>
      <c r="AG90" s="155"/>
      <c r="AH90" s="155"/>
      <c r="AI90" s="155"/>
      <c r="AJ90" s="325"/>
      <c r="AK90" s="325"/>
      <c r="AL90" s="155"/>
      <c r="AM90" s="155"/>
      <c r="AN90" s="155"/>
      <c r="AO90" s="155"/>
      <c r="AP90" s="155"/>
      <c r="AQ90" s="155"/>
      <c r="AR90" s="155"/>
      <c r="AS90" s="155"/>
      <c r="AT90" s="155"/>
      <c r="AU90" s="155"/>
      <c r="AV90" s="155"/>
      <c r="AW90" s="155"/>
      <c r="AX90" s="155"/>
      <c r="AY90" s="155"/>
      <c r="AZ90" s="155"/>
      <c r="BA90" s="1369"/>
      <c r="BB90" s="155"/>
      <c r="BC90" s="155"/>
      <c r="BD90" s="155"/>
      <c r="BE90" s="155"/>
      <c r="BF90" s="155"/>
      <c r="BG90" s="1660"/>
      <c r="BH90" s="1660"/>
      <c r="BI90" s="1660"/>
      <c r="BJ90" s="1660"/>
      <c r="BK90" s="1660"/>
      <c r="BL90" s="1660"/>
      <c r="BM90" s="1660"/>
      <c r="BN90" s="1660"/>
      <c r="BO90" s="1660"/>
      <c r="BP90" s="1660"/>
      <c r="BQ90" s="1660"/>
      <c r="BR90" s="1660"/>
      <c r="BS90" s="1660"/>
      <c r="BT90" s="1660"/>
      <c r="BU90" s="1660"/>
      <c r="BV90" s="1660"/>
      <c r="BW90" s="1660"/>
      <c r="BX90" s="1660"/>
      <c r="BY90" s="1660"/>
      <c r="BZ90" s="1660"/>
      <c r="CA90" s="1660"/>
      <c r="CB90" s="229"/>
    </row>
    <row r="91" spans="1:80" hidden="1" x14ac:dyDescent="0.25">
      <c r="A91" s="14" t="s">
        <v>251</v>
      </c>
      <c r="B91" s="25"/>
      <c r="C91" s="25"/>
      <c r="D91" s="25"/>
      <c r="E91" s="154" t="e">
        <f>E89*E90</f>
        <v>#REF!</v>
      </c>
      <c r="F91" s="154"/>
      <c r="G91" s="154" t="e">
        <f>H91-E91</f>
        <v>#REF!</v>
      </c>
      <c r="H91" s="154" t="e">
        <f>AN63+AN81</f>
        <v>#REF!</v>
      </c>
      <c r="K91" s="182" t="s">
        <v>251</v>
      </c>
      <c r="L91" s="154">
        <f>L89*L90</f>
        <v>60094.05</v>
      </c>
      <c r="M91" s="25"/>
      <c r="N91" s="25"/>
      <c r="O91" s="154">
        <f>O89*O90</f>
        <v>0</v>
      </c>
      <c r="P91" s="154" t="e">
        <f>S91-L91</f>
        <v>#REF!</v>
      </c>
      <c r="Q91" s="154" t="e">
        <f>T91-L91</f>
        <v>#REF!</v>
      </c>
      <c r="R91" s="154">
        <f>CE58+CE80</f>
        <v>0</v>
      </c>
      <c r="S91" s="154" t="e">
        <f>S89*S90</f>
        <v>#REF!</v>
      </c>
      <c r="T91" s="154" t="e">
        <f>AN85</f>
        <v>#REF!</v>
      </c>
      <c r="V91" s="155"/>
      <c r="X91" s="225" t="s">
        <v>112</v>
      </c>
      <c r="Y91" s="154">
        <v>19.14</v>
      </c>
      <c r="Z91" s="154">
        <f>Y91*1.184</f>
        <v>22.661760000000001</v>
      </c>
      <c r="AA91" s="226">
        <f>AA92/AA90</f>
        <v>20.900880000000001</v>
      </c>
      <c r="AD91" s="155"/>
      <c r="AE91" s="155"/>
      <c r="AF91" s="155"/>
      <c r="AG91" s="155"/>
      <c r="AH91" s="155"/>
      <c r="AI91" s="155"/>
      <c r="AJ91" s="325"/>
      <c r="AK91" s="325"/>
      <c r="AL91" s="155"/>
      <c r="AM91" s="155"/>
      <c r="AN91" s="155"/>
      <c r="AO91" s="155"/>
      <c r="AP91" s="155"/>
      <c r="AQ91" s="155"/>
      <c r="AR91" s="155"/>
      <c r="AS91" s="155"/>
      <c r="AT91" s="155"/>
      <c r="AU91" s="155"/>
      <c r="AV91" s="155"/>
      <c r="AW91" s="155"/>
      <c r="AX91" s="155"/>
      <c r="AY91" s="155"/>
      <c r="AZ91" s="155"/>
      <c r="BA91" s="1369"/>
      <c r="BB91" s="155"/>
      <c r="BC91" s="155"/>
      <c r="BD91" s="155"/>
      <c r="BE91" s="155"/>
      <c r="BF91" s="155"/>
      <c r="BG91" s="1660"/>
      <c r="BH91" s="1660"/>
      <c r="BI91" s="1660"/>
      <c r="BJ91" s="1660"/>
      <c r="BK91" s="1660"/>
      <c r="BL91" s="1660"/>
      <c r="BM91" s="1660"/>
      <c r="BN91" s="1660"/>
      <c r="BO91" s="1660"/>
      <c r="BP91" s="1660"/>
      <c r="BQ91" s="1660"/>
      <c r="BR91" s="1660"/>
      <c r="BS91" s="1660"/>
      <c r="BT91" s="1660"/>
      <c r="BU91" s="1660"/>
      <c r="BV91" s="1660"/>
      <c r="BW91" s="1660"/>
      <c r="BX91" s="1660"/>
      <c r="BY91" s="1660"/>
      <c r="BZ91" s="1660"/>
      <c r="CA91" s="1660"/>
      <c r="CB91" s="229"/>
    </row>
    <row r="92" spans="1:80" ht="26.25" hidden="1" customHeight="1" x14ac:dyDescent="0.25">
      <c r="A92" s="25"/>
      <c r="B92" s="25"/>
      <c r="C92" s="25"/>
      <c r="D92" s="25"/>
      <c r="E92" s="25"/>
      <c r="F92" s="25"/>
      <c r="G92" s="332" t="e">
        <f>G90/E90</f>
        <v>#REF!</v>
      </c>
      <c r="H92" s="25"/>
      <c r="K92" s="25"/>
      <c r="L92" s="25"/>
      <c r="M92" s="25"/>
      <c r="N92" s="25"/>
      <c r="O92" s="25"/>
      <c r="P92" s="183" t="e">
        <f>P90/L90</f>
        <v>#REF!</v>
      </c>
      <c r="Q92" s="330" t="e">
        <f>Q90/L90</f>
        <v>#REF!</v>
      </c>
      <c r="R92" s="25"/>
      <c r="S92" s="25"/>
      <c r="T92" s="331" t="e">
        <f>G90/L90</f>
        <v>#REF!</v>
      </c>
      <c r="X92" s="225" t="s">
        <v>311</v>
      </c>
      <c r="Y92" s="154">
        <f>Y90*Y91</f>
        <v>26796</v>
      </c>
      <c r="Z92" s="154">
        <f>Z90*Z91</f>
        <v>31726.464</v>
      </c>
      <c r="AA92" s="154">
        <f>Y92+Z92</f>
        <v>58522.464</v>
      </c>
      <c r="AD92" s="155"/>
      <c r="AE92" s="155"/>
      <c r="AF92" s="155"/>
      <c r="AG92" s="155"/>
      <c r="AH92" s="155"/>
      <c r="AI92" s="155"/>
      <c r="AJ92" s="325"/>
      <c r="AK92" s="32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5"/>
      <c r="AV92" s="155"/>
      <c r="AW92" s="155"/>
      <c r="AX92" s="155"/>
      <c r="AY92" s="155"/>
      <c r="AZ92" s="155"/>
      <c r="BA92" s="1369"/>
      <c r="BB92" s="155"/>
      <c r="BC92" s="155"/>
      <c r="BD92" s="155"/>
      <c r="BE92" s="155"/>
      <c r="BF92" s="155"/>
      <c r="BG92" s="1660"/>
      <c r="BH92" s="1660"/>
      <c r="BI92" s="1660"/>
      <c r="BJ92" s="1660"/>
      <c r="BK92" s="1660"/>
      <c r="BL92" s="1660"/>
      <c r="BM92" s="1660"/>
      <c r="BN92" s="1660"/>
      <c r="BO92" s="1660"/>
      <c r="BP92" s="1660"/>
      <c r="BQ92" s="1660"/>
      <c r="BR92" s="1660"/>
      <c r="BS92" s="1660"/>
      <c r="BT92" s="1660"/>
      <c r="BU92" s="1660"/>
      <c r="BV92" s="1660"/>
      <c r="BW92" s="1660"/>
      <c r="BX92" s="1660"/>
      <c r="BY92" s="1660"/>
      <c r="BZ92" s="1660"/>
      <c r="CA92" s="1660"/>
      <c r="CB92" s="229"/>
    </row>
    <row r="93" spans="1:80" ht="18" hidden="1" customHeight="1" x14ac:dyDescent="0.25">
      <c r="A93" s="4770" t="s">
        <v>425</v>
      </c>
      <c r="B93" s="4767"/>
      <c r="C93" s="4767"/>
      <c r="D93" s="4767"/>
      <c r="E93" s="4767"/>
      <c r="F93" s="4767"/>
      <c r="G93" s="4767"/>
      <c r="H93" s="4771"/>
      <c r="K93" s="4767" t="s">
        <v>426</v>
      </c>
      <c r="L93" s="4767"/>
      <c r="M93" s="4767"/>
      <c r="N93" s="4767"/>
      <c r="O93" s="4767"/>
      <c r="P93" s="4767"/>
      <c r="Q93" s="4767"/>
      <c r="R93" s="4767"/>
      <c r="S93" s="4767"/>
      <c r="T93" s="4767"/>
      <c r="X93" s="225" t="s">
        <v>349</v>
      </c>
      <c r="Y93" s="25"/>
      <c r="Z93" s="160">
        <f>Z91/Y91</f>
        <v>1.1839999999999999</v>
      </c>
      <c r="AA93" s="25"/>
      <c r="CB93" s="230"/>
    </row>
    <row r="94" spans="1:80" hidden="1" x14ac:dyDescent="0.25">
      <c r="A94" s="25"/>
      <c r="B94" s="25"/>
      <c r="C94" s="25"/>
      <c r="D94" s="25"/>
      <c r="E94" s="25" t="s">
        <v>252</v>
      </c>
      <c r="F94" s="25"/>
      <c r="G94" s="25" t="s">
        <v>253</v>
      </c>
      <c r="H94" s="25" t="s">
        <v>229</v>
      </c>
      <c r="K94" s="25" t="s">
        <v>317</v>
      </c>
      <c r="L94" s="167" t="s">
        <v>252</v>
      </c>
      <c r="M94" s="167"/>
      <c r="N94" s="167"/>
      <c r="O94" s="167" t="s">
        <v>252</v>
      </c>
      <c r="P94" s="167" t="s">
        <v>253</v>
      </c>
      <c r="Q94" s="167" t="s">
        <v>253</v>
      </c>
      <c r="R94" s="167" t="s">
        <v>229</v>
      </c>
      <c r="S94" s="167" t="s">
        <v>229</v>
      </c>
      <c r="T94" s="25">
        <v>2014</v>
      </c>
      <c r="X94" s="225"/>
      <c r="Y94" s="25"/>
      <c r="Z94" s="154">
        <f>Z92-Y92</f>
        <v>4930.4639999999999</v>
      </c>
      <c r="AA94" s="25"/>
      <c r="CB94" s="229"/>
    </row>
    <row r="95" spans="1:80" hidden="1" x14ac:dyDescent="0.25">
      <c r="A95" s="14" t="s">
        <v>250</v>
      </c>
      <c r="B95" s="25"/>
      <c r="C95" s="25"/>
      <c r="D95" s="25"/>
      <c r="E95" s="154">
        <f>H95/2</f>
        <v>23.065000000000001</v>
      </c>
      <c r="F95" s="154"/>
      <c r="G95" s="154">
        <f>H95-E95</f>
        <v>23.065000000000001</v>
      </c>
      <c r="H95" s="154">
        <f>AO79</f>
        <v>46.13</v>
      </c>
      <c r="K95" s="182" t="s">
        <v>250</v>
      </c>
      <c r="L95" s="166" t="e">
        <f>T95/2</f>
        <v>#REF!</v>
      </c>
      <c r="M95" s="25"/>
      <c r="N95" s="25"/>
      <c r="O95" s="154" t="e">
        <f>#REF!/2</f>
        <v>#REF!</v>
      </c>
      <c r="P95" s="154" t="e">
        <f>S95/2</f>
        <v>#REF!</v>
      </c>
      <c r="Q95" s="154" t="e">
        <f>T95/2</f>
        <v>#REF!</v>
      </c>
      <c r="R95" s="154" t="e">
        <f>#REF!</f>
        <v>#REF!</v>
      </c>
      <c r="S95" s="154" t="e">
        <f>AA80</f>
        <v>#REF!</v>
      </c>
      <c r="T95" s="154" t="e">
        <f>стоки!Z65</f>
        <v>#REF!</v>
      </c>
      <c r="X95" s="225"/>
      <c r="Y95" s="25"/>
      <c r="Z95" s="25"/>
      <c r="AA95" s="25"/>
      <c r="CB95" s="161"/>
    </row>
    <row r="96" spans="1:80" ht="27.75" hidden="1" customHeight="1" x14ac:dyDescent="0.25">
      <c r="A96" s="14" t="s">
        <v>284</v>
      </c>
      <c r="B96" s="25"/>
      <c r="C96" s="25"/>
      <c r="D96" s="25"/>
      <c r="E96" s="227">
        <v>17.57</v>
      </c>
      <c r="F96" s="227"/>
      <c r="G96" s="227">
        <f>G97/G95</f>
        <v>20.094510125177255</v>
      </c>
      <c r="H96" s="227">
        <f>AO86</f>
        <v>18.832255062588629</v>
      </c>
      <c r="K96" s="182" t="s">
        <v>319</v>
      </c>
      <c r="L96" s="227">
        <f>стоки!L124</f>
        <v>0</v>
      </c>
      <c r="M96" s="227"/>
      <c r="N96" s="227"/>
      <c r="O96" s="227">
        <v>26.38</v>
      </c>
      <c r="P96" s="227" t="e">
        <f>P97/P95</f>
        <v>#REF!</v>
      </c>
      <c r="Q96" s="227" t="e">
        <f>Q97/Q95</f>
        <v>#REF!</v>
      </c>
      <c r="R96" s="227">
        <f>CE89</f>
        <v>0</v>
      </c>
      <c r="S96" s="227">
        <f>AA92</f>
        <v>58522.464</v>
      </c>
      <c r="T96" s="227" t="e">
        <f>стоки!AK75</f>
        <v>#REF!</v>
      </c>
      <c r="X96" s="224" t="s">
        <v>315</v>
      </c>
      <c r="Y96" s="25" t="s">
        <v>252</v>
      </c>
      <c r="Z96" s="25" t="s">
        <v>253</v>
      </c>
      <c r="AA96" s="25">
        <v>2014</v>
      </c>
      <c r="CB96" s="161"/>
    </row>
    <row r="97" spans="1:80" hidden="1" x14ac:dyDescent="0.25">
      <c r="A97" s="14" t="s">
        <v>251</v>
      </c>
      <c r="B97" s="25"/>
      <c r="C97" s="25"/>
      <c r="D97" s="25"/>
      <c r="E97" s="154">
        <f>E95*E96</f>
        <v>405.25205000000005</v>
      </c>
      <c r="F97" s="154"/>
      <c r="G97" s="154">
        <f>H97-E97</f>
        <v>463.47987603721344</v>
      </c>
      <c r="H97" s="154">
        <f>AO85</f>
        <v>868.7319260372135</v>
      </c>
      <c r="K97" s="182" t="s">
        <v>251</v>
      </c>
      <c r="L97" s="154" t="e">
        <f>L95*L96</f>
        <v>#REF!</v>
      </c>
      <c r="M97" s="25"/>
      <c r="N97" s="25"/>
      <c r="O97" s="154" t="e">
        <f>O95*O96</f>
        <v>#REF!</v>
      </c>
      <c r="P97" s="154" t="e">
        <f>S97-L97</f>
        <v>#REF!</v>
      </c>
      <c r="Q97" s="154" t="e">
        <f>T97-L97</f>
        <v>#REF!</v>
      </c>
      <c r="R97" s="154" t="e">
        <f>#REF!+CE87</f>
        <v>#REF!</v>
      </c>
      <c r="S97" s="154" t="e">
        <f>S95*S96</f>
        <v>#REF!</v>
      </c>
      <c r="T97" s="154" t="e">
        <f>стоки!AK74</f>
        <v>#REF!</v>
      </c>
      <c r="X97" s="225" t="s">
        <v>250</v>
      </c>
      <c r="Y97" s="154">
        <f>AA97/2</f>
        <v>1300</v>
      </c>
      <c r="Z97" s="154">
        <f>AA97/2</f>
        <v>1300</v>
      </c>
      <c r="AA97" s="154">
        <f>объемы!G64</f>
        <v>2600</v>
      </c>
      <c r="CB97" s="161"/>
    </row>
    <row r="98" spans="1:80" ht="26.25" hidden="1" customHeight="1" x14ac:dyDescent="0.25">
      <c r="A98" s="25"/>
      <c r="B98" s="25"/>
      <c r="C98" s="25"/>
      <c r="D98" s="25"/>
      <c r="E98" s="25"/>
      <c r="F98" s="25"/>
      <c r="G98" s="329">
        <f>G96/E96</f>
        <v>1.1436829894807772</v>
      </c>
      <c r="H98" s="25"/>
      <c r="K98" s="25"/>
      <c r="L98" s="25"/>
      <c r="M98" s="25"/>
      <c r="N98" s="25"/>
      <c r="O98" s="25"/>
      <c r="P98" s="183" t="e">
        <f>P96/L96</f>
        <v>#REF!</v>
      </c>
      <c r="Q98" s="330" t="e">
        <f>Q96/L96</f>
        <v>#REF!</v>
      </c>
      <c r="R98" s="25"/>
      <c r="S98" s="25"/>
      <c r="T98" s="25"/>
      <c r="X98" s="225" t="s">
        <v>112</v>
      </c>
      <c r="Y98" s="154">
        <v>15.5</v>
      </c>
      <c r="Z98" s="154">
        <f>Y98*1.184</f>
        <v>18.352</v>
      </c>
      <c r="AA98" s="226">
        <f>AA99/AA97</f>
        <v>16.926000000000002</v>
      </c>
    </row>
    <row r="99" spans="1:80" hidden="1" x14ac:dyDescent="0.25">
      <c r="A99" s="162"/>
      <c r="B99" s="162"/>
      <c r="C99" s="162"/>
      <c r="D99" s="162"/>
      <c r="E99" s="162"/>
      <c r="F99" s="162"/>
      <c r="G99" s="163"/>
      <c r="H99" s="162"/>
      <c r="X99" s="225" t="s">
        <v>311</v>
      </c>
      <c r="Y99" s="154">
        <f>Y97*Y98</f>
        <v>20150</v>
      </c>
      <c r="Z99" s="154">
        <f>Z97*Z98</f>
        <v>23857.600000000002</v>
      </c>
      <c r="AA99" s="154">
        <f>Y99+Z99</f>
        <v>44007.600000000006</v>
      </c>
    </row>
    <row r="100" spans="1:80" hidden="1" x14ac:dyDescent="0.25">
      <c r="X100" s="25" t="s">
        <v>348</v>
      </c>
      <c r="Y100" s="25"/>
      <c r="Z100" s="160">
        <f>Z98/Y98</f>
        <v>1.1839999999999999</v>
      </c>
      <c r="AA100" s="25"/>
    </row>
    <row r="101" spans="1:80" hidden="1" x14ac:dyDescent="0.25">
      <c r="A101" t="s">
        <v>320</v>
      </c>
      <c r="E101" s="155" t="e">
        <f>E91+стоки!E125</f>
        <v>#REF!</v>
      </c>
      <c r="G101" s="155" t="e">
        <f>G91+стоки!G125</f>
        <v>#REF!</v>
      </c>
      <c r="H101" s="155" t="e">
        <f>E101+G101</f>
        <v>#REF!</v>
      </c>
      <c r="X101" s="25"/>
      <c r="Y101" s="25"/>
      <c r="Z101" s="154">
        <f>Z99-Y99</f>
        <v>3707.6000000000022</v>
      </c>
      <c r="AA101" s="25"/>
    </row>
    <row r="102" spans="1:80" ht="28.5" hidden="1" customHeight="1" x14ac:dyDescent="0.25">
      <c r="G102" s="159" t="e">
        <f>G101/E101</f>
        <v>#REF!</v>
      </c>
    </row>
    <row r="103" spans="1:80" hidden="1" x14ac:dyDescent="0.25"/>
    <row r="104" spans="1:80" hidden="1" x14ac:dyDescent="0.25">
      <c r="A104" t="s">
        <v>321</v>
      </c>
      <c r="E104" s="155" t="e">
        <f>L91+L97</f>
        <v>#REF!</v>
      </c>
      <c r="G104" s="155" t="e">
        <f>Q91+Q97</f>
        <v>#REF!</v>
      </c>
      <c r="H104" s="155" t="e">
        <f>E104+G104</f>
        <v>#REF!</v>
      </c>
      <c r="L104" s="224" t="s">
        <v>318</v>
      </c>
      <c r="M104" s="25"/>
      <c r="N104" s="25"/>
      <c r="O104" s="25"/>
      <c r="P104" s="25"/>
      <c r="Q104" s="25" t="s">
        <v>252</v>
      </c>
      <c r="R104" s="25"/>
      <c r="S104" s="25"/>
      <c r="T104" s="25" t="s">
        <v>253</v>
      </c>
      <c r="U104" s="25" t="s">
        <v>155</v>
      </c>
      <c r="AB104">
        <f>E96*1.048</f>
        <v>18.413360000000001</v>
      </c>
      <c r="AD104">
        <f>(E96+AB104)/2</f>
        <v>17.991680000000002</v>
      </c>
    </row>
    <row r="105" spans="1:80" hidden="1" x14ac:dyDescent="0.25">
      <c r="G105" s="159" t="e">
        <f>G104/E104</f>
        <v>#REF!</v>
      </c>
      <c r="L105" s="25" t="s">
        <v>288</v>
      </c>
      <c r="M105" s="25"/>
      <c r="N105" s="25"/>
      <c r="O105" s="25"/>
      <c r="P105" s="25"/>
      <c r="Q105" s="154">
        <v>8509.5</v>
      </c>
      <c r="R105" s="154"/>
      <c r="S105" s="154"/>
      <c r="T105" s="154">
        <v>11223.9</v>
      </c>
      <c r="U105" s="154">
        <f>T105+Q105</f>
        <v>19733.400000000001</v>
      </c>
    </row>
    <row r="106" spans="1:80" hidden="1" x14ac:dyDescent="0.25">
      <c r="L106" s="25" t="s">
        <v>316</v>
      </c>
      <c r="M106" s="25"/>
      <c r="N106" s="25"/>
      <c r="O106" s="25"/>
      <c r="P106" s="25"/>
      <c r="Q106" s="154">
        <v>6353.75</v>
      </c>
      <c r="R106" s="154"/>
      <c r="S106" s="154"/>
      <c r="T106" s="154">
        <v>7524.4</v>
      </c>
      <c r="U106" s="154">
        <f>T106+Q106</f>
        <v>13878.15</v>
      </c>
    </row>
    <row r="107" spans="1:80" hidden="1" x14ac:dyDescent="0.25">
      <c r="L107" s="25" t="s">
        <v>282</v>
      </c>
      <c r="M107" s="25"/>
      <c r="N107" s="25"/>
      <c r="O107" s="25"/>
      <c r="P107" s="25"/>
      <c r="Q107" s="154">
        <f>Q106+Q105</f>
        <v>14863.25</v>
      </c>
      <c r="R107" s="154">
        <f>R106+R105</f>
        <v>0</v>
      </c>
      <c r="S107" s="154">
        <f>S106+S105</f>
        <v>0</v>
      </c>
      <c r="T107" s="154">
        <f>T106+T105</f>
        <v>18748.3</v>
      </c>
      <c r="U107" s="154">
        <f>U106+U105</f>
        <v>33611.550000000003</v>
      </c>
    </row>
    <row r="108" spans="1:80" hidden="1" x14ac:dyDescent="0.25">
      <c r="L108" s="25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80" hidden="1" x14ac:dyDescent="0.25">
      <c r="L109" s="224" t="s">
        <v>352</v>
      </c>
      <c r="M109" s="25"/>
      <c r="N109" s="25"/>
      <c r="O109" s="25"/>
      <c r="P109" s="25"/>
      <c r="Q109" s="25" t="s">
        <v>252</v>
      </c>
      <c r="R109" s="25"/>
      <c r="S109" s="25"/>
      <c r="T109" s="25" t="s">
        <v>253</v>
      </c>
      <c r="U109" s="25" t="s">
        <v>229</v>
      </c>
    </row>
    <row r="110" spans="1:80" ht="26.25" hidden="1" x14ac:dyDescent="0.25">
      <c r="A110" s="25" t="s">
        <v>271</v>
      </c>
      <c r="B110" s="25"/>
      <c r="C110" s="25"/>
      <c r="D110" s="25"/>
      <c r="E110" s="144" t="s">
        <v>272</v>
      </c>
      <c r="F110" s="144"/>
      <c r="G110" s="144" t="s">
        <v>273</v>
      </c>
      <c r="H110" s="4344" t="s">
        <v>237</v>
      </c>
      <c r="I110" s="4766"/>
      <c r="L110" s="25" t="s">
        <v>288</v>
      </c>
      <c r="M110" s="25"/>
      <c r="N110" s="25"/>
      <c r="O110" s="25"/>
      <c r="P110" s="25"/>
      <c r="Q110" s="154">
        <f>(L90-Y91)*Y90</f>
        <v>15204</v>
      </c>
      <c r="R110" s="154"/>
      <c r="S110" s="154"/>
      <c r="T110" s="154" t="e">
        <f>(Q90-Z91)*Z90</f>
        <v>#REF!</v>
      </c>
      <c r="U110" s="154" t="e">
        <f>T110+Q110</f>
        <v>#REF!</v>
      </c>
    </row>
    <row r="111" spans="1:80" hidden="1" x14ac:dyDescent="0.25">
      <c r="A111" s="25" t="s">
        <v>274</v>
      </c>
      <c r="B111" s="25"/>
      <c r="C111" s="25"/>
      <c r="D111" s="25"/>
      <c r="E111" s="154">
        <v>0</v>
      </c>
      <c r="F111" s="25"/>
      <c r="G111" s="25"/>
      <c r="H111" s="4344"/>
      <c r="I111" s="4766"/>
      <c r="L111" s="25" t="s">
        <v>316</v>
      </c>
      <c r="M111" s="25"/>
      <c r="N111" s="25"/>
      <c r="O111" s="25"/>
      <c r="P111" s="25"/>
      <c r="Q111" s="154">
        <f>(L96-Y98)*Y97</f>
        <v>-20150</v>
      </c>
      <c r="R111" s="154"/>
      <c r="S111" s="154"/>
      <c r="T111" s="154" t="e">
        <f>(Q96-Z98)*Z97</f>
        <v>#REF!</v>
      </c>
      <c r="U111" s="154" t="e">
        <f>T111+Q111</f>
        <v>#REF!</v>
      </c>
    </row>
    <row r="112" spans="1:80" ht="31.5" hidden="1" customHeight="1" x14ac:dyDescent="0.25">
      <c r="A112" s="25" t="s">
        <v>275</v>
      </c>
      <c r="B112" s="25"/>
      <c r="C112" s="25"/>
      <c r="D112" s="25"/>
      <c r="E112" s="154">
        <v>0</v>
      </c>
      <c r="F112" s="25"/>
      <c r="G112" s="25">
        <v>0</v>
      </c>
      <c r="H112" s="4764" t="s">
        <v>241</v>
      </c>
      <c r="I112" s="4765"/>
      <c r="L112" s="25" t="s">
        <v>282</v>
      </c>
      <c r="M112" s="25"/>
      <c r="N112" s="25"/>
      <c r="O112" s="25"/>
      <c r="P112" s="25"/>
      <c r="Q112" s="154">
        <f>Q111+Q110</f>
        <v>-4946</v>
      </c>
      <c r="R112" s="154">
        <f>R111+R110</f>
        <v>0</v>
      </c>
      <c r="S112" s="154">
        <f>S111+S110</f>
        <v>0</v>
      </c>
      <c r="T112" s="154" t="e">
        <f>T111+T110</f>
        <v>#REF!</v>
      </c>
      <c r="U112" s="154" t="e">
        <f>U111+U110</f>
        <v>#REF!</v>
      </c>
    </row>
    <row r="113" spans="1:80" hidden="1" x14ac:dyDescent="0.25">
      <c r="A113" s="25" t="s">
        <v>276</v>
      </c>
      <c r="B113" s="25"/>
      <c r="C113" s="25"/>
      <c r="D113" s="25"/>
      <c r="E113" s="154">
        <v>0</v>
      </c>
      <c r="F113" s="25"/>
      <c r="G113" s="25"/>
      <c r="H113" s="4344"/>
      <c r="I113" s="4766"/>
      <c r="L113" s="224" t="s">
        <v>422</v>
      </c>
      <c r="M113" s="25"/>
      <c r="N113" s="25"/>
      <c r="O113" s="25"/>
      <c r="P113" s="25"/>
      <c r="Q113" s="25" t="s">
        <v>252</v>
      </c>
      <c r="R113" s="25"/>
      <c r="S113" s="25"/>
      <c r="T113" s="25" t="s">
        <v>253</v>
      </c>
      <c r="U113" s="25" t="s">
        <v>364</v>
      </c>
    </row>
    <row r="114" spans="1:80" hidden="1" x14ac:dyDescent="0.25">
      <c r="A114" s="25" t="s">
        <v>277</v>
      </c>
      <c r="B114" s="25"/>
      <c r="C114" s="25"/>
      <c r="D114" s="25"/>
      <c r="E114" s="154">
        <v>0</v>
      </c>
      <c r="F114" s="25"/>
      <c r="G114" s="25"/>
      <c r="H114" s="4344"/>
      <c r="I114" s="4766"/>
      <c r="L114" s="25" t="s">
        <v>288</v>
      </c>
      <c r="M114" s="25"/>
      <c r="N114" s="25"/>
      <c r="O114" s="25"/>
      <c r="P114" s="25"/>
      <c r="Q114" s="154" t="e">
        <f>(L94-Y95)*Y94</f>
        <v>#VALUE!</v>
      </c>
      <c r="R114" s="154"/>
      <c r="S114" s="154"/>
      <c r="T114" s="154" t="e">
        <f>(Q94-Z95)*Z94</f>
        <v>#VALUE!</v>
      </c>
      <c r="U114" s="154" t="e">
        <f>T114+Q114</f>
        <v>#VALUE!</v>
      </c>
    </row>
    <row r="115" spans="1:80" hidden="1" x14ac:dyDescent="0.25">
      <c r="A115" s="25" t="s">
        <v>278</v>
      </c>
      <c r="B115" s="25"/>
      <c r="C115" s="25"/>
      <c r="D115" s="25"/>
      <c r="E115" s="154">
        <v>0</v>
      </c>
      <c r="F115" s="25"/>
      <c r="G115" s="25"/>
      <c r="H115" s="4344"/>
      <c r="I115" s="4766"/>
      <c r="L115" s="25" t="s">
        <v>316</v>
      </c>
      <c r="M115" s="25"/>
      <c r="N115" s="25"/>
      <c r="O115" s="25"/>
      <c r="P115" s="25"/>
      <c r="Q115" s="154">
        <f>(L100-Y102)*Y101</f>
        <v>0</v>
      </c>
      <c r="R115" s="154"/>
      <c r="S115" s="154"/>
      <c r="T115" s="154">
        <f>(Q100-Z102)*Z101</f>
        <v>0</v>
      </c>
      <c r="U115" s="154">
        <f>T115+Q115</f>
        <v>0</v>
      </c>
    </row>
    <row r="116" spans="1:80" hidden="1" x14ac:dyDescent="0.25">
      <c r="A116" s="25" t="s">
        <v>279</v>
      </c>
      <c r="B116" s="25"/>
      <c r="C116" s="25"/>
      <c r="D116" s="25"/>
      <c r="E116" s="154">
        <v>0</v>
      </c>
      <c r="F116" s="25"/>
      <c r="G116" s="25"/>
      <c r="H116" s="4344"/>
      <c r="I116" s="4766"/>
      <c r="L116" s="25" t="s">
        <v>282</v>
      </c>
      <c r="M116" s="25"/>
      <c r="N116" s="25"/>
      <c r="O116" s="25"/>
      <c r="P116" s="25"/>
      <c r="Q116" s="154" t="e">
        <f>Q115+Q114</f>
        <v>#VALUE!</v>
      </c>
      <c r="R116" s="154">
        <f>R115+R114</f>
        <v>0</v>
      </c>
      <c r="S116" s="154">
        <f>S115+S114</f>
        <v>0</v>
      </c>
      <c r="T116" s="154" t="e">
        <f>T115+T114</f>
        <v>#VALUE!</v>
      </c>
      <c r="U116" s="154" t="e">
        <f>U115+U114</f>
        <v>#VALUE!</v>
      </c>
    </row>
    <row r="117" spans="1:80" hidden="1" x14ac:dyDescent="0.25">
      <c r="A117" s="25" t="s">
        <v>280</v>
      </c>
      <c r="B117" s="25"/>
      <c r="C117" s="25"/>
      <c r="D117" s="25"/>
      <c r="E117" s="154">
        <v>0</v>
      </c>
      <c r="F117" s="25"/>
      <c r="G117" s="25"/>
      <c r="H117" s="4344"/>
      <c r="I117" s="4766"/>
      <c r="L117" s="224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80" hidden="1" x14ac:dyDescent="0.25">
      <c r="A118" s="25" t="s">
        <v>281</v>
      </c>
      <c r="B118" s="25"/>
      <c r="C118" s="25"/>
      <c r="D118" s="25"/>
      <c r="E118" s="154">
        <v>0</v>
      </c>
      <c r="F118" s="25"/>
      <c r="G118" s="25"/>
      <c r="H118" s="4344"/>
      <c r="I118" s="4766"/>
    </row>
    <row r="119" spans="1:80" hidden="1" x14ac:dyDescent="0.25">
      <c r="A119" s="25" t="s">
        <v>282</v>
      </c>
      <c r="B119" s="25"/>
      <c r="C119" s="25"/>
      <c r="D119" s="25"/>
      <c r="E119" s="154">
        <f>SUM(E111:E118)</f>
        <v>0</v>
      </c>
      <c r="F119" s="25"/>
      <c r="G119" s="25"/>
      <c r="H119" s="4344"/>
      <c r="I119" s="4766"/>
    </row>
    <row r="120" spans="1:80" hidden="1" x14ac:dyDescent="0.25"/>
    <row r="121" spans="1:80" hidden="1" x14ac:dyDescent="0.25"/>
    <row r="122" spans="1:80" hidden="1" x14ac:dyDescent="0.25"/>
    <row r="123" spans="1:80" hidden="1" x14ac:dyDescent="0.25"/>
    <row r="124" spans="1:80" hidden="1" x14ac:dyDescent="0.25"/>
    <row r="125" spans="1:80" hidden="1" x14ac:dyDescent="0.25"/>
    <row r="126" spans="1:80" hidden="1" x14ac:dyDescent="0.25"/>
    <row r="127" spans="1:80" hidden="1" x14ac:dyDescent="0.25"/>
    <row r="128" spans="1:80" hidden="1" x14ac:dyDescent="0.25">
      <c r="BD128" s="155">
        <f>BE86</f>
        <v>32.628198394370763</v>
      </c>
      <c r="BE128" s="1183">
        <v>31.52</v>
      </c>
      <c r="BF128" s="1183">
        <f>BF129/BF87</f>
        <v>33.736396788741523</v>
      </c>
      <c r="BG128" s="1899"/>
      <c r="BH128" s="1899"/>
      <c r="BI128" s="1899"/>
      <c r="BJ128" s="1899"/>
      <c r="BK128" s="1899"/>
      <c r="BL128" s="1899"/>
      <c r="BM128" s="1899"/>
      <c r="BN128" s="1899"/>
      <c r="BO128" s="1899"/>
      <c r="BP128" s="1899"/>
      <c r="BQ128" s="1899"/>
      <c r="BR128" s="1899"/>
      <c r="BS128" s="1899"/>
      <c r="BT128" s="1899"/>
      <c r="BU128" s="1899"/>
      <c r="BV128" s="1899"/>
      <c r="BW128" s="1899"/>
      <c r="BX128" s="1899"/>
      <c r="BY128" s="1899"/>
      <c r="BZ128" s="1899"/>
      <c r="CA128" s="1899"/>
      <c r="CB128" s="1565">
        <f>BF128/BE128</f>
        <v>1.0703171570032208</v>
      </c>
    </row>
    <row r="129" spans="1:110" hidden="1" x14ac:dyDescent="0.25">
      <c r="BD129" s="155">
        <f>BE85</f>
        <v>130160.96371419655</v>
      </c>
      <c r="BE129">
        <f>BE128*BE87</f>
        <v>62870.05992</v>
      </c>
      <c r="BF129" s="155">
        <f>BD129-BE129</f>
        <v>67290.903794196551</v>
      </c>
      <c r="BG129" s="1660"/>
      <c r="BH129" s="1660"/>
      <c r="BI129" s="1660"/>
      <c r="BJ129" s="1660"/>
      <c r="BK129" s="1660"/>
      <c r="BL129" s="1660"/>
      <c r="BM129" s="1660"/>
      <c r="BN129" s="1660"/>
      <c r="BO129" s="1660"/>
      <c r="BP129" s="1660"/>
      <c r="BQ129" s="1660"/>
      <c r="BR129" s="1660"/>
      <c r="BS129" s="1660"/>
      <c r="BT129" s="1660"/>
      <c r="BU129" s="1660"/>
      <c r="BV129" s="1660"/>
      <c r="BW129" s="1660"/>
      <c r="BX129" s="1660"/>
      <c r="BY129" s="1660"/>
      <c r="BZ129" s="1660"/>
      <c r="CA129" s="1660"/>
    </row>
    <row r="130" spans="1:110" ht="25.5" x14ac:dyDescent="0.2">
      <c r="A130" s="4729" t="s">
        <v>3928</v>
      </c>
      <c r="B130" s="4729"/>
      <c r="C130" s="4729"/>
      <c r="D130" s="4729"/>
      <c r="E130" s="4729"/>
      <c r="F130" s="4729"/>
      <c r="G130" s="4729"/>
      <c r="H130" s="4729"/>
      <c r="I130" s="4729"/>
      <c r="J130" s="4729"/>
      <c r="K130" s="4729"/>
      <c r="L130" s="4729"/>
      <c r="M130" s="4729"/>
      <c r="N130" s="4729"/>
      <c r="O130" s="4729"/>
      <c r="P130" s="4729"/>
      <c r="Q130" s="4729"/>
      <c r="R130" s="4729"/>
      <c r="S130" s="4729"/>
      <c r="T130" s="4729"/>
      <c r="U130" s="4729"/>
      <c r="V130" s="4729"/>
      <c r="W130" s="4729"/>
      <c r="X130" s="4729"/>
      <c r="Y130" s="4729"/>
      <c r="Z130" s="4729"/>
      <c r="AA130" s="4729"/>
      <c r="AB130" s="4729"/>
      <c r="AC130" s="4729"/>
      <c r="AD130" s="4729"/>
      <c r="AE130" s="4729"/>
      <c r="AF130" s="4729"/>
      <c r="AG130" s="4729"/>
      <c r="AH130" s="4729"/>
      <c r="AI130" s="4729"/>
      <c r="AJ130" s="4729"/>
      <c r="AK130" s="4729"/>
      <c r="AL130" s="4729"/>
      <c r="AM130" s="4729"/>
      <c r="AN130" s="4729"/>
      <c r="AO130" s="4729"/>
      <c r="AP130" s="4729"/>
      <c r="AQ130" s="4729"/>
      <c r="AR130" s="4729"/>
      <c r="AS130" s="4729"/>
      <c r="AT130" s="4729"/>
      <c r="AU130" s="4729"/>
      <c r="AV130" s="4729"/>
      <c r="AW130" s="4729"/>
      <c r="AX130" s="4729"/>
      <c r="AY130" s="4729"/>
      <c r="AZ130" s="4729"/>
      <c r="BA130" s="4729"/>
      <c r="BB130" s="4729"/>
      <c r="BC130" s="4729"/>
      <c r="BD130" s="4729"/>
      <c r="BE130" s="4729"/>
      <c r="BF130" s="4729"/>
      <c r="BG130" s="4729"/>
      <c r="BH130" s="4729"/>
      <c r="BI130" s="4729"/>
      <c r="BJ130" s="4729"/>
      <c r="BK130" s="4729"/>
      <c r="BL130" s="4729"/>
      <c r="BM130" s="4729"/>
      <c r="BN130" s="4729"/>
      <c r="BO130" s="4729"/>
      <c r="BP130" s="4729"/>
      <c r="BQ130" s="4729"/>
      <c r="BR130" s="4729"/>
      <c r="BS130" s="4729"/>
      <c r="BT130" s="4729"/>
      <c r="BU130" s="4729"/>
      <c r="BV130" s="4729"/>
      <c r="BW130" s="4729"/>
      <c r="BX130" s="4729"/>
      <c r="BY130" s="4729"/>
      <c r="BZ130" s="4729"/>
      <c r="CA130" s="4729"/>
      <c r="CB130" s="4729"/>
      <c r="CC130" s="4242"/>
      <c r="CD130" s="4242"/>
      <c r="CE130" s="4242"/>
      <c r="CF130" s="4242"/>
      <c r="CG130" s="4242"/>
      <c r="CH130" s="4242"/>
      <c r="CI130" s="4242"/>
      <c r="CJ130" s="4242"/>
      <c r="CK130" s="4242"/>
      <c r="CL130" s="4242"/>
      <c r="CM130" s="4242"/>
      <c r="CN130" s="4242"/>
      <c r="CO130" s="4242"/>
      <c r="CP130" s="4242"/>
      <c r="CQ130" s="4242"/>
      <c r="CR130" s="4242"/>
      <c r="CS130" s="4242"/>
      <c r="CT130" s="4242"/>
      <c r="CU130" s="4242"/>
      <c r="CV130" s="4242"/>
      <c r="CW130" s="4242"/>
      <c r="CX130" s="4242"/>
      <c r="CY130" s="4242"/>
      <c r="CZ130" s="4242"/>
      <c r="DA130" s="4242"/>
      <c r="DB130" s="4242"/>
      <c r="DC130" s="4242"/>
      <c r="DD130" s="4242"/>
      <c r="DE130" s="4242"/>
      <c r="DF130" s="4242"/>
    </row>
    <row r="131" spans="1:110" x14ac:dyDescent="0.2">
      <c r="A131" s="860"/>
      <c r="B131" s="860"/>
      <c r="C131" s="860"/>
      <c r="D131" s="860"/>
      <c r="E131" s="860"/>
      <c r="F131" s="860"/>
      <c r="G131" s="860"/>
      <c r="H131" s="860"/>
      <c r="I131" s="860"/>
      <c r="J131" s="860"/>
      <c r="K131" s="860"/>
      <c r="L131" s="860"/>
      <c r="M131" s="860"/>
      <c r="N131" s="860"/>
      <c r="O131" s="860"/>
      <c r="P131" s="860"/>
      <c r="Q131" s="860"/>
      <c r="R131" s="860"/>
      <c r="S131" s="860"/>
      <c r="T131" s="860"/>
      <c r="U131" s="860"/>
      <c r="V131" s="860"/>
      <c r="W131" s="860"/>
      <c r="X131" s="860"/>
      <c r="Y131" s="860"/>
      <c r="Z131" s="860"/>
      <c r="AA131" s="860"/>
      <c r="AB131" s="860"/>
      <c r="AC131" s="860"/>
      <c r="AD131" s="860"/>
      <c r="AE131" s="860"/>
      <c r="AF131" s="860"/>
      <c r="AG131" s="860"/>
      <c r="AH131" s="860"/>
      <c r="AI131" s="860"/>
      <c r="AJ131" s="368"/>
      <c r="AK131" s="368"/>
      <c r="AL131" s="860"/>
      <c r="AM131" s="860"/>
      <c r="AN131" s="860"/>
      <c r="AO131" s="860"/>
      <c r="AP131" s="860"/>
      <c r="AQ131" s="860"/>
      <c r="AR131" s="860"/>
      <c r="AS131" s="860"/>
      <c r="AT131" s="860"/>
      <c r="AU131" s="860"/>
      <c r="AV131" s="860"/>
      <c r="AW131" s="860"/>
      <c r="AX131" s="860"/>
      <c r="AY131" s="860"/>
      <c r="AZ131" s="860"/>
      <c r="BA131" s="1368"/>
      <c r="BB131" s="860"/>
      <c r="BC131" s="860"/>
      <c r="BD131" s="860"/>
      <c r="BE131" s="860"/>
      <c r="BF131" s="860"/>
      <c r="BG131" s="1665"/>
      <c r="BH131" s="1665"/>
      <c r="BI131" s="1665"/>
      <c r="BJ131" s="1665"/>
      <c r="BK131" s="1665"/>
      <c r="BL131" s="1665"/>
      <c r="BM131" s="1665"/>
      <c r="BN131" s="1665"/>
      <c r="BO131" s="1665"/>
      <c r="BP131" s="1665"/>
      <c r="BQ131" s="1665"/>
      <c r="BR131" s="1665"/>
      <c r="BS131" s="1665"/>
      <c r="BT131" s="1665"/>
      <c r="BU131" s="1665"/>
      <c r="BV131" s="1665"/>
      <c r="BW131" s="1665"/>
      <c r="BX131" s="1665"/>
      <c r="BY131" s="1665"/>
      <c r="BZ131" s="1665"/>
      <c r="CA131" s="1665"/>
      <c r="CB131" s="860"/>
    </row>
    <row r="132" spans="1:110" ht="20.25" customHeight="1" x14ac:dyDescent="0.2">
      <c r="A132" s="4763" t="s">
        <v>527</v>
      </c>
      <c r="B132" s="4736" t="s">
        <v>57</v>
      </c>
      <c r="C132" s="4763" t="s">
        <v>58</v>
      </c>
      <c r="D132" s="4763"/>
      <c r="E132" s="4761" t="s">
        <v>66</v>
      </c>
      <c r="F132" s="4761"/>
      <c r="G132" s="4761" t="s">
        <v>92</v>
      </c>
      <c r="H132" s="4761"/>
      <c r="I132" s="4761" t="s">
        <v>117</v>
      </c>
      <c r="J132" s="4761"/>
      <c r="K132" s="4761"/>
      <c r="L132" s="4761"/>
      <c r="M132" s="4761"/>
      <c r="N132" s="4761"/>
      <c r="O132" s="4749" t="s">
        <v>155</v>
      </c>
      <c r="P132" s="4749"/>
      <c r="Q132" s="4749"/>
      <c r="R132" s="4749"/>
      <c r="S132" s="4749"/>
      <c r="T132" s="4749"/>
      <c r="U132" s="4749"/>
      <c r="V132" s="4749"/>
      <c r="W132" s="4749"/>
      <c r="X132" s="4749"/>
      <c r="Y132" s="4738" t="s">
        <v>229</v>
      </c>
      <c r="Z132" s="4738"/>
      <c r="AA132" s="4738"/>
      <c r="AB132" s="4738"/>
      <c r="AC132" s="4738"/>
      <c r="AD132" s="4738"/>
      <c r="AE132" s="4762"/>
      <c r="AF132" s="4762"/>
      <c r="AG132" s="4762"/>
      <c r="AH132" s="4738" t="s">
        <v>364</v>
      </c>
      <c r="AI132" s="4737"/>
      <c r="AJ132" s="4737"/>
      <c r="AK132" s="4737"/>
      <c r="AL132" s="4737"/>
      <c r="AM132" s="4737"/>
      <c r="AN132" s="4737"/>
      <c r="AO132" s="4737"/>
      <c r="AP132" s="4737"/>
      <c r="AQ132" s="4737"/>
      <c r="AR132" s="4737"/>
      <c r="AS132" s="4737"/>
      <c r="AT132" s="4737"/>
      <c r="AU132" s="4737"/>
      <c r="AV132" s="4737"/>
      <c r="AW132" s="4737"/>
      <c r="AX132" s="4737"/>
      <c r="AY132" s="4737"/>
      <c r="AZ132" s="4744" t="s">
        <v>818</v>
      </c>
      <c r="BA132" s="4756"/>
      <c r="BB132" s="4756"/>
      <c r="BC132" s="4756"/>
      <c r="BD132" s="4756"/>
      <c r="BE132" s="4756"/>
      <c r="BF132" s="4756"/>
      <c r="BG132" s="4756"/>
      <c r="BH132" s="4756"/>
      <c r="BI132" s="4757"/>
      <c r="BJ132" s="4744" t="s">
        <v>895</v>
      </c>
      <c r="BK132" s="4756"/>
      <c r="BL132" s="4757"/>
      <c r="BM132" s="4744" t="s">
        <v>896</v>
      </c>
      <c r="BN132" s="4741"/>
      <c r="BO132" s="4741"/>
      <c r="BP132" s="4741"/>
      <c r="BQ132" s="4741"/>
      <c r="BR132" s="4742"/>
      <c r="BS132" s="4744" t="s">
        <v>1802</v>
      </c>
      <c r="BT132" s="4756"/>
      <c r="BU132" s="4756"/>
      <c r="BV132" s="4756"/>
      <c r="BW132" s="4756"/>
      <c r="BX132" s="4757"/>
      <c r="BY132" s="4754" t="s">
        <v>3523</v>
      </c>
      <c r="BZ132" s="4242"/>
      <c r="CA132" s="4242"/>
      <c r="CB132" s="4242"/>
      <c r="CC132" s="4242"/>
      <c r="CD132" s="4242"/>
      <c r="CE132" s="4242"/>
      <c r="CF132" s="4242"/>
      <c r="CG132" s="4242"/>
      <c r="CH132" s="4755"/>
      <c r="CI132" s="4730" t="s">
        <v>3648</v>
      </c>
      <c r="CJ132" s="4731"/>
      <c r="CK132" s="4732"/>
      <c r="CL132" s="4730" t="s">
        <v>3649</v>
      </c>
      <c r="CM132" s="4731"/>
      <c r="CN132" s="4732"/>
      <c r="CO132" s="4730" t="s">
        <v>3642</v>
      </c>
      <c r="CP132" s="4731"/>
      <c r="CQ132" s="4732"/>
      <c r="CR132" s="4738" t="s">
        <v>3926</v>
      </c>
      <c r="CS132" s="4753"/>
      <c r="CT132" s="4753"/>
      <c r="CU132" s="4753"/>
      <c r="CV132" s="4753"/>
      <c r="CW132" s="4753"/>
      <c r="CX132" s="4730" t="s">
        <v>3943</v>
      </c>
      <c r="CY132" s="4731"/>
      <c r="CZ132" s="4732"/>
      <c r="DA132" s="4730" t="s">
        <v>3944</v>
      </c>
      <c r="DB132" s="4731"/>
      <c r="DC132" s="4732"/>
      <c r="DD132" s="4730" t="s">
        <v>3942</v>
      </c>
      <c r="DE132" s="4731"/>
      <c r="DF132" s="4732"/>
    </row>
    <row r="133" spans="1:110" ht="18.75" customHeight="1" x14ac:dyDescent="0.2">
      <c r="A133" s="4763"/>
      <c r="B133" s="4736"/>
      <c r="C133" s="4736" t="s">
        <v>60</v>
      </c>
      <c r="D133" s="4736" t="s">
        <v>61</v>
      </c>
      <c r="E133" s="4736" t="s">
        <v>60</v>
      </c>
      <c r="F133" s="4736" t="s">
        <v>65</v>
      </c>
      <c r="G133" s="4736" t="s">
        <v>60</v>
      </c>
      <c r="H133" s="4736" t="s">
        <v>109</v>
      </c>
      <c r="I133" s="4736" t="s">
        <v>59</v>
      </c>
      <c r="J133" s="4736" t="s">
        <v>113</v>
      </c>
      <c r="K133" s="4736" t="s">
        <v>107</v>
      </c>
      <c r="L133" s="4736" t="s">
        <v>60</v>
      </c>
      <c r="M133" s="4736" t="s">
        <v>64</v>
      </c>
      <c r="N133" s="4736" t="s">
        <v>214</v>
      </c>
      <c r="O133" s="4736" t="s">
        <v>119</v>
      </c>
      <c r="P133" s="4736" t="s">
        <v>94</v>
      </c>
      <c r="Q133" s="4736" t="s">
        <v>120</v>
      </c>
      <c r="R133" s="4736" t="s">
        <v>94</v>
      </c>
      <c r="S133" s="4736" t="s">
        <v>153</v>
      </c>
      <c r="T133" s="4736" t="s">
        <v>23</v>
      </c>
      <c r="U133" s="4736"/>
      <c r="V133" s="4736" t="s">
        <v>107</v>
      </c>
      <c r="W133" s="4760" t="s">
        <v>370</v>
      </c>
      <c r="X133" s="4760"/>
      <c r="Y133" s="4736" t="s">
        <v>119</v>
      </c>
      <c r="Z133" s="4736" t="s">
        <v>94</v>
      </c>
      <c r="AA133" s="4749" t="s">
        <v>120</v>
      </c>
      <c r="AB133" s="4750"/>
      <c r="AC133" s="4750"/>
      <c r="AD133" s="4750"/>
      <c r="AE133" s="4749" t="s">
        <v>817</v>
      </c>
      <c r="AF133" s="4750"/>
      <c r="AG133" s="4750"/>
      <c r="AH133" s="4749" t="str">
        <f>Y133</f>
        <v>предложение предприятия</v>
      </c>
      <c r="AI133" s="4750"/>
      <c r="AJ133" s="4750"/>
      <c r="AK133" s="4750"/>
      <c r="AL133" s="4749" t="str">
        <f>AL5</f>
        <v>утверждено в тарифе</v>
      </c>
      <c r="AM133" s="4750"/>
      <c r="AN133" s="4750"/>
      <c r="AO133" s="4750"/>
      <c r="AP133" s="1590"/>
      <c r="AQ133" s="1590"/>
      <c r="AR133" s="1590"/>
      <c r="AS133" s="1590"/>
      <c r="AT133" s="4749" t="s">
        <v>847</v>
      </c>
      <c r="AU133" s="4750"/>
      <c r="AV133" s="4750"/>
      <c r="AW133" s="4749" t="s">
        <v>60</v>
      </c>
      <c r="AX133" s="4750"/>
      <c r="AY133" s="4750"/>
      <c r="AZ133" s="4749" t="s">
        <v>849</v>
      </c>
      <c r="BA133" s="4749"/>
      <c r="BB133" s="4750"/>
      <c r="BC133" s="4750"/>
      <c r="BD133" s="4749" t="s">
        <v>1588</v>
      </c>
      <c r="BE133" s="4750"/>
      <c r="BF133" s="4750"/>
      <c r="BG133" s="4740" t="s">
        <v>60</v>
      </c>
      <c r="BH133" s="4751"/>
      <c r="BI133" s="4752"/>
      <c r="BJ133" s="4740" t="s">
        <v>1677</v>
      </c>
      <c r="BK133" s="4751"/>
      <c r="BL133" s="4752"/>
      <c r="BM133" s="4749" t="s">
        <v>1588</v>
      </c>
      <c r="BN133" s="4750"/>
      <c r="BO133" s="4750"/>
      <c r="BP133" s="4740" t="s">
        <v>1677</v>
      </c>
      <c r="BQ133" s="4751"/>
      <c r="BR133" s="4752"/>
      <c r="BS133" s="4740" t="s">
        <v>1820</v>
      </c>
      <c r="BT133" s="4751"/>
      <c r="BU133" s="4752"/>
      <c r="BV133" s="4740" t="s">
        <v>1524</v>
      </c>
      <c r="BW133" s="4751"/>
      <c r="BX133" s="4752"/>
      <c r="BY133" s="4740" t="s">
        <v>119</v>
      </c>
      <c r="BZ133" s="4741"/>
      <c r="CA133" s="4742"/>
      <c r="CB133" s="2725"/>
      <c r="CC133" s="2717"/>
      <c r="CD133" s="2717"/>
      <c r="CE133" s="2717"/>
      <c r="CF133" s="4740" t="s">
        <v>1524</v>
      </c>
      <c r="CG133" s="4741"/>
      <c r="CH133" s="4742"/>
      <c r="CI133" s="4733"/>
      <c r="CJ133" s="4734"/>
      <c r="CK133" s="4735"/>
      <c r="CL133" s="4733"/>
      <c r="CM133" s="4734"/>
      <c r="CN133" s="4735"/>
      <c r="CO133" s="4733"/>
      <c r="CP133" s="4734"/>
      <c r="CQ133" s="4735"/>
      <c r="CR133" s="4743" t="s">
        <v>119</v>
      </c>
      <c r="CS133" s="4739"/>
      <c r="CT133" s="4739"/>
      <c r="CU133" s="4743" t="s">
        <v>1524</v>
      </c>
      <c r="CV133" s="4739"/>
      <c r="CW133" s="4739"/>
      <c r="CX133" s="4733"/>
      <c r="CY133" s="4734"/>
      <c r="CZ133" s="4735"/>
      <c r="DA133" s="4733"/>
      <c r="DB133" s="4734"/>
      <c r="DC133" s="4735"/>
      <c r="DD133" s="4733"/>
      <c r="DE133" s="4734"/>
      <c r="DF133" s="4735"/>
    </row>
    <row r="134" spans="1:110" ht="18.75" customHeight="1" x14ac:dyDescent="0.2">
      <c r="A134" s="4763"/>
      <c r="B134" s="4736"/>
      <c r="C134" s="4736"/>
      <c r="D134" s="4736"/>
      <c r="E134" s="4736"/>
      <c r="F134" s="4736"/>
      <c r="G134" s="4736"/>
      <c r="H134" s="4736"/>
      <c r="I134" s="4736"/>
      <c r="J134" s="4736"/>
      <c r="K134" s="4736"/>
      <c r="L134" s="4736"/>
      <c r="M134" s="4736"/>
      <c r="N134" s="4736"/>
      <c r="O134" s="4736"/>
      <c r="P134" s="4736"/>
      <c r="Q134" s="4736"/>
      <c r="R134" s="4736"/>
      <c r="S134" s="4736"/>
      <c r="T134" s="4736" t="s">
        <v>156</v>
      </c>
      <c r="U134" s="4736" t="s">
        <v>157</v>
      </c>
      <c r="V134" s="4736"/>
      <c r="W134" s="4760"/>
      <c r="X134" s="4760"/>
      <c r="Y134" s="4736"/>
      <c r="Z134" s="4736"/>
      <c r="AA134" s="4736" t="s">
        <v>290</v>
      </c>
      <c r="AB134" s="1581"/>
      <c r="AC134" s="4736" t="s">
        <v>50</v>
      </c>
      <c r="AD134" s="4737"/>
      <c r="AE134" s="4736" t="s">
        <v>290</v>
      </c>
      <c r="AF134" s="4736" t="s">
        <v>50</v>
      </c>
      <c r="AG134" s="4737"/>
      <c r="AH134" s="4736" t="s">
        <v>290</v>
      </c>
      <c r="AI134" s="4736" t="s">
        <v>94</v>
      </c>
      <c r="AJ134" s="4736" t="s">
        <v>50</v>
      </c>
      <c r="AK134" s="4737"/>
      <c r="AL134" s="4736" t="s">
        <v>290</v>
      </c>
      <c r="AM134" s="4736" t="s">
        <v>94</v>
      </c>
      <c r="AN134" s="4736" t="s">
        <v>50</v>
      </c>
      <c r="AO134" s="4737"/>
      <c r="AP134" s="1590"/>
      <c r="AQ134" s="1590"/>
      <c r="AR134" s="1590"/>
      <c r="AS134" s="1590"/>
      <c r="AT134" s="4736" t="s">
        <v>290</v>
      </c>
      <c r="AU134" s="4736" t="s">
        <v>50</v>
      </c>
      <c r="AV134" s="4737"/>
      <c r="AW134" s="4736" t="s">
        <v>290</v>
      </c>
      <c r="AX134" s="4736" t="s">
        <v>50</v>
      </c>
      <c r="AY134" s="4737"/>
      <c r="AZ134" s="4736" t="s">
        <v>290</v>
      </c>
      <c r="BA134" s="4758" t="s">
        <v>94</v>
      </c>
      <c r="BB134" s="4736" t="s">
        <v>50</v>
      </c>
      <c r="BC134" s="4737"/>
      <c r="BD134" s="4736" t="s">
        <v>290</v>
      </c>
      <c r="BE134" s="4736" t="s">
        <v>50</v>
      </c>
      <c r="BF134" s="4737"/>
      <c r="BG134" s="4736" t="s">
        <v>290</v>
      </c>
      <c r="BH134" s="4736" t="s">
        <v>50</v>
      </c>
      <c r="BI134" s="4737"/>
      <c r="BJ134" s="4736" t="s">
        <v>290</v>
      </c>
      <c r="BK134" s="4736" t="s">
        <v>50</v>
      </c>
      <c r="BL134" s="4737"/>
      <c r="BM134" s="4736" t="s">
        <v>290</v>
      </c>
      <c r="BN134" s="4736" t="s">
        <v>50</v>
      </c>
      <c r="BO134" s="4737"/>
      <c r="BP134" s="4736" t="s">
        <v>290</v>
      </c>
      <c r="BQ134" s="4736" t="s">
        <v>50</v>
      </c>
      <c r="BR134" s="4737"/>
      <c r="BS134" s="4736" t="s">
        <v>290</v>
      </c>
      <c r="BT134" s="4736" t="s">
        <v>50</v>
      </c>
      <c r="BU134" s="4737"/>
      <c r="BV134" s="4736" t="s">
        <v>290</v>
      </c>
      <c r="BW134" s="4736" t="s">
        <v>50</v>
      </c>
      <c r="BX134" s="4737"/>
      <c r="BY134" s="4736" t="s">
        <v>290</v>
      </c>
      <c r="BZ134" s="4736" t="s">
        <v>50</v>
      </c>
      <c r="CA134" s="4737"/>
      <c r="CB134" s="4736" t="s">
        <v>290</v>
      </c>
      <c r="CC134" s="4736" t="s">
        <v>50</v>
      </c>
      <c r="CD134" s="4737"/>
      <c r="CE134" s="2717"/>
      <c r="CF134" s="4745" t="s">
        <v>290</v>
      </c>
      <c r="CG134" s="4747" t="s">
        <v>50</v>
      </c>
      <c r="CH134" s="4748"/>
      <c r="CI134" s="4736" t="s">
        <v>290</v>
      </c>
      <c r="CJ134" s="4736" t="s">
        <v>50</v>
      </c>
      <c r="CK134" s="4737"/>
      <c r="CL134" s="4736" t="s">
        <v>290</v>
      </c>
      <c r="CM134" s="4736" t="s">
        <v>50</v>
      </c>
      <c r="CN134" s="4737"/>
      <c r="CO134" s="4736" t="s">
        <v>290</v>
      </c>
      <c r="CP134" s="4736" t="s">
        <v>50</v>
      </c>
      <c r="CQ134" s="4737"/>
      <c r="CR134" s="4736" t="s">
        <v>290</v>
      </c>
      <c r="CS134" s="4736" t="s">
        <v>50</v>
      </c>
      <c r="CT134" s="4737"/>
      <c r="CU134" s="4736" t="s">
        <v>290</v>
      </c>
      <c r="CV134" s="4736" t="s">
        <v>50</v>
      </c>
      <c r="CW134" s="4736"/>
      <c r="CX134" s="4736" t="s">
        <v>290</v>
      </c>
      <c r="CY134" s="4736" t="s">
        <v>50</v>
      </c>
      <c r="CZ134" s="4737"/>
      <c r="DA134" s="4736" t="s">
        <v>290</v>
      </c>
      <c r="DB134" s="4736" t="s">
        <v>50</v>
      </c>
      <c r="DC134" s="4737"/>
      <c r="DD134" s="4736" t="s">
        <v>290</v>
      </c>
      <c r="DE134" s="4736" t="s">
        <v>50</v>
      </c>
      <c r="DF134" s="4737"/>
    </row>
    <row r="135" spans="1:110" ht="56.25" x14ac:dyDescent="0.2">
      <c r="A135" s="4763"/>
      <c r="B135" s="4736"/>
      <c r="C135" s="4736"/>
      <c r="D135" s="4736"/>
      <c r="E135" s="4736"/>
      <c r="F135" s="4736"/>
      <c r="G135" s="4736"/>
      <c r="H135" s="4736"/>
      <c r="I135" s="4736"/>
      <c r="J135" s="4736"/>
      <c r="K135" s="4736"/>
      <c r="L135" s="4736"/>
      <c r="M135" s="4736"/>
      <c r="N135" s="4736"/>
      <c r="O135" s="4736"/>
      <c r="P135" s="4736"/>
      <c r="Q135" s="4736"/>
      <c r="R135" s="4736"/>
      <c r="S135" s="4736"/>
      <c r="T135" s="4736"/>
      <c r="U135" s="4736"/>
      <c r="V135" s="4736"/>
      <c r="W135" s="1581" t="str">
        <f>T134</f>
        <v>питьевая</v>
      </c>
      <c r="X135" s="1614" t="str">
        <f>U134</f>
        <v>техническая</v>
      </c>
      <c r="Y135" s="4736"/>
      <c r="Z135" s="4736"/>
      <c r="AA135" s="4737"/>
      <c r="AB135" s="1581"/>
      <c r="AC135" s="1581" t="s">
        <v>368</v>
      </c>
      <c r="AD135" s="1581" t="s">
        <v>369</v>
      </c>
      <c r="AE135" s="4736"/>
      <c r="AF135" s="1581" t="s">
        <v>368</v>
      </c>
      <c r="AG135" s="1581" t="s">
        <v>369</v>
      </c>
      <c r="AH135" s="4737"/>
      <c r="AI135" s="4737"/>
      <c r="AJ135" s="1581" t="s">
        <v>368</v>
      </c>
      <c r="AK135" s="1581" t="s">
        <v>369</v>
      </c>
      <c r="AL135" s="4736"/>
      <c r="AM135" s="4737"/>
      <c r="AN135" s="1581" t="s">
        <v>368</v>
      </c>
      <c r="AO135" s="1581" t="s">
        <v>369</v>
      </c>
      <c r="AP135" s="1590"/>
      <c r="AQ135" s="1590" t="s">
        <v>355</v>
      </c>
      <c r="AR135" s="1590" t="s">
        <v>356</v>
      </c>
      <c r="AS135" s="1590"/>
      <c r="AT135" s="4736"/>
      <c r="AU135" s="1581" t="s">
        <v>368</v>
      </c>
      <c r="AV135" s="1581" t="s">
        <v>369</v>
      </c>
      <c r="AW135" s="4736"/>
      <c r="AX135" s="1581" t="s">
        <v>368</v>
      </c>
      <c r="AY135" s="1581" t="s">
        <v>369</v>
      </c>
      <c r="AZ135" s="4737"/>
      <c r="BA135" s="4759"/>
      <c r="BB135" s="2427" t="s">
        <v>368</v>
      </c>
      <c r="BC135" s="2427" t="s">
        <v>369</v>
      </c>
      <c r="BD135" s="4737"/>
      <c r="BE135" s="2427" t="s">
        <v>368</v>
      </c>
      <c r="BF135" s="2427" t="s">
        <v>369</v>
      </c>
      <c r="BG135" s="4737"/>
      <c r="BH135" s="2427" t="s">
        <v>368</v>
      </c>
      <c r="BI135" s="2427" t="s">
        <v>369</v>
      </c>
      <c r="BJ135" s="4737"/>
      <c r="BK135" s="2427" t="s">
        <v>368</v>
      </c>
      <c r="BL135" s="2427" t="s">
        <v>369</v>
      </c>
      <c r="BM135" s="4737"/>
      <c r="BN135" s="2429" t="s">
        <v>368</v>
      </c>
      <c r="BO135" s="2429" t="s">
        <v>369</v>
      </c>
      <c r="BP135" s="4737"/>
      <c r="BQ135" s="2429" t="s">
        <v>368</v>
      </c>
      <c r="BR135" s="2429" t="s">
        <v>369</v>
      </c>
      <c r="BS135" s="4737"/>
      <c r="BT135" s="2427" t="s">
        <v>368</v>
      </c>
      <c r="BU135" s="2427" t="s">
        <v>369</v>
      </c>
      <c r="BV135" s="4737"/>
      <c r="BW135" s="2427" t="s">
        <v>368</v>
      </c>
      <c r="BX135" s="2427" t="s">
        <v>369</v>
      </c>
      <c r="BY135" s="4737"/>
      <c r="BZ135" s="2724" t="s">
        <v>368</v>
      </c>
      <c r="CA135" s="2724" t="s">
        <v>369</v>
      </c>
      <c r="CB135" s="4737"/>
      <c r="CC135" s="2724" t="s">
        <v>368</v>
      </c>
      <c r="CD135" s="2724" t="s">
        <v>369</v>
      </c>
      <c r="CE135" s="2717"/>
      <c r="CF135" s="4746"/>
      <c r="CG135" s="2724" t="s">
        <v>368</v>
      </c>
      <c r="CH135" s="2724" t="s">
        <v>369</v>
      </c>
      <c r="CI135" s="4737"/>
      <c r="CJ135" s="2584" t="s">
        <v>368</v>
      </c>
      <c r="CK135" s="2584" t="s">
        <v>369</v>
      </c>
      <c r="CL135" s="4737"/>
      <c r="CM135" s="2584" t="s">
        <v>368</v>
      </c>
      <c r="CN135" s="2584" t="s">
        <v>369</v>
      </c>
      <c r="CO135" s="4737"/>
      <c r="CP135" s="2584" t="s">
        <v>368</v>
      </c>
      <c r="CQ135" s="2584" t="s">
        <v>369</v>
      </c>
      <c r="CR135" s="4737"/>
      <c r="CS135" s="3529" t="s">
        <v>368</v>
      </c>
      <c r="CT135" s="3529" t="s">
        <v>369</v>
      </c>
      <c r="CU135" s="4736"/>
      <c r="CV135" s="3529" t="s">
        <v>368</v>
      </c>
      <c r="CW135" s="3529" t="s">
        <v>369</v>
      </c>
      <c r="CX135" s="4737"/>
      <c r="CY135" s="3917" t="s">
        <v>368</v>
      </c>
      <c r="CZ135" s="3917" t="s">
        <v>369</v>
      </c>
      <c r="DA135" s="4737"/>
      <c r="DB135" s="3917" t="s">
        <v>368</v>
      </c>
      <c r="DC135" s="3917" t="s">
        <v>369</v>
      </c>
      <c r="DD135" s="4737"/>
      <c r="DE135" s="3917" t="s">
        <v>368</v>
      </c>
      <c r="DF135" s="3917" t="s">
        <v>369</v>
      </c>
    </row>
    <row r="136" spans="1:110" ht="27" customHeight="1" x14ac:dyDescent="0.3">
      <c r="A136" s="3703" t="s">
        <v>1</v>
      </c>
      <c r="B136" s="3703"/>
      <c r="C136" s="3703"/>
      <c r="D136" s="3703"/>
      <c r="E136" s="3703"/>
      <c r="F136" s="3703"/>
      <c r="G136" s="3703"/>
      <c r="H136" s="3703"/>
      <c r="I136" s="3703"/>
      <c r="J136" s="3703"/>
      <c r="K136" s="3703"/>
      <c r="L136" s="3703"/>
      <c r="M136" s="3703"/>
      <c r="N136" s="3703"/>
      <c r="O136" s="3703"/>
      <c r="P136" s="3703"/>
      <c r="Q136" s="3703"/>
      <c r="R136" s="3703"/>
      <c r="S136" s="3703"/>
      <c r="T136" s="3703"/>
      <c r="U136" s="3703"/>
      <c r="V136" s="3703"/>
      <c r="W136" s="3703"/>
      <c r="X136" s="3703"/>
      <c r="Y136" s="3704">
        <f>SUM(Y9+Y18)</f>
        <v>14248.9</v>
      </c>
      <c r="Z136" s="3703"/>
      <c r="AA136" s="3704" t="e">
        <f t="shared" ref="AA136:AD136" si="484">SUM(AA9+AA18)</f>
        <v>#REF!</v>
      </c>
      <c r="AB136" s="3704" t="e">
        <f t="shared" si="484"/>
        <v>#REF!</v>
      </c>
      <c r="AC136" s="3704" t="e">
        <f t="shared" si="484"/>
        <v>#REF!</v>
      </c>
      <c r="AD136" s="3704" t="e">
        <f t="shared" si="484"/>
        <v>#REF!</v>
      </c>
      <c r="AE136" s="3704">
        <f t="shared" ref="AE136:AH136" si="485">SUM(AE9+AE18)</f>
        <v>10706.2</v>
      </c>
      <c r="AF136" s="3704">
        <f t="shared" si="485"/>
        <v>10649.963852438723</v>
      </c>
      <c r="AG136" s="3704">
        <f t="shared" si="485"/>
        <v>56.236147561277903</v>
      </c>
      <c r="AH136" s="3704">
        <f t="shared" si="485"/>
        <v>11185.75</v>
      </c>
      <c r="AI136" s="3705" t="e">
        <f t="shared" ref="AI136:AI161" si="486">SUM(AH136/AA136)</f>
        <v>#REF!</v>
      </c>
      <c r="AJ136" s="3704">
        <f t="shared" ref="AJ136:AK136" si="487">SUM(AJ9+AJ18)</f>
        <v>11125.779999999999</v>
      </c>
      <c r="AK136" s="3704">
        <f t="shared" si="487"/>
        <v>59.97</v>
      </c>
      <c r="AL136" s="3704">
        <f t="shared" ref="AL136:AO136" si="488">SUM(AL9+AL18)</f>
        <v>9716.918993269308</v>
      </c>
      <c r="AM136" s="3705" t="e">
        <f t="shared" ref="AM136:AM161" si="489">SUM(AL136/AA136)</f>
        <v>#REF!</v>
      </c>
      <c r="AN136" s="3704">
        <f t="shared" si="488"/>
        <v>9664.6028935065297</v>
      </c>
      <c r="AO136" s="3704">
        <f t="shared" si="488"/>
        <v>52.316099762776503</v>
      </c>
      <c r="AP136" s="3703"/>
      <c r="AQ136" s="3703"/>
      <c r="AR136" s="3703"/>
      <c r="AS136" s="3703"/>
      <c r="AT136" s="3704">
        <f t="shared" ref="AT136:AV136" si="490">SUM(AT9+AT18)</f>
        <v>4771</v>
      </c>
      <c r="AU136" s="3704">
        <f t="shared" si="490"/>
        <v>4756.9013504280374</v>
      </c>
      <c r="AV136" s="3704">
        <f t="shared" si="490"/>
        <v>14.098649571962596</v>
      </c>
      <c r="AW136" s="3704">
        <f t="shared" ref="AW136:AY136" si="491">SUM(AW9+AW18)</f>
        <v>9901.2000000000007</v>
      </c>
      <c r="AX136" s="3704">
        <f t="shared" si="491"/>
        <v>9882.82</v>
      </c>
      <c r="AY136" s="3704">
        <f t="shared" si="491"/>
        <v>18.38</v>
      </c>
      <c r="AZ136" s="3704">
        <f t="shared" ref="AZ136:BC136" si="492">SUM(AZ9+AZ18)</f>
        <v>10789.21</v>
      </c>
      <c r="BA136" s="3706">
        <f t="shared" ref="BA136:BA161" si="493">SUM(AZ136/AL136)</f>
        <v>1.1103529840552795</v>
      </c>
      <c r="BB136" s="3704">
        <f t="shared" si="492"/>
        <v>10761.038575061768</v>
      </c>
      <c r="BC136" s="3704">
        <f t="shared" si="492"/>
        <v>28.171424938233031</v>
      </c>
      <c r="BD136" s="3704">
        <f t="shared" ref="BD136:BF136" si="494">SUM(BD9+BD18)</f>
        <v>9240.9366810833944</v>
      </c>
      <c r="BE136" s="3704">
        <f t="shared" si="494"/>
        <v>9220.2964819146728</v>
      </c>
      <c r="BF136" s="3704">
        <f t="shared" si="494"/>
        <v>20.640199168723029</v>
      </c>
      <c r="BG136" s="3704">
        <f t="shared" ref="BG136:BI136" si="495">SUM(BG9+BG18)</f>
        <v>10452.76</v>
      </c>
      <c r="BH136" s="3704">
        <f t="shared" si="495"/>
        <v>10451.460000000001</v>
      </c>
      <c r="BI136" s="3704">
        <f t="shared" si="495"/>
        <v>1.3</v>
      </c>
      <c r="BJ136" s="3704">
        <f t="shared" ref="BJ136:BL136" si="496">SUM(BJ9+BJ18)</f>
        <v>11334.77</v>
      </c>
      <c r="BK136" s="3704">
        <f t="shared" si="496"/>
        <v>11333.7</v>
      </c>
      <c r="BL136" s="3704">
        <f t="shared" si="496"/>
        <v>1.07</v>
      </c>
      <c r="BM136" s="3704">
        <f t="shared" ref="BM136:BO136" si="497">SUM(BM9+BM18)</f>
        <v>9024.2900000000009</v>
      </c>
      <c r="BN136" s="3704">
        <f t="shared" si="497"/>
        <v>9000.7000000000007</v>
      </c>
      <c r="BO136" s="3704">
        <f t="shared" si="497"/>
        <v>23.59</v>
      </c>
      <c r="BP136" s="3704">
        <f>SUM(BP9+BP18+BQ45)</f>
        <v>11014.254000000001</v>
      </c>
      <c r="BQ136" s="3704">
        <f>SUM(BQ9+BQ18+BQ45)</f>
        <v>11013.124</v>
      </c>
      <c r="BR136" s="3704">
        <f>SUM(BR9+BR18+BR45)</f>
        <v>1.1299999999999999</v>
      </c>
      <c r="BS136" s="3704">
        <f t="shared" ref="BS136:BU136" si="498">SUM(BS9+BS18)</f>
        <v>11624.91</v>
      </c>
      <c r="BT136" s="3704">
        <f t="shared" si="498"/>
        <v>11618.16</v>
      </c>
      <c r="BU136" s="3704">
        <f t="shared" si="498"/>
        <v>6.75</v>
      </c>
      <c r="BV136" s="3704">
        <f t="shared" ref="BV136:CA136" si="499">SUM(BV9+BV18+BV45)</f>
        <v>13328.49992347329</v>
      </c>
      <c r="BW136" s="3704">
        <f t="shared" si="499"/>
        <v>13327.281543973289</v>
      </c>
      <c r="BX136" s="3704">
        <f t="shared" si="499"/>
        <v>1.2183794999999999</v>
      </c>
      <c r="BY136" s="3704">
        <f t="shared" si="499"/>
        <v>13888.296920259167</v>
      </c>
      <c r="BZ136" s="3704">
        <f t="shared" si="499"/>
        <v>13887.027368820167</v>
      </c>
      <c r="CA136" s="3704">
        <f t="shared" si="499"/>
        <v>1.269551439</v>
      </c>
      <c r="CB136" s="3703"/>
      <c r="CC136" s="3707"/>
      <c r="CD136" s="3708"/>
      <c r="CE136" s="3708"/>
      <c r="CF136" s="3704">
        <f t="shared" ref="CF136:CH136" si="500">SUM(CF9+CF18+CF45)</f>
        <v>13223.73555900656</v>
      </c>
      <c r="CG136" s="3704">
        <f t="shared" si="500"/>
        <v>13222.843434173168</v>
      </c>
      <c r="CH136" s="3704">
        <f t="shared" si="500"/>
        <v>0.89212483339199999</v>
      </c>
      <c r="CI136" s="3704">
        <f t="shared" ref="CI136:CK136" si="501">SUM(CI9+CI18+CI45)</f>
        <v>5582.2793000000001</v>
      </c>
      <c r="CJ136" s="3704">
        <f t="shared" si="501"/>
        <v>5581.8693000000003</v>
      </c>
      <c r="CK136" s="3704">
        <f t="shared" si="501"/>
        <v>0.41</v>
      </c>
      <c r="CL136" s="3704">
        <f t="shared" ref="CL136:CN136" si="502">SUM(CL9+CL18+CL45)</f>
        <v>9213.8869999999988</v>
      </c>
      <c r="CM136" s="3704">
        <f t="shared" si="502"/>
        <v>9213.280999999999</v>
      </c>
      <c r="CN136" s="3704">
        <f t="shared" si="502"/>
        <v>0.60599999999999998</v>
      </c>
      <c r="CO136" s="3704">
        <f t="shared" ref="CO136:CQ136" si="503">SUM(CO9+CO18+CO45)</f>
        <v>13182.16</v>
      </c>
      <c r="CP136" s="3704">
        <f t="shared" si="503"/>
        <v>13181.32</v>
      </c>
      <c r="CQ136" s="3704">
        <f t="shared" si="503"/>
        <v>0.84</v>
      </c>
      <c r="CR136" s="3709">
        <f t="shared" ref="CR136:CT136" si="504">SUM(CR9+CR18+CR45)</f>
        <v>13832.027394720863</v>
      </c>
      <c r="CS136" s="3709">
        <f t="shared" si="504"/>
        <v>13831.094232145135</v>
      </c>
      <c r="CT136" s="3709">
        <f t="shared" si="504"/>
        <v>0.93316257572803196</v>
      </c>
      <c r="CU136" s="4143">
        <f t="shared" ref="CU136:CW136" si="505">SUM(CU9+CU18+CU45)</f>
        <v>12438.476318581916</v>
      </c>
      <c r="CV136" s="4143">
        <f t="shared" si="505"/>
        <v>12437.000652021121</v>
      </c>
      <c r="CW136" s="4143">
        <f t="shared" si="505"/>
        <v>1.4756665607949733</v>
      </c>
      <c r="CX136" s="3709">
        <f t="shared" ref="CX136:DF136" si="506">SUM(CX9+CX18+CX45)</f>
        <v>6936.8714</v>
      </c>
      <c r="CY136" s="3709">
        <f t="shared" si="506"/>
        <v>6936.4797800000006</v>
      </c>
      <c r="CZ136" s="3709">
        <f t="shared" si="506"/>
        <v>0.39162000000000002</v>
      </c>
      <c r="DA136" s="3709">
        <f t="shared" si="506"/>
        <v>9646.8650000000016</v>
      </c>
      <c r="DB136" s="3709">
        <f t="shared" si="506"/>
        <v>9646.3250000000007</v>
      </c>
      <c r="DC136" s="3709">
        <f t="shared" si="506"/>
        <v>0.54</v>
      </c>
      <c r="DD136" s="4033">
        <f t="shared" si="506"/>
        <v>0.01</v>
      </c>
      <c r="DE136" s="4033">
        <f t="shared" si="506"/>
        <v>0</v>
      </c>
      <c r="DF136" s="4033">
        <f t="shared" si="506"/>
        <v>0.01</v>
      </c>
    </row>
    <row r="137" spans="1:110" ht="27" customHeight="1" x14ac:dyDescent="0.3">
      <c r="A137" s="3703" t="s">
        <v>3673</v>
      </c>
      <c r="B137" s="3703"/>
      <c r="C137" s="3703"/>
      <c r="D137" s="3703"/>
      <c r="E137" s="3703"/>
      <c r="F137" s="3703"/>
      <c r="G137" s="3703"/>
      <c r="H137" s="3703"/>
      <c r="I137" s="3703"/>
      <c r="J137" s="3703"/>
      <c r="K137" s="3703"/>
      <c r="L137" s="3703"/>
      <c r="M137" s="3703"/>
      <c r="N137" s="3703"/>
      <c r="O137" s="3703"/>
      <c r="P137" s="3703"/>
      <c r="Q137" s="3703"/>
      <c r="R137" s="3703"/>
      <c r="S137" s="3703"/>
      <c r="T137" s="3703"/>
      <c r="U137" s="3703"/>
      <c r="V137" s="3703"/>
      <c r="W137" s="3703"/>
      <c r="X137" s="3703"/>
      <c r="Y137" s="3704"/>
      <c r="Z137" s="3703"/>
      <c r="AA137" s="3704"/>
      <c r="AB137" s="3704"/>
      <c r="AC137" s="3704"/>
      <c r="AD137" s="3704"/>
      <c r="AE137" s="3704"/>
      <c r="AF137" s="3704"/>
      <c r="AG137" s="3704"/>
      <c r="AH137" s="3704"/>
      <c r="AI137" s="3705"/>
      <c r="AJ137" s="3704"/>
      <c r="AK137" s="3704"/>
      <c r="AL137" s="3704"/>
      <c r="AM137" s="3705"/>
      <c r="AN137" s="3704"/>
      <c r="AO137" s="3704"/>
      <c r="AP137" s="3703"/>
      <c r="AQ137" s="3703"/>
      <c r="AR137" s="3703"/>
      <c r="AS137" s="3703"/>
      <c r="AT137" s="3704"/>
      <c r="AU137" s="3704"/>
      <c r="AV137" s="3704"/>
      <c r="AW137" s="3704"/>
      <c r="AX137" s="3704"/>
      <c r="AY137" s="3704"/>
      <c r="AZ137" s="3704"/>
      <c r="BA137" s="3706"/>
      <c r="BB137" s="3704"/>
      <c r="BC137" s="3704"/>
      <c r="BD137" s="3704"/>
      <c r="BE137" s="3704"/>
      <c r="BF137" s="3704"/>
      <c r="BG137" s="3704"/>
      <c r="BH137" s="3704"/>
      <c r="BI137" s="3704"/>
      <c r="BJ137" s="3704"/>
      <c r="BK137" s="3704"/>
      <c r="BL137" s="3704"/>
      <c r="BM137" s="3704"/>
      <c r="BN137" s="3704"/>
      <c r="BO137" s="3704"/>
      <c r="BP137" s="3704"/>
      <c r="BQ137" s="3704"/>
      <c r="BR137" s="3704"/>
      <c r="BS137" s="3704"/>
      <c r="BT137" s="3704"/>
      <c r="BU137" s="3704"/>
      <c r="BV137" s="3704">
        <f>BV47</f>
        <v>313.61784093</v>
      </c>
      <c r="BW137" s="3704">
        <f>BW47</f>
        <v>313.61784093</v>
      </c>
      <c r="BX137" s="3704"/>
      <c r="BY137" s="3704">
        <f>BY47</f>
        <v>353.4558371333834</v>
      </c>
      <c r="BZ137" s="3704">
        <f>BZ47</f>
        <v>353.4558371333834</v>
      </c>
      <c r="CA137" s="3704"/>
      <c r="CB137" s="3703"/>
      <c r="CC137" s="3707"/>
      <c r="CD137" s="3708"/>
      <c r="CE137" s="3708"/>
      <c r="CF137" s="3704">
        <f>CF47</f>
        <v>326.78964000000002</v>
      </c>
      <c r="CG137" s="3704">
        <f>CG47</f>
        <v>326.78964000000002</v>
      </c>
      <c r="CH137" s="3704"/>
      <c r="CI137" s="3704"/>
      <c r="CJ137" s="3704"/>
      <c r="CK137" s="3704"/>
      <c r="CL137" s="3704"/>
      <c r="CM137" s="3704"/>
      <c r="CN137" s="3704"/>
      <c r="CO137" s="3704"/>
      <c r="CP137" s="3704"/>
      <c r="CQ137" s="3704"/>
      <c r="CR137" s="3709"/>
      <c r="CS137" s="3709"/>
      <c r="CT137" s="3709"/>
      <c r="CU137" s="4143"/>
      <c r="CV137" s="4143"/>
      <c r="CW137" s="4143"/>
      <c r="CX137" s="3709"/>
      <c r="CY137" s="3709"/>
      <c r="CZ137" s="3709"/>
      <c r="DA137" s="3709"/>
      <c r="DB137" s="3709"/>
      <c r="DC137" s="3709"/>
      <c r="DD137" s="4033"/>
      <c r="DE137" s="4033"/>
      <c r="DF137" s="4033"/>
    </row>
    <row r="138" spans="1:110" ht="27" customHeight="1" x14ac:dyDescent="0.3">
      <c r="A138" s="3703" t="s">
        <v>2</v>
      </c>
      <c r="B138" s="3703"/>
      <c r="C138" s="3703"/>
      <c r="D138" s="3703"/>
      <c r="E138" s="3703"/>
      <c r="F138" s="3703"/>
      <c r="G138" s="3703"/>
      <c r="H138" s="3703"/>
      <c r="I138" s="3703"/>
      <c r="J138" s="3703"/>
      <c r="K138" s="3703"/>
      <c r="L138" s="3703"/>
      <c r="M138" s="3703"/>
      <c r="N138" s="3703"/>
      <c r="O138" s="3703"/>
      <c r="P138" s="3703"/>
      <c r="Q138" s="3703"/>
      <c r="R138" s="3703"/>
      <c r="S138" s="3703"/>
      <c r="T138" s="3703"/>
      <c r="U138" s="3703"/>
      <c r="V138" s="3703"/>
      <c r="W138" s="3703"/>
      <c r="X138" s="3703"/>
      <c r="Y138" s="3704">
        <f>SUM(Y10+Y20+Y29+Y36)</f>
        <v>7436.7999999999993</v>
      </c>
      <c r="Z138" s="3703"/>
      <c r="AA138" s="3704" t="e">
        <f t="shared" ref="AA138:AD138" si="507">SUM(AA10+AA20+AA29+AA36)</f>
        <v>#REF!</v>
      </c>
      <c r="AB138" s="3704" t="e">
        <f t="shared" si="507"/>
        <v>#REF!</v>
      </c>
      <c r="AC138" s="3704" t="e">
        <f t="shared" si="507"/>
        <v>#REF!</v>
      </c>
      <c r="AD138" s="3704" t="e">
        <f t="shared" si="507"/>
        <v>#REF!</v>
      </c>
      <c r="AE138" s="3704">
        <f t="shared" ref="AE138:AH138" si="508">SUM(AE10+AE20+AE29+AE36)</f>
        <v>7609.7999999999993</v>
      </c>
      <c r="AF138" s="3704">
        <f t="shared" si="508"/>
        <v>7528.8401683585043</v>
      </c>
      <c r="AG138" s="3704">
        <f t="shared" si="508"/>
        <v>80.959831641495228</v>
      </c>
      <c r="AH138" s="3704">
        <f t="shared" si="508"/>
        <v>7550.3</v>
      </c>
      <c r="AI138" s="3705" t="e">
        <f t="shared" si="486"/>
        <v>#REF!</v>
      </c>
      <c r="AJ138" s="3704">
        <f t="shared" ref="AJ138:AK138" si="509">SUM(AJ10+AJ20+AJ29+AJ36)</f>
        <v>7472.56</v>
      </c>
      <c r="AK138" s="3704">
        <f t="shared" si="509"/>
        <v>77.739999999999995</v>
      </c>
      <c r="AL138" s="3704">
        <f t="shared" ref="AL138:AO138" si="510">SUM(AL10+AL20+AL29+AL36)</f>
        <v>7550.3</v>
      </c>
      <c r="AM138" s="3705" t="e">
        <f t="shared" si="489"/>
        <v>#REF!</v>
      </c>
      <c r="AN138" s="3704">
        <f t="shared" si="510"/>
        <v>7472.5617749975318</v>
      </c>
      <c r="AO138" s="3704">
        <f t="shared" si="510"/>
        <v>77.738225002467743</v>
      </c>
      <c r="AP138" s="3703"/>
      <c r="AQ138" s="3703"/>
      <c r="AR138" s="3703"/>
      <c r="AS138" s="3703"/>
      <c r="AT138" s="3704">
        <f t="shared" ref="AT138:AV138" si="511">SUM(AT10+AT20+AT29+AT36)</f>
        <v>3993.2199999999993</v>
      </c>
      <c r="AU138" s="3704">
        <f t="shared" si="511"/>
        <v>3970.7304376833731</v>
      </c>
      <c r="AV138" s="3704">
        <f t="shared" si="511"/>
        <v>22.489562316627246</v>
      </c>
      <c r="AW138" s="3704">
        <f t="shared" ref="AW138:AY138" si="512">SUM(AW10+AW20+AW29+AW36)</f>
        <v>8296.6500000000015</v>
      </c>
      <c r="AX138" s="3704">
        <f t="shared" si="512"/>
        <v>8264.18</v>
      </c>
      <c r="AY138" s="3704">
        <f t="shared" si="512"/>
        <v>32.47</v>
      </c>
      <c r="AZ138" s="3704">
        <f t="shared" ref="AZ138:BC138" si="513">SUM(AZ10+AZ20+AZ29+AZ36)</f>
        <v>7550.3</v>
      </c>
      <c r="BA138" s="3706">
        <f t="shared" si="493"/>
        <v>1</v>
      </c>
      <c r="BB138" s="3704">
        <f t="shared" si="513"/>
        <v>7513.8271599000345</v>
      </c>
      <c r="BC138" s="3704">
        <f t="shared" si="513"/>
        <v>36.472840099964401</v>
      </c>
      <c r="BD138" s="3704">
        <f t="shared" ref="BD138:BF138" si="514">SUM(BD10+BD20+BD29+BD36)</f>
        <v>8136.1</v>
      </c>
      <c r="BE138" s="3704">
        <f t="shared" si="514"/>
        <v>8100.8486536926684</v>
      </c>
      <c r="BF138" s="3704">
        <f t="shared" si="514"/>
        <v>35.251346307332426</v>
      </c>
      <c r="BG138" s="3704">
        <f t="shared" ref="BG138:BI138" si="515">SUM(BG10+BG20+BG29+BG36)</f>
        <v>8497.9000000000015</v>
      </c>
      <c r="BH138" s="3704">
        <f t="shared" si="515"/>
        <v>8493.08</v>
      </c>
      <c r="BI138" s="3704">
        <f t="shared" si="515"/>
        <v>4.82</v>
      </c>
      <c r="BJ138" s="3704">
        <f t="shared" ref="BJ138:BL138" si="516">SUM(BJ10+BJ20+BJ29+BJ36)</f>
        <v>9984.3799999999992</v>
      </c>
      <c r="BK138" s="3704">
        <f t="shared" si="516"/>
        <v>9980.93</v>
      </c>
      <c r="BL138" s="3704">
        <f t="shared" si="516"/>
        <v>3.45</v>
      </c>
      <c r="BM138" s="3704">
        <f t="shared" ref="BM138:BO138" si="517">SUM(BM10+BM20+BM29+BM36)</f>
        <v>8497.9039999999986</v>
      </c>
      <c r="BN138" s="3704">
        <f t="shared" si="517"/>
        <v>8476.8040000000001</v>
      </c>
      <c r="BO138" s="3704">
        <f t="shared" si="517"/>
        <v>21.1</v>
      </c>
      <c r="BP138" s="3704">
        <f>SUM(BP10+BP20+BP29+BP36+BP44+BP30)</f>
        <v>9928.4740000000002</v>
      </c>
      <c r="BQ138" s="3704">
        <f t="shared" ref="BQ138:BR138" si="518">SUM(BQ10+BQ20+BQ29+BQ36+BQ44+BQ30)</f>
        <v>9926.08</v>
      </c>
      <c r="BR138" s="3704">
        <f t="shared" si="518"/>
        <v>2.3940000000000001</v>
      </c>
      <c r="BS138" s="3704">
        <f>SUM(BS10+BS20+BS29+BS36)</f>
        <v>9984.3799999999992</v>
      </c>
      <c r="BT138" s="3704">
        <f>SUM(BT10+BT20+BT29+BT36)</f>
        <v>9979.39</v>
      </c>
      <c r="BU138" s="3704">
        <f>SUM(BU10+BU20+BU29+BU36)</f>
        <v>4.99</v>
      </c>
      <c r="BV138" s="3704">
        <f t="shared" ref="BV138:CA138" si="519">SUM(BV10+BV20+BV29+BV36+BV44)</f>
        <v>9984.3799999999992</v>
      </c>
      <c r="BW138" s="3704">
        <f t="shared" si="519"/>
        <v>9982.6164784696339</v>
      </c>
      <c r="BX138" s="3704">
        <f t="shared" si="519"/>
        <v>1.7635215303655989</v>
      </c>
      <c r="BY138" s="3704">
        <f t="shared" si="519"/>
        <v>10215.01</v>
      </c>
      <c r="BZ138" s="3704">
        <f t="shared" si="519"/>
        <v>10213.246478469635</v>
      </c>
      <c r="CA138" s="3704">
        <f t="shared" si="519"/>
        <v>1.7635215303655989</v>
      </c>
      <c r="CB138" s="3703"/>
      <c r="CC138" s="3707"/>
      <c r="CD138" s="3708"/>
      <c r="CE138" s="3708"/>
      <c r="CF138" s="3704">
        <f t="shared" ref="CF138:CH138" si="520">SUM(CF10+CF20+CF29+CF36+CF44)</f>
        <v>10215.01</v>
      </c>
      <c r="CG138" s="3704">
        <f t="shared" si="520"/>
        <v>10213.251233333236</v>
      </c>
      <c r="CH138" s="3704">
        <f t="shared" si="520"/>
        <v>1.7587666667625974</v>
      </c>
      <c r="CI138" s="3704">
        <f t="shared" ref="CI138:CK138" si="521">SUM(CI10+CI20+CI29+CI36+CI44)</f>
        <v>8246.4500000000007</v>
      </c>
      <c r="CJ138" s="3704">
        <f t="shared" si="521"/>
        <v>8246.4500000000007</v>
      </c>
      <c r="CK138" s="3704">
        <f t="shared" si="521"/>
        <v>0</v>
      </c>
      <c r="CL138" s="3704">
        <f t="shared" ref="CL138:CQ138" si="522">SUM(CL10+CL20+CL29+CL36+CL44)</f>
        <v>12169.970000000001</v>
      </c>
      <c r="CM138" s="3704">
        <f t="shared" si="522"/>
        <v>12169.970000000001</v>
      </c>
      <c r="CN138" s="3704">
        <f t="shared" si="522"/>
        <v>0</v>
      </c>
      <c r="CO138" s="3704">
        <f t="shared" si="522"/>
        <v>15677.41</v>
      </c>
      <c r="CP138" s="3704">
        <f t="shared" si="522"/>
        <v>15677.41</v>
      </c>
      <c r="CQ138" s="3704">
        <f t="shared" si="522"/>
        <v>0</v>
      </c>
      <c r="CR138" s="3709">
        <f t="shared" ref="CR138:CT138" si="523">SUM(CR10+CR20+CR29+CR36+CR44)</f>
        <v>11708.98</v>
      </c>
      <c r="CS138" s="3709">
        <f t="shared" si="523"/>
        <v>11708.98</v>
      </c>
      <c r="CT138" s="3709">
        <f t="shared" si="523"/>
        <v>0</v>
      </c>
      <c r="CU138" s="4143">
        <f t="shared" ref="CU138:CW138" si="524">SUM(CU10+CU20+CU29+CU36+CU44)</f>
        <v>6142.7100000000009</v>
      </c>
      <c r="CV138" s="4143">
        <f t="shared" si="524"/>
        <v>6142.7100000000009</v>
      </c>
      <c r="CW138" s="4143">
        <f t="shared" si="524"/>
        <v>0</v>
      </c>
      <c r="CX138" s="3709">
        <f t="shared" ref="CX138:DF138" si="525">SUM(CX10+CX20+CX29+CX36+CX44)</f>
        <v>7779.6169</v>
      </c>
      <c r="CY138" s="3709">
        <f t="shared" si="525"/>
        <v>7779.6169</v>
      </c>
      <c r="CZ138" s="3709">
        <f t="shared" si="525"/>
        <v>0</v>
      </c>
      <c r="DA138" s="3709">
        <f t="shared" si="525"/>
        <v>11690.7</v>
      </c>
      <c r="DB138" s="3709">
        <f t="shared" si="525"/>
        <v>11690.7</v>
      </c>
      <c r="DC138" s="3709">
        <f t="shared" si="525"/>
        <v>0</v>
      </c>
      <c r="DD138" s="4033">
        <f t="shared" si="525"/>
        <v>0</v>
      </c>
      <c r="DE138" s="4033">
        <f t="shared" si="525"/>
        <v>0</v>
      </c>
      <c r="DF138" s="4033">
        <f t="shared" si="525"/>
        <v>0</v>
      </c>
    </row>
    <row r="139" spans="1:110" ht="27" customHeight="1" x14ac:dyDescent="0.3">
      <c r="A139" s="3703" t="s">
        <v>3</v>
      </c>
      <c r="B139" s="3703"/>
      <c r="C139" s="3703"/>
      <c r="D139" s="3703"/>
      <c r="E139" s="3703"/>
      <c r="F139" s="3703"/>
      <c r="G139" s="3703"/>
      <c r="H139" s="3703"/>
      <c r="I139" s="3703"/>
      <c r="J139" s="3703"/>
      <c r="K139" s="3703"/>
      <c r="L139" s="3703"/>
      <c r="M139" s="3703"/>
      <c r="N139" s="3703"/>
      <c r="O139" s="3703"/>
      <c r="P139" s="3703"/>
      <c r="Q139" s="3703"/>
      <c r="R139" s="3703"/>
      <c r="S139" s="3703"/>
      <c r="T139" s="3703"/>
      <c r="U139" s="3703"/>
      <c r="V139" s="3703"/>
      <c r="W139" s="3703"/>
      <c r="X139" s="3703"/>
      <c r="Y139" s="3704">
        <f>SUM(Y12+Y22+Y28+Y38)</f>
        <v>4740</v>
      </c>
      <c r="Z139" s="3703"/>
      <c r="AA139" s="3704">
        <f t="shared" ref="AA139:AD139" si="526">SUM(AA12+AA22+AA28+AA38)</f>
        <v>780</v>
      </c>
      <c r="AB139" s="3704">
        <f t="shared" si="526"/>
        <v>0</v>
      </c>
      <c r="AC139" s="3704" t="e">
        <f t="shared" si="526"/>
        <v>#REF!</v>
      </c>
      <c r="AD139" s="3704" t="e">
        <f t="shared" si="526"/>
        <v>#REF!</v>
      </c>
      <c r="AE139" s="3704">
        <f t="shared" ref="AE139:AH139" si="527">SUM(AE12+AE22+AE28+AE38)</f>
        <v>2799.1</v>
      </c>
      <c r="AF139" s="3704">
        <f t="shared" si="527"/>
        <v>2799.1</v>
      </c>
      <c r="AG139" s="3704">
        <f t="shared" si="527"/>
        <v>0</v>
      </c>
      <c r="AH139" s="3704">
        <f t="shared" si="527"/>
        <v>3679.26</v>
      </c>
      <c r="AI139" s="3705">
        <f t="shared" si="486"/>
        <v>4.7170000000000005</v>
      </c>
      <c r="AJ139" s="3704">
        <f t="shared" ref="AJ139:AK139" si="528">SUM(AJ12+AJ22+AJ28+AJ38)</f>
        <v>3670</v>
      </c>
      <c r="AK139" s="3704">
        <f t="shared" si="528"/>
        <v>9.26</v>
      </c>
      <c r="AL139" s="3704">
        <f t="shared" ref="AL139:AO139" si="529">SUM(AL12+AL22+AL28+AL38)</f>
        <v>215.84899999999999</v>
      </c>
      <c r="AM139" s="3705">
        <f t="shared" si="489"/>
        <v>0.27672948717948714</v>
      </c>
      <c r="AN139" s="3704">
        <f t="shared" si="529"/>
        <v>215.84899999999999</v>
      </c>
      <c r="AO139" s="3704">
        <f t="shared" si="529"/>
        <v>0</v>
      </c>
      <c r="AP139" s="3703"/>
      <c r="AQ139" s="3703"/>
      <c r="AR139" s="3703"/>
      <c r="AS139" s="3703"/>
      <c r="AT139" s="3704">
        <f t="shared" ref="AT139:AV139" si="530">SUM(AT12+AT22+AT28+AT38)</f>
        <v>2859.89</v>
      </c>
      <c r="AU139" s="3704">
        <f t="shared" si="530"/>
        <v>2859.89</v>
      </c>
      <c r="AV139" s="3704">
        <f t="shared" si="530"/>
        <v>0</v>
      </c>
      <c r="AW139" s="3704">
        <f t="shared" ref="AW139:AY139" si="531">SUM(AW12+AW22+AW28+AW38)</f>
        <v>4225</v>
      </c>
      <c r="AX139" s="3704">
        <f t="shared" si="531"/>
        <v>4225</v>
      </c>
      <c r="AY139" s="3704">
        <f t="shared" si="531"/>
        <v>0</v>
      </c>
      <c r="AZ139" s="3704">
        <f t="shared" ref="AZ139:BC139" si="532">SUM(AZ12+AZ22+AZ28+AZ38)</f>
        <v>2762.73</v>
      </c>
      <c r="BA139" s="3706">
        <f t="shared" si="493"/>
        <v>12.799364370462685</v>
      </c>
      <c r="BB139" s="3704">
        <f t="shared" si="532"/>
        <v>4100.2159999999994</v>
      </c>
      <c r="BC139" s="3704">
        <f t="shared" si="532"/>
        <v>0</v>
      </c>
      <c r="BD139" s="3704">
        <f t="shared" ref="BD139:BF139" si="533">SUM(BD12+BD22+BD28+BD38)</f>
        <v>500.53977966101695</v>
      </c>
      <c r="BE139" s="3704">
        <f t="shared" si="533"/>
        <v>500.53977966101695</v>
      </c>
      <c r="BF139" s="3704">
        <f t="shared" si="533"/>
        <v>0</v>
      </c>
      <c r="BG139" s="3704">
        <f t="shared" ref="BG139:BI139" si="534">SUM(BG12+BG22+BG28+BG38)</f>
        <v>2916.66</v>
      </c>
      <c r="BH139" s="3704">
        <f t="shared" si="534"/>
        <v>2916.66</v>
      </c>
      <c r="BI139" s="3704">
        <f t="shared" si="534"/>
        <v>0</v>
      </c>
      <c r="BJ139" s="3704">
        <f t="shared" ref="BJ139:BL139" si="535">SUM(BJ12+BJ22+BJ28+BJ38)</f>
        <v>7047.5399999999991</v>
      </c>
      <c r="BK139" s="3704">
        <f t="shared" si="535"/>
        <v>7047.5399999999991</v>
      </c>
      <c r="BL139" s="3704">
        <f t="shared" si="535"/>
        <v>0</v>
      </c>
      <c r="BM139" s="3704">
        <f t="shared" ref="BM139:BO139" si="536">SUM(BM12+BM22+BM28+BM38)</f>
        <v>546.42000000000007</v>
      </c>
      <c r="BN139" s="3704">
        <f t="shared" si="536"/>
        <v>546.42000000000007</v>
      </c>
      <c r="BO139" s="3704">
        <f t="shared" si="536"/>
        <v>0</v>
      </c>
      <c r="BP139" s="3704">
        <f>SUM(BP12+BP22+BP28+BP38+BP46)</f>
        <v>5047.25</v>
      </c>
      <c r="BQ139" s="3704">
        <f t="shared" ref="BQ139:BR139" si="537">SUM(BQ12+BQ22+BQ28+BQ38+BQ46)</f>
        <v>5046.25</v>
      </c>
      <c r="BR139" s="3704">
        <f t="shared" si="537"/>
        <v>1</v>
      </c>
      <c r="BS139" s="3704">
        <f>SUM(BS12+BS22+BS28+BS38)</f>
        <v>3460.57</v>
      </c>
      <c r="BT139" s="3704">
        <f>SUM(BT12+BT22+BT28+BT38)</f>
        <v>3459.11</v>
      </c>
      <c r="BU139" s="3704">
        <f>SUM(BU12+BU22+BU28+BU38)</f>
        <v>1.46</v>
      </c>
      <c r="BV139" s="3704">
        <f>BV12+BV22+BV28+BV38</f>
        <v>1632.0923300000002</v>
      </c>
      <c r="BW139" s="3704">
        <f t="shared" ref="BW139:BX139" si="538">BW12+BW22+BW28+BW38</f>
        <v>1631.5850847953216</v>
      </c>
      <c r="BX139" s="3704">
        <f t="shared" si="538"/>
        <v>0.50724520467857759</v>
      </c>
      <c r="BY139" s="3704">
        <f>BY12+BY22+BY28+BY38</f>
        <v>2403.3279968831998</v>
      </c>
      <c r="BZ139" s="3704">
        <f t="shared" ref="BZ139:CA139" si="539">BZ12+BZ22+BZ28+BZ38</f>
        <v>2402.8193174226835</v>
      </c>
      <c r="CA139" s="3704">
        <f t="shared" si="539"/>
        <v>0.52179112679107165</v>
      </c>
      <c r="CB139" s="3703"/>
      <c r="CC139" s="3707"/>
      <c r="CD139" s="3708"/>
      <c r="CE139" s="3708"/>
      <c r="CF139" s="3704">
        <f>CF12+CF22+CF28+CF38</f>
        <v>1664.2445489010001</v>
      </c>
      <c r="CG139" s="3704">
        <f t="shared" ref="CG139:CH139" si="540">CG12+CG22+CG28+CG38</f>
        <v>1663.3967958808935</v>
      </c>
      <c r="CH139" s="3704">
        <f t="shared" si="540"/>
        <v>0.8477530201065322</v>
      </c>
      <c r="CI139" s="3704">
        <f>CI12+CI22+CI28+CI38+CI46</f>
        <v>3270.0099999999998</v>
      </c>
      <c r="CJ139" s="3704">
        <f t="shared" ref="CJ139:CK139" si="541">CJ12+CJ22+CJ28+CJ38+CJ46</f>
        <v>3270.0099999999998</v>
      </c>
      <c r="CK139" s="3704">
        <f t="shared" si="541"/>
        <v>0</v>
      </c>
      <c r="CL139" s="3704">
        <f>CL12+CL22+CL28+CL38+CL46</f>
        <v>5216.5599999999995</v>
      </c>
      <c r="CM139" s="3704">
        <f t="shared" ref="CM139:CQ139" si="542">CM12+CM22+CM28+CM38+CM46</f>
        <v>5216.5599999999995</v>
      </c>
      <c r="CN139" s="3704">
        <f t="shared" si="542"/>
        <v>0</v>
      </c>
      <c r="CO139" s="3704">
        <f>CO12+CO22+CO28+CO38+CO46</f>
        <v>6027.36</v>
      </c>
      <c r="CP139" s="3704">
        <f t="shared" si="542"/>
        <v>6027.36</v>
      </c>
      <c r="CQ139" s="3704">
        <f t="shared" si="542"/>
        <v>0</v>
      </c>
      <c r="CR139" s="3709">
        <f>CR12+CR22+CR28+CR38+CR46</f>
        <v>4481.3200608000006</v>
      </c>
      <c r="CS139" s="3709">
        <f t="shared" ref="CS139:CT139" si="543">CS12+CS22+CS28+CS38+CS46</f>
        <v>4481.3200608000006</v>
      </c>
      <c r="CT139" s="3709">
        <f t="shared" si="543"/>
        <v>0</v>
      </c>
      <c r="CU139" s="4143">
        <f>CU12+CU22+CU28+CU38+CU46</f>
        <v>1710.2342863793883</v>
      </c>
      <c r="CV139" s="4143">
        <f t="shared" ref="CV139:CW139" si="544">CV12+CV22+CV28+CV38+CV46</f>
        <v>1710.2342863793883</v>
      </c>
      <c r="CW139" s="4143">
        <f t="shared" si="544"/>
        <v>0</v>
      </c>
      <c r="CX139" s="3709">
        <f>CX12+CX22+CX28+CX38+CX46</f>
        <v>2753.0599999999995</v>
      </c>
      <c r="CY139" s="3709">
        <f t="shared" ref="CY139:CZ139" si="545">CY12+CY22+CY28+CY38+CY46</f>
        <v>2753.0599999999995</v>
      </c>
      <c r="CZ139" s="3709">
        <f t="shared" si="545"/>
        <v>0</v>
      </c>
      <c r="DA139" s="3709">
        <f>DA12+DA22+DA28+DA38+DA46</f>
        <v>3307.29</v>
      </c>
      <c r="DB139" s="3709">
        <f t="shared" ref="DB139:DC139" si="546">DB12+DB22+DB28+DB38+DB46</f>
        <v>3307.29</v>
      </c>
      <c r="DC139" s="3709">
        <f t="shared" si="546"/>
        <v>0</v>
      </c>
      <c r="DD139" s="4033">
        <f>DD12+DD22+DD28+DD38+DD46</f>
        <v>656.2</v>
      </c>
      <c r="DE139" s="4033">
        <f t="shared" ref="DE139:DF139" si="547">DE12+DE22+DE28+DE38+DE46</f>
        <v>656.2</v>
      </c>
      <c r="DF139" s="4033">
        <f t="shared" si="547"/>
        <v>0</v>
      </c>
    </row>
    <row r="140" spans="1:110" ht="27" customHeight="1" x14ac:dyDescent="0.3">
      <c r="A140" s="3703" t="s">
        <v>4</v>
      </c>
      <c r="B140" s="3703"/>
      <c r="C140" s="3703"/>
      <c r="D140" s="3703"/>
      <c r="E140" s="3703"/>
      <c r="F140" s="3703"/>
      <c r="G140" s="3703"/>
      <c r="H140" s="3703"/>
      <c r="I140" s="3703"/>
      <c r="J140" s="3703"/>
      <c r="K140" s="3703"/>
      <c r="L140" s="3703"/>
      <c r="M140" s="3703"/>
      <c r="N140" s="3703"/>
      <c r="O140" s="3703"/>
      <c r="P140" s="3703"/>
      <c r="Q140" s="3703"/>
      <c r="R140" s="3703"/>
      <c r="S140" s="3703"/>
      <c r="T140" s="3703"/>
      <c r="U140" s="3703"/>
      <c r="V140" s="3703"/>
      <c r="W140" s="3703"/>
      <c r="X140" s="3703"/>
      <c r="Y140" s="3704">
        <f>SUM(Y13+Y23+Y31+Y39)</f>
        <v>47903.399999999994</v>
      </c>
      <c r="Z140" s="3703"/>
      <c r="AA140" s="3704">
        <f t="shared" ref="AA140:AD140" si="548">SUM(AA13+AA23+AA31+AA39)</f>
        <v>41422.018619520008</v>
      </c>
      <c r="AB140" s="3704">
        <f t="shared" si="548"/>
        <v>4.2240000000000002</v>
      </c>
      <c r="AC140" s="3704" t="e">
        <f t="shared" si="548"/>
        <v>#REF!</v>
      </c>
      <c r="AD140" s="3704" t="e">
        <f t="shared" si="548"/>
        <v>#REF!</v>
      </c>
      <c r="AE140" s="3704">
        <f t="shared" ref="AE140:AH140" si="549">SUM(AE13+AE23+AE31+AE39)</f>
        <v>40440.100000000006</v>
      </c>
      <c r="AF140" s="3704">
        <f t="shared" si="549"/>
        <v>40170.590636296118</v>
      </c>
      <c r="AG140" s="3704">
        <f t="shared" si="549"/>
        <v>269.50936370388717</v>
      </c>
      <c r="AH140" s="3704">
        <f t="shared" si="549"/>
        <v>43632.09</v>
      </c>
      <c r="AI140" s="3705">
        <f t="shared" si="486"/>
        <v>1.053354989788897</v>
      </c>
      <c r="AJ140" s="3704">
        <f t="shared" ref="AJ140:AK140" si="550">SUM(AJ13+AJ23+AJ31+AJ39)</f>
        <v>43351.78</v>
      </c>
      <c r="AK140" s="3704">
        <f t="shared" si="550"/>
        <v>280.31</v>
      </c>
      <c r="AL140" s="3704">
        <f t="shared" ref="AL140:AO140" si="551">SUM(AL13+AL23+AL31+AL39)</f>
        <v>42354.204645413141</v>
      </c>
      <c r="AM140" s="3705">
        <f t="shared" si="489"/>
        <v>1.0225046015853472</v>
      </c>
      <c r="AN140" s="3704">
        <f t="shared" si="551"/>
        <v>42088.441456922927</v>
      </c>
      <c r="AO140" s="3704">
        <f t="shared" si="551"/>
        <v>265.76318849021391</v>
      </c>
      <c r="AP140" s="3703"/>
      <c r="AQ140" s="3703"/>
      <c r="AR140" s="3703"/>
      <c r="AS140" s="3703"/>
      <c r="AT140" s="3704">
        <f t="shared" ref="AT140:AV140" si="552">SUM(AT13+AT23+AT31+AT39)</f>
        <v>19727</v>
      </c>
      <c r="AU140" s="3704">
        <f t="shared" si="552"/>
        <v>19654.408198022586</v>
      </c>
      <c r="AV140" s="3704">
        <f t="shared" si="552"/>
        <v>72.59180197741307</v>
      </c>
      <c r="AW140" s="3704">
        <f t="shared" ref="AW140:AY140" si="553">SUM(AW13+AW23+AW31+AW39)</f>
        <v>40773.21</v>
      </c>
      <c r="AX140" s="3704">
        <f t="shared" si="553"/>
        <v>40669.570000000007</v>
      </c>
      <c r="AY140" s="3704">
        <f t="shared" si="553"/>
        <v>103.64000000000001</v>
      </c>
      <c r="AZ140" s="3704">
        <f t="shared" ref="AZ140:BC140" si="554">SUM(AZ13+AZ23+AZ31+AZ39)</f>
        <v>47704.91</v>
      </c>
      <c r="BA140" s="3706">
        <f t="shared" si="493"/>
        <v>1.1263323299158288</v>
      </c>
      <c r="BB140" s="3704">
        <f t="shared" si="554"/>
        <v>47560.244138990885</v>
      </c>
      <c r="BC140" s="3704">
        <f t="shared" si="554"/>
        <v>144.66586100911263</v>
      </c>
      <c r="BD140" s="3704">
        <f t="shared" ref="BD140:BF140" si="555">SUM(BD13+BD23+BD31+BD39)</f>
        <v>47464.129975317854</v>
      </c>
      <c r="BE140" s="3704">
        <f t="shared" si="555"/>
        <v>47330.74686058973</v>
      </c>
      <c r="BF140" s="3704">
        <f t="shared" si="555"/>
        <v>133.38311472812438</v>
      </c>
      <c r="BG140" s="3704">
        <f t="shared" ref="BG140:BI140" si="556">SUM(BG13+BG23+BG31+BG39)</f>
        <v>41402.899999999994</v>
      </c>
      <c r="BH140" s="3704">
        <f t="shared" si="556"/>
        <v>41388.380000000005</v>
      </c>
      <c r="BI140" s="3704">
        <f t="shared" si="556"/>
        <v>14.52</v>
      </c>
      <c r="BJ140" s="3704">
        <f t="shared" ref="BJ140:BL140" si="557">SUM(BJ13+BJ23+BJ31+BJ39)</f>
        <v>42122.06</v>
      </c>
      <c r="BK140" s="3704">
        <f t="shared" si="557"/>
        <v>42112.22</v>
      </c>
      <c r="BL140" s="3704">
        <f t="shared" si="557"/>
        <v>9.84</v>
      </c>
      <c r="BM140" s="3704">
        <f t="shared" ref="BM140:BO140" si="558">SUM(BM13+BM23+BM31+BM39)</f>
        <v>51815.3969</v>
      </c>
      <c r="BN140" s="3704">
        <f t="shared" si="558"/>
        <v>51664.67</v>
      </c>
      <c r="BO140" s="3704">
        <f t="shared" si="558"/>
        <v>150.7269</v>
      </c>
      <c r="BP140" s="3704">
        <f>SUM(BP13+BP23+BP31+BP39+BP48)</f>
        <v>43192.94</v>
      </c>
      <c r="BQ140" s="3704">
        <f t="shared" ref="BQ140:BR140" si="559">SUM(BQ13+BQ23+BQ31+BQ39+BQ48)</f>
        <v>43184.930000000008</v>
      </c>
      <c r="BR140" s="3704">
        <f t="shared" si="559"/>
        <v>8.01</v>
      </c>
      <c r="BS140" s="3704">
        <f t="shared" ref="BS140:BU141" si="560">SUM(BS13+BS23+BS31+BS39)</f>
        <v>55856.31</v>
      </c>
      <c r="BT140" s="3704">
        <f t="shared" si="560"/>
        <v>55816.49</v>
      </c>
      <c r="BU140" s="3704">
        <f t="shared" si="560"/>
        <v>39.82</v>
      </c>
      <c r="BV140" s="3704">
        <f t="shared" ref="BV140:BX141" si="561">BV13+BV23+BV31+BV39+BV48</f>
        <v>54337.410097773143</v>
      </c>
      <c r="BW140" s="3704">
        <f t="shared" si="561"/>
        <v>54324.772711788915</v>
      </c>
      <c r="BX140" s="3704">
        <f t="shared" si="561"/>
        <v>12.637385984227878</v>
      </c>
      <c r="BY140" s="3704">
        <f t="shared" ref="BY140:CA140" si="562">BY13+BY23+BY31+BY39+BY48</f>
        <v>57177.532754291395</v>
      </c>
      <c r="BZ140" s="3704">
        <f t="shared" si="562"/>
        <v>57164.148960825485</v>
      </c>
      <c r="CA140" s="3704">
        <f t="shared" si="562"/>
        <v>13.383793465913033</v>
      </c>
      <c r="CB140" s="3703"/>
      <c r="CC140" s="3707"/>
      <c r="CD140" s="3708"/>
      <c r="CE140" s="3708"/>
      <c r="CF140" s="3704">
        <f t="shared" ref="CF140:CH140" si="563">CF13+CF23+CF31+CF39+CF48</f>
        <v>55406.892530872079</v>
      </c>
      <c r="CG140" s="3704">
        <f t="shared" si="563"/>
        <v>55393.310216473896</v>
      </c>
      <c r="CH140" s="3704">
        <f t="shared" si="563"/>
        <v>13.582314398187759</v>
      </c>
      <c r="CI140" s="3704">
        <f t="shared" ref="CI140:CK140" si="564">CI13+CI23+CI31+CI39+CI48</f>
        <v>22063.290000000005</v>
      </c>
      <c r="CJ140" s="3704">
        <f t="shared" si="564"/>
        <v>22055.710000000003</v>
      </c>
      <c r="CK140" s="3704">
        <f t="shared" si="564"/>
        <v>7.58</v>
      </c>
      <c r="CL140" s="3704">
        <f t="shared" ref="CL140:CN140" si="565">CL13+CL23+CL31+CL39+CL48</f>
        <v>34004.03</v>
      </c>
      <c r="CM140" s="3704">
        <f t="shared" si="565"/>
        <v>33992.51</v>
      </c>
      <c r="CN140" s="3704">
        <f t="shared" si="565"/>
        <v>11.52</v>
      </c>
      <c r="CO140" s="3704">
        <f t="shared" ref="CO140:CQ140" si="566">CO13+CO23+CO31+CO39+CO48</f>
        <v>44602.700000000004</v>
      </c>
      <c r="CP140" s="3704">
        <f t="shared" si="566"/>
        <v>44588.15</v>
      </c>
      <c r="CQ140" s="3704">
        <f t="shared" si="566"/>
        <v>14.55</v>
      </c>
      <c r="CR140" s="3709">
        <f t="shared" ref="CR140:CT140" si="567">CR13+CR23+CR31+CR39+CR48</f>
        <v>63999.862744933496</v>
      </c>
      <c r="CS140" s="3709">
        <f t="shared" si="567"/>
        <v>63959.646289126504</v>
      </c>
      <c r="CT140" s="3709">
        <f t="shared" si="567"/>
        <v>40.216455807000003</v>
      </c>
      <c r="CU140" s="4143">
        <f t="shared" ref="CU140:CW140" si="568">CU13+CU23+CU31+CU39+CU48</f>
        <v>56955.380162305366</v>
      </c>
      <c r="CV140" s="4143">
        <f t="shared" si="568"/>
        <v>56938.861162305366</v>
      </c>
      <c r="CW140" s="4143">
        <f t="shared" si="568"/>
        <v>16.518999999999998</v>
      </c>
      <c r="CX140" s="3709">
        <f t="shared" ref="CX140:DF140" si="569">CX13+CX23+CX31+CX39+CX48</f>
        <v>21762.899999999998</v>
      </c>
      <c r="CY140" s="3709">
        <f t="shared" si="569"/>
        <v>21756.45</v>
      </c>
      <c r="CZ140" s="3709">
        <f t="shared" si="569"/>
        <v>6.45</v>
      </c>
      <c r="DA140" s="3709">
        <f t="shared" si="569"/>
        <v>32719.579999999998</v>
      </c>
      <c r="DB140" s="3709">
        <f t="shared" si="569"/>
        <v>32708.779999999995</v>
      </c>
      <c r="DC140" s="3709">
        <f t="shared" si="569"/>
        <v>10.8</v>
      </c>
      <c r="DD140" s="4033">
        <f t="shared" si="569"/>
        <v>140</v>
      </c>
      <c r="DE140" s="4033">
        <f t="shared" si="569"/>
        <v>139.94999999999999</v>
      </c>
      <c r="DF140" s="4033">
        <f t="shared" si="569"/>
        <v>0.05</v>
      </c>
    </row>
    <row r="141" spans="1:110" ht="27" customHeight="1" x14ac:dyDescent="0.3">
      <c r="A141" s="3703" t="s">
        <v>5</v>
      </c>
      <c r="B141" s="3703"/>
      <c r="C141" s="3703"/>
      <c r="D141" s="3703"/>
      <c r="E141" s="3703"/>
      <c r="F141" s="3703"/>
      <c r="G141" s="3703"/>
      <c r="H141" s="3703"/>
      <c r="I141" s="3703"/>
      <c r="J141" s="3703"/>
      <c r="K141" s="3703"/>
      <c r="L141" s="3703"/>
      <c r="M141" s="3703"/>
      <c r="N141" s="3703"/>
      <c r="O141" s="3703"/>
      <c r="P141" s="3703"/>
      <c r="Q141" s="3703"/>
      <c r="R141" s="3703"/>
      <c r="S141" s="3703"/>
      <c r="T141" s="3703"/>
      <c r="U141" s="3703"/>
      <c r="V141" s="3703"/>
      <c r="W141" s="3703"/>
      <c r="X141" s="3703"/>
      <c r="Y141" s="3704">
        <f>SUM(Y14+Y24+Y32+Y40)</f>
        <v>14466.800000000001</v>
      </c>
      <c r="Z141" s="3703"/>
      <c r="AA141" s="3704">
        <f t="shared" ref="AA141:AD141" si="570">SUM(AA14+AA24+AA32+AA40)</f>
        <v>12453.395960809921</v>
      </c>
      <c r="AB141" s="3704">
        <f t="shared" si="570"/>
        <v>4.2055363909018268</v>
      </c>
      <c r="AC141" s="3704" t="e">
        <f t="shared" si="570"/>
        <v>#REF!</v>
      </c>
      <c r="AD141" s="3704" t="e">
        <f t="shared" si="570"/>
        <v>#REF!</v>
      </c>
      <c r="AE141" s="3704">
        <f t="shared" ref="AE141:AH141" si="571">SUM(AE14+AE24+AE32+AE40)</f>
        <v>12129.699999999999</v>
      </c>
      <c r="AF141" s="3704">
        <f t="shared" si="571"/>
        <v>12048.470146075761</v>
      </c>
      <c r="AG141" s="3704">
        <f t="shared" si="571"/>
        <v>81.229853924238569</v>
      </c>
      <c r="AH141" s="3704">
        <f t="shared" si="571"/>
        <v>13143.624329999999</v>
      </c>
      <c r="AI141" s="3705">
        <f t="shared" si="486"/>
        <v>1.0554249115150747</v>
      </c>
      <c r="AJ141" s="3704">
        <f t="shared" ref="AJ141:AK141" si="572">SUM(AJ14+AJ24+AJ32+AJ40)</f>
        <v>13059.134329999999</v>
      </c>
      <c r="AK141" s="3704">
        <f t="shared" si="572"/>
        <v>84.490000000000009</v>
      </c>
      <c r="AL141" s="3704">
        <f t="shared" ref="AL141:AO141" si="573">SUM(AL14+AL24+AL32+AL40)</f>
        <v>12734.667591698035</v>
      </c>
      <c r="AM141" s="3705">
        <f t="shared" si="489"/>
        <v>1.0225859381467721</v>
      </c>
      <c r="AN141" s="3704">
        <f t="shared" si="573"/>
        <v>12654.653785637802</v>
      </c>
      <c r="AO141" s="3704">
        <f t="shared" si="573"/>
        <v>80.013806060234131</v>
      </c>
      <c r="AP141" s="3703"/>
      <c r="AQ141" s="3703"/>
      <c r="AR141" s="3703"/>
      <c r="AS141" s="3703"/>
      <c r="AT141" s="3704">
        <f t="shared" ref="AT141:AV141" si="574">SUM(AT14+AT24+AT32+AT40)</f>
        <v>5887.33</v>
      </c>
      <c r="AU141" s="3704">
        <f t="shared" si="574"/>
        <v>5865.3422383545676</v>
      </c>
      <c r="AV141" s="3704">
        <f t="shared" si="574"/>
        <v>21.987761645432215</v>
      </c>
      <c r="AW141" s="3704">
        <f t="shared" ref="AW141:AY141" si="575">SUM(AW14+AW24+AW32+AW40)</f>
        <v>12222.1</v>
      </c>
      <c r="AX141" s="3704">
        <f t="shared" si="575"/>
        <v>12190.66</v>
      </c>
      <c r="AY141" s="3704">
        <f t="shared" si="575"/>
        <v>31.439999999999998</v>
      </c>
      <c r="AZ141" s="3704">
        <f t="shared" ref="AZ141:BC141" si="576">SUM(AZ14+AZ24+AZ32+AZ40)</f>
        <v>14370.571280998902</v>
      </c>
      <c r="BA141" s="3706">
        <f t="shared" si="493"/>
        <v>1.1284606510159199</v>
      </c>
      <c r="BB141" s="3704">
        <f t="shared" si="576"/>
        <v>14326.96600714799</v>
      </c>
      <c r="BC141" s="3704">
        <f t="shared" si="576"/>
        <v>43.605273850911409</v>
      </c>
      <c r="BD141" s="3704">
        <f t="shared" ref="BD141:BF141" si="577">SUM(BD14+BD24+BD32+BD40)</f>
        <v>14216.857982124668</v>
      </c>
      <c r="BE141" s="3704">
        <f t="shared" si="577"/>
        <v>14176.749847993546</v>
      </c>
      <c r="BF141" s="3704">
        <f t="shared" si="577"/>
        <v>40.108134131122803</v>
      </c>
      <c r="BG141" s="3704">
        <f t="shared" ref="BG141:BI141" si="578">SUM(BG14+BG24+BG32+BG40)</f>
        <v>12414.38</v>
      </c>
      <c r="BH141" s="3704">
        <f t="shared" si="578"/>
        <v>12410.06</v>
      </c>
      <c r="BI141" s="3704">
        <f t="shared" si="578"/>
        <v>4.32</v>
      </c>
      <c r="BJ141" s="3704">
        <f t="shared" ref="BJ141:BL141" si="579">SUM(BJ14+BJ24+BJ32+BJ40)</f>
        <v>12725.33</v>
      </c>
      <c r="BK141" s="3704">
        <f t="shared" si="579"/>
        <v>12722.36</v>
      </c>
      <c r="BL141" s="3704">
        <f t="shared" si="579"/>
        <v>2.9699999999999998</v>
      </c>
      <c r="BM141" s="3704">
        <f t="shared" ref="BM141:BO141" si="580">SUM(BM14+BM24+BM32+BM40)</f>
        <v>15519.560000000001</v>
      </c>
      <c r="BN141" s="3704">
        <f t="shared" si="580"/>
        <v>15474.240000000002</v>
      </c>
      <c r="BO141" s="3704">
        <f t="shared" si="580"/>
        <v>45.32</v>
      </c>
      <c r="BP141" s="3704">
        <f>SUM(BP14+BP24+BP32+BP40+BP49)</f>
        <v>13030.630000000001</v>
      </c>
      <c r="BQ141" s="3704">
        <f t="shared" ref="BQ141:BR141" si="581">SUM(BQ14+BQ24+BQ32+BQ40+BQ49)</f>
        <v>13028.210000000001</v>
      </c>
      <c r="BR141" s="3704">
        <f t="shared" si="581"/>
        <v>2.42</v>
      </c>
      <c r="BS141" s="3704">
        <f t="shared" si="560"/>
        <v>16728.38</v>
      </c>
      <c r="BT141" s="3704">
        <f t="shared" si="560"/>
        <v>16716.41</v>
      </c>
      <c r="BU141" s="3704">
        <f t="shared" si="560"/>
        <v>11.969999999999999</v>
      </c>
      <c r="BV141" s="3704">
        <f t="shared" si="561"/>
        <v>16274.891770933826</v>
      </c>
      <c r="BW141" s="3704">
        <f t="shared" si="561"/>
        <v>16271.091859696404</v>
      </c>
      <c r="BX141" s="3704">
        <f t="shared" si="561"/>
        <v>3.7999112374225921</v>
      </c>
      <c r="BY141" s="3704">
        <f t="shared" ref="BY141:CA141" si="582">BY14+BY24+BY32+BY40+BY49</f>
        <v>17210.022985402669</v>
      </c>
      <c r="BZ141" s="3704">
        <f t="shared" si="582"/>
        <v>17205.987085449789</v>
      </c>
      <c r="CA141" s="3704">
        <f t="shared" si="582"/>
        <v>4.0358999528809676</v>
      </c>
      <c r="CB141" s="3703"/>
      <c r="CC141" s="3707"/>
      <c r="CD141" s="3708"/>
      <c r="CE141" s="3708"/>
      <c r="CF141" s="3704">
        <f t="shared" ref="CF141:CH141" si="583">CF14+CF24+CF32+CF40+CF49</f>
        <v>16595.21681582458</v>
      </c>
      <c r="CG141" s="3704">
        <f t="shared" si="583"/>
        <v>16591.132775883387</v>
      </c>
      <c r="CH141" s="3704">
        <f t="shared" si="583"/>
        <v>4.0840399411946677</v>
      </c>
      <c r="CI141" s="3704">
        <f t="shared" ref="CI141:CK141" si="584">CI14+CI24+CI32+CI40+CI49</f>
        <v>6696.9500000000007</v>
      </c>
      <c r="CJ141" s="3704">
        <f t="shared" si="584"/>
        <v>6694.67</v>
      </c>
      <c r="CK141" s="3704">
        <f t="shared" si="584"/>
        <v>2.2799999999999998</v>
      </c>
      <c r="CL141" s="3704">
        <f t="shared" ref="CL141:CN141" si="585">CL14+CL24+CL32+CL40+CL49</f>
        <v>10290.010000000002</v>
      </c>
      <c r="CM141" s="3704">
        <f t="shared" si="585"/>
        <v>10286.540000000001</v>
      </c>
      <c r="CN141" s="3704">
        <f t="shared" si="585"/>
        <v>3.47</v>
      </c>
      <c r="CO141" s="3704">
        <f t="shared" ref="CO141:CQ141" si="586">CO14+CO24+CO32+CO40+CO49</f>
        <v>13529.329999999998</v>
      </c>
      <c r="CP141" s="3704">
        <f t="shared" si="586"/>
        <v>13524.939999999999</v>
      </c>
      <c r="CQ141" s="3704">
        <f t="shared" si="586"/>
        <v>4.3899999999999997</v>
      </c>
      <c r="CR141" s="3709">
        <f t="shared" ref="CR141:CT141" si="587">CR14+CR24+CR32+CR40+CR49</f>
        <v>19263.966</v>
      </c>
      <c r="CS141" s="3709">
        <f t="shared" si="587"/>
        <v>19251.86</v>
      </c>
      <c r="CT141" s="3709">
        <f t="shared" si="587"/>
        <v>12.106</v>
      </c>
      <c r="CU141" s="4143">
        <f t="shared" ref="CU141:CW141" si="588">CU14+CU24+CU32+CU40+CU49</f>
        <v>17059.038687927838</v>
      </c>
      <c r="CV141" s="4143">
        <f t="shared" si="588"/>
        <v>17054.066458252564</v>
      </c>
      <c r="CW141" s="4143">
        <f t="shared" si="588"/>
        <v>4.9722296752736233</v>
      </c>
      <c r="CX141" s="3709">
        <f t="shared" ref="CX141:DF141" si="589">CX14+CX24+CX32+CX40+CX49</f>
        <v>6579.6130000000003</v>
      </c>
      <c r="CY141" s="3709">
        <f t="shared" si="589"/>
        <v>6577.6630000000014</v>
      </c>
      <c r="CZ141" s="3709">
        <f t="shared" si="589"/>
        <v>1.95</v>
      </c>
      <c r="DA141" s="3709">
        <f t="shared" si="589"/>
        <v>9887.7450000000008</v>
      </c>
      <c r="DB141" s="3709">
        <f t="shared" si="589"/>
        <v>9884.4770000000008</v>
      </c>
      <c r="DC141" s="3709">
        <f t="shared" si="589"/>
        <v>3.2679999999999998</v>
      </c>
      <c r="DD141" s="4033">
        <f t="shared" si="589"/>
        <v>13529.329999999998</v>
      </c>
      <c r="DE141" s="4033">
        <f t="shared" si="589"/>
        <v>13524.939999999999</v>
      </c>
      <c r="DF141" s="4033">
        <f t="shared" si="589"/>
        <v>4.3899999999999997</v>
      </c>
    </row>
    <row r="142" spans="1:110" ht="27" customHeight="1" x14ac:dyDescent="0.3">
      <c r="A142" s="3703" t="s">
        <v>8</v>
      </c>
      <c r="B142" s="3703"/>
      <c r="C142" s="3703"/>
      <c r="D142" s="3703"/>
      <c r="E142" s="3703"/>
      <c r="F142" s="3703"/>
      <c r="G142" s="3703"/>
      <c r="H142" s="3703"/>
      <c r="I142" s="3703"/>
      <c r="J142" s="3703"/>
      <c r="K142" s="3703"/>
      <c r="L142" s="3703"/>
      <c r="M142" s="3703"/>
      <c r="N142" s="3703"/>
      <c r="O142" s="3703"/>
      <c r="P142" s="3703"/>
      <c r="Q142" s="3703"/>
      <c r="R142" s="3703"/>
      <c r="S142" s="3703"/>
      <c r="T142" s="3703"/>
      <c r="U142" s="3703"/>
      <c r="V142" s="3703"/>
      <c r="W142" s="3703"/>
      <c r="X142" s="3703"/>
      <c r="Y142" s="3704">
        <f>SUM(Y19)</f>
        <v>6984.1</v>
      </c>
      <c r="Z142" s="3703"/>
      <c r="AA142" s="3704" t="e">
        <f t="shared" ref="AA142:AD142" si="590">SUM(AA19)</f>
        <v>#REF!</v>
      </c>
      <c r="AB142" s="3704" t="e">
        <f t="shared" si="590"/>
        <v>#REF!</v>
      </c>
      <c r="AC142" s="3704" t="e">
        <f t="shared" si="590"/>
        <v>#REF!</v>
      </c>
      <c r="AD142" s="3704">
        <f t="shared" si="590"/>
        <v>0</v>
      </c>
      <c r="AE142" s="3704">
        <f t="shared" ref="AE142:AH142" si="591">SUM(AE19)</f>
        <v>4087.3393910999998</v>
      </c>
      <c r="AF142" s="3704">
        <f t="shared" si="591"/>
        <v>4087.3393910999998</v>
      </c>
      <c r="AG142" s="3704">
        <f t="shared" si="591"/>
        <v>0</v>
      </c>
      <c r="AH142" s="3704">
        <f t="shared" si="591"/>
        <v>4631.88</v>
      </c>
      <c r="AI142" s="3705" t="e">
        <f t="shared" si="486"/>
        <v>#REF!</v>
      </c>
      <c r="AJ142" s="3704">
        <f t="shared" ref="AJ142:AK142" si="592">SUM(AJ19)</f>
        <v>4631.88</v>
      </c>
      <c r="AK142" s="3704">
        <f t="shared" si="592"/>
        <v>0</v>
      </c>
      <c r="AL142" s="3704">
        <f t="shared" ref="AL142:AO142" si="593">SUM(AL19)</f>
        <v>3968.311174693004</v>
      </c>
      <c r="AM142" s="3705" t="e">
        <f t="shared" si="489"/>
        <v>#REF!</v>
      </c>
      <c r="AN142" s="3704">
        <f t="shared" si="593"/>
        <v>3968.311174693004</v>
      </c>
      <c r="AO142" s="3704">
        <f t="shared" si="593"/>
        <v>0</v>
      </c>
      <c r="AP142" s="3703"/>
      <c r="AQ142" s="3703"/>
      <c r="AR142" s="3703"/>
      <c r="AS142" s="3703"/>
      <c r="AT142" s="3704">
        <f t="shared" ref="AT142:AV142" si="594">SUM(AT19)</f>
        <v>2640.0770813999998</v>
      </c>
      <c r="AU142" s="3704">
        <f t="shared" si="594"/>
        <v>2640.0770813999998</v>
      </c>
      <c r="AV142" s="3704">
        <f t="shared" si="594"/>
        <v>0</v>
      </c>
      <c r="AW142" s="3704">
        <f t="shared" ref="AW142:AY142" si="595">SUM(AW19)</f>
        <v>5707.19</v>
      </c>
      <c r="AX142" s="3704">
        <f t="shared" si="595"/>
        <v>5707.19</v>
      </c>
      <c r="AY142" s="3704">
        <f t="shared" si="595"/>
        <v>0</v>
      </c>
      <c r="AZ142" s="3704">
        <f t="shared" ref="AZ142:BC142" si="596">SUM(AZ19)</f>
        <v>6791.38</v>
      </c>
      <c r="BA142" s="3706">
        <f t="shared" si="493"/>
        <v>1.711403088374337</v>
      </c>
      <c r="BB142" s="3704">
        <f t="shared" si="596"/>
        <v>6791.38</v>
      </c>
      <c r="BC142" s="3704">
        <f t="shared" si="596"/>
        <v>0</v>
      </c>
      <c r="BD142" s="3704">
        <f t="shared" ref="BD142:BF142" si="597">SUM(BD19)</f>
        <v>6985.4283978386675</v>
      </c>
      <c r="BE142" s="3704">
        <f t="shared" si="597"/>
        <v>6985.4283978386675</v>
      </c>
      <c r="BF142" s="3704">
        <f t="shared" si="597"/>
        <v>0</v>
      </c>
      <c r="BG142" s="3704">
        <f t="shared" ref="BG142:BI142" si="598">SUM(BG19)</f>
        <v>8877.36</v>
      </c>
      <c r="BH142" s="3704">
        <f t="shared" si="598"/>
        <v>8877.36</v>
      </c>
      <c r="BI142" s="3704">
        <f t="shared" si="598"/>
        <v>0</v>
      </c>
      <c r="BJ142" s="3704">
        <f t="shared" ref="BJ142:BL142" si="599">SUM(BJ19)</f>
        <v>14052.2</v>
      </c>
      <c r="BK142" s="3704">
        <f t="shared" si="599"/>
        <v>14052.2</v>
      </c>
      <c r="BL142" s="3704">
        <f t="shared" si="599"/>
        <v>0</v>
      </c>
      <c r="BM142" s="3704">
        <f t="shared" ref="BM142:BO142" si="600">SUM(BM19)</f>
        <v>7625.8140000000003</v>
      </c>
      <c r="BN142" s="3704">
        <f t="shared" si="600"/>
        <v>7625.8140000000003</v>
      </c>
      <c r="BO142" s="3704">
        <f t="shared" si="600"/>
        <v>0</v>
      </c>
      <c r="BP142" s="3704">
        <f>SUM(BP19)</f>
        <v>12899.94</v>
      </c>
      <c r="BQ142" s="3704">
        <f t="shared" ref="BQ142:BR142" si="601">SUM(BQ19)</f>
        <v>12899.94</v>
      </c>
      <c r="BR142" s="3704">
        <f t="shared" si="601"/>
        <v>0</v>
      </c>
      <c r="BS142" s="3704">
        <f>SUM(BS19)</f>
        <v>13684.63</v>
      </c>
      <c r="BT142" s="3704">
        <f>SUM(BT19)</f>
        <v>13684.63</v>
      </c>
      <c r="BU142" s="3704">
        <f>SUM(BU19)</f>
        <v>0</v>
      </c>
      <c r="BV142" s="3704">
        <f t="shared" ref="BV142:CA142" si="602">BV19</f>
        <v>11981.832285756163</v>
      </c>
      <c r="BW142" s="3704">
        <f t="shared" si="602"/>
        <v>11981.832285756163</v>
      </c>
      <c r="BX142" s="3704">
        <f t="shared" si="602"/>
        <v>0</v>
      </c>
      <c r="BY142" s="3704">
        <f t="shared" si="602"/>
        <v>13937.242556447221</v>
      </c>
      <c r="BZ142" s="3704">
        <f t="shared" si="602"/>
        <v>13937.242556447221</v>
      </c>
      <c r="CA142" s="3704">
        <f t="shared" si="602"/>
        <v>0</v>
      </c>
      <c r="CB142" s="3703"/>
      <c r="CC142" s="3707"/>
      <c r="CD142" s="3708"/>
      <c r="CE142" s="3708"/>
      <c r="CF142" s="3704">
        <f t="shared" ref="CF142:CH142" si="603">CF19</f>
        <v>12217.874381785559</v>
      </c>
      <c r="CG142" s="3704">
        <f t="shared" si="603"/>
        <v>12217.874381785559</v>
      </c>
      <c r="CH142" s="3704">
        <f t="shared" si="603"/>
        <v>0</v>
      </c>
      <c r="CI142" s="3704">
        <f t="shared" ref="CI142:CK142" si="604">CI19</f>
        <v>5300.6039599999995</v>
      </c>
      <c r="CJ142" s="3704">
        <f t="shared" si="604"/>
        <v>5300.6039599999995</v>
      </c>
      <c r="CK142" s="3704">
        <f t="shared" si="604"/>
        <v>0</v>
      </c>
      <c r="CL142" s="3704">
        <f t="shared" ref="CL142:CN142" si="605">CL19</f>
        <v>9302.0645499999991</v>
      </c>
      <c r="CM142" s="3704">
        <f t="shared" si="605"/>
        <v>9302.0645499999991</v>
      </c>
      <c r="CN142" s="3704">
        <f t="shared" si="605"/>
        <v>0</v>
      </c>
      <c r="CO142" s="3704">
        <f t="shared" ref="CO142:CQ142" si="606">CO19</f>
        <v>12289.241999999998</v>
      </c>
      <c r="CP142" s="3704">
        <f t="shared" si="606"/>
        <v>12289.241999999998</v>
      </c>
      <c r="CQ142" s="3704">
        <f t="shared" si="606"/>
        <v>0</v>
      </c>
      <c r="CR142" s="3709">
        <f t="shared" ref="CR142:CT142" si="607">CR19</f>
        <v>12854.547132000002</v>
      </c>
      <c r="CS142" s="3709">
        <f t="shared" si="607"/>
        <v>12854.547132000002</v>
      </c>
      <c r="CT142" s="3709">
        <f t="shared" si="607"/>
        <v>0</v>
      </c>
      <c r="CU142" s="4143">
        <f t="shared" ref="CU142:CW142" si="608">CU19</f>
        <v>12555.472992936357</v>
      </c>
      <c r="CV142" s="4143">
        <f t="shared" si="608"/>
        <v>12555.472992936357</v>
      </c>
      <c r="CW142" s="4143">
        <f t="shared" si="608"/>
        <v>0</v>
      </c>
      <c r="CX142" s="3709">
        <f t="shared" ref="CX142:DF142" si="609">CX19</f>
        <v>9670.8643799999991</v>
      </c>
      <c r="CY142" s="3709">
        <f t="shared" si="609"/>
        <v>9670.8643799999991</v>
      </c>
      <c r="CZ142" s="3709">
        <f t="shared" si="609"/>
        <v>0</v>
      </c>
      <c r="DA142" s="3709">
        <f t="shared" si="609"/>
        <v>12168.492399999999</v>
      </c>
      <c r="DB142" s="3709">
        <f t="shared" si="609"/>
        <v>12168.492399999999</v>
      </c>
      <c r="DC142" s="3709">
        <f t="shared" si="609"/>
        <v>0</v>
      </c>
      <c r="DD142" s="4033">
        <f t="shared" si="609"/>
        <v>0</v>
      </c>
      <c r="DE142" s="4033">
        <f t="shared" si="609"/>
        <v>0</v>
      </c>
      <c r="DF142" s="4033">
        <f t="shared" si="609"/>
        <v>0</v>
      </c>
    </row>
    <row r="143" spans="1:110" ht="27" customHeight="1" x14ac:dyDescent="0.3">
      <c r="A143" s="3703" t="s">
        <v>6</v>
      </c>
      <c r="B143" s="3703"/>
      <c r="C143" s="3703"/>
      <c r="D143" s="3703"/>
      <c r="E143" s="3703"/>
      <c r="F143" s="3703"/>
      <c r="G143" s="3703"/>
      <c r="H143" s="3703"/>
      <c r="I143" s="3703"/>
      <c r="J143" s="3703"/>
      <c r="K143" s="3703"/>
      <c r="L143" s="3703"/>
      <c r="M143" s="3703"/>
      <c r="N143" s="3703"/>
      <c r="O143" s="3703"/>
      <c r="P143" s="3703"/>
      <c r="Q143" s="3703"/>
      <c r="R143" s="3703"/>
      <c r="S143" s="3703"/>
      <c r="T143" s="3703"/>
      <c r="U143" s="3703"/>
      <c r="V143" s="3703"/>
      <c r="W143" s="3703"/>
      <c r="X143" s="3703"/>
      <c r="Y143" s="3704">
        <f>SUM(Y16+Y26+Y34+Y42)</f>
        <v>23158.799999999999</v>
      </c>
      <c r="Z143" s="3703"/>
      <c r="AA143" s="3704">
        <f t="shared" ref="AA143:AD143" si="610">SUM(AA16+AA26+AA34+AA42)</f>
        <v>18723.532385356291</v>
      </c>
      <c r="AB143" s="3704">
        <f t="shared" si="610"/>
        <v>4.2470953908555629</v>
      </c>
      <c r="AC143" s="3704" t="e">
        <f t="shared" si="610"/>
        <v>#REF!</v>
      </c>
      <c r="AD143" s="3704" t="e">
        <f t="shared" si="610"/>
        <v>#REF!</v>
      </c>
      <c r="AE143" s="3704">
        <f t="shared" ref="AE143:AH143" si="611">SUM(AE16+AE26+AE34+AE42)</f>
        <v>17316.399999999998</v>
      </c>
      <c r="AF143" s="3704">
        <f t="shared" si="611"/>
        <v>17222.445808368408</v>
      </c>
      <c r="AG143" s="3704">
        <f t="shared" si="611"/>
        <v>93.954191631592721</v>
      </c>
      <c r="AH143" s="3704">
        <f t="shared" si="611"/>
        <v>19982</v>
      </c>
      <c r="AI143" s="3705">
        <f t="shared" si="486"/>
        <v>1.0672131512763028</v>
      </c>
      <c r="AJ143" s="3704">
        <f t="shared" ref="AJ143:AK143" si="612">SUM(AJ16+AJ26+AJ34+AJ42)</f>
        <v>19889.21</v>
      </c>
      <c r="AK143" s="3704">
        <f t="shared" si="612"/>
        <v>92.79</v>
      </c>
      <c r="AL143" s="3704">
        <f t="shared" ref="AL143:AO143" si="613">SUM(AL16+AL26+AL34+AL42)</f>
        <v>19700.208228981621</v>
      </c>
      <c r="AM143" s="3705">
        <f t="shared" si="489"/>
        <v>1.0521630119532994</v>
      </c>
      <c r="AN143" s="3704">
        <f t="shared" si="613"/>
        <v>19608.73208525774</v>
      </c>
      <c r="AO143" s="3704">
        <f t="shared" si="613"/>
        <v>91.476143723881933</v>
      </c>
      <c r="AP143" s="3703"/>
      <c r="AQ143" s="3703"/>
      <c r="AR143" s="3703"/>
      <c r="AS143" s="3703"/>
      <c r="AT143" s="3704">
        <f t="shared" ref="AT143:AV143" si="614">SUM(AT16+AT26+AT34+AT42)</f>
        <v>9372.2199999999993</v>
      </c>
      <c r="AU143" s="3704">
        <f t="shared" si="614"/>
        <v>9344.3435752180376</v>
      </c>
      <c r="AV143" s="3704">
        <f t="shared" si="614"/>
        <v>27.876424781961987</v>
      </c>
      <c r="AW143" s="3704">
        <f t="shared" ref="AW143:AY143" si="615">SUM(AW16+AW26+AW34+AW42)</f>
        <v>18220.940000000002</v>
      </c>
      <c r="AX143" s="3704">
        <f t="shared" si="615"/>
        <v>18180.39</v>
      </c>
      <c r="AY143" s="3704">
        <f t="shared" si="615"/>
        <v>40.549999999999997</v>
      </c>
      <c r="AZ143" s="3704">
        <f t="shared" ref="AZ143:BC143" si="616">SUM(AZ16+AZ26+AZ34+AZ42)</f>
        <v>21503.85</v>
      </c>
      <c r="BA143" s="3706">
        <f t="shared" si="493"/>
        <v>1.0915544521181753</v>
      </c>
      <c r="BB143" s="3704">
        <f t="shared" si="616"/>
        <v>21453.311154973639</v>
      </c>
      <c r="BC143" s="3704">
        <f t="shared" si="616"/>
        <v>50.53884502636356</v>
      </c>
      <c r="BD143" s="3704">
        <f t="shared" ref="BD143:BF143" si="617">SUM(BD16+BD26+BD34+BD42)</f>
        <v>18719.609230157621</v>
      </c>
      <c r="BE143" s="3704">
        <f t="shared" si="617"/>
        <v>18675.613963883159</v>
      </c>
      <c r="BF143" s="3704">
        <f t="shared" si="617"/>
        <v>43.995266274459937</v>
      </c>
      <c r="BG143" s="3704">
        <f t="shared" ref="BG143:BI143" si="618">SUM(BG16+BG26+BG34+BG42)</f>
        <v>19424.309999999998</v>
      </c>
      <c r="BH143" s="3704">
        <f t="shared" si="618"/>
        <v>19418.480000000003</v>
      </c>
      <c r="BI143" s="3704">
        <f t="shared" si="618"/>
        <v>5.83</v>
      </c>
      <c r="BJ143" s="3704">
        <f t="shared" ref="BJ143:BL143" si="619">SUM(BJ16+BJ26+BJ34+BJ42)</f>
        <v>19836.45</v>
      </c>
      <c r="BK143" s="3704">
        <f t="shared" si="619"/>
        <v>19833.29</v>
      </c>
      <c r="BL143" s="3704">
        <f t="shared" si="619"/>
        <v>3.16</v>
      </c>
      <c r="BM143" s="3704">
        <f t="shared" ref="BM143:BO143" si="620">SUM(BM16+BM26+BM34+BM42)</f>
        <v>20407.879000000001</v>
      </c>
      <c r="BN143" s="3704">
        <f t="shared" si="620"/>
        <v>20357.641000000003</v>
      </c>
      <c r="BO143" s="3704">
        <f t="shared" si="620"/>
        <v>50.237999999999992</v>
      </c>
      <c r="BP143" s="3704">
        <f>SUM(BP16+BP26+BP34+BP42+BP51)</f>
        <v>21658.874</v>
      </c>
      <c r="BQ143" s="3704">
        <f t="shared" ref="BQ143:BR143" si="621">SUM(BQ16+BQ26+BQ34+BQ42+BQ51)</f>
        <v>21656.739999999998</v>
      </c>
      <c r="BR143" s="3704">
        <f t="shared" si="621"/>
        <v>2.1339999999999999</v>
      </c>
      <c r="BS143" s="3704">
        <f>SUM(BS16+BS26+BS34+BS42)</f>
        <v>26396.23</v>
      </c>
      <c r="BT143" s="3704">
        <f>SUM(BT16+BT26+BT34+BT42)</f>
        <v>26384.160000000003</v>
      </c>
      <c r="BU143" s="3704">
        <f>SUM(BU16+BU26+BU34+BU42)</f>
        <v>12.07</v>
      </c>
      <c r="BV143" s="3704">
        <f t="shared" ref="BV143:CA143" si="622">BV16+BV26+BV34+BV42</f>
        <v>22352.046595588534</v>
      </c>
      <c r="BW143" s="3704">
        <f t="shared" si="622"/>
        <v>22348.48542661771</v>
      </c>
      <c r="BX143" s="3704">
        <f t="shared" si="622"/>
        <v>3.5611689708253937</v>
      </c>
      <c r="BY143" s="3704">
        <f t="shared" si="622"/>
        <v>23053.928791006016</v>
      </c>
      <c r="BZ143" s="3704">
        <f t="shared" si="622"/>
        <v>23050.924170815902</v>
      </c>
      <c r="CA143" s="3704">
        <f t="shared" si="622"/>
        <v>3.0046201901138678</v>
      </c>
      <c r="CB143" s="3703"/>
      <c r="CC143" s="3707"/>
      <c r="CD143" s="3708"/>
      <c r="CE143" s="3708"/>
      <c r="CF143" s="3704">
        <f t="shared" ref="CF143:CH143" si="623">CF16+CF26+CF34+CF42</f>
        <v>22385.253846645475</v>
      </c>
      <c r="CG143" s="3704">
        <f t="shared" si="623"/>
        <v>22381.483428801712</v>
      </c>
      <c r="CH143" s="3704">
        <f t="shared" si="623"/>
        <v>3.7704178437616429</v>
      </c>
      <c r="CI143" s="3704">
        <f>CI16+CI26+CI34+CI42</f>
        <v>10846.289999999999</v>
      </c>
      <c r="CJ143" s="3704">
        <f>CJ16+CJ26+CJ34+CJ42</f>
        <v>10846.289999999999</v>
      </c>
      <c r="CK143" s="3704">
        <f t="shared" ref="CK143" si="624">CK16+CK26+CK34+CK42</f>
        <v>0</v>
      </c>
      <c r="CL143" s="3704">
        <f>CL16+CL26+CL34+CL42</f>
        <v>15165.38</v>
      </c>
      <c r="CM143" s="3704">
        <f>CM16+CM26+CM34+CM42</f>
        <v>15165.38</v>
      </c>
      <c r="CN143" s="3704">
        <f t="shared" ref="CN143" si="625">CN16+CN26+CN34+CN42</f>
        <v>0</v>
      </c>
      <c r="CO143" s="3704">
        <f t="shared" ref="CO143:CQ143" si="626">CO16+CO26+CO34+CO42</f>
        <v>20876.399999999998</v>
      </c>
      <c r="CP143" s="3704">
        <f t="shared" si="626"/>
        <v>20876.399999999998</v>
      </c>
      <c r="CQ143" s="3704">
        <f t="shared" si="626"/>
        <v>0</v>
      </c>
      <c r="CR143" s="3709">
        <f t="shared" ref="CR143:CT143" si="627">CR16+CR26+CR34+CR42</f>
        <v>26851.738075714482</v>
      </c>
      <c r="CS143" s="3709">
        <f t="shared" si="627"/>
        <v>26851.738075714482</v>
      </c>
      <c r="CT143" s="3709">
        <f t="shared" si="627"/>
        <v>0</v>
      </c>
      <c r="CU143" s="4143">
        <f t="shared" ref="CU143:CW143" si="628">CU16+CU26+CU34+CU42</f>
        <v>19426.393068875226</v>
      </c>
      <c r="CV143" s="4143">
        <f t="shared" si="628"/>
        <v>19426.393068875226</v>
      </c>
      <c r="CW143" s="4143">
        <f t="shared" si="628"/>
        <v>0</v>
      </c>
      <c r="CX143" s="3709">
        <f>CX16+CX26+CX34+CX42</f>
        <v>9312.65</v>
      </c>
      <c r="CY143" s="3709">
        <f>CY16+CY26+CY34+CY42</f>
        <v>9312.65</v>
      </c>
      <c r="CZ143" s="3709">
        <f t="shared" ref="CZ143" si="629">CZ16+CZ26+CZ34+CZ42</f>
        <v>0</v>
      </c>
      <c r="DA143" s="3709">
        <f>DA16+DA26+DA34+DA42</f>
        <v>13488.683999999999</v>
      </c>
      <c r="DB143" s="3709">
        <f>DB16+DB26+DB34+DB42</f>
        <v>13488.683999999999</v>
      </c>
      <c r="DC143" s="3709">
        <f t="shared" ref="DC143:DF143" si="630">DC16+DC26+DC34+DC42</f>
        <v>0</v>
      </c>
      <c r="DD143" s="4033">
        <f t="shared" si="630"/>
        <v>0</v>
      </c>
      <c r="DE143" s="4033">
        <f t="shared" si="630"/>
        <v>0</v>
      </c>
      <c r="DF143" s="4033">
        <f t="shared" si="630"/>
        <v>0</v>
      </c>
    </row>
    <row r="144" spans="1:110" ht="27" customHeight="1" x14ac:dyDescent="0.3">
      <c r="A144" s="3703" t="s">
        <v>10</v>
      </c>
      <c r="B144" s="3703"/>
      <c r="C144" s="3703"/>
      <c r="D144" s="3703"/>
      <c r="E144" s="3703"/>
      <c r="F144" s="3703"/>
      <c r="G144" s="3703"/>
      <c r="H144" s="3703"/>
      <c r="I144" s="3703"/>
      <c r="J144" s="3703"/>
      <c r="K144" s="3703"/>
      <c r="L144" s="3703"/>
      <c r="M144" s="3703"/>
      <c r="N144" s="3703"/>
      <c r="O144" s="3703"/>
      <c r="P144" s="3703"/>
      <c r="Q144" s="3703"/>
      <c r="R144" s="3703"/>
      <c r="S144" s="3703"/>
      <c r="T144" s="3703"/>
      <c r="U144" s="3703"/>
      <c r="V144" s="3703"/>
      <c r="W144" s="3703"/>
      <c r="X144" s="3703"/>
      <c r="Y144" s="3704">
        <f>SUM(Y52)</f>
        <v>4337.3</v>
      </c>
      <c r="Z144" s="3703"/>
      <c r="AA144" s="3704" t="e">
        <f t="shared" ref="AA144:AD144" si="631">SUM(AA52)</f>
        <v>#REF!</v>
      </c>
      <c r="AB144" s="3704" t="e">
        <f t="shared" si="631"/>
        <v>#REF!</v>
      </c>
      <c r="AC144" s="3704" t="e">
        <f t="shared" si="631"/>
        <v>#REF!</v>
      </c>
      <c r="AD144" s="3704" t="e">
        <f t="shared" si="631"/>
        <v>#REF!</v>
      </c>
      <c r="AE144" s="3704">
        <f t="shared" ref="AE144:AH144" si="632">SUM(AE52)</f>
        <v>4024.3500000000004</v>
      </c>
      <c r="AF144" s="3704">
        <f t="shared" si="632"/>
        <v>3976.8345704382273</v>
      </c>
      <c r="AG144" s="3704">
        <f t="shared" si="632"/>
        <v>47.515429561772656</v>
      </c>
      <c r="AH144" s="3704">
        <f t="shared" si="632"/>
        <v>3223.45</v>
      </c>
      <c r="AI144" s="3705" t="e">
        <f t="shared" si="486"/>
        <v>#REF!</v>
      </c>
      <c r="AJ144" s="3704">
        <f t="shared" ref="AJ144:AK144" si="633">SUM(AJ52)</f>
        <v>3186.56</v>
      </c>
      <c r="AK144" s="3704">
        <f t="shared" si="633"/>
        <v>36.89</v>
      </c>
      <c r="AL144" s="3704" t="e">
        <f t="shared" ref="AL144:AO144" si="634">SUM(AL52)</f>
        <v>#REF!</v>
      </c>
      <c r="AM144" s="3705" t="e">
        <f t="shared" si="489"/>
        <v>#REF!</v>
      </c>
      <c r="AN144" s="3704" t="e">
        <f t="shared" si="634"/>
        <v>#REF!</v>
      </c>
      <c r="AO144" s="3704">
        <f t="shared" si="634"/>
        <v>36.598383401633441</v>
      </c>
      <c r="AP144" s="3703"/>
      <c r="AQ144" s="3703"/>
      <c r="AR144" s="3703"/>
      <c r="AS144" s="3703"/>
      <c r="AT144" s="3704">
        <f t="shared" ref="AT144:AV144" si="635">SUM(AT52)</f>
        <v>917.55000000000007</v>
      </c>
      <c r="AU144" s="3704">
        <f t="shared" si="635"/>
        <v>911.23472177565213</v>
      </c>
      <c r="AV144" s="3704">
        <f t="shared" si="635"/>
        <v>6.3152782243478924</v>
      </c>
      <c r="AW144" s="3704">
        <f t="shared" ref="AW144:AY144" si="636">SUM(AW52)</f>
        <v>4009.77</v>
      </c>
      <c r="AX144" s="3704">
        <f t="shared" si="636"/>
        <v>3990.45</v>
      </c>
      <c r="AY144" s="3704">
        <f t="shared" si="636"/>
        <v>19.32</v>
      </c>
      <c r="AZ144" s="3704">
        <f t="shared" ref="AZ144:BC144" si="637">SUM(AZ52)</f>
        <v>4420.8999999999996</v>
      </c>
      <c r="BA144" s="3706" t="e">
        <f t="shared" si="493"/>
        <v>#REF!</v>
      </c>
      <c r="BB144" s="3704">
        <f t="shared" si="637"/>
        <v>4381.0563420773306</v>
      </c>
      <c r="BC144" s="3704">
        <f t="shared" si="637"/>
        <v>39.843657922669166</v>
      </c>
      <c r="BD144" s="3704">
        <f t="shared" ref="BD144:BF144" si="638">SUM(BD52)</f>
        <v>3154.5307358921218</v>
      </c>
      <c r="BE144" s="3704">
        <f t="shared" si="638"/>
        <v>3136.7529139804451</v>
      </c>
      <c r="BF144" s="3704">
        <f t="shared" si="638"/>
        <v>17.777821911676497</v>
      </c>
      <c r="BG144" s="3704">
        <f t="shared" ref="BG144:BI144" si="639">SUM(BG52)</f>
        <v>4091.95</v>
      </c>
      <c r="BH144" s="3704">
        <f t="shared" si="639"/>
        <v>4089.2000000000003</v>
      </c>
      <c r="BI144" s="3704">
        <f t="shared" si="639"/>
        <v>2.75</v>
      </c>
      <c r="BJ144" s="3704">
        <f t="shared" ref="BJ144:BL144" si="640">SUM(BJ52)</f>
        <v>4236.59</v>
      </c>
      <c r="BK144" s="3704">
        <f t="shared" si="640"/>
        <v>4234.54</v>
      </c>
      <c r="BL144" s="3704">
        <f t="shared" si="640"/>
        <v>2.0500000000000003</v>
      </c>
      <c r="BM144" s="3704">
        <f t="shared" ref="BM144:BO144" si="641">SUM(BM52)</f>
        <v>3523.82</v>
      </c>
      <c r="BN144" s="3704">
        <f t="shared" si="641"/>
        <v>3502.9300000000003</v>
      </c>
      <c r="BO144" s="3704">
        <f t="shared" si="641"/>
        <v>20.89</v>
      </c>
      <c r="BP144" s="3704">
        <f t="shared" ref="BP144:BU144" si="642">SUM(BP52)</f>
        <v>4718.3</v>
      </c>
      <c r="BQ144" s="3704">
        <f t="shared" si="642"/>
        <v>4716.59</v>
      </c>
      <c r="BR144" s="3704">
        <f t="shared" si="642"/>
        <v>1.71</v>
      </c>
      <c r="BS144" s="3704">
        <f t="shared" si="642"/>
        <v>7289.78</v>
      </c>
      <c r="BT144" s="3704">
        <f t="shared" si="642"/>
        <v>7286.05</v>
      </c>
      <c r="BU144" s="3704">
        <f t="shared" si="642"/>
        <v>3.73</v>
      </c>
      <c r="BV144" s="3704">
        <f t="shared" ref="BV144:CA144" si="643">BV52</f>
        <v>6648.9677381678157</v>
      </c>
      <c r="BW144" s="3704">
        <f t="shared" si="643"/>
        <v>6646.6681943163603</v>
      </c>
      <c r="BX144" s="3704">
        <f t="shared" si="643"/>
        <v>2.2995438514545756</v>
      </c>
      <c r="BY144" s="3704">
        <f t="shared" si="643"/>
        <v>8049.6994632278365</v>
      </c>
      <c r="BZ144" s="3704">
        <f t="shared" si="643"/>
        <v>8047.3436809562545</v>
      </c>
      <c r="CA144" s="3704">
        <f t="shared" si="643"/>
        <v>2.3557822715825516</v>
      </c>
      <c r="CB144" s="3703"/>
      <c r="CC144" s="3707"/>
      <c r="CD144" s="3708"/>
      <c r="CE144" s="3708"/>
      <c r="CF144" s="3704">
        <f t="shared" ref="CF144:CH144" si="644">CF52</f>
        <v>6445.1921967693988</v>
      </c>
      <c r="CG144" s="3704">
        <f t="shared" si="644"/>
        <v>6443.3212990978163</v>
      </c>
      <c r="CH144" s="3704">
        <f t="shared" si="644"/>
        <v>1.8708976715825516</v>
      </c>
      <c r="CI144" s="3704">
        <f t="shared" ref="CI144:CK144" si="645">CI52</f>
        <v>3177.0067785000001</v>
      </c>
      <c r="CJ144" s="3704">
        <f t="shared" si="645"/>
        <v>3177.0067785000001</v>
      </c>
      <c r="CK144" s="3704">
        <f t="shared" si="645"/>
        <v>0</v>
      </c>
      <c r="CL144" s="3704">
        <f t="shared" ref="CL144:CN144" si="646">CL52</f>
        <v>4766.0355731699992</v>
      </c>
      <c r="CM144" s="3704">
        <f t="shared" si="646"/>
        <v>4766.0355731699992</v>
      </c>
      <c r="CN144" s="3704">
        <f t="shared" si="646"/>
        <v>0</v>
      </c>
      <c r="CO144" s="3704">
        <f t="shared" ref="CO144:CQ144" si="647">CO52</f>
        <v>6354.3249378799992</v>
      </c>
      <c r="CP144" s="3704">
        <f t="shared" si="647"/>
        <v>6354.3249378799992</v>
      </c>
      <c r="CQ144" s="3704">
        <f t="shared" si="647"/>
        <v>0</v>
      </c>
      <c r="CR144" s="3709">
        <f t="shared" ref="CR144:CT144" si="648">CR52</f>
        <v>7775.3079739999994</v>
      </c>
      <c r="CS144" s="3709">
        <f t="shared" si="648"/>
        <v>7774.0937539999995</v>
      </c>
      <c r="CT144" s="3709">
        <f t="shared" si="648"/>
        <v>1.2142200000000001</v>
      </c>
      <c r="CU144" s="4143">
        <f t="shared" ref="CU144:CW144" si="649">CU52</f>
        <v>5070.8663199999992</v>
      </c>
      <c r="CV144" s="4143">
        <f t="shared" si="649"/>
        <v>5070.1323199999997</v>
      </c>
      <c r="CW144" s="4143">
        <f t="shared" si="649"/>
        <v>0.73399999999999999</v>
      </c>
      <c r="CX144" s="3709">
        <f t="shared" ref="CX144:DF144" si="650">CX52</f>
        <v>2537.2637800000002</v>
      </c>
      <c r="CY144" s="3709">
        <f t="shared" si="650"/>
        <v>2537.2637800000002</v>
      </c>
      <c r="CZ144" s="3709">
        <f t="shared" si="650"/>
        <v>0</v>
      </c>
      <c r="DA144" s="3709">
        <f t="shared" si="650"/>
        <v>4227.7289609999998</v>
      </c>
      <c r="DB144" s="3709">
        <f t="shared" si="650"/>
        <v>4227.7289609999998</v>
      </c>
      <c r="DC144" s="3709">
        <f t="shared" si="650"/>
        <v>0</v>
      </c>
      <c r="DD144" s="4033">
        <f t="shared" si="650"/>
        <v>3048.754937879999</v>
      </c>
      <c r="DE144" s="4033">
        <f t="shared" si="650"/>
        <v>3048.754937879999</v>
      </c>
      <c r="DF144" s="4033">
        <f t="shared" si="650"/>
        <v>0</v>
      </c>
    </row>
    <row r="145" spans="1:110" ht="27" customHeight="1" x14ac:dyDescent="0.3">
      <c r="A145" s="3703" t="s">
        <v>11</v>
      </c>
      <c r="B145" s="3703"/>
      <c r="C145" s="3703"/>
      <c r="D145" s="3703"/>
      <c r="E145" s="3703"/>
      <c r="F145" s="3703"/>
      <c r="G145" s="3703"/>
      <c r="H145" s="3703"/>
      <c r="I145" s="3703"/>
      <c r="J145" s="3703"/>
      <c r="K145" s="3703"/>
      <c r="L145" s="3703"/>
      <c r="M145" s="3703"/>
      <c r="N145" s="3703"/>
      <c r="O145" s="3703"/>
      <c r="P145" s="3703"/>
      <c r="Q145" s="3703"/>
      <c r="R145" s="3703"/>
      <c r="S145" s="3703"/>
      <c r="T145" s="3703"/>
      <c r="U145" s="3703"/>
      <c r="V145" s="3703"/>
      <c r="W145" s="3703"/>
      <c r="X145" s="3703"/>
      <c r="Y145" s="3704">
        <f>SUM(Y58)</f>
        <v>15517.1</v>
      </c>
      <c r="Z145" s="3703"/>
      <c r="AA145" s="3704">
        <f t="shared" ref="AA145:AD145" si="651">SUM(AA58)</f>
        <v>9765</v>
      </c>
      <c r="AB145" s="3704" t="e">
        <f t="shared" si="651"/>
        <v>#REF!</v>
      </c>
      <c r="AC145" s="3704">
        <f t="shared" si="651"/>
        <v>9598.7999999999993</v>
      </c>
      <c r="AD145" s="3704">
        <f t="shared" si="651"/>
        <v>166.2</v>
      </c>
      <c r="AE145" s="3704">
        <f t="shared" ref="AE145:AH145" si="652">SUM(AE58)</f>
        <v>14207.04</v>
      </c>
      <c r="AF145" s="3704">
        <f t="shared" si="652"/>
        <v>14031.870256994307</v>
      </c>
      <c r="AG145" s="3704">
        <f t="shared" si="652"/>
        <v>175.16974300569382</v>
      </c>
      <c r="AH145" s="3704">
        <f t="shared" si="652"/>
        <v>13395.76</v>
      </c>
      <c r="AI145" s="3705">
        <f t="shared" si="486"/>
        <v>1.3718136200716846</v>
      </c>
      <c r="AJ145" s="3704">
        <f t="shared" ref="AJ145:AK145" si="653">SUM(AJ58)</f>
        <v>13243.27</v>
      </c>
      <c r="AK145" s="3704">
        <f t="shared" si="653"/>
        <v>152.49</v>
      </c>
      <c r="AL145" s="3704">
        <f t="shared" ref="AL145:AO145" si="654">SUM(AL58)</f>
        <v>13073.01213648671</v>
      </c>
      <c r="AM145" s="3705">
        <f t="shared" si="489"/>
        <v>1.3387621235521465</v>
      </c>
      <c r="AN145" s="3704">
        <f t="shared" si="654"/>
        <v>12924.197100987714</v>
      </c>
      <c r="AO145" s="3704">
        <f t="shared" si="654"/>
        <v>148.81503549899571</v>
      </c>
      <c r="AP145" s="3703"/>
      <c r="AQ145" s="3703"/>
      <c r="AR145" s="3703"/>
      <c r="AS145" s="3703"/>
      <c r="AT145" s="3704">
        <f t="shared" ref="AT145:AV145" si="655">SUM(AT58)</f>
        <v>6505.01</v>
      </c>
      <c r="AU145" s="3704">
        <f t="shared" si="655"/>
        <v>6460.2375647080098</v>
      </c>
      <c r="AV145" s="3704">
        <f t="shared" si="655"/>
        <v>44.772435291990405</v>
      </c>
      <c r="AW145" s="3704">
        <f t="shared" ref="AW145:AY145" si="656">SUM(AW58)</f>
        <v>12858.359999999999</v>
      </c>
      <c r="AX145" s="3704">
        <f t="shared" si="656"/>
        <v>12796.39</v>
      </c>
      <c r="AY145" s="3704">
        <f t="shared" si="656"/>
        <v>61.97</v>
      </c>
      <c r="AZ145" s="3704">
        <f t="shared" ref="AZ145:BC145" si="657">SUM(AZ58)</f>
        <v>14993.56</v>
      </c>
      <c r="BA145" s="3706">
        <f t="shared" si="493"/>
        <v>1.1469093613210264</v>
      </c>
      <c r="BB145" s="3704">
        <f t="shared" si="657"/>
        <v>14913.482432471448</v>
      </c>
      <c r="BC145" s="3704">
        <f t="shared" si="657"/>
        <v>80.077567528551299</v>
      </c>
      <c r="BD145" s="3704">
        <f t="shared" ref="BD145:BF145" si="658">SUM(BD58)</f>
        <v>9920.4365701392053</v>
      </c>
      <c r="BE145" s="3704">
        <f t="shared" si="658"/>
        <v>9867.4535274623486</v>
      </c>
      <c r="BF145" s="3704">
        <f t="shared" si="658"/>
        <v>52.983042676856712</v>
      </c>
      <c r="BG145" s="3704">
        <f t="shared" ref="BG145:BI145" si="659">SUM(BG58)</f>
        <v>12499.66</v>
      </c>
      <c r="BH145" s="3704">
        <f t="shared" si="659"/>
        <v>12491.25</v>
      </c>
      <c r="BI145" s="3704">
        <f t="shared" si="659"/>
        <v>8.41</v>
      </c>
      <c r="BJ145" s="3704">
        <f t="shared" ref="BJ145:BL145" si="660">SUM(BJ58)</f>
        <v>13552.08</v>
      </c>
      <c r="BK145" s="3704">
        <f t="shared" si="660"/>
        <v>13545.52</v>
      </c>
      <c r="BL145" s="3704">
        <f t="shared" si="660"/>
        <v>6.56</v>
      </c>
      <c r="BM145" s="3704">
        <f t="shared" ref="BM145:BO145" si="661">SUM(BM58)</f>
        <v>10744.474</v>
      </c>
      <c r="BN145" s="3704">
        <f t="shared" si="661"/>
        <v>10689.54</v>
      </c>
      <c r="BO145" s="3704">
        <f t="shared" si="661"/>
        <v>54.933999999999997</v>
      </c>
      <c r="BP145" s="3704">
        <f t="shared" ref="BP145:BU145" si="662">SUM(BP58)</f>
        <v>14946.199999999999</v>
      </c>
      <c r="BQ145" s="3704">
        <f t="shared" si="662"/>
        <v>14940.764999999999</v>
      </c>
      <c r="BR145" s="3704">
        <f t="shared" si="662"/>
        <v>5.4349999999999996</v>
      </c>
      <c r="BS145" s="3704">
        <f t="shared" si="662"/>
        <v>13338.21</v>
      </c>
      <c r="BT145" s="3704">
        <f t="shared" si="662"/>
        <v>13319.71</v>
      </c>
      <c r="BU145" s="3704">
        <f t="shared" si="662"/>
        <v>18.5</v>
      </c>
      <c r="BV145" s="3704">
        <f>BV58</f>
        <v>10331.669406318586</v>
      </c>
      <c r="BW145" s="3704">
        <f t="shared" ref="BW145:BX145" si="663">BW58</f>
        <v>10326.676210545877</v>
      </c>
      <c r="BX145" s="3704">
        <f t="shared" si="663"/>
        <v>4.9931957727103642</v>
      </c>
      <c r="BY145" s="3704">
        <f>BY58</f>
        <v>17096.328834818723</v>
      </c>
      <c r="BZ145" s="3704">
        <f t="shared" ref="BZ145:CA145" si="664">BZ58</f>
        <v>17088.066344652838</v>
      </c>
      <c r="CA145" s="3704">
        <f t="shared" si="664"/>
        <v>8.2624901658850884</v>
      </c>
      <c r="CB145" s="3703"/>
      <c r="CC145" s="3707"/>
      <c r="CD145" s="3708"/>
      <c r="CE145" s="3708"/>
      <c r="CF145" s="3704">
        <f>CF58</f>
        <v>10943.583293623064</v>
      </c>
      <c r="CG145" s="3704">
        <f t="shared" ref="CG145:CH145" si="665">CG58</f>
        <v>10939.871731893631</v>
      </c>
      <c r="CH145" s="3704">
        <f t="shared" si="665"/>
        <v>3.7115617294327592</v>
      </c>
      <c r="CI145" s="3704">
        <f>CI58</f>
        <v>7613.2697599999992</v>
      </c>
      <c r="CJ145" s="3704">
        <f t="shared" ref="CJ145:CK145" si="666">CJ58</f>
        <v>7611.0199999999995</v>
      </c>
      <c r="CK145" s="3704">
        <f t="shared" si="666"/>
        <v>2.2497600000000002</v>
      </c>
      <c r="CL145" s="3704">
        <f>CL58</f>
        <v>11544.607460000001</v>
      </c>
      <c r="CM145" s="3704">
        <f t="shared" ref="CM145:CN145" si="667">CM58</f>
        <v>11541.240660000001</v>
      </c>
      <c r="CN145" s="3704">
        <f t="shared" si="667"/>
        <v>3.3668</v>
      </c>
      <c r="CO145" s="3704">
        <f>CO58</f>
        <v>15402.399099999999</v>
      </c>
      <c r="CP145" s="3704">
        <f t="shared" ref="CP145:CQ145" si="668">CP58</f>
        <v>15398.109999999999</v>
      </c>
      <c r="CQ145" s="3704">
        <f t="shared" si="668"/>
        <v>4.2891000000000004</v>
      </c>
      <c r="CR145" s="3709">
        <f>CR58</f>
        <v>16868.629724981929</v>
      </c>
      <c r="CS145" s="3709">
        <f t="shared" ref="CS145:CT145" si="669">CS58</f>
        <v>16863.919566479821</v>
      </c>
      <c r="CT145" s="3709">
        <f t="shared" si="669"/>
        <v>4.7101585021076158</v>
      </c>
      <c r="CU145" s="4143">
        <f>CU58</f>
        <v>15015.45108188538</v>
      </c>
      <c r="CV145" s="4143">
        <f t="shared" ref="CV145:CW145" si="670">CV58</f>
        <v>15010.218832495006</v>
      </c>
      <c r="CW145" s="4143">
        <f t="shared" si="670"/>
        <v>5.2322493903738136</v>
      </c>
      <c r="CX145" s="3709">
        <f>CX58</f>
        <v>6765.8957499999997</v>
      </c>
      <c r="CY145" s="3709">
        <f t="shared" ref="CY145:CZ145" si="671">CY58</f>
        <v>6764.2136599999994</v>
      </c>
      <c r="CZ145" s="3709">
        <f t="shared" si="671"/>
        <v>1.6820900000000001</v>
      </c>
      <c r="DA145" s="3709">
        <f>DA58</f>
        <v>10253.265360000001</v>
      </c>
      <c r="DB145" s="3709">
        <f t="shared" ref="DB145:DC145" si="672">DB58</f>
        <v>10250.386930000001</v>
      </c>
      <c r="DC145" s="3709">
        <f t="shared" si="672"/>
        <v>2.8784299999999998</v>
      </c>
      <c r="DD145" s="4033">
        <f>DD58</f>
        <v>0</v>
      </c>
      <c r="DE145" s="4033">
        <f t="shared" ref="DE145:DF145" si="673">DE58</f>
        <v>0</v>
      </c>
      <c r="DF145" s="4033">
        <f t="shared" si="673"/>
        <v>0</v>
      </c>
    </row>
    <row r="146" spans="1:110" ht="27" customHeight="1" x14ac:dyDescent="0.3">
      <c r="A146" s="3703" t="s">
        <v>892</v>
      </c>
      <c r="B146" s="3703"/>
      <c r="C146" s="3703"/>
      <c r="D146" s="3703"/>
      <c r="E146" s="3703"/>
      <c r="F146" s="3703"/>
      <c r="G146" s="3703"/>
      <c r="H146" s="3703"/>
      <c r="I146" s="3703"/>
      <c r="J146" s="3703"/>
      <c r="K146" s="3703"/>
      <c r="L146" s="3703"/>
      <c r="M146" s="3703"/>
      <c r="N146" s="3703"/>
      <c r="O146" s="3703"/>
      <c r="P146" s="3703"/>
      <c r="Q146" s="3703"/>
      <c r="R146" s="3703"/>
      <c r="S146" s="3703"/>
      <c r="T146" s="3703"/>
      <c r="U146" s="3703"/>
      <c r="V146" s="3703"/>
      <c r="W146" s="3703"/>
      <c r="X146" s="3703"/>
      <c r="Y146" s="3704"/>
      <c r="Z146" s="3703"/>
      <c r="AA146" s="3704"/>
      <c r="AB146" s="3704"/>
      <c r="AC146" s="3704"/>
      <c r="AD146" s="3704"/>
      <c r="AE146" s="3704"/>
      <c r="AF146" s="3704"/>
      <c r="AG146" s="3704"/>
      <c r="AH146" s="3704"/>
      <c r="AI146" s="3705"/>
      <c r="AJ146" s="3704"/>
      <c r="AK146" s="3704"/>
      <c r="AL146" s="3704"/>
      <c r="AM146" s="3705"/>
      <c r="AN146" s="3704"/>
      <c r="AO146" s="3704"/>
      <c r="AP146" s="3703"/>
      <c r="AQ146" s="3703"/>
      <c r="AR146" s="3703"/>
      <c r="AS146" s="3703"/>
      <c r="AT146" s="3704"/>
      <c r="AU146" s="3704"/>
      <c r="AV146" s="3704"/>
      <c r="AW146" s="3704"/>
      <c r="AX146" s="3704"/>
      <c r="AY146" s="3704"/>
      <c r="AZ146" s="3704"/>
      <c r="BA146" s="3706"/>
      <c r="BB146" s="3704"/>
      <c r="BC146" s="3704"/>
      <c r="BD146" s="3704">
        <f>BD61</f>
        <v>395.92549126618718</v>
      </c>
      <c r="BE146" s="3704">
        <f t="shared" ref="BE146:BL146" si="674">BE61</f>
        <v>395.92549126618718</v>
      </c>
      <c r="BF146" s="3704">
        <f t="shared" si="674"/>
        <v>0</v>
      </c>
      <c r="BG146" s="3704">
        <f t="shared" si="674"/>
        <v>0</v>
      </c>
      <c r="BH146" s="3704">
        <f t="shared" si="674"/>
        <v>0</v>
      </c>
      <c r="BI146" s="3704">
        <f t="shared" si="674"/>
        <v>0</v>
      </c>
      <c r="BJ146" s="3704">
        <f t="shared" si="674"/>
        <v>0</v>
      </c>
      <c r="BK146" s="3704">
        <f t="shared" si="674"/>
        <v>0</v>
      </c>
      <c r="BL146" s="3704">
        <f t="shared" si="674"/>
        <v>0</v>
      </c>
      <c r="BM146" s="3704">
        <f t="shared" ref="BM146:BR146" si="675">BM61</f>
        <v>436.83499999999998</v>
      </c>
      <c r="BN146" s="3704">
        <f t="shared" si="675"/>
        <v>436.83499999999998</v>
      </c>
      <c r="BO146" s="3704">
        <f t="shared" si="675"/>
        <v>0</v>
      </c>
      <c r="BP146" s="3704">
        <f t="shared" si="675"/>
        <v>0</v>
      </c>
      <c r="BQ146" s="3704">
        <f t="shared" si="675"/>
        <v>0</v>
      </c>
      <c r="BR146" s="3704">
        <f t="shared" si="675"/>
        <v>0</v>
      </c>
      <c r="BS146" s="3704">
        <f t="shared" ref="BS146:BX146" si="676">BS61</f>
        <v>294.81</v>
      </c>
      <c r="BT146" s="3704">
        <f t="shared" si="676"/>
        <v>294.81</v>
      </c>
      <c r="BU146" s="3704">
        <f t="shared" si="676"/>
        <v>0</v>
      </c>
      <c r="BV146" s="3704">
        <f t="shared" si="676"/>
        <v>294.81</v>
      </c>
      <c r="BW146" s="3704">
        <f t="shared" si="676"/>
        <v>294.81</v>
      </c>
      <c r="BX146" s="3704">
        <f t="shared" si="676"/>
        <v>0</v>
      </c>
      <c r="BY146" s="3704">
        <f t="shared" ref="BY146:CA146" si="677">BY61</f>
        <v>294.81</v>
      </c>
      <c r="BZ146" s="3704">
        <f t="shared" si="677"/>
        <v>294.81</v>
      </c>
      <c r="CA146" s="3704">
        <f t="shared" si="677"/>
        <v>0</v>
      </c>
      <c r="CB146" s="3703"/>
      <c r="CC146" s="3707"/>
      <c r="CD146" s="3708"/>
      <c r="CE146" s="3708"/>
      <c r="CF146" s="3704">
        <f t="shared" ref="CF146:CH146" si="678">CF61</f>
        <v>294.80500000000001</v>
      </c>
      <c r="CG146" s="3704">
        <f t="shared" si="678"/>
        <v>294.80500000000001</v>
      </c>
      <c r="CH146" s="3704">
        <f t="shared" si="678"/>
        <v>0</v>
      </c>
      <c r="CI146" s="3704">
        <f t="shared" ref="CI146:CK146" si="679">CI61</f>
        <v>0</v>
      </c>
      <c r="CJ146" s="3704">
        <f t="shared" si="679"/>
        <v>0</v>
      </c>
      <c r="CK146" s="3704">
        <f t="shared" si="679"/>
        <v>0</v>
      </c>
      <c r="CL146" s="3704">
        <f t="shared" ref="CL146:CN146" si="680">CL61</f>
        <v>0</v>
      </c>
      <c r="CM146" s="3704">
        <f t="shared" si="680"/>
        <v>0</v>
      </c>
      <c r="CN146" s="3704">
        <f t="shared" si="680"/>
        <v>0</v>
      </c>
      <c r="CO146" s="3704">
        <f t="shared" ref="CO146:CQ146" si="681">CO61</f>
        <v>0</v>
      </c>
      <c r="CP146" s="3704">
        <f t="shared" si="681"/>
        <v>0</v>
      </c>
      <c r="CQ146" s="3704">
        <f t="shared" si="681"/>
        <v>0</v>
      </c>
      <c r="CR146" s="3709">
        <f t="shared" ref="CR146:CT146" si="682">CR61</f>
        <v>361.3957437703653</v>
      </c>
      <c r="CS146" s="3709">
        <f t="shared" si="682"/>
        <v>361.3957437703653</v>
      </c>
      <c r="CT146" s="3709">
        <f t="shared" si="682"/>
        <v>0</v>
      </c>
      <c r="CU146" s="4143">
        <f t="shared" ref="CU146:CW146" si="683">CU61</f>
        <v>0</v>
      </c>
      <c r="CV146" s="4143">
        <f t="shared" si="683"/>
        <v>0</v>
      </c>
      <c r="CW146" s="4143">
        <f t="shared" si="683"/>
        <v>0</v>
      </c>
      <c r="CX146" s="3709">
        <f t="shared" ref="CX146:DF146" si="684">CX61</f>
        <v>0</v>
      </c>
      <c r="CY146" s="3709">
        <f t="shared" si="684"/>
        <v>0</v>
      </c>
      <c r="CZ146" s="3709">
        <f t="shared" si="684"/>
        <v>0</v>
      </c>
      <c r="DA146" s="3709">
        <f t="shared" si="684"/>
        <v>0</v>
      </c>
      <c r="DB146" s="3709">
        <f t="shared" si="684"/>
        <v>0</v>
      </c>
      <c r="DC146" s="3709">
        <f t="shared" si="684"/>
        <v>0</v>
      </c>
      <c r="DD146" s="4033">
        <f t="shared" si="684"/>
        <v>0</v>
      </c>
      <c r="DE146" s="4033">
        <f t="shared" si="684"/>
        <v>0</v>
      </c>
      <c r="DF146" s="4033">
        <f t="shared" si="684"/>
        <v>0</v>
      </c>
    </row>
    <row r="147" spans="1:110" ht="27" customHeight="1" x14ac:dyDescent="0.35">
      <c r="A147" s="3710" t="s">
        <v>3686</v>
      </c>
      <c r="B147" s="3711"/>
      <c r="C147" s="3711"/>
      <c r="D147" s="3711"/>
      <c r="E147" s="3711"/>
      <c r="F147" s="3711"/>
      <c r="G147" s="3711"/>
      <c r="H147" s="3711"/>
      <c r="I147" s="3711"/>
      <c r="J147" s="3711"/>
      <c r="K147" s="3711"/>
      <c r="L147" s="3711"/>
      <c r="M147" s="3711"/>
      <c r="N147" s="3711"/>
      <c r="O147" s="3711"/>
      <c r="P147" s="3711"/>
      <c r="Q147" s="3711"/>
      <c r="R147" s="3711"/>
      <c r="S147" s="3711"/>
      <c r="T147" s="3711"/>
      <c r="U147" s="3711"/>
      <c r="V147" s="3711"/>
      <c r="W147" s="3711"/>
      <c r="X147" s="3711"/>
      <c r="Y147" s="3712"/>
      <c r="Z147" s="3711"/>
      <c r="AA147" s="3712"/>
      <c r="AB147" s="3712"/>
      <c r="AC147" s="3712"/>
      <c r="AD147" s="3712"/>
      <c r="AE147" s="3712"/>
      <c r="AF147" s="3712"/>
      <c r="AG147" s="3712"/>
      <c r="AH147" s="3712"/>
      <c r="AI147" s="3706"/>
      <c r="AJ147" s="3712"/>
      <c r="AK147" s="3712"/>
      <c r="AL147" s="3712"/>
      <c r="AM147" s="3706"/>
      <c r="AN147" s="3712"/>
      <c r="AO147" s="3712"/>
      <c r="AP147" s="3711"/>
      <c r="AQ147" s="3711"/>
      <c r="AR147" s="3711"/>
      <c r="AS147" s="3711"/>
      <c r="AT147" s="3712"/>
      <c r="AU147" s="3712"/>
      <c r="AV147" s="3712"/>
      <c r="AW147" s="3712"/>
      <c r="AX147" s="3712"/>
      <c r="AY147" s="3712"/>
      <c r="AZ147" s="3712"/>
      <c r="BA147" s="3706"/>
      <c r="BB147" s="3712"/>
      <c r="BC147" s="3712"/>
      <c r="BD147" s="3712"/>
      <c r="BE147" s="3712"/>
      <c r="BF147" s="3712"/>
      <c r="BG147" s="3712"/>
      <c r="BH147" s="3712"/>
      <c r="BI147" s="3712"/>
      <c r="BJ147" s="3712"/>
      <c r="BK147" s="3712"/>
      <c r="BL147" s="3712"/>
      <c r="BM147" s="3712"/>
      <c r="BN147" s="3712"/>
      <c r="BO147" s="3712"/>
      <c r="BP147" s="3712"/>
      <c r="BQ147" s="3712"/>
      <c r="BR147" s="3712"/>
      <c r="BS147" s="3712"/>
      <c r="BT147" s="3712"/>
      <c r="BU147" s="3712"/>
      <c r="BV147" s="3712">
        <f t="shared" ref="BV147:BX148" si="685">BV59</f>
        <v>63.916885499999999</v>
      </c>
      <c r="BW147" s="3712">
        <f t="shared" si="685"/>
        <v>63.885995088205725</v>
      </c>
      <c r="BX147" s="3712">
        <f t="shared" si="685"/>
        <v>3.0890411794274542E-2</v>
      </c>
      <c r="BY147" s="3712">
        <f t="shared" ref="BY147:CA147" si="686">BY59</f>
        <v>147.08531632288</v>
      </c>
      <c r="BZ147" s="3712">
        <f t="shared" si="686"/>
        <v>147.084756</v>
      </c>
      <c r="CA147" s="3712">
        <f t="shared" si="686"/>
        <v>5.6032287999999999E-4</v>
      </c>
      <c r="CB147" s="3711"/>
      <c r="CC147" s="3713"/>
      <c r="CD147" s="3714"/>
      <c r="CE147" s="3714"/>
      <c r="CF147" s="3712">
        <f t="shared" ref="CF147:CH147" si="687">CF59</f>
        <v>138.11089028999999</v>
      </c>
      <c r="CG147" s="3712">
        <f t="shared" si="687"/>
        <v>138.11089028999999</v>
      </c>
      <c r="CH147" s="3712">
        <f t="shared" si="687"/>
        <v>0</v>
      </c>
      <c r="CI147" s="3712">
        <f>SUM(CI59)</f>
        <v>44.824379999999998</v>
      </c>
      <c r="CJ147" s="3712">
        <f t="shared" ref="CJ147:CQ147" si="688">SUM(CJ59)</f>
        <v>44.822929999999999</v>
      </c>
      <c r="CK147" s="3712">
        <f t="shared" si="688"/>
        <v>1.4499999999999999E-3</v>
      </c>
      <c r="CL147" s="3712">
        <f t="shared" si="688"/>
        <v>67.213049999999996</v>
      </c>
      <c r="CM147" s="3712">
        <f t="shared" si="688"/>
        <v>67.210719999999995</v>
      </c>
      <c r="CN147" s="3712">
        <f t="shared" si="688"/>
        <v>2.33E-3</v>
      </c>
      <c r="CO147" s="3712">
        <f t="shared" si="688"/>
        <v>89.509</v>
      </c>
      <c r="CP147" s="3712">
        <f t="shared" si="688"/>
        <v>89.506</v>
      </c>
      <c r="CQ147" s="3712">
        <f t="shared" si="688"/>
        <v>3.0000000000000001E-3</v>
      </c>
      <c r="CR147" s="3715">
        <f t="shared" ref="CR147:CT147" si="689">SUM(CR59)</f>
        <v>138.11089028999999</v>
      </c>
      <c r="CS147" s="3715">
        <f t="shared" si="689"/>
        <v>138.11089028999999</v>
      </c>
      <c r="CT147" s="3715">
        <f t="shared" si="689"/>
        <v>0</v>
      </c>
      <c r="CU147" s="4144">
        <f t="shared" ref="CU147:CW147" si="690">SUM(CU59)</f>
        <v>86.286980999999997</v>
      </c>
      <c r="CV147" s="4144">
        <f t="shared" si="690"/>
        <v>86.286980999999997</v>
      </c>
      <c r="CW147" s="4144">
        <f t="shared" si="690"/>
        <v>0</v>
      </c>
      <c r="CX147" s="3715">
        <f>SUM(CX59)</f>
        <v>0</v>
      </c>
      <c r="CY147" s="3715">
        <f t="shared" ref="CY147:DF147" si="691">SUM(CY59)</f>
        <v>0</v>
      </c>
      <c r="CZ147" s="3715">
        <f t="shared" si="691"/>
        <v>0</v>
      </c>
      <c r="DA147" s="3715">
        <f t="shared" si="691"/>
        <v>0</v>
      </c>
      <c r="DB147" s="3715">
        <f t="shared" si="691"/>
        <v>0</v>
      </c>
      <c r="DC147" s="3715">
        <f t="shared" si="691"/>
        <v>0</v>
      </c>
      <c r="DD147" s="4034">
        <f t="shared" si="691"/>
        <v>0</v>
      </c>
      <c r="DE147" s="4034">
        <f t="shared" si="691"/>
        <v>0</v>
      </c>
      <c r="DF147" s="4034">
        <f t="shared" si="691"/>
        <v>0</v>
      </c>
    </row>
    <row r="148" spans="1:110" ht="27" customHeight="1" x14ac:dyDescent="0.3">
      <c r="A148" s="3703" t="s">
        <v>2021</v>
      </c>
      <c r="B148" s="3703"/>
      <c r="C148" s="3703"/>
      <c r="D148" s="3703"/>
      <c r="E148" s="3703"/>
      <c r="F148" s="3703"/>
      <c r="G148" s="3703"/>
      <c r="H148" s="3703"/>
      <c r="I148" s="3703"/>
      <c r="J148" s="3703"/>
      <c r="K148" s="3703"/>
      <c r="L148" s="3703"/>
      <c r="M148" s="3703"/>
      <c r="N148" s="3703"/>
      <c r="O148" s="3703"/>
      <c r="P148" s="3703"/>
      <c r="Q148" s="3703"/>
      <c r="R148" s="3703"/>
      <c r="S148" s="3703"/>
      <c r="T148" s="3703"/>
      <c r="U148" s="3703"/>
      <c r="V148" s="3703"/>
      <c r="W148" s="3703"/>
      <c r="X148" s="3703"/>
      <c r="Y148" s="3704"/>
      <c r="Z148" s="3703"/>
      <c r="AA148" s="3704"/>
      <c r="AB148" s="3704"/>
      <c r="AC148" s="3704"/>
      <c r="AD148" s="3704"/>
      <c r="AE148" s="3704"/>
      <c r="AF148" s="3704"/>
      <c r="AG148" s="3704"/>
      <c r="AH148" s="3704"/>
      <c r="AI148" s="3705"/>
      <c r="AJ148" s="3704"/>
      <c r="AK148" s="3704"/>
      <c r="AL148" s="3704"/>
      <c r="AM148" s="3705"/>
      <c r="AN148" s="3704"/>
      <c r="AO148" s="3704"/>
      <c r="AP148" s="3703"/>
      <c r="AQ148" s="3703"/>
      <c r="AR148" s="3703"/>
      <c r="AS148" s="3703"/>
      <c r="AT148" s="3704"/>
      <c r="AU148" s="3704"/>
      <c r="AV148" s="3704"/>
      <c r="AW148" s="3704"/>
      <c r="AX148" s="3704"/>
      <c r="AY148" s="3704"/>
      <c r="AZ148" s="3704"/>
      <c r="BA148" s="3706"/>
      <c r="BB148" s="3704"/>
      <c r="BC148" s="3704"/>
      <c r="BD148" s="3704"/>
      <c r="BE148" s="3704"/>
      <c r="BF148" s="3704"/>
      <c r="BG148" s="3704"/>
      <c r="BH148" s="3704"/>
      <c r="BI148" s="3704"/>
      <c r="BJ148" s="3704"/>
      <c r="BK148" s="3704"/>
      <c r="BL148" s="3704"/>
      <c r="BM148" s="3704"/>
      <c r="BN148" s="3704"/>
      <c r="BO148" s="3704"/>
      <c r="BP148" s="3704"/>
      <c r="BQ148" s="3704"/>
      <c r="BR148" s="3704"/>
      <c r="BS148" s="3704"/>
      <c r="BT148" s="3704"/>
      <c r="BU148" s="3704"/>
      <c r="BV148" s="3704">
        <f t="shared" si="685"/>
        <v>30.794479507533907</v>
      </c>
      <c r="BW148" s="3704">
        <f t="shared" si="685"/>
        <v>30.794479507533907</v>
      </c>
      <c r="BX148" s="3704">
        <f t="shared" si="685"/>
        <v>0</v>
      </c>
      <c r="BY148" s="3704">
        <f t="shared" ref="BY148:CA148" si="692">BY60</f>
        <v>0</v>
      </c>
      <c r="BZ148" s="3704">
        <f t="shared" si="692"/>
        <v>0</v>
      </c>
      <c r="CA148" s="3704">
        <f t="shared" si="692"/>
        <v>0</v>
      </c>
      <c r="CB148" s="3703"/>
      <c r="CC148" s="3707"/>
      <c r="CD148" s="3708"/>
      <c r="CE148" s="3708"/>
      <c r="CF148" s="3704">
        <f t="shared" ref="CF148:CH148" si="693">CF60</f>
        <v>0</v>
      </c>
      <c r="CG148" s="3704">
        <f t="shared" si="693"/>
        <v>0</v>
      </c>
      <c r="CH148" s="3704">
        <f t="shared" si="693"/>
        <v>0</v>
      </c>
      <c r="CI148" s="3704">
        <f t="shared" ref="CI148:CK148" si="694">CI60</f>
        <v>0</v>
      </c>
      <c r="CJ148" s="3704">
        <f t="shared" si="694"/>
        <v>0</v>
      </c>
      <c r="CK148" s="3704">
        <f t="shared" si="694"/>
        <v>0</v>
      </c>
      <c r="CL148" s="3704">
        <f t="shared" ref="CL148:CN148" si="695">CL60</f>
        <v>0</v>
      </c>
      <c r="CM148" s="3704">
        <f t="shared" si="695"/>
        <v>0</v>
      </c>
      <c r="CN148" s="3704">
        <f t="shared" si="695"/>
        <v>0</v>
      </c>
      <c r="CO148" s="3704">
        <f t="shared" ref="CO148:CQ148" si="696">CO60</f>
        <v>0</v>
      </c>
      <c r="CP148" s="3704">
        <f t="shared" si="696"/>
        <v>0</v>
      </c>
      <c r="CQ148" s="3704">
        <f t="shared" si="696"/>
        <v>0</v>
      </c>
      <c r="CR148" s="3709">
        <f t="shared" ref="CR148:CT148" si="697">CR60</f>
        <v>0</v>
      </c>
      <c r="CS148" s="3709">
        <f t="shared" si="697"/>
        <v>0</v>
      </c>
      <c r="CT148" s="3709">
        <f t="shared" si="697"/>
        <v>0</v>
      </c>
      <c r="CU148" s="4143">
        <f t="shared" ref="CU148:CW148" si="698">CU60</f>
        <v>0</v>
      </c>
      <c r="CV148" s="4143">
        <f t="shared" si="698"/>
        <v>0</v>
      </c>
      <c r="CW148" s="4143">
        <f t="shared" si="698"/>
        <v>0</v>
      </c>
      <c r="CX148" s="3709">
        <f t="shared" ref="CX148:DF148" si="699">CX60</f>
        <v>0</v>
      </c>
      <c r="CY148" s="3709">
        <f t="shared" si="699"/>
        <v>0</v>
      </c>
      <c r="CZ148" s="3709">
        <f t="shared" si="699"/>
        <v>0</v>
      </c>
      <c r="DA148" s="3709">
        <f t="shared" si="699"/>
        <v>0</v>
      </c>
      <c r="DB148" s="3709">
        <f t="shared" si="699"/>
        <v>0</v>
      </c>
      <c r="DC148" s="3709">
        <f t="shared" si="699"/>
        <v>0</v>
      </c>
      <c r="DD148" s="4033">
        <f t="shared" si="699"/>
        <v>0</v>
      </c>
      <c r="DE148" s="4033">
        <f t="shared" si="699"/>
        <v>0</v>
      </c>
      <c r="DF148" s="4033">
        <f t="shared" si="699"/>
        <v>0</v>
      </c>
    </row>
    <row r="149" spans="1:110" ht="27" customHeight="1" x14ac:dyDescent="0.3">
      <c r="A149" s="3716" t="s">
        <v>506</v>
      </c>
      <c r="B149" s="3703"/>
      <c r="C149" s="3703"/>
      <c r="D149" s="3703"/>
      <c r="E149" s="3703"/>
      <c r="F149" s="3703"/>
      <c r="G149" s="3703"/>
      <c r="H149" s="3703"/>
      <c r="I149" s="3703"/>
      <c r="J149" s="3703"/>
      <c r="K149" s="3703"/>
      <c r="L149" s="3703"/>
      <c r="M149" s="3703"/>
      <c r="N149" s="3703"/>
      <c r="O149" s="3703"/>
      <c r="P149" s="3703"/>
      <c r="Q149" s="3703"/>
      <c r="R149" s="3703"/>
      <c r="S149" s="3703"/>
      <c r="T149" s="3703"/>
      <c r="U149" s="3703"/>
      <c r="V149" s="3703"/>
      <c r="W149" s="3703"/>
      <c r="X149" s="3703"/>
      <c r="Y149" s="3704">
        <f>SUM(Y62)</f>
        <v>0</v>
      </c>
      <c r="Z149" s="3703"/>
      <c r="AA149" s="3704">
        <f t="shared" ref="AA149:AD149" si="700">SUM(AA62)</f>
        <v>0</v>
      </c>
      <c r="AB149" s="3704">
        <f t="shared" si="700"/>
        <v>0</v>
      </c>
      <c r="AC149" s="3704">
        <f t="shared" si="700"/>
        <v>0</v>
      </c>
      <c r="AD149" s="3704">
        <f t="shared" si="700"/>
        <v>0</v>
      </c>
      <c r="AE149" s="3704">
        <f t="shared" ref="AE149:AH149" si="701">SUM(AE62)</f>
        <v>0</v>
      </c>
      <c r="AF149" s="3704">
        <f t="shared" si="701"/>
        <v>0</v>
      </c>
      <c r="AG149" s="3704">
        <f t="shared" si="701"/>
        <v>0</v>
      </c>
      <c r="AH149" s="3704">
        <f t="shared" si="701"/>
        <v>1147.31</v>
      </c>
      <c r="AI149" s="3705" t="e">
        <f t="shared" si="486"/>
        <v>#DIV/0!</v>
      </c>
      <c r="AJ149" s="3704">
        <f t="shared" ref="AJ149:AK149" si="702">SUM(AJ62)</f>
        <v>1147.31</v>
      </c>
      <c r="AK149" s="3704">
        <f t="shared" si="702"/>
        <v>0</v>
      </c>
      <c r="AL149" s="3704">
        <f t="shared" ref="AL149:AO149" si="703">SUM(AL62)</f>
        <v>1287.3</v>
      </c>
      <c r="AM149" s="3705" t="e">
        <f t="shared" si="489"/>
        <v>#DIV/0!</v>
      </c>
      <c r="AN149" s="3704">
        <f t="shared" si="703"/>
        <v>1269.8</v>
      </c>
      <c r="AO149" s="3704">
        <f t="shared" si="703"/>
        <v>17.5</v>
      </c>
      <c r="AP149" s="3703"/>
      <c r="AQ149" s="3703"/>
      <c r="AR149" s="3703"/>
      <c r="AS149" s="3703"/>
      <c r="AT149" s="3704">
        <f t="shared" ref="AT149:AV149" si="704">SUM(AT62)</f>
        <v>0</v>
      </c>
      <c r="AU149" s="3704">
        <f t="shared" si="704"/>
        <v>0</v>
      </c>
      <c r="AV149" s="3704">
        <f t="shared" si="704"/>
        <v>0</v>
      </c>
      <c r="AW149" s="3704">
        <f t="shared" ref="AW149:AY149" si="705">SUM(AW62)</f>
        <v>0</v>
      </c>
      <c r="AX149" s="3704">
        <f t="shared" si="705"/>
        <v>0</v>
      </c>
      <c r="AY149" s="3704">
        <f t="shared" si="705"/>
        <v>0</v>
      </c>
      <c r="AZ149" s="3704">
        <f t="shared" ref="AZ149:BC149" si="706">SUM(AZ62)</f>
        <v>1785.8</v>
      </c>
      <c r="BA149" s="3706">
        <f t="shared" si="493"/>
        <v>1.3872446205235764</v>
      </c>
      <c r="BB149" s="3704">
        <f t="shared" si="706"/>
        <v>1785.8</v>
      </c>
      <c r="BC149" s="3704">
        <f t="shared" si="706"/>
        <v>0</v>
      </c>
      <c r="BD149" s="3704">
        <f t="shared" ref="BD149:BF149" si="707">SUM(BD62)</f>
        <v>1785.8</v>
      </c>
      <c r="BE149" s="3704">
        <f t="shared" si="707"/>
        <v>1785.8</v>
      </c>
      <c r="BF149" s="3704">
        <f t="shared" si="707"/>
        <v>0</v>
      </c>
      <c r="BG149" s="3704">
        <f t="shared" ref="BG149:BI149" si="708">SUM(BG62)</f>
        <v>0</v>
      </c>
      <c r="BH149" s="3704">
        <f t="shared" si="708"/>
        <v>0</v>
      </c>
      <c r="BI149" s="3704">
        <f t="shared" si="708"/>
        <v>0</v>
      </c>
      <c r="BJ149" s="3704">
        <f t="shared" ref="BJ149:BL149" si="709">SUM(BJ62)</f>
        <v>0</v>
      </c>
      <c r="BK149" s="3704">
        <f t="shared" si="709"/>
        <v>0</v>
      </c>
      <c r="BL149" s="3704">
        <f t="shared" si="709"/>
        <v>0</v>
      </c>
      <c r="BM149" s="3704">
        <f t="shared" ref="BM149:BR149" si="710">SUM(BM62)</f>
        <v>0</v>
      </c>
      <c r="BN149" s="3704">
        <f t="shared" si="710"/>
        <v>0</v>
      </c>
      <c r="BO149" s="3704">
        <f t="shared" si="710"/>
        <v>0</v>
      </c>
      <c r="BP149" s="3704">
        <f t="shared" si="710"/>
        <v>0</v>
      </c>
      <c r="BQ149" s="3704">
        <f t="shared" si="710"/>
        <v>0</v>
      </c>
      <c r="BR149" s="3704">
        <f t="shared" si="710"/>
        <v>0</v>
      </c>
      <c r="BS149" s="3704">
        <f t="shared" ref="BS149:BX149" si="711">SUM(BS62)</f>
        <v>0</v>
      </c>
      <c r="BT149" s="3704">
        <f t="shared" si="711"/>
        <v>0</v>
      </c>
      <c r="BU149" s="3704">
        <f t="shared" si="711"/>
        <v>0</v>
      </c>
      <c r="BV149" s="3704">
        <f t="shared" si="711"/>
        <v>0</v>
      </c>
      <c r="BW149" s="3704">
        <f t="shared" si="711"/>
        <v>0</v>
      </c>
      <c r="BX149" s="3704">
        <f t="shared" si="711"/>
        <v>0</v>
      </c>
      <c r="BY149" s="3704">
        <f t="shared" ref="BY149:CA149" si="712">SUM(BY62)</f>
        <v>0</v>
      </c>
      <c r="BZ149" s="3704">
        <f t="shared" si="712"/>
        <v>0</v>
      </c>
      <c r="CA149" s="3704">
        <f t="shared" si="712"/>
        <v>0</v>
      </c>
      <c r="CB149" s="3703"/>
      <c r="CC149" s="3707"/>
      <c r="CD149" s="3708"/>
      <c r="CE149" s="3708"/>
      <c r="CF149" s="3704">
        <f t="shared" ref="CF149:CH149" si="713">SUM(CF62)</f>
        <v>0</v>
      </c>
      <c r="CG149" s="3704">
        <f t="shared" si="713"/>
        <v>0</v>
      </c>
      <c r="CH149" s="3704">
        <f t="shared" si="713"/>
        <v>0</v>
      </c>
      <c r="CI149" s="3704">
        <f t="shared" ref="CI149:CK149" si="714">SUM(CI62)</f>
        <v>0</v>
      </c>
      <c r="CJ149" s="3704">
        <f t="shared" si="714"/>
        <v>0</v>
      </c>
      <c r="CK149" s="3704">
        <f t="shared" si="714"/>
        <v>0</v>
      </c>
      <c r="CL149" s="3704">
        <f t="shared" ref="CL149:CN149" si="715">SUM(CL62)</f>
        <v>0</v>
      </c>
      <c r="CM149" s="3704">
        <f t="shared" si="715"/>
        <v>0</v>
      </c>
      <c r="CN149" s="3704">
        <f t="shared" si="715"/>
        <v>0</v>
      </c>
      <c r="CO149" s="3717">
        <f t="shared" ref="CO149:CQ149" si="716">SUM(CO62)</f>
        <v>-0.02</v>
      </c>
      <c r="CP149" s="3717">
        <f t="shared" si="716"/>
        <v>-0.02</v>
      </c>
      <c r="CQ149" s="3717">
        <f t="shared" si="716"/>
        <v>0</v>
      </c>
      <c r="CR149" s="3718">
        <f t="shared" ref="CR149:CT149" si="717">SUM(CR62)</f>
        <v>0</v>
      </c>
      <c r="CS149" s="3718">
        <f t="shared" si="717"/>
        <v>0</v>
      </c>
      <c r="CT149" s="3718">
        <f t="shared" si="717"/>
        <v>0</v>
      </c>
      <c r="CU149" s="4145">
        <f t="shared" ref="CU149:CW149" si="718">SUM(CU62)</f>
        <v>0</v>
      </c>
      <c r="CV149" s="4145">
        <f t="shared" si="718"/>
        <v>0</v>
      </c>
      <c r="CW149" s="4145">
        <f t="shared" si="718"/>
        <v>0</v>
      </c>
      <c r="CX149" s="3709">
        <f t="shared" ref="CX149:DF149" si="719">SUM(CX62)</f>
        <v>0</v>
      </c>
      <c r="CY149" s="3709">
        <f t="shared" si="719"/>
        <v>0</v>
      </c>
      <c r="CZ149" s="3709">
        <f t="shared" si="719"/>
        <v>0</v>
      </c>
      <c r="DA149" s="3709">
        <f t="shared" si="719"/>
        <v>0</v>
      </c>
      <c r="DB149" s="3709">
        <f t="shared" si="719"/>
        <v>0</v>
      </c>
      <c r="DC149" s="3709">
        <f t="shared" si="719"/>
        <v>0</v>
      </c>
      <c r="DD149" s="4035">
        <f t="shared" si="719"/>
        <v>-0.02</v>
      </c>
      <c r="DE149" s="4035">
        <f t="shared" si="719"/>
        <v>-0.02</v>
      </c>
      <c r="DF149" s="4035">
        <f t="shared" si="719"/>
        <v>0</v>
      </c>
    </row>
    <row r="150" spans="1:110" ht="27" customHeight="1" x14ac:dyDescent="0.35">
      <c r="A150" s="3719" t="s">
        <v>12</v>
      </c>
      <c r="B150" s="3719"/>
      <c r="C150" s="3719"/>
      <c r="D150" s="3719"/>
      <c r="E150" s="3719"/>
      <c r="F150" s="3719"/>
      <c r="G150" s="3719"/>
      <c r="H150" s="3719"/>
      <c r="I150" s="3719"/>
      <c r="J150" s="3719"/>
      <c r="K150" s="3719"/>
      <c r="L150" s="3719"/>
      <c r="M150" s="3719"/>
      <c r="N150" s="3719"/>
      <c r="O150" s="3719"/>
      <c r="P150" s="3719"/>
      <c r="Q150" s="3719"/>
      <c r="R150" s="3719"/>
      <c r="S150" s="3719"/>
      <c r="T150" s="3719"/>
      <c r="U150" s="3719"/>
      <c r="V150" s="3719"/>
      <c r="W150" s="3719"/>
      <c r="X150" s="3719"/>
      <c r="Y150" s="3720">
        <f>SUM(Y136:Y149)</f>
        <v>138793.20000000001</v>
      </c>
      <c r="Z150" s="3719"/>
      <c r="AA150" s="3720" t="e">
        <f t="shared" ref="AA150:AE150" si="720">SUM(AA136:AA149)</f>
        <v>#REF!</v>
      </c>
      <c r="AB150" s="3720" t="e">
        <f t="shared" si="720"/>
        <v>#REF!</v>
      </c>
      <c r="AC150" s="3720" t="e">
        <f t="shared" si="720"/>
        <v>#REF!</v>
      </c>
      <c r="AD150" s="3720" t="e">
        <f t="shared" si="720"/>
        <v>#REF!</v>
      </c>
      <c r="AE150" s="3720">
        <f t="shared" si="720"/>
        <v>113320.02939110002</v>
      </c>
      <c r="AF150" s="3720">
        <f t="shared" ref="AF150" si="721">SUM(AF136:AF149)</f>
        <v>112515.45483007004</v>
      </c>
      <c r="AG150" s="3720">
        <f t="shared" ref="AG150" si="722">SUM(AG136:AG149)</f>
        <v>804.57456102995798</v>
      </c>
      <c r="AH150" s="3720">
        <f t="shared" ref="AH150:AJ150" si="723">SUM(AH136:AH149)</f>
        <v>121571.42432999998</v>
      </c>
      <c r="AI150" s="3721" t="e">
        <f t="shared" si="486"/>
        <v>#REF!</v>
      </c>
      <c r="AJ150" s="3720">
        <f t="shared" si="723"/>
        <v>120777.48432999999</v>
      </c>
      <c r="AK150" s="3720">
        <f t="shared" ref="AK150:AL150" si="724">SUM(AK136:AK149)</f>
        <v>793.93999999999994</v>
      </c>
      <c r="AL150" s="3720" t="e">
        <f t="shared" si="724"/>
        <v>#REF!</v>
      </c>
      <c r="AM150" s="3721" t="e">
        <f t="shared" si="489"/>
        <v>#REF!</v>
      </c>
      <c r="AN150" s="3720" t="e">
        <f t="shared" ref="AN150" si="725">SUM(AN136:AN149)</f>
        <v>#REF!</v>
      </c>
      <c r="AO150" s="3720">
        <f t="shared" ref="AO150" si="726">SUM(AO136:AO149)</f>
        <v>770.22088194020341</v>
      </c>
      <c r="AP150" s="3719"/>
      <c r="AQ150" s="3719"/>
      <c r="AR150" s="3719"/>
      <c r="AS150" s="3719"/>
      <c r="AT150" s="3720">
        <f t="shared" ref="AT150" si="727">SUM(AT136:AT149)</f>
        <v>56673.297081400007</v>
      </c>
      <c r="AU150" s="3720">
        <f t="shared" ref="AU150" si="728">SUM(AU136:AU149)</f>
        <v>56463.165167590269</v>
      </c>
      <c r="AV150" s="3720">
        <f t="shared" ref="AV150" si="729">SUM(AV136:AV149)</f>
        <v>210.13191380973541</v>
      </c>
      <c r="AW150" s="3720">
        <f t="shared" ref="AW150" si="730">SUM(AW136:AW149)</f>
        <v>116214.42000000001</v>
      </c>
      <c r="AX150" s="3720">
        <f t="shared" ref="AX150" si="731">SUM(AX136:AX149)</f>
        <v>115906.65000000001</v>
      </c>
      <c r="AY150" s="3720">
        <f t="shared" ref="AY150:AZ150" si="732">SUM(AY136:AY149)</f>
        <v>307.77</v>
      </c>
      <c r="AZ150" s="3720">
        <f t="shared" si="732"/>
        <v>132673.21128099889</v>
      </c>
      <c r="BA150" s="3722" t="e">
        <f t="shared" si="493"/>
        <v>#REF!</v>
      </c>
      <c r="BB150" s="3720">
        <f t="shared" ref="BB150" si="733">SUM(BB136:BB149)</f>
        <v>133587.32181062308</v>
      </c>
      <c r="BC150" s="3720">
        <f t="shared" ref="BC150" si="734">SUM(BC136:BC149)</f>
        <v>423.37547037580555</v>
      </c>
      <c r="BD150" s="3720">
        <f t="shared" ref="BD150" si="735">SUM(BD136:BD149)</f>
        <v>120520.29484348075</v>
      </c>
      <c r="BE150" s="3720">
        <f t="shared" ref="BE150" si="736">SUM(BE136:BE149)</f>
        <v>120176.15591828243</v>
      </c>
      <c r="BF150" s="3720">
        <f t="shared" ref="BF150:BH150" si="737">SUM(BF136:BF149)</f>
        <v>344.13892519829574</v>
      </c>
      <c r="BG150" s="3720">
        <f t="shared" si="737"/>
        <v>120577.88</v>
      </c>
      <c r="BH150" s="3720">
        <f t="shared" si="737"/>
        <v>120535.93000000001</v>
      </c>
      <c r="BI150" s="3720">
        <f>SUM(BI136:BI149)</f>
        <v>41.95</v>
      </c>
      <c r="BJ150" s="3720">
        <f>SUM(BJ136:BJ149)</f>
        <v>134891.4</v>
      </c>
      <c r="BK150" s="3720">
        <f>SUM(BK136:BK149)</f>
        <v>134862.29999999999</v>
      </c>
      <c r="BL150" s="3720">
        <f t="shared" ref="BL150" si="738">SUM(BL136:BL149)</f>
        <v>29.099999999999998</v>
      </c>
      <c r="BM150" s="3720">
        <f>SUM(BM136:BM149)</f>
        <v>128142.39290000001</v>
      </c>
      <c r="BN150" s="3720">
        <f>SUM(BN136:BN149)</f>
        <v>127775.59400000003</v>
      </c>
      <c r="BO150" s="3720">
        <f t="shared" ref="BO150:BR150" si="739">SUM(BO136:BO149)</f>
        <v>366.7989</v>
      </c>
      <c r="BP150" s="3720">
        <f t="shared" si="739"/>
        <v>136436.86200000002</v>
      </c>
      <c r="BQ150" s="3720">
        <f>SUM(BQ136:BQ149)</f>
        <v>136412.62900000002</v>
      </c>
      <c r="BR150" s="3720">
        <f t="shared" si="739"/>
        <v>24.232999999999997</v>
      </c>
      <c r="BS150" s="3720">
        <f t="shared" ref="BS150:BX150" si="740">SUM(BS136:BS149)</f>
        <v>158658.21</v>
      </c>
      <c r="BT150" s="3720">
        <f t="shared" si="740"/>
        <v>158558.91999999998</v>
      </c>
      <c r="BU150" s="3720">
        <f t="shared" si="740"/>
        <v>99.29</v>
      </c>
      <c r="BV150" s="3720">
        <f>SUM(BV136:BV149)</f>
        <v>147574.92935394889</v>
      </c>
      <c r="BW150" s="3720">
        <f t="shared" si="740"/>
        <v>147544.11811148541</v>
      </c>
      <c r="BX150" s="3720">
        <f t="shared" si="740"/>
        <v>30.811242463479257</v>
      </c>
      <c r="BY150" s="3720">
        <f>SUM(BY136:BY149)</f>
        <v>163826.74145579248</v>
      </c>
      <c r="BZ150" s="3720">
        <f t="shared" ref="BZ150:CA150" si="741">SUM(BZ136:BZ149)</f>
        <v>163792.15655699337</v>
      </c>
      <c r="CA150" s="3720">
        <f t="shared" si="741"/>
        <v>34.59801046541218</v>
      </c>
      <c r="CB150" s="3703"/>
      <c r="CC150" s="3707"/>
      <c r="CD150" s="3708"/>
      <c r="CE150" s="3708"/>
      <c r="CF150" s="3720">
        <f>SUM(CF136:CF149)</f>
        <v>149856.70870371771</v>
      </c>
      <c r="CG150" s="3720">
        <f t="shared" ref="CG150:CH150" si="742">SUM(CG136:CG149)</f>
        <v>149826.19082761329</v>
      </c>
      <c r="CH150" s="3720">
        <f t="shared" si="742"/>
        <v>30.517876104420509</v>
      </c>
      <c r="CI150" s="3720">
        <f>SUM(CI136:CI149)-CI147</f>
        <v>72796.149798500002</v>
      </c>
      <c r="CJ150" s="3720">
        <f t="shared" ref="CJ150:CQ150" si="743">SUM(CJ136:CJ149)-CJ147</f>
        <v>72783.630038500007</v>
      </c>
      <c r="CK150" s="3720">
        <f t="shared" si="743"/>
        <v>12.51976</v>
      </c>
      <c r="CL150" s="3720">
        <f t="shared" si="743"/>
        <v>111672.54458316999</v>
      </c>
      <c r="CM150" s="3720">
        <f t="shared" si="743"/>
        <v>111653.58178317</v>
      </c>
      <c r="CN150" s="3720">
        <f t="shared" si="743"/>
        <v>18.962800000000001</v>
      </c>
      <c r="CO150" s="3720">
        <f t="shared" si="743"/>
        <v>147941.30603788001</v>
      </c>
      <c r="CP150" s="3720">
        <f t="shared" si="743"/>
        <v>147917.23693787999</v>
      </c>
      <c r="CQ150" s="3720">
        <f t="shared" si="743"/>
        <v>24.069100000000002</v>
      </c>
      <c r="CR150" s="3723">
        <f t="shared" ref="CR150:CT150" si="744">SUM(CR136:CR149)-CR147</f>
        <v>177997.77485092115</v>
      </c>
      <c r="CS150" s="3723">
        <f t="shared" si="744"/>
        <v>177938.59485403635</v>
      </c>
      <c r="CT150" s="3723">
        <f t="shared" si="744"/>
        <v>59.179996884835653</v>
      </c>
      <c r="CU150" s="4138">
        <f t="shared" ref="CU150:CW150" si="745">SUM(CU136:CU149)-CU147</f>
        <v>146374.02291889145</v>
      </c>
      <c r="CV150" s="4138">
        <f t="shared" si="745"/>
        <v>146345.08977326503</v>
      </c>
      <c r="CW150" s="4138">
        <f t="shared" si="745"/>
        <v>28.933145626442407</v>
      </c>
      <c r="CX150" s="3723">
        <f>SUM(CX136:CX149)-CX147</f>
        <v>74098.735209999999</v>
      </c>
      <c r="CY150" s="3723">
        <f t="shared" ref="CY150:DF150" si="746">SUM(CY136:CY149)-CY147</f>
        <v>74088.261499999993</v>
      </c>
      <c r="CZ150" s="3723">
        <f t="shared" si="746"/>
        <v>10.473710000000001</v>
      </c>
      <c r="DA150" s="3723">
        <f t="shared" si="746"/>
        <v>107390.350721</v>
      </c>
      <c r="DB150" s="3723">
        <f t="shared" si="746"/>
        <v>107372.86429100001</v>
      </c>
      <c r="DC150" s="3723">
        <f t="shared" si="746"/>
        <v>17.486429999999999</v>
      </c>
      <c r="DD150" s="4036">
        <f t="shared" si="746"/>
        <v>17374.274937879996</v>
      </c>
      <c r="DE150" s="4036">
        <f t="shared" si="746"/>
        <v>17369.824937879996</v>
      </c>
      <c r="DF150" s="4036">
        <f t="shared" si="746"/>
        <v>4.4499999999999993</v>
      </c>
    </row>
    <row r="151" spans="1:110" ht="27" customHeight="1" x14ac:dyDescent="0.35">
      <c r="A151" s="3719" t="s">
        <v>13</v>
      </c>
      <c r="B151" s="3719"/>
      <c r="C151" s="3719"/>
      <c r="D151" s="3719"/>
      <c r="E151" s="3719"/>
      <c r="F151" s="3719"/>
      <c r="G151" s="3719"/>
      <c r="H151" s="3719"/>
      <c r="I151" s="3719"/>
      <c r="J151" s="3719"/>
      <c r="K151" s="3719"/>
      <c r="L151" s="3719"/>
      <c r="M151" s="3719"/>
      <c r="N151" s="3719"/>
      <c r="O151" s="3719"/>
      <c r="P151" s="3719"/>
      <c r="Q151" s="3719"/>
      <c r="R151" s="3719"/>
      <c r="S151" s="3719"/>
      <c r="T151" s="3719"/>
      <c r="U151" s="3719"/>
      <c r="V151" s="3719"/>
      <c r="W151" s="3719"/>
      <c r="X151" s="3719"/>
      <c r="Y151" s="3720">
        <f>SUM(Y79)</f>
        <v>4000</v>
      </c>
      <c r="Z151" s="3719"/>
      <c r="AA151" s="3720" t="e">
        <f t="shared" ref="AA151:AD151" si="747">SUM(AA79)</f>
        <v>#REF!</v>
      </c>
      <c r="AB151" s="3720" t="e">
        <f t="shared" si="747"/>
        <v>#REF!</v>
      </c>
      <c r="AC151" s="3720" t="e">
        <f t="shared" si="747"/>
        <v>#REF!</v>
      </c>
      <c r="AD151" s="3720" t="e">
        <f t="shared" si="747"/>
        <v>#REF!</v>
      </c>
      <c r="AE151" s="3720">
        <f t="shared" ref="AE151:AH151" si="748">SUM(AE79)</f>
        <v>4039</v>
      </c>
      <c r="AF151" s="3720">
        <f t="shared" si="748"/>
        <v>3989.2</v>
      </c>
      <c r="AG151" s="3720">
        <f t="shared" si="748"/>
        <v>49.8</v>
      </c>
      <c r="AH151" s="3720">
        <f t="shared" si="748"/>
        <v>4052.4</v>
      </c>
      <c r="AI151" s="3721" t="e">
        <f t="shared" si="486"/>
        <v>#REF!</v>
      </c>
      <c r="AJ151" s="3720">
        <f t="shared" ref="AJ151:AK151" si="749">SUM(AJ79)</f>
        <v>4006.27</v>
      </c>
      <c r="AK151" s="3720">
        <f t="shared" si="749"/>
        <v>46.13</v>
      </c>
      <c r="AL151" s="3720">
        <f t="shared" ref="AL151:AO151" si="750">SUM(AL79)</f>
        <v>4052.4</v>
      </c>
      <c r="AM151" s="3721" t="e">
        <f t="shared" si="489"/>
        <v>#REF!</v>
      </c>
      <c r="AN151" s="3720">
        <f t="shared" si="750"/>
        <v>4006.27</v>
      </c>
      <c r="AO151" s="3720">
        <f t="shared" si="750"/>
        <v>46.13</v>
      </c>
      <c r="AP151" s="3719"/>
      <c r="AQ151" s="3719"/>
      <c r="AR151" s="3719"/>
      <c r="AS151" s="3719"/>
      <c r="AT151" s="3720">
        <f t="shared" ref="AT151:AV151" si="751">SUM(AT79)</f>
        <v>1990.48</v>
      </c>
      <c r="AU151" s="3720">
        <f t="shared" si="751"/>
        <v>1976.78</v>
      </c>
      <c r="AV151" s="3720">
        <f t="shared" si="751"/>
        <v>13.7</v>
      </c>
      <c r="AW151" s="3720">
        <f t="shared" ref="AW151:AY151" si="752">SUM(AW79)</f>
        <v>3780.42</v>
      </c>
      <c r="AX151" s="3720">
        <f t="shared" si="752"/>
        <v>3762.2000000000003</v>
      </c>
      <c r="AY151" s="3720">
        <f t="shared" si="752"/>
        <v>18.22</v>
      </c>
      <c r="AZ151" s="3720">
        <f t="shared" ref="AZ151:BC151" si="753">SUM(AZ79)</f>
        <v>4010.6369999999997</v>
      </c>
      <c r="BA151" s="3722">
        <f t="shared" si="493"/>
        <v>0.98969425525614441</v>
      </c>
      <c r="BB151" s="3720">
        <f t="shared" si="753"/>
        <v>3989.2169999999996</v>
      </c>
      <c r="BC151" s="3720">
        <f t="shared" si="753"/>
        <v>21.42</v>
      </c>
      <c r="BD151" s="3720">
        <f t="shared" ref="BD151:BF151" si="754">SUM(BD79)</f>
        <v>4010.6370000000002</v>
      </c>
      <c r="BE151" s="3720">
        <f t="shared" si="754"/>
        <v>3989.2170000000001</v>
      </c>
      <c r="BF151" s="3720">
        <f t="shared" si="754"/>
        <v>21.42</v>
      </c>
      <c r="BG151" s="3720">
        <f t="shared" ref="BG151:BI151" si="755">SUM(BG79)</f>
        <v>3568.7400000000002</v>
      </c>
      <c r="BH151" s="3720">
        <f t="shared" si="755"/>
        <v>3566.34</v>
      </c>
      <c r="BI151" s="3720">
        <f t="shared" si="755"/>
        <v>2.4</v>
      </c>
      <c r="BJ151" s="3720">
        <f t="shared" ref="BJ151:BU151" si="756">SUM(BJ79)</f>
        <v>3657.57</v>
      </c>
      <c r="BK151" s="3720">
        <f t="shared" si="756"/>
        <v>3655.8</v>
      </c>
      <c r="BL151" s="3720">
        <f t="shared" si="756"/>
        <v>1.77</v>
      </c>
      <c r="BM151" s="3720">
        <f>SUM(BN151:BO151)</f>
        <v>3621.42</v>
      </c>
      <c r="BN151" s="3720">
        <v>3600</v>
      </c>
      <c r="BO151" s="3720">
        <v>21.42</v>
      </c>
      <c r="BP151" s="3720">
        <f>SUM(BQ151:BR151)</f>
        <v>3659.8610000000003</v>
      </c>
      <c r="BQ151" s="3720">
        <v>3658.53</v>
      </c>
      <c r="BR151" s="3720">
        <v>1.331</v>
      </c>
      <c r="BS151" s="3720">
        <f t="shared" si="756"/>
        <v>3605</v>
      </c>
      <c r="BT151" s="3720">
        <f t="shared" si="756"/>
        <v>3600</v>
      </c>
      <c r="BU151" s="3720">
        <f t="shared" si="756"/>
        <v>5</v>
      </c>
      <c r="BV151" s="3720">
        <f>BV79</f>
        <v>3662.3949233333333</v>
      </c>
      <c r="BW151" s="3720">
        <f t="shared" ref="BW151:BX151" si="757">BW79</f>
        <v>3660.6249233333333</v>
      </c>
      <c r="BX151" s="3720">
        <f t="shared" si="757"/>
        <v>1.77</v>
      </c>
      <c r="BY151" s="3720">
        <f>BY79</f>
        <v>3662.3949233333333</v>
      </c>
      <c r="BZ151" s="3720">
        <f t="shared" ref="BZ151:CA151" si="758">BZ79</f>
        <v>3660.6249233333333</v>
      </c>
      <c r="CA151" s="3720">
        <f t="shared" si="758"/>
        <v>1.77</v>
      </c>
      <c r="CB151" s="3703"/>
      <c r="CC151" s="3707"/>
      <c r="CD151" s="3708"/>
      <c r="CE151" s="3708"/>
      <c r="CF151" s="3720">
        <f>SUM(CG151:CH151)</f>
        <v>3474.7299999999996</v>
      </c>
      <c r="CG151" s="3720">
        <f>SUM(объемы!BD49)</f>
        <v>3472.9599999999996</v>
      </c>
      <c r="CH151" s="3720">
        <f>SUM(объемы!BE49)</f>
        <v>1.77</v>
      </c>
      <c r="CI151" s="3720">
        <f>SUM(CJ151:CK151)</f>
        <v>1751.489</v>
      </c>
      <c r="CJ151" s="3720">
        <f>SUM(объемы!BF49)</f>
        <v>1750.931</v>
      </c>
      <c r="CK151" s="3720">
        <f>SUM(объемы!BG44)</f>
        <v>0.55800000000000005</v>
      </c>
      <c r="CL151" s="3720">
        <f>SUM(CM151:CN151)</f>
        <v>2639.2570000000005</v>
      </c>
      <c r="CM151" s="3720">
        <f>SUM(объемы!BH49)</f>
        <v>2638.4280000000003</v>
      </c>
      <c r="CN151" s="3720">
        <f>SUM(объемы!BI49)</f>
        <v>0.82899999999999996</v>
      </c>
      <c r="CO151" s="3720">
        <f>SUM(CP151:CQ151)</f>
        <v>3529.002</v>
      </c>
      <c r="CP151" s="3720">
        <f>SUM(объемы!BJ49)</f>
        <v>3527.873</v>
      </c>
      <c r="CQ151" s="3720">
        <f>SUM(объемы!BK49)</f>
        <v>1.129</v>
      </c>
      <c r="CR151" s="3723">
        <f>SUM(CS151:CT151)</f>
        <v>3474.7299999999996</v>
      </c>
      <c r="CS151" s="3723">
        <f>SUM(объемы!BL49)</f>
        <v>3472.9599999999996</v>
      </c>
      <c r="CT151" s="3723">
        <f>SUM(объемы!BM49)</f>
        <v>1.77</v>
      </c>
      <c r="CU151" s="4138">
        <f>SUM(CV151:CW151)</f>
        <v>3506.4398000000001</v>
      </c>
      <c r="CV151" s="4138">
        <f>SUM(объемы!BN49)</f>
        <v>3504.67</v>
      </c>
      <c r="CW151" s="4138">
        <f>SUM(объемы!BO49)</f>
        <v>1.7698</v>
      </c>
      <c r="CX151" s="3723">
        <f>SUM(CY151:CZ151)</f>
        <v>1768.9229999999998</v>
      </c>
      <c r="CY151" s="3723">
        <f>SUM(объемы!BQ49)</f>
        <v>1768.3819999999998</v>
      </c>
      <c r="CZ151" s="3723">
        <f>SUM(объемы!BR44)</f>
        <v>0.54100000000000004</v>
      </c>
      <c r="DA151" s="3723">
        <f>SUM(DB151:DC151)</f>
        <v>2633.047</v>
      </c>
      <c r="DB151" s="3723">
        <f>SUM(объемы!BS49)</f>
        <v>2632.3209999999999</v>
      </c>
      <c r="DC151" s="3723">
        <f>SUM(объемы!BT49)</f>
        <v>0.72599999999999998</v>
      </c>
      <c r="DD151" s="4036">
        <f>SUM(DE151:DF151)</f>
        <v>0</v>
      </c>
      <c r="DE151" s="4036">
        <f>SUM(объемы!BY49)</f>
        <v>0</v>
      </c>
      <c r="DF151" s="4036">
        <f>SUM(объемы!BZ49)</f>
        <v>0</v>
      </c>
    </row>
    <row r="152" spans="1:110" ht="27" customHeight="1" x14ac:dyDescent="0.35">
      <c r="A152" s="3719" t="s">
        <v>14</v>
      </c>
      <c r="B152" s="3719"/>
      <c r="C152" s="3719"/>
      <c r="D152" s="3719"/>
      <c r="E152" s="3719"/>
      <c r="F152" s="3719"/>
      <c r="G152" s="3719"/>
      <c r="H152" s="3719"/>
      <c r="I152" s="3719"/>
      <c r="J152" s="3719"/>
      <c r="K152" s="3719"/>
      <c r="L152" s="3719"/>
      <c r="M152" s="3719"/>
      <c r="N152" s="3719"/>
      <c r="O152" s="3719"/>
      <c r="P152" s="3719"/>
      <c r="Q152" s="3719"/>
      <c r="R152" s="3719"/>
      <c r="S152" s="3719"/>
      <c r="T152" s="3719"/>
      <c r="U152" s="3719"/>
      <c r="V152" s="3719"/>
      <c r="W152" s="3719"/>
      <c r="X152" s="3719"/>
      <c r="Y152" s="3720"/>
      <c r="Z152" s="3719"/>
      <c r="AA152" s="3720"/>
      <c r="AB152" s="3720"/>
      <c r="AC152" s="3720"/>
      <c r="AD152" s="3720"/>
      <c r="AE152" s="3720"/>
      <c r="AF152" s="3720"/>
      <c r="AG152" s="3720"/>
      <c r="AH152" s="3720"/>
      <c r="AI152" s="3721"/>
      <c r="AJ152" s="3720"/>
      <c r="AK152" s="3720"/>
      <c r="AL152" s="3720"/>
      <c r="AM152" s="3721"/>
      <c r="AN152" s="3720"/>
      <c r="AO152" s="3720"/>
      <c r="AP152" s="3719"/>
      <c r="AQ152" s="3719"/>
      <c r="AR152" s="3719"/>
      <c r="AS152" s="3719"/>
      <c r="AT152" s="3720"/>
      <c r="AU152" s="3720"/>
      <c r="AV152" s="3720"/>
      <c r="AW152" s="3720"/>
      <c r="AX152" s="3720"/>
      <c r="AY152" s="3720"/>
      <c r="AZ152" s="3720"/>
      <c r="BA152" s="3722"/>
      <c r="BB152" s="3720"/>
      <c r="BC152" s="3720"/>
      <c r="BD152" s="3720"/>
      <c r="BE152" s="3720"/>
      <c r="BF152" s="3720"/>
      <c r="BG152" s="3720"/>
      <c r="BH152" s="3720"/>
      <c r="BI152" s="3720"/>
      <c r="BJ152" s="3720"/>
      <c r="BK152" s="3720"/>
      <c r="BL152" s="3720"/>
      <c r="BM152" s="3720">
        <f>SUM(BM150/BM151)</f>
        <v>35.38457094178527</v>
      </c>
      <c r="BN152" s="3720">
        <f t="shared" ref="BN152:CT152" si="759">SUM(BN150/BN151)</f>
        <v>35.49322055555556</v>
      </c>
      <c r="BO152" s="3720">
        <f t="shared" si="759"/>
        <v>17.124131652661063</v>
      </c>
      <c r="BP152" s="3720">
        <f t="shared" si="759"/>
        <v>37.279246944077933</v>
      </c>
      <c r="BQ152" s="3720">
        <f t="shared" si="759"/>
        <v>37.286185708467613</v>
      </c>
      <c r="BR152" s="3720">
        <f t="shared" si="759"/>
        <v>18.206611570247933</v>
      </c>
      <c r="BS152" s="3720">
        <f t="shared" si="759"/>
        <v>44.01059916782247</v>
      </c>
      <c r="BT152" s="3720">
        <f t="shared" si="759"/>
        <v>44.044144444444441</v>
      </c>
      <c r="BU152" s="3720">
        <f t="shared" si="759"/>
        <v>19.858000000000001</v>
      </c>
      <c r="BV152" s="3720">
        <f t="shared" si="759"/>
        <v>40.294652117864281</v>
      </c>
      <c r="BW152" s="3720">
        <f t="shared" si="759"/>
        <v>40.305718614059217</v>
      </c>
      <c r="BX152" s="3720">
        <f t="shared" si="759"/>
        <v>17.407481617784892</v>
      </c>
      <c r="BY152" s="3720">
        <f t="shared" si="759"/>
        <v>44.732134268765684</v>
      </c>
      <c r="BZ152" s="3720">
        <f t="shared" si="759"/>
        <v>44.744315516446207</v>
      </c>
      <c r="CA152" s="3720">
        <f t="shared" si="759"/>
        <v>19.54689856802948</v>
      </c>
      <c r="CB152" s="3720" t="e">
        <f t="shared" si="759"/>
        <v>#DIV/0!</v>
      </c>
      <c r="CC152" s="3720" t="e">
        <f t="shared" si="759"/>
        <v>#DIV/0!</v>
      </c>
      <c r="CD152" s="3720" t="e">
        <f t="shared" si="759"/>
        <v>#DIV/0!</v>
      </c>
      <c r="CE152" s="3720" t="e">
        <f t="shared" si="759"/>
        <v>#DIV/0!</v>
      </c>
      <c r="CF152" s="3720">
        <f t="shared" si="759"/>
        <v>43.127583640662074</v>
      </c>
      <c r="CG152" s="3720">
        <f t="shared" si="759"/>
        <v>43.14077640618185</v>
      </c>
      <c r="CH152" s="3720">
        <f t="shared" si="759"/>
        <v>17.241737912101982</v>
      </c>
      <c r="CI152" s="3720">
        <f t="shared" si="759"/>
        <v>41.562436189151057</v>
      </c>
      <c r="CJ152" s="3720">
        <f t="shared" si="759"/>
        <v>41.568531277646009</v>
      </c>
      <c r="CK152" s="3720">
        <f t="shared" si="759"/>
        <v>22.436845878136197</v>
      </c>
      <c r="CL152" s="3720">
        <f t="shared" si="759"/>
        <v>42.31211457738673</v>
      </c>
      <c r="CM152" s="3720">
        <f t="shared" si="759"/>
        <v>42.318221980349655</v>
      </c>
      <c r="CN152" s="3720">
        <f t="shared" si="759"/>
        <v>22.874306393244876</v>
      </c>
      <c r="CO152" s="3720">
        <f t="shared" si="759"/>
        <v>41.921570471731108</v>
      </c>
      <c r="CP152" s="3720">
        <f t="shared" si="759"/>
        <v>41.928163779671202</v>
      </c>
      <c r="CQ152" s="3720">
        <f t="shared" si="759"/>
        <v>21.318954827280781</v>
      </c>
      <c r="CR152" s="3723">
        <f t="shared" si="759"/>
        <v>51.226361429786252</v>
      </c>
      <c r="CS152" s="3723">
        <f t="shared" si="759"/>
        <v>51.235428814048063</v>
      </c>
      <c r="CT152" s="3723">
        <f t="shared" si="759"/>
        <v>33.435026488607711</v>
      </c>
      <c r="CU152" s="4138">
        <f t="shared" ref="CU152:CW152" si="760">SUM(CU150/CU151)</f>
        <v>41.744342201138444</v>
      </c>
      <c r="CV152" s="4138">
        <f t="shared" si="760"/>
        <v>41.757166801229509</v>
      </c>
      <c r="CW152" s="4138">
        <f t="shared" si="760"/>
        <v>16.348257219144767</v>
      </c>
      <c r="CX152" s="3723">
        <f t="shared" ref="CX152:DF152" si="761">SUM(CX150/CX151)</f>
        <v>41.889180710522737</v>
      </c>
      <c r="CY152" s="3723">
        <f t="shared" si="761"/>
        <v>41.896073076970929</v>
      </c>
      <c r="CZ152" s="3723">
        <f t="shared" si="761"/>
        <v>19.359907578558225</v>
      </c>
      <c r="DA152" s="3723">
        <f t="shared" si="761"/>
        <v>40.785580629969765</v>
      </c>
      <c r="DB152" s="3723">
        <f t="shared" si="761"/>
        <v>40.790186413815036</v>
      </c>
      <c r="DC152" s="3723">
        <f t="shared" si="761"/>
        <v>24.085991735537188</v>
      </c>
      <c r="DD152" s="4036" t="e">
        <f t="shared" si="761"/>
        <v>#DIV/0!</v>
      </c>
      <c r="DE152" s="4036" t="e">
        <f t="shared" si="761"/>
        <v>#DIV/0!</v>
      </c>
      <c r="DF152" s="4036" t="e">
        <f t="shared" si="761"/>
        <v>#DIV/0!</v>
      </c>
    </row>
    <row r="153" spans="1:110" ht="27" customHeight="1" x14ac:dyDescent="0.35">
      <c r="A153" s="3724" t="s">
        <v>1753</v>
      </c>
      <c r="B153" s="3719"/>
      <c r="C153" s="3719"/>
      <c r="D153" s="3719"/>
      <c r="E153" s="3719"/>
      <c r="F153" s="3719"/>
      <c r="G153" s="3719"/>
      <c r="H153" s="3719"/>
      <c r="I153" s="3719"/>
      <c r="J153" s="3719"/>
      <c r="K153" s="3719"/>
      <c r="L153" s="3719"/>
      <c r="M153" s="3719"/>
      <c r="N153" s="3719"/>
      <c r="O153" s="3719"/>
      <c r="P153" s="3719"/>
      <c r="Q153" s="3719"/>
      <c r="R153" s="3719"/>
      <c r="S153" s="3719"/>
      <c r="T153" s="3719"/>
      <c r="U153" s="3719"/>
      <c r="V153" s="3719"/>
      <c r="W153" s="3719"/>
      <c r="X153" s="3719"/>
      <c r="Y153" s="3720"/>
      <c r="Z153" s="3719"/>
      <c r="AA153" s="3720"/>
      <c r="AB153" s="3720"/>
      <c r="AC153" s="3720"/>
      <c r="AD153" s="3720"/>
      <c r="AE153" s="3720"/>
      <c r="AF153" s="3720"/>
      <c r="AG153" s="3720"/>
      <c r="AH153" s="3720"/>
      <c r="AI153" s="3721"/>
      <c r="AJ153" s="3720"/>
      <c r="AK153" s="3720"/>
      <c r="AL153" s="3720"/>
      <c r="AM153" s="3721"/>
      <c r="AN153" s="3720"/>
      <c r="AO153" s="3720"/>
      <c r="AP153" s="3719"/>
      <c r="AQ153" s="3719"/>
      <c r="AR153" s="3719"/>
      <c r="AS153" s="3719"/>
      <c r="AT153" s="3720"/>
      <c r="AU153" s="3720"/>
      <c r="AV153" s="3720"/>
      <c r="AW153" s="3720"/>
      <c r="AX153" s="3720"/>
      <c r="AY153" s="3720"/>
      <c r="AZ153" s="3720"/>
      <c r="BA153" s="3722"/>
      <c r="BB153" s="3720"/>
      <c r="BC153" s="3720"/>
      <c r="BD153" s="3720"/>
      <c r="BE153" s="3720"/>
      <c r="BF153" s="3720"/>
      <c r="BG153" s="3720"/>
      <c r="BH153" s="3720"/>
      <c r="BI153" s="3720"/>
      <c r="BJ153" s="3720"/>
      <c r="BK153" s="3720"/>
      <c r="BL153" s="3720"/>
      <c r="BM153" s="3720">
        <f>SUM(BN153:BO153)</f>
        <v>3670.4799999999996</v>
      </c>
      <c r="BN153" s="3720">
        <v>3419.47</v>
      </c>
      <c r="BO153" s="3720">
        <v>251.01</v>
      </c>
      <c r="BP153" s="3720">
        <f>SUM(BQ153:BR153)</f>
        <v>0</v>
      </c>
      <c r="BQ153" s="3720">
        <v>0</v>
      </c>
      <c r="BR153" s="3720">
        <v>0</v>
      </c>
      <c r="BS153" s="3720">
        <f>SUM(BT153:BU153)</f>
        <v>0</v>
      </c>
      <c r="BT153" s="3720">
        <v>0</v>
      </c>
      <c r="BU153" s="3720">
        <v>0</v>
      </c>
      <c r="BV153" s="3720">
        <f>SUM(BW153:BX153)</f>
        <v>-10337.219999999999</v>
      </c>
      <c r="BW153" s="3720">
        <v>-10337.219999999999</v>
      </c>
      <c r="BX153" s="3720">
        <f>BX77</f>
        <v>0</v>
      </c>
      <c r="BY153" s="3720">
        <f t="shared" ref="BY153:CA153" si="762">BY77</f>
        <v>0</v>
      </c>
      <c r="BZ153" s="3720">
        <f t="shared" si="762"/>
        <v>0</v>
      </c>
      <c r="CA153" s="3720">
        <f t="shared" si="762"/>
        <v>0</v>
      </c>
      <c r="CB153" s="3703"/>
      <c r="CC153" s="3707"/>
      <c r="CD153" s="3708"/>
      <c r="CE153" s="3708"/>
      <c r="CF153" s="3720">
        <f>SUM(CG153:CH153)</f>
        <v>-14872.880074395682</v>
      </c>
      <c r="CG153" s="3720">
        <f>SUM('вода 2019-2021 коррект'!AX32+'вода 2019-2021 коррект'!AX34)</f>
        <v>-14872.880074395682</v>
      </c>
      <c r="CH153" s="3720">
        <v>0</v>
      </c>
      <c r="CI153" s="3720">
        <f t="shared" ref="CI153:CN153" si="763">CI77</f>
        <v>0</v>
      </c>
      <c r="CJ153" s="3720">
        <f t="shared" si="763"/>
        <v>0</v>
      </c>
      <c r="CK153" s="3720">
        <f t="shared" si="763"/>
        <v>0</v>
      </c>
      <c r="CL153" s="3720">
        <f t="shared" si="763"/>
        <v>0</v>
      </c>
      <c r="CM153" s="3720">
        <f t="shared" si="763"/>
        <v>0</v>
      </c>
      <c r="CN153" s="3720">
        <f t="shared" si="763"/>
        <v>0</v>
      </c>
      <c r="CO153" s="3720">
        <f t="shared" ref="CO153:CQ153" si="764">CO77</f>
        <v>0</v>
      </c>
      <c r="CP153" s="3720">
        <f t="shared" si="764"/>
        <v>0</v>
      </c>
      <c r="CQ153" s="3720">
        <f t="shared" si="764"/>
        <v>0</v>
      </c>
      <c r="CR153" s="3723">
        <f t="shared" ref="CR153:CT153" si="765">CR77</f>
        <v>0</v>
      </c>
      <c r="CS153" s="3723">
        <f t="shared" si="765"/>
        <v>0</v>
      </c>
      <c r="CT153" s="3723">
        <f t="shared" si="765"/>
        <v>0</v>
      </c>
      <c r="CU153" s="4138">
        <f t="shared" ref="CU153" si="766">CU77</f>
        <v>0</v>
      </c>
      <c r="CV153" s="4138">
        <v>-3320.27</v>
      </c>
      <c r="CW153" s="4138">
        <v>4.8516000000000004</v>
      </c>
      <c r="CX153" s="3723">
        <f t="shared" ref="CX153:DF153" si="767">CX77</f>
        <v>0</v>
      </c>
      <c r="CY153" s="3723">
        <f t="shared" si="767"/>
        <v>0</v>
      </c>
      <c r="CZ153" s="3723">
        <f t="shared" si="767"/>
        <v>0</v>
      </c>
      <c r="DA153" s="3723">
        <f t="shared" si="767"/>
        <v>0</v>
      </c>
      <c r="DB153" s="3723">
        <f t="shared" si="767"/>
        <v>0</v>
      </c>
      <c r="DC153" s="3723">
        <f t="shared" si="767"/>
        <v>0</v>
      </c>
      <c r="DD153" s="4036">
        <f t="shared" si="767"/>
        <v>0</v>
      </c>
      <c r="DE153" s="4036">
        <f t="shared" si="767"/>
        <v>0</v>
      </c>
      <c r="DF153" s="4036">
        <f t="shared" si="767"/>
        <v>0</v>
      </c>
    </row>
    <row r="154" spans="1:110" ht="27" customHeight="1" x14ac:dyDescent="0.35">
      <c r="A154" s="3719" t="s">
        <v>3713</v>
      </c>
      <c r="B154" s="3719"/>
      <c r="C154" s="3719"/>
      <c r="D154" s="3719"/>
      <c r="E154" s="3719"/>
      <c r="F154" s="3719"/>
      <c r="G154" s="3719"/>
      <c r="H154" s="3719"/>
      <c r="I154" s="3719"/>
      <c r="J154" s="3719"/>
      <c r="K154" s="3719"/>
      <c r="L154" s="3719"/>
      <c r="M154" s="3719"/>
      <c r="N154" s="3719"/>
      <c r="O154" s="3719"/>
      <c r="P154" s="3719"/>
      <c r="Q154" s="3719"/>
      <c r="R154" s="3719"/>
      <c r="S154" s="3719"/>
      <c r="T154" s="3719"/>
      <c r="U154" s="3719"/>
      <c r="V154" s="3719"/>
      <c r="W154" s="3719"/>
      <c r="X154" s="3719"/>
      <c r="Y154" s="3720"/>
      <c r="Z154" s="3719"/>
      <c r="AA154" s="3720"/>
      <c r="AB154" s="3720"/>
      <c r="AC154" s="3720"/>
      <c r="AD154" s="3720"/>
      <c r="AE154" s="3720"/>
      <c r="AF154" s="3720"/>
      <c r="AG154" s="3720"/>
      <c r="AH154" s="3720"/>
      <c r="AI154" s="3721"/>
      <c r="AJ154" s="3720"/>
      <c r="AK154" s="3720"/>
      <c r="AL154" s="3720"/>
      <c r="AM154" s="3721"/>
      <c r="AN154" s="3720"/>
      <c r="AO154" s="3720"/>
      <c r="AP154" s="3719"/>
      <c r="AQ154" s="3719"/>
      <c r="AR154" s="3719"/>
      <c r="AS154" s="3719"/>
      <c r="AT154" s="3720"/>
      <c r="AU154" s="3720"/>
      <c r="AV154" s="3720"/>
      <c r="AW154" s="3720"/>
      <c r="AX154" s="3720"/>
      <c r="AY154" s="3720"/>
      <c r="AZ154" s="3720"/>
      <c r="BA154" s="3722"/>
      <c r="BB154" s="3720"/>
      <c r="BC154" s="3720"/>
      <c r="BD154" s="3720"/>
      <c r="BE154" s="3720"/>
      <c r="BF154" s="3720"/>
      <c r="BG154" s="3720"/>
      <c r="BH154" s="3720"/>
      <c r="BI154" s="3720"/>
      <c r="BJ154" s="3720"/>
      <c r="BK154" s="3720"/>
      <c r="BL154" s="3720"/>
      <c r="BM154" s="3720">
        <f>SUM(BN154:BO154)</f>
        <v>131812.87290000002</v>
      </c>
      <c r="BN154" s="3720">
        <f>SUM(BN153+BN150)</f>
        <v>131195.06400000001</v>
      </c>
      <c r="BO154" s="3720">
        <f>SUM(BO153+BO150)</f>
        <v>617.80889999999999</v>
      </c>
      <c r="BP154" s="3720">
        <f>SUM(BQ154:BR154)</f>
        <v>136436.86200000002</v>
      </c>
      <c r="BQ154" s="3720">
        <f>SUM(BQ153+BQ150)</f>
        <v>136412.62900000002</v>
      </c>
      <c r="BR154" s="3720">
        <f>SUM(BR153+BR150)</f>
        <v>24.232999999999997</v>
      </c>
      <c r="BS154" s="3720">
        <f>SUM(BT154:BU154)</f>
        <v>158658.21</v>
      </c>
      <c r="BT154" s="3720">
        <f>SUM(BT153+BT150)</f>
        <v>158558.91999999998</v>
      </c>
      <c r="BU154" s="3720">
        <f>SUM(BU153+BU150)</f>
        <v>99.29</v>
      </c>
      <c r="BV154" s="3720">
        <f>SUM(BW154:BX154)</f>
        <v>137237.70935394889</v>
      </c>
      <c r="BW154" s="3720">
        <f>SUM(BW153+BW150)</f>
        <v>137206.89811148541</v>
      </c>
      <c r="BX154" s="3720">
        <f>SUM(BX153+BX150)</f>
        <v>30.811242463479257</v>
      </c>
      <c r="BY154" s="3720">
        <f>SUM(BZ154:CA154)</f>
        <v>163826.75456745879</v>
      </c>
      <c r="BZ154" s="3720">
        <f>SUM(BZ153+BZ150)</f>
        <v>163792.15655699337</v>
      </c>
      <c r="CA154" s="3720">
        <f>SUM(CA153+CA150)</f>
        <v>34.59801046541218</v>
      </c>
      <c r="CB154" s="3703"/>
      <c r="CC154" s="3707"/>
      <c r="CD154" s="3708"/>
      <c r="CE154" s="3708"/>
      <c r="CF154" s="3720">
        <f>SUM(CG154:CH154)</f>
        <v>134983.82862932203</v>
      </c>
      <c r="CG154" s="3720">
        <f>SUM(CG153+CG150)</f>
        <v>134953.31075321761</v>
      </c>
      <c r="CH154" s="3720">
        <f>SUM(CH153+CH150)</f>
        <v>30.517876104420509</v>
      </c>
      <c r="CI154" s="3720">
        <f>SUM(CJ154:CK154)</f>
        <v>72796.149798500002</v>
      </c>
      <c r="CJ154" s="3720">
        <f>SUM(CJ153+CJ150)</f>
        <v>72783.630038500007</v>
      </c>
      <c r="CK154" s="3720">
        <f>SUM(CK153+CK150)</f>
        <v>12.51976</v>
      </c>
      <c r="CL154" s="3720">
        <f>SUM(CM154:CN154)</f>
        <v>111672.54458316999</v>
      </c>
      <c r="CM154" s="3720">
        <f>SUM(CM153+CM150)</f>
        <v>111653.58178317</v>
      </c>
      <c r="CN154" s="3720">
        <f>SUM(CN153+CN150)</f>
        <v>18.962800000000001</v>
      </c>
      <c r="CO154" s="3720">
        <f>SUM(CP154:CQ154)</f>
        <v>147941.30603787999</v>
      </c>
      <c r="CP154" s="3720">
        <f>SUM(CP153+CP150)</f>
        <v>147917.23693787999</v>
      </c>
      <c r="CQ154" s="3720">
        <f>SUM(CQ153+CQ150)</f>
        <v>24.069100000000002</v>
      </c>
      <c r="CR154" s="3723">
        <f>SUM(CS154:CT154)</f>
        <v>177997.77485092118</v>
      </c>
      <c r="CS154" s="3723">
        <f>SUM(CS153+CS150)</f>
        <v>177938.59485403635</v>
      </c>
      <c r="CT154" s="3723">
        <f>SUM(CT153+CT150)</f>
        <v>59.179996884835653</v>
      </c>
      <c r="CU154" s="4138">
        <f>SUM(CV154:CW154)</f>
        <v>143058.60451889149</v>
      </c>
      <c r="CV154" s="4138">
        <f>SUM(CV153+CV150)</f>
        <v>143024.81977326504</v>
      </c>
      <c r="CW154" s="4138">
        <f>SUM(CW153+CW150)</f>
        <v>33.784745626442408</v>
      </c>
      <c r="CX154" s="3723">
        <f>SUM(CY154:CZ154)</f>
        <v>74098.735209999999</v>
      </c>
      <c r="CY154" s="3723">
        <f>SUM(CY153+CY150)</f>
        <v>74088.261499999993</v>
      </c>
      <c r="CZ154" s="3723">
        <f>SUM(CZ153+CZ150)</f>
        <v>10.473710000000001</v>
      </c>
      <c r="DA154" s="3723">
        <f>SUM(DB154:DC154)</f>
        <v>107390.35072100001</v>
      </c>
      <c r="DB154" s="3723">
        <f>SUM(DB153+DB150)</f>
        <v>107372.86429100001</v>
      </c>
      <c r="DC154" s="3723">
        <f>SUM(DC153+DC150)</f>
        <v>17.486429999999999</v>
      </c>
      <c r="DD154" s="4036">
        <f>SUM(DE154:DF154)</f>
        <v>17374.274937879996</v>
      </c>
      <c r="DE154" s="4036">
        <f>SUM(DE153+DE150)</f>
        <v>17369.824937879996</v>
      </c>
      <c r="DF154" s="4036">
        <f>SUM(DF153+DF150)</f>
        <v>4.4499999999999993</v>
      </c>
    </row>
    <row r="155" spans="1:110" ht="27" customHeight="1" x14ac:dyDescent="0.35">
      <c r="A155" s="3719" t="s">
        <v>3712</v>
      </c>
      <c r="B155" s="3719"/>
      <c r="C155" s="3719"/>
      <c r="D155" s="3719"/>
      <c r="E155" s="3719"/>
      <c r="F155" s="3719"/>
      <c r="G155" s="3719"/>
      <c r="H155" s="3719"/>
      <c r="I155" s="3719"/>
      <c r="J155" s="3719"/>
      <c r="K155" s="3719"/>
      <c r="L155" s="3719"/>
      <c r="M155" s="3719"/>
      <c r="N155" s="3719"/>
      <c r="O155" s="3719"/>
      <c r="P155" s="3719"/>
      <c r="Q155" s="3719"/>
      <c r="R155" s="3719"/>
      <c r="S155" s="3719"/>
      <c r="T155" s="3719"/>
      <c r="U155" s="3719"/>
      <c r="V155" s="3719"/>
      <c r="W155" s="3719"/>
      <c r="X155" s="3719"/>
      <c r="Y155" s="3725">
        <f>SUM(Y150/Y151)</f>
        <v>34.698300000000003</v>
      </c>
      <c r="Z155" s="3719"/>
      <c r="AA155" s="3725" t="e">
        <f t="shared" ref="AA155:AE155" si="768">SUM(AA150/AA151)</f>
        <v>#REF!</v>
      </c>
      <c r="AB155" s="3725" t="e">
        <f t="shared" si="768"/>
        <v>#REF!</v>
      </c>
      <c r="AC155" s="3725" t="e">
        <f t="shared" si="768"/>
        <v>#REF!</v>
      </c>
      <c r="AD155" s="3725" t="e">
        <f t="shared" si="768"/>
        <v>#REF!</v>
      </c>
      <c r="AE155" s="3725">
        <f t="shared" si="768"/>
        <v>28.056456893067594</v>
      </c>
      <c r="AF155" s="3725">
        <f t="shared" ref="AF155" si="769">SUM(AF150/AF151)</f>
        <v>28.205017254103591</v>
      </c>
      <c r="AG155" s="3725">
        <f t="shared" ref="AG155" si="770">SUM(AG150/AG151)</f>
        <v>16.156115683332491</v>
      </c>
      <c r="AH155" s="3725">
        <f t="shared" ref="AH155:AJ155" si="771">SUM(AH150/AH151)</f>
        <v>29.999857943440919</v>
      </c>
      <c r="AI155" s="3721" t="e">
        <f t="shared" si="486"/>
        <v>#REF!</v>
      </c>
      <c r="AJ155" s="3725">
        <f t="shared" si="771"/>
        <v>30.147115478986688</v>
      </c>
      <c r="AK155" s="3725">
        <f t="shared" ref="AK155:AL155" si="772">SUM(AK150/AK151)</f>
        <v>17.210925644916539</v>
      </c>
      <c r="AL155" s="3725" t="e">
        <f t="shared" si="772"/>
        <v>#REF!</v>
      </c>
      <c r="AM155" s="3721" t="e">
        <f t="shared" si="489"/>
        <v>#REF!</v>
      </c>
      <c r="AN155" s="3725" t="e">
        <f t="shared" ref="AN155" si="773">SUM(AN150/AN151)</f>
        <v>#REF!</v>
      </c>
      <c r="AO155" s="3725">
        <f t="shared" ref="AO155" si="774">SUM(AO150/AO151)</f>
        <v>16.696745760680759</v>
      </c>
      <c r="AP155" s="3719"/>
      <c r="AQ155" s="3719"/>
      <c r="AR155" s="3719"/>
      <c r="AS155" s="3719"/>
      <c r="AT155" s="3725">
        <f t="shared" ref="AT155" si="775">SUM(AT150/AT151)</f>
        <v>28.472176098930916</v>
      </c>
      <c r="AU155" s="3725">
        <f t="shared" ref="AU155" si="776">SUM(AU150/AU151)</f>
        <v>28.563201351485887</v>
      </c>
      <c r="AV155" s="3725">
        <f t="shared" ref="AV155" si="777">SUM(AV150/AV151)</f>
        <v>15.338095898520834</v>
      </c>
      <c r="AW155" s="3725">
        <f t="shared" ref="AW155" si="778">SUM(AW150/AW151)</f>
        <v>30.741139873347407</v>
      </c>
      <c r="AX155" s="3725">
        <f t="shared" ref="AX155" si="779">SUM(AX150/AX151)</f>
        <v>30.8082106214449</v>
      </c>
      <c r="AY155" s="3725">
        <f t="shared" ref="AY155:AZ155" si="780">SUM(AY150/AY151)</f>
        <v>16.891877058177826</v>
      </c>
      <c r="AZ155" s="3725">
        <f t="shared" si="780"/>
        <v>33.08033394221389</v>
      </c>
      <c r="BA155" s="3722" t="e">
        <f t="shared" si="493"/>
        <v>#REF!</v>
      </c>
      <c r="BB155" s="3725">
        <f t="shared" ref="BB155" si="781">SUM(BB150/BB151)</f>
        <v>33.487103311407502</v>
      </c>
      <c r="BC155" s="3725">
        <f t="shared" ref="BC155" si="782">SUM(BC150/BC151)</f>
        <v>19.765428122119772</v>
      </c>
      <c r="BD155" s="3725">
        <f t="shared" ref="BD155" si="783">SUM(BD150/BD151)</f>
        <v>30.050162815403326</v>
      </c>
      <c r="BE155" s="3725">
        <f t="shared" ref="BE155" si="784">SUM(BE150/BE151)</f>
        <v>30.125249119885538</v>
      </c>
      <c r="BF155" s="3725">
        <f t="shared" ref="BF155:BH155" si="785">SUM(BF150/BF151)</f>
        <v>16.066243006456382</v>
      </c>
      <c r="BG155" s="3725">
        <f t="shared" si="785"/>
        <v>33.787241435352534</v>
      </c>
      <c r="BH155" s="3725">
        <f t="shared" si="785"/>
        <v>33.798216098296855</v>
      </c>
      <c r="BI155" s="3725">
        <f t="shared" ref="BI155:BK155" si="786">SUM(BI150/BI151)</f>
        <v>17.479166666666668</v>
      </c>
      <c r="BJ155" s="3725">
        <f t="shared" si="786"/>
        <v>36.88005971177585</v>
      </c>
      <c r="BK155" s="3725">
        <f t="shared" si="786"/>
        <v>36.88995568685376</v>
      </c>
      <c r="BL155" s="3725">
        <f>SUM(BL150/BL151)</f>
        <v>16.440677966101692</v>
      </c>
      <c r="BM155" s="3725">
        <f>SUM(BM154/BM151)</f>
        <v>36.398118113889034</v>
      </c>
      <c r="BN155" s="3725">
        <f t="shared" ref="BN155:CN155" si="787">SUM(BN154/BN151)</f>
        <v>36.443073333333338</v>
      </c>
      <c r="BO155" s="3725">
        <f t="shared" si="787"/>
        <v>28.842619047619046</v>
      </c>
      <c r="BP155" s="3725">
        <f t="shared" si="787"/>
        <v>37.279246944077933</v>
      </c>
      <c r="BQ155" s="3725">
        <f t="shared" si="787"/>
        <v>37.286185708467613</v>
      </c>
      <c r="BR155" s="3725">
        <f t="shared" si="787"/>
        <v>18.206611570247933</v>
      </c>
      <c r="BS155" s="3725">
        <f t="shared" si="787"/>
        <v>44.01059916782247</v>
      </c>
      <c r="BT155" s="3725">
        <f t="shared" si="787"/>
        <v>44.044144444444441</v>
      </c>
      <c r="BU155" s="3725">
        <f t="shared" si="787"/>
        <v>19.858000000000001</v>
      </c>
      <c r="BV155" s="3725">
        <f t="shared" si="787"/>
        <v>37.472121993070537</v>
      </c>
      <c r="BW155" s="3725">
        <f t="shared" si="787"/>
        <v>37.481823728213598</v>
      </c>
      <c r="BX155" s="3725">
        <f t="shared" si="787"/>
        <v>17.407481617784892</v>
      </c>
      <c r="BY155" s="3725">
        <f t="shared" si="787"/>
        <v>44.732137848845547</v>
      </c>
      <c r="BZ155" s="3725">
        <f t="shared" si="787"/>
        <v>44.744315516446207</v>
      </c>
      <c r="CA155" s="3725">
        <f t="shared" si="787"/>
        <v>19.54689856802948</v>
      </c>
      <c r="CB155" s="3725" t="e">
        <f t="shared" si="787"/>
        <v>#DIV/0!</v>
      </c>
      <c r="CC155" s="3725" t="e">
        <f t="shared" si="787"/>
        <v>#DIV/0!</v>
      </c>
      <c r="CD155" s="3725" t="e">
        <f t="shared" si="787"/>
        <v>#DIV/0!</v>
      </c>
      <c r="CE155" s="3725" t="e">
        <f t="shared" si="787"/>
        <v>#DIV/0!</v>
      </c>
      <c r="CF155" s="3725">
        <f t="shared" si="787"/>
        <v>38.847285581706217</v>
      </c>
      <c r="CG155" s="3725">
        <f t="shared" si="787"/>
        <v>38.858296886004339</v>
      </c>
      <c r="CH155" s="3725">
        <f t="shared" si="787"/>
        <v>17.241737912101982</v>
      </c>
      <c r="CI155" s="3725">
        <f t="shared" si="787"/>
        <v>41.562436189151057</v>
      </c>
      <c r="CJ155" s="3725">
        <f t="shared" si="787"/>
        <v>41.568531277646009</v>
      </c>
      <c r="CK155" s="3725">
        <f t="shared" si="787"/>
        <v>22.436845878136197</v>
      </c>
      <c r="CL155" s="3725">
        <f t="shared" si="787"/>
        <v>42.31211457738673</v>
      </c>
      <c r="CM155" s="3725">
        <f t="shared" si="787"/>
        <v>42.318221980349655</v>
      </c>
      <c r="CN155" s="3725">
        <f t="shared" si="787"/>
        <v>22.874306393244876</v>
      </c>
      <c r="CO155" s="3725">
        <f t="shared" ref="CO155:CQ155" si="788">CO154/CO151</f>
        <v>41.921570471731101</v>
      </c>
      <c r="CP155" s="3725">
        <f t="shared" si="788"/>
        <v>41.928163779671202</v>
      </c>
      <c r="CQ155" s="3725">
        <f t="shared" si="788"/>
        <v>21.318954827280781</v>
      </c>
      <c r="CR155" s="3726">
        <f t="shared" ref="CR155:CT155" si="789">CR154/CR151</f>
        <v>51.226361429786259</v>
      </c>
      <c r="CS155" s="3726">
        <f t="shared" si="789"/>
        <v>51.235428814048063</v>
      </c>
      <c r="CT155" s="3726">
        <f t="shared" si="789"/>
        <v>33.435026488607711</v>
      </c>
      <c r="CU155" s="4146">
        <f t="shared" ref="CU155:CW155" si="790">CU154/CU151</f>
        <v>40.798819508862373</v>
      </c>
      <c r="CV155" s="4146">
        <f t="shared" si="790"/>
        <v>40.809782311391672</v>
      </c>
      <c r="CW155" s="4146">
        <f t="shared" si="790"/>
        <v>19.08958392272709</v>
      </c>
      <c r="CX155" s="3726">
        <f t="shared" ref="CX155:DC155" si="791">SUM(CX154/CX151)</f>
        <v>41.889180710522737</v>
      </c>
      <c r="CY155" s="3726">
        <f t="shared" si="791"/>
        <v>41.896073076970929</v>
      </c>
      <c r="CZ155" s="3726">
        <f t="shared" si="791"/>
        <v>19.359907578558225</v>
      </c>
      <c r="DA155" s="3726">
        <f t="shared" si="791"/>
        <v>40.785580629969772</v>
      </c>
      <c r="DB155" s="3726">
        <f t="shared" si="791"/>
        <v>40.790186413815036</v>
      </c>
      <c r="DC155" s="3726">
        <f t="shared" si="791"/>
        <v>24.085991735537188</v>
      </c>
      <c r="DD155" s="4037" t="e">
        <f t="shared" ref="DD155:DF155" si="792">DD154/DD151</f>
        <v>#DIV/0!</v>
      </c>
      <c r="DE155" s="4037" t="e">
        <f t="shared" si="792"/>
        <v>#DIV/0!</v>
      </c>
      <c r="DF155" s="4037" t="e">
        <f t="shared" si="792"/>
        <v>#DIV/0!</v>
      </c>
    </row>
    <row r="156" spans="1:110" ht="27" customHeight="1" x14ac:dyDescent="0.35">
      <c r="A156" s="3727" t="s">
        <v>421</v>
      </c>
      <c r="B156" s="3719"/>
      <c r="C156" s="3719"/>
      <c r="D156" s="3719"/>
      <c r="E156" s="3719"/>
      <c r="F156" s="3719"/>
      <c r="G156" s="3719"/>
      <c r="H156" s="3719"/>
      <c r="I156" s="3719"/>
      <c r="J156" s="3719"/>
      <c r="K156" s="3719"/>
      <c r="L156" s="3719"/>
      <c r="M156" s="3719"/>
      <c r="N156" s="3719"/>
      <c r="O156" s="3719"/>
      <c r="P156" s="3719"/>
      <c r="Q156" s="3719"/>
      <c r="R156" s="3719"/>
      <c r="S156" s="3719"/>
      <c r="T156" s="3719"/>
      <c r="U156" s="3719"/>
      <c r="V156" s="3719"/>
      <c r="W156" s="3719"/>
      <c r="X156" s="3719"/>
      <c r="Y156" s="3720">
        <f>SUM(Y81)</f>
        <v>0</v>
      </c>
      <c r="Z156" s="3719"/>
      <c r="AA156" s="3720">
        <f t="shared" ref="AA156:AD156" si="793">SUM(AA81)</f>
        <v>0</v>
      </c>
      <c r="AB156" s="3720">
        <f t="shared" si="793"/>
        <v>0</v>
      </c>
      <c r="AC156" s="3720">
        <f t="shared" si="793"/>
        <v>0</v>
      </c>
      <c r="AD156" s="3720">
        <f t="shared" si="793"/>
        <v>0</v>
      </c>
      <c r="AE156" s="3720">
        <f t="shared" ref="AE156:AH156" si="794">SUM(AE81)</f>
        <v>0</v>
      </c>
      <c r="AF156" s="3720">
        <f t="shared" si="794"/>
        <v>0</v>
      </c>
      <c r="AG156" s="3720">
        <f t="shared" si="794"/>
        <v>0</v>
      </c>
      <c r="AH156" s="3720">
        <f t="shared" si="794"/>
        <v>6078.58</v>
      </c>
      <c r="AI156" s="3721" t="e">
        <f t="shared" si="486"/>
        <v>#DIV/0!</v>
      </c>
      <c r="AJ156" s="3720">
        <f t="shared" ref="AJ156:AK156" si="795">SUM(AJ81)</f>
        <v>6038.88</v>
      </c>
      <c r="AK156" s="3720">
        <f t="shared" si="795"/>
        <v>39.700000000000003</v>
      </c>
      <c r="AL156" s="3720" t="e">
        <f t="shared" ref="AL156:AO156" si="796">SUM(AL81)</f>
        <v>#REF!</v>
      </c>
      <c r="AM156" s="3721" t="e">
        <f t="shared" si="489"/>
        <v>#REF!</v>
      </c>
      <c r="AN156" s="3720" t="e">
        <f t="shared" si="796"/>
        <v>#REF!</v>
      </c>
      <c r="AO156" s="3720">
        <f t="shared" si="796"/>
        <v>98.511044097010171</v>
      </c>
      <c r="AP156" s="3719"/>
      <c r="AQ156" s="3719"/>
      <c r="AR156" s="3719"/>
      <c r="AS156" s="3719"/>
      <c r="AT156" s="3720">
        <f t="shared" ref="AT156:AV156" si="797">SUM(AT81)</f>
        <v>0</v>
      </c>
      <c r="AU156" s="3720">
        <f t="shared" si="797"/>
        <v>0</v>
      </c>
      <c r="AV156" s="3720">
        <f t="shared" si="797"/>
        <v>0</v>
      </c>
      <c r="AW156" s="3720">
        <f t="shared" ref="AW156:AY156" si="798">SUM(AW81)</f>
        <v>0</v>
      </c>
      <c r="AX156" s="3720">
        <f t="shared" si="798"/>
        <v>0</v>
      </c>
      <c r="AY156" s="3720">
        <f t="shared" si="798"/>
        <v>0</v>
      </c>
      <c r="AZ156" s="3720">
        <f t="shared" ref="AZ156:BC156" si="799">SUM(AZ81)</f>
        <v>6800.9889110875247</v>
      </c>
      <c r="BA156" s="3722" t="e">
        <f t="shared" si="493"/>
        <v>#REF!</v>
      </c>
      <c r="BB156" s="3720">
        <f t="shared" si="799"/>
        <v>6737.4825905311536</v>
      </c>
      <c r="BC156" s="3720">
        <f t="shared" si="799"/>
        <v>63.506320556370831</v>
      </c>
      <c r="BD156" s="3720">
        <f t="shared" ref="BD156:BF156" si="800">SUM(BD81)</f>
        <v>6008.8077959141219</v>
      </c>
      <c r="BE156" s="3720">
        <f t="shared" si="800"/>
        <v>6008.8077959141219</v>
      </c>
      <c r="BF156" s="3720">
        <f t="shared" si="800"/>
        <v>0</v>
      </c>
      <c r="BG156" s="3720">
        <f t="shared" ref="BG156:BI156" si="801">SUM(BG81)</f>
        <v>0</v>
      </c>
      <c r="BH156" s="3720">
        <f t="shared" si="801"/>
        <v>0</v>
      </c>
      <c r="BI156" s="3720">
        <f t="shared" si="801"/>
        <v>0</v>
      </c>
      <c r="BJ156" s="3720">
        <f t="shared" ref="BJ156:BX156" si="802">SUM(BJ81)</f>
        <v>0</v>
      </c>
      <c r="BK156" s="3720">
        <f t="shared" si="802"/>
        <v>0</v>
      </c>
      <c r="BL156" s="3720">
        <f t="shared" si="802"/>
        <v>0</v>
      </c>
      <c r="BM156" s="3720">
        <f t="shared" ref="BM156:BR156" si="803">SUM(BM81)</f>
        <v>0</v>
      </c>
      <c r="BN156" s="3720">
        <f t="shared" si="803"/>
        <v>0</v>
      </c>
      <c r="BO156" s="3720">
        <f t="shared" si="803"/>
        <v>0</v>
      </c>
      <c r="BP156" s="3720">
        <f t="shared" si="803"/>
        <v>0</v>
      </c>
      <c r="BQ156" s="3720">
        <f t="shared" si="803"/>
        <v>0</v>
      </c>
      <c r="BR156" s="3720">
        <f t="shared" si="803"/>
        <v>0</v>
      </c>
      <c r="BS156" s="3720">
        <f t="shared" si="802"/>
        <v>0</v>
      </c>
      <c r="BT156" s="3720">
        <f t="shared" si="802"/>
        <v>0</v>
      </c>
      <c r="BU156" s="3720">
        <f t="shared" si="802"/>
        <v>0</v>
      </c>
      <c r="BV156" s="3720">
        <f t="shared" si="802"/>
        <v>0</v>
      </c>
      <c r="BW156" s="3720">
        <f t="shared" si="802"/>
        <v>0</v>
      </c>
      <c r="BX156" s="3720">
        <f t="shared" si="802"/>
        <v>0</v>
      </c>
      <c r="BY156" s="3720">
        <f t="shared" ref="BY156:CA156" si="804">SUM(BY81)</f>
        <v>0</v>
      </c>
      <c r="BZ156" s="3720">
        <f t="shared" si="804"/>
        <v>0</v>
      </c>
      <c r="CA156" s="3720">
        <f t="shared" si="804"/>
        <v>0</v>
      </c>
      <c r="CB156" s="3580"/>
      <c r="CC156" s="3708"/>
      <c r="CD156" s="3708"/>
      <c r="CE156" s="3708"/>
      <c r="CF156" s="3720">
        <f t="shared" ref="CF156:CH156" si="805">SUM(CF81)</f>
        <v>0</v>
      </c>
      <c r="CG156" s="3720">
        <f t="shared" si="805"/>
        <v>0</v>
      </c>
      <c r="CH156" s="3720">
        <f t="shared" si="805"/>
        <v>0</v>
      </c>
      <c r="CI156" s="3720">
        <f t="shared" ref="CI156:CK156" si="806">SUM(CI81)</f>
        <v>0</v>
      </c>
      <c r="CJ156" s="3720">
        <f t="shared" si="806"/>
        <v>0</v>
      </c>
      <c r="CK156" s="3720">
        <f t="shared" si="806"/>
        <v>0</v>
      </c>
      <c r="CL156" s="3720">
        <f t="shared" ref="CL156:CN156" si="807">SUM(CL81)</f>
        <v>0</v>
      </c>
      <c r="CM156" s="3720">
        <f t="shared" si="807"/>
        <v>0</v>
      </c>
      <c r="CN156" s="3720">
        <f t="shared" si="807"/>
        <v>0</v>
      </c>
      <c r="CO156" s="3720">
        <f t="shared" ref="CO156:CQ156" si="808">SUM(CO81)</f>
        <v>0</v>
      </c>
      <c r="CP156" s="3720">
        <f t="shared" si="808"/>
        <v>0</v>
      </c>
      <c r="CQ156" s="3720">
        <f t="shared" si="808"/>
        <v>0</v>
      </c>
      <c r="CR156" s="3723">
        <f t="shared" ref="CR156:CT156" si="809">SUM(CR81)</f>
        <v>0</v>
      </c>
      <c r="CS156" s="3723">
        <f t="shared" si="809"/>
        <v>0</v>
      </c>
      <c r="CT156" s="3723">
        <f t="shared" si="809"/>
        <v>0</v>
      </c>
      <c r="CU156" s="4138">
        <f t="shared" ref="CU156:CW156" si="810">SUM(CU81)</f>
        <v>0</v>
      </c>
      <c r="CV156" s="4138">
        <f t="shared" si="810"/>
        <v>0</v>
      </c>
      <c r="CW156" s="4138">
        <f t="shared" si="810"/>
        <v>0</v>
      </c>
      <c r="CX156" s="3723">
        <f t="shared" ref="CX156:DF156" si="811">SUM(CX81)</f>
        <v>0</v>
      </c>
      <c r="CY156" s="3723">
        <f t="shared" si="811"/>
        <v>0</v>
      </c>
      <c r="CZ156" s="3723">
        <f t="shared" si="811"/>
        <v>0</v>
      </c>
      <c r="DA156" s="3723">
        <f t="shared" si="811"/>
        <v>0</v>
      </c>
      <c r="DB156" s="3723">
        <f t="shared" si="811"/>
        <v>0</v>
      </c>
      <c r="DC156" s="3723">
        <f t="shared" si="811"/>
        <v>0</v>
      </c>
      <c r="DD156" s="4036">
        <f t="shared" si="811"/>
        <v>0</v>
      </c>
      <c r="DE156" s="4036">
        <f t="shared" si="811"/>
        <v>0</v>
      </c>
      <c r="DF156" s="4036">
        <f t="shared" si="811"/>
        <v>0</v>
      </c>
    </row>
    <row r="157" spans="1:110" ht="27" customHeight="1" x14ac:dyDescent="0.35">
      <c r="A157" s="3727" t="s">
        <v>529</v>
      </c>
      <c r="B157" s="3719"/>
      <c r="C157" s="3719"/>
      <c r="D157" s="3719"/>
      <c r="E157" s="3719"/>
      <c r="F157" s="3719"/>
      <c r="G157" s="3719"/>
      <c r="H157" s="3719"/>
      <c r="I157" s="3719"/>
      <c r="J157" s="3719"/>
      <c r="K157" s="3719"/>
      <c r="L157" s="3719"/>
      <c r="M157" s="3719"/>
      <c r="N157" s="3719"/>
      <c r="O157" s="3719"/>
      <c r="P157" s="3719"/>
      <c r="Q157" s="3719"/>
      <c r="R157" s="3719"/>
      <c r="S157" s="3719"/>
      <c r="T157" s="3719"/>
      <c r="U157" s="3719"/>
      <c r="V157" s="3719"/>
      <c r="W157" s="3719"/>
      <c r="X157" s="3719"/>
      <c r="Y157" s="3720">
        <f>SUM(Y150+Y156)</f>
        <v>138793.20000000001</v>
      </c>
      <c r="Z157" s="3719"/>
      <c r="AA157" s="3720" t="e">
        <f t="shared" ref="AA157:AE157" si="812">SUM(AA150+AA156)</f>
        <v>#REF!</v>
      </c>
      <c r="AB157" s="3720" t="e">
        <f t="shared" si="812"/>
        <v>#REF!</v>
      </c>
      <c r="AC157" s="3720" t="e">
        <f t="shared" si="812"/>
        <v>#REF!</v>
      </c>
      <c r="AD157" s="3720" t="e">
        <f t="shared" si="812"/>
        <v>#REF!</v>
      </c>
      <c r="AE157" s="3720">
        <f t="shared" si="812"/>
        <v>113320.02939110002</v>
      </c>
      <c r="AF157" s="3720">
        <f t="shared" ref="AF157" si="813">SUM(AF150+AF156)</f>
        <v>112515.45483007004</v>
      </c>
      <c r="AG157" s="3720">
        <f t="shared" ref="AG157" si="814">SUM(AG150+AG156)</f>
        <v>804.57456102995798</v>
      </c>
      <c r="AH157" s="3720">
        <f t="shared" ref="AH157:AJ157" si="815">SUM(AH150+AH156)</f>
        <v>127650.00432999998</v>
      </c>
      <c r="AI157" s="3721" t="e">
        <f t="shared" si="486"/>
        <v>#REF!</v>
      </c>
      <c r="AJ157" s="3720">
        <f t="shared" si="815"/>
        <v>126816.36433</v>
      </c>
      <c r="AK157" s="3720">
        <f t="shared" ref="AK157:AL157" si="816">SUM(AK150+AK156)</f>
        <v>833.64</v>
      </c>
      <c r="AL157" s="3720" t="e">
        <f t="shared" si="816"/>
        <v>#REF!</v>
      </c>
      <c r="AM157" s="3721" t="e">
        <f t="shared" si="489"/>
        <v>#REF!</v>
      </c>
      <c r="AN157" s="3720" t="e">
        <f t="shared" ref="AN157" si="817">SUM(AN150+AN156)</f>
        <v>#REF!</v>
      </c>
      <c r="AO157" s="3720">
        <f t="shared" ref="AO157" si="818">SUM(AO150+AO156)</f>
        <v>868.73192603721361</v>
      </c>
      <c r="AP157" s="3719"/>
      <c r="AQ157" s="3719"/>
      <c r="AR157" s="3719"/>
      <c r="AS157" s="3719"/>
      <c r="AT157" s="3720">
        <f t="shared" ref="AT157" si="819">SUM(AT150+AT156)</f>
        <v>56673.297081400007</v>
      </c>
      <c r="AU157" s="3720">
        <f t="shared" ref="AU157" si="820">SUM(AU150+AU156)</f>
        <v>56463.165167590269</v>
      </c>
      <c r="AV157" s="3720">
        <f t="shared" ref="AV157" si="821">SUM(AV150+AV156)</f>
        <v>210.13191380973541</v>
      </c>
      <c r="AW157" s="3720">
        <f t="shared" ref="AW157" si="822">SUM(AW150+AW156)</f>
        <v>116214.42000000001</v>
      </c>
      <c r="AX157" s="3720">
        <f t="shared" ref="AX157" si="823">SUM(AX150+AX156)</f>
        <v>115906.65000000001</v>
      </c>
      <c r="AY157" s="3720">
        <f t="shared" ref="AY157:AZ157" si="824">SUM(AY150+AY156)</f>
        <v>307.77</v>
      </c>
      <c r="AZ157" s="3720">
        <f t="shared" si="824"/>
        <v>139474.20019208643</v>
      </c>
      <c r="BA157" s="3722" t="e">
        <f t="shared" si="493"/>
        <v>#REF!</v>
      </c>
      <c r="BB157" s="3720">
        <f t="shared" ref="BB157" si="825">SUM(BB150+BB156)</f>
        <v>140324.80440115422</v>
      </c>
      <c r="BC157" s="3720">
        <f t="shared" ref="BC157" si="826">SUM(BC150+BC156)</f>
        <v>486.88179093217639</v>
      </c>
      <c r="BD157" s="3720">
        <f t="shared" ref="BD157" si="827">SUM(BD150+BD156)</f>
        <v>126529.10263939487</v>
      </c>
      <c r="BE157" s="3720">
        <f t="shared" ref="BE157" si="828">SUM(BE150+BE156)</f>
        <v>126184.96371419655</v>
      </c>
      <c r="BF157" s="3720">
        <f t="shared" ref="BF157:BH157" si="829">SUM(BF150+BF156)</f>
        <v>344.13892519829574</v>
      </c>
      <c r="BG157" s="3720">
        <f t="shared" si="829"/>
        <v>120577.88</v>
      </c>
      <c r="BH157" s="3720">
        <f t="shared" si="829"/>
        <v>120535.93000000001</v>
      </c>
      <c r="BI157" s="3720">
        <f t="shared" ref="BI157:BK157" si="830">SUM(BI150+BI156)</f>
        <v>41.95</v>
      </c>
      <c r="BJ157" s="3720">
        <f t="shared" si="830"/>
        <v>134891.4</v>
      </c>
      <c r="BK157" s="3720">
        <f t="shared" si="830"/>
        <v>134862.29999999999</v>
      </c>
      <c r="BL157" s="3720">
        <f>SUM(BL150+BL156)</f>
        <v>29.099999999999998</v>
      </c>
      <c r="BM157" s="3720">
        <f>SUM(BM154+BM156)</f>
        <v>131812.87290000002</v>
      </c>
      <c r="BN157" s="3720">
        <f t="shared" ref="BN157:CN157" si="831">SUM(BN154+BN156)</f>
        <v>131195.06400000001</v>
      </c>
      <c r="BO157" s="3720">
        <f t="shared" si="831"/>
        <v>617.80889999999999</v>
      </c>
      <c r="BP157" s="3720">
        <f t="shared" si="831"/>
        <v>136436.86200000002</v>
      </c>
      <c r="BQ157" s="3720">
        <f t="shared" si="831"/>
        <v>136412.62900000002</v>
      </c>
      <c r="BR157" s="3720">
        <f t="shared" si="831"/>
        <v>24.232999999999997</v>
      </c>
      <c r="BS157" s="3720">
        <f t="shared" si="831"/>
        <v>158658.21</v>
      </c>
      <c r="BT157" s="3720">
        <f t="shared" si="831"/>
        <v>158558.91999999998</v>
      </c>
      <c r="BU157" s="3720">
        <f t="shared" si="831"/>
        <v>99.29</v>
      </c>
      <c r="BV157" s="3720">
        <f t="shared" si="831"/>
        <v>137237.70935394889</v>
      </c>
      <c r="BW157" s="3720">
        <f t="shared" si="831"/>
        <v>137206.89811148541</v>
      </c>
      <c r="BX157" s="3720">
        <f t="shared" si="831"/>
        <v>30.811242463479257</v>
      </c>
      <c r="BY157" s="3720">
        <f t="shared" si="831"/>
        <v>163826.75456745879</v>
      </c>
      <c r="BZ157" s="3720">
        <f t="shared" si="831"/>
        <v>163792.15655699337</v>
      </c>
      <c r="CA157" s="3720">
        <f t="shared" si="831"/>
        <v>34.59801046541218</v>
      </c>
      <c r="CB157" s="3720">
        <f t="shared" si="831"/>
        <v>0</v>
      </c>
      <c r="CC157" s="3720">
        <f t="shared" si="831"/>
        <v>0</v>
      </c>
      <c r="CD157" s="3720">
        <f t="shared" si="831"/>
        <v>0</v>
      </c>
      <c r="CE157" s="3720">
        <f t="shared" si="831"/>
        <v>0</v>
      </c>
      <c r="CF157" s="3720">
        <f t="shared" si="831"/>
        <v>134983.82862932203</v>
      </c>
      <c r="CG157" s="3720">
        <f t="shared" si="831"/>
        <v>134953.31075321761</v>
      </c>
      <c r="CH157" s="3720">
        <f t="shared" si="831"/>
        <v>30.517876104420509</v>
      </c>
      <c r="CI157" s="3720">
        <f t="shared" si="831"/>
        <v>72796.149798500002</v>
      </c>
      <c r="CJ157" s="3720">
        <f t="shared" si="831"/>
        <v>72783.630038500007</v>
      </c>
      <c r="CK157" s="3720">
        <f t="shared" si="831"/>
        <v>12.51976</v>
      </c>
      <c r="CL157" s="3720">
        <f t="shared" si="831"/>
        <v>111672.54458316999</v>
      </c>
      <c r="CM157" s="3720">
        <f t="shared" si="831"/>
        <v>111653.58178317</v>
      </c>
      <c r="CN157" s="3720">
        <f t="shared" si="831"/>
        <v>18.962800000000001</v>
      </c>
      <c r="CO157" s="3720">
        <f t="shared" ref="CO157:CT157" si="832">CO154+CO156</f>
        <v>147941.30603787999</v>
      </c>
      <c r="CP157" s="3720">
        <f t="shared" si="832"/>
        <v>147917.23693787999</v>
      </c>
      <c r="CQ157" s="3720">
        <f t="shared" si="832"/>
        <v>24.069100000000002</v>
      </c>
      <c r="CR157" s="3723">
        <f t="shared" si="832"/>
        <v>177997.77485092118</v>
      </c>
      <c r="CS157" s="3723">
        <f t="shared" si="832"/>
        <v>177938.59485403635</v>
      </c>
      <c r="CT157" s="3723">
        <f t="shared" si="832"/>
        <v>59.179996884835653</v>
      </c>
      <c r="CU157" s="4138">
        <f t="shared" ref="CU157:CW157" si="833">CU154+CU156</f>
        <v>143058.60451889149</v>
      </c>
      <c r="CV157" s="4138">
        <f t="shared" si="833"/>
        <v>143024.81977326504</v>
      </c>
      <c r="CW157" s="4138">
        <f t="shared" si="833"/>
        <v>33.784745626442408</v>
      </c>
      <c r="CX157" s="3723">
        <f t="shared" ref="CX157:DC157" si="834">SUM(CX154+CX156)</f>
        <v>74098.735209999999</v>
      </c>
      <c r="CY157" s="3723">
        <f t="shared" si="834"/>
        <v>74088.261499999993</v>
      </c>
      <c r="CZ157" s="3723">
        <f t="shared" si="834"/>
        <v>10.473710000000001</v>
      </c>
      <c r="DA157" s="3723">
        <f t="shared" si="834"/>
        <v>107390.35072100001</v>
      </c>
      <c r="DB157" s="3723">
        <f t="shared" si="834"/>
        <v>107372.86429100001</v>
      </c>
      <c r="DC157" s="3723">
        <f t="shared" si="834"/>
        <v>17.486429999999999</v>
      </c>
      <c r="DD157" s="4036">
        <f t="shared" ref="DD157:DF157" si="835">DD154+DD156</f>
        <v>17374.274937879996</v>
      </c>
      <c r="DE157" s="4036">
        <f t="shared" si="835"/>
        <v>17369.824937879996</v>
      </c>
      <c r="DF157" s="4036">
        <f t="shared" si="835"/>
        <v>4.4499999999999993</v>
      </c>
    </row>
    <row r="158" spans="1:110" ht="27" customHeight="1" x14ac:dyDescent="0.35">
      <c r="A158" s="3719" t="s">
        <v>69</v>
      </c>
      <c r="B158" s="3719"/>
      <c r="C158" s="3719"/>
      <c r="D158" s="3719"/>
      <c r="E158" s="3719"/>
      <c r="F158" s="3719"/>
      <c r="G158" s="3719"/>
      <c r="H158" s="3719"/>
      <c r="I158" s="3719"/>
      <c r="J158" s="3719"/>
      <c r="K158" s="3719"/>
      <c r="L158" s="3719"/>
      <c r="M158" s="3719"/>
      <c r="N158" s="3719"/>
      <c r="O158" s="3719"/>
      <c r="P158" s="3719"/>
      <c r="Q158" s="3719"/>
      <c r="R158" s="3719"/>
      <c r="S158" s="3719"/>
      <c r="T158" s="3719"/>
      <c r="U158" s="3719"/>
      <c r="V158" s="3719"/>
      <c r="W158" s="3719"/>
      <c r="X158" s="3719"/>
      <c r="Y158" s="3725">
        <f>SUM(Y157/Y151)</f>
        <v>34.698300000000003</v>
      </c>
      <c r="Z158" s="3719"/>
      <c r="AA158" s="3725" t="e">
        <f t="shared" ref="AA158:AE158" si="836">SUM(AA157/AA151)</f>
        <v>#REF!</v>
      </c>
      <c r="AB158" s="3725" t="e">
        <f t="shared" si="836"/>
        <v>#REF!</v>
      </c>
      <c r="AC158" s="3725" t="e">
        <f t="shared" si="836"/>
        <v>#REF!</v>
      </c>
      <c r="AD158" s="3725" t="e">
        <f t="shared" si="836"/>
        <v>#REF!</v>
      </c>
      <c r="AE158" s="3725">
        <f t="shared" si="836"/>
        <v>28.056456893067594</v>
      </c>
      <c r="AF158" s="3725">
        <f t="shared" ref="AF158" si="837">SUM(AF157/AF151)</f>
        <v>28.205017254103591</v>
      </c>
      <c r="AG158" s="3725">
        <f t="shared" ref="AG158" si="838">SUM(AG157/AG151)</f>
        <v>16.156115683332491</v>
      </c>
      <c r="AH158" s="3725">
        <f t="shared" ref="AH158:AJ158" si="839">SUM(AH157/AH151)</f>
        <v>31.499853008093964</v>
      </c>
      <c r="AI158" s="3721" t="e">
        <f t="shared" si="486"/>
        <v>#REF!</v>
      </c>
      <c r="AJ158" s="3725">
        <f t="shared" si="839"/>
        <v>31.654472696548162</v>
      </c>
      <c r="AK158" s="3725">
        <f t="shared" ref="AK158:AL158" si="840">SUM(AK157/AK151)</f>
        <v>18.071536960763058</v>
      </c>
      <c r="AL158" s="3725" t="e">
        <f t="shared" si="840"/>
        <v>#REF!</v>
      </c>
      <c r="AM158" s="3721" t="e">
        <f t="shared" si="489"/>
        <v>#REF!</v>
      </c>
      <c r="AN158" s="3725" t="e">
        <f t="shared" ref="AN158" si="841">SUM(AN157/AN151)</f>
        <v>#REF!</v>
      </c>
      <c r="AO158" s="3725">
        <f t="shared" ref="AO158" si="842">SUM(AO157/AO151)</f>
        <v>18.832255062588633</v>
      </c>
      <c r="AP158" s="3719"/>
      <c r="AQ158" s="3719"/>
      <c r="AR158" s="3719"/>
      <c r="AS158" s="3719"/>
      <c r="AT158" s="3725">
        <f t="shared" ref="AT158" si="843">SUM(AT157/AT151)</f>
        <v>28.472176098930916</v>
      </c>
      <c r="AU158" s="3725">
        <f t="shared" ref="AU158" si="844">SUM(AU157/AU151)</f>
        <v>28.563201351485887</v>
      </c>
      <c r="AV158" s="3725">
        <f t="shared" ref="AV158" si="845">SUM(AV157/AV151)</f>
        <v>15.338095898520834</v>
      </c>
      <c r="AW158" s="3725">
        <f t="shared" ref="AW158" si="846">SUM(AW157/AW151)</f>
        <v>30.741139873347407</v>
      </c>
      <c r="AX158" s="3725">
        <f t="shared" ref="AX158" si="847">SUM(AX157/AX151)</f>
        <v>30.8082106214449</v>
      </c>
      <c r="AY158" s="3725">
        <f t="shared" ref="AY158:AZ158" si="848">SUM(AY157/AY151)</f>
        <v>16.891877058177826</v>
      </c>
      <c r="AZ158" s="3725">
        <f t="shared" si="848"/>
        <v>34.776071779142924</v>
      </c>
      <c r="BA158" s="3722" t="e">
        <f t="shared" si="493"/>
        <v>#REF!</v>
      </c>
      <c r="BB158" s="3725">
        <f t="shared" ref="BB158" si="849">SUM(BB157/BB151)</f>
        <v>35.176026874736131</v>
      </c>
      <c r="BC158" s="3725">
        <f t="shared" ref="BC158" si="850">SUM(BC157/BC151)</f>
        <v>22.730242340437737</v>
      </c>
      <c r="BD158" s="3725">
        <f t="shared" ref="BD158" si="851">SUM(BD157/BD151)</f>
        <v>31.548380628661945</v>
      </c>
      <c r="BE158" s="3725">
        <f t="shared" ref="BE158" si="852">SUM(BE157/BE151)</f>
        <v>31.631511575879816</v>
      </c>
      <c r="BF158" s="3725">
        <f t="shared" ref="BF158:BH158" si="853">SUM(BF157/BF151)</f>
        <v>16.066243006456382</v>
      </c>
      <c r="BG158" s="3725">
        <f t="shared" si="853"/>
        <v>33.787241435352534</v>
      </c>
      <c r="BH158" s="3725">
        <f t="shared" si="853"/>
        <v>33.798216098296855</v>
      </c>
      <c r="BI158" s="3725">
        <f t="shared" ref="BI158:BK158" si="854">SUM(BI157/BI151)</f>
        <v>17.479166666666668</v>
      </c>
      <c r="BJ158" s="3725">
        <f t="shared" si="854"/>
        <v>36.88005971177585</v>
      </c>
      <c r="BK158" s="3725">
        <f t="shared" si="854"/>
        <v>36.88995568685376</v>
      </c>
      <c r="BL158" s="3725">
        <f t="shared" ref="BL158:BX158" si="855">SUM(BL157/BL151)</f>
        <v>16.440677966101692</v>
      </c>
      <c r="BM158" s="3725">
        <f t="shared" si="855"/>
        <v>36.398118113889034</v>
      </c>
      <c r="BN158" s="3725">
        <f t="shared" si="855"/>
        <v>36.443073333333338</v>
      </c>
      <c r="BO158" s="3725">
        <f t="shared" ref="BO158" si="856">SUM(BO157/BO151)</f>
        <v>28.842619047619046</v>
      </c>
      <c r="BP158" s="3725">
        <f>SUM(BP150/BP151)</f>
        <v>37.279246944077933</v>
      </c>
      <c r="BQ158" s="3725">
        <f t="shared" ref="BQ158:BR158" si="857">SUM(BQ150/BQ151)</f>
        <v>37.286185708467613</v>
      </c>
      <c r="BR158" s="3725">
        <f t="shared" si="857"/>
        <v>18.206611570247933</v>
      </c>
      <c r="BS158" s="3725">
        <f t="shared" si="855"/>
        <v>44.01059916782247</v>
      </c>
      <c r="BT158" s="3725">
        <f t="shared" si="855"/>
        <v>44.044144444444441</v>
      </c>
      <c r="BU158" s="3725">
        <f t="shared" si="855"/>
        <v>19.858000000000001</v>
      </c>
      <c r="BV158" s="3725">
        <f t="shared" si="855"/>
        <v>37.472121993070537</v>
      </c>
      <c r="BW158" s="3725">
        <f t="shared" si="855"/>
        <v>37.481823728213598</v>
      </c>
      <c r="BX158" s="3725">
        <f t="shared" si="855"/>
        <v>17.407481617784892</v>
      </c>
      <c r="BY158" s="3725">
        <f t="shared" ref="BY158:CA158" si="858">SUM(BY157/BY151)</f>
        <v>44.732137848845547</v>
      </c>
      <c r="BZ158" s="3725">
        <f t="shared" si="858"/>
        <v>44.744315516446207</v>
      </c>
      <c r="CA158" s="3725">
        <f t="shared" si="858"/>
        <v>19.54689856802948</v>
      </c>
      <c r="CB158" s="3580"/>
      <c r="CC158" s="3708"/>
      <c r="CD158" s="3708"/>
      <c r="CE158" s="3708"/>
      <c r="CF158" s="3725">
        <f t="shared" ref="CF158:CH158" si="859">SUM(CF157/CF151)</f>
        <v>38.847285581706217</v>
      </c>
      <c r="CG158" s="3725">
        <f t="shared" si="859"/>
        <v>38.858296886004339</v>
      </c>
      <c r="CH158" s="3725">
        <f t="shared" si="859"/>
        <v>17.241737912101982</v>
      </c>
      <c r="CI158" s="3725">
        <f t="shared" ref="CI158:CK158" si="860">SUM(CI157/CI151)</f>
        <v>41.562436189151057</v>
      </c>
      <c r="CJ158" s="3725">
        <f t="shared" si="860"/>
        <v>41.568531277646009</v>
      </c>
      <c r="CK158" s="3725">
        <f t="shared" si="860"/>
        <v>22.436845878136197</v>
      </c>
      <c r="CL158" s="3725">
        <f t="shared" ref="CL158:CN158" si="861">SUM(CL157/CL151)</f>
        <v>42.31211457738673</v>
      </c>
      <c r="CM158" s="3725">
        <f t="shared" si="861"/>
        <v>42.318221980349655</v>
      </c>
      <c r="CN158" s="3725">
        <f t="shared" si="861"/>
        <v>22.874306393244876</v>
      </c>
      <c r="CO158" s="3725">
        <f t="shared" ref="CO158:CQ158" si="862">SUM(CO157/CO151)</f>
        <v>41.921570471731101</v>
      </c>
      <c r="CP158" s="3725">
        <f t="shared" si="862"/>
        <v>41.928163779671202</v>
      </c>
      <c r="CQ158" s="3725">
        <f t="shared" si="862"/>
        <v>21.318954827280781</v>
      </c>
      <c r="CR158" s="3726">
        <f t="shared" ref="CR158:CT158" si="863">SUM(CR157/CR151)</f>
        <v>51.226361429786259</v>
      </c>
      <c r="CS158" s="3726">
        <f t="shared" si="863"/>
        <v>51.235428814048063</v>
      </c>
      <c r="CT158" s="3726">
        <f t="shared" si="863"/>
        <v>33.435026488607711</v>
      </c>
      <c r="CU158" s="4146">
        <f t="shared" ref="CU158:CW158" si="864">SUM(CU157/CU151)</f>
        <v>40.798819508862373</v>
      </c>
      <c r="CV158" s="4146">
        <f t="shared" si="864"/>
        <v>40.809782311391672</v>
      </c>
      <c r="CW158" s="4146">
        <f t="shared" si="864"/>
        <v>19.08958392272709</v>
      </c>
      <c r="CX158" s="3726">
        <f t="shared" ref="CX158:DF158" si="865">SUM(CX157/CX151)</f>
        <v>41.889180710522737</v>
      </c>
      <c r="CY158" s="3726">
        <f t="shared" si="865"/>
        <v>41.896073076970929</v>
      </c>
      <c r="CZ158" s="3726">
        <f t="shared" si="865"/>
        <v>19.359907578558225</v>
      </c>
      <c r="DA158" s="3726">
        <f t="shared" si="865"/>
        <v>40.785580629969772</v>
      </c>
      <c r="DB158" s="3726">
        <f t="shared" si="865"/>
        <v>40.790186413815036</v>
      </c>
      <c r="DC158" s="3726">
        <f t="shared" si="865"/>
        <v>24.085991735537188</v>
      </c>
      <c r="DD158" s="4037" t="e">
        <f t="shared" si="865"/>
        <v>#DIV/0!</v>
      </c>
      <c r="DE158" s="4037" t="e">
        <f t="shared" si="865"/>
        <v>#DIV/0!</v>
      </c>
      <c r="DF158" s="4037" t="e">
        <f t="shared" si="865"/>
        <v>#DIV/0!</v>
      </c>
    </row>
    <row r="159" spans="1:110" ht="39.950000000000003" hidden="1" customHeight="1" x14ac:dyDescent="0.35">
      <c r="A159" s="3719" t="s">
        <v>312</v>
      </c>
      <c r="B159" s="3719"/>
      <c r="C159" s="3719"/>
      <c r="D159" s="3719"/>
      <c r="E159" s="3719"/>
      <c r="F159" s="3719"/>
      <c r="G159" s="3719"/>
      <c r="H159" s="3719"/>
      <c r="I159" s="3719"/>
      <c r="J159" s="3719"/>
      <c r="K159" s="3719"/>
      <c r="L159" s="3719"/>
      <c r="M159" s="3719"/>
      <c r="N159" s="3719"/>
      <c r="O159" s="3719"/>
      <c r="P159" s="3719"/>
      <c r="Q159" s="3719"/>
      <c r="R159" s="3719"/>
      <c r="S159" s="3719"/>
      <c r="T159" s="3719"/>
      <c r="U159" s="3719"/>
      <c r="V159" s="3719"/>
      <c r="W159" s="3719"/>
      <c r="X159" s="3719"/>
      <c r="Y159" s="3720">
        <f>SUM(Y84)</f>
        <v>4665</v>
      </c>
      <c r="Z159" s="3719"/>
      <c r="AA159" s="3720">
        <f t="shared" ref="AA159:AD159" si="866">SUM(AA84)</f>
        <v>4665</v>
      </c>
      <c r="AB159" s="3720">
        <f t="shared" si="866"/>
        <v>0</v>
      </c>
      <c r="AC159" s="3720">
        <f t="shared" si="866"/>
        <v>4665</v>
      </c>
      <c r="AD159" s="3720">
        <f t="shared" si="866"/>
        <v>0</v>
      </c>
      <c r="AE159" s="3720">
        <f t="shared" ref="AE159:AH159" si="867">SUM(AE84)</f>
        <v>824.7</v>
      </c>
      <c r="AF159" s="3720">
        <f t="shared" si="867"/>
        <v>824.7</v>
      </c>
      <c r="AG159" s="3720">
        <f t="shared" si="867"/>
        <v>0</v>
      </c>
      <c r="AH159" s="3720">
        <f t="shared" si="867"/>
        <v>4274</v>
      </c>
      <c r="AI159" s="3721">
        <f t="shared" si="486"/>
        <v>0.91618435155412647</v>
      </c>
      <c r="AJ159" s="3720">
        <f t="shared" ref="AJ159:AK159" si="868">SUM(AJ84)</f>
        <v>4274</v>
      </c>
      <c r="AK159" s="3720">
        <f t="shared" si="868"/>
        <v>0</v>
      </c>
      <c r="AL159" s="3720">
        <f t="shared" ref="AL159:AO159" si="869">SUM(AL84)</f>
        <v>4444</v>
      </c>
      <c r="AM159" s="3721">
        <f t="shared" si="489"/>
        <v>0.95262593783494109</v>
      </c>
      <c r="AN159" s="3720">
        <f t="shared" si="869"/>
        <v>4444</v>
      </c>
      <c r="AO159" s="3720">
        <f t="shared" si="869"/>
        <v>0</v>
      </c>
      <c r="AP159" s="3719"/>
      <c r="AQ159" s="3719"/>
      <c r="AR159" s="3719"/>
      <c r="AS159" s="3719"/>
      <c r="AT159" s="3720">
        <f t="shared" ref="AT159:AV159" si="870">SUM(AT84)</f>
        <v>0</v>
      </c>
      <c r="AU159" s="3720">
        <f t="shared" si="870"/>
        <v>0</v>
      </c>
      <c r="AV159" s="3720">
        <f t="shared" si="870"/>
        <v>0</v>
      </c>
      <c r="AW159" s="3720">
        <f t="shared" ref="AW159:AY159" si="871">SUM(AW84)</f>
        <v>0</v>
      </c>
      <c r="AX159" s="3720">
        <f t="shared" si="871"/>
        <v>0</v>
      </c>
      <c r="AY159" s="3720">
        <f t="shared" si="871"/>
        <v>0</v>
      </c>
      <c r="AZ159" s="3720">
        <f t="shared" ref="AZ159:BC159" si="872">SUM(AZ84)</f>
        <v>3976</v>
      </c>
      <c r="BA159" s="3722">
        <f t="shared" si="493"/>
        <v>0.89468946894689472</v>
      </c>
      <c r="BB159" s="3720">
        <f t="shared" si="872"/>
        <v>3976</v>
      </c>
      <c r="BC159" s="3720">
        <f t="shared" si="872"/>
        <v>0</v>
      </c>
      <c r="BD159" s="3720">
        <f t="shared" ref="BD159:BF159" si="873">SUM(BD84)</f>
        <v>3976</v>
      </c>
      <c r="BE159" s="3720">
        <f t="shared" si="873"/>
        <v>3976</v>
      </c>
      <c r="BF159" s="3720">
        <f t="shared" si="873"/>
        <v>0</v>
      </c>
      <c r="BG159" s="3720">
        <f t="shared" ref="BG159:BI159" si="874">SUM(BG84)</f>
        <v>0</v>
      </c>
      <c r="BH159" s="3720">
        <f t="shared" si="874"/>
        <v>0</v>
      </c>
      <c r="BI159" s="3720">
        <f t="shared" si="874"/>
        <v>0</v>
      </c>
      <c r="BJ159" s="3720">
        <f t="shared" ref="BJ159:BX159" si="875">SUM(BJ84)</f>
        <v>0</v>
      </c>
      <c r="BK159" s="3720">
        <f t="shared" si="875"/>
        <v>0</v>
      </c>
      <c r="BL159" s="3720">
        <f t="shared" si="875"/>
        <v>0</v>
      </c>
      <c r="BM159" s="3720"/>
      <c r="BN159" s="3720"/>
      <c r="BO159" s="3720"/>
      <c r="BP159" s="3720"/>
      <c r="BQ159" s="3720"/>
      <c r="BR159" s="3720"/>
      <c r="BS159" s="3720">
        <f t="shared" si="875"/>
        <v>0</v>
      </c>
      <c r="BT159" s="3720">
        <f t="shared" si="875"/>
        <v>0</v>
      </c>
      <c r="BU159" s="3720">
        <f t="shared" si="875"/>
        <v>0</v>
      </c>
      <c r="BV159" s="3720">
        <f t="shared" si="875"/>
        <v>0</v>
      </c>
      <c r="BW159" s="3720">
        <f t="shared" si="875"/>
        <v>0</v>
      </c>
      <c r="BX159" s="3720">
        <f t="shared" si="875"/>
        <v>0</v>
      </c>
      <c r="BY159" s="3720">
        <f t="shared" ref="BY159:CA159" si="876">SUM(BY84)</f>
        <v>0</v>
      </c>
      <c r="BZ159" s="3720">
        <f t="shared" si="876"/>
        <v>0</v>
      </c>
      <c r="CA159" s="3720">
        <f t="shared" si="876"/>
        <v>0</v>
      </c>
      <c r="CB159" s="3580"/>
      <c r="CC159" s="3708"/>
      <c r="CD159" s="3708"/>
      <c r="CE159" s="3708"/>
      <c r="CF159" s="3720">
        <f t="shared" ref="CF159:CH159" si="877">SUM(CF84)</f>
        <v>0</v>
      </c>
      <c r="CG159" s="3720">
        <f t="shared" si="877"/>
        <v>0</v>
      </c>
      <c r="CH159" s="3720">
        <f t="shared" si="877"/>
        <v>0</v>
      </c>
      <c r="CI159" s="3720">
        <f t="shared" ref="CI159:CK159" si="878">SUM(CI84)</f>
        <v>0</v>
      </c>
      <c r="CJ159" s="3720">
        <f t="shared" si="878"/>
        <v>0</v>
      </c>
      <c r="CK159" s="3720">
        <f t="shared" si="878"/>
        <v>0</v>
      </c>
      <c r="CL159" s="3720">
        <f t="shared" ref="CL159:CN159" si="879">SUM(CL84)</f>
        <v>0</v>
      </c>
      <c r="CM159" s="3720">
        <f t="shared" si="879"/>
        <v>0</v>
      </c>
      <c r="CN159" s="3720">
        <f t="shared" si="879"/>
        <v>0</v>
      </c>
      <c r="CO159" s="3720">
        <f t="shared" ref="CO159:CQ159" si="880">SUM(CO84)</f>
        <v>0</v>
      </c>
      <c r="CP159" s="3720">
        <f t="shared" si="880"/>
        <v>0</v>
      </c>
      <c r="CQ159" s="3720">
        <f t="shared" si="880"/>
        <v>0</v>
      </c>
      <c r="CR159" s="3720">
        <f t="shared" ref="CR159:CT159" si="881">SUM(CR84)</f>
        <v>0</v>
      </c>
      <c r="CS159" s="3720">
        <f t="shared" si="881"/>
        <v>0</v>
      </c>
      <c r="CT159" s="3720">
        <f t="shared" si="881"/>
        <v>0</v>
      </c>
      <c r="CU159" s="3720">
        <f t="shared" ref="CU159:CW159" si="882">SUM(CU84)</f>
        <v>0</v>
      </c>
      <c r="CV159" s="3720">
        <f t="shared" si="882"/>
        <v>0</v>
      </c>
      <c r="CW159" s="3720">
        <f t="shared" si="882"/>
        <v>0</v>
      </c>
      <c r="CX159" s="3932">
        <f t="shared" ref="CX159:DF159" si="883">SUM(CX84)</f>
        <v>0</v>
      </c>
      <c r="CY159" s="3932">
        <f t="shared" si="883"/>
        <v>0</v>
      </c>
      <c r="CZ159" s="3932">
        <f t="shared" si="883"/>
        <v>0</v>
      </c>
      <c r="DA159" s="3720">
        <f t="shared" si="883"/>
        <v>0</v>
      </c>
      <c r="DB159" s="3720">
        <f t="shared" si="883"/>
        <v>0</v>
      </c>
      <c r="DC159" s="3720">
        <f t="shared" si="883"/>
        <v>0</v>
      </c>
      <c r="DD159" s="4036">
        <f t="shared" si="883"/>
        <v>0</v>
      </c>
      <c r="DE159" s="4036">
        <f t="shared" si="883"/>
        <v>0</v>
      </c>
      <c r="DF159" s="4036">
        <f t="shared" si="883"/>
        <v>0</v>
      </c>
    </row>
    <row r="160" spans="1:110" ht="39.950000000000003" hidden="1" customHeight="1" x14ac:dyDescent="0.35">
      <c r="A160" s="3727" t="s">
        <v>530</v>
      </c>
      <c r="B160" s="3719"/>
      <c r="C160" s="3719"/>
      <c r="D160" s="3719"/>
      <c r="E160" s="3719"/>
      <c r="F160" s="3719"/>
      <c r="G160" s="3719"/>
      <c r="H160" s="3719"/>
      <c r="I160" s="3719"/>
      <c r="J160" s="3719"/>
      <c r="K160" s="3719"/>
      <c r="L160" s="3719"/>
      <c r="M160" s="3719"/>
      <c r="N160" s="3719"/>
      <c r="O160" s="3719"/>
      <c r="P160" s="3719"/>
      <c r="Q160" s="3719"/>
      <c r="R160" s="3719"/>
      <c r="S160" s="3719"/>
      <c r="T160" s="3719"/>
      <c r="U160" s="3719"/>
      <c r="V160" s="3719"/>
      <c r="W160" s="3719"/>
      <c r="X160" s="3719"/>
      <c r="Y160" s="3720">
        <f>SUM(Y157+Y159)</f>
        <v>143458.20000000001</v>
      </c>
      <c r="Z160" s="3719"/>
      <c r="AA160" s="3720" t="e">
        <f t="shared" ref="AA160:AE160" si="884">SUM(AA157+AA159)</f>
        <v>#REF!</v>
      </c>
      <c r="AB160" s="3720" t="e">
        <f t="shared" si="884"/>
        <v>#REF!</v>
      </c>
      <c r="AC160" s="3720" t="e">
        <f t="shared" si="884"/>
        <v>#REF!</v>
      </c>
      <c r="AD160" s="3720" t="e">
        <f t="shared" si="884"/>
        <v>#REF!</v>
      </c>
      <c r="AE160" s="3720">
        <f t="shared" si="884"/>
        <v>114144.72939110002</v>
      </c>
      <c r="AF160" s="3720">
        <f t="shared" ref="AF160" si="885">SUM(AF157+AF159)</f>
        <v>113340.15483007004</v>
      </c>
      <c r="AG160" s="3720">
        <f t="shared" ref="AG160" si="886">SUM(AG157+AG159)</f>
        <v>804.57456102995798</v>
      </c>
      <c r="AH160" s="3720">
        <f t="shared" ref="AH160:AJ160" si="887">SUM(AH157+AH159)</f>
        <v>131924.00432999997</v>
      </c>
      <c r="AI160" s="3721" t="e">
        <f t="shared" si="486"/>
        <v>#REF!</v>
      </c>
      <c r="AJ160" s="3720">
        <f t="shared" si="887"/>
        <v>131090.36433000001</v>
      </c>
      <c r="AK160" s="3720">
        <f t="shared" ref="AK160:AL160" si="888">SUM(AK157+AK159)</f>
        <v>833.64</v>
      </c>
      <c r="AL160" s="3720" t="e">
        <f t="shared" si="888"/>
        <v>#REF!</v>
      </c>
      <c r="AM160" s="3721" t="e">
        <f t="shared" si="489"/>
        <v>#REF!</v>
      </c>
      <c r="AN160" s="3720" t="e">
        <f t="shared" ref="AN160" si="889">SUM(AN157+AN159)</f>
        <v>#REF!</v>
      </c>
      <c r="AO160" s="3720">
        <f t="shared" ref="AO160" si="890">SUM(AO157+AO159)</f>
        <v>868.73192603721361</v>
      </c>
      <c r="AP160" s="3719"/>
      <c r="AQ160" s="3719"/>
      <c r="AR160" s="3719"/>
      <c r="AS160" s="3719"/>
      <c r="AT160" s="3720">
        <f t="shared" ref="AT160" si="891">SUM(AT157+AT159)</f>
        <v>56673.297081400007</v>
      </c>
      <c r="AU160" s="3720">
        <f t="shared" ref="AU160" si="892">SUM(AU157+AU159)</f>
        <v>56463.165167590269</v>
      </c>
      <c r="AV160" s="3720">
        <f t="shared" ref="AV160" si="893">SUM(AV157+AV159)</f>
        <v>210.13191380973541</v>
      </c>
      <c r="AW160" s="3720">
        <f t="shared" ref="AW160" si="894">SUM(AW157+AW159)</f>
        <v>116214.42000000001</v>
      </c>
      <c r="AX160" s="3720">
        <f t="shared" ref="AX160" si="895">SUM(AX157+AX159)</f>
        <v>115906.65000000001</v>
      </c>
      <c r="AY160" s="3720">
        <f t="shared" ref="AY160:AZ160" si="896">SUM(AY157+AY159)</f>
        <v>307.77</v>
      </c>
      <c r="AZ160" s="3720">
        <f t="shared" si="896"/>
        <v>143450.20019208643</v>
      </c>
      <c r="BA160" s="3722" t="e">
        <f t="shared" si="493"/>
        <v>#REF!</v>
      </c>
      <c r="BB160" s="3720">
        <f t="shared" ref="BB160" si="897">SUM(BB157+BB159)</f>
        <v>144300.80440115422</v>
      </c>
      <c r="BC160" s="3720">
        <f t="shared" ref="BC160" si="898">SUM(BC157+BC159)</f>
        <v>486.88179093217639</v>
      </c>
      <c r="BD160" s="3720">
        <f t="shared" ref="BD160" si="899">SUM(BD157+BD159)</f>
        <v>130505.10263939487</v>
      </c>
      <c r="BE160" s="3720">
        <f t="shared" ref="BE160" si="900">SUM(BE157+BE159)</f>
        <v>130160.96371419655</v>
      </c>
      <c r="BF160" s="3720">
        <f t="shared" ref="BF160:BH160" si="901">SUM(BF157+BF159)</f>
        <v>344.13892519829574</v>
      </c>
      <c r="BG160" s="3720">
        <f t="shared" si="901"/>
        <v>120577.88</v>
      </c>
      <c r="BH160" s="3720">
        <f t="shared" si="901"/>
        <v>120535.93000000001</v>
      </c>
      <c r="BI160" s="3720">
        <f t="shared" ref="BI160:BK160" si="902">SUM(BI157+BI159)</f>
        <v>41.95</v>
      </c>
      <c r="BJ160" s="3720">
        <f t="shared" si="902"/>
        <v>134891.4</v>
      </c>
      <c r="BK160" s="3720">
        <f t="shared" si="902"/>
        <v>134862.29999999999</v>
      </c>
      <c r="BL160" s="3720">
        <f t="shared" ref="BL160:BX160" si="903">SUM(BL157+BL159)</f>
        <v>29.099999999999998</v>
      </c>
      <c r="BM160" s="3720"/>
      <c r="BN160" s="3720"/>
      <c r="BO160" s="3720"/>
      <c r="BP160" s="3720"/>
      <c r="BQ160" s="3720"/>
      <c r="BR160" s="3720"/>
      <c r="BS160" s="3720">
        <f>SUM(BS157+BS159)</f>
        <v>158658.21</v>
      </c>
      <c r="BT160" s="3720">
        <f t="shared" si="903"/>
        <v>158558.91999999998</v>
      </c>
      <c r="BU160" s="3720">
        <f t="shared" si="903"/>
        <v>99.29</v>
      </c>
      <c r="BV160" s="3720">
        <f t="shared" si="903"/>
        <v>137237.70935394889</v>
      </c>
      <c r="BW160" s="3720">
        <f t="shared" si="903"/>
        <v>137206.89811148541</v>
      </c>
      <c r="BX160" s="3720">
        <f t="shared" si="903"/>
        <v>30.811242463479257</v>
      </c>
      <c r="BY160" s="3720">
        <f t="shared" ref="BY160:CA160" si="904">SUM(BY157+BY159)</f>
        <v>163826.75456745879</v>
      </c>
      <c r="BZ160" s="3720">
        <f t="shared" si="904"/>
        <v>163792.15655699337</v>
      </c>
      <c r="CA160" s="3720">
        <f t="shared" si="904"/>
        <v>34.59801046541218</v>
      </c>
      <c r="CB160" s="3580"/>
      <c r="CC160" s="3708"/>
      <c r="CD160" s="3708"/>
      <c r="CE160" s="3708"/>
      <c r="CF160" s="3720">
        <f t="shared" ref="CF160:CH160" si="905">SUM(CF157+CF159)</f>
        <v>134983.82862932203</v>
      </c>
      <c r="CG160" s="3720">
        <f t="shared" si="905"/>
        <v>134953.31075321761</v>
      </c>
      <c r="CH160" s="3720">
        <f t="shared" si="905"/>
        <v>30.517876104420509</v>
      </c>
      <c r="CI160" s="3720">
        <f t="shared" ref="CI160:CK160" si="906">SUM(CI157+CI159)</f>
        <v>72796.149798500002</v>
      </c>
      <c r="CJ160" s="3720">
        <f t="shared" si="906"/>
        <v>72783.630038500007</v>
      </c>
      <c r="CK160" s="3720">
        <f t="shared" si="906"/>
        <v>12.51976</v>
      </c>
      <c r="CL160" s="3720">
        <f t="shared" ref="CL160:CN160" si="907">SUM(CL157+CL159)</f>
        <v>111672.54458316999</v>
      </c>
      <c r="CM160" s="3720">
        <f t="shared" si="907"/>
        <v>111653.58178317</v>
      </c>
      <c r="CN160" s="3720">
        <f t="shared" si="907"/>
        <v>18.962800000000001</v>
      </c>
      <c r="CO160" s="3720">
        <f t="shared" ref="CO160:CQ160" si="908">SUM(CO157+CO159)</f>
        <v>147941.30603787999</v>
      </c>
      <c r="CP160" s="3720">
        <f t="shared" si="908"/>
        <v>147917.23693787999</v>
      </c>
      <c r="CQ160" s="3720">
        <f t="shared" si="908"/>
        <v>24.069100000000002</v>
      </c>
      <c r="CR160" s="3720">
        <f t="shared" ref="CR160:CT160" si="909">SUM(CR157+CR159)</f>
        <v>177997.77485092118</v>
      </c>
      <c r="CS160" s="3720">
        <f t="shared" si="909"/>
        <v>177938.59485403635</v>
      </c>
      <c r="CT160" s="3720">
        <f t="shared" si="909"/>
        <v>59.179996884835653</v>
      </c>
      <c r="CU160" s="3720">
        <f t="shared" ref="CU160:CW160" si="910">SUM(CU157+CU159)</f>
        <v>143058.60451889149</v>
      </c>
      <c r="CV160" s="3720">
        <f t="shared" si="910"/>
        <v>143024.81977326504</v>
      </c>
      <c r="CW160" s="3720">
        <f t="shared" si="910"/>
        <v>33.784745626442408</v>
      </c>
      <c r="CX160" s="3932">
        <f t="shared" ref="CX160:DF160" si="911">SUM(CX157+CX159)</f>
        <v>74098.735209999999</v>
      </c>
      <c r="CY160" s="3932">
        <f t="shared" si="911"/>
        <v>74088.261499999993</v>
      </c>
      <c r="CZ160" s="3932">
        <f t="shared" si="911"/>
        <v>10.473710000000001</v>
      </c>
      <c r="DA160" s="3720">
        <f t="shared" si="911"/>
        <v>107390.35072100001</v>
      </c>
      <c r="DB160" s="3720">
        <f t="shared" si="911"/>
        <v>107372.86429100001</v>
      </c>
      <c r="DC160" s="3720">
        <f t="shared" si="911"/>
        <v>17.486429999999999</v>
      </c>
      <c r="DD160" s="4036">
        <f t="shared" si="911"/>
        <v>17374.274937879996</v>
      </c>
      <c r="DE160" s="4036">
        <f t="shared" si="911"/>
        <v>17369.824937879996</v>
      </c>
      <c r="DF160" s="4036">
        <f t="shared" si="911"/>
        <v>4.4499999999999993</v>
      </c>
    </row>
    <row r="161" spans="1:110" ht="39.950000000000003" hidden="1" customHeight="1" x14ac:dyDescent="0.35">
      <c r="A161" s="3727" t="s">
        <v>313</v>
      </c>
      <c r="B161" s="3719"/>
      <c r="C161" s="3719"/>
      <c r="D161" s="3719"/>
      <c r="E161" s="3719"/>
      <c r="F161" s="3719"/>
      <c r="G161" s="3719"/>
      <c r="H161" s="3719"/>
      <c r="I161" s="3719"/>
      <c r="J161" s="3719"/>
      <c r="K161" s="3719"/>
      <c r="L161" s="3719"/>
      <c r="M161" s="3719"/>
      <c r="N161" s="3719"/>
      <c r="O161" s="3719"/>
      <c r="P161" s="3719"/>
      <c r="Q161" s="3719"/>
      <c r="R161" s="3719"/>
      <c r="S161" s="3719"/>
      <c r="T161" s="3719"/>
      <c r="U161" s="3719"/>
      <c r="V161" s="3719"/>
      <c r="W161" s="3719"/>
      <c r="X161" s="3719"/>
      <c r="Y161" s="3725">
        <f>SUM(Y160/Y151)</f>
        <v>35.864550000000001</v>
      </c>
      <c r="Z161" s="3719"/>
      <c r="AA161" s="3725" t="e">
        <f t="shared" ref="AA161:AE161" si="912">SUM(AA160/AA151)</f>
        <v>#REF!</v>
      </c>
      <c r="AB161" s="3725" t="e">
        <f t="shared" si="912"/>
        <v>#REF!</v>
      </c>
      <c r="AC161" s="3725" t="e">
        <f t="shared" si="912"/>
        <v>#REF!</v>
      </c>
      <c r="AD161" s="3725" t="e">
        <f t="shared" si="912"/>
        <v>#REF!</v>
      </c>
      <c r="AE161" s="3725">
        <f t="shared" si="912"/>
        <v>28.260641097078487</v>
      </c>
      <c r="AF161" s="3725">
        <f t="shared" ref="AF161" si="913">SUM(AF160/AF151)</f>
        <v>28.411750433688468</v>
      </c>
      <c r="AG161" s="3725">
        <f t="shared" ref="AG161" si="914">SUM(AG160/AG151)</f>
        <v>16.156115683332491</v>
      </c>
      <c r="AH161" s="3725">
        <f t="shared" ref="AH161:AJ161" si="915">SUM(AH160/AH151)</f>
        <v>32.554536652354152</v>
      </c>
      <c r="AI161" s="3721" t="e">
        <f t="shared" si="486"/>
        <v>#REF!</v>
      </c>
      <c r="AJ161" s="3725">
        <f t="shared" si="915"/>
        <v>32.721300444053945</v>
      </c>
      <c r="AK161" s="3725">
        <f t="shared" ref="AK161:AL161" si="916">SUM(AK160/AK151)</f>
        <v>18.071536960763058</v>
      </c>
      <c r="AL161" s="3725" t="e">
        <f t="shared" si="916"/>
        <v>#REF!</v>
      </c>
      <c r="AM161" s="3721" t="e">
        <f t="shared" si="489"/>
        <v>#REF!</v>
      </c>
      <c r="AN161" s="3725" t="e">
        <f t="shared" ref="AN161" si="917">SUM(AN160/AN151)</f>
        <v>#REF!</v>
      </c>
      <c r="AO161" s="3725">
        <f t="shared" ref="AO161" si="918">SUM(AO160/AO151)</f>
        <v>18.832255062588633</v>
      </c>
      <c r="AP161" s="3719"/>
      <c r="AQ161" s="3719"/>
      <c r="AR161" s="3719"/>
      <c r="AS161" s="3719"/>
      <c r="AT161" s="3725">
        <f t="shared" ref="AT161" si="919">SUM(AT160/AT151)</f>
        <v>28.472176098930916</v>
      </c>
      <c r="AU161" s="3725">
        <f t="shared" ref="AU161" si="920">SUM(AU160/AU151)</f>
        <v>28.563201351485887</v>
      </c>
      <c r="AV161" s="3725">
        <f t="shared" ref="AV161" si="921">SUM(AV160/AV151)</f>
        <v>15.338095898520834</v>
      </c>
      <c r="AW161" s="3725">
        <f t="shared" ref="AW161" si="922">SUM(AW160/AW151)</f>
        <v>30.741139873347407</v>
      </c>
      <c r="AX161" s="3725">
        <f t="shared" ref="AX161" si="923">SUM(AX160/AX151)</f>
        <v>30.8082106214449</v>
      </c>
      <c r="AY161" s="3725">
        <f t="shared" ref="AY161:AZ161" si="924">SUM(AY160/AY151)</f>
        <v>16.891877058177826</v>
      </c>
      <c r="AZ161" s="3725">
        <f t="shared" si="924"/>
        <v>35.767435495181047</v>
      </c>
      <c r="BA161" s="3722" t="e">
        <f t="shared" si="493"/>
        <v>#REF!</v>
      </c>
      <c r="BB161" s="3725">
        <f t="shared" ref="BB161" si="925">SUM(BB160/BB151)</f>
        <v>36.172713693227074</v>
      </c>
      <c r="BC161" s="3725">
        <f t="shared" ref="BC161" si="926">SUM(BC160/BC151)</f>
        <v>22.730242340437737</v>
      </c>
      <c r="BD161" s="3725">
        <f t="shared" ref="BD161" si="927">SUM(BD160/BD151)</f>
        <v>32.539744344700075</v>
      </c>
      <c r="BE161" s="3725">
        <f t="shared" ref="BE161" si="928">SUM(BE160/BE151)</f>
        <v>32.628198394370763</v>
      </c>
      <c r="BF161" s="3725">
        <f t="shared" ref="BF161:BH161" si="929">SUM(BF160/BF151)</f>
        <v>16.066243006456382</v>
      </c>
      <c r="BG161" s="3725">
        <f t="shared" si="929"/>
        <v>33.787241435352534</v>
      </c>
      <c r="BH161" s="3725">
        <f t="shared" si="929"/>
        <v>33.798216098296855</v>
      </c>
      <c r="BI161" s="3725">
        <f t="shared" ref="BI161:BK161" si="930">SUM(BI160/BI151)</f>
        <v>17.479166666666668</v>
      </c>
      <c r="BJ161" s="3725">
        <f t="shared" si="930"/>
        <v>36.88005971177585</v>
      </c>
      <c r="BK161" s="3725">
        <f t="shared" si="930"/>
        <v>36.88995568685376</v>
      </c>
      <c r="BL161" s="3725">
        <f t="shared" ref="BL161:BX161" si="931">SUM(BL160/BL151)</f>
        <v>16.440677966101692</v>
      </c>
      <c r="BM161" s="3725"/>
      <c r="BN161" s="3725"/>
      <c r="BO161" s="3725"/>
      <c r="BP161" s="3725"/>
      <c r="BQ161" s="3725"/>
      <c r="BR161" s="3725"/>
      <c r="BS161" s="3725">
        <f t="shared" si="931"/>
        <v>44.01059916782247</v>
      </c>
      <c r="BT161" s="3725">
        <f t="shared" si="931"/>
        <v>44.044144444444441</v>
      </c>
      <c r="BU161" s="3725">
        <f t="shared" si="931"/>
        <v>19.858000000000001</v>
      </c>
      <c r="BV161" s="3725">
        <f t="shared" si="931"/>
        <v>37.472121993070537</v>
      </c>
      <c r="BW161" s="3725">
        <f t="shared" si="931"/>
        <v>37.481823728213598</v>
      </c>
      <c r="BX161" s="3725">
        <f t="shared" si="931"/>
        <v>17.407481617784892</v>
      </c>
      <c r="BY161" s="3725">
        <f t="shared" ref="BY161:CA161" si="932">SUM(BY160/BY151)</f>
        <v>44.732137848845547</v>
      </c>
      <c r="BZ161" s="3725">
        <f t="shared" si="932"/>
        <v>44.744315516446207</v>
      </c>
      <c r="CA161" s="3725">
        <f t="shared" si="932"/>
        <v>19.54689856802948</v>
      </c>
      <c r="CB161" s="3580"/>
      <c r="CC161" s="3708"/>
      <c r="CD161" s="3708"/>
      <c r="CE161" s="3708"/>
      <c r="CF161" s="3725">
        <f t="shared" ref="CF161:CH161" si="933">SUM(CF160/CF151)</f>
        <v>38.847285581706217</v>
      </c>
      <c r="CG161" s="3725">
        <f t="shared" si="933"/>
        <v>38.858296886004339</v>
      </c>
      <c r="CH161" s="3725">
        <f t="shared" si="933"/>
        <v>17.241737912101982</v>
      </c>
      <c r="CI161" s="3725">
        <f t="shared" ref="CI161:CK161" si="934">SUM(CI160/CI151)</f>
        <v>41.562436189151057</v>
      </c>
      <c r="CJ161" s="3725">
        <f t="shared" si="934"/>
        <v>41.568531277646009</v>
      </c>
      <c r="CK161" s="3725">
        <f t="shared" si="934"/>
        <v>22.436845878136197</v>
      </c>
      <c r="CL161" s="3725">
        <f t="shared" ref="CL161:CN161" si="935">SUM(CL160/CL151)</f>
        <v>42.31211457738673</v>
      </c>
      <c r="CM161" s="3725">
        <f t="shared" si="935"/>
        <v>42.318221980349655</v>
      </c>
      <c r="CN161" s="3725">
        <f t="shared" si="935"/>
        <v>22.874306393244876</v>
      </c>
      <c r="CO161" s="3725">
        <f t="shared" ref="CO161:CQ161" si="936">SUM(CO160/CO151)</f>
        <v>41.921570471731101</v>
      </c>
      <c r="CP161" s="3725">
        <f t="shared" si="936"/>
        <v>41.928163779671202</v>
      </c>
      <c r="CQ161" s="3725">
        <f t="shared" si="936"/>
        <v>21.318954827280781</v>
      </c>
      <c r="CR161" s="3725">
        <f t="shared" ref="CR161:CT161" si="937">SUM(CR160/CR151)</f>
        <v>51.226361429786259</v>
      </c>
      <c r="CS161" s="3725">
        <f t="shared" si="937"/>
        <v>51.235428814048063</v>
      </c>
      <c r="CT161" s="3725">
        <f t="shared" si="937"/>
        <v>33.435026488607711</v>
      </c>
      <c r="CU161" s="3725">
        <f t="shared" ref="CU161:CW161" si="938">SUM(CU160/CU151)</f>
        <v>40.798819508862373</v>
      </c>
      <c r="CV161" s="3725">
        <f t="shared" si="938"/>
        <v>40.809782311391672</v>
      </c>
      <c r="CW161" s="3725">
        <f t="shared" si="938"/>
        <v>19.08958392272709</v>
      </c>
      <c r="CX161" s="3933">
        <f t="shared" ref="CX161:DF161" si="939">SUM(CX160/CX151)</f>
        <v>41.889180710522737</v>
      </c>
      <c r="CY161" s="3933">
        <f t="shared" si="939"/>
        <v>41.896073076970929</v>
      </c>
      <c r="CZ161" s="3933">
        <f t="shared" si="939"/>
        <v>19.359907578558225</v>
      </c>
      <c r="DA161" s="3725">
        <f t="shared" si="939"/>
        <v>40.785580629969772</v>
      </c>
      <c r="DB161" s="3725">
        <f t="shared" si="939"/>
        <v>40.790186413815036</v>
      </c>
      <c r="DC161" s="3725">
        <f t="shared" si="939"/>
        <v>24.085991735537188</v>
      </c>
      <c r="DD161" s="4037" t="e">
        <f t="shared" si="939"/>
        <v>#DIV/0!</v>
      </c>
      <c r="DE161" s="4037" t="e">
        <f t="shared" si="939"/>
        <v>#DIV/0!</v>
      </c>
      <c r="DF161" s="4037" t="e">
        <f t="shared" si="939"/>
        <v>#DIV/0!</v>
      </c>
    </row>
    <row r="162" spans="1:110" ht="18.75" hidden="1" x14ac:dyDescent="0.3">
      <c r="A162" s="3707"/>
      <c r="B162" s="3707"/>
      <c r="C162" s="3707"/>
      <c r="D162" s="3707"/>
      <c r="E162" s="3707"/>
      <c r="F162" s="3707"/>
      <c r="G162" s="3707"/>
      <c r="H162" s="3707"/>
      <c r="I162" s="3707"/>
      <c r="J162" s="3707"/>
      <c r="K162" s="3707"/>
      <c r="L162" s="3707"/>
      <c r="M162" s="3707"/>
      <c r="N162" s="3707"/>
      <c r="O162" s="3707"/>
      <c r="P162" s="3707"/>
      <c r="Q162" s="3707"/>
      <c r="R162" s="3707"/>
      <c r="S162" s="3707"/>
      <c r="T162" s="3707"/>
      <c r="U162" s="3707"/>
      <c r="V162" s="3707"/>
      <c r="W162" s="3707"/>
      <c r="X162" s="3707"/>
      <c r="Y162" s="3707"/>
      <c r="Z162" s="3707"/>
      <c r="AA162" s="3707"/>
      <c r="AB162" s="3707"/>
      <c r="AC162" s="3707"/>
      <c r="AD162" s="3707"/>
      <c r="AE162" s="3707"/>
      <c r="AF162" s="3707"/>
      <c r="AG162" s="3707"/>
      <c r="AH162" s="3707"/>
      <c r="AI162" s="3707"/>
      <c r="AJ162" s="3707"/>
      <c r="AK162" s="3707"/>
      <c r="AL162" s="3707"/>
      <c r="AM162" s="3707"/>
      <c r="AN162" s="3707"/>
      <c r="AO162" s="3707"/>
      <c r="AP162" s="3707"/>
      <c r="AQ162" s="3707"/>
      <c r="AR162" s="3707"/>
      <c r="AS162" s="3707"/>
      <c r="AT162" s="3707"/>
      <c r="AU162" s="3707"/>
      <c r="AV162" s="3707"/>
      <c r="AW162" s="3707"/>
      <c r="AX162" s="3707"/>
      <c r="AY162" s="3707"/>
      <c r="AZ162" s="3707"/>
      <c r="BA162" s="3713"/>
      <c r="BB162" s="3707">
        <f>BE162</f>
        <v>31.52</v>
      </c>
      <c r="BC162" s="3707"/>
      <c r="BD162" s="3707"/>
      <c r="BE162" s="3707">
        <v>31.52</v>
      </c>
      <c r="BF162" s="3707"/>
      <c r="BG162" s="3728"/>
      <c r="BH162" s="3728"/>
      <c r="BI162" s="3728"/>
      <c r="BJ162" s="3728"/>
      <c r="BK162" s="3728"/>
      <c r="BL162" s="3728"/>
      <c r="BM162" s="3728"/>
      <c r="BN162" s="3728"/>
      <c r="BO162" s="3728"/>
      <c r="BP162" s="3728"/>
      <c r="BQ162" s="3728"/>
      <c r="BR162" s="3728"/>
      <c r="BS162" s="3728"/>
      <c r="BT162" s="3728"/>
      <c r="BU162" s="3728"/>
      <c r="BV162" s="3728"/>
      <c r="BW162" s="3728"/>
      <c r="BX162" s="3728"/>
      <c r="BY162" s="3728"/>
      <c r="BZ162" s="3728"/>
      <c r="CA162" s="3728"/>
      <c r="CB162" s="3708"/>
      <c r="CC162" s="3708"/>
      <c r="CD162" s="3708"/>
      <c r="CE162" s="3708"/>
      <c r="CF162" s="3708"/>
      <c r="CG162" s="3708"/>
      <c r="CH162" s="3708"/>
      <c r="CI162" s="3708"/>
      <c r="CJ162" s="3708"/>
      <c r="CK162" s="3708"/>
      <c r="CL162" s="3708"/>
      <c r="CM162" s="3708"/>
      <c r="CN162" s="3708"/>
      <c r="CO162" s="3708"/>
      <c r="CP162" s="3708"/>
      <c r="CQ162" s="3708"/>
      <c r="CR162" s="3708"/>
      <c r="CS162" s="3708"/>
      <c r="CT162" s="3708"/>
      <c r="CU162" s="3708"/>
      <c r="CV162" s="3708"/>
      <c r="CW162" s="3708"/>
      <c r="CX162" s="3934"/>
      <c r="CY162" s="3934"/>
      <c r="CZ162" s="3934"/>
      <c r="DA162" s="3708"/>
      <c r="DB162" s="3708"/>
      <c r="DC162" s="3708"/>
      <c r="DD162" s="4038"/>
      <c r="DE162" s="4038"/>
      <c r="DF162" s="4038"/>
    </row>
    <row r="163" spans="1:110" ht="18.75" hidden="1" x14ac:dyDescent="0.3">
      <c r="A163" s="3707"/>
      <c r="B163" s="3707"/>
      <c r="C163" s="3707"/>
      <c r="D163" s="3707"/>
      <c r="E163" s="3707"/>
      <c r="F163" s="3707"/>
      <c r="G163" s="3707"/>
      <c r="H163" s="3707"/>
      <c r="I163" s="3707"/>
      <c r="J163" s="3707"/>
      <c r="K163" s="3707"/>
      <c r="L163" s="3707"/>
      <c r="M163" s="3707"/>
      <c r="N163" s="3707"/>
      <c r="O163" s="3707"/>
      <c r="P163" s="3707"/>
      <c r="Q163" s="3707"/>
      <c r="R163" s="3707"/>
      <c r="S163" s="3707"/>
      <c r="T163" s="3707"/>
      <c r="U163" s="3707"/>
      <c r="V163" s="3707"/>
      <c r="W163" s="3707"/>
      <c r="X163" s="3707"/>
      <c r="Y163" s="3707"/>
      <c r="Z163" s="3707"/>
      <c r="AA163" s="3707"/>
      <c r="AB163" s="3707"/>
      <c r="AC163" s="3707"/>
      <c r="AD163" s="3707"/>
      <c r="AE163" s="3707"/>
      <c r="AF163" s="3707"/>
      <c r="AG163" s="3707"/>
      <c r="AH163" s="3707"/>
      <c r="AI163" s="3707"/>
      <c r="AJ163" s="3707"/>
      <c r="AK163" s="3707"/>
      <c r="AL163" s="3707"/>
      <c r="AM163" s="3707"/>
      <c r="AN163" s="3707"/>
      <c r="AO163" s="3707"/>
      <c r="AP163" s="3707"/>
      <c r="AQ163" s="3707"/>
      <c r="AR163" s="3707"/>
      <c r="AS163" s="3707"/>
      <c r="AT163" s="3707"/>
      <c r="AU163" s="3707"/>
      <c r="AV163" s="3707"/>
      <c r="AW163" s="3707"/>
      <c r="AX163" s="3707"/>
      <c r="AY163" s="3707"/>
      <c r="AZ163" s="3707"/>
      <c r="BA163" s="3713"/>
      <c r="BB163" s="3707"/>
      <c r="BC163" s="3707"/>
      <c r="BD163" s="3707"/>
      <c r="BE163" s="3707"/>
      <c r="BF163" s="3707"/>
      <c r="BG163" s="3728"/>
      <c r="BH163" s="3728"/>
      <c r="BI163" s="3728"/>
      <c r="BJ163" s="3728"/>
      <c r="BK163" s="3728"/>
      <c r="BL163" s="3728"/>
      <c r="BM163" s="3728"/>
      <c r="BN163" s="3728"/>
      <c r="BO163" s="3728"/>
      <c r="BP163" s="3728"/>
      <c r="BQ163" s="3728"/>
      <c r="BR163" s="3728"/>
      <c r="BS163" s="3728"/>
      <c r="BT163" s="3728"/>
      <c r="BU163" s="3728"/>
      <c r="BV163" s="3728"/>
      <c r="BW163" s="3728"/>
      <c r="BX163" s="3728"/>
      <c r="BY163" s="3728"/>
      <c r="BZ163" s="3728"/>
      <c r="CA163" s="3728"/>
      <c r="CB163" s="3708"/>
      <c r="CC163" s="3708"/>
      <c r="CD163" s="3708"/>
      <c r="CE163" s="3708"/>
      <c r="CF163" s="3708"/>
      <c r="CG163" s="3708"/>
      <c r="CH163" s="3708"/>
      <c r="CI163" s="3708"/>
      <c r="CJ163" s="3708"/>
      <c r="CK163" s="3708"/>
      <c r="CL163" s="3708"/>
      <c r="CM163" s="3708"/>
      <c r="CN163" s="3708"/>
      <c r="CO163" s="3708"/>
      <c r="CP163" s="3708"/>
      <c r="CQ163" s="3708"/>
      <c r="CR163" s="3708"/>
      <c r="CS163" s="3708"/>
      <c r="CT163" s="3708"/>
      <c r="CU163" s="3708"/>
      <c r="CV163" s="3708"/>
      <c r="CW163" s="3708"/>
      <c r="CX163" s="3934"/>
      <c r="CY163" s="3934"/>
      <c r="CZ163" s="3934"/>
      <c r="DA163" s="3708"/>
      <c r="DB163" s="3708"/>
      <c r="DC163" s="3708"/>
      <c r="DD163" s="4038"/>
      <c r="DE163" s="4038"/>
      <c r="DF163" s="4038"/>
    </row>
    <row r="164" spans="1:110" ht="18.75" hidden="1" x14ac:dyDescent="0.3">
      <c r="A164" s="2674"/>
      <c r="B164" s="2674"/>
      <c r="C164" s="2674"/>
      <c r="D164" s="2674"/>
      <c r="E164" s="2674"/>
      <c r="F164" s="2674"/>
      <c r="G164" s="2674"/>
      <c r="H164" s="2674"/>
      <c r="I164" s="2674"/>
      <c r="J164" s="2674"/>
      <c r="K164" s="2674"/>
      <c r="L164" s="2674"/>
      <c r="M164" s="2674"/>
      <c r="N164" s="2674"/>
      <c r="O164" s="2674"/>
      <c r="P164" s="2674"/>
      <c r="Q164" s="2674"/>
      <c r="R164" s="2674"/>
      <c r="S164" s="2674"/>
      <c r="T164" s="2674"/>
      <c r="U164" s="2674"/>
      <c r="V164" s="2674"/>
      <c r="W164" s="2674"/>
      <c r="X164" s="2674"/>
      <c r="Y164" s="2674"/>
      <c r="Z164" s="2674"/>
      <c r="AA164" s="2674"/>
      <c r="AB164" s="2674"/>
      <c r="AC164" s="2674"/>
      <c r="AD164" s="2674"/>
      <c r="AE164" s="2674"/>
      <c r="AF164" s="2674"/>
      <c r="AG164" s="2674"/>
      <c r="AH164" s="2674"/>
      <c r="AI164" s="2674"/>
      <c r="AJ164" s="2674"/>
      <c r="AK164" s="2674"/>
      <c r="AL164" s="2674"/>
      <c r="AM164" s="2674"/>
      <c r="AN164" s="2674"/>
      <c r="AO164" s="2674"/>
      <c r="AP164" s="2674"/>
      <c r="AQ164" s="2674"/>
      <c r="AR164" s="2674"/>
      <c r="AS164" s="2674"/>
      <c r="AT164" s="2674"/>
      <c r="AU164" s="2674"/>
      <c r="AV164" s="2674"/>
      <c r="AW164" s="2674"/>
      <c r="AX164" s="2674"/>
      <c r="AY164" s="2674"/>
      <c r="AZ164" s="2674"/>
      <c r="BA164" s="3686"/>
      <c r="BB164" s="2674"/>
      <c r="BC164" s="2674"/>
      <c r="BD164" s="2674"/>
      <c r="BE164" s="2674"/>
      <c r="BF164" s="2674"/>
      <c r="BG164" s="2428"/>
      <c r="BH164" s="2428"/>
      <c r="BI164" s="2428"/>
      <c r="BJ164" s="2428"/>
      <c r="BK164" s="2428"/>
      <c r="BL164" s="2428"/>
      <c r="BM164" s="2428"/>
      <c r="BN164" s="2428"/>
      <c r="BO164" s="2428"/>
      <c r="BP164" s="2428"/>
      <c r="BQ164" s="2428"/>
      <c r="BR164" s="2428"/>
      <c r="BS164" s="2428"/>
      <c r="BT164" s="2428"/>
      <c r="BU164" s="2428"/>
      <c r="BV164" s="2428"/>
      <c r="BW164" s="2428"/>
      <c r="BX164" s="2428"/>
      <c r="BY164" s="2428"/>
      <c r="BZ164" s="2428"/>
      <c r="CA164" s="2428"/>
      <c r="CB164" s="365"/>
      <c r="CC164" s="365"/>
      <c r="CD164" s="365"/>
      <c r="CE164" s="365"/>
      <c r="CF164" s="365"/>
      <c r="CG164" s="365"/>
      <c r="CH164" s="365"/>
      <c r="CI164" s="365"/>
      <c r="CJ164" s="365"/>
      <c r="CK164" s="365"/>
      <c r="CL164" s="365"/>
      <c r="CM164" s="365"/>
      <c r="CN164" s="365"/>
      <c r="CO164" s="365"/>
      <c r="CP164" s="365"/>
      <c r="CQ164" s="365"/>
      <c r="CR164" s="365"/>
      <c r="CS164" s="365"/>
      <c r="CT164" s="365"/>
      <c r="CU164" s="365"/>
      <c r="CV164" s="365"/>
      <c r="CW164" s="365"/>
      <c r="CX164" s="3935"/>
      <c r="CY164" s="3935"/>
      <c r="CZ164" s="3935"/>
      <c r="DA164" s="365"/>
      <c r="DB164" s="365"/>
      <c r="DC164" s="365"/>
      <c r="DD164" s="3693"/>
      <c r="DE164" s="3693"/>
      <c r="DF164" s="3693"/>
    </row>
    <row r="165" spans="1:110" ht="18.75" hidden="1" x14ac:dyDescent="0.3">
      <c r="A165" s="2674"/>
      <c r="B165" s="2674"/>
      <c r="C165" s="2674"/>
      <c r="D165" s="2674"/>
      <c r="E165" s="2674"/>
      <c r="F165" s="2674"/>
      <c r="G165" s="2674"/>
      <c r="H165" s="2674"/>
      <c r="I165" s="2674"/>
      <c r="J165" s="2674"/>
      <c r="K165" s="2674"/>
      <c r="L165" s="2674"/>
      <c r="M165" s="2674"/>
      <c r="N165" s="2674"/>
      <c r="O165" s="2674"/>
      <c r="P165" s="2674"/>
      <c r="Q165" s="2674"/>
      <c r="R165" s="2674"/>
      <c r="S165" s="2674"/>
      <c r="T165" s="2674"/>
      <c r="U165" s="2674"/>
      <c r="V165" s="2674"/>
      <c r="W165" s="2674"/>
      <c r="X165" s="2674"/>
      <c r="Y165" s="2674"/>
      <c r="Z165" s="2674"/>
      <c r="AA165" s="2674"/>
      <c r="AB165" s="2674"/>
      <c r="AC165" s="2674"/>
      <c r="AD165" s="2674"/>
      <c r="AE165" s="2674"/>
      <c r="AF165" s="2674"/>
      <c r="AG165" s="2674"/>
      <c r="AH165" s="2674"/>
      <c r="AI165" s="2674"/>
      <c r="AJ165" s="2674"/>
      <c r="AK165" s="2674"/>
      <c r="AL165" s="2674"/>
      <c r="AM165" s="2674"/>
      <c r="AN165" s="2674"/>
      <c r="AO165" s="2674"/>
      <c r="AP165" s="2674"/>
      <c r="AQ165" s="2674"/>
      <c r="AR165" s="2674"/>
      <c r="AS165" s="2674"/>
      <c r="AT165" s="2674"/>
      <c r="AU165" s="2674"/>
      <c r="AV165" s="2674"/>
      <c r="AW165" s="2674"/>
      <c r="AX165" s="2674"/>
      <c r="AY165" s="2674"/>
      <c r="AZ165" s="2674"/>
      <c r="BA165" s="3686"/>
      <c r="BB165" s="2674"/>
      <c r="BC165" s="2674"/>
      <c r="BD165" s="2674"/>
      <c r="BE165" s="2674"/>
      <c r="BF165" s="2674"/>
      <c r="BG165" s="2428"/>
      <c r="BH165" s="2428"/>
      <c r="BI165" s="2428"/>
      <c r="BJ165" s="2428"/>
      <c r="BK165" s="2428"/>
      <c r="BL165" s="2428"/>
      <c r="BM165" s="2428"/>
      <c r="BN165" s="2428"/>
      <c r="BO165" s="2428"/>
      <c r="BP165" s="2428"/>
      <c r="BQ165" s="2428"/>
      <c r="BR165" s="2428"/>
      <c r="BS165" s="2428"/>
      <c r="BT165" s="2428"/>
      <c r="BU165" s="2428"/>
      <c r="BV165" s="2428"/>
      <c r="BW165" s="2428"/>
      <c r="BX165" s="2428"/>
      <c r="BY165" s="2428"/>
      <c r="BZ165" s="2428"/>
      <c r="CA165" s="2428"/>
      <c r="CB165" s="365"/>
      <c r="CC165" s="365"/>
      <c r="CD165" s="365"/>
      <c r="CE165" s="365"/>
      <c r="CF165" s="365"/>
      <c r="CG165" s="365"/>
      <c r="CH165" s="365"/>
      <c r="CI165" s="365"/>
      <c r="CJ165" s="365"/>
      <c r="CK165" s="365"/>
      <c r="CL165" s="365"/>
      <c r="CM165" s="365"/>
      <c r="CN165" s="365"/>
      <c r="CO165" s="365"/>
      <c r="CP165" s="365"/>
      <c r="CQ165" s="365"/>
      <c r="CR165" s="365"/>
      <c r="CS165" s="365"/>
      <c r="CT165" s="365"/>
      <c r="CU165" s="365"/>
      <c r="CV165" s="365"/>
      <c r="CW165" s="365"/>
      <c r="CX165" s="3935"/>
      <c r="CY165" s="3935"/>
      <c r="CZ165" s="3935"/>
      <c r="DA165" s="365"/>
      <c r="DB165" s="365"/>
      <c r="DC165" s="365"/>
      <c r="DD165" s="3693"/>
      <c r="DE165" s="3693"/>
      <c r="DF165" s="3693"/>
    </row>
    <row r="166" spans="1:110" ht="18.75" hidden="1" x14ac:dyDescent="0.3">
      <c r="A166" s="3687"/>
      <c r="B166" s="2674"/>
      <c r="C166" s="2674"/>
      <c r="D166" s="2674"/>
      <c r="E166" s="2674"/>
      <c r="F166" s="2674"/>
      <c r="G166" s="2674"/>
      <c r="H166" s="2674"/>
      <c r="I166" s="2674"/>
      <c r="J166" s="2674"/>
      <c r="K166" s="2674"/>
      <c r="L166" s="2674"/>
      <c r="M166" s="2674"/>
      <c r="N166" s="2674"/>
      <c r="O166" s="2674"/>
      <c r="P166" s="2674"/>
      <c r="Q166" s="2674"/>
      <c r="R166" s="2674"/>
      <c r="S166" s="2674"/>
      <c r="T166" s="2674"/>
      <c r="U166" s="2674"/>
      <c r="V166" s="2674"/>
      <c r="W166" s="2674"/>
      <c r="X166" s="2674"/>
      <c r="Y166" s="2674"/>
      <c r="Z166" s="2674"/>
      <c r="AA166" s="2674"/>
      <c r="AB166" s="2674"/>
      <c r="AC166" s="2674"/>
      <c r="AD166" s="2674"/>
      <c r="AE166" s="2674"/>
      <c r="AF166" s="2674"/>
      <c r="AG166" s="2674"/>
      <c r="AH166" s="2674"/>
      <c r="AI166" s="2674"/>
      <c r="AJ166" s="2674"/>
      <c r="AK166" s="2674"/>
      <c r="AL166" s="2674"/>
      <c r="AM166" s="2674"/>
      <c r="AN166" s="2674"/>
      <c r="AO166" s="2674"/>
      <c r="AP166" s="2674"/>
      <c r="AQ166" s="2674"/>
      <c r="AR166" s="2674"/>
      <c r="AS166" s="2674"/>
      <c r="AT166" s="2674"/>
      <c r="AU166" s="2674"/>
      <c r="AV166" s="2674"/>
      <c r="AW166" s="2674"/>
      <c r="AX166" s="2674"/>
      <c r="AY166" s="2674"/>
      <c r="AZ166" s="2674"/>
      <c r="BA166" s="3686"/>
      <c r="BB166" s="2674"/>
      <c r="BC166" s="2674"/>
      <c r="BD166" s="2674"/>
      <c r="BE166" s="2674"/>
      <c r="BF166" s="2674"/>
      <c r="BG166" s="2428"/>
      <c r="BH166" s="2428"/>
      <c r="BI166" s="2428"/>
      <c r="BJ166" s="2428"/>
      <c r="BK166" s="2428"/>
      <c r="BL166" s="2428"/>
      <c r="BM166" s="2428"/>
      <c r="BN166" s="2428"/>
      <c r="BO166" s="2428"/>
      <c r="BP166" s="2428"/>
      <c r="BQ166" s="2428"/>
      <c r="BR166" s="2428"/>
      <c r="BS166" s="2428"/>
      <c r="BT166" s="2428"/>
      <c r="BU166" s="2428"/>
      <c r="BV166" s="2428"/>
      <c r="BW166" s="2428"/>
      <c r="BX166" s="2428"/>
      <c r="BY166" s="2428"/>
      <c r="BZ166" s="2428"/>
      <c r="CA166" s="2428"/>
      <c r="CB166" s="365"/>
      <c r="CC166" s="365"/>
      <c r="CD166" s="365"/>
      <c r="CE166" s="365"/>
      <c r="CF166" s="365"/>
      <c r="CG166" s="365"/>
      <c r="CH166" s="365"/>
      <c r="CI166" s="365"/>
      <c r="CJ166" s="365"/>
      <c r="CK166" s="365"/>
      <c r="CL166" s="365"/>
      <c r="CM166" s="365"/>
      <c r="CN166" s="365"/>
      <c r="CO166" s="365"/>
      <c r="CP166" s="365"/>
      <c r="CQ166" s="365"/>
      <c r="CR166" s="365"/>
      <c r="CS166" s="365"/>
      <c r="CT166" s="365"/>
      <c r="CU166" s="365"/>
      <c r="CV166" s="365"/>
      <c r="CW166" s="365"/>
      <c r="CX166" s="3935"/>
      <c r="CY166" s="3935"/>
      <c r="CZ166" s="3935"/>
      <c r="DA166" s="365"/>
      <c r="DB166" s="365"/>
      <c r="DC166" s="365"/>
      <c r="DD166" s="3693"/>
      <c r="DE166" s="3693"/>
      <c r="DF166" s="3693"/>
    </row>
    <row r="167" spans="1:110" ht="18.75" x14ac:dyDescent="0.3">
      <c r="A167" s="2674"/>
      <c r="B167" s="2674"/>
      <c r="C167" s="2674"/>
      <c r="D167" s="2674"/>
      <c r="E167" s="2674"/>
      <c r="F167" s="2674"/>
      <c r="G167" s="2674"/>
      <c r="H167" s="2674"/>
      <c r="I167" s="2674"/>
      <c r="J167" s="2674"/>
      <c r="K167" s="2674"/>
      <c r="L167" s="2674"/>
      <c r="M167" s="2674"/>
      <c r="N167" s="2674"/>
      <c r="O167" s="2674"/>
      <c r="P167" s="2674"/>
      <c r="Q167" s="2674"/>
      <c r="R167" s="2674"/>
      <c r="S167" s="2674"/>
      <c r="T167" s="2674"/>
      <c r="U167" s="2674"/>
      <c r="V167" s="2674"/>
      <c r="W167" s="2674"/>
      <c r="X167" s="2674"/>
      <c r="Y167" s="2674"/>
      <c r="Z167" s="2674"/>
      <c r="AA167" s="2674"/>
      <c r="AB167" s="2674"/>
      <c r="AC167" s="2674"/>
      <c r="AD167" s="2674"/>
      <c r="AE167" s="2674"/>
      <c r="AF167" s="2674"/>
      <c r="AG167" s="2674"/>
      <c r="AH167" s="2674"/>
      <c r="AI167" s="2674"/>
      <c r="AJ167" s="2674"/>
      <c r="AK167" s="2674"/>
      <c r="AL167" s="2674"/>
      <c r="AM167" s="2674"/>
      <c r="AN167" s="2674"/>
      <c r="AO167" s="2674"/>
      <c r="AP167" s="2674"/>
      <c r="AQ167" s="2674"/>
      <c r="AR167" s="2674"/>
      <c r="AS167" s="2674"/>
      <c r="AT167" s="2674"/>
      <c r="AU167" s="2674"/>
      <c r="AV167" s="2674"/>
      <c r="AW167" s="2674"/>
      <c r="AX167" s="2674"/>
      <c r="AY167" s="2674"/>
      <c r="AZ167" s="2674"/>
      <c r="BA167" s="3686"/>
      <c r="BB167" s="2674"/>
      <c r="BC167" s="2674"/>
      <c r="BD167" s="2674"/>
      <c r="BE167" s="2674"/>
      <c r="BF167" s="2674"/>
      <c r="BG167" s="2428"/>
      <c r="BH167" s="2428"/>
      <c r="BI167" s="2428"/>
      <c r="BJ167" s="2428"/>
      <c r="BK167" s="2428"/>
      <c r="BL167" s="2428"/>
      <c r="BM167" s="2428"/>
      <c r="BN167" s="2428"/>
      <c r="BO167" s="2428"/>
      <c r="BP167" s="2428"/>
      <c r="BQ167" s="2428"/>
      <c r="BR167" s="2428"/>
      <c r="BS167" s="2428"/>
      <c r="BT167" s="2428"/>
      <c r="BU167" s="2428"/>
      <c r="BV167" s="2428"/>
      <c r="BW167" s="2428"/>
      <c r="BX167" s="2428"/>
      <c r="BY167" s="2428"/>
      <c r="BZ167" s="2428"/>
      <c r="CA167" s="2428"/>
      <c r="CB167" s="365"/>
      <c r="CC167" s="365"/>
      <c r="CD167" s="365"/>
      <c r="CE167" s="365"/>
      <c r="CF167" s="365"/>
      <c r="CG167" s="365"/>
      <c r="CH167" s="365"/>
      <c r="CI167" s="365"/>
      <c r="CJ167" s="365"/>
      <c r="CK167" s="365"/>
      <c r="CL167" s="365"/>
      <c r="CM167" s="365"/>
      <c r="CN167" s="365"/>
      <c r="CO167" s="365"/>
      <c r="CP167" s="365"/>
      <c r="CQ167" s="365"/>
      <c r="CR167" s="365"/>
      <c r="CS167" s="365"/>
      <c r="CT167" s="365"/>
      <c r="CU167" s="365"/>
      <c r="CV167" s="365"/>
      <c r="CW167" s="365"/>
      <c r="CX167" s="3935"/>
      <c r="CY167" s="3935"/>
      <c r="CZ167" s="3935"/>
      <c r="DA167" s="365"/>
      <c r="DB167" s="365"/>
      <c r="DC167" s="365"/>
      <c r="DD167" s="3693"/>
      <c r="DE167" s="3693"/>
      <c r="DF167" s="3693"/>
    </row>
    <row r="168" spans="1:110" ht="18.75" x14ac:dyDescent="0.3">
      <c r="A168" s="2674"/>
      <c r="B168" s="2674"/>
      <c r="C168" s="2674"/>
      <c r="D168" s="2674"/>
      <c r="E168" s="2674"/>
      <c r="F168" s="2674"/>
      <c r="G168" s="2674"/>
      <c r="H168" s="2674"/>
      <c r="I168" s="2674"/>
      <c r="J168" s="2674"/>
      <c r="K168" s="2674"/>
      <c r="L168" s="2674"/>
      <c r="M168" s="2674"/>
      <c r="N168" s="2674"/>
      <c r="O168" s="2674"/>
      <c r="P168" s="2674"/>
      <c r="Q168" s="2674"/>
      <c r="R168" s="2674"/>
      <c r="S168" s="2674"/>
      <c r="T168" s="2674"/>
      <c r="U168" s="2674"/>
      <c r="V168" s="2674"/>
      <c r="W168" s="2674"/>
      <c r="X168" s="2674"/>
      <c r="Y168" s="2674"/>
      <c r="Z168" s="2674"/>
      <c r="AA168" s="2674"/>
      <c r="AB168" s="2674"/>
      <c r="AC168" s="2674"/>
      <c r="AD168" s="2674"/>
      <c r="AE168" s="2674"/>
      <c r="AF168" s="2674"/>
      <c r="AG168" s="2674"/>
      <c r="AH168" s="2674"/>
      <c r="AI168" s="2674"/>
      <c r="AJ168" s="2674"/>
      <c r="AK168" s="2674"/>
      <c r="AL168" s="2674"/>
      <c r="AM168" s="2674"/>
      <c r="AN168" s="2674"/>
      <c r="AO168" s="2674"/>
      <c r="AP168" s="2674"/>
      <c r="AQ168" s="2674"/>
      <c r="AR168" s="2674"/>
      <c r="AS168" s="2674"/>
      <c r="AT168" s="2674"/>
      <c r="AU168" s="2674"/>
      <c r="AV168" s="2674"/>
      <c r="AW168" s="2674"/>
      <c r="AX168" s="2674"/>
      <c r="AY168" s="2674"/>
      <c r="AZ168" s="2674"/>
      <c r="BA168" s="3686"/>
      <c r="BB168" s="3688">
        <f>BB161*2-BB162</f>
        <v>40.825427386454152</v>
      </c>
      <c r="BC168" s="2674"/>
      <c r="BD168" s="2674"/>
      <c r="BE168" s="3688">
        <f>BE161*2-BE162</f>
        <v>33.73639678874153</v>
      </c>
      <c r="BF168" s="2674"/>
      <c r="BG168" s="2428"/>
      <c r="BH168" s="2428"/>
      <c r="BI168" s="2428"/>
      <c r="BJ168" s="2428"/>
      <c r="BK168" s="2428"/>
      <c r="BL168" s="2428"/>
      <c r="BM168" s="2428"/>
      <c r="BN168" s="2428"/>
      <c r="BO168" s="2428"/>
      <c r="BP168" s="2428"/>
      <c r="BQ168" s="3689">
        <f>BQ139+BQ140+BQ141+BQ142+BQ143+BQ145</f>
        <v>110756.83500000001</v>
      </c>
      <c r="BR168" s="3689">
        <f>BR139+BR140+BR141+BR142+BR143+BR145</f>
        <v>18.998999999999999</v>
      </c>
      <c r="BS168" s="2428"/>
      <c r="BT168" s="2428"/>
      <c r="BU168" s="2428" t="s">
        <v>2015</v>
      </c>
      <c r="BV168" s="2428"/>
      <c r="BW168" s="3689">
        <f>BW139+BW140+BW141+BW142+BW143+BW145</f>
        <v>116884.44357920038</v>
      </c>
      <c r="BX168" s="3689">
        <f>BX139+BX140+BX141+BX142+BX143+BX145</f>
        <v>25.498907169864808</v>
      </c>
      <c r="BY168" s="2428"/>
      <c r="BZ168" s="3689">
        <f>BZ139+BZ140+BZ141+BZ142+BZ143+BZ145</f>
        <v>130849.18843561392</v>
      </c>
      <c r="CA168" s="3689">
        <f>CA139+CA140+CA141+CA142+CA143+CA145</f>
        <v>29.208594901584028</v>
      </c>
      <c r="CB168" s="365"/>
      <c r="CC168" s="365"/>
      <c r="CD168" s="365"/>
      <c r="CE168" s="365"/>
      <c r="CF168" s="365"/>
      <c r="CG168" s="3689">
        <f>CG139+CG140+CG141+CG142+CG143+CG145</f>
        <v>119187.06933071907</v>
      </c>
      <c r="CH168" s="3689">
        <f>CH139+CH140+CH141+CH142+CH143+CH145</f>
        <v>25.996086932683362</v>
      </c>
      <c r="CI168" s="365"/>
      <c r="CJ168" s="3689">
        <f>CJ139+CJ140+CJ141+CJ142+CJ143+CJ145-'цех вода'!AY18-'ОХР '!CC17-'ОХР '!CC21-'Аренда земли'!U9</f>
        <v>53163.29103</v>
      </c>
      <c r="CK168" s="3689">
        <f>CK139+CK140+CK141+CK142+CK143+CK145-'ОХР '!CD17-'ОХР '!CD21-'Аренда земли'!U12</f>
        <v>12.08831</v>
      </c>
      <c r="CL168" s="365"/>
      <c r="CM168" s="3689">
        <f>CM139+CM140+CM141+CM142+CM143+CM145-'цех вода'!AZ18-'ОХР '!CJ17-'ОХР '!CJ21-'Аренда земли'!V9</f>
        <v>82817.168450000012</v>
      </c>
      <c r="CN168" s="3689">
        <f>CN139+CN140+CN141+CN142+CN143+CN145-'ОХР '!CK17-'ОХР '!CK21-'Аренда земли'!V12</f>
        <v>18.326699999999999</v>
      </c>
      <c r="CO168" s="365"/>
      <c r="CP168" s="3689">
        <f>CP139+CP140+CP141+CP142+CP143+CP145-'цех вода'!BA18-'ОХР '!CQ17-'ОХР '!CQ21-'Аренда земли'!W9</f>
        <v>109206.64600000001</v>
      </c>
      <c r="CQ168" s="3689">
        <f>CQ139+CQ140+CQ141+CQ142+CQ143+CQ145-'ОХР '!CR17-'ОХР '!CR21-'Аренда земли'!W12</f>
        <v>23.192100000000003</v>
      </c>
      <c r="CR168" s="2428" t="s">
        <v>2015</v>
      </c>
      <c r="CS168" s="3689">
        <f>CS139+CS140+CS141+CS142+CS143+CS145-'цех вода'!BB18-'ОХР '!CX17-'ОХР '!CX21-'Аренда земли'!Y9</f>
        <v>138434.62555141863</v>
      </c>
      <c r="CT168" s="3689">
        <f>CT139+CT140+CT141+CT142+CT143+CT145-'ОХР '!CY17-'ОХР '!CY21-'Аренда земли'!Y12</f>
        <v>56.99711524232422</v>
      </c>
      <c r="CU168" s="4140" t="s">
        <v>2015</v>
      </c>
      <c r="CV168" s="4141">
        <f>SUM(CV157-CV169-CV171-CV172-CV173-CV174-CV175)</f>
        <v>119160.11470994391</v>
      </c>
      <c r="CW168" s="4141">
        <f>CW139+CW140+CW141+CW142+CW143+CW145-'ОХР '!DB17-'ОХР '!DB21-'Аренда земли'!AB12</f>
        <v>26.716949065647434</v>
      </c>
      <c r="CX168" s="2428" t="s">
        <v>2015</v>
      </c>
      <c r="CY168" s="3689">
        <f>CY139+CY140+CY141+CY142+CY143+CY145-'цех вода'!BD18-'ОХР '!DG17-'ОХР '!DG21-'Аренда земли'!AA9</f>
        <v>55463.278410000006</v>
      </c>
      <c r="CZ168" s="3689">
        <f>CZ139+CZ140+CZ141+CZ142+CZ143+CZ145-'ОХР '!DO17-'ОХР '!DO21-'Аренда земли'!AA12</f>
        <v>10.06808</v>
      </c>
      <c r="DA168" s="365"/>
      <c r="DB168" s="3689">
        <f>DB139+DB140+DB141+DB142+DB143+DB145-'цех вода'!BE18-'ОХР '!DN17-'ОХР '!DN21-'Аренда земли'!AB9</f>
        <v>80335.03764000001</v>
      </c>
      <c r="DC168" s="3689">
        <f>DC139+DC140+DC141+DC142+DC143+DC145-'ОХР '!DO17-'ОХР '!DO21-'Аренда земли'!AB12</f>
        <v>16.929019999999998</v>
      </c>
      <c r="DD168" s="3693"/>
      <c r="DE168" s="4039">
        <f>DE139+DE140+DE141+DE142+DE143+DE145-'цех вода'!BP18-'ОХР '!EC17-'ОХР '!EC21-'Аренда земли'!AP9</f>
        <v>14321.089999999998</v>
      </c>
      <c r="DF168" s="4039">
        <f>DF139+DF140+DF141+DF142+DF143+DF145-'ОХР '!ED17-'ОХР '!ED21-'Аренда земли'!AP12</f>
        <v>4.4399999999999995</v>
      </c>
    </row>
    <row r="169" spans="1:110" x14ac:dyDescent="0.25">
      <c r="A169" s="365"/>
      <c r="B169" s="365"/>
      <c r="C169" s="365"/>
      <c r="D169" s="365"/>
      <c r="E169" s="365"/>
      <c r="F169" s="365"/>
      <c r="G169" s="365"/>
      <c r="H169" s="365"/>
      <c r="I169" s="365"/>
      <c r="J169" s="365"/>
      <c r="K169" s="365"/>
      <c r="L169" s="365"/>
      <c r="M169" s="365"/>
      <c r="N169" s="365"/>
      <c r="O169" s="365"/>
      <c r="P169" s="365"/>
      <c r="Q169" s="365"/>
      <c r="R169" s="365"/>
      <c r="S169" s="365"/>
      <c r="T169" s="365"/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65"/>
      <c r="AI169" s="365"/>
      <c r="AJ169" s="365"/>
      <c r="AK169" s="365"/>
      <c r="AL169" s="365"/>
      <c r="AM169" s="365"/>
      <c r="AN169" s="365"/>
      <c r="AO169" s="365"/>
      <c r="AP169" s="365"/>
      <c r="AQ169" s="365"/>
      <c r="AR169" s="365"/>
      <c r="AS169" s="365"/>
      <c r="AT169" s="365"/>
      <c r="AU169" s="365"/>
      <c r="AV169" s="365"/>
      <c r="AW169" s="365"/>
      <c r="AX169" s="365"/>
      <c r="AY169" s="365"/>
      <c r="AZ169" s="365"/>
      <c r="BA169" s="3609"/>
      <c r="BB169" s="365"/>
      <c r="BC169" s="365"/>
      <c r="BD169" s="365"/>
      <c r="BE169" s="365"/>
      <c r="BF169" s="365"/>
      <c r="BG169" s="2428"/>
      <c r="BH169" s="2428"/>
      <c r="BI169" s="2428"/>
      <c r="BJ169" s="2428"/>
      <c r="BK169" s="2428"/>
      <c r="BL169" s="2428"/>
      <c r="BM169" s="2428"/>
      <c r="BN169" s="2428"/>
      <c r="BO169" s="2428"/>
      <c r="BP169" s="2428"/>
      <c r="BQ169" s="3689">
        <f>BQ136+BQ137</f>
        <v>11013.124</v>
      </c>
      <c r="BR169" s="3689">
        <f>BR136+BR137</f>
        <v>1.1299999999999999</v>
      </c>
      <c r="BS169" s="2428"/>
      <c r="BT169" s="2428"/>
      <c r="BU169" s="2428" t="s">
        <v>2016</v>
      </c>
      <c r="BV169" s="2428"/>
      <c r="BW169" s="3689">
        <f>BW136+BW137</f>
        <v>13640.899384903289</v>
      </c>
      <c r="BX169" s="3689">
        <f>BX136+BX137</f>
        <v>1.2183794999999999</v>
      </c>
      <c r="BY169" s="2428"/>
      <c r="BZ169" s="3689">
        <f>BZ136+BZ137</f>
        <v>14240.483205953551</v>
      </c>
      <c r="CA169" s="3689">
        <f>CA136+CA137</f>
        <v>1.269551439</v>
      </c>
      <c r="CB169" s="365"/>
      <c r="CC169" s="365"/>
      <c r="CD169" s="365"/>
      <c r="CE169" s="365"/>
      <c r="CF169" s="365"/>
      <c r="CG169" s="3689">
        <f>CG136+CG137</f>
        <v>13549.633074173169</v>
      </c>
      <c r="CH169" s="3689">
        <f>CH136+CH137</f>
        <v>0.89212483339199999</v>
      </c>
      <c r="CI169" s="365"/>
      <c r="CJ169" s="3689">
        <f>SUM('ЭЭ вода'!AF49+'ОХР '!CC21+'ОХР '!CC17+'цех вода'!AY18)</f>
        <v>8152.0592999999999</v>
      </c>
      <c r="CK169" s="3689">
        <f>SUM('ЭЭ вода'!AF50+'ОХР '!CD17+'ОХР '!CD21)</f>
        <v>0.43</v>
      </c>
      <c r="CL169" s="365"/>
      <c r="CM169" s="3689">
        <f>SUM('ЭЭ вода'!AG49+'ОХР '!CJ21+'ОХР '!CJ17+'цех вода'!AZ18)</f>
        <v>11833.197039999999</v>
      </c>
      <c r="CN169" s="3689">
        <f>SUM('ЭЭ вода'!AG50+'ОХР '!CK17+'ОХР '!CK21)</f>
        <v>0.63376999999999994</v>
      </c>
      <c r="CO169" s="365"/>
      <c r="CP169" s="3689">
        <f>SUM('ЭЭ вода'!AH49+'ОХР '!CQ21+'ОХР '!CQ17+'цех вода'!BA18)</f>
        <v>16589.37</v>
      </c>
      <c r="CQ169" s="3689">
        <f>SUM('ЭЭ вода'!AH50+'ОХР '!CR17+'ОХР '!CR21)</f>
        <v>0.86399999999999999</v>
      </c>
      <c r="CR169" s="2428" t="s">
        <v>2016</v>
      </c>
      <c r="CS169" s="3689">
        <f>SUM('ЭЭ вода'!AI49+'ОХР '!CX21+'ОХР '!CX17+'цех вода'!BB18)</f>
        <v>19521.388914557312</v>
      </c>
      <c r="CT169" s="3689">
        <f>SUM('ЭЭ вода'!AI50+'ОХР '!CY17+'ОХР '!CY21)</f>
        <v>0.96866164251143072</v>
      </c>
      <c r="CU169" s="4140" t="s">
        <v>2016</v>
      </c>
      <c r="CV169" s="4141">
        <f>SUM(CV67)</f>
        <v>12565.575762321121</v>
      </c>
      <c r="CW169" s="4141">
        <f>SUM(CW9)</f>
        <v>1.4756665607949733</v>
      </c>
      <c r="CX169" s="2428" t="s">
        <v>2016</v>
      </c>
      <c r="CY169" s="3689">
        <f>SUM('ЭЭ вода'!AK49+'ОХР '!DG21+'ОХР '!DG17+'цех вода'!BD18)</f>
        <v>8242.6339599999992</v>
      </c>
      <c r="CZ169" s="3689">
        <f>SUM('ЭЭ вода'!AK50+'ОХР '!DO17+'ОХР '!DO21)</f>
        <v>0.40250000000000002</v>
      </c>
      <c r="DA169" s="365"/>
      <c r="DB169" s="3689">
        <f>SUM('ЭЭ вода'!AL49+'ОХР '!DN21+'ОХР '!DN17+'цех вода'!BE18)</f>
        <v>11021.2709</v>
      </c>
      <c r="DC169" s="3689">
        <f>SUM('ЭЭ вода'!AL50+'ОХР '!DO17+'ОХР '!DO21)</f>
        <v>0.55088000000000004</v>
      </c>
      <c r="DD169" s="3693"/>
      <c r="DE169" s="4039">
        <f>SUM('ЭЭ вода'!AW49+'ОХР '!EC21+'ОХР '!EC17+'цех вода'!BP18)</f>
        <v>0</v>
      </c>
      <c r="DF169" s="4039">
        <f>SUM('ЭЭ вода'!AW50+'ОХР '!ED17+'ОХР '!ED21)</f>
        <v>0</v>
      </c>
    </row>
    <row r="170" spans="1:110" x14ac:dyDescent="0.25">
      <c r="A170" s="365"/>
      <c r="B170" s="365"/>
      <c r="C170" s="365"/>
      <c r="D170" s="365"/>
      <c r="E170" s="365"/>
      <c r="F170" s="365"/>
      <c r="G170" s="365"/>
      <c r="H170" s="365"/>
      <c r="I170" s="365"/>
      <c r="J170" s="365"/>
      <c r="K170" s="365"/>
      <c r="L170" s="365"/>
      <c r="M170" s="365"/>
      <c r="N170" s="365"/>
      <c r="O170" s="365"/>
      <c r="P170" s="365"/>
      <c r="Q170" s="365"/>
      <c r="R170" s="365"/>
      <c r="S170" s="365"/>
      <c r="T170" s="365"/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>
        <f>AF141/AF140</f>
        <v>0.29993261127680237</v>
      </c>
      <c r="AH170" s="365"/>
      <c r="AI170" s="365"/>
      <c r="AJ170" s="365"/>
      <c r="AK170" s="365"/>
      <c r="AL170" s="365"/>
      <c r="AM170" s="365"/>
      <c r="AN170" s="365"/>
      <c r="AO170" s="365"/>
      <c r="AP170" s="365"/>
      <c r="AQ170" s="365"/>
      <c r="AR170" s="365"/>
      <c r="AS170" s="365"/>
      <c r="AT170" s="365"/>
      <c r="AU170" s="365"/>
      <c r="AV170" s="365"/>
      <c r="AW170" s="365"/>
      <c r="AX170" s="365"/>
      <c r="AY170" s="365"/>
      <c r="AZ170" s="365"/>
      <c r="BA170" s="3609"/>
      <c r="BB170" s="3692">
        <f>BB168/BB162</f>
        <v>1.2952229500778603</v>
      </c>
      <c r="BC170" s="365"/>
      <c r="BD170" s="365"/>
      <c r="BE170" s="3692">
        <f>BE168/BE162</f>
        <v>1.0703171570032211</v>
      </c>
      <c r="BF170" s="365"/>
      <c r="BG170" s="2428"/>
      <c r="BH170" s="2428"/>
      <c r="BI170" s="2428"/>
      <c r="BJ170" s="2428"/>
      <c r="BK170" s="2428"/>
      <c r="BL170" s="2428"/>
      <c r="BM170" s="2428"/>
      <c r="BN170" s="2428"/>
      <c r="BO170" s="2428"/>
      <c r="BP170" s="2428"/>
      <c r="BQ170" s="3690"/>
      <c r="BR170" s="3690"/>
      <c r="BS170" s="2428"/>
      <c r="BT170" s="2428"/>
      <c r="BU170" s="2428" t="s">
        <v>2017</v>
      </c>
      <c r="BV170" s="2428"/>
      <c r="BW170" s="3690"/>
      <c r="BX170" s="3690"/>
      <c r="BY170" s="3690"/>
      <c r="BZ170" s="3690"/>
      <c r="CA170" s="3690"/>
      <c r="CB170" s="365"/>
      <c r="CC170" s="365"/>
      <c r="CD170" s="365"/>
      <c r="CE170" s="365"/>
      <c r="CF170" s="365"/>
      <c r="CG170" s="3690"/>
      <c r="CH170" s="3690"/>
      <c r="CI170" s="365"/>
      <c r="CJ170" s="3690"/>
      <c r="CK170" s="3690"/>
      <c r="CL170" s="365"/>
      <c r="CM170" s="3690"/>
      <c r="CN170" s="3690"/>
      <c r="CO170" s="365"/>
      <c r="CP170" s="3690"/>
      <c r="CQ170" s="3690"/>
      <c r="CR170" s="2428" t="s">
        <v>2017</v>
      </c>
      <c r="CS170" s="3690"/>
      <c r="CT170" s="3690"/>
      <c r="CU170" s="4140" t="s">
        <v>2017</v>
      </c>
      <c r="CV170" s="4149"/>
      <c r="CW170" s="4149"/>
      <c r="CX170" s="2428" t="s">
        <v>2017</v>
      </c>
      <c r="CY170" s="3690"/>
      <c r="CZ170" s="3690"/>
      <c r="DA170" s="365"/>
      <c r="DB170" s="3690"/>
      <c r="DC170" s="3690"/>
      <c r="DD170" s="3693"/>
      <c r="DE170" s="4040"/>
      <c r="DF170" s="4040"/>
    </row>
    <row r="171" spans="1:110" x14ac:dyDescent="0.25">
      <c r="A171" s="365"/>
      <c r="B171" s="365"/>
      <c r="C171" s="365"/>
      <c r="D171" s="365"/>
      <c r="E171" s="365"/>
      <c r="F171" s="365"/>
      <c r="G171" s="365"/>
      <c r="H171" s="365"/>
      <c r="I171" s="365"/>
      <c r="J171" s="365"/>
      <c r="K171" s="365"/>
      <c r="L171" s="365"/>
      <c r="M171" s="365"/>
      <c r="N171" s="365"/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  <c r="AZ171" s="365"/>
      <c r="BA171" s="3609"/>
      <c r="BB171" s="365"/>
      <c r="BC171" s="365"/>
      <c r="BD171" s="365"/>
      <c r="BE171" s="365"/>
      <c r="BF171" s="365"/>
      <c r="BG171" s="2428"/>
      <c r="BH171" s="2428"/>
      <c r="BI171" s="2428"/>
      <c r="BJ171" s="2428"/>
      <c r="BK171" s="2428"/>
      <c r="BL171" s="2428"/>
      <c r="BM171" s="2428"/>
      <c r="BN171" s="2428"/>
      <c r="BO171" s="2428"/>
      <c r="BP171" s="2428"/>
      <c r="BQ171" s="3689">
        <f>BQ148</f>
        <v>0</v>
      </c>
      <c r="BR171" s="3689">
        <f>BR148</f>
        <v>0</v>
      </c>
      <c r="BS171" s="2428"/>
      <c r="BT171" s="2428"/>
      <c r="BU171" s="2428" t="s">
        <v>2018</v>
      </c>
      <c r="BV171" s="2428"/>
      <c r="BW171" s="3689">
        <f>BW148</f>
        <v>30.794479507533907</v>
      </c>
      <c r="BX171" s="3689">
        <f>BX148</f>
        <v>0</v>
      </c>
      <c r="BY171" s="3689"/>
      <c r="BZ171" s="3689">
        <f>BZ148</f>
        <v>0</v>
      </c>
      <c r="CA171" s="3689">
        <f>CA148</f>
        <v>0</v>
      </c>
      <c r="CB171" s="365"/>
      <c r="CC171" s="365"/>
      <c r="CD171" s="365"/>
      <c r="CE171" s="365"/>
      <c r="CF171" s="365"/>
      <c r="CG171" s="3689">
        <f>CG148</f>
        <v>0</v>
      </c>
      <c r="CH171" s="3689">
        <f>CH148</f>
        <v>0</v>
      </c>
      <c r="CI171" s="365"/>
      <c r="CJ171" s="3689">
        <f>CJ148</f>
        <v>0</v>
      </c>
      <c r="CK171" s="3689">
        <f>CK148</f>
        <v>0</v>
      </c>
      <c r="CL171" s="365"/>
      <c r="CM171" s="3689">
        <f>CM148</f>
        <v>0</v>
      </c>
      <c r="CN171" s="3689">
        <f>CN148</f>
        <v>0</v>
      </c>
      <c r="CO171" s="365"/>
      <c r="CP171" s="3689">
        <f>CP148</f>
        <v>0</v>
      </c>
      <c r="CQ171" s="3689">
        <f>CQ148</f>
        <v>0</v>
      </c>
      <c r="CR171" s="2428" t="s">
        <v>2018</v>
      </c>
      <c r="CS171" s="3689">
        <f>CS148</f>
        <v>0</v>
      </c>
      <c r="CT171" s="3689">
        <f>CT148</f>
        <v>0</v>
      </c>
      <c r="CU171" s="4140" t="s">
        <v>2018</v>
      </c>
      <c r="CV171" s="4141">
        <f>CV148</f>
        <v>0</v>
      </c>
      <c r="CW171" s="4141">
        <f>CW148</f>
        <v>0</v>
      </c>
      <c r="CX171" s="2428" t="s">
        <v>2018</v>
      </c>
      <c r="CY171" s="3689">
        <f>CY148</f>
        <v>0</v>
      </c>
      <c r="CZ171" s="3689">
        <f>CZ148</f>
        <v>0</v>
      </c>
      <c r="DA171" s="365"/>
      <c r="DB171" s="3689">
        <f>DB148</f>
        <v>0</v>
      </c>
      <c r="DC171" s="3689">
        <f>DC148</f>
        <v>0</v>
      </c>
      <c r="DD171" s="3693"/>
      <c r="DE171" s="4039">
        <f>DE148</f>
        <v>0</v>
      </c>
      <c r="DF171" s="4039">
        <f>DF148</f>
        <v>0</v>
      </c>
    </row>
    <row r="172" spans="1:110" x14ac:dyDescent="0.25">
      <c r="A172" s="365"/>
      <c r="B172" s="365"/>
      <c r="C172" s="365"/>
      <c r="D172" s="365"/>
      <c r="E172" s="365"/>
      <c r="F172" s="365"/>
      <c r="G172" s="365"/>
      <c r="H172" s="365"/>
      <c r="I172" s="365"/>
      <c r="J172" s="365"/>
      <c r="K172" s="365"/>
      <c r="L172" s="365"/>
      <c r="M172" s="365"/>
      <c r="N172" s="365"/>
      <c r="O172" s="365"/>
      <c r="P172" s="365"/>
      <c r="Q172" s="365"/>
      <c r="R172" s="365"/>
      <c r="S172" s="365"/>
      <c r="T172" s="365"/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65"/>
      <c r="AI172" s="365"/>
      <c r="AJ172" s="365"/>
      <c r="AK172" s="365"/>
      <c r="AL172" s="365"/>
      <c r="AM172" s="365"/>
      <c r="AN172" s="365"/>
      <c r="AO172" s="365"/>
      <c r="AP172" s="365"/>
      <c r="AQ172" s="365"/>
      <c r="AR172" s="365"/>
      <c r="AS172" s="365"/>
      <c r="AT172" s="365"/>
      <c r="AU172" s="365"/>
      <c r="AV172" s="365"/>
      <c r="AW172" s="365"/>
      <c r="AX172" s="365"/>
      <c r="AY172" s="365"/>
      <c r="AZ172" s="365"/>
      <c r="BA172" s="3609"/>
      <c r="BB172" s="365"/>
      <c r="BC172" s="365"/>
      <c r="BD172" s="365"/>
      <c r="BE172" s="365"/>
      <c r="BF172" s="365"/>
      <c r="BG172" s="2428"/>
      <c r="BH172" s="2428"/>
      <c r="BI172" s="2428"/>
      <c r="BJ172" s="2428"/>
      <c r="BK172" s="2428"/>
      <c r="BL172" s="2428"/>
      <c r="BM172" s="2428"/>
      <c r="BN172" s="2428"/>
      <c r="BO172" s="2428"/>
      <c r="BP172" s="2428"/>
      <c r="BQ172" s="3689">
        <f>BQ144</f>
        <v>4716.59</v>
      </c>
      <c r="BR172" s="3689">
        <f>BR144</f>
        <v>1.71</v>
      </c>
      <c r="BS172" s="2428"/>
      <c r="BT172" s="2428"/>
      <c r="BU172" s="2428" t="s">
        <v>2019</v>
      </c>
      <c r="BV172" s="2428"/>
      <c r="BW172" s="3689">
        <f>BW144</f>
        <v>6646.6681943163603</v>
      </c>
      <c r="BX172" s="3689">
        <f>BX144</f>
        <v>2.2995438514545756</v>
      </c>
      <c r="BY172" s="3689"/>
      <c r="BZ172" s="3689">
        <f>BZ144</f>
        <v>8047.3436809562545</v>
      </c>
      <c r="CA172" s="3689">
        <f>CA144</f>
        <v>2.3557822715825516</v>
      </c>
      <c r="CB172" s="365"/>
      <c r="CC172" s="365"/>
      <c r="CD172" s="365"/>
      <c r="CE172" s="365"/>
      <c r="CF172" s="365"/>
      <c r="CG172" s="3689">
        <f>CG144</f>
        <v>6443.3212990978163</v>
      </c>
      <c r="CH172" s="3689">
        <f>CH144</f>
        <v>1.8708976715825516</v>
      </c>
      <c r="CI172" s="365"/>
      <c r="CJ172" s="3689">
        <f>CJ144</f>
        <v>3177.0067785000001</v>
      </c>
      <c r="CK172" s="3689">
        <f>CK144</f>
        <v>0</v>
      </c>
      <c r="CL172" s="365"/>
      <c r="CM172" s="3689">
        <f>CM144</f>
        <v>4766.0355731699992</v>
      </c>
      <c r="CN172" s="3689">
        <f>CN144</f>
        <v>0</v>
      </c>
      <c r="CO172" s="365"/>
      <c r="CP172" s="3689">
        <f>CP144</f>
        <v>6354.3249378799992</v>
      </c>
      <c r="CQ172" s="3689">
        <f>CQ144</f>
        <v>0</v>
      </c>
      <c r="CR172" s="2428" t="s">
        <v>2019</v>
      </c>
      <c r="CS172" s="3689">
        <f>CS144</f>
        <v>7774.0937539999995</v>
      </c>
      <c r="CT172" s="3689">
        <f>CT144</f>
        <v>1.2142200000000001</v>
      </c>
      <c r="CU172" s="4140" t="s">
        <v>2019</v>
      </c>
      <c r="CV172" s="4141">
        <f>CV144</f>
        <v>5070.1323199999997</v>
      </c>
      <c r="CW172" s="4141">
        <f>CW144</f>
        <v>0.73399999999999999</v>
      </c>
      <c r="CX172" s="2428" t="s">
        <v>2019</v>
      </c>
      <c r="CY172" s="3689">
        <f>CY144</f>
        <v>2537.2637800000002</v>
      </c>
      <c r="CZ172" s="3689">
        <f>CZ144</f>
        <v>0</v>
      </c>
      <c r="DA172" s="365"/>
      <c r="DB172" s="3689">
        <f>DB144</f>
        <v>4227.7289609999998</v>
      </c>
      <c r="DC172" s="3689">
        <f>DC144</f>
        <v>0</v>
      </c>
      <c r="DD172" s="3693"/>
      <c r="DE172" s="4039">
        <f>DE144</f>
        <v>3048.754937879999</v>
      </c>
      <c r="DF172" s="4039">
        <f>DF144</f>
        <v>0</v>
      </c>
    </row>
    <row r="173" spans="1:110" x14ac:dyDescent="0.25">
      <c r="A173" s="365"/>
      <c r="B173" s="365"/>
      <c r="C173" s="365"/>
      <c r="D173" s="365"/>
      <c r="E173" s="365"/>
      <c r="F173" s="365"/>
      <c r="G173" s="365"/>
      <c r="H173" s="365"/>
      <c r="I173" s="365"/>
      <c r="J173" s="365"/>
      <c r="K173" s="365"/>
      <c r="L173" s="365"/>
      <c r="M173" s="365"/>
      <c r="N173" s="365"/>
      <c r="O173" s="365"/>
      <c r="P173" s="365"/>
      <c r="Q173" s="365"/>
      <c r="R173" s="365"/>
      <c r="S173" s="365"/>
      <c r="T173" s="365"/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65"/>
      <c r="AI173" s="365"/>
      <c r="AJ173" s="365"/>
      <c r="AK173" s="365"/>
      <c r="AL173" s="365"/>
      <c r="AM173" s="365"/>
      <c r="AN173" s="365"/>
      <c r="AO173" s="365"/>
      <c r="AP173" s="365"/>
      <c r="AQ173" s="365"/>
      <c r="AR173" s="365"/>
      <c r="AS173" s="365"/>
      <c r="AT173" s="365"/>
      <c r="AU173" s="365"/>
      <c r="AV173" s="365"/>
      <c r="AW173" s="365"/>
      <c r="AX173" s="365"/>
      <c r="AY173" s="365"/>
      <c r="AZ173" s="365"/>
      <c r="BA173" s="3609"/>
      <c r="BB173" s="365"/>
      <c r="BC173" s="365"/>
      <c r="BD173" s="365"/>
      <c r="BE173" s="365"/>
      <c r="BF173" s="365"/>
      <c r="BG173" s="2428"/>
      <c r="BH173" s="2428"/>
      <c r="BI173" s="2428"/>
      <c r="BJ173" s="2428"/>
      <c r="BK173" s="2428"/>
      <c r="BL173" s="2428"/>
      <c r="BM173" s="2428"/>
      <c r="BN173" s="2428"/>
      <c r="BO173" s="2428"/>
      <c r="BP173" s="2428"/>
      <c r="BQ173" s="3689">
        <f>BQ59</f>
        <v>136.5</v>
      </c>
      <c r="BR173" s="3689">
        <f>BR59</f>
        <v>5.1999999999999995E-4</v>
      </c>
      <c r="BS173" s="2428"/>
      <c r="BT173" s="2428"/>
      <c r="BU173" s="2428" t="s">
        <v>2020</v>
      </c>
      <c r="BV173" s="2428"/>
      <c r="BW173" s="3689">
        <f>BW59</f>
        <v>63.885995088205725</v>
      </c>
      <c r="BX173" s="3689">
        <f>BX59</f>
        <v>3.0890411794274542E-2</v>
      </c>
      <c r="BY173" s="3689"/>
      <c r="BZ173" s="3689">
        <f>BZ59</f>
        <v>147.084756</v>
      </c>
      <c r="CA173" s="3689">
        <f>CA59</f>
        <v>5.6032287999999999E-4</v>
      </c>
      <c r="CB173" s="365"/>
      <c r="CC173" s="365"/>
      <c r="CD173" s="365"/>
      <c r="CE173" s="365"/>
      <c r="CF173" s="365"/>
      <c r="CG173" s="3689">
        <f>CG59</f>
        <v>138.11089028999999</v>
      </c>
      <c r="CH173" s="3689">
        <f>CH59</f>
        <v>0</v>
      </c>
      <c r="CI173" s="365"/>
      <c r="CJ173" s="3689">
        <f>SUM('Аренда земли'!U9)</f>
        <v>44.822929999999999</v>
      </c>
      <c r="CK173" s="3691">
        <f>SUM('Аренда земли'!U12)</f>
        <v>1.4499999999999999E-3</v>
      </c>
      <c r="CL173" s="365"/>
      <c r="CM173" s="3689">
        <f>CM59</f>
        <v>67.210719999999995</v>
      </c>
      <c r="CN173" s="3691">
        <f>CN59</f>
        <v>2.33E-3</v>
      </c>
      <c r="CO173" s="365"/>
      <c r="CP173" s="3689">
        <f>CP59</f>
        <v>89.506</v>
      </c>
      <c r="CQ173" s="3691">
        <f>CQ59</f>
        <v>3.0000000000000001E-3</v>
      </c>
      <c r="CR173" s="2428" t="s">
        <v>2020</v>
      </c>
      <c r="CS173" s="3689">
        <f>CS59</f>
        <v>138.11089028999999</v>
      </c>
      <c r="CT173" s="3691">
        <f>CT59</f>
        <v>0</v>
      </c>
      <c r="CU173" s="4140" t="s">
        <v>2020</v>
      </c>
      <c r="CV173" s="4141">
        <f>CV59</f>
        <v>86.286980999999997</v>
      </c>
      <c r="CW173" s="4142">
        <f>CW59</f>
        <v>0</v>
      </c>
      <c r="CX173" s="2428" t="s">
        <v>2020</v>
      </c>
      <c r="CY173" s="3689">
        <f>SUM('Аренда земли'!AA9)</f>
        <v>65.468450000000004</v>
      </c>
      <c r="CZ173" s="3691">
        <f>SUM('Аренда земли'!AA12)</f>
        <v>3.13E-3</v>
      </c>
      <c r="DA173" s="365"/>
      <c r="DB173" s="3689">
        <f>SUM('Аренда земли'!AB9)</f>
        <v>98.12679</v>
      </c>
      <c r="DC173" s="3691">
        <f>SUM('Аренда земли'!AB12)</f>
        <v>6.5300000000000002E-3</v>
      </c>
      <c r="DD173" s="3693"/>
      <c r="DE173" s="4039">
        <f>DE59</f>
        <v>0</v>
      </c>
      <c r="DF173" s="4041">
        <f>DF59</f>
        <v>0</v>
      </c>
    </row>
    <row r="174" spans="1:110" x14ac:dyDescent="0.25">
      <c r="A174" s="365"/>
      <c r="B174" s="365"/>
      <c r="C174" s="365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65"/>
      <c r="AI174" s="365"/>
      <c r="AJ174" s="365"/>
      <c r="AK174" s="365"/>
      <c r="AL174" s="365"/>
      <c r="AM174" s="365"/>
      <c r="AN174" s="365"/>
      <c r="AO174" s="365"/>
      <c r="AP174" s="365"/>
      <c r="AQ174" s="365"/>
      <c r="AR174" s="365"/>
      <c r="AS174" s="365"/>
      <c r="AT174" s="365"/>
      <c r="AU174" s="365"/>
      <c r="AV174" s="365"/>
      <c r="AW174" s="365"/>
      <c r="AX174" s="365"/>
      <c r="AY174" s="365"/>
      <c r="AZ174" s="365"/>
      <c r="BA174" s="3609"/>
      <c r="BB174" s="365"/>
      <c r="BC174" s="365"/>
      <c r="BD174" s="365"/>
      <c r="BE174" s="365"/>
      <c r="BF174" s="365"/>
      <c r="BG174" s="2428"/>
      <c r="BH174" s="2428"/>
      <c r="BI174" s="2428"/>
      <c r="BJ174" s="2428"/>
      <c r="BK174" s="2428"/>
      <c r="BL174" s="2428"/>
      <c r="BM174" s="2428"/>
      <c r="BN174" s="2428"/>
      <c r="BO174" s="2428"/>
      <c r="BP174" s="2428"/>
      <c r="BQ174" s="3689">
        <f>BQ61</f>
        <v>0</v>
      </c>
      <c r="BR174" s="3689">
        <f>BR61</f>
        <v>0</v>
      </c>
      <c r="BS174" s="2428"/>
      <c r="BT174" s="2428"/>
      <c r="BU174" s="2428" t="s">
        <v>2095</v>
      </c>
      <c r="BV174" s="2428"/>
      <c r="BW174" s="3689">
        <f>BW61</f>
        <v>294.81</v>
      </c>
      <c r="BX174" s="3689">
        <f>BX61</f>
        <v>0</v>
      </c>
      <c r="BY174" s="3689"/>
      <c r="BZ174" s="3689">
        <f>BZ61</f>
        <v>294.81</v>
      </c>
      <c r="CA174" s="3689">
        <f>CA61</f>
        <v>0</v>
      </c>
      <c r="CB174" s="365"/>
      <c r="CC174" s="365"/>
      <c r="CD174" s="365"/>
      <c r="CE174" s="365"/>
      <c r="CF174" s="365"/>
      <c r="CG174" s="3689">
        <f>CG61</f>
        <v>294.80500000000001</v>
      </c>
      <c r="CH174" s="3689">
        <f>CH61</f>
        <v>0</v>
      </c>
      <c r="CI174" s="365"/>
      <c r="CJ174" s="3689">
        <f>CJ61</f>
        <v>0</v>
      </c>
      <c r="CK174" s="3689">
        <f>CK61</f>
        <v>0</v>
      </c>
      <c r="CL174" s="365"/>
      <c r="CM174" s="3689">
        <f>CM61</f>
        <v>0</v>
      </c>
      <c r="CN174" s="3689">
        <f>CN61</f>
        <v>0</v>
      </c>
      <c r="CO174" s="365"/>
      <c r="CP174" s="3689">
        <f>CP61</f>
        <v>0</v>
      </c>
      <c r="CQ174" s="3689">
        <f>CQ61</f>
        <v>0</v>
      </c>
      <c r="CR174" s="2428" t="s">
        <v>2095</v>
      </c>
      <c r="CS174" s="3689">
        <f>CS61</f>
        <v>361.3957437703653</v>
      </c>
      <c r="CT174" s="3689">
        <f>CT61</f>
        <v>0</v>
      </c>
      <c r="CU174" s="4140" t="s">
        <v>2095</v>
      </c>
      <c r="CV174" s="4141">
        <f>CV61</f>
        <v>0</v>
      </c>
      <c r="CW174" s="4141">
        <f>CW61</f>
        <v>0</v>
      </c>
      <c r="CX174" s="2428" t="s">
        <v>2095</v>
      </c>
      <c r="CY174" s="3689">
        <f>CY61</f>
        <v>0</v>
      </c>
      <c r="CZ174" s="3689">
        <f>CZ61</f>
        <v>0</v>
      </c>
      <c r="DA174" s="365"/>
      <c r="DB174" s="3689">
        <f>DB61</f>
        <v>0</v>
      </c>
      <c r="DC174" s="3689">
        <f>DC61</f>
        <v>0</v>
      </c>
      <c r="DD174" s="3693"/>
      <c r="DE174" s="4039">
        <f>DE61</f>
        <v>0</v>
      </c>
      <c r="DF174" s="4039">
        <f>DF61</f>
        <v>0</v>
      </c>
    </row>
    <row r="175" spans="1:110" x14ac:dyDescent="0.25">
      <c r="A175" s="365"/>
      <c r="B175" s="365"/>
      <c r="C175" s="365"/>
      <c r="D175" s="365"/>
      <c r="E175" s="365"/>
      <c r="F175" s="365"/>
      <c r="G175" s="365"/>
      <c r="H175" s="365"/>
      <c r="I175" s="365"/>
      <c r="J175" s="365"/>
      <c r="K175" s="365"/>
      <c r="L175" s="365"/>
      <c r="M175" s="365"/>
      <c r="N175" s="365"/>
      <c r="O175" s="365"/>
      <c r="P175" s="365"/>
      <c r="Q175" s="365"/>
      <c r="R175" s="365"/>
      <c r="S175" s="365"/>
      <c r="T175" s="365"/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65"/>
      <c r="AI175" s="365"/>
      <c r="AJ175" s="365"/>
      <c r="AK175" s="365"/>
      <c r="AL175" s="365"/>
      <c r="AM175" s="365"/>
      <c r="AN175" s="365"/>
      <c r="AO175" s="365"/>
      <c r="AP175" s="365"/>
      <c r="AQ175" s="365"/>
      <c r="AR175" s="365"/>
      <c r="AS175" s="365"/>
      <c r="AT175" s="365"/>
      <c r="AU175" s="365"/>
      <c r="AV175" s="365"/>
      <c r="AW175" s="365"/>
      <c r="AX175" s="365"/>
      <c r="AY175" s="365"/>
      <c r="AZ175" s="365"/>
      <c r="BA175" s="3609"/>
      <c r="BB175" s="365"/>
      <c r="BC175" s="365"/>
      <c r="BD175" s="365"/>
      <c r="BE175" s="365"/>
      <c r="BF175" s="365"/>
      <c r="BG175" s="2428"/>
      <c r="BH175" s="2428"/>
      <c r="BI175" s="2428"/>
      <c r="BJ175" s="2428"/>
      <c r="BK175" s="2428"/>
      <c r="BL175" s="2428"/>
      <c r="BM175" s="2428"/>
      <c r="BN175" s="2428"/>
      <c r="BO175" s="2428"/>
      <c r="BP175" s="2428"/>
      <c r="BQ175" s="3689">
        <f>BQ138</f>
        <v>9926.08</v>
      </c>
      <c r="BR175" s="3689">
        <f>BR138</f>
        <v>2.3940000000000001</v>
      </c>
      <c r="BS175" s="2428"/>
      <c r="BT175" s="2428"/>
      <c r="BU175" s="2428" t="s">
        <v>2</v>
      </c>
      <c r="BV175" s="2428"/>
      <c r="BW175" s="3689">
        <f>BW138</f>
        <v>9982.6164784696339</v>
      </c>
      <c r="BX175" s="3689">
        <f>BX138</f>
        <v>1.7635215303655989</v>
      </c>
      <c r="BY175" s="3689"/>
      <c r="BZ175" s="3689">
        <f>BZ138</f>
        <v>10213.246478469635</v>
      </c>
      <c r="CA175" s="3689">
        <f>CA138</f>
        <v>1.7635215303655989</v>
      </c>
      <c r="CB175" s="365"/>
      <c r="CC175" s="365"/>
      <c r="CD175" s="365"/>
      <c r="CE175" s="365"/>
      <c r="CF175" s="365"/>
      <c r="CG175" s="3689">
        <f>CG138</f>
        <v>10213.251233333236</v>
      </c>
      <c r="CH175" s="3689">
        <f>CH138</f>
        <v>1.7587666667625974</v>
      </c>
      <c r="CI175" s="365"/>
      <c r="CJ175" s="3689">
        <f>CJ138</f>
        <v>8246.4500000000007</v>
      </c>
      <c r="CK175" s="3689">
        <f>CK138</f>
        <v>0</v>
      </c>
      <c r="CL175" s="365"/>
      <c r="CM175" s="3689">
        <f>CM138</f>
        <v>12169.970000000001</v>
      </c>
      <c r="CN175" s="3689">
        <f>CN138</f>
        <v>0</v>
      </c>
      <c r="CO175" s="365"/>
      <c r="CP175" s="3689">
        <f>CP138</f>
        <v>15677.41</v>
      </c>
      <c r="CQ175" s="3689">
        <f>CQ138</f>
        <v>0</v>
      </c>
      <c r="CR175" s="2428" t="s">
        <v>2</v>
      </c>
      <c r="CS175" s="3689">
        <f>CS138</f>
        <v>11708.98</v>
      </c>
      <c r="CT175" s="3689">
        <f>CT138</f>
        <v>0</v>
      </c>
      <c r="CU175" s="4140" t="s">
        <v>2</v>
      </c>
      <c r="CV175" s="4141">
        <f>CV138</f>
        <v>6142.7100000000009</v>
      </c>
      <c r="CW175" s="4141">
        <f>CW138</f>
        <v>0</v>
      </c>
      <c r="CX175" s="2428" t="s">
        <v>2</v>
      </c>
      <c r="CY175" s="3689">
        <f>CY138</f>
        <v>7779.6169</v>
      </c>
      <c r="CZ175" s="3689">
        <f>CZ138</f>
        <v>0</v>
      </c>
      <c r="DA175" s="365"/>
      <c r="DB175" s="3689">
        <f>DB138</f>
        <v>11690.7</v>
      </c>
      <c r="DC175" s="3689">
        <f>DC138</f>
        <v>0</v>
      </c>
      <c r="DD175" s="3693"/>
      <c r="DE175" s="4039">
        <f>DE138</f>
        <v>0</v>
      </c>
      <c r="DF175" s="4039">
        <f>DF138</f>
        <v>0</v>
      </c>
    </row>
    <row r="176" spans="1:110" x14ac:dyDescent="0.25">
      <c r="A176" s="365"/>
      <c r="B176" s="365"/>
      <c r="C176" s="365"/>
      <c r="D176" s="365"/>
      <c r="E176" s="365"/>
      <c r="F176" s="365"/>
      <c r="G176" s="365"/>
      <c r="H176" s="365"/>
      <c r="I176" s="365"/>
      <c r="J176" s="365"/>
      <c r="K176" s="365"/>
      <c r="L176" s="365"/>
      <c r="M176" s="365"/>
      <c r="N176" s="365"/>
      <c r="O176" s="365"/>
      <c r="P176" s="365"/>
      <c r="Q176" s="365"/>
      <c r="R176" s="365"/>
      <c r="S176" s="365"/>
      <c r="T176" s="365"/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65"/>
      <c r="AI176" s="365"/>
      <c r="AJ176" s="365"/>
      <c r="AK176" s="365"/>
      <c r="AL176" s="365"/>
      <c r="AM176" s="365"/>
      <c r="AN176" s="365"/>
      <c r="AO176" s="365"/>
      <c r="AP176" s="365"/>
      <c r="AQ176" s="365"/>
      <c r="AR176" s="365"/>
      <c r="AS176" s="365"/>
      <c r="AT176" s="365"/>
      <c r="AU176" s="365"/>
      <c r="AV176" s="365"/>
      <c r="AW176" s="365"/>
      <c r="AX176" s="365"/>
      <c r="AY176" s="365"/>
      <c r="AZ176" s="365"/>
      <c r="BA176" s="3609"/>
      <c r="BB176" s="365"/>
      <c r="BC176" s="365"/>
      <c r="BD176" s="365"/>
      <c r="BE176" s="365"/>
      <c r="BF176" s="365"/>
      <c r="BG176" s="2428"/>
      <c r="BH176" s="2428"/>
      <c r="BI176" s="2428"/>
      <c r="BJ176" s="2428"/>
      <c r="BK176" s="2428"/>
      <c r="BL176" s="2428"/>
      <c r="BM176" s="2428"/>
      <c r="BN176" s="2428"/>
      <c r="BO176" s="2428"/>
      <c r="BP176" s="2428"/>
      <c r="BQ176" s="3689">
        <f>SUM(BQ168:BQ175)</f>
        <v>136549.12899999999</v>
      </c>
      <c r="BR176" s="3689">
        <f>SUM(BR168:BR175)</f>
        <v>24.233519999999999</v>
      </c>
      <c r="BS176" s="2428"/>
      <c r="BT176" s="2428"/>
      <c r="BU176" s="2428" t="s">
        <v>616</v>
      </c>
      <c r="BV176" s="2428"/>
      <c r="BW176" s="3689">
        <f>SUM(BW168:BW175)</f>
        <v>147544.11811148538</v>
      </c>
      <c r="BX176" s="3689">
        <f>SUM(BX168:BX175)</f>
        <v>30.811242463479257</v>
      </c>
      <c r="BY176" s="3689"/>
      <c r="BZ176" s="3689">
        <f>SUM(BZ168:BZ175)</f>
        <v>163792.15655699334</v>
      </c>
      <c r="CA176" s="3689">
        <f>SUM(CA168:CA175)</f>
        <v>34.59801046541218</v>
      </c>
      <c r="CB176" s="365"/>
      <c r="CC176" s="365"/>
      <c r="CD176" s="365"/>
      <c r="CE176" s="365"/>
      <c r="CF176" s="365"/>
      <c r="CG176" s="3689">
        <f>SUM(CG168:CG175)</f>
        <v>149826.19082761329</v>
      </c>
      <c r="CH176" s="3689">
        <f>SUM(CH168:CH175)</f>
        <v>30.517876104420509</v>
      </c>
      <c r="CI176" s="365"/>
      <c r="CJ176" s="3689">
        <f>SUM(CJ168:CJ175)</f>
        <v>72783.630038500007</v>
      </c>
      <c r="CK176" s="3689">
        <f>SUM(CK168:CK175)</f>
        <v>12.51976</v>
      </c>
      <c r="CL176" s="365"/>
      <c r="CM176" s="3689">
        <f>SUM(CM168:CM175)</f>
        <v>111653.58178317001</v>
      </c>
      <c r="CN176" s="3689">
        <f>SUM(CN168:CN175)</f>
        <v>18.962799999999998</v>
      </c>
      <c r="CO176" s="365"/>
      <c r="CP176" s="3689">
        <f>SUM(CP168:CP175)</f>
        <v>147917.25693788001</v>
      </c>
      <c r="CQ176" s="3689">
        <f>SUM(CQ168:CQ175)</f>
        <v>24.059100000000004</v>
      </c>
      <c r="CR176" s="2428" t="s">
        <v>616</v>
      </c>
      <c r="CS176" s="3689">
        <f>SUM(CS168:CS175)</f>
        <v>177938.59485403635</v>
      </c>
      <c r="CT176" s="3689">
        <f>SUM(CT168:CT175)</f>
        <v>59.179996884835646</v>
      </c>
      <c r="CU176" s="4140" t="s">
        <v>616</v>
      </c>
      <c r="CV176" s="4141">
        <f>SUM(CV168:CV175)</f>
        <v>143024.81977326504</v>
      </c>
      <c r="CW176" s="4141">
        <f>SUM(CW168:CW175)</f>
        <v>28.926615626442405</v>
      </c>
      <c r="CX176" s="2428" t="s">
        <v>616</v>
      </c>
      <c r="CY176" s="3689">
        <f>SUM(CY168:CY175)</f>
        <v>74088.261499999993</v>
      </c>
      <c r="CZ176" s="3689">
        <f>SUM(CZ168:CZ175)</f>
        <v>10.473710000000001</v>
      </c>
      <c r="DA176" s="365"/>
      <c r="DB176" s="3689">
        <f>SUM(DB168:DB175)</f>
        <v>107372.86429100001</v>
      </c>
      <c r="DC176" s="3689">
        <f>SUM(DC168:DC175)</f>
        <v>17.486429999999999</v>
      </c>
      <c r="DD176" s="3693"/>
      <c r="DE176" s="4039">
        <f>SUM(DE168:DE175)</f>
        <v>17369.844937879996</v>
      </c>
      <c r="DF176" s="4039">
        <f>SUM(DF168:DF175)</f>
        <v>4.4399999999999995</v>
      </c>
    </row>
    <row r="179" spans="1:101" x14ac:dyDescent="0.25">
      <c r="CU179" t="s">
        <v>3960</v>
      </c>
    </row>
    <row r="180" spans="1:101" ht="20.25" x14ac:dyDescent="0.3">
      <c r="A180" s="2906" t="s">
        <v>3567</v>
      </c>
    </row>
    <row r="181" spans="1:101" x14ac:dyDescent="0.25">
      <c r="CW181" s="155"/>
    </row>
  </sheetData>
  <mergeCells count="248">
    <mergeCell ref="BM4:BR4"/>
    <mergeCell ref="BS4:BX4"/>
    <mergeCell ref="BS5:BU5"/>
    <mergeCell ref="BS6:BS7"/>
    <mergeCell ref="BT6:BU6"/>
    <mergeCell ref="BV5:BX5"/>
    <mergeCell ref="BV6:BV7"/>
    <mergeCell ref="BW6:BX6"/>
    <mergeCell ref="BS132:BX132"/>
    <mergeCell ref="AH6:AH7"/>
    <mergeCell ref="AL6:AL7"/>
    <mergeCell ref="AI6:AI7"/>
    <mergeCell ref="AM6:AM7"/>
    <mergeCell ref="AJ6:AK6"/>
    <mergeCell ref="AN6:AO6"/>
    <mergeCell ref="Y4:AG4"/>
    <mergeCell ref="BJ4:BL4"/>
    <mergeCell ref="Z5:Z7"/>
    <mergeCell ref="AH4:AY4"/>
    <mergeCell ref="AT5:AV5"/>
    <mergeCell ref="AW5:AY5"/>
    <mergeCell ref="AT6:AT7"/>
    <mergeCell ref="AW6:AW7"/>
    <mergeCell ref="AU6:AV6"/>
    <mergeCell ref="AX6:AY6"/>
    <mergeCell ref="AH5:AK5"/>
    <mergeCell ref="AL5:AO5"/>
    <mergeCell ref="AZ4:BI4"/>
    <mergeCell ref="BG5:BI5"/>
    <mergeCell ref="BG6:BG7"/>
    <mergeCell ref="BH6:BI6"/>
    <mergeCell ref="BJ5:BL5"/>
    <mergeCell ref="AF6:AG6"/>
    <mergeCell ref="C4:D4"/>
    <mergeCell ref="B4:B7"/>
    <mergeCell ref="F5:F7"/>
    <mergeCell ref="K88:T88"/>
    <mergeCell ref="N5:N7"/>
    <mergeCell ref="Q5:Q7"/>
    <mergeCell ref="P5:P7"/>
    <mergeCell ref="I5:I7"/>
    <mergeCell ref="E5:E7"/>
    <mergeCell ref="M5:M7"/>
    <mergeCell ref="G5:G7"/>
    <mergeCell ref="H5:H7"/>
    <mergeCell ref="S5:S7"/>
    <mergeCell ref="O4:X4"/>
    <mergeCell ref="R5:R7"/>
    <mergeCell ref="O5:O7"/>
    <mergeCell ref="D5:D7"/>
    <mergeCell ref="C5:C7"/>
    <mergeCell ref="T5:U5"/>
    <mergeCell ref="T6:T7"/>
    <mergeCell ref="U6:U7"/>
    <mergeCell ref="AE5:AG5"/>
    <mergeCell ref="AE6:AE7"/>
    <mergeCell ref="AC6:AD6"/>
    <mergeCell ref="AA6:AA7"/>
    <mergeCell ref="AA5:AD5"/>
    <mergeCell ref="K93:T93"/>
    <mergeCell ref="H118:I118"/>
    <mergeCell ref="A88:H88"/>
    <mergeCell ref="J5:J7"/>
    <mergeCell ref="A93:H93"/>
    <mergeCell ref="H114:I114"/>
    <mergeCell ref="H115:I115"/>
    <mergeCell ref="H117:I117"/>
    <mergeCell ref="A4:A7"/>
    <mergeCell ref="H110:I110"/>
    <mergeCell ref="H113:I113"/>
    <mergeCell ref="Y5:Y7"/>
    <mergeCell ref="K5:K7"/>
    <mergeCell ref="L5:L7"/>
    <mergeCell ref="V5:V7"/>
    <mergeCell ref="W5:X6"/>
    <mergeCell ref="E4:F4"/>
    <mergeCell ref="G4:H4"/>
    <mergeCell ref="I4:N4"/>
    <mergeCell ref="C133:C135"/>
    <mergeCell ref="A132:A135"/>
    <mergeCell ref="B132:B135"/>
    <mergeCell ref="AH134:AH135"/>
    <mergeCell ref="AN134:AO134"/>
    <mergeCell ref="AX134:AY134"/>
    <mergeCell ref="H112:I112"/>
    <mergeCell ref="H111:I111"/>
    <mergeCell ref="H119:I119"/>
    <mergeCell ref="J133:J135"/>
    <mergeCell ref="K133:K135"/>
    <mergeCell ref="L133:L135"/>
    <mergeCell ref="M133:M135"/>
    <mergeCell ref="H116:I116"/>
    <mergeCell ref="I133:I135"/>
    <mergeCell ref="Y133:Y135"/>
    <mergeCell ref="T134:T135"/>
    <mergeCell ref="U134:U135"/>
    <mergeCell ref="Z133:Z135"/>
    <mergeCell ref="AA133:AD133"/>
    <mergeCell ref="AE133:AG133"/>
    <mergeCell ref="AH133:AK133"/>
    <mergeCell ref="AJ134:AK134"/>
    <mergeCell ref="C132:D132"/>
    <mergeCell ref="AZ5:BC5"/>
    <mergeCell ref="AZ6:AZ7"/>
    <mergeCell ref="BA6:BA7"/>
    <mergeCell ref="BB6:BC6"/>
    <mergeCell ref="BD5:BF5"/>
    <mergeCell ref="BD6:BD7"/>
    <mergeCell ref="BE6:BF6"/>
    <mergeCell ref="AZ133:BC133"/>
    <mergeCell ref="BD133:BF133"/>
    <mergeCell ref="AZ132:BI132"/>
    <mergeCell ref="BG133:BI133"/>
    <mergeCell ref="E132:F132"/>
    <mergeCell ref="G132:H132"/>
    <mergeCell ref="I132:N132"/>
    <mergeCell ref="O132:X132"/>
    <mergeCell ref="Y132:AG132"/>
    <mergeCell ref="AI134:AI135"/>
    <mergeCell ref="Q133:Q135"/>
    <mergeCell ref="R133:R135"/>
    <mergeCell ref="S133:S135"/>
    <mergeCell ref="T133:U133"/>
    <mergeCell ref="V133:V135"/>
    <mergeCell ref="N133:N135"/>
    <mergeCell ref="AA134:AA135"/>
    <mergeCell ref="AC134:AD134"/>
    <mergeCell ref="AE134:AE135"/>
    <mergeCell ref="AF134:AG134"/>
    <mergeCell ref="AH132:AY132"/>
    <mergeCell ref="AW134:AW135"/>
    <mergeCell ref="AL133:AO133"/>
    <mergeCell ref="AT133:AV133"/>
    <mergeCell ref="AW133:AY133"/>
    <mergeCell ref="AT134:AT135"/>
    <mergeCell ref="AU134:AV134"/>
    <mergeCell ref="BA134:BA135"/>
    <mergeCell ref="BB134:BC134"/>
    <mergeCell ref="BD134:BD135"/>
    <mergeCell ref="BE134:BF134"/>
    <mergeCell ref="AZ134:AZ135"/>
    <mergeCell ref="D133:D135"/>
    <mergeCell ref="E133:E135"/>
    <mergeCell ref="F133:F135"/>
    <mergeCell ref="G133:G135"/>
    <mergeCell ref="H133:H135"/>
    <mergeCell ref="O133:O135"/>
    <mergeCell ref="P133:P135"/>
    <mergeCell ref="AL134:AL135"/>
    <mergeCell ref="AM134:AM135"/>
    <mergeCell ref="W133:X134"/>
    <mergeCell ref="BG134:BG135"/>
    <mergeCell ref="BH134:BI134"/>
    <mergeCell ref="BK6:BL6"/>
    <mergeCell ref="BJ132:BL132"/>
    <mergeCell ref="BJ133:BL133"/>
    <mergeCell ref="BJ134:BJ135"/>
    <mergeCell ref="BK134:BL134"/>
    <mergeCell ref="BS134:BS135"/>
    <mergeCell ref="BT134:BU134"/>
    <mergeCell ref="BM6:BM7"/>
    <mergeCell ref="BN6:BO6"/>
    <mergeCell ref="BQ6:BR6"/>
    <mergeCell ref="BJ6:BJ7"/>
    <mergeCell ref="BM133:BO133"/>
    <mergeCell ref="BP133:BR133"/>
    <mergeCell ref="BM134:BM135"/>
    <mergeCell ref="BN134:BO134"/>
    <mergeCell ref="BP134:BP135"/>
    <mergeCell ref="BQ134:BR134"/>
    <mergeCell ref="BS133:BU133"/>
    <mergeCell ref="BY4:CH4"/>
    <mergeCell ref="CB6:CB7"/>
    <mergeCell ref="CC6:CD6"/>
    <mergeCell ref="BY132:CH132"/>
    <mergeCell ref="CI132:CK133"/>
    <mergeCell ref="CL132:CN133"/>
    <mergeCell ref="CO132:CQ133"/>
    <mergeCell ref="CI134:CI135"/>
    <mergeCell ref="CM6:CN6"/>
    <mergeCell ref="CO6:CO7"/>
    <mergeCell ref="CP6:CQ6"/>
    <mergeCell ref="CB134:CB135"/>
    <mergeCell ref="CC134:CD134"/>
    <mergeCell ref="BZ134:CA134"/>
    <mergeCell ref="BY5:CA5"/>
    <mergeCell ref="BY6:BY7"/>
    <mergeCell ref="CJ134:CK134"/>
    <mergeCell ref="CL134:CL135"/>
    <mergeCell ref="CM134:CN134"/>
    <mergeCell ref="CO134:CO135"/>
    <mergeCell ref="CP134:CQ134"/>
    <mergeCell ref="CI6:CI7"/>
    <mergeCell ref="CJ6:CK6"/>
    <mergeCell ref="CL6:CL7"/>
    <mergeCell ref="CS134:CT134"/>
    <mergeCell ref="CR6:CR7"/>
    <mergeCell ref="CS6:CT6"/>
    <mergeCell ref="CR4:CW4"/>
    <mergeCell ref="CR5:CT5"/>
    <mergeCell ref="CU5:CW5"/>
    <mergeCell ref="CU6:CU7"/>
    <mergeCell ref="CV6:CW6"/>
    <mergeCell ref="CR132:CW132"/>
    <mergeCell ref="CR133:CT133"/>
    <mergeCell ref="CU133:CW133"/>
    <mergeCell ref="CU134:CU135"/>
    <mergeCell ref="CV134:CW134"/>
    <mergeCell ref="CR134:CR135"/>
    <mergeCell ref="BY134:BY135"/>
    <mergeCell ref="BP5:BR5"/>
    <mergeCell ref="BP6:BP7"/>
    <mergeCell ref="BM132:BR132"/>
    <mergeCell ref="CF5:CH5"/>
    <mergeCell ref="CF6:CF7"/>
    <mergeCell ref="CG6:CH6"/>
    <mergeCell ref="CF133:CH133"/>
    <mergeCell ref="CF134:CF135"/>
    <mergeCell ref="CG134:CH134"/>
    <mergeCell ref="BZ6:CA6"/>
    <mergeCell ref="BM5:BO5"/>
    <mergeCell ref="BV134:BV135"/>
    <mergeCell ref="BW134:BX134"/>
    <mergeCell ref="BV133:BX133"/>
    <mergeCell ref="A2:DF2"/>
    <mergeCell ref="A130:DF130"/>
    <mergeCell ref="CX132:CZ133"/>
    <mergeCell ref="DA132:DC133"/>
    <mergeCell ref="DD132:DF133"/>
    <mergeCell ref="CX134:CX135"/>
    <mergeCell ref="CY134:CZ134"/>
    <mergeCell ref="DA134:DA135"/>
    <mergeCell ref="DB134:DC134"/>
    <mergeCell ref="DD134:DD135"/>
    <mergeCell ref="DE134:DF134"/>
    <mergeCell ref="CX4:CZ5"/>
    <mergeCell ref="DA4:DC5"/>
    <mergeCell ref="DD4:DF5"/>
    <mergeCell ref="CX6:CX7"/>
    <mergeCell ref="CY6:CZ6"/>
    <mergeCell ref="DA6:DA7"/>
    <mergeCell ref="DB6:DC6"/>
    <mergeCell ref="DD6:DD7"/>
    <mergeCell ref="DE6:DF6"/>
    <mergeCell ref="CI4:CK5"/>
    <mergeCell ref="CL4:CN5"/>
    <mergeCell ref="CO4:CQ5"/>
    <mergeCell ref="BY133:CA133"/>
  </mergeCells>
  <phoneticPr fontId="9" type="noConversion"/>
  <printOptions horizontalCentered="1"/>
  <pageMargins left="0.19685039370078741" right="0.19685039370078741" top="0.59055118110236227" bottom="0.19685039370078741" header="0" footer="0"/>
  <pageSetup paperSize="9" scale="28" fitToHeight="2" orientation="landscape" r:id="rId1"/>
  <headerFooter scaleWithDoc="0" alignWithMargins="0"/>
  <rowBreaks count="1" manualBreakCount="1">
    <brk id="129" max="109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3">
    <tabColor rgb="FFFFFF00"/>
    <pageSetUpPr fitToPage="1"/>
  </sheetPr>
  <dimension ref="A1:DK202"/>
  <sheetViews>
    <sheetView zoomScale="70" zoomScaleNormal="70" zoomScaleSheetLayoutView="75" zoomScalePageLayoutView="80" workbookViewId="0">
      <pane xSplit="22" ySplit="7" topLeftCell="BV94" activePane="bottomRight" state="frozen"/>
      <selection pane="topRight" activeCell="W1" sqref="W1"/>
      <selection pane="bottomLeft" activeCell="A7" sqref="A7"/>
      <selection pane="bottomRight" activeCell="DA92" sqref="DA92"/>
    </sheetView>
  </sheetViews>
  <sheetFormatPr defaultRowHeight="12.75" outlineLevelCol="1" x14ac:dyDescent="0.2"/>
  <cols>
    <col min="1" max="1" width="51.8554687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7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7" hidden="1" customWidth="1" outlineLevel="1"/>
    <col min="54" max="67" width="13.140625" style="5" hidden="1" customWidth="1" outlineLevel="1"/>
    <col min="68" max="69" width="14.28515625" style="5" customWidth="1" outlineLevel="1"/>
    <col min="70" max="73" width="13.140625" style="5" customWidth="1" outlineLevel="1"/>
    <col min="74" max="74" width="14" style="5" customWidth="1" outlineLevel="1"/>
    <col min="75" max="75" width="14.28515625" style="5" customWidth="1" outlineLevel="1"/>
    <col min="76" max="76" width="13.140625" style="5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91" width="14.140625" style="5" customWidth="1"/>
    <col min="92" max="100" width="13.140625" style="5" customWidth="1"/>
    <col min="101" max="101" width="13.7109375" style="5" customWidth="1"/>
    <col min="102" max="102" width="15.7109375" style="5" customWidth="1"/>
    <col min="103" max="103" width="13.85546875" style="5" customWidth="1"/>
    <col min="104" max="104" width="14.140625" style="5" customWidth="1"/>
    <col min="105" max="105" width="14.42578125" style="5" customWidth="1"/>
    <col min="106" max="106" width="14.28515625" style="5" customWidth="1"/>
    <col min="107" max="115" width="13" style="5" customWidth="1"/>
    <col min="116" max="16384" width="9.140625" style="5"/>
  </cols>
  <sheetData>
    <row r="1" spans="1:115" x14ac:dyDescent="0.2">
      <c r="BY1" s="5" t="s">
        <v>1496</v>
      </c>
    </row>
    <row r="2" spans="1:115" ht="21" customHeight="1" x14ac:dyDescent="0.2">
      <c r="A2" s="4729" t="s">
        <v>3927</v>
      </c>
      <c r="B2" s="4729"/>
      <c r="C2" s="4729"/>
      <c r="D2" s="4729"/>
      <c r="E2" s="4729"/>
      <c r="F2" s="4729"/>
      <c r="G2" s="4729"/>
      <c r="H2" s="4729"/>
      <c r="I2" s="4729"/>
      <c r="J2" s="4729"/>
      <c r="K2" s="4729"/>
      <c r="L2" s="4729"/>
      <c r="M2" s="4729"/>
      <c r="N2" s="4729"/>
      <c r="O2" s="4729"/>
      <c r="P2" s="4729"/>
      <c r="Q2" s="4729"/>
      <c r="R2" s="4729"/>
      <c r="S2" s="4729"/>
      <c r="T2" s="4729"/>
      <c r="U2" s="4729"/>
      <c r="V2" s="4729"/>
      <c r="W2" s="4729"/>
      <c r="X2" s="4729"/>
      <c r="Y2" s="4729"/>
      <c r="Z2" s="4729"/>
      <c r="AA2" s="4729"/>
      <c r="AB2" s="4729"/>
      <c r="AC2" s="4729"/>
      <c r="AD2" s="4729"/>
      <c r="AE2" s="4729"/>
      <c r="AF2" s="4729"/>
      <c r="AG2" s="4729"/>
      <c r="AH2" s="4729"/>
      <c r="AI2" s="4729"/>
      <c r="AJ2" s="4729"/>
      <c r="AK2" s="4729"/>
      <c r="AL2" s="4729"/>
      <c r="AM2" s="4729"/>
      <c r="AN2" s="4729"/>
      <c r="AO2" s="4729"/>
      <c r="AP2" s="4729"/>
      <c r="AQ2" s="4729"/>
      <c r="AR2" s="4729"/>
      <c r="AS2" s="4729"/>
      <c r="AT2" s="4729"/>
      <c r="AU2" s="4729"/>
      <c r="AV2" s="4729"/>
      <c r="AW2" s="4729"/>
      <c r="AX2" s="4729"/>
      <c r="AY2" s="4729"/>
      <c r="AZ2" s="4729"/>
      <c r="BA2" s="4729"/>
      <c r="BB2" s="4729"/>
      <c r="BC2" s="4729"/>
      <c r="BD2" s="4729"/>
      <c r="BE2" s="4729"/>
      <c r="BF2" s="4729"/>
      <c r="BG2" s="4729"/>
      <c r="BH2" s="4729"/>
      <c r="BI2" s="4729"/>
      <c r="BJ2" s="4729"/>
      <c r="BK2" s="4729"/>
      <c r="BL2" s="4729"/>
      <c r="BM2" s="4729"/>
      <c r="BN2" s="4729"/>
      <c r="BO2" s="4729"/>
      <c r="BP2" s="4729"/>
      <c r="BQ2" s="4729"/>
      <c r="BR2" s="4729"/>
      <c r="BS2" s="4729"/>
      <c r="BT2" s="4729"/>
      <c r="BU2" s="4729"/>
      <c r="BV2" s="4729"/>
      <c r="BW2" s="4729"/>
      <c r="BX2" s="4729"/>
      <c r="BY2" s="4729"/>
      <c r="BZ2" s="4242"/>
      <c r="CA2" s="4242"/>
      <c r="CB2" s="4242"/>
      <c r="CC2" s="4242"/>
      <c r="CD2" s="4242"/>
      <c r="CE2" s="4242"/>
      <c r="CF2" s="4242"/>
      <c r="CG2" s="4242"/>
      <c r="CH2" s="4242"/>
      <c r="CI2" s="4242"/>
      <c r="CJ2" s="4242"/>
      <c r="CK2" s="4242"/>
      <c r="CL2" s="4242"/>
      <c r="CM2" s="4242"/>
      <c r="CN2" s="4242"/>
      <c r="CO2" s="4242"/>
      <c r="CP2" s="4242"/>
      <c r="CQ2" s="4242"/>
      <c r="CR2" s="4242"/>
      <c r="CS2" s="4242"/>
      <c r="CT2" s="4242"/>
      <c r="CU2" s="4242"/>
      <c r="CV2" s="4242"/>
      <c r="CW2" s="4242"/>
      <c r="CX2" s="4242"/>
      <c r="CY2" s="4242"/>
      <c r="CZ2" s="4242"/>
      <c r="DA2" s="4242"/>
      <c r="DB2" s="4242"/>
      <c r="DC2" s="4242"/>
      <c r="DD2" s="4242"/>
      <c r="DE2" s="4242"/>
      <c r="DF2" s="4242"/>
      <c r="DG2" s="4242"/>
      <c r="DH2" s="4242"/>
      <c r="DI2" s="4242"/>
      <c r="DJ2" s="4242"/>
      <c r="DK2" s="4242"/>
    </row>
    <row r="3" spans="1:115" x14ac:dyDescent="0.2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  <c r="AV3" s="371"/>
      <c r="AW3" s="1372"/>
      <c r="AX3" s="371"/>
      <c r="AY3" s="371"/>
      <c r="AZ3" s="371"/>
      <c r="BA3" s="1372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  <c r="BT3" s="371"/>
      <c r="BU3" s="371"/>
      <c r="BV3" s="371"/>
      <c r="BW3" s="371"/>
      <c r="BX3" s="371"/>
      <c r="BY3" s="371"/>
    </row>
    <row r="4" spans="1:115" s="2056" customFormat="1" ht="39" customHeight="1" x14ac:dyDescent="0.2">
      <c r="A4" s="4763" t="s">
        <v>527</v>
      </c>
      <c r="B4" s="4736" t="s">
        <v>57</v>
      </c>
      <c r="C4" s="4763" t="s">
        <v>58</v>
      </c>
      <c r="D4" s="4763"/>
      <c r="E4" s="4761" t="s">
        <v>66</v>
      </c>
      <c r="F4" s="4761"/>
      <c r="G4" s="4761" t="s">
        <v>92</v>
      </c>
      <c r="H4" s="4761"/>
      <c r="I4" s="4761" t="s">
        <v>117</v>
      </c>
      <c r="J4" s="4761"/>
      <c r="K4" s="4761"/>
      <c r="L4" s="4761"/>
      <c r="M4" s="4761"/>
      <c r="N4" s="4749" t="s">
        <v>154</v>
      </c>
      <c r="O4" s="4749"/>
      <c r="P4" s="4749"/>
      <c r="Q4" s="4749"/>
      <c r="R4" s="4749"/>
      <c r="S4" s="4749"/>
      <c r="T4" s="4749"/>
      <c r="U4" s="4749"/>
      <c r="V4" s="4749"/>
      <c r="W4" s="4738" t="s">
        <v>229</v>
      </c>
      <c r="X4" s="4738"/>
      <c r="Y4" s="4738"/>
      <c r="Z4" s="4738"/>
      <c r="AA4" s="4738"/>
      <c r="AB4" s="4762"/>
      <c r="AC4" s="4762"/>
      <c r="AD4" s="4762"/>
      <c r="AE4" s="4738" t="s">
        <v>364</v>
      </c>
      <c r="AF4" s="4774"/>
      <c r="AG4" s="4774"/>
      <c r="AH4" s="4774"/>
      <c r="AI4" s="4774"/>
      <c r="AJ4" s="4774"/>
      <c r="AK4" s="4774"/>
      <c r="AL4" s="4774"/>
      <c r="AM4" s="4774"/>
      <c r="AN4" s="4774"/>
      <c r="AO4" s="4774"/>
      <c r="AP4" s="4774"/>
      <c r="AQ4" s="4774"/>
      <c r="AR4" s="4774"/>
      <c r="AS4" s="4774"/>
      <c r="AT4" s="4774"/>
      <c r="AU4" s="4774"/>
      <c r="AV4" s="4744" t="s">
        <v>818</v>
      </c>
      <c r="AW4" s="4756"/>
      <c r="AX4" s="4756"/>
      <c r="AY4" s="4756"/>
      <c r="AZ4" s="4756"/>
      <c r="BA4" s="4756"/>
      <c r="BB4" s="4756"/>
      <c r="BC4" s="4756"/>
      <c r="BD4" s="4756"/>
      <c r="BE4" s="4756"/>
      <c r="BF4" s="4757"/>
      <c r="BG4" s="4744" t="s">
        <v>2041</v>
      </c>
      <c r="BH4" s="4756"/>
      <c r="BI4" s="4757"/>
      <c r="BJ4" s="4744" t="s">
        <v>896</v>
      </c>
      <c r="BK4" s="4741"/>
      <c r="BL4" s="4741"/>
      <c r="BM4" s="4741"/>
      <c r="BN4" s="4741"/>
      <c r="BO4" s="4742"/>
      <c r="BP4" s="4744" t="s">
        <v>1802</v>
      </c>
      <c r="BQ4" s="4756"/>
      <c r="BR4" s="4756"/>
      <c r="BS4" s="4756"/>
      <c r="BT4" s="4756"/>
      <c r="BU4" s="4757"/>
      <c r="BV4" s="4738" t="s">
        <v>3523</v>
      </c>
      <c r="BW4" s="4753"/>
      <c r="BX4" s="4753"/>
      <c r="BY4" s="4753"/>
      <c r="BZ4" s="4753"/>
      <c r="CA4" s="4753"/>
      <c r="CB4" s="4753"/>
      <c r="CC4" s="4753"/>
      <c r="CD4" s="4753"/>
      <c r="CE4" s="4753"/>
      <c r="CF4" s="4753"/>
      <c r="CG4" s="4753"/>
      <c r="CH4" s="4753"/>
      <c r="CI4" s="4753"/>
      <c r="CJ4" s="4753"/>
      <c r="CK4" s="4753"/>
      <c r="CL4" s="4753"/>
      <c r="CM4" s="4753"/>
      <c r="CN4" s="4730" t="s">
        <v>3648</v>
      </c>
      <c r="CO4" s="4731"/>
      <c r="CP4" s="4732"/>
      <c r="CQ4" s="4730" t="s">
        <v>3649</v>
      </c>
      <c r="CR4" s="4731"/>
      <c r="CS4" s="4732"/>
      <c r="CT4" s="4730" t="s">
        <v>3642</v>
      </c>
      <c r="CU4" s="4731"/>
      <c r="CV4" s="4732"/>
      <c r="CW4" s="4738" t="s">
        <v>3926</v>
      </c>
      <c r="CX4" s="4753"/>
      <c r="CY4" s="4753"/>
      <c r="CZ4" s="4753"/>
      <c r="DA4" s="4753"/>
      <c r="DB4" s="4753"/>
      <c r="DC4" s="4730" t="s">
        <v>3943</v>
      </c>
      <c r="DD4" s="4731"/>
      <c r="DE4" s="4732"/>
      <c r="DF4" s="4730" t="s">
        <v>3944</v>
      </c>
      <c r="DG4" s="4731"/>
      <c r="DH4" s="4732"/>
      <c r="DI4" s="4730" t="s">
        <v>3942</v>
      </c>
      <c r="DJ4" s="4731"/>
      <c r="DK4" s="4732"/>
    </row>
    <row r="5" spans="1:115" s="2056" customFormat="1" ht="18.75" customHeight="1" x14ac:dyDescent="0.3">
      <c r="A5" s="4763"/>
      <c r="B5" s="4736"/>
      <c r="C5" s="4736" t="s">
        <v>60</v>
      </c>
      <c r="D5" s="4736" t="s">
        <v>61</v>
      </c>
      <c r="E5" s="4736" t="s">
        <v>60</v>
      </c>
      <c r="F5" s="4736" t="s">
        <v>65</v>
      </c>
      <c r="G5" s="4736" t="s">
        <v>60</v>
      </c>
      <c r="H5" s="4736" t="s">
        <v>109</v>
      </c>
      <c r="I5" s="4736" t="s">
        <v>59</v>
      </c>
      <c r="J5" s="4736" t="s">
        <v>62</v>
      </c>
      <c r="K5" s="4736" t="s">
        <v>107</v>
      </c>
      <c r="L5" s="4736" t="s">
        <v>60</v>
      </c>
      <c r="M5" s="4736" t="s">
        <v>116</v>
      </c>
      <c r="N5" s="4736" t="s">
        <v>119</v>
      </c>
      <c r="O5" s="4736" t="s">
        <v>94</v>
      </c>
      <c r="P5" s="4736" t="s">
        <v>120</v>
      </c>
      <c r="Q5" s="4736" t="s">
        <v>94</v>
      </c>
      <c r="R5" s="4736" t="s">
        <v>153</v>
      </c>
      <c r="S5" s="4763" t="s">
        <v>23</v>
      </c>
      <c r="T5" s="4763"/>
      <c r="U5" s="4736" t="s">
        <v>107</v>
      </c>
      <c r="V5" s="4736" t="s">
        <v>393</v>
      </c>
      <c r="W5" s="4736" t="s">
        <v>119</v>
      </c>
      <c r="X5" s="4736" t="s">
        <v>94</v>
      </c>
      <c r="Y5" s="4749" t="s">
        <v>120</v>
      </c>
      <c r="Z5" s="4778"/>
      <c r="AA5" s="4778"/>
      <c r="AB5" s="4749" t="s">
        <v>817</v>
      </c>
      <c r="AC5" s="4749"/>
      <c r="AD5" s="4749"/>
      <c r="AE5" s="4749" t="s">
        <v>119</v>
      </c>
      <c r="AF5" s="4779"/>
      <c r="AG5" s="4779"/>
      <c r="AH5" s="4779"/>
      <c r="AI5" s="4749" t="s">
        <v>120</v>
      </c>
      <c r="AJ5" s="4781"/>
      <c r="AK5" s="4781"/>
      <c r="AL5" s="4781"/>
      <c r="AM5" s="2223"/>
      <c r="AN5" s="2223"/>
      <c r="AO5" s="2224"/>
      <c r="AP5" s="4749" t="s">
        <v>847</v>
      </c>
      <c r="AQ5" s="4749"/>
      <c r="AR5" s="4749"/>
      <c r="AS5" s="4749" t="s">
        <v>848</v>
      </c>
      <c r="AT5" s="4736"/>
      <c r="AU5" s="4736"/>
      <c r="AV5" s="4749" t="s">
        <v>119</v>
      </c>
      <c r="AW5" s="4780"/>
      <c r="AX5" s="4780"/>
      <c r="AY5" s="4780"/>
      <c r="AZ5" s="4749" t="s">
        <v>1588</v>
      </c>
      <c r="BA5" s="4749"/>
      <c r="BB5" s="4749"/>
      <c r="BC5" s="4749"/>
      <c r="BD5" s="4775" t="s">
        <v>1519</v>
      </c>
      <c r="BE5" s="4776"/>
      <c r="BF5" s="4777"/>
      <c r="BG5" s="4775" t="s">
        <v>60</v>
      </c>
      <c r="BH5" s="4776"/>
      <c r="BI5" s="4777"/>
      <c r="BJ5" s="4749" t="s">
        <v>1588</v>
      </c>
      <c r="BK5" s="4750"/>
      <c r="BL5" s="4750"/>
      <c r="BM5" s="4740" t="s">
        <v>1677</v>
      </c>
      <c r="BN5" s="4751"/>
      <c r="BO5" s="4752"/>
      <c r="BP5" s="4775" t="s">
        <v>119</v>
      </c>
      <c r="BQ5" s="4776"/>
      <c r="BR5" s="4777"/>
      <c r="BS5" s="4775" t="s">
        <v>1524</v>
      </c>
      <c r="BT5" s="4776"/>
      <c r="BU5" s="4777"/>
      <c r="BV5" s="4749" t="s">
        <v>119</v>
      </c>
      <c r="BW5" s="4749"/>
      <c r="BX5" s="4749"/>
      <c r="BY5" s="4749" t="s">
        <v>1524</v>
      </c>
      <c r="BZ5" s="4749"/>
      <c r="CA5" s="4749"/>
      <c r="CB5" s="2726"/>
      <c r="CC5" s="2726"/>
      <c r="CD5" s="2726"/>
      <c r="CE5" s="2726"/>
      <c r="CF5" s="2726"/>
      <c r="CG5" s="2726"/>
      <c r="CH5" s="2726"/>
      <c r="CI5" s="2726"/>
      <c r="CJ5" s="2726"/>
      <c r="CK5" s="4749" t="s">
        <v>1524</v>
      </c>
      <c r="CL5" s="4749"/>
      <c r="CM5" s="4749"/>
      <c r="CN5" s="4733"/>
      <c r="CO5" s="4734"/>
      <c r="CP5" s="4735"/>
      <c r="CQ5" s="4733"/>
      <c r="CR5" s="4734"/>
      <c r="CS5" s="4735"/>
      <c r="CT5" s="4733"/>
      <c r="CU5" s="4734"/>
      <c r="CV5" s="4735"/>
      <c r="CW5" s="4749" t="s">
        <v>119</v>
      </c>
      <c r="CX5" s="4749"/>
      <c r="CY5" s="4749"/>
      <c r="CZ5" s="4749" t="s">
        <v>1524</v>
      </c>
      <c r="DA5" s="4749"/>
      <c r="DB5" s="4749"/>
      <c r="DC5" s="4733"/>
      <c r="DD5" s="4734"/>
      <c r="DE5" s="4735"/>
      <c r="DF5" s="4733"/>
      <c r="DG5" s="4734"/>
      <c r="DH5" s="4735"/>
      <c r="DI5" s="4733"/>
      <c r="DJ5" s="4734"/>
      <c r="DK5" s="4735"/>
    </row>
    <row r="6" spans="1:115" s="2056" customFormat="1" ht="20.25" customHeight="1" x14ac:dyDescent="0.2">
      <c r="A6" s="4763"/>
      <c r="B6" s="4736"/>
      <c r="C6" s="4736"/>
      <c r="D6" s="4736"/>
      <c r="E6" s="4736"/>
      <c r="F6" s="4736"/>
      <c r="G6" s="4736"/>
      <c r="H6" s="4736"/>
      <c r="I6" s="4736"/>
      <c r="J6" s="4736"/>
      <c r="K6" s="4736"/>
      <c r="L6" s="4736"/>
      <c r="M6" s="4736"/>
      <c r="N6" s="4736"/>
      <c r="O6" s="4736"/>
      <c r="P6" s="4736"/>
      <c r="Q6" s="4736"/>
      <c r="R6" s="4736"/>
      <c r="S6" s="4736" t="s">
        <v>47</v>
      </c>
      <c r="T6" s="4736" t="s">
        <v>202</v>
      </c>
      <c r="U6" s="4736"/>
      <c r="V6" s="4736"/>
      <c r="W6" s="4736"/>
      <c r="X6" s="4736"/>
      <c r="Y6" s="4763" t="s">
        <v>290</v>
      </c>
      <c r="Z6" s="4763" t="s">
        <v>50</v>
      </c>
      <c r="AA6" s="4763"/>
      <c r="AB6" s="4763" t="s">
        <v>290</v>
      </c>
      <c r="AC6" s="4763" t="s">
        <v>50</v>
      </c>
      <c r="AD6" s="4487"/>
      <c r="AE6" s="4763" t="s">
        <v>290</v>
      </c>
      <c r="AF6" s="4736" t="s">
        <v>94</v>
      </c>
      <c r="AG6" s="4763" t="s">
        <v>50</v>
      </c>
      <c r="AH6" s="4487"/>
      <c r="AI6" s="4763" t="s">
        <v>290</v>
      </c>
      <c r="AJ6" s="4736" t="s">
        <v>94</v>
      </c>
      <c r="AK6" s="4763" t="s">
        <v>50</v>
      </c>
      <c r="AL6" s="4487"/>
      <c r="AM6" s="2223"/>
      <c r="AN6" s="2223"/>
      <c r="AO6" s="2224"/>
      <c r="AP6" s="4763" t="s">
        <v>290</v>
      </c>
      <c r="AQ6" s="4763" t="s">
        <v>50</v>
      </c>
      <c r="AR6" s="4487"/>
      <c r="AS6" s="4763" t="s">
        <v>290</v>
      </c>
      <c r="AT6" s="4763" t="s">
        <v>50</v>
      </c>
      <c r="AU6" s="4487"/>
      <c r="AV6" s="4763" t="s">
        <v>290</v>
      </c>
      <c r="AW6" s="4758" t="s">
        <v>94</v>
      </c>
      <c r="AX6" s="4763" t="s">
        <v>50</v>
      </c>
      <c r="AY6" s="4763"/>
      <c r="AZ6" s="4763" t="s">
        <v>290</v>
      </c>
      <c r="BA6" s="4758" t="s">
        <v>94</v>
      </c>
      <c r="BB6" s="4763" t="s">
        <v>50</v>
      </c>
      <c r="BC6" s="4763"/>
      <c r="BD6" s="4763" t="s">
        <v>290</v>
      </c>
      <c r="BE6" s="4763" t="s">
        <v>50</v>
      </c>
      <c r="BF6" s="4763"/>
      <c r="BG6" s="4772" t="s">
        <v>290</v>
      </c>
      <c r="BH6" s="4763" t="s">
        <v>50</v>
      </c>
      <c r="BI6" s="4763"/>
      <c r="BJ6" s="4772" t="s">
        <v>290</v>
      </c>
      <c r="BK6" s="4763" t="s">
        <v>50</v>
      </c>
      <c r="BL6" s="4763"/>
      <c r="BM6" s="4772" t="s">
        <v>290</v>
      </c>
      <c r="BN6" s="4763" t="s">
        <v>50</v>
      </c>
      <c r="BO6" s="4763"/>
      <c r="BP6" s="4772" t="s">
        <v>290</v>
      </c>
      <c r="BQ6" s="4763" t="s">
        <v>50</v>
      </c>
      <c r="BR6" s="4763"/>
      <c r="BS6" s="4772" t="s">
        <v>290</v>
      </c>
      <c r="BT6" s="4763" t="s">
        <v>50</v>
      </c>
      <c r="BU6" s="4763"/>
      <c r="BV6" s="4763" t="s">
        <v>290</v>
      </c>
      <c r="BW6" s="4763" t="s">
        <v>50</v>
      </c>
      <c r="BX6" s="4763"/>
      <c r="BY6" s="4763" t="s">
        <v>290</v>
      </c>
      <c r="BZ6" s="4763" t="s">
        <v>50</v>
      </c>
      <c r="CA6" s="4763"/>
      <c r="CB6" s="2726"/>
      <c r="CC6" s="2726"/>
      <c r="CD6" s="2726"/>
      <c r="CE6" s="2726"/>
      <c r="CF6" s="2726"/>
      <c r="CG6" s="2726"/>
      <c r="CH6" s="2726"/>
      <c r="CI6" s="2726"/>
      <c r="CJ6" s="2726"/>
      <c r="CK6" s="4763" t="s">
        <v>290</v>
      </c>
      <c r="CL6" s="4763" t="s">
        <v>50</v>
      </c>
      <c r="CM6" s="4763"/>
      <c r="CN6" s="4772" t="s">
        <v>290</v>
      </c>
      <c r="CO6" s="4763" t="s">
        <v>50</v>
      </c>
      <c r="CP6" s="4763"/>
      <c r="CQ6" s="4772" t="s">
        <v>290</v>
      </c>
      <c r="CR6" s="4763" t="s">
        <v>50</v>
      </c>
      <c r="CS6" s="4763"/>
      <c r="CT6" s="4772" t="s">
        <v>290</v>
      </c>
      <c r="CU6" s="4763" t="s">
        <v>50</v>
      </c>
      <c r="CV6" s="4763"/>
      <c r="CW6" s="4763" t="s">
        <v>290</v>
      </c>
      <c r="CX6" s="4763" t="s">
        <v>50</v>
      </c>
      <c r="CY6" s="4763"/>
      <c r="CZ6" s="4763" t="s">
        <v>290</v>
      </c>
      <c r="DA6" s="4763" t="s">
        <v>50</v>
      </c>
      <c r="DB6" s="4763"/>
      <c r="DC6" s="4772" t="s">
        <v>290</v>
      </c>
      <c r="DD6" s="4763" t="s">
        <v>50</v>
      </c>
      <c r="DE6" s="4763"/>
      <c r="DF6" s="4772" t="s">
        <v>290</v>
      </c>
      <c r="DG6" s="4763" t="s">
        <v>50</v>
      </c>
      <c r="DH6" s="4763"/>
      <c r="DI6" s="4772" t="s">
        <v>290</v>
      </c>
      <c r="DJ6" s="4763" t="s">
        <v>50</v>
      </c>
      <c r="DK6" s="4763"/>
    </row>
    <row r="7" spans="1:115" s="2056" customFormat="1" ht="42.75" customHeight="1" x14ac:dyDescent="0.2">
      <c r="A7" s="4763"/>
      <c r="B7" s="4736"/>
      <c r="C7" s="4736"/>
      <c r="D7" s="4736"/>
      <c r="E7" s="4736"/>
      <c r="F7" s="4736"/>
      <c r="G7" s="4736"/>
      <c r="H7" s="4736"/>
      <c r="I7" s="4736"/>
      <c r="J7" s="4736"/>
      <c r="K7" s="4736"/>
      <c r="L7" s="4736"/>
      <c r="M7" s="4736"/>
      <c r="N7" s="4736"/>
      <c r="O7" s="4736"/>
      <c r="P7" s="4736"/>
      <c r="Q7" s="4736"/>
      <c r="R7" s="4736"/>
      <c r="S7" s="4736"/>
      <c r="T7" s="4736"/>
      <c r="U7" s="4736"/>
      <c r="V7" s="4736"/>
      <c r="W7" s="4736"/>
      <c r="X7" s="4736"/>
      <c r="Y7" s="4763"/>
      <c r="Z7" s="2220" t="s">
        <v>47</v>
      </c>
      <c r="AA7" s="2220" t="s">
        <v>528</v>
      </c>
      <c r="AB7" s="4763"/>
      <c r="AC7" s="2220" t="s">
        <v>47</v>
      </c>
      <c r="AD7" s="2220" t="s">
        <v>528</v>
      </c>
      <c r="AE7" s="4487"/>
      <c r="AF7" s="4476"/>
      <c r="AG7" s="2220" t="s">
        <v>47</v>
      </c>
      <c r="AH7" s="2220" t="s">
        <v>528</v>
      </c>
      <c r="AI7" s="4487"/>
      <c r="AJ7" s="4476"/>
      <c r="AK7" s="2220" t="s">
        <v>47</v>
      </c>
      <c r="AL7" s="2220" t="s">
        <v>528</v>
      </c>
      <c r="AM7" s="2242" t="s">
        <v>248</v>
      </c>
      <c r="AN7" s="2224" t="s">
        <v>357</v>
      </c>
      <c r="AO7" s="2224"/>
      <c r="AP7" s="4763"/>
      <c r="AQ7" s="2220" t="s">
        <v>47</v>
      </c>
      <c r="AR7" s="2220" t="s">
        <v>528</v>
      </c>
      <c r="AS7" s="4763"/>
      <c r="AT7" s="2220" t="s">
        <v>47</v>
      </c>
      <c r="AU7" s="2220" t="s">
        <v>528</v>
      </c>
      <c r="AV7" s="4763"/>
      <c r="AW7" s="4758"/>
      <c r="AX7" s="2220" t="s">
        <v>47</v>
      </c>
      <c r="AY7" s="2220" t="s">
        <v>528</v>
      </c>
      <c r="AZ7" s="4763"/>
      <c r="BA7" s="4758"/>
      <c r="BB7" s="2220" t="s">
        <v>47</v>
      </c>
      <c r="BC7" s="2220" t="s">
        <v>528</v>
      </c>
      <c r="BD7" s="4763"/>
      <c r="BE7" s="2220" t="s">
        <v>47</v>
      </c>
      <c r="BF7" s="2220" t="s">
        <v>528</v>
      </c>
      <c r="BG7" s="4773"/>
      <c r="BH7" s="2220" t="s">
        <v>47</v>
      </c>
      <c r="BI7" s="2220" t="s">
        <v>528</v>
      </c>
      <c r="BJ7" s="4773"/>
      <c r="BK7" s="2429" t="s">
        <v>47</v>
      </c>
      <c r="BL7" s="2429" t="s">
        <v>528</v>
      </c>
      <c r="BM7" s="4773"/>
      <c r="BN7" s="2429" t="s">
        <v>47</v>
      </c>
      <c r="BO7" s="2429" t="s">
        <v>528</v>
      </c>
      <c r="BP7" s="4773"/>
      <c r="BQ7" s="2220" t="s">
        <v>47</v>
      </c>
      <c r="BR7" s="2220" t="s">
        <v>528</v>
      </c>
      <c r="BS7" s="4773"/>
      <c r="BT7" s="2220" t="s">
        <v>47</v>
      </c>
      <c r="BU7" s="2220" t="s">
        <v>528</v>
      </c>
      <c r="BV7" s="4763"/>
      <c r="BW7" s="2724" t="s">
        <v>47</v>
      </c>
      <c r="BX7" s="2724" t="s">
        <v>528</v>
      </c>
      <c r="BY7" s="4763"/>
      <c r="BZ7" s="2724" t="s">
        <v>47</v>
      </c>
      <c r="CA7" s="2724" t="s">
        <v>528</v>
      </c>
      <c r="CB7" s="2726"/>
      <c r="CC7" s="2726"/>
      <c r="CD7" s="2726"/>
      <c r="CE7" s="2726"/>
      <c r="CF7" s="2726"/>
      <c r="CG7" s="2726"/>
      <c r="CH7" s="2726"/>
      <c r="CI7" s="2726"/>
      <c r="CJ7" s="2726"/>
      <c r="CK7" s="4763"/>
      <c r="CL7" s="2724" t="s">
        <v>47</v>
      </c>
      <c r="CM7" s="2724" t="s">
        <v>528</v>
      </c>
      <c r="CN7" s="4773"/>
      <c r="CO7" s="2584" t="s">
        <v>47</v>
      </c>
      <c r="CP7" s="2584" t="s">
        <v>528</v>
      </c>
      <c r="CQ7" s="4773"/>
      <c r="CR7" s="2584" t="s">
        <v>47</v>
      </c>
      <c r="CS7" s="2584" t="s">
        <v>528</v>
      </c>
      <c r="CT7" s="4773"/>
      <c r="CU7" s="2584" t="s">
        <v>47</v>
      </c>
      <c r="CV7" s="2584" t="s">
        <v>528</v>
      </c>
      <c r="CW7" s="4763"/>
      <c r="CX7" s="3529" t="s">
        <v>47</v>
      </c>
      <c r="CY7" s="3529" t="s">
        <v>528</v>
      </c>
      <c r="CZ7" s="4763"/>
      <c r="DA7" s="3529" t="s">
        <v>47</v>
      </c>
      <c r="DB7" s="3529" t="s">
        <v>528</v>
      </c>
      <c r="DC7" s="4773"/>
      <c r="DD7" s="3917" t="s">
        <v>47</v>
      </c>
      <c r="DE7" s="3917" t="s">
        <v>528</v>
      </c>
      <c r="DF7" s="4773"/>
      <c r="DG7" s="3917" t="s">
        <v>47</v>
      </c>
      <c r="DH7" s="3917" t="s">
        <v>528</v>
      </c>
      <c r="DI7" s="4773"/>
      <c r="DJ7" s="3917" t="s">
        <v>47</v>
      </c>
      <c r="DK7" s="3917" t="s">
        <v>528</v>
      </c>
    </row>
    <row r="8" spans="1:115" ht="21" customHeight="1" x14ac:dyDescent="0.2">
      <c r="A8" s="3616" t="s">
        <v>0</v>
      </c>
      <c r="B8" s="1728">
        <f>SUM(B9:B16)</f>
        <v>7787.0999999999995</v>
      </c>
      <c r="C8" s="1729">
        <f>SUM(C9:C16)</f>
        <v>8710.3000000000011</v>
      </c>
      <c r="D8" s="1730">
        <f t="shared" ref="D8:D42" si="0">C8/B8*100</f>
        <v>111.85550461660954</v>
      </c>
      <c r="E8" s="1606">
        <f>SUM(E9:E16)-E15</f>
        <v>9918.1</v>
      </c>
      <c r="F8" s="1606">
        <f t="shared" ref="F8:Z8" si="1">SUM(F9:F16)-F15</f>
        <v>718.50644173639284</v>
      </c>
      <c r="G8" s="1606">
        <f t="shared" si="1"/>
        <v>11143.8</v>
      </c>
      <c r="H8" s="1731">
        <f t="shared" ref="H8:H68" si="2">G8/E8*100</f>
        <v>112.3582137707827</v>
      </c>
      <c r="I8" s="1606">
        <f t="shared" si="1"/>
        <v>12086.737939999999</v>
      </c>
      <c r="J8" s="1606">
        <f t="shared" si="1"/>
        <v>5759.5</v>
      </c>
      <c r="K8" s="1606">
        <f t="shared" si="1"/>
        <v>8100.2438109153081</v>
      </c>
      <c r="L8" s="1606">
        <f t="shared" si="1"/>
        <v>12055.1</v>
      </c>
      <c r="M8" s="1606">
        <f t="shared" si="1"/>
        <v>750.7566538578908</v>
      </c>
      <c r="N8" s="1606">
        <f t="shared" si="1"/>
        <v>15356.929999999998</v>
      </c>
      <c r="O8" s="1606">
        <f t="shared" si="1"/>
        <v>730.28673534554662</v>
      </c>
      <c r="P8" s="1606" t="e">
        <f t="shared" si="1"/>
        <v>#REF!</v>
      </c>
      <c r="Q8" s="1606" t="e">
        <f t="shared" si="1"/>
        <v>#REF!</v>
      </c>
      <c r="R8" s="1606" t="e">
        <f t="shared" si="1"/>
        <v>#REF!</v>
      </c>
      <c r="S8" s="1606">
        <f t="shared" si="1"/>
        <v>13172.8958</v>
      </c>
      <c r="T8" s="1606">
        <f t="shared" si="1"/>
        <v>0</v>
      </c>
      <c r="U8" s="1606">
        <f t="shared" si="1"/>
        <v>9205.5</v>
      </c>
      <c r="V8" s="1606">
        <f t="shared" si="1"/>
        <v>0</v>
      </c>
      <c r="W8" s="1606">
        <f t="shared" si="1"/>
        <v>16520.07</v>
      </c>
      <c r="X8" s="1606"/>
      <c r="Y8" s="1606" t="e">
        <f t="shared" si="1"/>
        <v>#REF!</v>
      </c>
      <c r="Z8" s="1606" t="e">
        <f t="shared" si="1"/>
        <v>#REF!</v>
      </c>
      <c r="AA8" s="1606">
        <f>AA9+AA10+AA12+AA13+AA14+AA16</f>
        <v>0</v>
      </c>
      <c r="AB8" s="1606">
        <f t="shared" ref="AB8:AC8" si="3">SUM(AB9:AB16)-AB15</f>
        <v>11735.1</v>
      </c>
      <c r="AC8" s="1606">
        <f t="shared" si="3"/>
        <v>11735.1</v>
      </c>
      <c r="AD8" s="1606">
        <f>AD9+AD10+AD12+AD13+AD14+AD16</f>
        <v>0</v>
      </c>
      <c r="AE8" s="1606">
        <v>15636.95</v>
      </c>
      <c r="AF8" s="1602" t="e">
        <f>SUM(AE8/Y8)</f>
        <v>#REF!</v>
      </c>
      <c r="AG8" s="1606">
        <v>15786.34</v>
      </c>
      <c r="AH8" s="1606">
        <v>0</v>
      </c>
      <c r="AI8" s="1606">
        <f>AI9+AI10+AI12+AI13+AI14+AI16</f>
        <v>13472.574404759991</v>
      </c>
      <c r="AJ8" s="1602" t="e">
        <f>SUM(AI8/Y8)</f>
        <v>#REF!</v>
      </c>
      <c r="AK8" s="1606">
        <f>AK9+AK10+AK12+AK13+AK14+AK16</f>
        <v>13472.574404759991</v>
      </c>
      <c r="AL8" s="1606">
        <f>AL9+AL10+AL12+AL13+AL14+AL16</f>
        <v>0</v>
      </c>
      <c r="AM8" s="1606" t="e">
        <f>#REF!</f>
        <v>#REF!</v>
      </c>
      <c r="AN8" s="1606">
        <v>0</v>
      </c>
      <c r="AO8" s="1606" t="e">
        <f>AM8+AN8</f>
        <v>#REF!</v>
      </c>
      <c r="AP8" s="1606">
        <f t="shared" ref="AP8:BF8" si="4">SUM(AP9:AP16)-AP15</f>
        <v>4689.5500000000011</v>
      </c>
      <c r="AQ8" s="1606">
        <f t="shared" si="4"/>
        <v>4689.5500000000011</v>
      </c>
      <c r="AR8" s="1606">
        <f>AR9+AR10+AR12+AR13+AR14+AR16</f>
        <v>0</v>
      </c>
      <c r="AS8" s="1606">
        <f t="shared" si="4"/>
        <v>7398.74</v>
      </c>
      <c r="AT8" s="1606">
        <f t="shared" si="4"/>
        <v>7398.74</v>
      </c>
      <c r="AU8" s="1606">
        <f>AU9+AU10+AU12+AU13+AU14+AU16</f>
        <v>0</v>
      </c>
      <c r="AV8" s="1606">
        <f t="shared" si="4"/>
        <v>15273.137040000001</v>
      </c>
      <c r="AW8" s="1605">
        <f>SUM(AV8/AI8)</f>
        <v>1.133646516333497</v>
      </c>
      <c r="AX8" s="1606">
        <f t="shared" si="4"/>
        <v>15273.137040000001</v>
      </c>
      <c r="AY8" s="1606">
        <f>AY9+AY10+AY12+AY13+AY14+AY16</f>
        <v>0</v>
      </c>
      <c r="AZ8" s="1606">
        <f t="shared" si="4"/>
        <v>12994.681352801486</v>
      </c>
      <c r="BA8" s="1596">
        <f>SUM(AZ8/AI8)</f>
        <v>0.96452845331552517</v>
      </c>
      <c r="BB8" s="1606">
        <f t="shared" si="4"/>
        <v>12994.681352801486</v>
      </c>
      <c r="BC8" s="1606">
        <f>BC9+BC10+BC12+BC13+BC14+BC16</f>
        <v>0</v>
      </c>
      <c r="BD8" s="1606">
        <f t="shared" si="4"/>
        <v>12644.29</v>
      </c>
      <c r="BE8" s="1606">
        <f t="shared" si="4"/>
        <v>12644.29</v>
      </c>
      <c r="BF8" s="1606">
        <f t="shared" si="4"/>
        <v>0</v>
      </c>
      <c r="BG8" s="1606">
        <f t="shared" ref="BG8:BI8" si="5">SUM(BG9:BG16)-BG15</f>
        <v>12494.119999999999</v>
      </c>
      <c r="BH8" s="1606">
        <f t="shared" si="5"/>
        <v>12494.119999999999</v>
      </c>
      <c r="BI8" s="1606">
        <f t="shared" si="5"/>
        <v>0</v>
      </c>
      <c r="BJ8" s="1606">
        <f t="shared" ref="BJ8:BL8" si="6">SUM(BJ9:BJ16)-BJ15</f>
        <v>13874.519999999999</v>
      </c>
      <c r="BK8" s="1606">
        <f t="shared" si="6"/>
        <v>13874.519999999999</v>
      </c>
      <c r="BL8" s="1606">
        <f t="shared" si="6"/>
        <v>0</v>
      </c>
      <c r="BM8" s="1606">
        <f t="shared" ref="BM8:BO8" si="7">SUM(BM9:BM16)-BM15</f>
        <v>13293.170000000002</v>
      </c>
      <c r="BN8" s="1606">
        <f t="shared" si="7"/>
        <v>13293.170000000002</v>
      </c>
      <c r="BO8" s="1606">
        <f t="shared" si="7"/>
        <v>0</v>
      </c>
      <c r="BP8" s="1606">
        <f t="shared" ref="BP8:BR8" si="8">SUM(BP9:BP16)-BP15</f>
        <v>17894.62</v>
      </c>
      <c r="BQ8" s="1606">
        <f t="shared" si="8"/>
        <v>17894.62</v>
      </c>
      <c r="BR8" s="1606">
        <f t="shared" si="8"/>
        <v>0</v>
      </c>
      <c r="BS8" s="1606">
        <f t="shared" ref="BS8:BU8" si="9">SUM(BS9:BS16)-BS15</f>
        <v>15512.260745856393</v>
      </c>
      <c r="BT8" s="1606">
        <f t="shared" si="9"/>
        <v>15512.260745856393</v>
      </c>
      <c r="BU8" s="1606">
        <f t="shared" si="9"/>
        <v>0</v>
      </c>
      <c r="BV8" s="3737">
        <f t="shared" ref="BV8:BX8" si="10">SUM(BV9:BV16)-BV15</f>
        <v>16466.883120455863</v>
      </c>
      <c r="BW8" s="3737">
        <f t="shared" si="10"/>
        <v>16466.883120455863</v>
      </c>
      <c r="BX8" s="3737">
        <f t="shared" si="10"/>
        <v>0</v>
      </c>
      <c r="BY8" s="3738"/>
      <c r="BZ8" s="394"/>
      <c r="CA8" s="394"/>
      <c r="CB8" s="394"/>
      <c r="CC8" s="394"/>
      <c r="CD8" s="394"/>
      <c r="CE8" s="394"/>
      <c r="CF8" s="394"/>
      <c r="CG8" s="394"/>
      <c r="CH8" s="394"/>
      <c r="CI8" s="394"/>
      <c r="CJ8" s="394"/>
      <c r="CK8" s="3737">
        <f t="shared" ref="CK8:CM8" si="11">SUM(CK9:CK16)-CK15</f>
        <v>15677.055402798032</v>
      </c>
      <c r="CL8" s="3737">
        <f t="shared" si="11"/>
        <v>15677.055402798032</v>
      </c>
      <c r="CM8" s="3737">
        <f t="shared" si="11"/>
        <v>0</v>
      </c>
      <c r="CN8" s="1606">
        <f t="shared" ref="CN8:CP8" si="12">SUM(CN9:CN16)-CN15</f>
        <v>7906.0040000000008</v>
      </c>
      <c r="CO8" s="1606">
        <f t="shared" si="12"/>
        <v>7906.0040000000008</v>
      </c>
      <c r="CP8" s="1606">
        <f t="shared" si="12"/>
        <v>0</v>
      </c>
      <c r="CQ8" s="1606">
        <f t="shared" ref="CQ8:CS8" si="13">SUM(CQ9:CQ16)-CQ15</f>
        <v>12229.236999999999</v>
      </c>
      <c r="CR8" s="1606">
        <f t="shared" si="13"/>
        <v>12229.236999999999</v>
      </c>
      <c r="CS8" s="1606">
        <f t="shared" si="13"/>
        <v>0</v>
      </c>
      <c r="CT8" s="1606">
        <f t="shared" ref="CT8:CV8" si="14">SUM(CT9:CT16)-CT15</f>
        <v>15603.57</v>
      </c>
      <c r="CU8" s="1606">
        <f t="shared" si="14"/>
        <v>15603.57</v>
      </c>
      <c r="CV8" s="1606">
        <f t="shared" si="14"/>
        <v>0</v>
      </c>
      <c r="CW8" s="2374">
        <f t="shared" ref="CW8:CY8" si="15">SUM(CW9:CW16)-CW15</f>
        <v>18716.817567920476</v>
      </c>
      <c r="CX8" s="2374">
        <f t="shared" si="15"/>
        <v>18716.817567920476</v>
      </c>
      <c r="CY8" s="2374">
        <f t="shared" si="15"/>
        <v>0</v>
      </c>
      <c r="CZ8" s="4103">
        <f t="shared" ref="CZ8:DB8" si="16">SUM(CZ9:CZ16)-CZ15</f>
        <v>16164.115192360054</v>
      </c>
      <c r="DA8" s="4103">
        <f t="shared" si="16"/>
        <v>16164.115192360054</v>
      </c>
      <c r="DB8" s="4103">
        <f t="shared" si="16"/>
        <v>0</v>
      </c>
      <c r="DC8" s="2374">
        <f t="shared" ref="DC8:DK8" si="17">SUM(DC9:DC16)-DC15</f>
        <v>7102.4549899999993</v>
      </c>
      <c r="DD8" s="2374">
        <f t="shared" si="17"/>
        <v>7102.4549899999993</v>
      </c>
      <c r="DE8" s="2374">
        <f t="shared" si="17"/>
        <v>0</v>
      </c>
      <c r="DF8" s="2374">
        <f t="shared" si="17"/>
        <v>10597.398999999999</v>
      </c>
      <c r="DG8" s="2374">
        <f t="shared" si="17"/>
        <v>10597.398999999999</v>
      </c>
      <c r="DH8" s="2374">
        <f t="shared" si="17"/>
        <v>0</v>
      </c>
      <c r="DI8" s="3489">
        <f t="shared" si="17"/>
        <v>2876.28</v>
      </c>
      <c r="DJ8" s="3489">
        <f t="shared" si="17"/>
        <v>2876.28</v>
      </c>
      <c r="DK8" s="3489">
        <f t="shared" si="17"/>
        <v>0</v>
      </c>
    </row>
    <row r="9" spans="1:115" ht="21" customHeight="1" x14ac:dyDescent="0.2">
      <c r="A9" s="3494" t="s">
        <v>1</v>
      </c>
      <c r="B9" s="3599">
        <v>1474.6</v>
      </c>
      <c r="C9" s="3468">
        <v>1358.2</v>
      </c>
      <c r="D9" s="1731">
        <f t="shared" si="0"/>
        <v>92.106333921063339</v>
      </c>
      <c r="E9" s="3468">
        <v>1536.5</v>
      </c>
      <c r="F9" s="1731">
        <f t="shared" ref="F9:F30" si="18">E9/C9*100</f>
        <v>113.12766897364158</v>
      </c>
      <c r="G9" s="3468">
        <v>1642.6</v>
      </c>
      <c r="H9" s="1731">
        <f t="shared" si="2"/>
        <v>106.90530426293523</v>
      </c>
      <c r="I9" s="1602">
        <f>1775.3*0.9518</f>
        <v>1689.73054</v>
      </c>
      <c r="J9" s="1602">
        <v>974.8</v>
      </c>
      <c r="K9" s="1602">
        <v>1253.0999999999999</v>
      </c>
      <c r="L9" s="1602">
        <v>1864.4</v>
      </c>
      <c r="M9" s="1605">
        <f t="shared" ref="M9:M68" si="19">L9/G9*100</f>
        <v>113.50298307561184</v>
      </c>
      <c r="N9" s="1602">
        <v>2192.4</v>
      </c>
      <c r="O9" s="1605">
        <f t="shared" ref="O9:O65" si="20">N9/I9*100</f>
        <v>129.74849824280267</v>
      </c>
      <c r="P9" s="1602" t="e">
        <f>электр!AC14</f>
        <v>#REF!</v>
      </c>
      <c r="Q9" s="1605" t="e">
        <f t="shared" ref="Q9:Q71" si="21">P9/I9*100</f>
        <v>#REF!</v>
      </c>
      <c r="R9" s="1605" t="e">
        <f t="shared" ref="R9:R26" si="22">P9/L9*100</f>
        <v>#REF!</v>
      </c>
      <c r="S9" s="1602">
        <v>2037.2</v>
      </c>
      <c r="T9" s="1602"/>
      <c r="U9" s="1602">
        <v>1316.9</v>
      </c>
      <c r="V9" s="1602"/>
      <c r="W9" s="1602">
        <v>2285.4</v>
      </c>
      <c r="X9" s="1602"/>
      <c r="Y9" s="1602">
        <f>электр!Q52</f>
        <v>2047.0527990000001</v>
      </c>
      <c r="Z9" s="1602">
        <f>Y9</f>
        <v>2047.0527990000001</v>
      </c>
      <c r="AA9" s="1602">
        <v>0</v>
      </c>
      <c r="AB9" s="1602">
        <f>SUM(электр!AG52)</f>
        <v>1542.6</v>
      </c>
      <c r="AC9" s="1602">
        <f>AB9</f>
        <v>1542.6</v>
      </c>
      <c r="AD9" s="1602">
        <v>0</v>
      </c>
      <c r="AE9" s="1602">
        <v>2169.88</v>
      </c>
      <c r="AF9" s="1602">
        <f t="shared" ref="AF9:AF75" si="23">SUM(AE9/Y9)</f>
        <v>1.0600019701787868</v>
      </c>
      <c r="AG9" s="1602">
        <v>2169.88</v>
      </c>
      <c r="AH9" s="1602">
        <v>0</v>
      </c>
      <c r="AI9" s="1602">
        <f>электр!AN52</f>
        <v>1886.3204777318492</v>
      </c>
      <c r="AJ9" s="1602">
        <f t="shared" ref="AJ9:AJ75" si="24">SUM(AI9/Y9)</f>
        <v>0.92148110622907742</v>
      </c>
      <c r="AK9" s="1602">
        <f>AI9</f>
        <v>1886.3204777318492</v>
      </c>
      <c r="AL9" s="1602">
        <f>AA9*1.084</f>
        <v>0</v>
      </c>
      <c r="AM9" s="1606" t="e">
        <f>#REF!</f>
        <v>#REF!</v>
      </c>
      <c r="AN9" s="1606">
        <v>0</v>
      </c>
      <c r="AO9" s="1606" t="e">
        <f t="shared" ref="AO9:AO75" si="25">AM9+AN9</f>
        <v>#REF!</v>
      </c>
      <c r="AP9" s="1602">
        <f>SUM(электр!AT52)</f>
        <v>732.2</v>
      </c>
      <c r="AQ9" s="1602">
        <f>SUM(AP9)</f>
        <v>732.2</v>
      </c>
      <c r="AR9" s="1602">
        <v>0</v>
      </c>
      <c r="AS9" s="1602">
        <f>SUM(электр!AW52)</f>
        <v>972.9</v>
      </c>
      <c r="AT9" s="1602">
        <f>SUM(AS9)</f>
        <v>972.9</v>
      </c>
      <c r="AU9" s="1602">
        <v>0</v>
      </c>
      <c r="AV9" s="1602">
        <v>1999.86</v>
      </c>
      <c r="AW9" s="1605">
        <f>SUM(AV9/AI9)</f>
        <v>1.060191003389134</v>
      </c>
      <c r="AX9" s="1602">
        <f>SUM(AV9)</f>
        <v>1999.86</v>
      </c>
      <c r="AY9" s="1602">
        <v>0</v>
      </c>
      <c r="AZ9" s="1602">
        <f>SUM(электр!BD52)</f>
        <v>1609.8550127319788</v>
      </c>
      <c r="BA9" s="1596">
        <f>SUM(AZ9/AI9)</f>
        <v>0.85343664119455553</v>
      </c>
      <c r="BB9" s="1602">
        <f>SUM(AZ9)</f>
        <v>1609.8550127319788</v>
      </c>
      <c r="BC9" s="1602">
        <v>0</v>
      </c>
      <c r="BD9" s="1602">
        <f>BE9+BF9</f>
        <v>698.03</v>
      </c>
      <c r="BE9" s="1602">
        <v>698.03</v>
      </c>
      <c r="BF9" s="1602">
        <v>0</v>
      </c>
      <c r="BG9" s="1602">
        <f>BH9+BI9</f>
        <v>887.01</v>
      </c>
      <c r="BH9" s="1602">
        <v>887.01</v>
      </c>
      <c r="BI9" s="1602">
        <v>0</v>
      </c>
      <c r="BJ9" s="1602">
        <f>BK9+BL9</f>
        <v>1652.37</v>
      </c>
      <c r="BK9" s="1602">
        <v>1652.37</v>
      </c>
      <c r="BL9" s="1602">
        <v>0</v>
      </c>
      <c r="BM9" s="1602">
        <f>BN9+BO9</f>
        <v>1078.7</v>
      </c>
      <c r="BN9" s="1602">
        <v>1078.7</v>
      </c>
      <c r="BO9" s="1602">
        <v>0</v>
      </c>
      <c r="BP9" s="1602">
        <f>BQ9+BR9</f>
        <v>2034.65</v>
      </c>
      <c r="BQ9" s="1602">
        <v>2034.65</v>
      </c>
      <c r="BR9" s="1602">
        <v>0</v>
      </c>
      <c r="BS9" s="1602">
        <f>BT9+BU9</f>
        <v>1711.5300750192755</v>
      </c>
      <c r="BT9" s="1602">
        <f>'ЭЭ стоки'!S19</f>
        <v>1711.5300750192755</v>
      </c>
      <c r="BU9" s="1602">
        <v>0</v>
      </c>
      <c r="BV9" s="1602">
        <f>BW9+BX9</f>
        <v>1783.4143381700851</v>
      </c>
      <c r="BW9" s="1602">
        <f>SUM('ЭЭ стоки'!Y21)</f>
        <v>1783.4143381700851</v>
      </c>
      <c r="BX9" s="1602">
        <f>SUM('ЭЭ стоки'!Y22)</f>
        <v>0</v>
      </c>
      <c r="BY9" s="3600" t="s">
        <v>1486</v>
      </c>
      <c r="BZ9" s="394"/>
      <c r="CA9" s="394"/>
      <c r="CB9" s="394"/>
      <c r="CC9" s="394"/>
      <c r="CD9" s="394"/>
      <c r="CE9" s="394"/>
      <c r="CF9" s="394"/>
      <c r="CG9" s="394"/>
      <c r="CH9" s="394"/>
      <c r="CI9" s="394"/>
      <c r="CJ9" s="394"/>
      <c r="CK9" s="1602">
        <f>CL9+CM9</f>
        <v>1614.2784707454241</v>
      </c>
      <c r="CL9" s="1602">
        <f>SUM('ЭЭ стоки'!AD21)</f>
        <v>1614.2784707454241</v>
      </c>
      <c r="CM9" s="1602">
        <f>SUM('ЭЭ стоки'!AD22)</f>
        <v>0</v>
      </c>
      <c r="CN9" s="1602">
        <f>CO9+CP9</f>
        <v>805.69399999999996</v>
      </c>
      <c r="CO9" s="1602">
        <f>SUM('ЭЭ стоки'!AE21)</f>
        <v>805.69399999999996</v>
      </c>
      <c r="CP9" s="1602">
        <f>SUM('ЭЭ стоки'!AE22)</f>
        <v>0</v>
      </c>
      <c r="CQ9" s="1602">
        <f>CR9+CS9</f>
        <v>1168.722</v>
      </c>
      <c r="CR9" s="1602">
        <f>SUM('ЭЭ стоки'!AF21)</f>
        <v>1168.722</v>
      </c>
      <c r="CS9" s="1602">
        <f>SUM('ЭЭ стоки'!AF22)</f>
        <v>0</v>
      </c>
      <c r="CT9" s="1602">
        <f>CU9+CV9</f>
        <v>1635.52</v>
      </c>
      <c r="CU9" s="1602">
        <f>SUM('ЭЭ стоки'!AG21)</f>
        <v>1635.52</v>
      </c>
      <c r="CV9" s="1602">
        <f>SUM('ЭЭ стоки'!AG22)</f>
        <v>0</v>
      </c>
      <c r="CW9" s="2371">
        <f>CX9+CY9</f>
        <v>1688.5334883693006</v>
      </c>
      <c r="CX9" s="2371">
        <f>SUM('ЭЭ стоки'!AH21)</f>
        <v>1688.5334883693006</v>
      </c>
      <c r="CY9" s="2371">
        <f>SUM('ЭЭ стоки'!AJ22)</f>
        <v>0</v>
      </c>
      <c r="CZ9" s="4101">
        <f>DA9+DB9</f>
        <v>1994.9747098822081</v>
      </c>
      <c r="DA9" s="4101">
        <f>SUM('ЭЭ стоки'!AI21)</f>
        <v>1994.9747098822081</v>
      </c>
      <c r="DB9" s="4101">
        <v>0</v>
      </c>
      <c r="DC9" s="2371">
        <f>DD9+DE9</f>
        <v>831.34999000000005</v>
      </c>
      <c r="DD9" s="2371">
        <f>SUM('ЭЭ стоки'!AJ21)</f>
        <v>831.34999000000005</v>
      </c>
      <c r="DE9" s="2371">
        <f>SUM('ЭЭ стоки'!AJ22)</f>
        <v>0</v>
      </c>
      <c r="DF9" s="2371">
        <f>DG9+DH9</f>
        <v>1224.8</v>
      </c>
      <c r="DG9" s="2371">
        <f>SUM('ЭЭ стоки'!AK21)</f>
        <v>1224.8</v>
      </c>
      <c r="DH9" s="2371">
        <f>SUM('ЭЭ стоки'!AK22)</f>
        <v>0</v>
      </c>
      <c r="DI9" s="3487">
        <f>DJ9+DK9</f>
        <v>0</v>
      </c>
      <c r="DJ9" s="3487">
        <f>SUM('ЭЭ стоки'!AV21)</f>
        <v>0</v>
      </c>
      <c r="DK9" s="3487">
        <f>SUM('ЭЭ стоки'!AV22)</f>
        <v>0</v>
      </c>
    </row>
    <row r="10" spans="1:115" ht="21" customHeight="1" x14ac:dyDescent="0.2">
      <c r="A10" s="3494" t="s">
        <v>2</v>
      </c>
      <c r="B10" s="3599">
        <v>207.4</v>
      </c>
      <c r="C10" s="3468">
        <v>234.2</v>
      </c>
      <c r="D10" s="1731">
        <f t="shared" si="0"/>
        <v>112.92189006750239</v>
      </c>
      <c r="E10" s="3468">
        <v>211</v>
      </c>
      <c r="F10" s="1731">
        <f t="shared" si="18"/>
        <v>90.093936806148605</v>
      </c>
      <c r="G10" s="3468">
        <v>222</v>
      </c>
      <c r="H10" s="1731">
        <f t="shared" si="2"/>
        <v>105.21327014218009</v>
      </c>
      <c r="I10" s="1602">
        <v>206.5</v>
      </c>
      <c r="J10" s="1602">
        <v>112.2</v>
      </c>
      <c r="K10" s="1602">
        <v>181.3</v>
      </c>
      <c r="L10" s="1602">
        <v>247.9</v>
      </c>
      <c r="M10" s="1605">
        <f t="shared" si="19"/>
        <v>111.66666666666667</v>
      </c>
      <c r="N10" s="1602">
        <v>216.83</v>
      </c>
      <c r="O10" s="1605">
        <f t="shared" si="20"/>
        <v>105.00242130750605</v>
      </c>
      <c r="P10" s="1602">
        <v>206.5</v>
      </c>
      <c r="Q10" s="1605">
        <f t="shared" si="21"/>
        <v>100</v>
      </c>
      <c r="R10" s="1605">
        <f t="shared" si="22"/>
        <v>83.299717628075825</v>
      </c>
      <c r="S10" s="1602">
        <v>206.5</v>
      </c>
      <c r="T10" s="1602"/>
      <c r="U10" s="1602">
        <v>192.7</v>
      </c>
      <c r="V10" s="1602"/>
      <c r="W10" s="1602">
        <v>267.89999999999998</v>
      </c>
      <c r="X10" s="1602"/>
      <c r="Y10" s="1602" t="e">
        <f>Аморт!G14</f>
        <v>#REF!</v>
      </c>
      <c r="Z10" s="1602" t="e">
        <f t="shared" ref="Z10:Z16" si="26">Y10</f>
        <v>#REF!</v>
      </c>
      <c r="AA10" s="1602">
        <v>0</v>
      </c>
      <c r="AB10" s="1602">
        <f>SUM(Аморт!L14)</f>
        <v>275.8</v>
      </c>
      <c r="AC10" s="1602">
        <f t="shared" ref="AC10" si="27">AB10</f>
        <v>275.8</v>
      </c>
      <c r="AD10" s="1602">
        <v>0</v>
      </c>
      <c r="AE10" s="1602">
        <v>273.60000000000002</v>
      </c>
      <c r="AF10" s="1602" t="e">
        <f t="shared" si="23"/>
        <v>#REF!</v>
      </c>
      <c r="AG10" s="1602">
        <v>273.60000000000002</v>
      </c>
      <c r="AH10" s="1602">
        <v>0</v>
      </c>
      <c r="AI10" s="1602">
        <f>Аморт!O14</f>
        <v>273.60000000000002</v>
      </c>
      <c r="AJ10" s="1602" t="e">
        <f t="shared" si="24"/>
        <v>#REF!</v>
      </c>
      <c r="AK10" s="1602">
        <f>AI10</f>
        <v>273.60000000000002</v>
      </c>
      <c r="AL10" s="1602"/>
      <c r="AM10" s="1606" t="e">
        <f>#REF!</f>
        <v>#REF!</v>
      </c>
      <c r="AN10" s="1606">
        <v>0</v>
      </c>
      <c r="AO10" s="1606" t="e">
        <f t="shared" si="25"/>
        <v>#REF!</v>
      </c>
      <c r="AP10" s="1602">
        <f>SUM(Аморт!Q14)</f>
        <v>189.68</v>
      </c>
      <c r="AQ10" s="1602">
        <f t="shared" ref="AQ10" si="28">AP10</f>
        <v>189.68</v>
      </c>
      <c r="AR10" s="1602">
        <v>0</v>
      </c>
      <c r="AS10" s="1602">
        <f>SUM(Аморт!R14)</f>
        <v>307.45999999999998</v>
      </c>
      <c r="AT10" s="1602">
        <f t="shared" ref="AT10" si="29">AS10</f>
        <v>307.45999999999998</v>
      </c>
      <c r="AU10" s="1602">
        <v>0</v>
      </c>
      <c r="AV10" s="1602">
        <f>SUM(Аморт!T14)</f>
        <v>273.60000000000002</v>
      </c>
      <c r="AW10" s="1605">
        <f>SUM(AV10/AI10)</f>
        <v>1</v>
      </c>
      <c r="AX10" s="1602">
        <f>SUM(AV10)</f>
        <v>273.60000000000002</v>
      </c>
      <c r="AY10" s="1602">
        <v>0</v>
      </c>
      <c r="AZ10" s="1602">
        <f>SUM(Аморт!U14)</f>
        <v>273.60000000000002</v>
      </c>
      <c r="BA10" s="1596">
        <f t="shared" ref="BA10:BA75" si="30">SUM(AZ10/AI10)</f>
        <v>1</v>
      </c>
      <c r="BB10" s="1602">
        <f>SUM(AZ10)</f>
        <v>273.60000000000002</v>
      </c>
      <c r="BC10" s="1602">
        <v>0</v>
      </c>
      <c r="BD10" s="1602">
        <f t="shared" ref="BD10:BD16" si="31">BE10+BF10</f>
        <v>498.59</v>
      </c>
      <c r="BE10" s="1602">
        <v>498.59</v>
      </c>
      <c r="BF10" s="1602">
        <v>0</v>
      </c>
      <c r="BG10" s="1602">
        <f t="shared" ref="BG10:BG14" si="32">BH10+BI10</f>
        <v>498.89</v>
      </c>
      <c r="BH10" s="1602">
        <v>498.89</v>
      </c>
      <c r="BI10" s="1602">
        <v>0</v>
      </c>
      <c r="BJ10" s="1602">
        <f t="shared" ref="BJ10:BJ14" si="33">BK10+BL10</f>
        <v>498.59</v>
      </c>
      <c r="BK10" s="1602">
        <v>498.59</v>
      </c>
      <c r="BL10" s="1602">
        <v>0</v>
      </c>
      <c r="BM10" s="1602">
        <f t="shared" ref="BM10:BM14" si="34">BN10+BO10</f>
        <v>341.3</v>
      </c>
      <c r="BN10" s="1602">
        <v>341.3</v>
      </c>
      <c r="BO10" s="1602">
        <v>0</v>
      </c>
      <c r="BP10" s="1602">
        <f t="shared" ref="BP10:BP14" si="35">BQ10+BR10</f>
        <v>498.89</v>
      </c>
      <c r="BQ10" s="1602">
        <v>498.89</v>
      </c>
      <c r="BR10" s="1602">
        <v>0</v>
      </c>
      <c r="BS10" s="1602">
        <f t="shared" ref="BS10:BS14" si="36">BT10+BU10</f>
        <v>498.89</v>
      </c>
      <c r="BT10" s="1602">
        <f>Аморт!AM14</f>
        <v>498.89</v>
      </c>
      <c r="BU10" s="1602">
        <v>0</v>
      </c>
      <c r="BV10" s="1602">
        <f t="shared" ref="BV10:BV11" si="37">BW10+BX10</f>
        <v>498.89</v>
      </c>
      <c r="BW10" s="1602">
        <f>SUM(Аморт!AS14)</f>
        <v>498.89</v>
      </c>
      <c r="BX10" s="1602">
        <v>0</v>
      </c>
      <c r="BY10" s="3600" t="str">
        <f>вода!CB10</f>
        <v>Приложение</v>
      </c>
      <c r="BZ10" s="394"/>
      <c r="CA10" s="394"/>
      <c r="CB10" s="394"/>
      <c r="CC10" s="394"/>
      <c r="CD10" s="394"/>
      <c r="CE10" s="394"/>
      <c r="CF10" s="394"/>
      <c r="CG10" s="394"/>
      <c r="CH10" s="394"/>
      <c r="CI10" s="394"/>
      <c r="CJ10" s="394"/>
      <c r="CK10" s="1602">
        <f t="shared" ref="CK10:CK11" si="38">CL10+CM10</f>
        <v>498.89</v>
      </c>
      <c r="CL10" s="1602">
        <f>SUM(Аморт!AT14)</f>
        <v>498.89</v>
      </c>
      <c r="CM10" s="1602">
        <v>0</v>
      </c>
      <c r="CN10" s="1602">
        <f t="shared" ref="CN10:CN14" si="39">CO10+CP10</f>
        <v>175.79</v>
      </c>
      <c r="CO10" s="1602">
        <f>SUM(Аморт!AV14)</f>
        <v>175.79</v>
      </c>
      <c r="CP10" s="1602">
        <f>SUM(Аморт!AW14)</f>
        <v>0</v>
      </c>
      <c r="CQ10" s="1602">
        <f t="shared" ref="CQ10:CQ14" si="40">CR10+CS10</f>
        <v>261.02</v>
      </c>
      <c r="CR10" s="1602">
        <f>SUM(Аморт!AY14)</f>
        <v>261.02</v>
      </c>
      <c r="CS10" s="1602">
        <f>SUM(Аморт!AZ14)</f>
        <v>0</v>
      </c>
      <c r="CT10" s="1602">
        <f t="shared" ref="CT10:CT14" si="41">CU10+CV10</f>
        <v>350.43</v>
      </c>
      <c r="CU10" s="1602">
        <f>SUM(Аморт!BB14)</f>
        <v>350.43</v>
      </c>
      <c r="CV10" s="1602">
        <f>SUM(Аморт!BC14)</f>
        <v>0</v>
      </c>
      <c r="CW10" s="2371">
        <f t="shared" ref="CW10:CW14" si="42">CX10+CY10</f>
        <v>350.43</v>
      </c>
      <c r="CX10" s="2371">
        <f>SUM(Аморт!BD14)</f>
        <v>350.43</v>
      </c>
      <c r="CY10" s="2371">
        <f>SUM(Аморт!BF14)</f>
        <v>0</v>
      </c>
      <c r="CZ10" s="4101">
        <f t="shared" ref="CZ10:CZ14" si="43">DA10+DB10</f>
        <v>349.61328975374232</v>
      </c>
      <c r="DA10" s="4101">
        <f>SUM(Аморт!BE14)</f>
        <v>349.61328975374232</v>
      </c>
      <c r="DB10" s="4101">
        <v>0</v>
      </c>
      <c r="DC10" s="2371">
        <f t="shared" ref="DC10:DC14" si="44">DD10+DE10</f>
        <v>183.71</v>
      </c>
      <c r="DD10" s="2371">
        <f>SUM(Аморт!BJ14)</f>
        <v>183.71</v>
      </c>
      <c r="DE10" s="2371">
        <f>SUM(Аморт!BK14)</f>
        <v>0</v>
      </c>
      <c r="DF10" s="2371">
        <f t="shared" ref="DF10:DF14" si="45">DG10+DH10</f>
        <v>276.27</v>
      </c>
      <c r="DG10" s="2371">
        <f>SUM(Аморт!BM14)</f>
        <v>276.27</v>
      </c>
      <c r="DH10" s="2371">
        <f>SUM(Аморт!BN14)</f>
        <v>0</v>
      </c>
      <c r="DI10" s="3487">
        <f t="shared" ref="DI10:DI14" si="46">DJ10+DK10</f>
        <v>0</v>
      </c>
      <c r="DJ10" s="3487">
        <f>SUM(Аморт!BQ14)</f>
        <v>0</v>
      </c>
      <c r="DK10" s="3487">
        <f>SUM(Аморт!BR14)</f>
        <v>0</v>
      </c>
    </row>
    <row r="11" spans="1:115" ht="21" customHeight="1" x14ac:dyDescent="0.2">
      <c r="A11" s="3494" t="s">
        <v>210</v>
      </c>
      <c r="B11" s="3599"/>
      <c r="C11" s="3468"/>
      <c r="D11" s="1731"/>
      <c r="E11" s="3468"/>
      <c r="F11" s="1731"/>
      <c r="G11" s="3468"/>
      <c r="H11" s="1731"/>
      <c r="I11" s="1602"/>
      <c r="J11" s="1602"/>
      <c r="K11" s="1602">
        <v>31.8</v>
      </c>
      <c r="L11" s="1602">
        <v>31.8</v>
      </c>
      <c r="M11" s="1605"/>
      <c r="N11" s="1602"/>
      <c r="O11" s="1605"/>
      <c r="P11" s="1602"/>
      <c r="Q11" s="1605"/>
      <c r="R11" s="1605"/>
      <c r="S11" s="1602"/>
      <c r="T11" s="1602"/>
      <c r="U11" s="1602"/>
      <c r="V11" s="1602"/>
      <c r="W11" s="1602">
        <v>0</v>
      </c>
      <c r="X11" s="1602"/>
      <c r="Y11" s="1602">
        <v>0</v>
      </c>
      <c r="Z11" s="1602">
        <f t="shared" si="26"/>
        <v>0</v>
      </c>
      <c r="AA11" s="1602">
        <v>0</v>
      </c>
      <c r="AB11" s="1602">
        <v>0</v>
      </c>
      <c r="AC11" s="1602">
        <v>0</v>
      </c>
      <c r="AD11" s="1602">
        <v>0</v>
      </c>
      <c r="AE11" s="1602">
        <v>0</v>
      </c>
      <c r="AF11" s="1602"/>
      <c r="AG11" s="1602">
        <v>0</v>
      </c>
      <c r="AH11" s="1602">
        <v>0</v>
      </c>
      <c r="AI11" s="1602">
        <f>Y11</f>
        <v>0</v>
      </c>
      <c r="AJ11" s="1602"/>
      <c r="AK11" s="1602">
        <f>Z11</f>
        <v>0</v>
      </c>
      <c r="AL11" s="1602">
        <f>AA11</f>
        <v>0</v>
      </c>
      <c r="AM11" s="1606" t="e">
        <f>#REF!</f>
        <v>#REF!</v>
      </c>
      <c r="AN11" s="1606">
        <v>0</v>
      </c>
      <c r="AO11" s="1606" t="e">
        <f t="shared" si="25"/>
        <v>#REF!</v>
      </c>
      <c r="AP11" s="1602">
        <v>0</v>
      </c>
      <c r="AQ11" s="1602">
        <v>0</v>
      </c>
      <c r="AR11" s="1602">
        <v>0</v>
      </c>
      <c r="AS11" s="1602">
        <v>0</v>
      </c>
      <c r="AT11" s="1602">
        <v>0</v>
      </c>
      <c r="AU11" s="1602">
        <v>0</v>
      </c>
      <c r="AV11" s="1602">
        <v>0</v>
      </c>
      <c r="AW11" s="1605">
        <v>0</v>
      </c>
      <c r="AX11" s="1602">
        <v>0</v>
      </c>
      <c r="AY11" s="1602">
        <v>0</v>
      </c>
      <c r="AZ11" s="1602">
        <v>0</v>
      </c>
      <c r="BA11" s="1596">
        <v>0</v>
      </c>
      <c r="BB11" s="1602">
        <v>0</v>
      </c>
      <c r="BC11" s="1602">
        <v>0</v>
      </c>
      <c r="BD11" s="1602">
        <f t="shared" si="31"/>
        <v>0</v>
      </c>
      <c r="BE11" s="1602">
        <v>0</v>
      </c>
      <c r="BF11" s="1602">
        <v>0</v>
      </c>
      <c r="BG11" s="1602">
        <f t="shared" si="32"/>
        <v>0</v>
      </c>
      <c r="BH11" s="1602">
        <v>0</v>
      </c>
      <c r="BI11" s="1602">
        <v>0</v>
      </c>
      <c r="BJ11" s="1602">
        <f t="shared" si="33"/>
        <v>0</v>
      </c>
      <c r="BK11" s="1602">
        <v>0</v>
      </c>
      <c r="BL11" s="1602">
        <v>0</v>
      </c>
      <c r="BM11" s="1602">
        <f t="shared" si="34"/>
        <v>0</v>
      </c>
      <c r="BN11" s="1602">
        <v>0</v>
      </c>
      <c r="BO11" s="1602">
        <v>0</v>
      </c>
      <c r="BP11" s="1602">
        <f t="shared" si="35"/>
        <v>0</v>
      </c>
      <c r="BQ11" s="1602">
        <v>0</v>
      </c>
      <c r="BR11" s="1602">
        <v>0</v>
      </c>
      <c r="BS11" s="1602">
        <f t="shared" si="36"/>
        <v>0</v>
      </c>
      <c r="BT11" s="1602">
        <v>0</v>
      </c>
      <c r="BU11" s="1602">
        <v>0</v>
      </c>
      <c r="BV11" s="1602">
        <f t="shared" si="37"/>
        <v>0</v>
      </c>
      <c r="BW11" s="1602">
        <v>0</v>
      </c>
      <c r="BX11" s="1602">
        <v>0</v>
      </c>
      <c r="BY11" s="1732"/>
      <c r="BZ11" s="394"/>
      <c r="CA11" s="394"/>
      <c r="CB11" s="394"/>
      <c r="CC11" s="394"/>
      <c r="CD11" s="394"/>
      <c r="CE11" s="394"/>
      <c r="CF11" s="394"/>
      <c r="CG11" s="394"/>
      <c r="CH11" s="394"/>
      <c r="CI11" s="394"/>
      <c r="CJ11" s="394"/>
      <c r="CK11" s="1602">
        <f t="shared" si="38"/>
        <v>0</v>
      </c>
      <c r="CL11" s="1602">
        <v>0</v>
      </c>
      <c r="CM11" s="1602">
        <v>0</v>
      </c>
      <c r="CN11" s="1602">
        <f t="shared" si="39"/>
        <v>0</v>
      </c>
      <c r="CO11" s="1602">
        <v>0</v>
      </c>
      <c r="CP11" s="1602">
        <v>0</v>
      </c>
      <c r="CQ11" s="1602">
        <f t="shared" si="40"/>
        <v>0</v>
      </c>
      <c r="CR11" s="1602">
        <v>0</v>
      </c>
      <c r="CS11" s="1602">
        <v>0</v>
      </c>
      <c r="CT11" s="1602">
        <f t="shared" si="41"/>
        <v>0</v>
      </c>
      <c r="CU11" s="1602">
        <v>0</v>
      </c>
      <c r="CV11" s="1602">
        <v>0</v>
      </c>
      <c r="CW11" s="2371">
        <f t="shared" si="42"/>
        <v>0</v>
      </c>
      <c r="CX11" s="2371">
        <v>0</v>
      </c>
      <c r="CY11" s="2371">
        <v>0</v>
      </c>
      <c r="CZ11" s="4101">
        <f t="shared" si="43"/>
        <v>0</v>
      </c>
      <c r="DA11" s="4101">
        <v>0</v>
      </c>
      <c r="DB11" s="4101">
        <v>0</v>
      </c>
      <c r="DC11" s="2371">
        <f t="shared" si="44"/>
        <v>0</v>
      </c>
      <c r="DD11" s="2371">
        <v>0</v>
      </c>
      <c r="DE11" s="2371">
        <v>0</v>
      </c>
      <c r="DF11" s="2371">
        <f t="shared" si="45"/>
        <v>0</v>
      </c>
      <c r="DG11" s="2371">
        <v>0</v>
      </c>
      <c r="DH11" s="2371">
        <v>0</v>
      </c>
      <c r="DI11" s="3487">
        <f t="shared" si="46"/>
        <v>0</v>
      </c>
      <c r="DJ11" s="3487">
        <v>0</v>
      </c>
      <c r="DK11" s="3487">
        <v>0</v>
      </c>
    </row>
    <row r="12" spans="1:115" s="2803" customFormat="1" ht="29.25" customHeight="1" x14ac:dyDescent="0.2">
      <c r="A12" s="3494" t="s">
        <v>3</v>
      </c>
      <c r="B12" s="3599">
        <v>201.5</v>
      </c>
      <c r="C12" s="3468">
        <v>136.69999999999999</v>
      </c>
      <c r="D12" s="1731">
        <f t="shared" si="0"/>
        <v>67.84119106699751</v>
      </c>
      <c r="E12" s="3468">
        <v>189</v>
      </c>
      <c r="F12" s="1731">
        <f t="shared" si="18"/>
        <v>138.25896122896856</v>
      </c>
      <c r="G12" s="3468">
        <v>244.1</v>
      </c>
      <c r="H12" s="1731">
        <f t="shared" si="2"/>
        <v>129.15343915343917</v>
      </c>
      <c r="I12" s="1602">
        <v>430</v>
      </c>
      <c r="J12" s="1602">
        <v>33.4</v>
      </c>
      <c r="K12" s="1602">
        <v>329.8</v>
      </c>
      <c r="L12" s="1602">
        <v>427</v>
      </c>
      <c r="M12" s="1605">
        <f t="shared" si="19"/>
        <v>174.92830807046295</v>
      </c>
      <c r="N12" s="1602">
        <v>473</v>
      </c>
      <c r="O12" s="1605">
        <f t="shared" si="20"/>
        <v>110.00000000000001</v>
      </c>
      <c r="P12" s="1602">
        <v>451</v>
      </c>
      <c r="Q12" s="1605">
        <f t="shared" si="21"/>
        <v>104.88372093023256</v>
      </c>
      <c r="R12" s="1605">
        <f t="shared" si="22"/>
        <v>105.62060889929742</v>
      </c>
      <c r="S12" s="1602">
        <v>451.07</v>
      </c>
      <c r="T12" s="1602"/>
      <c r="U12" s="1602">
        <v>242.4</v>
      </c>
      <c r="V12" s="1602"/>
      <c r="W12" s="1602">
        <v>484</v>
      </c>
      <c r="X12" s="1602"/>
      <c r="Y12" s="1602">
        <f>U12/3*4*1.048</f>
        <v>338.71359999999999</v>
      </c>
      <c r="Z12" s="1602">
        <f t="shared" si="26"/>
        <v>338.71359999999999</v>
      </c>
      <c r="AA12" s="1602">
        <v>0</v>
      </c>
      <c r="AB12" s="1602">
        <f>SUM(AC12:AD12)</f>
        <v>152.4</v>
      </c>
      <c r="AC12" s="1602">
        <v>152.4</v>
      </c>
      <c r="AD12" s="1602">
        <v>0</v>
      </c>
      <c r="AE12" s="1602">
        <v>320</v>
      </c>
      <c r="AF12" s="1602">
        <f t="shared" si="23"/>
        <v>0.94475096364598299</v>
      </c>
      <c r="AG12" s="1602">
        <v>320</v>
      </c>
      <c r="AH12" s="1602">
        <v>0</v>
      </c>
      <c r="AI12" s="1602">
        <v>0</v>
      </c>
      <c r="AJ12" s="1602"/>
      <c r="AK12" s="1602">
        <f>AI12</f>
        <v>0</v>
      </c>
      <c r="AL12" s="1602">
        <f>AA12*1.046</f>
        <v>0</v>
      </c>
      <c r="AM12" s="1606" t="e">
        <f>#REF!</f>
        <v>#REF!</v>
      </c>
      <c r="AN12" s="1606">
        <v>0</v>
      </c>
      <c r="AO12" s="1606" t="e">
        <f t="shared" si="25"/>
        <v>#REF!</v>
      </c>
      <c r="AP12" s="1602">
        <f>SUM(AQ12:AR12)</f>
        <v>0</v>
      </c>
      <c r="AQ12" s="1602">
        <v>0</v>
      </c>
      <c r="AR12" s="1602">
        <v>0</v>
      </c>
      <c r="AS12" s="1602">
        <f>SUM(AT12:AU12)</f>
        <v>0</v>
      </c>
      <c r="AT12" s="1602">
        <v>0</v>
      </c>
      <c r="AU12" s="1602">
        <v>0</v>
      </c>
      <c r="AV12" s="1602">
        <f>SUM(AX12:AY12)</f>
        <v>152.4</v>
      </c>
      <c r="AW12" s="1605"/>
      <c r="AX12" s="1602">
        <f>SUM(AC12)</f>
        <v>152.4</v>
      </c>
      <c r="AY12" s="1602">
        <v>0</v>
      </c>
      <c r="AZ12" s="1602">
        <f>SUM(BB12:BC12)</f>
        <v>0</v>
      </c>
      <c r="BA12" s="1596">
        <v>0</v>
      </c>
      <c r="BB12" s="1602">
        <v>0</v>
      </c>
      <c r="BC12" s="1602">
        <v>0</v>
      </c>
      <c r="BD12" s="1602">
        <f t="shared" si="31"/>
        <v>441.31</v>
      </c>
      <c r="BE12" s="1602">
        <v>441.31</v>
      </c>
      <c r="BF12" s="1602">
        <v>0</v>
      </c>
      <c r="BG12" s="1602">
        <f t="shared" si="32"/>
        <v>304.98</v>
      </c>
      <c r="BH12" s="1602">
        <v>304.98</v>
      </c>
      <c r="BI12" s="1602">
        <v>0</v>
      </c>
      <c r="BJ12" s="1602">
        <f t="shared" si="33"/>
        <v>0</v>
      </c>
      <c r="BK12" s="1602">
        <v>0</v>
      </c>
      <c r="BL12" s="1602">
        <v>0</v>
      </c>
      <c r="BM12" s="1602">
        <f t="shared" si="34"/>
        <v>590.36</v>
      </c>
      <c r="BN12" s="1602">
        <v>590.36</v>
      </c>
      <c r="BO12" s="1602">
        <v>0</v>
      </c>
      <c r="BP12" s="1602">
        <f t="shared" si="35"/>
        <v>422.65</v>
      </c>
      <c r="BQ12" s="1602">
        <v>422.65</v>
      </c>
      <c r="BR12" s="1602">
        <v>0</v>
      </c>
      <c r="BS12" s="1602">
        <v>0</v>
      </c>
      <c r="BT12" s="1602">
        <f>BS12</f>
        <v>0</v>
      </c>
      <c r="BU12" s="1602">
        <v>0</v>
      </c>
      <c r="BV12" s="1602">
        <f>SUM('рем программа'!I33:J33)</f>
        <v>435.33</v>
      </c>
      <c r="BW12" s="1602">
        <f>BV12</f>
        <v>435.33</v>
      </c>
      <c r="BX12" s="1602">
        <v>0</v>
      </c>
      <c r="BY12" s="3600" t="str">
        <f>вода!CB12</f>
        <v>Выполнять за счет амортизации</v>
      </c>
      <c r="BZ12" s="394"/>
      <c r="CA12" s="394"/>
      <c r="CB12" s="394"/>
      <c r="CC12" s="394"/>
      <c r="CD12" s="394"/>
      <c r="CE12" s="394"/>
      <c r="CF12" s="394"/>
      <c r="CG12" s="394"/>
      <c r="CH12" s="394"/>
      <c r="CI12" s="394"/>
      <c r="CJ12" s="394"/>
      <c r="CK12" s="1602">
        <f>SUM('рем программа'!K33)</f>
        <v>0</v>
      </c>
      <c r="CL12" s="1602">
        <v>0</v>
      </c>
      <c r="CM12" s="1602">
        <v>0</v>
      </c>
      <c r="CN12" s="1602">
        <f t="shared" si="39"/>
        <v>583.70000000000005</v>
      </c>
      <c r="CO12" s="1602">
        <f>SUM('рем программа'!L33)</f>
        <v>583.70000000000005</v>
      </c>
      <c r="CP12" s="1602">
        <v>0</v>
      </c>
      <c r="CQ12" s="1602">
        <f t="shared" si="40"/>
        <v>1195.48</v>
      </c>
      <c r="CR12" s="1602">
        <f>SUM('рем программа'!M33)</f>
        <v>1195.48</v>
      </c>
      <c r="CS12" s="1602">
        <v>0</v>
      </c>
      <c r="CT12" s="1602">
        <f t="shared" si="41"/>
        <v>1249.92</v>
      </c>
      <c r="CU12" s="1602">
        <f>SUM('рем программа'!N33)</f>
        <v>1249.92</v>
      </c>
      <c r="CV12" s="1602">
        <v>0</v>
      </c>
      <c r="CW12" s="2371">
        <f t="shared" si="42"/>
        <v>464.32578059999997</v>
      </c>
      <c r="CX12" s="2371">
        <f>SUM('рем программа'!O33)</f>
        <v>464.32578059999997</v>
      </c>
      <c r="CY12" s="2371">
        <v>0</v>
      </c>
      <c r="CZ12" s="4101">
        <f t="shared" si="43"/>
        <v>0</v>
      </c>
      <c r="DA12" s="4101">
        <f>SUM('рем программа'!P33)</f>
        <v>0</v>
      </c>
      <c r="DB12" s="4101">
        <v>0</v>
      </c>
      <c r="DC12" s="2371">
        <f t="shared" si="44"/>
        <v>217.41</v>
      </c>
      <c r="DD12" s="2371">
        <f>SUM('рем программа'!Q33)</f>
        <v>217.41</v>
      </c>
      <c r="DE12" s="2371">
        <v>0</v>
      </c>
      <c r="DF12" s="2371">
        <f t="shared" si="45"/>
        <v>286.07</v>
      </c>
      <c r="DG12" s="2371">
        <f>SUM('рем программа'!R33)</f>
        <v>286.07</v>
      </c>
      <c r="DH12" s="2371">
        <v>0</v>
      </c>
      <c r="DI12" s="3487">
        <f t="shared" si="46"/>
        <v>0</v>
      </c>
      <c r="DJ12" s="3487">
        <f>SUM('рем программа'!AC33)</f>
        <v>0</v>
      </c>
      <c r="DK12" s="3487">
        <v>0</v>
      </c>
    </row>
    <row r="13" spans="1:115" ht="21" customHeight="1" x14ac:dyDescent="0.2">
      <c r="A13" s="3494" t="s">
        <v>4</v>
      </c>
      <c r="B13" s="3599">
        <v>4232.3999999999996</v>
      </c>
      <c r="C13" s="3468">
        <v>5099.2</v>
      </c>
      <c r="D13" s="1731">
        <f t="shared" si="0"/>
        <v>120.48010585010869</v>
      </c>
      <c r="E13" s="3468">
        <v>5650.1</v>
      </c>
      <c r="F13" s="1731">
        <f t="shared" si="18"/>
        <v>110.8036554753687</v>
      </c>
      <c r="G13" s="3468">
        <v>6020.2</v>
      </c>
      <c r="H13" s="1731">
        <f t="shared" si="2"/>
        <v>106.55032654289303</v>
      </c>
      <c r="I13" s="1602">
        <v>6748.7</v>
      </c>
      <c r="J13" s="1602">
        <v>3090.2</v>
      </c>
      <c r="K13" s="1602">
        <v>4364.5</v>
      </c>
      <c r="L13" s="1602">
        <v>6047.4</v>
      </c>
      <c r="M13" s="1605">
        <f t="shared" si="19"/>
        <v>100.45181223215177</v>
      </c>
      <c r="N13" s="1602">
        <v>8605.1</v>
      </c>
      <c r="O13" s="1605">
        <f t="shared" si="20"/>
        <v>127.50751996680843</v>
      </c>
      <c r="P13" s="1602">
        <f>ЗП!AP15</f>
        <v>7227.8576999999987</v>
      </c>
      <c r="Q13" s="1605">
        <f t="shared" si="21"/>
        <v>107.09999999999997</v>
      </c>
      <c r="R13" s="1605">
        <f t="shared" si="22"/>
        <v>119.52008631808711</v>
      </c>
      <c r="S13" s="1602">
        <v>7227.9</v>
      </c>
      <c r="T13" s="1602"/>
      <c r="U13" s="1602">
        <v>5255.2</v>
      </c>
      <c r="V13" s="1602"/>
      <c r="W13" s="1602">
        <v>9055.6</v>
      </c>
      <c r="X13" s="1602"/>
      <c r="Y13" s="1602">
        <f>ЗП!U32</f>
        <v>6614.9353670399987</v>
      </c>
      <c r="Z13" s="1602">
        <f t="shared" si="26"/>
        <v>6614.9353670399987</v>
      </c>
      <c r="AA13" s="1602">
        <v>0</v>
      </c>
      <c r="AB13" s="1602">
        <v>6921.7</v>
      </c>
      <c r="AC13" s="1602">
        <f>SUM(AB13)</f>
        <v>6921.7</v>
      </c>
      <c r="AD13" s="1602">
        <v>0</v>
      </c>
      <c r="AE13" s="1602">
        <v>9055.6</v>
      </c>
      <c r="AF13" s="1602">
        <f t="shared" si="23"/>
        <v>1.3689627331993315</v>
      </c>
      <c r="AG13" s="1602">
        <v>9055.6</v>
      </c>
      <c r="AH13" s="1602">
        <v>0</v>
      </c>
      <c r="AI13" s="1602">
        <f>ЗП!BB32</f>
        <v>7848.1866666666683</v>
      </c>
      <c r="AJ13" s="1602">
        <f t="shared" si="24"/>
        <v>1.1864343687727543</v>
      </c>
      <c r="AK13" s="1602">
        <f>AI13</f>
        <v>7848.1866666666683</v>
      </c>
      <c r="AL13" s="1602">
        <f>AA13*1.05</f>
        <v>0</v>
      </c>
      <c r="AM13" s="1606" t="e">
        <f>#REF!</f>
        <v>#REF!</v>
      </c>
      <c r="AN13" s="1606">
        <v>0</v>
      </c>
      <c r="AO13" s="1606" t="e">
        <f t="shared" si="25"/>
        <v>#REF!</v>
      </c>
      <c r="AP13" s="1602">
        <f>SUM(ЗП!BG32)</f>
        <v>3420.4</v>
      </c>
      <c r="AQ13" s="1602">
        <f>SUM(AP13)</f>
        <v>3420.4</v>
      </c>
      <c r="AR13" s="1602">
        <v>0</v>
      </c>
      <c r="AS13" s="1602">
        <f>SUM(ЗП!BK32)</f>
        <v>5249.4</v>
      </c>
      <c r="AT13" s="1602">
        <f>SUM(AS13)</f>
        <v>5249.4</v>
      </c>
      <c r="AU13" s="1602">
        <v>0</v>
      </c>
      <c r="AV13" s="1602">
        <v>8965.0400000000009</v>
      </c>
      <c r="AW13" s="1605">
        <f t="shared" ref="AW13:AW75" si="47">SUM(AV13/AI13)</f>
        <v>1.1423071826358189</v>
      </c>
      <c r="AX13" s="1602">
        <f>SUM(AV13)</f>
        <v>8965.0400000000009</v>
      </c>
      <c r="AY13" s="1602">
        <v>0</v>
      </c>
      <c r="AZ13" s="1602">
        <f>SUM(ЗП!BS32)</f>
        <v>7857.3839999999982</v>
      </c>
      <c r="BA13" s="1596">
        <f t="shared" si="30"/>
        <v>1.0011719055272212</v>
      </c>
      <c r="BB13" s="1602">
        <f>SUM(AZ13)</f>
        <v>7857.3839999999982</v>
      </c>
      <c r="BC13" s="1602">
        <v>0</v>
      </c>
      <c r="BD13" s="1602">
        <f t="shared" si="31"/>
        <v>7796.33</v>
      </c>
      <c r="BE13" s="1602">
        <v>7796.33</v>
      </c>
      <c r="BF13" s="1602">
        <v>0</v>
      </c>
      <c r="BG13" s="1602">
        <f t="shared" si="32"/>
        <v>8127.57</v>
      </c>
      <c r="BH13" s="1602">
        <v>8127.57</v>
      </c>
      <c r="BI13" s="1602">
        <v>0</v>
      </c>
      <c r="BJ13" s="1602">
        <f t="shared" si="33"/>
        <v>8769.7999999999993</v>
      </c>
      <c r="BK13" s="1602">
        <v>8769.7999999999993</v>
      </c>
      <c r="BL13" s="1602">
        <v>0</v>
      </c>
      <c r="BM13" s="1602">
        <f t="shared" si="34"/>
        <v>8582.7800000000007</v>
      </c>
      <c r="BN13" s="1602">
        <v>8582.7800000000007</v>
      </c>
      <c r="BO13" s="1602">
        <v>0</v>
      </c>
      <c r="BP13" s="1602">
        <f t="shared" si="35"/>
        <v>11074.97</v>
      </c>
      <c r="BQ13" s="1602">
        <v>11074.97</v>
      </c>
      <c r="BR13" s="1602">
        <v>0</v>
      </c>
      <c r="BS13" s="1602">
        <f>ЗП!CR32</f>
        <v>9987.8106239999979</v>
      </c>
      <c r="BT13" s="1602">
        <f>BS13</f>
        <v>9987.8106239999979</v>
      </c>
      <c r="BU13" s="1602">
        <v>0</v>
      </c>
      <c r="BV13" s="1602">
        <f>SUM(ЗП!CU32)</f>
        <v>10447.249912703999</v>
      </c>
      <c r="BW13" s="1602">
        <f>BV13</f>
        <v>10447.249912703999</v>
      </c>
      <c r="BX13" s="1602">
        <v>0</v>
      </c>
      <c r="BY13" s="3600" t="str">
        <f>вода!CB13</f>
        <v>Приложение</v>
      </c>
      <c r="BZ13" s="394"/>
      <c r="CA13" s="394"/>
      <c r="CB13" s="394"/>
      <c r="CC13" s="394"/>
      <c r="CD13" s="394"/>
      <c r="CE13" s="394"/>
      <c r="CF13" s="394"/>
      <c r="CG13" s="394"/>
      <c r="CH13" s="394"/>
      <c r="CI13" s="394"/>
      <c r="CJ13" s="394"/>
      <c r="CK13" s="1602">
        <f>SUM(ЗП!CX32)</f>
        <v>10184.570493292798</v>
      </c>
      <c r="CL13" s="1602">
        <f>CK13</f>
        <v>10184.570493292798</v>
      </c>
      <c r="CM13" s="1602">
        <v>0</v>
      </c>
      <c r="CN13" s="1602">
        <f t="shared" si="39"/>
        <v>4848.62</v>
      </c>
      <c r="CO13" s="1602">
        <f>SUM(ЗП!DA32)</f>
        <v>4848.62</v>
      </c>
      <c r="CP13" s="1602">
        <v>0</v>
      </c>
      <c r="CQ13" s="1602">
        <f t="shared" si="40"/>
        <v>7310.49</v>
      </c>
      <c r="CR13" s="1602">
        <f>SUM(ЗП!DD32)</f>
        <v>7310.49</v>
      </c>
      <c r="CS13" s="1602">
        <v>0</v>
      </c>
      <c r="CT13" s="1602">
        <f t="shared" si="41"/>
        <v>9375.09</v>
      </c>
      <c r="CU13" s="1602">
        <f>SUM(ЗП!DG32)</f>
        <v>9375.09</v>
      </c>
      <c r="CV13" s="1602">
        <v>0</v>
      </c>
      <c r="CW13" s="2371">
        <f t="shared" si="42"/>
        <v>12299.829315840003</v>
      </c>
      <c r="CX13" s="2371">
        <f>SUM(ЗП!DJ32)</f>
        <v>12299.829315840003</v>
      </c>
      <c r="CY13" s="2371">
        <v>0</v>
      </c>
      <c r="CZ13" s="4101">
        <f t="shared" si="43"/>
        <v>10465.985798955859</v>
      </c>
      <c r="DA13" s="4101">
        <f>SUM(ЗП!DM32)</f>
        <v>10465.985798955859</v>
      </c>
      <c r="DB13" s="4101">
        <v>0</v>
      </c>
      <c r="DC13" s="2371">
        <f t="shared" si="44"/>
        <v>4472.91</v>
      </c>
      <c r="DD13" s="2371">
        <f>SUM(ЗП!DR32)</f>
        <v>4472.91</v>
      </c>
      <c r="DE13" s="2371">
        <v>0</v>
      </c>
      <c r="DF13" s="2371">
        <f t="shared" si="45"/>
        <v>6724.009</v>
      </c>
      <c r="DG13" s="2371">
        <f>SUM(ЗП!DU32)</f>
        <v>6724.009</v>
      </c>
      <c r="DH13" s="2371">
        <v>0</v>
      </c>
      <c r="DI13" s="3487">
        <f t="shared" si="46"/>
        <v>27</v>
      </c>
      <c r="DJ13" s="3487">
        <f>SUM(ЗП!DV32)</f>
        <v>27</v>
      </c>
      <c r="DK13" s="3487">
        <v>0</v>
      </c>
    </row>
    <row r="14" spans="1:115" ht="28.5" customHeight="1" x14ac:dyDescent="0.2">
      <c r="A14" s="3494" t="s">
        <v>114</v>
      </c>
      <c r="B14" s="3599">
        <v>1085</v>
      </c>
      <c r="C14" s="3468">
        <v>1303.3</v>
      </c>
      <c r="D14" s="1731">
        <f t="shared" si="0"/>
        <v>120.11981566820276</v>
      </c>
      <c r="E14" s="3468">
        <v>1422.5</v>
      </c>
      <c r="F14" s="1731">
        <f t="shared" si="18"/>
        <v>109.14601396455153</v>
      </c>
      <c r="G14" s="3468">
        <v>1998.5</v>
      </c>
      <c r="H14" s="1731">
        <f t="shared" si="2"/>
        <v>140.49209138840069</v>
      </c>
      <c r="I14" s="1602">
        <f>I13*30.2/100</f>
        <v>2038.1073999999999</v>
      </c>
      <c r="J14" s="1602">
        <v>1023.4</v>
      </c>
      <c r="K14" s="1602">
        <v>1279.4000000000001</v>
      </c>
      <c r="L14" s="1602">
        <v>1818.2</v>
      </c>
      <c r="M14" s="1605">
        <f t="shared" si="19"/>
        <v>90.978233675256448</v>
      </c>
      <c r="N14" s="1602">
        <v>2598.6999999999998</v>
      </c>
      <c r="O14" s="1605">
        <f t="shared" si="20"/>
        <v>127.50554754867187</v>
      </c>
      <c r="P14" s="1602">
        <f>P13*30.2/100</f>
        <v>2182.8130253999993</v>
      </c>
      <c r="Q14" s="1605">
        <f t="shared" si="21"/>
        <v>107.09999999999997</v>
      </c>
      <c r="R14" s="1605">
        <f t="shared" si="22"/>
        <v>120.05351586184135</v>
      </c>
      <c r="S14" s="1602">
        <f>S13*30.2/100</f>
        <v>2182.8258000000001</v>
      </c>
      <c r="T14" s="1602"/>
      <c r="U14" s="1602">
        <v>1570.4</v>
      </c>
      <c r="V14" s="1602"/>
      <c r="W14" s="1602">
        <v>2734.79</v>
      </c>
      <c r="X14" s="1602"/>
      <c r="Y14" s="1602">
        <f>Y13*U15</f>
        <v>1976.7267659460372</v>
      </c>
      <c r="Z14" s="1602">
        <f t="shared" si="26"/>
        <v>1976.7267659460372</v>
      </c>
      <c r="AA14" s="1602">
        <v>0</v>
      </c>
      <c r="AB14" s="1602">
        <v>2065.6999999999998</v>
      </c>
      <c r="AC14" s="1602">
        <f>SUM(AB14)</f>
        <v>2065.6999999999998</v>
      </c>
      <c r="AD14" s="1602">
        <v>0</v>
      </c>
      <c r="AE14" s="1602">
        <v>2725.74</v>
      </c>
      <c r="AF14" s="1602">
        <f t="shared" si="23"/>
        <v>1.3789159164319273</v>
      </c>
      <c r="AG14" s="1602">
        <v>2725.74</v>
      </c>
      <c r="AH14" s="1602">
        <v>0</v>
      </c>
      <c r="AI14" s="1602">
        <f>AI13*AI15</f>
        <v>2345.2565727913948</v>
      </c>
      <c r="AJ14" s="1602">
        <f t="shared" si="24"/>
        <v>1.1864343687727543</v>
      </c>
      <c r="AK14" s="1602">
        <f>AK13*AK15</f>
        <v>2345.2565727913948</v>
      </c>
      <c r="AL14" s="1602">
        <f>AA14*1.05</f>
        <v>0</v>
      </c>
      <c r="AM14" s="1606" t="e">
        <f>#REF!</f>
        <v>#REF!</v>
      </c>
      <c r="AN14" s="1606">
        <v>0</v>
      </c>
      <c r="AO14" s="1606" t="e">
        <f t="shared" si="25"/>
        <v>#REF!</v>
      </c>
      <c r="AP14" s="1602">
        <v>0</v>
      </c>
      <c r="AQ14" s="1602">
        <f>SUM(AP14)</f>
        <v>0</v>
      </c>
      <c r="AR14" s="1602">
        <v>0</v>
      </c>
      <c r="AS14" s="1602">
        <v>0</v>
      </c>
      <c r="AT14" s="1602">
        <f>SUM(AS14)</f>
        <v>0</v>
      </c>
      <c r="AU14" s="1602">
        <v>0</v>
      </c>
      <c r="AV14" s="1603">
        <f t="shared" ref="AV14" si="48">SUM(AX14+AY14)</f>
        <v>2698.4770400000002</v>
      </c>
      <c r="AW14" s="1605">
        <f t="shared" si="47"/>
        <v>1.150610586196201</v>
      </c>
      <c r="AX14" s="1602">
        <f>SUM(AX13*AE15)/100</f>
        <v>2698.4770400000002</v>
      </c>
      <c r="AY14" s="1602">
        <f>SUM(AY13*AE15)/100</f>
        <v>0</v>
      </c>
      <c r="AZ14" s="1603">
        <f t="shared" ref="AZ14" si="49">SUM(BB14+BC14)</f>
        <v>2348.0049919318008</v>
      </c>
      <c r="BA14" s="1596">
        <f t="shared" si="30"/>
        <v>1.0011719055272212</v>
      </c>
      <c r="BB14" s="1602">
        <f>BB13*BB15</f>
        <v>2348.0049919318008</v>
      </c>
      <c r="BC14" s="1602">
        <f>SUM(BC13*AV15)</f>
        <v>0</v>
      </c>
      <c r="BD14" s="1602">
        <f t="shared" si="31"/>
        <v>2348.37</v>
      </c>
      <c r="BE14" s="1602">
        <v>2348.37</v>
      </c>
      <c r="BF14" s="1602">
        <v>0</v>
      </c>
      <c r="BG14" s="1602">
        <f t="shared" si="32"/>
        <v>2434.46</v>
      </c>
      <c r="BH14" s="1602">
        <v>2434.46</v>
      </c>
      <c r="BI14" s="1602">
        <v>0</v>
      </c>
      <c r="BJ14" s="1602">
        <f t="shared" si="33"/>
        <v>2620.42</v>
      </c>
      <c r="BK14" s="1602">
        <v>2620.42</v>
      </c>
      <c r="BL14" s="1602">
        <v>0</v>
      </c>
      <c r="BM14" s="1602">
        <f t="shared" si="34"/>
        <v>2584.19</v>
      </c>
      <c r="BN14" s="1602">
        <v>2584.19</v>
      </c>
      <c r="BO14" s="1602">
        <v>0</v>
      </c>
      <c r="BP14" s="1602">
        <f t="shared" si="35"/>
        <v>3309.2</v>
      </c>
      <c r="BQ14" s="1602">
        <v>3309.2</v>
      </c>
      <c r="BR14" s="1602">
        <v>0</v>
      </c>
      <c r="BS14" s="1602">
        <f t="shared" si="36"/>
        <v>2991.6599243935198</v>
      </c>
      <c r="BT14" s="1602">
        <f>BT13*BG15</f>
        <v>2991.6599243935198</v>
      </c>
      <c r="BU14" s="1602">
        <v>0</v>
      </c>
      <c r="BV14" s="1602">
        <f>SUM(BV13*BV15)</f>
        <v>3145.5634132426262</v>
      </c>
      <c r="BW14" s="1602">
        <f>SUM(BW13*BW15)</f>
        <v>3145.5634132426262</v>
      </c>
      <c r="BX14" s="1602">
        <v>0</v>
      </c>
      <c r="BY14" s="3600" t="str">
        <f>вода!CB14</f>
        <v xml:space="preserve"> </v>
      </c>
      <c r="BZ14" s="394"/>
      <c r="CA14" s="394"/>
      <c r="CB14" s="394"/>
      <c r="CC14" s="394"/>
      <c r="CD14" s="394"/>
      <c r="CE14" s="394"/>
      <c r="CF14" s="394"/>
      <c r="CG14" s="394"/>
      <c r="CH14" s="394"/>
      <c r="CI14" s="394"/>
      <c r="CJ14" s="394"/>
      <c r="CK14" s="1602">
        <f>SUM(CK13*CK15)</f>
        <v>3050.5956249040719</v>
      </c>
      <c r="CL14" s="1602">
        <f>SUM(CL13*CL15)</f>
        <v>3050.5956249040719</v>
      </c>
      <c r="CM14" s="1602">
        <v>0</v>
      </c>
      <c r="CN14" s="1602">
        <f t="shared" si="39"/>
        <v>1462.69</v>
      </c>
      <c r="CO14" s="1602">
        <v>1462.69</v>
      </c>
      <c r="CP14" s="1602">
        <v>0</v>
      </c>
      <c r="CQ14" s="1602">
        <f t="shared" si="40"/>
        <v>2215.73</v>
      </c>
      <c r="CR14" s="1602">
        <v>2215.73</v>
      </c>
      <c r="CS14" s="1602">
        <v>0</v>
      </c>
      <c r="CT14" s="1602">
        <f t="shared" si="41"/>
        <v>2849.28</v>
      </c>
      <c r="CU14" s="1602">
        <v>2849.28</v>
      </c>
      <c r="CV14" s="1602">
        <v>0</v>
      </c>
      <c r="CW14" s="2371">
        <f t="shared" si="42"/>
        <v>3703.48</v>
      </c>
      <c r="CX14" s="2371">
        <v>3703.48</v>
      </c>
      <c r="CY14" s="2371">
        <v>0</v>
      </c>
      <c r="CZ14" s="4101">
        <f t="shared" si="43"/>
        <v>3134.8882615746261</v>
      </c>
      <c r="DA14" s="4101">
        <f>SUM(DA13*DA15)</f>
        <v>3134.8882615746261</v>
      </c>
      <c r="DB14" s="4101">
        <f>SUM(DB13*DB15)</f>
        <v>0</v>
      </c>
      <c r="DC14" s="2371">
        <f t="shared" si="44"/>
        <v>1345.1849999999999</v>
      </c>
      <c r="DD14" s="2371">
        <v>1345.1849999999999</v>
      </c>
      <c r="DE14" s="2371">
        <v>0</v>
      </c>
      <c r="DF14" s="2371">
        <f t="shared" si="45"/>
        <v>1802.19</v>
      </c>
      <c r="DG14" s="2371">
        <v>1802.19</v>
      </c>
      <c r="DH14" s="2371">
        <v>0</v>
      </c>
      <c r="DI14" s="3487">
        <f t="shared" si="46"/>
        <v>2849.28</v>
      </c>
      <c r="DJ14" s="3487">
        <v>2849.28</v>
      </c>
      <c r="DK14" s="3487">
        <v>0</v>
      </c>
    </row>
    <row r="15" spans="1:115" s="1737" customFormat="1" ht="21" customHeight="1" x14ac:dyDescent="0.2">
      <c r="A15" s="3474" t="s">
        <v>310</v>
      </c>
      <c r="B15" s="3471"/>
      <c r="C15" s="1731"/>
      <c r="D15" s="1731"/>
      <c r="E15" s="1604">
        <f>E14/E13</f>
        <v>0.25176545547866408</v>
      </c>
      <c r="F15" s="1604">
        <f t="shared" ref="F15:Z15" si="50">F14/F13</f>
        <v>0.98503983010573459</v>
      </c>
      <c r="G15" s="1604">
        <f t="shared" si="50"/>
        <v>0.33196571542473674</v>
      </c>
      <c r="H15" s="1604">
        <f t="shared" si="50"/>
        <v>1.3185514859200738</v>
      </c>
      <c r="I15" s="1604">
        <f t="shared" si="50"/>
        <v>0.30199999999999999</v>
      </c>
      <c r="J15" s="1604">
        <f t="shared" si="50"/>
        <v>0.33117597566500551</v>
      </c>
      <c r="K15" s="1604">
        <f t="shared" si="50"/>
        <v>0.29313781647382292</v>
      </c>
      <c r="L15" s="1604">
        <f t="shared" si="50"/>
        <v>0.3006581340741476</v>
      </c>
      <c r="M15" s="1604">
        <f t="shared" si="50"/>
        <v>0.90569031711442738</v>
      </c>
      <c r="N15" s="1604">
        <f t="shared" si="50"/>
        <v>0.30199532835179133</v>
      </c>
      <c r="O15" s="1604">
        <f t="shared" si="50"/>
        <v>0.99998453096619655</v>
      </c>
      <c r="P15" s="1604">
        <f t="shared" si="50"/>
        <v>0.30199999999999999</v>
      </c>
      <c r="Q15" s="1604">
        <f t="shared" si="50"/>
        <v>1</v>
      </c>
      <c r="R15" s="1604">
        <f t="shared" si="50"/>
        <v>1.0044630953690461</v>
      </c>
      <c r="S15" s="1604">
        <f t="shared" si="50"/>
        <v>0.30200000000000005</v>
      </c>
      <c r="T15" s="1604"/>
      <c r="U15" s="1604">
        <f t="shared" si="50"/>
        <v>0.2988278276754453</v>
      </c>
      <c r="V15" s="1604"/>
      <c r="W15" s="1604">
        <f t="shared" si="50"/>
        <v>0.30199986748531293</v>
      </c>
      <c r="X15" s="1604"/>
      <c r="Y15" s="1604">
        <f t="shared" si="50"/>
        <v>0.2988278276754453</v>
      </c>
      <c r="Z15" s="1604">
        <f t="shared" si="50"/>
        <v>0.2988278276754453</v>
      </c>
      <c r="AA15" s="1604"/>
      <c r="AB15" s="1604">
        <f t="shared" ref="AB15:AC15" si="51">AB14/AB13</f>
        <v>0.2984382449398269</v>
      </c>
      <c r="AC15" s="1604">
        <f t="shared" si="51"/>
        <v>0.2984382449398269</v>
      </c>
      <c r="AD15" s="1604"/>
      <c r="AE15" s="1604">
        <v>30.1</v>
      </c>
      <c r="AF15" s="1733"/>
      <c r="AG15" s="1604">
        <v>30.1</v>
      </c>
      <c r="AH15" s="1604">
        <v>0</v>
      </c>
      <c r="AI15" s="1604">
        <f>Y15</f>
        <v>0.2988278276754453</v>
      </c>
      <c r="AJ15" s="1733"/>
      <c r="AK15" s="1604">
        <f>AI15</f>
        <v>0.2988278276754453</v>
      </c>
      <c r="AL15" s="1604"/>
      <c r="AM15" s="3739" t="e">
        <f>#REF!</f>
        <v>#REF!</v>
      </c>
      <c r="AN15" s="3739">
        <v>0</v>
      </c>
      <c r="AO15" s="3739" t="e">
        <f t="shared" si="25"/>
        <v>#REF!</v>
      </c>
      <c r="AP15" s="1604">
        <f>AP14/AP13</f>
        <v>0</v>
      </c>
      <c r="AQ15" s="1604">
        <f t="shared" ref="AQ15" si="52">AQ14/AQ13</f>
        <v>0</v>
      </c>
      <c r="AR15" s="1604"/>
      <c r="AS15" s="1604">
        <f>AS14/AS13</f>
        <v>0</v>
      </c>
      <c r="AT15" s="1604">
        <f t="shared" ref="AT15" si="53">AT14/AT13</f>
        <v>0</v>
      </c>
      <c r="AU15" s="1604"/>
      <c r="AV15" s="1604">
        <f>SUM(AV14/AV13)</f>
        <v>0.30099999999999999</v>
      </c>
      <c r="AW15" s="1604">
        <f t="shared" si="47"/>
        <v>1.0072689760570555</v>
      </c>
      <c r="AX15" s="1604">
        <f>SUM(AX14/AX13)</f>
        <v>0.30099999999999999</v>
      </c>
      <c r="AY15" s="1604">
        <v>0</v>
      </c>
      <c r="AZ15" s="1604">
        <f>Y15</f>
        <v>0.2988278276754453</v>
      </c>
      <c r="BA15" s="1596">
        <f t="shared" si="30"/>
        <v>1</v>
      </c>
      <c r="BB15" s="1604">
        <f>Z15</f>
        <v>0.2988278276754453</v>
      </c>
      <c r="BC15" s="1604">
        <v>0</v>
      </c>
      <c r="BD15" s="1604">
        <f>BD14/BD13</f>
        <v>0.30121480234931047</v>
      </c>
      <c r="BE15" s="1604">
        <f>BE14/BE13</f>
        <v>0.30121480234931047</v>
      </c>
      <c r="BF15" s="1604">
        <v>0</v>
      </c>
      <c r="BG15" s="1604">
        <f>BG14/BG13</f>
        <v>0.2995311021621469</v>
      </c>
      <c r="BH15" s="1604">
        <f>BH14/BH13</f>
        <v>0.2995311021621469</v>
      </c>
      <c r="BI15" s="1604">
        <v>0</v>
      </c>
      <c r="BJ15" s="1604">
        <f>BJ14/BJ13</f>
        <v>0.29880042874409912</v>
      </c>
      <c r="BK15" s="1604">
        <f>BK14/BK13</f>
        <v>0.29880042874409912</v>
      </c>
      <c r="BL15" s="1604">
        <v>0</v>
      </c>
      <c r="BM15" s="1604">
        <f>BM14/BM13</f>
        <v>0.30109008969121892</v>
      </c>
      <c r="BN15" s="1604">
        <f>BN14/BN13</f>
        <v>0.30109008969121892</v>
      </c>
      <c r="BO15" s="1604">
        <v>0</v>
      </c>
      <c r="BP15" s="1604">
        <f>BP14/BP13</f>
        <v>0.29879990645572857</v>
      </c>
      <c r="BQ15" s="1604">
        <f>BQ14/BQ13</f>
        <v>0.29879990645572857</v>
      </c>
      <c r="BR15" s="1604">
        <v>0</v>
      </c>
      <c r="BS15" s="1604">
        <f>BS14/BS13</f>
        <v>0.2995311021621469</v>
      </c>
      <c r="BT15" s="1604">
        <f>BT14/BT13</f>
        <v>0.2995311021621469</v>
      </c>
      <c r="BU15" s="1604">
        <v>0</v>
      </c>
      <c r="BV15" s="1604">
        <f>SUM(BM15)</f>
        <v>0.30109008969121892</v>
      </c>
      <c r="BW15" s="1604">
        <f>SUM(BN15)</f>
        <v>0.30109008969121892</v>
      </c>
      <c r="BX15" s="1604">
        <v>0</v>
      </c>
      <c r="BY15" s="3740"/>
      <c r="BZ15" s="3741"/>
      <c r="CA15" s="3741"/>
      <c r="CB15" s="3741"/>
      <c r="CC15" s="3741"/>
      <c r="CD15" s="3741"/>
      <c r="CE15" s="3741"/>
      <c r="CF15" s="3741"/>
      <c r="CG15" s="3741"/>
      <c r="CH15" s="3741"/>
      <c r="CI15" s="3741"/>
      <c r="CJ15" s="3741"/>
      <c r="CK15" s="1604">
        <f>SUM(BS15)</f>
        <v>0.2995311021621469</v>
      </c>
      <c r="CL15" s="1604">
        <f>SUM(BT15)</f>
        <v>0.2995311021621469</v>
      </c>
      <c r="CM15" s="1604">
        <v>0</v>
      </c>
      <c r="CN15" s="1604">
        <f>SUM(CN14/CN13)</f>
        <v>0.30167140340963</v>
      </c>
      <c r="CO15" s="1604">
        <f t="shared" ref="CO15:CR15" si="54">SUM(CO14/CO13)</f>
        <v>0.30167140340963</v>
      </c>
      <c r="CP15" s="1604">
        <v>0</v>
      </c>
      <c r="CQ15" s="1604">
        <f t="shared" si="54"/>
        <v>0.30308912261695181</v>
      </c>
      <c r="CR15" s="1604">
        <f t="shared" si="54"/>
        <v>0.30308912261695181</v>
      </c>
      <c r="CS15" s="1604">
        <v>0</v>
      </c>
      <c r="CT15" s="1604">
        <f t="shared" ref="CT15:CU15" si="55">SUM(CT14/CT13)</f>
        <v>0.30392028236528928</v>
      </c>
      <c r="CU15" s="1604">
        <f t="shared" si="55"/>
        <v>0.30392028236528928</v>
      </c>
      <c r="CV15" s="1604">
        <v>0</v>
      </c>
      <c r="CW15" s="3651">
        <f t="shared" ref="CW15:CX15" si="56">SUM(CW14/CW13)</f>
        <v>0.30110011325365088</v>
      </c>
      <c r="CX15" s="3651">
        <f t="shared" si="56"/>
        <v>0.30110011325365088</v>
      </c>
      <c r="CY15" s="3651">
        <v>0</v>
      </c>
      <c r="CZ15" s="4102">
        <f>SUM(BS15)</f>
        <v>0.2995311021621469</v>
      </c>
      <c r="DA15" s="4102">
        <f t="shared" ref="DA15:DB15" si="57">SUM(BT15)</f>
        <v>0.2995311021621469</v>
      </c>
      <c r="DB15" s="4102">
        <f t="shared" si="57"/>
        <v>0</v>
      </c>
      <c r="DC15" s="3651">
        <f>SUM(DC14/DC13)</f>
        <v>0.30074045755447798</v>
      </c>
      <c r="DD15" s="3651">
        <f t="shared" ref="DD15" si="58">SUM(DD14/DD13)</f>
        <v>0.30074045755447798</v>
      </c>
      <c r="DE15" s="3651">
        <v>0</v>
      </c>
      <c r="DF15" s="3651">
        <f t="shared" ref="DF15:DG15" si="59">SUM(DF14/DF13)</f>
        <v>0.26802313917188392</v>
      </c>
      <c r="DG15" s="3651">
        <f t="shared" si="59"/>
        <v>0.26802313917188392</v>
      </c>
      <c r="DH15" s="3651">
        <v>0</v>
      </c>
      <c r="DI15" s="3733">
        <f t="shared" ref="DI15:DJ15" si="60">SUM(DI14/DI13)</f>
        <v>105.5288888888889</v>
      </c>
      <c r="DJ15" s="3733">
        <f t="shared" si="60"/>
        <v>105.5288888888889</v>
      </c>
      <c r="DK15" s="3733">
        <v>0</v>
      </c>
    </row>
    <row r="16" spans="1:115" ht="21" customHeight="1" x14ac:dyDescent="0.2">
      <c r="A16" s="3494" t="s">
        <v>6</v>
      </c>
      <c r="B16" s="3599">
        <v>586.20000000000005</v>
      </c>
      <c r="C16" s="3468">
        <v>578.70000000000005</v>
      </c>
      <c r="D16" s="1731">
        <f t="shared" si="0"/>
        <v>98.720573183213929</v>
      </c>
      <c r="E16" s="3468">
        <v>909</v>
      </c>
      <c r="F16" s="1731">
        <f t="shared" si="18"/>
        <v>157.07620528771383</v>
      </c>
      <c r="G16" s="3468">
        <v>1016.4</v>
      </c>
      <c r="H16" s="1731">
        <f t="shared" si="2"/>
        <v>111.81518151815182</v>
      </c>
      <c r="I16" s="1602">
        <v>973.7</v>
      </c>
      <c r="J16" s="1602">
        <v>525.5</v>
      </c>
      <c r="K16" s="1602">
        <f>'цех стоки'!K47</f>
        <v>660.34381091530884</v>
      </c>
      <c r="L16" s="1602">
        <f>'цех стоки'!L47</f>
        <v>1618.4</v>
      </c>
      <c r="M16" s="1605">
        <f t="shared" si="19"/>
        <v>159.22865013774106</v>
      </c>
      <c r="N16" s="1602">
        <v>1270.9000000000001</v>
      </c>
      <c r="O16" s="1605">
        <f t="shared" si="20"/>
        <v>130.52274827975762</v>
      </c>
      <c r="P16" s="1602">
        <f>'цех стоки'!P47</f>
        <v>1129.3</v>
      </c>
      <c r="Q16" s="1605">
        <f t="shared" si="21"/>
        <v>115.98028140084213</v>
      </c>
      <c r="R16" s="1605">
        <f t="shared" si="22"/>
        <v>69.778793870489366</v>
      </c>
      <c r="S16" s="1602">
        <v>1067.4000000000001</v>
      </c>
      <c r="T16" s="1602"/>
      <c r="U16" s="1602">
        <v>627.9</v>
      </c>
      <c r="V16" s="1602"/>
      <c r="W16" s="1602">
        <v>1692.38</v>
      </c>
      <c r="X16" s="1602"/>
      <c r="Y16" s="1602">
        <f>'цех стоки'!X47</f>
        <v>1182.4040130542526</v>
      </c>
      <c r="Z16" s="1602">
        <f t="shared" si="26"/>
        <v>1182.4040130542526</v>
      </c>
      <c r="AA16" s="1602">
        <v>0</v>
      </c>
      <c r="AB16" s="1602">
        <f>'цех стоки'!AA47</f>
        <v>776.9</v>
      </c>
      <c r="AC16" s="1602">
        <f t="shared" ref="AC16" si="61">AB16</f>
        <v>776.9</v>
      </c>
      <c r="AD16" s="1602">
        <v>0</v>
      </c>
      <c r="AE16" s="1602">
        <v>1092.1400000000001</v>
      </c>
      <c r="AF16" s="1602">
        <f t="shared" si="23"/>
        <v>0.92366059988151372</v>
      </c>
      <c r="AG16" s="1602">
        <v>1241.52</v>
      </c>
      <c r="AH16" s="1602">
        <v>0</v>
      </c>
      <c r="AI16" s="1602">
        <f>'цех стоки'!AC47</f>
        <v>1119.2106875700802</v>
      </c>
      <c r="AJ16" s="1602">
        <f t="shared" si="24"/>
        <v>0.94655521734830839</v>
      </c>
      <c r="AK16" s="1602">
        <f>SUM('цех стоки'!AC47)</f>
        <v>1119.2106875700802</v>
      </c>
      <c r="AL16" s="1602">
        <f>SUM('цех стоки'!Y64)</f>
        <v>0</v>
      </c>
      <c r="AM16" s="1602">
        <f>AK16*1.05</f>
        <v>1175.1712219485842</v>
      </c>
      <c r="AN16" s="1602">
        <f>AL16*1.05</f>
        <v>0</v>
      </c>
      <c r="AO16" s="1602" t="e">
        <f>#REF!*1.05</f>
        <v>#REF!</v>
      </c>
      <c r="AP16" s="1602">
        <f>SUM('цех стоки'!AE47)</f>
        <v>347.27</v>
      </c>
      <c r="AQ16" s="1602">
        <f>SUM(AP16)</f>
        <v>347.27</v>
      </c>
      <c r="AR16" s="1602">
        <v>0</v>
      </c>
      <c r="AS16" s="1602">
        <f>SUM('цех стоки'!AF47)</f>
        <v>868.98</v>
      </c>
      <c r="AT16" s="1602">
        <f>SUM(AS16)</f>
        <v>868.98</v>
      </c>
      <c r="AU16" s="1602">
        <v>0</v>
      </c>
      <c r="AV16" s="1602">
        <v>1183.76</v>
      </c>
      <c r="AW16" s="1605">
        <f>SUM(AV16/AI16)</f>
        <v>1.0576739600030651</v>
      </c>
      <c r="AX16" s="1602">
        <f>SUM(AV16)</f>
        <v>1183.76</v>
      </c>
      <c r="AY16" s="1602">
        <v>0</v>
      </c>
      <c r="AZ16" s="1602">
        <f>SUM('цех стоки'!AH47)</f>
        <v>905.83734813770843</v>
      </c>
      <c r="BA16" s="1596">
        <f t="shared" si="30"/>
        <v>0.80935373312452286</v>
      </c>
      <c r="BB16" s="1602">
        <f>SUM(AZ16)</f>
        <v>905.83734813770843</v>
      </c>
      <c r="BC16" s="1602">
        <v>0</v>
      </c>
      <c r="BD16" s="1602">
        <f t="shared" si="31"/>
        <v>861.66</v>
      </c>
      <c r="BE16" s="1602">
        <v>861.66</v>
      </c>
      <c r="BF16" s="1602">
        <v>0</v>
      </c>
      <c r="BG16" s="1602">
        <f t="shared" ref="BG16" si="62">BH16+BI16</f>
        <v>241.21</v>
      </c>
      <c r="BH16" s="1602">
        <v>241.21</v>
      </c>
      <c r="BI16" s="1602">
        <v>0</v>
      </c>
      <c r="BJ16" s="1602">
        <f t="shared" ref="BJ16" si="63">BK16+BL16</f>
        <v>333.34</v>
      </c>
      <c r="BK16" s="1602">
        <v>333.34</v>
      </c>
      <c r="BL16" s="1602">
        <v>0</v>
      </c>
      <c r="BM16" s="1602">
        <f t="shared" ref="BM16" si="64">BN16+BO16</f>
        <v>115.84</v>
      </c>
      <c r="BN16" s="1602">
        <v>115.84</v>
      </c>
      <c r="BO16" s="1602">
        <v>0</v>
      </c>
      <c r="BP16" s="1602">
        <f t="shared" ref="BP16" si="65">BQ16+BR16</f>
        <v>554.26</v>
      </c>
      <c r="BQ16" s="1602">
        <v>554.26</v>
      </c>
      <c r="BR16" s="1602">
        <v>0</v>
      </c>
      <c r="BS16" s="1602">
        <f t="shared" ref="BS16" si="66">BT16+BU16</f>
        <v>322.3701224435992</v>
      </c>
      <c r="BT16" s="1602">
        <f>'цех стоки'!AN47</f>
        <v>322.3701224435992</v>
      </c>
      <c r="BU16" s="1602">
        <v>0</v>
      </c>
      <c r="BV16" s="1602">
        <f t="shared" ref="BV16" si="67">BW16+BX16</f>
        <v>156.43545633915491</v>
      </c>
      <c r="BW16" s="1602">
        <f>SUM('цех стоки'!AO47)</f>
        <v>156.43545633915491</v>
      </c>
      <c r="BX16" s="1602">
        <v>0</v>
      </c>
      <c r="BY16" s="1732" t="str">
        <f>вода!CB34</f>
        <v>Приложение</v>
      </c>
      <c r="BZ16" s="394"/>
      <c r="CA16" s="394"/>
      <c r="CB16" s="394"/>
      <c r="CC16" s="394"/>
      <c r="CD16" s="394"/>
      <c r="CE16" s="394"/>
      <c r="CF16" s="394"/>
      <c r="CG16" s="394"/>
      <c r="CH16" s="394"/>
      <c r="CI16" s="394"/>
      <c r="CJ16" s="394"/>
      <c r="CK16" s="1602">
        <f t="shared" ref="CK16" si="68">CL16+CM16</f>
        <v>328.72081385573796</v>
      </c>
      <c r="CL16" s="1602">
        <f>SUM('цех стоки'!AP47)</f>
        <v>328.72081385573796</v>
      </c>
      <c r="CM16" s="1602">
        <v>0</v>
      </c>
      <c r="CN16" s="1602">
        <f t="shared" ref="CN16" si="69">CO16+CP16</f>
        <v>29.51</v>
      </c>
      <c r="CO16" s="1602">
        <f>SUM('цех стоки'!AQ47)</f>
        <v>29.51</v>
      </c>
      <c r="CP16" s="1602">
        <v>0</v>
      </c>
      <c r="CQ16" s="1602">
        <f t="shared" ref="CQ16" si="70">CR16+CS16</f>
        <v>77.795000000000002</v>
      </c>
      <c r="CR16" s="1602">
        <f>SUM('цех стоки'!AR47)</f>
        <v>77.795000000000002</v>
      </c>
      <c r="CS16" s="1602">
        <v>0</v>
      </c>
      <c r="CT16" s="1602">
        <f t="shared" ref="CT16" si="71">CU16+CV16</f>
        <v>143.33000000000001</v>
      </c>
      <c r="CU16" s="1602">
        <f>SUM('цех стоки'!AS47)</f>
        <v>143.33000000000001</v>
      </c>
      <c r="CV16" s="1602">
        <v>0</v>
      </c>
      <c r="CW16" s="2371">
        <f t="shared" ref="CW16" si="72">CX16+CY16</f>
        <v>210.21898311117363</v>
      </c>
      <c r="CX16" s="2371">
        <f>SUM('цех стоки'!AT47)</f>
        <v>210.21898311117363</v>
      </c>
      <c r="CY16" s="2371">
        <v>0</v>
      </c>
      <c r="CZ16" s="4101">
        <f t="shared" ref="CZ16" si="73">DA16+DB16</f>
        <v>218.6531321936173</v>
      </c>
      <c r="DA16" s="4101">
        <f>SUM('цех стоки'!AU47)</f>
        <v>218.6531321936173</v>
      </c>
      <c r="DB16" s="4101">
        <v>0</v>
      </c>
      <c r="DC16" s="2371">
        <f t="shared" ref="DC16" si="74">DD16+DE16</f>
        <v>51.89</v>
      </c>
      <c r="DD16" s="2371">
        <f>SUM('цех стоки'!AY47)</f>
        <v>51.89</v>
      </c>
      <c r="DE16" s="2371">
        <v>0</v>
      </c>
      <c r="DF16" s="2371">
        <f t="shared" ref="DF16" si="75">DG16+DH16</f>
        <v>284.06</v>
      </c>
      <c r="DG16" s="2371">
        <f>SUM('цех стоки'!AZ47)</f>
        <v>284.06</v>
      </c>
      <c r="DH16" s="2371">
        <v>0</v>
      </c>
      <c r="DI16" s="3487">
        <f t="shared" ref="DI16" si="76">DJ16+DK16</f>
        <v>0</v>
      </c>
      <c r="DJ16" s="3487">
        <f>SUM('цех стоки'!BH47)</f>
        <v>0</v>
      </c>
      <c r="DK16" s="3487">
        <v>0</v>
      </c>
    </row>
    <row r="17" spans="1:115" ht="21" customHeight="1" x14ac:dyDescent="0.2">
      <c r="A17" s="3616" t="s">
        <v>7</v>
      </c>
      <c r="B17" s="1728">
        <f>SUM(B18:B26)</f>
        <v>26653.700000000004</v>
      </c>
      <c r="C17" s="1729">
        <f>SUM(C18:C26)</f>
        <v>29414</v>
      </c>
      <c r="D17" s="1730">
        <f t="shared" si="0"/>
        <v>110.35616068313216</v>
      </c>
      <c r="E17" s="1606">
        <f>SUM(E18:E26)</f>
        <v>33364.957532963468</v>
      </c>
      <c r="F17" s="1606">
        <f>SUM(F18:F26)</f>
        <v>851.66176001421229</v>
      </c>
      <c r="G17" s="1606">
        <f>SUM(G18:G26)</f>
        <v>33031.655567248337</v>
      </c>
      <c r="H17" s="1731">
        <f t="shared" si="2"/>
        <v>99.001041840422417</v>
      </c>
      <c r="I17" s="1606">
        <f>I18+I19+I20+I22+I23+I24+I26</f>
        <v>35984.4516</v>
      </c>
      <c r="J17" s="1606">
        <f>SUM(J18:J26)</f>
        <v>17728.514742148349</v>
      </c>
      <c r="K17" s="1606">
        <f>SUM(K18:K26)</f>
        <v>23132.282033012896</v>
      </c>
      <c r="L17" s="1606">
        <f>SUM(L18:L26)</f>
        <v>33260.600222854184</v>
      </c>
      <c r="M17" s="1734">
        <f t="shared" si="19"/>
        <v>100.69310681427923</v>
      </c>
      <c r="N17" s="1606">
        <f>SUM(N18:N26)</f>
        <v>42496.001997885767</v>
      </c>
      <c r="O17" s="1605">
        <f t="shared" si="20"/>
        <v>118.09545542132361</v>
      </c>
      <c r="P17" s="1606" t="e">
        <f>P18+P19+P20+P22+P23+P24+P26</f>
        <v>#REF!</v>
      </c>
      <c r="Q17" s="1606" t="e">
        <f t="shared" ref="Q17:V17" si="77">Q18+Q19+Q20+Q22+Q23+Q24+Q26</f>
        <v>#REF!</v>
      </c>
      <c r="R17" s="1606" t="e">
        <f t="shared" si="77"/>
        <v>#REF!</v>
      </c>
      <c r="S17" s="1606" t="e">
        <f t="shared" si="77"/>
        <v>#REF!</v>
      </c>
      <c r="T17" s="1606" t="e">
        <f t="shared" si="77"/>
        <v>#REF!</v>
      </c>
      <c r="U17" s="1606">
        <f t="shared" si="77"/>
        <v>27749.199999999997</v>
      </c>
      <c r="V17" s="1606">
        <f t="shared" si="77"/>
        <v>0</v>
      </c>
      <c r="W17" s="1606">
        <f>W18+W19+W20+W22+W23+W24+W26+W21</f>
        <v>44820.57</v>
      </c>
      <c r="X17" s="1606"/>
      <c r="Y17" s="1606" t="e">
        <f t="shared" ref="Y17:AL17" si="78">Y18+Y19+Y20+Y22+Y23+Y24+Y26+Y21</f>
        <v>#REF!</v>
      </c>
      <c r="Z17" s="1606" t="e">
        <f t="shared" si="78"/>
        <v>#REF!</v>
      </c>
      <c r="AA17" s="1606" t="e">
        <f t="shared" si="78"/>
        <v>#REF!</v>
      </c>
      <c r="AB17" s="1606">
        <f t="shared" ref="AB17:AD17" si="79">AB18+AB19+AB20+AB22+AB23+AB24+AB26+AB21</f>
        <v>33167.799500000001</v>
      </c>
      <c r="AC17" s="1606">
        <f t="shared" si="79"/>
        <v>32881.346918186529</v>
      </c>
      <c r="AD17" s="1606">
        <f t="shared" si="79"/>
        <v>286.45258181347208</v>
      </c>
      <c r="AE17" s="1606">
        <v>38355.11</v>
      </c>
      <c r="AF17" s="1602" t="e">
        <f t="shared" si="23"/>
        <v>#REF!</v>
      </c>
      <c r="AG17" s="1606">
        <v>38068.36</v>
      </c>
      <c r="AH17" s="1606">
        <v>286.76</v>
      </c>
      <c r="AI17" s="1606">
        <f t="shared" si="78"/>
        <v>37373.673441835519</v>
      </c>
      <c r="AJ17" s="1602" t="e">
        <f t="shared" si="24"/>
        <v>#REF!</v>
      </c>
      <c r="AK17" s="1606" t="e">
        <f t="shared" si="78"/>
        <v>#REF!</v>
      </c>
      <c r="AL17" s="1606" t="e">
        <f t="shared" si="78"/>
        <v>#REF!</v>
      </c>
      <c r="AM17" s="1606" t="e">
        <f>AM18+AM19+AM20+AM21+AM22+AM23+AM24+AM26</f>
        <v>#REF!</v>
      </c>
      <c r="AN17" s="1606" t="e">
        <f>AN18+AN19+AN20+AN21+AN22+AN23+AN24+AN26</f>
        <v>#REF!</v>
      </c>
      <c r="AO17" s="1606" t="e">
        <f t="shared" si="25"/>
        <v>#REF!</v>
      </c>
      <c r="AP17" s="1606">
        <f t="shared" ref="AP17:AV17" si="80">AP18+AP19+AP20+AP22+AP23+AP24+AP26+AP21</f>
        <v>14375.140000000001</v>
      </c>
      <c r="AQ17" s="1606">
        <f t="shared" si="80"/>
        <v>14291.938781498018</v>
      </c>
      <c r="AR17" s="1606">
        <f t="shared" si="80"/>
        <v>83.201218501982225</v>
      </c>
      <c r="AS17" s="1606">
        <f t="shared" si="80"/>
        <v>21766.959999999999</v>
      </c>
      <c r="AT17" s="1606">
        <f t="shared" si="80"/>
        <v>21608.418114674678</v>
      </c>
      <c r="AU17" s="1606">
        <f t="shared" si="80"/>
        <v>158.54188532531862</v>
      </c>
      <c r="AV17" s="1606">
        <f t="shared" si="80"/>
        <v>42309.236673061234</v>
      </c>
      <c r="AW17" s="1605">
        <f t="shared" si="47"/>
        <v>1.1320598907385144</v>
      </c>
      <c r="AX17" s="1606">
        <f t="shared" ref="AX17:BB17" si="81">AX18+AX19+AX20+AX22+AX23+AX24+AX26+AX21</f>
        <v>41969.706748832701</v>
      </c>
      <c r="AY17" s="1606">
        <f t="shared" si="81"/>
        <v>339.52992422853498</v>
      </c>
      <c r="AZ17" s="1606">
        <f t="shared" si="81"/>
        <v>36922.745803928265</v>
      </c>
      <c r="BA17" s="1596">
        <f t="shared" si="30"/>
        <v>0.98793461823844986</v>
      </c>
      <c r="BB17" s="1606">
        <f t="shared" si="81"/>
        <v>36669.222631048906</v>
      </c>
      <c r="BC17" s="1606">
        <f>BC18+BC19+BC20+BC22+BC23+BC24+BC26+BC21</f>
        <v>253.52317287935239</v>
      </c>
      <c r="BD17" s="1606">
        <f>BD18+BD19+BD20+BD22+BD23+BD24+BD26+BD21</f>
        <v>40277.32</v>
      </c>
      <c r="BE17" s="1606">
        <f t="shared" ref="BE17:BF17" si="82">BE18+BE19+BE20+BE22+BE23+BE24+BE26+BE21</f>
        <v>40007.99</v>
      </c>
      <c r="BF17" s="1606">
        <f t="shared" si="82"/>
        <v>269.33</v>
      </c>
      <c r="BG17" s="1606">
        <f>BG18+BG19+BG20+BG22+BG23+BG24+BG26+BG21</f>
        <v>40387.450000000004</v>
      </c>
      <c r="BH17" s="1606">
        <f t="shared" ref="BH17:BI17" si="83">BH18+BH19+BH20+BH22+BH23+BH24+BH26+BH21</f>
        <v>40150.44</v>
      </c>
      <c r="BI17" s="1606">
        <f t="shared" si="83"/>
        <v>237.01</v>
      </c>
      <c r="BJ17" s="1606">
        <f>BJ18+BJ19+BJ20+BJ22+BJ23+BJ24+BJ26+BJ21</f>
        <v>40599.810000000005</v>
      </c>
      <c r="BK17" s="1606">
        <f t="shared" ref="BK17:BL17" si="84">BK18+BK19+BK20+BK22+BK23+BK24+BK26+BK21</f>
        <v>40320.61</v>
      </c>
      <c r="BL17" s="1606">
        <f t="shared" si="84"/>
        <v>279.20000000000005</v>
      </c>
      <c r="BM17" s="1606">
        <f>BM18+BM19+BM20+BM22+BM23+BM24+BM26+BM21</f>
        <v>40147.906000000003</v>
      </c>
      <c r="BN17" s="1606">
        <f t="shared" ref="BN17:BO17" si="85">BN18+BN19+BN20+BN22+BN23+BN24+BN26+BN21</f>
        <v>39915.353999999999</v>
      </c>
      <c r="BO17" s="1606">
        <f t="shared" si="85"/>
        <v>232.55199999999999</v>
      </c>
      <c r="BP17" s="1606">
        <f>BP18+BP19+BP20+BP22+BP23+BP24+BP26+BP21</f>
        <v>52473.119999999995</v>
      </c>
      <c r="BQ17" s="1606">
        <f t="shared" ref="BQ17:BR17" si="86">BQ18+BQ19+BQ20+BQ22+BQ23+BQ24+BQ26+BQ21</f>
        <v>52172.82</v>
      </c>
      <c r="BR17" s="1606">
        <f t="shared" si="86"/>
        <v>300.3</v>
      </c>
      <c r="BS17" s="1606">
        <f>BS18+BS19+BS20+BS22+BS23+BS24+BS26+BS21</f>
        <v>45028.887045802388</v>
      </c>
      <c r="BT17" s="1606">
        <f t="shared" ref="BT17:BU17" si="87">BT18+BT19+BT20+BT22+BT23+BT24+BT26+BT21</f>
        <v>44771.973210494754</v>
      </c>
      <c r="BU17" s="1606">
        <f t="shared" si="87"/>
        <v>256.91383530763579</v>
      </c>
      <c r="BV17" s="1606">
        <f>BV18+BV19+BV20+BV22+BV23+BV24+BV26+BV21</f>
        <v>49088.232187972622</v>
      </c>
      <c r="BW17" s="1606">
        <f t="shared" ref="BW17:BX17" si="88">BW18+BW19+BW20+BW22+BW23+BW24+BW26+BW21</f>
        <v>48803.88608496941</v>
      </c>
      <c r="BX17" s="1606">
        <f t="shared" si="88"/>
        <v>284.34610300321469</v>
      </c>
      <c r="BY17" s="1732"/>
      <c r="BZ17" s="394"/>
      <c r="CA17" s="394"/>
      <c r="CB17" s="394"/>
      <c r="CC17" s="394"/>
      <c r="CD17" s="394"/>
      <c r="CE17" s="394"/>
      <c r="CF17" s="394"/>
      <c r="CG17" s="394"/>
      <c r="CH17" s="394"/>
      <c r="CI17" s="394"/>
      <c r="CJ17" s="394"/>
      <c r="CK17" s="1606">
        <f>CK18+CK19+CK20+CK22+CK23+CK24+CK26+CK21</f>
        <v>45859.953225619021</v>
      </c>
      <c r="CL17" s="1606">
        <f t="shared" ref="CL17:CM17" si="89">CL18+CL19+CL20+CL22+CL23+CL24+CL26+CL21</f>
        <v>45598.71731595543</v>
      </c>
      <c r="CM17" s="1606">
        <f t="shared" si="89"/>
        <v>261.24136021039618</v>
      </c>
      <c r="CN17" s="1606">
        <f>CN18+CN19+CN20+CN22+CN23+CN24+CN26+CN21</f>
        <v>18811.173480000001</v>
      </c>
      <c r="CO17" s="1606">
        <f t="shared" ref="CO17:CP17" si="90">CO18+CO19+CO20+CO22+CO23+CO24+CO26+CO21</f>
        <v>18729.352149999999</v>
      </c>
      <c r="CP17" s="1606">
        <f t="shared" si="90"/>
        <v>81.821330000000003</v>
      </c>
      <c r="CQ17" s="1606">
        <f>CQ18+CQ19+CQ20+CQ22+CQ23+CQ24+CQ26+CQ21</f>
        <v>27558.93447</v>
      </c>
      <c r="CR17" s="1606">
        <f t="shared" ref="CR17:CS17" si="91">CR18+CR19+CR20+CR22+CR23+CR24+CR26+CR21</f>
        <v>27445.054669999998</v>
      </c>
      <c r="CS17" s="1606">
        <f t="shared" si="91"/>
        <v>113.8798</v>
      </c>
      <c r="CT17" s="1606">
        <f>CT18+CT19+CT20+CT22+CT23+CT24+CT26+CT21</f>
        <v>36659.453000000001</v>
      </c>
      <c r="CU17" s="1606">
        <f t="shared" ref="CU17:CV17" si="92">CU18+CU19+CU20+CU22+CU23+CU24+CU26+CU21</f>
        <v>36507.873</v>
      </c>
      <c r="CV17" s="1606">
        <f t="shared" si="92"/>
        <v>151.58000000000001</v>
      </c>
      <c r="CW17" s="2374">
        <f>CW18+CW19+CW20+CW22+CW23+CW24+CW26+CW21</f>
        <v>56098.752692435475</v>
      </c>
      <c r="CX17" s="2374">
        <f t="shared" ref="CX17:CY17" si="93">CX18+CX19+CX20+CX22+CX23+CX24+CX26+CX21</f>
        <v>55845.464238774679</v>
      </c>
      <c r="CY17" s="2374">
        <f t="shared" si="93"/>
        <v>253.28845366079537</v>
      </c>
      <c r="CZ17" s="4103">
        <f>CZ18+CZ19+CZ20+CZ22+CZ23+CZ24+CZ26+CZ21</f>
        <v>48482.075677108252</v>
      </c>
      <c r="DA17" s="4103">
        <f t="shared" ref="DA17:DB17" si="94">DA18+DA19+DA20+DA22+DA23+DA24+DA26+DA21</f>
        <v>48267.275402371233</v>
      </c>
      <c r="DB17" s="4103">
        <f t="shared" si="94"/>
        <v>214.80027473702683</v>
      </c>
      <c r="DC17" s="2374">
        <f>DC18+DC19+DC20+DC22+DC23+DC24+DC26+DC21</f>
        <v>18857.388210000001</v>
      </c>
      <c r="DD17" s="2374">
        <f t="shared" ref="DD17:DE17" si="95">DD18+DD19+DD20+DD22+DD23+DD24+DD26+DD21</f>
        <v>18777.252</v>
      </c>
      <c r="DE17" s="2374">
        <f t="shared" si="95"/>
        <v>80.136210000000005</v>
      </c>
      <c r="DF17" s="2374">
        <f>DF18+DF19+DF20+DF22+DF23+DF24+DF26+DF21</f>
        <v>28770.839019999996</v>
      </c>
      <c r="DG17" s="2374">
        <f t="shared" ref="DG17:DH17" si="96">DG18+DG19+DG20+DG22+DG23+DG24+DG26+DG21</f>
        <v>28651.579019999997</v>
      </c>
      <c r="DH17" s="2374">
        <f t="shared" si="96"/>
        <v>119.26</v>
      </c>
      <c r="DI17" s="3489">
        <f>DI18+DI19+DI20+DI22+DI23+DI24+DI26+DI21</f>
        <v>4291.03</v>
      </c>
      <c r="DJ17" s="3489">
        <f t="shared" ref="DJ17:DK17" si="97">DJ18+DJ19+DJ20+DJ22+DJ23+DJ24+DJ26+DJ21</f>
        <v>4267.28</v>
      </c>
      <c r="DK17" s="3489">
        <f t="shared" si="97"/>
        <v>23.75</v>
      </c>
    </row>
    <row r="18" spans="1:115" ht="21" customHeight="1" x14ac:dyDescent="0.2">
      <c r="A18" s="3494" t="s">
        <v>1</v>
      </c>
      <c r="B18" s="3599">
        <v>4310.6000000000004</v>
      </c>
      <c r="C18" s="3468">
        <v>4957.8</v>
      </c>
      <c r="D18" s="1731">
        <f t="shared" si="0"/>
        <v>115.0141511622512</v>
      </c>
      <c r="E18" s="3468">
        <v>6244.2</v>
      </c>
      <c r="F18" s="1731">
        <f t="shared" si="18"/>
        <v>125.94699261769333</v>
      </c>
      <c r="G18" s="3468">
        <v>7235</v>
      </c>
      <c r="H18" s="1731">
        <f t="shared" si="2"/>
        <v>115.8675250632587</v>
      </c>
      <c r="I18" s="1602">
        <v>7455.3</v>
      </c>
      <c r="J18" s="1602">
        <v>4034.7</v>
      </c>
      <c r="K18" s="1602">
        <v>4952.3</v>
      </c>
      <c r="L18" s="1602">
        <v>6865.9</v>
      </c>
      <c r="M18" s="1605">
        <f t="shared" si="19"/>
        <v>94.898410504492048</v>
      </c>
      <c r="N18" s="1602">
        <v>9016</v>
      </c>
      <c r="O18" s="1605">
        <f t="shared" si="20"/>
        <v>120.9341005727469</v>
      </c>
      <c r="P18" s="1602">
        <f>электр!AC15</f>
        <v>8582.7999999999993</v>
      </c>
      <c r="Q18" s="1605">
        <f t="shared" si="21"/>
        <v>115.12346920982388</v>
      </c>
      <c r="R18" s="1605">
        <f t="shared" si="22"/>
        <v>125.00619001150612</v>
      </c>
      <c r="S18" s="1602" t="e">
        <f>P18/P65*S65</f>
        <v>#REF!</v>
      </c>
      <c r="T18" s="1602" t="e">
        <f>P18-S18</f>
        <v>#REF!</v>
      </c>
      <c r="U18" s="1602">
        <v>6066.2</v>
      </c>
      <c r="V18" s="1602"/>
      <c r="W18" s="1602">
        <v>9664.9</v>
      </c>
      <c r="X18" s="1602"/>
      <c r="Y18" s="1602">
        <f>электр!Q54</f>
        <v>6188.2733022666562</v>
      </c>
      <c r="Z18" s="1602" t="e">
        <f>($Z$65/$Y$65)*Y18</f>
        <v>#REF!</v>
      </c>
      <c r="AA18" s="1602" t="e">
        <f>Y18-Z18</f>
        <v>#REF!</v>
      </c>
      <c r="AB18" s="1602">
        <f>SUM(электр!AG54)</f>
        <v>7103.9</v>
      </c>
      <c r="AC18" s="1602">
        <f>SUM(AC65/AB65)*AB18</f>
        <v>7042.1838214141881</v>
      </c>
      <c r="AD18" s="1602">
        <f>AB18-AC18</f>
        <v>61.716178585811576</v>
      </c>
      <c r="AE18" s="1602">
        <v>6559.57</v>
      </c>
      <c r="AF18" s="1602">
        <f t="shared" si="23"/>
        <v>1.0600000484137222</v>
      </c>
      <c r="AG18" s="1602">
        <v>6508.9</v>
      </c>
      <c r="AH18" s="1602">
        <v>50.67</v>
      </c>
      <c r="AI18" s="1602">
        <f>электр!AN54</f>
        <v>5760.2649333677646</v>
      </c>
      <c r="AJ18" s="1602">
        <f t="shared" si="24"/>
        <v>0.93083557432052655</v>
      </c>
      <c r="AK18" s="1602" t="e">
        <f>AI18-AL18</f>
        <v>#REF!</v>
      </c>
      <c r="AL18" s="1602" t="e">
        <f>AA18*1.074</f>
        <v>#REF!</v>
      </c>
      <c r="AM18" s="1606" t="e">
        <f>#REF!*Z18/Y18</f>
        <v>#REF!</v>
      </c>
      <c r="AN18" s="1606" t="e">
        <f>#REF!-AM18</f>
        <v>#REF!</v>
      </c>
      <c r="AO18" s="1606" t="e">
        <f t="shared" si="25"/>
        <v>#REF!</v>
      </c>
      <c r="AP18" s="1602">
        <f>SUM(электр!AT54)</f>
        <v>3477.1</v>
      </c>
      <c r="AQ18" s="1602">
        <f>SUM(AQ65/AP65)*AP18</f>
        <v>3456.975051174928</v>
      </c>
      <c r="AR18" s="1602">
        <f>AP18-AQ18</f>
        <v>20.124948825071897</v>
      </c>
      <c r="AS18" s="1602">
        <f>SUM(электр!AW54)</f>
        <v>5259.9</v>
      </c>
      <c r="AT18" s="1602">
        <f>SUM(AT65/AS65)*AS18</f>
        <v>5221.5889789560579</v>
      </c>
      <c r="AU18" s="1602">
        <f>AS18-AT18</f>
        <v>38.311021043941764</v>
      </c>
      <c r="AV18" s="1602">
        <v>5986.43</v>
      </c>
      <c r="AW18" s="1605">
        <f t="shared" si="47"/>
        <v>1.0392629625977996</v>
      </c>
      <c r="AX18" s="1602">
        <f>SUM(AX65/AV65)*AV18</f>
        <v>5938.1662395623389</v>
      </c>
      <c r="AY18" s="1602">
        <f>AV18-AX18</f>
        <v>48.263760437661404</v>
      </c>
      <c r="AZ18" s="1602">
        <f>SUM(электр!BD54)</f>
        <v>5992.9087872277805</v>
      </c>
      <c r="BA18" s="1596">
        <f t="shared" si="30"/>
        <v>1.0403877003143325</v>
      </c>
      <c r="BB18" s="1602">
        <f>SUM(BB65/AZ65)*AZ18</f>
        <v>5960.1581937278479</v>
      </c>
      <c r="BC18" s="1602">
        <f>AZ18-BB18</f>
        <v>32.75059349993262</v>
      </c>
      <c r="BD18" s="1602">
        <f>BE18+BF18</f>
        <v>9297.1999999999989</v>
      </c>
      <c r="BE18" s="1602">
        <v>9234.49</v>
      </c>
      <c r="BF18" s="1602">
        <v>62.71</v>
      </c>
      <c r="BG18" s="1602">
        <f>BH18+BI18</f>
        <v>10318.94</v>
      </c>
      <c r="BH18" s="1602">
        <v>10256.91</v>
      </c>
      <c r="BI18" s="1602">
        <v>62.03</v>
      </c>
      <c r="BJ18" s="1602">
        <f>BK18+BL18</f>
        <v>6297.0499999999993</v>
      </c>
      <c r="BK18" s="1602">
        <v>6260.36</v>
      </c>
      <c r="BL18" s="1602">
        <v>36.69</v>
      </c>
      <c r="BM18" s="1602">
        <f>BN18+BO18</f>
        <v>9749.31</v>
      </c>
      <c r="BN18" s="1602">
        <v>9692.84</v>
      </c>
      <c r="BO18" s="1602">
        <v>56.47</v>
      </c>
      <c r="BP18" s="1602">
        <f>BQ18+BR18</f>
        <v>10053.02</v>
      </c>
      <c r="BQ18" s="1602">
        <v>9994.4500000000007</v>
      </c>
      <c r="BR18" s="1602">
        <v>58.57</v>
      </c>
      <c r="BS18" s="1602">
        <f>BT18+BU18</f>
        <v>7212.7397251141701</v>
      </c>
      <c r="BT18" s="1602">
        <f>'ЭЭ стоки'!S36</f>
        <v>7170.5460447304722</v>
      </c>
      <c r="BU18" s="1602">
        <f>'ЭЭ стоки'!S37</f>
        <v>42.193680383698222</v>
      </c>
      <c r="BV18" s="1602">
        <f>BW18+BX18</f>
        <v>7515.6747935689664</v>
      </c>
      <c r="BW18" s="1602">
        <f>SUM('ЭЭ стоки'!Y36)</f>
        <v>7471.7089786091528</v>
      </c>
      <c r="BX18" s="1602">
        <f>SUM('ЭЭ стоки'!Y37)</f>
        <v>43.965814959813549</v>
      </c>
      <c r="BY18" s="1732" t="str">
        <f>BY9</f>
        <v xml:space="preserve">Приложение </v>
      </c>
      <c r="BZ18" s="394">
        <f>объемы!AJ62</f>
        <v>3272.75</v>
      </c>
      <c r="CA18" s="394">
        <v>23</v>
      </c>
      <c r="CB18" s="394"/>
      <c r="CC18" s="394"/>
      <c r="CD18" s="394"/>
      <c r="CE18" s="394"/>
      <c r="CF18" s="394"/>
      <c r="CG18" s="394"/>
      <c r="CH18" s="394"/>
      <c r="CI18" s="394"/>
      <c r="CJ18" s="394"/>
      <c r="CK18" s="1602">
        <f>CL18+CM18</f>
        <v>7240.8682700854706</v>
      </c>
      <c r="CL18" s="1602">
        <f>SUM('ЭЭ стоки'!AD36)</f>
        <v>7198.5100410168889</v>
      </c>
      <c r="CM18" s="1602">
        <f>SUM('ЭЭ стоки'!AD37)</f>
        <v>42.358229068582141</v>
      </c>
      <c r="CN18" s="1602">
        <f>CO18+CP18</f>
        <v>4254.5924899999991</v>
      </c>
      <c r="CO18" s="1602">
        <f>SUM('ЭЭ стоки'!AE36)+6.82</f>
        <v>4245.1911599999994</v>
      </c>
      <c r="CP18" s="1602">
        <f>SUM('ЭЭ стоки'!AE37)-6.79</f>
        <v>9.4013300000000015</v>
      </c>
      <c r="CQ18" s="1602">
        <f>CR18+CS18</f>
        <v>6468.5554099999999</v>
      </c>
      <c r="CR18" s="1602">
        <f>SUM('ЭЭ стоки'!AF36)+6.82</f>
        <v>6450.2956100000001</v>
      </c>
      <c r="CS18" s="1602">
        <f>SUM('ЭЭ стоки'!AF37)-6.79</f>
        <v>18.259800000000002</v>
      </c>
      <c r="CT18" s="1602">
        <f>CU18+CV18</f>
        <v>8708.83</v>
      </c>
      <c r="CU18" s="1602">
        <f>SUM('ЭЭ стоки'!AG36)+6.8</f>
        <v>8687.58</v>
      </c>
      <c r="CV18" s="1602">
        <f>SUM('ЭЭ стоки'!AG37)-6.79</f>
        <v>21.25</v>
      </c>
      <c r="CW18" s="2371">
        <f>CX18+CY18</f>
        <v>8819.0808303004287</v>
      </c>
      <c r="CX18" s="2371">
        <f>SUM('ЭЭ стоки'!AH36)</f>
        <v>8767.4902430876336</v>
      </c>
      <c r="CY18" s="2371">
        <f>SUM('ЭЭ стоки'!AH37)</f>
        <v>51.590587212795349</v>
      </c>
      <c r="CZ18" s="4101">
        <f>DA18+DB18</f>
        <v>6399.1301055214917</v>
      </c>
      <c r="DA18" s="4101">
        <f>SUM('ЭЭ стоки'!AI36)</f>
        <v>6346.9931384673146</v>
      </c>
      <c r="DB18" s="4101">
        <f>SUM('ЭЭ стоки'!AI37+'ЭЭ стоки'!AI22)</f>
        <v>52.136967054177305</v>
      </c>
      <c r="DC18" s="2371">
        <f>DD18+DE18</f>
        <v>4165.1480200000005</v>
      </c>
      <c r="DD18" s="2371">
        <f>SUM('ЭЭ стоки'!AJ36)</f>
        <v>4150.8618100000003</v>
      </c>
      <c r="DE18" s="2371">
        <f>SUM('ЭЭ стоки'!AJ37)</f>
        <v>14.286210000000001</v>
      </c>
      <c r="DF18" s="2371">
        <f>DG18+DH18</f>
        <v>6328.2339999999995</v>
      </c>
      <c r="DG18" s="2371">
        <f>SUM('ЭЭ стоки'!AK36)</f>
        <v>6305.8639999999996</v>
      </c>
      <c r="DH18" s="2371">
        <f>SUM('ЭЭ стоки'!AK37)</f>
        <v>22.37</v>
      </c>
      <c r="DI18" s="3487">
        <f>DJ18+DK18</f>
        <v>9.9999999999997868E-3</v>
      </c>
      <c r="DJ18" s="3487">
        <f>SUM('ЭЭ стоки'!AV36)+6.8</f>
        <v>6.8</v>
      </c>
      <c r="DK18" s="3487">
        <f>SUM('ЭЭ стоки'!AV37)-6.79</f>
        <v>-6.79</v>
      </c>
    </row>
    <row r="19" spans="1:115" ht="21" customHeight="1" x14ac:dyDescent="0.2">
      <c r="A19" s="3494" t="s">
        <v>8</v>
      </c>
      <c r="B19" s="3599">
        <v>559</v>
      </c>
      <c r="C19" s="3468">
        <v>481.5</v>
      </c>
      <c r="D19" s="1731">
        <f t="shared" si="0"/>
        <v>86.135957066189633</v>
      </c>
      <c r="E19" s="3468">
        <v>479.1</v>
      </c>
      <c r="F19" s="1731">
        <f t="shared" si="18"/>
        <v>99.501557632398757</v>
      </c>
      <c r="G19" s="3468">
        <v>467.5</v>
      </c>
      <c r="H19" s="1731">
        <f t="shared" si="2"/>
        <v>97.578793571279476</v>
      </c>
      <c r="I19" s="1602">
        <v>537.5</v>
      </c>
      <c r="J19" s="1602">
        <v>238.7</v>
      </c>
      <c r="K19" s="1602">
        <v>240.2</v>
      </c>
      <c r="L19" s="1602">
        <v>320.7</v>
      </c>
      <c r="M19" s="1605">
        <f t="shared" si="19"/>
        <v>68.598930481283418</v>
      </c>
      <c r="N19" s="1602">
        <v>591.25</v>
      </c>
      <c r="O19" s="1605">
        <f t="shared" si="20"/>
        <v>110.00000000000001</v>
      </c>
      <c r="P19" s="1602" t="e">
        <f>ХР!AK22</f>
        <v>#REF!</v>
      </c>
      <c r="Q19" s="1605" t="e">
        <f t="shared" si="21"/>
        <v>#REF!</v>
      </c>
      <c r="R19" s="1605" t="e">
        <f t="shared" si="22"/>
        <v>#REF!</v>
      </c>
      <c r="S19" s="1602" t="e">
        <f>P19/P65*S65</f>
        <v>#REF!</v>
      </c>
      <c r="T19" s="1602" t="e">
        <f t="shared" ref="T19:T24" si="98">P19-S19</f>
        <v>#REF!</v>
      </c>
      <c r="U19" s="1602">
        <v>221.6</v>
      </c>
      <c r="V19" s="1602"/>
      <c r="W19" s="1602">
        <v>598.5</v>
      </c>
      <c r="X19" s="1602"/>
      <c r="Y19" s="1602">
        <f>ХР!O45</f>
        <v>489.28469176470583</v>
      </c>
      <c r="Z19" s="1602" t="e">
        <f>($Z$65/$Y$65)*Y19</f>
        <v>#REF!</v>
      </c>
      <c r="AA19" s="1602" t="e">
        <f>Y19-Z19</f>
        <v>#REF!</v>
      </c>
      <c r="AB19" s="1602">
        <f>SUM(ХР!AF45)</f>
        <v>368.69950000000006</v>
      </c>
      <c r="AC19" s="1602">
        <f>SUM(AC65/AB65)*AB19</f>
        <v>365.49636873597615</v>
      </c>
      <c r="AD19" s="1602">
        <f>AB19-AC19</f>
        <v>3.2031312640239094</v>
      </c>
      <c r="AE19" s="1602">
        <v>473.71</v>
      </c>
      <c r="AF19" s="1602">
        <f t="shared" si="23"/>
        <v>0.96816844665928026</v>
      </c>
      <c r="AG19" s="1602">
        <v>469.69</v>
      </c>
      <c r="AH19" s="1602">
        <v>4.01</v>
      </c>
      <c r="AI19" s="1602">
        <f>ХР!AP45</f>
        <v>406.01364163361512</v>
      </c>
      <c r="AJ19" s="1602">
        <f t="shared" si="24"/>
        <v>0.82981063676699851</v>
      </c>
      <c r="AK19" s="1602" t="e">
        <f>AI19-AL19</f>
        <v>#REF!</v>
      </c>
      <c r="AL19" s="1602" t="e">
        <f>AA19*1.076</f>
        <v>#REF!</v>
      </c>
      <c r="AM19" s="1606" t="e">
        <f>#REF!*Z19/Y19</f>
        <v>#REF!</v>
      </c>
      <c r="AN19" s="1606" t="e">
        <f>#REF!-AM19</f>
        <v>#REF!</v>
      </c>
      <c r="AO19" s="1606" t="e">
        <f t="shared" si="25"/>
        <v>#REF!</v>
      </c>
      <c r="AP19" s="1602">
        <f>SUM(ХР!AT45)</f>
        <v>0</v>
      </c>
      <c r="AQ19" s="1602">
        <f>SUM(AQ65/AP65)*AP19</f>
        <v>0</v>
      </c>
      <c r="AR19" s="1602">
        <f>AP19-AQ19</f>
        <v>0</v>
      </c>
      <c r="AS19" s="1602">
        <f>SUM(ХР!AX45)</f>
        <v>0</v>
      </c>
      <c r="AT19" s="1602">
        <f>SUM(AT65/AS65)*AS19</f>
        <v>0</v>
      </c>
      <c r="AU19" s="1602">
        <f>AS19-AT19</f>
        <v>0</v>
      </c>
      <c r="AV19" s="1602">
        <v>347.67</v>
      </c>
      <c r="AW19" s="1605">
        <f t="shared" ref="AW19" si="99">SUM(AV19/AI19)</f>
        <v>0.8563012774672627</v>
      </c>
      <c r="AX19" s="1602">
        <f>SUM(AX65/AV65)*AV19</f>
        <v>344.86701698819468</v>
      </c>
      <c r="AY19" s="1602">
        <f>AV19-AX19</f>
        <v>2.8029830118053383</v>
      </c>
      <c r="AZ19" s="1602">
        <f>SUM(ХР!BH45)</f>
        <v>229.75931518119856</v>
      </c>
      <c r="BA19" s="1596">
        <f t="shared" si="30"/>
        <v>0.56589062933144574</v>
      </c>
      <c r="BB19" s="1602">
        <f>AZ19-BC19</f>
        <v>176.75931518119856</v>
      </c>
      <c r="BC19" s="1602">
        <v>53</v>
      </c>
      <c r="BD19" s="1602">
        <f t="shared" ref="BD19:BD23" si="100">BE19+BF19</f>
        <v>652.05999999999995</v>
      </c>
      <c r="BE19" s="1602">
        <v>647.66</v>
      </c>
      <c r="BF19" s="1602">
        <v>4.4000000000000004</v>
      </c>
      <c r="BG19" s="1602">
        <f t="shared" ref="BG19:BG23" si="101">BH19+BI19</f>
        <v>806.69</v>
      </c>
      <c r="BH19" s="1602">
        <v>801.84</v>
      </c>
      <c r="BI19" s="1602">
        <v>4.8499999999999996</v>
      </c>
      <c r="BJ19" s="1602">
        <f t="shared" ref="BJ19:BJ23" si="102">BK19+BL19</f>
        <v>326.33999999999997</v>
      </c>
      <c r="BK19" s="1602">
        <v>324.02</v>
      </c>
      <c r="BL19" s="1602">
        <v>2.3199999999999998</v>
      </c>
      <c r="BM19" s="1602">
        <f t="shared" ref="BM19:BM23" si="103">BN19+BO19</f>
        <v>400.76</v>
      </c>
      <c r="BN19" s="1602">
        <v>398.44</v>
      </c>
      <c r="BO19" s="1602">
        <v>2.3199999999999998</v>
      </c>
      <c r="BP19" s="1602">
        <f t="shared" ref="BP19:BP23" si="104">BQ19+BR19</f>
        <v>876.38</v>
      </c>
      <c r="BQ19" s="1602">
        <v>871.27</v>
      </c>
      <c r="BR19" s="1602">
        <v>5.1100000000000003</v>
      </c>
      <c r="BS19" s="1602">
        <f t="shared" ref="BS19:BS21" si="105">BT19+BU19</f>
        <v>1110.5582713405854</v>
      </c>
      <c r="BT19" s="1602">
        <f>'хим реагенты'!I67</f>
        <v>1110.5582713405854</v>
      </c>
      <c r="BU19" s="1602">
        <v>0</v>
      </c>
      <c r="BV19" s="1602">
        <f>SUM('хим реагенты'!J67)</f>
        <v>1200.5099789137807</v>
      </c>
      <c r="BW19" s="1602">
        <f>BV19/BV65*BW65</f>
        <v>1193.4871365157173</v>
      </c>
      <c r="BX19" s="1602">
        <f>BV19/BV65*BX65</f>
        <v>7.0228423980634549</v>
      </c>
      <c r="BY19" s="3600" t="str">
        <f>вода!CB19</f>
        <v>Приложение</v>
      </c>
      <c r="BZ19" s="394">
        <f>BZ18/(BZ18+CA18)</f>
        <v>0.99302131533034965</v>
      </c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1602">
        <f>SUM(CL19:CM19)</f>
        <v>1200.5099789137807</v>
      </c>
      <c r="CL19" s="1602">
        <f>SUM('хим реагенты'!J67)</f>
        <v>1200.5099789137807</v>
      </c>
      <c r="CM19" s="1602">
        <v>0</v>
      </c>
      <c r="CN19" s="1602">
        <f>CO19+CP19</f>
        <v>293.62099000000001</v>
      </c>
      <c r="CO19" s="1602">
        <f>SUM('хим реагенты'!M67)</f>
        <v>293.62099000000001</v>
      </c>
      <c r="CP19" s="1602">
        <v>0</v>
      </c>
      <c r="CQ19" s="1602">
        <f>CR19+CS19</f>
        <v>489.59906000000007</v>
      </c>
      <c r="CR19" s="1602">
        <f>SUM('хим реагенты'!N67)</f>
        <v>489.59906000000007</v>
      </c>
      <c r="CS19" s="1602">
        <v>0</v>
      </c>
      <c r="CT19" s="1602">
        <f>CU19+CV19</f>
        <v>719.07300000000009</v>
      </c>
      <c r="CU19" s="1602">
        <f>SUM('хим реагенты'!O67)</f>
        <v>719.07300000000009</v>
      </c>
      <c r="CV19" s="1602">
        <v>0</v>
      </c>
      <c r="CW19" s="2371">
        <f>CX19+CY19</f>
        <v>1153.7005431992195</v>
      </c>
      <c r="CX19" s="2371">
        <f>SUM('хим реагенты'!P67)</f>
        <v>1153.7005431992195</v>
      </c>
      <c r="CY19" s="2371">
        <v>0</v>
      </c>
      <c r="CZ19" s="4101">
        <f>DA19+DB19</f>
        <v>1163.7272205416152</v>
      </c>
      <c r="DA19" s="4101">
        <f>SUM('хим реагенты'!Q67)</f>
        <v>1163.7272205416152</v>
      </c>
      <c r="DB19" s="4101">
        <v>0</v>
      </c>
      <c r="DC19" s="2371">
        <f>DD19+DE19</f>
        <v>821.90519000000006</v>
      </c>
      <c r="DD19" s="2371">
        <f>SUM('хим реагенты'!R67)-2.715</f>
        <v>821.90519000000006</v>
      </c>
      <c r="DE19" s="2371">
        <v>0</v>
      </c>
      <c r="DF19" s="2371">
        <f>DG19+DH19</f>
        <v>1732.74702</v>
      </c>
      <c r="DG19" s="2371">
        <f>SUM('хим реагенты'!S67)+0.27</f>
        <v>1732.74702</v>
      </c>
      <c r="DH19" s="2371">
        <v>0</v>
      </c>
      <c r="DI19" s="3487">
        <f>DJ19+DK19</f>
        <v>0</v>
      </c>
      <c r="DJ19" s="3487">
        <f>SUM('хим реагенты'!AD67)</f>
        <v>0</v>
      </c>
      <c r="DK19" s="3487">
        <v>0</v>
      </c>
    </row>
    <row r="20" spans="1:115" ht="21" customHeight="1" x14ac:dyDescent="0.2">
      <c r="A20" s="3494" t="s">
        <v>2</v>
      </c>
      <c r="B20" s="3599">
        <v>1528</v>
      </c>
      <c r="C20" s="3468">
        <v>1086.5999999999999</v>
      </c>
      <c r="D20" s="1731">
        <f t="shared" si="0"/>
        <v>71.112565445026178</v>
      </c>
      <c r="E20" s="3468">
        <v>1110.8</v>
      </c>
      <c r="F20" s="1731">
        <f t="shared" si="18"/>
        <v>102.2271304988036</v>
      </c>
      <c r="G20" s="3468">
        <v>1206.3</v>
      </c>
      <c r="H20" s="1731">
        <f t="shared" si="2"/>
        <v>108.59740727403673</v>
      </c>
      <c r="I20" s="1602">
        <v>1250</v>
      </c>
      <c r="J20" s="1602">
        <v>602.20000000000005</v>
      </c>
      <c r="K20" s="1602">
        <v>752.7</v>
      </c>
      <c r="L20" s="1602">
        <v>994.7</v>
      </c>
      <c r="M20" s="1605">
        <f t="shared" si="19"/>
        <v>82.458758186189186</v>
      </c>
      <c r="N20" s="1602">
        <v>1346.6</v>
      </c>
      <c r="O20" s="1605">
        <f t="shared" si="20"/>
        <v>107.72800000000001</v>
      </c>
      <c r="P20" s="1602">
        <v>1281</v>
      </c>
      <c r="Q20" s="1605">
        <f t="shared" si="21"/>
        <v>102.47999999999999</v>
      </c>
      <c r="R20" s="1605">
        <f t="shared" si="22"/>
        <v>128.78254750175932</v>
      </c>
      <c r="S20" s="1602" t="e">
        <f>P20/P65*S65</f>
        <v>#REF!</v>
      </c>
      <c r="T20" s="1602" t="e">
        <f t="shared" si="98"/>
        <v>#REF!</v>
      </c>
      <c r="U20" s="1602">
        <v>720.7</v>
      </c>
      <c r="V20" s="1602"/>
      <c r="W20" s="1602">
        <v>1281</v>
      </c>
      <c r="X20" s="1602"/>
      <c r="Y20" s="1602" t="e">
        <f>Аморт!G15</f>
        <v>#REF!</v>
      </c>
      <c r="Z20" s="1602" t="e">
        <f>($Z$65/$Y$65)*Y20</f>
        <v>#REF!</v>
      </c>
      <c r="AA20" s="1602" t="e">
        <f>Y20-Z20</f>
        <v>#REF!</v>
      </c>
      <c r="AB20" s="1602">
        <f>SUM(Аморт!L15)</f>
        <v>833.9</v>
      </c>
      <c r="AC20" s="1602">
        <f>SUM(AC65/AB65)*AB20</f>
        <v>826.65537080720333</v>
      </c>
      <c r="AD20" s="1602">
        <f>AB20-AC20</f>
        <v>7.2446291927966513</v>
      </c>
      <c r="AE20" s="1602">
        <v>960.9</v>
      </c>
      <c r="AF20" s="1602" t="e">
        <f t="shared" si="23"/>
        <v>#REF!</v>
      </c>
      <c r="AG20" s="1602">
        <v>960.9</v>
      </c>
      <c r="AH20" s="1602">
        <v>0</v>
      </c>
      <c r="AI20" s="1602">
        <f>Аморт!O15</f>
        <v>960.9</v>
      </c>
      <c r="AJ20" s="1602" t="e">
        <f t="shared" si="24"/>
        <v>#REF!</v>
      </c>
      <c r="AK20" s="1602">
        <f>AI20</f>
        <v>960.9</v>
      </c>
      <c r="AL20" s="1602"/>
      <c r="AM20" s="1606" t="e">
        <f>#REF!*Z20/Y20</f>
        <v>#REF!</v>
      </c>
      <c r="AN20" s="1606" t="e">
        <f>#REF!-AM20</f>
        <v>#REF!</v>
      </c>
      <c r="AO20" s="1606" t="e">
        <f t="shared" si="25"/>
        <v>#REF!</v>
      </c>
      <c r="AP20" s="1602">
        <f>SUM(Аморт!Q15)</f>
        <v>407.8</v>
      </c>
      <c r="AQ20" s="1602">
        <f>SUM(AQ65/AP65)*AP20</f>
        <v>405.4397129415708</v>
      </c>
      <c r="AR20" s="1602">
        <f>AP20-AQ20</f>
        <v>2.3602870584292077</v>
      </c>
      <c r="AS20" s="1602">
        <f>SUM(Аморт!R15)</f>
        <v>588.73</v>
      </c>
      <c r="AT20" s="1602">
        <f>SUM(AT65/AS65)*AS20</f>
        <v>584.44192467172388</v>
      </c>
      <c r="AU20" s="1602">
        <f>AS20-AT20</f>
        <v>4.2880753282761361</v>
      </c>
      <c r="AV20" s="1602">
        <f>SUM(Аморт!T15)</f>
        <v>960.9</v>
      </c>
      <c r="AW20" s="1605">
        <f t="shared" si="47"/>
        <v>1</v>
      </c>
      <c r="AX20" s="1602">
        <f>SUM(AX65/AV65)*AV20</f>
        <v>953.15303771955087</v>
      </c>
      <c r="AY20" s="1602">
        <f>AV20-AX20</f>
        <v>7.7469622804491109</v>
      </c>
      <c r="AZ20" s="1602">
        <f>SUM(Аморт!U15)</f>
        <v>960.9</v>
      </c>
      <c r="BA20" s="1596">
        <f t="shared" si="30"/>
        <v>1</v>
      </c>
      <c r="BB20" s="1602">
        <f>SUM(BB65/AZ65)*AZ20</f>
        <v>955.64878620526395</v>
      </c>
      <c r="BC20" s="1602">
        <f>AZ20-BB20</f>
        <v>5.2512137947360316</v>
      </c>
      <c r="BD20" s="1602">
        <f t="shared" si="100"/>
        <v>588.47</v>
      </c>
      <c r="BE20" s="1602">
        <v>584.5</v>
      </c>
      <c r="BF20" s="1602">
        <v>3.97</v>
      </c>
      <c r="BG20" s="1602">
        <f t="shared" si="101"/>
        <v>513.41</v>
      </c>
      <c r="BH20" s="1602">
        <v>510.32</v>
      </c>
      <c r="BI20" s="1602">
        <v>3.09</v>
      </c>
      <c r="BJ20" s="1602">
        <f t="shared" si="102"/>
        <v>588.47</v>
      </c>
      <c r="BK20" s="1602">
        <v>583.35</v>
      </c>
      <c r="BL20" s="1602">
        <v>5.12</v>
      </c>
      <c r="BM20" s="1602">
        <f t="shared" si="103"/>
        <v>453.95</v>
      </c>
      <c r="BN20" s="1602">
        <v>451.32</v>
      </c>
      <c r="BO20" s="1602">
        <v>2.63</v>
      </c>
      <c r="BP20" s="1602">
        <f t="shared" si="104"/>
        <v>513.41</v>
      </c>
      <c r="BQ20" s="1602">
        <v>510.42</v>
      </c>
      <c r="BR20" s="1602">
        <v>2.99</v>
      </c>
      <c r="BS20" s="1602">
        <f>Аморт!AM15</f>
        <v>513.41</v>
      </c>
      <c r="BT20" s="1602">
        <f>BS20/BS65*BT65</f>
        <v>510.40661179088897</v>
      </c>
      <c r="BU20" s="1602">
        <f>BS20/BS65*BU65</f>
        <v>3.0033882091110118</v>
      </c>
      <c r="BV20" s="1602">
        <f>SUM(Аморт!AS15)</f>
        <v>513.41</v>
      </c>
      <c r="BW20" s="1602">
        <f>BV20/BV65*BW65</f>
        <v>510.40661179088897</v>
      </c>
      <c r="BX20" s="1602">
        <f>BV20/BV65*BX65</f>
        <v>3.0033882091110118</v>
      </c>
      <c r="BY20" s="1732" t="str">
        <f>BY10</f>
        <v>Приложение</v>
      </c>
      <c r="BZ20" s="394"/>
      <c r="CA20" s="394"/>
      <c r="CB20" s="394"/>
      <c r="CC20" s="394"/>
      <c r="CD20" s="394"/>
      <c r="CE20" s="394"/>
      <c r="CF20" s="394"/>
      <c r="CG20" s="394"/>
      <c r="CH20" s="394"/>
      <c r="CI20" s="394"/>
      <c r="CJ20" s="394"/>
      <c r="CK20" s="1602">
        <f>SUM(Аморт!AT15)</f>
        <v>513.41</v>
      </c>
      <c r="CL20" s="1602">
        <f>CK20/CK100*CL100+0.19</f>
        <v>510.41119798472181</v>
      </c>
      <c r="CM20" s="1602">
        <f>CK20/CK100*CM100-0.19</f>
        <v>2.9988020152781827</v>
      </c>
      <c r="CN20" s="1602">
        <f t="shared" ref="CN20:CN23" si="106">CO20+CP20</f>
        <v>253</v>
      </c>
      <c r="CO20" s="1602">
        <f>SUM(Аморт!AV15)</f>
        <v>253</v>
      </c>
      <c r="CP20" s="1602">
        <f>SUM(Аморт!AW15)</f>
        <v>0</v>
      </c>
      <c r="CQ20" s="1602">
        <f t="shared" ref="CQ20:CQ23" si="107">CR20+CS20</f>
        <v>369.04</v>
      </c>
      <c r="CR20" s="1602">
        <f>SUM(Аморт!AY15)</f>
        <v>369.04</v>
      </c>
      <c r="CS20" s="1602">
        <f>SUM(Аморт!AZ15)</f>
        <v>0</v>
      </c>
      <c r="CT20" s="1602">
        <f t="shared" ref="CT20:CT24" si="108">CU20+CV20</f>
        <v>475.83</v>
      </c>
      <c r="CU20" s="1602">
        <f>SUM(Аморт!BB15)</f>
        <v>475.83</v>
      </c>
      <c r="CV20" s="1602">
        <f>SUM(Аморт!BC15)</f>
        <v>0</v>
      </c>
      <c r="CW20" s="2371">
        <f t="shared" ref="CW20:CW24" si="109">CX20+CY20</f>
        <v>475.83</v>
      </c>
      <c r="CX20" s="2371">
        <f>SUM(Аморт!BD15)</f>
        <v>475.83</v>
      </c>
      <c r="CY20" s="2371">
        <f>SUM(Аморт!BF15)</f>
        <v>0</v>
      </c>
      <c r="CZ20" s="4101">
        <f t="shared" ref="CZ20:CZ24" si="110">DA20+DB20</f>
        <v>474.72103319785174</v>
      </c>
      <c r="DA20" s="4101">
        <f>SUM(Аморт!BE15)</f>
        <v>474.72103319785174</v>
      </c>
      <c r="DB20" s="4101">
        <v>0</v>
      </c>
      <c r="DC20" s="2371">
        <f t="shared" ref="DC20:DC24" si="111">DD20+DE20</f>
        <v>231.73</v>
      </c>
      <c r="DD20" s="2371">
        <f>SUM(Аморт!BJ15)</f>
        <v>231.73</v>
      </c>
      <c r="DE20" s="2371">
        <f>SUM(Аморт!BK15)</f>
        <v>0</v>
      </c>
      <c r="DF20" s="2371">
        <f t="shared" ref="DF20:DF24" si="112">DG20+DH20</f>
        <v>338.74</v>
      </c>
      <c r="DG20" s="2371">
        <f>SUM(Аморт!BM15)</f>
        <v>338.74</v>
      </c>
      <c r="DH20" s="2371">
        <f>SUM(Аморт!BO15)</f>
        <v>0</v>
      </c>
      <c r="DI20" s="3487">
        <f t="shared" ref="DI20:DI24" si="113">DJ20+DK20</f>
        <v>0</v>
      </c>
      <c r="DJ20" s="3487">
        <f>SUM(Аморт!BQ15)</f>
        <v>0</v>
      </c>
      <c r="DK20" s="3487">
        <f>SUM(Аморт!BR15)</f>
        <v>0</v>
      </c>
    </row>
    <row r="21" spans="1:115" ht="21" customHeight="1" x14ac:dyDescent="0.2">
      <c r="A21" s="3494" t="s">
        <v>68</v>
      </c>
      <c r="B21" s="3599">
        <v>56.9</v>
      </c>
      <c r="C21" s="3599">
        <v>110.1</v>
      </c>
      <c r="D21" s="1731">
        <f t="shared" si="0"/>
        <v>193.49736379613356</v>
      </c>
      <c r="E21" s="3599">
        <v>25.8</v>
      </c>
      <c r="F21" s="1731">
        <f t="shared" si="18"/>
        <v>23.43324250681199</v>
      </c>
      <c r="G21" s="3468"/>
      <c r="H21" s="1731">
        <f t="shared" si="2"/>
        <v>0</v>
      </c>
      <c r="I21" s="1602">
        <v>0</v>
      </c>
      <c r="J21" s="1602">
        <v>31</v>
      </c>
      <c r="K21" s="1602">
        <v>42.2</v>
      </c>
      <c r="L21" s="1602">
        <v>51.9</v>
      </c>
      <c r="M21" s="1605"/>
      <c r="N21" s="1602"/>
      <c r="O21" s="1605"/>
      <c r="P21" s="1602"/>
      <c r="Q21" s="1605"/>
      <c r="R21" s="1605"/>
      <c r="S21" s="1602"/>
      <c r="T21" s="1602">
        <f t="shared" si="98"/>
        <v>0</v>
      </c>
      <c r="U21" s="1602"/>
      <c r="V21" s="1602"/>
      <c r="W21" s="1602">
        <v>55.65</v>
      </c>
      <c r="X21" s="1602"/>
      <c r="Y21" s="1602">
        <v>0</v>
      </c>
      <c r="Z21" s="1602" t="e">
        <f>($Z$65/$Y$65)*Y21</f>
        <v>#REF!</v>
      </c>
      <c r="AA21" s="1602" t="e">
        <f>Y21-Z21</f>
        <v>#REF!</v>
      </c>
      <c r="AB21" s="1602">
        <v>0</v>
      </c>
      <c r="AC21" s="1602">
        <v>0</v>
      </c>
      <c r="AD21" s="1602">
        <v>0</v>
      </c>
      <c r="AE21" s="1602">
        <v>0</v>
      </c>
      <c r="AF21" s="1602"/>
      <c r="AG21" s="1602">
        <v>290</v>
      </c>
      <c r="AH21" s="1602">
        <v>0</v>
      </c>
      <c r="AI21" s="1602">
        <v>0</v>
      </c>
      <c r="AJ21" s="1602"/>
      <c r="AK21" s="1602">
        <v>0</v>
      </c>
      <c r="AL21" s="1602">
        <v>0</v>
      </c>
      <c r="AM21" s="1606" t="e">
        <f>#REF!</f>
        <v>#REF!</v>
      </c>
      <c r="AN21" s="1606" t="e">
        <f>#REF!-AM21</f>
        <v>#REF!</v>
      </c>
      <c r="AO21" s="1606" t="e">
        <f t="shared" si="25"/>
        <v>#REF!</v>
      </c>
      <c r="AP21" s="1602">
        <v>0</v>
      </c>
      <c r="AQ21" s="1602">
        <v>0</v>
      </c>
      <c r="AR21" s="1602">
        <v>0</v>
      </c>
      <c r="AS21" s="1602">
        <v>0</v>
      </c>
      <c r="AT21" s="1602">
        <v>0</v>
      </c>
      <c r="AU21" s="1602">
        <v>0</v>
      </c>
      <c r="AV21" s="1602">
        <v>0</v>
      </c>
      <c r="AW21" s="1605">
        <v>0</v>
      </c>
      <c r="AX21" s="1602">
        <v>0</v>
      </c>
      <c r="AY21" s="1602">
        <v>0</v>
      </c>
      <c r="AZ21" s="1602">
        <v>0</v>
      </c>
      <c r="BA21" s="1596">
        <v>0</v>
      </c>
      <c r="BB21" s="1602">
        <v>0</v>
      </c>
      <c r="BC21" s="1602">
        <v>0</v>
      </c>
      <c r="BD21" s="1602">
        <f t="shared" si="100"/>
        <v>0</v>
      </c>
      <c r="BE21" s="1602">
        <v>0</v>
      </c>
      <c r="BF21" s="1602">
        <v>0</v>
      </c>
      <c r="BG21" s="1602">
        <f t="shared" si="101"/>
        <v>0</v>
      </c>
      <c r="BH21" s="1602">
        <v>0</v>
      </c>
      <c r="BI21" s="1602">
        <v>0</v>
      </c>
      <c r="BJ21" s="1602">
        <f t="shared" si="102"/>
        <v>0</v>
      </c>
      <c r="BK21" s="1602">
        <v>0</v>
      </c>
      <c r="BL21" s="1602">
        <v>0</v>
      </c>
      <c r="BM21" s="1602">
        <f t="shared" si="103"/>
        <v>0</v>
      </c>
      <c r="BN21" s="1602">
        <v>0</v>
      </c>
      <c r="BO21" s="1602">
        <v>0</v>
      </c>
      <c r="BP21" s="1602">
        <f t="shared" si="104"/>
        <v>0</v>
      </c>
      <c r="BQ21" s="1602">
        <v>0</v>
      </c>
      <c r="BR21" s="1602">
        <v>0</v>
      </c>
      <c r="BS21" s="1602">
        <f t="shared" si="105"/>
        <v>0</v>
      </c>
      <c r="BT21" s="1602">
        <v>0</v>
      </c>
      <c r="BU21" s="1602">
        <v>0</v>
      </c>
      <c r="BV21" s="1602">
        <f t="shared" ref="BV21" si="114">BW21+BX21</f>
        <v>0</v>
      </c>
      <c r="BW21" s="1602">
        <v>0</v>
      </c>
      <c r="BX21" s="1602">
        <v>0</v>
      </c>
      <c r="BY21" s="1732" t="s">
        <v>241</v>
      </c>
      <c r="BZ21" s="394"/>
      <c r="CA21" s="394"/>
      <c r="CB21" s="394"/>
      <c r="CC21" s="394"/>
      <c r="CD21" s="394"/>
      <c r="CE21" s="394"/>
      <c r="CF21" s="394"/>
      <c r="CG21" s="394"/>
      <c r="CH21" s="394"/>
      <c r="CI21" s="394"/>
      <c r="CJ21" s="394"/>
      <c r="CK21" s="1602">
        <f t="shared" ref="CK21" si="115">CL21+CM21</f>
        <v>0</v>
      </c>
      <c r="CL21" s="1602">
        <v>0</v>
      </c>
      <c r="CM21" s="1602">
        <v>0</v>
      </c>
      <c r="CN21" s="1602">
        <f t="shared" si="106"/>
        <v>0</v>
      </c>
      <c r="CO21" s="1602">
        <v>0</v>
      </c>
      <c r="CP21" s="1602">
        <v>0</v>
      </c>
      <c r="CQ21" s="1602">
        <f t="shared" si="107"/>
        <v>0</v>
      </c>
      <c r="CR21" s="1602">
        <v>0</v>
      </c>
      <c r="CS21" s="1602">
        <v>0</v>
      </c>
      <c r="CT21" s="1602">
        <f t="shared" si="108"/>
        <v>0</v>
      </c>
      <c r="CU21" s="1602">
        <v>0</v>
      </c>
      <c r="CV21" s="1602">
        <v>0</v>
      </c>
      <c r="CW21" s="2371">
        <f t="shared" si="109"/>
        <v>0</v>
      </c>
      <c r="CX21" s="2371">
        <v>0</v>
      </c>
      <c r="CY21" s="2371">
        <v>0</v>
      </c>
      <c r="CZ21" s="4101">
        <f t="shared" si="110"/>
        <v>0</v>
      </c>
      <c r="DA21" s="4101">
        <v>0</v>
      </c>
      <c r="DB21" s="4101">
        <v>0</v>
      </c>
      <c r="DC21" s="2371">
        <f t="shared" si="111"/>
        <v>0</v>
      </c>
      <c r="DD21" s="2371">
        <v>0</v>
      </c>
      <c r="DE21" s="2371">
        <v>0</v>
      </c>
      <c r="DF21" s="2371">
        <f t="shared" si="112"/>
        <v>0</v>
      </c>
      <c r="DG21" s="2371">
        <v>0</v>
      </c>
      <c r="DH21" s="2371">
        <v>0</v>
      </c>
      <c r="DI21" s="3487">
        <f t="shared" si="113"/>
        <v>0</v>
      </c>
      <c r="DJ21" s="3487">
        <v>0</v>
      </c>
      <c r="DK21" s="3487">
        <v>0</v>
      </c>
    </row>
    <row r="22" spans="1:115" s="2803" customFormat="1" ht="30" customHeight="1" x14ac:dyDescent="0.2">
      <c r="A22" s="3494" t="s">
        <v>3</v>
      </c>
      <c r="B22" s="3599">
        <v>1425.1</v>
      </c>
      <c r="C22" s="3468">
        <v>504.9</v>
      </c>
      <c r="D22" s="1731">
        <f t="shared" si="0"/>
        <v>35.429092695249459</v>
      </c>
      <c r="E22" s="3468">
        <v>828</v>
      </c>
      <c r="F22" s="1731">
        <f t="shared" si="18"/>
        <v>163.99286987522282</v>
      </c>
      <c r="G22" s="3468">
        <v>514.29999999999995</v>
      </c>
      <c r="H22" s="1731">
        <f t="shared" si="2"/>
        <v>62.113526570048307</v>
      </c>
      <c r="I22" s="1602">
        <v>841.5</v>
      </c>
      <c r="J22" s="1602">
        <v>339.9</v>
      </c>
      <c r="K22" s="1602">
        <v>245.3</v>
      </c>
      <c r="L22" s="1602">
        <v>279.7</v>
      </c>
      <c r="M22" s="1605">
        <f t="shared" si="19"/>
        <v>54.384600427765896</v>
      </c>
      <c r="N22" s="1602">
        <v>925.65</v>
      </c>
      <c r="O22" s="1605">
        <f t="shared" si="20"/>
        <v>109.99999999999999</v>
      </c>
      <c r="P22" s="1602">
        <v>882.7</v>
      </c>
      <c r="Q22" s="1605">
        <f t="shared" si="21"/>
        <v>104.89601901366608</v>
      </c>
      <c r="R22" s="1605">
        <f t="shared" si="22"/>
        <v>315.58813013943512</v>
      </c>
      <c r="S22" s="1602" t="e">
        <f>P22/P65*S65</f>
        <v>#REF!</v>
      </c>
      <c r="T22" s="1602" t="e">
        <f t="shared" si="98"/>
        <v>#REF!</v>
      </c>
      <c r="U22" s="1602">
        <v>102.4</v>
      </c>
      <c r="V22" s="1602"/>
      <c r="W22" s="1602">
        <v>906</v>
      </c>
      <c r="X22" s="1602"/>
      <c r="Y22" s="1602">
        <f>U22/3*4*1.048+1.3</f>
        <v>144.38693333333336</v>
      </c>
      <c r="Z22" s="1602">
        <f>Y22</f>
        <v>144.38693333333336</v>
      </c>
      <c r="AA22" s="1602">
        <v>0.3</v>
      </c>
      <c r="AB22" s="1602">
        <f>SUM(AC22:AD22)</f>
        <v>195.4</v>
      </c>
      <c r="AC22" s="1602">
        <v>195.4</v>
      </c>
      <c r="AD22" s="1602">
        <v>0</v>
      </c>
      <c r="AE22" s="1602">
        <v>290</v>
      </c>
      <c r="AF22" s="1602">
        <f t="shared" si="23"/>
        <v>2.0084919965056853</v>
      </c>
      <c r="AG22" s="1602">
        <v>290</v>
      </c>
      <c r="AH22" s="1602">
        <v>0</v>
      </c>
      <c r="AI22" s="1602">
        <v>0</v>
      </c>
      <c r="AJ22" s="1602"/>
      <c r="AK22" s="1602">
        <f>AI22-AL22</f>
        <v>0</v>
      </c>
      <c r="AL22" s="1602">
        <v>0</v>
      </c>
      <c r="AM22" s="1606" t="e">
        <f>#REF!*Z22/Y22</f>
        <v>#REF!</v>
      </c>
      <c r="AN22" s="1606" t="e">
        <f>#REF!-AM22</f>
        <v>#REF!</v>
      </c>
      <c r="AO22" s="1606" t="e">
        <f t="shared" si="25"/>
        <v>#REF!</v>
      </c>
      <c r="AP22" s="1602">
        <f>SUM(AQ22:AR22)</f>
        <v>0</v>
      </c>
      <c r="AQ22" s="1602">
        <v>0</v>
      </c>
      <c r="AR22" s="1602">
        <v>0</v>
      </c>
      <c r="AS22" s="1602">
        <f>SUM(AT22:AU22)</f>
        <v>0</v>
      </c>
      <c r="AT22" s="1602">
        <v>0</v>
      </c>
      <c r="AU22" s="1602">
        <v>0</v>
      </c>
      <c r="AV22" s="1602">
        <f>SUM(AX22:AY22)</f>
        <v>195.4</v>
      </c>
      <c r="AW22" s="1605"/>
      <c r="AX22" s="1602">
        <f>SUM(AC22)</f>
        <v>195.4</v>
      </c>
      <c r="AY22" s="1602">
        <v>0</v>
      </c>
      <c r="AZ22" s="1602">
        <f>SUM(BB22:BC22)</f>
        <v>0</v>
      </c>
      <c r="BA22" s="1596">
        <v>0</v>
      </c>
      <c r="BB22" s="1602">
        <v>0</v>
      </c>
      <c r="BC22" s="1602">
        <v>0</v>
      </c>
      <c r="BD22" s="1602">
        <f t="shared" si="100"/>
        <v>347.32</v>
      </c>
      <c r="BE22" s="1602">
        <v>347.32</v>
      </c>
      <c r="BF22" s="1602">
        <v>0</v>
      </c>
      <c r="BG22" s="1602">
        <f t="shared" si="101"/>
        <v>960.04</v>
      </c>
      <c r="BH22" s="1602">
        <v>960.04</v>
      </c>
      <c r="BI22" s="1602">
        <v>0</v>
      </c>
      <c r="BJ22" s="1602">
        <f t="shared" si="102"/>
        <v>0</v>
      </c>
      <c r="BK22" s="1602">
        <v>0</v>
      </c>
      <c r="BL22" s="1602">
        <v>0</v>
      </c>
      <c r="BM22" s="1602">
        <f t="shared" si="103"/>
        <v>1298.796</v>
      </c>
      <c r="BN22" s="1602">
        <v>1291.268</v>
      </c>
      <c r="BO22" s="1602">
        <v>7.5279999999999996</v>
      </c>
      <c r="BP22" s="1602">
        <f t="shared" si="104"/>
        <v>934.15</v>
      </c>
      <c r="BQ22" s="1602">
        <v>934.15</v>
      </c>
      <c r="BR22" s="1602">
        <v>0</v>
      </c>
      <c r="BS22" s="1602">
        <v>0</v>
      </c>
      <c r="BT22" s="1602">
        <f>BS22</f>
        <v>0</v>
      </c>
      <c r="BU22" s="1602">
        <v>0</v>
      </c>
      <c r="BV22" s="1602">
        <f>SUM('рем программа'!I34:J34)</f>
        <v>481.08499999999998</v>
      </c>
      <c r="BW22" s="1602">
        <f>BV22</f>
        <v>481.08499999999998</v>
      </c>
      <c r="BX22" s="1602">
        <v>0</v>
      </c>
      <c r="BY22" s="3600"/>
      <c r="BZ22" s="394"/>
      <c r="CA22" s="394"/>
      <c r="CB22" s="394"/>
      <c r="CC22" s="394"/>
      <c r="CD22" s="394"/>
      <c r="CE22" s="394"/>
      <c r="CF22" s="394"/>
      <c r="CG22" s="394"/>
      <c r="CH22" s="394"/>
      <c r="CI22" s="394"/>
      <c r="CJ22" s="394"/>
      <c r="CK22" s="1602">
        <f>SUM('рем программа'!K34)</f>
        <v>0</v>
      </c>
      <c r="CL22" s="1602">
        <v>0</v>
      </c>
      <c r="CM22" s="1602">
        <v>0</v>
      </c>
      <c r="CN22" s="1602">
        <f t="shared" si="106"/>
        <v>165.75</v>
      </c>
      <c r="CO22" s="1602">
        <f>SUM('рем программа'!L34)</f>
        <v>165.75</v>
      </c>
      <c r="CP22" s="1602">
        <v>0</v>
      </c>
      <c r="CQ22" s="1602">
        <f t="shared" si="107"/>
        <v>305.58999999999997</v>
      </c>
      <c r="CR22" s="1602">
        <f>SUM('рем программа'!M34)</f>
        <v>305.58999999999997</v>
      </c>
      <c r="CS22" s="1602">
        <v>0</v>
      </c>
      <c r="CT22" s="1602">
        <f t="shared" si="108"/>
        <v>283.89</v>
      </c>
      <c r="CU22" s="1602">
        <f>SUM('рем программа'!N34)</f>
        <v>283.89</v>
      </c>
      <c r="CV22" s="1602">
        <v>0</v>
      </c>
      <c r="CW22" s="2371">
        <f t="shared" si="109"/>
        <v>293.97945060000001</v>
      </c>
      <c r="CX22" s="2371">
        <f>SUM('рем программа'!O34)</f>
        <v>293.97945060000001</v>
      </c>
      <c r="CY22" s="2371">
        <v>0</v>
      </c>
      <c r="CZ22" s="4101">
        <f t="shared" si="110"/>
        <v>0</v>
      </c>
      <c r="DA22" s="4101">
        <f>SUM('рем программа'!P34)</f>
        <v>0</v>
      </c>
      <c r="DB22" s="4101">
        <v>0</v>
      </c>
      <c r="DC22" s="2371">
        <f t="shared" si="111"/>
        <v>205.33</v>
      </c>
      <c r="DD22" s="2371">
        <f>SUM('рем программа'!Q34)</f>
        <v>205.33</v>
      </c>
      <c r="DE22" s="2371">
        <v>0</v>
      </c>
      <c r="DF22" s="2371">
        <f t="shared" si="112"/>
        <v>371.3</v>
      </c>
      <c r="DG22" s="2371">
        <f>SUM('рем программа'!R34)</f>
        <v>371.3</v>
      </c>
      <c r="DH22" s="2371">
        <v>0</v>
      </c>
      <c r="DI22" s="3487">
        <f t="shared" si="113"/>
        <v>0</v>
      </c>
      <c r="DJ22" s="3487">
        <f>SUM('рем программа'!AC34)</f>
        <v>0</v>
      </c>
      <c r="DK22" s="3487">
        <v>0</v>
      </c>
    </row>
    <row r="23" spans="1:115" ht="21" customHeight="1" x14ac:dyDescent="0.2">
      <c r="A23" s="3494" t="s">
        <v>4</v>
      </c>
      <c r="B23" s="3599">
        <v>10755.2</v>
      </c>
      <c r="C23" s="3468">
        <v>13034.8</v>
      </c>
      <c r="D23" s="1731">
        <f t="shared" si="0"/>
        <v>121.19532877119903</v>
      </c>
      <c r="E23" s="3468">
        <v>13879</v>
      </c>
      <c r="F23" s="1731">
        <f t="shared" si="18"/>
        <v>106.47650903734618</v>
      </c>
      <c r="G23" s="3468">
        <v>13019.43</v>
      </c>
      <c r="H23" s="1731">
        <f t="shared" si="2"/>
        <v>93.806686360688815</v>
      </c>
      <c r="I23" s="1602">
        <v>14405.8</v>
      </c>
      <c r="J23" s="1602">
        <v>6804.3</v>
      </c>
      <c r="K23" s="1602">
        <v>9271.6</v>
      </c>
      <c r="L23" s="1602">
        <v>13327.1</v>
      </c>
      <c r="M23" s="1605">
        <f t="shared" si="19"/>
        <v>102.36316029196362</v>
      </c>
      <c r="N23" s="1602">
        <v>16932.900000000001</v>
      </c>
      <c r="O23" s="1605">
        <f t="shared" si="20"/>
        <v>117.54223993113885</v>
      </c>
      <c r="P23" s="1602">
        <f>ЗП!AP16</f>
        <v>15428.825999999999</v>
      </c>
      <c r="Q23" s="1605">
        <f t="shared" si="21"/>
        <v>107.10148690110928</v>
      </c>
      <c r="R23" s="1605">
        <f t="shared" si="22"/>
        <v>115.77031762348898</v>
      </c>
      <c r="S23" s="1602" t="e">
        <f>P23/P65*S65</f>
        <v>#REF!</v>
      </c>
      <c r="T23" s="1602" t="e">
        <f t="shared" si="98"/>
        <v>#REF!</v>
      </c>
      <c r="U23" s="1602">
        <v>11392.9</v>
      </c>
      <c r="V23" s="1602"/>
      <c r="W23" s="1602">
        <v>17655.599999999999</v>
      </c>
      <c r="X23" s="1602"/>
      <c r="Y23" s="1602">
        <f>ЗП!U33</f>
        <v>15960.333312000001</v>
      </c>
      <c r="Z23" s="1602" t="e">
        <f>($Z$65/$Y$65)*Y23</f>
        <v>#REF!</v>
      </c>
      <c r="AA23" s="1602" t="e">
        <f>Y23-Z23</f>
        <v>#REF!</v>
      </c>
      <c r="AB23" s="1602">
        <v>14386.3</v>
      </c>
      <c r="AC23" s="1602">
        <f>SUM(AC65/AB65)*AB23</f>
        <v>14261.316897761924</v>
      </c>
      <c r="AD23" s="1602">
        <f>AB23-AC23</f>
        <v>124.98310223807493</v>
      </c>
      <c r="AE23" s="1602">
        <v>17655.599999999999</v>
      </c>
      <c r="AF23" s="1602">
        <f t="shared" si="23"/>
        <v>1.1062174990246216</v>
      </c>
      <c r="AG23" s="1602">
        <v>17525.77</v>
      </c>
      <c r="AH23" s="1602">
        <v>129.83000000000001</v>
      </c>
      <c r="AI23" s="1602">
        <f>ЗП!BB33</f>
        <v>17655.599999999999</v>
      </c>
      <c r="AJ23" s="1602">
        <f t="shared" si="24"/>
        <v>1.1062174990246216</v>
      </c>
      <c r="AK23" s="1602" t="e">
        <f>AI23-AL23</f>
        <v>#REF!</v>
      </c>
      <c r="AL23" s="1602" t="e">
        <f>AA23*1.067</f>
        <v>#REF!</v>
      </c>
      <c r="AM23" s="1606" t="e">
        <f>#REF!*Z23/Y23</f>
        <v>#REF!</v>
      </c>
      <c r="AN23" s="1606" t="e">
        <f>#REF!-AM23</f>
        <v>#REF!</v>
      </c>
      <c r="AO23" s="1606" t="e">
        <f t="shared" si="25"/>
        <v>#REF!</v>
      </c>
      <c r="AP23" s="1602">
        <f>SUM(ЗП!BG33)</f>
        <v>7216.8</v>
      </c>
      <c r="AQ23" s="1602">
        <f>SUM(AQ65/AP65)*AP23</f>
        <v>7175.0302117624524</v>
      </c>
      <c r="AR23" s="1602">
        <f>AP23-AQ23</f>
        <v>41.7697882375478</v>
      </c>
      <c r="AS23" s="1602">
        <f>SUM(ЗП!BK33)</f>
        <v>11302.5</v>
      </c>
      <c r="AT23" s="1602">
        <f>SUM(AT65/AS65)*AS23</f>
        <v>11220.177082197541</v>
      </c>
      <c r="AU23" s="1602">
        <f>AS23-AT23</f>
        <v>82.322917802459415</v>
      </c>
      <c r="AV23" s="1602">
        <v>19817.509999999998</v>
      </c>
      <c r="AW23" s="1605">
        <f t="shared" si="47"/>
        <v>1.1224489680328054</v>
      </c>
      <c r="AX23" s="1602">
        <f>SUM(AX65/AV65)*AV23</f>
        <v>19657.737388424994</v>
      </c>
      <c r="AY23" s="1602">
        <f>AV23-AX23</f>
        <v>159.7726115750047</v>
      </c>
      <c r="AZ23" s="1602">
        <f>SUM(ЗП!BS33)</f>
        <v>17552.1672</v>
      </c>
      <c r="BA23" s="1596">
        <f t="shared" si="30"/>
        <v>0.9941416434445729</v>
      </c>
      <c r="BB23" s="1602">
        <f>SUM(BB65/AZ65)*AZ23</f>
        <v>17456.24651883843</v>
      </c>
      <c r="BC23" s="1602">
        <f>AZ23-BB23</f>
        <v>95.920681161569519</v>
      </c>
      <c r="BD23" s="1602">
        <f t="shared" si="100"/>
        <v>16390.27</v>
      </c>
      <c r="BE23" s="1602">
        <v>16279.72</v>
      </c>
      <c r="BF23" s="1602">
        <v>110.55</v>
      </c>
      <c r="BG23" s="1602">
        <f t="shared" si="101"/>
        <v>15801.96</v>
      </c>
      <c r="BH23" s="1602">
        <v>15706.97</v>
      </c>
      <c r="BI23" s="1602">
        <v>94.99</v>
      </c>
      <c r="BJ23" s="1602">
        <f t="shared" si="102"/>
        <v>19590.350000000002</v>
      </c>
      <c r="BK23" s="1602">
        <v>19451.27</v>
      </c>
      <c r="BL23" s="1602">
        <v>139.08000000000001</v>
      </c>
      <c r="BM23" s="1602">
        <f t="shared" si="103"/>
        <v>15092.69</v>
      </c>
      <c r="BN23" s="1602">
        <v>15005.266</v>
      </c>
      <c r="BO23" s="1602">
        <v>87.424000000000007</v>
      </c>
      <c r="BP23" s="1602">
        <f t="shared" si="104"/>
        <v>20711.75</v>
      </c>
      <c r="BQ23" s="1602">
        <v>20591.07</v>
      </c>
      <c r="BR23" s="1602">
        <v>120.68</v>
      </c>
      <c r="BS23" s="1602">
        <f>ЗП!CR33</f>
        <v>20391.780024</v>
      </c>
      <c r="BT23" s="1602">
        <f>BS23/BS65*BT65</f>
        <v>20272.490505512113</v>
      </c>
      <c r="BU23" s="1602">
        <f>BS23/BS65*BU65</f>
        <v>119.28951848788896</v>
      </c>
      <c r="BV23" s="1602">
        <f>SUM(ЗП!CU33)</f>
        <v>21329.801905103996</v>
      </c>
      <c r="BW23" s="1602">
        <f>BV23/BV65*BW65</f>
        <v>21205.025068765663</v>
      </c>
      <c r="BX23" s="1602">
        <f>BV23/BV65*BX65</f>
        <v>124.77683633833182</v>
      </c>
      <c r="BY23" s="1732" t="str">
        <f>BY13</f>
        <v>Приложение</v>
      </c>
      <c r="BZ23" s="394"/>
      <c r="CA23" s="394"/>
      <c r="CB23" s="394"/>
      <c r="CC23" s="394"/>
      <c r="CD23" s="394"/>
      <c r="CE23" s="394"/>
      <c r="CF23" s="394"/>
      <c r="CG23" s="394"/>
      <c r="CH23" s="394"/>
      <c r="CI23" s="394"/>
      <c r="CJ23" s="394"/>
      <c r="CK23" s="1602">
        <f>SUM(ЗП!CX33)</f>
        <v>20793.4980904728</v>
      </c>
      <c r="CL23" s="1602">
        <f>CK23/CK100*CL100</f>
        <v>20664.349167359531</v>
      </c>
      <c r="CM23" s="1602">
        <f>CK23/CK100*CM100</f>
        <v>129.14892311326759</v>
      </c>
      <c r="CN23" s="1602">
        <f t="shared" si="106"/>
        <v>7423.39</v>
      </c>
      <c r="CO23" s="1602">
        <f>SUM(ЗП!DA33)</f>
        <v>7367.77</v>
      </c>
      <c r="CP23" s="1602">
        <f>SUM(ЗП!DA36)</f>
        <v>55.62</v>
      </c>
      <c r="CQ23" s="1602">
        <f t="shared" si="107"/>
        <v>10882.68</v>
      </c>
      <c r="CR23" s="1602">
        <f>SUM(ЗП!DD33)</f>
        <v>10809.25</v>
      </c>
      <c r="CS23" s="1602">
        <f>SUM(ЗП!DD36)</f>
        <v>73.430000000000007</v>
      </c>
      <c r="CT23" s="1602">
        <f t="shared" si="108"/>
        <v>14053.210000000001</v>
      </c>
      <c r="CU23" s="1602">
        <f>SUM(ЗП!DG33)</f>
        <v>13953.12</v>
      </c>
      <c r="CV23" s="1602">
        <f>SUM(ЗП!DG36)</f>
        <v>100.09</v>
      </c>
      <c r="CW23" s="2371">
        <f t="shared" si="109"/>
        <v>25624.644408</v>
      </c>
      <c r="CX23" s="2371">
        <f>SUM(ЗП!DJ33)</f>
        <v>25470.896541552</v>
      </c>
      <c r="CY23" s="2371">
        <f>SUM(ЗП!DJ36)</f>
        <v>153.74786644800002</v>
      </c>
      <c r="CZ23" s="4101">
        <f t="shared" si="110"/>
        <v>21493.055452687484</v>
      </c>
      <c r="DA23" s="4101">
        <f>SUM(ЗП!DM33)</f>
        <v>21368.054339534876</v>
      </c>
      <c r="DB23" s="4101">
        <f>SUM(ЗП!DM36)</f>
        <v>125.001113152608</v>
      </c>
      <c r="DC23" s="2371">
        <f t="shared" si="111"/>
        <v>7062.9699999999993</v>
      </c>
      <c r="DD23" s="2371">
        <f>SUM(ЗП!DR33)</f>
        <v>7012.4</v>
      </c>
      <c r="DE23" s="2371">
        <f>SUM(ЗП!DR36)</f>
        <v>50.57</v>
      </c>
      <c r="DF23" s="2371">
        <f t="shared" si="112"/>
        <v>10604.575000000001</v>
      </c>
      <c r="DG23" s="2371">
        <f>SUM(ЗП!DU33)</f>
        <v>10530.165000000001</v>
      </c>
      <c r="DH23" s="2371">
        <f>SUM(ЗП!DU36)</f>
        <v>74.41</v>
      </c>
      <c r="DI23" s="3487">
        <f t="shared" si="113"/>
        <v>50</v>
      </c>
      <c r="DJ23" s="3487">
        <f>SUM(ЗП!DV33)</f>
        <v>49.7</v>
      </c>
      <c r="DK23" s="3487">
        <f>SUM(ЗП!DV36)</f>
        <v>0.3</v>
      </c>
    </row>
    <row r="24" spans="1:115" ht="27.75" customHeight="1" x14ac:dyDescent="0.2">
      <c r="A24" s="3494" t="s">
        <v>114</v>
      </c>
      <c r="B24" s="3599">
        <v>2761</v>
      </c>
      <c r="C24" s="3468">
        <v>3376.4</v>
      </c>
      <c r="D24" s="1731">
        <f t="shared" si="0"/>
        <v>122.28902571532055</v>
      </c>
      <c r="E24" s="3468">
        <v>3574.3</v>
      </c>
      <c r="F24" s="1731">
        <f t="shared" si="18"/>
        <v>105.86127236109466</v>
      </c>
      <c r="G24" s="3468">
        <v>4238.7</v>
      </c>
      <c r="H24" s="1731">
        <f t="shared" si="2"/>
        <v>118.58825504294546</v>
      </c>
      <c r="I24" s="1602">
        <f>I23*30.2/100</f>
        <v>4350.5515999999998</v>
      </c>
      <c r="J24" s="1602">
        <v>2141.6</v>
      </c>
      <c r="K24" s="1602">
        <v>2782.9</v>
      </c>
      <c r="L24" s="1602">
        <v>4001.1</v>
      </c>
      <c r="M24" s="1605">
        <f t="shared" si="19"/>
        <v>94.394507750017695</v>
      </c>
      <c r="N24" s="1602">
        <v>5113.7</v>
      </c>
      <c r="O24" s="1605">
        <f t="shared" si="20"/>
        <v>117.54141704697861</v>
      </c>
      <c r="P24" s="1602">
        <f>P23*30.2/100</f>
        <v>4659.5054519999994</v>
      </c>
      <c r="Q24" s="1605">
        <f t="shared" si="21"/>
        <v>107.10148690110928</v>
      </c>
      <c r="R24" s="1605">
        <f t="shared" si="22"/>
        <v>116.45561100697309</v>
      </c>
      <c r="S24" s="1602" t="e">
        <f>P24/P65*S65</f>
        <v>#REF!</v>
      </c>
      <c r="T24" s="1602" t="e">
        <f t="shared" si="98"/>
        <v>#REF!</v>
      </c>
      <c r="U24" s="1602">
        <v>3432</v>
      </c>
      <c r="V24" s="1602"/>
      <c r="W24" s="1602">
        <v>5331.99</v>
      </c>
      <c r="X24" s="1602"/>
      <c r="Y24" s="1602">
        <f>Y23*U25</f>
        <v>4807.8947350353292</v>
      </c>
      <c r="Z24" s="1602" t="e">
        <f>($Z$65/$Y$65)*Y24</f>
        <v>#REF!</v>
      </c>
      <c r="AA24" s="1602" t="e">
        <f>Y24-Z24</f>
        <v>#REF!</v>
      </c>
      <c r="AB24" s="1602">
        <v>4362.1000000000004</v>
      </c>
      <c r="AC24" s="1602">
        <f>SUM(AC65/AB65)*AB24</f>
        <v>4324.2036131407867</v>
      </c>
      <c r="AD24" s="1602">
        <f>AB24-AC24</f>
        <v>37.896386859213635</v>
      </c>
      <c r="AE24" s="1602">
        <v>5331.99</v>
      </c>
      <c r="AF24" s="1602">
        <f t="shared" si="23"/>
        <v>1.1090072253757068</v>
      </c>
      <c r="AG24" s="1602">
        <v>5292.78</v>
      </c>
      <c r="AH24" s="1602">
        <v>39.21</v>
      </c>
      <c r="AI24" s="1602">
        <f>AI23*0.302</f>
        <v>5331.9911999999995</v>
      </c>
      <c r="AJ24" s="1602">
        <f t="shared" si="24"/>
        <v>1.1090074749651979</v>
      </c>
      <c r="AK24" s="1602" t="e">
        <f>AI24-AL24</f>
        <v>#REF!</v>
      </c>
      <c r="AL24" s="1602" t="e">
        <f>AL23*0.302</f>
        <v>#REF!</v>
      </c>
      <c r="AM24" s="1606" t="e">
        <f>#REF!*Z24/Y24</f>
        <v>#REF!</v>
      </c>
      <c r="AN24" s="1606" t="e">
        <f>#REF!-AM24</f>
        <v>#REF!</v>
      </c>
      <c r="AO24" s="1606" t="e">
        <f t="shared" si="25"/>
        <v>#REF!</v>
      </c>
      <c r="AP24" s="1602">
        <v>0</v>
      </c>
      <c r="AQ24" s="1602">
        <f>SUM(AQ65/AP65)*AP24</f>
        <v>0</v>
      </c>
      <c r="AR24" s="1602">
        <f>AP24-AQ24</f>
        <v>0</v>
      </c>
      <c r="AS24" s="1602">
        <v>0</v>
      </c>
      <c r="AT24" s="1602">
        <f>SUM(AT65/AS65)*AS24</f>
        <v>0</v>
      </c>
      <c r="AU24" s="1602">
        <f>AS24-AT24</f>
        <v>0</v>
      </c>
      <c r="AV24" s="1603">
        <f t="shared" ref="AV24" si="116">SUM(AX24+AY24)</f>
        <v>5984.8866730612381</v>
      </c>
      <c r="AW24" s="1605">
        <f t="shared" si="47"/>
        <v>1.1224487154182172</v>
      </c>
      <c r="AX24" s="1602">
        <f>SUM(AX23*AE25)</f>
        <v>5936.6353552248684</v>
      </c>
      <c r="AY24" s="1602">
        <f>SUM(AY23*AE25)</f>
        <v>48.251317836369729</v>
      </c>
      <c r="AZ24" s="1603">
        <f t="shared" ref="AZ24" si="117">SUM(BB24+BC24)</f>
        <v>5287.4191672357347</v>
      </c>
      <c r="BA24" s="1596">
        <f t="shared" si="30"/>
        <v>0.99164064022381271</v>
      </c>
      <c r="BB24" s="1602">
        <f>BB23*BB25</f>
        <v>5258.5239976347984</v>
      </c>
      <c r="BC24" s="1602">
        <f>BC23*BC25</f>
        <v>28.895169600936249</v>
      </c>
      <c r="BD24" s="1603">
        <f>BE24+BF24</f>
        <v>4948.43</v>
      </c>
      <c r="BE24" s="1602">
        <v>4915.05</v>
      </c>
      <c r="BF24" s="1602">
        <v>33.380000000000003</v>
      </c>
      <c r="BG24" s="1603">
        <f>BH24+BI24</f>
        <v>4761.4799999999996</v>
      </c>
      <c r="BH24" s="1602">
        <v>4732.8599999999997</v>
      </c>
      <c r="BI24" s="1602">
        <v>28.62</v>
      </c>
      <c r="BJ24" s="1603">
        <f>BK24+BL24</f>
        <v>5900.6100000000006</v>
      </c>
      <c r="BK24" s="1602">
        <v>5858.72</v>
      </c>
      <c r="BL24" s="1602">
        <v>41.89</v>
      </c>
      <c r="BM24" s="1603">
        <f>BN24+BO24</f>
        <v>4556.12</v>
      </c>
      <c r="BN24" s="1602">
        <v>4529.7299999999996</v>
      </c>
      <c r="BO24" s="1602">
        <v>26.39</v>
      </c>
      <c r="BP24" s="1603">
        <f>BQ24+BR24</f>
        <v>6238.38</v>
      </c>
      <c r="BQ24" s="1602">
        <v>6202.03</v>
      </c>
      <c r="BR24" s="1602">
        <v>36.35</v>
      </c>
      <c r="BS24" s="1603">
        <f>BT24+BU24</f>
        <v>6144.4910250722141</v>
      </c>
      <c r="BT24" s="1602">
        <f>BT23*BG25</f>
        <v>6108.5497047319323</v>
      </c>
      <c r="BU24" s="1602">
        <f>BU23*BI25</f>
        <v>35.941320340281948</v>
      </c>
      <c r="BV24" s="1603">
        <f>SUM(BV23*BV25)</f>
        <v>6438.9540271404503</v>
      </c>
      <c r="BW24" s="1603">
        <f t="shared" ref="BW24:BX24" si="118">SUM(BW23*BW25)</f>
        <v>6401.2869022225068</v>
      </c>
      <c r="BX24" s="1603">
        <f t="shared" si="118"/>
        <v>37.667124917943738</v>
      </c>
      <c r="BY24" s="3600" t="s">
        <v>997</v>
      </c>
      <c r="BZ24" s="394"/>
      <c r="CA24" s="394" t="s">
        <v>1534</v>
      </c>
      <c r="CB24" s="577">
        <f>BH9+BH18</f>
        <v>11143.92</v>
      </c>
      <c r="CC24" s="394"/>
      <c r="CD24" s="394"/>
      <c r="CE24" s="394"/>
      <c r="CF24" s="394"/>
      <c r="CG24" s="394"/>
      <c r="CH24" s="394"/>
      <c r="CI24" s="394"/>
      <c r="CJ24" s="394"/>
      <c r="CK24" s="1603">
        <f>SUM(CK23*CK25)</f>
        <v>6265.5374982661369</v>
      </c>
      <c r="CL24" s="1603">
        <f t="shared" ref="CL24:CM24" si="119">SUM(CL23*CL25)</f>
        <v>6226.6220922528673</v>
      </c>
      <c r="CM24" s="1603">
        <f t="shared" si="119"/>
        <v>38.915406013268303</v>
      </c>
      <c r="CN24" s="1602">
        <f t="shared" ref="CN24" si="120">CO24+CP24</f>
        <v>2246.1800000000003</v>
      </c>
      <c r="CO24" s="1602">
        <v>2229.38</v>
      </c>
      <c r="CP24" s="1602">
        <v>16.8</v>
      </c>
      <c r="CQ24" s="1602">
        <f t="shared" ref="CQ24:CQ26" si="121">CR24+CS24</f>
        <v>3288.14</v>
      </c>
      <c r="CR24" s="1602">
        <v>3265.95</v>
      </c>
      <c r="CS24" s="1602">
        <v>22.19</v>
      </c>
      <c r="CT24" s="1602">
        <f t="shared" si="108"/>
        <v>4241.0199999999995</v>
      </c>
      <c r="CU24" s="1602">
        <v>4210.78</v>
      </c>
      <c r="CV24" s="1602">
        <v>30.24</v>
      </c>
      <c r="CW24" s="2371">
        <f t="shared" si="109"/>
        <v>7737.61</v>
      </c>
      <c r="CX24" s="2371">
        <v>7689.66</v>
      </c>
      <c r="CY24" s="2371">
        <v>47.95</v>
      </c>
      <c r="CZ24" s="4101">
        <f t="shared" si="110"/>
        <v>6476.329510268828</v>
      </c>
      <c r="DA24" s="4101">
        <f>SUM(DA23*DA25)</f>
        <v>6438.6673157385867</v>
      </c>
      <c r="DB24" s="4101">
        <f>SUM(DB23*DB25)</f>
        <v>37.662194530241514</v>
      </c>
      <c r="DC24" s="2371">
        <f t="shared" si="111"/>
        <v>2127.7150000000001</v>
      </c>
      <c r="DD24" s="2371">
        <v>2112.4349999999999</v>
      </c>
      <c r="DE24" s="2371">
        <v>15.28</v>
      </c>
      <c r="DF24" s="2371">
        <f t="shared" si="112"/>
        <v>3192.6730000000002</v>
      </c>
      <c r="DG24" s="2371">
        <v>3170.1930000000002</v>
      </c>
      <c r="DH24" s="2371">
        <v>22.48</v>
      </c>
      <c r="DI24" s="3487">
        <f t="shared" si="113"/>
        <v>4241.0199999999995</v>
      </c>
      <c r="DJ24" s="3487">
        <v>4210.78</v>
      </c>
      <c r="DK24" s="3487">
        <v>30.24</v>
      </c>
    </row>
    <row r="25" spans="1:115" s="1737" customFormat="1" ht="21" customHeight="1" x14ac:dyDescent="0.2">
      <c r="A25" s="3474" t="str">
        <f>A15</f>
        <v>то же в %</v>
      </c>
      <c r="B25" s="3471"/>
      <c r="C25" s="1731"/>
      <c r="D25" s="1731"/>
      <c r="E25" s="1604">
        <f>E24/E23</f>
        <v>0.25753296346999066</v>
      </c>
      <c r="F25" s="1604">
        <f t="shared" ref="F25:W25" si="122">F24/F23</f>
        <v>0.99422185530110008</v>
      </c>
      <c r="G25" s="1604">
        <f t="shared" si="122"/>
        <v>0.32556724833575662</v>
      </c>
      <c r="H25" s="1604"/>
      <c r="I25" s="1604">
        <f t="shared" si="122"/>
        <v>0.30199999999999999</v>
      </c>
      <c r="J25" s="1604">
        <f t="shared" si="122"/>
        <v>0.31474214834736858</v>
      </c>
      <c r="K25" s="1604">
        <f t="shared" si="122"/>
        <v>0.30015315587385133</v>
      </c>
      <c r="L25" s="1604">
        <f t="shared" si="122"/>
        <v>0.30022285418433114</v>
      </c>
      <c r="M25" s="1604">
        <f t="shared" si="122"/>
        <v>0.92215312111097902</v>
      </c>
      <c r="N25" s="1604">
        <f t="shared" si="122"/>
        <v>0.3019978857726674</v>
      </c>
      <c r="O25" s="1604">
        <f t="shared" si="122"/>
        <v>0.99999299924724316</v>
      </c>
      <c r="P25" s="1604">
        <f t="shared" si="122"/>
        <v>0.30199999999999999</v>
      </c>
      <c r="Q25" s="1604">
        <f t="shared" si="122"/>
        <v>1</v>
      </c>
      <c r="R25" s="1604">
        <f t="shared" si="122"/>
        <v>1.0059194221589063</v>
      </c>
      <c r="S25" s="1604" t="e">
        <f t="shared" si="122"/>
        <v>#REF!</v>
      </c>
      <c r="T25" s="1604" t="e">
        <f t="shared" si="122"/>
        <v>#REF!</v>
      </c>
      <c r="U25" s="1604">
        <f t="shared" si="122"/>
        <v>0.30124024611819644</v>
      </c>
      <c r="V25" s="1604"/>
      <c r="W25" s="1596">
        <f t="shared" si="122"/>
        <v>0.3019999320328961</v>
      </c>
      <c r="X25" s="1596"/>
      <c r="Y25" s="1596">
        <f t="shared" ref="Y25:AL25" si="123">Y24/Y23</f>
        <v>0.30124024611819644</v>
      </c>
      <c r="Z25" s="1596" t="e">
        <f t="shared" si="123"/>
        <v>#REF!</v>
      </c>
      <c r="AA25" s="1596" t="e">
        <f t="shared" si="123"/>
        <v>#REF!</v>
      </c>
      <c r="AB25" s="1596">
        <f t="shared" ref="AB25:AD25" si="124">AB24/AB23</f>
        <v>0.30321208371853781</v>
      </c>
      <c r="AC25" s="1596">
        <f t="shared" si="124"/>
        <v>0.30321208371853781</v>
      </c>
      <c r="AD25" s="1596">
        <f t="shared" si="124"/>
        <v>0.30321208371853692</v>
      </c>
      <c r="AE25" s="1596">
        <f t="shared" si="123"/>
        <v>0.3019999320328961</v>
      </c>
      <c r="AF25" s="1735"/>
      <c r="AG25" s="1596">
        <v>0</v>
      </c>
      <c r="AH25" s="1596">
        <v>0</v>
      </c>
      <c r="AI25" s="1596">
        <f t="shared" si="123"/>
        <v>0.30199999999999999</v>
      </c>
      <c r="AJ25" s="1735"/>
      <c r="AK25" s="1596" t="e">
        <f t="shared" si="123"/>
        <v>#REF!</v>
      </c>
      <c r="AL25" s="1596" t="e">
        <f t="shared" si="123"/>
        <v>#REF!</v>
      </c>
      <c r="AM25" s="1736"/>
      <c r="AN25" s="1736" t="e">
        <f>#REF!-AM25</f>
        <v>#REF!</v>
      </c>
      <c r="AO25" s="1736" t="e">
        <f t="shared" si="25"/>
        <v>#REF!</v>
      </c>
      <c r="AP25" s="1596">
        <f>AP24/AP23</f>
        <v>0</v>
      </c>
      <c r="AQ25" s="1596">
        <f t="shared" ref="AQ25" si="125">AQ24/AQ23</f>
        <v>0</v>
      </c>
      <c r="AR25" s="1596">
        <f t="shared" ref="AR25" si="126">AR24/AR23</f>
        <v>0</v>
      </c>
      <c r="AS25" s="1596">
        <f>AS24/AS23</f>
        <v>0</v>
      </c>
      <c r="AT25" s="1596">
        <f t="shared" ref="AT25" si="127">AT24/AT23</f>
        <v>0</v>
      </c>
      <c r="AU25" s="1596">
        <f t="shared" ref="AU25" si="128">AU24/AU23</f>
        <v>0</v>
      </c>
      <c r="AV25" s="1596">
        <f>SUM(AV24/AV23)</f>
        <v>0.3019999320328961</v>
      </c>
      <c r="AW25" s="1596">
        <f t="shared" si="47"/>
        <v>0.99999977494336456</v>
      </c>
      <c r="AX25" s="1596">
        <f>SUM(AX24/AX23)</f>
        <v>0.3019999320328961</v>
      </c>
      <c r="AY25" s="1596">
        <f>SUM(AY24/AY23)</f>
        <v>0.3019999320328961</v>
      </c>
      <c r="AZ25" s="1596">
        <f>Y25</f>
        <v>0.30124024611819644</v>
      </c>
      <c r="BA25" s="1596">
        <f t="shared" si="30"/>
        <v>0.99748425866952473</v>
      </c>
      <c r="BB25" s="1596">
        <f>SUM(AZ25)</f>
        <v>0.30124024611819644</v>
      </c>
      <c r="BC25" s="1596">
        <f>SUM(AZ25)</f>
        <v>0.30124024611819644</v>
      </c>
      <c r="BD25" s="1604">
        <f t="shared" ref="BD25:BU25" si="129">BD24/BD23</f>
        <v>0.30191265915692667</v>
      </c>
      <c r="BE25" s="1604">
        <f t="shared" si="129"/>
        <v>0.30191244075450929</v>
      </c>
      <c r="BF25" s="1604">
        <f t="shared" si="129"/>
        <v>0.30194482134780648</v>
      </c>
      <c r="BG25" s="1604">
        <f t="shared" si="129"/>
        <v>0.30132211447187562</v>
      </c>
      <c r="BH25" s="1604">
        <f t="shared" si="129"/>
        <v>0.30132227921744292</v>
      </c>
      <c r="BI25" s="1604">
        <f t="shared" si="129"/>
        <v>0.30129487314454156</v>
      </c>
      <c r="BJ25" s="1604">
        <f t="shared" ref="BJ25:BL25" si="130">BJ24/BJ23</f>
        <v>0.30119982542425222</v>
      </c>
      <c r="BK25" s="1604">
        <f t="shared" si="130"/>
        <v>0.30119987023983524</v>
      </c>
      <c r="BL25" s="1604">
        <f t="shared" si="130"/>
        <v>0.30119355766465339</v>
      </c>
      <c r="BM25" s="1604">
        <f t="shared" ref="BM25:BO25" si="131">BM24/BM23</f>
        <v>0.30187594126693118</v>
      </c>
      <c r="BN25" s="1604">
        <f t="shared" si="131"/>
        <v>0.3018760213914235</v>
      </c>
      <c r="BO25" s="1604">
        <f t="shared" si="131"/>
        <v>0.30186218887262078</v>
      </c>
      <c r="BP25" s="1604">
        <f t="shared" si="129"/>
        <v>0.30120004345359519</v>
      </c>
      <c r="BQ25" s="1604">
        <f t="shared" si="129"/>
        <v>0.30119998620761329</v>
      </c>
      <c r="BR25" s="1604">
        <f t="shared" si="129"/>
        <v>0.30120981107059991</v>
      </c>
      <c r="BS25" s="1604">
        <f t="shared" si="129"/>
        <v>0.30132195511330973</v>
      </c>
      <c r="BT25" s="1604">
        <f t="shared" si="129"/>
        <v>0.30132211447187562</v>
      </c>
      <c r="BU25" s="1604">
        <f t="shared" si="129"/>
        <v>0.30129487314454156</v>
      </c>
      <c r="BV25" s="1604">
        <f>SUM(BM25)</f>
        <v>0.30187594126693118</v>
      </c>
      <c r="BW25" s="1604">
        <f>SUM(BV25)</f>
        <v>0.30187594126693118</v>
      </c>
      <c r="BX25" s="1604">
        <f>SUM(BV25)</f>
        <v>0.30187594126693118</v>
      </c>
      <c r="BY25" s="3740"/>
      <c r="BZ25" s="3741"/>
      <c r="CA25" s="3741" t="s">
        <v>1535</v>
      </c>
      <c r="CB25" s="3742">
        <f>BH10+BH20+BH35+BH32</f>
        <v>5003.2</v>
      </c>
      <c r="CC25" s="3742">
        <f>BI20</f>
        <v>3.09</v>
      </c>
      <c r="CD25" s="3741"/>
      <c r="CE25" s="3741"/>
      <c r="CF25" s="3741"/>
      <c r="CG25" s="3741"/>
      <c r="CH25" s="3741"/>
      <c r="CI25" s="3741"/>
      <c r="CJ25" s="3741"/>
      <c r="CK25" s="1604">
        <f>SUM(BS25)</f>
        <v>0.30132195511330973</v>
      </c>
      <c r="CL25" s="1604">
        <f>SUM(CK25)</f>
        <v>0.30132195511330973</v>
      </c>
      <c r="CM25" s="1604">
        <f>SUM(CK25)</f>
        <v>0.30132195511330973</v>
      </c>
      <c r="CN25" s="1604">
        <f>SUM(CN24/CN23)</f>
        <v>0.30258143516641323</v>
      </c>
      <c r="CO25" s="1604">
        <f t="shared" ref="CO25:CS25" si="132">SUM(CO24/CO23)</f>
        <v>0.30258544987153507</v>
      </c>
      <c r="CP25" s="1604">
        <f t="shared" si="132"/>
        <v>0.30204962243797195</v>
      </c>
      <c r="CQ25" s="1604">
        <f t="shared" si="132"/>
        <v>0.30214432474353742</v>
      </c>
      <c r="CR25" s="1604">
        <f t="shared" si="132"/>
        <v>0.30214399703957256</v>
      </c>
      <c r="CS25" s="1604">
        <f t="shared" si="132"/>
        <v>0.30219256434699715</v>
      </c>
      <c r="CT25" s="1604">
        <f t="shared" ref="CT25:CV25" si="133">SUM(CT24/CT23)</f>
        <v>0.30178300900648314</v>
      </c>
      <c r="CU25" s="1604">
        <f t="shared" si="133"/>
        <v>0.30178053367275559</v>
      </c>
      <c r="CV25" s="1604">
        <f t="shared" si="133"/>
        <v>0.30212808472374858</v>
      </c>
      <c r="CW25" s="3651">
        <f t="shared" ref="CW25:CY25" si="134">SUM(CW24/CW23)</f>
        <v>0.30195970241773668</v>
      </c>
      <c r="CX25" s="3651">
        <f t="shared" si="134"/>
        <v>0.30189985607516628</v>
      </c>
      <c r="CY25" s="3651">
        <f t="shared" si="134"/>
        <v>0.31187424650356016</v>
      </c>
      <c r="CZ25" s="4102">
        <f>SUM(BS25)</f>
        <v>0.30132195511330973</v>
      </c>
      <c r="DA25" s="4102">
        <f t="shared" ref="DA25:DB25" si="135">SUM(BT25)</f>
        <v>0.30132211447187562</v>
      </c>
      <c r="DB25" s="4102">
        <f t="shared" si="135"/>
        <v>0.30129487314454156</v>
      </c>
      <c r="DC25" s="3651">
        <f>SUM(DC24/DC23)</f>
        <v>0.30124933278776495</v>
      </c>
      <c r="DD25" s="3651">
        <f t="shared" ref="DD25:DK25" si="136">SUM(DD24/DD23)</f>
        <v>0.30124279847127944</v>
      </c>
      <c r="DE25" s="3651">
        <f t="shared" si="136"/>
        <v>0.30215542811943841</v>
      </c>
      <c r="DF25" s="3651">
        <f t="shared" si="136"/>
        <v>0.30106562497789868</v>
      </c>
      <c r="DG25" s="3651">
        <f t="shared" si="136"/>
        <v>0.30105824552606725</v>
      </c>
      <c r="DH25" s="3651">
        <f t="shared" si="136"/>
        <v>0.30210993146082515</v>
      </c>
      <c r="DI25" s="3733">
        <f t="shared" si="136"/>
        <v>84.820399999999992</v>
      </c>
      <c r="DJ25" s="3733">
        <f t="shared" si="136"/>
        <v>84.723943661971816</v>
      </c>
      <c r="DK25" s="3733">
        <f t="shared" si="136"/>
        <v>100.8</v>
      </c>
    </row>
    <row r="26" spans="1:115" ht="21" customHeight="1" x14ac:dyDescent="0.2">
      <c r="A26" s="3494" t="s">
        <v>6</v>
      </c>
      <c r="B26" s="3599">
        <v>5257.9</v>
      </c>
      <c r="C26" s="3468">
        <v>5861.9</v>
      </c>
      <c r="D26" s="1731">
        <f t="shared" si="0"/>
        <v>111.48747598851251</v>
      </c>
      <c r="E26" s="3468">
        <v>7223.5</v>
      </c>
      <c r="F26" s="1731">
        <f t="shared" si="18"/>
        <v>123.22796362953991</v>
      </c>
      <c r="G26" s="3468">
        <v>6350.1</v>
      </c>
      <c r="H26" s="1731">
        <f t="shared" si="2"/>
        <v>87.908908423894232</v>
      </c>
      <c r="I26" s="1602">
        <v>7143.8</v>
      </c>
      <c r="J26" s="1602">
        <v>3535.8</v>
      </c>
      <c r="K26" s="1602">
        <f>'цех стоки'!K48</f>
        <v>4844.7818798570233</v>
      </c>
      <c r="L26" s="1602">
        <v>7419.2</v>
      </c>
      <c r="M26" s="1605">
        <f t="shared" si="19"/>
        <v>116.83595533928599</v>
      </c>
      <c r="N26" s="1602">
        <v>8569.6</v>
      </c>
      <c r="O26" s="1605">
        <f t="shared" si="20"/>
        <v>119.95856546935804</v>
      </c>
      <c r="P26" s="1602">
        <f>'цех стоки'!P48</f>
        <v>7339.1</v>
      </c>
      <c r="Q26" s="1605">
        <f t="shared" si="21"/>
        <v>102.73383913323441</v>
      </c>
      <c r="R26" s="1605">
        <f t="shared" si="22"/>
        <v>98.92036877291352</v>
      </c>
      <c r="S26" s="1602">
        <v>7149.16</v>
      </c>
      <c r="T26" s="1602">
        <v>48.44</v>
      </c>
      <c r="U26" s="1602">
        <v>5813.4</v>
      </c>
      <c r="V26" s="1602"/>
      <c r="W26" s="1602">
        <v>9326.93</v>
      </c>
      <c r="X26" s="1602"/>
      <c r="Y26" s="1602">
        <f>'цех стоки'!X48</f>
        <v>7684.2126026799478</v>
      </c>
      <c r="Z26" s="1602" t="e">
        <f>($Z$65/$Y$65)*Y26</f>
        <v>#REF!</v>
      </c>
      <c r="AA26" s="1602" t="e">
        <f>Y26-Z26</f>
        <v>#REF!</v>
      </c>
      <c r="AB26" s="1602">
        <f>'цех стоки'!AA48</f>
        <v>5917.5</v>
      </c>
      <c r="AC26" s="1602">
        <f>SUM(AC65/AB65)*AB26</f>
        <v>5866.0908463264486</v>
      </c>
      <c r="AD26" s="1602">
        <f>AB26-AC26</f>
        <v>51.409153673551373</v>
      </c>
      <c r="AE26" s="1602">
        <v>7083.35</v>
      </c>
      <c r="AF26" s="1602">
        <f t="shared" si="23"/>
        <v>0.92180557283508913</v>
      </c>
      <c r="AG26" s="1602">
        <v>7020.31</v>
      </c>
      <c r="AH26" s="1602">
        <v>63.04</v>
      </c>
      <c r="AI26" s="1602">
        <f>'цех стоки'!AC48</f>
        <v>7258.9036668341378</v>
      </c>
      <c r="AJ26" s="1602">
        <f t="shared" si="24"/>
        <v>0.94465159179777514</v>
      </c>
      <c r="AK26" s="1602">
        <f>SUM('цех стоки'!X74)</f>
        <v>7258.9036668341378</v>
      </c>
      <c r="AL26" s="1602">
        <f>SUM('цех стоки'!Y74)</f>
        <v>0</v>
      </c>
      <c r="AM26" s="1606" t="e">
        <f>#REF!*Z26/Y26</f>
        <v>#REF!</v>
      </c>
      <c r="AN26" s="1606" t="e">
        <f>#REF!-AM26</f>
        <v>#REF!</v>
      </c>
      <c r="AO26" s="1606" t="e">
        <f t="shared" si="25"/>
        <v>#REF!</v>
      </c>
      <c r="AP26" s="1602">
        <f>SUM('цех стоки'!AE48)</f>
        <v>3273.44</v>
      </c>
      <c r="AQ26" s="1602">
        <f>SUM(AQ65/AP65)*AP26</f>
        <v>3254.4938056190667</v>
      </c>
      <c r="AR26" s="1602">
        <f>AP26-AQ26</f>
        <v>18.946194380933321</v>
      </c>
      <c r="AS26" s="1602">
        <f>SUM('цех стоки'!AF48)</f>
        <v>4615.83</v>
      </c>
      <c r="AT26" s="1602">
        <f>SUM(AT65/AS65)*AS26</f>
        <v>4582.2101288493586</v>
      </c>
      <c r="AU26" s="1602">
        <f>AS26-AT26</f>
        <v>33.619871150641302</v>
      </c>
      <c r="AV26" s="1602">
        <v>9016.44</v>
      </c>
      <c r="AW26" s="1605">
        <f t="shared" ref="AW26" si="137">SUM(AV26/AI26)</f>
        <v>1.2421214571555799</v>
      </c>
      <c r="AX26" s="1602">
        <f>SUM(AX65/AV65)*AV26</f>
        <v>8943.7477109127558</v>
      </c>
      <c r="AY26" s="1602">
        <f>AV26-AX26</f>
        <v>72.692289087244717</v>
      </c>
      <c r="AZ26" s="1602">
        <f>SUM('цех стоки'!AH48)</f>
        <v>6899.5913342835493</v>
      </c>
      <c r="BA26" s="1596">
        <f t="shared" si="30"/>
        <v>0.95050046824670187</v>
      </c>
      <c r="BB26" s="1602">
        <f>SUM(BB65/AZ65)*AZ26</f>
        <v>6861.8858194613713</v>
      </c>
      <c r="BC26" s="1602">
        <f>AZ26-BB26</f>
        <v>37.705514822177975</v>
      </c>
      <c r="BD26" s="1603">
        <f>BE26+BF26</f>
        <v>8053.57</v>
      </c>
      <c r="BE26" s="1602">
        <v>7999.25</v>
      </c>
      <c r="BF26" s="1602">
        <v>54.32</v>
      </c>
      <c r="BG26" s="1603">
        <f>BH26+BI26</f>
        <v>7224.93</v>
      </c>
      <c r="BH26" s="1602">
        <v>7181.5</v>
      </c>
      <c r="BI26" s="1602">
        <v>43.43</v>
      </c>
      <c r="BJ26" s="1603">
        <f>BK26+BL26</f>
        <v>7896.9900000000007</v>
      </c>
      <c r="BK26" s="1602">
        <v>7842.89</v>
      </c>
      <c r="BL26" s="1602">
        <v>54.1</v>
      </c>
      <c r="BM26" s="1603">
        <f>BN26+BO26</f>
        <v>8596.2800000000007</v>
      </c>
      <c r="BN26" s="1602">
        <v>8546.49</v>
      </c>
      <c r="BO26" s="1602">
        <v>49.79</v>
      </c>
      <c r="BP26" s="1603">
        <f>BQ26+BR26</f>
        <v>13146.03</v>
      </c>
      <c r="BQ26" s="1602">
        <v>13069.43</v>
      </c>
      <c r="BR26" s="1602">
        <v>76.599999999999994</v>
      </c>
      <c r="BS26" s="1603">
        <f>'цех стоки'!AN48</f>
        <v>9655.9080002754163</v>
      </c>
      <c r="BT26" s="1602">
        <f>BS26/BS65*BT65</f>
        <v>9599.4220723887611</v>
      </c>
      <c r="BU26" s="1602">
        <f>BS26/BS65*BU65</f>
        <v>56.485927886655645</v>
      </c>
      <c r="BV26" s="1603">
        <f>SUM('цех стоки'!AO48)</f>
        <v>11608.796483245431</v>
      </c>
      <c r="BW26" s="1602">
        <f>BV26/BV65*BW65</f>
        <v>11540.88638706548</v>
      </c>
      <c r="BX26" s="1602">
        <f>BV26/BV65*BX65</f>
        <v>67.910096179951125</v>
      </c>
      <c r="BY26" s="1732" t="str">
        <f>BY16</f>
        <v>Приложение</v>
      </c>
      <c r="BZ26" s="394"/>
      <c r="CA26" s="394"/>
      <c r="CB26" s="394"/>
      <c r="CC26" s="394"/>
      <c r="CD26" s="394"/>
      <c r="CE26" s="394"/>
      <c r="CF26" s="394"/>
      <c r="CG26" s="394"/>
      <c r="CH26" s="394"/>
      <c r="CI26" s="394"/>
      <c r="CJ26" s="394"/>
      <c r="CK26" s="1603">
        <f>SUM('цех стоки'!AP48)</f>
        <v>9846.1293878808374</v>
      </c>
      <c r="CL26" s="1602">
        <f>CK26/CK100*CL100+13.34</f>
        <v>9798.3148384276446</v>
      </c>
      <c r="CM26" s="1602">
        <v>47.82</v>
      </c>
      <c r="CN26" s="1602">
        <f t="shared" ref="CN26" si="138">CO26+CP26</f>
        <v>4174.6400000000003</v>
      </c>
      <c r="CO26" s="1602">
        <f>SUM('цех стоки'!AQ48)</f>
        <v>4174.6400000000003</v>
      </c>
      <c r="CP26" s="1602">
        <v>0</v>
      </c>
      <c r="CQ26" s="1602">
        <f t="shared" si="121"/>
        <v>5755.33</v>
      </c>
      <c r="CR26" s="1602">
        <f>SUM('цех стоки'!AR48)</f>
        <v>5755.33</v>
      </c>
      <c r="CS26" s="1602">
        <v>0</v>
      </c>
      <c r="CT26" s="1602">
        <f t="shared" ref="CT26" si="139">CU26+CV26</f>
        <v>8177.6</v>
      </c>
      <c r="CU26" s="1602">
        <f>SUM('цех стоки'!AS48)</f>
        <v>8177.6</v>
      </c>
      <c r="CV26" s="1602">
        <v>0</v>
      </c>
      <c r="CW26" s="2371">
        <f t="shared" ref="CW26" si="140">CX26+CY26</f>
        <v>11993.907460335822</v>
      </c>
      <c r="CX26" s="2371">
        <f>SUM('цех стоки'!AT48)</f>
        <v>11993.907460335822</v>
      </c>
      <c r="CY26" s="2371">
        <v>0</v>
      </c>
      <c r="CZ26" s="4101">
        <f t="shared" ref="CZ26" si="141">DA26+DB26</f>
        <v>12475.112354890985</v>
      </c>
      <c r="DA26" s="4101">
        <f>SUM('цех стоки'!AU48)</f>
        <v>12475.112354890985</v>
      </c>
      <c r="DB26" s="4101">
        <v>0</v>
      </c>
      <c r="DC26" s="2371">
        <f t="shared" ref="DC26" si="142">DD26+DE26</f>
        <v>4242.59</v>
      </c>
      <c r="DD26" s="2371">
        <f>SUM('цех стоки'!AY48)</f>
        <v>4242.59</v>
      </c>
      <c r="DE26" s="2371">
        <v>0</v>
      </c>
      <c r="DF26" s="2371">
        <f t="shared" ref="DF26" si="143">DG26+DH26</f>
        <v>6202.57</v>
      </c>
      <c r="DG26" s="2371">
        <f>SUM('цех стоки'!AZ48)</f>
        <v>6202.57</v>
      </c>
      <c r="DH26" s="2371">
        <v>0</v>
      </c>
      <c r="DI26" s="3487">
        <f t="shared" ref="DI26" si="144">DJ26+DK26</f>
        <v>0</v>
      </c>
      <c r="DJ26" s="3487">
        <f>SUM('цех стоки'!BH48)</f>
        <v>0</v>
      </c>
      <c r="DK26" s="3487">
        <v>0</v>
      </c>
    </row>
    <row r="27" spans="1:115" ht="20.25" customHeight="1" x14ac:dyDescent="0.2">
      <c r="A27" s="3616" t="s">
        <v>531</v>
      </c>
      <c r="B27" s="1728">
        <f>SUM(B28:B33)</f>
        <v>2395.8000000000002</v>
      </c>
      <c r="C27" s="1729">
        <f>SUM(C28:C33)</f>
        <v>2601</v>
      </c>
      <c r="D27" s="1730">
        <f t="shared" si="0"/>
        <v>108.56498873027797</v>
      </c>
      <c r="E27" s="1606">
        <f>SUM(E28:E33)-E31</f>
        <v>2392.9000000000005</v>
      </c>
      <c r="F27" s="1606">
        <f>SUM(F28:F33)</f>
        <v>339.98834519956017</v>
      </c>
      <c r="G27" s="1606">
        <f>SUM(G28:G33)-G31</f>
        <v>3044</v>
      </c>
      <c r="H27" s="1731"/>
      <c r="I27" s="1606">
        <f>SUM(I28:I33)-I31</f>
        <v>3337.4</v>
      </c>
      <c r="J27" s="1606">
        <f>SUM(J28:J33)</f>
        <v>1546.7365654205605</v>
      </c>
      <c r="K27" s="1606">
        <f>SUM(K28:K33)-K31</f>
        <v>2079.5081315642897</v>
      </c>
      <c r="L27" s="1606">
        <f>SUM(L28:L33)-L31</f>
        <v>3384.9</v>
      </c>
      <c r="M27" s="1734">
        <f t="shared" si="19"/>
        <v>111.19908015768725</v>
      </c>
      <c r="N27" s="1606">
        <f>SUM(N28:N33)</f>
        <v>4176.4219929086685</v>
      </c>
      <c r="O27" s="1605">
        <f t="shared" si="20"/>
        <v>125.13998900067922</v>
      </c>
      <c r="P27" s="1606">
        <f>SUM(P28:P33)-P31</f>
        <v>3618.2853557039994</v>
      </c>
      <c r="Q27" s="1606">
        <f>SUM(Q28:Q33)</f>
        <v>535.52937492418869</v>
      </c>
      <c r="R27" s="1606">
        <f>SUM(R28:R33)</f>
        <v>498.49512913534039</v>
      </c>
      <c r="S27" s="1606">
        <f>SUM(S28:S33)-S31</f>
        <v>3539.4</v>
      </c>
      <c r="T27" s="1606">
        <f>SUM(T28:T33)</f>
        <v>0</v>
      </c>
      <c r="U27" s="1606">
        <f>SUM(U28:U33)-U31</f>
        <v>2712</v>
      </c>
      <c r="V27" s="1606">
        <f>SUM(V28:V33)-V31</f>
        <v>0</v>
      </c>
      <c r="W27" s="1606">
        <f>SUM(W28:W33)-W31</f>
        <v>4744.9500000000007</v>
      </c>
      <c r="X27" s="1606"/>
      <c r="Y27" s="1606" t="e">
        <f>SUM(Y28:Y33)-Y31</f>
        <v>#REF!</v>
      </c>
      <c r="Z27" s="1606" t="e">
        <f>SUM(Z28:Z33)-Z31</f>
        <v>#REF!</v>
      </c>
      <c r="AA27" s="1606">
        <f>SUM(AA28:AA33)</f>
        <v>0</v>
      </c>
      <c r="AB27" s="1606">
        <f>SUM(AB28:AB33)-AB31</f>
        <v>2449.9</v>
      </c>
      <c r="AC27" s="1606">
        <f>SUM(AC28:AC33)-AC31</f>
        <v>2444.1835279903339</v>
      </c>
      <c r="AD27" s="1606">
        <f>SUM(AD28:AD33)</f>
        <v>5.716472009665722</v>
      </c>
      <c r="AE27" s="1606">
        <v>3908.46</v>
      </c>
      <c r="AF27" s="1602" t="e">
        <f t="shared" si="23"/>
        <v>#REF!</v>
      </c>
      <c r="AG27" s="1606">
        <v>3908.46</v>
      </c>
      <c r="AH27" s="1606">
        <v>0</v>
      </c>
      <c r="AI27" s="1606">
        <f>SUM(AI28:AI33)</f>
        <v>4015.8612375136295</v>
      </c>
      <c r="AJ27" s="1602" t="e">
        <f t="shared" si="24"/>
        <v>#REF!</v>
      </c>
      <c r="AK27" s="1606">
        <f>SUM(AK28:AK33)-AK31</f>
        <v>4015.5592361464714</v>
      </c>
      <c r="AL27" s="1606">
        <f>SUM(AL28:AL33)</f>
        <v>0</v>
      </c>
      <c r="AM27" s="1606" t="e">
        <f>#REF!</f>
        <v>#REF!</v>
      </c>
      <c r="AN27" s="1606">
        <v>0</v>
      </c>
      <c r="AO27" s="1606" t="e">
        <f t="shared" si="25"/>
        <v>#REF!</v>
      </c>
      <c r="AP27" s="1606">
        <f>SUM(AP28:AP33)-AP31</f>
        <v>1054.58</v>
      </c>
      <c r="AQ27" s="1606">
        <f>SUM(AQ28:AQ33)-AQ31</f>
        <v>1052.5220704597962</v>
      </c>
      <c r="AR27" s="1606"/>
      <c r="AS27" s="1606">
        <f>SUM(AS28:AS33)-AS31</f>
        <v>1686.55</v>
      </c>
      <c r="AT27" s="1606">
        <f>SUM(AT28:AT33)-AT31</f>
        <v>1682.5473690555928</v>
      </c>
      <c r="AU27" s="1606"/>
      <c r="AV27" s="1606">
        <f>SUM(AV28:AV33)-AV31</f>
        <v>5342.0712213395909</v>
      </c>
      <c r="AW27" s="1605">
        <f t="shared" si="47"/>
        <v>1.3302429803692788</v>
      </c>
      <c r="AX27" s="1606">
        <f>SUM(AX28:AX33)-AX31</f>
        <v>5333.9881461884252</v>
      </c>
      <c r="AY27" s="1606">
        <f>SUM(AY28:AY33)</f>
        <v>8.0830751511660992</v>
      </c>
      <c r="AZ27" s="1606">
        <f>SUM(AZ28:AZ33)-AZ31</f>
        <v>3068.8808562007616</v>
      </c>
      <c r="BA27" s="1596">
        <f t="shared" si="30"/>
        <v>0.76418996441740128</v>
      </c>
      <c r="BB27" s="1606">
        <f>SUM(BB28:BB33)-BB31</f>
        <v>3064.6881686210413</v>
      </c>
      <c r="BC27" s="1606">
        <f>SUM(BC28:BC33)</f>
        <v>4.1926875797199727</v>
      </c>
      <c r="BD27" s="1606">
        <f>SUM(BD28:BD33)-BD31</f>
        <v>2886.7500000000005</v>
      </c>
      <c r="BE27" s="1606">
        <f t="shared" ref="BE27:BF27" si="145">SUM(BE28:BE33)-BE31</f>
        <v>2881.03</v>
      </c>
      <c r="BF27" s="1606">
        <f t="shared" si="145"/>
        <v>5.72</v>
      </c>
      <c r="BG27" s="1606">
        <f>SUM(BG28:BG33)-BG31</f>
        <v>2964.45</v>
      </c>
      <c r="BH27" s="1606">
        <f t="shared" ref="BH27" si="146">SUM(BH28:BH33)-BH31</f>
        <v>2958.8299999999995</v>
      </c>
      <c r="BI27" s="1606">
        <f t="shared" ref="BI27" si="147">SUM(BI28:BI33)-BI31</f>
        <v>5.62</v>
      </c>
      <c r="BJ27" s="1606">
        <f>SUM(BJ28:BJ33)-BJ31</f>
        <v>3632.9360000000006</v>
      </c>
      <c r="BK27" s="1606">
        <f t="shared" ref="BK27" si="148">SUM(BK28:BK33)-BK31</f>
        <v>3632.9360000000006</v>
      </c>
      <c r="BL27" s="1606">
        <f t="shared" ref="BL27" si="149">SUM(BL28:BL33)-BL31</f>
        <v>0</v>
      </c>
      <c r="BM27" s="1606">
        <f>SUM(BM28:BM33)-BM31</f>
        <v>3611.2299999999996</v>
      </c>
      <c r="BN27" s="1606">
        <f t="shared" ref="BN27" si="150">SUM(BN28:BN33)-BN31</f>
        <v>3611.2299999999996</v>
      </c>
      <c r="BO27" s="1606">
        <f t="shared" ref="BO27" si="151">SUM(BO28:BO33)-BO31</f>
        <v>0</v>
      </c>
      <c r="BP27" s="1606">
        <f>SUM(BP28:BP33)-BP31</f>
        <v>4714.82</v>
      </c>
      <c r="BQ27" s="1606">
        <f t="shared" ref="BQ27" si="152">SUM(BQ28:BQ33)-BQ31</f>
        <v>4704.5899999999992</v>
      </c>
      <c r="BR27" s="1606">
        <f t="shared" ref="BR27" si="153">SUM(BR28:BR33)-BR31</f>
        <v>10.23</v>
      </c>
      <c r="BS27" s="1606">
        <f>SUM(BS28:BS33)-BS31</f>
        <v>4511.7311866989621</v>
      </c>
      <c r="BT27" s="1606">
        <f t="shared" ref="BT27" si="154">SUM(BT28:BT33)-BT31</f>
        <v>4511.7311866989621</v>
      </c>
      <c r="BU27" s="1606">
        <f t="shared" ref="BU27" si="155">SUM(BU28:BU33)-BU31</f>
        <v>0</v>
      </c>
      <c r="BV27" s="1606">
        <f>SUM(BV28:BV33)-BV31</f>
        <v>5130.8793990234899</v>
      </c>
      <c r="BW27" s="1606">
        <f t="shared" ref="BW27" si="156">SUM(BW28:BW33)-BW31</f>
        <v>5130.8793990234899</v>
      </c>
      <c r="BX27" s="1606">
        <f t="shared" ref="BX27" si="157">SUM(BX28:BX33)-BX31</f>
        <v>0</v>
      </c>
      <c r="BY27" s="1732"/>
      <c r="BZ27" s="394"/>
      <c r="CA27" s="394"/>
      <c r="CB27" s="394"/>
      <c r="CC27" s="394"/>
      <c r="CD27" s="394"/>
      <c r="CE27" s="394"/>
      <c r="CF27" s="394"/>
      <c r="CG27" s="394"/>
      <c r="CH27" s="394"/>
      <c r="CI27" s="394"/>
      <c r="CJ27" s="394"/>
      <c r="CK27" s="1606">
        <f>SUM(CK28:CK33)-CK31</f>
        <v>4625.9620530769307</v>
      </c>
      <c r="CL27" s="1606">
        <f t="shared" ref="CL27" si="158">SUM(CL28:CL33)-CL31</f>
        <v>4625.9620530769307</v>
      </c>
      <c r="CM27" s="1606">
        <f t="shared" ref="CM27" si="159">SUM(CM28:CM33)-CM31</f>
        <v>0</v>
      </c>
      <c r="CN27" s="1606">
        <f>SUM(CN28:CN33)-CN31</f>
        <v>2263.2049999999999</v>
      </c>
      <c r="CO27" s="1606">
        <f t="shared" ref="CO27" si="160">SUM(CO28:CO33)-CO31</f>
        <v>2263.2049999999999</v>
      </c>
      <c r="CP27" s="1606">
        <f t="shared" ref="CP27" si="161">SUM(CP28:CP33)-CP31</f>
        <v>0</v>
      </c>
      <c r="CQ27" s="1606">
        <f>SUM(CQ28:CQ33)-CQ31</f>
        <v>3444.8300000000004</v>
      </c>
      <c r="CR27" s="1606">
        <f t="shared" ref="CR27" si="162">SUM(CR28:CR33)-CR31</f>
        <v>3444.8300000000004</v>
      </c>
      <c r="CS27" s="1606">
        <f t="shared" ref="CS27" si="163">SUM(CS28:CS33)-CS31</f>
        <v>0</v>
      </c>
      <c r="CT27" s="1606">
        <f>SUM(CT28:CT33)-CT31</f>
        <v>4662.6200000000008</v>
      </c>
      <c r="CU27" s="1606">
        <f t="shared" ref="CU27" si="164">SUM(CU28:CU33)-CU31</f>
        <v>4662.6200000000008</v>
      </c>
      <c r="CV27" s="1606">
        <f t="shared" ref="CV27" si="165">SUM(CV28:CV33)-CV31</f>
        <v>0</v>
      </c>
      <c r="CW27" s="2374">
        <f>SUM(CW28:CW33)-CW31</f>
        <v>7183.1150543192771</v>
      </c>
      <c r="CX27" s="2374">
        <f t="shared" ref="CX27" si="166">SUM(CX28:CX33)-CX31</f>
        <v>7183.1150543192771</v>
      </c>
      <c r="CY27" s="2374">
        <f t="shared" ref="CY27" si="167">SUM(CY28:CY33)-CY31</f>
        <v>0</v>
      </c>
      <c r="CZ27" s="4103">
        <f>SUM(CZ28:CZ33)-CZ31</f>
        <v>6106.1949423047126</v>
      </c>
      <c r="DA27" s="4103">
        <f t="shared" ref="DA27" si="168">SUM(DA28:DA33)-DA31</f>
        <v>6106.1949423047126</v>
      </c>
      <c r="DB27" s="4103">
        <f t="shared" ref="DB27" si="169">SUM(DB28:DB33)-DB31</f>
        <v>0</v>
      </c>
      <c r="DC27" s="2374">
        <f>SUM(DC28:DC33)-DC31</f>
        <v>2556.7849999999999</v>
      </c>
      <c r="DD27" s="2374">
        <f t="shared" ref="DD27" si="170">SUM(DD28:DD33)-DD31</f>
        <v>2556.7849999999999</v>
      </c>
      <c r="DE27" s="2374">
        <f t="shared" ref="DE27" si="171">SUM(DE28:DE33)-DE31</f>
        <v>0</v>
      </c>
      <c r="DF27" s="2374">
        <f>SUM(DF28:DF33)-DF31</f>
        <v>3631.7200000000003</v>
      </c>
      <c r="DG27" s="2374">
        <f t="shared" ref="DG27" si="172">SUM(DG28:DG33)-DG31</f>
        <v>3631.7200000000003</v>
      </c>
      <c r="DH27" s="2374">
        <f t="shared" ref="DH27" si="173">SUM(DH28:DH33)-DH31</f>
        <v>0</v>
      </c>
      <c r="DI27" s="3489">
        <f>SUM(DI28:DI33)-DI31</f>
        <v>486.35</v>
      </c>
      <c r="DJ27" s="3489">
        <f t="shared" ref="DJ27" si="174">SUM(DJ28:DJ33)-DJ31</f>
        <v>486.35</v>
      </c>
      <c r="DK27" s="3489">
        <f t="shared" ref="DK27" si="175">SUM(DK28:DK33)-DK31</f>
        <v>0</v>
      </c>
    </row>
    <row r="28" spans="1:115" s="2803" customFormat="1" ht="21" customHeight="1" x14ac:dyDescent="0.2">
      <c r="A28" s="3494" t="s">
        <v>3</v>
      </c>
      <c r="B28" s="3599">
        <v>136.30000000000001</v>
      </c>
      <c r="C28" s="3468">
        <v>303.60000000000002</v>
      </c>
      <c r="D28" s="1731">
        <f t="shared" si="0"/>
        <v>222.74394717534852</v>
      </c>
      <c r="E28" s="3468">
        <v>107.7</v>
      </c>
      <c r="F28" s="1731">
        <f t="shared" si="18"/>
        <v>35.474308300395258</v>
      </c>
      <c r="G28" s="3468">
        <v>238.5</v>
      </c>
      <c r="H28" s="1731">
        <f t="shared" si="2"/>
        <v>221.44846796657382</v>
      </c>
      <c r="I28" s="1602">
        <v>196.9</v>
      </c>
      <c r="J28" s="1602">
        <v>93.1</v>
      </c>
      <c r="K28" s="1602">
        <v>136.4</v>
      </c>
      <c r="L28" s="1602">
        <v>300.60000000000002</v>
      </c>
      <c r="M28" s="1605">
        <f t="shared" si="19"/>
        <v>126.03773584905662</v>
      </c>
      <c r="N28" s="1602">
        <v>216.7</v>
      </c>
      <c r="O28" s="1605">
        <f t="shared" si="20"/>
        <v>110.05586592178771</v>
      </c>
      <c r="P28" s="1602">
        <v>206.7</v>
      </c>
      <c r="Q28" s="1605">
        <f t="shared" si="21"/>
        <v>104.97714575926867</v>
      </c>
      <c r="R28" s="1605">
        <f t="shared" ref="R28:R42" si="176">P28/L28*100</f>
        <v>68.762475049900189</v>
      </c>
      <c r="S28" s="1602">
        <v>206.7</v>
      </c>
      <c r="T28" s="1602"/>
      <c r="U28" s="1602">
        <v>268.8</v>
      </c>
      <c r="V28" s="1602"/>
      <c r="W28" s="1602">
        <v>309</v>
      </c>
      <c r="X28" s="1602"/>
      <c r="Y28" s="1602">
        <f>P28*1.048</f>
        <v>216.6216</v>
      </c>
      <c r="Z28" s="1602">
        <f>Y28</f>
        <v>216.6216</v>
      </c>
      <c r="AA28" s="1602"/>
      <c r="AB28" s="1602">
        <f>SUM(AC28:AD28)</f>
        <v>259.89999999999998</v>
      </c>
      <c r="AC28" s="1602">
        <v>259.89999999999998</v>
      </c>
      <c r="AD28" s="1602">
        <v>0</v>
      </c>
      <c r="AE28" s="1602">
        <v>230</v>
      </c>
      <c r="AF28" s="1602">
        <f t="shared" si="23"/>
        <v>1.0617593074744163</v>
      </c>
      <c r="AG28" s="1602">
        <v>230</v>
      </c>
      <c r="AH28" s="1602">
        <v>0</v>
      </c>
      <c r="AI28" s="1602">
        <f>AK28+AL28</f>
        <v>361.53</v>
      </c>
      <c r="AJ28" s="1602">
        <f t="shared" si="24"/>
        <v>1.6689471410053289</v>
      </c>
      <c r="AK28" s="1602">
        <f>'Ремонт стоки 2015'!G19/1000</f>
        <v>361.53</v>
      </c>
      <c r="AL28" s="1602">
        <f>AA28*1.046</f>
        <v>0</v>
      </c>
      <c r="AM28" s="1602">
        <f>AK28*1.046</f>
        <v>378.16037999999998</v>
      </c>
      <c r="AN28" s="1602">
        <f>AL28*1.046</f>
        <v>0</v>
      </c>
      <c r="AO28" s="1602" t="e">
        <f>#REF!*1.046</f>
        <v>#REF!</v>
      </c>
      <c r="AP28" s="1602">
        <f>SUM(AQ28:AR28)</f>
        <v>0</v>
      </c>
      <c r="AQ28" s="1602">
        <v>0</v>
      </c>
      <c r="AR28" s="1602">
        <v>0</v>
      </c>
      <c r="AS28" s="1602">
        <f>SUM(AT28:AU28)</f>
        <v>0</v>
      </c>
      <c r="AT28" s="1602">
        <v>0</v>
      </c>
      <c r="AU28" s="1602">
        <v>0</v>
      </c>
      <c r="AV28" s="1602">
        <f>SUM(AX28:AY28)</f>
        <v>1081.7670000000001</v>
      </c>
      <c r="AW28" s="1605">
        <f t="shared" si="47"/>
        <v>2.9921915193759858</v>
      </c>
      <c r="AX28" s="1602">
        <f>SUM('Ремонт стоки 2016'!K88/1000)</f>
        <v>1081.7670000000001</v>
      </c>
      <c r="AY28" s="1602">
        <v>0</v>
      </c>
      <c r="AZ28" s="1602">
        <f>'  текРемстоки 2016'!I91/1000</f>
        <v>132.46199999999999</v>
      </c>
      <c r="BA28" s="1596">
        <f t="shared" si="30"/>
        <v>0.36639283047050036</v>
      </c>
      <c r="BB28" s="1602">
        <f>AZ28</f>
        <v>132.46199999999999</v>
      </c>
      <c r="BC28" s="1602">
        <v>0</v>
      </c>
      <c r="BD28" s="1602">
        <f>BE28+BF28</f>
        <v>122.56</v>
      </c>
      <c r="BE28" s="1602">
        <v>122.56</v>
      </c>
      <c r="BF28" s="1602">
        <v>0</v>
      </c>
      <c r="BG28" s="1602">
        <f>BH28+BI28</f>
        <v>300.22000000000003</v>
      </c>
      <c r="BH28" s="1602">
        <v>300.22000000000003</v>
      </c>
      <c r="BI28" s="1602">
        <v>0</v>
      </c>
      <c r="BJ28" s="1602">
        <f>BK28+BL28</f>
        <v>147.84200000000001</v>
      </c>
      <c r="BK28" s="1602">
        <v>147.84200000000001</v>
      </c>
      <c r="BL28" s="1602">
        <v>0</v>
      </c>
      <c r="BM28" s="1602">
        <f>BN28+BO28</f>
        <v>559.78</v>
      </c>
      <c r="BN28" s="1602">
        <v>559.78</v>
      </c>
      <c r="BO28" s="1602">
        <v>0</v>
      </c>
      <c r="BP28" s="1602">
        <f>BQ28+BR28</f>
        <v>1108.3499999999999</v>
      </c>
      <c r="BQ28" s="1602">
        <v>1108.3499999999999</v>
      </c>
      <c r="BR28" s="1602">
        <v>0</v>
      </c>
      <c r="BS28" s="1602">
        <f>'рем программа'!B35</f>
        <v>1027.0439899999999</v>
      </c>
      <c r="BT28" s="1602">
        <f>BS28</f>
        <v>1027.0439899999999</v>
      </c>
      <c r="BU28" s="1602">
        <v>0</v>
      </c>
      <c r="BV28" s="1602">
        <f>SUM('рем программа'!I35:J35)</f>
        <v>1021.43466</v>
      </c>
      <c r="BW28" s="1602">
        <f>BV28</f>
        <v>1021.43466</v>
      </c>
      <c r="BX28" s="1602">
        <v>0</v>
      </c>
      <c r="BY28" s="3600" t="s">
        <v>3493</v>
      </c>
      <c r="BZ28" s="394"/>
      <c r="CA28" s="394"/>
      <c r="CB28" s="394"/>
      <c r="CC28" s="394"/>
      <c r="CD28" s="394"/>
      <c r="CE28" s="394"/>
      <c r="CF28" s="394"/>
      <c r="CG28" s="394"/>
      <c r="CH28" s="394"/>
      <c r="CI28" s="394"/>
      <c r="CJ28" s="394"/>
      <c r="CK28" s="1602">
        <f>SUM('рем программа'!K35)</f>
        <v>1047.276756603</v>
      </c>
      <c r="CL28" s="1602">
        <f>SUM(CK28)</f>
        <v>1047.276756603</v>
      </c>
      <c r="CM28" s="1602">
        <v>0</v>
      </c>
      <c r="CN28" s="1602">
        <f t="shared" ref="CN28:CN30" si="177">CO28+CP28</f>
        <v>407.15</v>
      </c>
      <c r="CO28" s="1602">
        <f>SUM('рем программа'!L35)</f>
        <v>407.15</v>
      </c>
      <c r="CP28" s="1602">
        <v>0</v>
      </c>
      <c r="CQ28" s="1602">
        <f t="shared" ref="CQ28:CQ30" si="178">CR28+CS28</f>
        <v>598.23</v>
      </c>
      <c r="CR28" s="1602">
        <f>SUM('рем программа'!M35)</f>
        <v>598.23</v>
      </c>
      <c r="CS28" s="1602">
        <v>0</v>
      </c>
      <c r="CT28" s="1602">
        <f t="shared" ref="CT28:CT30" si="179">CU28+CV28</f>
        <v>678.82</v>
      </c>
      <c r="CU28" s="1602">
        <f>SUM('рем программа'!N35)</f>
        <v>678.82</v>
      </c>
      <c r="CV28" s="1602">
        <v>0</v>
      </c>
      <c r="CW28" s="2371">
        <f t="shared" ref="CW28:CW30" si="180">CX28+CY28</f>
        <v>1182.172464</v>
      </c>
      <c r="CX28" s="2371">
        <f>SUM('рем программа'!O35)</f>
        <v>1182.172464</v>
      </c>
      <c r="CY28" s="2371">
        <v>0</v>
      </c>
      <c r="CZ28" s="4101">
        <f t="shared" ref="CZ28:CZ30" si="181">DA28+DB28</f>
        <v>1076.2146198901498</v>
      </c>
      <c r="DA28" s="4101">
        <f>SUM('рем программа'!P35)</f>
        <v>1076.2146198901498</v>
      </c>
      <c r="DB28" s="4101">
        <v>0</v>
      </c>
      <c r="DC28" s="2371">
        <f t="shared" ref="DC28:DC30" si="182">DD28+DE28</f>
        <v>324.8</v>
      </c>
      <c r="DD28" s="2371">
        <f>SUM('рем программа'!Q35)</f>
        <v>324.8</v>
      </c>
      <c r="DE28" s="2371">
        <v>0</v>
      </c>
      <c r="DF28" s="2371">
        <f t="shared" ref="DF28:DF30" si="183">DG28+DH28</f>
        <v>453.82499999999999</v>
      </c>
      <c r="DG28" s="2371">
        <f>SUM('рем программа'!R35)</f>
        <v>453.82499999999999</v>
      </c>
      <c r="DH28" s="2371">
        <v>0</v>
      </c>
      <c r="DI28" s="3487">
        <f t="shared" ref="DI28:DI30" si="184">DJ28+DK28</f>
        <v>0</v>
      </c>
      <c r="DJ28" s="3487">
        <f>SUM('рем программа'!AC35)</f>
        <v>0</v>
      </c>
      <c r="DK28" s="3487">
        <v>0</v>
      </c>
    </row>
    <row r="29" spans="1:115" ht="21" customHeight="1" x14ac:dyDescent="0.2">
      <c r="A29" s="3494" t="s">
        <v>4</v>
      </c>
      <c r="B29" s="3599">
        <v>1216.9000000000001</v>
      </c>
      <c r="C29" s="3468">
        <v>1404.6</v>
      </c>
      <c r="D29" s="1731">
        <f t="shared" si="0"/>
        <v>115.4244391486564</v>
      </c>
      <c r="E29" s="3468">
        <v>1305.4000000000001</v>
      </c>
      <c r="F29" s="1731">
        <f t="shared" si="18"/>
        <v>92.937491100669249</v>
      </c>
      <c r="G29" s="3468">
        <v>1610.2</v>
      </c>
      <c r="H29" s="1731">
        <f t="shared" si="2"/>
        <v>123.34916500689444</v>
      </c>
      <c r="I29" s="1602">
        <v>1927.2</v>
      </c>
      <c r="J29" s="1602">
        <v>856</v>
      </c>
      <c r="K29" s="1602">
        <v>1159.5</v>
      </c>
      <c r="L29" s="1602">
        <v>1696.9</v>
      </c>
      <c r="M29" s="1605">
        <f t="shared" si="19"/>
        <v>105.38442429511863</v>
      </c>
      <c r="N29" s="1602">
        <v>2453.6999999999998</v>
      </c>
      <c r="O29" s="1605">
        <f t="shared" si="20"/>
        <v>127.31942714819426</v>
      </c>
      <c r="P29" s="1602">
        <f>ЗП!AP17</f>
        <v>2064.0440519999997</v>
      </c>
      <c r="Q29" s="1605">
        <f t="shared" si="21"/>
        <v>107.10066687422166</v>
      </c>
      <c r="R29" s="1605">
        <f t="shared" si="176"/>
        <v>121.6361631209853</v>
      </c>
      <c r="S29" s="1602">
        <v>2064</v>
      </c>
      <c r="T29" s="1602"/>
      <c r="U29" s="1602">
        <v>1288.8</v>
      </c>
      <c r="V29" s="1602"/>
      <c r="W29" s="1602">
        <v>2633.2</v>
      </c>
      <c r="X29" s="1602"/>
      <c r="Y29" s="1602">
        <f>ЗП!U34</f>
        <v>2179.6305189119998</v>
      </c>
      <c r="Z29" s="1602">
        <f>Y29</f>
        <v>2179.6305189119998</v>
      </c>
      <c r="AA29" s="1602"/>
      <c r="AB29" s="1602">
        <v>1158.3</v>
      </c>
      <c r="AC29" s="1602">
        <f>SUM(AB29)</f>
        <v>1158.3</v>
      </c>
      <c r="AD29" s="1602">
        <v>0</v>
      </c>
      <c r="AE29" s="1602">
        <v>2288.61</v>
      </c>
      <c r="AF29" s="1602">
        <f t="shared" si="23"/>
        <v>1.0499990618329198</v>
      </c>
      <c r="AG29" s="1602">
        <v>2288.61</v>
      </c>
      <c r="AH29" s="1602">
        <v>0</v>
      </c>
      <c r="AI29" s="1602">
        <f>ЗП!BB34</f>
        <v>2257.028571428571</v>
      </c>
      <c r="AJ29" s="1602">
        <f t="shared" si="24"/>
        <v>1.0355097122402221</v>
      </c>
      <c r="AK29" s="1602">
        <f>AI29</f>
        <v>2257.028571428571</v>
      </c>
      <c r="AL29" s="1602">
        <f>AA29*1.05</f>
        <v>0</v>
      </c>
      <c r="AM29" s="1606" t="e">
        <f>#REF!</f>
        <v>#REF!</v>
      </c>
      <c r="AN29" s="1606">
        <v>0</v>
      </c>
      <c r="AO29" s="1606" t="e">
        <f t="shared" si="25"/>
        <v>#REF!</v>
      </c>
      <c r="AP29" s="1602">
        <f>SUM(ЗП!BG34)</f>
        <v>686.3</v>
      </c>
      <c r="AQ29" s="1602">
        <f>SUM(AP29)</f>
        <v>686.3</v>
      </c>
      <c r="AR29" s="1602">
        <v>0</v>
      </c>
      <c r="AS29" s="1602">
        <f>SUM(ЗП!BK34)</f>
        <v>1117.9000000000001</v>
      </c>
      <c r="AT29" s="1602">
        <f>SUM(AS29)</f>
        <v>1117.9000000000001</v>
      </c>
      <c r="AU29" s="1602">
        <v>0</v>
      </c>
      <c r="AV29" s="1602">
        <v>2482.73</v>
      </c>
      <c r="AW29" s="1605">
        <f t="shared" si="47"/>
        <v>1.09999936705656</v>
      </c>
      <c r="AX29" s="1602">
        <f>SUM(AV29)</f>
        <v>2482.73</v>
      </c>
      <c r="AY29" s="1602">
        <v>0</v>
      </c>
      <c r="AZ29" s="1602">
        <f>SUM(ЗП!BS34)</f>
        <v>1648.136533333334</v>
      </c>
      <c r="BA29" s="1596">
        <f t="shared" si="30"/>
        <v>0.73022404509933037</v>
      </c>
      <c r="BB29" s="1602">
        <f>SUM(AZ29)</f>
        <v>1648.136533333334</v>
      </c>
      <c r="BC29" s="1602">
        <v>0</v>
      </c>
      <c r="BD29" s="1602">
        <f t="shared" ref="BD29:BD45" si="185">BE29+BF29</f>
        <v>1443.68</v>
      </c>
      <c r="BE29" s="1602">
        <v>1443.68</v>
      </c>
      <c r="BF29" s="1602">
        <v>0</v>
      </c>
      <c r="BG29" s="1602">
        <f t="shared" ref="BG29:BG30" si="186">BH29+BI29</f>
        <v>1275.97</v>
      </c>
      <c r="BH29" s="1602">
        <v>1275.97</v>
      </c>
      <c r="BI29" s="1602">
        <v>0</v>
      </c>
      <c r="BJ29" s="1602">
        <f t="shared" ref="BJ29:BJ30" si="187">BK29+BL29</f>
        <v>1839.52</v>
      </c>
      <c r="BK29" s="1602">
        <v>1839.52</v>
      </c>
      <c r="BL29" s="1602">
        <v>0</v>
      </c>
      <c r="BM29" s="1602">
        <f t="shared" ref="BM29:BM30" si="188">BN29+BO29</f>
        <v>1276.93</v>
      </c>
      <c r="BN29" s="1602">
        <v>1276.93</v>
      </c>
      <c r="BO29" s="1602">
        <v>0</v>
      </c>
      <c r="BP29" s="1602">
        <f t="shared" ref="BP29:BP30" si="189">BQ29+BR29</f>
        <v>1369.43</v>
      </c>
      <c r="BQ29" s="1602">
        <v>1369.43</v>
      </c>
      <c r="BR29" s="1602">
        <v>0</v>
      </c>
      <c r="BS29" s="1602">
        <f t="shared" ref="BS29:BS30" si="190">BT29+BU29</f>
        <v>1664.635104</v>
      </c>
      <c r="BT29" s="1602">
        <f>ЗП!CR34</f>
        <v>1664.635104</v>
      </c>
      <c r="BU29" s="1602">
        <v>0</v>
      </c>
      <c r="BV29" s="1602">
        <f t="shared" ref="BV29:BV30" si="191">BW29+BX29</f>
        <v>1741.2083187839999</v>
      </c>
      <c r="BW29" s="1602">
        <f>SUM(ЗП!CU34)</f>
        <v>1741.2083187839999</v>
      </c>
      <c r="BX29" s="1602">
        <v>0</v>
      </c>
      <c r="BY29" s="3600" t="str">
        <f>BY23</f>
        <v>Приложение</v>
      </c>
      <c r="BZ29" s="394"/>
      <c r="CA29" s="394"/>
      <c r="CB29" s="394"/>
      <c r="CC29" s="394"/>
      <c r="CD29" s="394"/>
      <c r="CE29" s="394"/>
      <c r="CF29" s="394"/>
      <c r="CG29" s="394"/>
      <c r="CH29" s="394"/>
      <c r="CI29" s="394"/>
      <c r="CJ29" s="394"/>
      <c r="CK29" s="1602">
        <f>SUM(ЗП!CX34)</f>
        <v>1697.4284155488001</v>
      </c>
      <c r="CL29" s="1602">
        <f>SUM(CK29)</f>
        <v>1697.4284155488001</v>
      </c>
      <c r="CM29" s="1602">
        <v>0</v>
      </c>
      <c r="CN29" s="1602">
        <f t="shared" si="177"/>
        <v>605.70000000000005</v>
      </c>
      <c r="CO29" s="1602">
        <f>SUM(ЗП!DA34)</f>
        <v>605.70000000000005</v>
      </c>
      <c r="CP29" s="1602">
        <v>0</v>
      </c>
      <c r="CQ29" s="1602">
        <f t="shared" si="178"/>
        <v>1010.97</v>
      </c>
      <c r="CR29" s="1602">
        <f>SUM(ЗП!DD34)</f>
        <v>1010.97</v>
      </c>
      <c r="CS29" s="1602">
        <v>0</v>
      </c>
      <c r="CT29" s="1602">
        <f t="shared" si="179"/>
        <v>1585.67</v>
      </c>
      <c r="CU29" s="1602">
        <f>SUM(ЗП!DG34)</f>
        <v>1585.67</v>
      </c>
      <c r="CV29" s="1602">
        <v>0</v>
      </c>
      <c r="CW29" s="2371">
        <f t="shared" si="180"/>
        <v>2562.4644407999999</v>
      </c>
      <c r="CX29" s="2371">
        <f>SUM(ЗП!DJ34)</f>
        <v>2562.4644407999999</v>
      </c>
      <c r="CY29" s="2371">
        <v>0</v>
      </c>
      <c r="CZ29" s="4101">
        <f t="shared" si="181"/>
        <v>1744.3309664926426</v>
      </c>
      <c r="DA29" s="4101">
        <f>SUM(ЗП!DM34)</f>
        <v>1744.3309664926426</v>
      </c>
      <c r="DB29" s="4101">
        <v>0</v>
      </c>
      <c r="DC29" s="2371">
        <f t="shared" si="182"/>
        <v>1086.8699999999999</v>
      </c>
      <c r="DD29" s="2371">
        <f>SUM(ЗП!DR34)</f>
        <v>1086.8699999999999</v>
      </c>
      <c r="DE29" s="2371">
        <v>0</v>
      </c>
      <c r="DF29" s="2371">
        <f t="shared" si="183"/>
        <v>1549.635</v>
      </c>
      <c r="DG29" s="2371">
        <f>SUM(ЗП!DU34)</f>
        <v>1549.635</v>
      </c>
      <c r="DH29" s="2371">
        <v>0</v>
      </c>
      <c r="DI29" s="3487">
        <f t="shared" si="184"/>
        <v>5</v>
      </c>
      <c r="DJ29" s="3487">
        <f>SUM(ЗП!DV34)</f>
        <v>5</v>
      </c>
      <c r="DK29" s="3487">
        <v>0</v>
      </c>
    </row>
    <row r="30" spans="1:115" ht="31.5" customHeight="1" x14ac:dyDescent="0.2">
      <c r="A30" s="3494" t="s">
        <v>114</v>
      </c>
      <c r="B30" s="3599">
        <v>293.3</v>
      </c>
      <c r="C30" s="3468">
        <v>366.3</v>
      </c>
      <c r="D30" s="1731">
        <f t="shared" si="0"/>
        <v>124.88919195363108</v>
      </c>
      <c r="E30" s="3468">
        <v>338</v>
      </c>
      <c r="F30" s="1731">
        <f t="shared" si="18"/>
        <v>92.274092274092268</v>
      </c>
      <c r="G30" s="3468">
        <v>535.70000000000005</v>
      </c>
      <c r="H30" s="1731">
        <f t="shared" si="2"/>
        <v>158.49112426035506</v>
      </c>
      <c r="I30" s="1602">
        <v>578.20000000000005</v>
      </c>
      <c r="J30" s="1602">
        <v>288.10000000000002</v>
      </c>
      <c r="K30" s="1602">
        <v>351.9</v>
      </c>
      <c r="L30" s="1602">
        <v>514</v>
      </c>
      <c r="M30" s="1605">
        <f t="shared" si="19"/>
        <v>95.949225312674997</v>
      </c>
      <c r="N30" s="1602">
        <v>741</v>
      </c>
      <c r="O30" s="1605">
        <f t="shared" si="20"/>
        <v>128.15634728467657</v>
      </c>
      <c r="P30" s="1602">
        <f>P29*30.2/100</f>
        <v>623.34130370399987</v>
      </c>
      <c r="Q30" s="1605">
        <f t="shared" si="21"/>
        <v>107.80721267796606</v>
      </c>
      <c r="R30" s="1605">
        <f t="shared" si="176"/>
        <v>121.2726271797665</v>
      </c>
      <c r="S30" s="1602">
        <v>623.29999999999995</v>
      </c>
      <c r="T30" s="1602"/>
      <c r="U30" s="1602">
        <v>389.6</v>
      </c>
      <c r="V30" s="1602"/>
      <c r="W30" s="1602">
        <v>795.23</v>
      </c>
      <c r="X30" s="1602"/>
      <c r="Y30" s="1602">
        <f>Y29*0.302</f>
        <v>658.24841671142394</v>
      </c>
      <c r="Z30" s="1602">
        <f>Y30</f>
        <v>658.24841671142394</v>
      </c>
      <c r="AA30" s="1602"/>
      <c r="AB30" s="1602">
        <v>348.5</v>
      </c>
      <c r="AC30" s="1602">
        <f>SUM(AB30)</f>
        <v>348.5</v>
      </c>
      <c r="AD30" s="1602">
        <v>0</v>
      </c>
      <c r="AE30" s="1602">
        <v>691.16</v>
      </c>
      <c r="AF30" s="1602">
        <f t="shared" si="23"/>
        <v>1.0499987276125944</v>
      </c>
      <c r="AG30" s="1602">
        <v>691.16</v>
      </c>
      <c r="AH30" s="1602">
        <v>0</v>
      </c>
      <c r="AI30" s="1602">
        <f>AI29*W31</f>
        <v>681.62571428571425</v>
      </c>
      <c r="AJ30" s="1602">
        <f t="shared" si="24"/>
        <v>1.0355144000058247</v>
      </c>
      <c r="AK30" s="1602">
        <f>AK29*W31</f>
        <v>681.62571428571425</v>
      </c>
      <c r="AL30" s="1602">
        <f>AA30*1.05</f>
        <v>0</v>
      </c>
      <c r="AM30" s="1606" t="e">
        <f>#REF!</f>
        <v>#REF!</v>
      </c>
      <c r="AN30" s="1606">
        <v>0</v>
      </c>
      <c r="AO30" s="1606" t="e">
        <f t="shared" si="25"/>
        <v>#REF!</v>
      </c>
      <c r="AP30" s="1602">
        <v>0</v>
      </c>
      <c r="AQ30" s="1602">
        <f>SUM(AP30)</f>
        <v>0</v>
      </c>
      <c r="AR30" s="1602">
        <v>0</v>
      </c>
      <c r="AS30" s="1602">
        <v>0</v>
      </c>
      <c r="AT30" s="1602">
        <f>SUM(AS30)</f>
        <v>0</v>
      </c>
      <c r="AU30" s="1602">
        <v>0</v>
      </c>
      <c r="AV30" s="1603">
        <f t="shared" ref="AV30" si="192">SUM(AX30+AY30)</f>
        <v>749.78422133959032</v>
      </c>
      <c r="AW30" s="1605">
        <f t="shared" si="47"/>
        <v>1.0999940372339099</v>
      </c>
      <c r="AX30" s="1602">
        <f>SUM(AX29*AE31)</f>
        <v>749.78422133959032</v>
      </c>
      <c r="AY30" s="1602">
        <f>SUM(AY29*AE31)</f>
        <v>0</v>
      </c>
      <c r="AZ30" s="1603">
        <f t="shared" ref="AZ30" si="193">SUM(BB30+BC30)</f>
        <v>495.87808155630398</v>
      </c>
      <c r="BA30" s="1596">
        <f t="shared" si="30"/>
        <v>0.72749321389076704</v>
      </c>
      <c r="BB30" s="1602">
        <f>BB29*BB31</f>
        <v>495.87808155630398</v>
      </c>
      <c r="BC30" s="1602">
        <f>SUM(BC29*AV31)</f>
        <v>0</v>
      </c>
      <c r="BD30" s="1602">
        <f t="shared" si="185"/>
        <v>435.99</v>
      </c>
      <c r="BE30" s="1602">
        <v>435.99</v>
      </c>
      <c r="BF30" s="1602">
        <v>0</v>
      </c>
      <c r="BG30" s="1602">
        <f t="shared" si="186"/>
        <v>384.57</v>
      </c>
      <c r="BH30" s="1602">
        <v>384.57</v>
      </c>
      <c r="BI30" s="1602">
        <v>0</v>
      </c>
      <c r="BJ30" s="1602">
        <f t="shared" si="187"/>
        <v>553.51</v>
      </c>
      <c r="BK30" s="1602">
        <v>553.51</v>
      </c>
      <c r="BL30" s="1602">
        <v>0</v>
      </c>
      <c r="BM30" s="1602">
        <f t="shared" si="188"/>
        <v>384.1</v>
      </c>
      <c r="BN30" s="1602">
        <v>384.1</v>
      </c>
      <c r="BO30" s="1602">
        <v>0</v>
      </c>
      <c r="BP30" s="1602">
        <f t="shared" si="189"/>
        <v>412.06</v>
      </c>
      <c r="BQ30" s="1602">
        <v>412.06</v>
      </c>
      <c r="BR30" s="1602">
        <v>0</v>
      </c>
      <c r="BS30" s="1602">
        <f t="shared" si="190"/>
        <v>501.71142107203144</v>
      </c>
      <c r="BT30" s="1602">
        <f>BT29*BG31</f>
        <v>501.71142107203144</v>
      </c>
      <c r="BU30" s="1602">
        <v>0</v>
      </c>
      <c r="BV30" s="1602">
        <f t="shared" si="191"/>
        <v>523.92809892261664</v>
      </c>
      <c r="BW30" s="1602">
        <f>BW29*BJ31</f>
        <v>523.92809892261664</v>
      </c>
      <c r="BX30" s="1602">
        <v>0</v>
      </c>
      <c r="BY30" s="3600" t="str">
        <f>BY24</f>
        <v xml:space="preserve">В размере 30,10% (на уровне факт.за 2014 год) от скорректированного ФОТ </v>
      </c>
      <c r="BZ30" s="394"/>
      <c r="CA30" s="394"/>
      <c r="CB30" s="394"/>
      <c r="CC30" s="394"/>
      <c r="CD30" s="394"/>
      <c r="CE30" s="394"/>
      <c r="CF30" s="394"/>
      <c r="CG30" s="394"/>
      <c r="CH30" s="394"/>
      <c r="CI30" s="394"/>
      <c r="CJ30" s="394"/>
      <c r="CK30" s="1603">
        <f>SUM(CK29*CK31)</f>
        <v>511.59513606715052</v>
      </c>
      <c r="CL30" s="1603">
        <f t="shared" ref="CL30:CM30" si="194">SUM(CL29*CL31)</f>
        <v>511.59513606715052</v>
      </c>
      <c r="CM30" s="1603">
        <f t="shared" si="194"/>
        <v>0</v>
      </c>
      <c r="CN30" s="1602">
        <f t="shared" si="177"/>
        <v>186.16</v>
      </c>
      <c r="CO30" s="1602">
        <v>186.16</v>
      </c>
      <c r="CP30" s="1602">
        <v>0</v>
      </c>
      <c r="CQ30" s="1602">
        <f t="shared" si="178"/>
        <v>308.55</v>
      </c>
      <c r="CR30" s="1602">
        <v>308.55</v>
      </c>
      <c r="CS30" s="1602">
        <v>0</v>
      </c>
      <c r="CT30" s="1602">
        <f t="shared" si="179"/>
        <v>481.35</v>
      </c>
      <c r="CU30" s="1602">
        <v>481.35</v>
      </c>
      <c r="CV30" s="1602">
        <v>0</v>
      </c>
      <c r="CW30" s="2371">
        <f t="shared" si="180"/>
        <v>772.32500000000005</v>
      </c>
      <c r="CX30" s="2371">
        <v>772.32500000000005</v>
      </c>
      <c r="CY30" s="2371">
        <v>0</v>
      </c>
      <c r="CZ30" s="4101">
        <f t="shared" si="181"/>
        <v>525.73129445369057</v>
      </c>
      <c r="DA30" s="4101">
        <f>SUM(DA29*DA31)</f>
        <v>525.73129445369057</v>
      </c>
      <c r="DB30" s="4101">
        <f>SUM(DB29*DB31)</f>
        <v>0</v>
      </c>
      <c r="DC30" s="2371">
        <f t="shared" si="182"/>
        <v>327.505</v>
      </c>
      <c r="DD30" s="2371">
        <v>327.505</v>
      </c>
      <c r="DE30" s="2371">
        <v>0</v>
      </c>
      <c r="DF30" s="2371">
        <f t="shared" si="183"/>
        <v>464.69</v>
      </c>
      <c r="DG30" s="2371">
        <v>464.69</v>
      </c>
      <c r="DH30" s="2371">
        <v>0</v>
      </c>
      <c r="DI30" s="3487">
        <f t="shared" si="184"/>
        <v>481.35</v>
      </c>
      <c r="DJ30" s="3487">
        <v>481.35</v>
      </c>
      <c r="DK30" s="3487">
        <v>0</v>
      </c>
    </row>
    <row r="31" spans="1:115" s="1737" customFormat="1" ht="21" customHeight="1" x14ac:dyDescent="0.2">
      <c r="A31" s="3474" t="str">
        <f>A25</f>
        <v>то же в %</v>
      </c>
      <c r="B31" s="3471"/>
      <c r="C31" s="1731"/>
      <c r="D31" s="1731"/>
      <c r="E31" s="1604">
        <f>E30/E29</f>
        <v>0.25892446759613907</v>
      </c>
      <c r="F31" s="1604">
        <f t="shared" ref="F31:AE31" si="195">F30/F29</f>
        <v>0.99286188147839727</v>
      </c>
      <c r="G31" s="1604">
        <f t="shared" si="195"/>
        <v>0.33269159110669483</v>
      </c>
      <c r="H31" s="1604"/>
      <c r="I31" s="1604">
        <f t="shared" si="195"/>
        <v>0.30002075550020757</v>
      </c>
      <c r="J31" s="1604">
        <f t="shared" si="195"/>
        <v>0.33656542056074767</v>
      </c>
      <c r="K31" s="1604">
        <f t="shared" si="195"/>
        <v>0.30349288486416559</v>
      </c>
      <c r="L31" s="1604">
        <f t="shared" si="195"/>
        <v>0.30290529789616355</v>
      </c>
      <c r="M31" s="1604">
        <f t="shared" si="195"/>
        <v>0.91046875242188263</v>
      </c>
      <c r="N31" s="1604">
        <f t="shared" si="195"/>
        <v>0.30199290866854139</v>
      </c>
      <c r="O31" s="1604">
        <f t="shared" si="195"/>
        <v>1.0065733891145157</v>
      </c>
      <c r="P31" s="1604">
        <f t="shared" si="195"/>
        <v>0.30199999999999999</v>
      </c>
      <c r="Q31" s="1604">
        <f t="shared" si="195"/>
        <v>1.0065970252507781</v>
      </c>
      <c r="R31" s="1604">
        <f t="shared" si="195"/>
        <v>0.99701128404669248</v>
      </c>
      <c r="S31" s="1604">
        <f t="shared" si="195"/>
        <v>0.3019864341085271</v>
      </c>
      <c r="T31" s="1604"/>
      <c r="U31" s="1604">
        <f t="shared" si="195"/>
        <v>0.30229671011793918</v>
      </c>
      <c r="V31" s="1604"/>
      <c r="W31" s="1596">
        <f t="shared" si="195"/>
        <v>0.30200136715783082</v>
      </c>
      <c r="X31" s="1596"/>
      <c r="Y31" s="1596">
        <f t="shared" si="195"/>
        <v>0.30199999999999999</v>
      </c>
      <c r="Z31" s="1596">
        <f t="shared" si="195"/>
        <v>0.30199999999999999</v>
      </c>
      <c r="AA31" s="3613"/>
      <c r="AB31" s="1596">
        <f t="shared" ref="AB31:AC31" si="196">AB30/AB29</f>
        <v>0.30087196753863421</v>
      </c>
      <c r="AC31" s="1596">
        <f t="shared" si="196"/>
        <v>0.30087196753863421</v>
      </c>
      <c r="AD31" s="1605"/>
      <c r="AE31" s="3613">
        <f t="shared" si="195"/>
        <v>0.30199990387178238</v>
      </c>
      <c r="AF31" s="1602"/>
      <c r="AG31" s="3613">
        <v>0</v>
      </c>
      <c r="AH31" s="3613">
        <v>0</v>
      </c>
      <c r="AI31" s="1596">
        <f>AI30/AI29</f>
        <v>0.30200136715783082</v>
      </c>
      <c r="AJ31" s="1602"/>
      <c r="AK31" s="1596">
        <f>AK30/AK29</f>
        <v>0.30200136715783082</v>
      </c>
      <c r="AL31" s="3613"/>
      <c r="AM31" s="1606" t="e">
        <f>#REF!</f>
        <v>#REF!</v>
      </c>
      <c r="AN31" s="1606">
        <v>0</v>
      </c>
      <c r="AO31" s="1606" t="e">
        <f t="shared" si="25"/>
        <v>#REF!</v>
      </c>
      <c r="AP31" s="3613">
        <f>AP30/AP29</f>
        <v>0</v>
      </c>
      <c r="AQ31" s="3613">
        <f t="shared" ref="AQ31" si="197">AQ30/AQ29</f>
        <v>0</v>
      </c>
      <c r="AR31" s="3613"/>
      <c r="AS31" s="3613">
        <f>AS30/AS29</f>
        <v>0</v>
      </c>
      <c r="AT31" s="3613">
        <f t="shared" ref="AT31" si="198">AT30/AT29</f>
        <v>0</v>
      </c>
      <c r="AU31" s="3613"/>
      <c r="AV31" s="1596">
        <f>SUM(AV30/AV29)</f>
        <v>0.30199990387178238</v>
      </c>
      <c r="AW31" s="1605">
        <f t="shared" si="47"/>
        <v>0.99999515470389355</v>
      </c>
      <c r="AX31" s="1596">
        <f>SUM(AX30/AX29)</f>
        <v>0.30199990387178238</v>
      </c>
      <c r="AY31" s="3613"/>
      <c r="AZ31" s="1596">
        <f>AB31</f>
        <v>0.30087196753863421</v>
      </c>
      <c r="BA31" s="1596">
        <f t="shared" si="30"/>
        <v>0.99626028309134651</v>
      </c>
      <c r="BB31" s="1596">
        <f>AZ31</f>
        <v>0.30087196753863421</v>
      </c>
      <c r="BC31" s="3613"/>
      <c r="BD31" s="1604">
        <f>BD30/BD29</f>
        <v>0.30199905796298349</v>
      </c>
      <c r="BE31" s="1604">
        <f t="shared" ref="BE31" si="199">BE30/BE29</f>
        <v>0.30199905796298349</v>
      </c>
      <c r="BF31" s="1604">
        <v>0</v>
      </c>
      <c r="BG31" s="1604">
        <f>BG30/BG29</f>
        <v>0.30139423340674154</v>
      </c>
      <c r="BH31" s="1604">
        <f t="shared" ref="BH31" si="200">BH30/BH29</f>
        <v>0.30139423340674154</v>
      </c>
      <c r="BI31" s="1604">
        <v>0</v>
      </c>
      <c r="BJ31" s="1604">
        <f>BJ30/BJ29</f>
        <v>0.30089914760372272</v>
      </c>
      <c r="BK31" s="1604">
        <f t="shared" ref="BK31" si="201">BK30/BK29</f>
        <v>0.30089914760372272</v>
      </c>
      <c r="BL31" s="1604">
        <v>0</v>
      </c>
      <c r="BM31" s="1604">
        <f>BM30/BM29</f>
        <v>0.30079957397821339</v>
      </c>
      <c r="BN31" s="1604">
        <f t="shared" ref="BN31" si="202">BN30/BN29</f>
        <v>0.30079957397821339</v>
      </c>
      <c r="BO31" s="1604">
        <v>0</v>
      </c>
      <c r="BP31" s="1604">
        <f>BP30/BP29</f>
        <v>0.30089891414676179</v>
      </c>
      <c r="BQ31" s="1604">
        <f t="shared" ref="BQ31" si="203">BQ30/BQ29</f>
        <v>0.30089891414676179</v>
      </c>
      <c r="BR31" s="1604">
        <v>0</v>
      </c>
      <c r="BS31" s="1604">
        <f>BS30/BS29</f>
        <v>0.30139423340674154</v>
      </c>
      <c r="BT31" s="1604">
        <f t="shared" ref="BT31" si="204">BT30/BT29</f>
        <v>0.30139423340674154</v>
      </c>
      <c r="BU31" s="1604">
        <v>0</v>
      </c>
      <c r="BV31" s="1604">
        <f>BV30/BV29</f>
        <v>0.30089914760372272</v>
      </c>
      <c r="BW31" s="1604">
        <f t="shared" ref="BW31" si="205">BW30/BW29</f>
        <v>0.30089914760372272</v>
      </c>
      <c r="BX31" s="1604">
        <v>0</v>
      </c>
      <c r="BY31" s="3608"/>
      <c r="BZ31" s="3741"/>
      <c r="CA31" s="3741"/>
      <c r="CB31" s="3741"/>
      <c r="CC31" s="3741"/>
      <c r="CD31" s="3741"/>
      <c r="CE31" s="3741"/>
      <c r="CF31" s="3741"/>
      <c r="CG31" s="3741"/>
      <c r="CH31" s="3741"/>
      <c r="CI31" s="3741"/>
      <c r="CJ31" s="3741"/>
      <c r="CK31" s="1604">
        <f>SUM(BS31)</f>
        <v>0.30139423340674154</v>
      </c>
      <c r="CL31" s="1604">
        <f>SUM(BT31)</f>
        <v>0.30139423340674154</v>
      </c>
      <c r="CM31" s="1604">
        <v>0</v>
      </c>
      <c r="CN31" s="1604">
        <f>SUM(CN30/CN29)</f>
        <v>0.30734687138847611</v>
      </c>
      <c r="CO31" s="1604">
        <f t="shared" ref="CO31:CR31" si="206">SUM(CO30/CO29)</f>
        <v>0.30734687138847611</v>
      </c>
      <c r="CP31" s="1604">
        <v>0</v>
      </c>
      <c r="CQ31" s="1604">
        <f t="shared" si="206"/>
        <v>0.30520193477551261</v>
      </c>
      <c r="CR31" s="1604">
        <f t="shared" si="206"/>
        <v>0.30520193477551261</v>
      </c>
      <c r="CS31" s="1604">
        <v>0</v>
      </c>
      <c r="CT31" s="1604">
        <f t="shared" ref="CT31:CU31" si="207">SUM(CT30/CT29)</f>
        <v>0.30356253192656729</v>
      </c>
      <c r="CU31" s="1604">
        <f t="shared" si="207"/>
        <v>0.30356253192656729</v>
      </c>
      <c r="CV31" s="1604">
        <v>0</v>
      </c>
      <c r="CW31" s="3651">
        <f t="shared" ref="CW31:CX31" si="208">SUM(CW30/CW29)</f>
        <v>0.30139930439732487</v>
      </c>
      <c r="CX31" s="3651">
        <f t="shared" si="208"/>
        <v>0.30139930439732487</v>
      </c>
      <c r="CY31" s="3651">
        <v>0</v>
      </c>
      <c r="CZ31" s="4102">
        <f>SUM(BS31)</f>
        <v>0.30139423340674154</v>
      </c>
      <c r="DA31" s="4102">
        <f t="shared" ref="DA31:DB31" si="209">SUM(BT31)</f>
        <v>0.30139423340674154</v>
      </c>
      <c r="DB31" s="4102">
        <f t="shared" si="209"/>
        <v>0</v>
      </c>
      <c r="DC31" s="3651">
        <f>SUM(DC30/DC29)</f>
        <v>0.30132858575542615</v>
      </c>
      <c r="DD31" s="3651">
        <f t="shared" ref="DD31" si="210">SUM(DD30/DD29)</f>
        <v>0.30132858575542615</v>
      </c>
      <c r="DE31" s="3651">
        <v>0</v>
      </c>
      <c r="DF31" s="3651">
        <f t="shared" ref="DF31:DG31" si="211">SUM(DF30/DF29)</f>
        <v>0.29987061469313742</v>
      </c>
      <c r="DG31" s="3651">
        <f t="shared" si="211"/>
        <v>0.29987061469313742</v>
      </c>
      <c r="DH31" s="3651">
        <v>0</v>
      </c>
      <c r="DI31" s="3733">
        <f t="shared" ref="DI31:DJ31" si="212">SUM(DI30/DI29)</f>
        <v>96.27000000000001</v>
      </c>
      <c r="DJ31" s="3733">
        <f t="shared" si="212"/>
        <v>96.27000000000001</v>
      </c>
      <c r="DK31" s="3733">
        <v>0</v>
      </c>
    </row>
    <row r="32" spans="1:115" ht="21" customHeight="1" x14ac:dyDescent="0.2">
      <c r="A32" s="3494" t="s">
        <v>2</v>
      </c>
      <c r="B32" s="3599">
        <v>46.2</v>
      </c>
      <c r="C32" s="3468">
        <v>0</v>
      </c>
      <c r="D32" s="1731">
        <f t="shared" si="0"/>
        <v>0</v>
      </c>
      <c r="E32" s="3468">
        <v>18.899999999999999</v>
      </c>
      <c r="F32" s="1731"/>
      <c r="G32" s="3468">
        <v>25.5</v>
      </c>
      <c r="H32" s="1731">
        <f t="shared" si="2"/>
        <v>134.92063492063494</v>
      </c>
      <c r="I32" s="1602">
        <v>26.4</v>
      </c>
      <c r="J32" s="1602">
        <v>12.6</v>
      </c>
      <c r="K32" s="1602">
        <v>18.899999999999999</v>
      </c>
      <c r="L32" s="1602">
        <v>25.5</v>
      </c>
      <c r="M32" s="1605">
        <f t="shared" si="19"/>
        <v>100</v>
      </c>
      <c r="N32" s="1602">
        <v>27.72</v>
      </c>
      <c r="O32" s="1605">
        <f t="shared" si="20"/>
        <v>105</v>
      </c>
      <c r="P32" s="1602">
        <v>26.4</v>
      </c>
      <c r="Q32" s="1605">
        <f t="shared" si="21"/>
        <v>100</v>
      </c>
      <c r="R32" s="1605">
        <f t="shared" si="176"/>
        <v>103.52941176470587</v>
      </c>
      <c r="S32" s="1602">
        <v>26.4</v>
      </c>
      <c r="T32" s="1602"/>
      <c r="U32" s="1602">
        <v>18.899999999999999</v>
      </c>
      <c r="V32" s="1602"/>
      <c r="W32" s="1602">
        <v>26.4</v>
      </c>
      <c r="X32" s="1602"/>
      <c r="Y32" s="1602" t="e">
        <f>Аморт!G16</f>
        <v>#REF!</v>
      </c>
      <c r="Z32" s="1602" t="e">
        <f>Y32</f>
        <v>#REF!</v>
      </c>
      <c r="AA32" s="1602"/>
      <c r="AB32" s="1602">
        <f>SUM(Аморт!L16)</f>
        <v>25.2</v>
      </c>
      <c r="AC32" s="1602">
        <f>AB32</f>
        <v>25.2</v>
      </c>
      <c r="AD32" s="1602">
        <v>0</v>
      </c>
      <c r="AE32" s="1602">
        <v>25.2</v>
      </c>
      <c r="AF32" s="1602" t="e">
        <f t="shared" si="23"/>
        <v>#REF!</v>
      </c>
      <c r="AG32" s="1602">
        <v>25.2</v>
      </c>
      <c r="AH32" s="1602">
        <v>0</v>
      </c>
      <c r="AI32" s="1602">
        <f>Аморт!O16</f>
        <v>25.2</v>
      </c>
      <c r="AJ32" s="1602" t="e">
        <f t="shared" si="24"/>
        <v>#REF!</v>
      </c>
      <c r="AK32" s="1602">
        <f>AI32</f>
        <v>25.2</v>
      </c>
      <c r="AL32" s="1602"/>
      <c r="AM32" s="1606" t="e">
        <f>#REF!</f>
        <v>#REF!</v>
      </c>
      <c r="AN32" s="1606">
        <v>0</v>
      </c>
      <c r="AO32" s="1606" t="e">
        <f t="shared" si="25"/>
        <v>#REF!</v>
      </c>
      <c r="AP32" s="1602">
        <f>SUM(Аморт!Q16)</f>
        <v>12.72</v>
      </c>
      <c r="AQ32" s="1602">
        <f>AP32</f>
        <v>12.72</v>
      </c>
      <c r="AR32" s="1602">
        <v>0</v>
      </c>
      <c r="AS32" s="1602">
        <f>SUM(Аморт!R16)</f>
        <v>19.11</v>
      </c>
      <c r="AT32" s="1602">
        <f>AS32</f>
        <v>19.11</v>
      </c>
      <c r="AU32" s="1602">
        <v>0</v>
      </c>
      <c r="AV32" s="1602">
        <f>SUM(Аморт!T16)</f>
        <v>25.2</v>
      </c>
      <c r="AW32" s="1605">
        <f t="shared" si="47"/>
        <v>1</v>
      </c>
      <c r="AX32" s="1602">
        <f>SUM(AV32)</f>
        <v>25.2</v>
      </c>
      <c r="AY32" s="1602">
        <v>0</v>
      </c>
      <c r="AZ32" s="1602">
        <f>SUM(Аморт!U16)</f>
        <v>25.2</v>
      </c>
      <c r="BA32" s="1596">
        <f t="shared" si="30"/>
        <v>1</v>
      </c>
      <c r="BB32" s="1602">
        <f>SUM(AZ32)</f>
        <v>25.2</v>
      </c>
      <c r="BC32" s="1602">
        <v>0</v>
      </c>
      <c r="BD32" s="1602">
        <f t="shared" si="185"/>
        <v>36.94</v>
      </c>
      <c r="BE32" s="1602">
        <v>36.94</v>
      </c>
      <c r="BF32" s="1602">
        <v>0</v>
      </c>
      <c r="BG32" s="1602">
        <f t="shared" ref="BG32:BG33" si="213">BH32+BI32</f>
        <v>68.540000000000006</v>
      </c>
      <c r="BH32" s="1602">
        <v>68.540000000000006</v>
      </c>
      <c r="BI32" s="1602">
        <v>0</v>
      </c>
      <c r="BJ32" s="1602">
        <f t="shared" ref="BJ32:BJ33" si="214">BK32+BL32</f>
        <v>36.94</v>
      </c>
      <c r="BK32" s="1602">
        <v>36.94</v>
      </c>
      <c r="BL32" s="1602">
        <v>0</v>
      </c>
      <c r="BM32" s="1602">
        <f t="shared" ref="BM32:BM33" si="215">BN32+BO32</f>
        <v>95.24</v>
      </c>
      <c r="BN32" s="1602">
        <v>95.24</v>
      </c>
      <c r="BO32" s="1602">
        <v>0</v>
      </c>
      <c r="BP32" s="1602">
        <f t="shared" ref="BP32:BP33" si="216">BQ32+BR32</f>
        <v>68.540000000000006</v>
      </c>
      <c r="BQ32" s="1602">
        <v>68.540000000000006</v>
      </c>
      <c r="BR32" s="1602">
        <v>0</v>
      </c>
      <c r="BS32" s="1602">
        <f t="shared" ref="BS32" si="217">BT32+BU32</f>
        <v>68.540000000000006</v>
      </c>
      <c r="BT32" s="1602">
        <f>Аморт!AM16</f>
        <v>68.540000000000006</v>
      </c>
      <c r="BU32" s="1602">
        <v>0</v>
      </c>
      <c r="BV32" s="1602">
        <f t="shared" ref="BV32" si="218">BW32+BX32</f>
        <v>95.24</v>
      </c>
      <c r="BW32" s="1602">
        <f>SUM(Аморт!AS16)</f>
        <v>95.24</v>
      </c>
      <c r="BX32" s="1602">
        <v>0</v>
      </c>
      <c r="BY32" s="3600" t="str">
        <f>BY20</f>
        <v>Приложение</v>
      </c>
      <c r="BZ32" s="394"/>
      <c r="CA32" s="394"/>
      <c r="CB32" s="394"/>
      <c r="CC32" s="394"/>
      <c r="CD32" s="394"/>
      <c r="CE32" s="394"/>
      <c r="CF32" s="394"/>
      <c r="CG32" s="394"/>
      <c r="CH32" s="394"/>
      <c r="CI32" s="394"/>
      <c r="CJ32" s="394"/>
      <c r="CK32" s="1602">
        <f t="shared" ref="CK32" si="219">CL32+CM32</f>
        <v>95.24</v>
      </c>
      <c r="CL32" s="1602">
        <f>SUM(Аморт!AT16)</f>
        <v>95.24</v>
      </c>
      <c r="CM32" s="1602">
        <v>0</v>
      </c>
      <c r="CN32" s="1602">
        <f t="shared" ref="CN32:CN33" si="220">CO32+CP32</f>
        <v>152.58000000000001</v>
      </c>
      <c r="CO32" s="1602">
        <f>SUM(Аморт!AV16)</f>
        <v>152.58000000000001</v>
      </c>
      <c r="CP32" s="1602">
        <f>SUM(Аморт!AW16)</f>
        <v>0</v>
      </c>
      <c r="CQ32" s="1602">
        <f t="shared" ref="CQ32:CQ33" si="221">CR32+CS32</f>
        <v>231.78</v>
      </c>
      <c r="CR32" s="1602">
        <f>SUM(Аморт!AY16)</f>
        <v>231.78</v>
      </c>
      <c r="CS32" s="1602">
        <f>SUM(Аморт!AZ16)</f>
        <v>0</v>
      </c>
      <c r="CT32" s="1602">
        <f t="shared" ref="CT32:CT33" si="222">CU32+CV32</f>
        <v>311.02</v>
      </c>
      <c r="CU32" s="1602">
        <f>SUM(Аморт!BB16)</f>
        <v>311.02</v>
      </c>
      <c r="CV32" s="1602">
        <f>SUM(Аморт!BC16)</f>
        <v>0</v>
      </c>
      <c r="CW32" s="2371">
        <f t="shared" ref="CW32:CW33" si="223">CX32+CY32</f>
        <v>311.02</v>
      </c>
      <c r="CX32" s="2371">
        <f>SUM(Аморт!BD16)</f>
        <v>311.02</v>
      </c>
      <c r="CY32" s="2371">
        <f>SUM(Аморт!BF16)</f>
        <v>0</v>
      </c>
      <c r="CZ32" s="4101">
        <f t="shared" ref="CZ32:CZ33" si="224">DA32+DB32</f>
        <v>310.2951384847442</v>
      </c>
      <c r="DA32" s="4101">
        <f>SUM(Аморт!BE16)</f>
        <v>310.2951384847442</v>
      </c>
      <c r="DB32" s="4101">
        <v>0</v>
      </c>
      <c r="DC32" s="2371">
        <f t="shared" ref="DC32:DC33" si="225">DD32+DE32</f>
        <v>158.41</v>
      </c>
      <c r="DD32" s="2371">
        <f>SUM(Аморт!BJ16)</f>
        <v>158.41</v>
      </c>
      <c r="DE32" s="2371">
        <f>SUM(Аморт!BK16)</f>
        <v>0</v>
      </c>
      <c r="DF32" s="2371">
        <f t="shared" ref="DF32:DF33" si="226">DG32+DH32</f>
        <v>237.61</v>
      </c>
      <c r="DG32" s="2371">
        <f>SUM(Аморт!BM16)</f>
        <v>237.61</v>
      </c>
      <c r="DH32" s="2371">
        <f>SUM(Аморт!BO16)</f>
        <v>0</v>
      </c>
      <c r="DI32" s="3487">
        <f t="shared" ref="DI32:DI33" si="227">DJ32+DK32</f>
        <v>0</v>
      </c>
      <c r="DJ32" s="3487">
        <f>SUM(Аморт!BQ16)</f>
        <v>0</v>
      </c>
      <c r="DK32" s="3487">
        <f>SUM(Аморт!BR16)</f>
        <v>0</v>
      </c>
    </row>
    <row r="33" spans="1:115" ht="21" customHeight="1" x14ac:dyDescent="0.2">
      <c r="A33" s="3494" t="s">
        <v>6</v>
      </c>
      <c r="B33" s="3599">
        <v>703.1</v>
      </c>
      <c r="C33" s="3468">
        <v>526.5</v>
      </c>
      <c r="D33" s="1731">
        <f t="shared" si="0"/>
        <v>74.882662494666477</v>
      </c>
      <c r="E33" s="3468">
        <v>622.9</v>
      </c>
      <c r="F33" s="1731">
        <f t="shared" ref="F33:F42" si="228">E33/C33*100</f>
        <v>118.30959164292499</v>
      </c>
      <c r="G33" s="3468">
        <v>634.1</v>
      </c>
      <c r="H33" s="1731">
        <f t="shared" si="2"/>
        <v>101.79804141916841</v>
      </c>
      <c r="I33" s="1602">
        <v>608.70000000000005</v>
      </c>
      <c r="J33" s="1602">
        <v>296.60000000000002</v>
      </c>
      <c r="K33" s="1602">
        <f>'цех стоки'!K49</f>
        <v>412.80813156428934</v>
      </c>
      <c r="L33" s="1602">
        <f>'цех стоки'!L49</f>
        <v>847.9</v>
      </c>
      <c r="M33" s="1734">
        <f t="shared" si="19"/>
        <v>133.71707932502758</v>
      </c>
      <c r="N33" s="1602">
        <v>737</v>
      </c>
      <c r="O33" s="1605">
        <f t="shared" si="20"/>
        <v>121.07770658781007</v>
      </c>
      <c r="P33" s="1602">
        <f>'цех стоки'!P49</f>
        <v>697.8</v>
      </c>
      <c r="Q33" s="1605">
        <f t="shared" si="21"/>
        <v>114.6377525874815</v>
      </c>
      <c r="R33" s="1605">
        <f t="shared" si="176"/>
        <v>82.297440735935837</v>
      </c>
      <c r="S33" s="1602">
        <v>619</v>
      </c>
      <c r="T33" s="1602"/>
      <c r="U33" s="1602">
        <v>745.9</v>
      </c>
      <c r="V33" s="1602"/>
      <c r="W33" s="1602">
        <v>981.12</v>
      </c>
      <c r="X33" s="1602"/>
      <c r="Y33" s="1602">
        <f>'цех стоки'!X49</f>
        <v>730.61322970801143</v>
      </c>
      <c r="Z33" s="1602">
        <f>Y33</f>
        <v>730.61322970801143</v>
      </c>
      <c r="AA33" s="1602"/>
      <c r="AB33" s="1602">
        <f>'цех стоки'!AA49</f>
        <v>658</v>
      </c>
      <c r="AC33" s="1602">
        <f>SUM(AC65/AB65)*AB33</f>
        <v>652.28352799033428</v>
      </c>
      <c r="AD33" s="1602">
        <f>AB33-AC33</f>
        <v>5.716472009665722</v>
      </c>
      <c r="AE33" s="1602">
        <v>673.48</v>
      </c>
      <c r="AF33" s="1602">
        <f t="shared" si="23"/>
        <v>0.92180099211884703</v>
      </c>
      <c r="AG33" s="1602">
        <v>673.48</v>
      </c>
      <c r="AH33" s="1602">
        <v>0</v>
      </c>
      <c r="AI33" s="1602">
        <f>'цех стоки'!AC49</f>
        <v>690.17495043218662</v>
      </c>
      <c r="AJ33" s="1602">
        <f t="shared" si="24"/>
        <v>0.94465159179777525</v>
      </c>
      <c r="AK33" s="1602">
        <f>SUM('цех стоки'!X100)</f>
        <v>690.17495043218662</v>
      </c>
      <c r="AL33" s="1602">
        <f>SUM('цех стоки'!Y100)</f>
        <v>0</v>
      </c>
      <c r="AM33" s="1606" t="e">
        <f>#REF!</f>
        <v>#REF!</v>
      </c>
      <c r="AN33" s="1606">
        <v>0</v>
      </c>
      <c r="AO33" s="1606" t="e">
        <f t="shared" si="25"/>
        <v>#REF!</v>
      </c>
      <c r="AP33" s="1602">
        <f>SUM('цех стоки'!AE49)</f>
        <v>355.56</v>
      </c>
      <c r="AQ33" s="1602">
        <f>SUM(AQ65/AP65)*AP33</f>
        <v>353.50207045979624</v>
      </c>
      <c r="AR33" s="1602">
        <f>AP33-AQ33</f>
        <v>2.0579295402037587</v>
      </c>
      <c r="AS33" s="1602">
        <f>SUM('цех стоки'!AF49)</f>
        <v>549.54</v>
      </c>
      <c r="AT33" s="1602">
        <f>SUM(AT65/AS65)*AS33</f>
        <v>545.53736905559265</v>
      </c>
      <c r="AU33" s="1602">
        <f>AS33-AT33</f>
        <v>4.0026309444073149</v>
      </c>
      <c r="AV33" s="1602">
        <v>1002.59</v>
      </c>
      <c r="AW33" s="1605">
        <f t="shared" ref="AW33" si="229">SUM(AV33/AI33)</f>
        <v>1.4526606614340023</v>
      </c>
      <c r="AX33" s="1602">
        <f>SUM(AX65/AV65)*AV33</f>
        <v>994.50692484883393</v>
      </c>
      <c r="AY33" s="1602">
        <f>AV33-AX33</f>
        <v>8.0830751511660992</v>
      </c>
      <c r="AZ33" s="1602">
        <f>SUM('цех стоки'!AH49)</f>
        <v>767.20424131112384</v>
      </c>
      <c r="BA33" s="1596">
        <f t="shared" si="30"/>
        <v>1.1116083549985429</v>
      </c>
      <c r="BB33" s="1602">
        <f>SUM(BB65/AZ65)*AZ33</f>
        <v>763.01155373140386</v>
      </c>
      <c r="BC33" s="1602">
        <f>AZ33-BB33</f>
        <v>4.1926875797199727</v>
      </c>
      <c r="BD33" s="1602">
        <f t="shared" si="185"/>
        <v>847.58</v>
      </c>
      <c r="BE33" s="1602">
        <v>841.86</v>
      </c>
      <c r="BF33" s="1602">
        <v>5.72</v>
      </c>
      <c r="BG33" s="1602">
        <f t="shared" si="213"/>
        <v>935.15</v>
      </c>
      <c r="BH33" s="1602">
        <v>929.53</v>
      </c>
      <c r="BI33" s="1602">
        <v>5.62</v>
      </c>
      <c r="BJ33" s="1602">
        <f t="shared" si="214"/>
        <v>1055.124</v>
      </c>
      <c r="BK33" s="1602">
        <v>1055.124</v>
      </c>
      <c r="BL33" s="1602">
        <v>0</v>
      </c>
      <c r="BM33" s="1602">
        <f t="shared" si="215"/>
        <v>1295.18</v>
      </c>
      <c r="BN33" s="1602">
        <v>1295.18</v>
      </c>
      <c r="BO33" s="1602">
        <v>0</v>
      </c>
      <c r="BP33" s="1602">
        <f t="shared" si="216"/>
        <v>1756.44</v>
      </c>
      <c r="BQ33" s="1602">
        <v>1746.21</v>
      </c>
      <c r="BR33" s="1602">
        <v>10.23</v>
      </c>
      <c r="BS33" s="1602">
        <f>'цех стоки'!AN49</f>
        <v>1249.8006716269299</v>
      </c>
      <c r="BT33" s="1602">
        <f>BS33</f>
        <v>1249.8006716269299</v>
      </c>
      <c r="BU33" s="1602">
        <v>0</v>
      </c>
      <c r="BV33" s="1602">
        <f>SUM('цех стоки'!AO49)</f>
        <v>1749.0683213168738</v>
      </c>
      <c r="BW33" s="1602">
        <f>BV33</f>
        <v>1749.0683213168738</v>
      </c>
      <c r="BX33" s="1602">
        <v>0</v>
      </c>
      <c r="BY33" s="3600" t="str">
        <f>BY26</f>
        <v>Приложение</v>
      </c>
      <c r="BZ33" s="394"/>
      <c r="CA33" s="394"/>
      <c r="CB33" s="394"/>
      <c r="CC33" s="394"/>
      <c r="CD33" s="394"/>
      <c r="CE33" s="394"/>
      <c r="CF33" s="394"/>
      <c r="CG33" s="394"/>
      <c r="CH33" s="394"/>
      <c r="CI33" s="394"/>
      <c r="CJ33" s="394"/>
      <c r="CK33" s="1602">
        <f>SUM('цех стоки'!AP49)</f>
        <v>1274.4217448579798</v>
      </c>
      <c r="CL33" s="1602">
        <f>CK33</f>
        <v>1274.4217448579798</v>
      </c>
      <c r="CM33" s="1602">
        <v>0</v>
      </c>
      <c r="CN33" s="1602">
        <f t="shared" si="220"/>
        <v>911.61500000000001</v>
      </c>
      <c r="CO33" s="1602">
        <f>SUM('цех стоки'!AQ49)</f>
        <v>911.61500000000001</v>
      </c>
      <c r="CP33" s="1602">
        <v>0</v>
      </c>
      <c r="CQ33" s="1602">
        <f t="shared" si="221"/>
        <v>1295.3</v>
      </c>
      <c r="CR33" s="1602">
        <f>SUM('цех стоки'!AR49)</f>
        <v>1295.3</v>
      </c>
      <c r="CS33" s="1602">
        <v>0</v>
      </c>
      <c r="CT33" s="1602">
        <f t="shared" si="222"/>
        <v>1605.76</v>
      </c>
      <c r="CU33" s="1602">
        <f>SUM('цех стоки'!AS49)</f>
        <v>1605.76</v>
      </c>
      <c r="CV33" s="1602">
        <v>0</v>
      </c>
      <c r="CW33" s="2371">
        <f t="shared" si="223"/>
        <v>2355.133149519278</v>
      </c>
      <c r="CX33" s="2371">
        <f>SUM('цех стоки'!AT49)</f>
        <v>2355.133149519278</v>
      </c>
      <c r="CY33" s="2371">
        <v>0</v>
      </c>
      <c r="CZ33" s="4101">
        <f t="shared" si="224"/>
        <v>2449.6229229834853</v>
      </c>
      <c r="DA33" s="4101">
        <f>SUM('цех стоки'!AU49)</f>
        <v>2449.6229229834853</v>
      </c>
      <c r="DB33" s="4101">
        <v>0</v>
      </c>
      <c r="DC33" s="2371">
        <f t="shared" si="225"/>
        <v>659.2</v>
      </c>
      <c r="DD33" s="2371">
        <f>SUM('цех стоки'!AY49)</f>
        <v>659.2</v>
      </c>
      <c r="DE33" s="2371">
        <v>0</v>
      </c>
      <c r="DF33" s="2371">
        <f t="shared" si="226"/>
        <v>925.96</v>
      </c>
      <c r="DG33" s="2371">
        <f>SUM('цех стоки'!AZ49)</f>
        <v>925.96</v>
      </c>
      <c r="DH33" s="2371">
        <v>0</v>
      </c>
      <c r="DI33" s="3487">
        <f t="shared" si="227"/>
        <v>0</v>
      </c>
      <c r="DJ33" s="3487">
        <f>SUM('цех стоки'!BH49)</f>
        <v>0</v>
      </c>
      <c r="DK33" s="3487">
        <v>0</v>
      </c>
    </row>
    <row r="34" spans="1:115" ht="20.25" customHeight="1" x14ac:dyDescent="0.2">
      <c r="A34" s="3616" t="s">
        <v>523</v>
      </c>
      <c r="B34" s="1728">
        <f>SUM(B35:B41)</f>
        <v>5314.8</v>
      </c>
      <c r="C34" s="1729">
        <f>SUM(C35:C41)</f>
        <v>5623.9</v>
      </c>
      <c r="D34" s="1730">
        <f t="shared" si="0"/>
        <v>105.81583502671783</v>
      </c>
      <c r="E34" s="1606">
        <f>SUM(E35:E41)-E40</f>
        <v>7123.4000000000005</v>
      </c>
      <c r="F34" s="1606">
        <f>SUM(F35:F41)</f>
        <v>913.65189698036852</v>
      </c>
      <c r="G34" s="1606">
        <v>12529.9</v>
      </c>
      <c r="H34" s="1605"/>
      <c r="I34" s="1606">
        <f>I35+I37+I38+I39+I41</f>
        <v>11227.5098</v>
      </c>
      <c r="J34" s="1606">
        <f>SUM(J35:J41)</f>
        <v>5757.3238488674342</v>
      </c>
      <c r="K34" s="1606">
        <f>SUM(K35:K41)-K40</f>
        <v>8391.3600740438869</v>
      </c>
      <c r="L34" s="1606">
        <f>SUM(L35:L41)-L40</f>
        <v>11925.999999999998</v>
      </c>
      <c r="M34" s="1605">
        <f t="shared" si="19"/>
        <v>95.180328653859959</v>
      </c>
      <c r="N34" s="1606">
        <v>16741.8</v>
      </c>
      <c r="O34" s="1605">
        <f t="shared" si="20"/>
        <v>149.11409830165545</v>
      </c>
      <c r="P34" s="1606">
        <f>P35+P37+P38+P39+P41</f>
        <v>12235.25798464</v>
      </c>
      <c r="Q34" s="1606">
        <f t="shared" ref="Q34:AK34" si="230">Q35+Q37+Q38+Q39+Q41</f>
        <v>543.11165966081455</v>
      </c>
      <c r="R34" s="1606">
        <f t="shared" si="230"/>
        <v>719.07045660461495</v>
      </c>
      <c r="S34" s="1606">
        <f t="shared" si="230"/>
        <v>12517.6</v>
      </c>
      <c r="T34" s="1606">
        <f t="shared" si="230"/>
        <v>0</v>
      </c>
      <c r="U34" s="1606">
        <f t="shared" si="230"/>
        <v>9500.4</v>
      </c>
      <c r="V34" s="1606">
        <f t="shared" si="230"/>
        <v>0</v>
      </c>
      <c r="W34" s="1606">
        <f t="shared" si="230"/>
        <v>17090.59</v>
      </c>
      <c r="X34" s="1606"/>
      <c r="Y34" s="1606" t="e">
        <f t="shared" si="230"/>
        <v>#REF!</v>
      </c>
      <c r="Z34" s="1606" t="e">
        <f t="shared" si="230"/>
        <v>#REF!</v>
      </c>
      <c r="AA34" s="1606">
        <f t="shared" si="230"/>
        <v>0</v>
      </c>
      <c r="AB34" s="1606">
        <f t="shared" ref="AB34:AD34" si="231">AB35+AB37+AB38+AB39+AB41</f>
        <v>11982.7</v>
      </c>
      <c r="AC34" s="1606">
        <f t="shared" si="231"/>
        <v>11982.7</v>
      </c>
      <c r="AD34" s="1606">
        <f t="shared" si="231"/>
        <v>0</v>
      </c>
      <c r="AE34" s="1606">
        <v>15733.22</v>
      </c>
      <c r="AF34" s="1602" t="e">
        <f t="shared" si="23"/>
        <v>#REF!</v>
      </c>
      <c r="AG34" s="1606">
        <v>15733.22</v>
      </c>
      <c r="AH34" s="1606">
        <v>0</v>
      </c>
      <c r="AI34" s="1606">
        <f>AI35+AI37+AI38+AI39+AI41</f>
        <v>14124.397647353169</v>
      </c>
      <c r="AJ34" s="1602" t="e">
        <f t="shared" si="24"/>
        <v>#REF!</v>
      </c>
      <c r="AK34" s="1606">
        <f t="shared" si="230"/>
        <v>14124.397647353169</v>
      </c>
      <c r="AL34" s="1606">
        <f>AL35+AL37+AL38+AL39+AL41</f>
        <v>0</v>
      </c>
      <c r="AM34" s="1606" t="e">
        <f>#REF!</f>
        <v>#REF!</v>
      </c>
      <c r="AN34" s="1606">
        <v>0</v>
      </c>
      <c r="AO34" s="1606" t="e">
        <f t="shared" si="25"/>
        <v>#REF!</v>
      </c>
      <c r="AP34" s="1606">
        <f t="shared" ref="AP34:BC34" si="232">AP35+AP37+AP38+AP39+AP41</f>
        <v>5196.55</v>
      </c>
      <c r="AQ34" s="1606">
        <f t="shared" si="232"/>
        <v>5196.55</v>
      </c>
      <c r="AR34" s="1606">
        <f t="shared" si="232"/>
        <v>0</v>
      </c>
      <c r="AS34" s="1606">
        <f t="shared" si="232"/>
        <v>7853.18</v>
      </c>
      <c r="AT34" s="1606">
        <f t="shared" si="232"/>
        <v>7853.18</v>
      </c>
      <c r="AU34" s="1606">
        <f t="shared" si="232"/>
        <v>0</v>
      </c>
      <c r="AV34" s="1606">
        <f t="shared" si="232"/>
        <v>16901.098910000001</v>
      </c>
      <c r="AW34" s="1605">
        <f t="shared" si="47"/>
        <v>1.1965890037914055</v>
      </c>
      <c r="AX34" s="1606">
        <f t="shared" si="232"/>
        <v>16901.098910000001</v>
      </c>
      <c r="AY34" s="1606">
        <f t="shared" si="232"/>
        <v>0</v>
      </c>
      <c r="AZ34" s="1606">
        <f t="shared" si="232"/>
        <v>13151.996497389971</v>
      </c>
      <c r="BA34" s="1596">
        <f t="shared" si="30"/>
        <v>0.93115450483331441</v>
      </c>
      <c r="BB34" s="1606">
        <f t="shared" si="232"/>
        <v>13151.996497389971</v>
      </c>
      <c r="BC34" s="1606">
        <f t="shared" si="232"/>
        <v>0</v>
      </c>
      <c r="BD34" s="1606">
        <f t="shared" ref="BD34:BF34" si="233">BD35+BD37+BD38+BD39+BD41</f>
        <v>12825.269999999999</v>
      </c>
      <c r="BE34" s="1606">
        <f t="shared" si="233"/>
        <v>12825.269999999999</v>
      </c>
      <c r="BF34" s="1606">
        <f t="shared" si="233"/>
        <v>0</v>
      </c>
      <c r="BG34" s="1606">
        <f t="shared" ref="BG34:BI34" si="234">BG35+BG37+BG38+BG39+BG41</f>
        <v>12698.41</v>
      </c>
      <c r="BH34" s="1606">
        <f t="shared" si="234"/>
        <v>12698.41</v>
      </c>
      <c r="BI34" s="1606">
        <f t="shared" si="234"/>
        <v>0</v>
      </c>
      <c r="BJ34" s="1606">
        <f t="shared" ref="BJ34:BL34" si="235">BJ35+BJ37+BJ38+BJ39+BJ41</f>
        <v>14090.9</v>
      </c>
      <c r="BK34" s="1606">
        <f t="shared" si="235"/>
        <v>14090.9</v>
      </c>
      <c r="BL34" s="1606">
        <f t="shared" si="235"/>
        <v>0</v>
      </c>
      <c r="BM34" s="1606">
        <f t="shared" ref="BM34:BO34" si="236">BM35+BM37+BM38+BM39+BM41</f>
        <v>12930.99</v>
      </c>
      <c r="BN34" s="1606">
        <f t="shared" si="236"/>
        <v>12930.99</v>
      </c>
      <c r="BO34" s="1606">
        <f t="shared" si="236"/>
        <v>0</v>
      </c>
      <c r="BP34" s="1606">
        <f t="shared" ref="BP34:BR34" si="237">BP35+BP37+BP38+BP39+BP41</f>
        <v>17091.93</v>
      </c>
      <c r="BQ34" s="1606">
        <f t="shared" si="237"/>
        <v>17091.93</v>
      </c>
      <c r="BR34" s="1606">
        <f t="shared" si="237"/>
        <v>0</v>
      </c>
      <c r="BS34" s="1606">
        <f t="shared" ref="BS34:BU34" si="238">BS35+BS37+BS38+BS39+BS41</f>
        <v>15059.4956506622</v>
      </c>
      <c r="BT34" s="1606">
        <f t="shared" si="238"/>
        <v>15059.4956506622</v>
      </c>
      <c r="BU34" s="1606">
        <f t="shared" si="238"/>
        <v>0</v>
      </c>
      <c r="BV34" s="1606">
        <f t="shared" ref="BV34:BX34" si="239">BV35+BV37+BV38+BV39+BV41</f>
        <v>16085.392793077295</v>
      </c>
      <c r="BW34" s="1606">
        <f t="shared" si="239"/>
        <v>16085.392793077295</v>
      </c>
      <c r="BX34" s="1606">
        <f t="shared" si="239"/>
        <v>0</v>
      </c>
      <c r="BY34" s="3600"/>
      <c r="BZ34" s="394"/>
      <c r="CA34" s="394"/>
      <c r="CB34" s="394"/>
      <c r="CC34" s="394"/>
      <c r="CD34" s="394"/>
      <c r="CE34" s="394"/>
      <c r="CF34" s="394"/>
      <c r="CG34" s="394"/>
      <c r="CH34" s="394"/>
      <c r="CI34" s="394"/>
      <c r="CJ34" s="394"/>
      <c r="CK34" s="1606">
        <f t="shared" ref="CK34:CM34" si="240">CK35+CK37+CK38+CK39+CK41</f>
        <v>15290.806349980245</v>
      </c>
      <c r="CL34" s="1606">
        <f t="shared" si="240"/>
        <v>15290.806349980245</v>
      </c>
      <c r="CM34" s="1606">
        <f t="shared" si="240"/>
        <v>0</v>
      </c>
      <c r="CN34" s="1606">
        <f t="shared" ref="CN34:CP34" si="241">CN35+CN37+CN38+CN39+CN41</f>
        <v>6110.6350000000002</v>
      </c>
      <c r="CO34" s="1606">
        <f t="shared" si="241"/>
        <v>6110.6350000000002</v>
      </c>
      <c r="CP34" s="1606">
        <f t="shared" si="241"/>
        <v>0</v>
      </c>
      <c r="CQ34" s="1606">
        <f t="shared" ref="CQ34:CS34" si="242">CQ35+CQ37+CQ38+CQ39+CQ41</f>
        <v>9780.5049999999992</v>
      </c>
      <c r="CR34" s="1606">
        <f t="shared" si="242"/>
        <v>9780.5049999999992</v>
      </c>
      <c r="CS34" s="1606">
        <f t="shared" si="242"/>
        <v>0</v>
      </c>
      <c r="CT34" s="1606">
        <f t="shared" ref="CT34:CV34" si="243">CT35+CT37+CT38+CT39+CT41</f>
        <v>13097.359999999999</v>
      </c>
      <c r="CU34" s="1606">
        <f t="shared" si="243"/>
        <v>13097.359999999999</v>
      </c>
      <c r="CV34" s="1606">
        <f t="shared" si="243"/>
        <v>0</v>
      </c>
      <c r="CW34" s="2374">
        <f t="shared" ref="CW34:CY34" si="244">CW35+CW37+CW38+CW39+CW41</f>
        <v>18499.427536177158</v>
      </c>
      <c r="CX34" s="2374">
        <f t="shared" si="244"/>
        <v>18499.427536177158</v>
      </c>
      <c r="CY34" s="2374">
        <f t="shared" si="244"/>
        <v>0</v>
      </c>
      <c r="CZ34" s="4103">
        <f t="shared" ref="CZ34:DB34" si="245">CZ35+CZ37+CZ38+CZ39+CZ41</f>
        <v>16799.413373074774</v>
      </c>
      <c r="DA34" s="4103">
        <f t="shared" si="245"/>
        <v>16799.413373074774</v>
      </c>
      <c r="DB34" s="4103">
        <f t="shared" si="245"/>
        <v>0</v>
      </c>
      <c r="DC34" s="2374">
        <f t="shared" ref="DC34:DK34" si="246">DC35+DC37+DC38+DC39+DC41</f>
        <v>6688.5259999999989</v>
      </c>
      <c r="DD34" s="2374">
        <f t="shared" si="246"/>
        <v>6688.5259999999989</v>
      </c>
      <c r="DE34" s="2374">
        <f t="shared" si="246"/>
        <v>0</v>
      </c>
      <c r="DF34" s="2374">
        <f t="shared" si="246"/>
        <v>10186</v>
      </c>
      <c r="DG34" s="2374">
        <f t="shared" si="246"/>
        <v>10186</v>
      </c>
      <c r="DH34" s="2374">
        <f t="shared" si="246"/>
        <v>0</v>
      </c>
      <c r="DI34" s="3489">
        <f t="shared" si="246"/>
        <v>1301.17</v>
      </c>
      <c r="DJ34" s="3489">
        <f t="shared" si="246"/>
        <v>1301.17</v>
      </c>
      <c r="DK34" s="3489">
        <f t="shared" si="246"/>
        <v>0</v>
      </c>
    </row>
    <row r="35" spans="1:115" ht="21" customHeight="1" x14ac:dyDescent="0.2">
      <c r="A35" s="3494" t="s">
        <v>2</v>
      </c>
      <c r="B35" s="3599">
        <v>1184.9000000000001</v>
      </c>
      <c r="C35" s="3468">
        <v>1102.8</v>
      </c>
      <c r="D35" s="1731">
        <f t="shared" si="0"/>
        <v>93.071145244324399</v>
      </c>
      <c r="E35" s="3468">
        <v>1090</v>
      </c>
      <c r="F35" s="1731">
        <f t="shared" si="228"/>
        <v>98.839318099383391</v>
      </c>
      <c r="G35" s="3468" t="e">
        <f>Аморт!#REF!</f>
        <v>#REF!</v>
      </c>
      <c r="H35" s="1731" t="e">
        <f t="shared" si="2"/>
        <v>#REF!</v>
      </c>
      <c r="I35" s="1602">
        <v>2025</v>
      </c>
      <c r="J35" s="1602">
        <v>1460.8</v>
      </c>
      <c r="K35" s="1602">
        <v>2699.1</v>
      </c>
      <c r="L35" s="1602">
        <v>3595</v>
      </c>
      <c r="M35" s="1605" t="e">
        <f t="shared" si="19"/>
        <v>#REF!</v>
      </c>
      <c r="N35" s="1602" t="e">
        <f>Аморт!#REF!</f>
        <v>#REF!</v>
      </c>
      <c r="O35" s="1605" t="e">
        <f t="shared" si="20"/>
        <v>#REF!</v>
      </c>
      <c r="P35" s="1602">
        <v>2025</v>
      </c>
      <c r="Q35" s="1605">
        <f t="shared" si="21"/>
        <v>100</v>
      </c>
      <c r="R35" s="1605">
        <f t="shared" si="176"/>
        <v>56.328233657858142</v>
      </c>
      <c r="S35" s="1602">
        <v>2025</v>
      </c>
      <c r="T35" s="1602"/>
      <c r="U35" s="1602">
        <v>2658.5</v>
      </c>
      <c r="V35" s="1602"/>
      <c r="W35" s="1602">
        <v>3595</v>
      </c>
      <c r="X35" s="1602"/>
      <c r="Y35" s="1602" t="e">
        <f>Аморт!G17</f>
        <v>#REF!</v>
      </c>
      <c r="Z35" s="1602" t="e">
        <f t="shared" ref="Z35:Z41" si="247">Y35</f>
        <v>#REF!</v>
      </c>
      <c r="AA35" s="1602"/>
      <c r="AB35" s="1602">
        <f>SUM(Аморт!L17)</f>
        <v>3567.6</v>
      </c>
      <c r="AC35" s="1602">
        <f t="shared" ref="AC35" si="248">AB35</f>
        <v>3567.6</v>
      </c>
      <c r="AD35" s="1602">
        <v>0</v>
      </c>
      <c r="AE35" s="1602">
        <v>3562.4</v>
      </c>
      <c r="AF35" s="1602" t="e">
        <f t="shared" si="23"/>
        <v>#REF!</v>
      </c>
      <c r="AG35" s="1602">
        <v>3562.4</v>
      </c>
      <c r="AH35" s="1602">
        <v>0</v>
      </c>
      <c r="AI35" s="1602">
        <f>Аморт!O17</f>
        <v>3562.4</v>
      </c>
      <c r="AJ35" s="1602" t="e">
        <f t="shared" si="24"/>
        <v>#REF!</v>
      </c>
      <c r="AK35" s="1602">
        <f>AI35</f>
        <v>3562.4</v>
      </c>
      <c r="AL35" s="1602"/>
      <c r="AM35" s="1606" t="e">
        <f>#REF!</f>
        <v>#REF!</v>
      </c>
      <c r="AN35" s="1606">
        <v>0</v>
      </c>
      <c r="AO35" s="1606" t="e">
        <f t="shared" si="25"/>
        <v>#REF!</v>
      </c>
      <c r="AP35" s="1602">
        <f>SUM(Аморт!Q17)</f>
        <v>1790.52</v>
      </c>
      <c r="AQ35" s="1602">
        <f t="shared" ref="AQ35" si="249">AP35</f>
        <v>1790.52</v>
      </c>
      <c r="AR35" s="1602">
        <v>0</v>
      </c>
      <c r="AS35" s="1602">
        <f>SUM(Аморт!R17)</f>
        <v>2713.05</v>
      </c>
      <c r="AT35" s="1602">
        <f t="shared" ref="AT35" si="250">AS35</f>
        <v>2713.05</v>
      </c>
      <c r="AU35" s="1602">
        <v>0</v>
      </c>
      <c r="AV35" s="1602">
        <f>SUM(Аморт!T17)</f>
        <v>3562.4</v>
      </c>
      <c r="AW35" s="1605">
        <f t="shared" si="47"/>
        <v>1</v>
      </c>
      <c r="AX35" s="1602">
        <f>SUM(AV35)</f>
        <v>3562.4</v>
      </c>
      <c r="AY35" s="1602">
        <v>0</v>
      </c>
      <c r="AZ35" s="1602">
        <f>SUM(Аморт!U17)</f>
        <v>3562.4</v>
      </c>
      <c r="BA35" s="1596">
        <f t="shared" si="30"/>
        <v>1</v>
      </c>
      <c r="BB35" s="1602">
        <f>SUM(AZ35)</f>
        <v>3562.4</v>
      </c>
      <c r="BC35" s="1602">
        <v>0</v>
      </c>
      <c r="BD35" s="1602">
        <f t="shared" si="185"/>
        <v>3912.88</v>
      </c>
      <c r="BE35" s="1602">
        <v>3912.88</v>
      </c>
      <c r="BF35" s="1602">
        <v>0</v>
      </c>
      <c r="BG35" s="1602">
        <f t="shared" ref="BG35:BG39" si="251">BH35+BI35</f>
        <v>3925.45</v>
      </c>
      <c r="BH35" s="1602">
        <v>3925.45</v>
      </c>
      <c r="BI35" s="1602">
        <v>0</v>
      </c>
      <c r="BJ35" s="1602">
        <f t="shared" ref="BJ35:BJ39" si="252">BK35+BL35</f>
        <v>3912.88</v>
      </c>
      <c r="BK35" s="1602">
        <v>3912.88</v>
      </c>
      <c r="BL35" s="1602">
        <v>0</v>
      </c>
      <c r="BM35" s="1602">
        <f t="shared" ref="BM35:BM39" si="253">BN35+BO35</f>
        <v>3937.42</v>
      </c>
      <c r="BN35" s="1602">
        <v>3937.42</v>
      </c>
      <c r="BO35" s="1602">
        <v>0</v>
      </c>
      <c r="BP35" s="1602">
        <f t="shared" ref="BP35:BP39" si="254">BQ35+BR35</f>
        <v>3925.45</v>
      </c>
      <c r="BQ35" s="1602">
        <v>3925.45</v>
      </c>
      <c r="BR35" s="1602">
        <v>0</v>
      </c>
      <c r="BS35" s="1602">
        <f t="shared" ref="BS35:BS39" si="255">BT35+BU35</f>
        <v>3925.45</v>
      </c>
      <c r="BT35" s="1602">
        <f>Аморт!AM17</f>
        <v>3925.45</v>
      </c>
      <c r="BU35" s="1602">
        <v>0</v>
      </c>
      <c r="BV35" s="1602">
        <f t="shared" ref="BV35:BV36" si="256">BW35+BX35</f>
        <v>3937.42</v>
      </c>
      <c r="BW35" s="1602">
        <f>SUM(Аморт!AS17)</f>
        <v>3937.42</v>
      </c>
      <c r="BX35" s="1602">
        <v>0</v>
      </c>
      <c r="BY35" s="3600" t="str">
        <f>BY32</f>
        <v>Приложение</v>
      </c>
      <c r="BZ35" s="394"/>
      <c r="CA35" s="394"/>
      <c r="CB35" s="394"/>
      <c r="CC35" s="394"/>
      <c r="CD35" s="394"/>
      <c r="CE35" s="394"/>
      <c r="CF35" s="394"/>
      <c r="CG35" s="394"/>
      <c r="CH35" s="394"/>
      <c r="CI35" s="394"/>
      <c r="CJ35" s="394"/>
      <c r="CK35" s="1602">
        <f t="shared" ref="CK35:CK36" si="257">CL35+CM35</f>
        <v>3937.42</v>
      </c>
      <c r="CL35" s="1602">
        <f>SUM(Аморт!AT17)</f>
        <v>3937.42</v>
      </c>
      <c r="CM35" s="1602">
        <v>0</v>
      </c>
      <c r="CN35" s="1602">
        <f t="shared" ref="CN35:CN37" si="258">CO35+CP35</f>
        <v>1973.89</v>
      </c>
      <c r="CO35" s="1602">
        <f>SUM(Аморт!AV17)</f>
        <v>1973.89</v>
      </c>
      <c r="CP35" s="1602">
        <f>SUM(Аморт!AW17)</f>
        <v>0</v>
      </c>
      <c r="CQ35" s="1602">
        <f t="shared" ref="CQ35:CQ37" si="259">CR35+CS35</f>
        <v>2982.19</v>
      </c>
      <c r="CR35" s="1602">
        <f>SUM(Аморт!AY17)</f>
        <v>2982.19</v>
      </c>
      <c r="CS35" s="1602">
        <f>SUM(Аморт!AZ17)</f>
        <v>0</v>
      </c>
      <c r="CT35" s="1602">
        <f t="shared" ref="CT35:CT39" si="260">CU35+CV35</f>
        <v>4007.33</v>
      </c>
      <c r="CU35" s="1602">
        <f>SUM(Аморт!BB17)</f>
        <v>4007.33</v>
      </c>
      <c r="CV35" s="1602">
        <f>SUM(Аморт!BC17)</f>
        <v>0</v>
      </c>
      <c r="CW35" s="2371">
        <f t="shared" ref="CW35:CW39" si="261">CX35+CY35</f>
        <v>4007.33</v>
      </c>
      <c r="CX35" s="2371">
        <f>SUM(Аморт!BD17)</f>
        <v>4007.33</v>
      </c>
      <c r="CY35" s="2371">
        <f>SUM(Аморт!BF17)</f>
        <v>0</v>
      </c>
      <c r="CZ35" s="4101">
        <f t="shared" ref="CZ35:CZ39" si="262">DA35+DB35</f>
        <v>3997.9905385636621</v>
      </c>
      <c r="DA35" s="4101">
        <f>SUM(Аморт!BE17)</f>
        <v>3997.9905385636621</v>
      </c>
      <c r="DB35" s="4101">
        <v>0</v>
      </c>
      <c r="DC35" s="2371">
        <f t="shared" ref="DC35:DC39" si="263">DD35+DE35</f>
        <v>2057.556</v>
      </c>
      <c r="DD35" s="2371">
        <f>SUM(Аморт!BJ17)</f>
        <v>2057.556</v>
      </c>
      <c r="DE35" s="2371">
        <v>0</v>
      </c>
      <c r="DF35" s="2371">
        <f t="shared" ref="DF35:DF39" si="264">DG35+DH35</f>
        <v>3093.25</v>
      </c>
      <c r="DG35" s="2371">
        <f>SUM(Аморт!BM17)</f>
        <v>3093.25</v>
      </c>
      <c r="DH35" s="2371">
        <f>SUM(Аморт!BO17)</f>
        <v>0</v>
      </c>
      <c r="DI35" s="3487">
        <f t="shared" ref="DI35:DI39" si="265">DJ35+DK35</f>
        <v>0</v>
      </c>
      <c r="DJ35" s="3487">
        <f>SUM(Аморт!BQ17)</f>
        <v>0</v>
      </c>
      <c r="DK35" s="3487">
        <f>SUM(Аморт!BR17)</f>
        <v>0</v>
      </c>
    </row>
    <row r="36" spans="1:115" ht="21" customHeight="1" x14ac:dyDescent="0.2">
      <c r="A36" s="3494" t="s">
        <v>68</v>
      </c>
      <c r="B36" s="3599">
        <v>9.1</v>
      </c>
      <c r="C36" s="3468">
        <v>9</v>
      </c>
      <c r="D36" s="1731">
        <f t="shared" si="0"/>
        <v>98.901098901098905</v>
      </c>
      <c r="E36" s="3468">
        <v>9.8000000000000007</v>
      </c>
      <c r="F36" s="1731">
        <f t="shared" si="228"/>
        <v>108.8888888888889</v>
      </c>
      <c r="G36" s="3468"/>
      <c r="H36" s="1731">
        <f t="shared" si="2"/>
        <v>0</v>
      </c>
      <c r="I36" s="1602"/>
      <c r="J36" s="1602">
        <v>14.8</v>
      </c>
      <c r="K36" s="1602">
        <v>7.8</v>
      </c>
      <c r="L36" s="1602">
        <v>10.1</v>
      </c>
      <c r="M36" s="1605"/>
      <c r="N36" s="1602"/>
      <c r="O36" s="1605"/>
      <c r="P36" s="1602"/>
      <c r="Q36" s="1605"/>
      <c r="R36" s="1605">
        <f t="shared" si="176"/>
        <v>0</v>
      </c>
      <c r="S36" s="1602"/>
      <c r="T36" s="1602"/>
      <c r="U36" s="1602"/>
      <c r="V36" s="1602"/>
      <c r="W36" s="1602">
        <v>0</v>
      </c>
      <c r="X36" s="1602"/>
      <c r="Y36" s="1602">
        <v>0</v>
      </c>
      <c r="Z36" s="1602">
        <f t="shared" si="247"/>
        <v>0</v>
      </c>
      <c r="AA36" s="1602"/>
      <c r="AB36" s="1602">
        <v>0</v>
      </c>
      <c r="AC36" s="1602">
        <v>0</v>
      </c>
      <c r="AD36" s="1602">
        <v>0</v>
      </c>
      <c r="AE36" s="1602">
        <v>0</v>
      </c>
      <c r="AF36" s="1602"/>
      <c r="AG36" s="1602">
        <v>0</v>
      </c>
      <c r="AH36" s="1602">
        <v>0</v>
      </c>
      <c r="AI36" s="1602">
        <f>Y36</f>
        <v>0</v>
      </c>
      <c r="AJ36" s="1602"/>
      <c r="AK36" s="1602"/>
      <c r="AL36" s="1602"/>
      <c r="AM36" s="1606" t="e">
        <f>#REF!</f>
        <v>#REF!</v>
      </c>
      <c r="AN36" s="1606">
        <v>0</v>
      </c>
      <c r="AO36" s="1606" t="e">
        <f t="shared" si="25"/>
        <v>#REF!</v>
      </c>
      <c r="AP36" s="1602">
        <v>0</v>
      </c>
      <c r="AQ36" s="1602">
        <v>0</v>
      </c>
      <c r="AR36" s="1602">
        <v>0</v>
      </c>
      <c r="AS36" s="1602">
        <v>0</v>
      </c>
      <c r="AT36" s="1602">
        <v>0</v>
      </c>
      <c r="AU36" s="1602">
        <v>0</v>
      </c>
      <c r="AV36" s="1602">
        <v>0</v>
      </c>
      <c r="AW36" s="1605">
        <v>0</v>
      </c>
      <c r="AX36" s="1602">
        <v>0</v>
      </c>
      <c r="AY36" s="1602">
        <v>0</v>
      </c>
      <c r="AZ36" s="1602">
        <v>0</v>
      </c>
      <c r="BA36" s="1596">
        <v>0</v>
      </c>
      <c r="BB36" s="1602">
        <v>0</v>
      </c>
      <c r="BC36" s="1602">
        <v>0</v>
      </c>
      <c r="BD36" s="1602">
        <f t="shared" si="185"/>
        <v>0</v>
      </c>
      <c r="BE36" s="1602">
        <v>0</v>
      </c>
      <c r="BF36" s="1602">
        <v>0</v>
      </c>
      <c r="BG36" s="1602">
        <f t="shared" si="251"/>
        <v>0</v>
      </c>
      <c r="BH36" s="1602">
        <v>0</v>
      </c>
      <c r="BI36" s="1602">
        <v>0</v>
      </c>
      <c r="BJ36" s="1602">
        <f t="shared" si="252"/>
        <v>0</v>
      </c>
      <c r="BK36" s="1602">
        <v>0</v>
      </c>
      <c r="BL36" s="1602">
        <v>0</v>
      </c>
      <c r="BM36" s="1602">
        <f t="shared" si="253"/>
        <v>0</v>
      </c>
      <c r="BN36" s="1602">
        <v>0</v>
      </c>
      <c r="BO36" s="1602">
        <v>0</v>
      </c>
      <c r="BP36" s="1602">
        <f t="shared" si="254"/>
        <v>0</v>
      </c>
      <c r="BQ36" s="1602">
        <v>0</v>
      </c>
      <c r="BR36" s="1602">
        <v>0</v>
      </c>
      <c r="BS36" s="1602">
        <f t="shared" si="255"/>
        <v>0</v>
      </c>
      <c r="BT36" s="1602">
        <v>0</v>
      </c>
      <c r="BU36" s="1602">
        <v>0</v>
      </c>
      <c r="BV36" s="1602">
        <f t="shared" si="256"/>
        <v>0</v>
      </c>
      <c r="BW36" s="1602">
        <v>0</v>
      </c>
      <c r="BX36" s="1602">
        <v>0</v>
      </c>
      <c r="BY36" s="3600"/>
      <c r="BZ36" s="394"/>
      <c r="CA36" s="394"/>
      <c r="CB36" s="394"/>
      <c r="CC36" s="394"/>
      <c r="CD36" s="394"/>
      <c r="CE36" s="394"/>
      <c r="CF36" s="394"/>
      <c r="CG36" s="394"/>
      <c r="CH36" s="394"/>
      <c r="CI36" s="394"/>
      <c r="CJ36" s="394"/>
      <c r="CK36" s="1602">
        <f t="shared" si="257"/>
        <v>0</v>
      </c>
      <c r="CL36" s="1602">
        <v>0</v>
      </c>
      <c r="CM36" s="1602">
        <v>0</v>
      </c>
      <c r="CN36" s="1602">
        <f t="shared" si="258"/>
        <v>0</v>
      </c>
      <c r="CO36" s="1602">
        <v>0</v>
      </c>
      <c r="CP36" s="1602">
        <v>0</v>
      </c>
      <c r="CQ36" s="1602">
        <f t="shared" si="259"/>
        <v>0</v>
      </c>
      <c r="CR36" s="1602">
        <v>0</v>
      </c>
      <c r="CS36" s="1602">
        <v>0</v>
      </c>
      <c r="CT36" s="1602">
        <f t="shared" si="260"/>
        <v>0</v>
      </c>
      <c r="CU36" s="1602">
        <v>0</v>
      </c>
      <c r="CV36" s="1602">
        <v>0</v>
      </c>
      <c r="CW36" s="2371">
        <f t="shared" si="261"/>
        <v>0</v>
      </c>
      <c r="CX36" s="2371">
        <v>0</v>
      </c>
      <c r="CY36" s="2371">
        <v>0</v>
      </c>
      <c r="CZ36" s="4101">
        <f t="shared" si="262"/>
        <v>0</v>
      </c>
      <c r="DA36" s="4101">
        <v>0</v>
      </c>
      <c r="DB36" s="4101">
        <v>0</v>
      </c>
      <c r="DC36" s="2371">
        <f t="shared" si="263"/>
        <v>0</v>
      </c>
      <c r="DD36" s="2371">
        <v>0</v>
      </c>
      <c r="DE36" s="2371">
        <v>0</v>
      </c>
      <c r="DF36" s="2371">
        <f t="shared" si="264"/>
        <v>0</v>
      </c>
      <c r="DG36" s="2371">
        <v>0</v>
      </c>
      <c r="DH36" s="2371">
        <v>0</v>
      </c>
      <c r="DI36" s="3487">
        <f t="shared" si="265"/>
        <v>0</v>
      </c>
      <c r="DJ36" s="3487">
        <v>0</v>
      </c>
      <c r="DK36" s="3487">
        <v>0</v>
      </c>
    </row>
    <row r="37" spans="1:115" s="2803" customFormat="1" ht="27.75" customHeight="1" x14ac:dyDescent="0.2">
      <c r="A37" s="3494" t="s">
        <v>3</v>
      </c>
      <c r="B37" s="3599">
        <v>160.5</v>
      </c>
      <c r="C37" s="3468">
        <v>209.5</v>
      </c>
      <c r="D37" s="1731">
        <f t="shared" si="0"/>
        <v>130.52959501557632</v>
      </c>
      <c r="E37" s="3468">
        <v>596.1</v>
      </c>
      <c r="F37" s="1731">
        <f t="shared" si="228"/>
        <v>284.53460620525061</v>
      </c>
      <c r="G37" s="3468" t="e">
        <f>G34-G35-G38-G39-G41</f>
        <v>#REF!</v>
      </c>
      <c r="H37" s="1731" t="e">
        <f t="shared" si="2"/>
        <v>#REF!</v>
      </c>
      <c r="I37" s="1602">
        <v>735.9</v>
      </c>
      <c r="J37" s="1602">
        <v>344.8</v>
      </c>
      <c r="K37" s="1602">
        <v>224.8</v>
      </c>
      <c r="L37" s="1602">
        <v>250.9</v>
      </c>
      <c r="M37" s="1605" t="e">
        <f t="shared" si="19"/>
        <v>#REF!</v>
      </c>
      <c r="N37" s="1602" t="e">
        <f>N34-N35-N38-N39-N41</f>
        <v>#REF!</v>
      </c>
      <c r="O37" s="1605" t="e">
        <f t="shared" si="20"/>
        <v>#REF!</v>
      </c>
      <c r="P37" s="1602">
        <f>I37*1.049</f>
        <v>771.95909999999992</v>
      </c>
      <c r="Q37" s="1605">
        <f t="shared" si="21"/>
        <v>104.89999999999999</v>
      </c>
      <c r="R37" s="1605">
        <f t="shared" si="176"/>
        <v>307.6760063770426</v>
      </c>
      <c r="S37" s="1602">
        <v>772</v>
      </c>
      <c r="T37" s="1602"/>
      <c r="U37" s="1602">
        <v>114.9</v>
      </c>
      <c r="V37" s="1602"/>
      <c r="W37" s="1602">
        <v>842</v>
      </c>
      <c r="X37" s="1602"/>
      <c r="Y37" s="1602">
        <v>0</v>
      </c>
      <c r="Z37" s="1602">
        <f t="shared" si="247"/>
        <v>0</v>
      </c>
      <c r="AA37" s="1602"/>
      <c r="AB37" s="1602">
        <f>SUM(AC37:AD37)</f>
        <v>50.4</v>
      </c>
      <c r="AC37" s="1602">
        <v>50.4</v>
      </c>
      <c r="AD37" s="1602">
        <v>0</v>
      </c>
      <c r="AE37" s="1602">
        <v>730</v>
      </c>
      <c r="AF37" s="1602"/>
      <c r="AG37" s="1602">
        <v>730</v>
      </c>
      <c r="AH37" s="1602">
        <v>0</v>
      </c>
      <c r="AI37" s="1602">
        <v>0</v>
      </c>
      <c r="AJ37" s="1602"/>
      <c r="AK37" s="1602">
        <f>AI37</f>
        <v>0</v>
      </c>
      <c r="AL37" s="1602"/>
      <c r="AM37" s="1606" t="e">
        <f>#REF!</f>
        <v>#REF!</v>
      </c>
      <c r="AN37" s="1606">
        <v>0</v>
      </c>
      <c r="AO37" s="1606" t="e">
        <f t="shared" si="25"/>
        <v>#REF!</v>
      </c>
      <c r="AP37" s="1602">
        <f>SUM(AQ37:AR37)</f>
        <v>0</v>
      </c>
      <c r="AQ37" s="1602">
        <v>0</v>
      </c>
      <c r="AR37" s="1602">
        <v>0</v>
      </c>
      <c r="AS37" s="1602">
        <f>SUM(AT37:AU37)</f>
        <v>0</v>
      </c>
      <c r="AT37" s="1602">
        <v>0</v>
      </c>
      <c r="AU37" s="1602">
        <v>0</v>
      </c>
      <c r="AV37" s="1602">
        <v>168.81</v>
      </c>
      <c r="AW37" s="1605"/>
      <c r="AX37" s="1602">
        <v>168.81</v>
      </c>
      <c r="AY37" s="1602">
        <v>0</v>
      </c>
      <c r="AZ37" s="1602">
        <f>SUM(BB37:BC37)</f>
        <v>168.81355932203391</v>
      </c>
      <c r="BA37" s="1596"/>
      <c r="BB37" s="1602">
        <f>'Кап Рем'!G13</f>
        <v>168.81355932203391</v>
      </c>
      <c r="BC37" s="1602">
        <v>0</v>
      </c>
      <c r="BD37" s="1602">
        <f t="shared" si="185"/>
        <v>335.88</v>
      </c>
      <c r="BE37" s="1602">
        <v>335.88</v>
      </c>
      <c r="BF37" s="1602">
        <v>0</v>
      </c>
      <c r="BG37" s="1602">
        <f t="shared" si="251"/>
        <v>174.81</v>
      </c>
      <c r="BH37" s="1602">
        <v>174.81</v>
      </c>
      <c r="BI37" s="1602">
        <v>0</v>
      </c>
      <c r="BJ37" s="1602">
        <f t="shared" si="252"/>
        <v>188.42</v>
      </c>
      <c r="BK37" s="1602">
        <v>188.42</v>
      </c>
      <c r="BL37" s="1602">
        <v>0</v>
      </c>
      <c r="BM37" s="1602">
        <f t="shared" si="253"/>
        <v>431.05</v>
      </c>
      <c r="BN37" s="1602">
        <v>431.05</v>
      </c>
      <c r="BO37" s="1602">
        <v>0</v>
      </c>
      <c r="BP37" s="1602">
        <f t="shared" si="254"/>
        <v>1202.8599999999999</v>
      </c>
      <c r="BQ37" s="1602">
        <v>1202.8599999999999</v>
      </c>
      <c r="BR37" s="1602">
        <v>0</v>
      </c>
      <c r="BS37" s="1602">
        <f>ремонты!E40</f>
        <v>752.84633000000008</v>
      </c>
      <c r="BT37" s="1602">
        <f>BS37</f>
        <v>752.84633000000008</v>
      </c>
      <c r="BU37" s="1602">
        <v>0</v>
      </c>
      <c r="BV37" s="1602">
        <f>SUM('рем программа'!I36:J36)</f>
        <v>779.6024885682001</v>
      </c>
      <c r="BW37" s="1602">
        <f>BV37</f>
        <v>779.6024885682001</v>
      </c>
      <c r="BX37" s="1602">
        <v>0</v>
      </c>
      <c r="BY37" s="3600" t="s">
        <v>3495</v>
      </c>
      <c r="BZ37" s="394"/>
      <c r="CA37" s="394"/>
      <c r="CB37" s="394"/>
      <c r="CC37" s="394"/>
      <c r="CD37" s="394"/>
      <c r="CE37" s="394"/>
      <c r="CF37" s="394"/>
      <c r="CG37" s="394"/>
      <c r="CH37" s="394"/>
      <c r="CI37" s="394"/>
      <c r="CJ37" s="394"/>
      <c r="CK37" s="1602">
        <f>SUM('рем программа'!K36)</f>
        <v>767.67740270100012</v>
      </c>
      <c r="CL37" s="1602">
        <f>SUM(CK37)</f>
        <v>767.67740270100012</v>
      </c>
      <c r="CM37" s="1602">
        <v>0</v>
      </c>
      <c r="CN37" s="1602">
        <f t="shared" si="258"/>
        <v>267.86</v>
      </c>
      <c r="CO37" s="1602">
        <f>SUM('рем программа'!L36)</f>
        <v>267.86</v>
      </c>
      <c r="CP37" s="1602">
        <v>0</v>
      </c>
      <c r="CQ37" s="1602">
        <f t="shared" si="259"/>
        <v>480.74</v>
      </c>
      <c r="CR37" s="1602">
        <f>SUM('рем программа'!M36)</f>
        <v>480.74</v>
      </c>
      <c r="CS37" s="1602">
        <v>0</v>
      </c>
      <c r="CT37" s="1602">
        <f t="shared" si="260"/>
        <v>678.24</v>
      </c>
      <c r="CU37" s="1602">
        <f>SUM('рем программа'!N36)</f>
        <v>678.24</v>
      </c>
      <c r="CV37" s="1602">
        <v>0</v>
      </c>
      <c r="CW37" s="2371">
        <f t="shared" si="261"/>
        <v>1321.4629494000001</v>
      </c>
      <c r="CX37" s="2371">
        <f>SUM('рем программа'!O36)</f>
        <v>1321.4629494000001</v>
      </c>
      <c r="CY37" s="2371">
        <v>0</v>
      </c>
      <c r="CZ37" s="4101">
        <f t="shared" si="262"/>
        <v>788.89335264432009</v>
      </c>
      <c r="DA37" s="4101">
        <f>SUM('рем программа'!P36)</f>
        <v>788.89335264432009</v>
      </c>
      <c r="DB37" s="4101">
        <v>0</v>
      </c>
      <c r="DC37" s="2371">
        <f t="shared" si="263"/>
        <v>114.47499999999999</v>
      </c>
      <c r="DD37" s="2371">
        <f>SUM('рем программа'!Q36)</f>
        <v>114.47499999999999</v>
      </c>
      <c r="DE37" s="2371">
        <v>0</v>
      </c>
      <c r="DF37" s="2371">
        <f t="shared" si="264"/>
        <v>243.505</v>
      </c>
      <c r="DG37" s="2371">
        <f>SUM('рем программа'!R36)</f>
        <v>243.505</v>
      </c>
      <c r="DH37" s="2371">
        <v>0</v>
      </c>
      <c r="DI37" s="3487">
        <f t="shared" si="265"/>
        <v>0</v>
      </c>
      <c r="DJ37" s="3487">
        <f>SUM('рем программа'!AC36)</f>
        <v>0</v>
      </c>
      <c r="DK37" s="3487">
        <v>0</v>
      </c>
    </row>
    <row r="38" spans="1:115" ht="21" customHeight="1" x14ac:dyDescent="0.2">
      <c r="A38" s="3494" t="s">
        <v>4</v>
      </c>
      <c r="B38" s="3599">
        <v>2374.9</v>
      </c>
      <c r="C38" s="3468">
        <v>2766.9</v>
      </c>
      <c r="D38" s="1731">
        <f t="shared" si="0"/>
        <v>116.50595814560614</v>
      </c>
      <c r="E38" s="3468">
        <v>2966.8</v>
      </c>
      <c r="F38" s="1731">
        <f t="shared" si="228"/>
        <v>107.22469189345478</v>
      </c>
      <c r="G38" s="3468">
        <v>4252.5</v>
      </c>
      <c r="H38" s="1731">
        <f t="shared" si="2"/>
        <v>143.33625455035727</v>
      </c>
      <c r="I38" s="1602">
        <v>4819.8999999999996</v>
      </c>
      <c r="J38" s="1602">
        <v>2154.4</v>
      </c>
      <c r="K38" s="1602">
        <v>3078.5</v>
      </c>
      <c r="L38" s="1602">
        <v>4557.5</v>
      </c>
      <c r="M38" s="1605">
        <f t="shared" si="19"/>
        <v>107.17225161669606</v>
      </c>
      <c r="N38" s="1602">
        <f>ЗП!AF18</f>
        <v>6581.9040000000005</v>
      </c>
      <c r="O38" s="1605">
        <f t="shared" si="20"/>
        <v>136.55685802610014</v>
      </c>
      <c r="P38" s="1602">
        <f>ЗП!AP18</f>
        <v>5162.1343200000001</v>
      </c>
      <c r="Q38" s="1605">
        <f t="shared" si="21"/>
        <v>107.10044440756033</v>
      </c>
      <c r="R38" s="1605">
        <f t="shared" si="176"/>
        <v>113.26679802523314</v>
      </c>
      <c r="S38" s="1602">
        <v>5162.1000000000004</v>
      </c>
      <c r="T38" s="1602"/>
      <c r="U38" s="1602">
        <v>3781.1</v>
      </c>
      <c r="V38" s="1602"/>
      <c r="W38" s="1602">
        <v>6778.1</v>
      </c>
      <c r="X38" s="1602"/>
      <c r="Y38" s="1602">
        <f>ЗП!U35</f>
        <v>4303.5898752000003</v>
      </c>
      <c r="Z38" s="1602">
        <f t="shared" si="247"/>
        <v>4303.5898752000003</v>
      </c>
      <c r="AA38" s="1602"/>
      <c r="AB38" s="1602">
        <v>4690</v>
      </c>
      <c r="AC38" s="1602">
        <f>SUM(AB38)</f>
        <v>4690</v>
      </c>
      <c r="AD38" s="1602">
        <v>0</v>
      </c>
      <c r="AE38" s="1602">
        <v>6778.1</v>
      </c>
      <c r="AF38" s="1602">
        <f t="shared" si="23"/>
        <v>1.5749874399184012</v>
      </c>
      <c r="AG38" s="1602">
        <v>6778.1</v>
      </c>
      <c r="AH38" s="1602">
        <v>0</v>
      </c>
      <c r="AI38" s="1602">
        <f>ЗП!BB35</f>
        <v>6064.6157894736843</v>
      </c>
      <c r="AJ38" s="1602">
        <f t="shared" si="24"/>
        <v>1.4091992883480431</v>
      </c>
      <c r="AK38" s="1602">
        <f>AI38</f>
        <v>6064.6157894736843</v>
      </c>
      <c r="AL38" s="1602">
        <f>AA38*1.05</f>
        <v>0</v>
      </c>
      <c r="AM38" s="1606" t="e">
        <f>#REF!</f>
        <v>#REF!</v>
      </c>
      <c r="AN38" s="1606">
        <v>0</v>
      </c>
      <c r="AO38" s="1606" t="e">
        <f t="shared" si="25"/>
        <v>#REF!</v>
      </c>
      <c r="AP38" s="1602">
        <f>SUM(ЗП!BG35)</f>
        <v>2164</v>
      </c>
      <c r="AQ38" s="1602">
        <f>SUM(AP38)</f>
        <v>2164</v>
      </c>
      <c r="AR38" s="1602">
        <v>0</v>
      </c>
      <c r="AS38" s="1602">
        <f>SUM(ЗП!BK35)</f>
        <v>3339</v>
      </c>
      <c r="AT38" s="1602">
        <f>SUM(AS38)</f>
        <v>3339</v>
      </c>
      <c r="AU38" s="1602">
        <v>0</v>
      </c>
      <c r="AV38" s="1602">
        <f>SUM(ЗП!BO35)</f>
        <v>7455.91</v>
      </c>
      <c r="AW38" s="1605">
        <f t="shared" si="47"/>
        <v>1.2294117647058822</v>
      </c>
      <c r="AX38" s="1602">
        <f>SUM(AV38)</f>
        <v>7455.91</v>
      </c>
      <c r="AY38" s="1602">
        <v>0</v>
      </c>
      <c r="AZ38" s="1602">
        <f>SUM(ЗП!BS35)</f>
        <v>5210.6322580645156</v>
      </c>
      <c r="BA38" s="1596">
        <f t="shared" si="30"/>
        <v>0.85918588067995627</v>
      </c>
      <c r="BB38" s="1602">
        <f>SUM(AZ38)</f>
        <v>5210.6322580645156</v>
      </c>
      <c r="BC38" s="1602">
        <v>0</v>
      </c>
      <c r="BD38" s="1602">
        <f t="shared" si="185"/>
        <v>4641.97</v>
      </c>
      <c r="BE38" s="1602">
        <v>4641.97</v>
      </c>
      <c r="BF38" s="1602">
        <v>0</v>
      </c>
      <c r="BG38" s="1602">
        <f t="shared" si="251"/>
        <v>4788.53</v>
      </c>
      <c r="BH38" s="1602">
        <v>4788.53</v>
      </c>
      <c r="BI38" s="1602">
        <v>0</v>
      </c>
      <c r="BJ38" s="1602">
        <f t="shared" si="252"/>
        <v>5815.7</v>
      </c>
      <c r="BK38" s="1602">
        <v>5815.7</v>
      </c>
      <c r="BL38" s="1602">
        <v>0</v>
      </c>
      <c r="BM38" s="1602">
        <f t="shared" si="253"/>
        <v>4408.58</v>
      </c>
      <c r="BN38" s="1602">
        <v>4408.58</v>
      </c>
      <c r="BO38" s="1602">
        <v>0</v>
      </c>
      <c r="BP38" s="1602">
        <f t="shared" si="254"/>
        <v>6087.71</v>
      </c>
      <c r="BQ38" s="1602">
        <v>6087.71</v>
      </c>
      <c r="BR38" s="1602">
        <v>0</v>
      </c>
      <c r="BS38" s="1602">
        <f t="shared" si="255"/>
        <v>5548.7836799999995</v>
      </c>
      <c r="BT38" s="1602">
        <f>ЗП!CR35</f>
        <v>5548.7836799999995</v>
      </c>
      <c r="BU38" s="1602">
        <v>0</v>
      </c>
      <c r="BV38" s="1602">
        <f t="shared" ref="BV38" si="266">BW38+BX38</f>
        <v>5804.0277292799992</v>
      </c>
      <c r="BW38" s="1602">
        <f>SUM(ЗП!CU35)</f>
        <v>5804.0277292799992</v>
      </c>
      <c r="BX38" s="1602">
        <v>0</v>
      </c>
      <c r="BY38" s="3600" t="str">
        <f>BY29</f>
        <v>Приложение</v>
      </c>
      <c r="BZ38" s="394"/>
      <c r="CA38" s="394"/>
      <c r="CB38" s="394"/>
      <c r="CC38" s="394"/>
      <c r="CD38" s="394"/>
      <c r="CE38" s="394"/>
      <c r="CF38" s="394"/>
      <c r="CG38" s="394"/>
      <c r="CH38" s="394"/>
      <c r="CI38" s="394"/>
      <c r="CJ38" s="394"/>
      <c r="CK38" s="1602">
        <f>SUM(ЗП!CX35)</f>
        <v>5658.0947184960005</v>
      </c>
      <c r="CL38" s="1602">
        <f>SUM(CK38)</f>
        <v>5658.0947184960005</v>
      </c>
      <c r="CM38" s="1602">
        <v>0</v>
      </c>
      <c r="CN38" s="1602">
        <f t="shared" ref="CN38:CN39" si="267">CO38+CP38</f>
        <v>1961.26</v>
      </c>
      <c r="CO38" s="1602">
        <f>SUM(ЗП!DA35)</f>
        <v>1961.26</v>
      </c>
      <c r="CP38" s="1602">
        <v>0</v>
      </c>
      <c r="CQ38" s="1602">
        <f t="shared" ref="CQ38:CQ39" si="268">CR38+CS38</f>
        <v>3269.41</v>
      </c>
      <c r="CR38" s="1602">
        <f>SUM(ЗП!DD35)</f>
        <v>3269.41</v>
      </c>
      <c r="CS38" s="1602">
        <v>0</v>
      </c>
      <c r="CT38" s="1602">
        <f t="shared" si="260"/>
        <v>4222.8999999999996</v>
      </c>
      <c r="CU38" s="1602">
        <f>SUM(ЗП!DG35)</f>
        <v>4222.8999999999996</v>
      </c>
      <c r="CV38" s="1602">
        <v>0</v>
      </c>
      <c r="CW38" s="2371">
        <f t="shared" si="261"/>
        <v>6833.2385088000001</v>
      </c>
      <c r="CX38" s="2371">
        <f>SUM(ЗП!DJ35)</f>
        <v>6833.2385088000001</v>
      </c>
      <c r="CY38" s="2371">
        <v>0</v>
      </c>
      <c r="CZ38" s="4101">
        <f t="shared" si="262"/>
        <v>5814.4365549754757</v>
      </c>
      <c r="DA38" s="4101">
        <f>SUM(ЗП!DM35)</f>
        <v>5814.4365549754757</v>
      </c>
      <c r="DB38" s="4101">
        <v>0</v>
      </c>
      <c r="DC38" s="2371">
        <f t="shared" si="263"/>
        <v>2158.2399999999998</v>
      </c>
      <c r="DD38" s="2371">
        <f>SUM(ЗП!DR35)</f>
        <v>2158.2399999999998</v>
      </c>
      <c r="DE38" s="2371">
        <v>0</v>
      </c>
      <c r="DF38" s="2371">
        <f t="shared" si="264"/>
        <v>3286.0949999999998</v>
      </c>
      <c r="DG38" s="2371">
        <f>SUM(ЗП!DU35)</f>
        <v>3286.0949999999998</v>
      </c>
      <c r="DH38" s="2371">
        <v>0</v>
      </c>
      <c r="DI38" s="3487">
        <f t="shared" si="265"/>
        <v>15</v>
      </c>
      <c r="DJ38" s="3487">
        <f>SUM(ЗП!DV35)</f>
        <v>15</v>
      </c>
      <c r="DK38" s="3487">
        <v>0</v>
      </c>
    </row>
    <row r="39" spans="1:115" ht="21" customHeight="1" x14ac:dyDescent="0.2">
      <c r="A39" s="3494" t="s">
        <v>114</v>
      </c>
      <c r="B39" s="3599">
        <v>606.79999999999995</v>
      </c>
      <c r="C39" s="3468">
        <v>710.5</v>
      </c>
      <c r="D39" s="1731">
        <f t="shared" si="0"/>
        <v>117.08965062623599</v>
      </c>
      <c r="E39" s="3468">
        <v>765</v>
      </c>
      <c r="F39" s="1731">
        <f t="shared" si="228"/>
        <v>107.67065446868402</v>
      </c>
      <c r="G39" s="3468">
        <f>G38*0.302</f>
        <v>1284.2549999999999</v>
      </c>
      <c r="H39" s="1731">
        <f t="shared" si="2"/>
        <v>167.87647058823526</v>
      </c>
      <c r="I39" s="1602">
        <f>I38*30.2/100</f>
        <v>1455.6097999999997</v>
      </c>
      <c r="J39" s="1602">
        <v>697.7</v>
      </c>
      <c r="K39" s="1602">
        <v>895.2</v>
      </c>
      <c r="L39" s="1602">
        <v>1327.3</v>
      </c>
      <c r="M39" s="1605">
        <f t="shared" si="19"/>
        <v>103.35174867919534</v>
      </c>
      <c r="N39" s="1602">
        <f>N38*0.302</f>
        <v>1987.7350080000001</v>
      </c>
      <c r="O39" s="1605">
        <f t="shared" si="20"/>
        <v>136.55685802610014</v>
      </c>
      <c r="P39" s="1602">
        <f>P38*30.2/100</f>
        <v>1558.9645646399999</v>
      </c>
      <c r="Q39" s="1605">
        <f t="shared" si="21"/>
        <v>107.10044440756035</v>
      </c>
      <c r="R39" s="1605">
        <f t="shared" si="176"/>
        <v>117.45382088751602</v>
      </c>
      <c r="S39" s="1602">
        <v>1559</v>
      </c>
      <c r="T39" s="1602"/>
      <c r="U39" s="1602">
        <v>1128.4000000000001</v>
      </c>
      <c r="V39" s="1602"/>
      <c r="W39" s="1602">
        <v>2046.99</v>
      </c>
      <c r="X39" s="1602"/>
      <c r="Y39" s="1602">
        <f>Y38*U40</f>
        <v>1284.3275277500413</v>
      </c>
      <c r="Z39" s="1602">
        <f t="shared" si="247"/>
        <v>1284.3275277500413</v>
      </c>
      <c r="AA39" s="1602"/>
      <c r="AB39" s="1602">
        <v>1397.5</v>
      </c>
      <c r="AC39" s="1602">
        <f>SUM(AB39)</f>
        <v>1397.5</v>
      </c>
      <c r="AD39" s="1602">
        <v>0</v>
      </c>
      <c r="AE39" s="1602">
        <v>2040.21</v>
      </c>
      <c r="AF39" s="1602">
        <f t="shared" si="23"/>
        <v>1.5885433862607905</v>
      </c>
      <c r="AG39" s="1602">
        <v>2040.21</v>
      </c>
      <c r="AH39" s="1602">
        <v>0</v>
      </c>
      <c r="AI39" s="1602">
        <f>AI38*Y40</f>
        <v>1809.8734381111599</v>
      </c>
      <c r="AJ39" s="1602">
        <f t="shared" si="24"/>
        <v>1.4091992883480431</v>
      </c>
      <c r="AK39" s="1602">
        <f>AK38*Z40</f>
        <v>1809.8734381111599</v>
      </c>
      <c r="AL39" s="1602">
        <f>AA39*1.05</f>
        <v>0</v>
      </c>
      <c r="AM39" s="1606" t="e">
        <f>#REF!</f>
        <v>#REF!</v>
      </c>
      <c r="AN39" s="1606">
        <v>0</v>
      </c>
      <c r="AO39" s="1606" t="e">
        <f t="shared" si="25"/>
        <v>#REF!</v>
      </c>
      <c r="AP39" s="1602">
        <v>0</v>
      </c>
      <c r="AQ39" s="1602">
        <f>SUM(AP39)</f>
        <v>0</v>
      </c>
      <c r="AR39" s="1602">
        <v>0</v>
      </c>
      <c r="AS39" s="1602">
        <v>0</v>
      </c>
      <c r="AT39" s="1602">
        <f>SUM(AS39)</f>
        <v>0</v>
      </c>
      <c r="AU39" s="1602">
        <v>0</v>
      </c>
      <c r="AV39" s="1603">
        <f t="shared" ref="AV39" si="269">SUM(AX39+AY39)</f>
        <v>2244.2289099999998</v>
      </c>
      <c r="AW39" s="1605">
        <f t="shared" ref="AW39:AW40" si="270">SUM(AV39/AI39)</f>
        <v>1.2399921799737261</v>
      </c>
      <c r="AX39" s="1602">
        <f>SUM(AX38*AE40)</f>
        <v>2244.2289099999998</v>
      </c>
      <c r="AY39" s="1602">
        <f>SUM(AY38*AE40)</f>
        <v>0</v>
      </c>
      <c r="AZ39" s="1603">
        <f t="shared" ref="AZ39" si="271">SUM(BB39+BC39)</f>
        <v>1555.0177038427971</v>
      </c>
      <c r="BA39" s="1596">
        <f t="shared" si="30"/>
        <v>0.85918588067995616</v>
      </c>
      <c r="BB39" s="1602">
        <f>BB38*BB40</f>
        <v>1555.0177038427971</v>
      </c>
      <c r="BC39" s="1602">
        <f>SUM(BC38*AV40)</f>
        <v>0</v>
      </c>
      <c r="BD39" s="1602">
        <f t="shared" si="185"/>
        <v>1416.48</v>
      </c>
      <c r="BE39" s="1602">
        <v>1416.48</v>
      </c>
      <c r="BF39" s="1602">
        <v>0</v>
      </c>
      <c r="BG39" s="1602">
        <f t="shared" si="251"/>
        <v>1457.64</v>
      </c>
      <c r="BH39" s="1602">
        <v>1457.64</v>
      </c>
      <c r="BI39" s="1602">
        <v>0</v>
      </c>
      <c r="BJ39" s="1602">
        <f t="shared" si="252"/>
        <v>1735.4</v>
      </c>
      <c r="BK39" s="1602">
        <v>1735.4</v>
      </c>
      <c r="BL39" s="1602">
        <v>0</v>
      </c>
      <c r="BM39" s="1602">
        <f t="shared" si="253"/>
        <v>1336.36</v>
      </c>
      <c r="BN39" s="1602">
        <v>1336.36</v>
      </c>
      <c r="BO39" s="1602">
        <v>0</v>
      </c>
      <c r="BP39" s="1602">
        <f t="shared" si="254"/>
        <v>1816.57</v>
      </c>
      <c r="BQ39" s="1602">
        <v>1816.57</v>
      </c>
      <c r="BR39" s="1602">
        <v>0</v>
      </c>
      <c r="BS39" s="1602">
        <f t="shared" si="255"/>
        <v>1689.0630409155212</v>
      </c>
      <c r="BT39" s="1602">
        <f>BT38*BG40</f>
        <v>1689.0630409155212</v>
      </c>
      <c r="BU39" s="1602">
        <v>0</v>
      </c>
      <c r="BV39" s="1602">
        <f>SUM(BV38*BV40)</f>
        <v>1759.3580010571702</v>
      </c>
      <c r="BW39" s="1602">
        <f>SUM(BW38*BW40)</f>
        <v>1759.3580010571702</v>
      </c>
      <c r="BX39" s="1602">
        <v>0</v>
      </c>
      <c r="BY39" s="3600" t="s">
        <v>241</v>
      </c>
      <c r="BZ39" s="394"/>
      <c r="CA39" s="394"/>
      <c r="CB39" s="394"/>
      <c r="CC39" s="394"/>
      <c r="CD39" s="394"/>
      <c r="CE39" s="394"/>
      <c r="CF39" s="394"/>
      <c r="CG39" s="394"/>
      <c r="CH39" s="394"/>
      <c r="CI39" s="394"/>
      <c r="CJ39" s="394"/>
      <c r="CK39" s="1602">
        <f>SUM(CK38*CK40)</f>
        <v>1722.3375828215571</v>
      </c>
      <c r="CL39" s="1602">
        <f>SUM(CL38*CL40)</f>
        <v>1722.3375828215571</v>
      </c>
      <c r="CM39" s="1602">
        <v>0</v>
      </c>
      <c r="CN39" s="1602">
        <f t="shared" si="267"/>
        <v>593.83000000000004</v>
      </c>
      <c r="CO39" s="1602">
        <v>593.83000000000004</v>
      </c>
      <c r="CP39" s="1602">
        <v>0</v>
      </c>
      <c r="CQ39" s="1602">
        <f t="shared" si="268"/>
        <v>995.61</v>
      </c>
      <c r="CR39" s="1602">
        <v>995.61</v>
      </c>
      <c r="CS39" s="1602">
        <v>0</v>
      </c>
      <c r="CT39" s="1602">
        <f t="shared" si="260"/>
        <v>1286.17</v>
      </c>
      <c r="CU39" s="1602">
        <v>1286.17</v>
      </c>
      <c r="CV39" s="1602">
        <v>0</v>
      </c>
      <c r="CW39" s="2371">
        <f t="shared" si="261"/>
        <v>2080.04</v>
      </c>
      <c r="CX39" s="2371">
        <v>2080.04</v>
      </c>
      <c r="CY39" s="2371">
        <v>0</v>
      </c>
      <c r="CZ39" s="4101">
        <f t="shared" si="262"/>
        <v>1769.928412267325</v>
      </c>
      <c r="DA39" s="4101">
        <f>SUM(DA38*DA40)</f>
        <v>1769.928412267325</v>
      </c>
      <c r="DB39" s="4101">
        <f>SUM(DB38*DB40)</f>
        <v>0</v>
      </c>
      <c r="DC39" s="2371">
        <f t="shared" si="263"/>
        <v>656.89499999999998</v>
      </c>
      <c r="DD39" s="2371">
        <v>656.89499999999998</v>
      </c>
      <c r="DE39" s="2371">
        <v>0</v>
      </c>
      <c r="DF39" s="2371">
        <f t="shared" si="264"/>
        <v>998.29</v>
      </c>
      <c r="DG39" s="2371">
        <v>998.29</v>
      </c>
      <c r="DH39" s="2371">
        <v>0</v>
      </c>
      <c r="DI39" s="3487">
        <f t="shared" si="265"/>
        <v>1286.17</v>
      </c>
      <c r="DJ39" s="3487">
        <v>1286.17</v>
      </c>
      <c r="DK39" s="3487">
        <v>0</v>
      </c>
    </row>
    <row r="40" spans="1:115" s="1737" customFormat="1" ht="21" customHeight="1" x14ac:dyDescent="0.2">
      <c r="A40" s="3474" t="str">
        <f>A31</f>
        <v>то же в %</v>
      </c>
      <c r="B40" s="3471"/>
      <c r="C40" s="1731"/>
      <c r="D40" s="1731"/>
      <c r="E40" s="1604">
        <f>E39/E38</f>
        <v>0.25785357961439936</v>
      </c>
      <c r="F40" s="1604">
        <f t="shared" ref="F40:Z40" si="272">F39/F38</f>
        <v>1.0041591406545833</v>
      </c>
      <c r="G40" s="1604">
        <f t="shared" si="272"/>
        <v>0.30199999999999999</v>
      </c>
      <c r="H40" s="1604"/>
      <c r="I40" s="1604">
        <f t="shared" si="272"/>
        <v>0.30199999999999999</v>
      </c>
      <c r="J40" s="1604">
        <f t="shared" si="272"/>
        <v>0.32384886743408836</v>
      </c>
      <c r="K40" s="1604">
        <f t="shared" si="272"/>
        <v>0.29079096962806561</v>
      </c>
      <c r="L40" s="1604">
        <f t="shared" si="272"/>
        <v>0.29123422929237519</v>
      </c>
      <c r="M40" s="1604">
        <f t="shared" si="272"/>
        <v>0.96435175262375905</v>
      </c>
      <c r="N40" s="1604">
        <f t="shared" si="272"/>
        <v>0.30199999999999999</v>
      </c>
      <c r="O40" s="1604">
        <f t="shared" si="272"/>
        <v>1</v>
      </c>
      <c r="P40" s="1604">
        <f t="shared" si="272"/>
        <v>0.30199999999999999</v>
      </c>
      <c r="Q40" s="1604">
        <f t="shared" si="272"/>
        <v>1.0000000000000002</v>
      </c>
      <c r="R40" s="1604">
        <f t="shared" si="272"/>
        <v>1.0369660212461387</v>
      </c>
      <c r="S40" s="1604">
        <f t="shared" si="272"/>
        <v>0.30200887235814877</v>
      </c>
      <c r="T40" s="1604"/>
      <c r="U40" s="1604">
        <f t="shared" si="272"/>
        <v>0.29843167332257814</v>
      </c>
      <c r="V40" s="1604"/>
      <c r="W40" s="1604">
        <f t="shared" si="272"/>
        <v>0.30200056062908481</v>
      </c>
      <c r="X40" s="1604"/>
      <c r="Y40" s="1604">
        <f t="shared" si="272"/>
        <v>0.29843167332257814</v>
      </c>
      <c r="Z40" s="1604">
        <f t="shared" si="272"/>
        <v>0.29843167332257814</v>
      </c>
      <c r="AA40" s="1604"/>
      <c r="AB40" s="1604">
        <f t="shared" ref="AB40:AC40" si="273">AB39/AB38</f>
        <v>0.29797441364605542</v>
      </c>
      <c r="AC40" s="1604">
        <f t="shared" si="273"/>
        <v>0.29797441364605542</v>
      </c>
      <c r="AD40" s="1604"/>
      <c r="AE40" s="1604">
        <v>0.30099999999999999</v>
      </c>
      <c r="AF40" s="1733"/>
      <c r="AG40" s="1604">
        <v>0.30099999999999999</v>
      </c>
      <c r="AH40" s="1604">
        <v>0</v>
      </c>
      <c r="AI40" s="1604">
        <f>AI39/AI38</f>
        <v>0.29843167332257814</v>
      </c>
      <c r="AJ40" s="1733"/>
      <c r="AK40" s="1604">
        <f>AK39/AK38</f>
        <v>0.29843167332257814</v>
      </c>
      <c r="AL40" s="1604"/>
      <c r="AM40" s="3739" t="e">
        <f>#REF!</f>
        <v>#REF!</v>
      </c>
      <c r="AN40" s="3739">
        <v>0</v>
      </c>
      <c r="AO40" s="3739" t="e">
        <f t="shared" si="25"/>
        <v>#REF!</v>
      </c>
      <c r="AP40" s="1604">
        <f>AP39/AP38</f>
        <v>0</v>
      </c>
      <c r="AQ40" s="1604">
        <f t="shared" ref="AQ40" si="274">AQ39/AQ38</f>
        <v>0</v>
      </c>
      <c r="AR40" s="1604"/>
      <c r="AS40" s="1604">
        <f>AS39/AS38</f>
        <v>0</v>
      </c>
      <c r="AT40" s="1604">
        <f t="shared" ref="AT40" si="275">AT39/AT38</f>
        <v>0</v>
      </c>
      <c r="AU40" s="1604"/>
      <c r="AV40" s="1604">
        <f>SUM(AV39/AV38)</f>
        <v>0.30099999999999999</v>
      </c>
      <c r="AW40" s="1604">
        <f t="shared" si="270"/>
        <v>1.0086060794044662</v>
      </c>
      <c r="AX40" s="1604">
        <f>SUM(AX39/AX38)</f>
        <v>0.30099999999999999</v>
      </c>
      <c r="AY40" s="1604"/>
      <c r="AZ40" s="1604">
        <f>Y40</f>
        <v>0.29843167332257814</v>
      </c>
      <c r="BA40" s="1596">
        <f t="shared" si="30"/>
        <v>1</v>
      </c>
      <c r="BB40" s="1604">
        <f>Z40</f>
        <v>0.29843167332257814</v>
      </c>
      <c r="BC40" s="1604"/>
      <c r="BD40" s="1604">
        <f>BD39/BD38</f>
        <v>0.30514630641731849</v>
      </c>
      <c r="BE40" s="1604">
        <f t="shared" ref="BE40" si="276">BE39/BE38</f>
        <v>0.30514630641731849</v>
      </c>
      <c r="BF40" s="1604">
        <v>0</v>
      </c>
      <c r="BG40" s="1604">
        <f>BG39/BG38</f>
        <v>0.30440239488945464</v>
      </c>
      <c r="BH40" s="1604">
        <f t="shared" ref="BH40" si="277">BH39/BH38</f>
        <v>0.30440239488945464</v>
      </c>
      <c r="BI40" s="1604">
        <v>0</v>
      </c>
      <c r="BJ40" s="1604">
        <f>BJ39/BJ38</f>
        <v>0.29839916089206803</v>
      </c>
      <c r="BK40" s="1604">
        <f t="shared" ref="BK40" si="278">BK39/BK38</f>
        <v>0.29839916089206803</v>
      </c>
      <c r="BL40" s="1604">
        <v>0</v>
      </c>
      <c r="BM40" s="1604">
        <f>BM39/BM38</f>
        <v>0.30312708400437327</v>
      </c>
      <c r="BN40" s="1604">
        <f t="shared" ref="BN40" si="279">BN39/BN38</f>
        <v>0.30312708400437327</v>
      </c>
      <c r="BO40" s="1604">
        <v>0</v>
      </c>
      <c r="BP40" s="1604">
        <f>BP39/BP38</f>
        <v>0.29839956239702614</v>
      </c>
      <c r="BQ40" s="1604">
        <f t="shared" ref="BQ40" si="280">BQ39/BQ38</f>
        <v>0.29839956239702614</v>
      </c>
      <c r="BR40" s="1604">
        <v>0</v>
      </c>
      <c r="BS40" s="1604">
        <f>BS39/BS38</f>
        <v>0.30440239488945464</v>
      </c>
      <c r="BT40" s="1604">
        <f t="shared" ref="BT40" si="281">BT39/BT38</f>
        <v>0.30440239488945464</v>
      </c>
      <c r="BU40" s="1604">
        <v>0</v>
      </c>
      <c r="BV40" s="1604">
        <f>SUM(BM40)</f>
        <v>0.30312708400437327</v>
      </c>
      <c r="BW40" s="1604">
        <f>SUM(BV40)</f>
        <v>0.30312708400437327</v>
      </c>
      <c r="BX40" s="1604">
        <v>0</v>
      </c>
      <c r="BY40" s="3608"/>
      <c r="BZ40" s="3741"/>
      <c r="CA40" s="3741"/>
      <c r="CB40" s="3741"/>
      <c r="CC40" s="3741"/>
      <c r="CD40" s="3741"/>
      <c r="CE40" s="3741"/>
      <c r="CF40" s="3741"/>
      <c r="CG40" s="3741"/>
      <c r="CH40" s="3741"/>
      <c r="CI40" s="3741"/>
      <c r="CJ40" s="3741"/>
      <c r="CK40" s="1604">
        <f>SUM(BS40)</f>
        <v>0.30440239488945464</v>
      </c>
      <c r="CL40" s="1604">
        <f>SUM(CK40)</f>
        <v>0.30440239488945464</v>
      </c>
      <c r="CM40" s="1604">
        <v>0</v>
      </c>
      <c r="CN40" s="1604">
        <f>SUM(CN39/CN38)</f>
        <v>0.30277984560945514</v>
      </c>
      <c r="CO40" s="1604">
        <f t="shared" ref="CO40:CR40" si="282">SUM(CO39/CO38)</f>
        <v>0.30277984560945514</v>
      </c>
      <c r="CP40" s="1604">
        <v>0</v>
      </c>
      <c r="CQ40" s="1604">
        <f t="shared" si="282"/>
        <v>0.30452283439519673</v>
      </c>
      <c r="CR40" s="1604">
        <f t="shared" si="282"/>
        <v>0.30452283439519673</v>
      </c>
      <c r="CS40" s="1604">
        <v>0</v>
      </c>
      <c r="CT40" s="1604">
        <f t="shared" ref="CT40:CU40" si="283">SUM(CT39/CT38)</f>
        <v>0.30457031897511194</v>
      </c>
      <c r="CU40" s="1604">
        <f t="shared" si="283"/>
        <v>0.30457031897511194</v>
      </c>
      <c r="CV40" s="1604">
        <v>0</v>
      </c>
      <c r="CW40" s="3651">
        <f t="shared" ref="CW40:CX40" si="284">SUM(CW39/CW38)</f>
        <v>0.30440032165148007</v>
      </c>
      <c r="CX40" s="3651">
        <f t="shared" si="284"/>
        <v>0.30440032165148007</v>
      </c>
      <c r="CY40" s="3651">
        <v>0</v>
      </c>
      <c r="CZ40" s="4102">
        <f>SUM(BS40)</f>
        <v>0.30440239488945464</v>
      </c>
      <c r="DA40" s="4102">
        <f t="shared" ref="DA40:DB40" si="285">SUM(BT40)</f>
        <v>0.30440239488945464</v>
      </c>
      <c r="DB40" s="4102">
        <f t="shared" si="285"/>
        <v>0</v>
      </c>
      <c r="DC40" s="3651">
        <f>SUM(DC39/DC38)</f>
        <v>0.30436605752835644</v>
      </c>
      <c r="DD40" s="3651">
        <f t="shared" ref="DD40" si="286">SUM(DD39/DD38)</f>
        <v>0.30436605752835644</v>
      </c>
      <c r="DE40" s="3651">
        <v>0</v>
      </c>
      <c r="DF40" s="3651">
        <f t="shared" ref="DF40:DG40" si="287">SUM(DF39/DF38)</f>
        <v>0.30379219103525612</v>
      </c>
      <c r="DG40" s="3651">
        <f t="shared" si="287"/>
        <v>0.30379219103525612</v>
      </c>
      <c r="DH40" s="3651">
        <v>0</v>
      </c>
      <c r="DI40" s="3733">
        <f t="shared" ref="DI40:DJ40" si="288">SUM(DI39/DI38)</f>
        <v>85.744666666666674</v>
      </c>
      <c r="DJ40" s="3733">
        <f t="shared" si="288"/>
        <v>85.744666666666674</v>
      </c>
      <c r="DK40" s="3733">
        <v>0</v>
      </c>
    </row>
    <row r="41" spans="1:115" ht="21" customHeight="1" x14ac:dyDescent="0.2">
      <c r="A41" s="3494" t="s">
        <v>6</v>
      </c>
      <c r="B41" s="3599">
        <v>978.6</v>
      </c>
      <c r="C41" s="3468">
        <v>825.2</v>
      </c>
      <c r="D41" s="1731">
        <f t="shared" si="0"/>
        <v>84.32454526875128</v>
      </c>
      <c r="E41" s="3468">
        <v>1695.7</v>
      </c>
      <c r="F41" s="1731">
        <f t="shared" si="228"/>
        <v>205.48957828405236</v>
      </c>
      <c r="G41" s="3468">
        <f>'цех стоки'!G45-стоки!G16-стоки!G26-стоки!G33</f>
        <v>2385.1000000000008</v>
      </c>
      <c r="H41" s="1731">
        <f t="shared" si="2"/>
        <v>140.65577637553815</v>
      </c>
      <c r="I41" s="1602">
        <v>2191.1</v>
      </c>
      <c r="J41" s="1602">
        <v>1084.5</v>
      </c>
      <c r="K41" s="1602">
        <f>'цех стоки'!K50</f>
        <v>1485.9600740438873</v>
      </c>
      <c r="L41" s="1602">
        <f>'цех стоки'!L50</f>
        <v>2185.1999999999998</v>
      </c>
      <c r="M41" s="1605">
        <f t="shared" si="19"/>
        <v>91.618800050312316</v>
      </c>
      <c r="N41" s="1602">
        <f>'цех стоки'!N50</f>
        <v>3571.6000000000022</v>
      </c>
      <c r="O41" s="1605">
        <f t="shared" si="20"/>
        <v>163.00488339190372</v>
      </c>
      <c r="P41" s="1602">
        <v>2717.2</v>
      </c>
      <c r="Q41" s="1605">
        <f t="shared" si="21"/>
        <v>124.01077084569394</v>
      </c>
      <c r="R41" s="1605">
        <f t="shared" si="176"/>
        <v>124.34559765696504</v>
      </c>
      <c r="S41" s="1602">
        <v>2999.5</v>
      </c>
      <c r="T41" s="1602"/>
      <c r="U41" s="1602">
        <v>1817.5</v>
      </c>
      <c r="V41" s="1602"/>
      <c r="W41" s="1602">
        <v>3828.5</v>
      </c>
      <c r="X41" s="1602"/>
      <c r="Y41" s="1602">
        <f>'цех стоки'!X50</f>
        <v>2844.973155291787</v>
      </c>
      <c r="Z41" s="1602">
        <f t="shared" si="247"/>
        <v>2844.973155291787</v>
      </c>
      <c r="AA41" s="1602"/>
      <c r="AB41" s="1602">
        <f>'цех стоки'!AA50</f>
        <v>2277.1999999999998</v>
      </c>
      <c r="AC41" s="1602">
        <f t="shared" ref="AC41" si="289">AB41</f>
        <v>2277.1999999999998</v>
      </c>
      <c r="AD41" s="1602">
        <v>0</v>
      </c>
      <c r="AE41" s="1602">
        <v>2622.51</v>
      </c>
      <c r="AF41" s="1602">
        <f t="shared" si="23"/>
        <v>0.92180483148742742</v>
      </c>
      <c r="AG41" s="1602">
        <v>2622.51</v>
      </c>
      <c r="AH41" s="1602">
        <v>0</v>
      </c>
      <c r="AI41" s="1602">
        <f>'цех стоки'!AC50</f>
        <v>2687.5084197683254</v>
      </c>
      <c r="AJ41" s="1602">
        <f t="shared" si="24"/>
        <v>0.94465159179777514</v>
      </c>
      <c r="AK41" s="1602">
        <f>SUM('цех стоки'!X113)</f>
        <v>2687.5084197683254</v>
      </c>
      <c r="AL41" s="1602">
        <f>SUM('цех стоки'!Y113)</f>
        <v>0</v>
      </c>
      <c r="AM41" s="1606" t="e">
        <f>#REF!</f>
        <v>#REF!</v>
      </c>
      <c r="AN41" s="1606">
        <v>0</v>
      </c>
      <c r="AO41" s="1606" t="e">
        <f t="shared" si="25"/>
        <v>#REF!</v>
      </c>
      <c r="AP41" s="1602">
        <f>SUM('цех стоки'!AE50)</f>
        <v>1242.03</v>
      </c>
      <c r="AQ41" s="1602">
        <f>SUM(AP41)</f>
        <v>1242.03</v>
      </c>
      <c r="AR41" s="1602">
        <v>0</v>
      </c>
      <c r="AS41" s="1602">
        <f>SUM('цех стоки'!AF50)</f>
        <v>1801.13</v>
      </c>
      <c r="AT41" s="1602">
        <f>SUM(AS41)</f>
        <v>1801.13</v>
      </c>
      <c r="AU41" s="1602">
        <v>0</v>
      </c>
      <c r="AV41" s="1602">
        <v>3469.75</v>
      </c>
      <c r="AW41" s="1605">
        <f>SUM(AV41/AI41)</f>
        <v>1.2910657226142224</v>
      </c>
      <c r="AX41" s="1602">
        <f>SUM(AV41)</f>
        <v>3469.75</v>
      </c>
      <c r="AY41" s="1602">
        <v>0</v>
      </c>
      <c r="AZ41" s="1602">
        <f>SUM('цех стоки'!AH50)</f>
        <v>2655.1329761606248</v>
      </c>
      <c r="BA41" s="1596">
        <f t="shared" si="30"/>
        <v>0.9879533610501241</v>
      </c>
      <c r="BB41" s="1602">
        <f>SUM(AZ41)</f>
        <v>2655.1329761606248</v>
      </c>
      <c r="BC41" s="1602">
        <v>0</v>
      </c>
      <c r="BD41" s="1602">
        <f t="shared" si="185"/>
        <v>2518.06</v>
      </c>
      <c r="BE41" s="1602">
        <v>2518.06</v>
      </c>
      <c r="BF41" s="1602">
        <v>0</v>
      </c>
      <c r="BG41" s="1602">
        <f t="shared" ref="BG41" si="290">BH41+BI41</f>
        <v>2351.98</v>
      </c>
      <c r="BH41" s="1602">
        <v>2351.98</v>
      </c>
      <c r="BI41" s="1602">
        <v>0</v>
      </c>
      <c r="BJ41" s="1602">
        <f t="shared" ref="BJ41" si="291">BK41+BL41</f>
        <v>2438.5</v>
      </c>
      <c r="BK41" s="1602">
        <v>2438.5</v>
      </c>
      <c r="BL41" s="1602">
        <v>0</v>
      </c>
      <c r="BM41" s="1602">
        <f t="shared" ref="BM41" si="292">BN41+BO41</f>
        <v>2817.58</v>
      </c>
      <c r="BN41" s="1602">
        <v>2817.58</v>
      </c>
      <c r="BO41" s="1602">
        <v>0</v>
      </c>
      <c r="BP41" s="1602">
        <f t="shared" ref="BP41" si="293">BQ41+BR41</f>
        <v>4059.34</v>
      </c>
      <c r="BQ41" s="1602">
        <v>4059.34</v>
      </c>
      <c r="BR41" s="1602">
        <v>0</v>
      </c>
      <c r="BS41" s="1602">
        <f t="shared" ref="BS41" si="294">BT41+BU41</f>
        <v>3143.3525997466791</v>
      </c>
      <c r="BT41" s="1602">
        <f>'цех стоки'!AN50</f>
        <v>3143.3525997466791</v>
      </c>
      <c r="BU41" s="1602">
        <v>0</v>
      </c>
      <c r="BV41" s="1602">
        <f t="shared" ref="BV41" si="295">BW41+BX41</f>
        <v>3804.9845741719278</v>
      </c>
      <c r="BW41" s="1602">
        <f>SUM('цех стоки'!AO50)</f>
        <v>3804.9845741719278</v>
      </c>
      <c r="BX41" s="1602">
        <v>0</v>
      </c>
      <c r="BY41" s="3600" t="str">
        <f>BY33</f>
        <v>Приложение</v>
      </c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1602">
        <f t="shared" ref="CK41" si="296">CL41+CM41</f>
        <v>3205.2766459616873</v>
      </c>
      <c r="CL41" s="1602">
        <f>SUM('цех стоки'!AP50)</f>
        <v>3205.2766459616873</v>
      </c>
      <c r="CM41" s="1602">
        <v>0</v>
      </c>
      <c r="CN41" s="1602">
        <f t="shared" ref="CN41" si="297">CO41+CP41</f>
        <v>1313.7950000000001</v>
      </c>
      <c r="CO41" s="1602">
        <f>SUM('цех стоки'!AQ50)</f>
        <v>1313.7950000000001</v>
      </c>
      <c r="CP41" s="1602">
        <v>0</v>
      </c>
      <c r="CQ41" s="1602">
        <f t="shared" ref="CQ41" si="298">CR41+CS41</f>
        <v>2052.5549999999998</v>
      </c>
      <c r="CR41" s="1602">
        <f>SUM('цех стоки'!AR50)</f>
        <v>2052.5549999999998</v>
      </c>
      <c r="CS41" s="1602">
        <v>0</v>
      </c>
      <c r="CT41" s="1602">
        <f t="shared" ref="CT41" si="299">CU41+CV41</f>
        <v>2902.72</v>
      </c>
      <c r="CU41" s="1602">
        <f>SUM('цех стоки'!AS50)</f>
        <v>2902.72</v>
      </c>
      <c r="CV41" s="1602">
        <v>0</v>
      </c>
      <c r="CW41" s="2371">
        <f t="shared" ref="CW41" si="300">CX41+CY41</f>
        <v>4257.356077977156</v>
      </c>
      <c r="CX41" s="2371">
        <f>SUM('цех стоки'!AT50)</f>
        <v>4257.356077977156</v>
      </c>
      <c r="CY41" s="2371">
        <v>0</v>
      </c>
      <c r="CZ41" s="4101">
        <f t="shared" ref="CZ41" si="301">DA41+DB41</f>
        <v>4428.1645146239916</v>
      </c>
      <c r="DA41" s="4101">
        <f>SUM('цех стоки'!AU50)</f>
        <v>4428.1645146239916</v>
      </c>
      <c r="DB41" s="4101">
        <v>0</v>
      </c>
      <c r="DC41" s="2371">
        <f t="shared" ref="DC41" si="302">DD41+DE41</f>
        <v>1701.36</v>
      </c>
      <c r="DD41" s="2371">
        <f>SUM('цех стоки'!AY50)</f>
        <v>1701.36</v>
      </c>
      <c r="DE41" s="2371">
        <v>0</v>
      </c>
      <c r="DF41" s="2371">
        <f t="shared" ref="DF41" si="303">DG41+DH41</f>
        <v>2564.86</v>
      </c>
      <c r="DG41" s="2371">
        <f>SUM('цех стоки'!AZ50)</f>
        <v>2564.86</v>
      </c>
      <c r="DH41" s="2371">
        <v>0</v>
      </c>
      <c r="DI41" s="3487">
        <f t="shared" ref="DI41" si="304">DJ41+DK41</f>
        <v>0</v>
      </c>
      <c r="DJ41" s="3487">
        <f>SUM('цех стоки'!BH50)</f>
        <v>0</v>
      </c>
      <c r="DK41" s="3487">
        <v>0</v>
      </c>
    </row>
    <row r="42" spans="1:115" s="1926" customFormat="1" ht="21" customHeight="1" x14ac:dyDescent="0.2">
      <c r="A42" s="3616" t="s">
        <v>10</v>
      </c>
      <c r="B42" s="1728">
        <v>87.2</v>
      </c>
      <c r="C42" s="1729">
        <v>78.3</v>
      </c>
      <c r="D42" s="1730">
        <f t="shared" si="0"/>
        <v>89.793577981651367</v>
      </c>
      <c r="E42" s="1729">
        <v>159.30000000000001</v>
      </c>
      <c r="F42" s="1730">
        <f t="shared" si="228"/>
        <v>203.44827586206898</v>
      </c>
      <c r="G42" s="1729">
        <v>151.1</v>
      </c>
      <c r="H42" s="1730">
        <f t="shared" si="2"/>
        <v>94.852479598242297</v>
      </c>
      <c r="I42" s="1606">
        <v>217.2</v>
      </c>
      <c r="J42" s="1606">
        <v>72.400000000000006</v>
      </c>
      <c r="K42" s="1606">
        <v>258.60000000000002</v>
      </c>
      <c r="L42" s="1606">
        <f>L43+L44</f>
        <v>338.40000000000003</v>
      </c>
      <c r="M42" s="1734">
        <f t="shared" si="19"/>
        <v>223.95764394440772</v>
      </c>
      <c r="N42" s="1606">
        <v>250</v>
      </c>
      <c r="O42" s="1734">
        <f t="shared" si="20"/>
        <v>115.10128913443832</v>
      </c>
      <c r="P42" s="1606">
        <f>227.84+P45</f>
        <v>1927.1399999999999</v>
      </c>
      <c r="Q42" s="1734">
        <f t="shared" si="21"/>
        <v>887.26519337016578</v>
      </c>
      <c r="R42" s="1734">
        <f t="shared" si="176"/>
        <v>569.48581560283685</v>
      </c>
      <c r="S42" s="1606">
        <f>1927.14</f>
        <v>1927.14</v>
      </c>
      <c r="T42" s="1606">
        <v>0</v>
      </c>
      <c r="U42" s="1606">
        <f>U43+U44+U45</f>
        <v>188.8</v>
      </c>
      <c r="V42" s="1606"/>
      <c r="W42" s="1606">
        <f>W43+W44+W45</f>
        <v>2157</v>
      </c>
      <c r="X42" s="1606"/>
      <c r="Y42" s="1606">
        <f t="shared" ref="Y42:AL42" si="305">Y43+Y44+Y45</f>
        <v>1927.84</v>
      </c>
      <c r="Z42" s="1606">
        <f t="shared" si="305"/>
        <v>1927.04</v>
      </c>
      <c r="AA42" s="1606">
        <f t="shared" si="305"/>
        <v>0.8</v>
      </c>
      <c r="AB42" s="1606">
        <f t="shared" ref="AB42:AD42" si="306">AB43+AB44+AB45</f>
        <v>1970.4</v>
      </c>
      <c r="AC42" s="1606">
        <f t="shared" si="306"/>
        <v>1969.1630113342155</v>
      </c>
      <c r="AD42" s="1606">
        <f t="shared" si="306"/>
        <v>1.2369886657844305</v>
      </c>
      <c r="AE42" s="1606">
        <v>1927.84</v>
      </c>
      <c r="AF42" s="1606">
        <f t="shared" si="23"/>
        <v>1</v>
      </c>
      <c r="AG42" s="1606">
        <v>1927.04</v>
      </c>
      <c r="AH42" s="1606">
        <v>0.8</v>
      </c>
      <c r="AI42" s="1606">
        <f t="shared" si="305"/>
        <v>1927.84</v>
      </c>
      <c r="AJ42" s="1606">
        <f t="shared" si="24"/>
        <v>1</v>
      </c>
      <c r="AK42" s="1606">
        <f t="shared" si="305"/>
        <v>1927.04</v>
      </c>
      <c r="AL42" s="1606">
        <f t="shared" si="305"/>
        <v>0.8</v>
      </c>
      <c r="AM42" s="1606" t="e">
        <f>#REF!*Z42/Y42</f>
        <v>#REF!</v>
      </c>
      <c r="AN42" s="1606" t="e">
        <f>#REF!-AM42</f>
        <v>#REF!</v>
      </c>
      <c r="AO42" s="1606" t="e">
        <f t="shared" si="25"/>
        <v>#REF!</v>
      </c>
      <c r="AP42" s="1606">
        <f t="shared" ref="AP42:BC42" si="307">AP43+AP44+AP45</f>
        <v>209.94</v>
      </c>
      <c r="AQ42" s="1606">
        <f t="shared" si="307"/>
        <v>209.88906688054394</v>
      </c>
      <c r="AR42" s="1606">
        <f t="shared" si="307"/>
        <v>5.0933119456050946E-2</v>
      </c>
      <c r="AS42" s="1606">
        <f t="shared" si="307"/>
        <v>1548.24</v>
      </c>
      <c r="AT42" s="1606">
        <f t="shared" si="307"/>
        <v>1539.1544341812178</v>
      </c>
      <c r="AU42" s="1606">
        <f t="shared" si="307"/>
        <v>9.0855658187824382</v>
      </c>
      <c r="AV42" s="1606">
        <f t="shared" si="307"/>
        <v>2116.7799999999997</v>
      </c>
      <c r="AW42" s="1734">
        <f t="shared" si="47"/>
        <v>1.0980060585940741</v>
      </c>
      <c r="AX42" s="1606">
        <f t="shared" si="307"/>
        <v>2103.3719090123814</v>
      </c>
      <c r="AY42" s="1606">
        <f t="shared" si="307"/>
        <v>13.408090987618772</v>
      </c>
      <c r="AZ42" s="1606">
        <f t="shared" si="307"/>
        <v>1684.7746853333333</v>
      </c>
      <c r="BA42" s="1609">
        <f t="shared" si="30"/>
        <v>0.87391831548952892</v>
      </c>
      <c r="BB42" s="1606">
        <f t="shared" si="307"/>
        <v>1676.7703977774761</v>
      </c>
      <c r="BC42" s="1606">
        <f t="shared" si="307"/>
        <v>8.0042875558570898</v>
      </c>
      <c r="BD42" s="1606">
        <f t="shared" ref="BD42:BF42" si="308">BD43+BD44+BD45</f>
        <v>3612.81</v>
      </c>
      <c r="BE42" s="1606">
        <f t="shared" si="308"/>
        <v>3603.6299999999997</v>
      </c>
      <c r="BF42" s="1606">
        <f t="shared" si="308"/>
        <v>9.18</v>
      </c>
      <c r="BG42" s="1606">
        <f t="shared" ref="BG42:BI42" si="309">BG43+BG44+BG45</f>
        <v>1274.3600000000001</v>
      </c>
      <c r="BH42" s="1606">
        <f t="shared" si="309"/>
        <v>1266.71</v>
      </c>
      <c r="BI42" s="1606">
        <f t="shared" si="309"/>
        <v>7.6499999999999995</v>
      </c>
      <c r="BJ42" s="1606">
        <f t="shared" ref="BJ42:BL42" si="310">BJ43+BJ44+BJ45</f>
        <v>1513.4680000000001</v>
      </c>
      <c r="BK42" s="1606">
        <f t="shared" si="310"/>
        <v>1502.7640000000001</v>
      </c>
      <c r="BL42" s="1606">
        <f t="shared" si="310"/>
        <v>10.704000000000001</v>
      </c>
      <c r="BM42" s="1606">
        <f t="shared" ref="BM42:BO42" si="311">BM43+BM44+BM45</f>
        <v>1372.646</v>
      </c>
      <c r="BN42" s="1606">
        <f t="shared" si="311"/>
        <v>1364.6959999999999</v>
      </c>
      <c r="BO42" s="1606">
        <f t="shared" si="311"/>
        <v>7.95</v>
      </c>
      <c r="BP42" s="1606">
        <f t="shared" ref="BP42:BR42" si="312">BP43+BP44+BP45</f>
        <v>5916.76</v>
      </c>
      <c r="BQ42" s="1606">
        <f t="shared" si="312"/>
        <v>5882.2799999999988</v>
      </c>
      <c r="BR42" s="1606">
        <f t="shared" si="312"/>
        <v>34.480000000000004</v>
      </c>
      <c r="BS42" s="1606">
        <f t="shared" ref="BS42:BU42" si="313">BS43+BS44+BS45</f>
        <v>1009.6646202997873</v>
      </c>
      <c r="BT42" s="1606">
        <f t="shared" si="313"/>
        <v>1003.7504477745384</v>
      </c>
      <c r="BU42" s="1606">
        <f t="shared" si="313"/>
        <v>5.9141725252489437</v>
      </c>
      <c r="BV42" s="1606">
        <f t="shared" ref="BV42:BX42" si="314">BV43+BV44+BV45</f>
        <v>1015.1994753346747</v>
      </c>
      <c r="BW42" s="1606">
        <f t="shared" si="314"/>
        <v>1009.9095993986285</v>
      </c>
      <c r="BX42" s="1606">
        <f t="shared" si="314"/>
        <v>5.2898759360461867</v>
      </c>
      <c r="BY42" s="3441" t="s">
        <v>241</v>
      </c>
      <c r="BZ42" s="3317"/>
      <c r="CA42" s="3317"/>
      <c r="CB42" s="3317"/>
      <c r="CC42" s="3317"/>
      <c r="CD42" s="3317"/>
      <c r="CE42" s="3317"/>
      <c r="CF42" s="3317"/>
      <c r="CG42" s="3317"/>
      <c r="CH42" s="3317"/>
      <c r="CI42" s="3317"/>
      <c r="CJ42" s="3317"/>
      <c r="CK42" s="1606">
        <f t="shared" ref="CK42:CM42" si="315">CK43+CK44+CK45</f>
        <v>999.06196643467467</v>
      </c>
      <c r="CL42" s="1606">
        <f t="shared" si="315"/>
        <v>993.77209049862847</v>
      </c>
      <c r="CM42" s="1606">
        <f t="shared" si="315"/>
        <v>5.2898759360461867</v>
      </c>
      <c r="CN42" s="1606">
        <f t="shared" ref="CN42:CP42" si="316">CN43+CN44+CN45</f>
        <v>1128.57</v>
      </c>
      <c r="CO42" s="1606">
        <f t="shared" si="316"/>
        <v>1128.57</v>
      </c>
      <c r="CP42" s="1606">
        <f t="shared" si="316"/>
        <v>0</v>
      </c>
      <c r="CQ42" s="1606">
        <f t="shared" ref="CQ42:CS42" si="317">CQ43+CQ44+CQ45</f>
        <v>1694.01</v>
      </c>
      <c r="CR42" s="1606">
        <f t="shared" si="317"/>
        <v>1694.01</v>
      </c>
      <c r="CS42" s="1606">
        <f t="shared" si="317"/>
        <v>0</v>
      </c>
      <c r="CT42" s="1606">
        <f t="shared" ref="CT42:CV42" si="318">CT43+CT44+CT45</f>
        <v>2751.05</v>
      </c>
      <c r="CU42" s="1606">
        <f t="shared" si="318"/>
        <v>2751.05</v>
      </c>
      <c r="CV42" s="1606">
        <f t="shared" si="318"/>
        <v>0</v>
      </c>
      <c r="CW42" s="2374">
        <f t="shared" ref="CW42:CY42" si="319">CW43+CW44+CW45</f>
        <v>2756.3398759360466</v>
      </c>
      <c r="CX42" s="2374">
        <f t="shared" si="319"/>
        <v>2751.05</v>
      </c>
      <c r="CY42" s="2374">
        <f t="shared" si="319"/>
        <v>5.2898759360461867</v>
      </c>
      <c r="CZ42" s="4103">
        <f t="shared" ref="CZ42:DB42" si="320">CZ43+CZ44+CZ45</f>
        <v>2345.44022</v>
      </c>
      <c r="DA42" s="4103">
        <f t="shared" si="320"/>
        <v>2345.44022</v>
      </c>
      <c r="DB42" s="4103">
        <f t="shared" si="320"/>
        <v>0</v>
      </c>
      <c r="DC42" s="2374">
        <f t="shared" ref="DC42:DK42" si="321">DC43+DC44+DC45</f>
        <v>1372.3319999999999</v>
      </c>
      <c r="DD42" s="2374">
        <f t="shared" si="321"/>
        <v>1372.3319999999999</v>
      </c>
      <c r="DE42" s="2374">
        <f t="shared" si="321"/>
        <v>0</v>
      </c>
      <c r="DF42" s="2374">
        <f t="shared" si="321"/>
        <v>2055.6059999999998</v>
      </c>
      <c r="DG42" s="2374">
        <f t="shared" si="321"/>
        <v>2055.6059999999998</v>
      </c>
      <c r="DH42" s="2374">
        <f t="shared" si="321"/>
        <v>0</v>
      </c>
      <c r="DI42" s="3489">
        <f t="shared" si="321"/>
        <v>0</v>
      </c>
      <c r="DJ42" s="3489">
        <f t="shared" si="321"/>
        <v>0</v>
      </c>
      <c r="DK42" s="3489">
        <f t="shared" si="321"/>
        <v>0</v>
      </c>
    </row>
    <row r="43" spans="1:115" ht="39" customHeight="1" x14ac:dyDescent="0.2">
      <c r="A43" s="3474" t="s">
        <v>80</v>
      </c>
      <c r="B43" s="1728"/>
      <c r="C43" s="1729"/>
      <c r="D43" s="1731"/>
      <c r="E43" s="1729"/>
      <c r="F43" s="1730"/>
      <c r="G43" s="1729"/>
      <c r="H43" s="1731"/>
      <c r="I43" s="1602"/>
      <c r="J43" s="1602">
        <v>44.4</v>
      </c>
      <c r="K43" s="1602">
        <v>236.1</v>
      </c>
      <c r="L43" s="1602">
        <v>303.3</v>
      </c>
      <c r="M43" s="1734"/>
      <c r="N43" s="1602"/>
      <c r="O43" s="1605"/>
      <c r="P43" s="1602">
        <v>227.84</v>
      </c>
      <c r="Q43" s="1605"/>
      <c r="R43" s="1605"/>
      <c r="S43" s="1602">
        <v>227.84</v>
      </c>
      <c r="T43" s="1602"/>
      <c r="U43" s="1602">
        <v>138.5</v>
      </c>
      <c r="V43" s="1602"/>
      <c r="W43" s="1602">
        <v>418</v>
      </c>
      <c r="X43" s="1602"/>
      <c r="Y43" s="1602">
        <f>P43</f>
        <v>227.84</v>
      </c>
      <c r="Z43" s="1602">
        <f>Y43</f>
        <v>227.84</v>
      </c>
      <c r="AA43" s="1602">
        <v>0</v>
      </c>
      <c r="AB43" s="1602">
        <v>220.1</v>
      </c>
      <c r="AC43" s="1602">
        <f>AB43</f>
        <v>220.1</v>
      </c>
      <c r="AD43" s="1602">
        <v>0</v>
      </c>
      <c r="AE43" s="1602">
        <v>227.84</v>
      </c>
      <c r="AF43" s="1602">
        <f t="shared" si="23"/>
        <v>1</v>
      </c>
      <c r="AG43" s="1602">
        <v>227.84</v>
      </c>
      <c r="AH43" s="1602">
        <v>0</v>
      </c>
      <c r="AI43" s="1602">
        <f>Y43</f>
        <v>227.84</v>
      </c>
      <c r="AJ43" s="1602">
        <f t="shared" si="24"/>
        <v>1</v>
      </c>
      <c r="AK43" s="1602">
        <f>AI43</f>
        <v>227.84</v>
      </c>
      <c r="AL43" s="1602">
        <f>AA43*1.046</f>
        <v>0</v>
      </c>
      <c r="AM43" s="1602" t="e">
        <f>#REF!</f>
        <v>#REF!</v>
      </c>
      <c r="AN43" s="1602" t="e">
        <f>#REF!-AM43</f>
        <v>#REF!</v>
      </c>
      <c r="AO43" s="1606" t="e">
        <f t="shared" si="25"/>
        <v>#REF!</v>
      </c>
      <c r="AP43" s="1602">
        <v>201.14</v>
      </c>
      <c r="AQ43" s="1602">
        <f>SUM(AP43)</f>
        <v>201.14</v>
      </c>
      <c r="AR43" s="1602">
        <v>0</v>
      </c>
      <c r="AS43" s="1602">
        <v>300.83999999999997</v>
      </c>
      <c r="AT43" s="1602">
        <f>SUM(AS43)</f>
        <v>300.83999999999997</v>
      </c>
      <c r="AU43" s="1602">
        <v>0</v>
      </c>
      <c r="AV43" s="1602">
        <v>453.58</v>
      </c>
      <c r="AW43" s="1605">
        <f>SUM(AV43/AI43)</f>
        <v>1.9907830056179774</v>
      </c>
      <c r="AX43" s="1602">
        <f>SUM(AV43)</f>
        <v>453.58</v>
      </c>
      <c r="AY43" s="1602">
        <v>0</v>
      </c>
      <c r="AZ43" s="1602">
        <v>220.1</v>
      </c>
      <c r="BA43" s="1596">
        <f t="shared" si="30"/>
        <v>0.96602879213483139</v>
      </c>
      <c r="BB43" s="1602">
        <f>SUM(AZ43)</f>
        <v>220.1</v>
      </c>
      <c r="BC43" s="1602">
        <v>0</v>
      </c>
      <c r="BD43" s="1602">
        <f t="shared" si="185"/>
        <v>2252.29</v>
      </c>
      <c r="BE43" s="1602">
        <v>2252.29</v>
      </c>
      <c r="BF43" s="1602">
        <v>0</v>
      </c>
      <c r="BG43" s="1602">
        <f t="shared" ref="BG43:BG45" si="322">BH43+BI43</f>
        <v>1.4</v>
      </c>
      <c r="BH43" s="1602">
        <v>1.4</v>
      </c>
      <c r="BI43" s="1602">
        <v>0</v>
      </c>
      <c r="BJ43" s="1602">
        <f t="shared" ref="BJ43:BJ45" si="323">BK43+BL43</f>
        <v>152.738</v>
      </c>
      <c r="BK43" s="1602">
        <v>151.654</v>
      </c>
      <c r="BL43" s="1602">
        <v>1.0840000000000001</v>
      </c>
      <c r="BM43" s="1602">
        <f t="shared" ref="BM43:BM45" si="324">BN43+BO43</f>
        <v>2.726</v>
      </c>
      <c r="BN43" s="1602">
        <v>2.71</v>
      </c>
      <c r="BO43" s="1602">
        <v>1.6E-2</v>
      </c>
      <c r="BP43" s="1602">
        <f t="shared" ref="BP43:BP45" si="325">BQ43+BR43</f>
        <v>4637.42</v>
      </c>
      <c r="BQ43" s="1602">
        <v>4610.3999999999996</v>
      </c>
      <c r="BR43" s="1602">
        <v>27.02</v>
      </c>
      <c r="BS43" s="1602">
        <f t="shared" ref="BS43:BS45" si="326">BT43+BU43</f>
        <v>18.438712679787201</v>
      </c>
      <c r="BT43" s="1602">
        <f>'Н 2019-2024'!M27</f>
        <v>18.330848375909873</v>
      </c>
      <c r="BU43" s="1602">
        <f>'Н 2019-2024'!M35</f>
        <v>0.10786430387732723</v>
      </c>
      <c r="BV43" s="1602">
        <f t="shared" ref="BV43:BV45" si="327">BW43+BX43</f>
        <v>19.167864303877327</v>
      </c>
      <c r="BW43" s="1602">
        <f>SUM(НВОС!H16)</f>
        <v>19.059999999999999</v>
      </c>
      <c r="BX43" s="1602">
        <f>SUM(НВОС!H17)</f>
        <v>0.10786430387732723</v>
      </c>
      <c r="BY43" s="3600" t="s">
        <v>241</v>
      </c>
      <c r="BZ43" s="394"/>
      <c r="CA43" s="394"/>
      <c r="CB43" s="394"/>
      <c r="CC43" s="394"/>
      <c r="CD43" s="394"/>
      <c r="CE43" s="394"/>
      <c r="CF43" s="394"/>
      <c r="CG43" s="394"/>
      <c r="CH43" s="394"/>
      <c r="CI43" s="394"/>
      <c r="CJ43" s="394"/>
      <c r="CK43" s="1602">
        <f>SUM(CL43:CM43)</f>
        <v>3.0303554038773273</v>
      </c>
      <c r="CL43" s="1602">
        <f>SUM('Н 2019-2024'!T27)</f>
        <v>2.9224911000000002</v>
      </c>
      <c r="CM43" s="1602">
        <f>SUM('Н 2019-2024'!T35)</f>
        <v>0.10786430387732723</v>
      </c>
      <c r="CN43" s="1602">
        <f t="shared" ref="CN43:CN48" si="328">CO43+CP43</f>
        <v>17.12</v>
      </c>
      <c r="CO43" s="1602">
        <f>SUM(НВОС!J16)</f>
        <v>17.12</v>
      </c>
      <c r="CP43" s="1602">
        <f>SUM(НВОС!J17)</f>
        <v>0</v>
      </c>
      <c r="CQ43" s="1602">
        <f t="shared" ref="CQ43:CQ48" si="329">CR43+CS43</f>
        <v>25.67</v>
      </c>
      <c r="CR43" s="1602">
        <f>SUM(НВОС!K16)</f>
        <v>25.67</v>
      </c>
      <c r="CS43" s="1602">
        <f>SUM(НВОС!K17)</f>
        <v>0</v>
      </c>
      <c r="CT43" s="1602">
        <f t="shared" ref="CT43:CT48" si="330">CU43+CV43</f>
        <v>525.82000000000005</v>
      </c>
      <c r="CU43" s="1602">
        <f>SUM(НВОС!L10)</f>
        <v>525.82000000000005</v>
      </c>
      <c r="CV43" s="1602">
        <f>SUM(НВОС!N17)</f>
        <v>0</v>
      </c>
      <c r="CW43" s="2371">
        <f t="shared" ref="CW43:CW48" si="331">CX43+CY43</f>
        <v>525.92786430387741</v>
      </c>
      <c r="CX43" s="2371">
        <f>SUM(НВОС!M10)</f>
        <v>525.82000000000005</v>
      </c>
      <c r="CY43" s="2371">
        <f>SUM('Н 2019-2024'!X35)</f>
        <v>0.10786430387732723</v>
      </c>
      <c r="CZ43" s="4101">
        <f t="shared" ref="CZ43:CZ48" si="332">DA43+DB43</f>
        <v>525.82000000000005</v>
      </c>
      <c r="DA43" s="4101">
        <f>SUM(НВОС!N16)</f>
        <v>525.82000000000005</v>
      </c>
      <c r="DB43" s="4101">
        <f>SUM('Н 2019-2024'!AA35)</f>
        <v>0</v>
      </c>
      <c r="DC43" s="2371">
        <f t="shared" ref="DC43:DC48" si="333">DD43+DE43</f>
        <v>262.89999999999998</v>
      </c>
      <c r="DD43" s="2371">
        <f>SUM(НВОС!O16)</f>
        <v>262.89999999999998</v>
      </c>
      <c r="DE43" s="2371">
        <f>SUM(НВОС!O17)</f>
        <v>0</v>
      </c>
      <c r="DF43" s="2371">
        <f t="shared" ref="DF43:DF48" si="334">DG43+DH43</f>
        <v>394.36</v>
      </c>
      <c r="DG43" s="2371">
        <f>SUM(НВОС!P16)</f>
        <v>394.36</v>
      </c>
      <c r="DH43" s="2371">
        <f>SUM(НВОС!Z17)</f>
        <v>0</v>
      </c>
      <c r="DI43" s="3487">
        <f t="shared" ref="DI43:DI48" si="335">DJ43+DK43</f>
        <v>0</v>
      </c>
      <c r="DJ43" s="3487">
        <f>SUM(НВОС!AA10)</f>
        <v>0</v>
      </c>
      <c r="DK43" s="3487">
        <f>SUM(НВОС!AC17)</f>
        <v>0</v>
      </c>
    </row>
    <row r="44" spans="1:115" ht="21" customHeight="1" x14ac:dyDescent="0.2">
      <c r="A44" s="3474" t="s">
        <v>524</v>
      </c>
      <c r="B44" s="1728"/>
      <c r="C44" s="1729"/>
      <c r="D44" s="1731"/>
      <c r="E44" s="1729"/>
      <c r="F44" s="1730"/>
      <c r="G44" s="1729"/>
      <c r="H44" s="1731"/>
      <c r="I44" s="1602"/>
      <c r="J44" s="1602">
        <v>28</v>
      </c>
      <c r="K44" s="1602">
        <v>22.5</v>
      </c>
      <c r="L44" s="1602">
        <v>35.1</v>
      </c>
      <c r="M44" s="1734"/>
      <c r="N44" s="1602"/>
      <c r="O44" s="1605"/>
      <c r="P44" s="1602"/>
      <c r="Q44" s="1605"/>
      <c r="R44" s="1605"/>
      <c r="S44" s="1602"/>
      <c r="T44" s="1602"/>
      <c r="U44" s="1602">
        <v>50.3</v>
      </c>
      <c r="V44" s="1602"/>
      <c r="W44" s="1602">
        <v>39</v>
      </c>
      <c r="X44" s="1602"/>
      <c r="Y44" s="1602">
        <v>0</v>
      </c>
      <c r="Z44" s="1602">
        <v>0</v>
      </c>
      <c r="AA44" s="1602">
        <v>0</v>
      </c>
      <c r="AB44" s="1602">
        <v>50.3</v>
      </c>
      <c r="AC44" s="1602">
        <f>SUM(AC65/AB65)*AB44</f>
        <v>49.863011334215521</v>
      </c>
      <c r="AD44" s="1602">
        <f>AB44-AC44</f>
        <v>0.43698866578447593</v>
      </c>
      <c r="AE44" s="1602">
        <v>0</v>
      </c>
      <c r="AF44" s="1602"/>
      <c r="AG44" s="1602">
        <v>0</v>
      </c>
      <c r="AH44" s="1602">
        <v>0</v>
      </c>
      <c r="AI44" s="1602">
        <f>Y44</f>
        <v>0</v>
      </c>
      <c r="AJ44" s="1602"/>
      <c r="AK44" s="1602"/>
      <c r="AL44" s="1602"/>
      <c r="AM44" s="1602" t="e">
        <f>#REF!</f>
        <v>#REF!</v>
      </c>
      <c r="AN44" s="1602" t="e">
        <f>#REF!-AM44</f>
        <v>#REF!</v>
      </c>
      <c r="AO44" s="1606" t="e">
        <f t="shared" si="25"/>
        <v>#REF!</v>
      </c>
      <c r="AP44" s="1602">
        <v>8.8000000000000007</v>
      </c>
      <c r="AQ44" s="1602">
        <f>SUM(AQ65/AP65)*AP44</f>
        <v>8.7490668805439498</v>
      </c>
      <c r="AR44" s="1602">
        <f>AP44-AQ44</f>
        <v>5.0933119456050946E-2</v>
      </c>
      <c r="AS44" s="1602">
        <v>17.5</v>
      </c>
      <c r="AT44" s="1602">
        <f>SUM(AT65/AS65)*AS44</f>
        <v>17.372536955404289</v>
      </c>
      <c r="AU44" s="1602">
        <f>AS44-AT44</f>
        <v>0.12746304459571078</v>
      </c>
      <c r="AV44" s="1602">
        <v>23.33</v>
      </c>
      <c r="AW44" s="1605"/>
      <c r="AX44" s="1602">
        <f>SUM(AX65/AV65)*AV44</f>
        <v>23.141909012381227</v>
      </c>
      <c r="AY44" s="1602">
        <f>AV44-AX44</f>
        <v>0.18809098761877152</v>
      </c>
      <c r="AZ44" s="1602">
        <f>AS44/3*4</f>
        <v>23.333333333333332</v>
      </c>
      <c r="BA44" s="1596"/>
      <c r="BB44" s="1602">
        <f>SUM(BB65/AZ65)*AZ44</f>
        <v>23.205819209202648</v>
      </c>
      <c r="BC44" s="1602">
        <f>AZ44-BB44</f>
        <v>0.12751412413068408</v>
      </c>
      <c r="BD44" s="1602">
        <f t="shared" si="185"/>
        <v>29.689999999999998</v>
      </c>
      <c r="BE44" s="1602">
        <v>29.49</v>
      </c>
      <c r="BF44" s="1602">
        <v>0.2</v>
      </c>
      <c r="BG44" s="1602">
        <f t="shared" si="322"/>
        <v>43.12</v>
      </c>
      <c r="BH44" s="1602">
        <v>42.86</v>
      </c>
      <c r="BI44" s="1602">
        <v>0.26</v>
      </c>
      <c r="BJ44" s="1602">
        <f t="shared" si="323"/>
        <v>29.900000000000002</v>
      </c>
      <c r="BK44" s="1602">
        <v>29.69</v>
      </c>
      <c r="BL44" s="1602">
        <v>0.21</v>
      </c>
      <c r="BM44" s="1602">
        <f t="shared" si="324"/>
        <v>48.57</v>
      </c>
      <c r="BN44" s="1602">
        <v>48.29</v>
      </c>
      <c r="BO44" s="1602">
        <v>0.28000000000000003</v>
      </c>
      <c r="BP44" s="1602">
        <f t="shared" si="325"/>
        <v>43.12</v>
      </c>
      <c r="BQ44" s="1602">
        <v>42.86</v>
      </c>
      <c r="BR44" s="1602">
        <v>0.26</v>
      </c>
      <c r="BS44" s="1602">
        <f t="shared" si="326"/>
        <v>43.12</v>
      </c>
      <c r="BT44" s="1602">
        <f>'Н 2019-2024'!M28</f>
        <v>42.86</v>
      </c>
      <c r="BU44" s="1602">
        <f>'Н 2019-2024'!M36</f>
        <v>0.26</v>
      </c>
      <c r="BV44" s="1602">
        <f t="shared" si="327"/>
        <v>48.57</v>
      </c>
      <c r="BW44" s="1602">
        <f>SUM('Н 2019-2024'!S28)</f>
        <v>48.29</v>
      </c>
      <c r="BX44" s="1602">
        <f>SUM('Н 2019-2024'!S36)</f>
        <v>0.28000000000000003</v>
      </c>
      <c r="BY44" s="3618" t="s">
        <v>996</v>
      </c>
      <c r="BZ44" s="394"/>
      <c r="CA44" s="394"/>
      <c r="CB44" s="394"/>
      <c r="CC44" s="394"/>
      <c r="CD44" s="394"/>
      <c r="CE44" s="394"/>
      <c r="CF44" s="394"/>
      <c r="CG44" s="394"/>
      <c r="CH44" s="394"/>
      <c r="CI44" s="394"/>
      <c r="CJ44" s="394"/>
      <c r="CK44" s="1602">
        <f t="shared" ref="CK44:CK45" si="336">SUM(CL44:CM44)</f>
        <v>48.57</v>
      </c>
      <c r="CL44" s="1602">
        <f>SUM('Н 2019-2024'!T28)</f>
        <v>48.29</v>
      </c>
      <c r="CM44" s="1602">
        <f>SUM('Н 2019-2024'!T36)</f>
        <v>0.28000000000000003</v>
      </c>
      <c r="CN44" s="1602">
        <f t="shared" si="328"/>
        <v>35.979999999999997</v>
      </c>
      <c r="CO44" s="1602">
        <f>SUM('Н 2019-2024'!U28)</f>
        <v>35.979999999999997</v>
      </c>
      <c r="CP44" s="1602">
        <f>SUM('Н 2019-2024'!U36)</f>
        <v>0</v>
      </c>
      <c r="CQ44" s="1602">
        <f t="shared" si="329"/>
        <v>55.14</v>
      </c>
      <c r="CR44" s="1602">
        <f>SUM('Н 2019-2024'!V28)</f>
        <v>55.14</v>
      </c>
      <c r="CS44" s="1602">
        <f>SUM('Н 2019-2024'!V36)</f>
        <v>0</v>
      </c>
      <c r="CT44" s="1602">
        <f t="shared" si="330"/>
        <v>74.290000000000006</v>
      </c>
      <c r="CU44" s="1602">
        <f>SUM('Н 2019-2024'!W28)</f>
        <v>74.290000000000006</v>
      </c>
      <c r="CV44" s="1602">
        <f>SUM('Н 2019-2024'!Y36)</f>
        <v>0</v>
      </c>
      <c r="CW44" s="2371">
        <f t="shared" si="331"/>
        <v>74.570000000000007</v>
      </c>
      <c r="CX44" s="2371">
        <f>SUM('Н 2019-2024'!X28)</f>
        <v>74.290000000000006</v>
      </c>
      <c r="CY44" s="2371">
        <f>SUM('Н 2019-2024'!X36)</f>
        <v>0.28000000000000003</v>
      </c>
      <c r="CZ44" s="4101">
        <f t="shared" si="332"/>
        <v>74.290000000000006</v>
      </c>
      <c r="DA44" s="4101">
        <f>SUM('Н 2019-2024'!Y28)</f>
        <v>74.290000000000006</v>
      </c>
      <c r="DB44" s="4101">
        <f>SUM('Н 2019-2024'!AA36)</f>
        <v>0</v>
      </c>
      <c r="DC44" s="2371">
        <f t="shared" si="333"/>
        <v>40.716000000000001</v>
      </c>
      <c r="DD44" s="2371">
        <f>SUM('Н 2019-2024'!Z28)</f>
        <v>40.716000000000001</v>
      </c>
      <c r="DE44" s="2371">
        <f>SUM('Н 2019-2024'!Z36)</f>
        <v>0</v>
      </c>
      <c r="DF44" s="2371">
        <f t="shared" si="334"/>
        <v>61.08</v>
      </c>
      <c r="DG44" s="2371">
        <f>SUM('Н 2019-2024'!AA28)</f>
        <v>61.08</v>
      </c>
      <c r="DH44" s="2371">
        <f>SUM('Н 2019-2024'!AK36)</f>
        <v>0</v>
      </c>
      <c r="DI44" s="3487">
        <f t="shared" si="335"/>
        <v>0</v>
      </c>
      <c r="DJ44" s="3487">
        <f>SUM('Н 2019-2024'!AL28)</f>
        <v>0</v>
      </c>
      <c r="DK44" s="3487">
        <f>SUM('Н 2019-2024'!AN36)</f>
        <v>0</v>
      </c>
    </row>
    <row r="45" spans="1:115" ht="21" customHeight="1" x14ac:dyDescent="0.2">
      <c r="A45" s="3474" t="s">
        <v>526</v>
      </c>
      <c r="B45" s="1728"/>
      <c r="C45" s="1729"/>
      <c r="D45" s="1731"/>
      <c r="E45" s="1729"/>
      <c r="F45" s="1730"/>
      <c r="G45" s="1729"/>
      <c r="H45" s="1731"/>
      <c r="I45" s="1602"/>
      <c r="J45" s="1602"/>
      <c r="K45" s="1602"/>
      <c r="L45" s="1602">
        <v>0</v>
      </c>
      <c r="M45" s="1734"/>
      <c r="N45" s="1602"/>
      <c r="O45" s="1605"/>
      <c r="P45" s="1602">
        <v>1699.3</v>
      </c>
      <c r="Q45" s="1605"/>
      <c r="R45" s="1605"/>
      <c r="S45" s="1602">
        <v>1699.3</v>
      </c>
      <c r="T45" s="1602"/>
      <c r="U45" s="1602">
        <v>0</v>
      </c>
      <c r="V45" s="1602"/>
      <c r="W45" s="1602">
        <v>1700</v>
      </c>
      <c r="X45" s="1602"/>
      <c r="Y45" s="1602">
        <v>1700</v>
      </c>
      <c r="Z45" s="1602">
        <f>Y45-AA45</f>
        <v>1699.2</v>
      </c>
      <c r="AA45" s="1602">
        <v>0.8</v>
      </c>
      <c r="AB45" s="1602">
        <v>1700</v>
      </c>
      <c r="AC45" s="1602">
        <v>1699.2</v>
      </c>
      <c r="AD45" s="1602">
        <f>AB45-AC45</f>
        <v>0.79999999999995453</v>
      </c>
      <c r="AE45" s="1602">
        <v>1700</v>
      </c>
      <c r="AF45" s="1602">
        <f t="shared" si="23"/>
        <v>1</v>
      </c>
      <c r="AG45" s="1602">
        <v>1699.2</v>
      </c>
      <c r="AH45" s="1602">
        <v>0.8</v>
      </c>
      <c r="AI45" s="1602">
        <f>Y45</f>
        <v>1700</v>
      </c>
      <c r="AJ45" s="1602">
        <f t="shared" si="24"/>
        <v>1</v>
      </c>
      <c r="AK45" s="1602">
        <f>Z45</f>
        <v>1699.2</v>
      </c>
      <c r="AL45" s="1602">
        <f>AA45</f>
        <v>0.8</v>
      </c>
      <c r="AM45" s="1606" t="e">
        <f>#REF!*Z45/Y45</f>
        <v>#REF!</v>
      </c>
      <c r="AN45" s="1602" t="e">
        <f>#REF!-AM45</f>
        <v>#REF!</v>
      </c>
      <c r="AO45" s="1606" t="e">
        <f t="shared" si="25"/>
        <v>#REF!</v>
      </c>
      <c r="AP45" s="1602">
        <v>0</v>
      </c>
      <c r="AQ45" s="1602">
        <f>SUM(AQ65/AP65)*AP45</f>
        <v>0</v>
      </c>
      <c r="AR45" s="1602">
        <f>AP45-AQ45</f>
        <v>0</v>
      </c>
      <c r="AS45" s="1602">
        <v>1229.9000000000001</v>
      </c>
      <c r="AT45" s="1602">
        <f>SUM(AT65/AS65)*AS45</f>
        <v>1220.9418972258134</v>
      </c>
      <c r="AU45" s="1602">
        <f>AS45-AT45</f>
        <v>8.9581027741867274</v>
      </c>
      <c r="AV45" s="1602">
        <v>1639.87</v>
      </c>
      <c r="AW45" s="1605">
        <f t="shared" si="47"/>
        <v>0.96462941176470585</v>
      </c>
      <c r="AX45" s="1602">
        <v>1626.65</v>
      </c>
      <c r="AY45" s="1602">
        <v>13.22</v>
      </c>
      <c r="AZ45" s="1602">
        <f>'налог на имущ'!D15</f>
        <v>1441.3413519999999</v>
      </c>
      <c r="BA45" s="1596">
        <f t="shared" si="30"/>
        <v>0.84784785411764696</v>
      </c>
      <c r="BB45" s="1602">
        <f>SUM(BB65/AZ65)*AZ45</f>
        <v>1433.4645785682735</v>
      </c>
      <c r="BC45" s="1602">
        <f>AZ45-BB45</f>
        <v>7.8767734317264058</v>
      </c>
      <c r="BD45" s="1602">
        <f t="shared" si="185"/>
        <v>1330.83</v>
      </c>
      <c r="BE45" s="1602">
        <v>1321.85</v>
      </c>
      <c r="BF45" s="1602">
        <v>8.98</v>
      </c>
      <c r="BG45" s="1602">
        <f t="shared" si="322"/>
        <v>1229.8400000000001</v>
      </c>
      <c r="BH45" s="1602">
        <v>1222.45</v>
      </c>
      <c r="BI45" s="1602">
        <v>7.39</v>
      </c>
      <c r="BJ45" s="1602">
        <f t="shared" si="323"/>
        <v>1330.8300000000002</v>
      </c>
      <c r="BK45" s="1602">
        <v>1321.42</v>
      </c>
      <c r="BL45" s="1602">
        <v>9.41</v>
      </c>
      <c r="BM45" s="1602">
        <f t="shared" si="324"/>
        <v>1321.35</v>
      </c>
      <c r="BN45" s="1602">
        <v>1313.6959999999999</v>
      </c>
      <c r="BO45" s="1602">
        <v>7.6539999999999999</v>
      </c>
      <c r="BP45" s="1602">
        <f t="shared" si="325"/>
        <v>1236.22</v>
      </c>
      <c r="BQ45" s="1602">
        <v>1229.02</v>
      </c>
      <c r="BR45" s="1602">
        <v>7.2</v>
      </c>
      <c r="BS45" s="1602">
        <f t="shared" si="326"/>
        <v>948.10590762000015</v>
      </c>
      <c r="BT45" s="1602">
        <f>'Н 2019-2024'!M26</f>
        <v>942.55959939862851</v>
      </c>
      <c r="BU45" s="1602">
        <f>'Н 2019-2024'!M34</f>
        <v>5.5463082213716168</v>
      </c>
      <c r="BV45" s="1602">
        <f t="shared" si="327"/>
        <v>947.46161103079737</v>
      </c>
      <c r="BW45" s="1602">
        <f>SUM('Н 2019-2024'!S26)</f>
        <v>942.55959939862851</v>
      </c>
      <c r="BX45" s="1602">
        <f>SUM('Н 2019-2024'!S34)</f>
        <v>4.9020116321688594</v>
      </c>
      <c r="BY45" s="3618" t="s">
        <v>963</v>
      </c>
      <c r="BZ45" s="394"/>
      <c r="CA45" s="394"/>
      <c r="CB45" s="394"/>
      <c r="CC45" s="394"/>
      <c r="CD45" s="394"/>
      <c r="CE45" s="394"/>
      <c r="CF45" s="394"/>
      <c r="CG45" s="394"/>
      <c r="CH45" s="394"/>
      <c r="CI45" s="394"/>
      <c r="CJ45" s="394"/>
      <c r="CK45" s="1602">
        <f t="shared" si="336"/>
        <v>947.46161103079737</v>
      </c>
      <c r="CL45" s="1602">
        <f>SUM('Н 2019-2024'!T26)</f>
        <v>942.55959939862851</v>
      </c>
      <c r="CM45" s="1602">
        <f>SUM('Н 2019-2024'!T34)</f>
        <v>4.9020116321688594</v>
      </c>
      <c r="CN45" s="1602">
        <f t="shared" si="328"/>
        <v>1075.47</v>
      </c>
      <c r="CO45" s="1602">
        <f>SUM(имущество!Q36/1000)</f>
        <v>1075.47</v>
      </c>
      <c r="CP45" s="1602">
        <f>SUM('Н 2019-2024'!U34)</f>
        <v>0</v>
      </c>
      <c r="CQ45" s="1602">
        <f t="shared" si="329"/>
        <v>1613.2</v>
      </c>
      <c r="CR45" s="1602">
        <f>SUM('Н 2019-2024'!V26)</f>
        <v>1613.2</v>
      </c>
      <c r="CS45" s="1602">
        <f>SUM('Н 2019-2024'!V34)</f>
        <v>0</v>
      </c>
      <c r="CT45" s="1602">
        <f t="shared" si="330"/>
        <v>2150.94</v>
      </c>
      <c r="CU45" s="1602">
        <f>SUM('Н 2019-2024'!W26)</f>
        <v>2150.94</v>
      </c>
      <c r="CV45" s="1602">
        <f>SUM('Н 2019-2024'!Y34)</f>
        <v>0</v>
      </c>
      <c r="CW45" s="2371">
        <f t="shared" si="331"/>
        <v>2155.842011632169</v>
      </c>
      <c r="CX45" s="2371">
        <f>SUM('Н 2019-2024'!X26)</f>
        <v>2150.94</v>
      </c>
      <c r="CY45" s="2371">
        <f>SUM('Н 2019-2024'!X34)</f>
        <v>4.9020116321688594</v>
      </c>
      <c r="CZ45" s="4101">
        <f t="shared" si="332"/>
        <v>1745.3302200000001</v>
      </c>
      <c r="DA45" s="4101">
        <f>SUM('Н 2019-2024'!Y26)</f>
        <v>1745.3302200000001</v>
      </c>
      <c r="DB45" s="4101">
        <f>SUM('Н 2019-2024'!AA34)</f>
        <v>0</v>
      </c>
      <c r="DC45" s="2371">
        <f t="shared" si="333"/>
        <v>1068.7159999999999</v>
      </c>
      <c r="DD45" s="2371">
        <f>SUM(имущество!V36)/1000</f>
        <v>1068.7159999999999</v>
      </c>
      <c r="DE45" s="2371">
        <f>SUM('Н 2019-2024'!AD34)</f>
        <v>0</v>
      </c>
      <c r="DF45" s="2371">
        <f t="shared" si="334"/>
        <v>1600.1659999999999</v>
      </c>
      <c r="DG45" s="2371">
        <f>SUM(имущество!W36)/1000</f>
        <v>1600.1659999999999</v>
      </c>
      <c r="DH45" s="2371">
        <f>SUM('Н 2019-2024'!AK34)</f>
        <v>0</v>
      </c>
      <c r="DI45" s="3487">
        <f t="shared" si="335"/>
        <v>0</v>
      </c>
      <c r="DJ45" s="3487">
        <f>SUM('Н 2019-2024'!AL26)</f>
        <v>0</v>
      </c>
      <c r="DK45" s="3487">
        <f>SUM('Н 2019-2024'!AN34)</f>
        <v>0</v>
      </c>
    </row>
    <row r="46" spans="1:115" ht="21" customHeight="1" x14ac:dyDescent="0.2">
      <c r="A46" s="3616" t="s">
        <v>11</v>
      </c>
      <c r="B46" s="1728">
        <v>6566.2</v>
      </c>
      <c r="C46" s="1729">
        <v>7034.8</v>
      </c>
      <c r="D46" s="1731">
        <f>C46/B46*100</f>
        <v>107.13654777496879</v>
      </c>
      <c r="E46" s="1606">
        <v>7166.7</v>
      </c>
      <c r="F46" s="1606">
        <f>E46/C46*100</f>
        <v>101.87496446238697</v>
      </c>
      <c r="G46" s="1606">
        <v>7614.1</v>
      </c>
      <c r="H46" s="1731">
        <f t="shared" si="2"/>
        <v>106.24276166157367</v>
      </c>
      <c r="I46" s="1606">
        <v>8986</v>
      </c>
      <c r="J46" s="1606">
        <v>4011.7</v>
      </c>
      <c r="K46" s="1606">
        <v>6062.9</v>
      </c>
      <c r="L46" s="1606">
        <v>8448.7000000000007</v>
      </c>
      <c r="M46" s="1606">
        <f t="shared" si="19"/>
        <v>110.96124295714529</v>
      </c>
      <c r="N46" s="1606">
        <v>10151.1</v>
      </c>
      <c r="O46" s="1606">
        <f t="shared" si="20"/>
        <v>112.96572446027153</v>
      </c>
      <c r="P46" s="1606">
        <v>8915.7999999999993</v>
      </c>
      <c r="Q46" s="1606">
        <f t="shared" si="21"/>
        <v>99.218784776318714</v>
      </c>
      <c r="R46" s="1606">
        <f>P46/L46*100</f>
        <v>105.52866121415127</v>
      </c>
      <c r="S46" s="1606">
        <f>P46-T46</f>
        <v>8876.5</v>
      </c>
      <c r="T46" s="1606">
        <v>39.299999999999997</v>
      </c>
      <c r="U46" s="1606">
        <v>7513.6</v>
      </c>
      <c r="V46" s="1606"/>
      <c r="W46" s="1606">
        <v>10701.5</v>
      </c>
      <c r="X46" s="1606"/>
      <c r="Y46" s="1606">
        <v>10806.57</v>
      </c>
      <c r="Z46" s="1606">
        <f>Y46-AA46</f>
        <v>10753.369999999999</v>
      </c>
      <c r="AA46" s="1606">
        <v>53.2</v>
      </c>
      <c r="AB46" s="1606">
        <f>SUM('ОХР '!AD57)</f>
        <v>9591.77</v>
      </c>
      <c r="AC46" s="1606">
        <f>SUM(AC65/AB65)*AB46</f>
        <v>9508.4400839997706</v>
      </c>
      <c r="AD46" s="1606">
        <f>AB46-AC46</f>
        <v>83.329916000229787</v>
      </c>
      <c r="AE46" s="1606">
        <v>9051.4500000000007</v>
      </c>
      <c r="AF46" s="1606">
        <f t="shared" si="23"/>
        <v>0.83758768971098152</v>
      </c>
      <c r="AG46" s="1606">
        <v>8995.59</v>
      </c>
      <c r="AH46" s="1606">
        <v>55.86</v>
      </c>
      <c r="AI46" s="1606">
        <f>SUM('ОХР '!AH57)</f>
        <v>8833.3841337506801</v>
      </c>
      <c r="AJ46" s="1606">
        <f t="shared" si="24"/>
        <v>0.8174086813624194</v>
      </c>
      <c r="AK46" s="1606">
        <f>AI46-AL46</f>
        <v>8777.5241337506795</v>
      </c>
      <c r="AL46" s="1606">
        <f>AA46*1.05</f>
        <v>55.860000000000007</v>
      </c>
      <c r="AM46" s="1606" t="e">
        <f>#REF!*Z46/Y46</f>
        <v>#REF!</v>
      </c>
      <c r="AN46" s="1606" t="e">
        <f>#REF!-AM46</f>
        <v>#REF!</v>
      </c>
      <c r="AO46" s="1606" t="e">
        <f t="shared" si="25"/>
        <v>#REF!</v>
      </c>
      <c r="AP46" s="1606">
        <v>0</v>
      </c>
      <c r="AQ46" s="1606">
        <f>SUM(AQ65/AP65)*AP46</f>
        <v>0</v>
      </c>
      <c r="AR46" s="1606">
        <f>AP46-AQ46</f>
        <v>0</v>
      </c>
      <c r="AS46" s="1606">
        <f>SUM('цех стоки'!AF62)</f>
        <v>0</v>
      </c>
      <c r="AT46" s="1606">
        <f>SUM(AT65/AS65)*AS46</f>
        <v>0</v>
      </c>
      <c r="AU46" s="1606">
        <f>AS46-AT46</f>
        <v>0</v>
      </c>
      <c r="AV46" s="1606">
        <v>10189.549999999999</v>
      </c>
      <c r="AW46" s="1734">
        <f t="shared" ref="AW46" si="337">SUM(AV46/AI46)</f>
        <v>1.1535273283392791</v>
      </c>
      <c r="AX46" s="1606">
        <v>10189.549999999999</v>
      </c>
      <c r="AY46" s="1606">
        <v>0</v>
      </c>
      <c r="AZ46" s="1606">
        <f>SUM('ОХР '!AM57)+2500</f>
        <v>13195.647202096725</v>
      </c>
      <c r="BA46" s="1609">
        <f t="shared" si="30"/>
        <v>1.4938382620176867</v>
      </c>
      <c r="BB46" s="1606">
        <f>SUM(AZ46-BC46)</f>
        <v>13195.647202096725</v>
      </c>
      <c r="BC46" s="1606">
        <v>0</v>
      </c>
      <c r="BD46" s="1606">
        <f>BE46+BF46</f>
        <v>9307.77</v>
      </c>
      <c r="BE46" s="1606">
        <v>9244.99</v>
      </c>
      <c r="BF46" s="1606">
        <v>62.78</v>
      </c>
      <c r="BG46" s="1606">
        <f>BH46+BI46</f>
        <v>9770.4</v>
      </c>
      <c r="BH46" s="1606">
        <v>9711.67</v>
      </c>
      <c r="BI46" s="1606">
        <v>58.73</v>
      </c>
      <c r="BJ46" s="1606">
        <f>BK46+BL46</f>
        <v>15214.178</v>
      </c>
      <c r="BK46" s="1606">
        <v>15206.884</v>
      </c>
      <c r="BL46" s="1606">
        <v>7.2939999999999996</v>
      </c>
      <c r="BM46" s="1606">
        <f>BN46+BO46</f>
        <v>10336.434000000001</v>
      </c>
      <c r="BN46" s="1606">
        <v>10276.564</v>
      </c>
      <c r="BO46" s="1606">
        <v>59.87</v>
      </c>
      <c r="BP46" s="1606">
        <f>BQ46+BR46</f>
        <v>18419.43</v>
      </c>
      <c r="BQ46" s="1606">
        <v>18312.11</v>
      </c>
      <c r="BR46" s="1606">
        <v>107.32</v>
      </c>
      <c r="BS46" s="1606">
        <f>'ОХР '!BM49+'вода 2019-2021 коррект'!X64</f>
        <v>14542.724168003919</v>
      </c>
      <c r="BT46" s="1606">
        <f>BS46/BS65*BT65+28.6+3.31+16.935+6.95+27.89</f>
        <v>14541.335939405846</v>
      </c>
      <c r="BU46" s="1606">
        <f>BS46/BS65*BU65-28.6-3.31-16.935-6.95-27.89</f>
        <v>1.3882285980731162</v>
      </c>
      <c r="BV46" s="1606">
        <f>SUM('ОХР '!BS49)</f>
        <v>12112.235843928804</v>
      </c>
      <c r="BW46" s="1606">
        <f>BV46/BV65*BW65</f>
        <v>12041.380686608869</v>
      </c>
      <c r="BX46" s="1606">
        <f>BV46/BV65*BX65</f>
        <v>70.855157319934435</v>
      </c>
      <c r="BY46" s="3600" t="str">
        <f>вода!CB58</f>
        <v>Приложение</v>
      </c>
      <c r="BZ46" s="394"/>
      <c r="CA46" s="394"/>
      <c r="CB46" s="394"/>
      <c r="CC46" s="394"/>
      <c r="CD46" s="394"/>
      <c r="CE46" s="394"/>
      <c r="CF46" s="394"/>
      <c r="CG46" s="394"/>
      <c r="CH46" s="394"/>
      <c r="CI46" s="394"/>
      <c r="CJ46" s="394"/>
      <c r="CK46" s="1606">
        <f>SUM(CL46:CM46)</f>
        <v>14761.135834113597</v>
      </c>
      <c r="CL46" s="1606">
        <f>SUM(BT46*1.03)*(1-0.01)-68.08</f>
        <v>14759.720257412142</v>
      </c>
      <c r="CM46" s="1606">
        <f>SUM(BU46*1.03)*(1-0.01)</f>
        <v>1.4155767014551566</v>
      </c>
      <c r="CN46" s="1606">
        <f t="shared" si="328"/>
        <v>5211.848</v>
      </c>
      <c r="CO46" s="1606">
        <f>SUM('ОХР '!CE49)</f>
        <v>5195.26</v>
      </c>
      <c r="CP46" s="1606">
        <f>SUM('ОХР '!CF49)</f>
        <v>16.588000000000001</v>
      </c>
      <c r="CQ46" s="1606">
        <f t="shared" si="329"/>
        <v>7707.0548100000015</v>
      </c>
      <c r="CR46" s="1606">
        <f>SUM('ОХР '!CL49)</f>
        <v>7685.5966600000011</v>
      </c>
      <c r="CS46" s="1606">
        <f>SUM('ОХР '!CM49)</f>
        <v>21.458150000000003</v>
      </c>
      <c r="CT46" s="1606">
        <f t="shared" si="330"/>
        <v>10235.575049999999</v>
      </c>
      <c r="CU46" s="1606">
        <f>SUM('ОХР '!CS49)</f>
        <v>10206.049999999999</v>
      </c>
      <c r="CV46" s="1606">
        <f>SUM('ОХР '!CT49)</f>
        <v>29.52505</v>
      </c>
      <c r="CW46" s="2374">
        <f t="shared" si="331"/>
        <v>11205.210177673807</v>
      </c>
      <c r="CX46" s="2374">
        <f>SUM('ОХР '!CZ49)</f>
        <v>11172.868878785355</v>
      </c>
      <c r="CY46" s="2374">
        <f>SUM('ОХР '!DA49)</f>
        <v>32.341298888451682</v>
      </c>
      <c r="CZ46" s="4103">
        <f t="shared" si="332"/>
        <v>10657.340266752199</v>
      </c>
      <c r="DA46" s="4103">
        <f>SUM('ОХР '!DE49)</f>
        <v>10596.696266752198</v>
      </c>
      <c r="DB46" s="4133">
        <v>60.643999999999998</v>
      </c>
      <c r="DC46" s="2374">
        <f t="shared" si="333"/>
        <v>4807.4112599999999</v>
      </c>
      <c r="DD46" s="2374">
        <f>SUM('ОХР '!DI49)</f>
        <v>4794.3121899999996</v>
      </c>
      <c r="DE46" s="2374">
        <f>SUM('ОХР '!DJ49)</f>
        <v>13.099070000000001</v>
      </c>
      <c r="DF46" s="2374">
        <f t="shared" si="334"/>
        <v>7266.85581</v>
      </c>
      <c r="DG46" s="2374">
        <f>SUM('ОХР '!DP49)</f>
        <v>7247.1235900000001</v>
      </c>
      <c r="DH46" s="2374">
        <f>SUM('ОХР '!DQ49)</f>
        <v>19.732219999999998</v>
      </c>
      <c r="DI46" s="3489">
        <f t="shared" si="335"/>
        <v>0</v>
      </c>
      <c r="DJ46" s="3489">
        <f>SUM('ОХР '!EE49)</f>
        <v>0</v>
      </c>
      <c r="DK46" s="3489">
        <f>SUM('ОХР '!EF49)</f>
        <v>0</v>
      </c>
    </row>
    <row r="47" spans="1:115" ht="21" customHeight="1" x14ac:dyDescent="0.2">
      <c r="A47" s="3616" t="s">
        <v>892</v>
      </c>
      <c r="B47" s="1728"/>
      <c r="C47" s="1729"/>
      <c r="D47" s="1731"/>
      <c r="E47" s="1606"/>
      <c r="F47" s="1606"/>
      <c r="G47" s="1606"/>
      <c r="H47" s="1731"/>
      <c r="I47" s="1606"/>
      <c r="J47" s="1606"/>
      <c r="K47" s="1606"/>
      <c r="L47" s="1606"/>
      <c r="M47" s="1606"/>
      <c r="N47" s="1606"/>
      <c r="O47" s="1606"/>
      <c r="P47" s="1606"/>
      <c r="Q47" s="1606"/>
      <c r="R47" s="1606"/>
      <c r="S47" s="1606"/>
      <c r="T47" s="1606"/>
      <c r="U47" s="1606"/>
      <c r="V47" s="1606"/>
      <c r="W47" s="1606"/>
      <c r="X47" s="1606"/>
      <c r="Y47" s="1606"/>
      <c r="Z47" s="1606"/>
      <c r="AA47" s="1606"/>
      <c r="AB47" s="1606"/>
      <c r="AC47" s="1606"/>
      <c r="AD47" s="1606"/>
      <c r="AE47" s="1606"/>
      <c r="AF47" s="1606"/>
      <c r="AG47" s="1606"/>
      <c r="AH47" s="1606"/>
      <c r="AI47" s="1606"/>
      <c r="AJ47" s="1606"/>
      <c r="AK47" s="1606"/>
      <c r="AL47" s="1606"/>
      <c r="AM47" s="1606"/>
      <c r="AN47" s="1606"/>
      <c r="AO47" s="1606"/>
      <c r="AP47" s="1606"/>
      <c r="AQ47" s="1606"/>
      <c r="AR47" s="1606"/>
      <c r="AS47" s="1606"/>
      <c r="AT47" s="1606"/>
      <c r="AU47" s="1606"/>
      <c r="AV47" s="1606">
        <v>828.88</v>
      </c>
      <c r="AW47" s="1734"/>
      <c r="AX47" s="1606">
        <v>828.88</v>
      </c>
      <c r="AY47" s="1606"/>
      <c r="AZ47" s="1606">
        <f>BB47+BC47</f>
        <v>286.40476017160813</v>
      </c>
      <c r="BA47" s="1609"/>
      <c r="BB47" s="1606">
        <f>'Резерв ДЗ'!F12</f>
        <v>286.40476017160813</v>
      </c>
      <c r="BC47" s="1606"/>
      <c r="BD47" s="1606">
        <v>0</v>
      </c>
      <c r="BE47" s="1606"/>
      <c r="BF47" s="1606"/>
      <c r="BG47" s="1606">
        <v>0</v>
      </c>
      <c r="BH47" s="1606"/>
      <c r="BI47" s="1606"/>
      <c r="BJ47" s="1606">
        <f>SUM(BK47:BL47)</f>
        <v>365.37</v>
      </c>
      <c r="BK47" s="1606">
        <v>365.37</v>
      </c>
      <c r="BL47" s="1606">
        <v>0</v>
      </c>
      <c r="BM47" s="1606"/>
      <c r="BN47" s="1606"/>
      <c r="BO47" s="1606"/>
      <c r="BP47" s="1606">
        <v>241.01</v>
      </c>
      <c r="BQ47" s="1606">
        <v>241.01</v>
      </c>
      <c r="BR47" s="1606"/>
      <c r="BS47" s="1606">
        <f>BP47</f>
        <v>241.01</v>
      </c>
      <c r="BT47" s="1606">
        <f>BS47</f>
        <v>241.01</v>
      </c>
      <c r="BU47" s="1606">
        <v>0</v>
      </c>
      <c r="BV47" s="1606">
        <v>249.2</v>
      </c>
      <c r="BW47" s="1606">
        <f>BV47</f>
        <v>249.2</v>
      </c>
      <c r="BX47" s="1606">
        <v>0</v>
      </c>
      <c r="BY47" s="3600" t="s">
        <v>963</v>
      </c>
      <c r="BZ47" s="394"/>
      <c r="CA47" s="394"/>
      <c r="CB47" s="394"/>
      <c r="CC47" s="394"/>
      <c r="CD47" s="394"/>
      <c r="CE47" s="394"/>
      <c r="CF47" s="394"/>
      <c r="CG47" s="394"/>
      <c r="CH47" s="394"/>
      <c r="CI47" s="394"/>
      <c r="CJ47" s="394"/>
      <c r="CK47" s="1606">
        <f>SUM(CL47:CM47)</f>
        <v>249.2</v>
      </c>
      <c r="CL47" s="1606">
        <f>SUM('рез к 2018-2024 (кор) '!G64:G67)</f>
        <v>249.2</v>
      </c>
      <c r="CM47" s="1606">
        <v>0</v>
      </c>
      <c r="CN47" s="1606">
        <f t="shared" si="328"/>
        <v>0</v>
      </c>
      <c r="CO47" s="1606">
        <v>0</v>
      </c>
      <c r="CP47" s="1606">
        <v>0</v>
      </c>
      <c r="CQ47" s="1606">
        <f t="shared" si="329"/>
        <v>0</v>
      </c>
      <c r="CR47" s="1606">
        <v>0</v>
      </c>
      <c r="CS47" s="1606">
        <v>0</v>
      </c>
      <c r="CT47" s="3648">
        <f t="shared" si="330"/>
        <v>-0.01</v>
      </c>
      <c r="CU47" s="3648">
        <v>-0.01</v>
      </c>
      <c r="CV47" s="1606">
        <v>0</v>
      </c>
      <c r="CW47" s="3655">
        <f t="shared" si="331"/>
        <v>293.68776219786787</v>
      </c>
      <c r="CX47" s="3655">
        <f>SUM('рез к 2018-2024 (кор) '!F74:F77)</f>
        <v>293.68776219786787</v>
      </c>
      <c r="CY47" s="2374">
        <v>0</v>
      </c>
      <c r="CZ47" s="4137">
        <f t="shared" si="332"/>
        <v>0</v>
      </c>
      <c r="DA47" s="4137">
        <f>SUM('рез к 2018-2024 (кор) '!I74:I77)</f>
        <v>0</v>
      </c>
      <c r="DB47" s="4103">
        <v>0</v>
      </c>
      <c r="DC47" s="2374">
        <f t="shared" si="333"/>
        <v>0</v>
      </c>
      <c r="DD47" s="2374">
        <v>0</v>
      </c>
      <c r="DE47" s="2374">
        <v>0</v>
      </c>
      <c r="DF47" s="2374">
        <f t="shared" si="334"/>
        <v>0</v>
      </c>
      <c r="DG47" s="2374">
        <v>0</v>
      </c>
      <c r="DH47" s="2374">
        <v>0</v>
      </c>
      <c r="DI47" s="4031">
        <f t="shared" si="335"/>
        <v>-0.01</v>
      </c>
      <c r="DJ47" s="4031">
        <v>-0.01</v>
      </c>
      <c r="DK47" s="3489">
        <v>0</v>
      </c>
    </row>
    <row r="48" spans="1:115" ht="21" customHeight="1" x14ac:dyDescent="0.2">
      <c r="A48" s="3475" t="s">
        <v>3686</v>
      </c>
      <c r="B48" s="3743"/>
      <c r="C48" s="1730"/>
      <c r="D48" s="1731"/>
      <c r="E48" s="1734"/>
      <c r="F48" s="1734"/>
      <c r="G48" s="1734"/>
      <c r="H48" s="1731"/>
      <c r="I48" s="1734"/>
      <c r="J48" s="1734"/>
      <c r="K48" s="1734"/>
      <c r="L48" s="1734"/>
      <c r="M48" s="1734"/>
      <c r="N48" s="1734"/>
      <c r="O48" s="1734"/>
      <c r="P48" s="1734"/>
      <c r="Q48" s="1734"/>
      <c r="R48" s="1734"/>
      <c r="S48" s="1734"/>
      <c r="T48" s="1734"/>
      <c r="U48" s="1734"/>
      <c r="V48" s="1734"/>
      <c r="W48" s="1734"/>
      <c r="X48" s="1734"/>
      <c r="Y48" s="1734"/>
      <c r="Z48" s="1734"/>
      <c r="AA48" s="1734"/>
      <c r="AB48" s="1734"/>
      <c r="AC48" s="1734"/>
      <c r="AD48" s="1734"/>
      <c r="AE48" s="1734"/>
      <c r="AF48" s="1734"/>
      <c r="AG48" s="1734"/>
      <c r="AH48" s="1734"/>
      <c r="AI48" s="1734"/>
      <c r="AJ48" s="1734"/>
      <c r="AK48" s="1734"/>
      <c r="AL48" s="1734"/>
      <c r="AM48" s="1734"/>
      <c r="AN48" s="1734"/>
      <c r="AO48" s="1734"/>
      <c r="AP48" s="1734"/>
      <c r="AQ48" s="1734"/>
      <c r="AR48" s="1734"/>
      <c r="AS48" s="1734"/>
      <c r="AT48" s="1734"/>
      <c r="AU48" s="1734"/>
      <c r="AV48" s="1734"/>
      <c r="AW48" s="1734"/>
      <c r="AX48" s="1734"/>
      <c r="AY48" s="1734"/>
      <c r="AZ48" s="1734"/>
      <c r="BA48" s="1609"/>
      <c r="BB48" s="1734"/>
      <c r="BC48" s="1734"/>
      <c r="BD48" s="1734"/>
      <c r="BE48" s="1734"/>
      <c r="BF48" s="1734"/>
      <c r="BG48" s="1734"/>
      <c r="BH48" s="1734"/>
      <c r="BI48" s="1734"/>
      <c r="BJ48" s="1734"/>
      <c r="BK48" s="1734"/>
      <c r="BL48" s="1734"/>
      <c r="BM48" s="1734">
        <f>SUM(BN48:BO48)</f>
        <v>92.364000000000004</v>
      </c>
      <c r="BN48" s="1734">
        <v>92.36</v>
      </c>
      <c r="BO48" s="2756">
        <v>4.0000000000000001E-3</v>
      </c>
      <c r="BP48" s="1734"/>
      <c r="BQ48" s="1734"/>
      <c r="BR48" s="1734"/>
      <c r="BS48" s="1734">
        <f>'Аренда земли'!M13</f>
        <v>105.48881849999999</v>
      </c>
      <c r="BT48" s="1734">
        <f>BS48</f>
        <v>105.48881849999999</v>
      </c>
      <c r="BU48" s="1734">
        <v>0</v>
      </c>
      <c r="BV48" s="1734">
        <f>SUM('Аренда земли'!S15)</f>
        <v>98.938174399999994</v>
      </c>
      <c r="BW48" s="1734">
        <f>BV48</f>
        <v>98.938174399999994</v>
      </c>
      <c r="BX48" s="1734">
        <v>0</v>
      </c>
      <c r="BY48" s="3608"/>
      <c r="BZ48" s="3741"/>
      <c r="CA48" s="3741"/>
      <c r="CB48" s="3741"/>
      <c r="CC48" s="3741"/>
      <c r="CD48" s="3741"/>
      <c r="CE48" s="3741"/>
      <c r="CF48" s="3741"/>
      <c r="CG48" s="3741"/>
      <c r="CH48" s="3741"/>
      <c r="CI48" s="3741"/>
      <c r="CJ48" s="3741"/>
      <c r="CK48" s="1734">
        <f>SUM(CL48:CM48)</f>
        <v>93.10991940000001</v>
      </c>
      <c r="CL48" s="1734">
        <f>SUM('Аренда земли'!T13)</f>
        <v>93.10991940000001</v>
      </c>
      <c r="CM48" s="1734">
        <v>0</v>
      </c>
      <c r="CN48" s="1734">
        <f t="shared" si="328"/>
        <v>47.810090000000002</v>
      </c>
      <c r="CO48" s="1734">
        <f>SUM('Аренда земли'!U15)</f>
        <v>47.794029999999999</v>
      </c>
      <c r="CP48" s="1734">
        <f>SUM('Аренда земли'!V18)</f>
        <v>1.6060000000000001E-2</v>
      </c>
      <c r="CQ48" s="1734">
        <f t="shared" si="329"/>
        <v>71.728929999999991</v>
      </c>
      <c r="CR48" s="1734">
        <f>SUM('Аренда земли'!V15)</f>
        <v>71.712869999999995</v>
      </c>
      <c r="CS48" s="1734">
        <f>SUM('Аренда земли'!V18)</f>
        <v>1.6060000000000001E-2</v>
      </c>
      <c r="CT48" s="1734">
        <f t="shared" si="330"/>
        <v>95.605999999999995</v>
      </c>
      <c r="CU48" s="1734">
        <f>SUM('Аренда земли'!W15)</f>
        <v>95.585999999999999</v>
      </c>
      <c r="CV48" s="1734">
        <f>SUM('Аренда земли'!W18)</f>
        <v>0.02</v>
      </c>
      <c r="CW48" s="3653">
        <f t="shared" si="331"/>
        <v>93.10991940000001</v>
      </c>
      <c r="CX48" s="3653">
        <f>SUM('Аренда земли'!Y16)</f>
        <v>93.10991940000001</v>
      </c>
      <c r="CY48" s="3653">
        <v>0</v>
      </c>
      <c r="CZ48" s="4134">
        <f t="shared" si="332"/>
        <v>93.109919000000005</v>
      </c>
      <c r="DA48" s="4134">
        <f>SUM('Аренда земли'!Z16)</f>
        <v>93.109919000000005</v>
      </c>
      <c r="DB48" s="4134">
        <v>0</v>
      </c>
      <c r="DC48" s="3653">
        <f t="shared" si="333"/>
        <v>0</v>
      </c>
      <c r="DD48" s="3653">
        <v>0</v>
      </c>
      <c r="DE48" s="3653">
        <v>0</v>
      </c>
      <c r="DF48" s="3653">
        <f t="shared" si="334"/>
        <v>0</v>
      </c>
      <c r="DG48" s="3653">
        <v>0</v>
      </c>
      <c r="DH48" s="3653">
        <v>0</v>
      </c>
      <c r="DI48" s="3734">
        <f t="shared" si="335"/>
        <v>0</v>
      </c>
      <c r="DJ48" s="3734">
        <f>SUM('Аренда земли'!AP15)</f>
        <v>0</v>
      </c>
      <c r="DK48" s="3734">
        <f>SUM('Аренда земли'!AP18)</f>
        <v>0</v>
      </c>
    </row>
    <row r="49" spans="1:115" ht="21" customHeight="1" x14ac:dyDescent="0.2">
      <c r="A49" s="3616" t="s">
        <v>625</v>
      </c>
      <c r="B49" s="1728"/>
      <c r="C49" s="1729"/>
      <c r="D49" s="1731"/>
      <c r="E49" s="1606"/>
      <c r="F49" s="1606"/>
      <c r="G49" s="1606"/>
      <c r="H49" s="1731"/>
      <c r="I49" s="1606"/>
      <c r="J49" s="1606"/>
      <c r="K49" s="1606"/>
      <c r="L49" s="1606"/>
      <c r="M49" s="1606"/>
      <c r="N49" s="1606"/>
      <c r="O49" s="1606"/>
      <c r="P49" s="1606"/>
      <c r="Q49" s="1606"/>
      <c r="R49" s="1606"/>
      <c r="S49" s="1606"/>
      <c r="T49" s="1606"/>
      <c r="U49" s="1606"/>
      <c r="V49" s="1606"/>
      <c r="W49" s="1606"/>
      <c r="X49" s="1606"/>
      <c r="Y49" s="1606"/>
      <c r="Z49" s="1606"/>
      <c r="AA49" s="1606"/>
      <c r="AB49" s="1606"/>
      <c r="AC49" s="1606"/>
      <c r="AD49" s="1606"/>
      <c r="AE49" s="1606"/>
      <c r="AF49" s="1606"/>
      <c r="AG49" s="1606"/>
      <c r="AH49" s="1606"/>
      <c r="AI49" s="1606"/>
      <c r="AJ49" s="1606"/>
      <c r="AK49" s="1606"/>
      <c r="AL49" s="1606"/>
      <c r="AM49" s="1606"/>
      <c r="AN49" s="1606"/>
      <c r="AO49" s="1606"/>
      <c r="AP49" s="1606"/>
      <c r="AQ49" s="1606"/>
      <c r="AR49" s="1606"/>
      <c r="AS49" s="1606"/>
      <c r="AT49" s="1606"/>
      <c r="AU49" s="1606"/>
      <c r="AV49" s="1606"/>
      <c r="AW49" s="1734"/>
      <c r="AX49" s="1606"/>
      <c r="AY49" s="1606"/>
      <c r="AZ49" s="1606"/>
      <c r="BA49" s="1609"/>
      <c r="BB49" s="1606"/>
      <c r="BC49" s="1606"/>
      <c r="BD49" s="1606"/>
      <c r="BE49" s="1606"/>
      <c r="BF49" s="1606"/>
      <c r="BG49" s="1606"/>
      <c r="BH49" s="1606"/>
      <c r="BI49" s="1606"/>
      <c r="BJ49" s="1606"/>
      <c r="BK49" s="1606"/>
      <c r="BL49" s="1606"/>
      <c r="BM49" s="1606"/>
      <c r="BN49" s="1606"/>
      <c r="BO49" s="1606"/>
      <c r="BP49" s="1606"/>
      <c r="BQ49" s="1606"/>
      <c r="BR49" s="1606"/>
      <c r="BS49" s="1606">
        <f>BT49</f>
        <v>517.29666900000007</v>
      </c>
      <c r="BT49" s="1606">
        <f>'Транспортировка КЭМЗ'!C12</f>
        <v>517.29666900000007</v>
      </c>
      <c r="BU49" s="1606">
        <v>0</v>
      </c>
      <c r="BV49" s="1606">
        <f>BW49</f>
        <v>549.04411800000003</v>
      </c>
      <c r="BW49" s="1606">
        <f>SUM('Транспортировка КЭМЗ'!I12)</f>
        <v>549.04411800000003</v>
      </c>
      <c r="BX49" s="1606">
        <v>0</v>
      </c>
      <c r="BY49" s="3600"/>
      <c r="BZ49" s="394"/>
      <c r="CA49" s="394"/>
      <c r="CB49" s="394"/>
      <c r="CC49" s="394"/>
      <c r="CD49" s="394"/>
      <c r="CE49" s="394"/>
      <c r="CF49" s="394"/>
      <c r="CG49" s="394"/>
      <c r="CH49" s="394"/>
      <c r="CI49" s="394"/>
      <c r="CJ49" s="394"/>
      <c r="CK49" s="1606">
        <f>CL49</f>
        <v>322.41899999999998</v>
      </c>
      <c r="CL49" s="1606">
        <v>322.41899999999998</v>
      </c>
      <c r="CM49" s="1606">
        <v>0</v>
      </c>
      <c r="CN49" s="1606">
        <f>CO49</f>
        <v>0</v>
      </c>
      <c r="CO49" s="1606">
        <v>0</v>
      </c>
      <c r="CP49" s="1606">
        <v>0</v>
      </c>
      <c r="CQ49" s="1606">
        <f>CR49</f>
        <v>0</v>
      </c>
      <c r="CR49" s="1606">
        <v>0</v>
      </c>
      <c r="CS49" s="1606">
        <v>0</v>
      </c>
      <c r="CT49" s="1606">
        <f>CU49</f>
        <v>648.35</v>
      </c>
      <c r="CU49" s="1606">
        <f>SUM('Транспортировка КЭМЗ'!J12)</f>
        <v>648.35</v>
      </c>
      <c r="CV49" s="1606">
        <v>0</v>
      </c>
      <c r="CW49" s="2374">
        <f>CX49</f>
        <v>704.58079999999995</v>
      </c>
      <c r="CX49" s="2374">
        <f>SUM('Транспортировка КЭМЗ'!K12)</f>
        <v>704.58079999999995</v>
      </c>
      <c r="CY49" s="2374">
        <v>0</v>
      </c>
      <c r="CZ49" s="4103">
        <f>DA49</f>
        <v>316.125</v>
      </c>
      <c r="DA49" s="4103">
        <f>SUM('Транспортировка КЭМЗ'!L12)</f>
        <v>316.125</v>
      </c>
      <c r="DB49" s="4103">
        <v>0</v>
      </c>
      <c r="DC49" s="2374">
        <f>DD49</f>
        <v>193.685</v>
      </c>
      <c r="DD49" s="2374">
        <v>193.685</v>
      </c>
      <c r="DE49" s="2374">
        <v>0</v>
      </c>
      <c r="DF49" s="2374">
        <f>DG49</f>
        <v>280.77</v>
      </c>
      <c r="DG49" s="2374">
        <v>280.77</v>
      </c>
      <c r="DH49" s="2374">
        <v>0</v>
      </c>
      <c r="DI49" s="3489">
        <f>DJ49</f>
        <v>0</v>
      </c>
      <c r="DJ49" s="3489">
        <f>SUM('Транспортировка КЭМЗ'!Z12)</f>
        <v>0</v>
      </c>
      <c r="DK49" s="3489">
        <v>0</v>
      </c>
    </row>
    <row r="50" spans="1:115" ht="21" customHeight="1" x14ac:dyDescent="0.2">
      <c r="A50" s="3616" t="str">
        <f>вода!A62</f>
        <v>Выпадающие расходы прошлых периодов</v>
      </c>
      <c r="B50" s="1728"/>
      <c r="C50" s="1729"/>
      <c r="D50" s="1731"/>
      <c r="E50" s="1606"/>
      <c r="F50" s="1606"/>
      <c r="G50" s="1606"/>
      <c r="H50" s="1731"/>
      <c r="I50" s="1606"/>
      <c r="J50" s="1606"/>
      <c r="K50" s="1606"/>
      <c r="L50" s="1606"/>
      <c r="M50" s="1606"/>
      <c r="N50" s="1606"/>
      <c r="O50" s="1606"/>
      <c r="P50" s="1606"/>
      <c r="Q50" s="1606"/>
      <c r="R50" s="1606"/>
      <c r="S50" s="1606"/>
      <c r="T50" s="1606"/>
      <c r="U50" s="1606"/>
      <c r="V50" s="1606"/>
      <c r="W50" s="1606"/>
      <c r="X50" s="1606"/>
      <c r="Y50" s="1606"/>
      <c r="Z50" s="1606"/>
      <c r="AA50" s="1606"/>
      <c r="AB50" s="1606"/>
      <c r="AC50" s="1606"/>
      <c r="AD50" s="1606"/>
      <c r="AE50" s="1606">
        <v>885.62</v>
      </c>
      <c r="AF50" s="1606"/>
      <c r="AG50" s="1606">
        <v>885.62</v>
      </c>
      <c r="AH50" s="1606">
        <v>0</v>
      </c>
      <c r="AI50" s="1606">
        <f>SUM(AK50+AL50)</f>
        <v>1458.3999999999999</v>
      </c>
      <c r="AJ50" s="1606"/>
      <c r="AK50" s="1606">
        <v>1450.3</v>
      </c>
      <c r="AL50" s="1606">
        <v>8.1</v>
      </c>
      <c r="AM50" s="1606"/>
      <c r="AN50" s="1606"/>
      <c r="AO50" s="1606"/>
      <c r="AP50" s="1606">
        <f>SUM(AQ50:AR50)</f>
        <v>0</v>
      </c>
      <c r="AQ50" s="1606">
        <v>0</v>
      </c>
      <c r="AR50" s="1606">
        <v>0</v>
      </c>
      <c r="AS50" s="1606">
        <f>SUM(AT50:AU50)</f>
        <v>0</v>
      </c>
      <c r="AT50" s="1606">
        <v>0</v>
      </c>
      <c r="AU50" s="1606">
        <v>0</v>
      </c>
      <c r="AV50" s="1606">
        <v>26.1</v>
      </c>
      <c r="AW50" s="1734">
        <f t="shared" si="47"/>
        <v>1.7896324739440486E-2</v>
      </c>
      <c r="AX50" s="1606">
        <v>26.1</v>
      </c>
      <c r="AY50" s="1606">
        <v>0</v>
      </c>
      <c r="AZ50" s="1606">
        <f>SUM(BB50:BC50)</f>
        <v>26.100000000000009</v>
      </c>
      <c r="BA50" s="1609">
        <f t="shared" si="30"/>
        <v>1.789632473944049E-2</v>
      </c>
      <c r="BB50" s="1606">
        <f>'Выпадающ15-16'!G25</f>
        <v>26.100000000000009</v>
      </c>
      <c r="BC50" s="1606">
        <v>0</v>
      </c>
      <c r="BD50" s="1606">
        <v>0</v>
      </c>
      <c r="BE50" s="1606"/>
      <c r="BF50" s="1606"/>
      <c r="BG50" s="1606">
        <v>0</v>
      </c>
      <c r="BH50" s="1606"/>
      <c r="BI50" s="1606"/>
      <c r="BJ50" s="1606">
        <v>0</v>
      </c>
      <c r="BK50" s="1606"/>
      <c r="BL50" s="1606"/>
      <c r="BM50" s="1606"/>
      <c r="BN50" s="1606"/>
      <c r="BO50" s="1606"/>
      <c r="BP50" s="1606">
        <f>BQ50+BR50</f>
        <v>0</v>
      </c>
      <c r="BQ50" s="1606">
        <v>0</v>
      </c>
      <c r="BR50" s="1606">
        <v>0</v>
      </c>
      <c r="BS50" s="1606">
        <f>BT50+BU50</f>
        <v>0</v>
      </c>
      <c r="BT50" s="1606">
        <v>0</v>
      </c>
      <c r="BU50" s="1606">
        <v>0</v>
      </c>
      <c r="BV50" s="1606">
        <f>BW50+BX50</f>
        <v>0</v>
      </c>
      <c r="BW50" s="1606">
        <v>0</v>
      </c>
      <c r="BX50" s="1606">
        <v>0</v>
      </c>
      <c r="BY50" s="3600" t="s">
        <v>963</v>
      </c>
      <c r="BZ50" s="394"/>
      <c r="CA50" s="394"/>
      <c r="CB50" s="394"/>
      <c r="CC50" s="394"/>
      <c r="CD50" s="394"/>
      <c r="CE50" s="394"/>
      <c r="CF50" s="394"/>
      <c r="CG50" s="394"/>
      <c r="CH50" s="394"/>
      <c r="CI50" s="394"/>
      <c r="CJ50" s="394"/>
      <c r="CK50" s="1606">
        <f>CL50+CM50</f>
        <v>0</v>
      </c>
      <c r="CL50" s="1606">
        <v>0</v>
      </c>
      <c r="CM50" s="1606">
        <v>0</v>
      </c>
      <c r="CN50" s="1606">
        <f>CO50+CP50</f>
        <v>0</v>
      </c>
      <c r="CO50" s="1606">
        <v>0</v>
      </c>
      <c r="CP50" s="1606">
        <v>0</v>
      </c>
      <c r="CQ50" s="1606">
        <f>CR50+CS50</f>
        <v>0</v>
      </c>
      <c r="CR50" s="1606">
        <v>0</v>
      </c>
      <c r="CS50" s="1606">
        <v>0</v>
      </c>
      <c r="CT50" s="1606">
        <f>CU50+CV50</f>
        <v>0</v>
      </c>
      <c r="CU50" s="1606">
        <v>0</v>
      </c>
      <c r="CV50" s="1606">
        <v>0</v>
      </c>
      <c r="CW50" s="2374">
        <f>CX50+CY50</f>
        <v>0</v>
      </c>
      <c r="CX50" s="2374">
        <v>0</v>
      </c>
      <c r="CY50" s="2374">
        <v>0</v>
      </c>
      <c r="CZ50" s="4103">
        <f>DA50+DB50</f>
        <v>0</v>
      </c>
      <c r="DA50" s="4103">
        <v>0</v>
      </c>
      <c r="DB50" s="4103">
        <v>0</v>
      </c>
      <c r="DC50" s="2374">
        <f>DD50+DE50</f>
        <v>0</v>
      </c>
      <c r="DD50" s="2374">
        <v>0</v>
      </c>
      <c r="DE50" s="2374">
        <v>0</v>
      </c>
      <c r="DF50" s="2374">
        <f>DG50+DH50</f>
        <v>0</v>
      </c>
      <c r="DG50" s="2374">
        <v>0</v>
      </c>
      <c r="DH50" s="2374">
        <v>0</v>
      </c>
      <c r="DI50" s="3489">
        <f>DJ50+DK50</f>
        <v>0</v>
      </c>
      <c r="DJ50" s="3489">
        <v>0</v>
      </c>
      <c r="DK50" s="3489">
        <v>0</v>
      </c>
    </row>
    <row r="51" spans="1:115" ht="21" customHeight="1" x14ac:dyDescent="0.2">
      <c r="A51" s="3744" t="s">
        <v>3674</v>
      </c>
      <c r="B51" s="3745">
        <f>B8+B17+B27+B34+B42+B46</f>
        <v>48804.800000000003</v>
      </c>
      <c r="C51" s="3746">
        <f>C8+C17+C27+C34+C42+C46</f>
        <v>53462.30000000001</v>
      </c>
      <c r="D51" s="3747">
        <f>C51/B51*100</f>
        <v>109.54311870963514</v>
      </c>
      <c r="E51" s="2738">
        <f>E8+E17+E27+E34+E42+E46</f>
        <v>60125.35753296347</v>
      </c>
      <c r="F51" s="2738">
        <f>F8+F17+F27+F34+F42+F46</f>
        <v>3129.1316842549895</v>
      </c>
      <c r="G51" s="2738">
        <f>G8+G17+G27+G34+G42+G46</f>
        <v>67514.555567248346</v>
      </c>
      <c r="H51" s="3747">
        <f t="shared" si="2"/>
        <v>112.28965337999659</v>
      </c>
      <c r="I51" s="2738">
        <f>I8+I17+I27+I34+I42+I46</f>
        <v>71839.299339999998</v>
      </c>
      <c r="J51" s="2738" t="e">
        <f>J8+J17+J27+J34+J42+J46+#REF!</f>
        <v>#REF!</v>
      </c>
      <c r="K51" s="2738">
        <f>K8+K17+K27+K34+K42+K46</f>
        <v>48024.894049536379</v>
      </c>
      <c r="L51" s="2738">
        <f>L8+L17+L27+L34+L42+L46</f>
        <v>69413.700222854182</v>
      </c>
      <c r="M51" s="2738">
        <f t="shared" si="19"/>
        <v>102.81294106085639</v>
      </c>
      <c r="N51" s="2738">
        <f>N8+N17+N27+N34+N42+N46</f>
        <v>89172.253990794445</v>
      </c>
      <c r="O51" s="2738">
        <f t="shared" si="20"/>
        <v>124.12739936223667</v>
      </c>
      <c r="P51" s="2738" t="e">
        <f>P8+P17+P27+P34+P42+P46</f>
        <v>#REF!</v>
      </c>
      <c r="Q51" s="2738" t="e">
        <f t="shared" ref="Q51:AA51" si="338">Q8+Q17+Q27+Q34+Q42+Q46</f>
        <v>#REF!</v>
      </c>
      <c r="R51" s="2738" t="e">
        <f t="shared" si="338"/>
        <v>#REF!</v>
      </c>
      <c r="S51" s="2738" t="e">
        <f t="shared" si="338"/>
        <v>#REF!</v>
      </c>
      <c r="T51" s="2738" t="e">
        <f t="shared" si="338"/>
        <v>#REF!</v>
      </c>
      <c r="U51" s="2738">
        <f>U8+U17+U27+U34+U42+U46</f>
        <v>56869.5</v>
      </c>
      <c r="V51" s="2738">
        <f>V8+V17+V27+V34+V42+V46</f>
        <v>0</v>
      </c>
      <c r="W51" s="2738">
        <f>W8+W17+W27+W34+W42+W46</f>
        <v>96034.68</v>
      </c>
      <c r="X51" s="2738"/>
      <c r="Y51" s="2738" t="e">
        <f t="shared" si="338"/>
        <v>#REF!</v>
      </c>
      <c r="Z51" s="2738" t="e">
        <f t="shared" si="338"/>
        <v>#REF!</v>
      </c>
      <c r="AA51" s="2738" t="e">
        <f t="shared" si="338"/>
        <v>#REF!</v>
      </c>
      <c r="AB51" s="2738">
        <f t="shared" ref="AB51:AD51" si="339">AB8+AB17+AB27+AB34+AB42+AB46</f>
        <v>70897.669500000004</v>
      </c>
      <c r="AC51" s="2738">
        <f t="shared" si="339"/>
        <v>70520.933541510851</v>
      </c>
      <c r="AD51" s="2738">
        <f t="shared" si="339"/>
        <v>376.73595848915204</v>
      </c>
      <c r="AE51" s="2738">
        <v>85498.66</v>
      </c>
      <c r="AF51" s="2738" t="e">
        <f t="shared" si="23"/>
        <v>#REF!</v>
      </c>
      <c r="AG51" s="2738">
        <v>85304.62</v>
      </c>
      <c r="AH51" s="2738">
        <v>343.42</v>
      </c>
      <c r="AI51" s="2738">
        <f>AI8+AI17+AI27+AI34+AI42+AI46+AI50</f>
        <v>81206.130865212966</v>
      </c>
      <c r="AJ51" s="2738" t="e">
        <f t="shared" si="24"/>
        <v>#REF!</v>
      </c>
      <c r="AK51" s="2738" t="e">
        <f>AK8+AK17+AK27+AK34+AK42+AK46+AK50</f>
        <v>#REF!</v>
      </c>
      <c r="AL51" s="2738" t="e">
        <f>AL8+AL17+AL27+AL34+AL42+AL46+AL50</f>
        <v>#REF!</v>
      </c>
      <c r="AM51" s="2738" t="e">
        <f>AM46+AM42+AM34+AM27+AM17+AM8</f>
        <v>#REF!</v>
      </c>
      <c r="AN51" s="2738" t="e">
        <f>#REF!-AM51</f>
        <v>#REF!</v>
      </c>
      <c r="AO51" s="2738" t="e">
        <f t="shared" si="25"/>
        <v>#REF!</v>
      </c>
      <c r="AP51" s="2738">
        <f t="shared" ref="AP51:BC51" si="340">AP8+AP17+AP27+AP34+AP42+AP46</f>
        <v>25525.760000000002</v>
      </c>
      <c r="AQ51" s="2738">
        <f t="shared" si="340"/>
        <v>25440.449918838356</v>
      </c>
      <c r="AR51" s="2738">
        <f t="shared" si="340"/>
        <v>83.252151621438273</v>
      </c>
      <c r="AS51" s="2738">
        <f t="shared" si="340"/>
        <v>40253.669999999991</v>
      </c>
      <c r="AT51" s="2738">
        <f t="shared" si="340"/>
        <v>40082.039917911483</v>
      </c>
      <c r="AU51" s="2738">
        <f t="shared" si="340"/>
        <v>167.62745114410106</v>
      </c>
      <c r="AV51" s="2738">
        <f>AV8+AV17+AV27+AV34+AV42+AV46+AV47+AV50</f>
        <v>92986.85384440083</v>
      </c>
      <c r="AW51" s="3748">
        <f t="shared" si="47"/>
        <v>1.1450718419123018</v>
      </c>
      <c r="AX51" s="2738">
        <f>AX8+AX17+AX27+AX34+AX42+AX46+AX47+AX50</f>
        <v>92625.832754033516</v>
      </c>
      <c r="AY51" s="2738">
        <f>AY8+AY17+AY27+AY34+AY42+AY46+AY50</f>
        <v>361.02109036731986</v>
      </c>
      <c r="AZ51" s="2738">
        <f>AZ8+AZ17+AZ27+AZ34+AZ42+AZ46+AZ47+AZ50</f>
        <v>81331.231157922157</v>
      </c>
      <c r="BA51" s="3630">
        <f t="shared" si="30"/>
        <v>1.0015405276840099</v>
      </c>
      <c r="BB51" s="2738">
        <f>BB8+BB17+BB27+BB34+BB42+BB46+BB47+BB50</f>
        <v>81065.511009907219</v>
      </c>
      <c r="BC51" s="2738">
        <f t="shared" si="340"/>
        <v>265.72014801492946</v>
      </c>
      <c r="BD51" s="2738">
        <f t="shared" ref="BD51:BR51" si="341">BD8+BD17+BD27+BD34+BD42+BD46+BD47+BD50</f>
        <v>81554.210000000006</v>
      </c>
      <c r="BE51" s="2738">
        <f t="shared" si="341"/>
        <v>81207.200000000012</v>
      </c>
      <c r="BF51" s="2738">
        <f t="shared" si="341"/>
        <v>347.01</v>
      </c>
      <c r="BG51" s="2738">
        <f t="shared" si="341"/>
        <v>79589.19</v>
      </c>
      <c r="BH51" s="2738">
        <f t="shared" si="341"/>
        <v>79280.180000000008</v>
      </c>
      <c r="BI51" s="2738">
        <f t="shared" si="341"/>
        <v>309.01</v>
      </c>
      <c r="BJ51" s="2738">
        <f t="shared" ref="BJ51:BL51" si="342">BJ8+BJ17+BJ27+BJ34+BJ42+BJ46+BJ47+BJ50</f>
        <v>89291.181999999986</v>
      </c>
      <c r="BK51" s="2738">
        <f t="shared" si="342"/>
        <v>88993.983999999997</v>
      </c>
      <c r="BL51" s="2738">
        <f t="shared" si="342"/>
        <v>297.19800000000004</v>
      </c>
      <c r="BM51" s="2738">
        <f t="shared" ref="BM51:BO51" si="343">BM8+BM17+BM27+BM34+BM42+BM46+BM47+BM50</f>
        <v>81692.375999999989</v>
      </c>
      <c r="BN51" s="2738">
        <f t="shared" si="343"/>
        <v>81392.004000000001</v>
      </c>
      <c r="BO51" s="2738">
        <f t="shared" si="343"/>
        <v>300.37199999999996</v>
      </c>
      <c r="BP51" s="2738">
        <f t="shared" si="341"/>
        <v>116751.68999999999</v>
      </c>
      <c r="BQ51" s="2738">
        <f t="shared" si="341"/>
        <v>116299.35999999999</v>
      </c>
      <c r="BR51" s="2738">
        <f t="shared" si="341"/>
        <v>452.33000000000004</v>
      </c>
      <c r="BS51" s="2738">
        <f>BS8+BS17+BS27+BS34+BS42+BS46+BS47+BS50+BS48+BS49+BS50</f>
        <v>96528.558904823658</v>
      </c>
      <c r="BT51" s="2738">
        <f t="shared" ref="BT51:BU51" si="344">BT8+BT17+BT27+BT34+BT42+BT46+BT47+BT50+BT48+BT49+BT50</f>
        <v>96264.342668392695</v>
      </c>
      <c r="BU51" s="2738">
        <f t="shared" si="344"/>
        <v>264.21623643095785</v>
      </c>
      <c r="BV51" s="2738">
        <f>BV8+BV17+BV27+BV34+BV42+BV46+BV47+BV50+BV48+BV49+BV50</f>
        <v>100796.00511219275</v>
      </c>
      <c r="BW51" s="2738">
        <f t="shared" ref="BW51:BX51" si="345">BW8+BW17+BW27+BW34+BW42+BW46+BW47+BW50+BW48+BW49+BW50</f>
        <v>100435.51397593354</v>
      </c>
      <c r="BX51" s="2738">
        <f t="shared" si="345"/>
        <v>360.49113625919534</v>
      </c>
      <c r="BY51" s="2643"/>
      <c r="BZ51" s="394"/>
      <c r="CA51" s="394"/>
      <c r="CB51" s="394"/>
      <c r="CC51" s="394"/>
      <c r="CD51" s="394"/>
      <c r="CE51" s="394"/>
      <c r="CF51" s="394"/>
      <c r="CG51" s="394"/>
      <c r="CH51" s="394"/>
      <c r="CI51" s="394"/>
      <c r="CJ51" s="394"/>
      <c r="CK51" s="2738">
        <f>CK8+CK17+CK27+CK34+CK42+CK46+CK47+CK50+CK48+CK49+CK50</f>
        <v>97878.703751422479</v>
      </c>
      <c r="CL51" s="2738">
        <f t="shared" ref="CL51:CM51" si="346">CL8+CL17+CL27+CL34+CL42+CL46+CL47+CL50+CL48+CL49+CL50</f>
        <v>97610.762389121417</v>
      </c>
      <c r="CM51" s="2738">
        <f t="shared" si="346"/>
        <v>267.94681284789755</v>
      </c>
      <c r="CN51" s="2738">
        <f>CN8+CN17+CN27+CN34+CN42+CN46+CN47+CN50+CN49+CN50</f>
        <v>41431.43548</v>
      </c>
      <c r="CO51" s="2738">
        <f>CO8+CO17+CO27+CO34+CO42+CO46+CO47+CO50++CO49+CO50</f>
        <v>41333.026150000005</v>
      </c>
      <c r="CP51" s="2738">
        <f>CP8+CP17+CP27+CP34+CP42+CP46+CP47+CP50++CP49+CP50</f>
        <v>98.409330000000011</v>
      </c>
      <c r="CQ51" s="2738">
        <f>CQ8+CQ17+CQ27+CQ34+CQ42+CQ46+CQ47+CQ50+CQ49+CQ50</f>
        <v>62414.571280000004</v>
      </c>
      <c r="CR51" s="2738">
        <f>CR8+CR17+CR27+CR34+CR42+CR46+CR47+CR50++CR49+CR50</f>
        <v>62279.233330000003</v>
      </c>
      <c r="CS51" s="2738">
        <f>CS8+CS17+CS27+CS34+CS42+CS46+CS47+CS50++CS49+CS50</f>
        <v>135.33795000000001</v>
      </c>
      <c r="CT51" s="2738">
        <f>CT8+CT17+CT27+CT34+CT42+CT46+CT47+CT50+CT49+CT50</f>
        <v>83657.96805000001</v>
      </c>
      <c r="CU51" s="2738">
        <f>CU8+CU17+CU27+CU34+CU42+CU46+CU47+CU50+CU49+CU50</f>
        <v>83476.863000000012</v>
      </c>
      <c r="CV51" s="2738">
        <f>CV8+CV17+CV27+CV34+CV42+CV46+CV47+CV50++CV49+CV50</f>
        <v>181.10505000000001</v>
      </c>
      <c r="CW51" s="3656">
        <f>CW8+CW17+CW27+CW34+CW42+CW46+CW47+CW50+CW49+CW50</f>
        <v>115457.9314666601</v>
      </c>
      <c r="CX51" s="3656">
        <f>CX8+CX17+CX27+CX34+CX42+CX46+CX47+CX50+CX49+CX50</f>
        <v>115167.01183817482</v>
      </c>
      <c r="CY51" s="3656">
        <f>CY8+CY17+CY27+CY34+CY42+CY46+CY47+CY50++CY49+CY50</f>
        <v>290.91962848529323</v>
      </c>
      <c r="CZ51" s="4139">
        <f>CZ8+CZ17+CZ27+CZ34+CZ42+CZ46+CZ47+CZ50+CZ49+CZ50</f>
        <v>100870.7046716</v>
      </c>
      <c r="DA51" s="4139">
        <f>DA8+DA17+DA27+DA34+DA42+DA46+DA47+DA50+DA49+DA50</f>
        <v>100595.26039686298</v>
      </c>
      <c r="DB51" s="4139">
        <f>DB8+DB17+DB27+DB34+DB42+DB46+DB47+DB50++DB49+DB50</f>
        <v>275.44427473702683</v>
      </c>
      <c r="DC51" s="3656">
        <f>DC8+DC17+DC27+DC34+DC42+DC46+DC47+DC50+DC49+DC50</f>
        <v>41578.582459999998</v>
      </c>
      <c r="DD51" s="3656">
        <f>DD8+DD17+DD27+DD34+DD42+DD46+DD47+DD50++DD49+DD50</f>
        <v>41485.347179999997</v>
      </c>
      <c r="DE51" s="3656">
        <f>DE8+DE17+DE27+DE34+DE42+DE46+DE47+DE50++DE49+DE50</f>
        <v>93.235280000000003</v>
      </c>
      <c r="DF51" s="3656">
        <f>DF8+DF17+DF27+DF34+DF42+DF46+DF47+DF50+DF49+DF50</f>
        <v>62789.189829999996</v>
      </c>
      <c r="DG51" s="3656">
        <f>DG8+DG17+DG27+DG34+DG42+DG46+DG47+DG50++DG49+DG50</f>
        <v>62650.197609999996</v>
      </c>
      <c r="DH51" s="3656">
        <f>DH8+DH17+DH27+DH34+DH42+DH46+DH47+DH50++DH49+DH50</f>
        <v>138.99222</v>
      </c>
      <c r="DI51" s="3735">
        <f>DI8+DI17+DI27+DI34+DI42+DI46+DI47+DI50+DI49+DI50</f>
        <v>8954.82</v>
      </c>
      <c r="DJ51" s="3735">
        <f>DJ8+DJ17+DJ27+DJ34+DJ42+DJ46+DJ47+DJ50+DJ49+DJ50</f>
        <v>8931.07</v>
      </c>
      <c r="DK51" s="3735">
        <f>DK8+DK17+DK27+DK34+DK42+DK46+DK47+DK50++DK49+DK50</f>
        <v>23.75</v>
      </c>
    </row>
    <row r="52" spans="1:115" ht="21" customHeight="1" x14ac:dyDescent="0.2">
      <c r="A52" s="3610" t="s">
        <v>13</v>
      </c>
      <c r="B52" s="3745"/>
      <c r="C52" s="3746"/>
      <c r="D52" s="3747"/>
      <c r="E52" s="2738"/>
      <c r="F52" s="2738"/>
      <c r="G52" s="2738"/>
      <c r="H52" s="3747"/>
      <c r="I52" s="2738"/>
      <c r="J52" s="2738"/>
      <c r="K52" s="2738"/>
      <c r="L52" s="2738"/>
      <c r="M52" s="2738"/>
      <c r="N52" s="2738"/>
      <c r="O52" s="2738"/>
      <c r="P52" s="2738"/>
      <c r="Q52" s="2738"/>
      <c r="R52" s="2738"/>
      <c r="S52" s="2738"/>
      <c r="T52" s="2738"/>
      <c r="U52" s="2738"/>
      <c r="V52" s="2738"/>
      <c r="W52" s="2738"/>
      <c r="X52" s="2738"/>
      <c r="Y52" s="2738"/>
      <c r="Z52" s="2738"/>
      <c r="AA52" s="2738"/>
      <c r="AB52" s="2738"/>
      <c r="AC52" s="2738"/>
      <c r="AD52" s="2738"/>
      <c r="AE52" s="2738"/>
      <c r="AF52" s="2738"/>
      <c r="AG52" s="2738"/>
      <c r="AH52" s="2738"/>
      <c r="AI52" s="2738"/>
      <c r="AJ52" s="2738"/>
      <c r="AK52" s="2738"/>
      <c r="AL52" s="2738"/>
      <c r="AM52" s="2738"/>
      <c r="AN52" s="2738"/>
      <c r="AO52" s="2738"/>
      <c r="AP52" s="2738"/>
      <c r="AQ52" s="2738"/>
      <c r="AR52" s="2738"/>
      <c r="AS52" s="2738"/>
      <c r="AT52" s="2738"/>
      <c r="AU52" s="2738"/>
      <c r="AV52" s="2738"/>
      <c r="AW52" s="3748"/>
      <c r="AX52" s="2738"/>
      <c r="AY52" s="2738"/>
      <c r="AZ52" s="2738"/>
      <c r="BA52" s="3630"/>
      <c r="BB52" s="2738"/>
      <c r="BC52" s="2738"/>
      <c r="BD52" s="2738"/>
      <c r="BE52" s="2738"/>
      <c r="BF52" s="2738"/>
      <c r="BG52" s="2738"/>
      <c r="BH52" s="2738"/>
      <c r="BI52" s="2738"/>
      <c r="BJ52" s="2738">
        <f>SUM(BJ100)</f>
        <v>3248.93</v>
      </c>
      <c r="BK52" s="2738">
        <f t="shared" ref="BK52:CS52" si="347">SUM(BK100)</f>
        <v>3230</v>
      </c>
      <c r="BL52" s="2738">
        <f t="shared" si="347"/>
        <v>18.93</v>
      </c>
      <c r="BM52" s="2738">
        <f t="shared" si="347"/>
        <v>3150.37</v>
      </c>
      <c r="BN52" s="2738">
        <f t="shared" si="347"/>
        <v>3132.12</v>
      </c>
      <c r="BO52" s="2738">
        <f t="shared" si="347"/>
        <v>18.25</v>
      </c>
      <c r="BP52" s="2738">
        <f t="shared" si="347"/>
        <v>3248.93</v>
      </c>
      <c r="BQ52" s="2738">
        <f t="shared" si="347"/>
        <v>3230</v>
      </c>
      <c r="BR52" s="2738">
        <f t="shared" si="347"/>
        <v>18.93</v>
      </c>
      <c r="BS52" s="2738">
        <f t="shared" si="347"/>
        <v>3020.0036431580988</v>
      </c>
      <c r="BT52" s="2738">
        <f t="shared" si="347"/>
        <v>3002.3369764914323</v>
      </c>
      <c r="BU52" s="2738">
        <f t="shared" si="347"/>
        <v>17.666666666666668</v>
      </c>
      <c r="BV52" s="2738">
        <f t="shared" si="347"/>
        <v>3020.0036431580988</v>
      </c>
      <c r="BW52" s="2738">
        <f t="shared" si="347"/>
        <v>3002.3369764914323</v>
      </c>
      <c r="BX52" s="2738">
        <f t="shared" si="347"/>
        <v>17.666666666666668</v>
      </c>
      <c r="BY52" s="2738">
        <f t="shared" si="347"/>
        <v>0</v>
      </c>
      <c r="BZ52" s="2738">
        <f t="shared" si="347"/>
        <v>0</v>
      </c>
      <c r="CA52" s="2738">
        <f t="shared" si="347"/>
        <v>0</v>
      </c>
      <c r="CB52" s="2738">
        <f t="shared" si="347"/>
        <v>0</v>
      </c>
      <c r="CC52" s="2738">
        <f t="shared" si="347"/>
        <v>0</v>
      </c>
      <c r="CD52" s="2738">
        <f t="shared" si="347"/>
        <v>0</v>
      </c>
      <c r="CE52" s="2738">
        <f t="shared" si="347"/>
        <v>0</v>
      </c>
      <c r="CF52" s="2738">
        <f t="shared" si="347"/>
        <v>0</v>
      </c>
      <c r="CG52" s="2738">
        <f t="shared" si="347"/>
        <v>0</v>
      </c>
      <c r="CH52" s="2738">
        <f t="shared" si="347"/>
        <v>0</v>
      </c>
      <c r="CI52" s="2738">
        <f t="shared" si="347"/>
        <v>0</v>
      </c>
      <c r="CJ52" s="2738">
        <f t="shared" si="347"/>
        <v>0</v>
      </c>
      <c r="CK52" s="2738">
        <f t="shared" si="347"/>
        <v>2844.4046666666663</v>
      </c>
      <c r="CL52" s="2738">
        <f t="shared" si="347"/>
        <v>2826.7379999999998</v>
      </c>
      <c r="CM52" s="2738">
        <f t="shared" si="347"/>
        <v>17.666666666666668</v>
      </c>
      <c r="CN52" s="2738">
        <f t="shared" si="347"/>
        <v>1547.3829999999998</v>
      </c>
      <c r="CO52" s="2738">
        <f t="shared" si="347"/>
        <v>1538.6509999999998</v>
      </c>
      <c r="CP52" s="2738">
        <f t="shared" si="347"/>
        <v>8.7319999999999993</v>
      </c>
      <c r="CQ52" s="2738">
        <f t="shared" si="347"/>
        <v>2322.4540000000002</v>
      </c>
      <c r="CR52" s="2738">
        <f t="shared" si="347"/>
        <v>2309.123</v>
      </c>
      <c r="CS52" s="2738">
        <f t="shared" si="347"/>
        <v>13.331</v>
      </c>
      <c r="CT52" s="2738">
        <f t="shared" ref="CT52:CV52" si="348">SUM(CT100)</f>
        <v>3120.433</v>
      </c>
      <c r="CU52" s="2738">
        <f t="shared" si="348"/>
        <v>3105.598</v>
      </c>
      <c r="CV52" s="2738">
        <f t="shared" si="348"/>
        <v>14.835000000000001</v>
      </c>
      <c r="CW52" s="3656">
        <f t="shared" ref="CW52:CY52" si="349">SUM(CW100)</f>
        <v>2844.4046666666663</v>
      </c>
      <c r="CX52" s="3656">
        <f t="shared" si="349"/>
        <v>2826.7379999999998</v>
      </c>
      <c r="CY52" s="3656">
        <f t="shared" si="349"/>
        <v>17.666666666666668</v>
      </c>
      <c r="CZ52" s="4139">
        <f t="shared" ref="CZ52:DB52" si="350">SUM(CZ100)</f>
        <v>2844.4049999999997</v>
      </c>
      <c r="DA52" s="4139">
        <f t="shared" si="350"/>
        <v>2826.7379999999998</v>
      </c>
      <c r="DB52" s="4139">
        <f t="shared" si="350"/>
        <v>17.667000000000002</v>
      </c>
      <c r="DC52" s="3656">
        <f t="shared" ref="DC52:DK52" si="351">SUM(DC100)</f>
        <v>1567.3310000000001</v>
      </c>
      <c r="DD52" s="3656">
        <f t="shared" si="351"/>
        <v>1559.5720000000001</v>
      </c>
      <c r="DE52" s="3656">
        <f t="shared" si="351"/>
        <v>7.7590000000000003</v>
      </c>
      <c r="DF52" s="3656">
        <f t="shared" si="351"/>
        <v>2286.9459999999999</v>
      </c>
      <c r="DG52" s="3656">
        <f t="shared" si="351"/>
        <v>2275.0949999999998</v>
      </c>
      <c r="DH52" s="3656">
        <f t="shared" si="351"/>
        <v>11.851000000000001</v>
      </c>
      <c r="DI52" s="3735">
        <f t="shared" si="351"/>
        <v>0</v>
      </c>
      <c r="DJ52" s="3735">
        <f t="shared" si="351"/>
        <v>0</v>
      </c>
      <c r="DK52" s="3735">
        <f t="shared" si="351"/>
        <v>0</v>
      </c>
    </row>
    <row r="53" spans="1:115" ht="21" customHeight="1" x14ac:dyDescent="0.2">
      <c r="A53" s="3635" t="s">
        <v>14</v>
      </c>
      <c r="B53" s="1728"/>
      <c r="C53" s="1729"/>
      <c r="D53" s="1731"/>
      <c r="E53" s="1606"/>
      <c r="F53" s="1606"/>
      <c r="G53" s="1606"/>
      <c r="H53" s="1731"/>
      <c r="I53" s="1606"/>
      <c r="J53" s="1606"/>
      <c r="K53" s="1606"/>
      <c r="L53" s="1606"/>
      <c r="M53" s="1606"/>
      <c r="N53" s="1606"/>
      <c r="O53" s="1606"/>
      <c r="P53" s="1606"/>
      <c r="Q53" s="1606"/>
      <c r="R53" s="1606"/>
      <c r="S53" s="1606"/>
      <c r="T53" s="1606"/>
      <c r="U53" s="1606"/>
      <c r="V53" s="1606"/>
      <c r="W53" s="1606"/>
      <c r="X53" s="1606"/>
      <c r="Y53" s="1606"/>
      <c r="Z53" s="1606"/>
      <c r="AA53" s="1606"/>
      <c r="AB53" s="1606"/>
      <c r="AC53" s="1606"/>
      <c r="AD53" s="1606"/>
      <c r="AE53" s="1606">
        <v>885.62</v>
      </c>
      <c r="AF53" s="1606"/>
      <c r="AG53" s="1606">
        <v>885.62</v>
      </c>
      <c r="AH53" s="1606">
        <v>0</v>
      </c>
      <c r="AI53" s="1606">
        <f>SUM(AK53+AL53)</f>
        <v>1458.3999999999999</v>
      </c>
      <c r="AJ53" s="1606"/>
      <c r="AK53" s="1606">
        <v>1450.3</v>
      </c>
      <c r="AL53" s="1606">
        <v>8.1</v>
      </c>
      <c r="AM53" s="1606"/>
      <c r="AN53" s="1606"/>
      <c r="AO53" s="1606"/>
      <c r="AP53" s="1606">
        <f>SUM(AQ53:AR53)</f>
        <v>0</v>
      </c>
      <c r="AQ53" s="1606">
        <v>0</v>
      </c>
      <c r="AR53" s="1606">
        <v>0</v>
      </c>
      <c r="AS53" s="1606">
        <f>SUM(AT53:AU53)</f>
        <v>0</v>
      </c>
      <c r="AT53" s="1606">
        <v>0</v>
      </c>
      <c r="AU53" s="1606">
        <v>0</v>
      </c>
      <c r="AV53" s="1606">
        <v>26.1</v>
      </c>
      <c r="AW53" s="1734">
        <f t="shared" ref="AW53" si="352">SUM(AV53/AI53)</f>
        <v>1.7896324739440486E-2</v>
      </c>
      <c r="AX53" s="1606">
        <v>26.1</v>
      </c>
      <c r="AY53" s="1606">
        <v>0</v>
      </c>
      <c r="AZ53" s="1606">
        <f>SUM(BB53:BC53)</f>
        <v>0</v>
      </c>
      <c r="BA53" s="1609">
        <f t="shared" ref="BA53" si="353">SUM(AZ53/AI53)</f>
        <v>0</v>
      </c>
      <c r="BB53" s="1606">
        <f>'Выпадающ15-16'!G27</f>
        <v>0</v>
      </c>
      <c r="BC53" s="1606">
        <v>0</v>
      </c>
      <c r="BD53" s="1606">
        <v>0</v>
      </c>
      <c r="BE53" s="1606"/>
      <c r="BF53" s="1606"/>
      <c r="BG53" s="1606">
        <v>0</v>
      </c>
      <c r="BH53" s="1606"/>
      <c r="BI53" s="1606"/>
      <c r="BJ53" s="1606">
        <f>SUM(BJ51/BJ52)</f>
        <v>27.48325818038554</v>
      </c>
      <c r="BK53" s="1606">
        <f t="shared" ref="BK53:CS53" si="354">SUM(BK51/BK52)</f>
        <v>27.552317027863776</v>
      </c>
      <c r="BL53" s="1606">
        <f t="shared" si="354"/>
        <v>15.699841521394614</v>
      </c>
      <c r="BM53" s="1606">
        <f t="shared" si="354"/>
        <v>25.931041750651509</v>
      </c>
      <c r="BN53" s="1606">
        <f t="shared" si="354"/>
        <v>25.986234243898704</v>
      </c>
      <c r="BO53" s="1606">
        <f t="shared" si="354"/>
        <v>16.458739726027396</v>
      </c>
      <c r="BP53" s="1606">
        <f t="shared" si="354"/>
        <v>35.93542797167067</v>
      </c>
      <c r="BQ53" s="1606">
        <f t="shared" si="354"/>
        <v>36.005993808049531</v>
      </c>
      <c r="BR53" s="1606">
        <f t="shared" si="354"/>
        <v>23.894875858425781</v>
      </c>
      <c r="BS53" s="1606">
        <f t="shared" si="354"/>
        <v>31.963060416669283</v>
      </c>
      <c r="BT53" s="1606">
        <f t="shared" si="354"/>
        <v>32.063137290101388</v>
      </c>
      <c r="BU53" s="1606">
        <f t="shared" si="354"/>
        <v>14.95563602439384</v>
      </c>
      <c r="BV53" s="1606">
        <f t="shared" si="354"/>
        <v>33.376120370102491</v>
      </c>
      <c r="BW53" s="1606">
        <f t="shared" si="354"/>
        <v>33.452445465766374</v>
      </c>
      <c r="BX53" s="1606">
        <f t="shared" si="354"/>
        <v>20.405158656180866</v>
      </c>
      <c r="BY53" s="1606" t="e">
        <f t="shared" si="354"/>
        <v>#DIV/0!</v>
      </c>
      <c r="BZ53" s="1606" t="e">
        <f t="shared" si="354"/>
        <v>#DIV/0!</v>
      </c>
      <c r="CA53" s="1606" t="e">
        <f t="shared" si="354"/>
        <v>#DIV/0!</v>
      </c>
      <c r="CB53" s="1606" t="e">
        <f t="shared" si="354"/>
        <v>#DIV/0!</v>
      </c>
      <c r="CC53" s="1606" t="e">
        <f t="shared" si="354"/>
        <v>#DIV/0!</v>
      </c>
      <c r="CD53" s="1606" t="e">
        <f t="shared" si="354"/>
        <v>#DIV/0!</v>
      </c>
      <c r="CE53" s="1606" t="e">
        <f t="shared" si="354"/>
        <v>#DIV/0!</v>
      </c>
      <c r="CF53" s="1606" t="e">
        <f t="shared" si="354"/>
        <v>#DIV/0!</v>
      </c>
      <c r="CG53" s="1606" t="e">
        <f t="shared" si="354"/>
        <v>#DIV/0!</v>
      </c>
      <c r="CH53" s="1606" t="e">
        <f t="shared" si="354"/>
        <v>#DIV/0!</v>
      </c>
      <c r="CI53" s="1606" t="e">
        <f t="shared" si="354"/>
        <v>#DIV/0!</v>
      </c>
      <c r="CJ53" s="1606" t="e">
        <f t="shared" si="354"/>
        <v>#DIV/0!</v>
      </c>
      <c r="CK53" s="1606">
        <f t="shared" si="354"/>
        <v>34.410963003420221</v>
      </c>
      <c r="CL53" s="1606">
        <f t="shared" si="354"/>
        <v>34.531237910666434</v>
      </c>
      <c r="CM53" s="1606">
        <f t="shared" si="354"/>
        <v>15.166800727239483</v>
      </c>
      <c r="CN53" s="1606">
        <f t="shared" si="354"/>
        <v>26.775165217661048</v>
      </c>
      <c r="CO53" s="1606">
        <f t="shared" si="354"/>
        <v>26.863158799493849</v>
      </c>
      <c r="CP53" s="1606">
        <f t="shared" si="354"/>
        <v>11.269964498396703</v>
      </c>
      <c r="CQ53" s="1606">
        <f t="shared" si="354"/>
        <v>26.874405813850348</v>
      </c>
      <c r="CR53" s="1606">
        <f t="shared" si="354"/>
        <v>26.970946688418071</v>
      </c>
      <c r="CS53" s="1606">
        <f t="shared" si="354"/>
        <v>10.152122871502513</v>
      </c>
      <c r="CT53" s="1606">
        <f t="shared" ref="CT53:CV53" si="355">SUM(CT51/CT52)</f>
        <v>26.80973058867151</v>
      </c>
      <c r="CU53" s="1606">
        <f t="shared" si="355"/>
        <v>26.879481182046103</v>
      </c>
      <c r="CV53" s="1606">
        <f t="shared" si="355"/>
        <v>12.207957532861476</v>
      </c>
      <c r="CW53" s="2374">
        <f t="shared" ref="CW53:CY53" si="356">SUM(CW51/CW52)</f>
        <v>40.591246674462909</v>
      </c>
      <c r="CX53" s="2374">
        <f t="shared" si="356"/>
        <v>40.742018481435075</v>
      </c>
      <c r="CY53" s="2374">
        <f t="shared" si="356"/>
        <v>16.46714878218641</v>
      </c>
      <c r="CZ53" s="4103">
        <f t="shared" ref="CZ53:DB53" si="357">SUM(CZ51/CZ52)</f>
        <v>35.462848881084099</v>
      </c>
      <c r="DA53" s="4103">
        <f t="shared" si="357"/>
        <v>35.587047825749323</v>
      </c>
      <c r="DB53" s="4103">
        <f t="shared" si="357"/>
        <v>15.590891194714825</v>
      </c>
      <c r="DC53" s="2374">
        <f t="shared" ref="DC53:DK53" si="358">SUM(DC51/DC52)</f>
        <v>26.528271603126587</v>
      </c>
      <c r="DD53" s="2374">
        <f t="shared" si="358"/>
        <v>26.600469346718199</v>
      </c>
      <c r="DE53" s="2374">
        <f t="shared" si="358"/>
        <v>12.01640417579585</v>
      </c>
      <c r="DF53" s="2374">
        <f t="shared" si="358"/>
        <v>27.455475481275027</v>
      </c>
      <c r="DG53" s="2374">
        <f t="shared" si="358"/>
        <v>27.537398486656603</v>
      </c>
      <c r="DH53" s="2374">
        <f t="shared" si="358"/>
        <v>11.728311534891569</v>
      </c>
      <c r="DI53" s="3489" t="e">
        <f t="shared" si="358"/>
        <v>#DIV/0!</v>
      </c>
      <c r="DJ53" s="3489" t="e">
        <f t="shared" si="358"/>
        <v>#DIV/0!</v>
      </c>
      <c r="DK53" s="3489" t="e">
        <f t="shared" si="358"/>
        <v>#DIV/0!</v>
      </c>
    </row>
    <row r="54" spans="1:115" ht="73.5" customHeight="1" x14ac:dyDescent="0.2">
      <c r="A54" s="2739" t="s">
        <v>3675</v>
      </c>
      <c r="B54" s="2757"/>
      <c r="C54" s="2758"/>
      <c r="D54" s="2759"/>
      <c r="E54" s="2746"/>
      <c r="F54" s="2746"/>
      <c r="G54" s="2746"/>
      <c r="H54" s="2759"/>
      <c r="I54" s="2746"/>
      <c r="J54" s="2746"/>
      <c r="K54" s="2746"/>
      <c r="L54" s="2746"/>
      <c r="M54" s="2746"/>
      <c r="N54" s="2746"/>
      <c r="O54" s="2746"/>
      <c r="P54" s="2746"/>
      <c r="Q54" s="2746"/>
      <c r="R54" s="2746"/>
      <c r="S54" s="2746"/>
      <c r="T54" s="2746"/>
      <c r="U54" s="2746"/>
      <c r="V54" s="2746"/>
      <c r="W54" s="2746"/>
      <c r="X54" s="2746"/>
      <c r="Y54" s="2746"/>
      <c r="Z54" s="2746"/>
      <c r="AA54" s="2746"/>
      <c r="AB54" s="2746"/>
      <c r="AC54" s="2746"/>
      <c r="AD54" s="2746"/>
      <c r="AE54" s="2746"/>
      <c r="AF54" s="2746"/>
      <c r="AG54" s="2746"/>
      <c r="AH54" s="2746"/>
      <c r="AI54" s="2746"/>
      <c r="AJ54" s="2746"/>
      <c r="AK54" s="2746"/>
      <c r="AL54" s="2746"/>
      <c r="AM54" s="2746"/>
      <c r="AN54" s="2746"/>
      <c r="AO54" s="2746"/>
      <c r="AP54" s="2746"/>
      <c r="AQ54" s="2746"/>
      <c r="AR54" s="2746"/>
      <c r="AS54" s="2746"/>
      <c r="AT54" s="2746"/>
      <c r="AU54" s="2746"/>
      <c r="AV54" s="2746"/>
      <c r="AW54" s="2760"/>
      <c r="AX54" s="2746"/>
      <c r="AY54" s="2746"/>
      <c r="AZ54" s="2746"/>
      <c r="BA54" s="2747"/>
      <c r="BB54" s="2746"/>
      <c r="BC54" s="2746"/>
      <c r="BD54" s="2746"/>
      <c r="BE54" s="2746"/>
      <c r="BF54" s="2746"/>
      <c r="BG54" s="2746"/>
      <c r="BH54" s="2746"/>
      <c r="BI54" s="2746"/>
      <c r="BJ54" s="2746"/>
      <c r="BK54" s="2746"/>
      <c r="BL54" s="2746"/>
      <c r="BM54" s="2746"/>
      <c r="BN54" s="2746"/>
      <c r="BO54" s="2746"/>
      <c r="BP54" s="2746"/>
      <c r="BQ54" s="2746"/>
      <c r="BR54" s="2746"/>
      <c r="BS54" s="2746"/>
      <c r="BT54" s="2746"/>
      <c r="BU54" s="2746"/>
      <c r="BV54" s="2746"/>
      <c r="BW54" s="2746"/>
      <c r="BX54" s="2746"/>
      <c r="BY54" s="2761"/>
      <c r="BZ54" s="2552"/>
      <c r="CA54" s="2552"/>
      <c r="CB54" s="2552"/>
      <c r="CC54" s="2552"/>
      <c r="CD54" s="2552"/>
      <c r="CE54" s="2552"/>
      <c r="CF54" s="2552"/>
      <c r="CG54" s="2552"/>
      <c r="CH54" s="2552"/>
      <c r="CI54" s="2552"/>
      <c r="CJ54" s="2552"/>
      <c r="CK54" s="2746"/>
      <c r="CL54" s="2746"/>
      <c r="CM54" s="2746"/>
      <c r="CN54" s="2746"/>
      <c r="CO54" s="2746">
        <f>SUM(CO55:CO56)</f>
        <v>5361.5251600000001</v>
      </c>
      <c r="CP54" s="2746">
        <f>SUM(CP55:CP56)</f>
        <v>9.5513300000000019</v>
      </c>
      <c r="CQ54" s="2746"/>
      <c r="CR54" s="2746">
        <f>SUM(CR55:CR56)</f>
        <v>7955.8100499999991</v>
      </c>
      <c r="CS54" s="2746">
        <f>SUM(CS55:CS56)</f>
        <v>18.440630000000002</v>
      </c>
      <c r="CT54" s="2746"/>
      <c r="CU54" s="2746">
        <f>SUM(CU55:CU56)</f>
        <v>10817.41</v>
      </c>
      <c r="CV54" s="2746">
        <f>SUM(CV55:CV56)</f>
        <v>21.48</v>
      </c>
      <c r="CW54" s="2746"/>
      <c r="CX54" s="2746">
        <f>SUM(CX55:CX56)</f>
        <v>10967.044172434635</v>
      </c>
      <c r="CY54" s="2746">
        <f>SUM(CY55:CY56)</f>
        <v>51.834953565114759</v>
      </c>
      <c r="CZ54" s="3931"/>
      <c r="DA54" s="4147">
        <f>SUM(DA55:DA56)</f>
        <v>8341.9678483495227</v>
      </c>
      <c r="DB54" s="4147">
        <f>SUM(DB55:DB56)</f>
        <v>52.136967054177305</v>
      </c>
      <c r="DC54" s="2746"/>
      <c r="DD54" s="2746">
        <f>SUM(DD55:DD56)</f>
        <v>5242.8322800000005</v>
      </c>
      <c r="DE54" s="2746">
        <f>SUM(DE55:DE56)</f>
        <v>14.352130000000001</v>
      </c>
      <c r="DF54" s="3931"/>
      <c r="DG54" s="2746">
        <f>SUM(DG55:DG56)</f>
        <v>7803.0482599999996</v>
      </c>
      <c r="DH54" s="2746">
        <f>SUM(DH55:DH56)</f>
        <v>22.44096</v>
      </c>
      <c r="DI54" s="3602"/>
      <c r="DJ54" s="3602">
        <f>SUM(DJ55:DJ56)</f>
        <v>6.8</v>
      </c>
      <c r="DK54" s="3602">
        <f>SUM(DK55:DK56)</f>
        <v>-6.79</v>
      </c>
    </row>
    <row r="55" spans="1:115" ht="21" customHeight="1" x14ac:dyDescent="0.2">
      <c r="A55" s="2753" t="s">
        <v>3667</v>
      </c>
      <c r="B55" s="2757"/>
      <c r="C55" s="2758"/>
      <c r="D55" s="2759"/>
      <c r="E55" s="2746"/>
      <c r="F55" s="2746"/>
      <c r="G55" s="2746"/>
      <c r="H55" s="2759"/>
      <c r="I55" s="2746"/>
      <c r="J55" s="2746"/>
      <c r="K55" s="2746"/>
      <c r="L55" s="2746"/>
      <c r="M55" s="2746"/>
      <c r="N55" s="2746"/>
      <c r="O55" s="2746"/>
      <c r="P55" s="2746"/>
      <c r="Q55" s="2746"/>
      <c r="R55" s="2746"/>
      <c r="S55" s="2746"/>
      <c r="T55" s="2746"/>
      <c r="U55" s="2746"/>
      <c r="V55" s="2746"/>
      <c r="W55" s="2746"/>
      <c r="X55" s="2746"/>
      <c r="Y55" s="2746"/>
      <c r="Z55" s="2746"/>
      <c r="AA55" s="2746"/>
      <c r="AB55" s="2746"/>
      <c r="AC55" s="2746"/>
      <c r="AD55" s="2746"/>
      <c r="AE55" s="2746"/>
      <c r="AF55" s="2746"/>
      <c r="AG55" s="2746"/>
      <c r="AH55" s="2746"/>
      <c r="AI55" s="2746"/>
      <c r="AJ55" s="2746"/>
      <c r="AK55" s="2746"/>
      <c r="AL55" s="2746"/>
      <c r="AM55" s="2746"/>
      <c r="AN55" s="2746"/>
      <c r="AO55" s="2746"/>
      <c r="AP55" s="2746"/>
      <c r="AQ55" s="2746"/>
      <c r="AR55" s="2746"/>
      <c r="AS55" s="2746"/>
      <c r="AT55" s="2746"/>
      <c r="AU55" s="2746"/>
      <c r="AV55" s="2746"/>
      <c r="AW55" s="2760"/>
      <c r="AX55" s="2746"/>
      <c r="AY55" s="2746"/>
      <c r="AZ55" s="2746"/>
      <c r="BA55" s="2747"/>
      <c r="BB55" s="2746"/>
      <c r="BC55" s="2746"/>
      <c r="BD55" s="2746"/>
      <c r="BE55" s="2746"/>
      <c r="BF55" s="2746"/>
      <c r="BG55" s="2746"/>
      <c r="BH55" s="2746"/>
      <c r="BI55" s="2746"/>
      <c r="BJ55" s="2746"/>
      <c r="BK55" s="2746"/>
      <c r="BL55" s="2746"/>
      <c r="BM55" s="2746"/>
      <c r="BN55" s="2746"/>
      <c r="BO55" s="2746"/>
      <c r="BP55" s="2746"/>
      <c r="BQ55" s="2746"/>
      <c r="BR55" s="2746"/>
      <c r="BS55" s="2746"/>
      <c r="BT55" s="2746"/>
      <c r="BU55" s="2746"/>
      <c r="BV55" s="2746"/>
      <c r="BW55" s="2746"/>
      <c r="BX55" s="2746"/>
      <c r="BY55" s="2761"/>
      <c r="BZ55" s="2552"/>
      <c r="CA55" s="2552"/>
      <c r="CB55" s="2552"/>
      <c r="CC55" s="2552"/>
      <c r="CD55" s="2552"/>
      <c r="CE55" s="2552"/>
      <c r="CF55" s="2552"/>
      <c r="CG55" s="2552"/>
      <c r="CH55" s="2552"/>
      <c r="CI55" s="2552"/>
      <c r="CJ55" s="2552"/>
      <c r="CK55" s="2746"/>
      <c r="CL55" s="2746"/>
      <c r="CM55" s="2746"/>
      <c r="CN55" s="2746"/>
      <c r="CO55" s="2754">
        <f>SUM(CO9+CO18+'цех стоки'!AQ19)</f>
        <v>5309.9451600000002</v>
      </c>
      <c r="CP55" s="2754">
        <f>SUM(CP9+CP18)</f>
        <v>9.4013300000000015</v>
      </c>
      <c r="CQ55" s="2746"/>
      <c r="CR55" s="2754">
        <f>SUM(CR9+CR18+'цех стоки'!AR19)</f>
        <v>7889.7076099999995</v>
      </c>
      <c r="CS55" s="2754">
        <f>SUM(CS9+CS18)</f>
        <v>18.259800000000002</v>
      </c>
      <c r="CT55" s="2746"/>
      <c r="CU55" s="2754">
        <f>SUM(CU9+CU18+'цех стоки'!AS19)</f>
        <v>10735.01</v>
      </c>
      <c r="CV55" s="2754">
        <f>SUM(CV9+CV18)</f>
        <v>21.25</v>
      </c>
      <c r="CW55" s="2746"/>
      <c r="CX55" s="2754">
        <f>SUM(CX9+CX18+'цех стоки'!AT19)</f>
        <v>10882.573012856936</v>
      </c>
      <c r="CY55" s="2754">
        <f>SUM(CY9+CY18)</f>
        <v>51.590587212795349</v>
      </c>
      <c r="CZ55" s="3931"/>
      <c r="DA55" s="4148">
        <f>SUM(DA9+DA18+'цех стоки'!AW19)</f>
        <v>8341.9678483495227</v>
      </c>
      <c r="DB55" s="4148">
        <f>SUM(DB9+DB18)</f>
        <v>52.136967054177305</v>
      </c>
      <c r="DC55" s="2746"/>
      <c r="DD55" s="2754">
        <f>SUM(DD9+DD18+'цех стоки'!AY19)</f>
        <v>5216.8918000000003</v>
      </c>
      <c r="DE55" s="2754">
        <f>SUM(DE9+DE18)</f>
        <v>14.286210000000001</v>
      </c>
      <c r="DF55" s="3931"/>
      <c r="DG55" s="2754">
        <f>SUM(DG9+DG18+'цех стоки'!AZ19)</f>
        <v>7775.4539999999997</v>
      </c>
      <c r="DH55" s="2754">
        <f>SUM(DH9+DH18)</f>
        <v>22.37</v>
      </c>
      <c r="DI55" s="3602"/>
      <c r="DJ55" s="3603">
        <f>SUM(DJ9+DJ18+'цех стоки'!BH19)</f>
        <v>6.8</v>
      </c>
      <c r="DK55" s="3603">
        <f>SUM(DK9+DK18)</f>
        <v>-6.79</v>
      </c>
    </row>
    <row r="56" spans="1:115" ht="21" customHeight="1" x14ac:dyDescent="0.2">
      <c r="A56" s="2753" t="s">
        <v>3668</v>
      </c>
      <c r="B56" s="2757"/>
      <c r="C56" s="2758"/>
      <c r="D56" s="2759"/>
      <c r="E56" s="2746"/>
      <c r="F56" s="2746"/>
      <c r="G56" s="2746"/>
      <c r="H56" s="2759"/>
      <c r="I56" s="2746"/>
      <c r="J56" s="2746"/>
      <c r="K56" s="2746"/>
      <c r="L56" s="2746"/>
      <c r="M56" s="2746"/>
      <c r="N56" s="2746"/>
      <c r="O56" s="2746"/>
      <c r="P56" s="2746"/>
      <c r="Q56" s="2746"/>
      <c r="R56" s="2746"/>
      <c r="S56" s="2746"/>
      <c r="T56" s="2746"/>
      <c r="U56" s="2746"/>
      <c r="V56" s="2746"/>
      <c r="W56" s="2746"/>
      <c r="X56" s="2746"/>
      <c r="Y56" s="2746"/>
      <c r="Z56" s="2746"/>
      <c r="AA56" s="2746"/>
      <c r="AB56" s="2746"/>
      <c r="AC56" s="2746"/>
      <c r="AD56" s="2746"/>
      <c r="AE56" s="2746"/>
      <c r="AF56" s="2746"/>
      <c r="AG56" s="2746"/>
      <c r="AH56" s="2746"/>
      <c r="AI56" s="2746"/>
      <c r="AJ56" s="2746"/>
      <c r="AK56" s="2746"/>
      <c r="AL56" s="2746"/>
      <c r="AM56" s="2746"/>
      <c r="AN56" s="2746"/>
      <c r="AO56" s="2746"/>
      <c r="AP56" s="2746"/>
      <c r="AQ56" s="2746"/>
      <c r="AR56" s="2746"/>
      <c r="AS56" s="2746"/>
      <c r="AT56" s="2746"/>
      <c r="AU56" s="2746"/>
      <c r="AV56" s="2746"/>
      <c r="AW56" s="2760"/>
      <c r="AX56" s="2746"/>
      <c r="AY56" s="2746"/>
      <c r="AZ56" s="2746"/>
      <c r="BA56" s="2747"/>
      <c r="BB56" s="2746"/>
      <c r="BC56" s="2746"/>
      <c r="BD56" s="2746"/>
      <c r="BE56" s="2746"/>
      <c r="BF56" s="2746"/>
      <c r="BG56" s="2746"/>
      <c r="BH56" s="2746"/>
      <c r="BI56" s="2746"/>
      <c r="BJ56" s="2746"/>
      <c r="BK56" s="2746"/>
      <c r="BL56" s="2746"/>
      <c r="BM56" s="2746"/>
      <c r="BN56" s="2746"/>
      <c r="BO56" s="2746"/>
      <c r="BP56" s="2746"/>
      <c r="BQ56" s="2746"/>
      <c r="BR56" s="2746"/>
      <c r="BS56" s="2746"/>
      <c r="BT56" s="2746"/>
      <c r="BU56" s="2746"/>
      <c r="BV56" s="2746"/>
      <c r="BW56" s="2746"/>
      <c r="BX56" s="2746"/>
      <c r="BY56" s="2761"/>
      <c r="BZ56" s="2552"/>
      <c r="CA56" s="2552"/>
      <c r="CB56" s="2552"/>
      <c r="CC56" s="2552"/>
      <c r="CD56" s="2552"/>
      <c r="CE56" s="2552"/>
      <c r="CF56" s="2552"/>
      <c r="CG56" s="2552"/>
      <c r="CH56" s="2552"/>
      <c r="CI56" s="2552"/>
      <c r="CJ56" s="2552"/>
      <c r="CK56" s="2746"/>
      <c r="CL56" s="2746"/>
      <c r="CM56" s="2746"/>
      <c r="CN56" s="2746"/>
      <c r="CO56" s="2754">
        <f>SUM('ОХР '!CE17+'ОХР '!CE21)</f>
        <v>51.58</v>
      </c>
      <c r="CP56" s="2754">
        <f>SUM('ОХР '!CF17+'ОХР '!CF21)</f>
        <v>0.15000000000000002</v>
      </c>
      <c r="CQ56" s="2746"/>
      <c r="CR56" s="2754">
        <f>SUM('ОХР '!CL17+'ОХР '!CL21)</f>
        <v>66.102440000000001</v>
      </c>
      <c r="CS56" s="2754">
        <f>SUM('ОХР '!CM17+'ОХР '!CM21)</f>
        <v>0.18082999999999999</v>
      </c>
      <c r="CT56" s="2746"/>
      <c r="CU56" s="2754">
        <f>SUM('ОХР '!CS17+'ОХР '!CS21)</f>
        <v>82.4</v>
      </c>
      <c r="CV56" s="2754">
        <f>SUM('ОХР '!CT17+'ОХР '!CT21)</f>
        <v>0.22999999999999998</v>
      </c>
      <c r="CW56" s="2746"/>
      <c r="CX56" s="2754">
        <f>SUM('ОХР '!CZ17+'ОХР '!CZ21)</f>
        <v>84.471159577698486</v>
      </c>
      <c r="CY56" s="2754">
        <f>SUM('ОХР '!DA17+'ОХР '!DA21)</f>
        <v>0.24436635231941123</v>
      </c>
      <c r="CZ56" s="3931"/>
      <c r="DA56" s="4148">
        <v>0</v>
      </c>
      <c r="DB56" s="4148">
        <v>0</v>
      </c>
      <c r="DC56" s="2746"/>
      <c r="DD56" s="2754">
        <f>SUM('ОХР '!DI17+'ОХР '!DI21)</f>
        <v>25.940480000000001</v>
      </c>
      <c r="DE56" s="2657">
        <f>SUM('ОХР '!DJ17+'ОХР '!DJ21)</f>
        <v>6.5920000000000006E-2</v>
      </c>
      <c r="DF56" s="3931"/>
      <c r="DG56" s="2754">
        <f>SUM('ОХР '!DP17+'ОХР '!DP21)</f>
        <v>27.594259999999998</v>
      </c>
      <c r="DH56" s="2657">
        <f>SUM('ОХР '!DQ17+'ОХР '!DQ21)</f>
        <v>7.0959999999999995E-2</v>
      </c>
      <c r="DI56" s="3602"/>
      <c r="DJ56" s="3603">
        <f>SUM('ОХР '!EE17+'ОХР '!EE21)</f>
        <v>0</v>
      </c>
      <c r="DK56" s="3603">
        <f>SUM('ОХР '!EF17+'ОХР '!EF21)</f>
        <v>0</v>
      </c>
    </row>
    <row r="57" spans="1:115" ht="21" customHeight="1" x14ac:dyDescent="0.2">
      <c r="A57" s="2755" t="s">
        <v>3676</v>
      </c>
      <c r="B57" s="2757"/>
      <c r="C57" s="2758"/>
      <c r="D57" s="2759"/>
      <c r="E57" s="2746"/>
      <c r="F57" s="2746"/>
      <c r="G57" s="2746"/>
      <c r="H57" s="2759"/>
      <c r="I57" s="2746"/>
      <c r="J57" s="2746"/>
      <c r="K57" s="2746"/>
      <c r="L57" s="2746"/>
      <c r="M57" s="2746"/>
      <c r="N57" s="2746"/>
      <c r="O57" s="2746"/>
      <c r="P57" s="2746"/>
      <c r="Q57" s="2746"/>
      <c r="R57" s="2746"/>
      <c r="S57" s="2746"/>
      <c r="T57" s="2746"/>
      <c r="U57" s="2746"/>
      <c r="V57" s="2746"/>
      <c r="W57" s="2746"/>
      <c r="X57" s="2746"/>
      <c r="Y57" s="2746"/>
      <c r="Z57" s="2746"/>
      <c r="AA57" s="2746"/>
      <c r="AB57" s="2746"/>
      <c r="AC57" s="2746"/>
      <c r="AD57" s="2746"/>
      <c r="AE57" s="2746"/>
      <c r="AF57" s="2746"/>
      <c r="AG57" s="2746"/>
      <c r="AH57" s="2746"/>
      <c r="AI57" s="2746"/>
      <c r="AJ57" s="2746"/>
      <c r="AK57" s="2746"/>
      <c r="AL57" s="2746"/>
      <c r="AM57" s="2746"/>
      <c r="AN57" s="2746"/>
      <c r="AO57" s="2746"/>
      <c r="AP57" s="2746"/>
      <c r="AQ57" s="2746"/>
      <c r="AR57" s="2746"/>
      <c r="AS57" s="2746"/>
      <c r="AT57" s="2746"/>
      <c r="AU57" s="2746"/>
      <c r="AV57" s="2746"/>
      <c r="AW57" s="2760"/>
      <c r="AX57" s="2746"/>
      <c r="AY57" s="2746"/>
      <c r="AZ57" s="2746"/>
      <c r="BA57" s="2747"/>
      <c r="BB57" s="2746"/>
      <c r="BC57" s="2746"/>
      <c r="BD57" s="2746"/>
      <c r="BE57" s="2746"/>
      <c r="BF57" s="2746"/>
      <c r="BG57" s="2746"/>
      <c r="BH57" s="2746"/>
      <c r="BI57" s="2746"/>
      <c r="BJ57" s="2746"/>
      <c r="BK57" s="2746"/>
      <c r="BL57" s="2746"/>
      <c r="BM57" s="2746"/>
      <c r="BN57" s="2746"/>
      <c r="BO57" s="2746"/>
      <c r="BP57" s="2746"/>
      <c r="BQ57" s="2746"/>
      <c r="BR57" s="2746"/>
      <c r="BS57" s="2746"/>
      <c r="BT57" s="2746"/>
      <c r="BU57" s="2746"/>
      <c r="BV57" s="2746"/>
      <c r="BW57" s="2746"/>
      <c r="BX57" s="2746"/>
      <c r="BY57" s="2761"/>
      <c r="BZ57" s="2552"/>
      <c r="CA57" s="2552"/>
      <c r="CB57" s="2552"/>
      <c r="CC57" s="2552"/>
      <c r="CD57" s="2552"/>
      <c r="CE57" s="2552"/>
      <c r="CF57" s="2552"/>
      <c r="CG57" s="2552"/>
      <c r="CH57" s="2552"/>
      <c r="CI57" s="2552"/>
      <c r="CJ57" s="2552"/>
      <c r="CK57" s="2746"/>
      <c r="CL57" s="2746"/>
      <c r="CM57" s="2746"/>
      <c r="CN57" s="2746"/>
      <c r="CO57" s="2746">
        <f>SUM(CO58:CO59)</f>
        <v>47.794029999999999</v>
      </c>
      <c r="CP57" s="2653">
        <f>SUM(CP58:CP59)</f>
        <v>1.1979999999999999E-2</v>
      </c>
      <c r="CQ57" s="2746"/>
      <c r="CR57" s="2746">
        <f>SUM(CR58:CR59)</f>
        <v>71.712869999999995</v>
      </c>
      <c r="CS57" s="2653">
        <f>SUM(CS58:CS59)</f>
        <v>1.6060000000000001E-2</v>
      </c>
      <c r="CT57" s="2746"/>
      <c r="CU57" s="2746">
        <f>SUM(CU58:CU59)</f>
        <v>95.585999999999999</v>
      </c>
      <c r="CV57" s="2653">
        <f>SUM(CV58:CV59)</f>
        <v>0.02</v>
      </c>
      <c r="CW57" s="2746"/>
      <c r="CX57" s="2746">
        <f>SUM(CX58:CX59)</f>
        <v>93.10991940000001</v>
      </c>
      <c r="CY57" s="2653">
        <f>SUM(CY58:CY59)</f>
        <v>0</v>
      </c>
      <c r="CZ57" s="3931"/>
      <c r="DA57" s="4147">
        <f>SUM(DA58:DA59)</f>
        <v>93.109919000000005</v>
      </c>
      <c r="DB57" s="4068">
        <f>SUM(DB58:DB59)</f>
        <v>0</v>
      </c>
      <c r="DC57" s="2746"/>
      <c r="DD57" s="2746">
        <f>SUM(DD58:DD59)</f>
        <v>37.875640000000004</v>
      </c>
      <c r="DE57" s="2653">
        <f>SUM(DE58:DE59)</f>
        <v>2.9909999999999999E-2</v>
      </c>
      <c r="DF57" s="3931"/>
      <c r="DG57" s="2746">
        <f>SUM(DG58:DG59)</f>
        <v>56.916460000000001</v>
      </c>
      <c r="DH57" s="2653">
        <f>SUM(DH58:DH59)</f>
        <v>4.4929999999999998E-2</v>
      </c>
      <c r="DI57" s="3602"/>
      <c r="DJ57" s="3602">
        <f>SUM(DJ58:DJ59)</f>
        <v>0</v>
      </c>
      <c r="DK57" s="3292">
        <f>SUM(DK58:DK59)</f>
        <v>0</v>
      </c>
    </row>
    <row r="58" spans="1:115" ht="21" customHeight="1" x14ac:dyDescent="0.2">
      <c r="A58" s="2753" t="s">
        <v>3667</v>
      </c>
      <c r="B58" s="2757"/>
      <c r="C58" s="2758"/>
      <c r="D58" s="2759"/>
      <c r="E58" s="2746"/>
      <c r="F58" s="2746"/>
      <c r="G58" s="2746"/>
      <c r="H58" s="2759"/>
      <c r="I58" s="2746"/>
      <c r="J58" s="2746"/>
      <c r="K58" s="2746"/>
      <c r="L58" s="2746"/>
      <c r="M58" s="2746"/>
      <c r="N58" s="2746"/>
      <c r="O58" s="2746"/>
      <c r="P58" s="2746"/>
      <c r="Q58" s="2746"/>
      <c r="R58" s="2746"/>
      <c r="S58" s="2746"/>
      <c r="T58" s="2746"/>
      <c r="U58" s="2746"/>
      <c r="V58" s="2746"/>
      <c r="W58" s="2746"/>
      <c r="X58" s="2746"/>
      <c r="Y58" s="2746"/>
      <c r="Z58" s="2746"/>
      <c r="AA58" s="2746"/>
      <c r="AB58" s="2746"/>
      <c r="AC58" s="2746"/>
      <c r="AD58" s="2746"/>
      <c r="AE58" s="2746"/>
      <c r="AF58" s="2746"/>
      <c r="AG58" s="2746"/>
      <c r="AH58" s="2746"/>
      <c r="AI58" s="2746"/>
      <c r="AJ58" s="2746"/>
      <c r="AK58" s="2746"/>
      <c r="AL58" s="2746"/>
      <c r="AM58" s="2746"/>
      <c r="AN58" s="2746"/>
      <c r="AO58" s="2746"/>
      <c r="AP58" s="2746"/>
      <c r="AQ58" s="2746"/>
      <c r="AR58" s="2746"/>
      <c r="AS58" s="2746"/>
      <c r="AT58" s="2746"/>
      <c r="AU58" s="2746"/>
      <c r="AV58" s="2746"/>
      <c r="AW58" s="2760"/>
      <c r="AX58" s="2746"/>
      <c r="AY58" s="2746"/>
      <c r="AZ58" s="2746"/>
      <c r="BA58" s="2747"/>
      <c r="BB58" s="2746"/>
      <c r="BC58" s="2746"/>
      <c r="BD58" s="2746"/>
      <c r="BE58" s="2746"/>
      <c r="BF58" s="2746"/>
      <c r="BG58" s="2746"/>
      <c r="BH58" s="2746"/>
      <c r="BI58" s="2746"/>
      <c r="BJ58" s="2746"/>
      <c r="BK58" s="2746"/>
      <c r="BL58" s="2746"/>
      <c r="BM58" s="2746"/>
      <c r="BN58" s="2746"/>
      <c r="BO58" s="2746"/>
      <c r="BP58" s="2746"/>
      <c r="BQ58" s="2746"/>
      <c r="BR58" s="2746"/>
      <c r="BS58" s="2746"/>
      <c r="BT58" s="2746"/>
      <c r="BU58" s="2746"/>
      <c r="BV58" s="2746"/>
      <c r="BW58" s="2746"/>
      <c r="BX58" s="2746"/>
      <c r="BY58" s="2761"/>
      <c r="BZ58" s="2552"/>
      <c r="CA58" s="2552"/>
      <c r="CB58" s="2552"/>
      <c r="CC58" s="2552"/>
      <c r="CD58" s="2552"/>
      <c r="CE58" s="2552"/>
      <c r="CF58" s="2552"/>
      <c r="CG58" s="2552"/>
      <c r="CH58" s="2552"/>
      <c r="CI58" s="2552"/>
      <c r="CJ58" s="2552"/>
      <c r="CK58" s="2746"/>
      <c r="CL58" s="2746"/>
      <c r="CM58" s="2746"/>
      <c r="CN58" s="2746"/>
      <c r="CO58" s="2754">
        <f>SUM('Аренда земли'!U16)</f>
        <v>44.8675</v>
      </c>
      <c r="CP58" s="2754">
        <v>0</v>
      </c>
      <c r="CQ58" s="2746"/>
      <c r="CR58" s="2754">
        <f>SUM('Аренда земли'!V16)</f>
        <v>67.301249999999996</v>
      </c>
      <c r="CS58" s="2754">
        <v>0</v>
      </c>
      <c r="CT58" s="2746"/>
      <c r="CU58" s="2754">
        <f>SUM('Аренда земли'!W16)</f>
        <v>89.734999999999999</v>
      </c>
      <c r="CV58" s="2754">
        <v>0</v>
      </c>
      <c r="CW58" s="2746"/>
      <c r="CX58" s="2754">
        <f>SUM('Аренда земли'!Y16)</f>
        <v>93.10991940000001</v>
      </c>
      <c r="CY58" s="2754">
        <v>0</v>
      </c>
      <c r="CZ58" s="3931"/>
      <c r="DA58" s="4148">
        <f>SUM('Аренда земли'!Z16)</f>
        <v>93.109919000000005</v>
      </c>
      <c r="DB58" s="4148">
        <v>0</v>
      </c>
      <c r="DC58" s="2746"/>
      <c r="DD58" s="2754">
        <f>SUM('Аренда земли'!AA16)</f>
        <v>28.192</v>
      </c>
      <c r="DE58" s="2754">
        <v>0</v>
      </c>
      <c r="DF58" s="3931"/>
      <c r="DG58" s="2754">
        <f>SUM('Аренда земли'!AB16)</f>
        <v>42.287999999999997</v>
      </c>
      <c r="DH58" s="2754">
        <v>0</v>
      </c>
      <c r="DI58" s="3602"/>
      <c r="DJ58" s="3603">
        <f>SUM('Аренда земли'!AP16)</f>
        <v>0</v>
      </c>
      <c r="DK58" s="3603">
        <v>0</v>
      </c>
    </row>
    <row r="59" spans="1:115" ht="21" customHeight="1" x14ac:dyDescent="0.2">
      <c r="A59" s="2753" t="s">
        <v>3668</v>
      </c>
      <c r="B59" s="2757"/>
      <c r="C59" s="2758"/>
      <c r="D59" s="2759"/>
      <c r="E59" s="2746"/>
      <c r="F59" s="2746"/>
      <c r="G59" s="2746"/>
      <c r="H59" s="2759"/>
      <c r="I59" s="2746"/>
      <c r="J59" s="2746"/>
      <c r="K59" s="2746"/>
      <c r="L59" s="2746"/>
      <c r="M59" s="2746"/>
      <c r="N59" s="2746"/>
      <c r="O59" s="2746"/>
      <c r="P59" s="2746"/>
      <c r="Q59" s="2746"/>
      <c r="R59" s="2746"/>
      <c r="S59" s="2746"/>
      <c r="T59" s="2746"/>
      <c r="U59" s="2746"/>
      <c r="V59" s="2746"/>
      <c r="W59" s="2746"/>
      <c r="X59" s="2746"/>
      <c r="Y59" s="2746"/>
      <c r="Z59" s="2746"/>
      <c r="AA59" s="2746"/>
      <c r="AB59" s="2746"/>
      <c r="AC59" s="2746"/>
      <c r="AD59" s="2746"/>
      <c r="AE59" s="2746"/>
      <c r="AF59" s="2746"/>
      <c r="AG59" s="2746"/>
      <c r="AH59" s="2746"/>
      <c r="AI59" s="2746"/>
      <c r="AJ59" s="2746"/>
      <c r="AK59" s="2746"/>
      <c r="AL59" s="2746"/>
      <c r="AM59" s="2746"/>
      <c r="AN59" s="2746"/>
      <c r="AO59" s="2746"/>
      <c r="AP59" s="2746"/>
      <c r="AQ59" s="2746"/>
      <c r="AR59" s="2746"/>
      <c r="AS59" s="2746"/>
      <c r="AT59" s="2746"/>
      <c r="AU59" s="2746"/>
      <c r="AV59" s="2746"/>
      <c r="AW59" s="2760"/>
      <c r="AX59" s="2746"/>
      <c r="AY59" s="2746"/>
      <c r="AZ59" s="2746"/>
      <c r="BA59" s="2747"/>
      <c r="BB59" s="2746"/>
      <c r="BC59" s="2746"/>
      <c r="BD59" s="2746"/>
      <c r="BE59" s="2746"/>
      <c r="BF59" s="2746"/>
      <c r="BG59" s="2746"/>
      <c r="BH59" s="2746"/>
      <c r="BI59" s="2746"/>
      <c r="BJ59" s="2746"/>
      <c r="BK59" s="2746"/>
      <c r="BL59" s="2746"/>
      <c r="BM59" s="2746"/>
      <c r="BN59" s="2746"/>
      <c r="BO59" s="2746"/>
      <c r="BP59" s="2746"/>
      <c r="BQ59" s="2746"/>
      <c r="BR59" s="2746"/>
      <c r="BS59" s="2746"/>
      <c r="BT59" s="2746"/>
      <c r="BU59" s="2746"/>
      <c r="BV59" s="2746"/>
      <c r="BW59" s="2746"/>
      <c r="BX59" s="2746"/>
      <c r="BY59" s="2761"/>
      <c r="BZ59" s="2552"/>
      <c r="CA59" s="2552"/>
      <c r="CB59" s="2552"/>
      <c r="CC59" s="2552"/>
      <c r="CD59" s="2552"/>
      <c r="CE59" s="2552"/>
      <c r="CF59" s="2552"/>
      <c r="CG59" s="2552"/>
      <c r="CH59" s="2552"/>
      <c r="CI59" s="2552"/>
      <c r="CJ59" s="2552"/>
      <c r="CK59" s="2746"/>
      <c r="CL59" s="2746"/>
      <c r="CM59" s="2746"/>
      <c r="CN59" s="2746"/>
      <c r="CO59" s="2754">
        <f>SUM('Аренда земли'!U17)</f>
        <v>2.9265300000000001</v>
      </c>
      <c r="CP59" s="2657">
        <f>SUM('Аренда земли'!U18)</f>
        <v>1.1979999999999999E-2</v>
      </c>
      <c r="CQ59" s="2746"/>
      <c r="CR59" s="2754">
        <f>SUM('Аренда земли'!V17)</f>
        <v>4.4116200000000001</v>
      </c>
      <c r="CS59" s="2657">
        <f>SUM('Аренда земли'!V18)</f>
        <v>1.6060000000000001E-2</v>
      </c>
      <c r="CT59" s="2746"/>
      <c r="CU59" s="2754">
        <f>SUM('Аренда земли'!W17)</f>
        <v>5.851</v>
      </c>
      <c r="CV59" s="2657">
        <f>SUM('Аренда земли'!W18)</f>
        <v>0.02</v>
      </c>
      <c r="CW59" s="2746"/>
      <c r="CX59" s="2754">
        <f>SUM('Аренда земли'!Z17)</f>
        <v>0</v>
      </c>
      <c r="CY59" s="2657">
        <f>SUM('Аренда земли'!Z18)</f>
        <v>0</v>
      </c>
      <c r="CZ59" s="3931"/>
      <c r="DA59" s="4148">
        <v>0</v>
      </c>
      <c r="DB59" s="4073">
        <f>SUM(DB48)</f>
        <v>0</v>
      </c>
      <c r="DC59" s="2746"/>
      <c r="DD59" s="2754">
        <f>SUM('Аренда земли'!AA17)</f>
        <v>9.6836400000000005</v>
      </c>
      <c r="DE59" s="2657">
        <f>SUM('Аренда земли'!AA18)</f>
        <v>2.9909999999999999E-2</v>
      </c>
      <c r="DF59" s="3931"/>
      <c r="DG59" s="2754">
        <f>SUM('Аренда земли'!AB17)</f>
        <v>14.62846</v>
      </c>
      <c r="DH59" s="2657">
        <f>SUM('Аренда земли'!AB18)</f>
        <v>4.4929999999999998E-2</v>
      </c>
      <c r="DI59" s="3602"/>
      <c r="DJ59" s="3603">
        <f>SUM('Аренда земли'!AP17)</f>
        <v>0</v>
      </c>
      <c r="DK59" s="3299">
        <f>SUM('Аренда земли'!AP18)</f>
        <v>0</v>
      </c>
    </row>
    <row r="60" spans="1:115" ht="21" customHeight="1" x14ac:dyDescent="0.2">
      <c r="A60" s="2995"/>
      <c r="B60" s="3758"/>
      <c r="C60" s="3759"/>
      <c r="D60" s="3760"/>
      <c r="E60" s="3665"/>
      <c r="F60" s="3665"/>
      <c r="G60" s="3665"/>
      <c r="H60" s="3760"/>
      <c r="I60" s="3665"/>
      <c r="J60" s="3665"/>
      <c r="K60" s="3665"/>
      <c r="L60" s="3665"/>
      <c r="M60" s="3665"/>
      <c r="N60" s="3665"/>
      <c r="O60" s="3665"/>
      <c r="P60" s="3665"/>
      <c r="Q60" s="3665"/>
      <c r="R60" s="3665"/>
      <c r="S60" s="3665"/>
      <c r="T60" s="3665"/>
      <c r="U60" s="3665"/>
      <c r="V60" s="3665"/>
      <c r="W60" s="3665"/>
      <c r="X60" s="3665"/>
      <c r="Y60" s="3665"/>
      <c r="Z60" s="3665"/>
      <c r="AA60" s="3665"/>
      <c r="AB60" s="3665"/>
      <c r="AC60" s="3665"/>
      <c r="AD60" s="3665"/>
      <c r="AE60" s="3665"/>
      <c r="AF60" s="3665"/>
      <c r="AG60" s="3665"/>
      <c r="AH60" s="3665"/>
      <c r="AI60" s="3665"/>
      <c r="AJ60" s="3665"/>
      <c r="AK60" s="3665"/>
      <c r="AL60" s="3665"/>
      <c r="AM60" s="3665"/>
      <c r="AN60" s="3665"/>
      <c r="AO60" s="3665"/>
      <c r="AP60" s="3665"/>
      <c r="AQ60" s="3665"/>
      <c r="AR60" s="3665"/>
      <c r="AS60" s="3665"/>
      <c r="AT60" s="3665"/>
      <c r="AU60" s="3665"/>
      <c r="AV60" s="3665"/>
      <c r="AW60" s="3761"/>
      <c r="AX60" s="3665"/>
      <c r="AY60" s="3665"/>
      <c r="AZ60" s="3665"/>
      <c r="BA60" s="3666"/>
      <c r="BB60" s="3665"/>
      <c r="BC60" s="3665"/>
      <c r="BD60" s="3665"/>
      <c r="BE60" s="3665"/>
      <c r="BF60" s="3665"/>
      <c r="BG60" s="3665"/>
      <c r="BH60" s="3665"/>
      <c r="BI60" s="3665"/>
      <c r="BJ60" s="3665"/>
      <c r="BK60" s="3665"/>
      <c r="BL60" s="3665"/>
      <c r="BM60" s="3665"/>
      <c r="BN60" s="3665"/>
      <c r="BO60" s="3665"/>
      <c r="BP60" s="3665"/>
      <c r="BQ60" s="3665"/>
      <c r="BR60" s="3665"/>
      <c r="BS60" s="3665"/>
      <c r="BT60" s="3665"/>
      <c r="BU60" s="3665"/>
      <c r="BV60" s="3665"/>
      <c r="BW60" s="3665"/>
      <c r="BX60" s="3665"/>
      <c r="BY60" s="3762"/>
      <c r="BZ60" s="394"/>
      <c r="CA60" s="394"/>
      <c r="CB60" s="394"/>
      <c r="CC60" s="394"/>
      <c r="CD60" s="394"/>
      <c r="CE60" s="394"/>
      <c r="CF60" s="394"/>
      <c r="CG60" s="394"/>
      <c r="CH60" s="394"/>
      <c r="CI60" s="394"/>
      <c r="CJ60" s="394"/>
      <c r="CK60" s="394"/>
      <c r="CL60" s="394"/>
      <c r="CM60" s="394"/>
      <c r="CN60" s="394"/>
      <c r="CO60" s="394"/>
      <c r="CP60" s="394"/>
      <c r="CQ60" s="394"/>
      <c r="CR60" s="394"/>
      <c r="CS60" s="394"/>
      <c r="CT60" s="394"/>
      <c r="CU60" s="394"/>
      <c r="CV60" s="394"/>
    </row>
    <row r="61" spans="1:115" ht="21" customHeight="1" x14ac:dyDescent="0.2">
      <c r="A61" s="2995"/>
      <c r="B61" s="3758"/>
      <c r="C61" s="3759"/>
      <c r="D61" s="3760"/>
      <c r="E61" s="3665"/>
      <c r="F61" s="3665"/>
      <c r="G61" s="3665"/>
      <c r="H61" s="3760"/>
      <c r="I61" s="3665"/>
      <c r="J61" s="3665"/>
      <c r="K61" s="3665"/>
      <c r="L61" s="3665"/>
      <c r="M61" s="3665"/>
      <c r="N61" s="3665"/>
      <c r="O61" s="3665"/>
      <c r="P61" s="3665"/>
      <c r="Q61" s="3665"/>
      <c r="R61" s="3665"/>
      <c r="S61" s="3665"/>
      <c r="T61" s="3665"/>
      <c r="U61" s="3665"/>
      <c r="V61" s="3665"/>
      <c r="W61" s="3665"/>
      <c r="X61" s="3665"/>
      <c r="Y61" s="3665"/>
      <c r="Z61" s="3665"/>
      <c r="AA61" s="3665"/>
      <c r="AB61" s="3665"/>
      <c r="AC61" s="3665"/>
      <c r="AD61" s="3665"/>
      <c r="AE61" s="3665"/>
      <c r="AF61" s="3665"/>
      <c r="AG61" s="3665"/>
      <c r="AH61" s="3665"/>
      <c r="AI61" s="3665"/>
      <c r="AJ61" s="3665"/>
      <c r="AK61" s="3665"/>
      <c r="AL61" s="3665"/>
      <c r="AM61" s="3665"/>
      <c r="AN61" s="3665"/>
      <c r="AO61" s="3665"/>
      <c r="AP61" s="3665"/>
      <c r="AQ61" s="3665"/>
      <c r="AR61" s="3665"/>
      <c r="AS61" s="3665"/>
      <c r="AT61" s="3665"/>
      <c r="AU61" s="3665"/>
      <c r="AV61" s="3665"/>
      <c r="AW61" s="3761"/>
      <c r="AX61" s="3665"/>
      <c r="AY61" s="3665"/>
      <c r="AZ61" s="3665"/>
      <c r="BA61" s="3666"/>
      <c r="BB61" s="3665"/>
      <c r="BC61" s="3665"/>
      <c r="BD61" s="3665"/>
      <c r="BE61" s="3665"/>
      <c r="BF61" s="3665"/>
      <c r="BG61" s="3665"/>
      <c r="BH61" s="3665"/>
      <c r="BI61" s="3665"/>
      <c r="BJ61" s="3665"/>
      <c r="BK61" s="3665"/>
      <c r="BL61" s="3665"/>
      <c r="BM61" s="3665"/>
      <c r="BN61" s="3665"/>
      <c r="BO61" s="3665"/>
      <c r="BP61" s="3665"/>
      <c r="BQ61" s="3665"/>
      <c r="BR61" s="3665"/>
      <c r="BS61" s="3665"/>
      <c r="BT61" s="3665"/>
      <c r="BU61" s="3665"/>
      <c r="BV61" s="3665"/>
      <c r="BW61" s="3665"/>
      <c r="BX61" s="3665"/>
      <c r="BY61" s="3762"/>
      <c r="BZ61" s="394"/>
      <c r="CA61" s="394"/>
      <c r="CB61" s="394"/>
      <c r="CC61" s="394"/>
      <c r="CD61" s="394"/>
      <c r="CE61" s="394"/>
      <c r="CF61" s="394"/>
      <c r="CG61" s="394"/>
      <c r="CH61" s="394"/>
      <c r="CI61" s="394"/>
      <c r="CJ61" s="394"/>
      <c r="CK61" s="394"/>
      <c r="CL61" s="394"/>
      <c r="CM61" s="394"/>
      <c r="CN61" s="394"/>
      <c r="CO61" s="394"/>
      <c r="CP61" s="394"/>
      <c r="CQ61" s="394"/>
      <c r="CR61" s="394"/>
      <c r="CS61" s="394"/>
      <c r="CT61" s="394"/>
      <c r="CU61" s="394"/>
      <c r="CV61" s="394"/>
    </row>
    <row r="62" spans="1:115" ht="21" customHeight="1" x14ac:dyDescent="0.2">
      <c r="A62" s="2995"/>
      <c r="B62" s="3758"/>
      <c r="C62" s="3759"/>
      <c r="D62" s="3760"/>
      <c r="E62" s="3665"/>
      <c r="F62" s="3665"/>
      <c r="G62" s="3665"/>
      <c r="H62" s="3760"/>
      <c r="I62" s="3665"/>
      <c r="J62" s="3665"/>
      <c r="K62" s="3665"/>
      <c r="L62" s="3665"/>
      <c r="M62" s="3665"/>
      <c r="N62" s="3665"/>
      <c r="O62" s="3665"/>
      <c r="P62" s="3665"/>
      <c r="Q62" s="3665"/>
      <c r="R62" s="3665"/>
      <c r="S62" s="3665"/>
      <c r="T62" s="3665"/>
      <c r="U62" s="3665"/>
      <c r="V62" s="3665"/>
      <c r="W62" s="3665"/>
      <c r="X62" s="3665"/>
      <c r="Y62" s="3665"/>
      <c r="Z62" s="3665"/>
      <c r="AA62" s="3665"/>
      <c r="AB62" s="3665"/>
      <c r="AC62" s="3665"/>
      <c r="AD62" s="3665"/>
      <c r="AE62" s="3665"/>
      <c r="AF62" s="3665"/>
      <c r="AG62" s="3665"/>
      <c r="AH62" s="3665"/>
      <c r="AI62" s="3665"/>
      <c r="AJ62" s="3665"/>
      <c r="AK62" s="3665"/>
      <c r="AL62" s="3665"/>
      <c r="AM62" s="3665"/>
      <c r="AN62" s="3665"/>
      <c r="AO62" s="3665"/>
      <c r="AP62" s="3665"/>
      <c r="AQ62" s="3665"/>
      <c r="AR62" s="3665"/>
      <c r="AS62" s="3665"/>
      <c r="AT62" s="3665"/>
      <c r="AU62" s="3665"/>
      <c r="AV62" s="3665"/>
      <c r="AW62" s="3761"/>
      <c r="AX62" s="3665"/>
      <c r="AY62" s="3665"/>
      <c r="AZ62" s="3665"/>
      <c r="BA62" s="3666"/>
      <c r="BB62" s="3665"/>
      <c r="BC62" s="3665"/>
      <c r="BD62" s="3665"/>
      <c r="BE62" s="3665"/>
      <c r="BF62" s="3665"/>
      <c r="BG62" s="3665"/>
      <c r="BH62" s="3665"/>
      <c r="BI62" s="3665"/>
      <c r="BJ62" s="3665"/>
      <c r="BK62" s="3665"/>
      <c r="BL62" s="3665"/>
      <c r="BM62" s="3665"/>
      <c r="BN62" s="3665"/>
      <c r="BO62" s="3665"/>
      <c r="BP62" s="3665"/>
      <c r="BQ62" s="3665"/>
      <c r="BR62" s="3665"/>
      <c r="BS62" s="3665"/>
      <c r="BT62" s="3665"/>
      <c r="BU62" s="3665"/>
      <c r="BV62" s="3665"/>
      <c r="BW62" s="3665"/>
      <c r="BX62" s="3665"/>
      <c r="BY62" s="3762"/>
      <c r="BZ62" s="394"/>
      <c r="CA62" s="394"/>
      <c r="CB62" s="394"/>
      <c r="CC62" s="394"/>
      <c r="CD62" s="394"/>
      <c r="CE62" s="394"/>
      <c r="CF62" s="394"/>
      <c r="CG62" s="394"/>
      <c r="CH62" s="394"/>
      <c r="CI62" s="394"/>
      <c r="CJ62" s="394"/>
      <c r="CK62" s="394"/>
      <c r="CL62" s="394"/>
      <c r="CM62" s="394"/>
      <c r="CN62" s="394"/>
      <c r="CO62" s="394"/>
      <c r="CP62" s="394"/>
      <c r="CQ62" s="394"/>
      <c r="CR62" s="394"/>
      <c r="CS62" s="394"/>
      <c r="CT62" s="394"/>
      <c r="CU62" s="394"/>
      <c r="CV62" s="394"/>
    </row>
    <row r="63" spans="1:115" ht="21" customHeight="1" x14ac:dyDescent="0.2">
      <c r="A63" s="3685" t="s">
        <v>3568</v>
      </c>
      <c r="B63" s="3758"/>
      <c r="C63" s="3759"/>
      <c r="D63" s="3760"/>
      <c r="E63" s="3665"/>
      <c r="F63" s="3665"/>
      <c r="G63" s="3665"/>
      <c r="H63" s="3760"/>
      <c r="I63" s="3665"/>
      <c r="J63" s="3665"/>
      <c r="K63" s="3665"/>
      <c r="L63" s="3665"/>
      <c r="M63" s="3665"/>
      <c r="N63" s="3665"/>
      <c r="O63" s="3665"/>
      <c r="P63" s="3665"/>
      <c r="Q63" s="3665"/>
      <c r="R63" s="3665"/>
      <c r="S63" s="3665"/>
      <c r="T63" s="3665"/>
      <c r="U63" s="3665"/>
      <c r="V63" s="3665"/>
      <c r="W63" s="3665"/>
      <c r="X63" s="3665"/>
      <c r="Y63" s="3665"/>
      <c r="Z63" s="3665"/>
      <c r="AA63" s="3665"/>
      <c r="AB63" s="3665"/>
      <c r="AC63" s="3665"/>
      <c r="AD63" s="3665"/>
      <c r="AE63" s="3665"/>
      <c r="AF63" s="3665"/>
      <c r="AG63" s="3665"/>
      <c r="AH63" s="3665"/>
      <c r="AI63" s="3665"/>
      <c r="AJ63" s="3665"/>
      <c r="AK63" s="3665"/>
      <c r="AL63" s="3665"/>
      <c r="AM63" s="3665"/>
      <c r="AN63" s="3665"/>
      <c r="AO63" s="3665"/>
      <c r="AP63" s="3665"/>
      <c r="AQ63" s="3665"/>
      <c r="AR63" s="3665"/>
      <c r="AS63" s="3665"/>
      <c r="AT63" s="3665"/>
      <c r="AU63" s="3665"/>
      <c r="AV63" s="3665"/>
      <c r="AW63" s="3761"/>
      <c r="AX63" s="3665"/>
      <c r="AY63" s="3665"/>
      <c r="AZ63" s="3665"/>
      <c r="BA63" s="3666"/>
      <c r="BB63" s="3665"/>
      <c r="BC63" s="3665"/>
      <c r="BD63" s="3665"/>
      <c r="BE63" s="3665"/>
      <c r="BF63" s="3665"/>
      <c r="BG63" s="3665"/>
      <c r="BH63" s="3665"/>
      <c r="BI63" s="3665"/>
      <c r="BJ63" s="3665"/>
      <c r="BK63" s="3665"/>
      <c r="BL63" s="3665"/>
      <c r="BM63" s="3665"/>
      <c r="BN63" s="3665"/>
      <c r="BO63" s="3665"/>
      <c r="BP63" s="3665"/>
      <c r="BQ63" s="3665"/>
      <c r="BR63" s="3665"/>
      <c r="BS63" s="3665"/>
      <c r="BT63" s="3665"/>
      <c r="BU63" s="3665"/>
      <c r="BV63" s="3665"/>
      <c r="BW63" s="3665"/>
      <c r="BX63" s="3665"/>
      <c r="BY63" s="3762"/>
      <c r="BZ63" s="394"/>
      <c r="CA63" s="394"/>
      <c r="CB63" s="394"/>
      <c r="CC63" s="394"/>
      <c r="CD63" s="394"/>
      <c r="CE63" s="394"/>
      <c r="CF63" s="394"/>
      <c r="CG63" s="394"/>
      <c r="CH63" s="394"/>
      <c r="CI63" s="394"/>
      <c r="CJ63" s="394"/>
      <c r="CK63" s="394"/>
      <c r="CL63" s="394"/>
      <c r="CM63" s="394"/>
      <c r="CN63" s="394"/>
      <c r="CO63" s="394"/>
      <c r="CP63" s="394"/>
      <c r="CQ63" s="394"/>
      <c r="CR63" s="394"/>
      <c r="CS63" s="394"/>
      <c r="CT63" s="394"/>
      <c r="CU63" s="394"/>
      <c r="CV63" s="394"/>
    </row>
    <row r="64" spans="1:115" ht="21" hidden="1" customHeight="1" x14ac:dyDescent="0.2">
      <c r="A64" s="3763"/>
      <c r="B64" s="3764"/>
      <c r="C64" s="3765"/>
      <c r="D64" s="3766"/>
      <c r="E64" s="3679"/>
      <c r="F64" s="3679"/>
      <c r="G64" s="3679"/>
      <c r="H64" s="3766"/>
      <c r="I64" s="3679"/>
      <c r="J64" s="3679"/>
      <c r="K64" s="3679"/>
      <c r="L64" s="3679"/>
      <c r="M64" s="3679"/>
      <c r="N64" s="3679"/>
      <c r="O64" s="3679"/>
      <c r="P64" s="3679"/>
      <c r="Q64" s="3679"/>
      <c r="R64" s="3679"/>
      <c r="S64" s="3679"/>
      <c r="T64" s="3679"/>
      <c r="U64" s="3679"/>
      <c r="V64" s="3679"/>
      <c r="W64" s="3679"/>
      <c r="X64" s="3679"/>
      <c r="Y64" s="3679"/>
      <c r="Z64" s="3679"/>
      <c r="AA64" s="3679"/>
      <c r="AB64" s="3679"/>
      <c r="AC64" s="3679"/>
      <c r="AD64" s="3679"/>
      <c r="AE64" s="3679"/>
      <c r="AF64" s="3679"/>
      <c r="AG64" s="3679"/>
      <c r="AH64" s="3679"/>
      <c r="AI64" s="3679"/>
      <c r="AJ64" s="3679"/>
      <c r="AK64" s="3679"/>
      <c r="AL64" s="3679"/>
      <c r="AM64" s="3679"/>
      <c r="AN64" s="3679"/>
      <c r="AO64" s="3679"/>
      <c r="AP64" s="3679"/>
      <c r="AQ64" s="3679"/>
      <c r="AR64" s="3679"/>
      <c r="AS64" s="3679"/>
      <c r="AT64" s="3679"/>
      <c r="AU64" s="3679"/>
      <c r="AV64" s="3679"/>
      <c r="AW64" s="3767"/>
      <c r="AX64" s="3679"/>
      <c r="AY64" s="3679"/>
      <c r="AZ64" s="3679"/>
      <c r="BA64" s="3680"/>
      <c r="BB64" s="3679"/>
      <c r="BC64" s="3679"/>
      <c r="BD64" s="3679"/>
      <c r="BE64" s="3679"/>
      <c r="BF64" s="3679"/>
      <c r="BG64" s="3679"/>
      <c r="BH64" s="3679"/>
      <c r="BI64" s="3679"/>
      <c r="BJ64" s="3679"/>
      <c r="BK64" s="3679"/>
      <c r="BL64" s="3679"/>
      <c r="BM64" s="3679"/>
      <c r="BN64" s="3679"/>
      <c r="BO64" s="3679"/>
      <c r="BP64" s="3679"/>
      <c r="BQ64" s="3679"/>
      <c r="BR64" s="3679"/>
      <c r="BS64" s="3679"/>
      <c r="BT64" s="3679"/>
      <c r="BU64" s="3679"/>
      <c r="BV64" s="3679"/>
      <c r="BW64" s="3679"/>
      <c r="BX64" s="3679"/>
      <c r="BY64" s="3768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</row>
    <row r="65" spans="1:115" ht="21" hidden="1" customHeight="1" x14ac:dyDescent="0.2">
      <c r="A65" s="3616" t="s">
        <v>13</v>
      </c>
      <c r="B65" s="1728">
        <f>объемы!B22</f>
        <v>4738.2</v>
      </c>
      <c r="C65" s="1729">
        <f>объемы!C22</f>
        <v>4585.8</v>
      </c>
      <c r="D65" s="1731">
        <f>C65/B65*100</f>
        <v>96.783588704571372</v>
      </c>
      <c r="E65" s="1606">
        <f>объемы!E22</f>
        <v>4415.2</v>
      </c>
      <c r="F65" s="1606">
        <f>E65/C65*100</f>
        <v>96.279820314885072</v>
      </c>
      <c r="G65" s="1606">
        <f>объемы!G22</f>
        <v>4093.2000000000003</v>
      </c>
      <c r="H65" s="1731">
        <f t="shared" si="2"/>
        <v>92.707012139880419</v>
      </c>
      <c r="I65" s="1606">
        <v>4224.5</v>
      </c>
      <c r="J65" s="1606">
        <f>объемы!J22</f>
        <v>0</v>
      </c>
      <c r="K65" s="1606">
        <f>объемы!L22</f>
        <v>2958.3</v>
      </c>
      <c r="L65" s="1606">
        <v>4006.6</v>
      </c>
      <c r="M65" s="1606">
        <f t="shared" si="19"/>
        <v>97.884295905404073</v>
      </c>
      <c r="N65" s="1606">
        <f>объемы!M22</f>
        <v>3695</v>
      </c>
      <c r="O65" s="1606">
        <f t="shared" si="20"/>
        <v>87.46597230441472</v>
      </c>
      <c r="P65" s="1606" t="e">
        <f>объемы!#REF!</f>
        <v>#REF!</v>
      </c>
      <c r="Q65" s="1606" t="e">
        <f t="shared" si="21"/>
        <v>#REF!</v>
      </c>
      <c r="R65" s="1606" t="e">
        <f>P65/L65*100</f>
        <v>#REF!</v>
      </c>
      <c r="S65" s="1606" t="e">
        <f>P65-T65</f>
        <v>#REF!</v>
      </c>
      <c r="T65" s="1606">
        <v>28</v>
      </c>
      <c r="U65" s="1606" t="e">
        <f>объемы!#REF!</f>
        <v>#REF!</v>
      </c>
      <c r="V65" s="1606" t="e">
        <f>объемы!#REF!</f>
        <v>#REF!</v>
      </c>
      <c r="W65" s="1606">
        <f>объемы!E63</f>
        <v>3600</v>
      </c>
      <c r="X65" s="1606"/>
      <c r="Y65" s="1606" t="e">
        <f>объемы!G63</f>
        <v>#REF!</v>
      </c>
      <c r="Z65" s="1606" t="e">
        <f>Y65-AA65</f>
        <v>#REF!</v>
      </c>
      <c r="AA65" s="1606">
        <f>объемы!G70</f>
        <v>28</v>
      </c>
      <c r="AB65" s="1606">
        <f>SUM(объемы!K63)</f>
        <v>3476.2</v>
      </c>
      <c r="AC65" s="1606">
        <f>AB65-AD65</f>
        <v>3446</v>
      </c>
      <c r="AD65" s="1606">
        <f>SUM(объемы!K70)</f>
        <v>30.2</v>
      </c>
      <c r="AE65" s="1606">
        <v>3672.7</v>
      </c>
      <c r="AF65" s="1606" t="e">
        <f t="shared" si="23"/>
        <v>#REF!</v>
      </c>
      <c r="AG65" s="1606">
        <v>3644.7</v>
      </c>
      <c r="AH65" s="1606">
        <v>28</v>
      </c>
      <c r="AI65" s="1606">
        <f>объемы!M63</f>
        <v>3644.7</v>
      </c>
      <c r="AJ65" s="1606" t="e">
        <f t="shared" si="24"/>
        <v>#REF!</v>
      </c>
      <c r="AK65" s="1606">
        <f>объемы!M63-объемы!M70</f>
        <v>3644.7</v>
      </c>
      <c r="AL65" s="1606">
        <f>объемы!M70</f>
        <v>0</v>
      </c>
      <c r="AM65" s="1606" t="e">
        <f>#REF!</f>
        <v>#REF!</v>
      </c>
      <c r="AN65" s="1606" t="e">
        <f>#REF!-AM65</f>
        <v>#REF!</v>
      </c>
      <c r="AO65" s="1606" t="e">
        <f t="shared" si="25"/>
        <v>#REF!</v>
      </c>
      <c r="AP65" s="1606">
        <f>SUM(объемы!P63)</f>
        <v>1670.74</v>
      </c>
      <c r="AQ65" s="1606">
        <f>AP65-AR65</f>
        <v>1661.07</v>
      </c>
      <c r="AR65" s="1606">
        <f>SUM(объемы!P70)</f>
        <v>9.67</v>
      </c>
      <c r="AS65" s="1606">
        <f>объемы!R63+объемы!S63</f>
        <v>3209.95</v>
      </c>
      <c r="AT65" s="1606">
        <f>AS65-AU65</f>
        <v>3186.5699999999997</v>
      </c>
      <c r="AU65" s="1606">
        <f>SUM(объемы!S70)</f>
        <v>23.38</v>
      </c>
      <c r="AV65" s="1606">
        <f>SUM(объемы!T63)</f>
        <v>3473</v>
      </c>
      <c r="AW65" s="1734">
        <f t="shared" si="47"/>
        <v>0.95289049853211516</v>
      </c>
      <c r="AX65" s="1606">
        <f>AV65-AY65</f>
        <v>3445</v>
      </c>
      <c r="AY65" s="1606">
        <f>SUM(объемы!T70)</f>
        <v>28</v>
      </c>
      <c r="AZ65" s="1606">
        <f>объемы!AA63+объемы!AB63</f>
        <v>3463.93</v>
      </c>
      <c r="BA65" s="1609">
        <f t="shared" si="30"/>
        <v>0.95040195352155188</v>
      </c>
      <c r="BB65" s="1606">
        <f>AZ65-BC65</f>
        <v>3445</v>
      </c>
      <c r="BC65" s="1606">
        <f>объемы!AB63</f>
        <v>18.93</v>
      </c>
      <c r="BD65" s="1606">
        <f>BE65+BF65</f>
        <v>3061.4900000000002</v>
      </c>
      <c r="BE65" s="1606">
        <v>3040.84</v>
      </c>
      <c r="BF65" s="1606">
        <v>20.65</v>
      </c>
      <c r="BG65" s="1606">
        <f>BH65+BI65</f>
        <v>3197.3199999999997</v>
      </c>
      <c r="BH65" s="1606">
        <v>3178.1</v>
      </c>
      <c r="BI65" s="1606">
        <v>19.22</v>
      </c>
      <c r="BJ65" s="1606">
        <f>BK65+BL65</f>
        <v>3248.93</v>
      </c>
      <c r="BK65" s="1606">
        <v>3230</v>
      </c>
      <c r="BL65" s="1606">
        <v>18.93</v>
      </c>
      <c r="BM65" s="1606"/>
      <c r="BN65" s="1606"/>
      <c r="BO65" s="1606"/>
      <c r="BP65" s="1606">
        <f>BQ65+BR65</f>
        <v>3248.93</v>
      </c>
      <c r="BQ65" s="1606">
        <v>3230</v>
      </c>
      <c r="BR65" s="1606">
        <v>18.93</v>
      </c>
      <c r="BS65" s="1606">
        <f>BT65+BU65</f>
        <v>3020.0036431580988</v>
      </c>
      <c r="BT65" s="1606">
        <f>объемы!AZ63</f>
        <v>3002.3369764914323</v>
      </c>
      <c r="BU65" s="1606">
        <f>объемы!BA63</f>
        <v>17.666666666666668</v>
      </c>
      <c r="BV65" s="1606">
        <f>BW65+BX65</f>
        <v>3020.0036431580988</v>
      </c>
      <c r="BW65" s="1606">
        <f>SUM(объемы!BB63)</f>
        <v>3002.3369764914323</v>
      </c>
      <c r="BX65" s="1606">
        <f>SUM(объемы!BC63)</f>
        <v>17.666666666666668</v>
      </c>
      <c r="BY65" s="1732"/>
      <c r="BZ65" s="394"/>
      <c r="CA65" s="394"/>
      <c r="CB65" s="394"/>
      <c r="CC65" s="394"/>
      <c r="CD65" s="394"/>
      <c r="CE65" s="394"/>
      <c r="CF65" s="394"/>
      <c r="CG65" s="394"/>
      <c r="CH65" s="394"/>
      <c r="CI65" s="394"/>
      <c r="CJ65" s="394"/>
      <c r="CK65" s="394"/>
      <c r="CL65" s="394"/>
      <c r="CM65" s="394"/>
      <c r="CN65" s="394"/>
      <c r="CO65" s="394"/>
      <c r="CP65" s="394"/>
      <c r="CQ65" s="394"/>
      <c r="CR65" s="394"/>
      <c r="CS65" s="394"/>
      <c r="CT65" s="394"/>
      <c r="CU65" s="394"/>
      <c r="CV65" s="394"/>
    </row>
    <row r="66" spans="1:115" s="2192" customFormat="1" ht="21" hidden="1" customHeight="1" x14ac:dyDescent="0.2">
      <c r="A66" s="3494" t="s">
        <v>1821</v>
      </c>
      <c r="B66" s="1728"/>
      <c r="C66" s="1729"/>
      <c r="D66" s="1731"/>
      <c r="E66" s="1606"/>
      <c r="F66" s="1606"/>
      <c r="G66" s="1606"/>
      <c r="H66" s="1731"/>
      <c r="I66" s="1606">
        <v>28</v>
      </c>
      <c r="J66" s="1606"/>
      <c r="K66" s="1606"/>
      <c r="L66" s="1606"/>
      <c r="M66" s="1606" t="e">
        <f t="shared" si="19"/>
        <v>#DIV/0!</v>
      </c>
      <c r="N66" s="1606"/>
      <c r="O66" s="1606"/>
      <c r="P66" s="1606" t="e">
        <f>объемы!#REF!</f>
        <v>#REF!</v>
      </c>
      <c r="Q66" s="1606" t="e">
        <f t="shared" si="21"/>
        <v>#REF!</v>
      </c>
      <c r="R66" s="1606"/>
      <c r="S66" s="1606"/>
      <c r="T66" s="1606"/>
      <c r="U66" s="1606"/>
      <c r="V66" s="1606"/>
      <c r="W66" s="1606"/>
      <c r="X66" s="1606"/>
      <c r="Y66" s="1606"/>
      <c r="Z66" s="1606"/>
      <c r="AA66" s="1606"/>
      <c r="AB66" s="1606"/>
      <c r="AC66" s="1606"/>
      <c r="AD66" s="1606"/>
      <c r="AE66" s="1606"/>
      <c r="AF66" s="1606" t="e">
        <f t="shared" si="23"/>
        <v>#DIV/0!</v>
      </c>
      <c r="AG66" s="1606"/>
      <c r="AH66" s="1606"/>
      <c r="AI66" s="1606"/>
      <c r="AJ66" s="1606" t="e">
        <f t="shared" si="24"/>
        <v>#DIV/0!</v>
      </c>
      <c r="AK66" s="1606"/>
      <c r="AL66" s="1606"/>
      <c r="AM66" s="1606" t="e">
        <f>#REF!*Z66/Y66</f>
        <v>#REF!</v>
      </c>
      <c r="AN66" s="1606" t="e">
        <f>#REF!-AM66</f>
        <v>#REF!</v>
      </c>
      <c r="AO66" s="1606" t="e">
        <f t="shared" si="25"/>
        <v>#REF!</v>
      </c>
      <c r="AP66" s="1606"/>
      <c r="AQ66" s="1606"/>
      <c r="AR66" s="1606"/>
      <c r="AS66" s="1606"/>
      <c r="AT66" s="1606"/>
      <c r="AU66" s="1606"/>
      <c r="AV66" s="1606"/>
      <c r="AW66" s="1734" t="e">
        <f t="shared" si="47"/>
        <v>#DIV/0!</v>
      </c>
      <c r="AX66" s="1606"/>
      <c r="AY66" s="1606"/>
      <c r="AZ66" s="1606"/>
      <c r="BA66" s="1609" t="e">
        <f t="shared" si="30"/>
        <v>#DIV/0!</v>
      </c>
      <c r="BB66" s="1606"/>
      <c r="BC66" s="1606"/>
      <c r="BD66" s="1606"/>
      <c r="BE66" s="1606"/>
      <c r="BF66" s="1606"/>
      <c r="BG66" s="1606"/>
      <c r="BH66" s="1606"/>
      <c r="BI66" s="1606"/>
      <c r="BJ66" s="1606"/>
      <c r="BK66" s="1606"/>
      <c r="BL66" s="1606"/>
      <c r="BM66" s="1606"/>
      <c r="BN66" s="1606"/>
      <c r="BO66" s="1606"/>
      <c r="BP66" s="1606">
        <v>7731.78</v>
      </c>
      <c r="BQ66" s="1606">
        <v>7731.78</v>
      </c>
      <c r="BR66" s="1606"/>
      <c r="BS66" s="1606"/>
      <c r="BT66" s="1606"/>
      <c r="BU66" s="1606"/>
      <c r="BV66" s="1606"/>
      <c r="BW66" s="1606"/>
      <c r="BX66" s="1606"/>
      <c r="BY66" s="1732"/>
      <c r="BZ66" s="394"/>
      <c r="CA66" s="394"/>
      <c r="CB66" s="394"/>
      <c r="CC66" s="394"/>
      <c r="CD66" s="394"/>
      <c r="CE66" s="394"/>
      <c r="CF66" s="394"/>
      <c r="CG66" s="394"/>
      <c r="CH66" s="394"/>
      <c r="CI66" s="394"/>
      <c r="CJ66" s="394"/>
      <c r="CK66" s="394"/>
      <c r="CL66" s="394"/>
      <c r="CM66" s="394"/>
      <c r="CN66" s="394"/>
      <c r="CO66" s="394"/>
      <c r="CP66" s="394"/>
      <c r="CQ66" s="394"/>
      <c r="CR66" s="394"/>
      <c r="CS66" s="394"/>
      <c r="CT66" s="394"/>
      <c r="CU66" s="394"/>
      <c r="CV66" s="394"/>
    </row>
    <row r="67" spans="1:115" s="2192" customFormat="1" ht="21" hidden="1" customHeight="1" x14ac:dyDescent="0.2">
      <c r="A67" s="3494" t="s">
        <v>2042</v>
      </c>
      <c r="B67" s="1728"/>
      <c r="C67" s="1729"/>
      <c r="D67" s="1731"/>
      <c r="E67" s="1606"/>
      <c r="F67" s="1606"/>
      <c r="G67" s="1606"/>
      <c r="H67" s="1731"/>
      <c r="I67" s="1606"/>
      <c r="J67" s="1606"/>
      <c r="K67" s="1606"/>
      <c r="L67" s="1606"/>
      <c r="M67" s="1606"/>
      <c r="N67" s="1606"/>
      <c r="O67" s="1606"/>
      <c r="P67" s="1606"/>
      <c r="Q67" s="1606"/>
      <c r="R67" s="1606"/>
      <c r="S67" s="1606"/>
      <c r="T67" s="1606"/>
      <c r="U67" s="1606"/>
      <c r="V67" s="1606"/>
      <c r="W67" s="1606"/>
      <c r="X67" s="1606"/>
      <c r="Y67" s="1606"/>
      <c r="Z67" s="1606"/>
      <c r="AA67" s="1606"/>
      <c r="AB67" s="1606"/>
      <c r="AC67" s="1606"/>
      <c r="AD67" s="1606"/>
      <c r="AE67" s="1606"/>
      <c r="AF67" s="1606"/>
      <c r="AG67" s="1606"/>
      <c r="AH67" s="1606"/>
      <c r="AI67" s="1606"/>
      <c r="AJ67" s="1606"/>
      <c r="AK67" s="1606"/>
      <c r="AL67" s="1606"/>
      <c r="AM67" s="1606"/>
      <c r="AN67" s="1606"/>
      <c r="AO67" s="1606"/>
      <c r="AP67" s="1606"/>
      <c r="AQ67" s="1606"/>
      <c r="AR67" s="1606"/>
      <c r="AS67" s="1606"/>
      <c r="AT67" s="1606"/>
      <c r="AU67" s="1606"/>
      <c r="AV67" s="1606"/>
      <c r="AW67" s="1734"/>
      <c r="AX67" s="1606"/>
      <c r="AY67" s="1606"/>
      <c r="AZ67" s="1606"/>
      <c r="BA67" s="1609"/>
      <c r="BB67" s="1606"/>
      <c r="BC67" s="1606"/>
      <c r="BD67" s="1606"/>
      <c r="BE67" s="1606"/>
      <c r="BF67" s="1606"/>
      <c r="BG67" s="1606"/>
      <c r="BH67" s="1606"/>
      <c r="BI67" s="1606"/>
      <c r="BJ67" s="1606"/>
      <c r="BK67" s="1606"/>
      <c r="BL67" s="1606"/>
      <c r="BM67" s="1606"/>
      <c r="BN67" s="1606"/>
      <c r="BO67" s="1606"/>
      <c r="BP67" s="1606">
        <v>-2903.83</v>
      </c>
      <c r="BQ67" s="1606">
        <v>-2903.83</v>
      </c>
      <c r="BR67" s="1606"/>
      <c r="BS67" s="1606"/>
      <c r="BT67" s="1606"/>
      <c r="BU67" s="1606"/>
      <c r="BV67" s="1606"/>
      <c r="BW67" s="1606"/>
      <c r="BX67" s="1606"/>
      <c r="BY67" s="1732"/>
      <c r="BZ67" s="394"/>
      <c r="CA67" s="394"/>
      <c r="CB67" s="394"/>
      <c r="CC67" s="394"/>
      <c r="CD67" s="394"/>
      <c r="CE67" s="394"/>
      <c r="CF67" s="394"/>
      <c r="CG67" s="394"/>
      <c r="CH67" s="394"/>
      <c r="CI67" s="394"/>
      <c r="CJ67" s="394"/>
      <c r="CK67" s="394"/>
      <c r="CL67" s="394"/>
      <c r="CM67" s="394"/>
      <c r="CN67" s="394"/>
      <c r="CO67" s="394"/>
      <c r="CP67" s="394"/>
      <c r="CQ67" s="394"/>
      <c r="CR67" s="394"/>
      <c r="CS67" s="394"/>
      <c r="CT67" s="394"/>
      <c r="CU67" s="394"/>
      <c r="CV67" s="394"/>
    </row>
    <row r="68" spans="1:115" ht="21" hidden="1" customHeight="1" x14ac:dyDescent="0.2">
      <c r="A68" s="3616" t="s">
        <v>14</v>
      </c>
      <c r="B68" s="3769">
        <f>B51/B65</f>
        <v>10.300282807817316</v>
      </c>
      <c r="C68" s="3769">
        <f>C51/C65</f>
        <v>11.658227572070306</v>
      </c>
      <c r="D68" s="1731">
        <f>C68/B68*100</f>
        <v>113.18356776789069</v>
      </c>
      <c r="E68" s="1606">
        <f>E51/E65</f>
        <v>13.617810638920881</v>
      </c>
      <c r="F68" s="1606">
        <f>F51/F65</f>
        <v>32.500389739211208</v>
      </c>
      <c r="G68" s="1606">
        <f>G51/G65</f>
        <v>16.494321207673298</v>
      </c>
      <c r="H68" s="1731">
        <f t="shared" si="2"/>
        <v>121.12315000570723</v>
      </c>
      <c r="I68" s="1606" t="e">
        <f>#REF!/#REF!</f>
        <v>#REF!</v>
      </c>
      <c r="J68" s="1606" t="e">
        <f>J51/J65</f>
        <v>#REF!</v>
      </c>
      <c r="K68" s="1606">
        <f>K51/K65</f>
        <v>16.233949920405767</v>
      </c>
      <c r="L68" s="1606">
        <f>L51/L65</f>
        <v>17.324839071245989</v>
      </c>
      <c r="M68" s="1606">
        <f t="shared" si="19"/>
        <v>105.03517454956757</v>
      </c>
      <c r="N68" s="1606">
        <f>N51/N65</f>
        <v>24.133221648388211</v>
      </c>
      <c r="O68" s="1606"/>
      <c r="P68" s="1606" t="e">
        <f>P51/P65</f>
        <v>#REF!</v>
      </c>
      <c r="Q68" s="1606" t="e">
        <f t="shared" si="21"/>
        <v>#REF!</v>
      </c>
      <c r="R68" s="1606"/>
      <c r="S68" s="1606" t="e">
        <f>S51/S65</f>
        <v>#REF!</v>
      </c>
      <c r="T68" s="1606" t="e">
        <f>T51/T65</f>
        <v>#REF!</v>
      </c>
      <c r="U68" s="1606" t="e">
        <f>U51/U65</f>
        <v>#REF!</v>
      </c>
      <c r="V68" s="1606" t="e">
        <f>V51/V65</f>
        <v>#REF!</v>
      </c>
      <c r="W68" s="1606">
        <f>W51/W65</f>
        <v>26.676299999999998</v>
      </c>
      <c r="X68" s="1606"/>
      <c r="Y68" s="1606" t="e">
        <f t="shared" ref="Y68:AE68" si="359">Y51/Y65</f>
        <v>#REF!</v>
      </c>
      <c r="Z68" s="1606" t="e">
        <f t="shared" si="359"/>
        <v>#REF!</v>
      </c>
      <c r="AA68" s="1606" t="e">
        <f t="shared" si="359"/>
        <v>#REF!</v>
      </c>
      <c r="AB68" s="1606">
        <f t="shared" si="359"/>
        <v>20.395164115988724</v>
      </c>
      <c r="AC68" s="1606">
        <f t="shared" si="359"/>
        <v>20.464577348087886</v>
      </c>
      <c r="AD68" s="1606">
        <f t="shared" si="359"/>
        <v>12.474700612223577</v>
      </c>
      <c r="AE68" s="1606">
        <f t="shared" si="359"/>
        <v>23.279510986467724</v>
      </c>
      <c r="AF68" s="1606" t="e">
        <f t="shared" si="23"/>
        <v>#REF!</v>
      </c>
      <c r="AG68" s="1606">
        <f>AG51/AG65</f>
        <v>23.405114275523363</v>
      </c>
      <c r="AH68" s="1606">
        <f>AH51/AH65</f>
        <v>12.265000000000001</v>
      </c>
      <c r="AI68" s="1606">
        <f>AI51/AI65</f>
        <v>22.280607694793254</v>
      </c>
      <c r="AJ68" s="1606" t="e">
        <f t="shared" si="24"/>
        <v>#REF!</v>
      </c>
      <c r="AK68" s="1606" t="e">
        <f>AK51/AK65</f>
        <v>#REF!</v>
      </c>
      <c r="AL68" s="1606" t="e">
        <f>AL51/AL65</f>
        <v>#REF!</v>
      </c>
      <c r="AM68" s="1606" t="e">
        <f>#REF!</f>
        <v>#REF!</v>
      </c>
      <c r="AN68" s="1606" t="e">
        <f>#REF!-AM68</f>
        <v>#REF!</v>
      </c>
      <c r="AO68" s="1606" t="e">
        <f t="shared" si="25"/>
        <v>#REF!</v>
      </c>
      <c r="AP68" s="1606">
        <f t="shared" ref="AP68:AV68" si="360">AP51/AP65</f>
        <v>15.278116283802389</v>
      </c>
      <c r="AQ68" s="1606">
        <f t="shared" si="360"/>
        <v>15.315700072145278</v>
      </c>
      <c r="AR68" s="1606">
        <f t="shared" si="360"/>
        <v>8.6093228150401515</v>
      </c>
      <c r="AS68" s="1606">
        <f t="shared" si="360"/>
        <v>12.540279443605039</v>
      </c>
      <c r="AT68" s="1606">
        <f t="shared" si="360"/>
        <v>12.578427562523807</v>
      </c>
      <c r="AU68" s="1606">
        <f t="shared" si="360"/>
        <v>7.1696942319974797</v>
      </c>
      <c r="AV68" s="1606">
        <f t="shared" si="360"/>
        <v>26.774216482695316</v>
      </c>
      <c r="AW68" s="1734">
        <f t="shared" si="47"/>
        <v>1.2016825056774449</v>
      </c>
      <c r="AX68" s="1606">
        <f>AX51/AX65</f>
        <v>26.887034181141804</v>
      </c>
      <c r="AY68" s="1606">
        <f>AY51/AY65</f>
        <v>12.893610370261424</v>
      </c>
      <c r="AZ68" s="1606">
        <f>AZ51/AZ65</f>
        <v>23.479467298104222</v>
      </c>
      <c r="BA68" s="1609">
        <f t="shared" si="30"/>
        <v>1.0538073117095064</v>
      </c>
      <c r="BB68" s="1606">
        <f t="shared" ref="BB68:BL68" si="361">BB51/BB65</f>
        <v>23.531352978202385</v>
      </c>
      <c r="BC68" s="1606">
        <f t="shared" si="361"/>
        <v>14.036986160323796</v>
      </c>
      <c r="BD68" s="1606">
        <f t="shared" si="361"/>
        <v>26.638731467357399</v>
      </c>
      <c r="BE68" s="1606">
        <f t="shared" si="361"/>
        <v>26.705515581220983</v>
      </c>
      <c r="BF68" s="1606">
        <f t="shared" si="361"/>
        <v>16.804358353510896</v>
      </c>
      <c r="BG68" s="1606">
        <f t="shared" si="361"/>
        <v>24.892469318053873</v>
      </c>
      <c r="BH68" s="1606">
        <f t="shared" si="361"/>
        <v>24.945778924514649</v>
      </c>
      <c r="BI68" s="1606">
        <f t="shared" si="361"/>
        <v>16.077523413111344</v>
      </c>
      <c r="BJ68" s="1606">
        <f t="shared" si="361"/>
        <v>27.48325818038554</v>
      </c>
      <c r="BK68" s="1606">
        <f t="shared" si="361"/>
        <v>27.552317027863776</v>
      </c>
      <c r="BL68" s="1606">
        <f t="shared" si="361"/>
        <v>15.699841521394614</v>
      </c>
      <c r="BM68" s="1606"/>
      <c r="BN68" s="1606"/>
      <c r="BO68" s="1606"/>
      <c r="BP68" s="1606">
        <f t="shared" ref="BP68:BU68" si="362">BP51/BP65</f>
        <v>35.93542797167067</v>
      </c>
      <c r="BQ68" s="1606">
        <f t="shared" si="362"/>
        <v>36.005993808049531</v>
      </c>
      <c r="BR68" s="1606">
        <f t="shared" si="362"/>
        <v>23.894875858425781</v>
      </c>
      <c r="BS68" s="1606">
        <f t="shared" si="362"/>
        <v>31.963060416669283</v>
      </c>
      <c r="BT68" s="1606">
        <f t="shared" si="362"/>
        <v>32.063137290101388</v>
      </c>
      <c r="BU68" s="1606">
        <f t="shared" si="362"/>
        <v>14.95563602439384</v>
      </c>
      <c r="BV68" s="1606"/>
      <c r="BW68" s="1606"/>
      <c r="BX68" s="1606"/>
      <c r="BY68" s="1732"/>
      <c r="BZ68" s="394"/>
      <c r="CA68" s="394"/>
      <c r="CB68" s="394"/>
      <c r="CC68" s="394"/>
      <c r="CD68" s="394"/>
      <c r="CE68" s="394"/>
      <c r="CF68" s="394"/>
      <c r="CG68" s="394"/>
      <c r="CH68" s="394"/>
      <c r="CI68" s="394"/>
      <c r="CJ68" s="394"/>
      <c r="CK68" s="394"/>
      <c r="CL68" s="394"/>
      <c r="CM68" s="394"/>
      <c r="CN68" s="394"/>
      <c r="CO68" s="394"/>
      <c r="CP68" s="394"/>
      <c r="CQ68" s="394"/>
      <c r="CR68" s="394"/>
      <c r="CS68" s="394"/>
      <c r="CT68" s="394"/>
      <c r="CU68" s="394"/>
      <c r="CV68" s="394"/>
    </row>
    <row r="69" spans="1:115" ht="21" hidden="1" customHeight="1" x14ac:dyDescent="0.2">
      <c r="A69" s="3616" t="s">
        <v>420</v>
      </c>
      <c r="B69" s="3466"/>
      <c r="C69" s="3466"/>
      <c r="D69" s="3466"/>
      <c r="E69" s="3466"/>
      <c r="F69" s="3466"/>
      <c r="G69" s="3466"/>
      <c r="H69" s="3466"/>
      <c r="I69" s="1602">
        <v>0</v>
      </c>
      <c r="J69" s="2626"/>
      <c r="K69" s="2626"/>
      <c r="L69" s="2626"/>
      <c r="M69" s="2626"/>
      <c r="N69" s="1602">
        <v>0</v>
      </c>
      <c r="O69" s="1734"/>
      <c r="P69" s="1602">
        <f>S69+T69</f>
        <v>184.96</v>
      </c>
      <c r="Q69" s="1605"/>
      <c r="R69" s="2626"/>
      <c r="S69" s="1602">
        <v>180.3</v>
      </c>
      <c r="T69" s="1602">
        <v>4.66</v>
      </c>
      <c r="U69" s="1602"/>
      <c r="V69" s="1602"/>
      <c r="W69" s="1606">
        <v>0</v>
      </c>
      <c r="X69" s="1606"/>
      <c r="Y69" s="1606">
        <f>Z69+AA69</f>
        <v>0</v>
      </c>
      <c r="Z69" s="1606">
        <f>G135</f>
        <v>0</v>
      </c>
      <c r="AA69" s="1606">
        <v>0</v>
      </c>
      <c r="AB69" s="1606">
        <f>AC69+AD69</f>
        <v>0</v>
      </c>
      <c r="AC69" s="1606">
        <f>J135</f>
        <v>0</v>
      </c>
      <c r="AD69" s="1606">
        <v>0</v>
      </c>
      <c r="AE69" s="1606">
        <v>4275.2299999999996</v>
      </c>
      <c r="AF69" s="1606"/>
      <c r="AG69" s="1606">
        <v>4265.2299999999996</v>
      </c>
      <c r="AH69" s="1606">
        <v>10</v>
      </c>
      <c r="AI69" s="1606" t="e">
        <f>AK69+AL69</f>
        <v>#REF!</v>
      </c>
      <c r="AJ69" s="1606"/>
      <c r="AK69" s="1606" t="e">
        <f>AK51*0.05</f>
        <v>#REF!</v>
      </c>
      <c r="AL69" s="1606">
        <v>12.43</v>
      </c>
      <c r="AM69" s="1606">
        <v>0</v>
      </c>
      <c r="AN69" s="1606">
        <v>0</v>
      </c>
      <c r="AO69" s="1606">
        <f t="shared" si="25"/>
        <v>0</v>
      </c>
      <c r="AP69" s="1606">
        <f>AQ69+AR69</f>
        <v>0</v>
      </c>
      <c r="AQ69" s="1606">
        <f>X135</f>
        <v>0</v>
      </c>
      <c r="AR69" s="1606">
        <v>0</v>
      </c>
      <c r="AS69" s="1606">
        <f>AT69+AU69</f>
        <v>0</v>
      </c>
      <c r="AT69" s="1606">
        <f>AA135</f>
        <v>0</v>
      </c>
      <c r="AU69" s="1606">
        <v>0</v>
      </c>
      <c r="AV69" s="1606">
        <f>SUM(AX69:AY69)</f>
        <v>4649.3426922200424</v>
      </c>
      <c r="AW69" s="1734" t="e">
        <f t="shared" si="47"/>
        <v>#REF!</v>
      </c>
      <c r="AX69" s="1606">
        <f>AX51*0.05</f>
        <v>4631.2916377016763</v>
      </c>
      <c r="AY69" s="1606">
        <f>AY51*0.05</f>
        <v>18.051054518365994</v>
      </c>
      <c r="AZ69" s="1606">
        <f>SUM(BB69:BC69)</f>
        <v>4053.2755504953611</v>
      </c>
      <c r="BA69" s="1609" t="e">
        <f t="shared" si="30"/>
        <v>#REF!</v>
      </c>
      <c r="BB69" s="1606">
        <f>BB51*0.05</f>
        <v>4053.2755504953611</v>
      </c>
      <c r="BC69" s="1606">
        <v>0</v>
      </c>
      <c r="BD69" s="1606">
        <f>SUM(BF69:BG69)</f>
        <v>0</v>
      </c>
      <c r="BE69" s="1606"/>
      <c r="BF69" s="1606"/>
      <c r="BG69" s="1606">
        <f>SUM(BI69:BY69)</f>
        <v>0</v>
      </c>
      <c r="BH69" s="1606"/>
      <c r="BI69" s="1606"/>
      <c r="BJ69" s="1606">
        <f>SUM(BL69:CB69)</f>
        <v>0</v>
      </c>
      <c r="BK69" s="1606"/>
      <c r="BL69" s="1606"/>
      <c r="BM69" s="1606"/>
      <c r="BN69" s="1606"/>
      <c r="BO69" s="1606"/>
      <c r="BP69" s="1606">
        <f>SUM(BR69:CB69)</f>
        <v>0</v>
      </c>
      <c r="BQ69" s="1606">
        <v>0</v>
      </c>
      <c r="BR69" s="1606">
        <v>0</v>
      </c>
      <c r="BS69" s="1606">
        <f>SUM(BU69:CE69)</f>
        <v>0</v>
      </c>
      <c r="BT69" s="1606">
        <v>0</v>
      </c>
      <c r="BU69" s="1606">
        <v>0</v>
      </c>
      <c r="BV69" s="1606"/>
      <c r="BW69" s="1606"/>
      <c r="BX69" s="1606"/>
      <c r="BY69" s="1732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</row>
    <row r="70" spans="1:115" ht="21" hidden="1" customHeight="1" x14ac:dyDescent="0.2">
      <c r="A70" s="3616" t="s">
        <v>529</v>
      </c>
      <c r="B70" s="3610"/>
      <c r="C70" s="3610"/>
      <c r="D70" s="3610"/>
      <c r="E70" s="3610"/>
      <c r="F70" s="3610"/>
      <c r="G70" s="3610"/>
      <c r="H70" s="3610"/>
      <c r="I70" s="1606"/>
      <c r="J70" s="3770"/>
      <c r="K70" s="3770"/>
      <c r="L70" s="3770"/>
      <c r="M70" s="3770"/>
      <c r="N70" s="1606"/>
      <c r="O70" s="1734"/>
      <c r="P70" s="1606"/>
      <c r="Q70" s="1734"/>
      <c r="R70" s="3770"/>
      <c r="S70" s="1606"/>
      <c r="T70" s="1606"/>
      <c r="U70" s="1606"/>
      <c r="V70" s="1606"/>
      <c r="W70" s="1606">
        <f>SUM(W51+W69)</f>
        <v>96034.68</v>
      </c>
      <c r="X70" s="1606"/>
      <c r="Y70" s="1606" t="e">
        <f t="shared" ref="Y70:AE70" si="363">SUM(Y51+Y69)</f>
        <v>#REF!</v>
      </c>
      <c r="Z70" s="1606" t="e">
        <f t="shared" si="363"/>
        <v>#REF!</v>
      </c>
      <c r="AA70" s="1606" t="e">
        <f t="shared" si="363"/>
        <v>#REF!</v>
      </c>
      <c r="AB70" s="1606">
        <f t="shared" si="363"/>
        <v>70897.669500000004</v>
      </c>
      <c r="AC70" s="1606">
        <f t="shared" si="363"/>
        <v>70520.933541510851</v>
      </c>
      <c r="AD70" s="1606">
        <f t="shared" si="363"/>
        <v>376.73595848915204</v>
      </c>
      <c r="AE70" s="1606">
        <f t="shared" si="363"/>
        <v>89773.89</v>
      </c>
      <c r="AF70" s="1606"/>
      <c r="AG70" s="1606">
        <f>SUM(AG51+AG69)</f>
        <v>89569.849999999991</v>
      </c>
      <c r="AH70" s="1606">
        <f>SUM(AH51+AH69)</f>
        <v>353.42</v>
      </c>
      <c r="AI70" s="1606" t="e">
        <f>SUM(AI51+AI69)</f>
        <v>#REF!</v>
      </c>
      <c r="AJ70" s="1606"/>
      <c r="AK70" s="1606" t="e">
        <f>SUM(AK51+AK69)</f>
        <v>#REF!</v>
      </c>
      <c r="AL70" s="1606" t="e">
        <f>SUM(AL51+AL69)</f>
        <v>#REF!</v>
      </c>
      <c r="AM70" s="1606"/>
      <c r="AN70" s="1606"/>
      <c r="AO70" s="1606"/>
      <c r="AP70" s="1606">
        <f t="shared" ref="AP70:AV70" si="364">SUM(AP51+AP69)</f>
        <v>25525.760000000002</v>
      </c>
      <c r="AQ70" s="1606">
        <f t="shared" si="364"/>
        <v>25440.449918838356</v>
      </c>
      <c r="AR70" s="1606">
        <f t="shared" si="364"/>
        <v>83.252151621438273</v>
      </c>
      <c r="AS70" s="1606">
        <f t="shared" si="364"/>
        <v>40253.669999999991</v>
      </c>
      <c r="AT70" s="1606">
        <f t="shared" si="364"/>
        <v>40082.039917911483</v>
      </c>
      <c r="AU70" s="1606">
        <f t="shared" si="364"/>
        <v>167.62745114410106</v>
      </c>
      <c r="AV70" s="1606">
        <f t="shared" si="364"/>
        <v>97636.196536620875</v>
      </c>
      <c r="AW70" s="1734" t="e">
        <f t="shared" si="47"/>
        <v>#REF!</v>
      </c>
      <c r="AX70" s="1606">
        <f>SUM(AX51+AX69)</f>
        <v>97257.124391735197</v>
      </c>
      <c r="AY70" s="1606">
        <f>SUM(AY51+AY69)</f>
        <v>379.07214488568587</v>
      </c>
      <c r="AZ70" s="1606">
        <f>SUM(AZ51+AZ69)</f>
        <v>85384.506708417524</v>
      </c>
      <c r="BA70" s="1609" t="e">
        <f t="shared" si="30"/>
        <v>#REF!</v>
      </c>
      <c r="BB70" s="1606">
        <f t="shared" ref="BB70:BL70" si="365">SUM(BB51+BB69)</f>
        <v>85118.786560402586</v>
      </c>
      <c r="BC70" s="1606">
        <f t="shared" si="365"/>
        <v>265.72014801492946</v>
      </c>
      <c r="BD70" s="1606">
        <f t="shared" si="365"/>
        <v>81554.210000000006</v>
      </c>
      <c r="BE70" s="1606">
        <f t="shared" si="365"/>
        <v>81207.200000000012</v>
      </c>
      <c r="BF70" s="1606">
        <f t="shared" si="365"/>
        <v>347.01</v>
      </c>
      <c r="BG70" s="1606">
        <f t="shared" si="365"/>
        <v>79589.19</v>
      </c>
      <c r="BH70" s="1606">
        <f t="shared" si="365"/>
        <v>79280.180000000008</v>
      </c>
      <c r="BI70" s="1606">
        <f t="shared" si="365"/>
        <v>309.01</v>
      </c>
      <c r="BJ70" s="1606">
        <f t="shared" si="365"/>
        <v>89291.181999999986</v>
      </c>
      <c r="BK70" s="1606">
        <f t="shared" si="365"/>
        <v>88993.983999999997</v>
      </c>
      <c r="BL70" s="1606">
        <f t="shared" si="365"/>
        <v>297.19800000000004</v>
      </c>
      <c r="BM70" s="1606"/>
      <c r="BN70" s="1606"/>
      <c r="BO70" s="1606"/>
      <c r="BP70" s="1606">
        <f t="shared" ref="BP70:BU70" si="366">SUM(BP51+BP69+BP66+BP67)</f>
        <v>121579.63999999998</v>
      </c>
      <c r="BQ70" s="1606">
        <f t="shared" si="366"/>
        <v>121127.30999999998</v>
      </c>
      <c r="BR70" s="1606">
        <f t="shared" si="366"/>
        <v>452.33000000000004</v>
      </c>
      <c r="BS70" s="1606">
        <f t="shared" si="366"/>
        <v>96528.558904823658</v>
      </c>
      <c r="BT70" s="1606">
        <f t="shared" si="366"/>
        <v>96264.342668392695</v>
      </c>
      <c r="BU70" s="1606">
        <f t="shared" si="366"/>
        <v>264.21623643095785</v>
      </c>
      <c r="BV70" s="1606"/>
      <c r="BW70" s="1606"/>
      <c r="BX70" s="1606"/>
      <c r="BY70" s="1732"/>
      <c r="BZ70" s="394"/>
      <c r="CA70" s="394"/>
      <c r="CB70" s="394"/>
      <c r="CC70" s="394"/>
      <c r="CD70" s="394"/>
      <c r="CE70" s="394"/>
      <c r="CF70" s="394"/>
      <c r="CG70" s="394"/>
      <c r="CH70" s="394"/>
      <c r="CI70" s="394"/>
      <c r="CJ70" s="394"/>
      <c r="CK70" s="394"/>
      <c r="CL70" s="394"/>
      <c r="CM70" s="394"/>
      <c r="CN70" s="394"/>
      <c r="CO70" s="394"/>
      <c r="CP70" s="394"/>
      <c r="CQ70" s="394"/>
      <c r="CR70" s="394"/>
      <c r="CS70" s="394"/>
      <c r="CT70" s="394"/>
      <c r="CU70" s="394"/>
      <c r="CV70" s="394"/>
    </row>
    <row r="71" spans="1:115" ht="21" hidden="1" customHeight="1" x14ac:dyDescent="0.2">
      <c r="A71" s="3616" t="s">
        <v>69</v>
      </c>
      <c r="B71" s="3466"/>
      <c r="C71" s="3466"/>
      <c r="D71" s="3466"/>
      <c r="E71" s="3466"/>
      <c r="F71" s="3466"/>
      <c r="G71" s="3466"/>
      <c r="H71" s="3466"/>
      <c r="I71" s="1606" t="e">
        <f>(#REF!+I69)/#REF!</f>
        <v>#REF!</v>
      </c>
      <c r="J71" s="2626"/>
      <c r="K71" s="2626"/>
      <c r="L71" s="2626"/>
      <c r="M71" s="2626"/>
      <c r="N71" s="1606">
        <f>(N51+N69)/N65</f>
        <v>24.133221648388211</v>
      </c>
      <c r="O71" s="3622"/>
      <c r="P71" s="1606" t="e">
        <f>(P51+P69)/P65</f>
        <v>#REF!</v>
      </c>
      <c r="Q71" s="1605" t="e">
        <f t="shared" si="21"/>
        <v>#REF!</v>
      </c>
      <c r="R71" s="2626"/>
      <c r="S71" s="1602" t="e">
        <f>(S51+S69)/S65</f>
        <v>#REF!</v>
      </c>
      <c r="T71" s="1602" t="e">
        <f>(T51+T69)/T65</f>
        <v>#REF!</v>
      </c>
      <c r="U71" s="1602" t="e">
        <f>(U51+U69)/U65</f>
        <v>#REF!</v>
      </c>
      <c r="V71" s="1602" t="e">
        <f>(V51+V69)/V65</f>
        <v>#REF!</v>
      </c>
      <c r="W71" s="1606">
        <f>(W51+W69)/W65</f>
        <v>26.676299999999998</v>
      </c>
      <c r="X71" s="1606"/>
      <c r="Y71" s="1606" t="e">
        <f t="shared" ref="Y71:AE71" si="367">(Y51+Y69)/Y65</f>
        <v>#REF!</v>
      </c>
      <c r="Z71" s="1606" t="e">
        <f t="shared" si="367"/>
        <v>#REF!</v>
      </c>
      <c r="AA71" s="1606" t="e">
        <f t="shared" si="367"/>
        <v>#REF!</v>
      </c>
      <c r="AB71" s="1606">
        <f t="shared" si="367"/>
        <v>20.395164115988724</v>
      </c>
      <c r="AC71" s="1606">
        <f t="shared" si="367"/>
        <v>20.464577348087886</v>
      </c>
      <c r="AD71" s="1606">
        <f t="shared" si="367"/>
        <v>12.474700612223577</v>
      </c>
      <c r="AE71" s="1606">
        <f t="shared" si="367"/>
        <v>24.443567402728238</v>
      </c>
      <c r="AF71" s="1606" t="e">
        <f t="shared" si="23"/>
        <v>#REF!</v>
      </c>
      <c r="AG71" s="1606">
        <f>(AG51+AG69)/AG65</f>
        <v>24.575369714928524</v>
      </c>
      <c r="AH71" s="1606">
        <f>(AH51+AH69)/AH65</f>
        <v>12.622142857142858</v>
      </c>
      <c r="AI71" s="1606" t="e">
        <f>(AI51+AI69)/AI65</f>
        <v>#REF!</v>
      </c>
      <c r="AJ71" s="1606" t="e">
        <f t="shared" si="24"/>
        <v>#REF!</v>
      </c>
      <c r="AK71" s="1606" t="e">
        <f>(AK51+AK69)/AK65</f>
        <v>#REF!</v>
      </c>
      <c r="AL71" s="1606" t="e">
        <f>(AL51+AL69)/AL65</f>
        <v>#REF!</v>
      </c>
      <c r="AM71" s="1606" t="e">
        <f>#REF!</f>
        <v>#REF!</v>
      </c>
      <c r="AN71" s="1606" t="e">
        <f>#REF!-AM71</f>
        <v>#REF!</v>
      </c>
      <c r="AO71" s="1606" t="e">
        <f t="shared" si="25"/>
        <v>#REF!</v>
      </c>
      <c r="AP71" s="1606">
        <f t="shared" ref="AP71:AV71" si="368">(AP51+AP69)/AP65</f>
        <v>15.278116283802389</v>
      </c>
      <c r="AQ71" s="1606">
        <f t="shared" si="368"/>
        <v>15.315700072145278</v>
      </c>
      <c r="AR71" s="1606">
        <f t="shared" si="368"/>
        <v>8.6093228150401515</v>
      </c>
      <c r="AS71" s="1606">
        <f t="shared" si="368"/>
        <v>12.540279443605039</v>
      </c>
      <c r="AT71" s="1606">
        <f t="shared" si="368"/>
        <v>12.578427562523807</v>
      </c>
      <c r="AU71" s="1606">
        <f t="shared" si="368"/>
        <v>7.1696942319974797</v>
      </c>
      <c r="AV71" s="1606">
        <f t="shared" si="368"/>
        <v>28.11292730683008</v>
      </c>
      <c r="AW71" s="1734" t="e">
        <f t="shared" si="47"/>
        <v>#REF!</v>
      </c>
      <c r="AX71" s="1606">
        <f>(AX51+AX69)/AX65</f>
        <v>28.231385890198897</v>
      </c>
      <c r="AY71" s="1606">
        <f>(AY51+AY69)/AY65</f>
        <v>13.538290888774496</v>
      </c>
      <c r="AZ71" s="1606">
        <f>(AZ51+AZ69)/AZ65</f>
        <v>24.649605133018717</v>
      </c>
      <c r="BA71" s="1609" t="e">
        <f t="shared" si="30"/>
        <v>#REF!</v>
      </c>
      <c r="BB71" s="1606">
        <f t="shared" ref="BB71:BL71" si="369">(BB51+BB69)/BB65</f>
        <v>24.707920627112507</v>
      </c>
      <c r="BC71" s="1606">
        <f t="shared" si="369"/>
        <v>14.036986160323796</v>
      </c>
      <c r="BD71" s="1606">
        <f t="shared" si="369"/>
        <v>26.638731467357399</v>
      </c>
      <c r="BE71" s="1606">
        <f t="shared" si="369"/>
        <v>26.705515581220983</v>
      </c>
      <c r="BF71" s="1606">
        <f t="shared" si="369"/>
        <v>16.804358353510896</v>
      </c>
      <c r="BG71" s="1606">
        <f t="shared" si="369"/>
        <v>24.892469318053873</v>
      </c>
      <c r="BH71" s="1606">
        <f t="shared" si="369"/>
        <v>24.945778924514649</v>
      </c>
      <c r="BI71" s="1606">
        <f t="shared" si="369"/>
        <v>16.077523413111344</v>
      </c>
      <c r="BJ71" s="1606">
        <f t="shared" si="369"/>
        <v>27.48325818038554</v>
      </c>
      <c r="BK71" s="1606">
        <f t="shared" si="369"/>
        <v>27.552317027863776</v>
      </c>
      <c r="BL71" s="1606">
        <f t="shared" si="369"/>
        <v>15.699841521394614</v>
      </c>
      <c r="BM71" s="1606"/>
      <c r="BN71" s="1606"/>
      <c r="BO71" s="1606"/>
      <c r="BP71" s="1606">
        <f>BP70/BP65</f>
        <v>37.421440289572253</v>
      </c>
      <c r="BQ71" s="1606">
        <f t="shared" ref="BQ71:BR71" si="370">BQ70/BQ65</f>
        <v>37.500715170278632</v>
      </c>
      <c r="BR71" s="1606">
        <f t="shared" si="370"/>
        <v>23.894875858425781</v>
      </c>
      <c r="BS71" s="1606">
        <f>BS70/BS65</f>
        <v>31.963060416669283</v>
      </c>
      <c r="BT71" s="1606">
        <f t="shared" ref="BT71" si="371">BT70/BT65</f>
        <v>32.063137290101388</v>
      </c>
      <c r="BU71" s="1606">
        <f t="shared" ref="BU71" si="372">BU70/BU65</f>
        <v>14.95563602439384</v>
      </c>
      <c r="BV71" s="1606"/>
      <c r="BW71" s="1606"/>
      <c r="BX71" s="1606"/>
      <c r="BY71" s="1732"/>
      <c r="BZ71" s="394"/>
      <c r="CA71" s="394"/>
      <c r="CB71" s="394"/>
      <c r="CC71" s="394"/>
      <c r="CD71" s="394"/>
      <c r="CE71" s="394"/>
      <c r="CF71" s="394"/>
      <c r="CG71" s="394"/>
      <c r="CH71" s="394"/>
      <c r="CI71" s="394"/>
      <c r="CJ71" s="394"/>
      <c r="CK71" s="394"/>
      <c r="CL71" s="394"/>
      <c r="CM71" s="394"/>
      <c r="CN71" s="394"/>
      <c r="CO71" s="394"/>
      <c r="CP71" s="394"/>
      <c r="CQ71" s="394"/>
      <c r="CR71" s="394"/>
      <c r="CS71" s="394"/>
      <c r="CT71" s="394"/>
      <c r="CU71" s="394"/>
      <c r="CV71" s="394"/>
    </row>
    <row r="72" spans="1:115" ht="21" hidden="1" customHeight="1" x14ac:dyDescent="0.2">
      <c r="A72" s="3616" t="s">
        <v>146</v>
      </c>
      <c r="B72" s="3466"/>
      <c r="C72" s="3466"/>
      <c r="D72" s="3466"/>
      <c r="E72" s="3466"/>
      <c r="F72" s="3466"/>
      <c r="G72" s="3466"/>
      <c r="H72" s="3466"/>
      <c r="I72" s="3599"/>
      <c r="J72" s="3466"/>
      <c r="K72" s="3466"/>
      <c r="L72" s="3466"/>
      <c r="M72" s="3466"/>
      <c r="N72" s="3468" t="e">
        <f>N71/I71*100</f>
        <v>#REF!</v>
      </c>
      <c r="O72" s="1730"/>
      <c r="P72" s="3468" t="e">
        <f>P71/I71*100</f>
        <v>#REF!</v>
      </c>
      <c r="Q72" s="3468"/>
      <c r="R72" s="3466"/>
      <c r="S72" s="3599"/>
      <c r="T72" s="3599"/>
      <c r="U72" s="3599"/>
      <c r="V72" s="3599"/>
      <c r="W72" s="1606"/>
      <c r="X72" s="1606"/>
      <c r="Y72" s="1606"/>
      <c r="Z72" s="1606"/>
      <c r="AA72" s="1606"/>
      <c r="AB72" s="1606"/>
      <c r="AC72" s="1606"/>
      <c r="AD72" s="1606"/>
      <c r="AE72" s="1606"/>
      <c r="AF72" s="1606" t="e">
        <f t="shared" si="23"/>
        <v>#DIV/0!</v>
      </c>
      <c r="AG72" s="1606"/>
      <c r="AH72" s="1606"/>
      <c r="AI72" s="1606"/>
      <c r="AJ72" s="1606" t="e">
        <f t="shared" si="24"/>
        <v>#DIV/0!</v>
      </c>
      <c r="AK72" s="1606"/>
      <c r="AL72" s="1606"/>
      <c r="AM72" s="1606"/>
      <c r="AN72" s="1606"/>
      <c r="AO72" s="1606"/>
      <c r="AP72" s="1606"/>
      <c r="AQ72" s="1606"/>
      <c r="AR72" s="1606"/>
      <c r="AS72" s="1606"/>
      <c r="AT72" s="1606"/>
      <c r="AU72" s="1606"/>
      <c r="AV72" s="1606"/>
      <c r="AW72" s="1734" t="e">
        <f t="shared" si="47"/>
        <v>#DIV/0!</v>
      </c>
      <c r="AX72" s="1606"/>
      <c r="AY72" s="1606"/>
      <c r="AZ72" s="1606"/>
      <c r="BA72" s="1609" t="e">
        <f t="shared" si="30"/>
        <v>#DIV/0!</v>
      </c>
      <c r="BB72" s="1606"/>
      <c r="BC72" s="1606"/>
      <c r="BD72" s="1606"/>
      <c r="BE72" s="1606"/>
      <c r="BF72" s="1606"/>
      <c r="BG72" s="1606"/>
      <c r="BH72" s="1606"/>
      <c r="BI72" s="1606"/>
      <c r="BJ72" s="1606"/>
      <c r="BK72" s="1606"/>
      <c r="BL72" s="1606"/>
      <c r="BM72" s="1606"/>
      <c r="BN72" s="1606"/>
      <c r="BO72" s="1606"/>
      <c r="BP72" s="1606"/>
      <c r="BQ72" s="1606"/>
      <c r="BR72" s="1606"/>
      <c r="BS72" s="1606"/>
      <c r="BT72" s="1606"/>
      <c r="BU72" s="1606"/>
      <c r="BV72" s="1606"/>
      <c r="BW72" s="1606"/>
      <c r="BX72" s="1606"/>
      <c r="BY72" s="1732"/>
      <c r="BZ72" s="394"/>
      <c r="CA72" s="394"/>
      <c r="CB72" s="394"/>
      <c r="CC72" s="394"/>
      <c r="CD72" s="394"/>
      <c r="CE72" s="394"/>
      <c r="CF72" s="394"/>
      <c r="CG72" s="394"/>
      <c r="CH72" s="394"/>
      <c r="CI72" s="394"/>
      <c r="CJ72" s="394"/>
      <c r="CK72" s="394"/>
      <c r="CL72" s="394"/>
      <c r="CM72" s="394"/>
      <c r="CN72" s="394"/>
      <c r="CO72" s="394"/>
      <c r="CP72" s="394"/>
      <c r="CQ72" s="394"/>
      <c r="CR72" s="394"/>
      <c r="CS72" s="394"/>
      <c r="CT72" s="394"/>
      <c r="CU72" s="394"/>
      <c r="CV72" s="394"/>
    </row>
    <row r="73" spans="1:115" ht="21" hidden="1" customHeight="1" x14ac:dyDescent="0.2">
      <c r="A73" s="3616" t="s">
        <v>312</v>
      </c>
      <c r="B73" s="3466"/>
      <c r="C73" s="3466"/>
      <c r="D73" s="3466"/>
      <c r="E73" s="3466"/>
      <c r="F73" s="3466"/>
      <c r="G73" s="3466"/>
      <c r="H73" s="3466"/>
      <c r="I73" s="3599"/>
      <c r="J73" s="3466"/>
      <c r="K73" s="3466"/>
      <c r="L73" s="3466"/>
      <c r="M73" s="3466"/>
      <c r="N73" s="3468"/>
      <c r="O73" s="1730"/>
      <c r="P73" s="3468"/>
      <c r="Q73" s="3468"/>
      <c r="R73" s="3466"/>
      <c r="S73" s="3599"/>
      <c r="T73" s="3599"/>
      <c r="U73" s="3599"/>
      <c r="V73" s="3599"/>
      <c r="W73" s="1606">
        <v>4947</v>
      </c>
      <c r="X73" s="3771"/>
      <c r="Y73" s="1606">
        <f>Z73</f>
        <v>4947</v>
      </c>
      <c r="Z73" s="1606">
        <f>4947</f>
        <v>4947</v>
      </c>
      <c r="AA73" s="1606"/>
      <c r="AB73" s="1606">
        <f>'кап влож'!O16</f>
        <v>1044.8800000000001</v>
      </c>
      <c r="AC73" s="1606">
        <f>AB73</f>
        <v>1044.8800000000001</v>
      </c>
      <c r="AD73" s="1606">
        <v>0</v>
      </c>
      <c r="AE73" s="1606">
        <v>5656.1</v>
      </c>
      <c r="AF73" s="1606">
        <f t="shared" si="23"/>
        <v>1.1433393976147161</v>
      </c>
      <c r="AG73" s="1606">
        <f>AE73</f>
        <v>5656.1</v>
      </c>
      <c r="AH73" s="1606">
        <v>0</v>
      </c>
      <c r="AI73" s="1606">
        <f>AK73</f>
        <v>3568.1</v>
      </c>
      <c r="AJ73" s="1606">
        <f t="shared" si="24"/>
        <v>0.72126541338184758</v>
      </c>
      <c r="AK73" s="1606">
        <v>3568.1</v>
      </c>
      <c r="AL73" s="1606">
        <v>0</v>
      </c>
      <c r="AM73" s="1606" t="e">
        <f>#REF!*Z73/Y73</f>
        <v>#REF!</v>
      </c>
      <c r="AN73" s="1606" t="e">
        <f>#REF!-AM73</f>
        <v>#REF!</v>
      </c>
      <c r="AO73" s="1606" t="e">
        <f t="shared" si="25"/>
        <v>#REF!</v>
      </c>
      <c r="AP73" s="1606">
        <v>0</v>
      </c>
      <c r="AQ73" s="1606">
        <v>0</v>
      </c>
      <c r="AR73" s="1606">
        <v>0</v>
      </c>
      <c r="AS73" s="1606">
        <v>0</v>
      </c>
      <c r="AT73" s="1606">
        <v>0</v>
      </c>
      <c r="AU73" s="1606">
        <v>0</v>
      </c>
      <c r="AV73" s="1606">
        <f>SUM(AX73:AY73)</f>
        <v>0.9</v>
      </c>
      <c r="AW73" s="1734">
        <f t="shared" si="47"/>
        <v>2.5223508309744685E-4</v>
      </c>
      <c r="AX73" s="1606">
        <v>0.9</v>
      </c>
      <c r="AY73" s="1606">
        <v>0</v>
      </c>
      <c r="AZ73" s="1606">
        <f>SUM(BB73:BC73)</f>
        <v>0.9</v>
      </c>
      <c r="BA73" s="1609">
        <f t="shared" si="30"/>
        <v>2.5223508309744685E-4</v>
      </c>
      <c r="BB73" s="1606">
        <v>0.9</v>
      </c>
      <c r="BC73" s="1606">
        <v>0</v>
      </c>
      <c r="BD73" s="1606">
        <f>SUM(BF73:BG73)</f>
        <v>0</v>
      </c>
      <c r="BE73" s="1606"/>
      <c r="BF73" s="1606"/>
      <c r="BG73" s="1606"/>
      <c r="BH73" s="1606"/>
      <c r="BI73" s="1606"/>
      <c r="BJ73" s="1606"/>
      <c r="BK73" s="1606"/>
      <c r="BL73" s="1606"/>
      <c r="BM73" s="1606"/>
      <c r="BN73" s="1606"/>
      <c r="BO73" s="1606"/>
      <c r="BP73" s="1606"/>
      <c r="BQ73" s="1606"/>
      <c r="BR73" s="1606"/>
      <c r="BS73" s="1606"/>
      <c r="BT73" s="1606"/>
      <c r="BU73" s="1606"/>
      <c r="BV73" s="1606"/>
      <c r="BW73" s="1606"/>
      <c r="BX73" s="1606"/>
      <c r="BY73" s="1732" t="s">
        <v>241</v>
      </c>
      <c r="BZ73" s="394"/>
      <c r="CA73" s="394"/>
      <c r="CB73" s="394"/>
      <c r="CC73" s="394"/>
      <c r="CD73" s="394"/>
      <c r="CE73" s="394"/>
      <c r="CF73" s="394"/>
      <c r="CG73" s="394"/>
      <c r="CH73" s="394"/>
      <c r="CI73" s="394"/>
      <c r="CJ73" s="394"/>
      <c r="CK73" s="394"/>
      <c r="CL73" s="394"/>
      <c r="CM73" s="394"/>
      <c r="CN73" s="394"/>
      <c r="CO73" s="394"/>
      <c r="CP73" s="394"/>
      <c r="CQ73" s="394"/>
      <c r="CR73" s="394"/>
      <c r="CS73" s="394"/>
      <c r="CT73" s="394"/>
      <c r="CU73" s="394"/>
      <c r="CV73" s="394"/>
    </row>
    <row r="74" spans="1:115" ht="20.25" hidden="1" customHeight="1" x14ac:dyDescent="0.2">
      <c r="A74" s="3616" t="s">
        <v>532</v>
      </c>
      <c r="B74" s="3466"/>
      <c r="C74" s="3466"/>
      <c r="D74" s="3466"/>
      <c r="E74" s="3466"/>
      <c r="F74" s="3466"/>
      <c r="G74" s="3466"/>
      <c r="H74" s="3466"/>
      <c r="I74" s="3599"/>
      <c r="J74" s="3466"/>
      <c r="K74" s="3466"/>
      <c r="L74" s="3466"/>
      <c r="M74" s="3466"/>
      <c r="N74" s="3468"/>
      <c r="O74" s="1730"/>
      <c r="P74" s="3468"/>
      <c r="Q74" s="3468"/>
      <c r="R74" s="3466"/>
      <c r="S74" s="3599"/>
      <c r="T74" s="3599"/>
      <c r="U74" s="3599"/>
      <c r="V74" s="3599"/>
      <c r="W74" s="1606">
        <f>W51+W69+W73</f>
        <v>100981.68</v>
      </c>
      <c r="X74" s="1606"/>
      <c r="Y74" s="1606" t="e">
        <f t="shared" ref="Y74:AE74" si="373">Y51+Y69+Y73</f>
        <v>#REF!</v>
      </c>
      <c r="Z74" s="1606" t="e">
        <f t="shared" si="373"/>
        <v>#REF!</v>
      </c>
      <c r="AA74" s="1606" t="e">
        <f t="shared" si="373"/>
        <v>#REF!</v>
      </c>
      <c r="AB74" s="1606">
        <f t="shared" si="373"/>
        <v>71942.549500000008</v>
      </c>
      <c r="AC74" s="1606">
        <f t="shared" si="373"/>
        <v>71565.813541510855</v>
      </c>
      <c r="AD74" s="1606">
        <f t="shared" si="373"/>
        <v>376.73595848915204</v>
      </c>
      <c r="AE74" s="1606">
        <f t="shared" si="373"/>
        <v>95429.99</v>
      </c>
      <c r="AF74" s="1606" t="e">
        <f t="shared" si="23"/>
        <v>#REF!</v>
      </c>
      <c r="AG74" s="1606">
        <f>AG51+AG69+AG73</f>
        <v>95225.95</v>
      </c>
      <c r="AH74" s="1606">
        <f>AH51+AH69+AH73</f>
        <v>353.42</v>
      </c>
      <c r="AI74" s="1606" t="e">
        <f>AI51+AI69+AI73</f>
        <v>#REF!</v>
      </c>
      <c r="AJ74" s="1606" t="e">
        <f t="shared" si="24"/>
        <v>#REF!</v>
      </c>
      <c r="AK74" s="1606" t="e">
        <f>AK51+AK69+AK73</f>
        <v>#REF!</v>
      </c>
      <c r="AL74" s="1606" t="e">
        <f>AL51+AL69+AL73</f>
        <v>#REF!</v>
      </c>
      <c r="AM74" s="1606" t="e">
        <f>AM51+AM69+AM73</f>
        <v>#REF!</v>
      </c>
      <c r="AN74" s="1606" t="e">
        <f>#REF!-AM74</f>
        <v>#REF!</v>
      </c>
      <c r="AO74" s="1606" t="e">
        <f t="shared" si="25"/>
        <v>#REF!</v>
      </c>
      <c r="AP74" s="1606">
        <f t="shared" ref="AP74:AV74" si="374">AP51+AP69+AP73</f>
        <v>25525.760000000002</v>
      </c>
      <c r="AQ74" s="1606">
        <f t="shared" si="374"/>
        <v>25440.449918838356</v>
      </c>
      <c r="AR74" s="1606">
        <f t="shared" si="374"/>
        <v>83.252151621438273</v>
      </c>
      <c r="AS74" s="1606">
        <f t="shared" si="374"/>
        <v>40253.669999999991</v>
      </c>
      <c r="AT74" s="1606">
        <f t="shared" si="374"/>
        <v>40082.039917911483</v>
      </c>
      <c r="AU74" s="1606">
        <f t="shared" si="374"/>
        <v>167.62745114410106</v>
      </c>
      <c r="AV74" s="1606">
        <f t="shared" si="374"/>
        <v>97637.096536620869</v>
      </c>
      <c r="AW74" s="1734" t="e">
        <f t="shared" si="47"/>
        <v>#REF!</v>
      </c>
      <c r="AX74" s="1606">
        <f>AX51+AX69+AX73</f>
        <v>97258.024391735191</v>
      </c>
      <c r="AY74" s="1606">
        <f>AY51+AY69+AY73</f>
        <v>379.07214488568587</v>
      </c>
      <c r="AZ74" s="1606">
        <f>AZ51+AZ69+AZ73</f>
        <v>85385.406708417519</v>
      </c>
      <c r="BA74" s="1609" t="e">
        <f t="shared" si="30"/>
        <v>#REF!</v>
      </c>
      <c r="BB74" s="1606">
        <f>BB51+BB69+BB73</f>
        <v>85119.686560402581</v>
      </c>
      <c r="BC74" s="1606">
        <f>BC51+BC69+BC73</f>
        <v>265.72014801492946</v>
      </c>
      <c r="BD74" s="1606">
        <f>BD51+BD69+BD73</f>
        <v>81554.210000000006</v>
      </c>
      <c r="BE74" s="1606"/>
      <c r="BF74" s="1606"/>
      <c r="BG74" s="1606"/>
      <c r="BH74" s="1606"/>
      <c r="BI74" s="1606"/>
      <c r="BJ74" s="1606"/>
      <c r="BK74" s="1606"/>
      <c r="BL74" s="1606"/>
      <c r="BM74" s="1606"/>
      <c r="BN74" s="1606"/>
      <c r="BO74" s="1606"/>
      <c r="BP74" s="1606"/>
      <c r="BQ74" s="1606"/>
      <c r="BR74" s="1606"/>
      <c r="BS74" s="1606"/>
      <c r="BT74" s="1606"/>
      <c r="BU74" s="1606"/>
      <c r="BV74" s="1606"/>
      <c r="BW74" s="1606"/>
      <c r="BX74" s="1606"/>
      <c r="BY74" s="1732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</row>
    <row r="75" spans="1:115" ht="21" hidden="1" customHeight="1" x14ac:dyDescent="0.2">
      <c r="A75" s="3616" t="s">
        <v>313</v>
      </c>
      <c r="B75" s="3466"/>
      <c r="C75" s="3466"/>
      <c r="D75" s="3466"/>
      <c r="E75" s="3466"/>
      <c r="F75" s="3466"/>
      <c r="G75" s="3466"/>
      <c r="H75" s="3466"/>
      <c r="I75" s="3599"/>
      <c r="J75" s="3466"/>
      <c r="K75" s="3466"/>
      <c r="L75" s="3466"/>
      <c r="M75" s="3466"/>
      <c r="N75" s="3468"/>
      <c r="O75" s="1730"/>
      <c r="P75" s="3468"/>
      <c r="Q75" s="3468"/>
      <c r="R75" s="3466"/>
      <c r="S75" s="3599"/>
      <c r="T75" s="3599"/>
      <c r="U75" s="3599"/>
      <c r="V75" s="3599"/>
      <c r="W75" s="1606">
        <f>W74/W65</f>
        <v>28.050466666666665</v>
      </c>
      <c r="X75" s="1606"/>
      <c r="Y75" s="1606" t="e">
        <f t="shared" ref="Y75:AE75" si="375">Y74/Y65</f>
        <v>#REF!</v>
      </c>
      <c r="Z75" s="1606" t="e">
        <f t="shared" si="375"/>
        <v>#REF!</v>
      </c>
      <c r="AA75" s="1606" t="e">
        <f t="shared" si="375"/>
        <v>#REF!</v>
      </c>
      <c r="AB75" s="1606">
        <f t="shared" si="375"/>
        <v>20.6957452102871</v>
      </c>
      <c r="AC75" s="1606">
        <f t="shared" si="375"/>
        <v>20.767792670200482</v>
      </c>
      <c r="AD75" s="1606">
        <f t="shared" si="375"/>
        <v>12.474700612223577</v>
      </c>
      <c r="AE75" s="1606">
        <f t="shared" si="375"/>
        <v>25.983606066381682</v>
      </c>
      <c r="AF75" s="1606" t="e">
        <f t="shared" si="23"/>
        <v>#REF!</v>
      </c>
      <c r="AG75" s="1606">
        <f>AG74/AG65</f>
        <v>26.127239553324006</v>
      </c>
      <c r="AH75" s="1606">
        <f>AH74/AH65</f>
        <v>12.622142857142858</v>
      </c>
      <c r="AI75" s="1606" t="e">
        <f>AI74/AI65</f>
        <v>#REF!</v>
      </c>
      <c r="AJ75" s="1606" t="e">
        <f t="shared" si="24"/>
        <v>#REF!</v>
      </c>
      <c r="AK75" s="1606" t="e">
        <f>AK74/AK65</f>
        <v>#REF!</v>
      </c>
      <c r="AL75" s="1606" t="e">
        <f>AL74/AL65</f>
        <v>#REF!</v>
      </c>
      <c r="AM75" s="1606" t="e">
        <f>#REF!*Z75/Y75</f>
        <v>#REF!</v>
      </c>
      <c r="AN75" s="1606" t="e">
        <f>#REF!-AM75</f>
        <v>#REF!</v>
      </c>
      <c r="AO75" s="1606" t="e">
        <f t="shared" si="25"/>
        <v>#REF!</v>
      </c>
      <c r="AP75" s="1606">
        <f t="shared" ref="AP75:AV75" si="376">AP74/AP65</f>
        <v>15.278116283802389</v>
      </c>
      <c r="AQ75" s="1606">
        <f t="shared" si="376"/>
        <v>15.315700072145278</v>
      </c>
      <c r="AR75" s="1606">
        <f t="shared" si="376"/>
        <v>8.6093228150401515</v>
      </c>
      <c r="AS75" s="1606">
        <f t="shared" si="376"/>
        <v>12.540279443605039</v>
      </c>
      <c r="AT75" s="1606">
        <f t="shared" si="376"/>
        <v>12.578427562523807</v>
      </c>
      <c r="AU75" s="1606">
        <f t="shared" si="376"/>
        <v>7.1696942319974797</v>
      </c>
      <c r="AV75" s="1606">
        <f t="shared" si="376"/>
        <v>28.113186448782283</v>
      </c>
      <c r="AW75" s="1734" t="e">
        <f t="shared" si="47"/>
        <v>#REF!</v>
      </c>
      <c r="AX75" s="1606">
        <f>AX74/AX65</f>
        <v>28.23164713838467</v>
      </c>
      <c r="AY75" s="1606">
        <f>AY74/AY65</f>
        <v>13.538290888774496</v>
      </c>
      <c r="AZ75" s="1606">
        <f>AZ74/AZ65</f>
        <v>24.649864953511624</v>
      </c>
      <c r="BA75" s="1609" t="e">
        <f t="shared" si="30"/>
        <v>#REF!</v>
      </c>
      <c r="BB75" s="1606">
        <f>BB74/BB65</f>
        <v>24.708181875298283</v>
      </c>
      <c r="BC75" s="1606">
        <f>BC74/BC65</f>
        <v>14.036986160323796</v>
      </c>
      <c r="BD75" s="1606">
        <f>BD74/BD65</f>
        <v>26.638731467357399</v>
      </c>
      <c r="BE75" s="1606"/>
      <c r="BF75" s="1606"/>
      <c r="BG75" s="1606"/>
      <c r="BH75" s="1606"/>
      <c r="BI75" s="1606"/>
      <c r="BJ75" s="1606"/>
      <c r="BK75" s="1606"/>
      <c r="BL75" s="1606"/>
      <c r="BM75" s="1606"/>
      <c r="BN75" s="1606"/>
      <c r="BO75" s="1606"/>
      <c r="BP75" s="1606"/>
      <c r="BQ75" s="1606"/>
      <c r="BR75" s="1606"/>
      <c r="BS75" s="1606"/>
      <c r="BT75" s="1606"/>
      <c r="BU75" s="1606"/>
      <c r="BV75" s="1606"/>
      <c r="BW75" s="1606"/>
      <c r="BX75" s="1606"/>
      <c r="BY75" s="1732"/>
      <c r="BZ75" s="394"/>
      <c r="CA75" s="394"/>
      <c r="CB75" s="394"/>
      <c r="CC75" s="394"/>
      <c r="CD75" s="394"/>
      <c r="CE75" s="394"/>
      <c r="CF75" s="394"/>
      <c r="CG75" s="394"/>
      <c r="CH75" s="394"/>
      <c r="CI75" s="394"/>
      <c r="CJ75" s="394"/>
      <c r="CK75" s="394"/>
      <c r="CL75" s="394"/>
      <c r="CM75" s="394"/>
      <c r="CN75" s="394"/>
      <c r="CO75" s="394"/>
      <c r="CP75" s="394"/>
      <c r="CQ75" s="394"/>
      <c r="CR75" s="394"/>
      <c r="CS75" s="394"/>
      <c r="CT75" s="394"/>
      <c r="CU75" s="394"/>
      <c r="CV75" s="394"/>
    </row>
    <row r="76" spans="1:115" ht="20.25" hidden="1" customHeight="1" x14ac:dyDescent="0.35">
      <c r="A76" s="369"/>
      <c r="B76" s="861"/>
      <c r="C76" s="861"/>
      <c r="D76" s="861"/>
      <c r="E76" s="861"/>
      <c r="F76" s="861"/>
      <c r="G76" s="861"/>
      <c r="H76" s="861"/>
      <c r="I76" s="3598"/>
      <c r="J76" s="105"/>
      <c r="K76" s="105"/>
      <c r="L76" s="105"/>
      <c r="M76" s="105"/>
      <c r="N76" s="863"/>
      <c r="O76" s="864"/>
      <c r="P76" s="865"/>
      <c r="Q76" s="863"/>
      <c r="R76" s="105"/>
      <c r="S76" s="3598"/>
      <c r="T76" s="3598"/>
      <c r="U76" s="3598"/>
      <c r="V76" s="3598"/>
      <c r="W76" s="866"/>
      <c r="X76" s="3598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7"/>
      <c r="AL76" s="867"/>
      <c r="AM76" s="868"/>
      <c r="AN76" s="869"/>
      <c r="AO76" s="868"/>
      <c r="AP76" s="868"/>
      <c r="AQ76" s="868"/>
      <c r="AR76" s="868"/>
      <c r="AS76" s="868"/>
      <c r="AT76" s="868"/>
      <c r="AU76" s="868"/>
      <c r="AV76" s="868"/>
      <c r="AW76" s="1373"/>
      <c r="AX76" s="868"/>
      <c r="AY76" s="868"/>
      <c r="AZ76" s="868">
        <f>BB65</f>
        <v>3445</v>
      </c>
      <c r="BA76" s="1373"/>
      <c r="BB76" s="868">
        <f>AZ76/2</f>
        <v>1722.5</v>
      </c>
      <c r="BC76" s="868">
        <f>BB76</f>
        <v>1722.5</v>
      </c>
      <c r="BD76" s="868"/>
      <c r="BE76" s="868"/>
      <c r="BF76" s="868"/>
      <c r="BG76" s="868"/>
      <c r="BH76" s="868"/>
      <c r="BI76" s="868"/>
      <c r="BJ76" s="868"/>
      <c r="BK76" s="868"/>
      <c r="BL76" s="868"/>
      <c r="BM76" s="868"/>
      <c r="BN76" s="868"/>
      <c r="BO76" s="868"/>
      <c r="BP76" s="868"/>
      <c r="BQ76" s="868"/>
      <c r="BR76" s="868"/>
      <c r="BS76" s="868"/>
      <c r="BT76" s="868"/>
      <c r="BU76" s="868"/>
      <c r="BV76" s="868"/>
      <c r="BW76" s="868"/>
      <c r="BX76" s="868"/>
      <c r="BY76" s="105"/>
      <c r="BZ76" s="394"/>
      <c r="CA76" s="394"/>
      <c r="CB76" s="394"/>
      <c r="CC76" s="394"/>
      <c r="CD76" s="394"/>
      <c r="CE76" s="394"/>
      <c r="CF76" s="394"/>
      <c r="CG76" s="394"/>
      <c r="CH76" s="394"/>
      <c r="CI76" s="394"/>
      <c r="CJ76" s="394"/>
      <c r="CK76" s="394"/>
      <c r="CL76" s="394"/>
      <c r="CM76" s="394"/>
      <c r="CN76" s="394"/>
      <c r="CO76" s="394"/>
      <c r="CP76" s="394"/>
      <c r="CQ76" s="394"/>
      <c r="CR76" s="394"/>
      <c r="CS76" s="394"/>
      <c r="CT76" s="394"/>
      <c r="CU76" s="394"/>
      <c r="CV76" s="394"/>
    </row>
    <row r="77" spans="1:115" ht="20.25" hidden="1" customHeight="1" x14ac:dyDescent="0.35">
      <c r="A77" s="369"/>
      <c r="B77" s="861"/>
      <c r="C77" s="861"/>
      <c r="D77" s="861"/>
      <c r="E77" s="861"/>
      <c r="F77" s="861"/>
      <c r="G77" s="861"/>
      <c r="H77" s="861"/>
      <c r="I77" s="3598"/>
      <c r="J77" s="105"/>
      <c r="K77" s="105"/>
      <c r="L77" s="105"/>
      <c r="M77" s="105"/>
      <c r="N77" s="863"/>
      <c r="O77" s="864"/>
      <c r="P77" s="865"/>
      <c r="Q77" s="863"/>
      <c r="R77" s="105"/>
      <c r="S77" s="3598"/>
      <c r="T77" s="3598"/>
      <c r="U77" s="3598"/>
      <c r="V77" s="3598"/>
      <c r="W77" s="866"/>
      <c r="X77" s="3598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7"/>
      <c r="AL77" s="867"/>
      <c r="AM77" s="868"/>
      <c r="AN77" s="869"/>
      <c r="AO77" s="868"/>
      <c r="AP77" s="868"/>
      <c r="AQ77" s="868"/>
      <c r="AR77" s="868"/>
      <c r="AS77" s="868"/>
      <c r="AT77" s="868"/>
      <c r="AU77" s="868"/>
      <c r="AV77" s="868"/>
      <c r="AW77" s="1373"/>
      <c r="AX77" s="868"/>
      <c r="AY77" s="868"/>
      <c r="AZ77" s="868">
        <f>BB75</f>
        <v>24.708181875298283</v>
      </c>
      <c r="BA77" s="1373"/>
      <c r="BB77" s="868">
        <v>24.29</v>
      </c>
      <c r="BC77" s="868">
        <f>BC78/BC76</f>
        <v>25.126363750596564</v>
      </c>
      <c r="BD77" s="868"/>
      <c r="BE77" s="868"/>
      <c r="BF77" s="868"/>
      <c r="BG77" s="868"/>
      <c r="BH77" s="868"/>
      <c r="BI77" s="868"/>
      <c r="BJ77" s="868"/>
      <c r="BK77" s="868"/>
      <c r="BL77" s="868"/>
      <c r="BM77" s="868"/>
      <c r="BN77" s="868"/>
      <c r="BO77" s="868"/>
      <c r="BP77" s="868"/>
      <c r="BQ77" s="868"/>
      <c r="BR77" s="868"/>
      <c r="BS77" s="868"/>
      <c r="BT77" s="868"/>
      <c r="BU77" s="868"/>
      <c r="BV77" s="868"/>
      <c r="BW77" s="868"/>
      <c r="BX77" s="868"/>
      <c r="BY77" s="3772">
        <f>BC77/BB77</f>
        <v>1.034432431066141</v>
      </c>
      <c r="BZ77" s="394"/>
      <c r="CA77" s="394"/>
      <c r="CB77" s="394"/>
      <c r="CC77" s="394"/>
      <c r="CD77" s="394"/>
      <c r="CE77" s="394"/>
      <c r="CF77" s="394"/>
      <c r="CG77" s="394"/>
      <c r="CH77" s="394"/>
      <c r="CI77" s="394"/>
      <c r="CJ77" s="394"/>
      <c r="CK77" s="394"/>
      <c r="CL77" s="394"/>
      <c r="CM77" s="394"/>
      <c r="CN77" s="394"/>
      <c r="CO77" s="394"/>
      <c r="CP77" s="394"/>
      <c r="CQ77" s="394"/>
      <c r="CR77" s="394"/>
      <c r="CS77" s="394"/>
      <c r="CT77" s="394"/>
      <c r="CU77" s="394"/>
      <c r="CV77" s="394"/>
    </row>
    <row r="78" spans="1:115" ht="20.25" hidden="1" customHeight="1" x14ac:dyDescent="0.35">
      <c r="A78" s="369"/>
      <c r="B78" s="861"/>
      <c r="C78" s="861"/>
      <c r="D78" s="861"/>
      <c r="E78" s="861"/>
      <c r="F78" s="861"/>
      <c r="G78" s="861"/>
      <c r="H78" s="861"/>
      <c r="I78" s="3598"/>
      <c r="J78" s="105"/>
      <c r="K78" s="105"/>
      <c r="L78" s="105"/>
      <c r="M78" s="105"/>
      <c r="N78" s="863"/>
      <c r="O78" s="864"/>
      <c r="P78" s="865"/>
      <c r="Q78" s="863"/>
      <c r="R78" s="105"/>
      <c r="S78" s="3598"/>
      <c r="T78" s="3598"/>
      <c r="U78" s="3598"/>
      <c r="V78" s="3598"/>
      <c r="W78" s="866"/>
      <c r="X78" s="3598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7"/>
      <c r="AL78" s="867"/>
      <c r="AM78" s="868"/>
      <c r="AN78" s="869"/>
      <c r="AO78" s="868"/>
      <c r="AP78" s="868"/>
      <c r="AQ78" s="868"/>
      <c r="AR78" s="868"/>
      <c r="AS78" s="868"/>
      <c r="AT78" s="868"/>
      <c r="AU78" s="868"/>
      <c r="AV78" s="868"/>
      <c r="AW78" s="1373"/>
      <c r="AX78" s="868"/>
      <c r="AY78" s="868"/>
      <c r="AZ78" s="868">
        <f>BB74</f>
        <v>85119.686560402581</v>
      </c>
      <c r="BA78" s="1373"/>
      <c r="BB78" s="868">
        <f>BB76*BB77</f>
        <v>41839.525000000001</v>
      </c>
      <c r="BC78" s="868">
        <f>AZ78-BB78</f>
        <v>43280.161560402579</v>
      </c>
      <c r="BD78" s="868"/>
      <c r="BE78" s="868"/>
      <c r="BF78" s="868"/>
      <c r="BG78" s="868"/>
      <c r="BH78" s="868"/>
      <c r="BI78" s="868"/>
      <c r="BJ78" s="868"/>
      <c r="BK78" s="868"/>
      <c r="BL78" s="868"/>
      <c r="BM78" s="868"/>
      <c r="BN78" s="868"/>
      <c r="BO78" s="868"/>
      <c r="BP78" s="868"/>
      <c r="BQ78" s="868"/>
      <c r="BR78" s="868"/>
      <c r="BS78" s="868"/>
      <c r="BT78" s="868"/>
      <c r="BU78" s="868"/>
      <c r="BV78" s="868"/>
      <c r="BW78" s="868"/>
      <c r="BX78" s="868"/>
      <c r="BY78" s="105"/>
      <c r="BZ78" s="394"/>
      <c r="CA78" s="394"/>
      <c r="CB78" s="394"/>
      <c r="CC78" s="394"/>
      <c r="CD78" s="394"/>
      <c r="CE78" s="394"/>
      <c r="CF78" s="394"/>
      <c r="CG78" s="394"/>
      <c r="CH78" s="394"/>
      <c r="CI78" s="394"/>
      <c r="CJ78" s="394"/>
      <c r="CK78" s="394"/>
      <c r="CL78" s="394"/>
      <c r="CM78" s="394"/>
      <c r="CN78" s="394"/>
      <c r="CO78" s="394"/>
      <c r="CP78" s="394"/>
      <c r="CQ78" s="394"/>
      <c r="CR78" s="394"/>
      <c r="CS78" s="394"/>
      <c r="CT78" s="394"/>
      <c r="CU78" s="394"/>
      <c r="CV78" s="394"/>
    </row>
    <row r="79" spans="1:115" ht="20.25" customHeight="1" x14ac:dyDescent="0.35">
      <c r="A79" s="369"/>
      <c r="B79" s="861"/>
      <c r="C79" s="861"/>
      <c r="D79" s="861"/>
      <c r="E79" s="861"/>
      <c r="F79" s="861"/>
      <c r="G79" s="861"/>
      <c r="H79" s="861"/>
      <c r="I79" s="3598"/>
      <c r="J79" s="105"/>
      <c r="K79" s="105"/>
      <c r="L79" s="105"/>
      <c r="M79" s="105"/>
      <c r="N79" s="863"/>
      <c r="O79" s="864"/>
      <c r="P79" s="865"/>
      <c r="Q79" s="863"/>
      <c r="R79" s="105"/>
      <c r="S79" s="3598"/>
      <c r="T79" s="3598"/>
      <c r="U79" s="3598"/>
      <c r="V79" s="3598"/>
      <c r="W79" s="866"/>
      <c r="X79" s="3598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7"/>
      <c r="AL79" s="867"/>
      <c r="AM79" s="868"/>
      <c r="AN79" s="869"/>
      <c r="AO79" s="868"/>
      <c r="AP79" s="868"/>
      <c r="AQ79" s="868"/>
      <c r="AR79" s="868"/>
      <c r="AS79" s="868"/>
      <c r="AT79" s="868"/>
      <c r="AU79" s="868"/>
      <c r="AV79" s="868"/>
      <c r="AW79" s="1373"/>
      <c r="AX79" s="868"/>
      <c r="AY79" s="868"/>
      <c r="AZ79" s="868"/>
      <c r="BA79" s="1373"/>
      <c r="BB79" s="868"/>
      <c r="BC79" s="868"/>
      <c r="BD79" s="868"/>
      <c r="BE79" s="868"/>
      <c r="BF79" s="868"/>
      <c r="BG79" s="868"/>
      <c r="BH79" s="868"/>
      <c r="BI79" s="868"/>
      <c r="BJ79" s="868"/>
      <c r="BK79" s="868"/>
      <c r="BL79" s="868"/>
      <c r="BM79" s="868"/>
      <c r="BN79" s="868"/>
      <c r="BO79" s="868"/>
      <c r="BP79" s="868"/>
      <c r="BQ79" s="868"/>
      <c r="BR79" s="868"/>
      <c r="BS79" s="868"/>
      <c r="BT79" s="868"/>
      <c r="BU79" s="868"/>
      <c r="BV79" s="868"/>
      <c r="BW79" s="868"/>
      <c r="BX79" s="868"/>
      <c r="BY79" s="105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</row>
    <row r="80" spans="1:115" ht="20.25" customHeight="1" x14ac:dyDescent="0.2">
      <c r="A80" s="4729" t="s">
        <v>3932</v>
      </c>
      <c r="B80" s="4729"/>
      <c r="C80" s="4729"/>
      <c r="D80" s="4729"/>
      <c r="E80" s="4729"/>
      <c r="F80" s="4729"/>
      <c r="G80" s="4729"/>
      <c r="H80" s="4729"/>
      <c r="I80" s="4729"/>
      <c r="J80" s="4729"/>
      <c r="K80" s="4729"/>
      <c r="L80" s="4729"/>
      <c r="M80" s="4729"/>
      <c r="N80" s="4729"/>
      <c r="O80" s="4729"/>
      <c r="P80" s="4729"/>
      <c r="Q80" s="4729"/>
      <c r="R80" s="4729"/>
      <c r="S80" s="4729"/>
      <c r="T80" s="4729"/>
      <c r="U80" s="4729"/>
      <c r="V80" s="4729"/>
      <c r="W80" s="4729"/>
      <c r="X80" s="4729"/>
      <c r="Y80" s="4729"/>
      <c r="Z80" s="4729"/>
      <c r="AA80" s="4729"/>
      <c r="AB80" s="4729"/>
      <c r="AC80" s="4729"/>
      <c r="AD80" s="4729"/>
      <c r="AE80" s="4729"/>
      <c r="AF80" s="4729"/>
      <c r="AG80" s="4729"/>
      <c r="AH80" s="4729"/>
      <c r="AI80" s="4729"/>
      <c r="AJ80" s="4729"/>
      <c r="AK80" s="4729"/>
      <c r="AL80" s="4729"/>
      <c r="AM80" s="4729"/>
      <c r="AN80" s="4729"/>
      <c r="AO80" s="4729"/>
      <c r="AP80" s="4729"/>
      <c r="AQ80" s="4729"/>
      <c r="AR80" s="4729"/>
      <c r="AS80" s="4729"/>
      <c r="AT80" s="4729"/>
      <c r="AU80" s="4729"/>
      <c r="AV80" s="4729"/>
      <c r="AW80" s="4729"/>
      <c r="AX80" s="4729"/>
      <c r="AY80" s="4729"/>
      <c r="AZ80" s="4729"/>
      <c r="BA80" s="4729"/>
      <c r="BB80" s="4729"/>
      <c r="BC80" s="4729"/>
      <c r="BD80" s="4729"/>
      <c r="BE80" s="4729"/>
      <c r="BF80" s="4729"/>
      <c r="BG80" s="4729"/>
      <c r="BH80" s="4729"/>
      <c r="BI80" s="4729"/>
      <c r="BJ80" s="4729"/>
      <c r="BK80" s="4729"/>
      <c r="BL80" s="4729"/>
      <c r="BM80" s="4729"/>
      <c r="BN80" s="4729"/>
      <c r="BO80" s="4729"/>
      <c r="BP80" s="4729"/>
      <c r="BQ80" s="4729"/>
      <c r="BR80" s="4729"/>
      <c r="BS80" s="4729"/>
      <c r="BT80" s="4729"/>
      <c r="BU80" s="4729"/>
      <c r="BV80" s="4729"/>
      <c r="BW80" s="4729"/>
      <c r="BX80" s="4729"/>
      <c r="BY80" s="4729"/>
      <c r="BZ80" s="4242"/>
      <c r="CA80" s="4242"/>
      <c r="CB80" s="4242"/>
      <c r="CC80" s="4242"/>
      <c r="CD80" s="4242"/>
      <c r="CE80" s="4242"/>
      <c r="CF80" s="4242"/>
      <c r="CG80" s="4242"/>
      <c r="CH80" s="4242"/>
      <c r="CI80" s="4242"/>
      <c r="CJ80" s="4242"/>
      <c r="CK80" s="4242"/>
      <c r="CL80" s="4242"/>
      <c r="CM80" s="4242"/>
      <c r="CN80" s="4242"/>
      <c r="CO80" s="4242"/>
      <c r="CP80" s="4242"/>
      <c r="CQ80" s="4242"/>
      <c r="CR80" s="4242"/>
      <c r="CS80" s="4242"/>
      <c r="CT80" s="4242"/>
      <c r="CU80" s="4242"/>
      <c r="CV80" s="4242"/>
      <c r="CW80" s="4242"/>
      <c r="CX80" s="4242"/>
      <c r="CY80" s="4242"/>
      <c r="CZ80" s="4242"/>
      <c r="DA80" s="4242"/>
      <c r="DB80" s="4242"/>
      <c r="DC80" s="4242"/>
      <c r="DD80" s="4242"/>
      <c r="DE80" s="4242"/>
      <c r="DF80" s="4242"/>
      <c r="DG80" s="4242"/>
      <c r="DH80" s="4242"/>
      <c r="DI80" s="4242"/>
      <c r="DJ80" s="4242"/>
      <c r="DK80" s="4242"/>
    </row>
    <row r="81" spans="1:115" ht="20.25" customHeight="1" x14ac:dyDescent="0.2">
      <c r="A81" s="371"/>
      <c r="B81" s="371"/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H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1372"/>
      <c r="AX81" s="371"/>
      <c r="AY81" s="371"/>
      <c r="AZ81" s="371"/>
      <c r="BA81" s="1372"/>
      <c r="BB81" s="371"/>
      <c r="BC81" s="371"/>
      <c r="BD81" s="371"/>
      <c r="BE81" s="371"/>
      <c r="BF81" s="371"/>
      <c r="BG81" s="371"/>
      <c r="BH81" s="371"/>
      <c r="BI81" s="371"/>
      <c r="BJ81" s="371"/>
      <c r="BK81" s="371"/>
      <c r="BL81" s="371"/>
      <c r="BM81" s="371"/>
      <c r="BN81" s="371"/>
      <c r="BO81" s="371"/>
      <c r="BP81" s="371"/>
      <c r="BQ81" s="371"/>
      <c r="BR81" s="371"/>
      <c r="BS81" s="371"/>
      <c r="BT81" s="371"/>
      <c r="BU81" s="371"/>
      <c r="BV81" s="371"/>
      <c r="BW81" s="371"/>
      <c r="BX81" s="371"/>
      <c r="BY81" s="371"/>
    </row>
    <row r="82" spans="1:115" ht="20.25" customHeight="1" x14ac:dyDescent="0.2">
      <c r="A82" s="4763" t="s">
        <v>527</v>
      </c>
      <c r="B82" s="4736" t="s">
        <v>57</v>
      </c>
      <c r="C82" s="4763" t="s">
        <v>58</v>
      </c>
      <c r="D82" s="4763"/>
      <c r="E82" s="4761" t="s">
        <v>66</v>
      </c>
      <c r="F82" s="4761"/>
      <c r="G82" s="4761" t="s">
        <v>92</v>
      </c>
      <c r="H82" s="4761"/>
      <c r="I82" s="4761" t="s">
        <v>117</v>
      </c>
      <c r="J82" s="4761"/>
      <c r="K82" s="4761"/>
      <c r="L82" s="4761"/>
      <c r="M82" s="4761"/>
      <c r="N82" s="4749" t="s">
        <v>154</v>
      </c>
      <c r="O82" s="4749"/>
      <c r="P82" s="4749"/>
      <c r="Q82" s="4749"/>
      <c r="R82" s="4749"/>
      <c r="S82" s="4749"/>
      <c r="T82" s="4749"/>
      <c r="U82" s="4749"/>
      <c r="V82" s="4749"/>
      <c r="W82" s="4738" t="s">
        <v>229</v>
      </c>
      <c r="X82" s="4738"/>
      <c r="Y82" s="4738"/>
      <c r="Z82" s="4738"/>
      <c r="AA82" s="4738"/>
      <c r="AB82" s="4762"/>
      <c r="AC82" s="4762"/>
      <c r="AD82" s="4762"/>
      <c r="AE82" s="4738" t="s">
        <v>364</v>
      </c>
      <c r="AF82" s="4774"/>
      <c r="AG82" s="4774"/>
      <c r="AH82" s="4774"/>
      <c r="AI82" s="4774"/>
      <c r="AJ82" s="4774"/>
      <c r="AK82" s="4774"/>
      <c r="AL82" s="4774"/>
      <c r="AM82" s="4774"/>
      <c r="AN82" s="4774"/>
      <c r="AO82" s="4774"/>
      <c r="AP82" s="4774"/>
      <c r="AQ82" s="4774"/>
      <c r="AR82" s="4774"/>
      <c r="AS82" s="4774"/>
      <c r="AT82" s="4774"/>
      <c r="AU82" s="4774"/>
      <c r="AV82" s="4744" t="s">
        <v>818</v>
      </c>
      <c r="AW82" s="4756"/>
      <c r="AX82" s="4756"/>
      <c r="AY82" s="4756"/>
      <c r="AZ82" s="4756"/>
      <c r="BA82" s="4756"/>
      <c r="BB82" s="4756"/>
      <c r="BC82" s="4756"/>
      <c r="BD82" s="4756"/>
      <c r="BE82" s="4756"/>
      <c r="BF82" s="4757"/>
      <c r="BG82" s="4744" t="s">
        <v>2041</v>
      </c>
      <c r="BH82" s="4756"/>
      <c r="BI82" s="4757"/>
      <c r="BJ82" s="4744" t="s">
        <v>896</v>
      </c>
      <c r="BK82" s="4741"/>
      <c r="BL82" s="4741"/>
      <c r="BM82" s="4741"/>
      <c r="BN82" s="4741"/>
      <c r="BO82" s="4742"/>
      <c r="BP82" s="4744" t="s">
        <v>1802</v>
      </c>
      <c r="BQ82" s="4756"/>
      <c r="BR82" s="4756"/>
      <c r="BS82" s="4756"/>
      <c r="BT82" s="4756"/>
      <c r="BU82" s="4757"/>
      <c r="BV82" s="4738" t="s">
        <v>3523</v>
      </c>
      <c r="BW82" s="4753"/>
      <c r="BX82" s="4753"/>
      <c r="BY82" s="4753"/>
      <c r="BZ82" s="4753"/>
      <c r="CA82" s="4753"/>
      <c r="CB82" s="4753"/>
      <c r="CC82" s="4753"/>
      <c r="CD82" s="4753"/>
      <c r="CE82" s="4753"/>
      <c r="CF82" s="4753"/>
      <c r="CG82" s="4753"/>
      <c r="CH82" s="4753"/>
      <c r="CI82" s="4753"/>
      <c r="CJ82" s="4753"/>
      <c r="CK82" s="4753"/>
      <c r="CL82" s="4753"/>
      <c r="CM82" s="4753"/>
      <c r="CN82" s="4730" t="s">
        <v>3648</v>
      </c>
      <c r="CO82" s="4731"/>
      <c r="CP82" s="4732"/>
      <c r="CQ82" s="4730" t="s">
        <v>3649</v>
      </c>
      <c r="CR82" s="4731"/>
      <c r="CS82" s="4732"/>
      <c r="CT82" s="4730" t="s">
        <v>3642</v>
      </c>
      <c r="CU82" s="4731"/>
      <c r="CV82" s="4732"/>
      <c r="CW82" s="4738" t="s">
        <v>3926</v>
      </c>
      <c r="CX82" s="4753"/>
      <c r="CY82" s="4753"/>
      <c r="CZ82" s="4753"/>
      <c r="DA82" s="4753"/>
      <c r="DB82" s="4753"/>
      <c r="DC82" s="4730" t="s">
        <v>3943</v>
      </c>
      <c r="DD82" s="4731"/>
      <c r="DE82" s="4732"/>
      <c r="DF82" s="4730" t="s">
        <v>3944</v>
      </c>
      <c r="DG82" s="4731"/>
      <c r="DH82" s="4732"/>
      <c r="DI82" s="4730" t="s">
        <v>3942</v>
      </c>
      <c r="DJ82" s="4731"/>
      <c r="DK82" s="4732"/>
    </row>
    <row r="83" spans="1:115" ht="20.25" customHeight="1" x14ac:dyDescent="0.3">
      <c r="A83" s="4763"/>
      <c r="B83" s="4736"/>
      <c r="C83" s="4736" t="s">
        <v>60</v>
      </c>
      <c r="D83" s="4736" t="s">
        <v>61</v>
      </c>
      <c r="E83" s="4736" t="s">
        <v>60</v>
      </c>
      <c r="F83" s="4736" t="s">
        <v>65</v>
      </c>
      <c r="G83" s="4736" t="s">
        <v>60</v>
      </c>
      <c r="H83" s="4736" t="s">
        <v>109</v>
      </c>
      <c r="I83" s="4736" t="s">
        <v>59</v>
      </c>
      <c r="J83" s="4736" t="s">
        <v>62</v>
      </c>
      <c r="K83" s="4736" t="s">
        <v>107</v>
      </c>
      <c r="L83" s="4736" t="s">
        <v>60</v>
      </c>
      <c r="M83" s="4736" t="s">
        <v>116</v>
      </c>
      <c r="N83" s="4736" t="s">
        <v>119</v>
      </c>
      <c r="O83" s="4736" t="s">
        <v>94</v>
      </c>
      <c r="P83" s="4736" t="s">
        <v>120</v>
      </c>
      <c r="Q83" s="4736" t="s">
        <v>94</v>
      </c>
      <c r="R83" s="4736" t="s">
        <v>153</v>
      </c>
      <c r="S83" s="4763" t="s">
        <v>23</v>
      </c>
      <c r="T83" s="4763"/>
      <c r="U83" s="4736" t="s">
        <v>107</v>
      </c>
      <c r="V83" s="4736" t="s">
        <v>393</v>
      </c>
      <c r="W83" s="4736" t="s">
        <v>119</v>
      </c>
      <c r="X83" s="4736" t="s">
        <v>94</v>
      </c>
      <c r="Y83" s="4749" t="s">
        <v>120</v>
      </c>
      <c r="Z83" s="4778"/>
      <c r="AA83" s="4778"/>
      <c r="AB83" s="4749" t="s">
        <v>817</v>
      </c>
      <c r="AC83" s="4749"/>
      <c r="AD83" s="4749"/>
      <c r="AE83" s="4749" t="s">
        <v>119</v>
      </c>
      <c r="AF83" s="4779"/>
      <c r="AG83" s="4779"/>
      <c r="AH83" s="4779"/>
      <c r="AI83" s="4749" t="s">
        <v>120</v>
      </c>
      <c r="AJ83" s="4781"/>
      <c r="AK83" s="4781"/>
      <c r="AL83" s="4781"/>
      <c r="AM83" s="2223"/>
      <c r="AN83" s="2223"/>
      <c r="AO83" s="2224"/>
      <c r="AP83" s="4749" t="s">
        <v>847</v>
      </c>
      <c r="AQ83" s="4749"/>
      <c r="AR83" s="4749"/>
      <c r="AS83" s="4749" t="s">
        <v>848</v>
      </c>
      <c r="AT83" s="4736"/>
      <c r="AU83" s="4736"/>
      <c r="AV83" s="4749" t="s">
        <v>119</v>
      </c>
      <c r="AW83" s="4780"/>
      <c r="AX83" s="4780"/>
      <c r="AY83" s="4780"/>
      <c r="AZ83" s="4749" t="s">
        <v>120</v>
      </c>
      <c r="BA83" s="4749"/>
      <c r="BB83" s="4749"/>
      <c r="BC83" s="4749"/>
      <c r="BD83" s="4775" t="s">
        <v>1519</v>
      </c>
      <c r="BE83" s="4776"/>
      <c r="BF83" s="4777"/>
      <c r="BG83" s="4775" t="s">
        <v>60</v>
      </c>
      <c r="BH83" s="4776"/>
      <c r="BI83" s="4777"/>
      <c r="BJ83" s="4749" t="s">
        <v>1588</v>
      </c>
      <c r="BK83" s="4750"/>
      <c r="BL83" s="4750"/>
      <c r="BM83" s="4740" t="s">
        <v>1677</v>
      </c>
      <c r="BN83" s="4751"/>
      <c r="BO83" s="4752"/>
      <c r="BP83" s="4775" t="s">
        <v>119</v>
      </c>
      <c r="BQ83" s="4776"/>
      <c r="BR83" s="4777"/>
      <c r="BS83" s="4775" t="s">
        <v>1524</v>
      </c>
      <c r="BT83" s="4776"/>
      <c r="BU83" s="4777"/>
      <c r="BV83" s="4749" t="s">
        <v>119</v>
      </c>
      <c r="BW83" s="4749"/>
      <c r="BX83" s="4749"/>
      <c r="BY83" s="4749" t="s">
        <v>1524</v>
      </c>
      <c r="BZ83" s="4749"/>
      <c r="CA83" s="4749"/>
      <c r="CB83" s="2726"/>
      <c r="CC83" s="2726"/>
      <c r="CD83" s="2726"/>
      <c r="CE83" s="2726"/>
      <c r="CF83" s="2726"/>
      <c r="CG83" s="2726"/>
      <c r="CH83" s="2726"/>
      <c r="CI83" s="2726"/>
      <c r="CJ83" s="2726"/>
      <c r="CK83" s="4749" t="s">
        <v>1524</v>
      </c>
      <c r="CL83" s="4749"/>
      <c r="CM83" s="4749"/>
      <c r="CN83" s="4733"/>
      <c r="CO83" s="4734"/>
      <c r="CP83" s="4735"/>
      <c r="CQ83" s="4733"/>
      <c r="CR83" s="4734"/>
      <c r="CS83" s="4735"/>
      <c r="CT83" s="4733"/>
      <c r="CU83" s="4734"/>
      <c r="CV83" s="4735"/>
      <c r="CW83" s="4749" t="s">
        <v>119</v>
      </c>
      <c r="CX83" s="4749"/>
      <c r="CY83" s="4749"/>
      <c r="CZ83" s="4749" t="s">
        <v>1524</v>
      </c>
      <c r="DA83" s="4749"/>
      <c r="DB83" s="4749"/>
      <c r="DC83" s="4733"/>
      <c r="DD83" s="4734"/>
      <c r="DE83" s="4735"/>
      <c r="DF83" s="4733"/>
      <c r="DG83" s="4734"/>
      <c r="DH83" s="4735"/>
      <c r="DI83" s="4733"/>
      <c r="DJ83" s="4734"/>
      <c r="DK83" s="4735"/>
    </row>
    <row r="84" spans="1:115" ht="20.25" customHeight="1" x14ac:dyDescent="0.2">
      <c r="A84" s="4763"/>
      <c r="B84" s="4736"/>
      <c r="C84" s="4736"/>
      <c r="D84" s="4736"/>
      <c r="E84" s="4736"/>
      <c r="F84" s="4736"/>
      <c r="G84" s="4736"/>
      <c r="H84" s="4736"/>
      <c r="I84" s="4736"/>
      <c r="J84" s="4736"/>
      <c r="K84" s="4736"/>
      <c r="L84" s="4736"/>
      <c r="M84" s="4736"/>
      <c r="N84" s="4736"/>
      <c r="O84" s="4736"/>
      <c r="P84" s="4736"/>
      <c r="Q84" s="4736"/>
      <c r="R84" s="4736"/>
      <c r="S84" s="4736" t="s">
        <v>47</v>
      </c>
      <c r="T84" s="4736" t="s">
        <v>202</v>
      </c>
      <c r="U84" s="4736"/>
      <c r="V84" s="4736"/>
      <c r="W84" s="4736"/>
      <c r="X84" s="4736"/>
      <c r="Y84" s="4763" t="s">
        <v>290</v>
      </c>
      <c r="Z84" s="4763" t="s">
        <v>50</v>
      </c>
      <c r="AA84" s="4763"/>
      <c r="AB84" s="4763" t="s">
        <v>290</v>
      </c>
      <c r="AC84" s="4763" t="s">
        <v>50</v>
      </c>
      <c r="AD84" s="4487"/>
      <c r="AE84" s="4763" t="s">
        <v>290</v>
      </c>
      <c r="AF84" s="4736" t="s">
        <v>94</v>
      </c>
      <c r="AG84" s="4763" t="s">
        <v>50</v>
      </c>
      <c r="AH84" s="4487"/>
      <c r="AI84" s="4763" t="s">
        <v>290</v>
      </c>
      <c r="AJ84" s="4736" t="s">
        <v>94</v>
      </c>
      <c r="AK84" s="4763" t="s">
        <v>50</v>
      </c>
      <c r="AL84" s="4487"/>
      <c r="AM84" s="2223"/>
      <c r="AN84" s="2223"/>
      <c r="AO84" s="2224"/>
      <c r="AP84" s="4763" t="s">
        <v>290</v>
      </c>
      <c r="AQ84" s="4763" t="s">
        <v>50</v>
      </c>
      <c r="AR84" s="4487"/>
      <c r="AS84" s="4763" t="s">
        <v>290</v>
      </c>
      <c r="AT84" s="4763" t="s">
        <v>50</v>
      </c>
      <c r="AU84" s="4487"/>
      <c r="AV84" s="4763" t="s">
        <v>290</v>
      </c>
      <c r="AW84" s="4758" t="s">
        <v>94</v>
      </c>
      <c r="AX84" s="4763" t="s">
        <v>50</v>
      </c>
      <c r="AY84" s="4763"/>
      <c r="AZ84" s="4763" t="s">
        <v>290</v>
      </c>
      <c r="BA84" s="4758" t="s">
        <v>94</v>
      </c>
      <c r="BB84" s="4763" t="s">
        <v>50</v>
      </c>
      <c r="BC84" s="4763"/>
      <c r="BD84" s="4763" t="s">
        <v>290</v>
      </c>
      <c r="BE84" s="4763" t="s">
        <v>50</v>
      </c>
      <c r="BF84" s="4763"/>
      <c r="BG84" s="4772" t="s">
        <v>290</v>
      </c>
      <c r="BH84" s="4763" t="s">
        <v>50</v>
      </c>
      <c r="BI84" s="4763"/>
      <c r="BJ84" s="4772" t="s">
        <v>290</v>
      </c>
      <c r="BK84" s="4763" t="s">
        <v>50</v>
      </c>
      <c r="BL84" s="4763"/>
      <c r="BM84" s="4772" t="s">
        <v>290</v>
      </c>
      <c r="BN84" s="4763" t="s">
        <v>50</v>
      </c>
      <c r="BO84" s="4763"/>
      <c r="BP84" s="4772" t="s">
        <v>290</v>
      </c>
      <c r="BQ84" s="4763" t="s">
        <v>50</v>
      </c>
      <c r="BR84" s="4763"/>
      <c r="BS84" s="4772" t="s">
        <v>290</v>
      </c>
      <c r="BT84" s="4763" t="s">
        <v>50</v>
      </c>
      <c r="BU84" s="4763"/>
      <c r="BV84" s="4763" t="s">
        <v>290</v>
      </c>
      <c r="BW84" s="4763" t="s">
        <v>50</v>
      </c>
      <c r="BX84" s="4763"/>
      <c r="BY84" s="4763" t="s">
        <v>290</v>
      </c>
      <c r="BZ84" s="4763" t="s">
        <v>50</v>
      </c>
      <c r="CA84" s="4763"/>
      <c r="CB84" s="2726"/>
      <c r="CC84" s="2726"/>
      <c r="CD84" s="2726"/>
      <c r="CE84" s="2726"/>
      <c r="CF84" s="2726"/>
      <c r="CG84" s="2726"/>
      <c r="CH84" s="2726"/>
      <c r="CI84" s="2726"/>
      <c r="CJ84" s="2726"/>
      <c r="CK84" s="4763" t="s">
        <v>290</v>
      </c>
      <c r="CL84" s="4763" t="s">
        <v>50</v>
      </c>
      <c r="CM84" s="4763"/>
      <c r="CN84" s="4772" t="s">
        <v>290</v>
      </c>
      <c r="CO84" s="4763" t="s">
        <v>50</v>
      </c>
      <c r="CP84" s="4763"/>
      <c r="CQ84" s="4772" t="s">
        <v>290</v>
      </c>
      <c r="CR84" s="4763" t="s">
        <v>50</v>
      </c>
      <c r="CS84" s="4763"/>
      <c r="CT84" s="4772" t="s">
        <v>290</v>
      </c>
      <c r="CU84" s="4763" t="s">
        <v>50</v>
      </c>
      <c r="CV84" s="4763"/>
      <c r="CW84" s="4763" t="s">
        <v>290</v>
      </c>
      <c r="CX84" s="4763" t="s">
        <v>50</v>
      </c>
      <c r="CY84" s="4763"/>
      <c r="CZ84" s="4763" t="s">
        <v>290</v>
      </c>
      <c r="DA84" s="4763" t="s">
        <v>50</v>
      </c>
      <c r="DB84" s="4763"/>
      <c r="DC84" s="4772" t="s">
        <v>290</v>
      </c>
      <c r="DD84" s="4763" t="s">
        <v>50</v>
      </c>
      <c r="DE84" s="4763"/>
      <c r="DF84" s="4772" t="s">
        <v>290</v>
      </c>
      <c r="DG84" s="4763" t="s">
        <v>50</v>
      </c>
      <c r="DH84" s="4763"/>
      <c r="DI84" s="4772" t="s">
        <v>290</v>
      </c>
      <c r="DJ84" s="4763" t="s">
        <v>50</v>
      </c>
      <c r="DK84" s="4763"/>
    </row>
    <row r="85" spans="1:115" ht="43.5" customHeight="1" x14ac:dyDescent="0.2">
      <c r="A85" s="4763"/>
      <c r="B85" s="4736"/>
      <c r="C85" s="4736"/>
      <c r="D85" s="4736"/>
      <c r="E85" s="4736"/>
      <c r="F85" s="4736"/>
      <c r="G85" s="4736"/>
      <c r="H85" s="4736"/>
      <c r="I85" s="4736"/>
      <c r="J85" s="4736"/>
      <c r="K85" s="4736"/>
      <c r="L85" s="4736"/>
      <c r="M85" s="4736"/>
      <c r="N85" s="4736"/>
      <c r="O85" s="4736"/>
      <c r="P85" s="4736"/>
      <c r="Q85" s="4736"/>
      <c r="R85" s="4736"/>
      <c r="S85" s="4736"/>
      <c r="T85" s="4736"/>
      <c r="U85" s="4736"/>
      <c r="V85" s="4736"/>
      <c r="W85" s="4736"/>
      <c r="X85" s="4736"/>
      <c r="Y85" s="4763"/>
      <c r="Z85" s="2220" t="s">
        <v>47</v>
      </c>
      <c r="AA85" s="2220" t="s">
        <v>528</v>
      </c>
      <c r="AB85" s="4763"/>
      <c r="AC85" s="2220" t="s">
        <v>47</v>
      </c>
      <c r="AD85" s="2220" t="s">
        <v>528</v>
      </c>
      <c r="AE85" s="4487"/>
      <c r="AF85" s="4476"/>
      <c r="AG85" s="2220" t="s">
        <v>47</v>
      </c>
      <c r="AH85" s="2220" t="s">
        <v>528</v>
      </c>
      <c r="AI85" s="4487"/>
      <c r="AJ85" s="4476"/>
      <c r="AK85" s="2220" t="s">
        <v>47</v>
      </c>
      <c r="AL85" s="2220" t="s">
        <v>528</v>
      </c>
      <c r="AM85" s="2242" t="s">
        <v>248</v>
      </c>
      <c r="AN85" s="2224" t="s">
        <v>357</v>
      </c>
      <c r="AO85" s="2224"/>
      <c r="AP85" s="4763"/>
      <c r="AQ85" s="2220" t="s">
        <v>47</v>
      </c>
      <c r="AR85" s="2220" t="s">
        <v>528</v>
      </c>
      <c r="AS85" s="4763"/>
      <c r="AT85" s="2220" t="s">
        <v>47</v>
      </c>
      <c r="AU85" s="2220" t="s">
        <v>528</v>
      </c>
      <c r="AV85" s="4763"/>
      <c r="AW85" s="4758"/>
      <c r="AX85" s="2220" t="s">
        <v>47</v>
      </c>
      <c r="AY85" s="2220" t="s">
        <v>528</v>
      </c>
      <c r="AZ85" s="4763"/>
      <c r="BA85" s="4758"/>
      <c r="BB85" s="2220" t="s">
        <v>47</v>
      </c>
      <c r="BC85" s="2220" t="s">
        <v>528</v>
      </c>
      <c r="BD85" s="4763"/>
      <c r="BE85" s="2220" t="s">
        <v>47</v>
      </c>
      <c r="BF85" s="2220" t="s">
        <v>528</v>
      </c>
      <c r="BG85" s="4773"/>
      <c r="BH85" s="2220" t="s">
        <v>47</v>
      </c>
      <c r="BI85" s="2220" t="s">
        <v>528</v>
      </c>
      <c r="BJ85" s="4773"/>
      <c r="BK85" s="2429" t="s">
        <v>47</v>
      </c>
      <c r="BL85" s="2429" t="s">
        <v>528</v>
      </c>
      <c r="BM85" s="4773"/>
      <c r="BN85" s="2429" t="s">
        <v>47</v>
      </c>
      <c r="BO85" s="2429" t="s">
        <v>528</v>
      </c>
      <c r="BP85" s="4773"/>
      <c r="BQ85" s="2220" t="s">
        <v>47</v>
      </c>
      <c r="BR85" s="2220" t="s">
        <v>528</v>
      </c>
      <c r="BS85" s="4773"/>
      <c r="BT85" s="2220" t="s">
        <v>47</v>
      </c>
      <c r="BU85" s="2220" t="s">
        <v>528</v>
      </c>
      <c r="BV85" s="4763"/>
      <c r="BW85" s="2724" t="s">
        <v>47</v>
      </c>
      <c r="BX85" s="2724" t="s">
        <v>528</v>
      </c>
      <c r="BY85" s="4763"/>
      <c r="BZ85" s="2724" t="s">
        <v>47</v>
      </c>
      <c r="CA85" s="2724" t="s">
        <v>528</v>
      </c>
      <c r="CB85" s="2726"/>
      <c r="CC85" s="2726"/>
      <c r="CD85" s="2726"/>
      <c r="CE85" s="2726"/>
      <c r="CF85" s="2726"/>
      <c r="CG85" s="2726"/>
      <c r="CH85" s="2726"/>
      <c r="CI85" s="2726"/>
      <c r="CJ85" s="2726"/>
      <c r="CK85" s="4763"/>
      <c r="CL85" s="2724" t="s">
        <v>47</v>
      </c>
      <c r="CM85" s="2724" t="s">
        <v>528</v>
      </c>
      <c r="CN85" s="4773"/>
      <c r="CO85" s="2584" t="s">
        <v>47</v>
      </c>
      <c r="CP85" s="2584" t="s">
        <v>528</v>
      </c>
      <c r="CQ85" s="4773"/>
      <c r="CR85" s="2584" t="s">
        <v>47</v>
      </c>
      <c r="CS85" s="2584" t="s">
        <v>528</v>
      </c>
      <c r="CT85" s="4773"/>
      <c r="CU85" s="2584" t="s">
        <v>47</v>
      </c>
      <c r="CV85" s="2584" t="s">
        <v>528</v>
      </c>
      <c r="CW85" s="4763"/>
      <c r="CX85" s="3529" t="s">
        <v>47</v>
      </c>
      <c r="CY85" s="3529" t="s">
        <v>528</v>
      </c>
      <c r="CZ85" s="4763"/>
      <c r="DA85" s="3529" t="s">
        <v>47</v>
      </c>
      <c r="DB85" s="3529" t="s">
        <v>528</v>
      </c>
      <c r="DC85" s="4773"/>
      <c r="DD85" s="3917" t="s">
        <v>47</v>
      </c>
      <c r="DE85" s="3917" t="s">
        <v>528</v>
      </c>
      <c r="DF85" s="4773"/>
      <c r="DG85" s="3917" t="s">
        <v>47</v>
      </c>
      <c r="DH85" s="3917" t="s">
        <v>528</v>
      </c>
      <c r="DI85" s="4773"/>
      <c r="DJ85" s="3917" t="s">
        <v>47</v>
      </c>
      <c r="DK85" s="3917" t="s">
        <v>528</v>
      </c>
    </row>
    <row r="86" spans="1:115" ht="27" customHeight="1" x14ac:dyDescent="0.3">
      <c r="A86" s="3703" t="s">
        <v>1</v>
      </c>
      <c r="B86" s="3703"/>
      <c r="C86" s="3703"/>
      <c r="D86" s="3703"/>
      <c r="E86" s="3703"/>
      <c r="F86" s="3703"/>
      <c r="G86" s="3703"/>
      <c r="H86" s="3703"/>
      <c r="I86" s="3703"/>
      <c r="J86" s="3703"/>
      <c r="K86" s="3703"/>
      <c r="L86" s="3703"/>
      <c r="M86" s="3703"/>
      <c r="N86" s="3703"/>
      <c r="O86" s="3703"/>
      <c r="P86" s="3703"/>
      <c r="Q86" s="3703"/>
      <c r="R86" s="3703"/>
      <c r="S86" s="3703"/>
      <c r="T86" s="3703"/>
      <c r="U86" s="3703"/>
      <c r="V86" s="3703"/>
      <c r="W86" s="3704">
        <f>SUM(W9+W18)</f>
        <v>11950.3</v>
      </c>
      <c r="X86" s="3703"/>
      <c r="Y86" s="3704">
        <f t="shared" ref="Y86:AE86" si="377">SUM(Y9+Y18)</f>
        <v>8235.3261012666553</v>
      </c>
      <c r="Z86" s="3704" t="e">
        <f t="shared" si="377"/>
        <v>#REF!</v>
      </c>
      <c r="AA86" s="3704" t="e">
        <f t="shared" si="377"/>
        <v>#REF!</v>
      </c>
      <c r="AB86" s="3704">
        <f t="shared" si="377"/>
        <v>8646.5</v>
      </c>
      <c r="AC86" s="3704">
        <f t="shared" si="377"/>
        <v>8584.7838214141884</v>
      </c>
      <c r="AD86" s="3704">
        <f t="shared" si="377"/>
        <v>61.716178585811576</v>
      </c>
      <c r="AE86" s="3704">
        <f t="shared" si="377"/>
        <v>8729.4500000000007</v>
      </c>
      <c r="AF86" s="3773">
        <f t="shared" ref="AF86:AF110" si="378">SUM(AE86/Y86)</f>
        <v>1.0600005261063488</v>
      </c>
      <c r="AG86" s="3704">
        <f>SUM(AG9+AG18)</f>
        <v>8678.7799999999988</v>
      </c>
      <c r="AH86" s="3704">
        <f>SUM(AH9+AH18)</f>
        <v>50.67</v>
      </c>
      <c r="AI86" s="3704">
        <f>SUM(AI9+AI18)</f>
        <v>7646.5854110996133</v>
      </c>
      <c r="AJ86" s="3773">
        <f t="shared" ref="AJ86:AJ110" si="379">SUM(AI86/Y86)</f>
        <v>0.92851033669735439</v>
      </c>
      <c r="AK86" s="3704" t="e">
        <f t="shared" ref="AK86:AV86" si="380">SUM(AK9+AK18)</f>
        <v>#REF!</v>
      </c>
      <c r="AL86" s="3704" t="e">
        <f t="shared" si="380"/>
        <v>#REF!</v>
      </c>
      <c r="AM86" s="3704" t="e">
        <f t="shared" si="380"/>
        <v>#REF!</v>
      </c>
      <c r="AN86" s="3704" t="e">
        <f t="shared" si="380"/>
        <v>#REF!</v>
      </c>
      <c r="AO86" s="3704" t="e">
        <f t="shared" si="380"/>
        <v>#REF!</v>
      </c>
      <c r="AP86" s="3704">
        <f t="shared" si="380"/>
        <v>4209.3</v>
      </c>
      <c r="AQ86" s="3704">
        <f t="shared" si="380"/>
        <v>4189.1750511749278</v>
      </c>
      <c r="AR86" s="3704">
        <f t="shared" si="380"/>
        <v>20.124948825071897</v>
      </c>
      <c r="AS86" s="3704">
        <f t="shared" si="380"/>
        <v>6232.7999999999993</v>
      </c>
      <c r="AT86" s="3704">
        <f t="shared" si="380"/>
        <v>6194.4889789560575</v>
      </c>
      <c r="AU86" s="3704">
        <f t="shared" si="380"/>
        <v>38.311021043941764</v>
      </c>
      <c r="AV86" s="3704">
        <f t="shared" si="380"/>
        <v>7986.29</v>
      </c>
      <c r="AW86" s="3774">
        <f t="shared" ref="AW86:AW110" si="381">SUM(AV86/AI86)</f>
        <v>1.0444256580731157</v>
      </c>
      <c r="AX86" s="3704">
        <f>SUM(AX9+AX18)</f>
        <v>7938.0262395623386</v>
      </c>
      <c r="AY86" s="3704">
        <f>SUM(AY9+AY18)</f>
        <v>48.263760437661404</v>
      </c>
      <c r="AZ86" s="3704">
        <f>SUM(AZ9+AZ18)</f>
        <v>7602.7637999597591</v>
      </c>
      <c r="BA86" s="3774">
        <f t="shared" ref="BA86:BA110" si="382">SUM(AZ86/AI86)</f>
        <v>0.99426912683454194</v>
      </c>
      <c r="BB86" s="3704">
        <f t="shared" ref="BB86:BX86" si="383">SUM(BB9+BB18)</f>
        <v>7570.0132064598265</v>
      </c>
      <c r="BC86" s="3704">
        <f t="shared" si="383"/>
        <v>32.75059349993262</v>
      </c>
      <c r="BD86" s="3704">
        <f t="shared" si="383"/>
        <v>9995.23</v>
      </c>
      <c r="BE86" s="3704">
        <f t="shared" si="383"/>
        <v>9932.52</v>
      </c>
      <c r="BF86" s="3704">
        <f t="shared" si="383"/>
        <v>62.71</v>
      </c>
      <c r="BG86" s="3704">
        <f t="shared" si="383"/>
        <v>11205.95</v>
      </c>
      <c r="BH86" s="3704">
        <f t="shared" si="383"/>
        <v>11143.92</v>
      </c>
      <c r="BI86" s="3704">
        <f t="shared" si="383"/>
        <v>62.03</v>
      </c>
      <c r="BJ86" s="3704">
        <f t="shared" si="383"/>
        <v>7949.4199999999992</v>
      </c>
      <c r="BK86" s="3704">
        <f t="shared" si="383"/>
        <v>7912.73</v>
      </c>
      <c r="BL86" s="3704">
        <f t="shared" si="383"/>
        <v>36.69</v>
      </c>
      <c r="BM86" s="3704">
        <f t="shared" si="383"/>
        <v>10828.01</v>
      </c>
      <c r="BN86" s="3704">
        <f t="shared" si="383"/>
        <v>10771.54</v>
      </c>
      <c r="BO86" s="3704">
        <f t="shared" si="383"/>
        <v>56.47</v>
      </c>
      <c r="BP86" s="3704">
        <f t="shared" si="383"/>
        <v>12087.67</v>
      </c>
      <c r="BQ86" s="3704">
        <f t="shared" si="383"/>
        <v>12029.1</v>
      </c>
      <c r="BR86" s="3704">
        <f t="shared" si="383"/>
        <v>58.57</v>
      </c>
      <c r="BS86" s="3704">
        <f t="shared" si="383"/>
        <v>8924.2698001334466</v>
      </c>
      <c r="BT86" s="3704">
        <f t="shared" si="383"/>
        <v>8882.0761197497486</v>
      </c>
      <c r="BU86" s="3704">
        <f t="shared" si="383"/>
        <v>42.193680383698222</v>
      </c>
      <c r="BV86" s="3704">
        <f t="shared" si="383"/>
        <v>9299.0891317390524</v>
      </c>
      <c r="BW86" s="3704">
        <f t="shared" si="383"/>
        <v>9255.1233167792379</v>
      </c>
      <c r="BX86" s="3704">
        <f t="shared" si="383"/>
        <v>43.965814959813549</v>
      </c>
      <c r="BY86" s="3601"/>
      <c r="BZ86" s="3775"/>
      <c r="CA86" s="3775"/>
      <c r="CB86" s="3775"/>
      <c r="CC86" s="3775"/>
      <c r="CD86" s="3775"/>
      <c r="CE86" s="3775"/>
      <c r="CF86" s="3775"/>
      <c r="CG86" s="3775"/>
      <c r="CH86" s="3775"/>
      <c r="CI86" s="3775"/>
      <c r="CJ86" s="3775"/>
      <c r="CK86" s="3704">
        <f t="shared" ref="CK86:CM86" si="384">SUM(CK9+CK18)</f>
        <v>8855.1467408308945</v>
      </c>
      <c r="CL86" s="3704">
        <f t="shared" si="384"/>
        <v>8812.7885117623136</v>
      </c>
      <c r="CM86" s="3704">
        <f t="shared" si="384"/>
        <v>42.358229068582141</v>
      </c>
      <c r="CN86" s="3704">
        <f t="shared" ref="CN86:CS86" si="385">SUM(CN9+CN18)</f>
        <v>5060.2864899999986</v>
      </c>
      <c r="CO86" s="3704">
        <f t="shared" si="385"/>
        <v>5050.8851599999998</v>
      </c>
      <c r="CP86" s="3704">
        <f t="shared" si="385"/>
        <v>9.4013300000000015</v>
      </c>
      <c r="CQ86" s="3704">
        <f t="shared" si="385"/>
        <v>7637.2774099999997</v>
      </c>
      <c r="CR86" s="3704">
        <f t="shared" si="385"/>
        <v>7619.0176099999999</v>
      </c>
      <c r="CS86" s="3704">
        <f t="shared" si="385"/>
        <v>18.259800000000002</v>
      </c>
      <c r="CT86" s="3704">
        <f t="shared" ref="CT86:CV86" si="386">SUM(CT9+CT18)</f>
        <v>10344.35</v>
      </c>
      <c r="CU86" s="3704">
        <f t="shared" si="386"/>
        <v>10323.1</v>
      </c>
      <c r="CV86" s="3704">
        <f t="shared" si="386"/>
        <v>21.25</v>
      </c>
      <c r="CW86" s="3709">
        <f t="shared" ref="CW86:CY86" si="387">SUM(CW9+CW18)</f>
        <v>10507.61431866973</v>
      </c>
      <c r="CX86" s="3709">
        <f t="shared" si="387"/>
        <v>10456.023731456935</v>
      </c>
      <c r="CY86" s="3709">
        <f t="shared" si="387"/>
        <v>51.590587212795349</v>
      </c>
      <c r="CZ86" s="4143">
        <f t="shared" ref="CZ86:DB86" si="388">SUM(CZ9+CZ18)</f>
        <v>8394.1048154036998</v>
      </c>
      <c r="DA86" s="4143">
        <f t="shared" si="388"/>
        <v>8341.9678483495227</v>
      </c>
      <c r="DB86" s="4143">
        <f t="shared" si="388"/>
        <v>52.136967054177305</v>
      </c>
      <c r="DC86" s="3709">
        <f t="shared" ref="DC86:DK86" si="389">SUM(DC9+DC18)</f>
        <v>4996.4980100000002</v>
      </c>
      <c r="DD86" s="3709">
        <f t="shared" si="389"/>
        <v>4982.2118</v>
      </c>
      <c r="DE86" s="3709">
        <f t="shared" si="389"/>
        <v>14.286210000000001</v>
      </c>
      <c r="DF86" s="3709">
        <f t="shared" si="389"/>
        <v>7553.0339999999997</v>
      </c>
      <c r="DG86" s="3709">
        <f t="shared" si="389"/>
        <v>7530.6639999999998</v>
      </c>
      <c r="DH86" s="3709">
        <f t="shared" si="389"/>
        <v>22.37</v>
      </c>
      <c r="DI86" s="4033">
        <f t="shared" si="389"/>
        <v>9.9999999999997868E-3</v>
      </c>
      <c r="DJ86" s="4033">
        <f t="shared" si="389"/>
        <v>6.8</v>
      </c>
      <c r="DK86" s="4033">
        <f t="shared" si="389"/>
        <v>-6.79</v>
      </c>
    </row>
    <row r="87" spans="1:115" ht="27" customHeight="1" x14ac:dyDescent="0.3">
      <c r="A87" s="3703" t="s">
        <v>2</v>
      </c>
      <c r="B87" s="3703"/>
      <c r="C87" s="3703"/>
      <c r="D87" s="3703"/>
      <c r="E87" s="3703"/>
      <c r="F87" s="3703"/>
      <c r="G87" s="3703"/>
      <c r="H87" s="3703"/>
      <c r="I87" s="3703"/>
      <c r="J87" s="3703"/>
      <c r="K87" s="3703"/>
      <c r="L87" s="3703"/>
      <c r="M87" s="3703"/>
      <c r="N87" s="3703"/>
      <c r="O87" s="3703"/>
      <c r="P87" s="3703"/>
      <c r="Q87" s="3703"/>
      <c r="R87" s="3703"/>
      <c r="S87" s="3703"/>
      <c r="T87" s="3703"/>
      <c r="U87" s="3703"/>
      <c r="V87" s="3703"/>
      <c r="W87" s="3704">
        <f>SUM(W10+W20+W32+W35+W11+W21+W36)</f>
        <v>5225.95</v>
      </c>
      <c r="X87" s="3703"/>
      <c r="Y87" s="3704" t="e">
        <f t="shared" ref="Y87:AE87" si="390">SUM(Y10+Y20+Y32+Y35+Y11+Y21+Y36)</f>
        <v>#REF!</v>
      </c>
      <c r="Z87" s="3704" t="e">
        <f t="shared" si="390"/>
        <v>#REF!</v>
      </c>
      <c r="AA87" s="3704" t="e">
        <f t="shared" si="390"/>
        <v>#REF!</v>
      </c>
      <c r="AB87" s="3704">
        <f t="shared" si="390"/>
        <v>4702.5</v>
      </c>
      <c r="AC87" s="3704">
        <f t="shared" si="390"/>
        <v>4695.2553708072028</v>
      </c>
      <c r="AD87" s="3704">
        <f t="shared" si="390"/>
        <v>7.2446291927966513</v>
      </c>
      <c r="AE87" s="3704">
        <f t="shared" si="390"/>
        <v>4822.1000000000004</v>
      </c>
      <c r="AF87" s="3773" t="e">
        <f t="shared" si="378"/>
        <v>#REF!</v>
      </c>
      <c r="AG87" s="3704">
        <f>SUM(AG10+AG20+AG32+AG35+AG11+AG21+AG36)</f>
        <v>5112.1000000000004</v>
      </c>
      <c r="AH87" s="3704">
        <f>SUM(AH10+AH20+AH32+AH35+AH11+AH21+AH36)</f>
        <v>0</v>
      </c>
      <c r="AI87" s="3704">
        <f>SUM(AI10+AI20+AI32+AI35+AI11+AI21+AI36)</f>
        <v>4822.1000000000004</v>
      </c>
      <c r="AJ87" s="3773" t="e">
        <f t="shared" si="379"/>
        <v>#REF!</v>
      </c>
      <c r="AK87" s="3704">
        <f t="shared" ref="AK87:AV87" si="391">SUM(AK10+AK20+AK32+AK35+AK11+AK21+AK36)</f>
        <v>4822.1000000000004</v>
      </c>
      <c r="AL87" s="3704">
        <f t="shared" si="391"/>
        <v>0</v>
      </c>
      <c r="AM87" s="3704" t="e">
        <f t="shared" si="391"/>
        <v>#REF!</v>
      </c>
      <c r="AN87" s="3704" t="e">
        <f t="shared" si="391"/>
        <v>#REF!</v>
      </c>
      <c r="AO87" s="3704" t="e">
        <f t="shared" si="391"/>
        <v>#REF!</v>
      </c>
      <c r="AP87" s="3704">
        <f t="shared" si="391"/>
        <v>2400.7200000000003</v>
      </c>
      <c r="AQ87" s="3704">
        <f t="shared" si="391"/>
        <v>2398.3597129415707</v>
      </c>
      <c r="AR87" s="3704">
        <f t="shared" si="391"/>
        <v>2.3602870584292077</v>
      </c>
      <c r="AS87" s="3704">
        <f t="shared" si="391"/>
        <v>3628.3500000000004</v>
      </c>
      <c r="AT87" s="3704">
        <f t="shared" si="391"/>
        <v>3624.0619246717242</v>
      </c>
      <c r="AU87" s="3704">
        <f t="shared" si="391"/>
        <v>4.2880753282761361</v>
      </c>
      <c r="AV87" s="3704">
        <f t="shared" si="391"/>
        <v>4822.1000000000004</v>
      </c>
      <c r="AW87" s="3774">
        <f t="shared" si="381"/>
        <v>1</v>
      </c>
      <c r="AX87" s="3704">
        <f>SUM(AX10+AX20+AX32+AX35+AX11+AX21+AX36)</f>
        <v>4814.3530377195511</v>
      </c>
      <c r="AY87" s="3704">
        <f>SUM(AY10+AY20+AY32+AY35+AY11+AY21+AY36)</f>
        <v>7.7469622804491109</v>
      </c>
      <c r="AZ87" s="3704">
        <f>SUM(AZ10+AZ20+AZ32+AZ35+AZ11+AZ21+AZ36)</f>
        <v>4822.1000000000004</v>
      </c>
      <c r="BA87" s="3774">
        <f t="shared" si="382"/>
        <v>1</v>
      </c>
      <c r="BB87" s="3704">
        <f t="shared" ref="BB87:BX87" si="392">SUM(BB10+BB20+BB32+BB35+BB11+BB21+BB36)</f>
        <v>4816.8487862052643</v>
      </c>
      <c r="BC87" s="3704">
        <f t="shared" si="392"/>
        <v>5.2512137947360316</v>
      </c>
      <c r="BD87" s="3704">
        <f t="shared" si="392"/>
        <v>5036.88</v>
      </c>
      <c r="BE87" s="3704">
        <f t="shared" si="392"/>
        <v>5032.91</v>
      </c>
      <c r="BF87" s="3704">
        <f t="shared" si="392"/>
        <v>3.97</v>
      </c>
      <c r="BG87" s="3704">
        <f t="shared" si="392"/>
        <v>5006.29</v>
      </c>
      <c r="BH87" s="3704">
        <f t="shared" si="392"/>
        <v>5003.2</v>
      </c>
      <c r="BI87" s="3704">
        <f t="shared" si="392"/>
        <v>3.09</v>
      </c>
      <c r="BJ87" s="3704">
        <f t="shared" si="392"/>
        <v>5036.88</v>
      </c>
      <c r="BK87" s="3704">
        <f t="shared" si="392"/>
        <v>5031.76</v>
      </c>
      <c r="BL87" s="3704">
        <f t="shared" si="392"/>
        <v>5.12</v>
      </c>
      <c r="BM87" s="3704">
        <f t="shared" si="392"/>
        <v>4827.91</v>
      </c>
      <c r="BN87" s="3704">
        <f t="shared" si="392"/>
        <v>4825.28</v>
      </c>
      <c r="BO87" s="3704">
        <f t="shared" si="392"/>
        <v>2.63</v>
      </c>
      <c r="BP87" s="3704">
        <f t="shared" si="392"/>
        <v>5006.29</v>
      </c>
      <c r="BQ87" s="3704">
        <f t="shared" si="392"/>
        <v>5003.2999999999993</v>
      </c>
      <c r="BR87" s="3704">
        <f t="shared" si="392"/>
        <v>2.99</v>
      </c>
      <c r="BS87" s="3704">
        <f t="shared" si="392"/>
        <v>5006.29</v>
      </c>
      <c r="BT87" s="3704">
        <f t="shared" si="392"/>
        <v>5003.2866117908889</v>
      </c>
      <c r="BU87" s="3704">
        <f t="shared" si="392"/>
        <v>3.0033882091110118</v>
      </c>
      <c r="BV87" s="3704">
        <f t="shared" si="392"/>
        <v>5044.96</v>
      </c>
      <c r="BW87" s="3704">
        <f t="shared" si="392"/>
        <v>5041.9566117908889</v>
      </c>
      <c r="BX87" s="3704">
        <f t="shared" si="392"/>
        <v>3.0033882091110118</v>
      </c>
      <c r="BY87" s="3601"/>
      <c r="BZ87" s="3775"/>
      <c r="CA87" s="3775"/>
      <c r="CB87" s="3775"/>
      <c r="CC87" s="3775"/>
      <c r="CD87" s="3775"/>
      <c r="CE87" s="3775"/>
      <c r="CF87" s="3775"/>
      <c r="CG87" s="3775"/>
      <c r="CH87" s="3775"/>
      <c r="CI87" s="3775"/>
      <c r="CJ87" s="3775"/>
      <c r="CK87" s="3704">
        <f t="shared" ref="CK87:CM87" si="393">SUM(CK10+CK20+CK32+CK35+CK11+CK21+CK36)</f>
        <v>5044.96</v>
      </c>
      <c r="CL87" s="3704">
        <f t="shared" si="393"/>
        <v>5041.9611979847214</v>
      </c>
      <c r="CM87" s="3704">
        <f t="shared" si="393"/>
        <v>2.9988020152781827</v>
      </c>
      <c r="CN87" s="3704">
        <f t="shared" ref="CN87:CS87" si="394">SUM(CN10+CN20+CN32+CN35+CN11+CN21+CN36)</f>
        <v>2555.2600000000002</v>
      </c>
      <c r="CO87" s="3704">
        <f t="shared" si="394"/>
        <v>2555.2600000000002</v>
      </c>
      <c r="CP87" s="3704">
        <f t="shared" si="394"/>
        <v>0</v>
      </c>
      <c r="CQ87" s="3704">
        <f t="shared" si="394"/>
        <v>3844.0299999999997</v>
      </c>
      <c r="CR87" s="3704">
        <f t="shared" si="394"/>
        <v>3844.0299999999997</v>
      </c>
      <c r="CS87" s="3704">
        <f t="shared" si="394"/>
        <v>0</v>
      </c>
      <c r="CT87" s="3704">
        <f t="shared" ref="CT87:CV87" si="395">SUM(CT10+CT20+CT32+CT35+CT11+CT21+CT36)</f>
        <v>5144.6099999999997</v>
      </c>
      <c r="CU87" s="3704">
        <f t="shared" si="395"/>
        <v>5144.6099999999997</v>
      </c>
      <c r="CV87" s="3704">
        <f t="shared" si="395"/>
        <v>0</v>
      </c>
      <c r="CW87" s="3709">
        <f t="shared" ref="CW87:CY87" si="396">SUM(CW10+CW20+CW32+CW35+CW11+CW21+CW36)</f>
        <v>5144.6099999999997</v>
      </c>
      <c r="CX87" s="3709">
        <f t="shared" si="396"/>
        <v>5144.6099999999997</v>
      </c>
      <c r="CY87" s="3709">
        <f t="shared" si="396"/>
        <v>0</v>
      </c>
      <c r="CZ87" s="4143">
        <f t="shared" ref="CZ87:DB87" si="397">SUM(CZ10+CZ20+CZ32+CZ35+CZ11+CZ21+CZ36)</f>
        <v>5132.6200000000008</v>
      </c>
      <c r="DA87" s="4143">
        <f t="shared" si="397"/>
        <v>5132.6200000000008</v>
      </c>
      <c r="DB87" s="4143">
        <f t="shared" si="397"/>
        <v>0</v>
      </c>
      <c r="DC87" s="3709">
        <f t="shared" ref="DC87:DK87" si="398">SUM(DC10+DC20+DC32+DC35+DC11+DC21+DC36)</f>
        <v>2631.4059999999999</v>
      </c>
      <c r="DD87" s="3709">
        <f t="shared" si="398"/>
        <v>2631.4059999999999</v>
      </c>
      <c r="DE87" s="3709">
        <f t="shared" si="398"/>
        <v>0</v>
      </c>
      <c r="DF87" s="3709">
        <f t="shared" si="398"/>
        <v>3945.87</v>
      </c>
      <c r="DG87" s="3709">
        <f t="shared" si="398"/>
        <v>3945.87</v>
      </c>
      <c r="DH87" s="3709">
        <f t="shared" si="398"/>
        <v>0</v>
      </c>
      <c r="DI87" s="4033">
        <f t="shared" si="398"/>
        <v>0</v>
      </c>
      <c r="DJ87" s="4033">
        <f t="shared" si="398"/>
        <v>0</v>
      </c>
      <c r="DK87" s="4033">
        <f t="shared" si="398"/>
        <v>0</v>
      </c>
    </row>
    <row r="88" spans="1:115" s="2803" customFormat="1" ht="27" customHeight="1" x14ac:dyDescent="0.3">
      <c r="A88" s="3703" t="s">
        <v>3</v>
      </c>
      <c r="B88" s="3703"/>
      <c r="C88" s="3703"/>
      <c r="D88" s="3703"/>
      <c r="E88" s="3703"/>
      <c r="F88" s="3703"/>
      <c r="G88" s="3703"/>
      <c r="H88" s="3703"/>
      <c r="I88" s="3703"/>
      <c r="J88" s="3703"/>
      <c r="K88" s="3703"/>
      <c r="L88" s="3703"/>
      <c r="M88" s="3703"/>
      <c r="N88" s="3703"/>
      <c r="O88" s="3703"/>
      <c r="P88" s="3703"/>
      <c r="Q88" s="3703"/>
      <c r="R88" s="3703"/>
      <c r="S88" s="3703"/>
      <c r="T88" s="3703"/>
      <c r="U88" s="3703"/>
      <c r="V88" s="3703"/>
      <c r="W88" s="3704">
        <f>SUM(W12+W22+W28+W37)</f>
        <v>2541</v>
      </c>
      <c r="X88" s="3703"/>
      <c r="Y88" s="3704">
        <f t="shared" ref="Y88:AE90" si="399">SUM(Y12+Y22+Y28+Y37)</f>
        <v>699.72213333333343</v>
      </c>
      <c r="Z88" s="3704">
        <f t="shared" si="399"/>
        <v>699.72213333333343</v>
      </c>
      <c r="AA88" s="3704">
        <f t="shared" si="399"/>
        <v>0.3</v>
      </c>
      <c r="AB88" s="3704">
        <f t="shared" si="399"/>
        <v>658.1</v>
      </c>
      <c r="AC88" s="3704">
        <f t="shared" si="399"/>
        <v>658.1</v>
      </c>
      <c r="AD88" s="3704">
        <f t="shared" si="399"/>
        <v>0</v>
      </c>
      <c r="AE88" s="3704">
        <f t="shared" si="399"/>
        <v>1570</v>
      </c>
      <c r="AF88" s="3773">
        <f t="shared" si="378"/>
        <v>2.2437478038901535</v>
      </c>
      <c r="AG88" s="3704">
        <f t="shared" ref="AG88:AI90" si="400">SUM(AG12+AG22+AG28+AG37)</f>
        <v>1570</v>
      </c>
      <c r="AH88" s="3704">
        <f t="shared" si="400"/>
        <v>0</v>
      </c>
      <c r="AI88" s="3704">
        <f t="shared" si="400"/>
        <v>361.53</v>
      </c>
      <c r="AJ88" s="3773">
        <f t="shared" si="379"/>
        <v>0.51667652454803004</v>
      </c>
      <c r="AK88" s="3704">
        <f t="shared" ref="AK88:AV88" si="401">SUM(AK12+AK22+AK28+AK37)</f>
        <v>361.53</v>
      </c>
      <c r="AL88" s="3704">
        <f t="shared" si="401"/>
        <v>0</v>
      </c>
      <c r="AM88" s="3704" t="e">
        <f t="shared" si="401"/>
        <v>#REF!</v>
      </c>
      <c r="AN88" s="3704" t="e">
        <f t="shared" si="401"/>
        <v>#REF!</v>
      </c>
      <c r="AO88" s="3704" t="e">
        <f t="shared" si="401"/>
        <v>#REF!</v>
      </c>
      <c r="AP88" s="3704">
        <f t="shared" si="401"/>
        <v>0</v>
      </c>
      <c r="AQ88" s="3704">
        <f t="shared" si="401"/>
        <v>0</v>
      </c>
      <c r="AR88" s="3704">
        <f t="shared" si="401"/>
        <v>0</v>
      </c>
      <c r="AS88" s="3704">
        <f t="shared" si="401"/>
        <v>0</v>
      </c>
      <c r="AT88" s="3704">
        <f t="shared" si="401"/>
        <v>0</v>
      </c>
      <c r="AU88" s="3704">
        <f t="shared" si="401"/>
        <v>0</v>
      </c>
      <c r="AV88" s="3704">
        <f t="shared" si="401"/>
        <v>1598.377</v>
      </c>
      <c r="AW88" s="3774">
        <f t="shared" si="381"/>
        <v>4.4211462395928418</v>
      </c>
      <c r="AX88" s="3704">
        <f t="shared" ref="AX88:AZ90" si="402">SUM(AX12+AX22+AX28+AX37)</f>
        <v>1598.377</v>
      </c>
      <c r="AY88" s="3704">
        <f t="shared" si="402"/>
        <v>0</v>
      </c>
      <c r="AZ88" s="3704">
        <f t="shared" si="402"/>
        <v>301.27555932203393</v>
      </c>
      <c r="BA88" s="3774">
        <f t="shared" si="382"/>
        <v>0.83333488043048698</v>
      </c>
      <c r="BB88" s="3704">
        <f t="shared" ref="BB88:BX88" si="403">SUM(BB12+BB22+BB28+BB37)</f>
        <v>301.27555932203393</v>
      </c>
      <c r="BC88" s="3704">
        <f t="shared" si="403"/>
        <v>0</v>
      </c>
      <c r="BD88" s="3704">
        <f t="shared" si="403"/>
        <v>1247.0700000000002</v>
      </c>
      <c r="BE88" s="3704">
        <f t="shared" si="403"/>
        <v>1247.0700000000002</v>
      </c>
      <c r="BF88" s="3704">
        <f t="shared" si="403"/>
        <v>0</v>
      </c>
      <c r="BG88" s="3704">
        <f t="shared" si="403"/>
        <v>1740.05</v>
      </c>
      <c r="BH88" s="3704">
        <f t="shared" si="403"/>
        <v>1740.05</v>
      </c>
      <c r="BI88" s="3704">
        <f t="shared" si="403"/>
        <v>0</v>
      </c>
      <c r="BJ88" s="3704">
        <f t="shared" si="403"/>
        <v>336.262</v>
      </c>
      <c r="BK88" s="3704">
        <f t="shared" si="403"/>
        <v>336.262</v>
      </c>
      <c r="BL88" s="3704">
        <f t="shared" si="403"/>
        <v>0</v>
      </c>
      <c r="BM88" s="3704">
        <f t="shared" si="403"/>
        <v>2879.9859999999999</v>
      </c>
      <c r="BN88" s="3704">
        <f t="shared" si="403"/>
        <v>2872.4580000000005</v>
      </c>
      <c r="BO88" s="3704">
        <f t="shared" si="403"/>
        <v>7.5279999999999996</v>
      </c>
      <c r="BP88" s="3704">
        <f t="shared" si="403"/>
        <v>3668.0099999999993</v>
      </c>
      <c r="BQ88" s="3704">
        <f t="shared" si="403"/>
        <v>3668.0099999999993</v>
      </c>
      <c r="BR88" s="3704">
        <f t="shared" si="403"/>
        <v>0</v>
      </c>
      <c r="BS88" s="3704">
        <f t="shared" si="403"/>
        <v>1779.89032</v>
      </c>
      <c r="BT88" s="3704">
        <f t="shared" si="403"/>
        <v>1779.89032</v>
      </c>
      <c r="BU88" s="3704">
        <f t="shared" si="403"/>
        <v>0</v>
      </c>
      <c r="BV88" s="3704">
        <f t="shared" si="403"/>
        <v>2717.4521485681998</v>
      </c>
      <c r="BW88" s="3704">
        <f t="shared" si="403"/>
        <v>2717.4521485681998</v>
      </c>
      <c r="BX88" s="3704">
        <f t="shared" si="403"/>
        <v>0</v>
      </c>
      <c r="BY88" s="3601"/>
      <c r="BZ88" s="3775"/>
      <c r="CA88" s="3775"/>
      <c r="CB88" s="3775"/>
      <c r="CC88" s="3775"/>
      <c r="CD88" s="3775"/>
      <c r="CE88" s="3775"/>
      <c r="CF88" s="3775"/>
      <c r="CG88" s="3775"/>
      <c r="CH88" s="3775"/>
      <c r="CI88" s="3775"/>
      <c r="CJ88" s="3775"/>
      <c r="CK88" s="3704">
        <f t="shared" ref="CK88:CM88" si="404">SUM(CK12+CK22+CK28+CK37)</f>
        <v>1814.9541593040001</v>
      </c>
      <c r="CL88" s="3704">
        <f t="shared" si="404"/>
        <v>1814.9541593040001</v>
      </c>
      <c r="CM88" s="3704">
        <f t="shared" si="404"/>
        <v>0</v>
      </c>
      <c r="CN88" s="3704">
        <f t="shared" ref="CN88:CS88" si="405">SUM(CN12+CN22+CN28+CN37)</f>
        <v>1424.46</v>
      </c>
      <c r="CO88" s="3704">
        <f t="shared" si="405"/>
        <v>1424.46</v>
      </c>
      <c r="CP88" s="3704">
        <f t="shared" si="405"/>
        <v>0</v>
      </c>
      <c r="CQ88" s="3704">
        <f t="shared" si="405"/>
        <v>2580.04</v>
      </c>
      <c r="CR88" s="3704">
        <f t="shared" si="405"/>
        <v>2580.04</v>
      </c>
      <c r="CS88" s="3704">
        <f t="shared" si="405"/>
        <v>0</v>
      </c>
      <c r="CT88" s="3704">
        <f t="shared" ref="CT88:CV88" si="406">SUM(CT12+CT22+CT28+CT37)</f>
        <v>2890.87</v>
      </c>
      <c r="CU88" s="3704">
        <f t="shared" si="406"/>
        <v>2890.87</v>
      </c>
      <c r="CV88" s="3704">
        <f t="shared" si="406"/>
        <v>0</v>
      </c>
      <c r="CW88" s="3709">
        <f t="shared" ref="CW88:CY88" si="407">SUM(CW12+CW22+CW28+CW37)</f>
        <v>3261.9406446000003</v>
      </c>
      <c r="CX88" s="3709">
        <f t="shared" si="407"/>
        <v>3261.9406446000003</v>
      </c>
      <c r="CY88" s="3709">
        <f t="shared" si="407"/>
        <v>0</v>
      </c>
      <c r="CZ88" s="4143">
        <f t="shared" ref="CZ88:DB88" si="408">SUM(CZ12+CZ22+CZ28+CZ37)</f>
        <v>1865.1079725344698</v>
      </c>
      <c r="DA88" s="4143">
        <f t="shared" si="408"/>
        <v>1865.1079725344698</v>
      </c>
      <c r="DB88" s="4143">
        <f t="shared" si="408"/>
        <v>0</v>
      </c>
      <c r="DC88" s="3709">
        <f t="shared" ref="DC88:DK88" si="409">SUM(DC12+DC22+DC28+DC37)</f>
        <v>862.01499999999999</v>
      </c>
      <c r="DD88" s="3709">
        <f t="shared" si="409"/>
        <v>862.01499999999999</v>
      </c>
      <c r="DE88" s="3709">
        <f t="shared" si="409"/>
        <v>0</v>
      </c>
      <c r="DF88" s="3709">
        <f t="shared" si="409"/>
        <v>1354.6999999999998</v>
      </c>
      <c r="DG88" s="3709">
        <f t="shared" si="409"/>
        <v>1354.6999999999998</v>
      </c>
      <c r="DH88" s="3709">
        <f t="shared" si="409"/>
        <v>0</v>
      </c>
      <c r="DI88" s="4033">
        <f t="shared" si="409"/>
        <v>0</v>
      </c>
      <c r="DJ88" s="4033">
        <f t="shared" si="409"/>
        <v>0</v>
      </c>
      <c r="DK88" s="4033">
        <f t="shared" si="409"/>
        <v>0</v>
      </c>
    </row>
    <row r="89" spans="1:115" ht="27" customHeight="1" x14ac:dyDescent="0.3">
      <c r="A89" s="3703" t="s">
        <v>4</v>
      </c>
      <c r="B89" s="3703"/>
      <c r="C89" s="3703"/>
      <c r="D89" s="3703"/>
      <c r="E89" s="3703"/>
      <c r="F89" s="3703"/>
      <c r="G89" s="3703"/>
      <c r="H89" s="3703"/>
      <c r="I89" s="3703"/>
      <c r="J89" s="3703"/>
      <c r="K89" s="3703"/>
      <c r="L89" s="3703"/>
      <c r="M89" s="3703"/>
      <c r="N89" s="3703"/>
      <c r="O89" s="3703"/>
      <c r="P89" s="3703"/>
      <c r="Q89" s="3703"/>
      <c r="R89" s="3703"/>
      <c r="S89" s="3703"/>
      <c r="T89" s="3703"/>
      <c r="U89" s="3703"/>
      <c r="V89" s="3703"/>
      <c r="W89" s="3704">
        <f>SUM(W13+W23+W29+W38)</f>
        <v>36122.5</v>
      </c>
      <c r="X89" s="3703"/>
      <c r="Y89" s="3704">
        <f t="shared" si="399"/>
        <v>29058.489073151999</v>
      </c>
      <c r="Z89" s="3704" t="e">
        <f t="shared" si="399"/>
        <v>#REF!</v>
      </c>
      <c r="AA89" s="3704" t="e">
        <f t="shared" si="399"/>
        <v>#REF!</v>
      </c>
      <c r="AB89" s="3704">
        <f t="shared" si="399"/>
        <v>27156.3</v>
      </c>
      <c r="AC89" s="3704">
        <f t="shared" si="399"/>
        <v>27031.316897761924</v>
      </c>
      <c r="AD89" s="3704">
        <f t="shared" si="399"/>
        <v>124.98310223807493</v>
      </c>
      <c r="AE89" s="3704">
        <f t="shared" si="399"/>
        <v>35777.909999999996</v>
      </c>
      <c r="AF89" s="3773">
        <f t="shared" si="378"/>
        <v>1.2312377945712349</v>
      </c>
      <c r="AG89" s="3704">
        <f t="shared" si="400"/>
        <v>35648.080000000002</v>
      </c>
      <c r="AH89" s="3704">
        <f t="shared" si="400"/>
        <v>129.83000000000001</v>
      </c>
      <c r="AI89" s="3704">
        <f t="shared" si="400"/>
        <v>33825.43102756892</v>
      </c>
      <c r="AJ89" s="3773">
        <f t="shared" si="379"/>
        <v>1.1640464492980553</v>
      </c>
      <c r="AK89" s="3704" t="e">
        <f t="shared" ref="AK89:AV89" si="410">SUM(AK13+AK23+AK29+AK38)</f>
        <v>#REF!</v>
      </c>
      <c r="AL89" s="3704" t="e">
        <f t="shared" si="410"/>
        <v>#REF!</v>
      </c>
      <c r="AM89" s="3704" t="e">
        <f t="shared" si="410"/>
        <v>#REF!</v>
      </c>
      <c r="AN89" s="3704" t="e">
        <f t="shared" si="410"/>
        <v>#REF!</v>
      </c>
      <c r="AO89" s="3704" t="e">
        <f t="shared" si="410"/>
        <v>#REF!</v>
      </c>
      <c r="AP89" s="3704">
        <f t="shared" si="410"/>
        <v>13487.5</v>
      </c>
      <c r="AQ89" s="3704">
        <f t="shared" si="410"/>
        <v>13445.730211762451</v>
      </c>
      <c r="AR89" s="3704">
        <f t="shared" si="410"/>
        <v>41.7697882375478</v>
      </c>
      <c r="AS89" s="3704">
        <f t="shared" si="410"/>
        <v>21008.800000000003</v>
      </c>
      <c r="AT89" s="3704">
        <f t="shared" si="410"/>
        <v>20926.47708219754</v>
      </c>
      <c r="AU89" s="3704">
        <f t="shared" si="410"/>
        <v>82.322917802459415</v>
      </c>
      <c r="AV89" s="3704">
        <f t="shared" si="410"/>
        <v>38721.19</v>
      </c>
      <c r="AW89" s="3774">
        <f t="shared" si="381"/>
        <v>1.144736041011299</v>
      </c>
      <c r="AX89" s="3704">
        <f t="shared" si="402"/>
        <v>38561.41738842499</v>
      </c>
      <c r="AY89" s="3704">
        <f t="shared" si="402"/>
        <v>159.7726115750047</v>
      </c>
      <c r="AZ89" s="3704">
        <f t="shared" si="402"/>
        <v>32268.319991397846</v>
      </c>
      <c r="BA89" s="3774">
        <f t="shared" si="382"/>
        <v>0.95396626180751476</v>
      </c>
      <c r="BB89" s="3704">
        <f t="shared" ref="BB89:BX89" si="411">SUM(BB13+BB23+BB29+BB38)</f>
        <v>32172.39931023628</v>
      </c>
      <c r="BC89" s="3704">
        <f t="shared" si="411"/>
        <v>95.920681161569519</v>
      </c>
      <c r="BD89" s="3704">
        <f t="shared" si="411"/>
        <v>30272.25</v>
      </c>
      <c r="BE89" s="3704">
        <f t="shared" si="411"/>
        <v>30161.7</v>
      </c>
      <c r="BF89" s="3704">
        <f t="shared" si="411"/>
        <v>110.55</v>
      </c>
      <c r="BG89" s="3704">
        <f t="shared" si="411"/>
        <v>29994.03</v>
      </c>
      <c r="BH89" s="3704">
        <f t="shared" si="411"/>
        <v>29899.040000000001</v>
      </c>
      <c r="BI89" s="3704">
        <f t="shared" si="411"/>
        <v>94.99</v>
      </c>
      <c r="BJ89" s="3704">
        <f t="shared" si="411"/>
        <v>36015.370000000003</v>
      </c>
      <c r="BK89" s="3704">
        <f t="shared" si="411"/>
        <v>35876.29</v>
      </c>
      <c r="BL89" s="3704">
        <f t="shared" si="411"/>
        <v>139.08000000000001</v>
      </c>
      <c r="BM89" s="3704">
        <f t="shared" si="411"/>
        <v>29360.980000000003</v>
      </c>
      <c r="BN89" s="3704">
        <f t="shared" si="411"/>
        <v>29273.556000000004</v>
      </c>
      <c r="BO89" s="3704">
        <f t="shared" si="411"/>
        <v>87.424000000000007</v>
      </c>
      <c r="BP89" s="3704">
        <f t="shared" si="411"/>
        <v>39243.86</v>
      </c>
      <c r="BQ89" s="3704">
        <f t="shared" si="411"/>
        <v>39123.18</v>
      </c>
      <c r="BR89" s="3704">
        <f t="shared" si="411"/>
        <v>120.68</v>
      </c>
      <c r="BS89" s="3704">
        <f t="shared" si="411"/>
        <v>37593.009431999999</v>
      </c>
      <c r="BT89" s="3704">
        <f t="shared" si="411"/>
        <v>37473.719913512112</v>
      </c>
      <c r="BU89" s="3704">
        <f t="shared" si="411"/>
        <v>119.28951848788896</v>
      </c>
      <c r="BV89" s="3704">
        <f t="shared" si="411"/>
        <v>39322.287865872</v>
      </c>
      <c r="BW89" s="3704">
        <f t="shared" si="411"/>
        <v>39197.511029533664</v>
      </c>
      <c r="BX89" s="3704">
        <f t="shared" si="411"/>
        <v>124.77683633833182</v>
      </c>
      <c r="BY89" s="3601"/>
      <c r="BZ89" s="3775"/>
      <c r="CA89" s="3775"/>
      <c r="CB89" s="3775"/>
      <c r="CC89" s="3775"/>
      <c r="CD89" s="3775"/>
      <c r="CE89" s="3775"/>
      <c r="CF89" s="3775"/>
      <c r="CG89" s="3775"/>
      <c r="CH89" s="3775"/>
      <c r="CI89" s="3775"/>
      <c r="CJ89" s="3775"/>
      <c r="CK89" s="3704">
        <f t="shared" ref="CK89:CM89" si="412">SUM(CK13+CK23+CK29+CK38)</f>
        <v>38333.591717810399</v>
      </c>
      <c r="CL89" s="3704">
        <f t="shared" si="412"/>
        <v>38204.442794697126</v>
      </c>
      <c r="CM89" s="3704">
        <f t="shared" si="412"/>
        <v>129.14892311326759</v>
      </c>
      <c r="CN89" s="3704">
        <f t="shared" ref="CN89:CS89" si="413">SUM(CN13+CN23+CN29+CN38)</f>
        <v>14838.970000000001</v>
      </c>
      <c r="CO89" s="3704">
        <f t="shared" si="413"/>
        <v>14783.35</v>
      </c>
      <c r="CP89" s="3704">
        <f t="shared" si="413"/>
        <v>55.62</v>
      </c>
      <c r="CQ89" s="3704">
        <f t="shared" si="413"/>
        <v>22473.55</v>
      </c>
      <c r="CR89" s="3704">
        <f t="shared" si="413"/>
        <v>22400.12</v>
      </c>
      <c r="CS89" s="3704">
        <f t="shared" si="413"/>
        <v>73.430000000000007</v>
      </c>
      <c r="CT89" s="3704">
        <f t="shared" ref="CT89:CV89" si="414">SUM(CT13+CT23+CT29+CT38)</f>
        <v>29236.870000000003</v>
      </c>
      <c r="CU89" s="3704">
        <f t="shared" si="414"/>
        <v>29136.78</v>
      </c>
      <c r="CV89" s="3704">
        <f t="shared" si="414"/>
        <v>100.09</v>
      </c>
      <c r="CW89" s="3709">
        <f t="shared" ref="CW89:CY89" si="415">SUM(CW13+CW23+CW29+CW38)</f>
        <v>47320.176673440008</v>
      </c>
      <c r="CX89" s="3709">
        <f t="shared" si="415"/>
        <v>47166.428806992008</v>
      </c>
      <c r="CY89" s="3709">
        <f t="shared" si="415"/>
        <v>153.74786644800002</v>
      </c>
      <c r="CZ89" s="4143">
        <f t="shared" ref="CZ89:DB89" si="416">SUM(CZ13+CZ23+CZ29+CZ38)</f>
        <v>39517.808773111457</v>
      </c>
      <c r="DA89" s="4143">
        <f t="shared" si="416"/>
        <v>39392.807659958853</v>
      </c>
      <c r="DB89" s="4143">
        <f t="shared" si="416"/>
        <v>125.001113152608</v>
      </c>
      <c r="DC89" s="3709">
        <f t="shared" ref="DC89:DK89" si="417">SUM(DC13+DC23+DC29+DC38)</f>
        <v>14780.99</v>
      </c>
      <c r="DD89" s="3709">
        <f t="shared" si="417"/>
        <v>14730.42</v>
      </c>
      <c r="DE89" s="3709">
        <f t="shared" si="417"/>
        <v>50.57</v>
      </c>
      <c r="DF89" s="3709">
        <f t="shared" si="417"/>
        <v>22164.314000000002</v>
      </c>
      <c r="DG89" s="3709">
        <f t="shared" si="417"/>
        <v>22089.903999999999</v>
      </c>
      <c r="DH89" s="3709">
        <f t="shared" si="417"/>
        <v>74.41</v>
      </c>
      <c r="DI89" s="4033">
        <f t="shared" si="417"/>
        <v>97</v>
      </c>
      <c r="DJ89" s="4033">
        <f t="shared" si="417"/>
        <v>96.7</v>
      </c>
      <c r="DK89" s="4033">
        <f t="shared" si="417"/>
        <v>0.3</v>
      </c>
    </row>
    <row r="90" spans="1:115" ht="27" customHeight="1" x14ac:dyDescent="0.3">
      <c r="A90" s="3703" t="s">
        <v>5</v>
      </c>
      <c r="B90" s="3703"/>
      <c r="C90" s="3703"/>
      <c r="D90" s="3703"/>
      <c r="E90" s="3703"/>
      <c r="F90" s="3703"/>
      <c r="G90" s="3703"/>
      <c r="H90" s="3703"/>
      <c r="I90" s="3703"/>
      <c r="J90" s="3703"/>
      <c r="K90" s="3703"/>
      <c r="L90" s="3703"/>
      <c r="M90" s="3703"/>
      <c r="N90" s="3703"/>
      <c r="O90" s="3703"/>
      <c r="P90" s="3703"/>
      <c r="Q90" s="3703"/>
      <c r="R90" s="3703"/>
      <c r="S90" s="3703"/>
      <c r="T90" s="3703"/>
      <c r="U90" s="3703"/>
      <c r="V90" s="3703"/>
      <c r="W90" s="3704">
        <f>SUM(W14+W24+W30+W39)</f>
        <v>10909</v>
      </c>
      <c r="X90" s="3703"/>
      <c r="Y90" s="3704">
        <f t="shared" si="399"/>
        <v>8727.1974454428309</v>
      </c>
      <c r="Z90" s="3704" t="e">
        <f t="shared" si="399"/>
        <v>#REF!</v>
      </c>
      <c r="AA90" s="3704" t="e">
        <f t="shared" si="399"/>
        <v>#REF!</v>
      </c>
      <c r="AB90" s="3704">
        <f t="shared" si="399"/>
        <v>8173.8</v>
      </c>
      <c r="AC90" s="3704">
        <f t="shared" si="399"/>
        <v>8135.9036131407865</v>
      </c>
      <c r="AD90" s="3704">
        <f t="shared" si="399"/>
        <v>37.896386859213635</v>
      </c>
      <c r="AE90" s="3704">
        <f t="shared" si="399"/>
        <v>10789.099999999999</v>
      </c>
      <c r="AF90" s="3773">
        <f t="shared" si="378"/>
        <v>1.2362617057133103</v>
      </c>
      <c r="AG90" s="3704">
        <f t="shared" si="400"/>
        <v>10749.89</v>
      </c>
      <c r="AH90" s="3704">
        <f t="shared" si="400"/>
        <v>39.21</v>
      </c>
      <c r="AI90" s="3704">
        <f t="shared" si="400"/>
        <v>10168.746925188269</v>
      </c>
      <c r="AJ90" s="3773">
        <f t="shared" si="379"/>
        <v>1.1651789693950589</v>
      </c>
      <c r="AK90" s="3704" t="e">
        <f t="shared" ref="AK90:AV90" si="418">SUM(AK14+AK24+AK30+AK39)</f>
        <v>#REF!</v>
      </c>
      <c r="AL90" s="3704" t="e">
        <f t="shared" si="418"/>
        <v>#REF!</v>
      </c>
      <c r="AM90" s="3704" t="e">
        <f t="shared" si="418"/>
        <v>#REF!</v>
      </c>
      <c r="AN90" s="3704" t="e">
        <f t="shared" si="418"/>
        <v>#REF!</v>
      </c>
      <c r="AO90" s="3704" t="e">
        <f t="shared" si="418"/>
        <v>#REF!</v>
      </c>
      <c r="AP90" s="3704">
        <f t="shared" si="418"/>
        <v>0</v>
      </c>
      <c r="AQ90" s="3704">
        <f t="shared" si="418"/>
        <v>0</v>
      </c>
      <c r="AR90" s="3704">
        <f t="shared" si="418"/>
        <v>0</v>
      </c>
      <c r="AS90" s="3704">
        <f t="shared" si="418"/>
        <v>0</v>
      </c>
      <c r="AT90" s="3704">
        <f t="shared" si="418"/>
        <v>0</v>
      </c>
      <c r="AU90" s="3704">
        <f t="shared" si="418"/>
        <v>0</v>
      </c>
      <c r="AV90" s="3704">
        <f t="shared" si="418"/>
        <v>11677.376844400829</v>
      </c>
      <c r="AW90" s="3774">
        <f t="shared" si="381"/>
        <v>1.1483594714581442</v>
      </c>
      <c r="AX90" s="3704">
        <f t="shared" si="402"/>
        <v>11629.12552656446</v>
      </c>
      <c r="AY90" s="3704">
        <f t="shared" si="402"/>
        <v>48.251317836369729</v>
      </c>
      <c r="AZ90" s="3704">
        <f t="shared" si="402"/>
        <v>9686.319944566636</v>
      </c>
      <c r="BA90" s="3774">
        <f t="shared" si="382"/>
        <v>0.9525578732393617</v>
      </c>
      <c r="BB90" s="3704">
        <f t="shared" ref="BB90:BX90" si="419">SUM(BB14+BB24+BB30+BB39)</f>
        <v>9657.4247749657006</v>
      </c>
      <c r="BC90" s="3704">
        <f t="shared" si="419"/>
        <v>28.895169600936249</v>
      </c>
      <c r="BD90" s="3704">
        <f t="shared" si="419"/>
        <v>9149.27</v>
      </c>
      <c r="BE90" s="3704">
        <f t="shared" si="419"/>
        <v>9115.89</v>
      </c>
      <c r="BF90" s="3704">
        <f t="shared" si="419"/>
        <v>33.380000000000003</v>
      </c>
      <c r="BG90" s="3704">
        <f t="shared" si="419"/>
        <v>9038.15</v>
      </c>
      <c r="BH90" s="3704">
        <f t="shared" si="419"/>
        <v>9009.5299999999988</v>
      </c>
      <c r="BI90" s="3704">
        <f t="shared" si="419"/>
        <v>28.62</v>
      </c>
      <c r="BJ90" s="3704">
        <f t="shared" si="419"/>
        <v>10809.94</v>
      </c>
      <c r="BK90" s="3704">
        <f t="shared" si="419"/>
        <v>10768.05</v>
      </c>
      <c r="BL90" s="3704">
        <f t="shared" si="419"/>
        <v>41.89</v>
      </c>
      <c r="BM90" s="3704">
        <f t="shared" si="419"/>
        <v>8860.77</v>
      </c>
      <c r="BN90" s="3704">
        <f t="shared" si="419"/>
        <v>8834.380000000001</v>
      </c>
      <c r="BO90" s="3704">
        <f t="shared" si="419"/>
        <v>26.39</v>
      </c>
      <c r="BP90" s="3704">
        <f t="shared" si="419"/>
        <v>11776.21</v>
      </c>
      <c r="BQ90" s="3704">
        <f t="shared" si="419"/>
        <v>11739.859999999999</v>
      </c>
      <c r="BR90" s="3704">
        <f t="shared" si="419"/>
        <v>36.35</v>
      </c>
      <c r="BS90" s="3704">
        <f t="shared" si="419"/>
        <v>11326.925411453287</v>
      </c>
      <c r="BT90" s="3704">
        <f t="shared" si="419"/>
        <v>11290.984091113007</v>
      </c>
      <c r="BU90" s="3704">
        <f t="shared" si="419"/>
        <v>35.941320340281948</v>
      </c>
      <c r="BV90" s="3704">
        <f t="shared" si="419"/>
        <v>11867.803540362864</v>
      </c>
      <c r="BW90" s="3704">
        <f t="shared" si="419"/>
        <v>11830.13641544492</v>
      </c>
      <c r="BX90" s="3704">
        <f t="shared" si="419"/>
        <v>37.667124917943738</v>
      </c>
      <c r="BY90" s="3601"/>
      <c r="BZ90" s="3775"/>
      <c r="CA90" s="3775"/>
      <c r="CB90" s="3775"/>
      <c r="CC90" s="3775"/>
      <c r="CD90" s="3775"/>
      <c r="CE90" s="3775"/>
      <c r="CF90" s="3775"/>
      <c r="CG90" s="3775"/>
      <c r="CH90" s="3775"/>
      <c r="CI90" s="3775"/>
      <c r="CJ90" s="3775"/>
      <c r="CK90" s="3704">
        <f t="shared" ref="CK90:CM90" si="420">SUM(CK14+CK24+CK30+CK39)</f>
        <v>11550.065842058917</v>
      </c>
      <c r="CL90" s="3704">
        <f t="shared" si="420"/>
        <v>11511.150436045646</v>
      </c>
      <c r="CM90" s="3704">
        <f t="shared" si="420"/>
        <v>38.915406013268303</v>
      </c>
      <c r="CN90" s="3704">
        <f t="shared" ref="CN90:CS90" si="421">SUM(CN14+CN24+CN30+CN39)</f>
        <v>4488.8600000000006</v>
      </c>
      <c r="CO90" s="3704">
        <f t="shared" si="421"/>
        <v>4472.0600000000004</v>
      </c>
      <c r="CP90" s="3704">
        <f t="shared" si="421"/>
        <v>16.8</v>
      </c>
      <c r="CQ90" s="3704">
        <f t="shared" si="421"/>
        <v>6808.03</v>
      </c>
      <c r="CR90" s="3704">
        <f t="shared" si="421"/>
        <v>6785.84</v>
      </c>
      <c r="CS90" s="3704">
        <f t="shared" si="421"/>
        <v>22.19</v>
      </c>
      <c r="CT90" s="3704">
        <f t="shared" ref="CT90:CV90" si="422">SUM(CT14+CT24+CT30+CT39)</f>
        <v>8857.82</v>
      </c>
      <c r="CU90" s="3704">
        <f t="shared" si="422"/>
        <v>8827.58</v>
      </c>
      <c r="CV90" s="3704">
        <f t="shared" si="422"/>
        <v>30.24</v>
      </c>
      <c r="CW90" s="3709">
        <f t="shared" ref="CW90:CY90" si="423">SUM(CW14+CW24+CW30+CW39)</f>
        <v>14293.455000000002</v>
      </c>
      <c r="CX90" s="3709">
        <f t="shared" si="423"/>
        <v>14245.505000000001</v>
      </c>
      <c r="CY90" s="3709">
        <f t="shared" si="423"/>
        <v>47.95</v>
      </c>
      <c r="CZ90" s="4143">
        <f t="shared" ref="CZ90:DB90" si="424">SUM(CZ14+CZ24+CZ30+CZ39)</f>
        <v>11906.877478564469</v>
      </c>
      <c r="DA90" s="4143">
        <f t="shared" si="424"/>
        <v>11869.215284034228</v>
      </c>
      <c r="DB90" s="4143">
        <f t="shared" si="424"/>
        <v>37.662194530241514</v>
      </c>
      <c r="DC90" s="3709">
        <f t="shared" ref="DC90:DK90" si="425">SUM(DC14+DC24+DC30+DC39)</f>
        <v>4457.3</v>
      </c>
      <c r="DD90" s="3709">
        <f t="shared" si="425"/>
        <v>4442.0200000000004</v>
      </c>
      <c r="DE90" s="3709">
        <f t="shared" si="425"/>
        <v>15.28</v>
      </c>
      <c r="DF90" s="3709">
        <f t="shared" si="425"/>
        <v>6457.8429999999998</v>
      </c>
      <c r="DG90" s="3709">
        <f t="shared" si="425"/>
        <v>6435.3629999999994</v>
      </c>
      <c r="DH90" s="3709">
        <f t="shared" si="425"/>
        <v>22.48</v>
      </c>
      <c r="DI90" s="4033">
        <f t="shared" si="425"/>
        <v>8857.82</v>
      </c>
      <c r="DJ90" s="4033">
        <f t="shared" si="425"/>
        <v>8827.58</v>
      </c>
      <c r="DK90" s="4033">
        <f t="shared" si="425"/>
        <v>30.24</v>
      </c>
    </row>
    <row r="91" spans="1:115" ht="27" customHeight="1" x14ac:dyDescent="0.3">
      <c r="A91" s="3703" t="s">
        <v>8</v>
      </c>
      <c r="B91" s="3703"/>
      <c r="C91" s="3703"/>
      <c r="D91" s="3703"/>
      <c r="E91" s="3703"/>
      <c r="F91" s="3703"/>
      <c r="G91" s="3703"/>
      <c r="H91" s="3703"/>
      <c r="I91" s="3703"/>
      <c r="J91" s="3703"/>
      <c r="K91" s="3703"/>
      <c r="L91" s="3703"/>
      <c r="M91" s="3703"/>
      <c r="N91" s="3703"/>
      <c r="O91" s="3703"/>
      <c r="P91" s="3703"/>
      <c r="Q91" s="3703"/>
      <c r="R91" s="3703"/>
      <c r="S91" s="3703"/>
      <c r="T91" s="3703"/>
      <c r="U91" s="3703"/>
      <c r="V91" s="3703"/>
      <c r="W91" s="3704">
        <f>SUM(W19)</f>
        <v>598.5</v>
      </c>
      <c r="X91" s="3703"/>
      <c r="Y91" s="3704">
        <f t="shared" ref="Y91:AE91" si="426">SUM(Y19)</f>
        <v>489.28469176470583</v>
      </c>
      <c r="Z91" s="3704" t="e">
        <f t="shared" si="426"/>
        <v>#REF!</v>
      </c>
      <c r="AA91" s="3704" t="e">
        <f t="shared" si="426"/>
        <v>#REF!</v>
      </c>
      <c r="AB91" s="3704">
        <f t="shared" si="426"/>
        <v>368.69950000000006</v>
      </c>
      <c r="AC91" s="3704">
        <f t="shared" si="426"/>
        <v>365.49636873597615</v>
      </c>
      <c r="AD91" s="3704">
        <f t="shared" si="426"/>
        <v>3.2031312640239094</v>
      </c>
      <c r="AE91" s="3704">
        <f t="shared" si="426"/>
        <v>473.71</v>
      </c>
      <c r="AF91" s="3773">
        <f t="shared" si="378"/>
        <v>0.96816844665928026</v>
      </c>
      <c r="AG91" s="3704">
        <f>SUM(AG19)</f>
        <v>469.69</v>
      </c>
      <c r="AH91" s="3704">
        <f>SUM(AH19)</f>
        <v>4.01</v>
      </c>
      <c r="AI91" s="3704">
        <f>SUM(AI19)</f>
        <v>406.01364163361512</v>
      </c>
      <c r="AJ91" s="3773">
        <f t="shared" si="379"/>
        <v>0.82981063676699851</v>
      </c>
      <c r="AK91" s="3704" t="e">
        <f t="shared" ref="AK91:AV91" si="427">SUM(AK19)</f>
        <v>#REF!</v>
      </c>
      <c r="AL91" s="3704" t="e">
        <f t="shared" si="427"/>
        <v>#REF!</v>
      </c>
      <c r="AM91" s="3704" t="e">
        <f t="shared" si="427"/>
        <v>#REF!</v>
      </c>
      <c r="AN91" s="3704" t="e">
        <f t="shared" si="427"/>
        <v>#REF!</v>
      </c>
      <c r="AO91" s="3704" t="e">
        <f t="shared" si="427"/>
        <v>#REF!</v>
      </c>
      <c r="AP91" s="3704">
        <f t="shared" si="427"/>
        <v>0</v>
      </c>
      <c r="AQ91" s="3704">
        <f t="shared" si="427"/>
        <v>0</v>
      </c>
      <c r="AR91" s="3704">
        <f t="shared" si="427"/>
        <v>0</v>
      </c>
      <c r="AS91" s="3704">
        <f t="shared" si="427"/>
        <v>0</v>
      </c>
      <c r="AT91" s="3704">
        <f t="shared" si="427"/>
        <v>0</v>
      </c>
      <c r="AU91" s="3704">
        <f t="shared" si="427"/>
        <v>0</v>
      </c>
      <c r="AV91" s="3704">
        <f t="shared" si="427"/>
        <v>347.67</v>
      </c>
      <c r="AW91" s="3774">
        <f t="shared" si="381"/>
        <v>0.8563012774672627</v>
      </c>
      <c r="AX91" s="3704">
        <f>SUM(AX19)</f>
        <v>344.86701698819468</v>
      </c>
      <c r="AY91" s="3704">
        <f>SUM(AY19)</f>
        <v>2.8029830118053383</v>
      </c>
      <c r="AZ91" s="3704">
        <f>SUM(AZ19)</f>
        <v>229.75931518119856</v>
      </c>
      <c r="BA91" s="3774">
        <f t="shared" si="382"/>
        <v>0.56589062933144574</v>
      </c>
      <c r="BB91" s="3704">
        <f t="shared" ref="BB91:BX91" si="428">SUM(BB19)</f>
        <v>176.75931518119856</v>
      </c>
      <c r="BC91" s="3704">
        <f t="shared" si="428"/>
        <v>53</v>
      </c>
      <c r="BD91" s="3704">
        <f t="shared" si="428"/>
        <v>652.05999999999995</v>
      </c>
      <c r="BE91" s="3704">
        <f t="shared" si="428"/>
        <v>647.66</v>
      </c>
      <c r="BF91" s="3704">
        <f t="shared" si="428"/>
        <v>4.4000000000000004</v>
      </c>
      <c r="BG91" s="3704">
        <f t="shared" si="428"/>
        <v>806.69</v>
      </c>
      <c r="BH91" s="3704">
        <f t="shared" si="428"/>
        <v>801.84</v>
      </c>
      <c r="BI91" s="3704">
        <f t="shared" si="428"/>
        <v>4.8499999999999996</v>
      </c>
      <c r="BJ91" s="3704">
        <f t="shared" si="428"/>
        <v>326.33999999999997</v>
      </c>
      <c r="BK91" s="3704">
        <f t="shared" si="428"/>
        <v>324.02</v>
      </c>
      <c r="BL91" s="3704">
        <f t="shared" si="428"/>
        <v>2.3199999999999998</v>
      </c>
      <c r="BM91" s="3704">
        <f t="shared" si="428"/>
        <v>400.76</v>
      </c>
      <c r="BN91" s="3704">
        <f t="shared" si="428"/>
        <v>398.44</v>
      </c>
      <c r="BO91" s="3704">
        <f t="shared" si="428"/>
        <v>2.3199999999999998</v>
      </c>
      <c r="BP91" s="3704">
        <f t="shared" si="428"/>
        <v>876.38</v>
      </c>
      <c r="BQ91" s="3704">
        <f t="shared" si="428"/>
        <v>871.27</v>
      </c>
      <c r="BR91" s="3704">
        <f t="shared" si="428"/>
        <v>5.1100000000000003</v>
      </c>
      <c r="BS91" s="3704">
        <f t="shared" si="428"/>
        <v>1110.5582713405854</v>
      </c>
      <c r="BT91" s="3704">
        <f t="shared" si="428"/>
        <v>1110.5582713405854</v>
      </c>
      <c r="BU91" s="3704">
        <f t="shared" si="428"/>
        <v>0</v>
      </c>
      <c r="BV91" s="3704">
        <f t="shared" si="428"/>
        <v>1200.5099789137807</v>
      </c>
      <c r="BW91" s="3704">
        <f t="shared" si="428"/>
        <v>1193.4871365157173</v>
      </c>
      <c r="BX91" s="3704">
        <f t="shared" si="428"/>
        <v>7.0228423980634549</v>
      </c>
      <c r="BY91" s="3601"/>
      <c r="BZ91" s="3775"/>
      <c r="CA91" s="3775"/>
      <c r="CB91" s="3775"/>
      <c r="CC91" s="3775"/>
      <c r="CD91" s="3775"/>
      <c r="CE91" s="3775"/>
      <c r="CF91" s="3775"/>
      <c r="CG91" s="3775"/>
      <c r="CH91" s="3775"/>
      <c r="CI91" s="3775"/>
      <c r="CJ91" s="3775"/>
      <c r="CK91" s="3704">
        <f t="shared" ref="CK91:CM91" si="429">SUM(CK19)</f>
        <v>1200.5099789137807</v>
      </c>
      <c r="CL91" s="3704">
        <f t="shared" si="429"/>
        <v>1200.5099789137807</v>
      </c>
      <c r="CM91" s="3704">
        <f t="shared" si="429"/>
        <v>0</v>
      </c>
      <c r="CN91" s="3704">
        <f t="shared" ref="CN91:CS91" si="430">SUM(CN19)</f>
        <v>293.62099000000001</v>
      </c>
      <c r="CO91" s="3704">
        <f t="shared" si="430"/>
        <v>293.62099000000001</v>
      </c>
      <c r="CP91" s="3704">
        <f t="shared" si="430"/>
        <v>0</v>
      </c>
      <c r="CQ91" s="3704">
        <f t="shared" si="430"/>
        <v>489.59906000000007</v>
      </c>
      <c r="CR91" s="3704">
        <f t="shared" si="430"/>
        <v>489.59906000000007</v>
      </c>
      <c r="CS91" s="3704">
        <f t="shared" si="430"/>
        <v>0</v>
      </c>
      <c r="CT91" s="3704">
        <f t="shared" ref="CT91:CV91" si="431">SUM(CT19)</f>
        <v>719.07300000000009</v>
      </c>
      <c r="CU91" s="3704">
        <f t="shared" si="431"/>
        <v>719.07300000000009</v>
      </c>
      <c r="CV91" s="3704">
        <f t="shared" si="431"/>
        <v>0</v>
      </c>
      <c r="CW91" s="3709">
        <f t="shared" ref="CW91:CY91" si="432">SUM(CW19)</f>
        <v>1153.7005431992195</v>
      </c>
      <c r="CX91" s="3709">
        <f t="shared" si="432"/>
        <v>1153.7005431992195</v>
      </c>
      <c r="CY91" s="3709">
        <f t="shared" si="432"/>
        <v>0</v>
      </c>
      <c r="CZ91" s="4143">
        <f t="shared" ref="CZ91:DB91" si="433">SUM(CZ19)</f>
        <v>1163.7272205416152</v>
      </c>
      <c r="DA91" s="4143">
        <f t="shared" si="433"/>
        <v>1163.7272205416152</v>
      </c>
      <c r="DB91" s="4143">
        <f t="shared" si="433"/>
        <v>0</v>
      </c>
      <c r="DC91" s="3709">
        <f t="shared" ref="DC91:DK91" si="434">SUM(DC19)</f>
        <v>821.90519000000006</v>
      </c>
      <c r="DD91" s="3709">
        <f t="shared" si="434"/>
        <v>821.90519000000006</v>
      </c>
      <c r="DE91" s="3709">
        <f t="shared" si="434"/>
        <v>0</v>
      </c>
      <c r="DF91" s="3709">
        <f t="shared" si="434"/>
        <v>1732.74702</v>
      </c>
      <c r="DG91" s="3709">
        <f t="shared" si="434"/>
        <v>1732.74702</v>
      </c>
      <c r="DH91" s="3709">
        <f t="shared" si="434"/>
        <v>0</v>
      </c>
      <c r="DI91" s="4033">
        <f t="shared" si="434"/>
        <v>0</v>
      </c>
      <c r="DJ91" s="4033">
        <f t="shared" si="434"/>
        <v>0</v>
      </c>
      <c r="DK91" s="4033">
        <f t="shared" si="434"/>
        <v>0</v>
      </c>
    </row>
    <row r="92" spans="1:115" ht="27" customHeight="1" x14ac:dyDescent="0.3">
      <c r="A92" s="3703" t="s">
        <v>6</v>
      </c>
      <c r="B92" s="3703"/>
      <c r="C92" s="3703"/>
      <c r="D92" s="3703"/>
      <c r="E92" s="3703"/>
      <c r="F92" s="3703"/>
      <c r="G92" s="3703"/>
      <c r="H92" s="3703"/>
      <c r="I92" s="3703"/>
      <c r="J92" s="3703"/>
      <c r="K92" s="3703"/>
      <c r="L92" s="3703"/>
      <c r="M92" s="3703"/>
      <c r="N92" s="3703"/>
      <c r="O92" s="3703"/>
      <c r="P92" s="3703"/>
      <c r="Q92" s="3703"/>
      <c r="R92" s="3703"/>
      <c r="S92" s="3703"/>
      <c r="T92" s="3703"/>
      <c r="U92" s="3703"/>
      <c r="V92" s="3703"/>
      <c r="W92" s="3704">
        <f>SUM(W16+W26+W33+W41)</f>
        <v>15828.930000000002</v>
      </c>
      <c r="X92" s="3703"/>
      <c r="Y92" s="3704">
        <f t="shared" ref="Y92:AE92" si="435">SUM(Y16+Y26+Y33+Y41)</f>
        <v>12442.203000734</v>
      </c>
      <c r="Z92" s="3704" t="e">
        <f t="shared" si="435"/>
        <v>#REF!</v>
      </c>
      <c r="AA92" s="3704" t="e">
        <f t="shared" si="435"/>
        <v>#REF!</v>
      </c>
      <c r="AB92" s="3704">
        <f t="shared" si="435"/>
        <v>9629.5999999999985</v>
      </c>
      <c r="AC92" s="3704">
        <f t="shared" si="435"/>
        <v>9572.4743743167819</v>
      </c>
      <c r="AD92" s="3704">
        <f t="shared" si="435"/>
        <v>57.125625683217095</v>
      </c>
      <c r="AE92" s="3704">
        <f t="shared" si="435"/>
        <v>11471.480000000001</v>
      </c>
      <c r="AF92" s="3773">
        <f t="shared" si="378"/>
        <v>0.92198142075991418</v>
      </c>
      <c r="AG92" s="3704">
        <f>SUM(AG16+AG26+AG33+AG41)</f>
        <v>11557.82</v>
      </c>
      <c r="AH92" s="3704">
        <f>SUM(AH16+AH26+AH33+AH41)</f>
        <v>63.04</v>
      </c>
      <c r="AI92" s="3704">
        <f>SUM(AI16+AI26+AI33+AI41)</f>
        <v>11755.79772460473</v>
      </c>
      <c r="AJ92" s="3773">
        <f t="shared" si="379"/>
        <v>0.94483249661745783</v>
      </c>
      <c r="AK92" s="3704">
        <f t="shared" ref="AK92:AV92" si="436">SUM(AK16+AK26+AK33+AK41)</f>
        <v>11755.79772460473</v>
      </c>
      <c r="AL92" s="3704">
        <f t="shared" si="436"/>
        <v>0</v>
      </c>
      <c r="AM92" s="3704" t="e">
        <f t="shared" si="436"/>
        <v>#REF!</v>
      </c>
      <c r="AN92" s="3704" t="e">
        <f t="shared" si="436"/>
        <v>#REF!</v>
      </c>
      <c r="AO92" s="3704" t="e">
        <f t="shared" si="436"/>
        <v>#REF!</v>
      </c>
      <c r="AP92" s="3704">
        <f t="shared" si="436"/>
        <v>5218.3</v>
      </c>
      <c r="AQ92" s="3704">
        <f t="shared" si="436"/>
        <v>5197.2958760788633</v>
      </c>
      <c r="AR92" s="3704">
        <f t="shared" si="436"/>
        <v>21.004123921137079</v>
      </c>
      <c r="AS92" s="3704">
        <f t="shared" si="436"/>
        <v>7835.48</v>
      </c>
      <c r="AT92" s="3704">
        <f t="shared" si="436"/>
        <v>7797.8574979049517</v>
      </c>
      <c r="AU92" s="3704">
        <f t="shared" si="436"/>
        <v>37.622502095048617</v>
      </c>
      <c r="AV92" s="3704">
        <f t="shared" si="436"/>
        <v>14672.54</v>
      </c>
      <c r="AW92" s="3774">
        <f t="shared" si="381"/>
        <v>1.2481109613931658</v>
      </c>
      <c r="AX92" s="3704">
        <f>SUM(AX16+AX26+AX33+AX41)</f>
        <v>14591.76463576159</v>
      </c>
      <c r="AY92" s="3704">
        <f>SUM(AY16+AY26+AY33+AY41)</f>
        <v>80.775364238410816</v>
      </c>
      <c r="AZ92" s="3704">
        <f>SUM(AZ16+AZ26+AZ33+AZ41)</f>
        <v>11227.765899893006</v>
      </c>
      <c r="BA92" s="3774">
        <f t="shared" si="382"/>
        <v>0.95508328425840805</v>
      </c>
      <c r="BB92" s="3704">
        <f t="shared" ref="BB92:BX92" si="437">SUM(BB16+BB26+BB33+BB41)</f>
        <v>11185.867697491109</v>
      </c>
      <c r="BC92" s="3704">
        <f t="shared" si="437"/>
        <v>41.898202401897947</v>
      </c>
      <c r="BD92" s="3704">
        <f t="shared" si="437"/>
        <v>12280.869999999999</v>
      </c>
      <c r="BE92" s="3704">
        <f t="shared" si="437"/>
        <v>12220.83</v>
      </c>
      <c r="BF92" s="3704">
        <f t="shared" si="437"/>
        <v>60.04</v>
      </c>
      <c r="BG92" s="3704">
        <f t="shared" si="437"/>
        <v>10753.27</v>
      </c>
      <c r="BH92" s="3704">
        <f t="shared" si="437"/>
        <v>10704.22</v>
      </c>
      <c r="BI92" s="3704">
        <f t="shared" si="437"/>
        <v>49.05</v>
      </c>
      <c r="BJ92" s="3704">
        <f t="shared" si="437"/>
        <v>11723.954</v>
      </c>
      <c r="BK92" s="3704">
        <f t="shared" si="437"/>
        <v>11669.854000000001</v>
      </c>
      <c r="BL92" s="3704">
        <f t="shared" si="437"/>
        <v>54.1</v>
      </c>
      <c r="BM92" s="3704">
        <f t="shared" si="437"/>
        <v>12824.880000000001</v>
      </c>
      <c r="BN92" s="3704">
        <f t="shared" si="437"/>
        <v>12775.09</v>
      </c>
      <c r="BO92" s="3704">
        <f t="shared" si="437"/>
        <v>49.79</v>
      </c>
      <c r="BP92" s="3704">
        <f t="shared" si="437"/>
        <v>19516.07</v>
      </c>
      <c r="BQ92" s="3704">
        <f t="shared" si="437"/>
        <v>19429.240000000002</v>
      </c>
      <c r="BR92" s="3704">
        <f t="shared" si="437"/>
        <v>86.83</v>
      </c>
      <c r="BS92" s="3704">
        <f t="shared" si="437"/>
        <v>14371.431394092624</v>
      </c>
      <c r="BT92" s="3704">
        <f t="shared" si="437"/>
        <v>14314.945466205969</v>
      </c>
      <c r="BU92" s="3704">
        <f t="shared" si="437"/>
        <v>56.485927886655645</v>
      </c>
      <c r="BV92" s="3704">
        <f t="shared" si="437"/>
        <v>17319.284835073388</v>
      </c>
      <c r="BW92" s="3704">
        <f t="shared" si="437"/>
        <v>17251.374738893439</v>
      </c>
      <c r="BX92" s="3704">
        <f t="shared" si="437"/>
        <v>67.910096179951125</v>
      </c>
      <c r="BY92" s="3601"/>
      <c r="BZ92" s="3775"/>
      <c r="CA92" s="3775"/>
      <c r="CB92" s="3775"/>
      <c r="CC92" s="3775"/>
      <c r="CD92" s="3775"/>
      <c r="CE92" s="3775"/>
      <c r="CF92" s="3775"/>
      <c r="CG92" s="3775"/>
      <c r="CH92" s="3775"/>
      <c r="CI92" s="3775"/>
      <c r="CJ92" s="3775"/>
      <c r="CK92" s="3704">
        <f t="shared" ref="CK92:CM92" si="438">SUM(CK16+CK26+CK33+CK41)</f>
        <v>14654.548592556243</v>
      </c>
      <c r="CL92" s="3704">
        <f t="shared" si="438"/>
        <v>14606.73404310305</v>
      </c>
      <c r="CM92" s="3704">
        <f t="shared" si="438"/>
        <v>47.82</v>
      </c>
      <c r="CN92" s="3704">
        <f t="shared" ref="CN92:CS92" si="439">SUM(CN16+CN26+CN33+CN41)</f>
        <v>6429.56</v>
      </c>
      <c r="CO92" s="3704">
        <f t="shared" si="439"/>
        <v>6429.56</v>
      </c>
      <c r="CP92" s="3704">
        <f t="shared" si="439"/>
        <v>0</v>
      </c>
      <c r="CQ92" s="3704">
        <f t="shared" si="439"/>
        <v>9180.98</v>
      </c>
      <c r="CR92" s="3704">
        <f t="shared" si="439"/>
        <v>9180.98</v>
      </c>
      <c r="CS92" s="3704">
        <f t="shared" si="439"/>
        <v>0</v>
      </c>
      <c r="CT92" s="3704">
        <f t="shared" ref="CT92:CV92" si="440">SUM(CT16+CT26+CT33+CT41)</f>
        <v>12829.41</v>
      </c>
      <c r="CU92" s="3704">
        <f t="shared" si="440"/>
        <v>12829.41</v>
      </c>
      <c r="CV92" s="3704">
        <f t="shared" si="440"/>
        <v>0</v>
      </c>
      <c r="CW92" s="3709">
        <f t="shared" ref="CW92:CY92" si="441">SUM(CW16+CW26+CW33+CW41)</f>
        <v>18816.615670943429</v>
      </c>
      <c r="CX92" s="3709">
        <f t="shared" si="441"/>
        <v>18816.615670943429</v>
      </c>
      <c r="CY92" s="3709">
        <f t="shared" si="441"/>
        <v>0</v>
      </c>
      <c r="CZ92" s="4143">
        <f t="shared" ref="CZ92:DB92" si="442">SUM(CZ16+CZ26+CZ33+CZ41)</f>
        <v>19571.552924692078</v>
      </c>
      <c r="DA92" s="4143">
        <f t="shared" si="442"/>
        <v>19571.552924692078</v>
      </c>
      <c r="DB92" s="4143">
        <f t="shared" si="442"/>
        <v>0</v>
      </c>
      <c r="DC92" s="3709">
        <f t="shared" ref="DC92:DK92" si="443">SUM(DC16+DC26+DC33+DC41)</f>
        <v>6655.04</v>
      </c>
      <c r="DD92" s="3709">
        <f t="shared" si="443"/>
        <v>6655.04</v>
      </c>
      <c r="DE92" s="3709">
        <f t="shared" si="443"/>
        <v>0</v>
      </c>
      <c r="DF92" s="3709">
        <f t="shared" si="443"/>
        <v>9977.4500000000007</v>
      </c>
      <c r="DG92" s="3709">
        <f t="shared" si="443"/>
        <v>9977.4500000000007</v>
      </c>
      <c r="DH92" s="3709">
        <f t="shared" si="443"/>
        <v>0</v>
      </c>
      <c r="DI92" s="4033">
        <f t="shared" si="443"/>
        <v>0</v>
      </c>
      <c r="DJ92" s="4033">
        <f t="shared" si="443"/>
        <v>0</v>
      </c>
      <c r="DK92" s="4033">
        <f t="shared" si="443"/>
        <v>0</v>
      </c>
    </row>
    <row r="93" spans="1:115" ht="27" customHeight="1" x14ac:dyDescent="0.3">
      <c r="A93" s="3703" t="s">
        <v>10</v>
      </c>
      <c r="B93" s="3703"/>
      <c r="C93" s="3703"/>
      <c r="D93" s="3703"/>
      <c r="E93" s="3703"/>
      <c r="F93" s="3703"/>
      <c r="G93" s="3703"/>
      <c r="H93" s="3703"/>
      <c r="I93" s="3703"/>
      <c r="J93" s="3703"/>
      <c r="K93" s="3703"/>
      <c r="L93" s="3703"/>
      <c r="M93" s="3703"/>
      <c r="N93" s="3703"/>
      <c r="O93" s="3703"/>
      <c r="P93" s="3703"/>
      <c r="Q93" s="3703"/>
      <c r="R93" s="3703"/>
      <c r="S93" s="3703"/>
      <c r="T93" s="3703"/>
      <c r="U93" s="3703"/>
      <c r="V93" s="3703"/>
      <c r="W93" s="3704">
        <f>SUM(W42)</f>
        <v>2157</v>
      </c>
      <c r="X93" s="3703"/>
      <c r="Y93" s="3704">
        <f t="shared" ref="Y93:AE93" si="444">SUM(Y42)</f>
        <v>1927.84</v>
      </c>
      <c r="Z93" s="3704">
        <f t="shared" si="444"/>
        <v>1927.04</v>
      </c>
      <c r="AA93" s="3704">
        <f t="shared" si="444"/>
        <v>0.8</v>
      </c>
      <c r="AB93" s="3704">
        <f t="shared" si="444"/>
        <v>1970.4</v>
      </c>
      <c r="AC93" s="3704">
        <f t="shared" si="444"/>
        <v>1969.1630113342155</v>
      </c>
      <c r="AD93" s="3704">
        <f t="shared" si="444"/>
        <v>1.2369886657844305</v>
      </c>
      <c r="AE93" s="3704">
        <f t="shared" si="444"/>
        <v>1927.84</v>
      </c>
      <c r="AF93" s="3773">
        <f t="shared" si="378"/>
        <v>1</v>
      </c>
      <c r="AG93" s="3704">
        <f>SUM(AG42)</f>
        <v>1927.04</v>
      </c>
      <c r="AH93" s="3704">
        <f>SUM(AH42)</f>
        <v>0.8</v>
      </c>
      <c r="AI93" s="3704">
        <f>SUM(AI42)</f>
        <v>1927.84</v>
      </c>
      <c r="AJ93" s="3773">
        <f t="shared" si="379"/>
        <v>1</v>
      </c>
      <c r="AK93" s="3704">
        <f t="shared" ref="AK93:AV93" si="445">SUM(AK42)</f>
        <v>1927.04</v>
      </c>
      <c r="AL93" s="3704">
        <f t="shared" si="445"/>
        <v>0.8</v>
      </c>
      <c r="AM93" s="3704" t="e">
        <f t="shared" si="445"/>
        <v>#REF!</v>
      </c>
      <c r="AN93" s="3704" t="e">
        <f t="shared" si="445"/>
        <v>#REF!</v>
      </c>
      <c r="AO93" s="3704" t="e">
        <f t="shared" si="445"/>
        <v>#REF!</v>
      </c>
      <c r="AP93" s="3704">
        <f t="shared" si="445"/>
        <v>209.94</v>
      </c>
      <c r="AQ93" s="3704">
        <f t="shared" si="445"/>
        <v>209.88906688054394</v>
      </c>
      <c r="AR93" s="3704">
        <f t="shared" si="445"/>
        <v>5.0933119456050946E-2</v>
      </c>
      <c r="AS93" s="3704">
        <f t="shared" si="445"/>
        <v>1548.24</v>
      </c>
      <c r="AT93" s="3704">
        <f t="shared" si="445"/>
        <v>1539.1544341812178</v>
      </c>
      <c r="AU93" s="3704">
        <f t="shared" si="445"/>
        <v>9.0855658187824382</v>
      </c>
      <c r="AV93" s="3704">
        <f t="shared" si="445"/>
        <v>2116.7799999999997</v>
      </c>
      <c r="AW93" s="3774">
        <f t="shared" si="381"/>
        <v>1.0980060585940741</v>
      </c>
      <c r="AX93" s="3704">
        <f>SUM(AX42)</f>
        <v>2103.3719090123814</v>
      </c>
      <c r="AY93" s="3704">
        <f>SUM(AY42)</f>
        <v>13.408090987618772</v>
      </c>
      <c r="AZ93" s="3704">
        <f>SUM(AZ42)</f>
        <v>1684.7746853333333</v>
      </c>
      <c r="BA93" s="3774">
        <f t="shared" si="382"/>
        <v>0.87391831548952892</v>
      </c>
      <c r="BB93" s="3704">
        <f t="shared" ref="BB93:BX93" si="446">SUM(BB42)</f>
        <v>1676.7703977774761</v>
      </c>
      <c r="BC93" s="3704">
        <f t="shared" si="446"/>
        <v>8.0042875558570898</v>
      </c>
      <c r="BD93" s="3704">
        <f t="shared" si="446"/>
        <v>3612.81</v>
      </c>
      <c r="BE93" s="3704">
        <f t="shared" si="446"/>
        <v>3603.6299999999997</v>
      </c>
      <c r="BF93" s="3704">
        <f t="shared" si="446"/>
        <v>9.18</v>
      </c>
      <c r="BG93" s="3704">
        <f t="shared" si="446"/>
        <v>1274.3600000000001</v>
      </c>
      <c r="BH93" s="3704">
        <f t="shared" si="446"/>
        <v>1266.71</v>
      </c>
      <c r="BI93" s="3704">
        <f t="shared" si="446"/>
        <v>7.6499999999999995</v>
      </c>
      <c r="BJ93" s="3704">
        <f t="shared" si="446"/>
        <v>1513.4680000000001</v>
      </c>
      <c r="BK93" s="3704">
        <f t="shared" si="446"/>
        <v>1502.7640000000001</v>
      </c>
      <c r="BL93" s="3704">
        <f t="shared" si="446"/>
        <v>10.704000000000001</v>
      </c>
      <c r="BM93" s="3704">
        <f t="shared" si="446"/>
        <v>1372.646</v>
      </c>
      <c r="BN93" s="3704">
        <f t="shared" si="446"/>
        <v>1364.6959999999999</v>
      </c>
      <c r="BO93" s="3704">
        <f t="shared" si="446"/>
        <v>7.95</v>
      </c>
      <c r="BP93" s="3704">
        <f t="shared" si="446"/>
        <v>5916.76</v>
      </c>
      <c r="BQ93" s="3704">
        <f t="shared" si="446"/>
        <v>5882.2799999999988</v>
      </c>
      <c r="BR93" s="3704">
        <f t="shared" si="446"/>
        <v>34.480000000000004</v>
      </c>
      <c r="BS93" s="3704">
        <f t="shared" si="446"/>
        <v>1009.6646202997873</v>
      </c>
      <c r="BT93" s="3704">
        <f t="shared" si="446"/>
        <v>1003.7504477745384</v>
      </c>
      <c r="BU93" s="3704">
        <f t="shared" si="446"/>
        <v>5.9141725252489437</v>
      </c>
      <c r="BV93" s="3704">
        <f t="shared" si="446"/>
        <v>1015.1994753346747</v>
      </c>
      <c r="BW93" s="3704">
        <f t="shared" si="446"/>
        <v>1009.9095993986285</v>
      </c>
      <c r="BX93" s="3704">
        <f t="shared" si="446"/>
        <v>5.2898759360461867</v>
      </c>
      <c r="BY93" s="3601"/>
      <c r="BZ93" s="3775"/>
      <c r="CA93" s="3775"/>
      <c r="CB93" s="3775"/>
      <c r="CC93" s="3775"/>
      <c r="CD93" s="3775"/>
      <c r="CE93" s="3775"/>
      <c r="CF93" s="3775"/>
      <c r="CG93" s="3775"/>
      <c r="CH93" s="3775"/>
      <c r="CI93" s="3775"/>
      <c r="CJ93" s="3775"/>
      <c r="CK93" s="3704">
        <f t="shared" ref="CK93:CM93" si="447">SUM(CK42)</f>
        <v>999.06196643467467</v>
      </c>
      <c r="CL93" s="3704">
        <f t="shared" si="447"/>
        <v>993.77209049862847</v>
      </c>
      <c r="CM93" s="3704">
        <f t="shared" si="447"/>
        <v>5.2898759360461867</v>
      </c>
      <c r="CN93" s="3704">
        <f t="shared" ref="CN93:CS93" si="448">SUM(CN42)</f>
        <v>1128.57</v>
      </c>
      <c r="CO93" s="3704">
        <f t="shared" si="448"/>
        <v>1128.57</v>
      </c>
      <c r="CP93" s="3704">
        <f t="shared" si="448"/>
        <v>0</v>
      </c>
      <c r="CQ93" s="3704">
        <f t="shared" si="448"/>
        <v>1694.01</v>
      </c>
      <c r="CR93" s="3704">
        <f t="shared" si="448"/>
        <v>1694.01</v>
      </c>
      <c r="CS93" s="3704">
        <f t="shared" si="448"/>
        <v>0</v>
      </c>
      <c r="CT93" s="3704">
        <f t="shared" ref="CT93:CV93" si="449">SUM(CT42)</f>
        <v>2751.05</v>
      </c>
      <c r="CU93" s="3704">
        <f t="shared" si="449"/>
        <v>2751.05</v>
      </c>
      <c r="CV93" s="3704">
        <f t="shared" si="449"/>
        <v>0</v>
      </c>
      <c r="CW93" s="3709">
        <f t="shared" ref="CW93:CY93" si="450">SUM(CW42)</f>
        <v>2756.3398759360466</v>
      </c>
      <c r="CX93" s="3709">
        <f t="shared" si="450"/>
        <v>2751.05</v>
      </c>
      <c r="CY93" s="3709">
        <f t="shared" si="450"/>
        <v>5.2898759360461867</v>
      </c>
      <c r="CZ93" s="4143">
        <f t="shared" ref="CZ93:DB93" si="451">SUM(CZ42)</f>
        <v>2345.44022</v>
      </c>
      <c r="DA93" s="4143">
        <f t="shared" si="451"/>
        <v>2345.44022</v>
      </c>
      <c r="DB93" s="4143">
        <f t="shared" si="451"/>
        <v>0</v>
      </c>
      <c r="DC93" s="3709">
        <f t="shared" ref="DC93:DK93" si="452">SUM(DC42)</f>
        <v>1372.3319999999999</v>
      </c>
      <c r="DD93" s="3709">
        <f t="shared" si="452"/>
        <v>1372.3319999999999</v>
      </c>
      <c r="DE93" s="3709">
        <f t="shared" si="452"/>
        <v>0</v>
      </c>
      <c r="DF93" s="3709">
        <f t="shared" si="452"/>
        <v>2055.6059999999998</v>
      </c>
      <c r="DG93" s="3709">
        <f t="shared" si="452"/>
        <v>2055.6059999999998</v>
      </c>
      <c r="DH93" s="3709">
        <f t="shared" si="452"/>
        <v>0</v>
      </c>
      <c r="DI93" s="4033">
        <f t="shared" si="452"/>
        <v>0</v>
      </c>
      <c r="DJ93" s="4033">
        <f t="shared" si="452"/>
        <v>0</v>
      </c>
      <c r="DK93" s="4033">
        <f t="shared" si="452"/>
        <v>0</v>
      </c>
    </row>
    <row r="94" spans="1:115" ht="27" customHeight="1" x14ac:dyDescent="0.3">
      <c r="A94" s="3703" t="s">
        <v>11</v>
      </c>
      <c r="B94" s="3703"/>
      <c r="C94" s="3703"/>
      <c r="D94" s="3703"/>
      <c r="E94" s="3703"/>
      <c r="F94" s="3703"/>
      <c r="G94" s="3703"/>
      <c r="H94" s="3703"/>
      <c r="I94" s="3703"/>
      <c r="J94" s="3703"/>
      <c r="K94" s="3703"/>
      <c r="L94" s="3703"/>
      <c r="M94" s="3703"/>
      <c r="N94" s="3703"/>
      <c r="O94" s="3703"/>
      <c r="P94" s="3703"/>
      <c r="Q94" s="3703"/>
      <c r="R94" s="3703"/>
      <c r="S94" s="3703"/>
      <c r="T94" s="3703"/>
      <c r="U94" s="3703"/>
      <c r="V94" s="3703"/>
      <c r="W94" s="3704">
        <f>SUM(W46)</f>
        <v>10701.5</v>
      </c>
      <c r="X94" s="3703"/>
      <c r="Y94" s="3704">
        <f t="shared" ref="Y94:AE94" si="453">SUM(Y46)</f>
        <v>10806.57</v>
      </c>
      <c r="Z94" s="3704">
        <f t="shared" si="453"/>
        <v>10753.369999999999</v>
      </c>
      <c r="AA94" s="3704">
        <f t="shared" si="453"/>
        <v>53.2</v>
      </c>
      <c r="AB94" s="3704">
        <f t="shared" si="453"/>
        <v>9591.77</v>
      </c>
      <c r="AC94" s="3704">
        <f t="shared" si="453"/>
        <v>9508.4400839997706</v>
      </c>
      <c r="AD94" s="3704">
        <f t="shared" si="453"/>
        <v>83.329916000229787</v>
      </c>
      <c r="AE94" s="3704">
        <f t="shared" si="453"/>
        <v>9051.4500000000007</v>
      </c>
      <c r="AF94" s="3773">
        <f t="shared" si="378"/>
        <v>0.83758768971098152</v>
      </c>
      <c r="AG94" s="3704">
        <f>SUM(AG46)</f>
        <v>8995.59</v>
      </c>
      <c r="AH94" s="3704">
        <f>SUM(AH46)</f>
        <v>55.86</v>
      </c>
      <c r="AI94" s="3704">
        <f>SUM(AI46)</f>
        <v>8833.3841337506801</v>
      </c>
      <c r="AJ94" s="3773">
        <f t="shared" si="379"/>
        <v>0.8174086813624194</v>
      </c>
      <c r="AK94" s="3704">
        <f t="shared" ref="AK94:AV94" si="454">SUM(AK46)</f>
        <v>8777.5241337506795</v>
      </c>
      <c r="AL94" s="3704">
        <f t="shared" si="454"/>
        <v>55.860000000000007</v>
      </c>
      <c r="AM94" s="3704" t="e">
        <f t="shared" si="454"/>
        <v>#REF!</v>
      </c>
      <c r="AN94" s="3704" t="e">
        <f t="shared" si="454"/>
        <v>#REF!</v>
      </c>
      <c r="AO94" s="3704" t="e">
        <f t="shared" si="454"/>
        <v>#REF!</v>
      </c>
      <c r="AP94" s="3704">
        <f t="shared" si="454"/>
        <v>0</v>
      </c>
      <c r="AQ94" s="3704">
        <f t="shared" si="454"/>
        <v>0</v>
      </c>
      <c r="AR94" s="3704">
        <f t="shared" si="454"/>
        <v>0</v>
      </c>
      <c r="AS94" s="3704">
        <f t="shared" si="454"/>
        <v>0</v>
      </c>
      <c r="AT94" s="3704">
        <f t="shared" si="454"/>
        <v>0</v>
      </c>
      <c r="AU94" s="3704">
        <f t="shared" si="454"/>
        <v>0</v>
      </c>
      <c r="AV94" s="3704">
        <f t="shared" si="454"/>
        <v>10189.549999999999</v>
      </c>
      <c r="AW94" s="3774">
        <f t="shared" si="381"/>
        <v>1.1535273283392791</v>
      </c>
      <c r="AX94" s="3704">
        <f>SUM(AX46)</f>
        <v>10189.549999999999</v>
      </c>
      <c r="AY94" s="3704">
        <f>SUM(AY46)</f>
        <v>0</v>
      </c>
      <c r="AZ94" s="3704">
        <f>SUM(AZ46)</f>
        <v>13195.647202096725</v>
      </c>
      <c r="BA94" s="3774">
        <f t="shared" si="382"/>
        <v>1.4938382620176867</v>
      </c>
      <c r="BB94" s="3704">
        <f t="shared" ref="BB94:BX94" si="455">SUM(BB46)</f>
        <v>13195.647202096725</v>
      </c>
      <c r="BC94" s="3704">
        <f t="shared" si="455"/>
        <v>0</v>
      </c>
      <c r="BD94" s="3704">
        <f t="shared" si="455"/>
        <v>9307.77</v>
      </c>
      <c r="BE94" s="3704">
        <f t="shared" si="455"/>
        <v>9244.99</v>
      </c>
      <c r="BF94" s="3704">
        <f t="shared" si="455"/>
        <v>62.78</v>
      </c>
      <c r="BG94" s="3704">
        <f t="shared" si="455"/>
        <v>9770.4</v>
      </c>
      <c r="BH94" s="3704">
        <f t="shared" si="455"/>
        <v>9711.67</v>
      </c>
      <c r="BI94" s="3704">
        <f t="shared" si="455"/>
        <v>58.73</v>
      </c>
      <c r="BJ94" s="3704">
        <f t="shared" si="455"/>
        <v>15214.178</v>
      </c>
      <c r="BK94" s="3704">
        <f t="shared" si="455"/>
        <v>15206.884</v>
      </c>
      <c r="BL94" s="3704">
        <f t="shared" si="455"/>
        <v>7.2939999999999996</v>
      </c>
      <c r="BM94" s="3704">
        <f t="shared" si="455"/>
        <v>10336.434000000001</v>
      </c>
      <c r="BN94" s="3704">
        <f t="shared" si="455"/>
        <v>10276.564</v>
      </c>
      <c r="BO94" s="3704">
        <f t="shared" si="455"/>
        <v>59.87</v>
      </c>
      <c r="BP94" s="3704">
        <f t="shared" si="455"/>
        <v>18419.43</v>
      </c>
      <c r="BQ94" s="3704">
        <f t="shared" si="455"/>
        <v>18312.11</v>
      </c>
      <c r="BR94" s="3704">
        <f t="shared" si="455"/>
        <v>107.32</v>
      </c>
      <c r="BS94" s="3704">
        <f t="shared" si="455"/>
        <v>14542.724168003919</v>
      </c>
      <c r="BT94" s="3704">
        <f t="shared" si="455"/>
        <v>14541.335939405846</v>
      </c>
      <c r="BU94" s="3704">
        <f t="shared" si="455"/>
        <v>1.3882285980731162</v>
      </c>
      <c r="BV94" s="3704">
        <f t="shared" si="455"/>
        <v>12112.235843928804</v>
      </c>
      <c r="BW94" s="3704">
        <f t="shared" si="455"/>
        <v>12041.380686608869</v>
      </c>
      <c r="BX94" s="3704">
        <f t="shared" si="455"/>
        <v>70.855157319934435</v>
      </c>
      <c r="BY94" s="3601"/>
      <c r="BZ94" s="3775"/>
      <c r="CA94" s="3775"/>
      <c r="CB94" s="3775"/>
      <c r="CC94" s="3775"/>
      <c r="CD94" s="3775"/>
      <c r="CE94" s="3775"/>
      <c r="CF94" s="3775"/>
      <c r="CG94" s="3775"/>
      <c r="CH94" s="3775"/>
      <c r="CI94" s="3775"/>
      <c r="CJ94" s="3775"/>
      <c r="CK94" s="3704">
        <f t="shared" ref="CK94:CM94" si="456">SUM(CK46)</f>
        <v>14761.135834113597</v>
      </c>
      <c r="CL94" s="3704">
        <f t="shared" si="456"/>
        <v>14759.720257412142</v>
      </c>
      <c r="CM94" s="3704">
        <f t="shared" si="456"/>
        <v>1.4155767014551566</v>
      </c>
      <c r="CN94" s="3704">
        <f t="shared" ref="CN94:CS94" si="457">SUM(CN46)</f>
        <v>5211.848</v>
      </c>
      <c r="CO94" s="3704">
        <f t="shared" si="457"/>
        <v>5195.26</v>
      </c>
      <c r="CP94" s="3704">
        <f t="shared" si="457"/>
        <v>16.588000000000001</v>
      </c>
      <c r="CQ94" s="3704">
        <f t="shared" si="457"/>
        <v>7707.0548100000015</v>
      </c>
      <c r="CR94" s="3704">
        <f t="shared" si="457"/>
        <v>7685.5966600000011</v>
      </c>
      <c r="CS94" s="3704">
        <f t="shared" si="457"/>
        <v>21.458150000000003</v>
      </c>
      <c r="CT94" s="3704">
        <f t="shared" ref="CT94:CV94" si="458">SUM(CT46)</f>
        <v>10235.575049999999</v>
      </c>
      <c r="CU94" s="3704">
        <f t="shared" si="458"/>
        <v>10206.049999999999</v>
      </c>
      <c r="CV94" s="3704">
        <f t="shared" si="458"/>
        <v>29.52505</v>
      </c>
      <c r="CW94" s="3709">
        <f t="shared" ref="CW94:CY94" si="459">SUM(CW46)</f>
        <v>11205.210177673807</v>
      </c>
      <c r="CX94" s="3709">
        <f t="shared" si="459"/>
        <v>11172.868878785355</v>
      </c>
      <c r="CY94" s="3709">
        <f t="shared" si="459"/>
        <v>32.341298888451682</v>
      </c>
      <c r="CZ94" s="4143">
        <f t="shared" ref="CZ94:DB94" si="460">SUM(CZ46)</f>
        <v>10657.340266752199</v>
      </c>
      <c r="DA94" s="4143">
        <f t="shared" si="460"/>
        <v>10596.696266752198</v>
      </c>
      <c r="DB94" s="4143">
        <f t="shared" si="460"/>
        <v>60.643999999999998</v>
      </c>
      <c r="DC94" s="3709">
        <f t="shared" ref="DC94:DK94" si="461">SUM(DC46)</f>
        <v>4807.4112599999999</v>
      </c>
      <c r="DD94" s="3709">
        <f t="shared" si="461"/>
        <v>4794.3121899999996</v>
      </c>
      <c r="DE94" s="3709">
        <f t="shared" si="461"/>
        <v>13.099070000000001</v>
      </c>
      <c r="DF94" s="3709">
        <f t="shared" si="461"/>
        <v>7266.85581</v>
      </c>
      <c r="DG94" s="3709">
        <f t="shared" si="461"/>
        <v>7247.1235900000001</v>
      </c>
      <c r="DH94" s="3709">
        <f t="shared" si="461"/>
        <v>19.732219999999998</v>
      </c>
      <c r="DI94" s="4033">
        <f t="shared" si="461"/>
        <v>0</v>
      </c>
      <c r="DJ94" s="4033">
        <f t="shared" si="461"/>
        <v>0</v>
      </c>
      <c r="DK94" s="4033">
        <f t="shared" si="461"/>
        <v>0</v>
      </c>
    </row>
    <row r="95" spans="1:115" ht="27" customHeight="1" x14ac:dyDescent="0.3">
      <c r="A95" s="3703" t="s">
        <v>892</v>
      </c>
      <c r="B95" s="3703"/>
      <c r="C95" s="3703"/>
      <c r="D95" s="3703"/>
      <c r="E95" s="3703"/>
      <c r="F95" s="3703"/>
      <c r="G95" s="3703"/>
      <c r="H95" s="3703"/>
      <c r="I95" s="3703"/>
      <c r="J95" s="3703"/>
      <c r="K95" s="3703"/>
      <c r="L95" s="3703"/>
      <c r="M95" s="3703"/>
      <c r="N95" s="3703"/>
      <c r="O95" s="3703"/>
      <c r="P95" s="3703"/>
      <c r="Q95" s="3703"/>
      <c r="R95" s="3703"/>
      <c r="S95" s="3703"/>
      <c r="T95" s="3703"/>
      <c r="U95" s="3703"/>
      <c r="V95" s="3703"/>
      <c r="W95" s="3704"/>
      <c r="X95" s="3703"/>
      <c r="Y95" s="3704"/>
      <c r="Z95" s="3704"/>
      <c r="AA95" s="3704"/>
      <c r="AB95" s="3704"/>
      <c r="AC95" s="3704"/>
      <c r="AD95" s="3704"/>
      <c r="AE95" s="3704"/>
      <c r="AF95" s="3773"/>
      <c r="AG95" s="3704"/>
      <c r="AH95" s="3704"/>
      <c r="AI95" s="3704"/>
      <c r="AJ95" s="3773"/>
      <c r="AK95" s="3704"/>
      <c r="AL95" s="3704"/>
      <c r="AM95" s="3704"/>
      <c r="AN95" s="3704"/>
      <c r="AO95" s="3704"/>
      <c r="AP95" s="3704"/>
      <c r="AQ95" s="3704"/>
      <c r="AR95" s="3704"/>
      <c r="AS95" s="3704"/>
      <c r="AT95" s="3704"/>
      <c r="AU95" s="3704"/>
      <c r="AV95" s="3704"/>
      <c r="AW95" s="3774"/>
      <c r="AX95" s="3704"/>
      <c r="AY95" s="3704"/>
      <c r="AZ95" s="3704">
        <f>AZ47</f>
        <v>286.40476017160813</v>
      </c>
      <c r="BA95" s="3774"/>
      <c r="BB95" s="3704">
        <f t="shared" ref="BB95:BX95" si="462">BB47</f>
        <v>286.40476017160813</v>
      </c>
      <c r="BC95" s="3704">
        <f t="shared" si="462"/>
        <v>0</v>
      </c>
      <c r="BD95" s="3704">
        <f t="shared" si="462"/>
        <v>0</v>
      </c>
      <c r="BE95" s="3704">
        <f t="shared" si="462"/>
        <v>0</v>
      </c>
      <c r="BF95" s="3704">
        <f t="shared" si="462"/>
        <v>0</v>
      </c>
      <c r="BG95" s="3704">
        <f t="shared" si="462"/>
        <v>0</v>
      </c>
      <c r="BH95" s="3704">
        <f t="shared" si="462"/>
        <v>0</v>
      </c>
      <c r="BI95" s="3704">
        <f t="shared" si="462"/>
        <v>0</v>
      </c>
      <c r="BJ95" s="3704">
        <f t="shared" si="462"/>
        <v>365.37</v>
      </c>
      <c r="BK95" s="3704">
        <f t="shared" si="462"/>
        <v>365.37</v>
      </c>
      <c r="BL95" s="3704">
        <f t="shared" si="462"/>
        <v>0</v>
      </c>
      <c r="BM95" s="3704">
        <f t="shared" si="462"/>
        <v>0</v>
      </c>
      <c r="BN95" s="3704">
        <f t="shared" si="462"/>
        <v>0</v>
      </c>
      <c r="BO95" s="3704">
        <f t="shared" si="462"/>
        <v>0</v>
      </c>
      <c r="BP95" s="3704">
        <f t="shared" si="462"/>
        <v>241.01</v>
      </c>
      <c r="BQ95" s="3704">
        <f t="shared" si="462"/>
        <v>241.01</v>
      </c>
      <c r="BR95" s="3704">
        <f t="shared" si="462"/>
        <v>0</v>
      </c>
      <c r="BS95" s="3704">
        <f t="shared" si="462"/>
        <v>241.01</v>
      </c>
      <c r="BT95" s="3704">
        <f t="shared" si="462"/>
        <v>241.01</v>
      </c>
      <c r="BU95" s="3704">
        <f t="shared" si="462"/>
        <v>0</v>
      </c>
      <c r="BV95" s="3704">
        <f t="shared" si="462"/>
        <v>249.2</v>
      </c>
      <c r="BW95" s="3704">
        <f t="shared" si="462"/>
        <v>249.2</v>
      </c>
      <c r="BX95" s="3704">
        <f t="shared" si="462"/>
        <v>0</v>
      </c>
      <c r="BY95" s="3601"/>
      <c r="BZ95" s="3775"/>
      <c r="CA95" s="3775"/>
      <c r="CB95" s="3775"/>
      <c r="CC95" s="3775"/>
      <c r="CD95" s="3775"/>
      <c r="CE95" s="3775"/>
      <c r="CF95" s="3775"/>
      <c r="CG95" s="3775"/>
      <c r="CH95" s="3775"/>
      <c r="CI95" s="3775"/>
      <c r="CJ95" s="3775"/>
      <c r="CK95" s="3704">
        <f t="shared" ref="CK95:CM95" si="463">CK47</f>
        <v>249.2</v>
      </c>
      <c r="CL95" s="3704">
        <f t="shared" si="463"/>
        <v>249.2</v>
      </c>
      <c r="CM95" s="3704">
        <f t="shared" si="463"/>
        <v>0</v>
      </c>
      <c r="CN95" s="3704">
        <f t="shared" ref="CN95:CS95" si="464">CN47</f>
        <v>0</v>
      </c>
      <c r="CO95" s="3704">
        <f t="shared" si="464"/>
        <v>0</v>
      </c>
      <c r="CP95" s="3704">
        <f t="shared" si="464"/>
        <v>0</v>
      </c>
      <c r="CQ95" s="3704">
        <f t="shared" si="464"/>
        <v>0</v>
      </c>
      <c r="CR95" s="3704">
        <f t="shared" si="464"/>
        <v>0</v>
      </c>
      <c r="CS95" s="3704">
        <f t="shared" si="464"/>
        <v>0</v>
      </c>
      <c r="CT95" s="3704">
        <f t="shared" ref="CT95:CV95" si="465">CT47</f>
        <v>-0.01</v>
      </c>
      <c r="CU95" s="3704">
        <f t="shared" si="465"/>
        <v>-0.01</v>
      </c>
      <c r="CV95" s="3704">
        <f t="shared" si="465"/>
        <v>0</v>
      </c>
      <c r="CW95" s="3709">
        <f t="shared" ref="CW95:CY95" si="466">CW47</f>
        <v>293.68776219786787</v>
      </c>
      <c r="CX95" s="3709">
        <f t="shared" si="466"/>
        <v>293.68776219786787</v>
      </c>
      <c r="CY95" s="3709">
        <f t="shared" si="466"/>
        <v>0</v>
      </c>
      <c r="CZ95" s="4143">
        <f t="shared" ref="CZ95:DB95" si="467">CZ47</f>
        <v>0</v>
      </c>
      <c r="DA95" s="4143">
        <f t="shared" si="467"/>
        <v>0</v>
      </c>
      <c r="DB95" s="4143">
        <f t="shared" si="467"/>
        <v>0</v>
      </c>
      <c r="DC95" s="3709">
        <f t="shared" ref="DC95:DK95" si="468">DC47</f>
        <v>0</v>
      </c>
      <c r="DD95" s="3709">
        <f t="shared" si="468"/>
        <v>0</v>
      </c>
      <c r="DE95" s="3709">
        <f t="shared" si="468"/>
        <v>0</v>
      </c>
      <c r="DF95" s="3709">
        <f t="shared" si="468"/>
        <v>0</v>
      </c>
      <c r="DG95" s="3709">
        <f t="shared" si="468"/>
        <v>0</v>
      </c>
      <c r="DH95" s="3709">
        <f t="shared" si="468"/>
        <v>0</v>
      </c>
      <c r="DI95" s="4033">
        <f t="shared" si="468"/>
        <v>-0.01</v>
      </c>
      <c r="DJ95" s="4033">
        <f t="shared" si="468"/>
        <v>-0.01</v>
      </c>
      <c r="DK95" s="4033">
        <f t="shared" si="468"/>
        <v>0</v>
      </c>
    </row>
    <row r="96" spans="1:115" ht="27" customHeight="1" x14ac:dyDescent="0.35">
      <c r="A96" s="3710" t="s">
        <v>3686</v>
      </c>
      <c r="B96" s="3711"/>
      <c r="C96" s="3711"/>
      <c r="D96" s="3711"/>
      <c r="E96" s="3711"/>
      <c r="F96" s="3711"/>
      <c r="G96" s="3711"/>
      <c r="H96" s="3711"/>
      <c r="I96" s="3711"/>
      <c r="J96" s="3711"/>
      <c r="K96" s="3711"/>
      <c r="L96" s="3711"/>
      <c r="M96" s="3711"/>
      <c r="N96" s="3711"/>
      <c r="O96" s="3711"/>
      <c r="P96" s="3711"/>
      <c r="Q96" s="3711"/>
      <c r="R96" s="3711"/>
      <c r="S96" s="3711"/>
      <c r="T96" s="3711"/>
      <c r="U96" s="3711"/>
      <c r="V96" s="3711"/>
      <c r="W96" s="3712"/>
      <c r="X96" s="3711"/>
      <c r="Y96" s="3712"/>
      <c r="Z96" s="3712"/>
      <c r="AA96" s="3712"/>
      <c r="AB96" s="3712"/>
      <c r="AC96" s="3712"/>
      <c r="AD96" s="3712"/>
      <c r="AE96" s="3712"/>
      <c r="AF96" s="3774"/>
      <c r="AG96" s="3712"/>
      <c r="AH96" s="3712"/>
      <c r="AI96" s="3712"/>
      <c r="AJ96" s="3774"/>
      <c r="AK96" s="3712"/>
      <c r="AL96" s="3712"/>
      <c r="AM96" s="3712"/>
      <c r="AN96" s="3712"/>
      <c r="AO96" s="3712"/>
      <c r="AP96" s="3712"/>
      <c r="AQ96" s="3712"/>
      <c r="AR96" s="3712"/>
      <c r="AS96" s="3712"/>
      <c r="AT96" s="3712"/>
      <c r="AU96" s="3712"/>
      <c r="AV96" s="3712"/>
      <c r="AW96" s="3774"/>
      <c r="AX96" s="3712"/>
      <c r="AY96" s="3712"/>
      <c r="AZ96" s="3712"/>
      <c r="BA96" s="3774"/>
      <c r="BB96" s="3712"/>
      <c r="BC96" s="3712"/>
      <c r="BD96" s="3712"/>
      <c r="BE96" s="3712"/>
      <c r="BF96" s="3712"/>
      <c r="BG96" s="3712"/>
      <c r="BH96" s="3712"/>
      <c r="BI96" s="3712"/>
      <c r="BJ96" s="3712"/>
      <c r="BK96" s="3712"/>
      <c r="BL96" s="3712"/>
      <c r="BM96" s="3712"/>
      <c r="BN96" s="3712"/>
      <c r="BO96" s="3712"/>
      <c r="BP96" s="3712"/>
      <c r="BQ96" s="3712"/>
      <c r="BR96" s="3712"/>
      <c r="BS96" s="3712">
        <f t="shared" ref="BS96:BX97" si="469">BS48</f>
        <v>105.48881849999999</v>
      </c>
      <c r="BT96" s="3712">
        <f t="shared" si="469"/>
        <v>105.48881849999999</v>
      </c>
      <c r="BU96" s="3712">
        <f t="shared" si="469"/>
        <v>0</v>
      </c>
      <c r="BV96" s="3712">
        <f t="shared" si="469"/>
        <v>98.938174399999994</v>
      </c>
      <c r="BW96" s="3712">
        <f t="shared" si="469"/>
        <v>98.938174399999994</v>
      </c>
      <c r="BX96" s="3712">
        <f t="shared" si="469"/>
        <v>0</v>
      </c>
      <c r="BY96" s="3776"/>
      <c r="BZ96" s="3777"/>
      <c r="CA96" s="3777"/>
      <c r="CB96" s="3777"/>
      <c r="CC96" s="3777"/>
      <c r="CD96" s="3777"/>
      <c r="CE96" s="3777"/>
      <c r="CF96" s="3777"/>
      <c r="CG96" s="3777"/>
      <c r="CH96" s="3777"/>
      <c r="CI96" s="3777"/>
      <c r="CJ96" s="3777"/>
      <c r="CK96" s="3712">
        <f t="shared" ref="CK96:CM96" si="470">CK48</f>
        <v>93.10991940000001</v>
      </c>
      <c r="CL96" s="3712">
        <f t="shared" si="470"/>
        <v>93.10991940000001</v>
      </c>
      <c r="CM96" s="3712">
        <f t="shared" si="470"/>
        <v>0</v>
      </c>
      <c r="CN96" s="3712">
        <f t="shared" ref="CN96:CS96" si="471">CN48</f>
        <v>47.810090000000002</v>
      </c>
      <c r="CO96" s="3712">
        <f t="shared" si="471"/>
        <v>47.794029999999999</v>
      </c>
      <c r="CP96" s="3712">
        <f t="shared" si="471"/>
        <v>1.6060000000000001E-2</v>
      </c>
      <c r="CQ96" s="3712">
        <f t="shared" si="471"/>
        <v>71.728929999999991</v>
      </c>
      <c r="CR96" s="3712">
        <f t="shared" si="471"/>
        <v>71.712869999999995</v>
      </c>
      <c r="CS96" s="3712">
        <f t="shared" si="471"/>
        <v>1.6060000000000001E-2</v>
      </c>
      <c r="CT96" s="3712">
        <f t="shared" ref="CT96:CV96" si="472">CT48</f>
        <v>95.605999999999995</v>
      </c>
      <c r="CU96" s="3712">
        <f t="shared" si="472"/>
        <v>95.585999999999999</v>
      </c>
      <c r="CV96" s="3712">
        <f t="shared" si="472"/>
        <v>0.02</v>
      </c>
      <c r="CW96" s="3715">
        <f t="shared" ref="CW96:CY96" si="473">CW48</f>
        <v>93.10991940000001</v>
      </c>
      <c r="CX96" s="3715">
        <f t="shared" si="473"/>
        <v>93.10991940000001</v>
      </c>
      <c r="CY96" s="3715">
        <f t="shared" si="473"/>
        <v>0</v>
      </c>
      <c r="CZ96" s="4144">
        <f t="shared" ref="CZ96:DB96" si="474">CZ48</f>
        <v>93.109919000000005</v>
      </c>
      <c r="DA96" s="4144">
        <f t="shared" si="474"/>
        <v>93.109919000000005</v>
      </c>
      <c r="DB96" s="4144">
        <f t="shared" si="474"/>
        <v>0</v>
      </c>
      <c r="DC96" s="3715">
        <f t="shared" ref="DC96:DK96" si="475">DC48</f>
        <v>0</v>
      </c>
      <c r="DD96" s="3715">
        <f t="shared" si="475"/>
        <v>0</v>
      </c>
      <c r="DE96" s="3715">
        <f t="shared" si="475"/>
        <v>0</v>
      </c>
      <c r="DF96" s="3715">
        <f t="shared" si="475"/>
        <v>0</v>
      </c>
      <c r="DG96" s="3715">
        <f t="shared" si="475"/>
        <v>0</v>
      </c>
      <c r="DH96" s="3715">
        <f t="shared" si="475"/>
        <v>0</v>
      </c>
      <c r="DI96" s="4034">
        <f t="shared" si="475"/>
        <v>0</v>
      </c>
      <c r="DJ96" s="4034">
        <f t="shared" si="475"/>
        <v>0</v>
      </c>
      <c r="DK96" s="4034">
        <f t="shared" si="475"/>
        <v>0</v>
      </c>
    </row>
    <row r="97" spans="1:115" ht="27" customHeight="1" x14ac:dyDescent="0.3">
      <c r="A97" s="3703" t="s">
        <v>625</v>
      </c>
      <c r="B97" s="3703"/>
      <c r="C97" s="3703"/>
      <c r="D97" s="3703"/>
      <c r="E97" s="3703"/>
      <c r="F97" s="3703"/>
      <c r="G97" s="3703"/>
      <c r="H97" s="3703"/>
      <c r="I97" s="3703"/>
      <c r="J97" s="3703"/>
      <c r="K97" s="3703"/>
      <c r="L97" s="3703"/>
      <c r="M97" s="3703"/>
      <c r="N97" s="3703"/>
      <c r="O97" s="3703"/>
      <c r="P97" s="3703"/>
      <c r="Q97" s="3703"/>
      <c r="R97" s="3703"/>
      <c r="S97" s="3703"/>
      <c r="T97" s="3703"/>
      <c r="U97" s="3703"/>
      <c r="V97" s="3703"/>
      <c r="W97" s="3704"/>
      <c r="X97" s="3703"/>
      <c r="Y97" s="3704"/>
      <c r="Z97" s="3704"/>
      <c r="AA97" s="3704"/>
      <c r="AB97" s="3704"/>
      <c r="AC97" s="3704"/>
      <c r="AD97" s="3704"/>
      <c r="AE97" s="3704"/>
      <c r="AF97" s="3773"/>
      <c r="AG97" s="3704"/>
      <c r="AH97" s="3704"/>
      <c r="AI97" s="3704"/>
      <c r="AJ97" s="3773"/>
      <c r="AK97" s="3704"/>
      <c r="AL97" s="3704"/>
      <c r="AM97" s="3704"/>
      <c r="AN97" s="3704"/>
      <c r="AO97" s="3704"/>
      <c r="AP97" s="3704"/>
      <c r="AQ97" s="3704"/>
      <c r="AR97" s="3704"/>
      <c r="AS97" s="3704"/>
      <c r="AT97" s="3704"/>
      <c r="AU97" s="3704"/>
      <c r="AV97" s="3704"/>
      <c r="AW97" s="3774"/>
      <c r="AX97" s="3704"/>
      <c r="AY97" s="3704"/>
      <c r="AZ97" s="3704"/>
      <c r="BA97" s="3774"/>
      <c r="BB97" s="3704"/>
      <c r="BC97" s="3704"/>
      <c r="BD97" s="3704"/>
      <c r="BE97" s="3704"/>
      <c r="BF97" s="3704"/>
      <c r="BG97" s="3704"/>
      <c r="BH97" s="3704"/>
      <c r="BI97" s="3704"/>
      <c r="BJ97" s="3704"/>
      <c r="BK97" s="3704"/>
      <c r="BL97" s="3704"/>
      <c r="BM97" s="3704"/>
      <c r="BN97" s="3704"/>
      <c r="BO97" s="3704"/>
      <c r="BP97" s="3704"/>
      <c r="BQ97" s="3704"/>
      <c r="BR97" s="3704"/>
      <c r="BS97" s="3704">
        <f t="shared" si="469"/>
        <v>517.29666900000007</v>
      </c>
      <c r="BT97" s="3704">
        <f t="shared" si="469"/>
        <v>517.29666900000007</v>
      </c>
      <c r="BU97" s="3704">
        <f t="shared" si="469"/>
        <v>0</v>
      </c>
      <c r="BV97" s="3704">
        <f t="shared" si="469"/>
        <v>549.04411800000003</v>
      </c>
      <c r="BW97" s="3704">
        <f t="shared" si="469"/>
        <v>549.04411800000003</v>
      </c>
      <c r="BX97" s="3704">
        <f t="shared" si="469"/>
        <v>0</v>
      </c>
      <c r="BY97" s="3601"/>
      <c r="BZ97" s="3775"/>
      <c r="CA97" s="3775"/>
      <c r="CB97" s="3775"/>
      <c r="CC97" s="3775"/>
      <c r="CD97" s="3775"/>
      <c r="CE97" s="3775"/>
      <c r="CF97" s="3775"/>
      <c r="CG97" s="3775"/>
      <c r="CH97" s="3775"/>
      <c r="CI97" s="3775"/>
      <c r="CJ97" s="3775"/>
      <c r="CK97" s="3704">
        <f t="shared" ref="CK97:CM97" si="476">CK49</f>
        <v>322.41899999999998</v>
      </c>
      <c r="CL97" s="3704">
        <f t="shared" si="476"/>
        <v>322.41899999999998</v>
      </c>
      <c r="CM97" s="3704">
        <f t="shared" si="476"/>
        <v>0</v>
      </c>
      <c r="CN97" s="3704">
        <f t="shared" ref="CN97:CS97" si="477">CN49</f>
        <v>0</v>
      </c>
      <c r="CO97" s="3704">
        <f t="shared" si="477"/>
        <v>0</v>
      </c>
      <c r="CP97" s="3704">
        <f t="shared" si="477"/>
        <v>0</v>
      </c>
      <c r="CQ97" s="3704">
        <f t="shared" si="477"/>
        <v>0</v>
      </c>
      <c r="CR97" s="3704">
        <f t="shared" si="477"/>
        <v>0</v>
      </c>
      <c r="CS97" s="3704">
        <f t="shared" si="477"/>
        <v>0</v>
      </c>
      <c r="CT97" s="3704">
        <f t="shared" ref="CT97:CV97" si="478">CT49</f>
        <v>648.35</v>
      </c>
      <c r="CU97" s="3704">
        <f t="shared" si="478"/>
        <v>648.35</v>
      </c>
      <c r="CV97" s="3704">
        <f t="shared" si="478"/>
        <v>0</v>
      </c>
      <c r="CW97" s="3709">
        <f t="shared" ref="CW97:CY97" si="479">CW49</f>
        <v>704.58079999999995</v>
      </c>
      <c r="CX97" s="3709">
        <f t="shared" si="479"/>
        <v>704.58079999999995</v>
      </c>
      <c r="CY97" s="3709">
        <f t="shared" si="479"/>
        <v>0</v>
      </c>
      <c r="CZ97" s="4143">
        <f t="shared" ref="CZ97:DB97" si="480">CZ49</f>
        <v>316.125</v>
      </c>
      <c r="DA97" s="4143">
        <f t="shared" si="480"/>
        <v>316.125</v>
      </c>
      <c r="DB97" s="4143">
        <f t="shared" si="480"/>
        <v>0</v>
      </c>
      <c r="DC97" s="3709">
        <f t="shared" ref="DC97:DK97" si="481">DC49</f>
        <v>193.685</v>
      </c>
      <c r="DD97" s="3709">
        <f t="shared" si="481"/>
        <v>193.685</v>
      </c>
      <c r="DE97" s="3709">
        <f t="shared" si="481"/>
        <v>0</v>
      </c>
      <c r="DF97" s="3709">
        <f t="shared" si="481"/>
        <v>280.77</v>
      </c>
      <c r="DG97" s="3709">
        <f t="shared" si="481"/>
        <v>280.77</v>
      </c>
      <c r="DH97" s="3709">
        <f t="shared" si="481"/>
        <v>0</v>
      </c>
      <c r="DI97" s="4033">
        <f t="shared" si="481"/>
        <v>0</v>
      </c>
      <c r="DJ97" s="4033">
        <f t="shared" si="481"/>
        <v>0</v>
      </c>
      <c r="DK97" s="4033">
        <f t="shared" si="481"/>
        <v>0</v>
      </c>
    </row>
    <row r="98" spans="1:115" ht="27" customHeight="1" x14ac:dyDescent="0.3">
      <c r="A98" s="3716" t="s">
        <v>506</v>
      </c>
      <c r="B98" s="3703"/>
      <c r="C98" s="3703"/>
      <c r="D98" s="3703"/>
      <c r="E98" s="3703"/>
      <c r="F98" s="3703"/>
      <c r="G98" s="3703"/>
      <c r="H98" s="3703"/>
      <c r="I98" s="3703"/>
      <c r="J98" s="3703"/>
      <c r="K98" s="3703"/>
      <c r="L98" s="3703"/>
      <c r="M98" s="3703"/>
      <c r="N98" s="3703"/>
      <c r="O98" s="3703"/>
      <c r="P98" s="3703"/>
      <c r="Q98" s="3703"/>
      <c r="R98" s="3703"/>
      <c r="S98" s="3703"/>
      <c r="T98" s="3703"/>
      <c r="U98" s="3703"/>
      <c r="V98" s="3703"/>
      <c r="W98" s="3704">
        <f>SUM(W50)</f>
        <v>0</v>
      </c>
      <c r="X98" s="3703"/>
      <c r="Y98" s="3704">
        <f t="shared" ref="Y98:AE98" si="482">SUM(Y50)</f>
        <v>0</v>
      </c>
      <c r="Z98" s="3704">
        <f t="shared" si="482"/>
        <v>0</v>
      </c>
      <c r="AA98" s="3704">
        <f t="shared" si="482"/>
        <v>0</v>
      </c>
      <c r="AB98" s="3704">
        <f t="shared" si="482"/>
        <v>0</v>
      </c>
      <c r="AC98" s="3704">
        <f t="shared" si="482"/>
        <v>0</v>
      </c>
      <c r="AD98" s="3704">
        <f t="shared" si="482"/>
        <v>0</v>
      </c>
      <c r="AE98" s="3704">
        <f t="shared" si="482"/>
        <v>885.62</v>
      </c>
      <c r="AF98" s="3773" t="e">
        <f t="shared" si="378"/>
        <v>#DIV/0!</v>
      </c>
      <c r="AG98" s="3704">
        <f>SUM(AG50)</f>
        <v>885.62</v>
      </c>
      <c r="AH98" s="3704">
        <f>SUM(AH50)</f>
        <v>0</v>
      </c>
      <c r="AI98" s="3704">
        <f>SUM(AI50)</f>
        <v>1458.3999999999999</v>
      </c>
      <c r="AJ98" s="3773" t="e">
        <f t="shared" si="379"/>
        <v>#DIV/0!</v>
      </c>
      <c r="AK98" s="3704">
        <f t="shared" ref="AK98:AV98" si="483">SUM(AK50)</f>
        <v>1450.3</v>
      </c>
      <c r="AL98" s="3704">
        <f t="shared" si="483"/>
        <v>8.1</v>
      </c>
      <c r="AM98" s="3704">
        <f t="shared" si="483"/>
        <v>0</v>
      </c>
      <c r="AN98" s="3704">
        <f t="shared" si="483"/>
        <v>0</v>
      </c>
      <c r="AO98" s="3704">
        <f t="shared" si="483"/>
        <v>0</v>
      </c>
      <c r="AP98" s="3704">
        <f t="shared" si="483"/>
        <v>0</v>
      </c>
      <c r="AQ98" s="3704">
        <f t="shared" si="483"/>
        <v>0</v>
      </c>
      <c r="AR98" s="3704">
        <f t="shared" si="483"/>
        <v>0</v>
      </c>
      <c r="AS98" s="3704">
        <f t="shared" si="483"/>
        <v>0</v>
      </c>
      <c r="AT98" s="3704">
        <f t="shared" si="483"/>
        <v>0</v>
      </c>
      <c r="AU98" s="3704">
        <f t="shared" si="483"/>
        <v>0</v>
      </c>
      <c r="AV98" s="3704">
        <f t="shared" si="483"/>
        <v>26.1</v>
      </c>
      <c r="AW98" s="3774">
        <f t="shared" si="381"/>
        <v>1.7896324739440486E-2</v>
      </c>
      <c r="AX98" s="3704">
        <f>SUM(AX50)</f>
        <v>26.1</v>
      </c>
      <c r="AY98" s="3704">
        <f>SUM(AY50)</f>
        <v>0</v>
      </c>
      <c r="AZ98" s="3704">
        <f>SUM(AZ50)</f>
        <v>26.100000000000009</v>
      </c>
      <c r="BA98" s="3774">
        <f t="shared" si="382"/>
        <v>1.789632473944049E-2</v>
      </c>
      <c r="BB98" s="3704">
        <f t="shared" ref="BB98:BX98" si="484">SUM(BB50)</f>
        <v>26.100000000000009</v>
      </c>
      <c r="BC98" s="3704">
        <f t="shared" si="484"/>
        <v>0</v>
      </c>
      <c r="BD98" s="3704">
        <f t="shared" si="484"/>
        <v>0</v>
      </c>
      <c r="BE98" s="3704">
        <f t="shared" si="484"/>
        <v>0</v>
      </c>
      <c r="BF98" s="3704">
        <f t="shared" si="484"/>
        <v>0</v>
      </c>
      <c r="BG98" s="3704">
        <f t="shared" si="484"/>
        <v>0</v>
      </c>
      <c r="BH98" s="3704">
        <f t="shared" si="484"/>
        <v>0</v>
      </c>
      <c r="BI98" s="3704">
        <f t="shared" si="484"/>
        <v>0</v>
      </c>
      <c r="BJ98" s="3704">
        <f t="shared" si="484"/>
        <v>0</v>
      </c>
      <c r="BK98" s="3704">
        <f t="shared" si="484"/>
        <v>0</v>
      </c>
      <c r="BL98" s="3704">
        <f t="shared" si="484"/>
        <v>0</v>
      </c>
      <c r="BM98" s="3704">
        <f t="shared" si="484"/>
        <v>0</v>
      </c>
      <c r="BN98" s="3704">
        <f t="shared" si="484"/>
        <v>0</v>
      </c>
      <c r="BO98" s="3704">
        <f t="shared" si="484"/>
        <v>0</v>
      </c>
      <c r="BP98" s="3704">
        <f t="shared" si="484"/>
        <v>0</v>
      </c>
      <c r="BQ98" s="3704">
        <f t="shared" si="484"/>
        <v>0</v>
      </c>
      <c r="BR98" s="3704">
        <f t="shared" si="484"/>
        <v>0</v>
      </c>
      <c r="BS98" s="3704">
        <f t="shared" si="484"/>
        <v>0</v>
      </c>
      <c r="BT98" s="3704">
        <f t="shared" si="484"/>
        <v>0</v>
      </c>
      <c r="BU98" s="3704">
        <f t="shared" si="484"/>
        <v>0</v>
      </c>
      <c r="BV98" s="3704">
        <f t="shared" si="484"/>
        <v>0</v>
      </c>
      <c r="BW98" s="3704">
        <f t="shared" si="484"/>
        <v>0</v>
      </c>
      <c r="BX98" s="3704">
        <f t="shared" si="484"/>
        <v>0</v>
      </c>
      <c r="BY98" s="3601"/>
      <c r="BZ98" s="3775"/>
      <c r="CA98" s="3775"/>
      <c r="CB98" s="3775"/>
      <c r="CC98" s="3775"/>
      <c r="CD98" s="3775"/>
      <c r="CE98" s="3775"/>
      <c r="CF98" s="3775"/>
      <c r="CG98" s="3775"/>
      <c r="CH98" s="3775"/>
      <c r="CI98" s="3775"/>
      <c r="CJ98" s="3775"/>
      <c r="CK98" s="3704">
        <f t="shared" ref="CK98:CM98" si="485">SUM(CK50)</f>
        <v>0</v>
      </c>
      <c r="CL98" s="3704">
        <f t="shared" si="485"/>
        <v>0</v>
      </c>
      <c r="CM98" s="3704">
        <f t="shared" si="485"/>
        <v>0</v>
      </c>
      <c r="CN98" s="3704">
        <f t="shared" ref="CN98:CS98" si="486">SUM(CN50)</f>
        <v>0</v>
      </c>
      <c r="CO98" s="3704">
        <f t="shared" si="486"/>
        <v>0</v>
      </c>
      <c r="CP98" s="3704">
        <f t="shared" si="486"/>
        <v>0</v>
      </c>
      <c r="CQ98" s="3704">
        <f t="shared" si="486"/>
        <v>0</v>
      </c>
      <c r="CR98" s="3704">
        <f t="shared" si="486"/>
        <v>0</v>
      </c>
      <c r="CS98" s="3704">
        <f t="shared" si="486"/>
        <v>0</v>
      </c>
      <c r="CT98" s="3704">
        <f t="shared" ref="CT98:CV98" si="487">SUM(CT50)</f>
        <v>0</v>
      </c>
      <c r="CU98" s="3704">
        <f t="shared" si="487"/>
        <v>0</v>
      </c>
      <c r="CV98" s="3704">
        <f t="shared" si="487"/>
        <v>0</v>
      </c>
      <c r="CW98" s="3709">
        <f t="shared" ref="CW98:CY98" si="488">SUM(CW50)</f>
        <v>0</v>
      </c>
      <c r="CX98" s="3709">
        <f t="shared" si="488"/>
        <v>0</v>
      </c>
      <c r="CY98" s="3709">
        <f t="shared" si="488"/>
        <v>0</v>
      </c>
      <c r="CZ98" s="4143">
        <f t="shared" ref="CZ98:DB98" si="489">SUM(CZ50)</f>
        <v>0</v>
      </c>
      <c r="DA98" s="4143">
        <f t="shared" si="489"/>
        <v>0</v>
      </c>
      <c r="DB98" s="4143">
        <f t="shared" si="489"/>
        <v>0</v>
      </c>
      <c r="DC98" s="3709">
        <f t="shared" ref="DC98:DK98" si="490">SUM(DC50)</f>
        <v>0</v>
      </c>
      <c r="DD98" s="3709">
        <f t="shared" si="490"/>
        <v>0</v>
      </c>
      <c r="DE98" s="3709">
        <f t="shared" si="490"/>
        <v>0</v>
      </c>
      <c r="DF98" s="3709">
        <f t="shared" si="490"/>
        <v>0</v>
      </c>
      <c r="DG98" s="3709">
        <f t="shared" si="490"/>
        <v>0</v>
      </c>
      <c r="DH98" s="3709">
        <f t="shared" si="490"/>
        <v>0</v>
      </c>
      <c r="DI98" s="4033">
        <f t="shared" si="490"/>
        <v>0</v>
      </c>
      <c r="DJ98" s="4033">
        <f t="shared" si="490"/>
        <v>0</v>
      </c>
      <c r="DK98" s="4033">
        <f t="shared" si="490"/>
        <v>0</v>
      </c>
    </row>
    <row r="99" spans="1:115" ht="27" customHeight="1" x14ac:dyDescent="0.35">
      <c r="A99" s="3719" t="s">
        <v>12</v>
      </c>
      <c r="B99" s="3719"/>
      <c r="C99" s="3719"/>
      <c r="D99" s="3719"/>
      <c r="E99" s="3719"/>
      <c r="F99" s="3719"/>
      <c r="G99" s="3719"/>
      <c r="H99" s="3719"/>
      <c r="I99" s="3719"/>
      <c r="J99" s="3719"/>
      <c r="K99" s="3719"/>
      <c r="L99" s="3719"/>
      <c r="M99" s="3719"/>
      <c r="N99" s="3719"/>
      <c r="O99" s="3719"/>
      <c r="P99" s="3719"/>
      <c r="Q99" s="3719"/>
      <c r="R99" s="3719"/>
      <c r="S99" s="3719"/>
      <c r="T99" s="3719"/>
      <c r="U99" s="3719"/>
      <c r="V99" s="3719"/>
      <c r="W99" s="3720">
        <f>SUM(W86:W98)</f>
        <v>96034.680000000008</v>
      </c>
      <c r="X99" s="3719"/>
      <c r="Y99" s="3720" t="e">
        <f t="shared" ref="Y99:AE99" si="491">SUM(Y86:Y98)</f>
        <v>#REF!</v>
      </c>
      <c r="Z99" s="3720" t="e">
        <f t="shared" si="491"/>
        <v>#REF!</v>
      </c>
      <c r="AA99" s="3720" t="e">
        <f t="shared" si="491"/>
        <v>#REF!</v>
      </c>
      <c r="AB99" s="3720">
        <f t="shared" si="491"/>
        <v>70897.669500000004</v>
      </c>
      <c r="AC99" s="3720">
        <f t="shared" si="491"/>
        <v>70520.933541510851</v>
      </c>
      <c r="AD99" s="3720">
        <f t="shared" si="491"/>
        <v>376.73595848915204</v>
      </c>
      <c r="AE99" s="3720">
        <f t="shared" si="491"/>
        <v>85498.659999999989</v>
      </c>
      <c r="AF99" s="3778" t="e">
        <f t="shared" si="378"/>
        <v>#REF!</v>
      </c>
      <c r="AG99" s="3720">
        <f t="shared" ref="AG99" si="492">SUM(AG86:AG98)</f>
        <v>85594.609999999986</v>
      </c>
      <c r="AH99" s="3720">
        <f t="shared" ref="AH99" si="493">SUM(AH86:AH98)</f>
        <v>343.42</v>
      </c>
      <c r="AI99" s="3720">
        <f t="shared" ref="AI99:AK99" si="494">SUM(AI86:AI98)</f>
        <v>81205.828863845803</v>
      </c>
      <c r="AJ99" s="3778" t="e">
        <f t="shared" si="379"/>
        <v>#REF!</v>
      </c>
      <c r="AK99" s="3720" t="e">
        <f t="shared" si="494"/>
        <v>#REF!</v>
      </c>
      <c r="AL99" s="3720" t="e">
        <f t="shared" ref="AL99" si="495">SUM(AL86:AL98)</f>
        <v>#REF!</v>
      </c>
      <c r="AM99" s="3720" t="e">
        <f t="shared" ref="AM99" si="496">SUM(AM86:AM98)</f>
        <v>#REF!</v>
      </c>
      <c r="AN99" s="3720" t="e">
        <f t="shared" ref="AN99" si="497">SUM(AN86:AN98)</f>
        <v>#REF!</v>
      </c>
      <c r="AO99" s="3720" t="e">
        <f t="shared" ref="AO99" si="498">SUM(AO86:AO98)</f>
        <v>#REF!</v>
      </c>
      <c r="AP99" s="3720">
        <f t="shared" ref="AP99" si="499">SUM(AP86:AP98)</f>
        <v>25525.759999999998</v>
      </c>
      <c r="AQ99" s="3720">
        <f t="shared" ref="AQ99" si="500">SUM(AQ86:AQ98)</f>
        <v>25440.449918838356</v>
      </c>
      <c r="AR99" s="3720">
        <f t="shared" ref="AR99" si="501">SUM(AR86:AR98)</f>
        <v>85.310081161642032</v>
      </c>
      <c r="AS99" s="3720">
        <f t="shared" ref="AS99" si="502">SUM(AS86:AS98)</f>
        <v>40253.670000000006</v>
      </c>
      <c r="AT99" s="3720">
        <f t="shared" ref="AT99" si="503">SUM(AT86:AT98)</f>
        <v>40082.03991791149</v>
      </c>
      <c r="AU99" s="3720">
        <f t="shared" ref="AU99" si="504">SUM(AU86:AU98)</f>
        <v>171.63008208850837</v>
      </c>
      <c r="AV99" s="3720">
        <f t="shared" ref="AV99" si="505">SUM(AV86:AV98)</f>
        <v>92157.97384440084</v>
      </c>
      <c r="AW99" s="3779">
        <f t="shared" si="381"/>
        <v>1.1348689513275951</v>
      </c>
      <c r="AX99" s="3720">
        <f t="shared" ref="AX99" si="506">SUM(AX86:AX98)</f>
        <v>91796.952754033511</v>
      </c>
      <c r="AY99" s="3720">
        <f t="shared" ref="AY99" si="507">SUM(AY86:AY98)</f>
        <v>361.02109036731986</v>
      </c>
      <c r="AZ99" s="3720">
        <f t="shared" ref="AZ99" si="508">SUM(AZ86:AZ98)</f>
        <v>81331.231157922142</v>
      </c>
      <c r="BA99" s="3779">
        <f t="shared" si="382"/>
        <v>1.0015442523748708</v>
      </c>
      <c r="BB99" s="3720">
        <f t="shared" ref="BB99" si="509">SUM(BB86:BB98)</f>
        <v>81065.511009907219</v>
      </c>
      <c r="BC99" s="3720">
        <f t="shared" ref="BC99:BE99" si="510">SUM(BC86:BC98)</f>
        <v>265.72014801492946</v>
      </c>
      <c r="BD99" s="3720">
        <f t="shared" si="510"/>
        <v>81554.209999999992</v>
      </c>
      <c r="BE99" s="3720">
        <f t="shared" si="510"/>
        <v>81207.200000000012</v>
      </c>
      <c r="BF99" s="3720">
        <f t="shared" ref="BF99:BH99" si="511">SUM(BF86:BF98)</f>
        <v>347.01</v>
      </c>
      <c r="BG99" s="3720">
        <f t="shared" si="511"/>
        <v>79589.19</v>
      </c>
      <c r="BH99" s="3720">
        <f t="shared" si="511"/>
        <v>79280.179999999993</v>
      </c>
      <c r="BI99" s="3720">
        <f t="shared" ref="BI99:BQ99" si="512">SUM(BI86:BI98)</f>
        <v>309.01</v>
      </c>
      <c r="BJ99" s="3720">
        <f t="shared" si="512"/>
        <v>89291.181999999986</v>
      </c>
      <c r="BK99" s="3720">
        <f t="shared" si="512"/>
        <v>88993.983999999997</v>
      </c>
      <c r="BL99" s="3720">
        <f t="shared" ref="BL99:BN99" si="513">SUM(BL86:BL98)</f>
        <v>297.19800000000004</v>
      </c>
      <c r="BM99" s="3720">
        <f t="shared" si="513"/>
        <v>81692.375999999989</v>
      </c>
      <c r="BN99" s="3720">
        <f t="shared" si="513"/>
        <v>81392.004000000001</v>
      </c>
      <c r="BO99" s="3720">
        <f t="shared" ref="BO99" si="514">SUM(BO86:BO98)</f>
        <v>300.37199999999996</v>
      </c>
      <c r="BP99" s="3720">
        <f t="shared" si="512"/>
        <v>116751.69000000002</v>
      </c>
      <c r="BQ99" s="3720">
        <f t="shared" si="512"/>
        <v>116299.36</v>
      </c>
      <c r="BR99" s="3720">
        <f t="shared" ref="BR99:BT99" si="515">SUM(BR86:BR98)</f>
        <v>452.33000000000004</v>
      </c>
      <c r="BS99" s="3720">
        <f>SUM(BS86:BS98)</f>
        <v>96528.558904823658</v>
      </c>
      <c r="BT99" s="3720">
        <f t="shared" si="515"/>
        <v>96264.34266839271</v>
      </c>
      <c r="BU99" s="3720">
        <f t="shared" ref="BU99" si="516">SUM(BU86:BU98)</f>
        <v>264.21623643095785</v>
      </c>
      <c r="BV99" s="3720">
        <f>SUM(BV86:BV98)</f>
        <v>100796.00511219277</v>
      </c>
      <c r="BW99" s="3720">
        <f t="shared" ref="BW99:BX99" si="517">SUM(BW86:BW98)</f>
        <v>100435.51397593357</v>
      </c>
      <c r="BX99" s="3720">
        <f t="shared" si="517"/>
        <v>360.49113625919534</v>
      </c>
      <c r="BY99" s="3601"/>
      <c r="BZ99" s="3775"/>
      <c r="CA99" s="3775"/>
      <c r="CB99" s="3775"/>
      <c r="CC99" s="3775"/>
      <c r="CD99" s="3775"/>
      <c r="CE99" s="3775"/>
      <c r="CF99" s="3775"/>
      <c r="CG99" s="3775"/>
      <c r="CH99" s="3775"/>
      <c r="CI99" s="3775"/>
      <c r="CJ99" s="3775"/>
      <c r="CK99" s="3720">
        <f>SUM(CK86:CK98)</f>
        <v>97878.703751422479</v>
      </c>
      <c r="CL99" s="3720">
        <f t="shared" ref="CL99:CM99" si="518">SUM(CL86:CL98)</f>
        <v>97610.762389121403</v>
      </c>
      <c r="CM99" s="3720">
        <f t="shared" si="518"/>
        <v>267.94681284789755</v>
      </c>
      <c r="CN99" s="3720">
        <f t="shared" ref="CN99:CP99" si="519">SUM(CN86:CN98)-CN96</f>
        <v>41431.43548</v>
      </c>
      <c r="CO99" s="3720">
        <f t="shared" si="519"/>
        <v>41333.026149999998</v>
      </c>
      <c r="CP99" s="3720">
        <f t="shared" si="519"/>
        <v>98.409330000000011</v>
      </c>
      <c r="CQ99" s="3720">
        <f>SUM(CQ86:CQ98)-CQ96</f>
        <v>62414.571279999996</v>
      </c>
      <c r="CR99" s="3720">
        <f t="shared" ref="CR99:CS99" si="520">SUM(CR86:CR98)-CR96</f>
        <v>62279.233330000003</v>
      </c>
      <c r="CS99" s="3720">
        <f t="shared" si="520"/>
        <v>135.33795000000001</v>
      </c>
      <c r="CT99" s="3720">
        <f>SUM(CT86:CT98)-CT96</f>
        <v>83657.96805000001</v>
      </c>
      <c r="CU99" s="3720">
        <f t="shared" ref="CU99:CV99" si="521">SUM(CU86:CU98)-CU96</f>
        <v>83476.863000000012</v>
      </c>
      <c r="CV99" s="3720">
        <f t="shared" si="521"/>
        <v>181.10505000000001</v>
      </c>
      <c r="CW99" s="3723">
        <f>SUM(CW86:CW98)-CW96</f>
        <v>115457.9314666601</v>
      </c>
      <c r="CX99" s="3723">
        <f t="shared" ref="CX99:CY99" si="522">SUM(CX86:CX98)-CX96</f>
        <v>115167.01183817482</v>
      </c>
      <c r="CY99" s="3723">
        <f t="shared" si="522"/>
        <v>290.91962848529323</v>
      </c>
      <c r="CZ99" s="4138">
        <f>SUM(CZ86:CZ98)-CZ96</f>
        <v>100870.70467159999</v>
      </c>
      <c r="DA99" s="4138">
        <f t="shared" ref="DA99:DB99" si="523">SUM(DA86:DA98)-DA96</f>
        <v>100595.26039686297</v>
      </c>
      <c r="DB99" s="4138">
        <f t="shared" si="523"/>
        <v>275.44427473702683</v>
      </c>
      <c r="DC99" s="3723">
        <f t="shared" ref="DC99:DE99" si="524">SUM(DC86:DC98)-DC96</f>
        <v>41578.582459999998</v>
      </c>
      <c r="DD99" s="3723">
        <f t="shared" si="524"/>
        <v>41485.347179999997</v>
      </c>
      <c r="DE99" s="3723">
        <f t="shared" si="524"/>
        <v>93.235280000000003</v>
      </c>
      <c r="DF99" s="3723">
        <f>SUM(DF86:DF98)-DF96</f>
        <v>62789.189830000003</v>
      </c>
      <c r="DG99" s="3723">
        <f t="shared" ref="DG99:DH99" si="525">SUM(DG86:DG98)-DG96</f>
        <v>62650.197609999996</v>
      </c>
      <c r="DH99" s="3723">
        <f t="shared" si="525"/>
        <v>138.99222</v>
      </c>
      <c r="DI99" s="4036">
        <f>SUM(DI86:DI98)-DI96</f>
        <v>8954.82</v>
      </c>
      <c r="DJ99" s="4036">
        <f t="shared" ref="DJ99:DK99" si="526">SUM(DJ86:DJ98)-DJ96</f>
        <v>8931.07</v>
      </c>
      <c r="DK99" s="4036">
        <f t="shared" si="526"/>
        <v>23.75</v>
      </c>
    </row>
    <row r="100" spans="1:115" ht="27" customHeight="1" x14ac:dyDescent="0.35">
      <c r="A100" s="3719" t="s">
        <v>13</v>
      </c>
      <c r="B100" s="3719"/>
      <c r="C100" s="3719"/>
      <c r="D100" s="3719"/>
      <c r="E100" s="3719"/>
      <c r="F100" s="3719"/>
      <c r="G100" s="3719"/>
      <c r="H100" s="3719"/>
      <c r="I100" s="3719"/>
      <c r="J100" s="3719"/>
      <c r="K100" s="3719"/>
      <c r="L100" s="3719"/>
      <c r="M100" s="3719"/>
      <c r="N100" s="3719"/>
      <c r="O100" s="3719"/>
      <c r="P100" s="3719"/>
      <c r="Q100" s="3719"/>
      <c r="R100" s="3719"/>
      <c r="S100" s="3719"/>
      <c r="T100" s="3719"/>
      <c r="U100" s="3719"/>
      <c r="V100" s="3719"/>
      <c r="W100" s="3720">
        <f>SUM(W65)</f>
        <v>3600</v>
      </c>
      <c r="X100" s="3719"/>
      <c r="Y100" s="3720" t="e">
        <f t="shared" ref="Y100:AE100" si="527">SUM(Y65)</f>
        <v>#REF!</v>
      </c>
      <c r="Z100" s="3720" t="e">
        <f t="shared" si="527"/>
        <v>#REF!</v>
      </c>
      <c r="AA100" s="3720">
        <f t="shared" si="527"/>
        <v>28</v>
      </c>
      <c r="AB100" s="3720">
        <f t="shared" si="527"/>
        <v>3476.2</v>
      </c>
      <c r="AC100" s="3720">
        <f t="shared" si="527"/>
        <v>3446</v>
      </c>
      <c r="AD100" s="3720">
        <f t="shared" si="527"/>
        <v>30.2</v>
      </c>
      <c r="AE100" s="3720">
        <f t="shared" si="527"/>
        <v>3672.7</v>
      </c>
      <c r="AF100" s="3778" t="e">
        <f t="shared" si="378"/>
        <v>#REF!</v>
      </c>
      <c r="AG100" s="3720">
        <f t="shared" ref="AG100:AI100" si="528">SUM(AG65)</f>
        <v>3644.7</v>
      </c>
      <c r="AH100" s="3720">
        <f t="shared" si="528"/>
        <v>28</v>
      </c>
      <c r="AI100" s="3720">
        <f t="shared" si="528"/>
        <v>3644.7</v>
      </c>
      <c r="AJ100" s="3778" t="e">
        <f t="shared" si="379"/>
        <v>#REF!</v>
      </c>
      <c r="AK100" s="3720">
        <f t="shared" ref="AK100:AV100" si="529">SUM(AK65)</f>
        <v>3644.7</v>
      </c>
      <c r="AL100" s="3720">
        <f t="shared" si="529"/>
        <v>0</v>
      </c>
      <c r="AM100" s="3720" t="e">
        <f t="shared" si="529"/>
        <v>#REF!</v>
      </c>
      <c r="AN100" s="3720" t="e">
        <f t="shared" si="529"/>
        <v>#REF!</v>
      </c>
      <c r="AO100" s="3720" t="e">
        <f t="shared" si="529"/>
        <v>#REF!</v>
      </c>
      <c r="AP100" s="3720">
        <f t="shared" si="529"/>
        <v>1670.74</v>
      </c>
      <c r="AQ100" s="3720">
        <f t="shared" si="529"/>
        <v>1661.07</v>
      </c>
      <c r="AR100" s="3720">
        <f t="shared" si="529"/>
        <v>9.67</v>
      </c>
      <c r="AS100" s="3720">
        <f t="shared" si="529"/>
        <v>3209.95</v>
      </c>
      <c r="AT100" s="3720">
        <f t="shared" si="529"/>
        <v>3186.5699999999997</v>
      </c>
      <c r="AU100" s="3720">
        <f t="shared" si="529"/>
        <v>23.38</v>
      </c>
      <c r="AV100" s="3720">
        <f t="shared" si="529"/>
        <v>3473</v>
      </c>
      <c r="AW100" s="3779">
        <f t="shared" si="381"/>
        <v>0.95289049853211516</v>
      </c>
      <c r="AX100" s="3720">
        <f t="shared" ref="AX100:AZ100" si="530">SUM(AX65)</f>
        <v>3445</v>
      </c>
      <c r="AY100" s="3720">
        <f t="shared" si="530"/>
        <v>28</v>
      </c>
      <c r="AZ100" s="3720">
        <f t="shared" si="530"/>
        <v>3463.93</v>
      </c>
      <c r="BA100" s="3779">
        <f t="shared" si="382"/>
        <v>0.95040195352155188</v>
      </c>
      <c r="BB100" s="3720">
        <f t="shared" ref="BB100:BD100" si="531">SUM(BB65)</f>
        <v>3445</v>
      </c>
      <c r="BC100" s="3720">
        <f t="shared" si="531"/>
        <v>18.93</v>
      </c>
      <c r="BD100" s="3720">
        <f t="shared" si="531"/>
        <v>3061.4900000000002</v>
      </c>
      <c r="BE100" s="3720">
        <f t="shared" ref="BE100:BG100" si="532">SUM(BE65)</f>
        <v>3040.84</v>
      </c>
      <c r="BF100" s="3720">
        <f t="shared" si="532"/>
        <v>20.65</v>
      </c>
      <c r="BG100" s="3720">
        <f t="shared" si="532"/>
        <v>3197.3199999999997</v>
      </c>
      <c r="BH100" s="3720">
        <f t="shared" ref="BH100:BP100" si="533">SUM(BH65)</f>
        <v>3178.1</v>
      </c>
      <c r="BI100" s="3720">
        <f t="shared" si="533"/>
        <v>19.22</v>
      </c>
      <c r="BJ100" s="3720">
        <f t="shared" si="533"/>
        <v>3248.93</v>
      </c>
      <c r="BK100" s="3720">
        <f t="shared" ref="BK100:BL100" si="534">SUM(BK65)</f>
        <v>3230</v>
      </c>
      <c r="BL100" s="3720">
        <f t="shared" si="534"/>
        <v>18.93</v>
      </c>
      <c r="BM100" s="3720">
        <f>SUM(BN100:BO100)</f>
        <v>3150.37</v>
      </c>
      <c r="BN100" s="3720">
        <v>3132.12</v>
      </c>
      <c r="BO100" s="3720">
        <v>18.25</v>
      </c>
      <c r="BP100" s="3720">
        <f t="shared" si="533"/>
        <v>3248.93</v>
      </c>
      <c r="BQ100" s="3720">
        <f t="shared" ref="BQ100:BS100" si="535">SUM(BQ65)</f>
        <v>3230</v>
      </c>
      <c r="BR100" s="3720">
        <f t="shared" si="535"/>
        <v>18.93</v>
      </c>
      <c r="BS100" s="3720">
        <f t="shared" si="535"/>
        <v>3020.0036431580988</v>
      </c>
      <c r="BT100" s="3720">
        <f t="shared" ref="BT100:BU100" si="536">SUM(BT65)</f>
        <v>3002.3369764914323</v>
      </c>
      <c r="BU100" s="3720">
        <f t="shared" si="536"/>
        <v>17.666666666666668</v>
      </c>
      <c r="BV100" s="3720">
        <f t="shared" ref="BV100" si="537">SUM(BV65)</f>
        <v>3020.0036431580988</v>
      </c>
      <c r="BW100" s="3720">
        <f t="shared" ref="BW100:BX100" si="538">SUM(BW65)</f>
        <v>3002.3369764914323</v>
      </c>
      <c r="BX100" s="3720">
        <f t="shared" si="538"/>
        <v>17.666666666666668</v>
      </c>
      <c r="BY100" s="3601"/>
      <c r="BZ100" s="3775"/>
      <c r="CA100" s="3775"/>
      <c r="CB100" s="3775"/>
      <c r="CC100" s="3775"/>
      <c r="CD100" s="3775"/>
      <c r="CE100" s="3775"/>
      <c r="CF100" s="3775"/>
      <c r="CG100" s="3775"/>
      <c r="CH100" s="3775"/>
      <c r="CI100" s="3775"/>
      <c r="CJ100" s="3775"/>
      <c r="CK100" s="3720">
        <f>SUM(CL100:CM100)</f>
        <v>2844.4046666666663</v>
      </c>
      <c r="CL100" s="3720">
        <f>SUM(объемы!BD63)</f>
        <v>2826.7379999999998</v>
      </c>
      <c r="CM100" s="3720">
        <f>SUM(объемы!BE63)</f>
        <v>17.666666666666668</v>
      </c>
      <c r="CN100" s="3720">
        <f>SUM(CO100:CP100)</f>
        <v>1547.3829999999998</v>
      </c>
      <c r="CO100" s="3720">
        <f>SUM(объемы!BF63)</f>
        <v>1538.6509999999998</v>
      </c>
      <c r="CP100" s="3720">
        <f>SUM(объемы!BG63)</f>
        <v>8.7319999999999993</v>
      </c>
      <c r="CQ100" s="3720">
        <f>SUM(CR100:CS100)</f>
        <v>2322.4540000000002</v>
      </c>
      <c r="CR100" s="3720">
        <f>SUM(объемы!BH63)</f>
        <v>2309.123</v>
      </c>
      <c r="CS100" s="3720">
        <f>SUM(объемы!BI63)</f>
        <v>13.331</v>
      </c>
      <c r="CT100" s="3720">
        <f>SUM(CU100:CV100)</f>
        <v>3120.433</v>
      </c>
      <c r="CU100" s="3720">
        <f>SUM(объемы!BJ63)</f>
        <v>3105.598</v>
      </c>
      <c r="CV100" s="3720">
        <f>SUM(объемы!BK63)</f>
        <v>14.835000000000001</v>
      </c>
      <c r="CW100" s="3723">
        <f>SUM(CX100:CY100)</f>
        <v>2844.4046666666663</v>
      </c>
      <c r="CX100" s="3723">
        <f>SUM(объемы!BL63)</f>
        <v>2826.7379999999998</v>
      </c>
      <c r="CY100" s="3723">
        <f>SUM(объемы!BM63)</f>
        <v>17.666666666666668</v>
      </c>
      <c r="CZ100" s="4138">
        <f>SUM(DA100:DB100)</f>
        <v>2844.4049999999997</v>
      </c>
      <c r="DA100" s="4138">
        <f>SUM(объемы!BN63)</f>
        <v>2826.7379999999998</v>
      </c>
      <c r="DB100" s="4138">
        <f>SUM(объемы!BO63)</f>
        <v>17.667000000000002</v>
      </c>
      <c r="DC100" s="3723">
        <f>SUM(DD100:DE100)</f>
        <v>1567.3310000000001</v>
      </c>
      <c r="DD100" s="3723">
        <f>SUM(объемы!BQ63)</f>
        <v>1559.5720000000001</v>
      </c>
      <c r="DE100" s="3723">
        <f>SUM(объемы!BR63)</f>
        <v>7.7590000000000003</v>
      </c>
      <c r="DF100" s="3723">
        <f>SUM(DG100:DH100)</f>
        <v>2286.9459999999999</v>
      </c>
      <c r="DG100" s="3723">
        <f>SUM(объемы!BS63)</f>
        <v>2275.0949999999998</v>
      </c>
      <c r="DH100" s="3723">
        <f>SUM(объемы!BT63)</f>
        <v>11.851000000000001</v>
      </c>
      <c r="DI100" s="4036">
        <f>SUM(DJ100:DK100)</f>
        <v>0</v>
      </c>
      <c r="DJ100" s="4036">
        <f>SUM(объемы!BY63)</f>
        <v>0</v>
      </c>
      <c r="DK100" s="4036">
        <f>SUM(объемы!BZ63)</f>
        <v>0</v>
      </c>
    </row>
    <row r="101" spans="1:115" ht="27" customHeight="1" x14ac:dyDescent="0.35">
      <c r="A101" s="3719" t="s">
        <v>14</v>
      </c>
      <c r="B101" s="3719"/>
      <c r="C101" s="3719"/>
      <c r="D101" s="3719"/>
      <c r="E101" s="3719"/>
      <c r="F101" s="3719"/>
      <c r="G101" s="3719"/>
      <c r="H101" s="3719"/>
      <c r="I101" s="3719"/>
      <c r="J101" s="3719"/>
      <c r="K101" s="3719"/>
      <c r="L101" s="3719"/>
      <c r="M101" s="3719"/>
      <c r="N101" s="3719"/>
      <c r="O101" s="3719"/>
      <c r="P101" s="3719"/>
      <c r="Q101" s="3719"/>
      <c r="R101" s="3719"/>
      <c r="S101" s="3719"/>
      <c r="T101" s="3719"/>
      <c r="U101" s="3719"/>
      <c r="V101" s="3719"/>
      <c r="W101" s="3725">
        <f>SUM(W99/W100)</f>
        <v>26.676300000000001</v>
      </c>
      <c r="X101" s="3719"/>
      <c r="Y101" s="3725" t="e">
        <f t="shared" ref="Y101:AE101" si="539">SUM(Y99/Y100)</f>
        <v>#REF!</v>
      </c>
      <c r="Z101" s="3725" t="e">
        <f t="shared" si="539"/>
        <v>#REF!</v>
      </c>
      <c r="AA101" s="3725" t="e">
        <f t="shared" si="539"/>
        <v>#REF!</v>
      </c>
      <c r="AB101" s="3725">
        <f t="shared" si="539"/>
        <v>20.395164115988724</v>
      </c>
      <c r="AC101" s="3725">
        <f t="shared" si="539"/>
        <v>20.464577348087886</v>
      </c>
      <c r="AD101" s="3725">
        <f t="shared" si="539"/>
        <v>12.474700612223577</v>
      </c>
      <c r="AE101" s="3725">
        <f t="shared" si="539"/>
        <v>23.27951098646772</v>
      </c>
      <c r="AF101" s="3778" t="e">
        <f t="shared" si="378"/>
        <v>#REF!</v>
      </c>
      <c r="AG101" s="3725">
        <f>SUM(AG99/AG100)</f>
        <v>23.484679123110269</v>
      </c>
      <c r="AH101" s="3725">
        <f>SUM(AH99/AH100)</f>
        <v>12.265000000000001</v>
      </c>
      <c r="AI101" s="3725">
        <f>SUM(AI99/AI100)</f>
        <v>22.280524834374791</v>
      </c>
      <c r="AJ101" s="3778" t="e">
        <f t="shared" si="379"/>
        <v>#REF!</v>
      </c>
      <c r="AK101" s="3725" t="e">
        <f t="shared" ref="AK101:AV101" si="540">SUM(AK99/AK100)</f>
        <v>#REF!</v>
      </c>
      <c r="AL101" s="3725" t="e">
        <f t="shared" si="540"/>
        <v>#REF!</v>
      </c>
      <c r="AM101" s="3725" t="e">
        <f t="shared" si="540"/>
        <v>#REF!</v>
      </c>
      <c r="AN101" s="3725" t="e">
        <f t="shared" si="540"/>
        <v>#REF!</v>
      </c>
      <c r="AO101" s="3725" t="e">
        <f t="shared" si="540"/>
        <v>#REF!</v>
      </c>
      <c r="AP101" s="3725">
        <f t="shared" si="540"/>
        <v>15.278116283802387</v>
      </c>
      <c r="AQ101" s="3725">
        <f t="shared" si="540"/>
        <v>15.315700072145278</v>
      </c>
      <c r="AR101" s="3725">
        <f t="shared" si="540"/>
        <v>8.8221386930343364</v>
      </c>
      <c r="AS101" s="3725">
        <f t="shared" si="540"/>
        <v>12.540279443605042</v>
      </c>
      <c r="AT101" s="3725">
        <f t="shared" si="540"/>
        <v>12.578427562523808</v>
      </c>
      <c r="AU101" s="3725">
        <f t="shared" si="540"/>
        <v>7.3408931603297001</v>
      </c>
      <c r="AV101" s="3725">
        <f t="shared" si="540"/>
        <v>26.535552503426675</v>
      </c>
      <c r="AW101" s="3779">
        <f t="shared" si="381"/>
        <v>1.1909751992236355</v>
      </c>
      <c r="AX101" s="3725">
        <f>SUM(AX99/AX100)</f>
        <v>26.646430407556899</v>
      </c>
      <c r="AY101" s="3725">
        <f>SUM(AY99/AY100)</f>
        <v>12.893610370261424</v>
      </c>
      <c r="AZ101" s="3725">
        <f>SUM(AZ99/AZ100)</f>
        <v>23.479467298104218</v>
      </c>
      <c r="BA101" s="3779">
        <f t="shared" si="382"/>
        <v>1.0538112307785352</v>
      </c>
      <c r="BB101" s="3725">
        <f t="shared" ref="BB101:BX101" si="541">SUM(BB99/BB100)</f>
        <v>23.531352978202385</v>
      </c>
      <c r="BC101" s="3725">
        <f t="shared" si="541"/>
        <v>14.036986160323796</v>
      </c>
      <c r="BD101" s="3725">
        <f t="shared" si="541"/>
        <v>26.638731467357392</v>
      </c>
      <c r="BE101" s="3725">
        <f t="shared" si="541"/>
        <v>26.705515581220983</v>
      </c>
      <c r="BF101" s="3725">
        <f t="shared" si="541"/>
        <v>16.804358353510896</v>
      </c>
      <c r="BG101" s="3725">
        <f t="shared" si="541"/>
        <v>24.892469318053873</v>
      </c>
      <c r="BH101" s="3725">
        <f t="shared" si="541"/>
        <v>24.945778924514645</v>
      </c>
      <c r="BI101" s="3725">
        <f t="shared" si="541"/>
        <v>16.077523413111344</v>
      </c>
      <c r="BJ101" s="3725">
        <f t="shared" si="541"/>
        <v>27.48325818038554</v>
      </c>
      <c r="BK101" s="3725">
        <f t="shared" si="541"/>
        <v>27.552317027863776</v>
      </c>
      <c r="BL101" s="3725">
        <f t="shared" si="541"/>
        <v>15.699841521394614</v>
      </c>
      <c r="BM101" s="3725">
        <f t="shared" si="541"/>
        <v>25.931041750651509</v>
      </c>
      <c r="BN101" s="3725">
        <f t="shared" si="541"/>
        <v>25.986234243898704</v>
      </c>
      <c r="BO101" s="3725">
        <f t="shared" si="541"/>
        <v>16.458739726027396</v>
      </c>
      <c r="BP101" s="3725">
        <f t="shared" si="541"/>
        <v>35.935427971670677</v>
      </c>
      <c r="BQ101" s="3725">
        <f t="shared" si="541"/>
        <v>36.005993808049539</v>
      </c>
      <c r="BR101" s="3725">
        <f t="shared" si="541"/>
        <v>23.894875858425781</v>
      </c>
      <c r="BS101" s="3725">
        <f t="shared" si="541"/>
        <v>31.963060416669283</v>
      </c>
      <c r="BT101" s="3725">
        <f t="shared" si="541"/>
        <v>32.063137290101395</v>
      </c>
      <c r="BU101" s="3725">
        <f t="shared" si="541"/>
        <v>14.95563602439384</v>
      </c>
      <c r="BV101" s="3725">
        <f t="shared" si="541"/>
        <v>33.376120370102498</v>
      </c>
      <c r="BW101" s="3725">
        <f t="shared" si="541"/>
        <v>33.452445465766388</v>
      </c>
      <c r="BX101" s="3725">
        <f t="shared" si="541"/>
        <v>20.405158656180866</v>
      </c>
      <c r="BY101" s="3601"/>
      <c r="BZ101" s="3775"/>
      <c r="CA101" s="3775"/>
      <c r="CB101" s="3775"/>
      <c r="CC101" s="3775"/>
      <c r="CD101" s="3775"/>
      <c r="CE101" s="3775"/>
      <c r="CF101" s="3775"/>
      <c r="CG101" s="3775"/>
      <c r="CH101" s="3775"/>
      <c r="CI101" s="3775"/>
      <c r="CJ101" s="3775"/>
      <c r="CK101" s="3725">
        <f t="shared" ref="CK101:CS101" si="542">SUM(CK99/CK100)</f>
        <v>34.410963003420221</v>
      </c>
      <c r="CL101" s="3725">
        <f t="shared" si="542"/>
        <v>34.531237910666434</v>
      </c>
      <c r="CM101" s="3725">
        <f t="shared" si="542"/>
        <v>15.166800727239483</v>
      </c>
      <c r="CN101" s="3725">
        <f t="shared" si="542"/>
        <v>26.775165217661048</v>
      </c>
      <c r="CO101" s="3725">
        <f t="shared" si="542"/>
        <v>26.863158799493842</v>
      </c>
      <c r="CP101" s="3725">
        <f t="shared" si="542"/>
        <v>11.269964498396703</v>
      </c>
      <c r="CQ101" s="3725">
        <f t="shared" si="542"/>
        <v>26.874405813850345</v>
      </c>
      <c r="CR101" s="3725">
        <f t="shared" si="542"/>
        <v>26.970946688418071</v>
      </c>
      <c r="CS101" s="3725">
        <f t="shared" si="542"/>
        <v>10.152122871502513</v>
      </c>
      <c r="CT101" s="3725">
        <f t="shared" ref="CT101:CV101" si="543">SUM(CT99/CT100)</f>
        <v>26.80973058867151</v>
      </c>
      <c r="CU101" s="3725">
        <f t="shared" si="543"/>
        <v>26.879481182046103</v>
      </c>
      <c r="CV101" s="3725">
        <f t="shared" si="543"/>
        <v>12.207957532861476</v>
      </c>
      <c r="CW101" s="3726">
        <f t="shared" ref="CW101:CY101" si="544">SUM(CW99/CW100)</f>
        <v>40.591246674462909</v>
      </c>
      <c r="CX101" s="3726">
        <f t="shared" si="544"/>
        <v>40.742018481435075</v>
      </c>
      <c r="CY101" s="3726">
        <f t="shared" si="544"/>
        <v>16.46714878218641</v>
      </c>
      <c r="CZ101" s="4146">
        <f t="shared" ref="CZ101:DB101" si="545">SUM(CZ99/CZ100)</f>
        <v>35.462848881084092</v>
      </c>
      <c r="DA101" s="4146">
        <f t="shared" si="545"/>
        <v>35.587047825749316</v>
      </c>
      <c r="DB101" s="4146">
        <f t="shared" si="545"/>
        <v>15.590891194714825</v>
      </c>
      <c r="DC101" s="3726">
        <f t="shared" ref="DC101:DK101" si="546">SUM(DC99/DC100)</f>
        <v>26.528271603126587</v>
      </c>
      <c r="DD101" s="3726">
        <f t="shared" si="546"/>
        <v>26.600469346718199</v>
      </c>
      <c r="DE101" s="3726">
        <f t="shared" si="546"/>
        <v>12.01640417579585</v>
      </c>
      <c r="DF101" s="3726">
        <f t="shared" si="546"/>
        <v>27.45547548127503</v>
      </c>
      <c r="DG101" s="3726">
        <f t="shared" si="546"/>
        <v>27.537398486656603</v>
      </c>
      <c r="DH101" s="3726">
        <f t="shared" si="546"/>
        <v>11.728311534891569</v>
      </c>
      <c r="DI101" s="4037" t="e">
        <f t="shared" si="546"/>
        <v>#DIV/0!</v>
      </c>
      <c r="DJ101" s="4037" t="e">
        <f t="shared" si="546"/>
        <v>#DIV/0!</v>
      </c>
      <c r="DK101" s="4037" t="e">
        <f t="shared" si="546"/>
        <v>#DIV/0!</v>
      </c>
    </row>
    <row r="102" spans="1:115" ht="27" customHeight="1" x14ac:dyDescent="0.35">
      <c r="A102" s="3724" t="s">
        <v>1753</v>
      </c>
      <c r="B102" s="3719"/>
      <c r="C102" s="3719"/>
      <c r="D102" s="3719"/>
      <c r="E102" s="3719"/>
      <c r="F102" s="3719"/>
      <c r="G102" s="3719"/>
      <c r="H102" s="3719"/>
      <c r="I102" s="3719"/>
      <c r="J102" s="3719"/>
      <c r="K102" s="3719"/>
      <c r="L102" s="3719"/>
      <c r="M102" s="3719"/>
      <c r="N102" s="3719"/>
      <c r="O102" s="3719"/>
      <c r="P102" s="3719"/>
      <c r="Q102" s="3719"/>
      <c r="R102" s="3719"/>
      <c r="S102" s="3719"/>
      <c r="T102" s="3719"/>
      <c r="U102" s="3719"/>
      <c r="V102" s="3719"/>
      <c r="W102" s="3725"/>
      <c r="X102" s="3719"/>
      <c r="Y102" s="3725"/>
      <c r="Z102" s="3725"/>
      <c r="AA102" s="3725"/>
      <c r="AB102" s="3725"/>
      <c r="AC102" s="3725"/>
      <c r="AD102" s="3725"/>
      <c r="AE102" s="3725"/>
      <c r="AF102" s="3778"/>
      <c r="AG102" s="3725"/>
      <c r="AH102" s="3725"/>
      <c r="AI102" s="3725"/>
      <c r="AJ102" s="3778"/>
      <c r="AK102" s="3725"/>
      <c r="AL102" s="3725"/>
      <c r="AM102" s="3725"/>
      <c r="AN102" s="3725"/>
      <c r="AO102" s="3725"/>
      <c r="AP102" s="3725"/>
      <c r="AQ102" s="3725"/>
      <c r="AR102" s="3725"/>
      <c r="AS102" s="3725"/>
      <c r="AT102" s="3725"/>
      <c r="AU102" s="3725"/>
      <c r="AV102" s="3725"/>
      <c r="AW102" s="3779"/>
      <c r="AX102" s="3725"/>
      <c r="AY102" s="3725"/>
      <c r="AZ102" s="3725"/>
      <c r="BA102" s="3779"/>
      <c r="BB102" s="3725"/>
      <c r="BC102" s="3725"/>
      <c r="BD102" s="3725"/>
      <c r="BE102" s="3725"/>
      <c r="BF102" s="3725"/>
      <c r="BG102" s="3725"/>
      <c r="BH102" s="3725"/>
      <c r="BI102" s="3725"/>
      <c r="BJ102" s="3725">
        <f>SUM(BK102:BL102)</f>
        <v>9965.7099999999991</v>
      </c>
      <c r="BK102" s="3725">
        <v>9993.2999999999993</v>
      </c>
      <c r="BL102" s="3725">
        <v>-27.59</v>
      </c>
      <c r="BM102" s="3725">
        <f>SUM(BN102:BO102)</f>
        <v>0</v>
      </c>
      <c r="BN102" s="3725">
        <v>0</v>
      </c>
      <c r="BO102" s="3725">
        <v>0</v>
      </c>
      <c r="BP102" s="3725">
        <f>SUM(BQ102:BR102)</f>
        <v>0</v>
      </c>
      <c r="BQ102" s="3725">
        <v>0</v>
      </c>
      <c r="BR102" s="3725">
        <v>0</v>
      </c>
      <c r="BS102" s="3725">
        <f>SUM(BT102:BU102)</f>
        <v>-9.82</v>
      </c>
      <c r="BT102" s="3725">
        <v>0</v>
      </c>
      <c r="BU102" s="3725">
        <v>-9.82</v>
      </c>
      <c r="BV102" s="3725">
        <f>SUM(BW102:BX102)</f>
        <v>0</v>
      </c>
      <c r="BW102" s="3725">
        <v>0</v>
      </c>
      <c r="BX102" s="3725">
        <v>0</v>
      </c>
      <c r="BY102" s="3601"/>
      <c r="BZ102" s="3775"/>
      <c r="CA102" s="3775"/>
      <c r="CB102" s="3775"/>
      <c r="CC102" s="3775"/>
      <c r="CD102" s="3775"/>
      <c r="CE102" s="3775"/>
      <c r="CF102" s="3775"/>
      <c r="CG102" s="3775"/>
      <c r="CH102" s="3775"/>
      <c r="CI102" s="3775"/>
      <c r="CJ102" s="3775"/>
      <c r="CK102" s="3725">
        <f>SUM(CL102:CM102)</f>
        <v>-5458.3959430282457</v>
      </c>
      <c r="CL102" s="3725">
        <f>SUM('стоки 2019-2021'!AI31+'стоки 2019-2021'!AI32+'стоки 2019-2021'!AI33+'стоки 2019-2021'!AI34)</f>
        <v>-5448.5845688482459</v>
      </c>
      <c r="CM102" s="3725">
        <f>SUM('очистка 2019-2021'!AG32)</f>
        <v>-9.8113741799999996</v>
      </c>
      <c r="CN102" s="3725">
        <f>SUM(CO102:CP102)</f>
        <v>0</v>
      </c>
      <c r="CO102" s="3725">
        <v>0</v>
      </c>
      <c r="CP102" s="3725">
        <v>0</v>
      </c>
      <c r="CQ102" s="3725">
        <f>SUM(CR102:CS102)</f>
        <v>0</v>
      </c>
      <c r="CR102" s="3725">
        <v>0</v>
      </c>
      <c r="CS102" s="3725">
        <v>0</v>
      </c>
      <c r="CT102" s="3725">
        <f>SUM(CU102:CV102)</f>
        <v>0</v>
      </c>
      <c r="CU102" s="3725">
        <v>0</v>
      </c>
      <c r="CV102" s="3725">
        <v>0</v>
      </c>
      <c r="CW102" s="3726">
        <f>SUM(CX102:CY102)</f>
        <v>0</v>
      </c>
      <c r="CX102" s="3726">
        <v>0</v>
      </c>
      <c r="CY102" s="3726">
        <v>0</v>
      </c>
      <c r="CZ102" s="4146">
        <f>SUM(DA102:DB102)</f>
        <v>-5069.93</v>
      </c>
      <c r="DA102" s="4146">
        <f>-2807.35-2292.83</f>
        <v>-5100.18</v>
      </c>
      <c r="DB102" s="4146">
        <v>30.25</v>
      </c>
      <c r="DC102" s="3726">
        <f>SUM(DD102:DE102)</f>
        <v>0</v>
      </c>
      <c r="DD102" s="3726">
        <v>0</v>
      </c>
      <c r="DE102" s="3726">
        <v>0</v>
      </c>
      <c r="DF102" s="3726">
        <f>SUM(DG102:DH102)</f>
        <v>0</v>
      </c>
      <c r="DG102" s="3726">
        <v>0</v>
      </c>
      <c r="DH102" s="3726">
        <v>0</v>
      </c>
      <c r="DI102" s="4037">
        <f>SUM(DJ102:DK102)</f>
        <v>0</v>
      </c>
      <c r="DJ102" s="4037">
        <v>0</v>
      </c>
      <c r="DK102" s="4037">
        <v>0</v>
      </c>
    </row>
    <row r="103" spans="1:115" ht="27" customHeight="1" x14ac:dyDescent="0.35">
      <c r="A103" s="3719" t="s">
        <v>3713</v>
      </c>
      <c r="B103" s="3719"/>
      <c r="C103" s="3719"/>
      <c r="D103" s="3719"/>
      <c r="E103" s="3719"/>
      <c r="F103" s="3719"/>
      <c r="G103" s="3719"/>
      <c r="H103" s="3719"/>
      <c r="I103" s="3719"/>
      <c r="J103" s="3719"/>
      <c r="K103" s="3719"/>
      <c r="L103" s="3719"/>
      <c r="M103" s="3719"/>
      <c r="N103" s="3719"/>
      <c r="O103" s="3719"/>
      <c r="P103" s="3719"/>
      <c r="Q103" s="3719"/>
      <c r="R103" s="3719"/>
      <c r="S103" s="3719"/>
      <c r="T103" s="3719"/>
      <c r="U103" s="3719"/>
      <c r="V103" s="3719"/>
      <c r="W103" s="3725"/>
      <c r="X103" s="3719"/>
      <c r="Y103" s="3725"/>
      <c r="Z103" s="3725"/>
      <c r="AA103" s="3725"/>
      <c r="AB103" s="3725"/>
      <c r="AC103" s="3725"/>
      <c r="AD103" s="3725"/>
      <c r="AE103" s="3725"/>
      <c r="AF103" s="3778"/>
      <c r="AG103" s="3725"/>
      <c r="AH103" s="3725"/>
      <c r="AI103" s="3725"/>
      <c r="AJ103" s="3778"/>
      <c r="AK103" s="3725"/>
      <c r="AL103" s="3725"/>
      <c r="AM103" s="3725"/>
      <c r="AN103" s="3725"/>
      <c r="AO103" s="3725"/>
      <c r="AP103" s="3725"/>
      <c r="AQ103" s="3725"/>
      <c r="AR103" s="3725"/>
      <c r="AS103" s="3725"/>
      <c r="AT103" s="3725"/>
      <c r="AU103" s="3725"/>
      <c r="AV103" s="3725"/>
      <c r="AW103" s="3779"/>
      <c r="AX103" s="3725"/>
      <c r="AY103" s="3725"/>
      <c r="AZ103" s="3725"/>
      <c r="BA103" s="3779"/>
      <c r="BB103" s="3725"/>
      <c r="BC103" s="3725"/>
      <c r="BD103" s="3725"/>
      <c r="BE103" s="3725"/>
      <c r="BF103" s="3725"/>
      <c r="BG103" s="3725"/>
      <c r="BH103" s="3725"/>
      <c r="BI103" s="3725"/>
      <c r="BJ103" s="3725">
        <f>SUM(BK103:BL103)</f>
        <v>99256.891999999993</v>
      </c>
      <c r="BK103" s="3725">
        <f>SUM(BK99+BK102)</f>
        <v>98987.284</v>
      </c>
      <c r="BL103" s="3725">
        <f>SUM(BL99+BL102)</f>
        <v>269.60800000000006</v>
      </c>
      <c r="BM103" s="3725">
        <f>SUM(BN103:BO103)</f>
        <v>81692.376000000004</v>
      </c>
      <c r="BN103" s="3725">
        <f>SUM(BN99+BN102)</f>
        <v>81392.004000000001</v>
      </c>
      <c r="BO103" s="3725">
        <f>SUM(BO99+BO102)</f>
        <v>300.37199999999996</v>
      </c>
      <c r="BP103" s="3725">
        <f>SUM(BQ103:BR103)</f>
        <v>116751.69</v>
      </c>
      <c r="BQ103" s="3725">
        <f>SUM(BQ99+BQ102)</f>
        <v>116299.36</v>
      </c>
      <c r="BR103" s="3725">
        <f>SUM(BR99+BR102)</f>
        <v>452.33000000000004</v>
      </c>
      <c r="BS103" s="3725">
        <f>SUM(BT103:BU103)</f>
        <v>96518.738904823666</v>
      </c>
      <c r="BT103" s="3725">
        <f>SUM(BT99+BT102)</f>
        <v>96264.34266839271</v>
      </c>
      <c r="BU103" s="3725">
        <f>SUM(BU99+BU102)</f>
        <v>254.39623643095786</v>
      </c>
      <c r="BV103" s="3725">
        <f>SUM(BW103:BX103)</f>
        <v>100796.00511219277</v>
      </c>
      <c r="BW103" s="3725">
        <f>SUM(BW99+BW102)</f>
        <v>100435.51397593357</v>
      </c>
      <c r="BX103" s="3725">
        <f>SUM(BX99+BX102)</f>
        <v>360.49113625919534</v>
      </c>
      <c r="BY103" s="3601"/>
      <c r="BZ103" s="3775"/>
      <c r="CA103" s="3775"/>
      <c r="CB103" s="3775"/>
      <c r="CC103" s="3775"/>
      <c r="CD103" s="3775"/>
      <c r="CE103" s="3775"/>
      <c r="CF103" s="3775"/>
      <c r="CG103" s="3775"/>
      <c r="CH103" s="3775"/>
      <c r="CI103" s="3775"/>
      <c r="CJ103" s="3775"/>
      <c r="CK103" s="3725">
        <f>SUM(CL103:CM103)</f>
        <v>92420.313258941052</v>
      </c>
      <c r="CL103" s="3725">
        <f>SUM(CL99+CL102)</f>
        <v>92162.177820273151</v>
      </c>
      <c r="CM103" s="3725">
        <f>SUM(CM99+CM102)</f>
        <v>258.13543866789757</v>
      </c>
      <c r="CN103" s="3725">
        <f>SUM(CO103:CP103)</f>
        <v>41431.43548</v>
      </c>
      <c r="CO103" s="3725">
        <f>SUM(CO99+CO102)</f>
        <v>41333.026149999998</v>
      </c>
      <c r="CP103" s="3725">
        <f>SUM(CP99+CP102)</f>
        <v>98.409330000000011</v>
      </c>
      <c r="CQ103" s="3725">
        <f>SUM(CR103:CS103)</f>
        <v>62414.571280000004</v>
      </c>
      <c r="CR103" s="3725">
        <f>SUM(CR99+CR102)</f>
        <v>62279.233330000003</v>
      </c>
      <c r="CS103" s="3725">
        <f>SUM(CS99+CS102)</f>
        <v>135.33795000000001</v>
      </c>
      <c r="CT103" s="3725">
        <f>SUM(CU103:CV103)</f>
        <v>83657.96805000001</v>
      </c>
      <c r="CU103" s="3725">
        <f>SUM(CU99+CU102)</f>
        <v>83476.863000000012</v>
      </c>
      <c r="CV103" s="3725">
        <f>SUM(CV99+CV102)</f>
        <v>181.10505000000001</v>
      </c>
      <c r="CW103" s="3726">
        <f>SUM(CX103:CY103)</f>
        <v>115457.93146666011</v>
      </c>
      <c r="CX103" s="3726">
        <f>SUM(CX99+CX102)</f>
        <v>115167.01183817482</v>
      </c>
      <c r="CY103" s="3726">
        <f>SUM(CY99+CY102)</f>
        <v>290.91962848529323</v>
      </c>
      <c r="CZ103" s="4146">
        <f>SUM(DA103:DB103)</f>
        <v>95800.774671599997</v>
      </c>
      <c r="DA103" s="4146">
        <f>SUM(DA99+DA102)</f>
        <v>95495.080396862963</v>
      </c>
      <c r="DB103" s="4146">
        <f>SUM(DB99+DB102)</f>
        <v>305.69427473702683</v>
      </c>
      <c r="DC103" s="3726">
        <f>SUM(DD103:DE103)</f>
        <v>41578.582459999998</v>
      </c>
      <c r="DD103" s="3726">
        <f>SUM(DD99+DD102)</f>
        <v>41485.347179999997</v>
      </c>
      <c r="DE103" s="3726">
        <f>SUM(DE99+DE102)</f>
        <v>93.235280000000003</v>
      </c>
      <c r="DF103" s="3726">
        <f>SUM(DG103:DH103)</f>
        <v>62789.189829999996</v>
      </c>
      <c r="DG103" s="3726">
        <f>SUM(DG99+DG102)</f>
        <v>62650.197609999996</v>
      </c>
      <c r="DH103" s="3726">
        <f>SUM(DH99+DH102)</f>
        <v>138.99222</v>
      </c>
      <c r="DI103" s="4037">
        <f>SUM(DJ103:DK103)</f>
        <v>8954.82</v>
      </c>
      <c r="DJ103" s="4037">
        <f>SUM(DJ99+DJ102)</f>
        <v>8931.07</v>
      </c>
      <c r="DK103" s="4037">
        <f>SUM(DK99+DK102)</f>
        <v>23.75</v>
      </c>
    </row>
    <row r="104" spans="1:115" ht="27" customHeight="1" x14ac:dyDescent="0.35">
      <c r="A104" s="3719" t="s">
        <v>3712</v>
      </c>
      <c r="B104" s="3719"/>
      <c r="C104" s="3719"/>
      <c r="D104" s="3719"/>
      <c r="E104" s="3719"/>
      <c r="F104" s="3719"/>
      <c r="G104" s="3719"/>
      <c r="H104" s="3719"/>
      <c r="I104" s="3719"/>
      <c r="J104" s="3719"/>
      <c r="K104" s="3719"/>
      <c r="L104" s="3719"/>
      <c r="M104" s="3719"/>
      <c r="N104" s="3719"/>
      <c r="O104" s="3719"/>
      <c r="P104" s="3719"/>
      <c r="Q104" s="3719"/>
      <c r="R104" s="3719"/>
      <c r="S104" s="3719"/>
      <c r="T104" s="3719"/>
      <c r="U104" s="3719"/>
      <c r="V104" s="3719"/>
      <c r="W104" s="3725"/>
      <c r="X104" s="3719"/>
      <c r="Y104" s="3725"/>
      <c r="Z104" s="3725"/>
      <c r="AA104" s="3725"/>
      <c r="AB104" s="3725"/>
      <c r="AC104" s="3725"/>
      <c r="AD104" s="3725"/>
      <c r="AE104" s="3725"/>
      <c r="AF104" s="3778"/>
      <c r="AG104" s="3725"/>
      <c r="AH104" s="3725"/>
      <c r="AI104" s="3725"/>
      <c r="AJ104" s="3778"/>
      <c r="AK104" s="3725"/>
      <c r="AL104" s="3725"/>
      <c r="AM104" s="3725"/>
      <c r="AN104" s="3725"/>
      <c r="AO104" s="3725"/>
      <c r="AP104" s="3725"/>
      <c r="AQ104" s="3725"/>
      <c r="AR104" s="3725"/>
      <c r="AS104" s="3725"/>
      <c r="AT104" s="3725"/>
      <c r="AU104" s="3725"/>
      <c r="AV104" s="3725"/>
      <c r="AW104" s="3779"/>
      <c r="AX104" s="3725"/>
      <c r="AY104" s="3725"/>
      <c r="AZ104" s="3725"/>
      <c r="BA104" s="3779"/>
      <c r="BB104" s="3725"/>
      <c r="BC104" s="3725"/>
      <c r="BD104" s="3725"/>
      <c r="BE104" s="3725"/>
      <c r="BF104" s="3725"/>
      <c r="BG104" s="3725"/>
      <c r="BH104" s="3725"/>
      <c r="BI104" s="3725"/>
      <c r="BJ104" s="3725">
        <f>SUM(BJ103/BJ100)</f>
        <v>30.550640364673907</v>
      </c>
      <c r="BK104" s="3725">
        <f t="shared" ref="BK104:CS104" si="547">SUM(BK103/BK100)</f>
        <v>30.646217956656347</v>
      </c>
      <c r="BL104" s="3725">
        <f t="shared" si="547"/>
        <v>14.242366613840469</v>
      </c>
      <c r="BM104" s="3725">
        <f t="shared" si="547"/>
        <v>25.931041750651513</v>
      </c>
      <c r="BN104" s="3725">
        <f t="shared" si="547"/>
        <v>25.986234243898704</v>
      </c>
      <c r="BO104" s="3725">
        <f t="shared" si="547"/>
        <v>16.458739726027396</v>
      </c>
      <c r="BP104" s="3725">
        <f t="shared" si="547"/>
        <v>35.935427971670677</v>
      </c>
      <c r="BQ104" s="3725">
        <f t="shared" si="547"/>
        <v>36.005993808049539</v>
      </c>
      <c r="BR104" s="3725">
        <f t="shared" si="547"/>
        <v>23.894875858425781</v>
      </c>
      <c r="BS104" s="3725">
        <f t="shared" si="547"/>
        <v>31.959808764962759</v>
      </c>
      <c r="BT104" s="3725">
        <f t="shared" si="547"/>
        <v>32.063137290101395</v>
      </c>
      <c r="BU104" s="3725">
        <f t="shared" si="547"/>
        <v>14.399786967790066</v>
      </c>
      <c r="BV104" s="3725">
        <f t="shared" si="547"/>
        <v>33.376120370102498</v>
      </c>
      <c r="BW104" s="3725">
        <f t="shared" si="547"/>
        <v>33.452445465766388</v>
      </c>
      <c r="BX104" s="3725">
        <f t="shared" si="547"/>
        <v>20.405158656180866</v>
      </c>
      <c r="BY104" s="3725" t="e">
        <f t="shared" si="547"/>
        <v>#DIV/0!</v>
      </c>
      <c r="BZ104" s="3725" t="e">
        <f t="shared" si="547"/>
        <v>#DIV/0!</v>
      </c>
      <c r="CA104" s="3725" t="e">
        <f t="shared" si="547"/>
        <v>#DIV/0!</v>
      </c>
      <c r="CB104" s="3725" t="e">
        <f t="shared" si="547"/>
        <v>#DIV/0!</v>
      </c>
      <c r="CC104" s="3725" t="e">
        <f t="shared" si="547"/>
        <v>#DIV/0!</v>
      </c>
      <c r="CD104" s="3725" t="e">
        <f t="shared" si="547"/>
        <v>#DIV/0!</v>
      </c>
      <c r="CE104" s="3725" t="e">
        <f t="shared" si="547"/>
        <v>#DIV/0!</v>
      </c>
      <c r="CF104" s="3725" t="e">
        <f t="shared" si="547"/>
        <v>#DIV/0!</v>
      </c>
      <c r="CG104" s="3725" t="e">
        <f t="shared" si="547"/>
        <v>#DIV/0!</v>
      </c>
      <c r="CH104" s="3725" t="e">
        <f t="shared" si="547"/>
        <v>#DIV/0!</v>
      </c>
      <c r="CI104" s="3725" t="e">
        <f t="shared" si="547"/>
        <v>#DIV/0!</v>
      </c>
      <c r="CJ104" s="3725" t="e">
        <f t="shared" si="547"/>
        <v>#DIV/0!</v>
      </c>
      <c r="CK104" s="3725">
        <f t="shared" si="547"/>
        <v>32.491970760000065</v>
      </c>
      <c r="CL104" s="3725">
        <f t="shared" si="547"/>
        <v>32.603721257602636</v>
      </c>
      <c r="CM104" s="3725">
        <f t="shared" si="547"/>
        <v>14.611439924597976</v>
      </c>
      <c r="CN104" s="3725">
        <f t="shared" si="547"/>
        <v>26.775165217661048</v>
      </c>
      <c r="CO104" s="3725">
        <f t="shared" si="547"/>
        <v>26.863158799493842</v>
      </c>
      <c r="CP104" s="3725">
        <f t="shared" si="547"/>
        <v>11.269964498396703</v>
      </c>
      <c r="CQ104" s="3725">
        <f t="shared" si="547"/>
        <v>26.874405813850348</v>
      </c>
      <c r="CR104" s="3725">
        <f t="shared" si="547"/>
        <v>26.970946688418071</v>
      </c>
      <c r="CS104" s="3725">
        <f t="shared" si="547"/>
        <v>10.152122871502513</v>
      </c>
      <c r="CT104" s="3725">
        <f t="shared" ref="CT104:CV104" si="548">SUM(CT103/CT100)</f>
        <v>26.80973058867151</v>
      </c>
      <c r="CU104" s="3725">
        <f t="shared" si="548"/>
        <v>26.879481182046103</v>
      </c>
      <c r="CV104" s="3725">
        <f t="shared" si="548"/>
        <v>12.207957532861476</v>
      </c>
      <c r="CW104" s="3726">
        <f t="shared" ref="CW104:CY104" si="549">SUM(CW103/CW100)</f>
        <v>40.591246674462916</v>
      </c>
      <c r="CX104" s="3726">
        <f t="shared" si="549"/>
        <v>40.742018481435075</v>
      </c>
      <c r="CY104" s="3726">
        <f t="shared" si="549"/>
        <v>16.46714878218641</v>
      </c>
      <c r="CZ104" s="4146">
        <f t="shared" ref="CZ104:DB104" si="550">SUM(CZ103/CZ100)</f>
        <v>33.680426898279258</v>
      </c>
      <c r="DA104" s="4146">
        <f t="shared" si="550"/>
        <v>33.782784395604743</v>
      </c>
      <c r="DB104" s="4146">
        <f t="shared" si="550"/>
        <v>17.303123039397001</v>
      </c>
      <c r="DC104" s="3726">
        <f t="shared" ref="DC104:DK104" si="551">SUM(DC103/DC100)</f>
        <v>26.528271603126587</v>
      </c>
      <c r="DD104" s="3726">
        <f t="shared" si="551"/>
        <v>26.600469346718199</v>
      </c>
      <c r="DE104" s="3726">
        <f t="shared" si="551"/>
        <v>12.01640417579585</v>
      </c>
      <c r="DF104" s="3726">
        <f t="shared" si="551"/>
        <v>27.455475481275027</v>
      </c>
      <c r="DG104" s="3726">
        <f t="shared" si="551"/>
        <v>27.537398486656603</v>
      </c>
      <c r="DH104" s="3726">
        <f t="shared" si="551"/>
        <v>11.728311534891569</v>
      </c>
      <c r="DI104" s="4037" t="e">
        <f t="shared" si="551"/>
        <v>#DIV/0!</v>
      </c>
      <c r="DJ104" s="4037" t="e">
        <f t="shared" si="551"/>
        <v>#DIV/0!</v>
      </c>
      <c r="DK104" s="4037" t="e">
        <f t="shared" si="551"/>
        <v>#DIV/0!</v>
      </c>
    </row>
    <row r="105" spans="1:115" ht="27" customHeight="1" x14ac:dyDescent="0.35">
      <c r="A105" s="3727" t="s">
        <v>421</v>
      </c>
      <c r="B105" s="3719"/>
      <c r="C105" s="3719"/>
      <c r="D105" s="3719"/>
      <c r="E105" s="3719"/>
      <c r="F105" s="3719"/>
      <c r="G105" s="3719"/>
      <c r="H105" s="3719"/>
      <c r="I105" s="3719"/>
      <c r="J105" s="3719"/>
      <c r="K105" s="3719"/>
      <c r="L105" s="3719"/>
      <c r="M105" s="3719"/>
      <c r="N105" s="3719"/>
      <c r="O105" s="3719"/>
      <c r="P105" s="3719"/>
      <c r="Q105" s="3719"/>
      <c r="R105" s="3719"/>
      <c r="S105" s="3719"/>
      <c r="T105" s="3719"/>
      <c r="U105" s="3719"/>
      <c r="V105" s="3719"/>
      <c r="W105" s="3720">
        <f>SUM(W69)</f>
        <v>0</v>
      </c>
      <c r="X105" s="3719"/>
      <c r="Y105" s="3720">
        <f t="shared" ref="Y105:AE105" si="552">SUM(Y69)</f>
        <v>0</v>
      </c>
      <c r="Z105" s="3720">
        <f t="shared" si="552"/>
        <v>0</v>
      </c>
      <c r="AA105" s="3720">
        <f t="shared" si="552"/>
        <v>0</v>
      </c>
      <c r="AB105" s="3720">
        <f t="shared" si="552"/>
        <v>0</v>
      </c>
      <c r="AC105" s="3720">
        <f t="shared" si="552"/>
        <v>0</v>
      </c>
      <c r="AD105" s="3720">
        <f t="shared" si="552"/>
        <v>0</v>
      </c>
      <c r="AE105" s="3720">
        <f t="shared" si="552"/>
        <v>4275.2299999999996</v>
      </c>
      <c r="AF105" s="3778" t="e">
        <f t="shared" si="378"/>
        <v>#DIV/0!</v>
      </c>
      <c r="AG105" s="3720">
        <f>SUM(AG69)</f>
        <v>4265.2299999999996</v>
      </c>
      <c r="AH105" s="3720">
        <f>SUM(AH69)</f>
        <v>10</v>
      </c>
      <c r="AI105" s="3720" t="e">
        <f>SUM(AI69)</f>
        <v>#REF!</v>
      </c>
      <c r="AJ105" s="3778" t="e">
        <f t="shared" si="379"/>
        <v>#REF!</v>
      </c>
      <c r="AK105" s="3720" t="e">
        <f t="shared" ref="AK105:AV105" si="553">SUM(AK69)</f>
        <v>#REF!</v>
      </c>
      <c r="AL105" s="3720">
        <f t="shared" si="553"/>
        <v>12.43</v>
      </c>
      <c r="AM105" s="3720">
        <f t="shared" si="553"/>
        <v>0</v>
      </c>
      <c r="AN105" s="3720">
        <f t="shared" si="553"/>
        <v>0</v>
      </c>
      <c r="AO105" s="3720">
        <f t="shared" si="553"/>
        <v>0</v>
      </c>
      <c r="AP105" s="3720">
        <f t="shared" si="553"/>
        <v>0</v>
      </c>
      <c r="AQ105" s="3720">
        <f t="shared" si="553"/>
        <v>0</v>
      </c>
      <c r="AR105" s="3720">
        <f t="shared" si="553"/>
        <v>0</v>
      </c>
      <c r="AS105" s="3720">
        <f t="shared" si="553"/>
        <v>0</v>
      </c>
      <c r="AT105" s="3720">
        <f t="shared" si="553"/>
        <v>0</v>
      </c>
      <c r="AU105" s="3720">
        <f t="shared" si="553"/>
        <v>0</v>
      </c>
      <c r="AV105" s="3720">
        <f t="shared" si="553"/>
        <v>4649.3426922200424</v>
      </c>
      <c r="AW105" s="3779" t="e">
        <f t="shared" si="381"/>
        <v>#REF!</v>
      </c>
      <c r="AX105" s="3720">
        <f>SUM(AX69)</f>
        <v>4631.2916377016763</v>
      </c>
      <c r="AY105" s="3720">
        <f>SUM(AY69)</f>
        <v>18.051054518365994</v>
      </c>
      <c r="AZ105" s="3720">
        <f>SUM(AZ69)</f>
        <v>4053.2755504953611</v>
      </c>
      <c r="BA105" s="3779" t="e">
        <f t="shared" si="382"/>
        <v>#REF!</v>
      </c>
      <c r="BB105" s="3720">
        <f t="shared" ref="BB105:BX105" si="554">SUM(BB69)</f>
        <v>4053.2755504953611</v>
      </c>
      <c r="BC105" s="3720">
        <f t="shared" si="554"/>
        <v>0</v>
      </c>
      <c r="BD105" s="3720">
        <f t="shared" si="554"/>
        <v>0</v>
      </c>
      <c r="BE105" s="3720">
        <f t="shared" si="554"/>
        <v>0</v>
      </c>
      <c r="BF105" s="3720">
        <f t="shared" si="554"/>
        <v>0</v>
      </c>
      <c r="BG105" s="3720">
        <f t="shared" si="554"/>
        <v>0</v>
      </c>
      <c r="BH105" s="3720">
        <f t="shared" si="554"/>
        <v>0</v>
      </c>
      <c r="BI105" s="3720">
        <f t="shared" si="554"/>
        <v>0</v>
      </c>
      <c r="BJ105" s="3720">
        <f t="shared" si="554"/>
        <v>0</v>
      </c>
      <c r="BK105" s="3720">
        <f t="shared" si="554"/>
        <v>0</v>
      </c>
      <c r="BL105" s="3720">
        <f t="shared" si="554"/>
        <v>0</v>
      </c>
      <c r="BM105" s="3720">
        <f t="shared" si="554"/>
        <v>0</v>
      </c>
      <c r="BN105" s="3720">
        <f t="shared" si="554"/>
        <v>0</v>
      </c>
      <c r="BO105" s="3720">
        <f t="shared" si="554"/>
        <v>0</v>
      </c>
      <c r="BP105" s="3720">
        <f t="shared" si="554"/>
        <v>0</v>
      </c>
      <c r="BQ105" s="3720">
        <f t="shared" si="554"/>
        <v>0</v>
      </c>
      <c r="BR105" s="3720">
        <f t="shared" si="554"/>
        <v>0</v>
      </c>
      <c r="BS105" s="3720">
        <f t="shared" si="554"/>
        <v>0</v>
      </c>
      <c r="BT105" s="3720">
        <f t="shared" si="554"/>
        <v>0</v>
      </c>
      <c r="BU105" s="3720">
        <f t="shared" si="554"/>
        <v>0</v>
      </c>
      <c r="BV105" s="3720">
        <f t="shared" si="554"/>
        <v>0</v>
      </c>
      <c r="BW105" s="3720">
        <f t="shared" si="554"/>
        <v>0</v>
      </c>
      <c r="BX105" s="3720">
        <f t="shared" si="554"/>
        <v>0</v>
      </c>
      <c r="BY105" s="3601"/>
      <c r="BZ105" s="3775"/>
      <c r="CA105" s="3775"/>
      <c r="CB105" s="3775"/>
      <c r="CC105" s="3775"/>
      <c r="CD105" s="3775"/>
      <c r="CE105" s="3775"/>
      <c r="CF105" s="3775"/>
      <c r="CG105" s="3775"/>
      <c r="CH105" s="3775"/>
      <c r="CI105" s="3775"/>
      <c r="CJ105" s="3775"/>
      <c r="CK105" s="3720">
        <f t="shared" ref="CK105:CS105" si="555">SUM(CK69)</f>
        <v>0</v>
      </c>
      <c r="CL105" s="3720">
        <f t="shared" si="555"/>
        <v>0</v>
      </c>
      <c r="CM105" s="3720">
        <f t="shared" si="555"/>
        <v>0</v>
      </c>
      <c r="CN105" s="3720">
        <f t="shared" si="555"/>
        <v>0</v>
      </c>
      <c r="CO105" s="3720">
        <f t="shared" si="555"/>
        <v>0</v>
      </c>
      <c r="CP105" s="3720">
        <f t="shared" si="555"/>
        <v>0</v>
      </c>
      <c r="CQ105" s="3720">
        <f t="shared" si="555"/>
        <v>0</v>
      </c>
      <c r="CR105" s="3720">
        <f t="shared" si="555"/>
        <v>0</v>
      </c>
      <c r="CS105" s="3720">
        <f t="shared" si="555"/>
        <v>0</v>
      </c>
      <c r="CT105" s="3720">
        <f t="shared" ref="CT105:CV105" si="556">SUM(CT69)</f>
        <v>0</v>
      </c>
      <c r="CU105" s="3720">
        <f t="shared" si="556"/>
        <v>0</v>
      </c>
      <c r="CV105" s="3720">
        <f t="shared" si="556"/>
        <v>0</v>
      </c>
      <c r="CW105" s="3723">
        <f t="shared" ref="CW105:CY105" si="557">SUM(CW69)</f>
        <v>0</v>
      </c>
      <c r="CX105" s="3723">
        <f t="shared" si="557"/>
        <v>0</v>
      </c>
      <c r="CY105" s="3723">
        <f t="shared" si="557"/>
        <v>0</v>
      </c>
      <c r="CZ105" s="4138">
        <f t="shared" ref="CZ105:DB105" si="558">SUM(CZ69)</f>
        <v>0</v>
      </c>
      <c r="DA105" s="4138">
        <f t="shared" si="558"/>
        <v>0</v>
      </c>
      <c r="DB105" s="4138">
        <f t="shared" si="558"/>
        <v>0</v>
      </c>
      <c r="DC105" s="3723">
        <f t="shared" ref="DC105:DK105" si="559">SUM(DC69)</f>
        <v>0</v>
      </c>
      <c r="DD105" s="3723">
        <f t="shared" si="559"/>
        <v>0</v>
      </c>
      <c r="DE105" s="3723">
        <f t="shared" si="559"/>
        <v>0</v>
      </c>
      <c r="DF105" s="3723">
        <f t="shared" si="559"/>
        <v>0</v>
      </c>
      <c r="DG105" s="3723">
        <f t="shared" si="559"/>
        <v>0</v>
      </c>
      <c r="DH105" s="3723">
        <f t="shared" si="559"/>
        <v>0</v>
      </c>
      <c r="DI105" s="4036">
        <f t="shared" si="559"/>
        <v>0</v>
      </c>
      <c r="DJ105" s="4036">
        <f t="shared" si="559"/>
        <v>0</v>
      </c>
      <c r="DK105" s="4036">
        <f t="shared" si="559"/>
        <v>0</v>
      </c>
    </row>
    <row r="106" spans="1:115" ht="27" customHeight="1" x14ac:dyDescent="0.35">
      <c r="A106" s="3727" t="s">
        <v>529</v>
      </c>
      <c r="B106" s="3719"/>
      <c r="C106" s="3719"/>
      <c r="D106" s="3719"/>
      <c r="E106" s="3719"/>
      <c r="F106" s="3719"/>
      <c r="G106" s="3719"/>
      <c r="H106" s="3719"/>
      <c r="I106" s="3719"/>
      <c r="J106" s="3719"/>
      <c r="K106" s="3719"/>
      <c r="L106" s="3719"/>
      <c r="M106" s="3719"/>
      <c r="N106" s="3719"/>
      <c r="O106" s="3719"/>
      <c r="P106" s="3719"/>
      <c r="Q106" s="3719"/>
      <c r="R106" s="3719"/>
      <c r="S106" s="3719"/>
      <c r="T106" s="3719"/>
      <c r="U106" s="3719"/>
      <c r="V106" s="3719"/>
      <c r="W106" s="3720">
        <f>SUM(W99+W105)</f>
        <v>96034.680000000008</v>
      </c>
      <c r="X106" s="3719"/>
      <c r="Y106" s="3720" t="e">
        <f t="shared" ref="Y106:AE106" si="560">SUM(Y99+Y105)</f>
        <v>#REF!</v>
      </c>
      <c r="Z106" s="3720" t="e">
        <f t="shared" si="560"/>
        <v>#REF!</v>
      </c>
      <c r="AA106" s="3720" t="e">
        <f t="shared" si="560"/>
        <v>#REF!</v>
      </c>
      <c r="AB106" s="3720">
        <f t="shared" si="560"/>
        <v>70897.669500000004</v>
      </c>
      <c r="AC106" s="3720">
        <f t="shared" si="560"/>
        <v>70520.933541510851</v>
      </c>
      <c r="AD106" s="3720">
        <f t="shared" si="560"/>
        <v>376.73595848915204</v>
      </c>
      <c r="AE106" s="3720">
        <f t="shared" si="560"/>
        <v>89773.889999999985</v>
      </c>
      <c r="AF106" s="3778" t="e">
        <f t="shared" si="378"/>
        <v>#REF!</v>
      </c>
      <c r="AG106" s="3720">
        <f>SUM(AG99+AG105)</f>
        <v>89859.839999999982</v>
      </c>
      <c r="AH106" s="3720">
        <f>SUM(AH99+AH105)</f>
        <v>353.42</v>
      </c>
      <c r="AI106" s="3720" t="e">
        <f>SUM(AI99+AI105)</f>
        <v>#REF!</v>
      </c>
      <c r="AJ106" s="3778" t="e">
        <f t="shared" si="379"/>
        <v>#REF!</v>
      </c>
      <c r="AK106" s="3720" t="e">
        <f t="shared" ref="AK106:AV106" si="561">SUM(AK99+AK105)</f>
        <v>#REF!</v>
      </c>
      <c r="AL106" s="3720" t="e">
        <f t="shared" si="561"/>
        <v>#REF!</v>
      </c>
      <c r="AM106" s="3720" t="e">
        <f t="shared" si="561"/>
        <v>#REF!</v>
      </c>
      <c r="AN106" s="3720" t="e">
        <f t="shared" si="561"/>
        <v>#REF!</v>
      </c>
      <c r="AO106" s="3720" t="e">
        <f t="shared" si="561"/>
        <v>#REF!</v>
      </c>
      <c r="AP106" s="3720">
        <f t="shared" si="561"/>
        <v>25525.759999999998</v>
      </c>
      <c r="AQ106" s="3720">
        <f t="shared" si="561"/>
        <v>25440.449918838356</v>
      </c>
      <c r="AR106" s="3720">
        <f t="shared" si="561"/>
        <v>85.310081161642032</v>
      </c>
      <c r="AS106" s="3720">
        <f t="shared" si="561"/>
        <v>40253.670000000006</v>
      </c>
      <c r="AT106" s="3720">
        <f t="shared" si="561"/>
        <v>40082.03991791149</v>
      </c>
      <c r="AU106" s="3720">
        <f t="shared" si="561"/>
        <v>171.63008208850837</v>
      </c>
      <c r="AV106" s="3720">
        <f t="shared" si="561"/>
        <v>96807.316536620885</v>
      </c>
      <c r="AW106" s="3779" t="e">
        <f t="shared" si="381"/>
        <v>#REF!</v>
      </c>
      <c r="AX106" s="3720">
        <f>SUM(AX99+AX105)</f>
        <v>96428.244391735192</v>
      </c>
      <c r="AY106" s="3720">
        <f>SUM(AY99+AY105)</f>
        <v>379.07214488568587</v>
      </c>
      <c r="AZ106" s="3720">
        <f>SUM(AZ99+AZ105)</f>
        <v>85384.50670841751</v>
      </c>
      <c r="BA106" s="3779" t="e">
        <f t="shared" si="382"/>
        <v>#REF!</v>
      </c>
      <c r="BB106" s="3720">
        <f t="shared" ref="BB106:BI106" si="562">SUM(BB99+BB105)</f>
        <v>85118.786560402586</v>
      </c>
      <c r="BC106" s="3720">
        <f t="shared" si="562"/>
        <v>265.72014801492946</v>
      </c>
      <c r="BD106" s="3720">
        <f t="shared" si="562"/>
        <v>81554.209999999992</v>
      </c>
      <c r="BE106" s="3720">
        <f t="shared" si="562"/>
        <v>81207.200000000012</v>
      </c>
      <c r="BF106" s="3720">
        <f t="shared" si="562"/>
        <v>347.01</v>
      </c>
      <c r="BG106" s="3720">
        <f t="shared" si="562"/>
        <v>79589.19</v>
      </c>
      <c r="BH106" s="3720">
        <f t="shared" si="562"/>
        <v>79280.179999999993</v>
      </c>
      <c r="BI106" s="3720">
        <f t="shared" si="562"/>
        <v>309.01</v>
      </c>
      <c r="BJ106" s="3725">
        <f>SUM(BK106:BL106)</f>
        <v>99256.891999999993</v>
      </c>
      <c r="BK106" s="3720">
        <f>SUM(BK103+BK105)</f>
        <v>98987.284</v>
      </c>
      <c r="BL106" s="3720">
        <f>SUM(BL103+BL105)</f>
        <v>269.60800000000006</v>
      </c>
      <c r="BM106" s="3725">
        <f>SUM(BN106:BO106)</f>
        <v>81692.376000000004</v>
      </c>
      <c r="BN106" s="3720">
        <f>SUM(BN103+BN105)</f>
        <v>81392.004000000001</v>
      </c>
      <c r="BO106" s="3720">
        <f>SUM(BO103+BO105)</f>
        <v>300.37199999999996</v>
      </c>
      <c r="BP106" s="3725">
        <f>SUM(BQ106:BR106)</f>
        <v>116751.69</v>
      </c>
      <c r="BQ106" s="3720">
        <f>SUM(BQ103+BQ105)</f>
        <v>116299.36</v>
      </c>
      <c r="BR106" s="3720">
        <f>SUM(BR103+BR105)</f>
        <v>452.33000000000004</v>
      </c>
      <c r="BS106" s="3725">
        <f>SUM(BT106:BU106)</f>
        <v>96518.738904823666</v>
      </c>
      <c r="BT106" s="3720">
        <f>SUM(BT103+BT105)</f>
        <v>96264.34266839271</v>
      </c>
      <c r="BU106" s="3720">
        <f>SUM(BU103+BU105)</f>
        <v>254.39623643095786</v>
      </c>
      <c r="BV106" s="3725">
        <f>SUM(BW106:BX106)</f>
        <v>100796.00511219277</v>
      </c>
      <c r="BW106" s="3720">
        <f>SUM(BW103+BW105)</f>
        <v>100435.51397593357</v>
      </c>
      <c r="BX106" s="3720">
        <f>SUM(BX103+BX105)</f>
        <v>360.49113625919534</v>
      </c>
      <c r="BY106" s="3601"/>
      <c r="BZ106" s="3775"/>
      <c r="CA106" s="3775"/>
      <c r="CB106" s="3775"/>
      <c r="CC106" s="3775"/>
      <c r="CD106" s="3775"/>
      <c r="CE106" s="3775"/>
      <c r="CF106" s="3775"/>
      <c r="CG106" s="3775"/>
      <c r="CH106" s="3775"/>
      <c r="CI106" s="3775"/>
      <c r="CJ106" s="3775"/>
      <c r="CK106" s="3725">
        <f>SUM(CL106:CM106)</f>
        <v>92420.313258941052</v>
      </c>
      <c r="CL106" s="3720">
        <f>SUM(CL103+CL105)</f>
        <v>92162.177820273151</v>
      </c>
      <c r="CM106" s="3720">
        <f>SUM(CM103+CM105)</f>
        <v>258.13543866789757</v>
      </c>
      <c r="CN106" s="3725">
        <f>SUM(CO106:CP106)</f>
        <v>41431.43548</v>
      </c>
      <c r="CO106" s="3720">
        <f>SUM(CO103+CO105)</f>
        <v>41333.026149999998</v>
      </c>
      <c r="CP106" s="3720">
        <f>SUM(CP103+CP105)</f>
        <v>98.409330000000011</v>
      </c>
      <c r="CQ106" s="3725">
        <f>SUM(CR106:CS106)</f>
        <v>62414.571280000004</v>
      </c>
      <c r="CR106" s="3720">
        <f>SUM(CR103+CR105)</f>
        <v>62279.233330000003</v>
      </c>
      <c r="CS106" s="3720">
        <f>SUM(CS103+CS105)</f>
        <v>135.33795000000001</v>
      </c>
      <c r="CT106" s="3725">
        <f>SUM(CU106:CV106)</f>
        <v>83657.96805000001</v>
      </c>
      <c r="CU106" s="3720">
        <f>SUM(CU103+CU105)</f>
        <v>83476.863000000012</v>
      </c>
      <c r="CV106" s="3720">
        <f>SUM(CV103+CV105)</f>
        <v>181.10505000000001</v>
      </c>
      <c r="CW106" s="3726">
        <f>SUM(CX106:CY106)</f>
        <v>115457.93146666011</v>
      </c>
      <c r="CX106" s="3723">
        <f>SUM(CX103+CX105)</f>
        <v>115167.01183817482</v>
      </c>
      <c r="CY106" s="3723">
        <f>SUM(CY103+CY105)</f>
        <v>290.91962848529323</v>
      </c>
      <c r="CZ106" s="4146">
        <f>SUM(DA106:DB106)</f>
        <v>95800.774671599997</v>
      </c>
      <c r="DA106" s="4138">
        <f>SUM(DA103+DA105)</f>
        <v>95495.080396862963</v>
      </c>
      <c r="DB106" s="4138">
        <f>SUM(DB103+DB105)</f>
        <v>305.69427473702683</v>
      </c>
      <c r="DC106" s="3726">
        <f>SUM(DD106:DE106)</f>
        <v>41578.582459999998</v>
      </c>
      <c r="DD106" s="3723">
        <f>SUM(DD103+DD105)</f>
        <v>41485.347179999997</v>
      </c>
      <c r="DE106" s="3723">
        <f>SUM(DE103+DE105)</f>
        <v>93.235280000000003</v>
      </c>
      <c r="DF106" s="3726">
        <f>SUM(DG106:DH106)</f>
        <v>62789.189829999996</v>
      </c>
      <c r="DG106" s="3723">
        <f>SUM(DG103+DG105)</f>
        <v>62650.197609999996</v>
      </c>
      <c r="DH106" s="3723">
        <f>SUM(DH103+DH105)</f>
        <v>138.99222</v>
      </c>
      <c r="DI106" s="4037">
        <f>SUM(DJ106:DK106)</f>
        <v>8954.82</v>
      </c>
      <c r="DJ106" s="4036">
        <f>SUM(DJ103+DJ105)</f>
        <v>8931.07</v>
      </c>
      <c r="DK106" s="4036">
        <f>SUM(DK103+DK105)</f>
        <v>23.75</v>
      </c>
    </row>
    <row r="107" spans="1:115" ht="27" customHeight="1" x14ac:dyDescent="0.35">
      <c r="A107" s="3719" t="s">
        <v>69</v>
      </c>
      <c r="B107" s="3719"/>
      <c r="C107" s="3719"/>
      <c r="D107" s="3719"/>
      <c r="E107" s="3719"/>
      <c r="F107" s="3719"/>
      <c r="G107" s="3719"/>
      <c r="H107" s="3719"/>
      <c r="I107" s="3719"/>
      <c r="J107" s="3719"/>
      <c r="K107" s="3719"/>
      <c r="L107" s="3719"/>
      <c r="M107" s="3719"/>
      <c r="N107" s="3719"/>
      <c r="O107" s="3719"/>
      <c r="P107" s="3719"/>
      <c r="Q107" s="3719"/>
      <c r="R107" s="3719"/>
      <c r="S107" s="3719"/>
      <c r="T107" s="3719"/>
      <c r="U107" s="3719"/>
      <c r="V107" s="3719"/>
      <c r="W107" s="3725">
        <f>SUM(W106/W100)</f>
        <v>26.676300000000001</v>
      </c>
      <c r="X107" s="3719"/>
      <c r="Y107" s="3725" t="e">
        <f t="shared" ref="Y107:AE107" si="563">SUM(Y106/Y100)</f>
        <v>#REF!</v>
      </c>
      <c r="Z107" s="3725" t="e">
        <f t="shared" si="563"/>
        <v>#REF!</v>
      </c>
      <c r="AA107" s="3725" t="e">
        <f t="shared" si="563"/>
        <v>#REF!</v>
      </c>
      <c r="AB107" s="3725">
        <f t="shared" si="563"/>
        <v>20.395164115988724</v>
      </c>
      <c r="AC107" s="3725">
        <f t="shared" si="563"/>
        <v>20.464577348087886</v>
      </c>
      <c r="AD107" s="3725">
        <f t="shared" si="563"/>
        <v>12.474700612223577</v>
      </c>
      <c r="AE107" s="3725">
        <f t="shared" si="563"/>
        <v>24.443567402728235</v>
      </c>
      <c r="AF107" s="3778" t="e">
        <f t="shared" si="378"/>
        <v>#REF!</v>
      </c>
      <c r="AG107" s="3725">
        <f>SUM(AG106/AG100)</f>
        <v>24.654934562515429</v>
      </c>
      <c r="AH107" s="3725">
        <f>SUM(AH106/AH100)</f>
        <v>12.622142857142858</v>
      </c>
      <c r="AI107" s="3725" t="e">
        <f>SUM(AI106/AI100)</f>
        <v>#REF!</v>
      </c>
      <c r="AJ107" s="3778" t="e">
        <f t="shared" si="379"/>
        <v>#REF!</v>
      </c>
      <c r="AK107" s="3725" t="e">
        <f t="shared" ref="AK107:AV107" si="564">SUM(AK106/AK100)</f>
        <v>#REF!</v>
      </c>
      <c r="AL107" s="3725" t="e">
        <f t="shared" si="564"/>
        <v>#REF!</v>
      </c>
      <c r="AM107" s="3725" t="e">
        <f t="shared" si="564"/>
        <v>#REF!</v>
      </c>
      <c r="AN107" s="3725" t="e">
        <f t="shared" si="564"/>
        <v>#REF!</v>
      </c>
      <c r="AO107" s="3725" t="e">
        <f t="shared" si="564"/>
        <v>#REF!</v>
      </c>
      <c r="AP107" s="3725">
        <f t="shared" si="564"/>
        <v>15.278116283802387</v>
      </c>
      <c r="AQ107" s="3725">
        <f t="shared" si="564"/>
        <v>15.315700072145278</v>
      </c>
      <c r="AR107" s="3725">
        <f t="shared" si="564"/>
        <v>8.8221386930343364</v>
      </c>
      <c r="AS107" s="3725">
        <f t="shared" si="564"/>
        <v>12.540279443605042</v>
      </c>
      <c r="AT107" s="3725">
        <f t="shared" si="564"/>
        <v>12.578427562523808</v>
      </c>
      <c r="AU107" s="3725">
        <f t="shared" si="564"/>
        <v>7.3408931603297001</v>
      </c>
      <c r="AV107" s="3725">
        <f t="shared" si="564"/>
        <v>27.87426332756144</v>
      </c>
      <c r="AW107" s="3779" t="e">
        <f t="shared" si="381"/>
        <v>#REF!</v>
      </c>
      <c r="AX107" s="3725">
        <f>SUM(AX106/AX100)</f>
        <v>27.990782116613989</v>
      </c>
      <c r="AY107" s="3725">
        <f>SUM(AY106/AY100)</f>
        <v>13.538290888774496</v>
      </c>
      <c r="AZ107" s="3725">
        <f>SUM(AZ106/AZ100)</f>
        <v>24.649605133018714</v>
      </c>
      <c r="BA107" s="3779" t="e">
        <f t="shared" si="382"/>
        <v>#REF!</v>
      </c>
      <c r="BB107" s="3725">
        <f t="shared" ref="BB107:BJ107" si="565">SUM(BB106/BB100)</f>
        <v>24.707920627112507</v>
      </c>
      <c r="BC107" s="3725">
        <f t="shared" si="565"/>
        <v>14.036986160323796</v>
      </c>
      <c r="BD107" s="3725">
        <f t="shared" si="565"/>
        <v>26.638731467357392</v>
      </c>
      <c r="BE107" s="3725">
        <f t="shared" si="565"/>
        <v>26.705515581220983</v>
      </c>
      <c r="BF107" s="3725">
        <f t="shared" si="565"/>
        <v>16.804358353510896</v>
      </c>
      <c r="BG107" s="3725">
        <f t="shared" si="565"/>
        <v>24.892469318053873</v>
      </c>
      <c r="BH107" s="3725">
        <f t="shared" si="565"/>
        <v>24.945778924514645</v>
      </c>
      <c r="BI107" s="3725">
        <f t="shared" si="565"/>
        <v>16.077523413111344</v>
      </c>
      <c r="BJ107" s="3725">
        <f t="shared" si="565"/>
        <v>30.550640364673907</v>
      </c>
      <c r="BK107" s="3725">
        <f t="shared" ref="BK107:CS107" si="566">SUM(BK106/BK100)</f>
        <v>30.646217956656347</v>
      </c>
      <c r="BL107" s="3725">
        <f t="shared" si="566"/>
        <v>14.242366613840469</v>
      </c>
      <c r="BM107" s="3725">
        <f t="shared" si="566"/>
        <v>25.931041750651513</v>
      </c>
      <c r="BN107" s="3725">
        <f t="shared" si="566"/>
        <v>25.986234243898704</v>
      </c>
      <c r="BO107" s="3725">
        <f t="shared" si="566"/>
        <v>16.458739726027396</v>
      </c>
      <c r="BP107" s="3725">
        <f t="shared" si="566"/>
        <v>35.935427971670677</v>
      </c>
      <c r="BQ107" s="3725">
        <f t="shared" si="566"/>
        <v>36.005993808049539</v>
      </c>
      <c r="BR107" s="3725">
        <f t="shared" si="566"/>
        <v>23.894875858425781</v>
      </c>
      <c r="BS107" s="3725">
        <f t="shared" si="566"/>
        <v>31.959808764962759</v>
      </c>
      <c r="BT107" s="3725">
        <f t="shared" si="566"/>
        <v>32.063137290101395</v>
      </c>
      <c r="BU107" s="3725">
        <f t="shared" si="566"/>
        <v>14.399786967790066</v>
      </c>
      <c r="BV107" s="3725">
        <f t="shared" si="566"/>
        <v>33.376120370102498</v>
      </c>
      <c r="BW107" s="3725">
        <f t="shared" si="566"/>
        <v>33.452445465766388</v>
      </c>
      <c r="BX107" s="3725">
        <f t="shared" si="566"/>
        <v>20.405158656180866</v>
      </c>
      <c r="BY107" s="3725" t="e">
        <f t="shared" si="566"/>
        <v>#DIV/0!</v>
      </c>
      <c r="BZ107" s="3725" t="e">
        <f t="shared" si="566"/>
        <v>#DIV/0!</v>
      </c>
      <c r="CA107" s="3725" t="e">
        <f t="shared" si="566"/>
        <v>#DIV/0!</v>
      </c>
      <c r="CB107" s="3725" t="e">
        <f t="shared" si="566"/>
        <v>#DIV/0!</v>
      </c>
      <c r="CC107" s="3725" t="e">
        <f t="shared" si="566"/>
        <v>#DIV/0!</v>
      </c>
      <c r="CD107" s="3725" t="e">
        <f t="shared" si="566"/>
        <v>#DIV/0!</v>
      </c>
      <c r="CE107" s="3725" t="e">
        <f t="shared" si="566"/>
        <v>#DIV/0!</v>
      </c>
      <c r="CF107" s="3725" t="e">
        <f t="shared" si="566"/>
        <v>#DIV/0!</v>
      </c>
      <c r="CG107" s="3725" t="e">
        <f t="shared" si="566"/>
        <v>#DIV/0!</v>
      </c>
      <c r="CH107" s="3725" t="e">
        <f t="shared" si="566"/>
        <v>#DIV/0!</v>
      </c>
      <c r="CI107" s="3725" t="e">
        <f t="shared" si="566"/>
        <v>#DIV/0!</v>
      </c>
      <c r="CJ107" s="3725" t="e">
        <f t="shared" si="566"/>
        <v>#DIV/0!</v>
      </c>
      <c r="CK107" s="3725">
        <f t="shared" si="566"/>
        <v>32.491970760000065</v>
      </c>
      <c r="CL107" s="3725">
        <f t="shared" si="566"/>
        <v>32.603721257602636</v>
      </c>
      <c r="CM107" s="3725">
        <f t="shared" si="566"/>
        <v>14.611439924597976</v>
      </c>
      <c r="CN107" s="3725">
        <f t="shared" si="566"/>
        <v>26.775165217661048</v>
      </c>
      <c r="CO107" s="3725">
        <f t="shared" si="566"/>
        <v>26.863158799493842</v>
      </c>
      <c r="CP107" s="3725">
        <f t="shared" si="566"/>
        <v>11.269964498396703</v>
      </c>
      <c r="CQ107" s="3725">
        <f t="shared" si="566"/>
        <v>26.874405813850348</v>
      </c>
      <c r="CR107" s="3725">
        <f t="shared" si="566"/>
        <v>26.970946688418071</v>
      </c>
      <c r="CS107" s="3725">
        <f t="shared" si="566"/>
        <v>10.152122871502513</v>
      </c>
      <c r="CT107" s="3725">
        <f t="shared" ref="CT107:CV107" si="567">SUM(CT106/CT100)</f>
        <v>26.80973058867151</v>
      </c>
      <c r="CU107" s="3725">
        <f t="shared" si="567"/>
        <v>26.879481182046103</v>
      </c>
      <c r="CV107" s="3725">
        <f t="shared" si="567"/>
        <v>12.207957532861476</v>
      </c>
      <c r="CW107" s="3726">
        <f t="shared" ref="CW107:CY107" si="568">SUM(CW106/CW100)</f>
        <v>40.591246674462916</v>
      </c>
      <c r="CX107" s="3726">
        <f t="shared" si="568"/>
        <v>40.742018481435075</v>
      </c>
      <c r="CY107" s="3726">
        <f t="shared" si="568"/>
        <v>16.46714878218641</v>
      </c>
      <c r="CZ107" s="4146">
        <f t="shared" ref="CZ107:DB107" si="569">SUM(CZ106/CZ100)</f>
        <v>33.680426898279258</v>
      </c>
      <c r="DA107" s="4146">
        <f t="shared" si="569"/>
        <v>33.782784395604743</v>
      </c>
      <c r="DB107" s="4146">
        <f t="shared" si="569"/>
        <v>17.303123039397001</v>
      </c>
      <c r="DC107" s="3726">
        <f t="shared" ref="DC107:DK107" si="570">SUM(DC106/DC100)</f>
        <v>26.528271603126587</v>
      </c>
      <c r="DD107" s="3726">
        <f t="shared" si="570"/>
        <v>26.600469346718199</v>
      </c>
      <c r="DE107" s="3726">
        <f t="shared" si="570"/>
        <v>12.01640417579585</v>
      </c>
      <c r="DF107" s="3726">
        <f t="shared" si="570"/>
        <v>27.455475481275027</v>
      </c>
      <c r="DG107" s="3726">
        <f t="shared" si="570"/>
        <v>27.537398486656603</v>
      </c>
      <c r="DH107" s="3726">
        <f t="shared" si="570"/>
        <v>11.728311534891569</v>
      </c>
      <c r="DI107" s="4037" t="e">
        <f t="shared" si="570"/>
        <v>#DIV/0!</v>
      </c>
      <c r="DJ107" s="4037" t="e">
        <f t="shared" si="570"/>
        <v>#DIV/0!</v>
      </c>
      <c r="DK107" s="4037" t="e">
        <f t="shared" si="570"/>
        <v>#DIV/0!</v>
      </c>
    </row>
    <row r="108" spans="1:115" ht="39.75" hidden="1" customHeight="1" x14ac:dyDescent="0.3">
      <c r="A108" s="3610" t="s">
        <v>312</v>
      </c>
      <c r="B108" s="3749"/>
      <c r="C108" s="3749"/>
      <c r="D108" s="3749"/>
      <c r="E108" s="3749"/>
      <c r="F108" s="3749"/>
      <c r="G108" s="3749"/>
      <c r="H108" s="3749"/>
      <c r="I108" s="3749"/>
      <c r="J108" s="3749"/>
      <c r="K108" s="3749"/>
      <c r="L108" s="3749"/>
      <c r="M108" s="3749"/>
      <c r="N108" s="3749"/>
      <c r="O108" s="3749"/>
      <c r="P108" s="3749"/>
      <c r="Q108" s="3749"/>
      <c r="R108" s="3749"/>
      <c r="S108" s="3749"/>
      <c r="T108" s="3749"/>
      <c r="U108" s="3749"/>
      <c r="V108" s="3749"/>
      <c r="W108" s="2633">
        <f>SUM(W73)</f>
        <v>4947</v>
      </c>
      <c r="X108" s="3749"/>
      <c r="Y108" s="2633">
        <f t="shared" ref="Y108:AE108" si="571">SUM(Y73)</f>
        <v>4947</v>
      </c>
      <c r="Z108" s="2633">
        <f t="shared" si="571"/>
        <v>4947</v>
      </c>
      <c r="AA108" s="2633">
        <f t="shared" si="571"/>
        <v>0</v>
      </c>
      <c r="AB108" s="2633">
        <f t="shared" si="571"/>
        <v>1044.8800000000001</v>
      </c>
      <c r="AC108" s="2633">
        <f t="shared" si="571"/>
        <v>1044.8800000000001</v>
      </c>
      <c r="AD108" s="2633">
        <f t="shared" si="571"/>
        <v>0</v>
      </c>
      <c r="AE108" s="2633">
        <f t="shared" si="571"/>
        <v>5656.1</v>
      </c>
      <c r="AF108" s="3750">
        <f t="shared" si="378"/>
        <v>1.1433393976147161</v>
      </c>
      <c r="AG108" s="2633">
        <f>SUM(AG73)</f>
        <v>5656.1</v>
      </c>
      <c r="AH108" s="2633">
        <f>SUM(AH73)</f>
        <v>0</v>
      </c>
      <c r="AI108" s="2633">
        <f>SUM(AI73)</f>
        <v>3568.1</v>
      </c>
      <c r="AJ108" s="3750">
        <f t="shared" si="379"/>
        <v>0.72126541338184758</v>
      </c>
      <c r="AK108" s="2633">
        <f t="shared" ref="AK108:AV108" si="572">SUM(AK73)</f>
        <v>3568.1</v>
      </c>
      <c r="AL108" s="2633">
        <f t="shared" si="572"/>
        <v>0</v>
      </c>
      <c r="AM108" s="2633" t="e">
        <f t="shared" si="572"/>
        <v>#REF!</v>
      </c>
      <c r="AN108" s="2633" t="e">
        <f t="shared" si="572"/>
        <v>#REF!</v>
      </c>
      <c r="AO108" s="2633" t="e">
        <f t="shared" si="572"/>
        <v>#REF!</v>
      </c>
      <c r="AP108" s="2633">
        <f t="shared" si="572"/>
        <v>0</v>
      </c>
      <c r="AQ108" s="2633">
        <f t="shared" si="572"/>
        <v>0</v>
      </c>
      <c r="AR108" s="2633">
        <f t="shared" si="572"/>
        <v>0</v>
      </c>
      <c r="AS108" s="2633">
        <f t="shared" si="572"/>
        <v>0</v>
      </c>
      <c r="AT108" s="2633">
        <f t="shared" si="572"/>
        <v>0</v>
      </c>
      <c r="AU108" s="2633">
        <f t="shared" si="572"/>
        <v>0</v>
      </c>
      <c r="AV108" s="2633">
        <f t="shared" si="572"/>
        <v>0.9</v>
      </c>
      <c r="AW108" s="3751">
        <f t="shared" si="381"/>
        <v>2.5223508309744685E-4</v>
      </c>
      <c r="AX108" s="2633">
        <f>SUM(AX73)</f>
        <v>0.9</v>
      </c>
      <c r="AY108" s="2633">
        <f>SUM(AY73)</f>
        <v>0</v>
      </c>
      <c r="AZ108" s="2633">
        <f>SUM(AZ73)</f>
        <v>0.9</v>
      </c>
      <c r="BA108" s="3751">
        <f t="shared" si="382"/>
        <v>2.5223508309744685E-4</v>
      </c>
      <c r="BB108" s="2633">
        <f t="shared" ref="BB108:BI108" si="573">SUM(BB73)</f>
        <v>0.9</v>
      </c>
      <c r="BC108" s="2633">
        <f t="shared" si="573"/>
        <v>0</v>
      </c>
      <c r="BD108" s="2633">
        <f t="shared" si="573"/>
        <v>0</v>
      </c>
      <c r="BE108" s="2633">
        <f t="shared" si="573"/>
        <v>0</v>
      </c>
      <c r="BF108" s="2633">
        <f t="shared" si="573"/>
        <v>0</v>
      </c>
      <c r="BG108" s="2633">
        <f t="shared" si="573"/>
        <v>0</v>
      </c>
      <c r="BH108" s="2633">
        <f t="shared" si="573"/>
        <v>0</v>
      </c>
      <c r="BI108" s="2633">
        <f t="shared" si="573"/>
        <v>0</v>
      </c>
      <c r="BJ108" s="2633"/>
      <c r="BK108" s="2633"/>
      <c r="BL108" s="2633"/>
      <c r="BM108" s="2633"/>
      <c r="BN108" s="2633"/>
      <c r="BO108" s="2633"/>
      <c r="BP108" s="2633">
        <f t="shared" ref="BP108:BX108" si="574">SUM(BP73)</f>
        <v>0</v>
      </c>
      <c r="BQ108" s="2633">
        <f t="shared" si="574"/>
        <v>0</v>
      </c>
      <c r="BR108" s="2633">
        <f t="shared" si="574"/>
        <v>0</v>
      </c>
      <c r="BS108" s="2633">
        <f t="shared" si="574"/>
        <v>0</v>
      </c>
      <c r="BT108" s="2633">
        <f t="shared" si="574"/>
        <v>0</v>
      </c>
      <c r="BU108" s="2633">
        <f t="shared" si="574"/>
        <v>0</v>
      </c>
      <c r="BV108" s="2633">
        <f t="shared" si="574"/>
        <v>0</v>
      </c>
      <c r="BW108" s="2633">
        <f t="shared" si="574"/>
        <v>0</v>
      </c>
      <c r="BX108" s="2633">
        <f t="shared" si="574"/>
        <v>0</v>
      </c>
      <c r="BY108" s="2601"/>
      <c r="BZ108" s="394"/>
      <c r="CA108" s="394"/>
      <c r="CB108" s="394"/>
      <c r="CC108" s="394"/>
      <c r="CD108" s="394"/>
      <c r="CE108" s="394"/>
      <c r="CF108" s="394"/>
      <c r="CG108" s="394"/>
      <c r="CH108" s="394"/>
      <c r="CI108" s="394"/>
      <c r="CJ108" s="394"/>
      <c r="CK108" s="2633">
        <f t="shared" ref="CK108:CS108" si="575">SUM(CK73)</f>
        <v>0</v>
      </c>
      <c r="CL108" s="2633">
        <f t="shared" si="575"/>
        <v>0</v>
      </c>
      <c r="CM108" s="2633">
        <f t="shared" si="575"/>
        <v>0</v>
      </c>
      <c r="CN108" s="2633">
        <f t="shared" si="575"/>
        <v>0</v>
      </c>
      <c r="CO108" s="2633">
        <f t="shared" si="575"/>
        <v>0</v>
      </c>
      <c r="CP108" s="2633">
        <f t="shared" si="575"/>
        <v>0</v>
      </c>
      <c r="CQ108" s="2633">
        <f t="shared" si="575"/>
        <v>0</v>
      </c>
      <c r="CR108" s="2633">
        <f t="shared" si="575"/>
        <v>0</v>
      </c>
      <c r="CS108" s="2633">
        <f t="shared" si="575"/>
        <v>0</v>
      </c>
      <c r="CT108" s="2633">
        <f t="shared" ref="CT108:CV108" si="576">SUM(CT73)</f>
        <v>0</v>
      </c>
      <c r="CU108" s="2633">
        <f t="shared" si="576"/>
        <v>0</v>
      </c>
      <c r="CV108" s="2633">
        <f t="shared" si="576"/>
        <v>0</v>
      </c>
      <c r="CW108" s="2633">
        <f t="shared" ref="CW108:CY108" si="577">SUM(CW73)</f>
        <v>0</v>
      </c>
      <c r="CX108" s="2633">
        <f t="shared" si="577"/>
        <v>0</v>
      </c>
      <c r="CY108" s="2633">
        <f t="shared" si="577"/>
        <v>0</v>
      </c>
      <c r="CZ108" s="3936">
        <f t="shared" ref="CZ108:DB108" si="578">SUM(CZ73)</f>
        <v>0</v>
      </c>
      <c r="DA108" s="3936">
        <f t="shared" si="578"/>
        <v>0</v>
      </c>
      <c r="DB108" s="3936">
        <f t="shared" si="578"/>
        <v>0</v>
      </c>
      <c r="DC108" s="3936">
        <f t="shared" ref="DC108:DK108" si="579">SUM(DC73)</f>
        <v>0</v>
      </c>
      <c r="DD108" s="3936">
        <f t="shared" si="579"/>
        <v>0</v>
      </c>
      <c r="DE108" s="3936">
        <f t="shared" si="579"/>
        <v>0</v>
      </c>
      <c r="DF108" s="3936">
        <f t="shared" si="579"/>
        <v>0</v>
      </c>
      <c r="DG108" s="3936">
        <f t="shared" si="579"/>
        <v>0</v>
      </c>
      <c r="DH108" s="3936">
        <f t="shared" si="579"/>
        <v>0</v>
      </c>
      <c r="DI108" s="3936">
        <f t="shared" si="579"/>
        <v>0</v>
      </c>
      <c r="DJ108" s="3936">
        <f t="shared" si="579"/>
        <v>0</v>
      </c>
      <c r="DK108" s="3936">
        <f t="shared" si="579"/>
        <v>0</v>
      </c>
    </row>
    <row r="109" spans="1:115" ht="39.75" hidden="1" customHeight="1" x14ac:dyDescent="0.3">
      <c r="A109" s="3616" t="s">
        <v>530</v>
      </c>
      <c r="B109" s="3749"/>
      <c r="C109" s="3749"/>
      <c r="D109" s="3749"/>
      <c r="E109" s="3749"/>
      <c r="F109" s="3749"/>
      <c r="G109" s="3749"/>
      <c r="H109" s="3749"/>
      <c r="I109" s="3749"/>
      <c r="J109" s="3749"/>
      <c r="K109" s="3749"/>
      <c r="L109" s="3749"/>
      <c r="M109" s="3749"/>
      <c r="N109" s="3749"/>
      <c r="O109" s="3749"/>
      <c r="P109" s="3749"/>
      <c r="Q109" s="3749"/>
      <c r="R109" s="3749"/>
      <c r="S109" s="3749"/>
      <c r="T109" s="3749"/>
      <c r="U109" s="3749"/>
      <c r="V109" s="3749"/>
      <c r="W109" s="2633">
        <f>SUM(W106+W108)</f>
        <v>100981.68000000001</v>
      </c>
      <c r="X109" s="3749"/>
      <c r="Y109" s="2633" t="e">
        <f t="shared" ref="Y109:AE109" si="580">SUM(Y106+Y108)</f>
        <v>#REF!</v>
      </c>
      <c r="Z109" s="2633" t="e">
        <f t="shared" si="580"/>
        <v>#REF!</v>
      </c>
      <c r="AA109" s="2633" t="e">
        <f t="shared" si="580"/>
        <v>#REF!</v>
      </c>
      <c r="AB109" s="2633">
        <f t="shared" si="580"/>
        <v>71942.549500000008</v>
      </c>
      <c r="AC109" s="2633">
        <f t="shared" si="580"/>
        <v>71565.813541510855</v>
      </c>
      <c r="AD109" s="2633">
        <f t="shared" si="580"/>
        <v>376.73595848915204</v>
      </c>
      <c r="AE109" s="2633">
        <f t="shared" si="580"/>
        <v>95429.989999999991</v>
      </c>
      <c r="AF109" s="3750" t="e">
        <f t="shared" si="378"/>
        <v>#REF!</v>
      </c>
      <c r="AG109" s="2633">
        <f t="shared" ref="AG109" si="581">SUM(AG106+AG108)</f>
        <v>95515.939999999988</v>
      </c>
      <c r="AH109" s="2633">
        <f t="shared" ref="AH109" si="582">SUM(AH106+AH108)</f>
        <v>353.42</v>
      </c>
      <c r="AI109" s="2633" t="e">
        <f t="shared" ref="AI109:AK109" si="583">SUM(AI106+AI108)</f>
        <v>#REF!</v>
      </c>
      <c r="AJ109" s="3750" t="e">
        <f t="shared" si="379"/>
        <v>#REF!</v>
      </c>
      <c r="AK109" s="2633" t="e">
        <f t="shared" si="583"/>
        <v>#REF!</v>
      </c>
      <c r="AL109" s="2633" t="e">
        <f t="shared" ref="AL109" si="584">SUM(AL106+AL108)</f>
        <v>#REF!</v>
      </c>
      <c r="AM109" s="2633" t="e">
        <f t="shared" ref="AM109" si="585">SUM(AM106+AM108)</f>
        <v>#REF!</v>
      </c>
      <c r="AN109" s="2633" t="e">
        <f t="shared" ref="AN109" si="586">SUM(AN106+AN108)</f>
        <v>#REF!</v>
      </c>
      <c r="AO109" s="2633" t="e">
        <f t="shared" ref="AO109" si="587">SUM(AO106+AO108)</f>
        <v>#REF!</v>
      </c>
      <c r="AP109" s="2633">
        <f t="shared" ref="AP109" si="588">SUM(AP106+AP108)</f>
        <v>25525.759999999998</v>
      </c>
      <c r="AQ109" s="2633">
        <f t="shared" ref="AQ109" si="589">SUM(AQ106+AQ108)</f>
        <v>25440.449918838356</v>
      </c>
      <c r="AR109" s="2633">
        <f t="shared" ref="AR109" si="590">SUM(AR106+AR108)</f>
        <v>85.310081161642032</v>
      </c>
      <c r="AS109" s="2633">
        <f t="shared" ref="AS109" si="591">SUM(AS106+AS108)</f>
        <v>40253.670000000006</v>
      </c>
      <c r="AT109" s="2633">
        <f t="shared" ref="AT109" si="592">SUM(AT106+AT108)</f>
        <v>40082.03991791149</v>
      </c>
      <c r="AU109" s="2633">
        <f t="shared" ref="AU109" si="593">SUM(AU106+AU108)</f>
        <v>171.63008208850837</v>
      </c>
      <c r="AV109" s="2633">
        <f t="shared" ref="AV109" si="594">SUM(AV106+AV108)</f>
        <v>96808.216536620879</v>
      </c>
      <c r="AW109" s="3751" t="e">
        <f t="shared" si="381"/>
        <v>#REF!</v>
      </c>
      <c r="AX109" s="2633">
        <f t="shared" ref="AX109" si="595">SUM(AX106+AX108)</f>
        <v>96429.144391735186</v>
      </c>
      <c r="AY109" s="2633">
        <f t="shared" ref="AY109" si="596">SUM(AY106+AY108)</f>
        <v>379.07214488568587</v>
      </c>
      <c r="AZ109" s="2633">
        <f t="shared" ref="AZ109" si="597">SUM(AZ106+AZ108)</f>
        <v>85385.406708417504</v>
      </c>
      <c r="BA109" s="3751" t="e">
        <f t="shared" si="382"/>
        <v>#REF!</v>
      </c>
      <c r="BB109" s="2633">
        <f t="shared" ref="BB109" si="598">SUM(BB106+BB108)</f>
        <v>85119.686560402581</v>
      </c>
      <c r="BC109" s="2633">
        <f t="shared" ref="BC109:BE109" si="599">SUM(BC106+BC108)</f>
        <v>265.72014801492946</v>
      </c>
      <c r="BD109" s="2633">
        <f t="shared" si="599"/>
        <v>81554.209999999992</v>
      </c>
      <c r="BE109" s="2633">
        <f t="shared" si="599"/>
        <v>81207.200000000012</v>
      </c>
      <c r="BF109" s="2633">
        <f t="shared" ref="BF109:BH109" si="600">SUM(BF106+BF108)</f>
        <v>347.01</v>
      </c>
      <c r="BG109" s="2633">
        <f t="shared" si="600"/>
        <v>79589.19</v>
      </c>
      <c r="BH109" s="2633">
        <f t="shared" si="600"/>
        <v>79280.179999999993</v>
      </c>
      <c r="BI109" s="2633">
        <f t="shared" ref="BI109:BQ109" si="601">SUM(BI106+BI108)</f>
        <v>309.01</v>
      </c>
      <c r="BJ109" s="2633"/>
      <c r="BK109" s="2633"/>
      <c r="BL109" s="2633"/>
      <c r="BM109" s="2633"/>
      <c r="BN109" s="2633"/>
      <c r="BO109" s="2633"/>
      <c r="BP109" s="2633">
        <f t="shared" si="601"/>
        <v>116751.69</v>
      </c>
      <c r="BQ109" s="2633">
        <f t="shared" si="601"/>
        <v>116299.36</v>
      </c>
      <c r="BR109" s="2633">
        <f t="shared" ref="BR109:BT109" si="602">SUM(BR106+BR108)</f>
        <v>452.33000000000004</v>
      </c>
      <c r="BS109" s="2633">
        <f t="shared" si="602"/>
        <v>96518.738904823666</v>
      </c>
      <c r="BT109" s="2633">
        <f t="shared" si="602"/>
        <v>96264.34266839271</v>
      </c>
      <c r="BU109" s="2633">
        <f t="shared" ref="BU109:BW109" si="603">SUM(BU106+BU108)</f>
        <v>254.39623643095786</v>
      </c>
      <c r="BV109" s="2633">
        <f t="shared" si="603"/>
        <v>100796.00511219277</v>
      </c>
      <c r="BW109" s="2633">
        <f t="shared" si="603"/>
        <v>100435.51397593357</v>
      </c>
      <c r="BX109" s="2633">
        <f t="shared" ref="BX109" si="604">SUM(BX106+BX108)</f>
        <v>360.49113625919534</v>
      </c>
      <c r="BY109" s="2601"/>
      <c r="BZ109" s="394"/>
      <c r="CA109" s="394"/>
      <c r="CB109" s="394"/>
      <c r="CC109" s="394"/>
      <c r="CD109" s="394"/>
      <c r="CE109" s="394"/>
      <c r="CF109" s="394"/>
      <c r="CG109" s="394"/>
      <c r="CH109" s="394"/>
      <c r="CI109" s="394"/>
      <c r="CJ109" s="394"/>
      <c r="CK109" s="2633">
        <f t="shared" ref="CK109:CM109" si="605">SUM(CK106+CK108)</f>
        <v>92420.313258941052</v>
      </c>
      <c r="CL109" s="2633">
        <f t="shared" si="605"/>
        <v>92162.177820273151</v>
      </c>
      <c r="CM109" s="2633">
        <f t="shared" si="605"/>
        <v>258.13543866789757</v>
      </c>
      <c r="CN109" s="2633">
        <f t="shared" ref="CN109:CP109" si="606">SUM(CN106+CN108)</f>
        <v>41431.43548</v>
      </c>
      <c r="CO109" s="2633">
        <f t="shared" si="606"/>
        <v>41333.026149999998</v>
      </c>
      <c r="CP109" s="2633">
        <f t="shared" si="606"/>
        <v>98.409330000000011</v>
      </c>
      <c r="CQ109" s="2633">
        <f t="shared" ref="CQ109:CS109" si="607">SUM(CQ106+CQ108)</f>
        <v>62414.571280000004</v>
      </c>
      <c r="CR109" s="2633">
        <f t="shared" si="607"/>
        <v>62279.233330000003</v>
      </c>
      <c r="CS109" s="2633">
        <f t="shared" si="607"/>
        <v>135.33795000000001</v>
      </c>
      <c r="CT109" s="2633">
        <f t="shared" ref="CT109:CV109" si="608">SUM(CT106+CT108)</f>
        <v>83657.96805000001</v>
      </c>
      <c r="CU109" s="2633">
        <f t="shared" si="608"/>
        <v>83476.863000000012</v>
      </c>
      <c r="CV109" s="2633">
        <f t="shared" si="608"/>
        <v>181.10505000000001</v>
      </c>
      <c r="CW109" s="2633">
        <f t="shared" ref="CW109:CY109" si="609">SUM(CW106+CW108)</f>
        <v>115457.93146666011</v>
      </c>
      <c r="CX109" s="2633">
        <f t="shared" si="609"/>
        <v>115167.01183817482</v>
      </c>
      <c r="CY109" s="2633">
        <f t="shared" si="609"/>
        <v>290.91962848529323</v>
      </c>
      <c r="CZ109" s="3936">
        <f t="shared" ref="CZ109:DB109" si="610">SUM(CZ106+CZ108)</f>
        <v>95800.774671599997</v>
      </c>
      <c r="DA109" s="3936">
        <f t="shared" si="610"/>
        <v>95495.080396862963</v>
      </c>
      <c r="DB109" s="3936">
        <f t="shared" si="610"/>
        <v>305.69427473702683</v>
      </c>
      <c r="DC109" s="3936">
        <f t="shared" ref="DC109:DK109" si="611">SUM(DC106+DC108)</f>
        <v>41578.582459999998</v>
      </c>
      <c r="DD109" s="3936">
        <f t="shared" si="611"/>
        <v>41485.347179999997</v>
      </c>
      <c r="DE109" s="3936">
        <f t="shared" si="611"/>
        <v>93.235280000000003</v>
      </c>
      <c r="DF109" s="3936">
        <f t="shared" si="611"/>
        <v>62789.189829999996</v>
      </c>
      <c r="DG109" s="3936">
        <f t="shared" si="611"/>
        <v>62650.197609999996</v>
      </c>
      <c r="DH109" s="3936">
        <f t="shared" si="611"/>
        <v>138.99222</v>
      </c>
      <c r="DI109" s="3936">
        <f t="shared" si="611"/>
        <v>8954.82</v>
      </c>
      <c r="DJ109" s="3936">
        <f t="shared" si="611"/>
        <v>8931.07</v>
      </c>
      <c r="DK109" s="3936">
        <f t="shared" si="611"/>
        <v>23.75</v>
      </c>
    </row>
    <row r="110" spans="1:115" ht="39.75" hidden="1" customHeight="1" x14ac:dyDescent="0.3">
      <c r="A110" s="3616" t="s">
        <v>313</v>
      </c>
      <c r="B110" s="3749"/>
      <c r="C110" s="3749"/>
      <c r="D110" s="3749"/>
      <c r="E110" s="3749"/>
      <c r="F110" s="3749"/>
      <c r="G110" s="3749"/>
      <c r="H110" s="3749"/>
      <c r="I110" s="3749"/>
      <c r="J110" s="3749"/>
      <c r="K110" s="3749"/>
      <c r="L110" s="3749"/>
      <c r="M110" s="3749"/>
      <c r="N110" s="3749"/>
      <c r="O110" s="3749"/>
      <c r="P110" s="3749"/>
      <c r="Q110" s="3749"/>
      <c r="R110" s="3749"/>
      <c r="S110" s="3749"/>
      <c r="T110" s="3749"/>
      <c r="U110" s="3749"/>
      <c r="V110" s="3749"/>
      <c r="W110" s="2634">
        <f>SUM(W109/W100)</f>
        <v>28.050466666666669</v>
      </c>
      <c r="X110" s="3749"/>
      <c r="Y110" s="2634" t="e">
        <f t="shared" ref="Y110:AE110" si="612">SUM(Y109/Y100)</f>
        <v>#REF!</v>
      </c>
      <c r="Z110" s="2634" t="e">
        <f t="shared" si="612"/>
        <v>#REF!</v>
      </c>
      <c r="AA110" s="2634" t="e">
        <f t="shared" si="612"/>
        <v>#REF!</v>
      </c>
      <c r="AB110" s="2634">
        <f t="shared" si="612"/>
        <v>20.6957452102871</v>
      </c>
      <c r="AC110" s="2634">
        <f t="shared" si="612"/>
        <v>20.767792670200482</v>
      </c>
      <c r="AD110" s="2634">
        <f t="shared" si="612"/>
        <v>12.474700612223577</v>
      </c>
      <c r="AE110" s="2634">
        <f t="shared" si="612"/>
        <v>25.983606066381679</v>
      </c>
      <c r="AF110" s="3750" t="e">
        <f t="shared" si="378"/>
        <v>#REF!</v>
      </c>
      <c r="AG110" s="2634">
        <f>SUM(AG109/AG100)</f>
        <v>26.206804400910908</v>
      </c>
      <c r="AH110" s="2634">
        <f>SUM(AH109/AH100)</f>
        <v>12.622142857142858</v>
      </c>
      <c r="AI110" s="2634" t="e">
        <f>SUM(AI109/AI100)</f>
        <v>#REF!</v>
      </c>
      <c r="AJ110" s="3750" t="e">
        <f t="shared" si="379"/>
        <v>#REF!</v>
      </c>
      <c r="AK110" s="2634" t="e">
        <f t="shared" ref="AK110:AV110" si="613">SUM(AK109/AK100)</f>
        <v>#REF!</v>
      </c>
      <c r="AL110" s="2634" t="e">
        <f t="shared" si="613"/>
        <v>#REF!</v>
      </c>
      <c r="AM110" s="2634" t="e">
        <f t="shared" si="613"/>
        <v>#REF!</v>
      </c>
      <c r="AN110" s="2634" t="e">
        <f t="shared" si="613"/>
        <v>#REF!</v>
      </c>
      <c r="AO110" s="2634" t="e">
        <f t="shared" si="613"/>
        <v>#REF!</v>
      </c>
      <c r="AP110" s="2634">
        <f t="shared" si="613"/>
        <v>15.278116283802387</v>
      </c>
      <c r="AQ110" s="2634">
        <f t="shared" si="613"/>
        <v>15.315700072145278</v>
      </c>
      <c r="AR110" s="2634">
        <f t="shared" si="613"/>
        <v>8.8221386930343364</v>
      </c>
      <c r="AS110" s="2634">
        <f t="shared" si="613"/>
        <v>12.540279443605042</v>
      </c>
      <c r="AT110" s="2634">
        <f t="shared" si="613"/>
        <v>12.578427562523808</v>
      </c>
      <c r="AU110" s="2634">
        <f t="shared" si="613"/>
        <v>7.3408931603297001</v>
      </c>
      <c r="AV110" s="2634">
        <f t="shared" si="613"/>
        <v>27.874522469513643</v>
      </c>
      <c r="AW110" s="3751" t="e">
        <f t="shared" si="381"/>
        <v>#REF!</v>
      </c>
      <c r="AX110" s="2634">
        <f>SUM(AX109/AX100)</f>
        <v>27.991043364799765</v>
      </c>
      <c r="AY110" s="2634">
        <f>SUM(AY109/AY100)</f>
        <v>13.538290888774496</v>
      </c>
      <c r="AZ110" s="2634">
        <f>SUM(AZ109/AZ100)</f>
        <v>24.649864953511621</v>
      </c>
      <c r="BA110" s="3751" t="e">
        <f t="shared" si="382"/>
        <v>#REF!</v>
      </c>
      <c r="BB110" s="2634">
        <f t="shared" ref="BB110:BI110" si="614">SUM(BB109/BB100)</f>
        <v>24.708181875298283</v>
      </c>
      <c r="BC110" s="2634">
        <f t="shared" si="614"/>
        <v>14.036986160323796</v>
      </c>
      <c r="BD110" s="2634">
        <f t="shared" si="614"/>
        <v>26.638731467357392</v>
      </c>
      <c r="BE110" s="2634">
        <f t="shared" si="614"/>
        <v>26.705515581220983</v>
      </c>
      <c r="BF110" s="2634">
        <f t="shared" si="614"/>
        <v>16.804358353510896</v>
      </c>
      <c r="BG110" s="2634">
        <f t="shared" si="614"/>
        <v>24.892469318053873</v>
      </c>
      <c r="BH110" s="2634">
        <f t="shared" si="614"/>
        <v>24.945778924514645</v>
      </c>
      <c r="BI110" s="2634">
        <f t="shared" si="614"/>
        <v>16.077523413111344</v>
      </c>
      <c r="BJ110" s="2634"/>
      <c r="BK110" s="2634"/>
      <c r="BL110" s="2634"/>
      <c r="BM110" s="2634"/>
      <c r="BN110" s="2634"/>
      <c r="BO110" s="2634"/>
      <c r="BP110" s="2634">
        <f t="shared" ref="BP110:BX110" si="615">SUM(BP109/BP100)</f>
        <v>35.935427971670677</v>
      </c>
      <c r="BQ110" s="2634">
        <f t="shared" si="615"/>
        <v>36.005993808049539</v>
      </c>
      <c r="BR110" s="2634">
        <f t="shared" si="615"/>
        <v>23.894875858425781</v>
      </c>
      <c r="BS110" s="2634">
        <f t="shared" si="615"/>
        <v>31.959808764962759</v>
      </c>
      <c r="BT110" s="2634">
        <f t="shared" si="615"/>
        <v>32.063137290101395</v>
      </c>
      <c r="BU110" s="2634">
        <f t="shared" si="615"/>
        <v>14.399786967790066</v>
      </c>
      <c r="BV110" s="2634">
        <f t="shared" si="615"/>
        <v>33.376120370102498</v>
      </c>
      <c r="BW110" s="2634">
        <f t="shared" si="615"/>
        <v>33.452445465766388</v>
      </c>
      <c r="BX110" s="2634">
        <f t="shared" si="615"/>
        <v>20.405158656180866</v>
      </c>
      <c r="BY110" s="2601"/>
      <c r="BZ110" s="394"/>
      <c r="CA110" s="394"/>
      <c r="CB110" s="394"/>
      <c r="CC110" s="394"/>
      <c r="CD110" s="394"/>
      <c r="CE110" s="394"/>
      <c r="CF110" s="394"/>
      <c r="CG110" s="394"/>
      <c r="CH110" s="394"/>
      <c r="CI110" s="394"/>
      <c r="CJ110" s="394"/>
      <c r="CK110" s="2634">
        <f t="shared" ref="CK110:CS110" si="616">SUM(CK109/CK100)</f>
        <v>32.491970760000065</v>
      </c>
      <c r="CL110" s="2634">
        <f t="shared" si="616"/>
        <v>32.603721257602636</v>
      </c>
      <c r="CM110" s="2634">
        <f t="shared" si="616"/>
        <v>14.611439924597976</v>
      </c>
      <c r="CN110" s="2634">
        <f t="shared" si="616"/>
        <v>26.775165217661048</v>
      </c>
      <c r="CO110" s="2634">
        <f t="shared" si="616"/>
        <v>26.863158799493842</v>
      </c>
      <c r="CP110" s="2634">
        <f t="shared" si="616"/>
        <v>11.269964498396703</v>
      </c>
      <c r="CQ110" s="2634">
        <f t="shared" si="616"/>
        <v>26.874405813850348</v>
      </c>
      <c r="CR110" s="2634">
        <f t="shared" si="616"/>
        <v>26.970946688418071</v>
      </c>
      <c r="CS110" s="2634">
        <f t="shared" si="616"/>
        <v>10.152122871502513</v>
      </c>
      <c r="CT110" s="2634">
        <f t="shared" ref="CT110:CV110" si="617">SUM(CT109/CT100)</f>
        <v>26.80973058867151</v>
      </c>
      <c r="CU110" s="2634">
        <f t="shared" si="617"/>
        <v>26.879481182046103</v>
      </c>
      <c r="CV110" s="2634">
        <f t="shared" si="617"/>
        <v>12.207957532861476</v>
      </c>
      <c r="CW110" s="2634">
        <f t="shared" ref="CW110:CY110" si="618">SUM(CW109/CW100)</f>
        <v>40.591246674462916</v>
      </c>
      <c r="CX110" s="2634">
        <f t="shared" si="618"/>
        <v>40.742018481435075</v>
      </c>
      <c r="CY110" s="2634">
        <f t="shared" si="618"/>
        <v>16.46714878218641</v>
      </c>
      <c r="CZ110" s="3937">
        <f t="shared" ref="CZ110:DB110" si="619">SUM(CZ109/CZ100)</f>
        <v>33.680426898279258</v>
      </c>
      <c r="DA110" s="3937">
        <f t="shared" si="619"/>
        <v>33.782784395604743</v>
      </c>
      <c r="DB110" s="3937">
        <f t="shared" si="619"/>
        <v>17.303123039397001</v>
      </c>
      <c r="DC110" s="3937">
        <f t="shared" ref="DC110:DK110" si="620">SUM(DC109/DC100)</f>
        <v>26.528271603126587</v>
      </c>
      <c r="DD110" s="3937">
        <f t="shared" si="620"/>
        <v>26.600469346718199</v>
      </c>
      <c r="DE110" s="3937">
        <f t="shared" si="620"/>
        <v>12.01640417579585</v>
      </c>
      <c r="DF110" s="3937">
        <f t="shared" si="620"/>
        <v>27.455475481275027</v>
      </c>
      <c r="DG110" s="3937">
        <f t="shared" si="620"/>
        <v>27.537398486656603</v>
      </c>
      <c r="DH110" s="3937">
        <f t="shared" si="620"/>
        <v>11.728311534891569</v>
      </c>
      <c r="DI110" s="3937" t="e">
        <f t="shared" si="620"/>
        <v>#DIV/0!</v>
      </c>
      <c r="DJ110" s="3937" t="e">
        <f t="shared" si="620"/>
        <v>#DIV/0!</v>
      </c>
      <c r="DK110" s="3937" t="e">
        <f t="shared" si="620"/>
        <v>#DIV/0!</v>
      </c>
    </row>
    <row r="111" spans="1:115" ht="20.25" hidden="1" customHeight="1" x14ac:dyDescent="0.35">
      <c r="A111" s="369"/>
      <c r="B111" s="861"/>
      <c r="C111" s="861"/>
      <c r="D111" s="861"/>
      <c r="E111" s="861"/>
      <c r="F111" s="861"/>
      <c r="G111" s="861"/>
      <c r="H111" s="861"/>
      <c r="I111" s="862"/>
      <c r="J111" s="105"/>
      <c r="K111" s="105"/>
      <c r="L111" s="105"/>
      <c r="M111" s="105"/>
      <c r="N111" s="863"/>
      <c r="O111" s="864"/>
      <c r="P111" s="865"/>
      <c r="Q111" s="863"/>
      <c r="R111" s="105"/>
      <c r="S111" s="862"/>
      <c r="T111" s="862"/>
      <c r="U111" s="862"/>
      <c r="V111" s="862"/>
      <c r="W111" s="866"/>
      <c r="X111" s="862"/>
      <c r="Y111" s="866"/>
      <c r="Z111" s="866"/>
      <c r="AA111" s="866"/>
      <c r="AB111" s="866"/>
      <c r="AC111" s="866"/>
      <c r="AD111" s="866"/>
      <c r="AE111" s="866"/>
      <c r="AF111" s="866"/>
      <c r="AG111" s="866"/>
      <c r="AH111" s="866"/>
      <c r="AI111" s="866"/>
      <c r="AJ111" s="866"/>
      <c r="AK111" s="867"/>
      <c r="AL111" s="867"/>
      <c r="AM111" s="868"/>
      <c r="AN111" s="869"/>
      <c r="AO111" s="868"/>
      <c r="AP111" s="868"/>
      <c r="AQ111" s="868"/>
      <c r="AR111" s="868"/>
      <c r="AS111" s="868"/>
      <c r="AT111" s="868"/>
      <c r="AU111" s="868"/>
      <c r="AV111" s="868"/>
      <c r="AW111" s="1373"/>
      <c r="AX111" s="868"/>
      <c r="AY111" s="868"/>
      <c r="AZ111" s="868"/>
      <c r="BA111" s="1373"/>
      <c r="BB111" s="868"/>
      <c r="BC111" s="868"/>
      <c r="BD111" s="868"/>
      <c r="BE111" s="868"/>
      <c r="BF111" s="868"/>
      <c r="BG111" s="868"/>
      <c r="BH111" s="868"/>
      <c r="BI111" s="868"/>
      <c r="BJ111" s="868"/>
      <c r="BK111" s="868"/>
      <c r="BL111" s="868"/>
      <c r="BM111" s="868"/>
      <c r="BN111" s="868"/>
      <c r="BO111" s="868"/>
      <c r="BP111" s="868"/>
      <c r="BQ111" s="868"/>
      <c r="BR111" s="868"/>
      <c r="BS111" s="868"/>
      <c r="BT111" s="868"/>
      <c r="BU111" s="868"/>
      <c r="BV111" s="868"/>
      <c r="BW111" s="868"/>
      <c r="BX111" s="868"/>
      <c r="BY111" s="105"/>
      <c r="CK111" s="868"/>
      <c r="CL111" s="868"/>
      <c r="CM111" s="868"/>
      <c r="CZ111" s="2375"/>
      <c r="DA111" s="2375"/>
      <c r="DB111" s="2375"/>
      <c r="DC111" s="2375"/>
      <c r="DD111" s="2375"/>
      <c r="DE111" s="2375"/>
      <c r="DF111" s="2375"/>
      <c r="DG111" s="2375"/>
      <c r="DH111" s="2375"/>
      <c r="DI111" s="2375"/>
      <c r="DJ111" s="2375"/>
      <c r="DK111" s="2375"/>
    </row>
    <row r="112" spans="1:115" ht="20.25" hidden="1" customHeight="1" x14ac:dyDescent="0.35">
      <c r="A112" s="369"/>
      <c r="B112" s="861"/>
      <c r="C112" s="861"/>
      <c r="D112" s="861"/>
      <c r="E112" s="861"/>
      <c r="F112" s="861"/>
      <c r="G112" s="861"/>
      <c r="H112" s="861"/>
      <c r="I112" s="862"/>
      <c r="J112" s="105"/>
      <c r="K112" s="105"/>
      <c r="L112" s="105"/>
      <c r="M112" s="105"/>
      <c r="N112" s="863"/>
      <c r="O112" s="864"/>
      <c r="P112" s="865"/>
      <c r="Q112" s="863"/>
      <c r="R112" s="105"/>
      <c r="S112" s="862"/>
      <c r="T112" s="862"/>
      <c r="U112" s="862"/>
      <c r="V112" s="862"/>
      <c r="W112" s="866"/>
      <c r="X112" s="862"/>
      <c r="Y112" s="866"/>
      <c r="Z112" s="866"/>
      <c r="AA112" s="866"/>
      <c r="AB112" s="866"/>
      <c r="AC112" s="866"/>
      <c r="AD112" s="866"/>
      <c r="AE112" s="866"/>
      <c r="AF112" s="866"/>
      <c r="AG112" s="866"/>
      <c r="AH112" s="866"/>
      <c r="AI112" s="866"/>
      <c r="AJ112" s="866"/>
      <c r="AK112" s="867"/>
      <c r="AL112" s="867"/>
      <c r="AM112" s="868"/>
      <c r="AN112" s="869"/>
      <c r="AO112" s="868"/>
      <c r="AP112" s="868"/>
      <c r="AQ112" s="868"/>
      <c r="AR112" s="868"/>
      <c r="AS112" s="868"/>
      <c r="AT112" s="868"/>
      <c r="AU112" s="868"/>
      <c r="AV112" s="868"/>
      <c r="AW112" s="1373"/>
      <c r="AX112" s="868">
        <f>BB112</f>
        <v>24.29</v>
      </c>
      <c r="AY112" s="868"/>
      <c r="AZ112" s="868"/>
      <c r="BA112" s="1373"/>
      <c r="BB112" s="2526">
        <f>BB77</f>
        <v>24.29</v>
      </c>
      <c r="BC112" s="868"/>
      <c r="BD112" s="868"/>
      <c r="BE112" s="868"/>
      <c r="BF112" s="868"/>
      <c r="BG112" s="868"/>
      <c r="BH112" s="868"/>
      <c r="BI112" s="868"/>
      <c r="BJ112" s="868"/>
      <c r="BK112" s="868"/>
      <c r="BL112" s="868"/>
      <c r="BM112" s="868"/>
      <c r="BN112" s="868"/>
      <c r="BO112" s="868"/>
      <c r="BP112" s="868"/>
      <c r="BQ112" s="868"/>
      <c r="BR112" s="868"/>
      <c r="BS112" s="868"/>
      <c r="BT112" s="868"/>
      <c r="BU112" s="868"/>
      <c r="BV112" s="868"/>
      <c r="BW112" s="868"/>
      <c r="BX112" s="868"/>
      <c r="BY112" s="105"/>
      <c r="CK112" s="868"/>
      <c r="CL112" s="868"/>
      <c r="CM112" s="868"/>
      <c r="CZ112" s="2375"/>
      <c r="DA112" s="2375"/>
      <c r="DB112" s="2375"/>
      <c r="DC112" s="2375"/>
      <c r="DD112" s="2375"/>
      <c r="DE112" s="2375"/>
      <c r="DF112" s="2375"/>
      <c r="DG112" s="2375"/>
      <c r="DH112" s="2375"/>
      <c r="DI112" s="2375"/>
      <c r="DJ112" s="2375"/>
      <c r="DK112" s="2375"/>
    </row>
    <row r="113" spans="1:115" ht="20.25" hidden="1" customHeight="1" x14ac:dyDescent="0.35">
      <c r="A113" s="369"/>
      <c r="B113" s="861"/>
      <c r="C113" s="861"/>
      <c r="D113" s="861"/>
      <c r="E113" s="861"/>
      <c r="F113" s="861"/>
      <c r="G113" s="861"/>
      <c r="H113" s="861"/>
      <c r="I113" s="2525"/>
      <c r="J113" s="105"/>
      <c r="K113" s="105"/>
      <c r="L113" s="105"/>
      <c r="M113" s="105"/>
      <c r="N113" s="863"/>
      <c r="O113" s="864"/>
      <c r="P113" s="865"/>
      <c r="Q113" s="863"/>
      <c r="R113" s="105"/>
      <c r="S113" s="2525"/>
      <c r="T113" s="2525"/>
      <c r="U113" s="2525"/>
      <c r="V113" s="2525"/>
      <c r="W113" s="866"/>
      <c r="X113" s="2525"/>
      <c r="Y113" s="866"/>
      <c r="Z113" s="866"/>
      <c r="AA113" s="866"/>
      <c r="AB113" s="866"/>
      <c r="AC113" s="866"/>
      <c r="AD113" s="866"/>
      <c r="AE113" s="866"/>
      <c r="AF113" s="866"/>
      <c r="AG113" s="866"/>
      <c r="AH113" s="866"/>
      <c r="AI113" s="866"/>
      <c r="AJ113" s="866"/>
      <c r="AK113" s="867"/>
      <c r="AL113" s="867"/>
      <c r="AM113" s="868"/>
      <c r="AN113" s="869"/>
      <c r="AO113" s="868"/>
      <c r="AP113" s="868"/>
      <c r="AQ113" s="868"/>
      <c r="AR113" s="868"/>
      <c r="AS113" s="868"/>
      <c r="AT113" s="868"/>
      <c r="AU113" s="868"/>
      <c r="AV113" s="868"/>
      <c r="AW113" s="1373"/>
      <c r="AX113" s="868"/>
      <c r="AY113" s="868"/>
      <c r="AZ113" s="868"/>
      <c r="BA113" s="1373"/>
      <c r="BB113" s="868"/>
      <c r="BC113" s="868"/>
      <c r="BD113" s="868"/>
      <c r="BE113" s="868"/>
      <c r="BF113" s="868"/>
      <c r="BG113" s="868"/>
      <c r="BH113" s="868"/>
      <c r="BI113" s="868"/>
      <c r="BJ113" s="868"/>
      <c r="BK113" s="868"/>
      <c r="BL113" s="868"/>
      <c r="BM113" s="868"/>
      <c r="BN113" s="868"/>
      <c r="BO113" s="868"/>
      <c r="BP113" s="868"/>
      <c r="BQ113" s="868"/>
      <c r="BR113" s="868"/>
      <c r="BS113" s="868"/>
      <c r="BT113" s="868"/>
      <c r="BU113" s="868"/>
      <c r="BV113" s="868"/>
      <c r="BW113" s="868"/>
      <c r="BX113" s="868"/>
      <c r="BY113" s="105"/>
      <c r="CK113" s="868"/>
      <c r="CL113" s="868"/>
      <c r="CM113" s="868"/>
      <c r="CZ113" s="2375"/>
      <c r="DA113" s="2375"/>
      <c r="DB113" s="2375"/>
      <c r="DC113" s="2375"/>
      <c r="DD113" s="2375"/>
      <c r="DE113" s="2375"/>
      <c r="DF113" s="2375"/>
      <c r="DG113" s="2375"/>
      <c r="DH113" s="2375"/>
      <c r="DI113" s="2375"/>
      <c r="DJ113" s="2375"/>
      <c r="DK113" s="2375"/>
    </row>
    <row r="114" spans="1:115" ht="20.25" hidden="1" customHeight="1" x14ac:dyDescent="0.35">
      <c r="A114" s="369"/>
      <c r="B114" s="861"/>
      <c r="C114" s="861"/>
      <c r="D114" s="861"/>
      <c r="E114" s="861"/>
      <c r="F114" s="861"/>
      <c r="G114" s="861"/>
      <c r="H114" s="861"/>
      <c r="I114" s="2525"/>
      <c r="J114" s="105"/>
      <c r="K114" s="105"/>
      <c r="L114" s="105"/>
      <c r="M114" s="105"/>
      <c r="N114" s="863"/>
      <c r="O114" s="864"/>
      <c r="P114" s="865"/>
      <c r="Q114" s="863"/>
      <c r="R114" s="105"/>
      <c r="S114" s="2525"/>
      <c r="T114" s="2525"/>
      <c r="U114" s="2525"/>
      <c r="V114" s="2525"/>
      <c r="W114" s="866"/>
      <c r="X114" s="2525"/>
      <c r="Y114" s="866"/>
      <c r="Z114" s="866"/>
      <c r="AA114" s="866"/>
      <c r="AB114" s="866"/>
      <c r="AC114" s="866"/>
      <c r="AD114" s="866"/>
      <c r="AE114" s="866"/>
      <c r="AF114" s="866"/>
      <c r="AG114" s="866"/>
      <c r="AH114" s="866"/>
      <c r="AI114" s="866"/>
      <c r="AJ114" s="866"/>
      <c r="AK114" s="867"/>
      <c r="AL114" s="867"/>
      <c r="AM114" s="868"/>
      <c r="AN114" s="869"/>
      <c r="AO114" s="868"/>
      <c r="AP114" s="868"/>
      <c r="AQ114" s="868"/>
      <c r="AR114" s="868"/>
      <c r="AS114" s="868"/>
      <c r="AT114" s="868"/>
      <c r="AU114" s="868"/>
      <c r="AV114" s="868"/>
      <c r="AW114" s="1373"/>
      <c r="AX114" s="868"/>
      <c r="AY114" s="868"/>
      <c r="AZ114" s="868"/>
      <c r="BA114" s="1373"/>
      <c r="BB114" s="868"/>
      <c r="BC114" s="868"/>
      <c r="BD114" s="868"/>
      <c r="BE114" s="868"/>
      <c r="BF114" s="868"/>
      <c r="BG114" s="868"/>
      <c r="BH114" s="868"/>
      <c r="BI114" s="868"/>
      <c r="BJ114" s="868"/>
      <c r="BK114" s="868"/>
      <c r="BL114" s="868"/>
      <c r="BM114" s="868"/>
      <c r="BN114" s="868"/>
      <c r="BO114" s="868"/>
      <c r="BP114" s="868"/>
      <c r="BQ114" s="868"/>
      <c r="BR114" s="868"/>
      <c r="BS114" s="868"/>
      <c r="BT114" s="868"/>
      <c r="BU114" s="868"/>
      <c r="BV114" s="868"/>
      <c r="BW114" s="868"/>
      <c r="BX114" s="868"/>
      <c r="BY114" s="105"/>
      <c r="CK114" s="868"/>
      <c r="CL114" s="868"/>
      <c r="CM114" s="868"/>
      <c r="CZ114" s="2375"/>
      <c r="DA114" s="2375"/>
      <c r="DB114" s="2375"/>
      <c r="DC114" s="2375"/>
      <c r="DD114" s="2375"/>
      <c r="DE114" s="2375"/>
      <c r="DF114" s="2375"/>
      <c r="DG114" s="2375"/>
      <c r="DH114" s="2375"/>
      <c r="DI114" s="2375"/>
      <c r="DJ114" s="2375"/>
      <c r="DK114" s="2375"/>
    </row>
    <row r="115" spans="1:115" ht="20.25" hidden="1" customHeight="1" x14ac:dyDescent="0.35">
      <c r="A115" s="3736"/>
      <c r="B115" s="861"/>
      <c r="C115" s="861"/>
      <c r="D115" s="861"/>
      <c r="E115" s="861"/>
      <c r="F115" s="861"/>
      <c r="G115" s="861"/>
      <c r="H115" s="861"/>
      <c r="I115" s="2525"/>
      <c r="J115" s="105"/>
      <c r="K115" s="105"/>
      <c r="L115" s="105"/>
      <c r="M115" s="105"/>
      <c r="N115" s="863"/>
      <c r="O115" s="864"/>
      <c r="P115" s="865"/>
      <c r="Q115" s="863"/>
      <c r="R115" s="105"/>
      <c r="S115" s="2525"/>
      <c r="T115" s="2525"/>
      <c r="U115" s="2525"/>
      <c r="V115" s="2525"/>
      <c r="W115" s="866"/>
      <c r="X115" s="2525"/>
      <c r="Y115" s="866"/>
      <c r="Z115" s="866"/>
      <c r="AA115" s="866"/>
      <c r="AB115" s="866"/>
      <c r="AC115" s="866"/>
      <c r="AD115" s="866"/>
      <c r="AE115" s="866"/>
      <c r="AF115" s="866"/>
      <c r="AG115" s="866"/>
      <c r="AH115" s="866"/>
      <c r="AI115" s="866"/>
      <c r="AJ115" s="866"/>
      <c r="AK115" s="867"/>
      <c r="AL115" s="867"/>
      <c r="AM115" s="868"/>
      <c r="AN115" s="869"/>
      <c r="AO115" s="868"/>
      <c r="AP115" s="868"/>
      <c r="AQ115" s="868"/>
      <c r="AR115" s="868"/>
      <c r="AS115" s="868"/>
      <c r="AT115" s="868"/>
      <c r="AU115" s="868"/>
      <c r="AV115" s="868"/>
      <c r="AW115" s="1373"/>
      <c r="AX115" s="868"/>
      <c r="AY115" s="868"/>
      <c r="AZ115" s="868"/>
      <c r="BA115" s="1373"/>
      <c r="BB115" s="868"/>
      <c r="BC115" s="868"/>
      <c r="BD115" s="868"/>
      <c r="BE115" s="868"/>
      <c r="BF115" s="868"/>
      <c r="BG115" s="868"/>
      <c r="BH115" s="868"/>
      <c r="BI115" s="868"/>
      <c r="BJ115" s="868"/>
      <c r="BK115" s="868"/>
      <c r="BL115" s="868"/>
      <c r="BM115" s="868"/>
      <c r="BN115" s="868"/>
      <c r="BO115" s="868"/>
      <c r="BP115" s="868"/>
      <c r="BQ115" s="868"/>
      <c r="BR115" s="868"/>
      <c r="BS115" s="868"/>
      <c r="BT115" s="868"/>
      <c r="BU115" s="868"/>
      <c r="BV115" s="868"/>
      <c r="BW115" s="868"/>
      <c r="BX115" s="868"/>
      <c r="BY115" s="105"/>
      <c r="CK115" s="868"/>
      <c r="CL115" s="868"/>
      <c r="CM115" s="868"/>
      <c r="CZ115" s="2375"/>
      <c r="DA115" s="2375"/>
      <c r="DB115" s="2375"/>
      <c r="DC115" s="2375"/>
      <c r="DD115" s="2375"/>
      <c r="DE115" s="2375"/>
      <c r="DF115" s="2375"/>
      <c r="DG115" s="2375"/>
      <c r="DH115" s="2375"/>
      <c r="DI115" s="2375"/>
      <c r="DJ115" s="2375"/>
      <c r="DK115" s="2375"/>
    </row>
    <row r="116" spans="1:115" ht="20.25" customHeight="1" x14ac:dyDescent="0.35">
      <c r="A116" s="369"/>
      <c r="B116" s="861"/>
      <c r="C116" s="861"/>
      <c r="D116" s="861"/>
      <c r="E116" s="861"/>
      <c r="F116" s="861"/>
      <c r="G116" s="861"/>
      <c r="H116" s="861"/>
      <c r="I116" s="2525"/>
      <c r="J116" s="105"/>
      <c r="K116" s="105"/>
      <c r="L116" s="105"/>
      <c r="M116" s="105"/>
      <c r="N116" s="863"/>
      <c r="O116" s="864"/>
      <c r="P116" s="865"/>
      <c r="Q116" s="863"/>
      <c r="R116" s="105"/>
      <c r="S116" s="2525"/>
      <c r="T116" s="2525"/>
      <c r="U116" s="2525"/>
      <c r="V116" s="2525"/>
      <c r="W116" s="866"/>
      <c r="X116" s="2525"/>
      <c r="Y116" s="866"/>
      <c r="Z116" s="866"/>
      <c r="AA116" s="866"/>
      <c r="AB116" s="866"/>
      <c r="AC116" s="866"/>
      <c r="AD116" s="866"/>
      <c r="AE116" s="866"/>
      <c r="AF116" s="866"/>
      <c r="AG116" s="866"/>
      <c r="AH116" s="866"/>
      <c r="AI116" s="866"/>
      <c r="AJ116" s="866"/>
      <c r="AK116" s="867"/>
      <c r="AL116" s="867"/>
      <c r="AM116" s="868"/>
      <c r="AN116" s="869"/>
      <c r="AO116" s="868"/>
      <c r="AP116" s="868"/>
      <c r="AQ116" s="868"/>
      <c r="AR116" s="868"/>
      <c r="AS116" s="868"/>
      <c r="AT116" s="868"/>
      <c r="AU116" s="868"/>
      <c r="AV116" s="868"/>
      <c r="AW116" s="1373"/>
      <c r="AX116" s="868"/>
      <c r="AY116" s="868"/>
      <c r="AZ116" s="868"/>
      <c r="BA116" s="1373"/>
      <c r="BB116" s="868"/>
      <c r="BC116" s="868"/>
      <c r="BD116" s="868"/>
      <c r="BE116" s="868"/>
      <c r="BF116" s="868"/>
      <c r="BG116" s="868"/>
      <c r="BH116" s="868"/>
      <c r="BI116" s="868"/>
      <c r="BJ116" s="868"/>
      <c r="BK116" s="868"/>
      <c r="BL116" s="868"/>
      <c r="BM116" s="868"/>
      <c r="BN116" s="868"/>
      <c r="BO116" s="868"/>
      <c r="BP116" s="868"/>
      <c r="BQ116" s="868"/>
      <c r="BR116" s="868"/>
      <c r="BS116" s="868"/>
      <c r="BT116" s="868"/>
      <c r="BU116" s="868"/>
      <c r="BV116" s="868"/>
      <c r="BW116" s="868"/>
      <c r="BX116" s="868"/>
      <c r="BY116" s="105"/>
      <c r="CK116" s="868"/>
      <c r="CL116" s="868"/>
      <c r="CM116" s="868"/>
      <c r="CZ116" s="2375"/>
      <c r="DA116" s="2375"/>
      <c r="DB116" s="2375"/>
      <c r="DC116" s="2375"/>
      <c r="DD116" s="2375"/>
      <c r="DE116" s="2375"/>
      <c r="DF116" s="2375"/>
      <c r="DG116" s="2375"/>
      <c r="DH116" s="2375"/>
      <c r="DI116" s="3753"/>
      <c r="DJ116" s="3753"/>
      <c r="DK116" s="3753"/>
    </row>
    <row r="117" spans="1:115" ht="20.25" customHeight="1" x14ac:dyDescent="0.35">
      <c r="A117" s="369"/>
      <c r="B117" s="861"/>
      <c r="C117" s="861"/>
      <c r="D117" s="861"/>
      <c r="E117" s="861"/>
      <c r="F117" s="861"/>
      <c r="G117" s="861"/>
      <c r="H117" s="861"/>
      <c r="I117" s="862"/>
      <c r="J117" s="105"/>
      <c r="K117" s="105"/>
      <c r="L117" s="105"/>
      <c r="M117" s="105"/>
      <c r="N117" s="863"/>
      <c r="O117" s="864"/>
      <c r="P117" s="865"/>
      <c r="Q117" s="863"/>
      <c r="R117" s="105"/>
      <c r="S117" s="862"/>
      <c r="T117" s="862"/>
      <c r="U117" s="862"/>
      <c r="V117" s="862"/>
      <c r="W117" s="866"/>
      <c r="X117" s="862"/>
      <c r="Y117" s="866"/>
      <c r="Z117" s="866"/>
      <c r="AA117" s="866"/>
      <c r="AB117" s="866"/>
      <c r="AC117" s="866"/>
      <c r="AD117" s="866"/>
      <c r="AE117" s="866"/>
      <c r="AF117" s="866"/>
      <c r="AG117" s="866"/>
      <c r="AH117" s="866"/>
      <c r="AI117" s="866"/>
      <c r="AJ117" s="866"/>
      <c r="AK117" s="867"/>
      <c r="AL117" s="867"/>
      <c r="AM117" s="868"/>
      <c r="AN117" s="869"/>
      <c r="AO117" s="868"/>
      <c r="AP117" s="868"/>
      <c r="AQ117" s="868"/>
      <c r="AR117" s="868"/>
      <c r="AS117" s="868"/>
      <c r="AT117" s="868"/>
      <c r="AU117" s="868"/>
      <c r="AV117" s="868"/>
      <c r="AW117" s="1373"/>
      <c r="AX117" s="868">
        <f>AX110*2-AX112</f>
        <v>31.692086729599531</v>
      </c>
      <c r="AY117" s="868"/>
      <c r="AZ117" s="868"/>
      <c r="BA117" s="1373"/>
      <c r="BB117" s="868">
        <f>BB110*2-BB112</f>
        <v>25.126363750596568</v>
      </c>
      <c r="BC117" s="868"/>
      <c r="BD117" s="868"/>
      <c r="BE117" s="868"/>
      <c r="BF117" s="868"/>
      <c r="BG117" s="868"/>
      <c r="BH117" s="868"/>
      <c r="BI117" s="868"/>
      <c r="BJ117" s="868"/>
      <c r="BK117" s="868"/>
      <c r="BL117" s="868"/>
      <c r="BM117" s="868"/>
      <c r="BN117" s="868">
        <f>BN88+BN89+BN90+BN91+BN92+BN94</f>
        <v>64430.487999999998</v>
      </c>
      <c r="BO117" s="868">
        <f>BO88+BO89+BO90+BO91+BO92+BO94</f>
        <v>233.322</v>
      </c>
      <c r="BP117" s="868"/>
      <c r="BQ117" s="868"/>
      <c r="BR117" s="1661" t="s">
        <v>2015</v>
      </c>
      <c r="BS117" s="868"/>
      <c r="BT117" s="869">
        <f>BT88+BT89+BT90+BT91+BT92+BT94</f>
        <v>80511.434001577523</v>
      </c>
      <c r="BU117" s="869">
        <f>BU88+BU89+BU90+BU91+BU92+BU94</f>
        <v>213.10499531289966</v>
      </c>
      <c r="BV117" s="869"/>
      <c r="BW117" s="869">
        <f>BW88+BW89+BW90+BW91+BW92+BW94</f>
        <v>84231.342155564809</v>
      </c>
      <c r="BX117" s="869">
        <f>BX88+BX89+BX90+BX91+BX92+BX94</f>
        <v>308.23205715422455</v>
      </c>
      <c r="BY117" s="105"/>
      <c r="CK117" s="869"/>
      <c r="CL117" s="869">
        <f>CL88+CL89+CL90+CL91+CL92+CL94</f>
        <v>82097.511669475745</v>
      </c>
      <c r="CM117" s="869">
        <f>CM88+CM89+CM90+CM91+CM92+CM94</f>
        <v>217.29990582799104</v>
      </c>
      <c r="CO117" s="869">
        <f>CO88+CO89+CO90+CO91+CO92+CO94-'цех стоки'!AQ19-'ОХР '!CE17-'ОХР '!CE21-'Аренда земли'!U15</f>
        <v>32239.876960000005</v>
      </c>
      <c r="CP117" s="869">
        <f>CP88+CP89+CP90+CP91+CP92+CP94-'ОХР '!CF17-'ОХР '!CF21-'Аренда земли'!U18</f>
        <v>88.846020000000024</v>
      </c>
      <c r="CR117" s="869">
        <f>CR88+CR89+CR90+CR91+CR92+CR94-'цех стоки'!AR19-'ОХР '!CL17-'ОХР '!CL21-'Аренда земли'!V15</f>
        <v>48713.670409999999</v>
      </c>
      <c r="CS117" s="869">
        <f>CS88+CS89+CS90+CS91+CS92+CS94-'ОХР '!CM17-'ОХР '!CM21-'Аренда земли'!V18</f>
        <v>116.88126000000001</v>
      </c>
      <c r="CU117" s="869">
        <f>CU88+CU89+CU90+CU91+CU92+CU94-'цех стоки'!AS19-'ОХР '!CS17-'ОХР '!CS21-'Аренда земли'!W15</f>
        <v>64019.866999999991</v>
      </c>
      <c r="CV117" s="869">
        <f>CV88+CV89+CV90+CV91+CV92+CV94-'ОХР '!CT17-'ОХР '!CT21-'Аренда земли'!W18</f>
        <v>159.60504999999998</v>
      </c>
      <c r="CW117" s="1661"/>
      <c r="CX117" s="869">
        <f>CX88+CX89+CX90+CX91+CX92+CX94-'цех стоки'!AT19-'ОХР '!CZ17-'ОХР '!CZ21-'Аренда земли'!Y16</f>
        <v>95212.929184142311</v>
      </c>
      <c r="CY117" s="869">
        <f>CY88+CY89+CY90+CY91+CY92+CY94-'ОХР '!CZ17-'ОХР '!CZ21-'Аренда земли'!Y18</f>
        <v>149.56800575875323</v>
      </c>
      <c r="CZ117" s="4140" t="s">
        <v>2015</v>
      </c>
      <c r="DA117" s="4160">
        <f>DA88+DA89+DA90+DA91+DA92+DA94-DA96</f>
        <v>84365.997409513438</v>
      </c>
      <c r="DB117" s="4160">
        <f>DB88+DB89+DB90+DB91+DB92+DB94</f>
        <v>223.30730768284951</v>
      </c>
      <c r="DC117" s="1661" t="s">
        <v>2015</v>
      </c>
      <c r="DD117" s="869">
        <f>DD88+DD89+DD90+DD91+DD92+DD94-'цех стоки'!AY19-'ОХР '!DI17-'ОХР '!DI21-'Аренда земли'!AA15</f>
        <v>32007.216260000008</v>
      </c>
      <c r="DE117" s="869">
        <f>DE88+DE89+DE90+DE91+DE92+DE94-'ОХР '!DJ17-'ОХР '!DJ21-'Аренда земли'!AA18</f>
        <v>78.853239999999985</v>
      </c>
      <c r="DF117" s="2375"/>
      <c r="DG117" s="869">
        <f>DG88+DG89+DG90+DG91+DG92+DG94-'цех стоки'!AZ19-'ОХР '!DP17-'ОХР '!DP21-'Аренда земли'!AB15</f>
        <v>48507.98689</v>
      </c>
      <c r="DH117" s="869">
        <f>DH88+DH89+DH90+DH91+DH92+DH94-'ОХР '!DQ17-'ОХР '!DQ21-'Аренда земли'!AB18</f>
        <v>116.50633000000001</v>
      </c>
      <c r="DI117" s="3753"/>
      <c r="DJ117" s="3754">
        <f>DJ88+DJ89+DJ90+DJ91+DJ92+DJ94-'цех стоки'!BH19-'ОХР '!EE17-'ОХР '!EE21-'Аренда земли'!AP15</f>
        <v>8924.2800000000007</v>
      </c>
      <c r="DK117" s="3754">
        <f>DK88+DK89+DK90+DK91+DK92+DK94-'ОХР '!EF17-'ОХР '!EF21-'Аренда земли'!AP18</f>
        <v>30.54</v>
      </c>
    </row>
    <row r="118" spans="1:115" ht="20.25" customHeight="1" x14ac:dyDescent="0.35">
      <c r="A118" s="369"/>
      <c r="B118" s="861"/>
      <c r="C118" s="861"/>
      <c r="D118" s="861"/>
      <c r="E118" s="861"/>
      <c r="F118" s="861"/>
      <c r="G118" s="861"/>
      <c r="H118" s="861"/>
      <c r="I118" s="862"/>
      <c r="J118" s="105"/>
      <c r="K118" s="105"/>
      <c r="L118" s="105"/>
      <c r="M118" s="105"/>
      <c r="N118" s="863"/>
      <c r="O118" s="864"/>
      <c r="P118" s="865"/>
      <c r="Q118" s="863"/>
      <c r="R118" s="105"/>
      <c r="S118" s="862"/>
      <c r="T118" s="862"/>
      <c r="U118" s="862"/>
      <c r="V118" s="862"/>
      <c r="W118" s="866"/>
      <c r="X118" s="862"/>
      <c r="Y118" s="866"/>
      <c r="Z118" s="866"/>
      <c r="AA118" s="866"/>
      <c r="AB118" s="866"/>
      <c r="AC118" s="866"/>
      <c r="AD118" s="866"/>
      <c r="AE118" s="866"/>
      <c r="AF118" s="866"/>
      <c r="AG118" s="866"/>
      <c r="AH118" s="866"/>
      <c r="AI118" s="866"/>
      <c r="AJ118" s="866"/>
      <c r="AK118" s="867"/>
      <c r="AL118" s="867"/>
      <c r="AM118" s="868"/>
      <c r="AN118" s="869"/>
      <c r="AO118" s="868"/>
      <c r="AP118" s="868"/>
      <c r="AQ118" s="868"/>
      <c r="AR118" s="868"/>
      <c r="AS118" s="868"/>
      <c r="AT118" s="868"/>
      <c r="AU118" s="868"/>
      <c r="AV118" s="868"/>
      <c r="AW118" s="1373"/>
      <c r="AX118" s="1367">
        <f>AX117/AX112</f>
        <v>1.304738029213649</v>
      </c>
      <c r="AY118" s="868"/>
      <c r="AZ118" s="868"/>
      <c r="BA118" s="1373"/>
      <c r="BB118" s="1367">
        <f>BB117/BB112</f>
        <v>1.0344324310661412</v>
      </c>
      <c r="BC118" s="868"/>
      <c r="BD118" s="868"/>
      <c r="BE118" s="868"/>
      <c r="BF118" s="868"/>
      <c r="BG118" s="868"/>
      <c r="BH118" s="868"/>
      <c r="BI118" s="868"/>
      <c r="BJ118" s="868"/>
      <c r="BK118" s="868"/>
      <c r="BL118" s="868"/>
      <c r="BM118" s="868"/>
      <c r="BN118" s="868">
        <f>BN86</f>
        <v>10771.54</v>
      </c>
      <c r="BO118" s="868">
        <f>BO86</f>
        <v>56.47</v>
      </c>
      <c r="BP118" s="868"/>
      <c r="BQ118" s="868"/>
      <c r="BR118" s="1661" t="s">
        <v>2016</v>
      </c>
      <c r="BS118" s="868"/>
      <c r="BT118" s="869">
        <f>BT86</f>
        <v>8882.0761197497486</v>
      </c>
      <c r="BU118" s="869">
        <f>BU86</f>
        <v>42.193680383698222</v>
      </c>
      <c r="BV118" s="869"/>
      <c r="BW118" s="869">
        <f>BW86</f>
        <v>9255.1233167792379</v>
      </c>
      <c r="BX118" s="869">
        <f>BX86</f>
        <v>43.965814959813549</v>
      </c>
      <c r="BY118" s="105"/>
      <c r="CK118" s="869"/>
      <c r="CL118" s="869">
        <f>CL86</f>
        <v>8812.7885117623136</v>
      </c>
      <c r="CM118" s="869">
        <f>CM86</f>
        <v>42.358229068582141</v>
      </c>
      <c r="CO118" s="869">
        <f>SUM(CO9+CO18+'цех стоки'!AQ19+'ОХР '!CE17+'ОХР '!CE21)</f>
        <v>5361.5251600000001</v>
      </c>
      <c r="CP118" s="869">
        <f>CP86+'ОХР '!CF17+'ОХР '!CF21</f>
        <v>9.5513300000000019</v>
      </c>
      <c r="CR118" s="869">
        <f>SUM(CR9+CR18+'цех стоки'!AR19+'ОХР '!CL17+'ОХР '!CL21)</f>
        <v>7955.81005</v>
      </c>
      <c r="CS118" s="869">
        <f>CS86+'ОХР '!CM17+'ОХР '!CM21</f>
        <v>18.440630000000002</v>
      </c>
      <c r="CU118" s="869">
        <f>SUM(CU9+CU18+'цех стоки'!AS19+'ОХР '!CS17+'ОХР '!CS21)</f>
        <v>10817.41</v>
      </c>
      <c r="CV118" s="869">
        <f>CV86+'ОХР '!CT17+'ОХР '!CT21</f>
        <v>21.48</v>
      </c>
      <c r="CW118" s="1661"/>
      <c r="CX118" s="869">
        <f>SUM(CX9+CX18+'цех стоки'!AT19+'ОХР '!CZ17+'ОХР '!CZ21)</f>
        <v>10967.044172434635</v>
      </c>
      <c r="CY118" s="869">
        <f>CY86+'ОХР '!CZ17+'ОХР '!CZ21</f>
        <v>136.06174679049383</v>
      </c>
      <c r="CZ118" s="4140" t="s">
        <v>2016</v>
      </c>
      <c r="DA118" s="4160">
        <f>SUM(DA9+DA18)</f>
        <v>8341.9678483495227</v>
      </c>
      <c r="DB118" s="4160">
        <f>DB86</f>
        <v>52.136967054177305</v>
      </c>
      <c r="DC118" s="1661" t="s">
        <v>2016</v>
      </c>
      <c r="DD118" s="869">
        <f>SUM(DD9+DD18+'цех стоки'!AY19+'ОХР '!DI17+'ОХР '!DI21)</f>
        <v>5242.8322800000005</v>
      </c>
      <c r="DE118" s="869">
        <f>DE86+'ОХР '!DJ17+'ОХР '!DJ21</f>
        <v>14.352130000000001</v>
      </c>
      <c r="DF118" s="2375"/>
      <c r="DG118" s="869">
        <f>SUM(DG9+DG18+'цех стоки'!AZ19+'ОХР '!DP17+'ОХР '!DP21)</f>
        <v>7803.0482599999996</v>
      </c>
      <c r="DH118" s="869">
        <f>DH86+'ОХР '!DQ17+'ОХР '!DQ21</f>
        <v>22.44096</v>
      </c>
      <c r="DI118" s="3753"/>
      <c r="DJ118" s="3754">
        <f>SUM(DJ9+DJ18+'цех стоки'!BH19+'ОХР '!EE17+'ОХР '!EE21)</f>
        <v>6.8</v>
      </c>
      <c r="DK118" s="3754">
        <f>DK86+'ОХР '!EF17+'ОХР '!EF21</f>
        <v>-6.79</v>
      </c>
    </row>
    <row r="119" spans="1:115" ht="24" customHeight="1" x14ac:dyDescent="0.35">
      <c r="A119" s="369"/>
      <c r="B119" s="2244"/>
      <c r="C119" s="2244"/>
      <c r="D119" s="2244"/>
      <c r="E119" s="2244"/>
      <c r="F119" s="2244"/>
      <c r="G119" s="2244"/>
      <c r="H119" s="2244"/>
      <c r="I119" s="862"/>
      <c r="J119" s="105"/>
      <c r="K119" s="105"/>
      <c r="L119" s="105"/>
      <c r="M119" s="105"/>
      <c r="N119" s="863"/>
      <c r="O119" s="864"/>
      <c r="P119" s="865"/>
      <c r="Q119" s="863"/>
      <c r="R119" s="105"/>
      <c r="S119" s="862"/>
      <c r="T119" s="862"/>
      <c r="U119" s="862"/>
      <c r="V119" s="862"/>
      <c r="W119" s="866"/>
      <c r="X119" s="862"/>
      <c r="Y119" s="866"/>
      <c r="Z119" s="870"/>
      <c r="AA119" s="394"/>
      <c r="AB119" s="394"/>
      <c r="AC119" s="394"/>
      <c r="AD119" s="394"/>
      <c r="AE119" s="394"/>
      <c r="AF119" s="394"/>
      <c r="AG119" s="394"/>
      <c r="AH119" s="394"/>
      <c r="AI119" s="394"/>
      <c r="AJ119" s="394"/>
      <c r="AK119" s="394"/>
      <c r="AL119" s="870"/>
      <c r="AM119" s="868"/>
      <c r="AN119" s="869"/>
      <c r="AO119" s="868"/>
      <c r="AP119" s="868"/>
      <c r="AQ119" s="868"/>
      <c r="AR119" s="868"/>
      <c r="AS119" s="868"/>
      <c r="AT119" s="868"/>
      <c r="AU119" s="868"/>
      <c r="AV119" s="868"/>
      <c r="AW119" s="1373"/>
      <c r="AX119" s="868"/>
      <c r="AY119" s="868"/>
      <c r="AZ119" s="868"/>
      <c r="BA119" s="1373"/>
      <c r="BB119" s="868"/>
      <c r="BC119" s="868"/>
      <c r="BD119" s="868"/>
      <c r="BE119" s="868"/>
      <c r="BF119" s="868"/>
      <c r="BG119" s="868"/>
      <c r="BH119" s="868"/>
      <c r="BI119" s="868"/>
      <c r="BJ119" s="868"/>
      <c r="BK119" s="868"/>
      <c r="BL119" s="868"/>
      <c r="BM119" s="868"/>
      <c r="BN119" s="868"/>
      <c r="BO119" s="868"/>
      <c r="BP119" s="868"/>
      <c r="BQ119" s="868"/>
      <c r="BR119" s="1661" t="s">
        <v>2017</v>
      </c>
      <c r="BS119" s="868"/>
      <c r="BT119" s="868"/>
      <c r="BU119" s="868"/>
      <c r="BV119" s="868"/>
      <c r="BW119" s="868"/>
      <c r="BX119" s="868"/>
      <c r="BY119" s="105"/>
      <c r="CK119" s="868"/>
      <c r="CL119" s="868"/>
      <c r="CM119" s="868"/>
      <c r="CO119" s="868"/>
      <c r="CP119" s="868"/>
      <c r="CR119" s="868"/>
      <c r="CS119" s="868"/>
      <c r="CU119" s="868"/>
      <c r="CV119" s="868"/>
      <c r="CW119" s="1661"/>
      <c r="CX119" s="868"/>
      <c r="CY119" s="868"/>
      <c r="CZ119" s="4140" t="s">
        <v>2017</v>
      </c>
      <c r="DA119" s="4161"/>
      <c r="DB119" s="4161"/>
      <c r="DC119" s="1661" t="s">
        <v>2017</v>
      </c>
      <c r="DD119" s="3938"/>
      <c r="DE119" s="3938"/>
      <c r="DF119" s="2375"/>
      <c r="DG119" s="868"/>
      <c r="DH119" s="868"/>
      <c r="DI119" s="3753"/>
      <c r="DJ119" s="2526"/>
      <c r="DK119" s="2526"/>
    </row>
    <row r="120" spans="1:115" ht="18.75" x14ac:dyDescent="0.3">
      <c r="A120" s="4783"/>
      <c r="B120" s="4783"/>
      <c r="C120" s="4783"/>
      <c r="D120" s="4783"/>
      <c r="E120" s="4783"/>
      <c r="F120" s="4783"/>
      <c r="G120" s="4783"/>
      <c r="H120" s="4783"/>
      <c r="I120" s="105"/>
      <c r="J120" s="105"/>
      <c r="K120" s="4783"/>
      <c r="L120" s="4783"/>
      <c r="M120" s="4783"/>
      <c r="N120" s="4783"/>
      <c r="O120" s="4783"/>
      <c r="P120" s="4783"/>
      <c r="Q120" s="4783"/>
      <c r="R120" s="4783"/>
      <c r="S120" s="4783"/>
      <c r="T120" s="105"/>
      <c r="U120" s="105"/>
      <c r="V120" s="105"/>
      <c r="W120" s="105"/>
      <c r="X120" s="105"/>
      <c r="Y120" s="105"/>
      <c r="Z120" s="224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2246"/>
      <c r="AX120" s="105"/>
      <c r="AY120" s="105"/>
      <c r="AZ120" s="105"/>
      <c r="BA120" s="2246"/>
      <c r="BB120" s="105"/>
      <c r="BC120" s="394"/>
      <c r="BD120" s="394"/>
      <c r="BE120" s="394"/>
      <c r="BF120" s="394"/>
      <c r="BG120" s="394"/>
      <c r="BH120" s="394"/>
      <c r="BI120" s="394"/>
      <c r="BJ120" s="394"/>
      <c r="BK120" s="394"/>
      <c r="BL120" s="394"/>
      <c r="BM120" s="394"/>
      <c r="BN120" s="577">
        <f>BN97</f>
        <v>0</v>
      </c>
      <c r="BO120" s="577">
        <f>BO97</f>
        <v>0</v>
      </c>
      <c r="BP120" s="394"/>
      <c r="BQ120" s="394"/>
      <c r="BR120" s="1661" t="s">
        <v>2018</v>
      </c>
      <c r="BS120" s="394"/>
      <c r="BT120" s="2673">
        <f>BT97</f>
        <v>517.29666900000007</v>
      </c>
      <c r="BU120" s="2673">
        <f>BU97</f>
        <v>0</v>
      </c>
      <c r="BV120" s="2674"/>
      <c r="BW120" s="2673">
        <f>BW97</f>
        <v>549.04411800000003</v>
      </c>
      <c r="BX120" s="2673">
        <f>BX97</f>
        <v>0</v>
      </c>
      <c r="BY120" s="2674"/>
      <c r="BZ120" s="389"/>
      <c r="CA120" s="389"/>
      <c r="CB120" s="389"/>
      <c r="CC120" s="389"/>
      <c r="CD120" s="389"/>
      <c r="CE120" s="389"/>
      <c r="CF120" s="389"/>
      <c r="CG120" s="389"/>
      <c r="CH120" s="389"/>
      <c r="CI120" s="389"/>
      <c r="CJ120" s="389"/>
      <c r="CK120" s="2674"/>
      <c r="CL120" s="2673">
        <f>CL97</f>
        <v>322.41899999999998</v>
      </c>
      <c r="CM120" s="2673">
        <f>CM97</f>
        <v>0</v>
      </c>
      <c r="CN120" s="389"/>
      <c r="CO120" s="2673">
        <f>CO97</f>
        <v>0</v>
      </c>
      <c r="CP120" s="2673">
        <f>CP97</f>
        <v>0</v>
      </c>
      <c r="CQ120" s="389"/>
      <c r="CR120" s="2673">
        <f>CR97</f>
        <v>0</v>
      </c>
      <c r="CS120" s="2673">
        <f>CS97</f>
        <v>0</v>
      </c>
      <c r="CT120" s="389"/>
      <c r="CU120" s="2673">
        <f>CU97</f>
        <v>648.35</v>
      </c>
      <c r="CV120" s="2673">
        <f>CV97</f>
        <v>0</v>
      </c>
      <c r="CW120" s="1661"/>
      <c r="CX120" s="2673">
        <f>CX97</f>
        <v>704.58079999999995</v>
      </c>
      <c r="CY120" s="2673">
        <f>CY97</f>
        <v>0</v>
      </c>
      <c r="CZ120" s="4140" t="s">
        <v>2018</v>
      </c>
      <c r="DA120" s="4159">
        <f>DA97</f>
        <v>316.125</v>
      </c>
      <c r="DB120" s="4159">
        <f>DB97</f>
        <v>0</v>
      </c>
      <c r="DC120" s="1661" t="s">
        <v>2018</v>
      </c>
      <c r="DD120" s="2673">
        <f>DD97</f>
        <v>193.685</v>
      </c>
      <c r="DE120" s="2673">
        <f>DE97</f>
        <v>0</v>
      </c>
      <c r="DF120" s="3939"/>
      <c r="DG120" s="2673">
        <f>DG97</f>
        <v>280.77</v>
      </c>
      <c r="DH120" s="2673">
        <f>DH97</f>
        <v>0</v>
      </c>
      <c r="DI120" s="3756"/>
      <c r="DJ120" s="3755">
        <f>DJ97</f>
        <v>0</v>
      </c>
      <c r="DK120" s="3755">
        <f>DK97</f>
        <v>0</v>
      </c>
    </row>
    <row r="121" spans="1:115" ht="18.75" x14ac:dyDescent="0.3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862"/>
      <c r="M121" s="862"/>
      <c r="N121" s="862"/>
      <c r="O121" s="862"/>
      <c r="P121" s="862"/>
      <c r="Q121" s="862"/>
      <c r="R121" s="862"/>
      <c r="S121" s="862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2246"/>
      <c r="AX121" s="105"/>
      <c r="AY121" s="105"/>
      <c r="AZ121" s="105"/>
      <c r="BA121" s="2246"/>
      <c r="BB121" s="105"/>
      <c r="BC121" s="394"/>
      <c r="BD121" s="394"/>
      <c r="BE121" s="394"/>
      <c r="BF121" s="394"/>
      <c r="BG121" s="394"/>
      <c r="BH121" s="394"/>
      <c r="BI121" s="394"/>
      <c r="BJ121" s="394"/>
      <c r="BK121" s="394"/>
      <c r="BL121" s="394"/>
      <c r="BM121" s="394"/>
      <c r="BN121" s="577">
        <f>BN93</f>
        <v>1364.6959999999999</v>
      </c>
      <c r="BO121" s="577">
        <f>BO93</f>
        <v>7.95</v>
      </c>
      <c r="BP121" s="394"/>
      <c r="BQ121" s="394"/>
      <c r="BR121" s="1661" t="s">
        <v>2019</v>
      </c>
      <c r="BS121" s="394"/>
      <c r="BT121" s="2673">
        <f>BT93</f>
        <v>1003.7504477745384</v>
      </c>
      <c r="BU121" s="2673">
        <f>BU93</f>
        <v>5.9141725252489437</v>
      </c>
      <c r="BV121" s="2674"/>
      <c r="BW121" s="2673">
        <f>BW93</f>
        <v>1009.9095993986285</v>
      </c>
      <c r="BX121" s="2673">
        <f>BX93</f>
        <v>5.2898759360461867</v>
      </c>
      <c r="BY121" s="2674"/>
      <c r="BZ121" s="389"/>
      <c r="CA121" s="389"/>
      <c r="CB121" s="389"/>
      <c r="CC121" s="389"/>
      <c r="CD121" s="389"/>
      <c r="CE121" s="389"/>
      <c r="CF121" s="389"/>
      <c r="CG121" s="389"/>
      <c r="CH121" s="389"/>
      <c r="CI121" s="389"/>
      <c r="CJ121" s="389"/>
      <c r="CK121" s="2674"/>
      <c r="CL121" s="2673">
        <f>CL93</f>
        <v>993.77209049862847</v>
      </c>
      <c r="CM121" s="2673">
        <f>CM93</f>
        <v>5.2898759360461867</v>
      </c>
      <c r="CN121" s="389"/>
      <c r="CO121" s="2673">
        <f>CO93</f>
        <v>1128.57</v>
      </c>
      <c r="CP121" s="2673">
        <f>CP93</f>
        <v>0</v>
      </c>
      <c r="CQ121" s="389"/>
      <c r="CR121" s="2673">
        <f>CR93</f>
        <v>1694.01</v>
      </c>
      <c r="CS121" s="2673">
        <f>CS93</f>
        <v>0</v>
      </c>
      <c r="CT121" s="389"/>
      <c r="CU121" s="2673">
        <f>CU93</f>
        <v>2751.05</v>
      </c>
      <c r="CV121" s="2673">
        <f>CV93</f>
        <v>0</v>
      </c>
      <c r="CW121" s="1661"/>
      <c r="CX121" s="2673">
        <f>CX93</f>
        <v>2751.05</v>
      </c>
      <c r="CY121" s="2673">
        <f>CY93</f>
        <v>5.2898759360461867</v>
      </c>
      <c r="CZ121" s="4140" t="s">
        <v>2019</v>
      </c>
      <c r="DA121" s="4159">
        <f>DA93</f>
        <v>2345.44022</v>
      </c>
      <c r="DB121" s="4159">
        <f>DB93</f>
        <v>0</v>
      </c>
      <c r="DC121" s="1661" t="s">
        <v>2019</v>
      </c>
      <c r="DD121" s="2673">
        <f>DD93</f>
        <v>1372.3319999999999</v>
      </c>
      <c r="DE121" s="2673">
        <f>DE93</f>
        <v>0</v>
      </c>
      <c r="DF121" s="3939"/>
      <c r="DG121" s="2673">
        <f>DG93</f>
        <v>2055.6059999999998</v>
      </c>
      <c r="DH121" s="2673">
        <f>DH93</f>
        <v>0</v>
      </c>
      <c r="DI121" s="3756"/>
      <c r="DJ121" s="3755">
        <f>DJ93</f>
        <v>0</v>
      </c>
      <c r="DK121" s="3755">
        <f>DK93</f>
        <v>0</v>
      </c>
    </row>
    <row r="122" spans="1:115" ht="18.75" x14ac:dyDescent="0.3">
      <c r="A122" s="27"/>
      <c r="B122" s="105"/>
      <c r="C122" s="105"/>
      <c r="D122" s="105"/>
      <c r="E122" s="2247"/>
      <c r="F122" s="2247"/>
      <c r="G122" s="2247"/>
      <c r="H122" s="2247"/>
      <c r="I122" s="105"/>
      <c r="J122" s="105"/>
      <c r="K122" s="2248"/>
      <c r="L122" s="2249"/>
      <c r="M122" s="105"/>
      <c r="N122" s="105"/>
      <c r="O122" s="2247"/>
      <c r="P122" s="2247"/>
      <c r="Q122" s="2247"/>
      <c r="R122" s="2247"/>
      <c r="S122" s="2247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2246"/>
      <c r="AX122" s="105"/>
      <c r="AY122" s="105"/>
      <c r="AZ122" s="105"/>
      <c r="BA122" s="2246"/>
      <c r="BB122" s="105"/>
      <c r="BC122" s="394"/>
      <c r="BD122" s="394"/>
      <c r="BE122" s="394"/>
      <c r="BF122" s="394"/>
      <c r="BG122" s="394"/>
      <c r="BH122" s="394"/>
      <c r="BI122" s="394"/>
      <c r="BJ122" s="394"/>
      <c r="BK122" s="394"/>
      <c r="BL122" s="394"/>
      <c r="BM122" s="394"/>
      <c r="BN122" s="577">
        <f>BN96</f>
        <v>0</v>
      </c>
      <c r="BO122" s="577">
        <f>BO96</f>
        <v>0</v>
      </c>
      <c r="BP122" s="394"/>
      <c r="BQ122" s="394"/>
      <c r="BR122" s="1661" t="s">
        <v>2020</v>
      </c>
      <c r="BS122" s="394"/>
      <c r="BT122" s="2673">
        <f>BT96</f>
        <v>105.48881849999999</v>
      </c>
      <c r="BU122" s="2673">
        <f>BU96</f>
        <v>0</v>
      </c>
      <c r="BV122" s="2674"/>
      <c r="BW122" s="2673">
        <f>BW96</f>
        <v>98.938174399999994</v>
      </c>
      <c r="BX122" s="2673">
        <f>BX96</f>
        <v>0</v>
      </c>
      <c r="BY122" s="2674"/>
      <c r="BZ122" s="389"/>
      <c r="CA122" s="389"/>
      <c r="CB122" s="389"/>
      <c r="CC122" s="389"/>
      <c r="CD122" s="389"/>
      <c r="CE122" s="389"/>
      <c r="CF122" s="389"/>
      <c r="CG122" s="389"/>
      <c r="CH122" s="389"/>
      <c r="CI122" s="389"/>
      <c r="CJ122" s="389"/>
      <c r="CK122" s="2674"/>
      <c r="CL122" s="2673">
        <f>CL96</f>
        <v>93.10991940000001</v>
      </c>
      <c r="CM122" s="2673">
        <f>CM96</f>
        <v>0</v>
      </c>
      <c r="CN122" s="389"/>
      <c r="CO122" s="2673">
        <f>SUM('Аренда земли'!U15)</f>
        <v>47.794029999999999</v>
      </c>
      <c r="CP122" s="2676">
        <f>SUM('Аренда земли'!U18)</f>
        <v>1.1979999999999999E-2</v>
      </c>
      <c r="CQ122" s="389"/>
      <c r="CR122" s="2673">
        <f>CR96</f>
        <v>71.712869999999995</v>
      </c>
      <c r="CS122" s="2673">
        <f>CS96</f>
        <v>1.6060000000000001E-2</v>
      </c>
      <c r="CT122" s="389"/>
      <c r="CU122" s="2673">
        <f>CU96</f>
        <v>95.585999999999999</v>
      </c>
      <c r="CV122" s="2673">
        <f>CV96</f>
        <v>0.02</v>
      </c>
      <c r="CW122" s="1661"/>
      <c r="CX122" s="2673">
        <f>CX96</f>
        <v>93.10991940000001</v>
      </c>
      <c r="CY122" s="2673">
        <f>CY96</f>
        <v>0</v>
      </c>
      <c r="CZ122" s="4140" t="s">
        <v>2020</v>
      </c>
      <c r="DA122" s="4159">
        <f>DA96</f>
        <v>93.109919000000005</v>
      </c>
      <c r="DB122" s="4159">
        <f>DB96</f>
        <v>0</v>
      </c>
      <c r="DC122" s="1661" t="s">
        <v>2020</v>
      </c>
      <c r="DD122" s="2673">
        <f>SUM('Аренда земли'!AA15)</f>
        <v>37.875640000000004</v>
      </c>
      <c r="DE122" s="2676">
        <f>SUM('Аренда земли'!AA18)</f>
        <v>2.9909999999999999E-2</v>
      </c>
      <c r="DF122" s="3939"/>
      <c r="DG122" s="2673">
        <f>SUM('Аренда земли'!AB15)</f>
        <v>56.916460000000001</v>
      </c>
      <c r="DH122" s="2676">
        <f>SUM('Аренда земли'!AB18)</f>
        <v>4.4929999999999998E-2</v>
      </c>
      <c r="DI122" s="3756"/>
      <c r="DJ122" s="3755">
        <f>DJ96</f>
        <v>0</v>
      </c>
      <c r="DK122" s="3755">
        <f>DK96</f>
        <v>0</v>
      </c>
    </row>
    <row r="123" spans="1:115" ht="18.75" x14ac:dyDescent="0.3">
      <c r="A123" s="27"/>
      <c r="B123" s="105"/>
      <c r="C123" s="105"/>
      <c r="D123" s="105"/>
      <c r="E123" s="2247"/>
      <c r="F123" s="2247"/>
      <c r="G123" s="2247"/>
      <c r="H123" s="2247"/>
      <c r="I123" s="105"/>
      <c r="J123" s="105"/>
      <c r="K123" s="2248"/>
      <c r="L123" s="2249"/>
      <c r="M123" s="105"/>
      <c r="N123" s="105"/>
      <c r="O123" s="2247"/>
      <c r="P123" s="2247"/>
      <c r="Q123" s="2247"/>
      <c r="R123" s="2247"/>
      <c r="S123" s="2247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2246"/>
      <c r="AX123" s="105"/>
      <c r="AY123" s="105"/>
      <c r="AZ123" s="105"/>
      <c r="BA123" s="2246"/>
      <c r="BB123" s="105"/>
      <c r="BC123" s="394"/>
      <c r="BD123" s="394"/>
      <c r="BE123" s="394"/>
      <c r="BF123" s="394"/>
      <c r="BG123" s="394"/>
      <c r="BH123" s="394"/>
      <c r="BI123" s="394"/>
      <c r="BJ123" s="394"/>
      <c r="BK123" s="394"/>
      <c r="BL123" s="394"/>
      <c r="BM123" s="394"/>
      <c r="BN123" s="577">
        <f>BN95</f>
        <v>0</v>
      </c>
      <c r="BO123" s="577">
        <f>BO95</f>
        <v>0</v>
      </c>
      <c r="BP123" s="394"/>
      <c r="BQ123" s="394"/>
      <c r="BR123" s="1661" t="s">
        <v>2096</v>
      </c>
      <c r="BS123" s="394"/>
      <c r="BT123" s="2673">
        <f>BT95</f>
        <v>241.01</v>
      </c>
      <c r="BU123" s="2673">
        <f>BU95</f>
        <v>0</v>
      </c>
      <c r="BV123" s="2674"/>
      <c r="BW123" s="2673">
        <f>BW95</f>
        <v>249.2</v>
      </c>
      <c r="BX123" s="2673">
        <f>BX95</f>
        <v>0</v>
      </c>
      <c r="BY123" s="2674"/>
      <c r="BZ123" s="389"/>
      <c r="CA123" s="389"/>
      <c r="CB123" s="389"/>
      <c r="CC123" s="389"/>
      <c r="CD123" s="389"/>
      <c r="CE123" s="389"/>
      <c r="CF123" s="389"/>
      <c r="CG123" s="389"/>
      <c r="CH123" s="389"/>
      <c r="CI123" s="389"/>
      <c r="CJ123" s="389"/>
      <c r="CK123" s="2674"/>
      <c r="CL123" s="2673">
        <f>CL95</f>
        <v>249.2</v>
      </c>
      <c r="CM123" s="2673">
        <f>CM95</f>
        <v>0</v>
      </c>
      <c r="CN123" s="389"/>
      <c r="CO123" s="2673">
        <f>CO95</f>
        <v>0</v>
      </c>
      <c r="CP123" s="2673">
        <f>CP95</f>
        <v>0</v>
      </c>
      <c r="CQ123" s="389"/>
      <c r="CR123" s="2673">
        <f>CR95</f>
        <v>0</v>
      </c>
      <c r="CS123" s="2673">
        <f>CS95</f>
        <v>0</v>
      </c>
      <c r="CT123" s="389"/>
      <c r="CU123" s="3752">
        <f>CU95</f>
        <v>-0.01</v>
      </c>
      <c r="CV123" s="2673">
        <f>CV95</f>
        <v>0</v>
      </c>
      <c r="CW123" s="1661"/>
      <c r="CX123" s="3752">
        <f>CX95</f>
        <v>293.68776219786787</v>
      </c>
      <c r="CY123" s="2673">
        <v>0</v>
      </c>
      <c r="CZ123" s="4140" t="s">
        <v>2096</v>
      </c>
      <c r="DA123" s="4163">
        <f>DA95</f>
        <v>0</v>
      </c>
      <c r="DB123" s="4159">
        <v>0</v>
      </c>
      <c r="DC123" s="1661" t="s">
        <v>2096</v>
      </c>
      <c r="DD123" s="2673">
        <f>DD95</f>
        <v>0</v>
      </c>
      <c r="DE123" s="2673">
        <f>DE95</f>
        <v>0</v>
      </c>
      <c r="DF123" s="3939"/>
      <c r="DG123" s="2673">
        <f>DG95</f>
        <v>0</v>
      </c>
      <c r="DH123" s="2673">
        <f>DH95</f>
        <v>0</v>
      </c>
      <c r="DI123" s="3756"/>
      <c r="DJ123" s="4043">
        <f>DJ95</f>
        <v>-0.01</v>
      </c>
      <c r="DK123" s="3755">
        <f>DK95</f>
        <v>0</v>
      </c>
    </row>
    <row r="124" spans="1:115" ht="18.75" x14ac:dyDescent="0.3">
      <c r="A124" s="27"/>
      <c r="B124" s="105"/>
      <c r="C124" s="105"/>
      <c r="D124" s="105"/>
      <c r="E124" s="2247"/>
      <c r="F124" s="2247"/>
      <c r="G124" s="2247"/>
      <c r="H124" s="2247"/>
      <c r="I124" s="105"/>
      <c r="J124" s="105"/>
      <c r="K124" s="2248"/>
      <c r="L124" s="2247"/>
      <c r="M124" s="105"/>
      <c r="N124" s="105"/>
      <c r="O124" s="2247"/>
      <c r="P124" s="2247"/>
      <c r="Q124" s="2247"/>
      <c r="R124" s="2247"/>
      <c r="S124" s="2247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2247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2246"/>
      <c r="AX124" s="105"/>
      <c r="AY124" s="105"/>
      <c r="AZ124" s="105"/>
      <c r="BA124" s="2246"/>
      <c r="BB124" s="105"/>
      <c r="BC124" s="394"/>
      <c r="BD124" s="394"/>
      <c r="BE124" s="394"/>
      <c r="BF124" s="394"/>
      <c r="BG124" s="394"/>
      <c r="BH124" s="394"/>
      <c r="BI124" s="394"/>
      <c r="BJ124" s="394"/>
      <c r="BK124" s="394"/>
      <c r="BL124" s="394"/>
      <c r="BM124" s="394"/>
      <c r="BN124" s="577">
        <f>BN87</f>
        <v>4825.28</v>
      </c>
      <c r="BO124" s="577">
        <f>BO87</f>
        <v>2.63</v>
      </c>
      <c r="BP124" s="394"/>
      <c r="BQ124" s="394"/>
      <c r="BR124" s="1661" t="s">
        <v>2</v>
      </c>
      <c r="BS124" s="394"/>
      <c r="BT124" s="2673">
        <f>BT87</f>
        <v>5003.2866117908889</v>
      </c>
      <c r="BU124" s="2673">
        <f>BU87</f>
        <v>3.0033882091110118</v>
      </c>
      <c r="BV124" s="2674"/>
      <c r="BW124" s="2673">
        <f>BW87</f>
        <v>5041.9566117908889</v>
      </c>
      <c r="BX124" s="2673">
        <f>BX87</f>
        <v>3.0033882091110118</v>
      </c>
      <c r="BY124" s="2674"/>
      <c r="BZ124" s="389"/>
      <c r="CA124" s="389"/>
      <c r="CB124" s="389"/>
      <c r="CC124" s="389"/>
      <c r="CD124" s="389"/>
      <c r="CE124" s="389"/>
      <c r="CF124" s="389"/>
      <c r="CG124" s="389"/>
      <c r="CH124" s="389"/>
      <c r="CI124" s="389"/>
      <c r="CJ124" s="389"/>
      <c r="CK124" s="2674"/>
      <c r="CL124" s="2673">
        <f>CL87</f>
        <v>5041.9611979847214</v>
      </c>
      <c r="CM124" s="2673">
        <f>CM87</f>
        <v>2.9988020152781827</v>
      </c>
      <c r="CN124" s="389"/>
      <c r="CO124" s="2673">
        <f>CO87</f>
        <v>2555.2600000000002</v>
      </c>
      <c r="CP124" s="2673">
        <f>CP87</f>
        <v>0</v>
      </c>
      <c r="CQ124" s="389"/>
      <c r="CR124" s="2673">
        <f>CR87</f>
        <v>3844.0299999999997</v>
      </c>
      <c r="CS124" s="2673">
        <f>CS87</f>
        <v>0</v>
      </c>
      <c r="CT124" s="389"/>
      <c r="CU124" s="2673">
        <f>CU87</f>
        <v>5144.6099999999997</v>
      </c>
      <c r="CV124" s="2673">
        <f>CV87</f>
        <v>0</v>
      </c>
      <c r="CW124" s="1661"/>
      <c r="CX124" s="2673">
        <f>CX87</f>
        <v>5144.6099999999997</v>
      </c>
      <c r="CY124" s="2673">
        <f>CY87</f>
        <v>0</v>
      </c>
      <c r="CZ124" s="4140" t="s">
        <v>2</v>
      </c>
      <c r="DA124" s="4159">
        <f>DA87</f>
        <v>5132.6200000000008</v>
      </c>
      <c r="DB124" s="4159">
        <f>DB87</f>
        <v>0</v>
      </c>
      <c r="DC124" s="1661" t="s">
        <v>2</v>
      </c>
      <c r="DD124" s="2673">
        <f>DD87</f>
        <v>2631.4059999999999</v>
      </c>
      <c r="DE124" s="2673">
        <f>DE87</f>
        <v>0</v>
      </c>
      <c r="DF124" s="3939"/>
      <c r="DG124" s="2673">
        <f>DG87</f>
        <v>3945.87</v>
      </c>
      <c r="DH124" s="2673">
        <f>DH87</f>
        <v>0</v>
      </c>
      <c r="DI124" s="3756"/>
      <c r="DJ124" s="3755">
        <f>DJ87</f>
        <v>0</v>
      </c>
      <c r="DK124" s="3755">
        <f>DK87</f>
        <v>0</v>
      </c>
    </row>
    <row r="125" spans="1:115" ht="18.75" x14ac:dyDescent="0.3">
      <c r="A125" s="27"/>
      <c r="B125" s="105"/>
      <c r="C125" s="105"/>
      <c r="D125" s="105"/>
      <c r="E125" s="2247"/>
      <c r="F125" s="2247"/>
      <c r="G125" s="2247"/>
      <c r="H125" s="2247"/>
      <c r="I125" s="105"/>
      <c r="J125" s="105"/>
      <c r="K125" s="2248"/>
      <c r="L125" s="2247"/>
      <c r="M125" s="105"/>
      <c r="N125" s="105"/>
      <c r="O125" s="2247"/>
      <c r="P125" s="2247"/>
      <c r="Q125" s="2247"/>
      <c r="R125" s="2247"/>
      <c r="S125" s="2247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2247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2246"/>
      <c r="AX125" s="105"/>
      <c r="AY125" s="105"/>
      <c r="AZ125" s="105"/>
      <c r="BA125" s="2246"/>
      <c r="BB125" s="105"/>
      <c r="BC125" s="394"/>
      <c r="BD125" s="394"/>
      <c r="BE125" s="394"/>
      <c r="BF125" s="394"/>
      <c r="BG125" s="394"/>
      <c r="BH125" s="394"/>
      <c r="BI125" s="394"/>
      <c r="BJ125" s="394"/>
      <c r="BK125" s="394"/>
      <c r="BL125" s="394"/>
      <c r="BM125" s="394"/>
      <c r="BN125" s="2377">
        <f>SUM(BN117:BN124)</f>
        <v>81392.003999999986</v>
      </c>
      <c r="BO125" s="2377">
        <f>SUM(BO117:BO124)</f>
        <v>300.37200000000001</v>
      </c>
      <c r="BP125" s="394"/>
      <c r="BQ125" s="394"/>
      <c r="BR125" s="1661"/>
      <c r="BS125" s="394"/>
      <c r="BT125" s="2675">
        <f>SUM(BT117:BT124)</f>
        <v>96264.342668392695</v>
      </c>
      <c r="BU125" s="2675">
        <f>SUM(BU117:BU124)</f>
        <v>264.21623643095779</v>
      </c>
      <c r="BV125" s="2674"/>
      <c r="BW125" s="2675">
        <f>SUM(BW117:BW124)</f>
        <v>100435.51397593356</v>
      </c>
      <c r="BX125" s="2675">
        <f>SUM(BX117:BX124)</f>
        <v>360.49113625919529</v>
      </c>
      <c r="BY125" s="2674"/>
      <c r="BZ125" s="389"/>
      <c r="CA125" s="389"/>
      <c r="CB125" s="389"/>
      <c r="CC125" s="389"/>
      <c r="CD125" s="389"/>
      <c r="CE125" s="389"/>
      <c r="CF125" s="389"/>
      <c r="CG125" s="389"/>
      <c r="CH125" s="389"/>
      <c r="CI125" s="389"/>
      <c r="CJ125" s="389"/>
      <c r="CK125" s="2674"/>
      <c r="CL125" s="2675">
        <f>SUM(CL117:CL124)</f>
        <v>97610.762389121403</v>
      </c>
      <c r="CM125" s="2675">
        <f>SUM(CM117:CM124)</f>
        <v>267.94681284789755</v>
      </c>
      <c r="CN125" s="389"/>
      <c r="CO125" s="2675">
        <f>SUM(CO117:CO124)</f>
        <v>41333.026150000005</v>
      </c>
      <c r="CP125" s="2675">
        <f>SUM(CP117:CP124)</f>
        <v>98.409330000000026</v>
      </c>
      <c r="CQ125" s="389"/>
      <c r="CR125" s="2675">
        <f>SUM(CR117:CR124)</f>
        <v>62279.233330000003</v>
      </c>
      <c r="CS125" s="2675">
        <f>SUM(CS117:CS124)</f>
        <v>135.33795000000003</v>
      </c>
      <c r="CT125" s="389"/>
      <c r="CU125" s="2675">
        <f>SUM(CU117:CU124)</f>
        <v>83476.862999999998</v>
      </c>
      <c r="CV125" s="2675">
        <f>SUM(CV117:CV124)</f>
        <v>181.10504999999998</v>
      </c>
      <c r="CW125" s="389"/>
      <c r="CX125" s="2675">
        <f>SUM(CX117:CX124)</f>
        <v>115167.0118381748</v>
      </c>
      <c r="CY125" s="2675">
        <f>SUM(CY117:CY124)</f>
        <v>290.91962848529329</v>
      </c>
      <c r="CZ125" s="4165"/>
      <c r="DA125" s="4162">
        <f>SUM(DA117:DA124)</f>
        <v>100595.26039686296</v>
      </c>
      <c r="DB125" s="4162">
        <f>SUM(DB117:DB124)</f>
        <v>275.44427473702683</v>
      </c>
      <c r="DC125" s="3939"/>
      <c r="DD125" s="2675">
        <f>SUM(DD117:DD124)</f>
        <v>41485.347180000012</v>
      </c>
      <c r="DE125" s="2675">
        <f>SUM(DE117:DE124)</f>
        <v>93.235279999999989</v>
      </c>
      <c r="DF125" s="3939"/>
      <c r="DG125" s="2675">
        <f>SUM(DG117:DG124)</f>
        <v>62650.197609999996</v>
      </c>
      <c r="DH125" s="2675">
        <f>SUM(DH117:DH124)</f>
        <v>138.99222</v>
      </c>
      <c r="DI125" s="3756"/>
      <c r="DJ125" s="3757">
        <f>SUM(DJ117:DJ124)</f>
        <v>8931.07</v>
      </c>
      <c r="DK125" s="3757">
        <f>SUM(DK117:DK124)</f>
        <v>23.75</v>
      </c>
    </row>
    <row r="126" spans="1:115" ht="15.75" customHeight="1" x14ac:dyDescent="0.3">
      <c r="A126" s="105"/>
      <c r="B126" s="105"/>
      <c r="C126" s="105"/>
      <c r="D126" s="105"/>
      <c r="E126" s="105"/>
      <c r="F126" s="105"/>
      <c r="G126" s="2250"/>
      <c r="H126" s="105"/>
      <c r="I126" s="105"/>
      <c r="J126" s="105"/>
      <c r="K126" s="105"/>
      <c r="L126" s="105"/>
      <c r="M126" s="105"/>
      <c r="N126" s="105"/>
      <c r="O126" s="105"/>
      <c r="P126" s="2251"/>
      <c r="Q126" s="2252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2246"/>
      <c r="AX126" s="105"/>
      <c r="AY126" s="105"/>
      <c r="AZ126" s="105"/>
      <c r="BA126" s="2246"/>
      <c r="BB126" s="105"/>
      <c r="BC126" s="394"/>
      <c r="BD126" s="394"/>
      <c r="BE126" s="394"/>
      <c r="BF126" s="394"/>
      <c r="BG126" s="394"/>
      <c r="BH126" s="394"/>
      <c r="BI126" s="394"/>
      <c r="BJ126" s="394"/>
      <c r="BK126" s="394"/>
      <c r="BL126" s="394"/>
      <c r="BM126" s="394"/>
      <c r="BN126" s="394"/>
      <c r="BO126" s="394"/>
      <c r="BP126" s="394"/>
      <c r="BQ126" s="394"/>
      <c r="BR126" s="394"/>
      <c r="BS126" s="394"/>
      <c r="BT126" s="394"/>
      <c r="BU126" s="394"/>
      <c r="BV126" s="394"/>
      <c r="BW126" s="394"/>
      <c r="BX126" s="394"/>
      <c r="BY126" s="394"/>
      <c r="CK126" s="394"/>
      <c r="CL126" s="394"/>
      <c r="CM126" s="394"/>
    </row>
    <row r="127" spans="1:115" ht="15.75" customHeight="1" x14ac:dyDescent="0.2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2253"/>
      <c r="Q127" s="105"/>
      <c r="R127" s="105"/>
      <c r="S127" s="105"/>
      <c r="T127" s="105"/>
      <c r="U127" s="105"/>
      <c r="V127" s="105"/>
      <c r="W127" s="105"/>
      <c r="X127" s="2247"/>
      <c r="Y127" s="2247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2246"/>
      <c r="AX127" s="105"/>
      <c r="AY127" s="105"/>
      <c r="AZ127" s="105"/>
      <c r="BA127" s="2246"/>
      <c r="BB127" s="105"/>
      <c r="BC127" s="394"/>
      <c r="BD127" s="394"/>
      <c r="BE127" s="394"/>
      <c r="BF127" s="394"/>
      <c r="BG127" s="394"/>
      <c r="BH127" s="394"/>
      <c r="BI127" s="394"/>
      <c r="BJ127" s="394"/>
      <c r="BK127" s="394"/>
      <c r="BL127" s="394"/>
      <c r="BM127" s="394"/>
      <c r="BN127" s="394"/>
      <c r="BO127" s="394"/>
      <c r="BP127" s="394"/>
      <c r="BQ127" s="394"/>
      <c r="BR127" s="394"/>
      <c r="BS127" s="394"/>
      <c r="BT127" s="394"/>
      <c r="BU127" s="394"/>
      <c r="BV127" s="394"/>
      <c r="BW127" s="394"/>
      <c r="BX127" s="394"/>
      <c r="BY127" s="577"/>
    </row>
    <row r="128" spans="1:115" ht="15.75" customHeight="1" x14ac:dyDescent="0.2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2247"/>
      <c r="R128" s="105"/>
      <c r="S128" s="105"/>
      <c r="T128" s="105"/>
      <c r="U128" s="105"/>
      <c r="V128" s="105"/>
      <c r="W128" s="105"/>
      <c r="X128" s="2247"/>
      <c r="Y128" s="2247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2246"/>
      <c r="AX128" s="105"/>
      <c r="AY128" s="105"/>
      <c r="AZ128" s="105"/>
      <c r="BA128" s="2246"/>
      <c r="BB128" s="105"/>
      <c r="BC128" s="394"/>
      <c r="BD128" s="394"/>
      <c r="BE128" s="394"/>
      <c r="BF128" s="394"/>
      <c r="BG128" s="394"/>
      <c r="BH128" s="394"/>
      <c r="BI128" s="394"/>
      <c r="BJ128" s="394"/>
      <c r="BK128" s="394"/>
      <c r="BL128" s="394"/>
      <c r="BM128" s="394"/>
      <c r="BN128" s="394"/>
      <c r="BO128" s="394"/>
      <c r="BP128" s="394"/>
      <c r="BQ128" s="394"/>
      <c r="BR128" s="394"/>
      <c r="BS128" s="394"/>
      <c r="BT128" s="394"/>
      <c r="BU128" s="394"/>
      <c r="BV128" s="394"/>
      <c r="BW128" s="394"/>
      <c r="BX128" s="394"/>
      <c r="BY128" s="577"/>
    </row>
    <row r="129" spans="1:77" ht="21" x14ac:dyDescent="0.35">
      <c r="A129" s="3736" t="s">
        <v>3569</v>
      </c>
      <c r="B129" s="861"/>
      <c r="C129" s="861"/>
      <c r="D129" s="861"/>
      <c r="E129" s="861"/>
      <c r="F129" s="861"/>
      <c r="G129" s="861"/>
      <c r="H129" s="861"/>
      <c r="I129" s="3598"/>
      <c r="J129" s="105"/>
      <c r="K129" s="105"/>
      <c r="L129" s="105"/>
      <c r="M129" s="105"/>
      <c r="N129" s="863"/>
      <c r="O129" s="864"/>
      <c r="P129" s="865"/>
      <c r="Q129" s="863"/>
      <c r="R129" s="105"/>
      <c r="S129" s="3598"/>
      <c r="T129" s="3598"/>
      <c r="U129" s="3598"/>
      <c r="V129" s="3598"/>
      <c r="W129" s="866"/>
      <c r="X129" s="3598"/>
      <c r="Y129" s="866"/>
      <c r="Z129" s="866"/>
      <c r="AA129" s="866"/>
      <c r="AB129" s="866"/>
      <c r="AC129" s="866"/>
      <c r="AD129" s="866"/>
      <c r="AE129" s="866"/>
      <c r="AF129" s="866"/>
      <c r="AG129" s="866"/>
      <c r="AH129" s="866"/>
      <c r="AI129" s="866"/>
      <c r="AJ129" s="866"/>
      <c r="AK129" s="867"/>
      <c r="AL129" s="867"/>
      <c r="AM129" s="868"/>
      <c r="AN129" s="869"/>
      <c r="AO129" s="868"/>
      <c r="AP129" s="868"/>
      <c r="AQ129" s="868"/>
      <c r="AR129" s="868"/>
      <c r="AS129" s="868"/>
      <c r="AT129" s="868"/>
      <c r="AU129" s="868"/>
      <c r="AV129" s="868"/>
      <c r="AW129" s="1373"/>
      <c r="AX129" s="868"/>
      <c r="AY129" s="868"/>
      <c r="AZ129" s="868"/>
      <c r="BA129" s="1373"/>
      <c r="BB129" s="868"/>
      <c r="BC129" s="868"/>
      <c r="BD129" s="868"/>
      <c r="BE129" s="868"/>
      <c r="BF129" s="868"/>
      <c r="BG129" s="868"/>
      <c r="BH129" s="868"/>
      <c r="BI129" s="868"/>
      <c r="BJ129" s="868"/>
      <c r="BK129" s="868"/>
      <c r="BL129" s="868"/>
      <c r="BM129" s="868"/>
      <c r="BN129" s="868"/>
      <c r="BO129" s="868"/>
      <c r="BP129" s="868"/>
      <c r="BQ129" s="868"/>
      <c r="BR129" s="868"/>
      <c r="BS129" s="868"/>
      <c r="BT129" s="868"/>
      <c r="BU129" s="868"/>
      <c r="BV129" s="868"/>
      <c r="BW129" s="868"/>
      <c r="BX129" s="394"/>
      <c r="BY129" s="394"/>
    </row>
    <row r="130" spans="1:77" x14ac:dyDescent="0.2">
      <c r="A130" s="27"/>
      <c r="B130" s="105"/>
      <c r="C130" s="105"/>
      <c r="D130" s="105"/>
      <c r="E130" s="2247"/>
      <c r="F130" s="2247"/>
      <c r="G130" s="2247"/>
      <c r="H130" s="2247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2247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2246"/>
      <c r="AX130" s="105"/>
      <c r="AY130" s="105"/>
      <c r="AZ130" s="105"/>
      <c r="BA130" s="2246"/>
      <c r="BB130" s="105"/>
      <c r="BC130" s="394"/>
      <c r="BD130" s="394"/>
      <c r="BE130" s="394"/>
      <c r="BF130" s="394"/>
      <c r="BG130" s="394"/>
      <c r="BH130" s="394"/>
      <c r="BI130" s="394"/>
      <c r="BJ130" s="394"/>
      <c r="BK130" s="394"/>
      <c r="BL130" s="394"/>
      <c r="BM130" s="394"/>
      <c r="BN130" s="394"/>
      <c r="BO130" s="394"/>
      <c r="BP130" s="394"/>
      <c r="BQ130" s="394"/>
      <c r="BR130" s="394"/>
      <c r="BS130" s="394"/>
      <c r="BT130" s="394"/>
      <c r="BU130" s="394"/>
      <c r="BV130" s="394"/>
      <c r="BW130" s="394"/>
      <c r="BX130" s="394"/>
      <c r="BY130" s="394"/>
    </row>
    <row r="131" spans="1:77" ht="20.25" x14ac:dyDescent="0.3">
      <c r="A131" s="105"/>
      <c r="B131" s="105"/>
      <c r="C131" s="105"/>
      <c r="D131" s="105"/>
      <c r="E131" s="105"/>
      <c r="F131" s="105"/>
      <c r="G131" s="2251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2246"/>
      <c r="AX131" s="105"/>
      <c r="AY131" s="105"/>
      <c r="AZ131" s="105"/>
      <c r="BA131" s="2246"/>
      <c r="BB131" s="105"/>
      <c r="BC131" s="394"/>
      <c r="BD131" s="394"/>
      <c r="BE131" s="394"/>
      <c r="BF131" s="394"/>
      <c r="BG131" s="394"/>
      <c r="BH131" s="394"/>
      <c r="BI131" s="394"/>
      <c r="BJ131" s="394"/>
      <c r="BK131" s="394"/>
      <c r="BL131" s="394"/>
      <c r="BM131" s="394"/>
      <c r="BN131" s="394"/>
      <c r="BO131" s="394"/>
      <c r="BP131" s="394"/>
      <c r="BQ131" s="394"/>
      <c r="BR131" s="394"/>
      <c r="BS131" s="394"/>
      <c r="BT131" s="394"/>
      <c r="BU131" s="394"/>
      <c r="BV131" s="394"/>
      <c r="BW131" s="394"/>
      <c r="BX131" s="394"/>
      <c r="BY131" s="394"/>
    </row>
    <row r="132" spans="1:77" x14ac:dyDescent="0.2">
      <c r="A132" s="105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2246"/>
      <c r="AX132" s="105"/>
      <c r="AY132" s="105"/>
      <c r="AZ132" s="105"/>
      <c r="BA132" s="2246"/>
      <c r="BB132" s="105"/>
      <c r="BC132" s="394"/>
      <c r="BD132" s="394"/>
      <c r="BE132" s="394"/>
      <c r="BF132" s="394"/>
      <c r="BG132" s="394"/>
      <c r="BH132" s="394"/>
      <c r="BI132" s="394"/>
      <c r="BJ132" s="394"/>
      <c r="BK132" s="394"/>
      <c r="BL132" s="394"/>
      <c r="BM132" s="394"/>
      <c r="BN132" s="394"/>
      <c r="BO132" s="394"/>
      <c r="BP132" s="394"/>
      <c r="BQ132" s="394"/>
      <c r="BR132" s="394"/>
      <c r="BS132" s="394"/>
      <c r="BT132" s="394"/>
      <c r="BU132" s="394"/>
      <c r="BV132" s="394"/>
      <c r="BW132" s="394"/>
      <c r="BX132" s="394"/>
      <c r="BY132" s="394"/>
    </row>
    <row r="133" spans="1:77" x14ac:dyDescent="0.2">
      <c r="A133" s="105"/>
      <c r="B133" s="105"/>
      <c r="C133" s="105"/>
      <c r="D133" s="105"/>
      <c r="E133" s="136"/>
      <c r="F133" s="136"/>
      <c r="G133" s="136"/>
      <c r="H133" s="4782"/>
      <c r="I133" s="4782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2247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2246"/>
      <c r="AX133" s="105"/>
      <c r="AY133" s="105"/>
      <c r="AZ133" s="105"/>
      <c r="BA133" s="2246"/>
      <c r="BB133" s="105"/>
      <c r="BC133" s="394"/>
      <c r="BD133" s="394"/>
      <c r="BE133" s="394"/>
      <c r="BF133" s="394"/>
      <c r="BG133" s="394"/>
      <c r="BH133" s="394"/>
      <c r="BI133" s="394"/>
      <c r="BJ133" s="394"/>
      <c r="BK133" s="394"/>
      <c r="BL133" s="394"/>
      <c r="BM133" s="394"/>
      <c r="BN133" s="394"/>
      <c r="BO133" s="394"/>
      <c r="BP133" s="394"/>
      <c r="BQ133" s="394"/>
      <c r="BR133" s="394"/>
      <c r="BS133" s="394"/>
      <c r="BT133" s="394"/>
      <c r="BU133" s="394"/>
      <c r="BV133" s="394"/>
      <c r="BW133" s="394"/>
      <c r="BX133" s="394"/>
      <c r="BY133" s="394"/>
    </row>
    <row r="134" spans="1:77" x14ac:dyDescent="0.2">
      <c r="A134" s="105"/>
      <c r="B134" s="105"/>
      <c r="C134" s="105"/>
      <c r="D134" s="105"/>
      <c r="E134" s="2247"/>
      <c r="F134" s="105"/>
      <c r="G134" s="105"/>
      <c r="H134" s="4782"/>
      <c r="I134" s="4782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2246"/>
      <c r="AX134" s="105"/>
      <c r="AY134" s="105"/>
      <c r="AZ134" s="105"/>
      <c r="BA134" s="2246"/>
      <c r="BB134" s="105"/>
      <c r="BC134" s="394"/>
      <c r="BD134" s="394"/>
      <c r="BE134" s="394"/>
      <c r="BF134" s="394"/>
      <c r="BG134" s="394"/>
      <c r="BH134" s="394"/>
      <c r="BI134" s="394"/>
      <c r="BJ134" s="394"/>
      <c r="BK134" s="394"/>
      <c r="BL134" s="394"/>
      <c r="BM134" s="394"/>
      <c r="BN134" s="394"/>
      <c r="BO134" s="394"/>
      <c r="BP134" s="394"/>
      <c r="BQ134" s="394"/>
      <c r="BR134" s="394"/>
      <c r="BS134" s="394"/>
      <c r="BT134" s="394"/>
      <c r="BU134" s="394"/>
      <c r="BV134" s="394"/>
      <c r="BW134" s="394"/>
      <c r="BX134" s="394"/>
      <c r="BY134" s="394"/>
    </row>
    <row r="135" spans="1:77" ht="31.5" customHeight="1" x14ac:dyDescent="0.2">
      <c r="A135" s="105"/>
      <c r="B135" s="105"/>
      <c r="C135" s="105"/>
      <c r="D135" s="105"/>
      <c r="E135" s="2247"/>
      <c r="F135" s="105"/>
      <c r="G135" s="2249"/>
      <c r="H135" s="4784"/>
      <c r="I135" s="4784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2246"/>
      <c r="AX135" s="105"/>
      <c r="AY135" s="105"/>
      <c r="AZ135" s="105"/>
      <c r="BA135" s="2246"/>
      <c r="BB135" s="105"/>
      <c r="BC135" s="394"/>
      <c r="BD135" s="394"/>
      <c r="BE135" s="394"/>
      <c r="BF135" s="394"/>
      <c r="BG135" s="394"/>
      <c r="BH135" s="394"/>
      <c r="BI135" s="394"/>
      <c r="BJ135" s="394"/>
      <c r="BK135" s="394"/>
      <c r="BL135" s="394"/>
      <c r="BM135" s="394"/>
      <c r="BN135" s="394"/>
      <c r="BO135" s="394"/>
      <c r="BP135" s="394"/>
      <c r="BQ135" s="394"/>
      <c r="BR135" s="394"/>
      <c r="BS135" s="394"/>
      <c r="BT135" s="394"/>
      <c r="BU135" s="394"/>
      <c r="BV135" s="394"/>
      <c r="BW135" s="394"/>
      <c r="BX135" s="394"/>
      <c r="BY135" s="394"/>
    </row>
    <row r="136" spans="1:77" x14ac:dyDescent="0.2">
      <c r="A136" s="105"/>
      <c r="B136" s="105"/>
      <c r="C136" s="105"/>
      <c r="D136" s="105"/>
      <c r="E136" s="2247"/>
      <c r="F136" s="105"/>
      <c r="G136" s="105"/>
      <c r="H136" s="4782"/>
      <c r="I136" s="4782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2246"/>
      <c r="AX136" s="105"/>
      <c r="AY136" s="105"/>
      <c r="AZ136" s="105"/>
      <c r="BA136" s="2246"/>
      <c r="BB136" s="105"/>
      <c r="BC136" s="394"/>
      <c r="BD136" s="394"/>
      <c r="BE136" s="394"/>
      <c r="BF136" s="394"/>
      <c r="BG136" s="394"/>
      <c r="BH136" s="394"/>
      <c r="BI136" s="394"/>
      <c r="BJ136" s="394"/>
      <c r="BK136" s="394"/>
      <c r="BL136" s="394"/>
      <c r="BM136" s="394"/>
      <c r="BN136" s="394"/>
      <c r="BO136" s="394"/>
      <c r="BP136" s="394"/>
      <c r="BQ136" s="394"/>
      <c r="BR136" s="394"/>
      <c r="BS136" s="394"/>
      <c r="BT136" s="394"/>
      <c r="BU136" s="394"/>
      <c r="BV136" s="394"/>
      <c r="BW136" s="394"/>
      <c r="BX136" s="394"/>
      <c r="BY136" s="394"/>
    </row>
    <row r="137" spans="1:77" x14ac:dyDescent="0.2">
      <c r="A137" s="105"/>
      <c r="B137" s="105"/>
      <c r="C137" s="105"/>
      <c r="D137" s="105"/>
      <c r="E137" s="2247"/>
      <c r="F137" s="105"/>
      <c r="G137" s="105"/>
      <c r="H137" s="4782"/>
      <c r="I137" s="4782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2247"/>
      <c r="U137" s="2247"/>
      <c r="V137" s="2247"/>
      <c r="W137" s="105"/>
      <c r="X137" s="105"/>
      <c r="Y137" s="2247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2246"/>
      <c r="AX137" s="105"/>
      <c r="AY137" s="105"/>
      <c r="AZ137" s="105"/>
      <c r="BA137" s="2246"/>
      <c r="BB137" s="105"/>
      <c r="BC137" s="394"/>
      <c r="BD137" s="394"/>
      <c r="BE137" s="394"/>
      <c r="BF137" s="394"/>
      <c r="BG137" s="394"/>
      <c r="BH137" s="394"/>
      <c r="BI137" s="394"/>
      <c r="BJ137" s="394"/>
      <c r="BK137" s="394"/>
      <c r="BL137" s="394"/>
      <c r="BM137" s="394"/>
      <c r="BN137" s="394"/>
      <c r="BO137" s="394"/>
      <c r="BP137" s="394"/>
      <c r="BQ137" s="394"/>
      <c r="BR137" s="394"/>
      <c r="BS137" s="394"/>
      <c r="BT137" s="394"/>
      <c r="BU137" s="394"/>
      <c r="BV137" s="394"/>
      <c r="BW137" s="394"/>
      <c r="BX137" s="394"/>
      <c r="BY137" s="394"/>
    </row>
    <row r="138" spans="1:77" x14ac:dyDescent="0.2">
      <c r="A138" s="105"/>
      <c r="B138" s="105"/>
      <c r="C138" s="105"/>
      <c r="D138" s="105"/>
      <c r="E138" s="2247"/>
      <c r="F138" s="105"/>
      <c r="G138" s="105"/>
      <c r="H138" s="4782"/>
      <c r="I138" s="4782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2247"/>
      <c r="U138" s="105"/>
      <c r="V138" s="105"/>
      <c r="W138" s="105"/>
      <c r="X138" s="105"/>
      <c r="Y138" s="2247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2246"/>
      <c r="AX138" s="105"/>
      <c r="AY138" s="105"/>
      <c r="AZ138" s="105"/>
      <c r="BA138" s="2246"/>
      <c r="BB138" s="105"/>
      <c r="BC138" s="394"/>
      <c r="BD138" s="394"/>
      <c r="BE138" s="394"/>
      <c r="BF138" s="394"/>
      <c r="BG138" s="394"/>
      <c r="BH138" s="394"/>
      <c r="BI138" s="394"/>
      <c r="BJ138" s="394"/>
      <c r="BK138" s="394"/>
      <c r="BL138" s="394"/>
      <c r="BM138" s="394"/>
      <c r="BN138" s="394"/>
      <c r="BO138" s="394"/>
      <c r="BP138" s="394"/>
      <c r="BQ138" s="394"/>
      <c r="BR138" s="394"/>
      <c r="BS138" s="394"/>
      <c r="BT138" s="394"/>
      <c r="BU138" s="394"/>
      <c r="BV138" s="394"/>
      <c r="BW138" s="394"/>
      <c r="BX138" s="394"/>
      <c r="BY138" s="394"/>
    </row>
    <row r="139" spans="1:77" x14ac:dyDescent="0.2">
      <c r="A139" s="105"/>
      <c r="B139" s="105"/>
      <c r="C139" s="105"/>
      <c r="D139" s="105"/>
      <c r="E139" s="2247"/>
      <c r="F139" s="105"/>
      <c r="G139" s="105"/>
      <c r="H139" s="4782"/>
      <c r="I139" s="4782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2247"/>
      <c r="U139" s="2247"/>
      <c r="V139" s="2247"/>
      <c r="W139" s="105"/>
      <c r="X139" s="105"/>
      <c r="Y139" s="2247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2246"/>
      <c r="AX139" s="105"/>
      <c r="AY139" s="105"/>
      <c r="AZ139" s="105"/>
      <c r="BA139" s="2246"/>
      <c r="BB139" s="105"/>
      <c r="BC139" s="394"/>
      <c r="BD139" s="394"/>
      <c r="BE139" s="394"/>
      <c r="BF139" s="394"/>
      <c r="BG139" s="394"/>
      <c r="BH139" s="394"/>
      <c r="BI139" s="394"/>
      <c r="BJ139" s="394"/>
      <c r="BK139" s="394"/>
      <c r="BL139" s="394"/>
      <c r="BM139" s="394"/>
      <c r="BN139" s="394"/>
      <c r="BO139" s="394"/>
      <c r="BP139" s="394"/>
      <c r="BQ139" s="394"/>
      <c r="BR139" s="394"/>
      <c r="BS139" s="394"/>
      <c r="BT139" s="394"/>
      <c r="BU139" s="394"/>
      <c r="BV139" s="394"/>
      <c r="BW139" s="394"/>
      <c r="BX139" s="394"/>
      <c r="BY139" s="394"/>
    </row>
    <row r="140" spans="1:77" x14ac:dyDescent="0.2">
      <c r="A140" s="105"/>
      <c r="B140" s="105"/>
      <c r="C140" s="105"/>
      <c r="D140" s="105"/>
      <c r="E140" s="2247"/>
      <c r="F140" s="105"/>
      <c r="G140" s="105"/>
      <c r="H140" s="4782"/>
      <c r="I140" s="4782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2246"/>
      <c r="AX140" s="105"/>
      <c r="AY140" s="105"/>
      <c r="AZ140" s="105"/>
      <c r="BA140" s="2246"/>
      <c r="BB140" s="105"/>
      <c r="BC140" s="394"/>
      <c r="BD140" s="394"/>
      <c r="BE140" s="394"/>
      <c r="BF140" s="394"/>
      <c r="BG140" s="394"/>
      <c r="BH140" s="394"/>
      <c r="BI140" s="394"/>
      <c r="BJ140" s="394"/>
      <c r="BK140" s="394"/>
      <c r="BL140" s="394"/>
      <c r="BM140" s="394"/>
      <c r="BN140" s="394"/>
      <c r="BO140" s="394"/>
      <c r="BP140" s="394"/>
      <c r="BQ140" s="394"/>
      <c r="BR140" s="394"/>
      <c r="BS140" s="394"/>
      <c r="BT140" s="394"/>
      <c r="BU140" s="394"/>
      <c r="BV140" s="394"/>
      <c r="BW140" s="394"/>
      <c r="BX140" s="394"/>
      <c r="BY140" s="394"/>
    </row>
    <row r="141" spans="1:77" x14ac:dyDescent="0.2">
      <c r="A141" s="105"/>
      <c r="B141" s="105"/>
      <c r="C141" s="105"/>
      <c r="D141" s="105"/>
      <c r="E141" s="2247"/>
      <c r="F141" s="105"/>
      <c r="G141" s="105"/>
      <c r="H141" s="4782"/>
      <c r="I141" s="4782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2246"/>
      <c r="AX141" s="105"/>
      <c r="AY141" s="105"/>
      <c r="AZ141" s="105"/>
      <c r="BA141" s="2246"/>
      <c r="BB141" s="105"/>
      <c r="BC141" s="394"/>
      <c r="BD141" s="394"/>
      <c r="BE141" s="394"/>
      <c r="BF141" s="394"/>
      <c r="BG141" s="394"/>
      <c r="BH141" s="394"/>
      <c r="BI141" s="394"/>
      <c r="BJ141" s="394"/>
      <c r="BK141" s="394"/>
      <c r="BL141" s="394"/>
      <c r="BM141" s="394"/>
      <c r="BN141" s="394"/>
      <c r="BO141" s="394"/>
      <c r="BP141" s="394"/>
      <c r="BQ141" s="394"/>
      <c r="BR141" s="394"/>
      <c r="BS141" s="394"/>
      <c r="BT141" s="394"/>
      <c r="BU141" s="394"/>
      <c r="BV141" s="394"/>
      <c r="BW141" s="394"/>
      <c r="BX141" s="394"/>
      <c r="BY141" s="394"/>
    </row>
    <row r="142" spans="1:77" x14ac:dyDescent="0.2">
      <c r="A142" s="105"/>
      <c r="B142" s="105"/>
      <c r="C142" s="105"/>
      <c r="D142" s="105"/>
      <c r="E142" s="2247"/>
      <c r="F142" s="105"/>
      <c r="G142" s="105"/>
      <c r="H142" s="4782"/>
      <c r="I142" s="4782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2246"/>
      <c r="AX142" s="105"/>
      <c r="AY142" s="105"/>
      <c r="AZ142" s="105"/>
      <c r="BA142" s="2246"/>
      <c r="BB142" s="105"/>
      <c r="BC142" s="394"/>
      <c r="BD142" s="394"/>
      <c r="BE142" s="394"/>
      <c r="BF142" s="394"/>
      <c r="BG142" s="394"/>
      <c r="BH142" s="394"/>
      <c r="BI142" s="394"/>
      <c r="BJ142" s="394"/>
      <c r="BK142" s="394"/>
      <c r="BL142" s="394"/>
      <c r="BM142" s="394"/>
      <c r="BN142" s="394"/>
      <c r="BO142" s="394"/>
      <c r="BP142" s="394"/>
      <c r="BQ142" s="394"/>
      <c r="BR142" s="394"/>
      <c r="BS142" s="394"/>
      <c r="BT142" s="394"/>
      <c r="BU142" s="394"/>
      <c r="BV142" s="394"/>
      <c r="BW142" s="394"/>
      <c r="BX142" s="394"/>
      <c r="BY142" s="394"/>
    </row>
    <row r="143" spans="1:77" x14ac:dyDescent="0.2">
      <c r="A143" s="105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2246"/>
      <c r="AX143" s="105"/>
      <c r="AY143" s="105"/>
      <c r="AZ143" s="105"/>
      <c r="BA143" s="2246"/>
      <c r="BB143" s="105"/>
      <c r="BC143" s="394"/>
      <c r="BD143" s="394"/>
      <c r="BE143" s="394"/>
      <c r="BF143" s="394"/>
      <c r="BG143" s="394"/>
      <c r="BH143" s="394"/>
      <c r="BI143" s="394"/>
      <c r="BJ143" s="394"/>
      <c r="BK143" s="394"/>
      <c r="BL143" s="394"/>
      <c r="BM143" s="394"/>
      <c r="BN143" s="394"/>
      <c r="BO143" s="394"/>
      <c r="BP143" s="394"/>
      <c r="BQ143" s="394"/>
      <c r="BR143" s="394"/>
      <c r="BS143" s="394"/>
      <c r="BT143" s="394"/>
      <c r="BU143" s="394"/>
      <c r="BV143" s="394"/>
      <c r="BW143" s="394"/>
      <c r="BX143" s="394"/>
      <c r="BY143" s="394"/>
    </row>
    <row r="144" spans="1:77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254"/>
      <c r="AX144" s="29"/>
      <c r="AY144" s="29"/>
      <c r="AZ144" s="29"/>
      <c r="BA144" s="2254"/>
      <c r="BB144" s="29"/>
    </row>
    <row r="145" spans="1:54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254"/>
      <c r="AX145" s="29"/>
      <c r="AY145" s="29"/>
      <c r="AZ145" s="29"/>
      <c r="BA145" s="2254"/>
      <c r="BB145" s="29"/>
    </row>
    <row r="146" spans="1:54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254"/>
      <c r="AX146" s="29"/>
      <c r="AY146" s="29"/>
      <c r="AZ146" s="29"/>
      <c r="BA146" s="2254"/>
      <c r="BB146" s="29"/>
    </row>
    <row r="147" spans="1:54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254"/>
      <c r="AX147" s="29"/>
      <c r="AY147" s="29"/>
      <c r="AZ147" s="29"/>
      <c r="BA147" s="2254"/>
      <c r="BB147" s="29"/>
    </row>
    <row r="148" spans="1:54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254"/>
      <c r="AX148" s="29"/>
      <c r="AY148" s="29"/>
      <c r="AZ148" s="29"/>
      <c r="BA148" s="2254"/>
      <c r="BB148" s="29"/>
    </row>
    <row r="149" spans="1:54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254"/>
      <c r="AX149" s="29"/>
      <c r="AY149" s="29"/>
      <c r="AZ149" s="29"/>
      <c r="BA149" s="2254"/>
      <c r="BB149" s="29"/>
    </row>
    <row r="150" spans="1:54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254"/>
      <c r="AX150" s="29"/>
      <c r="AY150" s="29"/>
      <c r="AZ150" s="29"/>
      <c r="BA150" s="2254"/>
      <c r="BB150" s="29"/>
    </row>
    <row r="151" spans="1:54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254"/>
      <c r="AX151" s="29"/>
      <c r="AY151" s="29"/>
      <c r="AZ151" s="29"/>
      <c r="BA151" s="2254"/>
      <c r="BB151" s="29"/>
    </row>
    <row r="152" spans="1:54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254"/>
      <c r="AX152" s="29"/>
      <c r="AY152" s="29"/>
      <c r="AZ152" s="29"/>
      <c r="BA152" s="2254"/>
      <c r="BB152" s="29"/>
    </row>
    <row r="153" spans="1:54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254"/>
      <c r="AX153" s="29"/>
      <c r="AY153" s="29"/>
      <c r="AZ153" s="29"/>
      <c r="BA153" s="2254"/>
      <c r="BB153" s="29"/>
    </row>
    <row r="154" spans="1:54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254"/>
      <c r="AX154" s="29"/>
      <c r="AY154" s="29"/>
      <c r="AZ154" s="29"/>
      <c r="BA154" s="2254"/>
      <c r="BB154" s="29"/>
    </row>
    <row r="155" spans="1:54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254"/>
      <c r="AX155" s="29"/>
      <c r="AY155" s="29"/>
      <c r="AZ155" s="29"/>
      <c r="BA155" s="2254"/>
      <c r="BB155" s="29"/>
    </row>
    <row r="156" spans="1:54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254"/>
      <c r="AX156" s="29"/>
      <c r="AY156" s="29"/>
      <c r="AZ156" s="29"/>
      <c r="BA156" s="2254"/>
      <c r="BB156" s="29"/>
    </row>
    <row r="157" spans="1:54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254"/>
      <c r="AX157" s="29"/>
      <c r="AY157" s="29"/>
      <c r="AZ157" s="29"/>
      <c r="BA157" s="2254"/>
      <c r="BB157" s="29"/>
    </row>
    <row r="158" spans="1:54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254"/>
      <c r="AX158" s="29"/>
      <c r="AY158" s="29"/>
      <c r="AZ158" s="29"/>
      <c r="BA158" s="2254"/>
      <c r="BB158" s="29"/>
    </row>
    <row r="159" spans="1:54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254"/>
      <c r="AX159" s="29"/>
      <c r="AY159" s="29"/>
      <c r="AZ159" s="29"/>
      <c r="BA159" s="2254"/>
      <c r="BB159" s="29"/>
    </row>
    <row r="160" spans="1:54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254"/>
      <c r="AX160" s="29"/>
      <c r="AY160" s="29"/>
      <c r="AZ160" s="29"/>
      <c r="BA160" s="2254"/>
      <c r="BB160" s="29"/>
    </row>
    <row r="161" spans="1:54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254"/>
      <c r="AX161" s="29"/>
      <c r="AY161" s="29"/>
      <c r="AZ161" s="29"/>
      <c r="BA161" s="2254"/>
      <c r="BB161" s="29"/>
    </row>
    <row r="162" spans="1:54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254"/>
      <c r="AX162" s="29"/>
      <c r="AY162" s="29"/>
      <c r="AZ162" s="29"/>
      <c r="BA162" s="2254"/>
      <c r="BB162" s="29"/>
    </row>
    <row r="163" spans="1:54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254"/>
      <c r="AX163" s="29"/>
      <c r="AY163" s="29"/>
      <c r="AZ163" s="29"/>
      <c r="BA163" s="2254"/>
      <c r="BB163" s="29"/>
    </row>
    <row r="164" spans="1:54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254"/>
      <c r="AX164" s="29"/>
      <c r="AY164" s="29"/>
      <c r="AZ164" s="29"/>
      <c r="BA164" s="2254"/>
      <c r="BB164" s="29"/>
    </row>
    <row r="165" spans="1:54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254"/>
      <c r="AX165" s="29"/>
      <c r="AY165" s="29"/>
      <c r="AZ165" s="29"/>
      <c r="BA165" s="2254"/>
      <c r="BB165" s="29"/>
    </row>
    <row r="166" spans="1:54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254"/>
      <c r="AX166" s="29"/>
      <c r="AY166" s="29"/>
      <c r="AZ166" s="29"/>
      <c r="BA166" s="2254"/>
      <c r="BB166" s="29"/>
    </row>
    <row r="167" spans="1:54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254"/>
      <c r="AX167" s="29"/>
      <c r="AY167" s="29"/>
      <c r="AZ167" s="29"/>
      <c r="BA167" s="2254"/>
      <c r="BB167" s="29"/>
    </row>
    <row r="168" spans="1:54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254"/>
      <c r="AX168" s="29"/>
      <c r="AY168" s="29"/>
      <c r="AZ168" s="29"/>
      <c r="BA168" s="2254"/>
      <c r="BB168" s="29"/>
    </row>
    <row r="169" spans="1:54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254"/>
      <c r="AX169" s="29"/>
      <c r="AY169" s="29"/>
      <c r="AZ169" s="29"/>
      <c r="BA169" s="2254"/>
      <c r="BB169" s="29"/>
    </row>
    <row r="170" spans="1:54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254"/>
      <c r="AX170" s="29"/>
      <c r="AY170" s="29"/>
      <c r="AZ170" s="29"/>
      <c r="BA170" s="2254"/>
      <c r="BB170" s="29"/>
    </row>
    <row r="171" spans="1:54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254"/>
      <c r="AX171" s="29"/>
      <c r="AY171" s="29"/>
      <c r="AZ171" s="29"/>
      <c r="BA171" s="2254"/>
      <c r="BB171" s="29"/>
    </row>
    <row r="172" spans="1:54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254"/>
      <c r="AX172" s="29"/>
      <c r="AY172" s="29"/>
      <c r="AZ172" s="29"/>
      <c r="BA172" s="2254"/>
      <c r="BB172" s="29"/>
    </row>
    <row r="173" spans="1:54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254"/>
      <c r="AX173" s="29"/>
      <c r="AY173" s="29"/>
      <c r="AZ173" s="29"/>
      <c r="BA173" s="2254"/>
      <c r="BB173" s="29"/>
    </row>
    <row r="174" spans="1:54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254"/>
      <c r="AX174" s="29"/>
      <c r="AY174" s="29"/>
      <c r="AZ174" s="29"/>
      <c r="BA174" s="2254"/>
      <c r="BB174" s="29"/>
    </row>
    <row r="175" spans="1:54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254"/>
      <c r="AX175" s="29"/>
      <c r="AY175" s="29"/>
      <c r="AZ175" s="29"/>
      <c r="BA175" s="2254"/>
      <c r="BB175" s="29"/>
    </row>
    <row r="176" spans="1:54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254"/>
      <c r="AX176" s="29"/>
      <c r="AY176" s="29"/>
      <c r="AZ176" s="29"/>
      <c r="BA176" s="2254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254"/>
      <c r="AX177" s="29"/>
      <c r="AY177" s="29"/>
      <c r="AZ177" s="29"/>
      <c r="BA177" s="2254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254"/>
      <c r="AX178" s="29"/>
      <c r="AY178" s="29"/>
      <c r="AZ178" s="29"/>
      <c r="BA178" s="2254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254"/>
      <c r="AX179" s="29"/>
      <c r="AY179" s="29"/>
      <c r="AZ179" s="29"/>
      <c r="BA179" s="2254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254"/>
      <c r="AX180" s="29"/>
      <c r="AY180" s="29"/>
      <c r="AZ180" s="29"/>
      <c r="BA180" s="2254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254"/>
      <c r="AX181" s="29"/>
      <c r="AY181" s="29"/>
      <c r="AZ181" s="29"/>
      <c r="BA181" s="2254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254"/>
      <c r="AX182" s="29"/>
      <c r="AY182" s="29"/>
      <c r="AZ182" s="29"/>
      <c r="BA182" s="2254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254"/>
      <c r="AX183" s="29"/>
      <c r="AY183" s="29"/>
      <c r="AZ183" s="29"/>
      <c r="BA183" s="2254"/>
      <c r="BB183" s="29"/>
    </row>
    <row r="184" spans="1:54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254"/>
      <c r="AX184" s="29"/>
      <c r="AY184" s="29"/>
      <c r="AZ184" s="29"/>
      <c r="BA184" s="2254"/>
      <c r="BB184" s="29"/>
    </row>
    <row r="185" spans="1:54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254"/>
      <c r="AX185" s="29"/>
      <c r="AY185" s="29"/>
      <c r="AZ185" s="29"/>
      <c r="BA185" s="2254"/>
      <c r="BB185" s="29"/>
    </row>
    <row r="186" spans="1:54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254"/>
      <c r="AX186" s="29"/>
      <c r="AY186" s="29"/>
      <c r="AZ186" s="29"/>
      <c r="BA186" s="2254"/>
      <c r="BB186" s="29"/>
    </row>
    <row r="187" spans="1:54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254"/>
      <c r="AX187" s="29"/>
      <c r="AY187" s="29"/>
      <c r="AZ187" s="29"/>
      <c r="BA187" s="2254"/>
      <c r="BB187" s="29"/>
    </row>
    <row r="188" spans="1:54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254"/>
      <c r="AX188" s="29"/>
      <c r="AY188" s="29"/>
      <c r="AZ188" s="29"/>
      <c r="BA188" s="2254"/>
      <c r="BB188" s="29"/>
    </row>
    <row r="189" spans="1:54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254"/>
      <c r="AX189" s="29"/>
      <c r="AY189" s="29"/>
      <c r="AZ189" s="29"/>
      <c r="BA189" s="2254"/>
      <c r="BB189" s="29"/>
    </row>
    <row r="190" spans="1:54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254"/>
      <c r="AX190" s="29"/>
      <c r="AY190" s="29"/>
      <c r="AZ190" s="29"/>
      <c r="BA190" s="2254"/>
      <c r="BB190" s="29"/>
    </row>
    <row r="191" spans="1:54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254"/>
      <c r="AX191" s="29"/>
      <c r="AY191" s="29"/>
      <c r="AZ191" s="29"/>
      <c r="BA191" s="2254"/>
      <c r="BB191" s="29"/>
    </row>
    <row r="192" spans="1:54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254"/>
      <c r="AX192" s="29"/>
      <c r="AY192" s="29"/>
      <c r="AZ192" s="29"/>
      <c r="BA192" s="2254"/>
      <c r="BB192" s="29"/>
    </row>
    <row r="193" spans="1:54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254"/>
      <c r="AX193" s="29"/>
      <c r="AY193" s="29"/>
      <c r="AZ193" s="29"/>
      <c r="BA193" s="2254"/>
      <c r="BB193" s="29"/>
    </row>
    <row r="194" spans="1:54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254"/>
      <c r="AX194" s="29"/>
      <c r="AY194" s="29"/>
      <c r="AZ194" s="29"/>
      <c r="BA194" s="2254"/>
      <c r="BB194" s="29"/>
    </row>
    <row r="195" spans="1:54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254"/>
      <c r="AX195" s="29"/>
      <c r="AY195" s="29"/>
      <c r="AZ195" s="29"/>
      <c r="BA195" s="2254"/>
      <c r="BB195" s="29"/>
    </row>
    <row r="196" spans="1:54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254"/>
      <c r="AX196" s="29"/>
      <c r="AY196" s="29"/>
      <c r="AZ196" s="29"/>
      <c r="BA196" s="2254"/>
      <c r="BB196" s="29"/>
    </row>
    <row r="197" spans="1:54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254"/>
      <c r="AX197" s="29"/>
      <c r="AY197" s="29"/>
      <c r="AZ197" s="29"/>
      <c r="BA197" s="2254"/>
      <c r="BB197" s="29"/>
    </row>
    <row r="198" spans="1:54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254"/>
      <c r="AX198" s="29"/>
      <c r="AY198" s="29"/>
      <c r="AZ198" s="29"/>
      <c r="BA198" s="2254"/>
      <c r="BB198" s="29"/>
    </row>
    <row r="199" spans="1:54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254"/>
      <c r="AX199" s="29"/>
      <c r="AY199" s="29"/>
      <c r="AZ199" s="29"/>
      <c r="BA199" s="2254"/>
      <c r="BB199" s="29"/>
    </row>
    <row r="200" spans="1:54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254"/>
      <c r="AX200" s="29"/>
      <c r="AY200" s="29"/>
      <c r="AZ200" s="29"/>
      <c r="BA200" s="2254"/>
      <c r="BB200" s="29"/>
    </row>
    <row r="201" spans="1:54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254"/>
      <c r="AX201" s="29"/>
      <c r="AY201" s="29"/>
      <c r="AZ201" s="29"/>
      <c r="BA201" s="2254"/>
      <c r="BB201" s="29"/>
    </row>
    <row r="202" spans="1:54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254"/>
      <c r="AX202" s="29"/>
      <c r="AY202" s="29"/>
      <c r="AZ202" s="29"/>
      <c r="BA202" s="2254"/>
      <c r="BB202" s="29"/>
    </row>
  </sheetData>
  <mergeCells count="248">
    <mergeCell ref="BY5:CA5"/>
    <mergeCell ref="BY6:BY7"/>
    <mergeCell ref="BZ6:CA6"/>
    <mergeCell ref="BV4:CM4"/>
    <mergeCell ref="H133:I133"/>
    <mergeCell ref="H134:I134"/>
    <mergeCell ref="H141:I141"/>
    <mergeCell ref="J5:J7"/>
    <mergeCell ref="L5:L7"/>
    <mergeCell ref="G4:H4"/>
    <mergeCell ref="H135:I135"/>
    <mergeCell ref="H136:I136"/>
    <mergeCell ref="H137:I137"/>
    <mergeCell ref="H138:I138"/>
    <mergeCell ref="K120:S120"/>
    <mergeCell ref="N4:V4"/>
    <mergeCell ref="V5:V7"/>
    <mergeCell ref="U5:U7"/>
    <mergeCell ref="S5:T5"/>
    <mergeCell ref="S6:S7"/>
    <mergeCell ref="T6:T7"/>
    <mergeCell ref="Q5:Q7"/>
    <mergeCell ref="N5:N7"/>
    <mergeCell ref="O5:O7"/>
    <mergeCell ref="H142:I142"/>
    <mergeCell ref="A120:H120"/>
    <mergeCell ref="BG4:BI4"/>
    <mergeCell ref="BG5:BI5"/>
    <mergeCell ref="BP6:BP7"/>
    <mergeCell ref="BD83:BF83"/>
    <mergeCell ref="BD84:BD85"/>
    <mergeCell ref="BE84:BF84"/>
    <mergeCell ref="AV82:BF82"/>
    <mergeCell ref="BG82:BI82"/>
    <mergeCell ref="BG83:BI83"/>
    <mergeCell ref="BG84:BG85"/>
    <mergeCell ref="BH84:BI84"/>
    <mergeCell ref="BP82:BU82"/>
    <mergeCell ref="BP83:BR83"/>
    <mergeCell ref="BS83:BU83"/>
    <mergeCell ref="BP84:BP85"/>
    <mergeCell ref="BT84:BU84"/>
    <mergeCell ref="H139:I139"/>
    <mergeCell ref="H140:I140"/>
    <mergeCell ref="A82:A85"/>
    <mergeCell ref="I4:M4"/>
    <mergeCell ref="H5:H7"/>
    <mergeCell ref="M5:M7"/>
    <mergeCell ref="R5:R7"/>
    <mergeCell ref="AG6:AH6"/>
    <mergeCell ref="AI5:AL5"/>
    <mergeCell ref="AI6:AI7"/>
    <mergeCell ref="AJ6:AJ7"/>
    <mergeCell ref="AT6:AU6"/>
    <mergeCell ref="AS6:AS7"/>
    <mergeCell ref="P5:P7"/>
    <mergeCell ref="W5:W7"/>
    <mergeCell ref="X5:X7"/>
    <mergeCell ref="AC6:AD6"/>
    <mergeCell ref="Z6:AA6"/>
    <mergeCell ref="Y5:AA5"/>
    <mergeCell ref="AB5:AD5"/>
    <mergeCell ref="AB6:AB7"/>
    <mergeCell ref="AK6:AL6"/>
    <mergeCell ref="AP5:AR5"/>
    <mergeCell ref="Y6:Y7"/>
    <mergeCell ref="BG6:BG7"/>
    <mergeCell ref="BH6:BI6"/>
    <mergeCell ref="BD5:BF5"/>
    <mergeCell ref="AV6:AV7"/>
    <mergeCell ref="AW6:AW7"/>
    <mergeCell ref="AZ5:BC5"/>
    <mergeCell ref="AZ6:AZ7"/>
    <mergeCell ref="BA6:BA7"/>
    <mergeCell ref="AV5:AY5"/>
    <mergeCell ref="BD6:BD7"/>
    <mergeCell ref="BE6:BF6"/>
    <mergeCell ref="AX6:AY6"/>
    <mergeCell ref="BB6:BC6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W4:AD4"/>
    <mergeCell ref="B82:B85"/>
    <mergeCell ref="C82:D82"/>
    <mergeCell ref="E82:F82"/>
    <mergeCell ref="G82:H82"/>
    <mergeCell ref="I82:M82"/>
    <mergeCell ref="N82:V82"/>
    <mergeCell ref="W82:AD82"/>
    <mergeCell ref="AE82:AU82"/>
    <mergeCell ref="AE83:AH83"/>
    <mergeCell ref="AI83:AL83"/>
    <mergeCell ref="AP83:AR83"/>
    <mergeCell ref="AS83:AU83"/>
    <mergeCell ref="S84:S85"/>
    <mergeCell ref="T84:T85"/>
    <mergeCell ref="Y84:Y85"/>
    <mergeCell ref="AI84:AI85"/>
    <mergeCell ref="AJ84:AJ85"/>
    <mergeCell ref="AG84:AH84"/>
    <mergeCell ref="S83:T83"/>
    <mergeCell ref="U83:U85"/>
    <mergeCell ref="V83:V85"/>
    <mergeCell ref="AK84:AL84"/>
    <mergeCell ref="AP84:AP85"/>
    <mergeCell ref="C83:C85"/>
    <mergeCell ref="D83:D85"/>
    <mergeCell ref="E83:E85"/>
    <mergeCell ref="F83:F85"/>
    <mergeCell ref="G83:G85"/>
    <mergeCell ref="H83:H85"/>
    <mergeCell ref="I83:I85"/>
    <mergeCell ref="J83:J85"/>
    <mergeCell ref="K83:K85"/>
    <mergeCell ref="L83:L85"/>
    <mergeCell ref="M83:M85"/>
    <mergeCell ref="N83:N85"/>
    <mergeCell ref="O83:O85"/>
    <mergeCell ref="P83:P85"/>
    <mergeCell ref="Q83:Q85"/>
    <mergeCell ref="R83:R85"/>
    <mergeCell ref="W83:W85"/>
    <mergeCell ref="BJ83:BL83"/>
    <mergeCell ref="AS84:AS85"/>
    <mergeCell ref="AT84:AU84"/>
    <mergeCell ref="AV84:AV85"/>
    <mergeCell ref="AW84:AW85"/>
    <mergeCell ref="AV83:AY83"/>
    <mergeCell ref="AZ83:BC83"/>
    <mergeCell ref="AX84:AY84"/>
    <mergeCell ref="BJ84:BJ85"/>
    <mergeCell ref="BK84:BL84"/>
    <mergeCell ref="Z84:AA84"/>
    <mergeCell ref="AB84:AB85"/>
    <mergeCell ref="AQ84:AR84"/>
    <mergeCell ref="AZ84:AZ85"/>
    <mergeCell ref="BA84:BA85"/>
    <mergeCell ref="BB84:BC84"/>
    <mergeCell ref="BM84:BM85"/>
    <mergeCell ref="BN84:BO84"/>
    <mergeCell ref="BV5:BX5"/>
    <mergeCell ref="BV6:BV7"/>
    <mergeCell ref="BW6:BX6"/>
    <mergeCell ref="BV83:BX83"/>
    <mergeCell ref="BV84:BV85"/>
    <mergeCell ref="BW84:BX84"/>
    <mergeCell ref="BQ6:BR6"/>
    <mergeCell ref="BS5:BU5"/>
    <mergeCell ref="BS6:BS7"/>
    <mergeCell ref="BT6:BU6"/>
    <mergeCell ref="BV82:CM82"/>
    <mergeCell ref="BY83:CA83"/>
    <mergeCell ref="CK83:CM83"/>
    <mergeCell ref="BY84:BY85"/>
    <mergeCell ref="BZ84:CA84"/>
    <mergeCell ref="CK84:CK85"/>
    <mergeCell ref="CL84:CM84"/>
    <mergeCell ref="CK5:CM5"/>
    <mergeCell ref="CK6:CK7"/>
    <mergeCell ref="CL6:CM6"/>
    <mergeCell ref="BQ84:BR84"/>
    <mergeCell ref="BS84:BS85"/>
    <mergeCell ref="BP4:BU4"/>
    <mergeCell ref="BP5:BR5"/>
    <mergeCell ref="AV4:BF4"/>
    <mergeCell ref="BJ82:BO82"/>
    <mergeCell ref="X83:X85"/>
    <mergeCell ref="Y83:AA83"/>
    <mergeCell ref="AB83:AD83"/>
    <mergeCell ref="AC84:AD84"/>
    <mergeCell ref="AE84:AE85"/>
    <mergeCell ref="AF84:AF85"/>
    <mergeCell ref="AP6:AP7"/>
    <mergeCell ref="AQ6:AR6"/>
    <mergeCell ref="BJ4:BO4"/>
    <mergeCell ref="BJ5:BL5"/>
    <mergeCell ref="BM5:BO5"/>
    <mergeCell ref="BJ6:BJ7"/>
    <mergeCell ref="BK6:BL6"/>
    <mergeCell ref="BM6:BM7"/>
    <mergeCell ref="BN6:BO6"/>
    <mergeCell ref="AE5:AH5"/>
    <mergeCell ref="AE6:AE7"/>
    <mergeCell ref="AF6:AF7"/>
    <mergeCell ref="AS5:AU5"/>
    <mergeCell ref="BM83:BO83"/>
    <mergeCell ref="CN4:CP5"/>
    <mergeCell ref="CQ4:CS5"/>
    <mergeCell ref="CT4:CV5"/>
    <mergeCell ref="CN82:CP83"/>
    <mergeCell ref="CQ82:CS83"/>
    <mergeCell ref="CT82:CV83"/>
    <mergeCell ref="CN84:CN85"/>
    <mergeCell ref="CO84:CP84"/>
    <mergeCell ref="CQ84:CQ85"/>
    <mergeCell ref="CR84:CS84"/>
    <mergeCell ref="CT84:CT85"/>
    <mergeCell ref="CU84:CV84"/>
    <mergeCell ref="CN6:CN7"/>
    <mergeCell ref="CO6:CP6"/>
    <mergeCell ref="CQ6:CQ7"/>
    <mergeCell ref="CR6:CS6"/>
    <mergeCell ref="CT6:CT7"/>
    <mergeCell ref="CU6:CV6"/>
    <mergeCell ref="CW84:CW85"/>
    <mergeCell ref="CX84:CY84"/>
    <mergeCell ref="CZ84:CZ85"/>
    <mergeCell ref="DA84:DB84"/>
    <mergeCell ref="CW4:DB4"/>
    <mergeCell ref="CW5:CY5"/>
    <mergeCell ref="CZ5:DB5"/>
    <mergeCell ref="CW6:CW7"/>
    <mergeCell ref="CX6:CY6"/>
    <mergeCell ref="CZ6:CZ7"/>
    <mergeCell ref="DA6:DB6"/>
    <mergeCell ref="A2:DK2"/>
    <mergeCell ref="A80:DK80"/>
    <mergeCell ref="DC82:DE83"/>
    <mergeCell ref="DF82:DH83"/>
    <mergeCell ref="DI82:DK83"/>
    <mergeCell ref="DC84:DC85"/>
    <mergeCell ref="DD84:DE84"/>
    <mergeCell ref="DF84:DF85"/>
    <mergeCell ref="DG84:DH84"/>
    <mergeCell ref="DI84:DI85"/>
    <mergeCell ref="DJ84:DK84"/>
    <mergeCell ref="DC4:DE5"/>
    <mergeCell ref="DF4:DH5"/>
    <mergeCell ref="DI4:DK5"/>
    <mergeCell ref="DC6:DC7"/>
    <mergeCell ref="DD6:DE6"/>
    <mergeCell ref="DF6:DF7"/>
    <mergeCell ref="DG6:DH6"/>
    <mergeCell ref="DI6:DI7"/>
    <mergeCell ref="DJ6:DK6"/>
    <mergeCell ref="AE4:AU4"/>
    <mergeCell ref="CW82:DB82"/>
    <mergeCell ref="CW83:CY83"/>
    <mergeCell ref="CZ83:DB83"/>
  </mergeCells>
  <phoneticPr fontId="9" type="noConversion"/>
  <printOptions horizontalCentered="1" verticalCentered="1"/>
  <pageMargins left="0.19685039370078741" right="0.19685039370078741" top="0.59055118110236227" bottom="0.19685039370078741" header="0" footer="0"/>
  <pageSetup paperSize="9" scale="35" fitToHeight="2" orientation="landscape" r:id="rId1"/>
  <headerFooter alignWithMargins="0"/>
  <rowBreaks count="1" manualBreakCount="1">
    <brk id="41" max="10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00B050"/>
  </sheetPr>
  <dimension ref="A1:I122"/>
  <sheetViews>
    <sheetView workbookViewId="0">
      <selection activeCell="D122" sqref="D122"/>
    </sheetView>
  </sheetViews>
  <sheetFormatPr defaultRowHeight="12.75" x14ac:dyDescent="0.2"/>
  <cols>
    <col min="1" max="1" width="9.42578125" style="2275" customWidth="1"/>
    <col min="2" max="2" width="39.42578125" style="2275" customWidth="1"/>
    <col min="3" max="3" width="39" style="1821" customWidth="1"/>
    <col min="4" max="4" width="11.7109375" style="1821" customWidth="1"/>
    <col min="5" max="5" width="9.140625" style="1821"/>
    <col min="6" max="6" width="10" style="1821" bestFit="1" customWidth="1"/>
    <col min="7" max="7" width="11.5703125" style="1821" customWidth="1"/>
    <col min="8" max="8" width="16.5703125" style="2109" customWidth="1"/>
    <col min="9" max="9" width="26.42578125" style="2275" customWidth="1"/>
    <col min="10" max="256" width="9.140625" style="2275"/>
    <col min="257" max="257" width="9.42578125" style="2275" customWidth="1"/>
    <col min="258" max="258" width="39.42578125" style="2275" customWidth="1"/>
    <col min="259" max="259" width="60.5703125" style="2275" customWidth="1"/>
    <col min="260" max="260" width="11.7109375" style="2275" customWidth="1"/>
    <col min="261" max="261" width="9.140625" style="2275"/>
    <col min="262" max="262" width="9.5703125" style="2275" bestFit="1" customWidth="1"/>
    <col min="263" max="263" width="11.5703125" style="2275" customWidth="1"/>
    <col min="264" max="264" width="16.5703125" style="2275" customWidth="1"/>
    <col min="265" max="265" width="26.42578125" style="2275" customWidth="1"/>
    <col min="266" max="512" width="9.140625" style="2275"/>
    <col min="513" max="513" width="9.42578125" style="2275" customWidth="1"/>
    <col min="514" max="514" width="39.42578125" style="2275" customWidth="1"/>
    <col min="515" max="515" width="60.5703125" style="2275" customWidth="1"/>
    <col min="516" max="516" width="11.7109375" style="2275" customWidth="1"/>
    <col min="517" max="517" width="9.140625" style="2275"/>
    <col min="518" max="518" width="9.5703125" style="2275" bestFit="1" customWidth="1"/>
    <col min="519" max="519" width="11.5703125" style="2275" customWidth="1"/>
    <col min="520" max="520" width="16.5703125" style="2275" customWidth="1"/>
    <col min="521" max="521" width="26.42578125" style="2275" customWidth="1"/>
    <col min="522" max="768" width="9.140625" style="2275"/>
    <col min="769" max="769" width="9.42578125" style="2275" customWidth="1"/>
    <col min="770" max="770" width="39.42578125" style="2275" customWidth="1"/>
    <col min="771" max="771" width="60.5703125" style="2275" customWidth="1"/>
    <col min="772" max="772" width="11.7109375" style="2275" customWidth="1"/>
    <col min="773" max="773" width="9.140625" style="2275"/>
    <col min="774" max="774" width="9.5703125" style="2275" bestFit="1" customWidth="1"/>
    <col min="775" max="775" width="11.5703125" style="2275" customWidth="1"/>
    <col min="776" max="776" width="16.5703125" style="2275" customWidth="1"/>
    <col min="777" max="777" width="26.42578125" style="2275" customWidth="1"/>
    <col min="778" max="1024" width="9.140625" style="2275"/>
    <col min="1025" max="1025" width="9.42578125" style="2275" customWidth="1"/>
    <col min="1026" max="1026" width="39.42578125" style="2275" customWidth="1"/>
    <col min="1027" max="1027" width="60.5703125" style="2275" customWidth="1"/>
    <col min="1028" max="1028" width="11.7109375" style="2275" customWidth="1"/>
    <col min="1029" max="1029" width="9.140625" style="2275"/>
    <col min="1030" max="1030" width="9.5703125" style="2275" bestFit="1" customWidth="1"/>
    <col min="1031" max="1031" width="11.5703125" style="2275" customWidth="1"/>
    <col min="1032" max="1032" width="16.5703125" style="2275" customWidth="1"/>
    <col min="1033" max="1033" width="26.42578125" style="2275" customWidth="1"/>
    <col min="1034" max="1280" width="9.140625" style="2275"/>
    <col min="1281" max="1281" width="9.42578125" style="2275" customWidth="1"/>
    <col min="1282" max="1282" width="39.42578125" style="2275" customWidth="1"/>
    <col min="1283" max="1283" width="60.5703125" style="2275" customWidth="1"/>
    <col min="1284" max="1284" width="11.7109375" style="2275" customWidth="1"/>
    <col min="1285" max="1285" width="9.140625" style="2275"/>
    <col min="1286" max="1286" width="9.5703125" style="2275" bestFit="1" customWidth="1"/>
    <col min="1287" max="1287" width="11.5703125" style="2275" customWidth="1"/>
    <col min="1288" max="1288" width="16.5703125" style="2275" customWidth="1"/>
    <col min="1289" max="1289" width="26.42578125" style="2275" customWidth="1"/>
    <col min="1290" max="1536" width="9.140625" style="2275"/>
    <col min="1537" max="1537" width="9.42578125" style="2275" customWidth="1"/>
    <col min="1538" max="1538" width="39.42578125" style="2275" customWidth="1"/>
    <col min="1539" max="1539" width="60.5703125" style="2275" customWidth="1"/>
    <col min="1540" max="1540" width="11.7109375" style="2275" customWidth="1"/>
    <col min="1541" max="1541" width="9.140625" style="2275"/>
    <col min="1542" max="1542" width="9.5703125" style="2275" bestFit="1" customWidth="1"/>
    <col min="1543" max="1543" width="11.5703125" style="2275" customWidth="1"/>
    <col min="1544" max="1544" width="16.5703125" style="2275" customWidth="1"/>
    <col min="1545" max="1545" width="26.42578125" style="2275" customWidth="1"/>
    <col min="1546" max="1792" width="9.140625" style="2275"/>
    <col min="1793" max="1793" width="9.42578125" style="2275" customWidth="1"/>
    <col min="1794" max="1794" width="39.42578125" style="2275" customWidth="1"/>
    <col min="1795" max="1795" width="60.5703125" style="2275" customWidth="1"/>
    <col min="1796" max="1796" width="11.7109375" style="2275" customWidth="1"/>
    <col min="1797" max="1797" width="9.140625" style="2275"/>
    <col min="1798" max="1798" width="9.5703125" style="2275" bestFit="1" customWidth="1"/>
    <col min="1799" max="1799" width="11.5703125" style="2275" customWidth="1"/>
    <col min="1800" max="1800" width="16.5703125" style="2275" customWidth="1"/>
    <col min="1801" max="1801" width="26.42578125" style="2275" customWidth="1"/>
    <col min="1802" max="2048" width="9.140625" style="2275"/>
    <col min="2049" max="2049" width="9.42578125" style="2275" customWidth="1"/>
    <col min="2050" max="2050" width="39.42578125" style="2275" customWidth="1"/>
    <col min="2051" max="2051" width="60.5703125" style="2275" customWidth="1"/>
    <col min="2052" max="2052" width="11.7109375" style="2275" customWidth="1"/>
    <col min="2053" max="2053" width="9.140625" style="2275"/>
    <col min="2054" max="2054" width="9.5703125" style="2275" bestFit="1" customWidth="1"/>
    <col min="2055" max="2055" width="11.5703125" style="2275" customWidth="1"/>
    <col min="2056" max="2056" width="16.5703125" style="2275" customWidth="1"/>
    <col min="2057" max="2057" width="26.42578125" style="2275" customWidth="1"/>
    <col min="2058" max="2304" width="9.140625" style="2275"/>
    <col min="2305" max="2305" width="9.42578125" style="2275" customWidth="1"/>
    <col min="2306" max="2306" width="39.42578125" style="2275" customWidth="1"/>
    <col min="2307" max="2307" width="60.5703125" style="2275" customWidth="1"/>
    <col min="2308" max="2308" width="11.7109375" style="2275" customWidth="1"/>
    <col min="2309" max="2309" width="9.140625" style="2275"/>
    <col min="2310" max="2310" width="9.5703125" style="2275" bestFit="1" customWidth="1"/>
    <col min="2311" max="2311" width="11.5703125" style="2275" customWidth="1"/>
    <col min="2312" max="2312" width="16.5703125" style="2275" customWidth="1"/>
    <col min="2313" max="2313" width="26.42578125" style="2275" customWidth="1"/>
    <col min="2314" max="2560" width="9.140625" style="2275"/>
    <col min="2561" max="2561" width="9.42578125" style="2275" customWidth="1"/>
    <col min="2562" max="2562" width="39.42578125" style="2275" customWidth="1"/>
    <col min="2563" max="2563" width="60.5703125" style="2275" customWidth="1"/>
    <col min="2564" max="2564" width="11.7109375" style="2275" customWidth="1"/>
    <col min="2565" max="2565" width="9.140625" style="2275"/>
    <col min="2566" max="2566" width="9.5703125" style="2275" bestFit="1" customWidth="1"/>
    <col min="2567" max="2567" width="11.5703125" style="2275" customWidth="1"/>
    <col min="2568" max="2568" width="16.5703125" style="2275" customWidth="1"/>
    <col min="2569" max="2569" width="26.42578125" style="2275" customWidth="1"/>
    <col min="2570" max="2816" width="9.140625" style="2275"/>
    <col min="2817" max="2817" width="9.42578125" style="2275" customWidth="1"/>
    <col min="2818" max="2818" width="39.42578125" style="2275" customWidth="1"/>
    <col min="2819" max="2819" width="60.5703125" style="2275" customWidth="1"/>
    <col min="2820" max="2820" width="11.7109375" style="2275" customWidth="1"/>
    <col min="2821" max="2821" width="9.140625" style="2275"/>
    <col min="2822" max="2822" width="9.5703125" style="2275" bestFit="1" customWidth="1"/>
    <col min="2823" max="2823" width="11.5703125" style="2275" customWidth="1"/>
    <col min="2824" max="2824" width="16.5703125" style="2275" customWidth="1"/>
    <col min="2825" max="2825" width="26.42578125" style="2275" customWidth="1"/>
    <col min="2826" max="3072" width="9.140625" style="2275"/>
    <col min="3073" max="3073" width="9.42578125" style="2275" customWidth="1"/>
    <col min="3074" max="3074" width="39.42578125" style="2275" customWidth="1"/>
    <col min="3075" max="3075" width="60.5703125" style="2275" customWidth="1"/>
    <col min="3076" max="3076" width="11.7109375" style="2275" customWidth="1"/>
    <col min="3077" max="3077" width="9.140625" style="2275"/>
    <col min="3078" max="3078" width="9.5703125" style="2275" bestFit="1" customWidth="1"/>
    <col min="3079" max="3079" width="11.5703125" style="2275" customWidth="1"/>
    <col min="3080" max="3080" width="16.5703125" style="2275" customWidth="1"/>
    <col min="3081" max="3081" width="26.42578125" style="2275" customWidth="1"/>
    <col min="3082" max="3328" width="9.140625" style="2275"/>
    <col min="3329" max="3329" width="9.42578125" style="2275" customWidth="1"/>
    <col min="3330" max="3330" width="39.42578125" style="2275" customWidth="1"/>
    <col min="3331" max="3331" width="60.5703125" style="2275" customWidth="1"/>
    <col min="3332" max="3332" width="11.7109375" style="2275" customWidth="1"/>
    <col min="3333" max="3333" width="9.140625" style="2275"/>
    <col min="3334" max="3334" width="9.5703125" style="2275" bestFit="1" customWidth="1"/>
    <col min="3335" max="3335" width="11.5703125" style="2275" customWidth="1"/>
    <col min="3336" max="3336" width="16.5703125" style="2275" customWidth="1"/>
    <col min="3337" max="3337" width="26.42578125" style="2275" customWidth="1"/>
    <col min="3338" max="3584" width="9.140625" style="2275"/>
    <col min="3585" max="3585" width="9.42578125" style="2275" customWidth="1"/>
    <col min="3586" max="3586" width="39.42578125" style="2275" customWidth="1"/>
    <col min="3587" max="3587" width="60.5703125" style="2275" customWidth="1"/>
    <col min="3588" max="3588" width="11.7109375" style="2275" customWidth="1"/>
    <col min="3589" max="3589" width="9.140625" style="2275"/>
    <col min="3590" max="3590" width="9.5703125" style="2275" bestFit="1" customWidth="1"/>
    <col min="3591" max="3591" width="11.5703125" style="2275" customWidth="1"/>
    <col min="3592" max="3592" width="16.5703125" style="2275" customWidth="1"/>
    <col min="3593" max="3593" width="26.42578125" style="2275" customWidth="1"/>
    <col min="3594" max="3840" width="9.140625" style="2275"/>
    <col min="3841" max="3841" width="9.42578125" style="2275" customWidth="1"/>
    <col min="3842" max="3842" width="39.42578125" style="2275" customWidth="1"/>
    <col min="3843" max="3843" width="60.5703125" style="2275" customWidth="1"/>
    <col min="3844" max="3844" width="11.7109375" style="2275" customWidth="1"/>
    <col min="3845" max="3845" width="9.140625" style="2275"/>
    <col min="3846" max="3846" width="9.5703125" style="2275" bestFit="1" customWidth="1"/>
    <col min="3847" max="3847" width="11.5703125" style="2275" customWidth="1"/>
    <col min="3848" max="3848" width="16.5703125" style="2275" customWidth="1"/>
    <col min="3849" max="3849" width="26.42578125" style="2275" customWidth="1"/>
    <col min="3850" max="4096" width="9.140625" style="2275"/>
    <col min="4097" max="4097" width="9.42578125" style="2275" customWidth="1"/>
    <col min="4098" max="4098" width="39.42578125" style="2275" customWidth="1"/>
    <col min="4099" max="4099" width="60.5703125" style="2275" customWidth="1"/>
    <col min="4100" max="4100" width="11.7109375" style="2275" customWidth="1"/>
    <col min="4101" max="4101" width="9.140625" style="2275"/>
    <col min="4102" max="4102" width="9.5703125" style="2275" bestFit="1" customWidth="1"/>
    <col min="4103" max="4103" width="11.5703125" style="2275" customWidth="1"/>
    <col min="4104" max="4104" width="16.5703125" style="2275" customWidth="1"/>
    <col min="4105" max="4105" width="26.42578125" style="2275" customWidth="1"/>
    <col min="4106" max="4352" width="9.140625" style="2275"/>
    <col min="4353" max="4353" width="9.42578125" style="2275" customWidth="1"/>
    <col min="4354" max="4354" width="39.42578125" style="2275" customWidth="1"/>
    <col min="4355" max="4355" width="60.5703125" style="2275" customWidth="1"/>
    <col min="4356" max="4356" width="11.7109375" style="2275" customWidth="1"/>
    <col min="4357" max="4357" width="9.140625" style="2275"/>
    <col min="4358" max="4358" width="9.5703125" style="2275" bestFit="1" customWidth="1"/>
    <col min="4359" max="4359" width="11.5703125" style="2275" customWidth="1"/>
    <col min="4360" max="4360" width="16.5703125" style="2275" customWidth="1"/>
    <col min="4361" max="4361" width="26.42578125" style="2275" customWidth="1"/>
    <col min="4362" max="4608" width="9.140625" style="2275"/>
    <col min="4609" max="4609" width="9.42578125" style="2275" customWidth="1"/>
    <col min="4610" max="4610" width="39.42578125" style="2275" customWidth="1"/>
    <col min="4611" max="4611" width="60.5703125" style="2275" customWidth="1"/>
    <col min="4612" max="4612" width="11.7109375" style="2275" customWidth="1"/>
    <col min="4613" max="4613" width="9.140625" style="2275"/>
    <col min="4614" max="4614" width="9.5703125" style="2275" bestFit="1" customWidth="1"/>
    <col min="4615" max="4615" width="11.5703125" style="2275" customWidth="1"/>
    <col min="4616" max="4616" width="16.5703125" style="2275" customWidth="1"/>
    <col min="4617" max="4617" width="26.42578125" style="2275" customWidth="1"/>
    <col min="4618" max="4864" width="9.140625" style="2275"/>
    <col min="4865" max="4865" width="9.42578125" style="2275" customWidth="1"/>
    <col min="4866" max="4866" width="39.42578125" style="2275" customWidth="1"/>
    <col min="4867" max="4867" width="60.5703125" style="2275" customWidth="1"/>
    <col min="4868" max="4868" width="11.7109375" style="2275" customWidth="1"/>
    <col min="4869" max="4869" width="9.140625" style="2275"/>
    <col min="4870" max="4870" width="9.5703125" style="2275" bestFit="1" customWidth="1"/>
    <col min="4871" max="4871" width="11.5703125" style="2275" customWidth="1"/>
    <col min="4872" max="4872" width="16.5703125" style="2275" customWidth="1"/>
    <col min="4873" max="4873" width="26.42578125" style="2275" customWidth="1"/>
    <col min="4874" max="5120" width="9.140625" style="2275"/>
    <col min="5121" max="5121" width="9.42578125" style="2275" customWidth="1"/>
    <col min="5122" max="5122" width="39.42578125" style="2275" customWidth="1"/>
    <col min="5123" max="5123" width="60.5703125" style="2275" customWidth="1"/>
    <col min="5124" max="5124" width="11.7109375" style="2275" customWidth="1"/>
    <col min="5125" max="5125" width="9.140625" style="2275"/>
    <col min="5126" max="5126" width="9.5703125" style="2275" bestFit="1" customWidth="1"/>
    <col min="5127" max="5127" width="11.5703125" style="2275" customWidth="1"/>
    <col min="5128" max="5128" width="16.5703125" style="2275" customWidth="1"/>
    <col min="5129" max="5129" width="26.42578125" style="2275" customWidth="1"/>
    <col min="5130" max="5376" width="9.140625" style="2275"/>
    <col min="5377" max="5377" width="9.42578125" style="2275" customWidth="1"/>
    <col min="5378" max="5378" width="39.42578125" style="2275" customWidth="1"/>
    <col min="5379" max="5379" width="60.5703125" style="2275" customWidth="1"/>
    <col min="5380" max="5380" width="11.7109375" style="2275" customWidth="1"/>
    <col min="5381" max="5381" width="9.140625" style="2275"/>
    <col min="5382" max="5382" width="9.5703125" style="2275" bestFit="1" customWidth="1"/>
    <col min="5383" max="5383" width="11.5703125" style="2275" customWidth="1"/>
    <col min="5384" max="5384" width="16.5703125" style="2275" customWidth="1"/>
    <col min="5385" max="5385" width="26.42578125" style="2275" customWidth="1"/>
    <col min="5386" max="5632" width="9.140625" style="2275"/>
    <col min="5633" max="5633" width="9.42578125" style="2275" customWidth="1"/>
    <col min="5634" max="5634" width="39.42578125" style="2275" customWidth="1"/>
    <col min="5635" max="5635" width="60.5703125" style="2275" customWidth="1"/>
    <col min="5636" max="5636" width="11.7109375" style="2275" customWidth="1"/>
    <col min="5637" max="5637" width="9.140625" style="2275"/>
    <col min="5638" max="5638" width="9.5703125" style="2275" bestFit="1" customWidth="1"/>
    <col min="5639" max="5639" width="11.5703125" style="2275" customWidth="1"/>
    <col min="5640" max="5640" width="16.5703125" style="2275" customWidth="1"/>
    <col min="5641" max="5641" width="26.42578125" style="2275" customWidth="1"/>
    <col min="5642" max="5888" width="9.140625" style="2275"/>
    <col min="5889" max="5889" width="9.42578125" style="2275" customWidth="1"/>
    <col min="5890" max="5890" width="39.42578125" style="2275" customWidth="1"/>
    <col min="5891" max="5891" width="60.5703125" style="2275" customWidth="1"/>
    <col min="5892" max="5892" width="11.7109375" style="2275" customWidth="1"/>
    <col min="5893" max="5893" width="9.140625" style="2275"/>
    <col min="5894" max="5894" width="9.5703125" style="2275" bestFit="1" customWidth="1"/>
    <col min="5895" max="5895" width="11.5703125" style="2275" customWidth="1"/>
    <col min="5896" max="5896" width="16.5703125" style="2275" customWidth="1"/>
    <col min="5897" max="5897" width="26.42578125" style="2275" customWidth="1"/>
    <col min="5898" max="6144" width="9.140625" style="2275"/>
    <col min="6145" max="6145" width="9.42578125" style="2275" customWidth="1"/>
    <col min="6146" max="6146" width="39.42578125" style="2275" customWidth="1"/>
    <col min="6147" max="6147" width="60.5703125" style="2275" customWidth="1"/>
    <col min="6148" max="6148" width="11.7109375" style="2275" customWidth="1"/>
    <col min="6149" max="6149" width="9.140625" style="2275"/>
    <col min="6150" max="6150" width="9.5703125" style="2275" bestFit="1" customWidth="1"/>
    <col min="6151" max="6151" width="11.5703125" style="2275" customWidth="1"/>
    <col min="6152" max="6152" width="16.5703125" style="2275" customWidth="1"/>
    <col min="6153" max="6153" width="26.42578125" style="2275" customWidth="1"/>
    <col min="6154" max="6400" width="9.140625" style="2275"/>
    <col min="6401" max="6401" width="9.42578125" style="2275" customWidth="1"/>
    <col min="6402" max="6402" width="39.42578125" style="2275" customWidth="1"/>
    <col min="6403" max="6403" width="60.5703125" style="2275" customWidth="1"/>
    <col min="6404" max="6404" width="11.7109375" style="2275" customWidth="1"/>
    <col min="6405" max="6405" width="9.140625" style="2275"/>
    <col min="6406" max="6406" width="9.5703125" style="2275" bestFit="1" customWidth="1"/>
    <col min="6407" max="6407" width="11.5703125" style="2275" customWidth="1"/>
    <col min="6408" max="6408" width="16.5703125" style="2275" customWidth="1"/>
    <col min="6409" max="6409" width="26.42578125" style="2275" customWidth="1"/>
    <col min="6410" max="6656" width="9.140625" style="2275"/>
    <col min="6657" max="6657" width="9.42578125" style="2275" customWidth="1"/>
    <col min="6658" max="6658" width="39.42578125" style="2275" customWidth="1"/>
    <col min="6659" max="6659" width="60.5703125" style="2275" customWidth="1"/>
    <col min="6660" max="6660" width="11.7109375" style="2275" customWidth="1"/>
    <col min="6661" max="6661" width="9.140625" style="2275"/>
    <col min="6662" max="6662" width="9.5703125" style="2275" bestFit="1" customWidth="1"/>
    <col min="6663" max="6663" width="11.5703125" style="2275" customWidth="1"/>
    <col min="6664" max="6664" width="16.5703125" style="2275" customWidth="1"/>
    <col min="6665" max="6665" width="26.42578125" style="2275" customWidth="1"/>
    <col min="6666" max="6912" width="9.140625" style="2275"/>
    <col min="6913" max="6913" width="9.42578125" style="2275" customWidth="1"/>
    <col min="6914" max="6914" width="39.42578125" style="2275" customWidth="1"/>
    <col min="6915" max="6915" width="60.5703125" style="2275" customWidth="1"/>
    <col min="6916" max="6916" width="11.7109375" style="2275" customWidth="1"/>
    <col min="6917" max="6917" width="9.140625" style="2275"/>
    <col min="6918" max="6918" width="9.5703125" style="2275" bestFit="1" customWidth="1"/>
    <col min="6919" max="6919" width="11.5703125" style="2275" customWidth="1"/>
    <col min="6920" max="6920" width="16.5703125" style="2275" customWidth="1"/>
    <col min="6921" max="6921" width="26.42578125" style="2275" customWidth="1"/>
    <col min="6922" max="7168" width="9.140625" style="2275"/>
    <col min="7169" max="7169" width="9.42578125" style="2275" customWidth="1"/>
    <col min="7170" max="7170" width="39.42578125" style="2275" customWidth="1"/>
    <col min="7171" max="7171" width="60.5703125" style="2275" customWidth="1"/>
    <col min="7172" max="7172" width="11.7109375" style="2275" customWidth="1"/>
    <col min="7173" max="7173" width="9.140625" style="2275"/>
    <col min="7174" max="7174" width="9.5703125" style="2275" bestFit="1" customWidth="1"/>
    <col min="7175" max="7175" width="11.5703125" style="2275" customWidth="1"/>
    <col min="7176" max="7176" width="16.5703125" style="2275" customWidth="1"/>
    <col min="7177" max="7177" width="26.42578125" style="2275" customWidth="1"/>
    <col min="7178" max="7424" width="9.140625" style="2275"/>
    <col min="7425" max="7425" width="9.42578125" style="2275" customWidth="1"/>
    <col min="7426" max="7426" width="39.42578125" style="2275" customWidth="1"/>
    <col min="7427" max="7427" width="60.5703125" style="2275" customWidth="1"/>
    <col min="7428" max="7428" width="11.7109375" style="2275" customWidth="1"/>
    <col min="7429" max="7429" width="9.140625" style="2275"/>
    <col min="7430" max="7430" width="9.5703125" style="2275" bestFit="1" customWidth="1"/>
    <col min="7431" max="7431" width="11.5703125" style="2275" customWidth="1"/>
    <col min="7432" max="7432" width="16.5703125" style="2275" customWidth="1"/>
    <col min="7433" max="7433" width="26.42578125" style="2275" customWidth="1"/>
    <col min="7434" max="7680" width="9.140625" style="2275"/>
    <col min="7681" max="7681" width="9.42578125" style="2275" customWidth="1"/>
    <col min="7682" max="7682" width="39.42578125" style="2275" customWidth="1"/>
    <col min="7683" max="7683" width="60.5703125" style="2275" customWidth="1"/>
    <col min="7684" max="7684" width="11.7109375" style="2275" customWidth="1"/>
    <col min="7685" max="7685" width="9.140625" style="2275"/>
    <col min="7686" max="7686" width="9.5703125" style="2275" bestFit="1" customWidth="1"/>
    <col min="7687" max="7687" width="11.5703125" style="2275" customWidth="1"/>
    <col min="7688" max="7688" width="16.5703125" style="2275" customWidth="1"/>
    <col min="7689" max="7689" width="26.42578125" style="2275" customWidth="1"/>
    <col min="7690" max="7936" width="9.140625" style="2275"/>
    <col min="7937" max="7937" width="9.42578125" style="2275" customWidth="1"/>
    <col min="7938" max="7938" width="39.42578125" style="2275" customWidth="1"/>
    <col min="7939" max="7939" width="60.5703125" style="2275" customWidth="1"/>
    <col min="7940" max="7940" width="11.7109375" style="2275" customWidth="1"/>
    <col min="7941" max="7941" width="9.140625" style="2275"/>
    <col min="7942" max="7942" width="9.5703125" style="2275" bestFit="1" customWidth="1"/>
    <col min="7943" max="7943" width="11.5703125" style="2275" customWidth="1"/>
    <col min="7944" max="7944" width="16.5703125" style="2275" customWidth="1"/>
    <col min="7945" max="7945" width="26.42578125" style="2275" customWidth="1"/>
    <col min="7946" max="8192" width="9.140625" style="2275"/>
    <col min="8193" max="8193" width="9.42578125" style="2275" customWidth="1"/>
    <col min="8194" max="8194" width="39.42578125" style="2275" customWidth="1"/>
    <col min="8195" max="8195" width="60.5703125" style="2275" customWidth="1"/>
    <col min="8196" max="8196" width="11.7109375" style="2275" customWidth="1"/>
    <col min="8197" max="8197" width="9.140625" style="2275"/>
    <col min="8198" max="8198" width="9.5703125" style="2275" bestFit="1" customWidth="1"/>
    <col min="8199" max="8199" width="11.5703125" style="2275" customWidth="1"/>
    <col min="8200" max="8200" width="16.5703125" style="2275" customWidth="1"/>
    <col min="8201" max="8201" width="26.42578125" style="2275" customWidth="1"/>
    <col min="8202" max="8448" width="9.140625" style="2275"/>
    <col min="8449" max="8449" width="9.42578125" style="2275" customWidth="1"/>
    <col min="8450" max="8450" width="39.42578125" style="2275" customWidth="1"/>
    <col min="8451" max="8451" width="60.5703125" style="2275" customWidth="1"/>
    <col min="8452" max="8452" width="11.7109375" style="2275" customWidth="1"/>
    <col min="8453" max="8453" width="9.140625" style="2275"/>
    <col min="8454" max="8454" width="9.5703125" style="2275" bestFit="1" customWidth="1"/>
    <col min="8455" max="8455" width="11.5703125" style="2275" customWidth="1"/>
    <col min="8456" max="8456" width="16.5703125" style="2275" customWidth="1"/>
    <col min="8457" max="8457" width="26.42578125" style="2275" customWidth="1"/>
    <col min="8458" max="8704" width="9.140625" style="2275"/>
    <col min="8705" max="8705" width="9.42578125" style="2275" customWidth="1"/>
    <col min="8706" max="8706" width="39.42578125" style="2275" customWidth="1"/>
    <col min="8707" max="8707" width="60.5703125" style="2275" customWidth="1"/>
    <col min="8708" max="8708" width="11.7109375" style="2275" customWidth="1"/>
    <col min="8709" max="8709" width="9.140625" style="2275"/>
    <col min="8710" max="8710" width="9.5703125" style="2275" bestFit="1" customWidth="1"/>
    <col min="8711" max="8711" width="11.5703125" style="2275" customWidth="1"/>
    <col min="8712" max="8712" width="16.5703125" style="2275" customWidth="1"/>
    <col min="8713" max="8713" width="26.42578125" style="2275" customWidth="1"/>
    <col min="8714" max="8960" width="9.140625" style="2275"/>
    <col min="8961" max="8961" width="9.42578125" style="2275" customWidth="1"/>
    <col min="8962" max="8962" width="39.42578125" style="2275" customWidth="1"/>
    <col min="8963" max="8963" width="60.5703125" style="2275" customWidth="1"/>
    <col min="8964" max="8964" width="11.7109375" style="2275" customWidth="1"/>
    <col min="8965" max="8965" width="9.140625" style="2275"/>
    <col min="8966" max="8966" width="9.5703125" style="2275" bestFit="1" customWidth="1"/>
    <col min="8967" max="8967" width="11.5703125" style="2275" customWidth="1"/>
    <col min="8968" max="8968" width="16.5703125" style="2275" customWidth="1"/>
    <col min="8969" max="8969" width="26.42578125" style="2275" customWidth="1"/>
    <col min="8970" max="9216" width="9.140625" style="2275"/>
    <col min="9217" max="9217" width="9.42578125" style="2275" customWidth="1"/>
    <col min="9218" max="9218" width="39.42578125" style="2275" customWidth="1"/>
    <col min="9219" max="9219" width="60.5703125" style="2275" customWidth="1"/>
    <col min="9220" max="9220" width="11.7109375" style="2275" customWidth="1"/>
    <col min="9221" max="9221" width="9.140625" style="2275"/>
    <col min="9222" max="9222" width="9.5703125" style="2275" bestFit="1" customWidth="1"/>
    <col min="9223" max="9223" width="11.5703125" style="2275" customWidth="1"/>
    <col min="9224" max="9224" width="16.5703125" style="2275" customWidth="1"/>
    <col min="9225" max="9225" width="26.42578125" style="2275" customWidth="1"/>
    <col min="9226" max="9472" width="9.140625" style="2275"/>
    <col min="9473" max="9473" width="9.42578125" style="2275" customWidth="1"/>
    <col min="9474" max="9474" width="39.42578125" style="2275" customWidth="1"/>
    <col min="9475" max="9475" width="60.5703125" style="2275" customWidth="1"/>
    <col min="9476" max="9476" width="11.7109375" style="2275" customWidth="1"/>
    <col min="9477" max="9477" width="9.140625" style="2275"/>
    <col min="9478" max="9478" width="9.5703125" style="2275" bestFit="1" customWidth="1"/>
    <col min="9479" max="9479" width="11.5703125" style="2275" customWidth="1"/>
    <col min="9480" max="9480" width="16.5703125" style="2275" customWidth="1"/>
    <col min="9481" max="9481" width="26.42578125" style="2275" customWidth="1"/>
    <col min="9482" max="9728" width="9.140625" style="2275"/>
    <col min="9729" max="9729" width="9.42578125" style="2275" customWidth="1"/>
    <col min="9730" max="9730" width="39.42578125" style="2275" customWidth="1"/>
    <col min="9731" max="9731" width="60.5703125" style="2275" customWidth="1"/>
    <col min="9732" max="9732" width="11.7109375" style="2275" customWidth="1"/>
    <col min="9733" max="9733" width="9.140625" style="2275"/>
    <col min="9734" max="9734" width="9.5703125" style="2275" bestFit="1" customWidth="1"/>
    <col min="9735" max="9735" width="11.5703125" style="2275" customWidth="1"/>
    <col min="9736" max="9736" width="16.5703125" style="2275" customWidth="1"/>
    <col min="9737" max="9737" width="26.42578125" style="2275" customWidth="1"/>
    <col min="9738" max="9984" width="9.140625" style="2275"/>
    <col min="9985" max="9985" width="9.42578125" style="2275" customWidth="1"/>
    <col min="9986" max="9986" width="39.42578125" style="2275" customWidth="1"/>
    <col min="9987" max="9987" width="60.5703125" style="2275" customWidth="1"/>
    <col min="9988" max="9988" width="11.7109375" style="2275" customWidth="1"/>
    <col min="9989" max="9989" width="9.140625" style="2275"/>
    <col min="9990" max="9990" width="9.5703125" style="2275" bestFit="1" customWidth="1"/>
    <col min="9991" max="9991" width="11.5703125" style="2275" customWidth="1"/>
    <col min="9992" max="9992" width="16.5703125" style="2275" customWidth="1"/>
    <col min="9993" max="9993" width="26.42578125" style="2275" customWidth="1"/>
    <col min="9994" max="10240" width="9.140625" style="2275"/>
    <col min="10241" max="10241" width="9.42578125" style="2275" customWidth="1"/>
    <col min="10242" max="10242" width="39.42578125" style="2275" customWidth="1"/>
    <col min="10243" max="10243" width="60.5703125" style="2275" customWidth="1"/>
    <col min="10244" max="10244" width="11.7109375" style="2275" customWidth="1"/>
    <col min="10245" max="10245" width="9.140625" style="2275"/>
    <col min="10246" max="10246" width="9.5703125" style="2275" bestFit="1" customWidth="1"/>
    <col min="10247" max="10247" width="11.5703125" style="2275" customWidth="1"/>
    <col min="10248" max="10248" width="16.5703125" style="2275" customWidth="1"/>
    <col min="10249" max="10249" width="26.42578125" style="2275" customWidth="1"/>
    <col min="10250" max="10496" width="9.140625" style="2275"/>
    <col min="10497" max="10497" width="9.42578125" style="2275" customWidth="1"/>
    <col min="10498" max="10498" width="39.42578125" style="2275" customWidth="1"/>
    <col min="10499" max="10499" width="60.5703125" style="2275" customWidth="1"/>
    <col min="10500" max="10500" width="11.7109375" style="2275" customWidth="1"/>
    <col min="10501" max="10501" width="9.140625" style="2275"/>
    <col min="10502" max="10502" width="9.5703125" style="2275" bestFit="1" customWidth="1"/>
    <col min="10503" max="10503" width="11.5703125" style="2275" customWidth="1"/>
    <col min="10504" max="10504" width="16.5703125" style="2275" customWidth="1"/>
    <col min="10505" max="10505" width="26.42578125" style="2275" customWidth="1"/>
    <col min="10506" max="10752" width="9.140625" style="2275"/>
    <col min="10753" max="10753" width="9.42578125" style="2275" customWidth="1"/>
    <col min="10754" max="10754" width="39.42578125" style="2275" customWidth="1"/>
    <col min="10755" max="10755" width="60.5703125" style="2275" customWidth="1"/>
    <col min="10756" max="10756" width="11.7109375" style="2275" customWidth="1"/>
    <col min="10757" max="10757" width="9.140625" style="2275"/>
    <col min="10758" max="10758" width="9.5703125" style="2275" bestFit="1" customWidth="1"/>
    <col min="10759" max="10759" width="11.5703125" style="2275" customWidth="1"/>
    <col min="10760" max="10760" width="16.5703125" style="2275" customWidth="1"/>
    <col min="10761" max="10761" width="26.42578125" style="2275" customWidth="1"/>
    <col min="10762" max="11008" width="9.140625" style="2275"/>
    <col min="11009" max="11009" width="9.42578125" style="2275" customWidth="1"/>
    <col min="11010" max="11010" width="39.42578125" style="2275" customWidth="1"/>
    <col min="11011" max="11011" width="60.5703125" style="2275" customWidth="1"/>
    <col min="11012" max="11012" width="11.7109375" style="2275" customWidth="1"/>
    <col min="11013" max="11013" width="9.140625" style="2275"/>
    <col min="11014" max="11014" width="9.5703125" style="2275" bestFit="1" customWidth="1"/>
    <col min="11015" max="11015" width="11.5703125" style="2275" customWidth="1"/>
    <col min="11016" max="11016" width="16.5703125" style="2275" customWidth="1"/>
    <col min="11017" max="11017" width="26.42578125" style="2275" customWidth="1"/>
    <col min="11018" max="11264" width="9.140625" style="2275"/>
    <col min="11265" max="11265" width="9.42578125" style="2275" customWidth="1"/>
    <col min="11266" max="11266" width="39.42578125" style="2275" customWidth="1"/>
    <col min="11267" max="11267" width="60.5703125" style="2275" customWidth="1"/>
    <col min="11268" max="11268" width="11.7109375" style="2275" customWidth="1"/>
    <col min="11269" max="11269" width="9.140625" style="2275"/>
    <col min="11270" max="11270" width="9.5703125" style="2275" bestFit="1" customWidth="1"/>
    <col min="11271" max="11271" width="11.5703125" style="2275" customWidth="1"/>
    <col min="11272" max="11272" width="16.5703125" style="2275" customWidth="1"/>
    <col min="11273" max="11273" width="26.42578125" style="2275" customWidth="1"/>
    <col min="11274" max="11520" width="9.140625" style="2275"/>
    <col min="11521" max="11521" width="9.42578125" style="2275" customWidth="1"/>
    <col min="11522" max="11522" width="39.42578125" style="2275" customWidth="1"/>
    <col min="11523" max="11523" width="60.5703125" style="2275" customWidth="1"/>
    <col min="11524" max="11524" width="11.7109375" style="2275" customWidth="1"/>
    <col min="11525" max="11525" width="9.140625" style="2275"/>
    <col min="11526" max="11526" width="9.5703125" style="2275" bestFit="1" customWidth="1"/>
    <col min="11527" max="11527" width="11.5703125" style="2275" customWidth="1"/>
    <col min="11528" max="11528" width="16.5703125" style="2275" customWidth="1"/>
    <col min="11529" max="11529" width="26.42578125" style="2275" customWidth="1"/>
    <col min="11530" max="11776" width="9.140625" style="2275"/>
    <col min="11777" max="11777" width="9.42578125" style="2275" customWidth="1"/>
    <col min="11778" max="11778" width="39.42578125" style="2275" customWidth="1"/>
    <col min="11779" max="11779" width="60.5703125" style="2275" customWidth="1"/>
    <col min="11780" max="11780" width="11.7109375" style="2275" customWidth="1"/>
    <col min="11781" max="11781" width="9.140625" style="2275"/>
    <col min="11782" max="11782" width="9.5703125" style="2275" bestFit="1" customWidth="1"/>
    <col min="11783" max="11783" width="11.5703125" style="2275" customWidth="1"/>
    <col min="11784" max="11784" width="16.5703125" style="2275" customWidth="1"/>
    <col min="11785" max="11785" width="26.42578125" style="2275" customWidth="1"/>
    <col min="11786" max="12032" width="9.140625" style="2275"/>
    <col min="12033" max="12033" width="9.42578125" style="2275" customWidth="1"/>
    <col min="12034" max="12034" width="39.42578125" style="2275" customWidth="1"/>
    <col min="12035" max="12035" width="60.5703125" style="2275" customWidth="1"/>
    <col min="12036" max="12036" width="11.7109375" style="2275" customWidth="1"/>
    <col min="12037" max="12037" width="9.140625" style="2275"/>
    <col min="12038" max="12038" width="9.5703125" style="2275" bestFit="1" customWidth="1"/>
    <col min="12039" max="12039" width="11.5703125" style="2275" customWidth="1"/>
    <col min="12040" max="12040" width="16.5703125" style="2275" customWidth="1"/>
    <col min="12041" max="12041" width="26.42578125" style="2275" customWidth="1"/>
    <col min="12042" max="12288" width="9.140625" style="2275"/>
    <col min="12289" max="12289" width="9.42578125" style="2275" customWidth="1"/>
    <col min="12290" max="12290" width="39.42578125" style="2275" customWidth="1"/>
    <col min="12291" max="12291" width="60.5703125" style="2275" customWidth="1"/>
    <col min="12292" max="12292" width="11.7109375" style="2275" customWidth="1"/>
    <col min="12293" max="12293" width="9.140625" style="2275"/>
    <col min="12294" max="12294" width="9.5703125" style="2275" bestFit="1" customWidth="1"/>
    <col min="12295" max="12295" width="11.5703125" style="2275" customWidth="1"/>
    <col min="12296" max="12296" width="16.5703125" style="2275" customWidth="1"/>
    <col min="12297" max="12297" width="26.42578125" style="2275" customWidth="1"/>
    <col min="12298" max="12544" width="9.140625" style="2275"/>
    <col min="12545" max="12545" width="9.42578125" style="2275" customWidth="1"/>
    <col min="12546" max="12546" width="39.42578125" style="2275" customWidth="1"/>
    <col min="12547" max="12547" width="60.5703125" style="2275" customWidth="1"/>
    <col min="12548" max="12548" width="11.7109375" style="2275" customWidth="1"/>
    <col min="12549" max="12549" width="9.140625" style="2275"/>
    <col min="12550" max="12550" width="9.5703125" style="2275" bestFit="1" customWidth="1"/>
    <col min="12551" max="12551" width="11.5703125" style="2275" customWidth="1"/>
    <col min="12552" max="12552" width="16.5703125" style="2275" customWidth="1"/>
    <col min="12553" max="12553" width="26.42578125" style="2275" customWidth="1"/>
    <col min="12554" max="12800" width="9.140625" style="2275"/>
    <col min="12801" max="12801" width="9.42578125" style="2275" customWidth="1"/>
    <col min="12802" max="12802" width="39.42578125" style="2275" customWidth="1"/>
    <col min="12803" max="12803" width="60.5703125" style="2275" customWidth="1"/>
    <col min="12804" max="12804" width="11.7109375" style="2275" customWidth="1"/>
    <col min="12805" max="12805" width="9.140625" style="2275"/>
    <col min="12806" max="12806" width="9.5703125" style="2275" bestFit="1" customWidth="1"/>
    <col min="12807" max="12807" width="11.5703125" style="2275" customWidth="1"/>
    <col min="12808" max="12808" width="16.5703125" style="2275" customWidth="1"/>
    <col min="12809" max="12809" width="26.42578125" style="2275" customWidth="1"/>
    <col min="12810" max="13056" width="9.140625" style="2275"/>
    <col min="13057" max="13057" width="9.42578125" style="2275" customWidth="1"/>
    <col min="13058" max="13058" width="39.42578125" style="2275" customWidth="1"/>
    <col min="13059" max="13059" width="60.5703125" style="2275" customWidth="1"/>
    <col min="13060" max="13060" width="11.7109375" style="2275" customWidth="1"/>
    <col min="13061" max="13061" width="9.140625" style="2275"/>
    <col min="13062" max="13062" width="9.5703125" style="2275" bestFit="1" customWidth="1"/>
    <col min="13063" max="13063" width="11.5703125" style="2275" customWidth="1"/>
    <col min="13064" max="13064" width="16.5703125" style="2275" customWidth="1"/>
    <col min="13065" max="13065" width="26.42578125" style="2275" customWidth="1"/>
    <col min="13066" max="13312" width="9.140625" style="2275"/>
    <col min="13313" max="13313" width="9.42578125" style="2275" customWidth="1"/>
    <col min="13314" max="13314" width="39.42578125" style="2275" customWidth="1"/>
    <col min="13315" max="13315" width="60.5703125" style="2275" customWidth="1"/>
    <col min="13316" max="13316" width="11.7109375" style="2275" customWidth="1"/>
    <col min="13317" max="13317" width="9.140625" style="2275"/>
    <col min="13318" max="13318" width="9.5703125" style="2275" bestFit="1" customWidth="1"/>
    <col min="13319" max="13319" width="11.5703125" style="2275" customWidth="1"/>
    <col min="13320" max="13320" width="16.5703125" style="2275" customWidth="1"/>
    <col min="13321" max="13321" width="26.42578125" style="2275" customWidth="1"/>
    <col min="13322" max="13568" width="9.140625" style="2275"/>
    <col min="13569" max="13569" width="9.42578125" style="2275" customWidth="1"/>
    <col min="13570" max="13570" width="39.42578125" style="2275" customWidth="1"/>
    <col min="13571" max="13571" width="60.5703125" style="2275" customWidth="1"/>
    <col min="13572" max="13572" width="11.7109375" style="2275" customWidth="1"/>
    <col min="13573" max="13573" width="9.140625" style="2275"/>
    <col min="13574" max="13574" width="9.5703125" style="2275" bestFit="1" customWidth="1"/>
    <col min="13575" max="13575" width="11.5703125" style="2275" customWidth="1"/>
    <col min="13576" max="13576" width="16.5703125" style="2275" customWidth="1"/>
    <col min="13577" max="13577" width="26.42578125" style="2275" customWidth="1"/>
    <col min="13578" max="13824" width="9.140625" style="2275"/>
    <col min="13825" max="13825" width="9.42578125" style="2275" customWidth="1"/>
    <col min="13826" max="13826" width="39.42578125" style="2275" customWidth="1"/>
    <col min="13827" max="13827" width="60.5703125" style="2275" customWidth="1"/>
    <col min="13828" max="13828" width="11.7109375" style="2275" customWidth="1"/>
    <col min="13829" max="13829" width="9.140625" style="2275"/>
    <col min="13830" max="13830" width="9.5703125" style="2275" bestFit="1" customWidth="1"/>
    <col min="13831" max="13831" width="11.5703125" style="2275" customWidth="1"/>
    <col min="13832" max="13832" width="16.5703125" style="2275" customWidth="1"/>
    <col min="13833" max="13833" width="26.42578125" style="2275" customWidth="1"/>
    <col min="13834" max="14080" width="9.140625" style="2275"/>
    <col min="14081" max="14081" width="9.42578125" style="2275" customWidth="1"/>
    <col min="14082" max="14082" width="39.42578125" style="2275" customWidth="1"/>
    <col min="14083" max="14083" width="60.5703125" style="2275" customWidth="1"/>
    <col min="14084" max="14084" width="11.7109375" style="2275" customWidth="1"/>
    <col min="14085" max="14085" width="9.140625" style="2275"/>
    <col min="14086" max="14086" width="9.5703125" style="2275" bestFit="1" customWidth="1"/>
    <col min="14087" max="14087" width="11.5703125" style="2275" customWidth="1"/>
    <col min="14088" max="14088" width="16.5703125" style="2275" customWidth="1"/>
    <col min="14089" max="14089" width="26.42578125" style="2275" customWidth="1"/>
    <col min="14090" max="14336" width="9.140625" style="2275"/>
    <col min="14337" max="14337" width="9.42578125" style="2275" customWidth="1"/>
    <col min="14338" max="14338" width="39.42578125" style="2275" customWidth="1"/>
    <col min="14339" max="14339" width="60.5703125" style="2275" customWidth="1"/>
    <col min="14340" max="14340" width="11.7109375" style="2275" customWidth="1"/>
    <col min="14341" max="14341" width="9.140625" style="2275"/>
    <col min="14342" max="14342" width="9.5703125" style="2275" bestFit="1" customWidth="1"/>
    <col min="14343" max="14343" width="11.5703125" style="2275" customWidth="1"/>
    <col min="14344" max="14344" width="16.5703125" style="2275" customWidth="1"/>
    <col min="14345" max="14345" width="26.42578125" style="2275" customWidth="1"/>
    <col min="14346" max="14592" width="9.140625" style="2275"/>
    <col min="14593" max="14593" width="9.42578125" style="2275" customWidth="1"/>
    <col min="14594" max="14594" width="39.42578125" style="2275" customWidth="1"/>
    <col min="14595" max="14595" width="60.5703125" style="2275" customWidth="1"/>
    <col min="14596" max="14596" width="11.7109375" style="2275" customWidth="1"/>
    <col min="14597" max="14597" width="9.140625" style="2275"/>
    <col min="14598" max="14598" width="9.5703125" style="2275" bestFit="1" customWidth="1"/>
    <col min="14599" max="14599" width="11.5703125" style="2275" customWidth="1"/>
    <col min="14600" max="14600" width="16.5703125" style="2275" customWidth="1"/>
    <col min="14601" max="14601" width="26.42578125" style="2275" customWidth="1"/>
    <col min="14602" max="14848" width="9.140625" style="2275"/>
    <col min="14849" max="14849" width="9.42578125" style="2275" customWidth="1"/>
    <col min="14850" max="14850" width="39.42578125" style="2275" customWidth="1"/>
    <col min="14851" max="14851" width="60.5703125" style="2275" customWidth="1"/>
    <col min="14852" max="14852" width="11.7109375" style="2275" customWidth="1"/>
    <col min="14853" max="14853" width="9.140625" style="2275"/>
    <col min="14854" max="14854" width="9.5703125" style="2275" bestFit="1" customWidth="1"/>
    <col min="14855" max="14855" width="11.5703125" style="2275" customWidth="1"/>
    <col min="14856" max="14856" width="16.5703125" style="2275" customWidth="1"/>
    <col min="14857" max="14857" width="26.42578125" style="2275" customWidth="1"/>
    <col min="14858" max="15104" width="9.140625" style="2275"/>
    <col min="15105" max="15105" width="9.42578125" style="2275" customWidth="1"/>
    <col min="15106" max="15106" width="39.42578125" style="2275" customWidth="1"/>
    <col min="15107" max="15107" width="60.5703125" style="2275" customWidth="1"/>
    <col min="15108" max="15108" width="11.7109375" style="2275" customWidth="1"/>
    <col min="15109" max="15109" width="9.140625" style="2275"/>
    <col min="15110" max="15110" width="9.5703125" style="2275" bestFit="1" customWidth="1"/>
    <col min="15111" max="15111" width="11.5703125" style="2275" customWidth="1"/>
    <col min="15112" max="15112" width="16.5703125" style="2275" customWidth="1"/>
    <col min="15113" max="15113" width="26.42578125" style="2275" customWidth="1"/>
    <col min="15114" max="15360" width="9.140625" style="2275"/>
    <col min="15361" max="15361" width="9.42578125" style="2275" customWidth="1"/>
    <col min="15362" max="15362" width="39.42578125" style="2275" customWidth="1"/>
    <col min="15363" max="15363" width="60.5703125" style="2275" customWidth="1"/>
    <col min="15364" max="15364" width="11.7109375" style="2275" customWidth="1"/>
    <col min="15365" max="15365" width="9.140625" style="2275"/>
    <col min="15366" max="15366" width="9.5703125" style="2275" bestFit="1" customWidth="1"/>
    <col min="15367" max="15367" width="11.5703125" style="2275" customWidth="1"/>
    <col min="15368" max="15368" width="16.5703125" style="2275" customWidth="1"/>
    <col min="15369" max="15369" width="26.42578125" style="2275" customWidth="1"/>
    <col min="15370" max="15616" width="9.140625" style="2275"/>
    <col min="15617" max="15617" width="9.42578125" style="2275" customWidth="1"/>
    <col min="15618" max="15618" width="39.42578125" style="2275" customWidth="1"/>
    <col min="15619" max="15619" width="60.5703125" style="2275" customWidth="1"/>
    <col min="15620" max="15620" width="11.7109375" style="2275" customWidth="1"/>
    <col min="15621" max="15621" width="9.140625" style="2275"/>
    <col min="15622" max="15622" width="9.5703125" style="2275" bestFit="1" customWidth="1"/>
    <col min="15623" max="15623" width="11.5703125" style="2275" customWidth="1"/>
    <col min="15624" max="15624" width="16.5703125" style="2275" customWidth="1"/>
    <col min="15625" max="15625" width="26.42578125" style="2275" customWidth="1"/>
    <col min="15626" max="15872" width="9.140625" style="2275"/>
    <col min="15873" max="15873" width="9.42578125" style="2275" customWidth="1"/>
    <col min="15874" max="15874" width="39.42578125" style="2275" customWidth="1"/>
    <col min="15875" max="15875" width="60.5703125" style="2275" customWidth="1"/>
    <col min="15876" max="15876" width="11.7109375" style="2275" customWidth="1"/>
    <col min="15877" max="15877" width="9.140625" style="2275"/>
    <col min="15878" max="15878" width="9.5703125" style="2275" bestFit="1" customWidth="1"/>
    <col min="15879" max="15879" width="11.5703125" style="2275" customWidth="1"/>
    <col min="15880" max="15880" width="16.5703125" style="2275" customWidth="1"/>
    <col min="15881" max="15881" width="26.42578125" style="2275" customWidth="1"/>
    <col min="15882" max="16128" width="9.140625" style="2275"/>
    <col min="16129" max="16129" width="9.42578125" style="2275" customWidth="1"/>
    <col min="16130" max="16130" width="39.42578125" style="2275" customWidth="1"/>
    <col min="16131" max="16131" width="60.5703125" style="2275" customWidth="1"/>
    <col min="16132" max="16132" width="11.7109375" style="2275" customWidth="1"/>
    <col min="16133" max="16133" width="9.140625" style="2275"/>
    <col min="16134" max="16134" width="9.5703125" style="2275" bestFit="1" customWidth="1"/>
    <col min="16135" max="16135" width="11.5703125" style="2275" customWidth="1"/>
    <col min="16136" max="16136" width="16.5703125" style="2275" customWidth="1"/>
    <col min="16137" max="16137" width="26.42578125" style="2275" customWidth="1"/>
    <col min="16138" max="16384" width="9.140625" style="2275"/>
  </cols>
  <sheetData>
    <row r="1" spans="1:8" ht="30" customHeight="1" x14ac:dyDescent="0.2">
      <c r="A1" s="2282"/>
      <c r="B1" s="2282"/>
      <c r="C1" s="2283"/>
      <c r="D1" s="4420" t="s">
        <v>2115</v>
      </c>
      <c r="E1" s="4420"/>
      <c r="F1" s="4420"/>
      <c r="G1" s="4420"/>
      <c r="H1" s="4420"/>
    </row>
    <row r="2" spans="1:8" ht="21.75" customHeight="1" x14ac:dyDescent="0.2">
      <c r="A2" s="4420" t="s">
        <v>2164</v>
      </c>
      <c r="B2" s="4420"/>
      <c r="C2" s="4420"/>
      <c r="D2" s="4420"/>
      <c r="E2" s="4420"/>
      <c r="F2" s="4420"/>
      <c r="G2" s="4420"/>
      <c r="H2" s="4420"/>
    </row>
    <row r="3" spans="1:8" ht="17.25" customHeight="1" x14ac:dyDescent="0.2">
      <c r="A3" s="4420"/>
      <c r="B3" s="4420"/>
      <c r="C3" s="4420"/>
      <c r="D3" s="4420"/>
      <c r="E3" s="4420"/>
      <c r="F3" s="4420"/>
      <c r="G3" s="4420"/>
      <c r="H3" s="4420"/>
    </row>
    <row r="4" spans="1:8" x14ac:dyDescent="0.2">
      <c r="A4" s="2275" t="s">
        <v>2116</v>
      </c>
      <c r="B4" s="2275" t="s">
        <v>1721</v>
      </c>
      <c r="C4" s="1821" t="s">
        <v>2117</v>
      </c>
      <c r="D4" s="4420" t="s">
        <v>2118</v>
      </c>
      <c r="E4" s="4420"/>
      <c r="F4" s="4420"/>
      <c r="G4" s="4420"/>
      <c r="H4" s="4420"/>
    </row>
    <row r="5" spans="1:8" ht="22.5" customHeight="1" x14ac:dyDescent="0.2">
      <c r="B5" s="4420" t="s">
        <v>2119</v>
      </c>
      <c r="C5" s="4420"/>
      <c r="D5" s="4420"/>
      <c r="E5" s="4420"/>
      <c r="F5" s="4420"/>
      <c r="G5" s="4420"/>
      <c r="H5" s="2109">
        <f>H6+H115+H117+H122</f>
        <v>1573447.4338753289</v>
      </c>
    </row>
    <row r="6" spans="1:8" ht="21.75" customHeight="1" x14ac:dyDescent="0.2">
      <c r="A6" s="2275" t="s">
        <v>2120</v>
      </c>
      <c r="B6" s="4420" t="s">
        <v>2121</v>
      </c>
      <c r="C6" s="4420"/>
      <c r="D6" s="4420"/>
      <c r="E6" s="4420"/>
      <c r="F6" s="4420"/>
      <c r="G6" s="4420"/>
      <c r="H6" s="2109">
        <f>H7+H82+H84+H86</f>
        <v>117995.40387532883</v>
      </c>
    </row>
    <row r="7" spans="1:8" ht="168" customHeight="1" x14ac:dyDescent="0.2">
      <c r="A7" s="2275" t="s">
        <v>903</v>
      </c>
      <c r="B7" s="2275" t="s">
        <v>2122</v>
      </c>
      <c r="C7" s="1821" t="s">
        <v>2123</v>
      </c>
      <c r="H7" s="2140">
        <v>27239.97</v>
      </c>
    </row>
    <row r="8" spans="1:8" ht="15.75" customHeight="1" x14ac:dyDescent="0.2">
      <c r="A8" s="4421" t="s">
        <v>905</v>
      </c>
      <c r="B8" s="4420" t="s">
        <v>2124</v>
      </c>
      <c r="C8" s="4422" t="s">
        <v>2125</v>
      </c>
      <c r="D8" s="1821" t="s">
        <v>2126</v>
      </c>
      <c r="F8" s="1821" t="s">
        <v>2127</v>
      </c>
      <c r="G8" s="1821" t="s">
        <v>2128</v>
      </c>
    </row>
    <row r="9" spans="1:8" ht="12" customHeight="1" x14ac:dyDescent="0.2">
      <c r="A9" s="4421"/>
      <c r="B9" s="4420"/>
      <c r="C9" s="4422"/>
      <c r="D9" s="1821">
        <v>1</v>
      </c>
      <c r="F9" s="1821">
        <v>8</v>
      </c>
      <c r="G9" s="1821">
        <v>28</v>
      </c>
      <c r="H9" s="2109">
        <f>1.92*F9*SQRT(G9)</f>
        <v>81.277480275904225</v>
      </c>
    </row>
    <row r="10" spans="1:8" ht="12" customHeight="1" x14ac:dyDescent="0.2">
      <c r="A10" s="4421"/>
      <c r="B10" s="4420"/>
      <c r="C10" s="4422"/>
      <c r="D10" s="1821">
        <v>2</v>
      </c>
      <c r="F10" s="1821">
        <v>8</v>
      </c>
      <c r="G10" s="1821">
        <v>28</v>
      </c>
      <c r="H10" s="2109">
        <f>1.92*F10*SQRT(G10)</f>
        <v>81.277480275904225</v>
      </c>
    </row>
    <row r="11" spans="1:8" ht="20.100000000000001" customHeight="1" x14ac:dyDescent="0.2">
      <c r="A11" s="4421"/>
      <c r="B11" s="4420"/>
      <c r="C11" s="4422"/>
      <c r="D11" s="1821">
        <v>3</v>
      </c>
      <c r="F11" s="1821">
        <v>8</v>
      </c>
      <c r="G11" s="1821">
        <v>28</v>
      </c>
      <c r="H11" s="2109">
        <f t="shared" ref="H11:H39" si="0">1.92*F11*SQRT(G11)</f>
        <v>81.277480275904225</v>
      </c>
    </row>
    <row r="12" spans="1:8" ht="20.100000000000001" customHeight="1" x14ac:dyDescent="0.2">
      <c r="A12" s="4421"/>
      <c r="B12" s="4420"/>
      <c r="C12" s="4422"/>
      <c r="D12" s="1821">
        <v>4</v>
      </c>
      <c r="F12" s="1821">
        <v>2</v>
      </c>
      <c r="G12" s="1821">
        <v>30</v>
      </c>
      <c r="H12" s="2109">
        <f t="shared" si="0"/>
        <v>21.032546208198379</v>
      </c>
    </row>
    <row r="13" spans="1:8" ht="20.100000000000001" customHeight="1" x14ac:dyDescent="0.2">
      <c r="A13" s="4421"/>
      <c r="B13" s="4420"/>
      <c r="C13" s="4422"/>
      <c r="D13" s="1821">
        <v>5</v>
      </c>
      <c r="F13" s="1821">
        <v>3</v>
      </c>
      <c r="G13" s="1821">
        <v>30</v>
      </c>
      <c r="H13" s="2109">
        <f t="shared" si="0"/>
        <v>31.548819312297567</v>
      </c>
    </row>
    <row r="14" spans="1:8" ht="20.100000000000001" customHeight="1" x14ac:dyDescent="0.2">
      <c r="A14" s="4421"/>
      <c r="B14" s="4420"/>
      <c r="C14" s="4422"/>
      <c r="D14" s="1821">
        <v>6</v>
      </c>
      <c r="F14" s="1821">
        <v>3</v>
      </c>
      <c r="G14" s="1821">
        <v>30</v>
      </c>
      <c r="H14" s="2109">
        <f t="shared" si="0"/>
        <v>31.548819312297567</v>
      </c>
    </row>
    <row r="15" spans="1:8" ht="20.100000000000001" customHeight="1" x14ac:dyDescent="0.2">
      <c r="A15" s="4421"/>
      <c r="B15" s="4420"/>
      <c r="C15" s="4422"/>
      <c r="D15" s="1821">
        <v>7</v>
      </c>
      <c r="F15" s="1821">
        <v>3</v>
      </c>
      <c r="G15" s="1821">
        <v>40</v>
      </c>
      <c r="H15" s="2109">
        <f t="shared" si="0"/>
        <v>36.429438645139733</v>
      </c>
    </row>
    <row r="16" spans="1:8" ht="20.100000000000001" customHeight="1" x14ac:dyDescent="0.2">
      <c r="A16" s="4421"/>
      <c r="B16" s="4420"/>
      <c r="C16" s="4422"/>
      <c r="D16" s="1821">
        <v>8</v>
      </c>
      <c r="F16" s="1821">
        <v>3</v>
      </c>
      <c r="G16" s="1821">
        <v>40</v>
      </c>
      <c r="H16" s="2109">
        <f t="shared" si="0"/>
        <v>36.429438645139733</v>
      </c>
    </row>
    <row r="17" spans="1:8" ht="20.100000000000001" customHeight="1" x14ac:dyDescent="0.2">
      <c r="A17" s="4421"/>
      <c r="B17" s="4420"/>
      <c r="C17" s="4422"/>
      <c r="D17" s="1821">
        <v>9</v>
      </c>
      <c r="F17" s="1821">
        <v>4</v>
      </c>
      <c r="G17" s="1821">
        <v>28</v>
      </c>
      <c r="H17" s="2109">
        <f t="shared" si="0"/>
        <v>40.638740137952112</v>
      </c>
    </row>
    <row r="18" spans="1:8" ht="20.100000000000001" customHeight="1" x14ac:dyDescent="0.2">
      <c r="A18" s="4421"/>
      <c r="B18" s="4420"/>
      <c r="C18" s="4422"/>
      <c r="D18" s="1821">
        <v>10</v>
      </c>
      <c r="F18" s="1821">
        <v>4</v>
      </c>
      <c r="G18" s="1821">
        <v>28</v>
      </c>
      <c r="H18" s="2109">
        <f t="shared" si="0"/>
        <v>40.638740137952112</v>
      </c>
    </row>
    <row r="19" spans="1:8" ht="20.100000000000001" customHeight="1" x14ac:dyDescent="0.2">
      <c r="A19" s="4421"/>
      <c r="B19" s="4420"/>
      <c r="C19" s="4422"/>
      <c r="D19" s="1821">
        <v>11</v>
      </c>
      <c r="F19" s="1821">
        <v>4</v>
      </c>
      <c r="G19" s="1821">
        <v>28</v>
      </c>
      <c r="H19" s="2109">
        <f t="shared" si="0"/>
        <v>40.638740137952112</v>
      </c>
    </row>
    <row r="20" spans="1:8" ht="20.100000000000001" customHeight="1" x14ac:dyDescent="0.2">
      <c r="A20" s="4421"/>
      <c r="B20" s="4420"/>
      <c r="C20" s="4422"/>
      <c r="D20" s="1821">
        <v>12</v>
      </c>
      <c r="F20" s="1821">
        <v>8</v>
      </c>
      <c r="G20" s="1821">
        <v>28</v>
      </c>
      <c r="H20" s="2109">
        <f t="shared" si="0"/>
        <v>81.277480275904225</v>
      </c>
    </row>
    <row r="21" spans="1:8" ht="20.100000000000001" customHeight="1" x14ac:dyDescent="0.2">
      <c r="A21" s="4421"/>
      <c r="B21" s="4420"/>
      <c r="C21" s="4422"/>
      <c r="D21" s="1821">
        <v>13</v>
      </c>
      <c r="F21" s="1821">
        <v>8</v>
      </c>
      <c r="G21" s="1821">
        <v>28</v>
      </c>
      <c r="H21" s="2109">
        <f t="shared" si="0"/>
        <v>81.277480275904225</v>
      </c>
    </row>
    <row r="22" spans="1:8" ht="20.100000000000001" customHeight="1" x14ac:dyDescent="0.2">
      <c r="A22" s="4421"/>
      <c r="B22" s="4420"/>
      <c r="C22" s="4422"/>
      <c r="D22" s="1821">
        <v>14</v>
      </c>
      <c r="F22" s="1821">
        <v>8</v>
      </c>
      <c r="G22" s="1821">
        <v>30</v>
      </c>
      <c r="H22" s="2109">
        <f t="shared" si="0"/>
        <v>84.130184832793518</v>
      </c>
    </row>
    <row r="23" spans="1:8" ht="20.100000000000001" customHeight="1" x14ac:dyDescent="0.2">
      <c r="A23" s="4421"/>
      <c r="B23" s="4420"/>
      <c r="C23" s="4422"/>
      <c r="D23" s="1821">
        <v>15</v>
      </c>
      <c r="F23" s="1821">
        <v>8</v>
      </c>
      <c r="G23" s="1821">
        <v>30</v>
      </c>
      <c r="H23" s="2109">
        <f t="shared" si="0"/>
        <v>84.130184832793518</v>
      </c>
    </row>
    <row r="24" spans="1:8" ht="20.100000000000001" customHeight="1" x14ac:dyDescent="0.2">
      <c r="A24" s="4421"/>
      <c r="B24" s="4420"/>
      <c r="C24" s="4422"/>
      <c r="D24" s="1821">
        <v>16</v>
      </c>
      <c r="F24" s="1821">
        <v>8</v>
      </c>
      <c r="G24" s="1821">
        <v>32</v>
      </c>
      <c r="H24" s="2109">
        <f t="shared" si="0"/>
        <v>86.889281272202965</v>
      </c>
    </row>
    <row r="25" spans="1:8" ht="20.100000000000001" customHeight="1" x14ac:dyDescent="0.2">
      <c r="A25" s="4421"/>
      <c r="B25" s="4420"/>
      <c r="C25" s="4422"/>
      <c r="D25" s="1821">
        <v>17</v>
      </c>
      <c r="F25" s="1821">
        <v>8</v>
      </c>
      <c r="G25" s="1821">
        <v>32</v>
      </c>
      <c r="H25" s="2109">
        <f t="shared" si="0"/>
        <v>86.889281272202965</v>
      </c>
    </row>
    <row r="26" spans="1:8" ht="20.100000000000001" customHeight="1" x14ac:dyDescent="0.2">
      <c r="A26" s="4421"/>
      <c r="B26" s="4420"/>
      <c r="C26" s="4422"/>
      <c r="D26" s="1821">
        <v>18</v>
      </c>
      <c r="F26" s="1821">
        <v>8</v>
      </c>
      <c r="G26" s="1821">
        <v>35</v>
      </c>
      <c r="H26" s="2109">
        <f t="shared" si="0"/>
        <v>90.870985468410097</v>
      </c>
    </row>
    <row r="27" spans="1:8" ht="20.100000000000001" customHeight="1" x14ac:dyDescent="0.2">
      <c r="A27" s="4421"/>
      <c r="B27" s="4420"/>
      <c r="C27" s="4422"/>
      <c r="D27" s="1821">
        <v>19</v>
      </c>
      <c r="F27" s="1821">
        <v>8</v>
      </c>
      <c r="G27" s="1821">
        <v>35</v>
      </c>
      <c r="H27" s="2109">
        <f t="shared" si="0"/>
        <v>90.870985468410097</v>
      </c>
    </row>
    <row r="28" spans="1:8" ht="20.100000000000001" customHeight="1" x14ac:dyDescent="0.2">
      <c r="A28" s="4421"/>
      <c r="B28" s="4420"/>
      <c r="C28" s="4422"/>
      <c r="D28" s="1821">
        <v>20</v>
      </c>
      <c r="F28" s="1821">
        <v>8</v>
      </c>
      <c r="G28" s="1821">
        <v>40</v>
      </c>
      <c r="H28" s="2109">
        <f t="shared" si="0"/>
        <v>97.145169720372621</v>
      </c>
    </row>
    <row r="29" spans="1:8" ht="20.100000000000001" customHeight="1" x14ac:dyDescent="0.2">
      <c r="A29" s="4421"/>
      <c r="B29" s="4420"/>
      <c r="C29" s="4422"/>
      <c r="D29" s="1821">
        <v>21</v>
      </c>
      <c r="F29" s="1821">
        <v>8</v>
      </c>
      <c r="G29" s="1821">
        <v>40</v>
      </c>
      <c r="H29" s="2109">
        <f t="shared" si="0"/>
        <v>97.145169720372621</v>
      </c>
    </row>
    <row r="30" spans="1:8" ht="20.100000000000001" customHeight="1" x14ac:dyDescent="0.2">
      <c r="A30" s="4421"/>
      <c r="B30" s="4420"/>
      <c r="C30" s="4422"/>
      <c r="D30" s="1821">
        <v>22</v>
      </c>
      <c r="F30" s="1821">
        <v>8</v>
      </c>
      <c r="G30" s="1821">
        <v>42</v>
      </c>
      <c r="H30" s="2109">
        <f t="shared" si="0"/>
        <v>99.544177127544728</v>
      </c>
    </row>
    <row r="31" spans="1:8" ht="20.100000000000001" customHeight="1" x14ac:dyDescent="0.2">
      <c r="A31" s="4421"/>
      <c r="B31" s="4420"/>
      <c r="C31" s="4422"/>
      <c r="D31" s="1821">
        <v>23</v>
      </c>
      <c r="F31" s="1821">
        <v>8</v>
      </c>
      <c r="G31" s="1821">
        <v>45</v>
      </c>
      <c r="H31" s="2109">
        <f t="shared" si="0"/>
        <v>103.03801240319031</v>
      </c>
    </row>
    <row r="32" spans="1:8" ht="18.75" customHeight="1" x14ac:dyDescent="0.2">
      <c r="A32" s="4421"/>
      <c r="B32" s="4420"/>
      <c r="C32" s="4422"/>
      <c r="D32" s="1821">
        <v>24</v>
      </c>
      <c r="F32" s="1821">
        <v>8</v>
      </c>
      <c r="G32" s="1821">
        <v>28</v>
      </c>
      <c r="H32" s="2109">
        <f t="shared" si="0"/>
        <v>81.277480275904225</v>
      </c>
    </row>
    <row r="33" spans="1:8" ht="19.5" customHeight="1" x14ac:dyDescent="0.2">
      <c r="A33" s="4421"/>
      <c r="B33" s="4420"/>
      <c r="C33" s="4422"/>
      <c r="D33" s="1821">
        <v>25</v>
      </c>
      <c r="F33" s="1821">
        <v>8</v>
      </c>
      <c r="G33" s="1821">
        <v>28</v>
      </c>
      <c r="H33" s="2109">
        <f t="shared" si="0"/>
        <v>81.277480275904225</v>
      </c>
    </row>
    <row r="34" spans="1:8" x14ac:dyDescent="0.2">
      <c r="A34" s="4421"/>
      <c r="B34" s="4420"/>
      <c r="C34" s="4422"/>
      <c r="D34" s="1821">
        <v>26</v>
      </c>
      <c r="F34" s="1821">
        <v>8</v>
      </c>
      <c r="G34" s="1821">
        <v>28</v>
      </c>
      <c r="H34" s="2109">
        <f t="shared" si="0"/>
        <v>81.277480275904225</v>
      </c>
    </row>
    <row r="35" spans="1:8" x14ac:dyDescent="0.2">
      <c r="A35" s="4421"/>
      <c r="B35" s="4420"/>
      <c r="C35" s="4422"/>
      <c r="D35" s="1821">
        <v>27</v>
      </c>
      <c r="F35" s="1821">
        <v>8</v>
      </c>
      <c r="G35" s="1821">
        <v>30</v>
      </c>
      <c r="H35" s="2109">
        <f t="shared" si="0"/>
        <v>84.130184832793518</v>
      </c>
    </row>
    <row r="36" spans="1:8" x14ac:dyDescent="0.2">
      <c r="A36" s="4421"/>
      <c r="B36" s="4420"/>
      <c r="C36" s="4422"/>
      <c r="D36" s="1821">
        <v>28</v>
      </c>
      <c r="F36" s="1821">
        <v>8</v>
      </c>
      <c r="G36" s="1821">
        <v>30</v>
      </c>
      <c r="H36" s="2109">
        <f t="shared" si="0"/>
        <v>84.130184832793518</v>
      </c>
    </row>
    <row r="37" spans="1:8" x14ac:dyDescent="0.2">
      <c r="A37" s="4421"/>
      <c r="B37" s="4420"/>
      <c r="C37" s="4422"/>
      <c r="D37" s="1821">
        <v>29</v>
      </c>
      <c r="F37" s="1821">
        <v>8</v>
      </c>
      <c r="G37" s="1821">
        <v>32</v>
      </c>
      <c r="H37" s="2109">
        <f t="shared" si="0"/>
        <v>86.889281272202965</v>
      </c>
    </row>
    <row r="38" spans="1:8" x14ac:dyDescent="0.2">
      <c r="A38" s="4421"/>
      <c r="B38" s="4420"/>
      <c r="C38" s="4422"/>
      <c r="D38" s="1821">
        <v>30</v>
      </c>
      <c r="F38" s="1821">
        <v>8</v>
      </c>
      <c r="G38" s="1821">
        <v>28</v>
      </c>
      <c r="H38" s="2109">
        <f t="shared" si="0"/>
        <v>81.277480275904225</v>
      </c>
    </row>
    <row r="39" spans="1:8" x14ac:dyDescent="0.2">
      <c r="A39" s="4421"/>
      <c r="B39" s="4420"/>
      <c r="C39" s="4422"/>
      <c r="D39" s="1821">
        <v>31</v>
      </c>
      <c r="F39" s="1821">
        <v>8</v>
      </c>
      <c r="G39" s="1821">
        <v>28</v>
      </c>
      <c r="H39" s="2109">
        <f t="shared" si="0"/>
        <v>81.277480275904225</v>
      </c>
    </row>
    <row r="40" spans="1:8" ht="24" hidden="1" customHeight="1" x14ac:dyDescent="0.2">
      <c r="A40" s="4421"/>
      <c r="B40" s="4420"/>
      <c r="C40" s="4422"/>
      <c r="D40" s="1821">
        <v>32</v>
      </c>
      <c r="H40" s="2109">
        <f t="shared" ref="H40:H53" si="1">1.92*F40*SQRT(G40)</f>
        <v>0</v>
      </c>
    </row>
    <row r="41" spans="1:8" ht="20.100000000000001" hidden="1" customHeight="1" x14ac:dyDescent="0.2">
      <c r="A41" s="4421"/>
      <c r="B41" s="4420"/>
      <c r="C41" s="4422"/>
      <c r="D41" s="1821">
        <v>33</v>
      </c>
      <c r="H41" s="2109">
        <f t="shared" si="1"/>
        <v>0</v>
      </c>
    </row>
    <row r="42" spans="1:8" ht="20.100000000000001" hidden="1" customHeight="1" x14ac:dyDescent="0.2">
      <c r="A42" s="4421"/>
      <c r="B42" s="4420"/>
      <c r="C42" s="4422"/>
      <c r="D42" s="1821">
        <v>34</v>
      </c>
      <c r="H42" s="2109">
        <f t="shared" si="1"/>
        <v>0</v>
      </c>
    </row>
    <row r="43" spans="1:8" ht="20.100000000000001" hidden="1" customHeight="1" x14ac:dyDescent="0.2">
      <c r="A43" s="4421"/>
      <c r="B43" s="4420"/>
      <c r="C43" s="4422"/>
      <c r="D43" s="1821">
        <v>35</v>
      </c>
      <c r="H43" s="2109">
        <f t="shared" si="1"/>
        <v>0</v>
      </c>
    </row>
    <row r="44" spans="1:8" ht="20.100000000000001" hidden="1" customHeight="1" x14ac:dyDescent="0.2">
      <c r="A44" s="4421"/>
      <c r="B44" s="4420"/>
      <c r="C44" s="4422"/>
      <c r="D44" s="1821">
        <v>36</v>
      </c>
      <c r="H44" s="2109">
        <f t="shared" si="1"/>
        <v>0</v>
      </c>
    </row>
    <row r="45" spans="1:8" ht="20.100000000000001" hidden="1" customHeight="1" x14ac:dyDescent="0.2">
      <c r="A45" s="4421"/>
      <c r="B45" s="4420"/>
      <c r="C45" s="4422"/>
      <c r="D45" s="1821">
        <v>37</v>
      </c>
      <c r="H45" s="2109">
        <f t="shared" si="1"/>
        <v>0</v>
      </c>
    </row>
    <row r="46" spans="1:8" ht="20.100000000000001" hidden="1" customHeight="1" x14ac:dyDescent="0.2">
      <c r="A46" s="4421"/>
      <c r="B46" s="4420"/>
      <c r="C46" s="4422"/>
      <c r="D46" s="1821">
        <v>38</v>
      </c>
      <c r="H46" s="2109">
        <f t="shared" si="1"/>
        <v>0</v>
      </c>
    </row>
    <row r="47" spans="1:8" ht="20.100000000000001" hidden="1" customHeight="1" x14ac:dyDescent="0.2">
      <c r="A47" s="4421"/>
      <c r="B47" s="4420"/>
      <c r="C47" s="4422"/>
      <c r="D47" s="1821">
        <v>39</v>
      </c>
      <c r="H47" s="2109">
        <f t="shared" si="1"/>
        <v>0</v>
      </c>
    </row>
    <row r="48" spans="1:8" ht="20.100000000000001" hidden="1" customHeight="1" x14ac:dyDescent="0.2">
      <c r="A48" s="4421"/>
      <c r="B48" s="4420"/>
      <c r="C48" s="4422"/>
      <c r="D48" s="1821">
        <v>40</v>
      </c>
      <c r="H48" s="2109">
        <f t="shared" si="1"/>
        <v>0</v>
      </c>
    </row>
    <row r="49" spans="1:8" ht="20.100000000000001" hidden="1" customHeight="1" x14ac:dyDescent="0.2">
      <c r="A49" s="4421"/>
      <c r="B49" s="4420"/>
      <c r="C49" s="4422"/>
      <c r="D49" s="1821">
        <v>41</v>
      </c>
      <c r="H49" s="2109">
        <f t="shared" si="1"/>
        <v>0</v>
      </c>
    </row>
    <row r="50" spans="1:8" ht="20.100000000000001" hidden="1" customHeight="1" x14ac:dyDescent="0.2">
      <c r="A50" s="4421"/>
      <c r="B50" s="4420"/>
      <c r="C50" s="4422"/>
      <c r="D50" s="1821">
        <v>42</v>
      </c>
      <c r="H50" s="2109">
        <f t="shared" si="1"/>
        <v>0</v>
      </c>
    </row>
    <row r="51" spans="1:8" ht="20.100000000000001" hidden="1" customHeight="1" x14ac:dyDescent="0.2">
      <c r="A51" s="4421"/>
      <c r="B51" s="4420"/>
      <c r="C51" s="4422"/>
      <c r="D51" s="1821">
        <v>43</v>
      </c>
      <c r="H51" s="2109">
        <f t="shared" si="1"/>
        <v>0</v>
      </c>
    </row>
    <row r="52" spans="1:8" ht="20.100000000000001" hidden="1" customHeight="1" x14ac:dyDescent="0.2">
      <c r="A52" s="4421"/>
      <c r="B52" s="4420"/>
      <c r="C52" s="4422"/>
      <c r="D52" s="1821">
        <v>44</v>
      </c>
      <c r="H52" s="2109">
        <f t="shared" si="1"/>
        <v>0</v>
      </c>
    </row>
    <row r="53" spans="1:8" x14ac:dyDescent="0.2">
      <c r="A53" s="4421"/>
      <c r="B53" s="4420"/>
      <c r="C53" s="4422"/>
      <c r="H53" s="2109">
        <f t="shared" si="1"/>
        <v>0</v>
      </c>
    </row>
    <row r="54" spans="1:8" ht="20.100000000000001" customHeight="1" x14ac:dyDescent="0.2">
      <c r="A54" s="4421"/>
      <c r="B54" s="4420"/>
      <c r="C54" s="4422"/>
      <c r="D54" s="4422" t="s">
        <v>54</v>
      </c>
      <c r="E54" s="4422"/>
      <c r="F54" s="4422"/>
      <c r="G54" s="4422"/>
      <c r="H54" s="2140">
        <f>SUM(H8:H53)</f>
        <v>2267.4831683520547</v>
      </c>
    </row>
    <row r="55" spans="1:8" ht="25.5" customHeight="1" x14ac:dyDescent="0.2">
      <c r="A55" s="4420" t="s">
        <v>907</v>
      </c>
      <c r="B55" s="4420" t="s">
        <v>2129</v>
      </c>
      <c r="C55" s="4422" t="s">
        <v>2130</v>
      </c>
      <c r="D55" s="1821" t="s">
        <v>2126</v>
      </c>
      <c r="E55" s="1821" t="s">
        <v>2131</v>
      </c>
      <c r="F55" s="1821" t="s">
        <v>2127</v>
      </c>
      <c r="G55" s="1821" t="s">
        <v>2128</v>
      </c>
    </row>
    <row r="56" spans="1:8" ht="20.100000000000001" customHeight="1" x14ac:dyDescent="0.2">
      <c r="A56" s="4420"/>
      <c r="B56" s="4420"/>
      <c r="C56" s="4422"/>
      <c r="D56" s="1821">
        <v>1</v>
      </c>
      <c r="E56" s="1821">
        <v>0.15</v>
      </c>
      <c r="F56" s="1821">
        <v>8</v>
      </c>
      <c r="G56" s="1821">
        <v>40</v>
      </c>
      <c r="H56" s="2109">
        <f>374.4*E56*E56*F56*SQRT(G56)</f>
        <v>426.22443214813484</v>
      </c>
    </row>
    <row r="57" spans="1:8" ht="20.100000000000001" customHeight="1" x14ac:dyDescent="0.2">
      <c r="A57" s="4420"/>
      <c r="B57" s="4420"/>
      <c r="C57" s="4422"/>
      <c r="D57" s="1821">
        <v>2</v>
      </c>
      <c r="E57" s="1821">
        <v>0.15</v>
      </c>
      <c r="F57" s="1821">
        <v>8</v>
      </c>
      <c r="G57" s="1821">
        <v>40</v>
      </c>
      <c r="H57" s="2109">
        <f t="shared" ref="H57:H67" si="2">374.4*E57*E57*F57*SQRT(G57)</f>
        <v>426.22443214813484</v>
      </c>
    </row>
    <row r="58" spans="1:8" ht="20.100000000000001" customHeight="1" x14ac:dyDescent="0.2">
      <c r="A58" s="4420"/>
      <c r="B58" s="4420"/>
      <c r="C58" s="4422"/>
      <c r="D58" s="1821">
        <v>3</v>
      </c>
      <c r="E58" s="1821">
        <v>0.15</v>
      </c>
      <c r="F58" s="1821">
        <v>6</v>
      </c>
      <c r="G58" s="1821">
        <v>40</v>
      </c>
      <c r="H58" s="2109">
        <f t="shared" si="2"/>
        <v>319.66832411110113</v>
      </c>
    </row>
    <row r="59" spans="1:8" ht="20.100000000000001" customHeight="1" x14ac:dyDescent="0.2">
      <c r="A59" s="4420"/>
      <c r="B59" s="4420"/>
      <c r="C59" s="4422"/>
      <c r="D59" s="1821">
        <v>4</v>
      </c>
      <c r="E59" s="1821">
        <v>0.15</v>
      </c>
      <c r="F59" s="1821">
        <v>4</v>
      </c>
      <c r="G59" s="1821">
        <v>35</v>
      </c>
      <c r="H59" s="2109">
        <f t="shared" si="2"/>
        <v>199.34822437132465</v>
      </c>
    </row>
    <row r="60" spans="1:8" ht="20.100000000000001" customHeight="1" x14ac:dyDescent="0.2">
      <c r="A60" s="4420"/>
      <c r="B60" s="4420"/>
      <c r="C60" s="4422"/>
      <c r="D60" s="1821">
        <v>5</v>
      </c>
      <c r="E60" s="1821">
        <v>0.15</v>
      </c>
      <c r="F60" s="1821">
        <v>4</v>
      </c>
      <c r="G60" s="1821">
        <v>30</v>
      </c>
      <c r="H60" s="2109">
        <f t="shared" si="2"/>
        <v>184.56059297694077</v>
      </c>
    </row>
    <row r="61" spans="1:8" ht="20.100000000000001" customHeight="1" x14ac:dyDescent="0.2">
      <c r="A61" s="4420"/>
      <c r="B61" s="4420"/>
      <c r="C61" s="4422"/>
      <c r="D61" s="1821">
        <v>6</v>
      </c>
      <c r="E61" s="1821">
        <v>0.1</v>
      </c>
      <c r="F61" s="1821">
        <v>6</v>
      </c>
      <c r="G61" s="1821">
        <v>30</v>
      </c>
      <c r="H61" s="2109">
        <f t="shared" si="2"/>
        <v>123.0403953179605</v>
      </c>
    </row>
    <row r="62" spans="1:8" ht="20.100000000000001" customHeight="1" x14ac:dyDescent="0.2">
      <c r="A62" s="4420"/>
      <c r="B62" s="4420"/>
      <c r="C62" s="4422"/>
      <c r="D62" s="1821">
        <v>7</v>
      </c>
      <c r="E62" s="1821">
        <v>0.1</v>
      </c>
      <c r="F62" s="1821">
        <v>6</v>
      </c>
      <c r="G62" s="1821">
        <v>30</v>
      </c>
      <c r="H62" s="2109">
        <f t="shared" si="2"/>
        <v>123.0403953179605</v>
      </c>
    </row>
    <row r="63" spans="1:8" ht="20.100000000000001" customHeight="1" x14ac:dyDescent="0.2">
      <c r="A63" s="4420"/>
      <c r="B63" s="4420"/>
      <c r="C63" s="4422"/>
      <c r="D63" s="1821">
        <v>8</v>
      </c>
      <c r="E63" s="1821">
        <v>0.1</v>
      </c>
      <c r="F63" s="1821">
        <v>6</v>
      </c>
      <c r="G63" s="1821">
        <v>30</v>
      </c>
      <c r="H63" s="2109">
        <f t="shared" si="2"/>
        <v>123.0403953179605</v>
      </c>
    </row>
    <row r="64" spans="1:8" ht="20.100000000000001" customHeight="1" x14ac:dyDescent="0.2">
      <c r="A64" s="4420"/>
      <c r="B64" s="4420"/>
      <c r="C64" s="4422"/>
      <c r="D64" s="1821">
        <v>9</v>
      </c>
      <c r="E64" s="1821">
        <v>0.1</v>
      </c>
      <c r="F64" s="1821">
        <v>4</v>
      </c>
      <c r="G64" s="1821">
        <v>30</v>
      </c>
      <c r="H64" s="2109">
        <f t="shared" si="2"/>
        <v>82.026930211973678</v>
      </c>
    </row>
    <row r="65" spans="1:8" ht="20.100000000000001" customHeight="1" x14ac:dyDescent="0.2">
      <c r="A65" s="4420"/>
      <c r="B65" s="4420"/>
      <c r="C65" s="4422"/>
      <c r="D65" s="1821">
        <v>10</v>
      </c>
      <c r="E65" s="1821">
        <v>0.5</v>
      </c>
      <c r="F65" s="1821">
        <v>12</v>
      </c>
      <c r="G65" s="1821">
        <v>32</v>
      </c>
      <c r="H65" s="2109">
        <f t="shared" si="2"/>
        <v>6353.7786930298407</v>
      </c>
    </row>
    <row r="66" spans="1:8" ht="20.100000000000001" customHeight="1" x14ac:dyDescent="0.2">
      <c r="A66" s="4420"/>
      <c r="B66" s="4420"/>
      <c r="C66" s="4422"/>
      <c r="D66" s="1821">
        <v>11</v>
      </c>
      <c r="E66" s="1821">
        <v>0.5</v>
      </c>
      <c r="F66" s="1821">
        <v>12</v>
      </c>
      <c r="G66" s="1821">
        <v>2.8</v>
      </c>
      <c r="H66" s="2109">
        <f t="shared" si="2"/>
        <v>1879.4730836061469</v>
      </c>
    </row>
    <row r="67" spans="1:8" ht="20.100000000000001" customHeight="1" x14ac:dyDescent="0.2">
      <c r="A67" s="4420"/>
      <c r="B67" s="4420"/>
      <c r="C67" s="4422"/>
      <c r="D67" s="1821">
        <v>12</v>
      </c>
      <c r="E67" s="1821">
        <v>0.5</v>
      </c>
      <c r="F67" s="1821">
        <v>12</v>
      </c>
      <c r="G67" s="1821">
        <v>2.8</v>
      </c>
      <c r="H67" s="2109">
        <f t="shared" si="2"/>
        <v>1879.4730836061469</v>
      </c>
    </row>
    <row r="68" spans="1:8" ht="20.100000000000001" customHeight="1" x14ac:dyDescent="0.2">
      <c r="A68" s="4420"/>
      <c r="B68" s="4420"/>
      <c r="C68" s="4422"/>
      <c r="D68" s="4422" t="s">
        <v>54</v>
      </c>
      <c r="E68" s="4422"/>
      <c r="F68" s="4422"/>
      <c r="G68" s="4422"/>
      <c r="H68" s="2140">
        <f>SUM(H56:H67)</f>
        <v>12119.898982163624</v>
      </c>
    </row>
    <row r="69" spans="1:8" ht="31.5" customHeight="1" x14ac:dyDescent="0.2">
      <c r="A69" s="4420" t="s">
        <v>909</v>
      </c>
      <c r="B69" s="4420" t="s">
        <v>2132</v>
      </c>
      <c r="C69" s="4422" t="s">
        <v>2133</v>
      </c>
      <c r="D69" s="1821" t="s">
        <v>2126</v>
      </c>
      <c r="E69" s="1821" t="s">
        <v>2131</v>
      </c>
      <c r="F69" s="1821" t="s">
        <v>2127</v>
      </c>
      <c r="G69" s="1821" t="s">
        <v>2128</v>
      </c>
    </row>
    <row r="70" spans="1:8" ht="20.100000000000001" customHeight="1" x14ac:dyDescent="0.2">
      <c r="A70" s="4420"/>
      <c r="B70" s="4420"/>
      <c r="C70" s="4422"/>
      <c r="D70" s="1821">
        <v>1</v>
      </c>
      <c r="E70" s="1821">
        <v>0.25</v>
      </c>
      <c r="F70" s="1821">
        <v>1.5</v>
      </c>
      <c r="G70" s="1821">
        <v>2.5</v>
      </c>
      <c r="H70" s="2109">
        <f>5652*E70*E70*F70*SQRT(G70)</f>
        <v>837.80593759086003</v>
      </c>
    </row>
    <row r="71" spans="1:8" ht="20.100000000000001" customHeight="1" x14ac:dyDescent="0.2">
      <c r="A71" s="4420"/>
      <c r="B71" s="4420"/>
      <c r="C71" s="4422"/>
      <c r="D71" s="1821">
        <v>2</v>
      </c>
      <c r="E71" s="1821">
        <v>0.2</v>
      </c>
      <c r="F71" s="1821">
        <v>1</v>
      </c>
      <c r="G71" s="1821">
        <v>2.5</v>
      </c>
      <c r="H71" s="2109">
        <f t="shared" ref="H71:H79" si="3">5652*E71*E71*F71*SQRT(G71)</f>
        <v>357.4638667054337</v>
      </c>
    </row>
    <row r="72" spans="1:8" ht="20.100000000000001" customHeight="1" x14ac:dyDescent="0.2">
      <c r="A72" s="4420"/>
      <c r="B72" s="4420"/>
      <c r="C72" s="4422"/>
      <c r="D72" s="1821">
        <v>3</v>
      </c>
      <c r="E72" s="1821">
        <v>0.25</v>
      </c>
      <c r="F72" s="1821">
        <v>1.5</v>
      </c>
      <c r="G72" s="1821">
        <v>2.5</v>
      </c>
      <c r="H72" s="2109">
        <f t="shared" si="3"/>
        <v>837.80593759086003</v>
      </c>
    </row>
    <row r="73" spans="1:8" ht="20.100000000000001" customHeight="1" x14ac:dyDescent="0.2">
      <c r="A73" s="4420"/>
      <c r="B73" s="4420"/>
      <c r="C73" s="4422"/>
      <c r="D73" s="1821">
        <v>4</v>
      </c>
      <c r="E73" s="1821">
        <v>0.15</v>
      </c>
      <c r="F73" s="1821">
        <v>1.2</v>
      </c>
      <c r="G73" s="1821">
        <v>2.5</v>
      </c>
      <c r="H73" s="2109">
        <f t="shared" si="3"/>
        <v>241.28811002616766</v>
      </c>
    </row>
    <row r="74" spans="1:8" ht="20.100000000000001" customHeight="1" x14ac:dyDescent="0.2">
      <c r="A74" s="4420"/>
      <c r="B74" s="4420"/>
      <c r="C74" s="4422"/>
      <c r="D74" s="1821">
        <v>5</v>
      </c>
      <c r="E74" s="1821">
        <v>0.15</v>
      </c>
      <c r="F74" s="1821">
        <v>1</v>
      </c>
      <c r="G74" s="1821">
        <v>2.5</v>
      </c>
      <c r="H74" s="2109">
        <f t="shared" si="3"/>
        <v>201.0734250218064</v>
      </c>
    </row>
    <row r="75" spans="1:8" ht="20.100000000000001" customHeight="1" x14ac:dyDescent="0.2">
      <c r="A75" s="4420"/>
      <c r="B75" s="4420"/>
      <c r="C75" s="4422"/>
      <c r="D75" s="1821">
        <v>6</v>
      </c>
      <c r="E75" s="1821">
        <v>0.15</v>
      </c>
      <c r="F75" s="1821">
        <v>1.5</v>
      </c>
      <c r="G75" s="1821">
        <v>2.5</v>
      </c>
      <c r="H75" s="2109">
        <f t="shared" si="3"/>
        <v>301.61013753270959</v>
      </c>
    </row>
    <row r="76" spans="1:8" ht="20.100000000000001" customHeight="1" x14ac:dyDescent="0.2">
      <c r="A76" s="4420"/>
      <c r="B76" s="4420"/>
      <c r="C76" s="4422"/>
      <c r="D76" s="1821">
        <v>7</v>
      </c>
      <c r="E76" s="1821">
        <v>0.15</v>
      </c>
      <c r="F76" s="1821">
        <v>1.2</v>
      </c>
      <c r="G76" s="1821">
        <v>2.5</v>
      </c>
      <c r="H76" s="2109">
        <f t="shared" si="3"/>
        <v>241.28811002616766</v>
      </c>
    </row>
    <row r="77" spans="1:8" ht="20.100000000000001" customHeight="1" x14ac:dyDescent="0.2">
      <c r="A77" s="4420"/>
      <c r="B77" s="4420"/>
      <c r="C77" s="4422"/>
      <c r="D77" s="1821">
        <v>8</v>
      </c>
      <c r="E77" s="1821">
        <v>0.15</v>
      </c>
      <c r="F77" s="1821">
        <v>1.1000000000000001</v>
      </c>
      <c r="G77" s="1821">
        <v>2.5</v>
      </c>
      <c r="H77" s="2109">
        <f t="shared" si="3"/>
        <v>221.18076752398704</v>
      </c>
    </row>
    <row r="78" spans="1:8" ht="20.100000000000001" customHeight="1" x14ac:dyDescent="0.2">
      <c r="A78" s="4420"/>
      <c r="B78" s="4420"/>
      <c r="C78" s="4422"/>
      <c r="D78" s="1821">
        <v>9</v>
      </c>
      <c r="E78" s="1821">
        <v>0.1</v>
      </c>
      <c r="F78" s="1821">
        <v>1</v>
      </c>
      <c r="G78" s="1821">
        <v>2.5</v>
      </c>
      <c r="H78" s="2109">
        <f t="shared" si="3"/>
        <v>89.365966676358426</v>
      </c>
    </row>
    <row r="79" spans="1:8" ht="20.100000000000001" customHeight="1" x14ac:dyDescent="0.2">
      <c r="A79" s="4420"/>
      <c r="B79" s="4420"/>
      <c r="C79" s="4422"/>
      <c r="D79" s="1821">
        <v>10</v>
      </c>
      <c r="E79" s="1821">
        <v>0.1</v>
      </c>
      <c r="F79" s="1821">
        <v>1</v>
      </c>
      <c r="G79" s="1821">
        <v>2.5</v>
      </c>
      <c r="H79" s="2109">
        <f t="shared" si="3"/>
        <v>89.365966676358426</v>
      </c>
    </row>
    <row r="80" spans="1:8" ht="20.100000000000001" customHeight="1" x14ac:dyDescent="0.2">
      <c r="A80" s="4420"/>
      <c r="B80" s="4420"/>
      <c r="C80" s="4422"/>
      <c r="D80" s="4422" t="s">
        <v>54</v>
      </c>
      <c r="E80" s="4422"/>
      <c r="F80" s="4422"/>
      <c r="G80" s="4422"/>
      <c r="H80" s="2140">
        <f>SUM(H70:H79)</f>
        <v>3418.2482253707085</v>
      </c>
    </row>
    <row r="81" spans="1:9" ht="146.25" customHeight="1" x14ac:dyDescent="0.2">
      <c r="A81" s="4420" t="s">
        <v>925</v>
      </c>
      <c r="B81" s="4420" t="s">
        <v>2134</v>
      </c>
      <c r="C81" s="4422" t="s">
        <v>2135</v>
      </c>
      <c r="D81" s="1821" t="s">
        <v>2136</v>
      </c>
      <c r="E81" s="1821" t="s">
        <v>2137</v>
      </c>
      <c r="F81" s="1821" t="s">
        <v>2138</v>
      </c>
      <c r="G81" s="1821" t="s">
        <v>2139</v>
      </c>
    </row>
    <row r="82" spans="1:9" ht="77.25" customHeight="1" x14ac:dyDescent="0.2">
      <c r="A82" s="4420"/>
      <c r="B82" s="4420"/>
      <c r="C82" s="4422"/>
      <c r="D82" s="1821">
        <v>0.02</v>
      </c>
      <c r="E82" s="1821">
        <v>2800</v>
      </c>
      <c r="F82" s="1821">
        <v>4.3</v>
      </c>
      <c r="G82" s="1821">
        <v>365</v>
      </c>
      <c r="H82" s="2284">
        <f>D82*E82*F82*G82</f>
        <v>87892</v>
      </c>
    </row>
    <row r="83" spans="1:9" ht="123.75" customHeight="1" x14ac:dyDescent="0.2">
      <c r="A83" s="4420" t="s">
        <v>927</v>
      </c>
      <c r="B83" s="4422" t="s">
        <v>2140</v>
      </c>
      <c r="C83" s="4422" t="s">
        <v>2141</v>
      </c>
      <c r="D83" s="1821" t="s">
        <v>2136</v>
      </c>
      <c r="E83" s="1821" t="s">
        <v>2137</v>
      </c>
      <c r="F83" s="1821" t="s">
        <v>2138</v>
      </c>
      <c r="G83" s="1821" t="s">
        <v>2139</v>
      </c>
    </row>
    <row r="84" spans="1:9" ht="33.75" customHeight="1" x14ac:dyDescent="0.2">
      <c r="A84" s="4420"/>
      <c r="B84" s="4422"/>
      <c r="C84" s="4422"/>
      <c r="D84" s="1821">
        <v>4.9100000000000001E-4</v>
      </c>
      <c r="E84" s="1821">
        <v>30</v>
      </c>
      <c r="F84" s="1821">
        <v>101</v>
      </c>
      <c r="G84" s="1821">
        <v>227</v>
      </c>
      <c r="H84" s="2284">
        <f>D84*E84*F84*G84</f>
        <v>337.71471000000003</v>
      </c>
    </row>
    <row r="85" spans="1:9" ht="141" customHeight="1" x14ac:dyDescent="0.2">
      <c r="A85" s="4420" t="s">
        <v>2142</v>
      </c>
      <c r="B85" s="4422" t="s">
        <v>2143</v>
      </c>
      <c r="C85" s="4422" t="s">
        <v>2144</v>
      </c>
      <c r="E85" s="1821" t="s">
        <v>2145</v>
      </c>
      <c r="F85" s="1821" t="s">
        <v>2137</v>
      </c>
      <c r="G85" s="1821" t="s">
        <v>2139</v>
      </c>
    </row>
    <row r="86" spans="1:9" ht="54" customHeight="1" x14ac:dyDescent="0.2">
      <c r="A86" s="4420"/>
      <c r="B86" s="4422"/>
      <c r="C86" s="4422"/>
      <c r="D86" s="1821">
        <v>1.8000000000000001E-4</v>
      </c>
      <c r="E86" s="1821">
        <v>12</v>
      </c>
      <c r="F86" s="1821">
        <v>34</v>
      </c>
      <c r="G86" s="1821">
        <v>365</v>
      </c>
      <c r="H86" s="2109">
        <f>9600*0.0017*D86*SQRT(E86)*20*F86*G86</f>
        <v>2525.7191653288355</v>
      </c>
    </row>
    <row r="87" spans="1:9" ht="27.75" customHeight="1" x14ac:dyDescent="0.2">
      <c r="A87" s="4420" t="s">
        <v>2146</v>
      </c>
      <c r="B87" s="4420" t="s">
        <v>2147</v>
      </c>
      <c r="C87" s="4422" t="s">
        <v>2148</v>
      </c>
      <c r="D87" s="1821" t="s">
        <v>2149</v>
      </c>
      <c r="F87" s="1821" t="s">
        <v>2137</v>
      </c>
      <c r="G87" s="1821" t="s">
        <v>2127</v>
      </c>
      <c r="I87" s="2275" t="s">
        <v>2150</v>
      </c>
    </row>
    <row r="88" spans="1:9" ht="20.100000000000001" customHeight="1" x14ac:dyDescent="0.2">
      <c r="A88" s="4420"/>
      <c r="B88" s="4420"/>
      <c r="C88" s="4422"/>
      <c r="D88" s="1821">
        <v>50</v>
      </c>
      <c r="E88" s="1821">
        <v>16.733499999999999</v>
      </c>
      <c r="F88" s="1821">
        <v>6.7</v>
      </c>
      <c r="G88" s="1821">
        <v>8760</v>
      </c>
      <c r="H88" s="2109">
        <f>G88*E88*F88/1000</f>
        <v>982.12258199999997</v>
      </c>
    </row>
    <row r="89" spans="1:9" ht="20.100000000000001" customHeight="1" x14ac:dyDescent="0.2">
      <c r="A89" s="4420"/>
      <c r="B89" s="4420"/>
      <c r="C89" s="4422"/>
      <c r="D89" s="1821">
        <v>100</v>
      </c>
      <c r="E89" s="1821">
        <v>20.279900000000001</v>
      </c>
      <c r="F89" s="1821">
        <v>16.8</v>
      </c>
      <c r="G89" s="1821">
        <v>8760</v>
      </c>
      <c r="H89" s="2109">
        <f t="shared" ref="H89:H107" si="4">G89*E89*F89/1000</f>
        <v>2984.5523232</v>
      </c>
    </row>
    <row r="90" spans="1:9" ht="20.100000000000001" customHeight="1" x14ac:dyDescent="0.2">
      <c r="A90" s="4420"/>
      <c r="B90" s="4420"/>
      <c r="C90" s="4422"/>
      <c r="D90" s="1821">
        <v>150</v>
      </c>
      <c r="E90" s="1821">
        <v>25.648</v>
      </c>
      <c r="F90" s="1821">
        <v>25.2</v>
      </c>
      <c r="G90" s="1821">
        <v>8760</v>
      </c>
      <c r="H90" s="2109">
        <f t="shared" si="4"/>
        <v>5661.8472959999999</v>
      </c>
    </row>
    <row r="91" spans="1:9" ht="20.100000000000001" customHeight="1" x14ac:dyDescent="0.2">
      <c r="A91" s="4420"/>
      <c r="B91" s="4420"/>
      <c r="C91" s="4422"/>
      <c r="D91" s="1821">
        <v>200</v>
      </c>
      <c r="E91" s="1821">
        <v>4.0561999999999996</v>
      </c>
      <c r="F91" s="1821">
        <v>33.6</v>
      </c>
      <c r="G91" s="1821">
        <v>8760</v>
      </c>
      <c r="H91" s="2109">
        <f t="shared" si="4"/>
        <v>1193.8856832000001</v>
      </c>
    </row>
    <row r="92" spans="1:9" ht="20.100000000000001" customHeight="1" x14ac:dyDescent="0.2">
      <c r="A92" s="4420"/>
      <c r="B92" s="4420"/>
      <c r="C92" s="4422"/>
      <c r="D92" s="1821">
        <v>250</v>
      </c>
      <c r="E92" s="1821">
        <v>13.918699999999999</v>
      </c>
      <c r="F92" s="1821">
        <v>42</v>
      </c>
      <c r="G92" s="1821">
        <v>8760</v>
      </c>
      <c r="H92" s="2109">
        <f t="shared" si="4"/>
        <v>5120.9681039999996</v>
      </c>
    </row>
    <row r="93" spans="1:9" ht="20.100000000000001" customHeight="1" x14ac:dyDescent="0.2">
      <c r="A93" s="4420"/>
      <c r="B93" s="4420"/>
      <c r="C93" s="4422"/>
      <c r="D93" s="1821">
        <v>300</v>
      </c>
      <c r="E93" s="1821">
        <v>0.47349999999999998</v>
      </c>
      <c r="F93" s="1821">
        <v>51</v>
      </c>
      <c r="G93" s="1821">
        <v>8760</v>
      </c>
      <c r="H93" s="2109">
        <f t="shared" si="4"/>
        <v>211.54085999999998</v>
      </c>
    </row>
    <row r="94" spans="1:9" ht="20.100000000000001" customHeight="1" x14ac:dyDescent="0.2">
      <c r="A94" s="4420"/>
      <c r="B94" s="4420"/>
      <c r="C94" s="4422"/>
      <c r="D94" s="1821">
        <v>350</v>
      </c>
      <c r="E94" s="1821">
        <v>2.4906999999999999</v>
      </c>
      <c r="F94" s="1821">
        <v>54</v>
      </c>
      <c r="G94" s="1821">
        <v>8760</v>
      </c>
      <c r="H94" s="2109">
        <f t="shared" si="4"/>
        <v>1178.2007279999998</v>
      </c>
    </row>
    <row r="95" spans="1:9" ht="20.100000000000001" customHeight="1" x14ac:dyDescent="0.2">
      <c r="A95" s="4420"/>
      <c r="B95" s="4420"/>
      <c r="C95" s="4422"/>
      <c r="D95" s="1821">
        <v>400</v>
      </c>
      <c r="E95" s="1821">
        <v>3.9615</v>
      </c>
      <c r="F95" s="1821">
        <v>60</v>
      </c>
      <c r="G95" s="1821">
        <v>8760</v>
      </c>
      <c r="H95" s="2109">
        <f t="shared" si="4"/>
        <v>2082.1644000000001</v>
      </c>
    </row>
    <row r="96" spans="1:9" ht="20.100000000000001" customHeight="1" x14ac:dyDescent="0.2">
      <c r="A96" s="4420"/>
      <c r="B96" s="4420"/>
      <c r="C96" s="4422"/>
      <c r="D96" s="1821">
        <v>450</v>
      </c>
      <c r="E96" s="1821">
        <v>4.4499999999999998E-2</v>
      </c>
      <c r="F96" s="1821">
        <v>63</v>
      </c>
      <c r="G96" s="1821">
        <v>8760</v>
      </c>
      <c r="H96" s="2109">
        <f t="shared" si="4"/>
        <v>24.55866</v>
      </c>
    </row>
    <row r="97" spans="1:8" ht="20.100000000000001" customHeight="1" x14ac:dyDescent="0.2">
      <c r="A97" s="4420"/>
      <c r="B97" s="4420"/>
      <c r="C97" s="4422"/>
      <c r="D97" s="1821">
        <v>500</v>
      </c>
      <c r="E97" s="1821">
        <v>4.8689999999999998</v>
      </c>
      <c r="F97" s="1821">
        <v>66</v>
      </c>
      <c r="G97" s="1821">
        <v>8760</v>
      </c>
      <c r="H97" s="2109">
        <f t="shared" si="4"/>
        <v>2815.0610399999996</v>
      </c>
    </row>
    <row r="98" spans="1:8" ht="20.100000000000001" customHeight="1" x14ac:dyDescent="0.2">
      <c r="A98" s="4420"/>
      <c r="B98" s="4420"/>
      <c r="C98" s="4422"/>
      <c r="D98" s="1821">
        <v>50</v>
      </c>
      <c r="E98" s="1821">
        <v>4.0964999999999998</v>
      </c>
      <c r="F98" s="1821">
        <v>21</v>
      </c>
      <c r="G98" s="1821">
        <v>8760</v>
      </c>
      <c r="H98" s="2109">
        <f t="shared" si="4"/>
        <v>753.59213999999986</v>
      </c>
    </row>
    <row r="99" spans="1:8" ht="20.100000000000001" customHeight="1" x14ac:dyDescent="0.2">
      <c r="A99" s="4420"/>
      <c r="B99" s="4420"/>
      <c r="C99" s="4422"/>
      <c r="D99" s="1821">
        <v>100</v>
      </c>
      <c r="E99" s="1821">
        <v>3.2572000000000001</v>
      </c>
      <c r="F99" s="1821">
        <v>42</v>
      </c>
      <c r="G99" s="1821">
        <v>8760</v>
      </c>
      <c r="H99" s="2109">
        <f t="shared" si="4"/>
        <v>1198.3890240000001</v>
      </c>
    </row>
    <row r="100" spans="1:8" ht="20.100000000000001" customHeight="1" x14ac:dyDescent="0.2">
      <c r="A100" s="4420"/>
      <c r="B100" s="4420"/>
      <c r="C100" s="4422"/>
      <c r="D100" s="1821">
        <v>150</v>
      </c>
      <c r="E100" s="1821">
        <v>2.8879000000000001</v>
      </c>
      <c r="F100" s="1821">
        <v>63</v>
      </c>
      <c r="G100" s="1821">
        <v>8760</v>
      </c>
      <c r="H100" s="2109">
        <f t="shared" si="4"/>
        <v>1593.7742520000002</v>
      </c>
    </row>
    <row r="101" spans="1:8" ht="20.100000000000001" customHeight="1" x14ac:dyDescent="0.2">
      <c r="A101" s="4420"/>
      <c r="B101" s="4420"/>
      <c r="C101" s="4422"/>
      <c r="D101" s="1821">
        <v>200</v>
      </c>
      <c r="E101" s="1821">
        <v>22.787800000000001</v>
      </c>
      <c r="F101" s="1821">
        <v>84</v>
      </c>
      <c r="G101" s="1821">
        <v>8760</v>
      </c>
      <c r="H101" s="2109">
        <f t="shared" si="4"/>
        <v>16768.174751999999</v>
      </c>
    </row>
    <row r="102" spans="1:8" ht="20.100000000000001" customHeight="1" x14ac:dyDescent="0.2">
      <c r="A102" s="4420"/>
      <c r="B102" s="4420"/>
      <c r="C102" s="4422"/>
      <c r="D102" s="1821">
        <v>250</v>
      </c>
      <c r="E102" s="1821">
        <v>3.8637000000000001</v>
      </c>
      <c r="F102" s="1821">
        <v>93</v>
      </c>
      <c r="G102" s="1821">
        <v>8760</v>
      </c>
      <c r="H102" s="2109">
        <f t="shared" si="4"/>
        <v>3147.6791160000002</v>
      </c>
    </row>
    <row r="103" spans="1:8" ht="20.100000000000001" customHeight="1" x14ac:dyDescent="0.2">
      <c r="A103" s="4420"/>
      <c r="B103" s="4420"/>
      <c r="C103" s="4422"/>
      <c r="D103" s="1821">
        <v>300</v>
      </c>
      <c r="E103" s="1821">
        <v>2.9369999999999998</v>
      </c>
      <c r="F103" s="1821">
        <v>102</v>
      </c>
      <c r="G103" s="1821">
        <v>8760</v>
      </c>
      <c r="H103" s="2109">
        <f t="shared" si="4"/>
        <v>2624.2682399999999</v>
      </c>
    </row>
    <row r="104" spans="1:8" ht="20.100000000000001" customHeight="1" x14ac:dyDescent="0.2">
      <c r="A104" s="4420"/>
      <c r="B104" s="4420"/>
      <c r="C104" s="4422"/>
      <c r="D104" s="1821">
        <v>350</v>
      </c>
      <c r="E104" s="1821">
        <v>0.10100000000000001</v>
      </c>
      <c r="F104" s="1821">
        <v>108</v>
      </c>
      <c r="G104" s="1821">
        <v>8760</v>
      </c>
      <c r="H104" s="2109">
        <f t="shared" si="4"/>
        <v>95.554080000000013</v>
      </c>
    </row>
    <row r="105" spans="1:8" ht="20.100000000000001" customHeight="1" x14ac:dyDescent="0.2">
      <c r="A105" s="4420"/>
      <c r="B105" s="4420"/>
      <c r="C105" s="4422"/>
      <c r="D105" s="1821">
        <v>32</v>
      </c>
      <c r="E105" s="1821">
        <v>1.7849999999999999</v>
      </c>
      <c r="F105" s="1821">
        <v>4.4000000000000004</v>
      </c>
      <c r="G105" s="1821">
        <v>8760</v>
      </c>
      <c r="H105" s="2109">
        <f t="shared" si="4"/>
        <v>68.80104</v>
      </c>
    </row>
    <row r="106" spans="1:8" ht="20.100000000000001" customHeight="1" x14ac:dyDescent="0.2">
      <c r="A106" s="4420"/>
      <c r="B106" s="4420"/>
      <c r="C106" s="4422"/>
      <c r="D106" s="1821">
        <v>60</v>
      </c>
      <c r="E106" s="1821">
        <v>1.2150000000000001</v>
      </c>
      <c r="F106" s="1821">
        <v>10.5</v>
      </c>
      <c r="G106" s="1821">
        <v>8760</v>
      </c>
      <c r="H106" s="2109">
        <f t="shared" si="4"/>
        <v>111.75570000000002</v>
      </c>
    </row>
    <row r="107" spans="1:8" ht="20.100000000000001" customHeight="1" x14ac:dyDescent="0.2">
      <c r="A107" s="4420"/>
      <c r="B107" s="4420"/>
      <c r="C107" s="4422"/>
      <c r="D107" s="1821">
        <v>400</v>
      </c>
      <c r="E107" s="1821">
        <v>5.8502000000000001</v>
      </c>
      <c r="F107" s="1821">
        <v>117</v>
      </c>
      <c r="G107" s="1821">
        <v>8760</v>
      </c>
      <c r="H107" s="2109">
        <f t="shared" si="4"/>
        <v>5995.9869840000001</v>
      </c>
    </row>
    <row r="108" spans="1:8" ht="18.75" customHeight="1" x14ac:dyDescent="0.2">
      <c r="A108" s="4420"/>
      <c r="B108" s="4420"/>
      <c r="C108" s="4422"/>
      <c r="D108" s="4422" t="s">
        <v>54</v>
      </c>
      <c r="E108" s="4422"/>
      <c r="F108" s="4422"/>
      <c r="G108" s="4422"/>
      <c r="H108" s="2140">
        <f>SUM(H88:H107)</f>
        <v>54612.877004400005</v>
      </c>
    </row>
    <row r="109" spans="1:8" ht="20.100000000000001" customHeight="1" x14ac:dyDescent="0.2">
      <c r="A109" s="4420"/>
      <c r="B109" s="4420"/>
      <c r="C109" s="4422" t="s">
        <v>2151</v>
      </c>
      <c r="D109" s="1821" t="s">
        <v>2152</v>
      </c>
      <c r="G109" s="1821" t="s">
        <v>2127</v>
      </c>
    </row>
    <row r="110" spans="1:8" ht="20.100000000000001" customHeight="1" x14ac:dyDescent="0.2">
      <c r="A110" s="4420"/>
      <c r="B110" s="4420"/>
      <c r="C110" s="4422"/>
      <c r="D110" s="1821">
        <v>1</v>
      </c>
      <c r="E110" s="1821">
        <v>0.125</v>
      </c>
      <c r="F110" s="1821">
        <v>642</v>
      </c>
      <c r="G110" s="1821">
        <v>8760</v>
      </c>
      <c r="H110" s="2109">
        <f>F110*0.125*G110/1000</f>
        <v>702.99</v>
      </c>
    </row>
    <row r="111" spans="1:8" ht="20.100000000000001" customHeight="1" x14ac:dyDescent="0.2">
      <c r="A111" s="4420"/>
      <c r="B111" s="4420"/>
      <c r="C111" s="4422"/>
      <c r="D111" s="1821">
        <v>2</v>
      </c>
      <c r="E111" s="1821">
        <v>0.125</v>
      </c>
      <c r="F111" s="1821">
        <v>642</v>
      </c>
      <c r="G111" s="1821">
        <v>8760</v>
      </c>
      <c r="H111" s="2109">
        <f t="shared" ref="H111:H113" si="5">F111*0.125*G111/1000</f>
        <v>702.99</v>
      </c>
    </row>
    <row r="112" spans="1:8" ht="20.100000000000001" customHeight="1" x14ac:dyDescent="0.2">
      <c r="A112" s="4420"/>
      <c r="B112" s="4420"/>
      <c r="C112" s="4422"/>
      <c r="D112" s="1821">
        <v>3</v>
      </c>
      <c r="E112" s="1821">
        <v>0.125</v>
      </c>
      <c r="F112" s="1821">
        <v>325</v>
      </c>
      <c r="G112" s="1821">
        <v>8760</v>
      </c>
      <c r="H112" s="2109">
        <f t="shared" si="5"/>
        <v>355.875</v>
      </c>
    </row>
    <row r="113" spans="1:8" ht="20.100000000000001" customHeight="1" x14ac:dyDescent="0.2">
      <c r="A113" s="4420"/>
      <c r="B113" s="4420"/>
      <c r="C113" s="4422"/>
      <c r="D113" s="1821">
        <v>4</v>
      </c>
      <c r="E113" s="1821">
        <v>0.125</v>
      </c>
      <c r="F113" s="1821">
        <v>325</v>
      </c>
      <c r="G113" s="1821">
        <v>8760</v>
      </c>
      <c r="H113" s="2109">
        <f t="shared" si="5"/>
        <v>355.875</v>
      </c>
    </row>
    <row r="114" spans="1:8" ht="20.100000000000001" customHeight="1" x14ac:dyDescent="0.2">
      <c r="A114" s="4420"/>
      <c r="B114" s="4420"/>
      <c r="C114" s="4422"/>
      <c r="D114" s="4422" t="s">
        <v>54</v>
      </c>
      <c r="E114" s="4422"/>
      <c r="F114" s="4422"/>
      <c r="G114" s="4422"/>
      <c r="H114" s="2140">
        <f>SUM(H110:H113)</f>
        <v>2117.73</v>
      </c>
    </row>
    <row r="115" spans="1:8" ht="20.100000000000001" customHeight="1" x14ac:dyDescent="0.2">
      <c r="A115" s="4420"/>
      <c r="B115" s="4420"/>
      <c r="C115" s="4422" t="s">
        <v>2153</v>
      </c>
      <c r="D115" s="4422"/>
      <c r="E115" s="4422"/>
      <c r="F115" s="4422"/>
      <c r="G115" s="4422"/>
      <c r="H115" s="2140">
        <f>H114+H108</f>
        <v>56730.607004400008</v>
      </c>
    </row>
    <row r="116" spans="1:8" ht="20.100000000000001" customHeight="1" x14ac:dyDescent="0.2">
      <c r="A116" s="4420" t="s">
        <v>2154</v>
      </c>
      <c r="B116" s="4420" t="s">
        <v>2155</v>
      </c>
      <c r="C116" s="4422" t="s">
        <v>2156</v>
      </c>
      <c r="E116" s="1821">
        <v>2015</v>
      </c>
      <c r="F116" s="1821">
        <v>2016</v>
      </c>
      <c r="G116" s="1821">
        <v>2017</v>
      </c>
      <c r="H116" s="2109" t="s">
        <v>2157</v>
      </c>
    </row>
    <row r="117" spans="1:8" ht="44.25" customHeight="1" x14ac:dyDescent="0.2">
      <c r="A117" s="4420"/>
      <c r="B117" s="4420"/>
      <c r="C117" s="4422"/>
      <c r="E117" s="1821">
        <v>254</v>
      </c>
      <c r="F117" s="1821">
        <v>270</v>
      </c>
      <c r="G117" s="1821">
        <v>262</v>
      </c>
      <c r="H117" s="2140">
        <f>(E117+F117+G117)/3</f>
        <v>262</v>
      </c>
    </row>
    <row r="118" spans="1:8" ht="118.5" customHeight="1" x14ac:dyDescent="0.2">
      <c r="A118" s="4420" t="s">
        <v>2158</v>
      </c>
      <c r="B118" s="4420" t="s">
        <v>2159</v>
      </c>
      <c r="C118" s="4422" t="s">
        <v>2160</v>
      </c>
      <c r="G118" s="1821" t="s">
        <v>2161</v>
      </c>
    </row>
    <row r="119" spans="1:8" x14ac:dyDescent="0.2">
      <c r="A119" s="4420"/>
      <c r="B119" s="4420"/>
      <c r="C119" s="4422"/>
      <c r="E119" s="1821">
        <v>1.7999999999999999E-2</v>
      </c>
      <c r="F119" s="2286">
        <f>объемы!AN49*1000+объемы!AO49*1000</f>
        <v>3657570</v>
      </c>
      <c r="G119" s="2285">
        <f>'приборы учета'!C14</f>
        <v>0.72894180113699425</v>
      </c>
      <c r="H119" s="2109">
        <f>E119*F119*G119</f>
        <v>47990.801944523446</v>
      </c>
    </row>
    <row r="120" spans="1:8" ht="111.75" customHeight="1" x14ac:dyDescent="0.2">
      <c r="A120" s="4420"/>
      <c r="B120" s="4420"/>
      <c r="C120" s="4422" t="s">
        <v>2162</v>
      </c>
      <c r="G120" s="1821" t="s">
        <v>2163</v>
      </c>
    </row>
    <row r="121" spans="1:8" ht="19.5" customHeight="1" x14ac:dyDescent="0.2">
      <c r="A121" s="4420"/>
      <c r="B121" s="4420"/>
      <c r="C121" s="4422"/>
      <c r="D121" s="2287">
        <v>5140000</v>
      </c>
      <c r="E121" s="1821">
        <v>0</v>
      </c>
      <c r="F121" s="2149">
        <f>H7</f>
        <v>27239.97</v>
      </c>
      <c r="G121" s="2149">
        <f>H115</f>
        <v>56730.607004400008</v>
      </c>
      <c r="H121" s="2109">
        <f>D121-F119-(E121+F121+G121+H119)</f>
        <v>1350468.6210510766</v>
      </c>
    </row>
    <row r="122" spans="1:8" x14ac:dyDescent="0.2">
      <c r="A122" s="4420"/>
      <c r="B122" s="4420"/>
      <c r="C122" s="1821" t="s">
        <v>290</v>
      </c>
      <c r="H122" s="2109">
        <f>H121+H119</f>
        <v>1398459.4229955999</v>
      </c>
    </row>
  </sheetData>
  <mergeCells count="41"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  <mergeCell ref="B83:B84"/>
    <mergeCell ref="C83:C84"/>
    <mergeCell ref="A85:A86"/>
    <mergeCell ref="B85:B86"/>
    <mergeCell ref="C85:C86"/>
    <mergeCell ref="A69:A80"/>
    <mergeCell ref="B69:B80"/>
    <mergeCell ref="C69:C80"/>
    <mergeCell ref="A81:A82"/>
    <mergeCell ref="B81:B82"/>
    <mergeCell ref="C81:C82"/>
    <mergeCell ref="A8:A54"/>
    <mergeCell ref="B8:B54"/>
    <mergeCell ref="C8:C54"/>
    <mergeCell ref="D54:G54"/>
    <mergeCell ref="A55:A68"/>
    <mergeCell ref="B55:B68"/>
    <mergeCell ref="C55:C68"/>
    <mergeCell ref="D68:G68"/>
    <mergeCell ref="B6:G6"/>
    <mergeCell ref="D1:H1"/>
    <mergeCell ref="A2:H2"/>
    <mergeCell ref="A3:H3"/>
    <mergeCell ref="D4:H4"/>
    <mergeCell ref="B5:G5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4">
    <tabColor theme="2" tint="-0.499984740745262"/>
    <pageSetUpPr fitToPage="1"/>
  </sheetPr>
  <dimension ref="A2:BI64"/>
  <sheetViews>
    <sheetView zoomScaleNormal="100" zoomScaleSheetLayoutView="75" workbookViewId="0">
      <pane xSplit="2" ySplit="6" topLeftCell="AD37" activePane="bottomRight" state="frozen"/>
      <selection pane="topRight" activeCell="C1" sqref="C1"/>
      <selection pane="bottomLeft" activeCell="A7" sqref="A7"/>
      <selection pane="bottomRight" activeCell="BE39" sqref="BE39"/>
    </sheetView>
  </sheetViews>
  <sheetFormatPr defaultColWidth="0.85546875" defaultRowHeight="15" x14ac:dyDescent="0.25"/>
  <cols>
    <col min="1" max="1" width="6.140625" style="1236" customWidth="1"/>
    <col min="2" max="2" width="32.5703125" style="1242" customWidth="1"/>
    <col min="3" max="3" width="9.85546875" style="1236" customWidth="1"/>
    <col min="4" max="5" width="12.7109375" style="1236" hidden="1" customWidth="1"/>
    <col min="6" max="8" width="9.7109375" style="1236" hidden="1" customWidth="1"/>
    <col min="9" max="9" width="9.7109375" style="1236" customWidth="1"/>
    <col min="10" max="10" width="16.42578125" style="1236" hidden="1" customWidth="1"/>
    <col min="11" max="11" width="11.5703125" style="1236" customWidth="1"/>
    <col min="12" max="14" width="9.7109375" style="1236" customWidth="1"/>
    <col min="15" max="15" width="15.140625" style="1236" hidden="1" customWidth="1"/>
    <col min="16" max="16" width="11.5703125" style="1236" customWidth="1"/>
    <col min="17" max="30" width="11.7109375" style="1236" customWidth="1"/>
    <col min="31" max="31" width="12.7109375" style="1236" customWidth="1"/>
    <col min="32" max="32" width="9.42578125" style="1236" customWidth="1"/>
    <col min="33" max="33" width="46.85546875" style="1236" hidden="1" customWidth="1"/>
    <col min="34" max="36" width="12.7109375" style="1236" hidden="1" customWidth="1"/>
    <col min="37" max="37" width="9.28515625" style="1236" hidden="1" customWidth="1"/>
    <col min="38" max="38" width="13.5703125" style="1236" hidden="1" customWidth="1"/>
    <col min="39" max="39" width="10.28515625" style="1236" hidden="1" customWidth="1"/>
    <col min="40" max="40" width="12.85546875" style="1236" hidden="1" customWidth="1"/>
    <col min="41" max="41" width="9.140625" style="1236" hidden="1" customWidth="1"/>
    <col min="42" max="42" width="9.7109375" style="1236" hidden="1" customWidth="1"/>
    <col min="43" max="43" width="9.28515625" style="1236" hidden="1" customWidth="1"/>
    <col min="44" max="44" width="9.42578125" style="1236" hidden="1" customWidth="1"/>
    <col min="45" max="45" width="10.5703125" style="1236" hidden="1" customWidth="1"/>
    <col min="46" max="46" width="12.42578125" style="1236" hidden="1" customWidth="1"/>
    <col min="47" max="47" width="14.5703125" style="1236" hidden="1" customWidth="1"/>
    <col min="48" max="48" width="12.28515625" style="1236" hidden="1" customWidth="1"/>
    <col min="49" max="49" width="25.85546875" style="1236" hidden="1" customWidth="1"/>
    <col min="50" max="50" width="12.7109375" style="1236" customWidth="1"/>
    <col min="51" max="51" width="9.42578125" style="1236" customWidth="1"/>
    <col min="52" max="52" width="10.7109375" style="1236" customWidth="1"/>
    <col min="53" max="53" width="11.28515625" style="1236" customWidth="1"/>
    <col min="54" max="54" width="11.5703125" style="1236" customWidth="1"/>
    <col min="55" max="55" width="13" style="1236" customWidth="1"/>
    <col min="56" max="56" width="10.7109375" style="1236" customWidth="1"/>
    <col min="57" max="57" width="12.5703125" style="1236" customWidth="1"/>
    <col min="58" max="59" width="10.7109375" style="1236" customWidth="1"/>
    <col min="60" max="60" width="11.5703125" style="1236" customWidth="1"/>
    <col min="61" max="90" width="10.7109375" style="1236" customWidth="1"/>
    <col min="91" max="283" width="0.85546875" style="1236"/>
    <col min="284" max="284" width="9.85546875" style="1236" customWidth="1"/>
    <col min="285" max="285" width="81.85546875" style="1236" customWidth="1"/>
    <col min="286" max="286" width="12.7109375" style="1236" customWidth="1"/>
    <col min="287" max="287" width="12.42578125" style="1236" customWidth="1"/>
    <col min="288" max="288" width="14.5703125" style="1236" customWidth="1"/>
    <col min="289" max="289" width="12.28515625" style="1236" customWidth="1"/>
    <col min="290" max="290" width="38.140625" style="1236" customWidth="1"/>
    <col min="291" max="291" width="46.85546875" style="1236" customWidth="1"/>
    <col min="292" max="294" width="12.7109375" style="1236" customWidth="1"/>
    <col min="295" max="295" width="9.28515625" style="1236" customWidth="1"/>
    <col min="296" max="296" width="13.5703125" style="1236" customWidth="1"/>
    <col min="297" max="297" width="10.28515625" style="1236" customWidth="1"/>
    <col min="298" max="298" width="12.85546875" style="1236" customWidth="1"/>
    <col min="299" max="299" width="9.140625" style="1236" customWidth="1"/>
    <col min="300" max="300" width="9.7109375" style="1236" customWidth="1"/>
    <col min="301" max="301" width="9.28515625" style="1236" customWidth="1"/>
    <col min="302" max="302" width="9.42578125" style="1236" customWidth="1"/>
    <col min="303" max="303" width="10.5703125" style="1236" customWidth="1"/>
    <col min="304" max="304" width="12.42578125" style="1236" customWidth="1"/>
    <col min="305" max="305" width="14.5703125" style="1236" customWidth="1"/>
    <col min="306" max="306" width="12.28515625" style="1236" customWidth="1"/>
    <col min="307" max="307" width="25.85546875" style="1236" customWidth="1"/>
    <col min="308" max="539" width="0.85546875" style="1236"/>
    <col min="540" max="540" width="9.85546875" style="1236" customWidth="1"/>
    <col min="541" max="541" width="81.85546875" style="1236" customWidth="1"/>
    <col min="542" max="542" width="12.7109375" style="1236" customWidth="1"/>
    <col min="543" max="543" width="12.42578125" style="1236" customWidth="1"/>
    <col min="544" max="544" width="14.5703125" style="1236" customWidth="1"/>
    <col min="545" max="545" width="12.28515625" style="1236" customWidth="1"/>
    <col min="546" max="546" width="38.140625" style="1236" customWidth="1"/>
    <col min="547" max="547" width="46.85546875" style="1236" customWidth="1"/>
    <col min="548" max="550" width="12.7109375" style="1236" customWidth="1"/>
    <col min="551" max="551" width="9.28515625" style="1236" customWidth="1"/>
    <col min="552" max="552" width="13.5703125" style="1236" customWidth="1"/>
    <col min="553" max="553" width="10.28515625" style="1236" customWidth="1"/>
    <col min="554" max="554" width="12.85546875" style="1236" customWidth="1"/>
    <col min="555" max="555" width="9.140625" style="1236" customWidth="1"/>
    <col min="556" max="556" width="9.7109375" style="1236" customWidth="1"/>
    <col min="557" max="557" width="9.28515625" style="1236" customWidth="1"/>
    <col min="558" max="558" width="9.42578125" style="1236" customWidth="1"/>
    <col min="559" max="559" width="10.5703125" style="1236" customWidth="1"/>
    <col min="560" max="560" width="12.42578125" style="1236" customWidth="1"/>
    <col min="561" max="561" width="14.5703125" style="1236" customWidth="1"/>
    <col min="562" max="562" width="12.28515625" style="1236" customWidth="1"/>
    <col min="563" max="563" width="25.85546875" style="1236" customWidth="1"/>
    <col min="564" max="795" width="0.85546875" style="1236"/>
    <col min="796" max="796" width="9.85546875" style="1236" customWidth="1"/>
    <col min="797" max="797" width="81.85546875" style="1236" customWidth="1"/>
    <col min="798" max="798" width="12.7109375" style="1236" customWidth="1"/>
    <col min="799" max="799" width="12.42578125" style="1236" customWidth="1"/>
    <col min="800" max="800" width="14.5703125" style="1236" customWidth="1"/>
    <col min="801" max="801" width="12.28515625" style="1236" customWidth="1"/>
    <col min="802" max="802" width="38.140625" style="1236" customWidth="1"/>
    <col min="803" max="803" width="46.85546875" style="1236" customWidth="1"/>
    <col min="804" max="806" width="12.7109375" style="1236" customWidth="1"/>
    <col min="807" max="807" width="9.28515625" style="1236" customWidth="1"/>
    <col min="808" max="808" width="13.5703125" style="1236" customWidth="1"/>
    <col min="809" max="809" width="10.28515625" style="1236" customWidth="1"/>
    <col min="810" max="810" width="12.85546875" style="1236" customWidth="1"/>
    <col min="811" max="811" width="9.140625" style="1236" customWidth="1"/>
    <col min="812" max="812" width="9.7109375" style="1236" customWidth="1"/>
    <col min="813" max="813" width="9.28515625" style="1236" customWidth="1"/>
    <col min="814" max="814" width="9.42578125" style="1236" customWidth="1"/>
    <col min="815" max="815" width="10.5703125" style="1236" customWidth="1"/>
    <col min="816" max="816" width="12.42578125" style="1236" customWidth="1"/>
    <col min="817" max="817" width="14.5703125" style="1236" customWidth="1"/>
    <col min="818" max="818" width="12.28515625" style="1236" customWidth="1"/>
    <col min="819" max="819" width="25.85546875" style="1236" customWidth="1"/>
    <col min="820" max="1051" width="0.85546875" style="1236"/>
    <col min="1052" max="1052" width="9.85546875" style="1236" customWidth="1"/>
    <col min="1053" max="1053" width="81.85546875" style="1236" customWidth="1"/>
    <col min="1054" max="1054" width="12.7109375" style="1236" customWidth="1"/>
    <col min="1055" max="1055" width="12.42578125" style="1236" customWidth="1"/>
    <col min="1056" max="1056" width="14.5703125" style="1236" customWidth="1"/>
    <col min="1057" max="1057" width="12.28515625" style="1236" customWidth="1"/>
    <col min="1058" max="1058" width="38.140625" style="1236" customWidth="1"/>
    <col min="1059" max="1059" width="46.85546875" style="1236" customWidth="1"/>
    <col min="1060" max="1062" width="12.7109375" style="1236" customWidth="1"/>
    <col min="1063" max="1063" width="9.28515625" style="1236" customWidth="1"/>
    <col min="1064" max="1064" width="13.5703125" style="1236" customWidth="1"/>
    <col min="1065" max="1065" width="10.28515625" style="1236" customWidth="1"/>
    <col min="1066" max="1066" width="12.85546875" style="1236" customWidth="1"/>
    <col min="1067" max="1067" width="9.140625" style="1236" customWidth="1"/>
    <col min="1068" max="1068" width="9.7109375" style="1236" customWidth="1"/>
    <col min="1069" max="1069" width="9.28515625" style="1236" customWidth="1"/>
    <col min="1070" max="1070" width="9.42578125" style="1236" customWidth="1"/>
    <col min="1071" max="1071" width="10.5703125" style="1236" customWidth="1"/>
    <col min="1072" max="1072" width="12.42578125" style="1236" customWidth="1"/>
    <col min="1073" max="1073" width="14.5703125" style="1236" customWidth="1"/>
    <col min="1074" max="1074" width="12.28515625" style="1236" customWidth="1"/>
    <col min="1075" max="1075" width="25.85546875" style="1236" customWidth="1"/>
    <col min="1076" max="1307" width="0.85546875" style="1236"/>
    <col min="1308" max="1308" width="9.85546875" style="1236" customWidth="1"/>
    <col min="1309" max="1309" width="81.85546875" style="1236" customWidth="1"/>
    <col min="1310" max="1310" width="12.7109375" style="1236" customWidth="1"/>
    <col min="1311" max="1311" width="12.42578125" style="1236" customWidth="1"/>
    <col min="1312" max="1312" width="14.5703125" style="1236" customWidth="1"/>
    <col min="1313" max="1313" width="12.28515625" style="1236" customWidth="1"/>
    <col min="1314" max="1314" width="38.140625" style="1236" customWidth="1"/>
    <col min="1315" max="1315" width="46.85546875" style="1236" customWidth="1"/>
    <col min="1316" max="1318" width="12.7109375" style="1236" customWidth="1"/>
    <col min="1319" max="1319" width="9.28515625" style="1236" customWidth="1"/>
    <col min="1320" max="1320" width="13.5703125" style="1236" customWidth="1"/>
    <col min="1321" max="1321" width="10.28515625" style="1236" customWidth="1"/>
    <col min="1322" max="1322" width="12.85546875" style="1236" customWidth="1"/>
    <col min="1323" max="1323" width="9.140625" style="1236" customWidth="1"/>
    <col min="1324" max="1324" width="9.7109375" style="1236" customWidth="1"/>
    <col min="1325" max="1325" width="9.28515625" style="1236" customWidth="1"/>
    <col min="1326" max="1326" width="9.42578125" style="1236" customWidth="1"/>
    <col min="1327" max="1327" width="10.5703125" style="1236" customWidth="1"/>
    <col min="1328" max="1328" width="12.42578125" style="1236" customWidth="1"/>
    <col min="1329" max="1329" width="14.5703125" style="1236" customWidth="1"/>
    <col min="1330" max="1330" width="12.28515625" style="1236" customWidth="1"/>
    <col min="1331" max="1331" width="25.85546875" style="1236" customWidth="1"/>
    <col min="1332" max="1563" width="0.85546875" style="1236"/>
    <col min="1564" max="1564" width="9.85546875" style="1236" customWidth="1"/>
    <col min="1565" max="1565" width="81.85546875" style="1236" customWidth="1"/>
    <col min="1566" max="1566" width="12.7109375" style="1236" customWidth="1"/>
    <col min="1567" max="1567" width="12.42578125" style="1236" customWidth="1"/>
    <col min="1568" max="1568" width="14.5703125" style="1236" customWidth="1"/>
    <col min="1569" max="1569" width="12.28515625" style="1236" customWidth="1"/>
    <col min="1570" max="1570" width="38.140625" style="1236" customWidth="1"/>
    <col min="1571" max="1571" width="46.85546875" style="1236" customWidth="1"/>
    <col min="1572" max="1574" width="12.7109375" style="1236" customWidth="1"/>
    <col min="1575" max="1575" width="9.28515625" style="1236" customWidth="1"/>
    <col min="1576" max="1576" width="13.5703125" style="1236" customWidth="1"/>
    <col min="1577" max="1577" width="10.28515625" style="1236" customWidth="1"/>
    <col min="1578" max="1578" width="12.85546875" style="1236" customWidth="1"/>
    <col min="1579" max="1579" width="9.140625" style="1236" customWidth="1"/>
    <col min="1580" max="1580" width="9.7109375" style="1236" customWidth="1"/>
    <col min="1581" max="1581" width="9.28515625" style="1236" customWidth="1"/>
    <col min="1582" max="1582" width="9.42578125" style="1236" customWidth="1"/>
    <col min="1583" max="1583" width="10.5703125" style="1236" customWidth="1"/>
    <col min="1584" max="1584" width="12.42578125" style="1236" customWidth="1"/>
    <col min="1585" max="1585" width="14.5703125" style="1236" customWidth="1"/>
    <col min="1586" max="1586" width="12.28515625" style="1236" customWidth="1"/>
    <col min="1587" max="1587" width="25.85546875" style="1236" customWidth="1"/>
    <col min="1588" max="1819" width="0.85546875" style="1236"/>
    <col min="1820" max="1820" width="9.85546875" style="1236" customWidth="1"/>
    <col min="1821" max="1821" width="81.85546875" style="1236" customWidth="1"/>
    <col min="1822" max="1822" width="12.7109375" style="1236" customWidth="1"/>
    <col min="1823" max="1823" width="12.42578125" style="1236" customWidth="1"/>
    <col min="1824" max="1824" width="14.5703125" style="1236" customWidth="1"/>
    <col min="1825" max="1825" width="12.28515625" style="1236" customWidth="1"/>
    <col min="1826" max="1826" width="38.140625" style="1236" customWidth="1"/>
    <col min="1827" max="1827" width="46.85546875" style="1236" customWidth="1"/>
    <col min="1828" max="1830" width="12.7109375" style="1236" customWidth="1"/>
    <col min="1831" max="1831" width="9.28515625" style="1236" customWidth="1"/>
    <col min="1832" max="1832" width="13.5703125" style="1236" customWidth="1"/>
    <col min="1833" max="1833" width="10.28515625" style="1236" customWidth="1"/>
    <col min="1834" max="1834" width="12.85546875" style="1236" customWidth="1"/>
    <col min="1835" max="1835" width="9.140625" style="1236" customWidth="1"/>
    <col min="1836" max="1836" width="9.7109375" style="1236" customWidth="1"/>
    <col min="1837" max="1837" width="9.28515625" style="1236" customWidth="1"/>
    <col min="1838" max="1838" width="9.42578125" style="1236" customWidth="1"/>
    <col min="1839" max="1839" width="10.5703125" style="1236" customWidth="1"/>
    <col min="1840" max="1840" width="12.42578125" style="1236" customWidth="1"/>
    <col min="1841" max="1841" width="14.5703125" style="1236" customWidth="1"/>
    <col min="1842" max="1842" width="12.28515625" style="1236" customWidth="1"/>
    <col min="1843" max="1843" width="25.85546875" style="1236" customWidth="1"/>
    <col min="1844" max="2075" width="0.85546875" style="1236"/>
    <col min="2076" max="2076" width="9.85546875" style="1236" customWidth="1"/>
    <col min="2077" max="2077" width="81.85546875" style="1236" customWidth="1"/>
    <col min="2078" max="2078" width="12.7109375" style="1236" customWidth="1"/>
    <col min="2079" max="2079" width="12.42578125" style="1236" customWidth="1"/>
    <col min="2080" max="2080" width="14.5703125" style="1236" customWidth="1"/>
    <col min="2081" max="2081" width="12.28515625" style="1236" customWidth="1"/>
    <col min="2082" max="2082" width="38.140625" style="1236" customWidth="1"/>
    <col min="2083" max="2083" width="46.85546875" style="1236" customWidth="1"/>
    <col min="2084" max="2086" width="12.7109375" style="1236" customWidth="1"/>
    <col min="2087" max="2087" width="9.28515625" style="1236" customWidth="1"/>
    <col min="2088" max="2088" width="13.5703125" style="1236" customWidth="1"/>
    <col min="2089" max="2089" width="10.28515625" style="1236" customWidth="1"/>
    <col min="2090" max="2090" width="12.85546875" style="1236" customWidth="1"/>
    <col min="2091" max="2091" width="9.140625" style="1236" customWidth="1"/>
    <col min="2092" max="2092" width="9.7109375" style="1236" customWidth="1"/>
    <col min="2093" max="2093" width="9.28515625" style="1236" customWidth="1"/>
    <col min="2094" max="2094" width="9.42578125" style="1236" customWidth="1"/>
    <col min="2095" max="2095" width="10.5703125" style="1236" customWidth="1"/>
    <col min="2096" max="2096" width="12.42578125" style="1236" customWidth="1"/>
    <col min="2097" max="2097" width="14.5703125" style="1236" customWidth="1"/>
    <col min="2098" max="2098" width="12.28515625" style="1236" customWidth="1"/>
    <col min="2099" max="2099" width="25.85546875" style="1236" customWidth="1"/>
    <col min="2100" max="2331" width="0.85546875" style="1236"/>
    <col min="2332" max="2332" width="9.85546875" style="1236" customWidth="1"/>
    <col min="2333" max="2333" width="81.85546875" style="1236" customWidth="1"/>
    <col min="2334" max="2334" width="12.7109375" style="1236" customWidth="1"/>
    <col min="2335" max="2335" width="12.42578125" style="1236" customWidth="1"/>
    <col min="2336" max="2336" width="14.5703125" style="1236" customWidth="1"/>
    <col min="2337" max="2337" width="12.28515625" style="1236" customWidth="1"/>
    <col min="2338" max="2338" width="38.140625" style="1236" customWidth="1"/>
    <col min="2339" max="2339" width="46.85546875" style="1236" customWidth="1"/>
    <col min="2340" max="2342" width="12.7109375" style="1236" customWidth="1"/>
    <col min="2343" max="2343" width="9.28515625" style="1236" customWidth="1"/>
    <col min="2344" max="2344" width="13.5703125" style="1236" customWidth="1"/>
    <col min="2345" max="2345" width="10.28515625" style="1236" customWidth="1"/>
    <col min="2346" max="2346" width="12.85546875" style="1236" customWidth="1"/>
    <col min="2347" max="2347" width="9.140625" style="1236" customWidth="1"/>
    <col min="2348" max="2348" width="9.7109375" style="1236" customWidth="1"/>
    <col min="2349" max="2349" width="9.28515625" style="1236" customWidth="1"/>
    <col min="2350" max="2350" width="9.42578125" style="1236" customWidth="1"/>
    <col min="2351" max="2351" width="10.5703125" style="1236" customWidth="1"/>
    <col min="2352" max="2352" width="12.42578125" style="1236" customWidth="1"/>
    <col min="2353" max="2353" width="14.5703125" style="1236" customWidth="1"/>
    <col min="2354" max="2354" width="12.28515625" style="1236" customWidth="1"/>
    <col min="2355" max="2355" width="25.85546875" style="1236" customWidth="1"/>
    <col min="2356" max="2587" width="0.85546875" style="1236"/>
    <col min="2588" max="2588" width="9.85546875" style="1236" customWidth="1"/>
    <col min="2589" max="2589" width="81.85546875" style="1236" customWidth="1"/>
    <col min="2590" max="2590" width="12.7109375" style="1236" customWidth="1"/>
    <col min="2591" max="2591" width="12.42578125" style="1236" customWidth="1"/>
    <col min="2592" max="2592" width="14.5703125" style="1236" customWidth="1"/>
    <col min="2593" max="2593" width="12.28515625" style="1236" customWidth="1"/>
    <col min="2594" max="2594" width="38.140625" style="1236" customWidth="1"/>
    <col min="2595" max="2595" width="46.85546875" style="1236" customWidth="1"/>
    <col min="2596" max="2598" width="12.7109375" style="1236" customWidth="1"/>
    <col min="2599" max="2599" width="9.28515625" style="1236" customWidth="1"/>
    <col min="2600" max="2600" width="13.5703125" style="1236" customWidth="1"/>
    <col min="2601" max="2601" width="10.28515625" style="1236" customWidth="1"/>
    <col min="2602" max="2602" width="12.85546875" style="1236" customWidth="1"/>
    <col min="2603" max="2603" width="9.140625" style="1236" customWidth="1"/>
    <col min="2604" max="2604" width="9.7109375" style="1236" customWidth="1"/>
    <col min="2605" max="2605" width="9.28515625" style="1236" customWidth="1"/>
    <col min="2606" max="2606" width="9.42578125" style="1236" customWidth="1"/>
    <col min="2607" max="2607" width="10.5703125" style="1236" customWidth="1"/>
    <col min="2608" max="2608" width="12.42578125" style="1236" customWidth="1"/>
    <col min="2609" max="2609" width="14.5703125" style="1236" customWidth="1"/>
    <col min="2610" max="2610" width="12.28515625" style="1236" customWidth="1"/>
    <col min="2611" max="2611" width="25.85546875" style="1236" customWidth="1"/>
    <col min="2612" max="2843" width="0.85546875" style="1236"/>
    <col min="2844" max="2844" width="9.85546875" style="1236" customWidth="1"/>
    <col min="2845" max="2845" width="81.85546875" style="1236" customWidth="1"/>
    <col min="2846" max="2846" width="12.7109375" style="1236" customWidth="1"/>
    <col min="2847" max="2847" width="12.42578125" style="1236" customWidth="1"/>
    <col min="2848" max="2848" width="14.5703125" style="1236" customWidth="1"/>
    <col min="2849" max="2849" width="12.28515625" style="1236" customWidth="1"/>
    <col min="2850" max="2850" width="38.140625" style="1236" customWidth="1"/>
    <col min="2851" max="2851" width="46.85546875" style="1236" customWidth="1"/>
    <col min="2852" max="2854" width="12.7109375" style="1236" customWidth="1"/>
    <col min="2855" max="2855" width="9.28515625" style="1236" customWidth="1"/>
    <col min="2856" max="2856" width="13.5703125" style="1236" customWidth="1"/>
    <col min="2857" max="2857" width="10.28515625" style="1236" customWidth="1"/>
    <col min="2858" max="2858" width="12.85546875" style="1236" customWidth="1"/>
    <col min="2859" max="2859" width="9.140625" style="1236" customWidth="1"/>
    <col min="2860" max="2860" width="9.7109375" style="1236" customWidth="1"/>
    <col min="2861" max="2861" width="9.28515625" style="1236" customWidth="1"/>
    <col min="2862" max="2862" width="9.42578125" style="1236" customWidth="1"/>
    <col min="2863" max="2863" width="10.5703125" style="1236" customWidth="1"/>
    <col min="2864" max="2864" width="12.42578125" style="1236" customWidth="1"/>
    <col min="2865" max="2865" width="14.5703125" style="1236" customWidth="1"/>
    <col min="2866" max="2866" width="12.28515625" style="1236" customWidth="1"/>
    <col min="2867" max="2867" width="25.85546875" style="1236" customWidth="1"/>
    <col min="2868" max="3099" width="0.85546875" style="1236"/>
    <col min="3100" max="3100" width="9.85546875" style="1236" customWidth="1"/>
    <col min="3101" max="3101" width="81.85546875" style="1236" customWidth="1"/>
    <col min="3102" max="3102" width="12.7109375" style="1236" customWidth="1"/>
    <col min="3103" max="3103" width="12.42578125" style="1236" customWidth="1"/>
    <col min="3104" max="3104" width="14.5703125" style="1236" customWidth="1"/>
    <col min="3105" max="3105" width="12.28515625" style="1236" customWidth="1"/>
    <col min="3106" max="3106" width="38.140625" style="1236" customWidth="1"/>
    <col min="3107" max="3107" width="46.85546875" style="1236" customWidth="1"/>
    <col min="3108" max="3110" width="12.7109375" style="1236" customWidth="1"/>
    <col min="3111" max="3111" width="9.28515625" style="1236" customWidth="1"/>
    <col min="3112" max="3112" width="13.5703125" style="1236" customWidth="1"/>
    <col min="3113" max="3113" width="10.28515625" style="1236" customWidth="1"/>
    <col min="3114" max="3114" width="12.85546875" style="1236" customWidth="1"/>
    <col min="3115" max="3115" width="9.140625" style="1236" customWidth="1"/>
    <col min="3116" max="3116" width="9.7109375" style="1236" customWidth="1"/>
    <col min="3117" max="3117" width="9.28515625" style="1236" customWidth="1"/>
    <col min="3118" max="3118" width="9.42578125" style="1236" customWidth="1"/>
    <col min="3119" max="3119" width="10.5703125" style="1236" customWidth="1"/>
    <col min="3120" max="3120" width="12.42578125" style="1236" customWidth="1"/>
    <col min="3121" max="3121" width="14.5703125" style="1236" customWidth="1"/>
    <col min="3122" max="3122" width="12.28515625" style="1236" customWidth="1"/>
    <col min="3123" max="3123" width="25.85546875" style="1236" customWidth="1"/>
    <col min="3124" max="3355" width="0.85546875" style="1236"/>
    <col min="3356" max="3356" width="9.85546875" style="1236" customWidth="1"/>
    <col min="3357" max="3357" width="81.85546875" style="1236" customWidth="1"/>
    <col min="3358" max="3358" width="12.7109375" style="1236" customWidth="1"/>
    <col min="3359" max="3359" width="12.42578125" style="1236" customWidth="1"/>
    <col min="3360" max="3360" width="14.5703125" style="1236" customWidth="1"/>
    <col min="3361" max="3361" width="12.28515625" style="1236" customWidth="1"/>
    <col min="3362" max="3362" width="38.140625" style="1236" customWidth="1"/>
    <col min="3363" max="3363" width="46.85546875" style="1236" customWidth="1"/>
    <col min="3364" max="3366" width="12.7109375" style="1236" customWidth="1"/>
    <col min="3367" max="3367" width="9.28515625" style="1236" customWidth="1"/>
    <col min="3368" max="3368" width="13.5703125" style="1236" customWidth="1"/>
    <col min="3369" max="3369" width="10.28515625" style="1236" customWidth="1"/>
    <col min="3370" max="3370" width="12.85546875" style="1236" customWidth="1"/>
    <col min="3371" max="3371" width="9.140625" style="1236" customWidth="1"/>
    <col min="3372" max="3372" width="9.7109375" style="1236" customWidth="1"/>
    <col min="3373" max="3373" width="9.28515625" style="1236" customWidth="1"/>
    <col min="3374" max="3374" width="9.42578125" style="1236" customWidth="1"/>
    <col min="3375" max="3375" width="10.5703125" style="1236" customWidth="1"/>
    <col min="3376" max="3376" width="12.42578125" style="1236" customWidth="1"/>
    <col min="3377" max="3377" width="14.5703125" style="1236" customWidth="1"/>
    <col min="3378" max="3378" width="12.28515625" style="1236" customWidth="1"/>
    <col min="3379" max="3379" width="25.85546875" style="1236" customWidth="1"/>
    <col min="3380" max="3611" width="0.85546875" style="1236"/>
    <col min="3612" max="3612" width="9.85546875" style="1236" customWidth="1"/>
    <col min="3613" max="3613" width="81.85546875" style="1236" customWidth="1"/>
    <col min="3614" max="3614" width="12.7109375" style="1236" customWidth="1"/>
    <col min="3615" max="3615" width="12.42578125" style="1236" customWidth="1"/>
    <col min="3616" max="3616" width="14.5703125" style="1236" customWidth="1"/>
    <col min="3617" max="3617" width="12.28515625" style="1236" customWidth="1"/>
    <col min="3618" max="3618" width="38.140625" style="1236" customWidth="1"/>
    <col min="3619" max="3619" width="46.85546875" style="1236" customWidth="1"/>
    <col min="3620" max="3622" width="12.7109375" style="1236" customWidth="1"/>
    <col min="3623" max="3623" width="9.28515625" style="1236" customWidth="1"/>
    <col min="3624" max="3624" width="13.5703125" style="1236" customWidth="1"/>
    <col min="3625" max="3625" width="10.28515625" style="1236" customWidth="1"/>
    <col min="3626" max="3626" width="12.85546875" style="1236" customWidth="1"/>
    <col min="3627" max="3627" width="9.140625" style="1236" customWidth="1"/>
    <col min="3628" max="3628" width="9.7109375" style="1236" customWidth="1"/>
    <col min="3629" max="3629" width="9.28515625" style="1236" customWidth="1"/>
    <col min="3630" max="3630" width="9.42578125" style="1236" customWidth="1"/>
    <col min="3631" max="3631" width="10.5703125" style="1236" customWidth="1"/>
    <col min="3632" max="3632" width="12.42578125" style="1236" customWidth="1"/>
    <col min="3633" max="3633" width="14.5703125" style="1236" customWidth="1"/>
    <col min="3634" max="3634" width="12.28515625" style="1236" customWidth="1"/>
    <col min="3635" max="3635" width="25.85546875" style="1236" customWidth="1"/>
    <col min="3636" max="3867" width="0.85546875" style="1236"/>
    <col min="3868" max="3868" width="9.85546875" style="1236" customWidth="1"/>
    <col min="3869" max="3869" width="81.85546875" style="1236" customWidth="1"/>
    <col min="3870" max="3870" width="12.7109375" style="1236" customWidth="1"/>
    <col min="3871" max="3871" width="12.42578125" style="1236" customWidth="1"/>
    <col min="3872" max="3872" width="14.5703125" style="1236" customWidth="1"/>
    <col min="3873" max="3873" width="12.28515625" style="1236" customWidth="1"/>
    <col min="3874" max="3874" width="38.140625" style="1236" customWidth="1"/>
    <col min="3875" max="3875" width="46.85546875" style="1236" customWidth="1"/>
    <col min="3876" max="3878" width="12.7109375" style="1236" customWidth="1"/>
    <col min="3879" max="3879" width="9.28515625" style="1236" customWidth="1"/>
    <col min="3880" max="3880" width="13.5703125" style="1236" customWidth="1"/>
    <col min="3881" max="3881" width="10.28515625" style="1236" customWidth="1"/>
    <col min="3882" max="3882" width="12.85546875" style="1236" customWidth="1"/>
    <col min="3883" max="3883" width="9.140625" style="1236" customWidth="1"/>
    <col min="3884" max="3884" width="9.7109375" style="1236" customWidth="1"/>
    <col min="3885" max="3885" width="9.28515625" style="1236" customWidth="1"/>
    <col min="3886" max="3886" width="9.42578125" style="1236" customWidth="1"/>
    <col min="3887" max="3887" width="10.5703125" style="1236" customWidth="1"/>
    <col min="3888" max="3888" width="12.42578125" style="1236" customWidth="1"/>
    <col min="3889" max="3889" width="14.5703125" style="1236" customWidth="1"/>
    <col min="3890" max="3890" width="12.28515625" style="1236" customWidth="1"/>
    <col min="3891" max="3891" width="25.85546875" style="1236" customWidth="1"/>
    <col min="3892" max="4123" width="0.85546875" style="1236"/>
    <col min="4124" max="4124" width="9.85546875" style="1236" customWidth="1"/>
    <col min="4125" max="4125" width="81.85546875" style="1236" customWidth="1"/>
    <col min="4126" max="4126" width="12.7109375" style="1236" customWidth="1"/>
    <col min="4127" max="4127" width="12.42578125" style="1236" customWidth="1"/>
    <col min="4128" max="4128" width="14.5703125" style="1236" customWidth="1"/>
    <col min="4129" max="4129" width="12.28515625" style="1236" customWidth="1"/>
    <col min="4130" max="4130" width="38.140625" style="1236" customWidth="1"/>
    <col min="4131" max="4131" width="46.85546875" style="1236" customWidth="1"/>
    <col min="4132" max="4134" width="12.7109375" style="1236" customWidth="1"/>
    <col min="4135" max="4135" width="9.28515625" style="1236" customWidth="1"/>
    <col min="4136" max="4136" width="13.5703125" style="1236" customWidth="1"/>
    <col min="4137" max="4137" width="10.28515625" style="1236" customWidth="1"/>
    <col min="4138" max="4138" width="12.85546875" style="1236" customWidth="1"/>
    <col min="4139" max="4139" width="9.140625" style="1236" customWidth="1"/>
    <col min="4140" max="4140" width="9.7109375" style="1236" customWidth="1"/>
    <col min="4141" max="4141" width="9.28515625" style="1236" customWidth="1"/>
    <col min="4142" max="4142" width="9.42578125" style="1236" customWidth="1"/>
    <col min="4143" max="4143" width="10.5703125" style="1236" customWidth="1"/>
    <col min="4144" max="4144" width="12.42578125" style="1236" customWidth="1"/>
    <col min="4145" max="4145" width="14.5703125" style="1236" customWidth="1"/>
    <col min="4146" max="4146" width="12.28515625" style="1236" customWidth="1"/>
    <col min="4147" max="4147" width="25.85546875" style="1236" customWidth="1"/>
    <col min="4148" max="4379" width="0.85546875" style="1236"/>
    <col min="4380" max="4380" width="9.85546875" style="1236" customWidth="1"/>
    <col min="4381" max="4381" width="81.85546875" style="1236" customWidth="1"/>
    <col min="4382" max="4382" width="12.7109375" style="1236" customWidth="1"/>
    <col min="4383" max="4383" width="12.42578125" style="1236" customWidth="1"/>
    <col min="4384" max="4384" width="14.5703125" style="1236" customWidth="1"/>
    <col min="4385" max="4385" width="12.28515625" style="1236" customWidth="1"/>
    <col min="4386" max="4386" width="38.140625" style="1236" customWidth="1"/>
    <col min="4387" max="4387" width="46.85546875" style="1236" customWidth="1"/>
    <col min="4388" max="4390" width="12.7109375" style="1236" customWidth="1"/>
    <col min="4391" max="4391" width="9.28515625" style="1236" customWidth="1"/>
    <col min="4392" max="4392" width="13.5703125" style="1236" customWidth="1"/>
    <col min="4393" max="4393" width="10.28515625" style="1236" customWidth="1"/>
    <col min="4394" max="4394" width="12.85546875" style="1236" customWidth="1"/>
    <col min="4395" max="4395" width="9.140625" style="1236" customWidth="1"/>
    <col min="4396" max="4396" width="9.7109375" style="1236" customWidth="1"/>
    <col min="4397" max="4397" width="9.28515625" style="1236" customWidth="1"/>
    <col min="4398" max="4398" width="9.42578125" style="1236" customWidth="1"/>
    <col min="4399" max="4399" width="10.5703125" style="1236" customWidth="1"/>
    <col min="4400" max="4400" width="12.42578125" style="1236" customWidth="1"/>
    <col min="4401" max="4401" width="14.5703125" style="1236" customWidth="1"/>
    <col min="4402" max="4402" width="12.28515625" style="1236" customWidth="1"/>
    <col min="4403" max="4403" width="25.85546875" style="1236" customWidth="1"/>
    <col min="4404" max="4635" width="0.85546875" style="1236"/>
    <col min="4636" max="4636" width="9.85546875" style="1236" customWidth="1"/>
    <col min="4637" max="4637" width="81.85546875" style="1236" customWidth="1"/>
    <col min="4638" max="4638" width="12.7109375" style="1236" customWidth="1"/>
    <col min="4639" max="4639" width="12.42578125" style="1236" customWidth="1"/>
    <col min="4640" max="4640" width="14.5703125" style="1236" customWidth="1"/>
    <col min="4641" max="4641" width="12.28515625" style="1236" customWidth="1"/>
    <col min="4642" max="4642" width="38.140625" style="1236" customWidth="1"/>
    <col min="4643" max="4643" width="46.85546875" style="1236" customWidth="1"/>
    <col min="4644" max="4646" width="12.7109375" style="1236" customWidth="1"/>
    <col min="4647" max="4647" width="9.28515625" style="1236" customWidth="1"/>
    <col min="4648" max="4648" width="13.5703125" style="1236" customWidth="1"/>
    <col min="4649" max="4649" width="10.28515625" style="1236" customWidth="1"/>
    <col min="4650" max="4650" width="12.85546875" style="1236" customWidth="1"/>
    <col min="4651" max="4651" width="9.140625" style="1236" customWidth="1"/>
    <col min="4652" max="4652" width="9.7109375" style="1236" customWidth="1"/>
    <col min="4653" max="4653" width="9.28515625" style="1236" customWidth="1"/>
    <col min="4654" max="4654" width="9.42578125" style="1236" customWidth="1"/>
    <col min="4655" max="4655" width="10.5703125" style="1236" customWidth="1"/>
    <col min="4656" max="4656" width="12.42578125" style="1236" customWidth="1"/>
    <col min="4657" max="4657" width="14.5703125" style="1236" customWidth="1"/>
    <col min="4658" max="4658" width="12.28515625" style="1236" customWidth="1"/>
    <col min="4659" max="4659" width="25.85546875" style="1236" customWidth="1"/>
    <col min="4660" max="4891" width="0.85546875" style="1236"/>
    <col min="4892" max="4892" width="9.85546875" style="1236" customWidth="1"/>
    <col min="4893" max="4893" width="81.85546875" style="1236" customWidth="1"/>
    <col min="4894" max="4894" width="12.7109375" style="1236" customWidth="1"/>
    <col min="4895" max="4895" width="12.42578125" style="1236" customWidth="1"/>
    <col min="4896" max="4896" width="14.5703125" style="1236" customWidth="1"/>
    <col min="4897" max="4897" width="12.28515625" style="1236" customWidth="1"/>
    <col min="4898" max="4898" width="38.140625" style="1236" customWidth="1"/>
    <col min="4899" max="4899" width="46.85546875" style="1236" customWidth="1"/>
    <col min="4900" max="4902" width="12.7109375" style="1236" customWidth="1"/>
    <col min="4903" max="4903" width="9.28515625" style="1236" customWidth="1"/>
    <col min="4904" max="4904" width="13.5703125" style="1236" customWidth="1"/>
    <col min="4905" max="4905" width="10.28515625" style="1236" customWidth="1"/>
    <col min="4906" max="4906" width="12.85546875" style="1236" customWidth="1"/>
    <col min="4907" max="4907" width="9.140625" style="1236" customWidth="1"/>
    <col min="4908" max="4908" width="9.7109375" style="1236" customWidth="1"/>
    <col min="4909" max="4909" width="9.28515625" style="1236" customWidth="1"/>
    <col min="4910" max="4910" width="9.42578125" style="1236" customWidth="1"/>
    <col min="4911" max="4911" width="10.5703125" style="1236" customWidth="1"/>
    <col min="4912" max="4912" width="12.42578125" style="1236" customWidth="1"/>
    <col min="4913" max="4913" width="14.5703125" style="1236" customWidth="1"/>
    <col min="4914" max="4914" width="12.28515625" style="1236" customWidth="1"/>
    <col min="4915" max="4915" width="25.85546875" style="1236" customWidth="1"/>
    <col min="4916" max="5147" width="0.85546875" style="1236"/>
    <col min="5148" max="5148" width="9.85546875" style="1236" customWidth="1"/>
    <col min="5149" max="5149" width="81.85546875" style="1236" customWidth="1"/>
    <col min="5150" max="5150" width="12.7109375" style="1236" customWidth="1"/>
    <col min="5151" max="5151" width="12.42578125" style="1236" customWidth="1"/>
    <col min="5152" max="5152" width="14.5703125" style="1236" customWidth="1"/>
    <col min="5153" max="5153" width="12.28515625" style="1236" customWidth="1"/>
    <col min="5154" max="5154" width="38.140625" style="1236" customWidth="1"/>
    <col min="5155" max="5155" width="46.85546875" style="1236" customWidth="1"/>
    <col min="5156" max="5158" width="12.7109375" style="1236" customWidth="1"/>
    <col min="5159" max="5159" width="9.28515625" style="1236" customWidth="1"/>
    <col min="5160" max="5160" width="13.5703125" style="1236" customWidth="1"/>
    <col min="5161" max="5161" width="10.28515625" style="1236" customWidth="1"/>
    <col min="5162" max="5162" width="12.85546875" style="1236" customWidth="1"/>
    <col min="5163" max="5163" width="9.140625" style="1236" customWidth="1"/>
    <col min="5164" max="5164" width="9.7109375" style="1236" customWidth="1"/>
    <col min="5165" max="5165" width="9.28515625" style="1236" customWidth="1"/>
    <col min="5166" max="5166" width="9.42578125" style="1236" customWidth="1"/>
    <col min="5167" max="5167" width="10.5703125" style="1236" customWidth="1"/>
    <col min="5168" max="5168" width="12.42578125" style="1236" customWidth="1"/>
    <col min="5169" max="5169" width="14.5703125" style="1236" customWidth="1"/>
    <col min="5170" max="5170" width="12.28515625" style="1236" customWidth="1"/>
    <col min="5171" max="5171" width="25.85546875" style="1236" customWidth="1"/>
    <col min="5172" max="5403" width="0.85546875" style="1236"/>
    <col min="5404" max="5404" width="9.85546875" style="1236" customWidth="1"/>
    <col min="5405" max="5405" width="81.85546875" style="1236" customWidth="1"/>
    <col min="5406" max="5406" width="12.7109375" style="1236" customWidth="1"/>
    <col min="5407" max="5407" width="12.42578125" style="1236" customWidth="1"/>
    <col min="5408" max="5408" width="14.5703125" style="1236" customWidth="1"/>
    <col min="5409" max="5409" width="12.28515625" style="1236" customWidth="1"/>
    <col min="5410" max="5410" width="38.140625" style="1236" customWidth="1"/>
    <col min="5411" max="5411" width="46.85546875" style="1236" customWidth="1"/>
    <col min="5412" max="5414" width="12.7109375" style="1236" customWidth="1"/>
    <col min="5415" max="5415" width="9.28515625" style="1236" customWidth="1"/>
    <col min="5416" max="5416" width="13.5703125" style="1236" customWidth="1"/>
    <col min="5417" max="5417" width="10.28515625" style="1236" customWidth="1"/>
    <col min="5418" max="5418" width="12.85546875" style="1236" customWidth="1"/>
    <col min="5419" max="5419" width="9.140625" style="1236" customWidth="1"/>
    <col min="5420" max="5420" width="9.7109375" style="1236" customWidth="1"/>
    <col min="5421" max="5421" width="9.28515625" style="1236" customWidth="1"/>
    <col min="5422" max="5422" width="9.42578125" style="1236" customWidth="1"/>
    <col min="5423" max="5423" width="10.5703125" style="1236" customWidth="1"/>
    <col min="5424" max="5424" width="12.42578125" style="1236" customWidth="1"/>
    <col min="5425" max="5425" width="14.5703125" style="1236" customWidth="1"/>
    <col min="5426" max="5426" width="12.28515625" style="1236" customWidth="1"/>
    <col min="5427" max="5427" width="25.85546875" style="1236" customWidth="1"/>
    <col min="5428" max="5659" width="0.85546875" style="1236"/>
    <col min="5660" max="5660" width="9.85546875" style="1236" customWidth="1"/>
    <col min="5661" max="5661" width="81.85546875" style="1236" customWidth="1"/>
    <col min="5662" max="5662" width="12.7109375" style="1236" customWidth="1"/>
    <col min="5663" max="5663" width="12.42578125" style="1236" customWidth="1"/>
    <col min="5664" max="5664" width="14.5703125" style="1236" customWidth="1"/>
    <col min="5665" max="5665" width="12.28515625" style="1236" customWidth="1"/>
    <col min="5666" max="5666" width="38.140625" style="1236" customWidth="1"/>
    <col min="5667" max="5667" width="46.85546875" style="1236" customWidth="1"/>
    <col min="5668" max="5670" width="12.7109375" style="1236" customWidth="1"/>
    <col min="5671" max="5671" width="9.28515625" style="1236" customWidth="1"/>
    <col min="5672" max="5672" width="13.5703125" style="1236" customWidth="1"/>
    <col min="5673" max="5673" width="10.28515625" style="1236" customWidth="1"/>
    <col min="5674" max="5674" width="12.85546875" style="1236" customWidth="1"/>
    <col min="5675" max="5675" width="9.140625" style="1236" customWidth="1"/>
    <col min="5676" max="5676" width="9.7109375" style="1236" customWidth="1"/>
    <col min="5677" max="5677" width="9.28515625" style="1236" customWidth="1"/>
    <col min="5678" max="5678" width="9.42578125" style="1236" customWidth="1"/>
    <col min="5679" max="5679" width="10.5703125" style="1236" customWidth="1"/>
    <col min="5680" max="5680" width="12.42578125" style="1236" customWidth="1"/>
    <col min="5681" max="5681" width="14.5703125" style="1236" customWidth="1"/>
    <col min="5682" max="5682" width="12.28515625" style="1236" customWidth="1"/>
    <col min="5683" max="5683" width="25.85546875" style="1236" customWidth="1"/>
    <col min="5684" max="5915" width="0.85546875" style="1236"/>
    <col min="5916" max="5916" width="9.85546875" style="1236" customWidth="1"/>
    <col min="5917" max="5917" width="81.85546875" style="1236" customWidth="1"/>
    <col min="5918" max="5918" width="12.7109375" style="1236" customWidth="1"/>
    <col min="5919" max="5919" width="12.42578125" style="1236" customWidth="1"/>
    <col min="5920" max="5920" width="14.5703125" style="1236" customWidth="1"/>
    <col min="5921" max="5921" width="12.28515625" style="1236" customWidth="1"/>
    <col min="5922" max="5922" width="38.140625" style="1236" customWidth="1"/>
    <col min="5923" max="5923" width="46.85546875" style="1236" customWidth="1"/>
    <col min="5924" max="5926" width="12.7109375" style="1236" customWidth="1"/>
    <col min="5927" max="5927" width="9.28515625" style="1236" customWidth="1"/>
    <col min="5928" max="5928" width="13.5703125" style="1236" customWidth="1"/>
    <col min="5929" max="5929" width="10.28515625" style="1236" customWidth="1"/>
    <col min="5930" max="5930" width="12.85546875" style="1236" customWidth="1"/>
    <col min="5931" max="5931" width="9.140625" style="1236" customWidth="1"/>
    <col min="5932" max="5932" width="9.7109375" style="1236" customWidth="1"/>
    <col min="5933" max="5933" width="9.28515625" style="1236" customWidth="1"/>
    <col min="5934" max="5934" width="9.42578125" style="1236" customWidth="1"/>
    <col min="5935" max="5935" width="10.5703125" style="1236" customWidth="1"/>
    <col min="5936" max="5936" width="12.42578125" style="1236" customWidth="1"/>
    <col min="5937" max="5937" width="14.5703125" style="1236" customWidth="1"/>
    <col min="5938" max="5938" width="12.28515625" style="1236" customWidth="1"/>
    <col min="5939" max="5939" width="25.85546875" style="1236" customWidth="1"/>
    <col min="5940" max="6171" width="0.85546875" style="1236"/>
    <col min="6172" max="6172" width="9.85546875" style="1236" customWidth="1"/>
    <col min="6173" max="6173" width="81.85546875" style="1236" customWidth="1"/>
    <col min="6174" max="6174" width="12.7109375" style="1236" customWidth="1"/>
    <col min="6175" max="6175" width="12.42578125" style="1236" customWidth="1"/>
    <col min="6176" max="6176" width="14.5703125" style="1236" customWidth="1"/>
    <col min="6177" max="6177" width="12.28515625" style="1236" customWidth="1"/>
    <col min="6178" max="6178" width="38.140625" style="1236" customWidth="1"/>
    <col min="6179" max="6179" width="46.85546875" style="1236" customWidth="1"/>
    <col min="6180" max="6182" width="12.7109375" style="1236" customWidth="1"/>
    <col min="6183" max="6183" width="9.28515625" style="1236" customWidth="1"/>
    <col min="6184" max="6184" width="13.5703125" style="1236" customWidth="1"/>
    <col min="6185" max="6185" width="10.28515625" style="1236" customWidth="1"/>
    <col min="6186" max="6186" width="12.85546875" style="1236" customWidth="1"/>
    <col min="6187" max="6187" width="9.140625" style="1236" customWidth="1"/>
    <col min="6188" max="6188" width="9.7109375" style="1236" customWidth="1"/>
    <col min="6189" max="6189" width="9.28515625" style="1236" customWidth="1"/>
    <col min="6190" max="6190" width="9.42578125" style="1236" customWidth="1"/>
    <col min="6191" max="6191" width="10.5703125" style="1236" customWidth="1"/>
    <col min="6192" max="6192" width="12.42578125" style="1236" customWidth="1"/>
    <col min="6193" max="6193" width="14.5703125" style="1236" customWidth="1"/>
    <col min="6194" max="6194" width="12.28515625" style="1236" customWidth="1"/>
    <col min="6195" max="6195" width="25.85546875" style="1236" customWidth="1"/>
    <col min="6196" max="6427" width="0.85546875" style="1236"/>
    <col min="6428" max="6428" width="9.85546875" style="1236" customWidth="1"/>
    <col min="6429" max="6429" width="81.85546875" style="1236" customWidth="1"/>
    <col min="6430" max="6430" width="12.7109375" style="1236" customWidth="1"/>
    <col min="6431" max="6431" width="12.42578125" style="1236" customWidth="1"/>
    <col min="6432" max="6432" width="14.5703125" style="1236" customWidth="1"/>
    <col min="6433" max="6433" width="12.28515625" style="1236" customWidth="1"/>
    <col min="6434" max="6434" width="38.140625" style="1236" customWidth="1"/>
    <col min="6435" max="6435" width="46.85546875" style="1236" customWidth="1"/>
    <col min="6436" max="6438" width="12.7109375" style="1236" customWidth="1"/>
    <col min="6439" max="6439" width="9.28515625" style="1236" customWidth="1"/>
    <col min="6440" max="6440" width="13.5703125" style="1236" customWidth="1"/>
    <col min="6441" max="6441" width="10.28515625" style="1236" customWidth="1"/>
    <col min="6442" max="6442" width="12.85546875" style="1236" customWidth="1"/>
    <col min="6443" max="6443" width="9.140625" style="1236" customWidth="1"/>
    <col min="6444" max="6444" width="9.7109375" style="1236" customWidth="1"/>
    <col min="6445" max="6445" width="9.28515625" style="1236" customWidth="1"/>
    <col min="6446" max="6446" width="9.42578125" style="1236" customWidth="1"/>
    <col min="6447" max="6447" width="10.5703125" style="1236" customWidth="1"/>
    <col min="6448" max="6448" width="12.42578125" style="1236" customWidth="1"/>
    <col min="6449" max="6449" width="14.5703125" style="1236" customWidth="1"/>
    <col min="6450" max="6450" width="12.28515625" style="1236" customWidth="1"/>
    <col min="6451" max="6451" width="25.85546875" style="1236" customWidth="1"/>
    <col min="6452" max="6683" width="0.85546875" style="1236"/>
    <col min="6684" max="6684" width="9.85546875" style="1236" customWidth="1"/>
    <col min="6685" max="6685" width="81.85546875" style="1236" customWidth="1"/>
    <col min="6686" max="6686" width="12.7109375" style="1236" customWidth="1"/>
    <col min="6687" max="6687" width="12.42578125" style="1236" customWidth="1"/>
    <col min="6688" max="6688" width="14.5703125" style="1236" customWidth="1"/>
    <col min="6689" max="6689" width="12.28515625" style="1236" customWidth="1"/>
    <col min="6690" max="6690" width="38.140625" style="1236" customWidth="1"/>
    <col min="6691" max="6691" width="46.85546875" style="1236" customWidth="1"/>
    <col min="6692" max="6694" width="12.7109375" style="1236" customWidth="1"/>
    <col min="6695" max="6695" width="9.28515625" style="1236" customWidth="1"/>
    <col min="6696" max="6696" width="13.5703125" style="1236" customWidth="1"/>
    <col min="6697" max="6697" width="10.28515625" style="1236" customWidth="1"/>
    <col min="6698" max="6698" width="12.85546875" style="1236" customWidth="1"/>
    <col min="6699" max="6699" width="9.140625" style="1236" customWidth="1"/>
    <col min="6700" max="6700" width="9.7109375" style="1236" customWidth="1"/>
    <col min="6701" max="6701" width="9.28515625" style="1236" customWidth="1"/>
    <col min="6702" max="6702" width="9.42578125" style="1236" customWidth="1"/>
    <col min="6703" max="6703" width="10.5703125" style="1236" customWidth="1"/>
    <col min="6704" max="6704" width="12.42578125" style="1236" customWidth="1"/>
    <col min="6705" max="6705" width="14.5703125" style="1236" customWidth="1"/>
    <col min="6706" max="6706" width="12.28515625" style="1236" customWidth="1"/>
    <col min="6707" max="6707" width="25.85546875" style="1236" customWidth="1"/>
    <col min="6708" max="6939" width="0.85546875" style="1236"/>
    <col min="6940" max="6940" width="9.85546875" style="1236" customWidth="1"/>
    <col min="6941" max="6941" width="81.85546875" style="1236" customWidth="1"/>
    <col min="6942" max="6942" width="12.7109375" style="1236" customWidth="1"/>
    <col min="6943" max="6943" width="12.42578125" style="1236" customWidth="1"/>
    <col min="6944" max="6944" width="14.5703125" style="1236" customWidth="1"/>
    <col min="6945" max="6945" width="12.28515625" style="1236" customWidth="1"/>
    <col min="6946" max="6946" width="38.140625" style="1236" customWidth="1"/>
    <col min="6947" max="6947" width="46.85546875" style="1236" customWidth="1"/>
    <col min="6948" max="6950" width="12.7109375" style="1236" customWidth="1"/>
    <col min="6951" max="6951" width="9.28515625" style="1236" customWidth="1"/>
    <col min="6952" max="6952" width="13.5703125" style="1236" customWidth="1"/>
    <col min="6953" max="6953" width="10.28515625" style="1236" customWidth="1"/>
    <col min="6954" max="6954" width="12.85546875" style="1236" customWidth="1"/>
    <col min="6955" max="6955" width="9.140625" style="1236" customWidth="1"/>
    <col min="6956" max="6956" width="9.7109375" style="1236" customWidth="1"/>
    <col min="6957" max="6957" width="9.28515625" style="1236" customWidth="1"/>
    <col min="6958" max="6958" width="9.42578125" style="1236" customWidth="1"/>
    <col min="6959" max="6959" width="10.5703125" style="1236" customWidth="1"/>
    <col min="6960" max="6960" width="12.42578125" style="1236" customWidth="1"/>
    <col min="6961" max="6961" width="14.5703125" style="1236" customWidth="1"/>
    <col min="6962" max="6962" width="12.28515625" style="1236" customWidth="1"/>
    <col min="6963" max="6963" width="25.85546875" style="1236" customWidth="1"/>
    <col min="6964" max="7195" width="0.85546875" style="1236"/>
    <col min="7196" max="7196" width="9.85546875" style="1236" customWidth="1"/>
    <col min="7197" max="7197" width="81.85546875" style="1236" customWidth="1"/>
    <col min="7198" max="7198" width="12.7109375" style="1236" customWidth="1"/>
    <col min="7199" max="7199" width="12.42578125" style="1236" customWidth="1"/>
    <col min="7200" max="7200" width="14.5703125" style="1236" customWidth="1"/>
    <col min="7201" max="7201" width="12.28515625" style="1236" customWidth="1"/>
    <col min="7202" max="7202" width="38.140625" style="1236" customWidth="1"/>
    <col min="7203" max="7203" width="46.85546875" style="1236" customWidth="1"/>
    <col min="7204" max="7206" width="12.7109375" style="1236" customWidth="1"/>
    <col min="7207" max="7207" width="9.28515625" style="1236" customWidth="1"/>
    <col min="7208" max="7208" width="13.5703125" style="1236" customWidth="1"/>
    <col min="7209" max="7209" width="10.28515625" style="1236" customWidth="1"/>
    <col min="7210" max="7210" width="12.85546875" style="1236" customWidth="1"/>
    <col min="7211" max="7211" width="9.140625" style="1236" customWidth="1"/>
    <col min="7212" max="7212" width="9.7109375" style="1236" customWidth="1"/>
    <col min="7213" max="7213" width="9.28515625" style="1236" customWidth="1"/>
    <col min="7214" max="7214" width="9.42578125" style="1236" customWidth="1"/>
    <col min="7215" max="7215" width="10.5703125" style="1236" customWidth="1"/>
    <col min="7216" max="7216" width="12.42578125" style="1236" customWidth="1"/>
    <col min="7217" max="7217" width="14.5703125" style="1236" customWidth="1"/>
    <col min="7218" max="7218" width="12.28515625" style="1236" customWidth="1"/>
    <col min="7219" max="7219" width="25.85546875" style="1236" customWidth="1"/>
    <col min="7220" max="7451" width="0.85546875" style="1236"/>
    <col min="7452" max="7452" width="9.85546875" style="1236" customWidth="1"/>
    <col min="7453" max="7453" width="81.85546875" style="1236" customWidth="1"/>
    <col min="7454" max="7454" width="12.7109375" style="1236" customWidth="1"/>
    <col min="7455" max="7455" width="12.42578125" style="1236" customWidth="1"/>
    <col min="7456" max="7456" width="14.5703125" style="1236" customWidth="1"/>
    <col min="7457" max="7457" width="12.28515625" style="1236" customWidth="1"/>
    <col min="7458" max="7458" width="38.140625" style="1236" customWidth="1"/>
    <col min="7459" max="7459" width="46.85546875" style="1236" customWidth="1"/>
    <col min="7460" max="7462" width="12.7109375" style="1236" customWidth="1"/>
    <col min="7463" max="7463" width="9.28515625" style="1236" customWidth="1"/>
    <col min="7464" max="7464" width="13.5703125" style="1236" customWidth="1"/>
    <col min="7465" max="7465" width="10.28515625" style="1236" customWidth="1"/>
    <col min="7466" max="7466" width="12.85546875" style="1236" customWidth="1"/>
    <col min="7467" max="7467" width="9.140625" style="1236" customWidth="1"/>
    <col min="7468" max="7468" width="9.7109375" style="1236" customWidth="1"/>
    <col min="7469" max="7469" width="9.28515625" style="1236" customWidth="1"/>
    <col min="7470" max="7470" width="9.42578125" style="1236" customWidth="1"/>
    <col min="7471" max="7471" width="10.5703125" style="1236" customWidth="1"/>
    <col min="7472" max="7472" width="12.42578125" style="1236" customWidth="1"/>
    <col min="7473" max="7473" width="14.5703125" style="1236" customWidth="1"/>
    <col min="7474" max="7474" width="12.28515625" style="1236" customWidth="1"/>
    <col min="7475" max="7475" width="25.85546875" style="1236" customWidth="1"/>
    <col min="7476" max="7707" width="0.85546875" style="1236"/>
    <col min="7708" max="7708" width="9.85546875" style="1236" customWidth="1"/>
    <col min="7709" max="7709" width="81.85546875" style="1236" customWidth="1"/>
    <col min="7710" max="7710" width="12.7109375" style="1236" customWidth="1"/>
    <col min="7711" max="7711" width="12.42578125" style="1236" customWidth="1"/>
    <col min="7712" max="7712" width="14.5703125" style="1236" customWidth="1"/>
    <col min="7713" max="7713" width="12.28515625" style="1236" customWidth="1"/>
    <col min="7714" max="7714" width="38.140625" style="1236" customWidth="1"/>
    <col min="7715" max="7715" width="46.85546875" style="1236" customWidth="1"/>
    <col min="7716" max="7718" width="12.7109375" style="1236" customWidth="1"/>
    <col min="7719" max="7719" width="9.28515625" style="1236" customWidth="1"/>
    <col min="7720" max="7720" width="13.5703125" style="1236" customWidth="1"/>
    <col min="7721" max="7721" width="10.28515625" style="1236" customWidth="1"/>
    <col min="7722" max="7722" width="12.85546875" style="1236" customWidth="1"/>
    <col min="7723" max="7723" width="9.140625" style="1236" customWidth="1"/>
    <col min="7724" max="7724" width="9.7109375" style="1236" customWidth="1"/>
    <col min="7725" max="7725" width="9.28515625" style="1236" customWidth="1"/>
    <col min="7726" max="7726" width="9.42578125" style="1236" customWidth="1"/>
    <col min="7727" max="7727" width="10.5703125" style="1236" customWidth="1"/>
    <col min="7728" max="7728" width="12.42578125" style="1236" customWidth="1"/>
    <col min="7729" max="7729" width="14.5703125" style="1236" customWidth="1"/>
    <col min="7730" max="7730" width="12.28515625" style="1236" customWidth="1"/>
    <col min="7731" max="7731" width="25.85546875" style="1236" customWidth="1"/>
    <col min="7732" max="7963" width="0.85546875" style="1236"/>
    <col min="7964" max="7964" width="9.85546875" style="1236" customWidth="1"/>
    <col min="7965" max="7965" width="81.85546875" style="1236" customWidth="1"/>
    <col min="7966" max="7966" width="12.7109375" style="1236" customWidth="1"/>
    <col min="7967" max="7967" width="12.42578125" style="1236" customWidth="1"/>
    <col min="7968" max="7968" width="14.5703125" style="1236" customWidth="1"/>
    <col min="7969" max="7969" width="12.28515625" style="1236" customWidth="1"/>
    <col min="7970" max="7970" width="38.140625" style="1236" customWidth="1"/>
    <col min="7971" max="7971" width="46.85546875" style="1236" customWidth="1"/>
    <col min="7972" max="7974" width="12.7109375" style="1236" customWidth="1"/>
    <col min="7975" max="7975" width="9.28515625" style="1236" customWidth="1"/>
    <col min="7976" max="7976" width="13.5703125" style="1236" customWidth="1"/>
    <col min="7977" max="7977" width="10.28515625" style="1236" customWidth="1"/>
    <col min="7978" max="7978" width="12.85546875" style="1236" customWidth="1"/>
    <col min="7979" max="7979" width="9.140625" style="1236" customWidth="1"/>
    <col min="7980" max="7980" width="9.7109375" style="1236" customWidth="1"/>
    <col min="7981" max="7981" width="9.28515625" style="1236" customWidth="1"/>
    <col min="7982" max="7982" width="9.42578125" style="1236" customWidth="1"/>
    <col min="7983" max="7983" width="10.5703125" style="1236" customWidth="1"/>
    <col min="7984" max="7984" width="12.42578125" style="1236" customWidth="1"/>
    <col min="7985" max="7985" width="14.5703125" style="1236" customWidth="1"/>
    <col min="7986" max="7986" width="12.28515625" style="1236" customWidth="1"/>
    <col min="7987" max="7987" width="25.85546875" style="1236" customWidth="1"/>
    <col min="7988" max="8219" width="0.85546875" style="1236"/>
    <col min="8220" max="8220" width="9.85546875" style="1236" customWidth="1"/>
    <col min="8221" max="8221" width="81.85546875" style="1236" customWidth="1"/>
    <col min="8222" max="8222" width="12.7109375" style="1236" customWidth="1"/>
    <col min="8223" max="8223" width="12.42578125" style="1236" customWidth="1"/>
    <col min="8224" max="8224" width="14.5703125" style="1236" customWidth="1"/>
    <col min="8225" max="8225" width="12.28515625" style="1236" customWidth="1"/>
    <col min="8226" max="8226" width="38.140625" style="1236" customWidth="1"/>
    <col min="8227" max="8227" width="46.85546875" style="1236" customWidth="1"/>
    <col min="8228" max="8230" width="12.7109375" style="1236" customWidth="1"/>
    <col min="8231" max="8231" width="9.28515625" style="1236" customWidth="1"/>
    <col min="8232" max="8232" width="13.5703125" style="1236" customWidth="1"/>
    <col min="8233" max="8233" width="10.28515625" style="1236" customWidth="1"/>
    <col min="8234" max="8234" width="12.85546875" style="1236" customWidth="1"/>
    <col min="8235" max="8235" width="9.140625" style="1236" customWidth="1"/>
    <col min="8236" max="8236" width="9.7109375" style="1236" customWidth="1"/>
    <col min="8237" max="8237" width="9.28515625" style="1236" customWidth="1"/>
    <col min="8238" max="8238" width="9.42578125" style="1236" customWidth="1"/>
    <col min="8239" max="8239" width="10.5703125" style="1236" customWidth="1"/>
    <col min="8240" max="8240" width="12.42578125" style="1236" customWidth="1"/>
    <col min="8241" max="8241" width="14.5703125" style="1236" customWidth="1"/>
    <col min="8242" max="8242" width="12.28515625" style="1236" customWidth="1"/>
    <col min="8243" max="8243" width="25.85546875" style="1236" customWidth="1"/>
    <col min="8244" max="8475" width="0.85546875" style="1236"/>
    <col min="8476" max="8476" width="9.85546875" style="1236" customWidth="1"/>
    <col min="8477" max="8477" width="81.85546875" style="1236" customWidth="1"/>
    <col min="8478" max="8478" width="12.7109375" style="1236" customWidth="1"/>
    <col min="8479" max="8479" width="12.42578125" style="1236" customWidth="1"/>
    <col min="8480" max="8480" width="14.5703125" style="1236" customWidth="1"/>
    <col min="8481" max="8481" width="12.28515625" style="1236" customWidth="1"/>
    <col min="8482" max="8482" width="38.140625" style="1236" customWidth="1"/>
    <col min="8483" max="8483" width="46.85546875" style="1236" customWidth="1"/>
    <col min="8484" max="8486" width="12.7109375" style="1236" customWidth="1"/>
    <col min="8487" max="8487" width="9.28515625" style="1236" customWidth="1"/>
    <col min="8488" max="8488" width="13.5703125" style="1236" customWidth="1"/>
    <col min="8489" max="8489" width="10.28515625" style="1236" customWidth="1"/>
    <col min="8490" max="8490" width="12.85546875" style="1236" customWidth="1"/>
    <col min="8491" max="8491" width="9.140625" style="1236" customWidth="1"/>
    <col min="8492" max="8492" width="9.7109375" style="1236" customWidth="1"/>
    <col min="8493" max="8493" width="9.28515625" style="1236" customWidth="1"/>
    <col min="8494" max="8494" width="9.42578125" style="1236" customWidth="1"/>
    <col min="8495" max="8495" width="10.5703125" style="1236" customWidth="1"/>
    <col min="8496" max="8496" width="12.42578125" style="1236" customWidth="1"/>
    <col min="8497" max="8497" width="14.5703125" style="1236" customWidth="1"/>
    <col min="8498" max="8498" width="12.28515625" style="1236" customWidth="1"/>
    <col min="8499" max="8499" width="25.85546875" style="1236" customWidth="1"/>
    <col min="8500" max="8731" width="0.85546875" style="1236"/>
    <col min="8732" max="8732" width="9.85546875" style="1236" customWidth="1"/>
    <col min="8733" max="8733" width="81.85546875" style="1236" customWidth="1"/>
    <col min="8734" max="8734" width="12.7109375" style="1236" customWidth="1"/>
    <col min="8735" max="8735" width="12.42578125" style="1236" customWidth="1"/>
    <col min="8736" max="8736" width="14.5703125" style="1236" customWidth="1"/>
    <col min="8737" max="8737" width="12.28515625" style="1236" customWidth="1"/>
    <col min="8738" max="8738" width="38.140625" style="1236" customWidth="1"/>
    <col min="8739" max="8739" width="46.85546875" style="1236" customWidth="1"/>
    <col min="8740" max="8742" width="12.7109375" style="1236" customWidth="1"/>
    <col min="8743" max="8743" width="9.28515625" style="1236" customWidth="1"/>
    <col min="8744" max="8744" width="13.5703125" style="1236" customWidth="1"/>
    <col min="8745" max="8745" width="10.28515625" style="1236" customWidth="1"/>
    <col min="8746" max="8746" width="12.85546875" style="1236" customWidth="1"/>
    <col min="8747" max="8747" width="9.140625" style="1236" customWidth="1"/>
    <col min="8748" max="8748" width="9.7109375" style="1236" customWidth="1"/>
    <col min="8749" max="8749" width="9.28515625" style="1236" customWidth="1"/>
    <col min="8750" max="8750" width="9.42578125" style="1236" customWidth="1"/>
    <col min="8751" max="8751" width="10.5703125" style="1236" customWidth="1"/>
    <col min="8752" max="8752" width="12.42578125" style="1236" customWidth="1"/>
    <col min="8753" max="8753" width="14.5703125" style="1236" customWidth="1"/>
    <col min="8754" max="8754" width="12.28515625" style="1236" customWidth="1"/>
    <col min="8755" max="8755" width="25.85546875" style="1236" customWidth="1"/>
    <col min="8756" max="8987" width="0.85546875" style="1236"/>
    <col min="8988" max="8988" width="9.85546875" style="1236" customWidth="1"/>
    <col min="8989" max="8989" width="81.85546875" style="1236" customWidth="1"/>
    <col min="8990" max="8990" width="12.7109375" style="1236" customWidth="1"/>
    <col min="8991" max="8991" width="12.42578125" style="1236" customWidth="1"/>
    <col min="8992" max="8992" width="14.5703125" style="1236" customWidth="1"/>
    <col min="8993" max="8993" width="12.28515625" style="1236" customWidth="1"/>
    <col min="8994" max="8994" width="38.140625" style="1236" customWidth="1"/>
    <col min="8995" max="8995" width="46.85546875" style="1236" customWidth="1"/>
    <col min="8996" max="8998" width="12.7109375" style="1236" customWidth="1"/>
    <col min="8999" max="8999" width="9.28515625" style="1236" customWidth="1"/>
    <col min="9000" max="9000" width="13.5703125" style="1236" customWidth="1"/>
    <col min="9001" max="9001" width="10.28515625" style="1236" customWidth="1"/>
    <col min="9002" max="9002" width="12.85546875" style="1236" customWidth="1"/>
    <col min="9003" max="9003" width="9.140625" style="1236" customWidth="1"/>
    <col min="9004" max="9004" width="9.7109375" style="1236" customWidth="1"/>
    <col min="9005" max="9005" width="9.28515625" style="1236" customWidth="1"/>
    <col min="9006" max="9006" width="9.42578125" style="1236" customWidth="1"/>
    <col min="9007" max="9007" width="10.5703125" style="1236" customWidth="1"/>
    <col min="9008" max="9008" width="12.42578125" style="1236" customWidth="1"/>
    <col min="9009" max="9009" width="14.5703125" style="1236" customWidth="1"/>
    <col min="9010" max="9010" width="12.28515625" style="1236" customWidth="1"/>
    <col min="9011" max="9011" width="25.85546875" style="1236" customWidth="1"/>
    <col min="9012" max="9243" width="0.85546875" style="1236"/>
    <col min="9244" max="9244" width="9.85546875" style="1236" customWidth="1"/>
    <col min="9245" max="9245" width="81.85546875" style="1236" customWidth="1"/>
    <col min="9246" max="9246" width="12.7109375" style="1236" customWidth="1"/>
    <col min="9247" max="9247" width="12.42578125" style="1236" customWidth="1"/>
    <col min="9248" max="9248" width="14.5703125" style="1236" customWidth="1"/>
    <col min="9249" max="9249" width="12.28515625" style="1236" customWidth="1"/>
    <col min="9250" max="9250" width="38.140625" style="1236" customWidth="1"/>
    <col min="9251" max="9251" width="46.85546875" style="1236" customWidth="1"/>
    <col min="9252" max="9254" width="12.7109375" style="1236" customWidth="1"/>
    <col min="9255" max="9255" width="9.28515625" style="1236" customWidth="1"/>
    <col min="9256" max="9256" width="13.5703125" style="1236" customWidth="1"/>
    <col min="9257" max="9257" width="10.28515625" style="1236" customWidth="1"/>
    <col min="9258" max="9258" width="12.85546875" style="1236" customWidth="1"/>
    <col min="9259" max="9259" width="9.140625" style="1236" customWidth="1"/>
    <col min="9260" max="9260" width="9.7109375" style="1236" customWidth="1"/>
    <col min="9261" max="9261" width="9.28515625" style="1236" customWidth="1"/>
    <col min="9262" max="9262" width="9.42578125" style="1236" customWidth="1"/>
    <col min="9263" max="9263" width="10.5703125" style="1236" customWidth="1"/>
    <col min="9264" max="9264" width="12.42578125" style="1236" customWidth="1"/>
    <col min="9265" max="9265" width="14.5703125" style="1236" customWidth="1"/>
    <col min="9266" max="9266" width="12.28515625" style="1236" customWidth="1"/>
    <col min="9267" max="9267" width="25.85546875" style="1236" customWidth="1"/>
    <col min="9268" max="9499" width="0.85546875" style="1236"/>
    <col min="9500" max="9500" width="9.85546875" style="1236" customWidth="1"/>
    <col min="9501" max="9501" width="81.85546875" style="1236" customWidth="1"/>
    <col min="9502" max="9502" width="12.7109375" style="1236" customWidth="1"/>
    <col min="9503" max="9503" width="12.42578125" style="1236" customWidth="1"/>
    <col min="9504" max="9504" width="14.5703125" style="1236" customWidth="1"/>
    <col min="9505" max="9505" width="12.28515625" style="1236" customWidth="1"/>
    <col min="9506" max="9506" width="38.140625" style="1236" customWidth="1"/>
    <col min="9507" max="9507" width="46.85546875" style="1236" customWidth="1"/>
    <col min="9508" max="9510" width="12.7109375" style="1236" customWidth="1"/>
    <col min="9511" max="9511" width="9.28515625" style="1236" customWidth="1"/>
    <col min="9512" max="9512" width="13.5703125" style="1236" customWidth="1"/>
    <col min="9513" max="9513" width="10.28515625" style="1236" customWidth="1"/>
    <col min="9514" max="9514" width="12.85546875" style="1236" customWidth="1"/>
    <col min="9515" max="9515" width="9.140625" style="1236" customWidth="1"/>
    <col min="9516" max="9516" width="9.7109375" style="1236" customWidth="1"/>
    <col min="9517" max="9517" width="9.28515625" style="1236" customWidth="1"/>
    <col min="9518" max="9518" width="9.42578125" style="1236" customWidth="1"/>
    <col min="9519" max="9519" width="10.5703125" style="1236" customWidth="1"/>
    <col min="9520" max="9520" width="12.42578125" style="1236" customWidth="1"/>
    <col min="9521" max="9521" width="14.5703125" style="1236" customWidth="1"/>
    <col min="9522" max="9522" width="12.28515625" style="1236" customWidth="1"/>
    <col min="9523" max="9523" width="25.85546875" style="1236" customWidth="1"/>
    <col min="9524" max="9755" width="0.85546875" style="1236"/>
    <col min="9756" max="9756" width="9.85546875" style="1236" customWidth="1"/>
    <col min="9757" max="9757" width="81.85546875" style="1236" customWidth="1"/>
    <col min="9758" max="9758" width="12.7109375" style="1236" customWidth="1"/>
    <col min="9759" max="9759" width="12.42578125" style="1236" customWidth="1"/>
    <col min="9760" max="9760" width="14.5703125" style="1236" customWidth="1"/>
    <col min="9761" max="9761" width="12.28515625" style="1236" customWidth="1"/>
    <col min="9762" max="9762" width="38.140625" style="1236" customWidth="1"/>
    <col min="9763" max="9763" width="46.85546875" style="1236" customWidth="1"/>
    <col min="9764" max="9766" width="12.7109375" style="1236" customWidth="1"/>
    <col min="9767" max="9767" width="9.28515625" style="1236" customWidth="1"/>
    <col min="9768" max="9768" width="13.5703125" style="1236" customWidth="1"/>
    <col min="9769" max="9769" width="10.28515625" style="1236" customWidth="1"/>
    <col min="9770" max="9770" width="12.85546875" style="1236" customWidth="1"/>
    <col min="9771" max="9771" width="9.140625" style="1236" customWidth="1"/>
    <col min="9772" max="9772" width="9.7109375" style="1236" customWidth="1"/>
    <col min="9773" max="9773" width="9.28515625" style="1236" customWidth="1"/>
    <col min="9774" max="9774" width="9.42578125" style="1236" customWidth="1"/>
    <col min="9775" max="9775" width="10.5703125" style="1236" customWidth="1"/>
    <col min="9776" max="9776" width="12.42578125" style="1236" customWidth="1"/>
    <col min="9777" max="9777" width="14.5703125" style="1236" customWidth="1"/>
    <col min="9778" max="9778" width="12.28515625" style="1236" customWidth="1"/>
    <col min="9779" max="9779" width="25.85546875" style="1236" customWidth="1"/>
    <col min="9780" max="10011" width="0.85546875" style="1236"/>
    <col min="10012" max="10012" width="9.85546875" style="1236" customWidth="1"/>
    <col min="10013" max="10013" width="81.85546875" style="1236" customWidth="1"/>
    <col min="10014" max="10014" width="12.7109375" style="1236" customWidth="1"/>
    <col min="10015" max="10015" width="12.42578125" style="1236" customWidth="1"/>
    <col min="10016" max="10016" width="14.5703125" style="1236" customWidth="1"/>
    <col min="10017" max="10017" width="12.28515625" style="1236" customWidth="1"/>
    <col min="10018" max="10018" width="38.140625" style="1236" customWidth="1"/>
    <col min="10019" max="10019" width="46.85546875" style="1236" customWidth="1"/>
    <col min="10020" max="10022" width="12.7109375" style="1236" customWidth="1"/>
    <col min="10023" max="10023" width="9.28515625" style="1236" customWidth="1"/>
    <col min="10024" max="10024" width="13.5703125" style="1236" customWidth="1"/>
    <col min="10025" max="10025" width="10.28515625" style="1236" customWidth="1"/>
    <col min="10026" max="10026" width="12.85546875" style="1236" customWidth="1"/>
    <col min="10027" max="10027" width="9.140625" style="1236" customWidth="1"/>
    <col min="10028" max="10028" width="9.7109375" style="1236" customWidth="1"/>
    <col min="10029" max="10029" width="9.28515625" style="1236" customWidth="1"/>
    <col min="10030" max="10030" width="9.42578125" style="1236" customWidth="1"/>
    <col min="10031" max="10031" width="10.5703125" style="1236" customWidth="1"/>
    <col min="10032" max="10032" width="12.42578125" style="1236" customWidth="1"/>
    <col min="10033" max="10033" width="14.5703125" style="1236" customWidth="1"/>
    <col min="10034" max="10034" width="12.28515625" style="1236" customWidth="1"/>
    <col min="10035" max="10035" width="25.85546875" style="1236" customWidth="1"/>
    <col min="10036" max="10267" width="0.85546875" style="1236"/>
    <col min="10268" max="10268" width="9.85546875" style="1236" customWidth="1"/>
    <col min="10269" max="10269" width="81.85546875" style="1236" customWidth="1"/>
    <col min="10270" max="10270" width="12.7109375" style="1236" customWidth="1"/>
    <col min="10271" max="10271" width="12.42578125" style="1236" customWidth="1"/>
    <col min="10272" max="10272" width="14.5703125" style="1236" customWidth="1"/>
    <col min="10273" max="10273" width="12.28515625" style="1236" customWidth="1"/>
    <col min="10274" max="10274" width="38.140625" style="1236" customWidth="1"/>
    <col min="10275" max="10275" width="46.85546875" style="1236" customWidth="1"/>
    <col min="10276" max="10278" width="12.7109375" style="1236" customWidth="1"/>
    <col min="10279" max="10279" width="9.28515625" style="1236" customWidth="1"/>
    <col min="10280" max="10280" width="13.5703125" style="1236" customWidth="1"/>
    <col min="10281" max="10281" width="10.28515625" style="1236" customWidth="1"/>
    <col min="10282" max="10282" width="12.85546875" style="1236" customWidth="1"/>
    <col min="10283" max="10283" width="9.140625" style="1236" customWidth="1"/>
    <col min="10284" max="10284" width="9.7109375" style="1236" customWidth="1"/>
    <col min="10285" max="10285" width="9.28515625" style="1236" customWidth="1"/>
    <col min="10286" max="10286" width="9.42578125" style="1236" customWidth="1"/>
    <col min="10287" max="10287" width="10.5703125" style="1236" customWidth="1"/>
    <col min="10288" max="10288" width="12.42578125" style="1236" customWidth="1"/>
    <col min="10289" max="10289" width="14.5703125" style="1236" customWidth="1"/>
    <col min="10290" max="10290" width="12.28515625" style="1236" customWidth="1"/>
    <col min="10291" max="10291" width="25.85546875" style="1236" customWidth="1"/>
    <col min="10292" max="10523" width="0.85546875" style="1236"/>
    <col min="10524" max="10524" width="9.85546875" style="1236" customWidth="1"/>
    <col min="10525" max="10525" width="81.85546875" style="1236" customWidth="1"/>
    <col min="10526" max="10526" width="12.7109375" style="1236" customWidth="1"/>
    <col min="10527" max="10527" width="12.42578125" style="1236" customWidth="1"/>
    <col min="10528" max="10528" width="14.5703125" style="1236" customWidth="1"/>
    <col min="10529" max="10529" width="12.28515625" style="1236" customWidth="1"/>
    <col min="10530" max="10530" width="38.140625" style="1236" customWidth="1"/>
    <col min="10531" max="10531" width="46.85546875" style="1236" customWidth="1"/>
    <col min="10532" max="10534" width="12.7109375" style="1236" customWidth="1"/>
    <col min="10535" max="10535" width="9.28515625" style="1236" customWidth="1"/>
    <col min="10536" max="10536" width="13.5703125" style="1236" customWidth="1"/>
    <col min="10537" max="10537" width="10.28515625" style="1236" customWidth="1"/>
    <col min="10538" max="10538" width="12.85546875" style="1236" customWidth="1"/>
    <col min="10539" max="10539" width="9.140625" style="1236" customWidth="1"/>
    <col min="10540" max="10540" width="9.7109375" style="1236" customWidth="1"/>
    <col min="10541" max="10541" width="9.28515625" style="1236" customWidth="1"/>
    <col min="10542" max="10542" width="9.42578125" style="1236" customWidth="1"/>
    <col min="10543" max="10543" width="10.5703125" style="1236" customWidth="1"/>
    <col min="10544" max="10544" width="12.42578125" style="1236" customWidth="1"/>
    <col min="10545" max="10545" width="14.5703125" style="1236" customWidth="1"/>
    <col min="10546" max="10546" width="12.28515625" style="1236" customWidth="1"/>
    <col min="10547" max="10547" width="25.85546875" style="1236" customWidth="1"/>
    <col min="10548" max="10779" width="0.85546875" style="1236"/>
    <col min="10780" max="10780" width="9.85546875" style="1236" customWidth="1"/>
    <col min="10781" max="10781" width="81.85546875" style="1236" customWidth="1"/>
    <col min="10782" max="10782" width="12.7109375" style="1236" customWidth="1"/>
    <col min="10783" max="10783" width="12.42578125" style="1236" customWidth="1"/>
    <col min="10784" max="10784" width="14.5703125" style="1236" customWidth="1"/>
    <col min="10785" max="10785" width="12.28515625" style="1236" customWidth="1"/>
    <col min="10786" max="10786" width="38.140625" style="1236" customWidth="1"/>
    <col min="10787" max="10787" width="46.85546875" style="1236" customWidth="1"/>
    <col min="10788" max="10790" width="12.7109375" style="1236" customWidth="1"/>
    <col min="10791" max="10791" width="9.28515625" style="1236" customWidth="1"/>
    <col min="10792" max="10792" width="13.5703125" style="1236" customWidth="1"/>
    <col min="10793" max="10793" width="10.28515625" style="1236" customWidth="1"/>
    <col min="10794" max="10794" width="12.85546875" style="1236" customWidth="1"/>
    <col min="10795" max="10795" width="9.140625" style="1236" customWidth="1"/>
    <col min="10796" max="10796" width="9.7109375" style="1236" customWidth="1"/>
    <col min="10797" max="10797" width="9.28515625" style="1236" customWidth="1"/>
    <col min="10798" max="10798" width="9.42578125" style="1236" customWidth="1"/>
    <col min="10799" max="10799" width="10.5703125" style="1236" customWidth="1"/>
    <col min="10800" max="10800" width="12.42578125" style="1236" customWidth="1"/>
    <col min="10801" max="10801" width="14.5703125" style="1236" customWidth="1"/>
    <col min="10802" max="10802" width="12.28515625" style="1236" customWidth="1"/>
    <col min="10803" max="10803" width="25.85546875" style="1236" customWidth="1"/>
    <col min="10804" max="11035" width="0.85546875" style="1236"/>
    <col min="11036" max="11036" width="9.85546875" style="1236" customWidth="1"/>
    <col min="11037" max="11037" width="81.85546875" style="1236" customWidth="1"/>
    <col min="11038" max="11038" width="12.7109375" style="1236" customWidth="1"/>
    <col min="11039" max="11039" width="12.42578125" style="1236" customWidth="1"/>
    <col min="11040" max="11040" width="14.5703125" style="1236" customWidth="1"/>
    <col min="11041" max="11041" width="12.28515625" style="1236" customWidth="1"/>
    <col min="11042" max="11042" width="38.140625" style="1236" customWidth="1"/>
    <col min="11043" max="11043" width="46.85546875" style="1236" customWidth="1"/>
    <col min="11044" max="11046" width="12.7109375" style="1236" customWidth="1"/>
    <col min="11047" max="11047" width="9.28515625" style="1236" customWidth="1"/>
    <col min="11048" max="11048" width="13.5703125" style="1236" customWidth="1"/>
    <col min="11049" max="11049" width="10.28515625" style="1236" customWidth="1"/>
    <col min="11050" max="11050" width="12.85546875" style="1236" customWidth="1"/>
    <col min="11051" max="11051" width="9.140625" style="1236" customWidth="1"/>
    <col min="11052" max="11052" width="9.7109375" style="1236" customWidth="1"/>
    <col min="11053" max="11053" width="9.28515625" style="1236" customWidth="1"/>
    <col min="11054" max="11054" width="9.42578125" style="1236" customWidth="1"/>
    <col min="11055" max="11055" width="10.5703125" style="1236" customWidth="1"/>
    <col min="11056" max="11056" width="12.42578125" style="1236" customWidth="1"/>
    <col min="11057" max="11057" width="14.5703125" style="1236" customWidth="1"/>
    <col min="11058" max="11058" width="12.28515625" style="1236" customWidth="1"/>
    <col min="11059" max="11059" width="25.85546875" style="1236" customWidth="1"/>
    <col min="11060" max="11291" width="0.85546875" style="1236"/>
    <col min="11292" max="11292" width="9.85546875" style="1236" customWidth="1"/>
    <col min="11293" max="11293" width="81.85546875" style="1236" customWidth="1"/>
    <col min="11294" max="11294" width="12.7109375" style="1236" customWidth="1"/>
    <col min="11295" max="11295" width="12.42578125" style="1236" customWidth="1"/>
    <col min="11296" max="11296" width="14.5703125" style="1236" customWidth="1"/>
    <col min="11297" max="11297" width="12.28515625" style="1236" customWidth="1"/>
    <col min="11298" max="11298" width="38.140625" style="1236" customWidth="1"/>
    <col min="11299" max="11299" width="46.85546875" style="1236" customWidth="1"/>
    <col min="11300" max="11302" width="12.7109375" style="1236" customWidth="1"/>
    <col min="11303" max="11303" width="9.28515625" style="1236" customWidth="1"/>
    <col min="11304" max="11304" width="13.5703125" style="1236" customWidth="1"/>
    <col min="11305" max="11305" width="10.28515625" style="1236" customWidth="1"/>
    <col min="11306" max="11306" width="12.85546875" style="1236" customWidth="1"/>
    <col min="11307" max="11307" width="9.140625" style="1236" customWidth="1"/>
    <col min="11308" max="11308" width="9.7109375" style="1236" customWidth="1"/>
    <col min="11309" max="11309" width="9.28515625" style="1236" customWidth="1"/>
    <col min="11310" max="11310" width="9.42578125" style="1236" customWidth="1"/>
    <col min="11311" max="11311" width="10.5703125" style="1236" customWidth="1"/>
    <col min="11312" max="11312" width="12.42578125" style="1236" customWidth="1"/>
    <col min="11313" max="11313" width="14.5703125" style="1236" customWidth="1"/>
    <col min="11314" max="11314" width="12.28515625" style="1236" customWidth="1"/>
    <col min="11315" max="11315" width="25.85546875" style="1236" customWidth="1"/>
    <col min="11316" max="11547" width="0.85546875" style="1236"/>
    <col min="11548" max="11548" width="9.85546875" style="1236" customWidth="1"/>
    <col min="11549" max="11549" width="81.85546875" style="1236" customWidth="1"/>
    <col min="11550" max="11550" width="12.7109375" style="1236" customWidth="1"/>
    <col min="11551" max="11551" width="12.42578125" style="1236" customWidth="1"/>
    <col min="11552" max="11552" width="14.5703125" style="1236" customWidth="1"/>
    <col min="11553" max="11553" width="12.28515625" style="1236" customWidth="1"/>
    <col min="11554" max="11554" width="38.140625" style="1236" customWidth="1"/>
    <col min="11555" max="11555" width="46.85546875" style="1236" customWidth="1"/>
    <col min="11556" max="11558" width="12.7109375" style="1236" customWidth="1"/>
    <col min="11559" max="11559" width="9.28515625" style="1236" customWidth="1"/>
    <col min="11560" max="11560" width="13.5703125" style="1236" customWidth="1"/>
    <col min="11561" max="11561" width="10.28515625" style="1236" customWidth="1"/>
    <col min="11562" max="11562" width="12.85546875" style="1236" customWidth="1"/>
    <col min="11563" max="11563" width="9.140625" style="1236" customWidth="1"/>
    <col min="11564" max="11564" width="9.7109375" style="1236" customWidth="1"/>
    <col min="11565" max="11565" width="9.28515625" style="1236" customWidth="1"/>
    <col min="11566" max="11566" width="9.42578125" style="1236" customWidth="1"/>
    <col min="11567" max="11567" width="10.5703125" style="1236" customWidth="1"/>
    <col min="11568" max="11568" width="12.42578125" style="1236" customWidth="1"/>
    <col min="11569" max="11569" width="14.5703125" style="1236" customWidth="1"/>
    <col min="11570" max="11570" width="12.28515625" style="1236" customWidth="1"/>
    <col min="11571" max="11571" width="25.85546875" style="1236" customWidth="1"/>
    <col min="11572" max="11803" width="0.85546875" style="1236"/>
    <col min="11804" max="11804" width="9.85546875" style="1236" customWidth="1"/>
    <col min="11805" max="11805" width="81.85546875" style="1236" customWidth="1"/>
    <col min="11806" max="11806" width="12.7109375" style="1236" customWidth="1"/>
    <col min="11807" max="11807" width="12.42578125" style="1236" customWidth="1"/>
    <col min="11808" max="11808" width="14.5703125" style="1236" customWidth="1"/>
    <col min="11809" max="11809" width="12.28515625" style="1236" customWidth="1"/>
    <col min="11810" max="11810" width="38.140625" style="1236" customWidth="1"/>
    <col min="11811" max="11811" width="46.85546875" style="1236" customWidth="1"/>
    <col min="11812" max="11814" width="12.7109375" style="1236" customWidth="1"/>
    <col min="11815" max="11815" width="9.28515625" style="1236" customWidth="1"/>
    <col min="11816" max="11816" width="13.5703125" style="1236" customWidth="1"/>
    <col min="11817" max="11817" width="10.28515625" style="1236" customWidth="1"/>
    <col min="11818" max="11818" width="12.85546875" style="1236" customWidth="1"/>
    <col min="11819" max="11819" width="9.140625" style="1236" customWidth="1"/>
    <col min="11820" max="11820" width="9.7109375" style="1236" customWidth="1"/>
    <col min="11821" max="11821" width="9.28515625" style="1236" customWidth="1"/>
    <col min="11822" max="11822" width="9.42578125" style="1236" customWidth="1"/>
    <col min="11823" max="11823" width="10.5703125" style="1236" customWidth="1"/>
    <col min="11824" max="11824" width="12.42578125" style="1236" customWidth="1"/>
    <col min="11825" max="11825" width="14.5703125" style="1236" customWidth="1"/>
    <col min="11826" max="11826" width="12.28515625" style="1236" customWidth="1"/>
    <col min="11827" max="11827" width="25.85546875" style="1236" customWidth="1"/>
    <col min="11828" max="12059" width="0.85546875" style="1236"/>
    <col min="12060" max="12060" width="9.85546875" style="1236" customWidth="1"/>
    <col min="12061" max="12061" width="81.85546875" style="1236" customWidth="1"/>
    <col min="12062" max="12062" width="12.7109375" style="1236" customWidth="1"/>
    <col min="12063" max="12063" width="12.42578125" style="1236" customWidth="1"/>
    <col min="12064" max="12064" width="14.5703125" style="1236" customWidth="1"/>
    <col min="12065" max="12065" width="12.28515625" style="1236" customWidth="1"/>
    <col min="12066" max="12066" width="38.140625" style="1236" customWidth="1"/>
    <col min="12067" max="12067" width="46.85546875" style="1236" customWidth="1"/>
    <col min="12068" max="12070" width="12.7109375" style="1236" customWidth="1"/>
    <col min="12071" max="12071" width="9.28515625" style="1236" customWidth="1"/>
    <col min="12072" max="12072" width="13.5703125" style="1236" customWidth="1"/>
    <col min="12073" max="12073" width="10.28515625" style="1236" customWidth="1"/>
    <col min="12074" max="12074" width="12.85546875" style="1236" customWidth="1"/>
    <col min="12075" max="12075" width="9.140625" style="1236" customWidth="1"/>
    <col min="12076" max="12076" width="9.7109375" style="1236" customWidth="1"/>
    <col min="12077" max="12077" width="9.28515625" style="1236" customWidth="1"/>
    <col min="12078" max="12078" width="9.42578125" style="1236" customWidth="1"/>
    <col min="12079" max="12079" width="10.5703125" style="1236" customWidth="1"/>
    <col min="12080" max="12080" width="12.42578125" style="1236" customWidth="1"/>
    <col min="12081" max="12081" width="14.5703125" style="1236" customWidth="1"/>
    <col min="12082" max="12082" width="12.28515625" style="1236" customWidth="1"/>
    <col min="12083" max="12083" width="25.85546875" style="1236" customWidth="1"/>
    <col min="12084" max="12315" width="0.85546875" style="1236"/>
    <col min="12316" max="12316" width="9.85546875" style="1236" customWidth="1"/>
    <col min="12317" max="12317" width="81.85546875" style="1236" customWidth="1"/>
    <col min="12318" max="12318" width="12.7109375" style="1236" customWidth="1"/>
    <col min="12319" max="12319" width="12.42578125" style="1236" customWidth="1"/>
    <col min="12320" max="12320" width="14.5703125" style="1236" customWidth="1"/>
    <col min="12321" max="12321" width="12.28515625" style="1236" customWidth="1"/>
    <col min="12322" max="12322" width="38.140625" style="1236" customWidth="1"/>
    <col min="12323" max="12323" width="46.85546875" style="1236" customWidth="1"/>
    <col min="12324" max="12326" width="12.7109375" style="1236" customWidth="1"/>
    <col min="12327" max="12327" width="9.28515625" style="1236" customWidth="1"/>
    <col min="12328" max="12328" width="13.5703125" style="1236" customWidth="1"/>
    <col min="12329" max="12329" width="10.28515625" style="1236" customWidth="1"/>
    <col min="12330" max="12330" width="12.85546875" style="1236" customWidth="1"/>
    <col min="12331" max="12331" width="9.140625" style="1236" customWidth="1"/>
    <col min="12332" max="12332" width="9.7109375" style="1236" customWidth="1"/>
    <col min="12333" max="12333" width="9.28515625" style="1236" customWidth="1"/>
    <col min="12334" max="12334" width="9.42578125" style="1236" customWidth="1"/>
    <col min="12335" max="12335" width="10.5703125" style="1236" customWidth="1"/>
    <col min="12336" max="12336" width="12.42578125" style="1236" customWidth="1"/>
    <col min="12337" max="12337" width="14.5703125" style="1236" customWidth="1"/>
    <col min="12338" max="12338" width="12.28515625" style="1236" customWidth="1"/>
    <col min="12339" max="12339" width="25.85546875" style="1236" customWidth="1"/>
    <col min="12340" max="12571" width="0.85546875" style="1236"/>
    <col min="12572" max="12572" width="9.85546875" style="1236" customWidth="1"/>
    <col min="12573" max="12573" width="81.85546875" style="1236" customWidth="1"/>
    <col min="12574" max="12574" width="12.7109375" style="1236" customWidth="1"/>
    <col min="12575" max="12575" width="12.42578125" style="1236" customWidth="1"/>
    <col min="12576" max="12576" width="14.5703125" style="1236" customWidth="1"/>
    <col min="12577" max="12577" width="12.28515625" style="1236" customWidth="1"/>
    <col min="12578" max="12578" width="38.140625" style="1236" customWidth="1"/>
    <col min="12579" max="12579" width="46.85546875" style="1236" customWidth="1"/>
    <col min="12580" max="12582" width="12.7109375" style="1236" customWidth="1"/>
    <col min="12583" max="12583" width="9.28515625" style="1236" customWidth="1"/>
    <col min="12584" max="12584" width="13.5703125" style="1236" customWidth="1"/>
    <col min="12585" max="12585" width="10.28515625" style="1236" customWidth="1"/>
    <col min="12586" max="12586" width="12.85546875" style="1236" customWidth="1"/>
    <col min="12587" max="12587" width="9.140625" style="1236" customWidth="1"/>
    <col min="12588" max="12588" width="9.7109375" style="1236" customWidth="1"/>
    <col min="12589" max="12589" width="9.28515625" style="1236" customWidth="1"/>
    <col min="12590" max="12590" width="9.42578125" style="1236" customWidth="1"/>
    <col min="12591" max="12591" width="10.5703125" style="1236" customWidth="1"/>
    <col min="12592" max="12592" width="12.42578125" style="1236" customWidth="1"/>
    <col min="12593" max="12593" width="14.5703125" style="1236" customWidth="1"/>
    <col min="12594" max="12594" width="12.28515625" style="1236" customWidth="1"/>
    <col min="12595" max="12595" width="25.85546875" style="1236" customWidth="1"/>
    <col min="12596" max="12827" width="0.85546875" style="1236"/>
    <col min="12828" max="12828" width="9.85546875" style="1236" customWidth="1"/>
    <col min="12829" max="12829" width="81.85546875" style="1236" customWidth="1"/>
    <col min="12830" max="12830" width="12.7109375" style="1236" customWidth="1"/>
    <col min="12831" max="12831" width="12.42578125" style="1236" customWidth="1"/>
    <col min="12832" max="12832" width="14.5703125" style="1236" customWidth="1"/>
    <col min="12833" max="12833" width="12.28515625" style="1236" customWidth="1"/>
    <col min="12834" max="12834" width="38.140625" style="1236" customWidth="1"/>
    <col min="12835" max="12835" width="46.85546875" style="1236" customWidth="1"/>
    <col min="12836" max="12838" width="12.7109375" style="1236" customWidth="1"/>
    <col min="12839" max="12839" width="9.28515625" style="1236" customWidth="1"/>
    <col min="12840" max="12840" width="13.5703125" style="1236" customWidth="1"/>
    <col min="12841" max="12841" width="10.28515625" style="1236" customWidth="1"/>
    <col min="12842" max="12842" width="12.85546875" style="1236" customWidth="1"/>
    <col min="12843" max="12843" width="9.140625" style="1236" customWidth="1"/>
    <col min="12844" max="12844" width="9.7109375" style="1236" customWidth="1"/>
    <col min="12845" max="12845" width="9.28515625" style="1236" customWidth="1"/>
    <col min="12846" max="12846" width="9.42578125" style="1236" customWidth="1"/>
    <col min="12847" max="12847" width="10.5703125" style="1236" customWidth="1"/>
    <col min="12848" max="12848" width="12.42578125" style="1236" customWidth="1"/>
    <col min="12849" max="12849" width="14.5703125" style="1236" customWidth="1"/>
    <col min="12850" max="12850" width="12.28515625" style="1236" customWidth="1"/>
    <col min="12851" max="12851" width="25.85546875" style="1236" customWidth="1"/>
    <col min="12852" max="13083" width="0.85546875" style="1236"/>
    <col min="13084" max="13084" width="9.85546875" style="1236" customWidth="1"/>
    <col min="13085" max="13085" width="81.85546875" style="1236" customWidth="1"/>
    <col min="13086" max="13086" width="12.7109375" style="1236" customWidth="1"/>
    <col min="13087" max="13087" width="12.42578125" style="1236" customWidth="1"/>
    <col min="13088" max="13088" width="14.5703125" style="1236" customWidth="1"/>
    <col min="13089" max="13089" width="12.28515625" style="1236" customWidth="1"/>
    <col min="13090" max="13090" width="38.140625" style="1236" customWidth="1"/>
    <col min="13091" max="13091" width="46.85546875" style="1236" customWidth="1"/>
    <col min="13092" max="13094" width="12.7109375" style="1236" customWidth="1"/>
    <col min="13095" max="13095" width="9.28515625" style="1236" customWidth="1"/>
    <col min="13096" max="13096" width="13.5703125" style="1236" customWidth="1"/>
    <col min="13097" max="13097" width="10.28515625" style="1236" customWidth="1"/>
    <col min="13098" max="13098" width="12.85546875" style="1236" customWidth="1"/>
    <col min="13099" max="13099" width="9.140625" style="1236" customWidth="1"/>
    <col min="13100" max="13100" width="9.7109375" style="1236" customWidth="1"/>
    <col min="13101" max="13101" width="9.28515625" style="1236" customWidth="1"/>
    <col min="13102" max="13102" width="9.42578125" style="1236" customWidth="1"/>
    <col min="13103" max="13103" width="10.5703125" style="1236" customWidth="1"/>
    <col min="13104" max="13104" width="12.42578125" style="1236" customWidth="1"/>
    <col min="13105" max="13105" width="14.5703125" style="1236" customWidth="1"/>
    <col min="13106" max="13106" width="12.28515625" style="1236" customWidth="1"/>
    <col min="13107" max="13107" width="25.85546875" style="1236" customWidth="1"/>
    <col min="13108" max="13339" width="0.85546875" style="1236"/>
    <col min="13340" max="13340" width="9.85546875" style="1236" customWidth="1"/>
    <col min="13341" max="13341" width="81.85546875" style="1236" customWidth="1"/>
    <col min="13342" max="13342" width="12.7109375" style="1236" customWidth="1"/>
    <col min="13343" max="13343" width="12.42578125" style="1236" customWidth="1"/>
    <col min="13344" max="13344" width="14.5703125" style="1236" customWidth="1"/>
    <col min="13345" max="13345" width="12.28515625" style="1236" customWidth="1"/>
    <col min="13346" max="13346" width="38.140625" style="1236" customWidth="1"/>
    <col min="13347" max="13347" width="46.85546875" style="1236" customWidth="1"/>
    <col min="13348" max="13350" width="12.7109375" style="1236" customWidth="1"/>
    <col min="13351" max="13351" width="9.28515625" style="1236" customWidth="1"/>
    <col min="13352" max="13352" width="13.5703125" style="1236" customWidth="1"/>
    <col min="13353" max="13353" width="10.28515625" style="1236" customWidth="1"/>
    <col min="13354" max="13354" width="12.85546875" style="1236" customWidth="1"/>
    <col min="13355" max="13355" width="9.140625" style="1236" customWidth="1"/>
    <col min="13356" max="13356" width="9.7109375" style="1236" customWidth="1"/>
    <col min="13357" max="13357" width="9.28515625" style="1236" customWidth="1"/>
    <col min="13358" max="13358" width="9.42578125" style="1236" customWidth="1"/>
    <col min="13359" max="13359" width="10.5703125" style="1236" customWidth="1"/>
    <col min="13360" max="13360" width="12.42578125" style="1236" customWidth="1"/>
    <col min="13361" max="13361" width="14.5703125" style="1236" customWidth="1"/>
    <col min="13362" max="13362" width="12.28515625" style="1236" customWidth="1"/>
    <col min="13363" max="13363" width="25.85546875" style="1236" customWidth="1"/>
    <col min="13364" max="13595" width="0.85546875" style="1236"/>
    <col min="13596" max="13596" width="9.85546875" style="1236" customWidth="1"/>
    <col min="13597" max="13597" width="81.85546875" style="1236" customWidth="1"/>
    <col min="13598" max="13598" width="12.7109375" style="1236" customWidth="1"/>
    <col min="13599" max="13599" width="12.42578125" style="1236" customWidth="1"/>
    <col min="13600" max="13600" width="14.5703125" style="1236" customWidth="1"/>
    <col min="13601" max="13601" width="12.28515625" style="1236" customWidth="1"/>
    <col min="13602" max="13602" width="38.140625" style="1236" customWidth="1"/>
    <col min="13603" max="13603" width="46.85546875" style="1236" customWidth="1"/>
    <col min="13604" max="13606" width="12.7109375" style="1236" customWidth="1"/>
    <col min="13607" max="13607" width="9.28515625" style="1236" customWidth="1"/>
    <col min="13608" max="13608" width="13.5703125" style="1236" customWidth="1"/>
    <col min="13609" max="13609" width="10.28515625" style="1236" customWidth="1"/>
    <col min="13610" max="13610" width="12.85546875" style="1236" customWidth="1"/>
    <col min="13611" max="13611" width="9.140625" style="1236" customWidth="1"/>
    <col min="13612" max="13612" width="9.7109375" style="1236" customWidth="1"/>
    <col min="13613" max="13613" width="9.28515625" style="1236" customWidth="1"/>
    <col min="13614" max="13614" width="9.42578125" style="1236" customWidth="1"/>
    <col min="13615" max="13615" width="10.5703125" style="1236" customWidth="1"/>
    <col min="13616" max="13616" width="12.42578125" style="1236" customWidth="1"/>
    <col min="13617" max="13617" width="14.5703125" style="1236" customWidth="1"/>
    <col min="13618" max="13618" width="12.28515625" style="1236" customWidth="1"/>
    <col min="13619" max="13619" width="25.85546875" style="1236" customWidth="1"/>
    <col min="13620" max="13851" width="0.85546875" style="1236"/>
    <col min="13852" max="13852" width="9.85546875" style="1236" customWidth="1"/>
    <col min="13853" max="13853" width="81.85546875" style="1236" customWidth="1"/>
    <col min="13854" max="13854" width="12.7109375" style="1236" customWidth="1"/>
    <col min="13855" max="13855" width="12.42578125" style="1236" customWidth="1"/>
    <col min="13856" max="13856" width="14.5703125" style="1236" customWidth="1"/>
    <col min="13857" max="13857" width="12.28515625" style="1236" customWidth="1"/>
    <col min="13858" max="13858" width="38.140625" style="1236" customWidth="1"/>
    <col min="13859" max="13859" width="46.85546875" style="1236" customWidth="1"/>
    <col min="13860" max="13862" width="12.7109375" style="1236" customWidth="1"/>
    <col min="13863" max="13863" width="9.28515625" style="1236" customWidth="1"/>
    <col min="13864" max="13864" width="13.5703125" style="1236" customWidth="1"/>
    <col min="13865" max="13865" width="10.28515625" style="1236" customWidth="1"/>
    <col min="13866" max="13866" width="12.85546875" style="1236" customWidth="1"/>
    <col min="13867" max="13867" width="9.140625" style="1236" customWidth="1"/>
    <col min="13868" max="13868" width="9.7109375" style="1236" customWidth="1"/>
    <col min="13869" max="13869" width="9.28515625" style="1236" customWidth="1"/>
    <col min="13870" max="13870" width="9.42578125" style="1236" customWidth="1"/>
    <col min="13871" max="13871" width="10.5703125" style="1236" customWidth="1"/>
    <col min="13872" max="13872" width="12.42578125" style="1236" customWidth="1"/>
    <col min="13873" max="13873" width="14.5703125" style="1236" customWidth="1"/>
    <col min="13874" max="13874" width="12.28515625" style="1236" customWidth="1"/>
    <col min="13875" max="13875" width="25.85546875" style="1236" customWidth="1"/>
    <col min="13876" max="14107" width="0.85546875" style="1236"/>
    <col min="14108" max="14108" width="9.85546875" style="1236" customWidth="1"/>
    <col min="14109" max="14109" width="81.85546875" style="1236" customWidth="1"/>
    <col min="14110" max="14110" width="12.7109375" style="1236" customWidth="1"/>
    <col min="14111" max="14111" width="12.42578125" style="1236" customWidth="1"/>
    <col min="14112" max="14112" width="14.5703125" style="1236" customWidth="1"/>
    <col min="14113" max="14113" width="12.28515625" style="1236" customWidth="1"/>
    <col min="14114" max="14114" width="38.140625" style="1236" customWidth="1"/>
    <col min="14115" max="14115" width="46.85546875" style="1236" customWidth="1"/>
    <col min="14116" max="14118" width="12.7109375" style="1236" customWidth="1"/>
    <col min="14119" max="14119" width="9.28515625" style="1236" customWidth="1"/>
    <col min="14120" max="14120" width="13.5703125" style="1236" customWidth="1"/>
    <col min="14121" max="14121" width="10.28515625" style="1236" customWidth="1"/>
    <col min="14122" max="14122" width="12.85546875" style="1236" customWidth="1"/>
    <col min="14123" max="14123" width="9.140625" style="1236" customWidth="1"/>
    <col min="14124" max="14124" width="9.7109375" style="1236" customWidth="1"/>
    <col min="14125" max="14125" width="9.28515625" style="1236" customWidth="1"/>
    <col min="14126" max="14126" width="9.42578125" style="1236" customWidth="1"/>
    <col min="14127" max="14127" width="10.5703125" style="1236" customWidth="1"/>
    <col min="14128" max="14128" width="12.42578125" style="1236" customWidth="1"/>
    <col min="14129" max="14129" width="14.5703125" style="1236" customWidth="1"/>
    <col min="14130" max="14130" width="12.28515625" style="1236" customWidth="1"/>
    <col min="14131" max="14131" width="25.85546875" style="1236" customWidth="1"/>
    <col min="14132" max="14363" width="0.85546875" style="1236"/>
    <col min="14364" max="14364" width="9.85546875" style="1236" customWidth="1"/>
    <col min="14365" max="14365" width="81.85546875" style="1236" customWidth="1"/>
    <col min="14366" max="14366" width="12.7109375" style="1236" customWidth="1"/>
    <col min="14367" max="14367" width="12.42578125" style="1236" customWidth="1"/>
    <col min="14368" max="14368" width="14.5703125" style="1236" customWidth="1"/>
    <col min="14369" max="14369" width="12.28515625" style="1236" customWidth="1"/>
    <col min="14370" max="14370" width="38.140625" style="1236" customWidth="1"/>
    <col min="14371" max="14371" width="46.85546875" style="1236" customWidth="1"/>
    <col min="14372" max="14374" width="12.7109375" style="1236" customWidth="1"/>
    <col min="14375" max="14375" width="9.28515625" style="1236" customWidth="1"/>
    <col min="14376" max="14376" width="13.5703125" style="1236" customWidth="1"/>
    <col min="14377" max="14377" width="10.28515625" style="1236" customWidth="1"/>
    <col min="14378" max="14378" width="12.85546875" style="1236" customWidth="1"/>
    <col min="14379" max="14379" width="9.140625" style="1236" customWidth="1"/>
    <col min="14380" max="14380" width="9.7109375" style="1236" customWidth="1"/>
    <col min="14381" max="14381" width="9.28515625" style="1236" customWidth="1"/>
    <col min="14382" max="14382" width="9.42578125" style="1236" customWidth="1"/>
    <col min="14383" max="14383" width="10.5703125" style="1236" customWidth="1"/>
    <col min="14384" max="14384" width="12.42578125" style="1236" customWidth="1"/>
    <col min="14385" max="14385" width="14.5703125" style="1236" customWidth="1"/>
    <col min="14386" max="14386" width="12.28515625" style="1236" customWidth="1"/>
    <col min="14387" max="14387" width="25.85546875" style="1236" customWidth="1"/>
    <col min="14388" max="14619" width="0.85546875" style="1236"/>
    <col min="14620" max="14620" width="9.85546875" style="1236" customWidth="1"/>
    <col min="14621" max="14621" width="81.85546875" style="1236" customWidth="1"/>
    <col min="14622" max="14622" width="12.7109375" style="1236" customWidth="1"/>
    <col min="14623" max="14623" width="12.42578125" style="1236" customWidth="1"/>
    <col min="14624" max="14624" width="14.5703125" style="1236" customWidth="1"/>
    <col min="14625" max="14625" width="12.28515625" style="1236" customWidth="1"/>
    <col min="14626" max="14626" width="38.140625" style="1236" customWidth="1"/>
    <col min="14627" max="14627" width="46.85546875" style="1236" customWidth="1"/>
    <col min="14628" max="14630" width="12.7109375" style="1236" customWidth="1"/>
    <col min="14631" max="14631" width="9.28515625" style="1236" customWidth="1"/>
    <col min="14632" max="14632" width="13.5703125" style="1236" customWidth="1"/>
    <col min="14633" max="14633" width="10.28515625" style="1236" customWidth="1"/>
    <col min="14634" max="14634" width="12.85546875" style="1236" customWidth="1"/>
    <col min="14635" max="14635" width="9.140625" style="1236" customWidth="1"/>
    <col min="14636" max="14636" width="9.7109375" style="1236" customWidth="1"/>
    <col min="14637" max="14637" width="9.28515625" style="1236" customWidth="1"/>
    <col min="14638" max="14638" width="9.42578125" style="1236" customWidth="1"/>
    <col min="14639" max="14639" width="10.5703125" style="1236" customWidth="1"/>
    <col min="14640" max="14640" width="12.42578125" style="1236" customWidth="1"/>
    <col min="14641" max="14641" width="14.5703125" style="1236" customWidth="1"/>
    <col min="14642" max="14642" width="12.28515625" style="1236" customWidth="1"/>
    <col min="14643" max="14643" width="25.85546875" style="1236" customWidth="1"/>
    <col min="14644" max="14875" width="0.85546875" style="1236"/>
    <col min="14876" max="14876" width="9.85546875" style="1236" customWidth="1"/>
    <col min="14877" max="14877" width="81.85546875" style="1236" customWidth="1"/>
    <col min="14878" max="14878" width="12.7109375" style="1236" customWidth="1"/>
    <col min="14879" max="14879" width="12.42578125" style="1236" customWidth="1"/>
    <col min="14880" max="14880" width="14.5703125" style="1236" customWidth="1"/>
    <col min="14881" max="14881" width="12.28515625" style="1236" customWidth="1"/>
    <col min="14882" max="14882" width="38.140625" style="1236" customWidth="1"/>
    <col min="14883" max="14883" width="46.85546875" style="1236" customWidth="1"/>
    <col min="14884" max="14886" width="12.7109375" style="1236" customWidth="1"/>
    <col min="14887" max="14887" width="9.28515625" style="1236" customWidth="1"/>
    <col min="14888" max="14888" width="13.5703125" style="1236" customWidth="1"/>
    <col min="14889" max="14889" width="10.28515625" style="1236" customWidth="1"/>
    <col min="14890" max="14890" width="12.85546875" style="1236" customWidth="1"/>
    <col min="14891" max="14891" width="9.140625" style="1236" customWidth="1"/>
    <col min="14892" max="14892" width="9.7109375" style="1236" customWidth="1"/>
    <col min="14893" max="14893" width="9.28515625" style="1236" customWidth="1"/>
    <col min="14894" max="14894" width="9.42578125" style="1236" customWidth="1"/>
    <col min="14895" max="14895" width="10.5703125" style="1236" customWidth="1"/>
    <col min="14896" max="14896" width="12.42578125" style="1236" customWidth="1"/>
    <col min="14897" max="14897" width="14.5703125" style="1236" customWidth="1"/>
    <col min="14898" max="14898" width="12.28515625" style="1236" customWidth="1"/>
    <col min="14899" max="14899" width="25.85546875" style="1236" customWidth="1"/>
    <col min="14900" max="15131" width="0.85546875" style="1236"/>
    <col min="15132" max="15132" width="9.85546875" style="1236" customWidth="1"/>
    <col min="15133" max="15133" width="81.85546875" style="1236" customWidth="1"/>
    <col min="15134" max="15134" width="12.7109375" style="1236" customWidth="1"/>
    <col min="15135" max="15135" width="12.42578125" style="1236" customWidth="1"/>
    <col min="15136" max="15136" width="14.5703125" style="1236" customWidth="1"/>
    <col min="15137" max="15137" width="12.28515625" style="1236" customWidth="1"/>
    <col min="15138" max="15138" width="38.140625" style="1236" customWidth="1"/>
    <col min="15139" max="15139" width="46.85546875" style="1236" customWidth="1"/>
    <col min="15140" max="15142" width="12.7109375" style="1236" customWidth="1"/>
    <col min="15143" max="15143" width="9.28515625" style="1236" customWidth="1"/>
    <col min="15144" max="15144" width="13.5703125" style="1236" customWidth="1"/>
    <col min="15145" max="15145" width="10.28515625" style="1236" customWidth="1"/>
    <col min="15146" max="15146" width="12.85546875" style="1236" customWidth="1"/>
    <col min="15147" max="15147" width="9.140625" style="1236" customWidth="1"/>
    <col min="15148" max="15148" width="9.7109375" style="1236" customWidth="1"/>
    <col min="15149" max="15149" width="9.28515625" style="1236" customWidth="1"/>
    <col min="15150" max="15150" width="9.42578125" style="1236" customWidth="1"/>
    <col min="15151" max="15151" width="10.5703125" style="1236" customWidth="1"/>
    <col min="15152" max="15152" width="12.42578125" style="1236" customWidth="1"/>
    <col min="15153" max="15153" width="14.5703125" style="1236" customWidth="1"/>
    <col min="15154" max="15154" width="12.28515625" style="1236" customWidth="1"/>
    <col min="15155" max="15155" width="25.85546875" style="1236" customWidth="1"/>
    <col min="15156" max="15387" width="0.85546875" style="1236"/>
    <col min="15388" max="15388" width="9.85546875" style="1236" customWidth="1"/>
    <col min="15389" max="15389" width="81.85546875" style="1236" customWidth="1"/>
    <col min="15390" max="15390" width="12.7109375" style="1236" customWidth="1"/>
    <col min="15391" max="15391" width="12.42578125" style="1236" customWidth="1"/>
    <col min="15392" max="15392" width="14.5703125" style="1236" customWidth="1"/>
    <col min="15393" max="15393" width="12.28515625" style="1236" customWidth="1"/>
    <col min="15394" max="15394" width="38.140625" style="1236" customWidth="1"/>
    <col min="15395" max="15395" width="46.85546875" style="1236" customWidth="1"/>
    <col min="15396" max="15398" width="12.7109375" style="1236" customWidth="1"/>
    <col min="15399" max="15399" width="9.28515625" style="1236" customWidth="1"/>
    <col min="15400" max="15400" width="13.5703125" style="1236" customWidth="1"/>
    <col min="15401" max="15401" width="10.28515625" style="1236" customWidth="1"/>
    <col min="15402" max="15402" width="12.85546875" style="1236" customWidth="1"/>
    <col min="15403" max="15403" width="9.140625" style="1236" customWidth="1"/>
    <col min="15404" max="15404" width="9.7109375" style="1236" customWidth="1"/>
    <col min="15405" max="15405" width="9.28515625" style="1236" customWidth="1"/>
    <col min="15406" max="15406" width="9.42578125" style="1236" customWidth="1"/>
    <col min="15407" max="15407" width="10.5703125" style="1236" customWidth="1"/>
    <col min="15408" max="15408" width="12.42578125" style="1236" customWidth="1"/>
    <col min="15409" max="15409" width="14.5703125" style="1236" customWidth="1"/>
    <col min="15410" max="15410" width="12.28515625" style="1236" customWidth="1"/>
    <col min="15411" max="15411" width="25.85546875" style="1236" customWidth="1"/>
    <col min="15412" max="15643" width="0.85546875" style="1236"/>
    <col min="15644" max="15644" width="9.85546875" style="1236" customWidth="1"/>
    <col min="15645" max="15645" width="81.85546875" style="1236" customWidth="1"/>
    <col min="15646" max="15646" width="12.7109375" style="1236" customWidth="1"/>
    <col min="15647" max="15647" width="12.42578125" style="1236" customWidth="1"/>
    <col min="15648" max="15648" width="14.5703125" style="1236" customWidth="1"/>
    <col min="15649" max="15649" width="12.28515625" style="1236" customWidth="1"/>
    <col min="15650" max="15650" width="38.140625" style="1236" customWidth="1"/>
    <col min="15651" max="15651" width="46.85546875" style="1236" customWidth="1"/>
    <col min="15652" max="15654" width="12.7109375" style="1236" customWidth="1"/>
    <col min="15655" max="15655" width="9.28515625" style="1236" customWidth="1"/>
    <col min="15656" max="15656" width="13.5703125" style="1236" customWidth="1"/>
    <col min="15657" max="15657" width="10.28515625" style="1236" customWidth="1"/>
    <col min="15658" max="15658" width="12.85546875" style="1236" customWidth="1"/>
    <col min="15659" max="15659" width="9.140625" style="1236" customWidth="1"/>
    <col min="15660" max="15660" width="9.7109375" style="1236" customWidth="1"/>
    <col min="15661" max="15661" width="9.28515625" style="1236" customWidth="1"/>
    <col min="15662" max="15662" width="9.42578125" style="1236" customWidth="1"/>
    <col min="15663" max="15663" width="10.5703125" style="1236" customWidth="1"/>
    <col min="15664" max="15664" width="12.42578125" style="1236" customWidth="1"/>
    <col min="15665" max="15665" width="14.5703125" style="1236" customWidth="1"/>
    <col min="15666" max="15666" width="12.28515625" style="1236" customWidth="1"/>
    <col min="15667" max="15667" width="25.85546875" style="1236" customWidth="1"/>
    <col min="15668" max="15899" width="0.85546875" style="1236"/>
    <col min="15900" max="15900" width="9.85546875" style="1236" customWidth="1"/>
    <col min="15901" max="15901" width="81.85546875" style="1236" customWidth="1"/>
    <col min="15902" max="15902" width="12.7109375" style="1236" customWidth="1"/>
    <col min="15903" max="15903" width="12.42578125" style="1236" customWidth="1"/>
    <col min="15904" max="15904" width="14.5703125" style="1236" customWidth="1"/>
    <col min="15905" max="15905" width="12.28515625" style="1236" customWidth="1"/>
    <col min="15906" max="15906" width="38.140625" style="1236" customWidth="1"/>
    <col min="15907" max="15907" width="46.85546875" style="1236" customWidth="1"/>
    <col min="15908" max="15910" width="12.7109375" style="1236" customWidth="1"/>
    <col min="15911" max="15911" width="9.28515625" style="1236" customWidth="1"/>
    <col min="15912" max="15912" width="13.5703125" style="1236" customWidth="1"/>
    <col min="15913" max="15913" width="10.28515625" style="1236" customWidth="1"/>
    <col min="15914" max="15914" width="12.85546875" style="1236" customWidth="1"/>
    <col min="15915" max="15915" width="9.140625" style="1236" customWidth="1"/>
    <col min="15916" max="15916" width="9.7109375" style="1236" customWidth="1"/>
    <col min="15917" max="15917" width="9.28515625" style="1236" customWidth="1"/>
    <col min="15918" max="15918" width="9.42578125" style="1236" customWidth="1"/>
    <col min="15919" max="15919" width="10.5703125" style="1236" customWidth="1"/>
    <col min="15920" max="15920" width="12.42578125" style="1236" customWidth="1"/>
    <col min="15921" max="15921" width="14.5703125" style="1236" customWidth="1"/>
    <col min="15922" max="15922" width="12.28515625" style="1236" customWidth="1"/>
    <col min="15923" max="15923" width="25.85546875" style="1236" customWidth="1"/>
    <col min="15924" max="16155" width="0.85546875" style="1236"/>
    <col min="16156" max="16156" width="9.85546875" style="1236" customWidth="1"/>
    <col min="16157" max="16157" width="81.85546875" style="1236" customWidth="1"/>
    <col min="16158" max="16158" width="12.7109375" style="1236" customWidth="1"/>
    <col min="16159" max="16159" width="12.42578125" style="1236" customWidth="1"/>
    <col min="16160" max="16160" width="14.5703125" style="1236" customWidth="1"/>
    <col min="16161" max="16161" width="12.28515625" style="1236" customWidth="1"/>
    <col min="16162" max="16162" width="38.140625" style="1236" customWidth="1"/>
    <col min="16163" max="16163" width="46.85546875" style="1236" customWidth="1"/>
    <col min="16164" max="16166" width="12.7109375" style="1236" customWidth="1"/>
    <col min="16167" max="16167" width="9.28515625" style="1236" customWidth="1"/>
    <col min="16168" max="16168" width="13.5703125" style="1236" customWidth="1"/>
    <col min="16169" max="16169" width="10.28515625" style="1236" customWidth="1"/>
    <col min="16170" max="16170" width="12.85546875" style="1236" customWidth="1"/>
    <col min="16171" max="16171" width="9.140625" style="1236" customWidth="1"/>
    <col min="16172" max="16172" width="9.7109375" style="1236" customWidth="1"/>
    <col min="16173" max="16173" width="9.28515625" style="1236" customWidth="1"/>
    <col min="16174" max="16174" width="9.42578125" style="1236" customWidth="1"/>
    <col min="16175" max="16175" width="10.5703125" style="1236" customWidth="1"/>
    <col min="16176" max="16176" width="12.42578125" style="1236" customWidth="1"/>
    <col min="16177" max="16177" width="14.5703125" style="1236" customWidth="1"/>
    <col min="16178" max="16178" width="12.28515625" style="1236" customWidth="1"/>
    <col min="16179" max="16179" width="25.85546875" style="1236" customWidth="1"/>
    <col min="16180" max="16384" width="0.85546875" style="1236"/>
  </cols>
  <sheetData>
    <row r="2" spans="1:61" ht="29.25" customHeight="1" x14ac:dyDescent="0.3">
      <c r="A2" s="4785" t="s">
        <v>3933</v>
      </c>
      <c r="B2" s="4785"/>
      <c r="C2" s="4785"/>
      <c r="D2" s="4785"/>
      <c r="E2" s="4785"/>
      <c r="F2" s="4785"/>
      <c r="G2" s="4785"/>
      <c r="H2" s="4785"/>
      <c r="I2" s="4785"/>
      <c r="J2" s="4785"/>
      <c r="K2" s="4785"/>
      <c r="L2" s="4785"/>
      <c r="M2" s="4785"/>
      <c r="N2" s="4785"/>
      <c r="O2" s="4785"/>
      <c r="P2" s="4785"/>
      <c r="Q2" s="4785"/>
      <c r="R2" s="4785"/>
      <c r="S2" s="4785"/>
      <c r="T2" s="4785"/>
      <c r="U2" s="4785"/>
      <c r="V2" s="4785"/>
      <c r="W2" s="4785"/>
      <c r="X2" s="4785"/>
      <c r="Y2" s="4785"/>
      <c r="Z2" s="4785"/>
      <c r="AA2" s="4785"/>
      <c r="AB2" s="4785"/>
      <c r="AC2" s="4785"/>
      <c r="AD2" s="4785"/>
      <c r="AE2" s="4785"/>
      <c r="AF2" s="4785"/>
      <c r="AG2" s="4242"/>
      <c r="AH2" s="4242"/>
      <c r="AI2" s="4242"/>
      <c r="AJ2" s="4242"/>
      <c r="AK2" s="4242"/>
      <c r="AL2" s="4242"/>
      <c r="AM2" s="4242"/>
      <c r="AN2" s="4242"/>
      <c r="AO2" s="4242"/>
      <c r="AP2" s="4242"/>
      <c r="AQ2" s="4242"/>
      <c r="AR2" s="4242"/>
      <c r="AS2" s="4242"/>
      <c r="AT2" s="4242"/>
      <c r="AU2" s="4242"/>
      <c r="AV2" s="4242"/>
      <c r="AW2" s="4242"/>
      <c r="AX2" s="4242"/>
      <c r="AY2" s="4242"/>
      <c r="AZ2" s="4242"/>
      <c r="BA2" s="4242"/>
      <c r="BB2" s="4242"/>
      <c r="BC2" s="4242"/>
      <c r="BD2" s="4242"/>
      <c r="BE2" s="4242"/>
      <c r="BF2" s="4242"/>
      <c r="BG2" s="4242"/>
      <c r="BH2" s="4242"/>
      <c r="BI2" s="4242"/>
    </row>
    <row r="3" spans="1:61" ht="7.5" customHeight="1" x14ac:dyDescent="0.25"/>
    <row r="4" spans="1:61" ht="15.75" customHeight="1" x14ac:dyDescent="0.25">
      <c r="A4" s="4787" t="s">
        <v>893</v>
      </c>
      <c r="B4" s="4787" t="s">
        <v>358</v>
      </c>
      <c r="C4" s="4787" t="s">
        <v>894</v>
      </c>
      <c r="D4" s="4805" t="s">
        <v>1790</v>
      </c>
      <c r="E4" s="4796" t="s">
        <v>1789</v>
      </c>
      <c r="F4" s="4788" t="s">
        <v>1806</v>
      </c>
      <c r="G4" s="4789"/>
      <c r="H4" s="4789"/>
      <c r="I4" s="4789"/>
      <c r="J4" s="4789"/>
      <c r="K4" s="4789"/>
      <c r="L4" s="4789"/>
      <c r="M4" s="4789"/>
      <c r="N4" s="4789"/>
      <c r="O4" s="4789"/>
      <c r="P4" s="4789"/>
      <c r="Q4" s="4742"/>
      <c r="R4" s="4790" t="s">
        <v>1807</v>
      </c>
      <c r="S4" s="4791"/>
      <c r="T4" s="4791"/>
      <c r="U4" s="4791"/>
      <c r="V4" s="4791"/>
      <c r="W4" s="4791"/>
      <c r="X4" s="4791"/>
      <c r="Y4" s="4791"/>
      <c r="Z4" s="4791"/>
      <c r="AA4" s="4791"/>
      <c r="AB4" s="4791"/>
      <c r="AC4" s="4791"/>
      <c r="AD4" s="4791"/>
      <c r="AE4" s="4792"/>
      <c r="AF4" s="4792"/>
      <c r="AG4" s="4793"/>
      <c r="AH4" s="4793"/>
      <c r="AI4" s="4793"/>
      <c r="AJ4" s="4793"/>
      <c r="AK4" s="4793"/>
      <c r="AL4" s="4793"/>
      <c r="AM4" s="4793"/>
      <c r="AN4" s="4793"/>
      <c r="AO4" s="4793"/>
      <c r="AP4" s="4793"/>
      <c r="AQ4" s="4793"/>
      <c r="AR4" s="4793"/>
      <c r="AS4" s="4793"/>
      <c r="AT4" s="4793"/>
      <c r="AU4" s="4793"/>
      <c r="AV4" s="4793"/>
      <c r="AW4" s="4793"/>
      <c r="AX4" s="4793"/>
      <c r="AY4" s="4793"/>
      <c r="AZ4" s="4793"/>
      <c r="BA4" s="4793"/>
      <c r="BB4" s="4793"/>
      <c r="BC4" s="4793"/>
      <c r="BD4" s="4793"/>
      <c r="BE4" s="4793"/>
      <c r="BF4" s="4793"/>
      <c r="BG4" s="4794"/>
      <c r="BH4" s="4794"/>
      <c r="BI4" s="4795"/>
    </row>
    <row r="5" spans="1:61" ht="25.5" customHeight="1" x14ac:dyDescent="0.25">
      <c r="A5" s="4787"/>
      <c r="B5" s="4787"/>
      <c r="C5" s="4787"/>
      <c r="D5" s="4806"/>
      <c r="E5" s="4797"/>
      <c r="F5" s="4787" t="s">
        <v>818</v>
      </c>
      <c r="G5" s="4787"/>
      <c r="H5" s="4787"/>
      <c r="I5" s="4787" t="s">
        <v>895</v>
      </c>
      <c r="J5" s="4787"/>
      <c r="K5" s="4787"/>
      <c r="L5" s="4787"/>
      <c r="M5" s="4787"/>
      <c r="N5" s="4788" t="s">
        <v>896</v>
      </c>
      <c r="O5" s="4789"/>
      <c r="P5" s="4789"/>
      <c r="Q5" s="4742"/>
      <c r="R5" s="3586" t="s">
        <v>1802</v>
      </c>
      <c r="S5" s="3586" t="s">
        <v>1808</v>
      </c>
      <c r="T5" s="3586" t="s">
        <v>1809</v>
      </c>
      <c r="U5" s="3586" t="s">
        <v>1810</v>
      </c>
      <c r="V5" s="3586" t="s">
        <v>1811</v>
      </c>
      <c r="W5" s="3586" t="s">
        <v>1812</v>
      </c>
      <c r="X5" s="3586" t="s">
        <v>1802</v>
      </c>
      <c r="Y5" s="3586" t="s">
        <v>2051</v>
      </c>
      <c r="Z5" s="3586" t="s">
        <v>1808</v>
      </c>
      <c r="AA5" s="3586" t="s">
        <v>1809</v>
      </c>
      <c r="AB5" s="3586" t="s">
        <v>1810</v>
      </c>
      <c r="AC5" s="3586" t="s">
        <v>1811</v>
      </c>
      <c r="AD5" s="3586" t="s">
        <v>1812</v>
      </c>
      <c r="AE5" s="4786" t="s">
        <v>1808</v>
      </c>
      <c r="AF5" s="4814"/>
      <c r="AG5" s="4814"/>
      <c r="AH5" s="4814"/>
      <c r="AI5" s="4814"/>
      <c r="AJ5" s="4814"/>
      <c r="AK5" s="4814"/>
      <c r="AL5" s="4814"/>
      <c r="AM5" s="4814"/>
      <c r="AN5" s="4814"/>
      <c r="AO5" s="4814"/>
      <c r="AP5" s="4814"/>
      <c r="AQ5" s="4814"/>
      <c r="AR5" s="4814"/>
      <c r="AS5" s="4814"/>
      <c r="AT5" s="4814"/>
      <c r="AU5" s="4814"/>
      <c r="AV5" s="4814"/>
      <c r="AW5" s="4814"/>
      <c r="AX5" s="4814"/>
      <c r="AY5" s="4814"/>
      <c r="AZ5" s="4786" t="s">
        <v>3648</v>
      </c>
      <c r="BA5" s="4786" t="s">
        <v>3649</v>
      </c>
      <c r="BB5" s="4786" t="s">
        <v>3657</v>
      </c>
      <c r="BC5" s="4799" t="s">
        <v>1809</v>
      </c>
      <c r="BD5" s="4800"/>
      <c r="BE5" s="4800"/>
      <c r="BF5" s="4800"/>
      <c r="BG5" s="4786" t="s">
        <v>3943</v>
      </c>
      <c r="BH5" s="4786" t="s">
        <v>3944</v>
      </c>
      <c r="BI5" s="4786" t="s">
        <v>3945</v>
      </c>
    </row>
    <row r="6" spans="1:61" ht="51" x14ac:dyDescent="0.25">
      <c r="A6" s="4787"/>
      <c r="B6" s="4787"/>
      <c r="C6" s="4787"/>
      <c r="D6" s="4807"/>
      <c r="E6" s="4798"/>
      <c r="F6" s="2070" t="s">
        <v>1588</v>
      </c>
      <c r="G6" s="2070" t="s">
        <v>1804</v>
      </c>
      <c r="H6" s="2070" t="s">
        <v>1805</v>
      </c>
      <c r="I6" s="2070" t="s">
        <v>1588</v>
      </c>
      <c r="J6" s="2070" t="s">
        <v>1513</v>
      </c>
      <c r="K6" s="2070" t="s">
        <v>1682</v>
      </c>
      <c r="L6" s="2070" t="s">
        <v>1804</v>
      </c>
      <c r="M6" s="2070" t="s">
        <v>1805</v>
      </c>
      <c r="N6" s="2070" t="s">
        <v>1588</v>
      </c>
      <c r="O6" s="2070" t="s">
        <v>1687</v>
      </c>
      <c r="P6" s="2070" t="s">
        <v>1682</v>
      </c>
      <c r="Q6" s="2496" t="s">
        <v>1804</v>
      </c>
      <c r="R6" s="4786" t="s">
        <v>119</v>
      </c>
      <c r="S6" s="4786"/>
      <c r="T6" s="4786"/>
      <c r="U6" s="4786"/>
      <c r="V6" s="4786"/>
      <c r="W6" s="4786"/>
      <c r="X6" s="4786" t="s">
        <v>1524</v>
      </c>
      <c r="Y6" s="4786"/>
      <c r="Z6" s="4786"/>
      <c r="AA6" s="4786"/>
      <c r="AB6" s="4786"/>
      <c r="AC6" s="4786"/>
      <c r="AD6" s="4786"/>
      <c r="AE6" s="3586" t="s">
        <v>3551</v>
      </c>
      <c r="AF6" s="3586" t="s">
        <v>3570</v>
      </c>
      <c r="AG6" s="3587"/>
      <c r="AH6" s="3587"/>
      <c r="AI6" s="3587"/>
      <c r="AJ6" s="3587"/>
      <c r="AK6" s="3587"/>
      <c r="AL6" s="3587"/>
      <c r="AM6" s="3587"/>
      <c r="AN6" s="3587"/>
      <c r="AO6" s="3587"/>
      <c r="AP6" s="3587"/>
      <c r="AQ6" s="3587"/>
      <c r="AR6" s="3587"/>
      <c r="AS6" s="3587"/>
      <c r="AT6" s="3587"/>
      <c r="AU6" s="3587"/>
      <c r="AV6" s="3587"/>
      <c r="AW6" s="3587"/>
      <c r="AX6" s="3586" t="s">
        <v>3708</v>
      </c>
      <c r="AY6" s="3586" t="s">
        <v>3570</v>
      </c>
      <c r="AZ6" s="4737"/>
      <c r="BA6" s="4737"/>
      <c r="BB6" s="4737"/>
      <c r="BC6" s="3586" t="s">
        <v>3551</v>
      </c>
      <c r="BD6" s="3586" t="s">
        <v>3929</v>
      </c>
      <c r="BE6" s="3586" t="s">
        <v>3708</v>
      </c>
      <c r="BF6" s="3586" t="s">
        <v>3929</v>
      </c>
      <c r="BG6" s="4737"/>
      <c r="BH6" s="4737"/>
      <c r="BI6" s="4737"/>
    </row>
    <row r="7" spans="1:61" s="1940" customFormat="1" ht="27" customHeight="1" x14ac:dyDescent="0.25">
      <c r="A7" s="3780"/>
      <c r="B7" s="3781" t="s">
        <v>897</v>
      </c>
      <c r="C7" s="4808" t="s">
        <v>898</v>
      </c>
      <c r="D7" s="4804" t="s">
        <v>898</v>
      </c>
      <c r="E7" s="4809" t="s">
        <v>898</v>
      </c>
      <c r="F7" s="4804" t="s">
        <v>898</v>
      </c>
      <c r="G7" s="4804" t="s">
        <v>898</v>
      </c>
      <c r="H7" s="4804" t="s">
        <v>898</v>
      </c>
      <c r="I7" s="3782">
        <v>0.01</v>
      </c>
      <c r="J7" s="3782"/>
      <c r="K7" s="3782">
        <v>0.01</v>
      </c>
      <c r="L7" s="4804" t="s">
        <v>898</v>
      </c>
      <c r="M7" s="3782">
        <v>0.01</v>
      </c>
      <c r="N7" s="3782">
        <v>0.01</v>
      </c>
      <c r="O7" s="4804" t="s">
        <v>898</v>
      </c>
      <c r="P7" s="3782">
        <v>0.01</v>
      </c>
      <c r="Q7" s="4803" t="s">
        <v>898</v>
      </c>
      <c r="R7" s="4801" t="s">
        <v>898</v>
      </c>
      <c r="S7" s="3783">
        <v>0.01</v>
      </c>
      <c r="T7" s="3783">
        <v>0.01</v>
      </c>
      <c r="U7" s="3783">
        <v>0.01</v>
      </c>
      <c r="V7" s="3783">
        <v>0.01</v>
      </c>
      <c r="W7" s="3783">
        <v>0.01</v>
      </c>
      <c r="X7" s="4801" t="s">
        <v>898</v>
      </c>
      <c r="Y7" s="4801" t="s">
        <v>898</v>
      </c>
      <c r="Z7" s="3783">
        <v>0.01</v>
      </c>
      <c r="AA7" s="3783">
        <v>0.01</v>
      </c>
      <c r="AB7" s="3783">
        <v>0.01</v>
      </c>
      <c r="AC7" s="3783">
        <v>0.01</v>
      </c>
      <c r="AD7" s="3783">
        <v>0.01</v>
      </c>
      <c r="AE7" s="4801" t="s">
        <v>898</v>
      </c>
      <c r="AF7" s="4801" t="s">
        <v>898</v>
      </c>
      <c r="AG7" s="3784"/>
      <c r="AH7" s="3784"/>
      <c r="AI7" s="3784"/>
      <c r="AJ7" s="3784"/>
      <c r="AK7" s="3784"/>
      <c r="AL7" s="3784"/>
      <c r="AM7" s="3784"/>
      <c r="AN7" s="3784"/>
      <c r="AO7" s="3784"/>
      <c r="AP7" s="3784"/>
      <c r="AQ7" s="3784"/>
      <c r="AR7" s="3784"/>
      <c r="AS7" s="3784"/>
      <c r="AT7" s="3784"/>
      <c r="AU7" s="3784"/>
      <c r="AV7" s="3784"/>
      <c r="AW7" s="3784"/>
      <c r="AX7" s="3783">
        <v>0.01</v>
      </c>
      <c r="AY7" s="4801" t="s">
        <v>898</v>
      </c>
      <c r="AZ7" s="4801" t="s">
        <v>898</v>
      </c>
      <c r="BA7" s="4801" t="s">
        <v>898</v>
      </c>
      <c r="BB7" s="4801" t="s">
        <v>898</v>
      </c>
      <c r="BC7" s="3861">
        <v>0.01</v>
      </c>
      <c r="BD7" s="4810" t="s">
        <v>898</v>
      </c>
      <c r="BE7" s="4175">
        <v>0.01</v>
      </c>
      <c r="BF7" s="4812" t="s">
        <v>898</v>
      </c>
      <c r="BG7" s="4810" t="s">
        <v>898</v>
      </c>
      <c r="BH7" s="4810" t="s">
        <v>898</v>
      </c>
      <c r="BI7" s="4801" t="s">
        <v>898</v>
      </c>
    </row>
    <row r="8" spans="1:61" s="1940" customFormat="1" ht="15" customHeight="1" x14ac:dyDescent="0.25">
      <c r="A8" s="3780"/>
      <c r="B8" s="3781" t="s">
        <v>899</v>
      </c>
      <c r="C8" s="4808"/>
      <c r="D8" s="4804"/>
      <c r="E8" s="4809"/>
      <c r="F8" s="4804"/>
      <c r="G8" s="4804"/>
      <c r="H8" s="4804"/>
      <c r="I8" s="3785">
        <v>7.3999999999999996E-2</v>
      </c>
      <c r="J8" s="3785"/>
      <c r="K8" s="3785">
        <v>7.0999999999999994E-2</v>
      </c>
      <c r="L8" s="4804"/>
      <c r="M8" s="3785">
        <v>3.6999999999999998E-2</v>
      </c>
      <c r="N8" s="3785">
        <v>0.04</v>
      </c>
      <c r="O8" s="4804"/>
      <c r="P8" s="3785">
        <v>3.6999999999999998E-2</v>
      </c>
      <c r="Q8" s="4801"/>
      <c r="R8" s="4801"/>
      <c r="S8" s="3785">
        <v>3.6999999999999998E-2</v>
      </c>
      <c r="T8" s="3785">
        <v>3.6999999999999998E-2</v>
      </c>
      <c r="U8" s="3785">
        <v>3.6999999999999998E-2</v>
      </c>
      <c r="V8" s="3785">
        <v>3.6999999999999998E-2</v>
      </c>
      <c r="W8" s="3785">
        <v>3.6999999999999998E-2</v>
      </c>
      <c r="X8" s="4801"/>
      <c r="Y8" s="4801"/>
      <c r="Z8" s="3785">
        <v>4.5999999999999999E-2</v>
      </c>
      <c r="AA8" s="3785">
        <v>3.4000000000000002E-2</v>
      </c>
      <c r="AB8" s="3785">
        <v>0.04</v>
      </c>
      <c r="AC8" s="3785">
        <v>0.04</v>
      </c>
      <c r="AD8" s="3785">
        <v>0.04</v>
      </c>
      <c r="AE8" s="4801"/>
      <c r="AF8" s="4801"/>
      <c r="AG8" s="3784"/>
      <c r="AH8" s="3784"/>
      <c r="AI8" s="3784"/>
      <c r="AJ8" s="3784"/>
      <c r="AK8" s="3784"/>
      <c r="AL8" s="3784"/>
      <c r="AM8" s="3784"/>
      <c r="AN8" s="3784"/>
      <c r="AO8" s="3784"/>
      <c r="AP8" s="3784"/>
      <c r="AQ8" s="3784"/>
      <c r="AR8" s="3784"/>
      <c r="AS8" s="3784"/>
      <c r="AT8" s="3784"/>
      <c r="AU8" s="3784"/>
      <c r="AV8" s="3784"/>
      <c r="AW8" s="3784"/>
      <c r="AX8" s="3785">
        <v>0.03</v>
      </c>
      <c r="AY8" s="4801"/>
      <c r="AZ8" s="4801"/>
      <c r="BA8" s="4801"/>
      <c r="BB8" s="4801"/>
      <c r="BC8" s="3862">
        <v>4.5999999999999999E-2</v>
      </c>
      <c r="BD8" s="4810"/>
      <c r="BE8" s="4151">
        <v>3.5999999999999997E-2</v>
      </c>
      <c r="BF8" s="4812"/>
      <c r="BG8" s="4810"/>
      <c r="BH8" s="4810"/>
      <c r="BI8" s="4801"/>
    </row>
    <row r="9" spans="1:61" s="1940" customFormat="1" ht="16.5" customHeight="1" x14ac:dyDescent="0.25">
      <c r="A9" s="3780"/>
      <c r="B9" s="3781" t="s">
        <v>900</v>
      </c>
      <c r="C9" s="4808"/>
      <c r="D9" s="4804"/>
      <c r="E9" s="4809"/>
      <c r="F9" s="4804"/>
      <c r="G9" s="4804"/>
      <c r="H9" s="4804"/>
      <c r="I9" s="3786">
        <v>0</v>
      </c>
      <c r="J9" s="3786"/>
      <c r="K9" s="3786">
        <v>0</v>
      </c>
      <c r="L9" s="4804"/>
      <c r="M9" s="3786">
        <v>0</v>
      </c>
      <c r="N9" s="3786">
        <v>0</v>
      </c>
      <c r="O9" s="4804"/>
      <c r="P9" s="3786">
        <v>0</v>
      </c>
      <c r="Q9" s="4802"/>
      <c r="R9" s="4802"/>
      <c r="S9" s="3786">
        <v>0</v>
      </c>
      <c r="T9" s="3786">
        <v>0</v>
      </c>
      <c r="U9" s="3786">
        <v>0</v>
      </c>
      <c r="V9" s="3786">
        <v>0</v>
      </c>
      <c r="W9" s="3786">
        <v>0</v>
      </c>
      <c r="X9" s="4802"/>
      <c r="Y9" s="4802"/>
      <c r="Z9" s="3786">
        <v>0</v>
      </c>
      <c r="AA9" s="3786">
        <v>0</v>
      </c>
      <c r="AB9" s="3786">
        <v>0</v>
      </c>
      <c r="AC9" s="3786">
        <v>0</v>
      </c>
      <c r="AD9" s="3786">
        <v>0</v>
      </c>
      <c r="AE9" s="4802"/>
      <c r="AF9" s="4802"/>
      <c r="AG9" s="3784"/>
      <c r="AH9" s="3784"/>
      <c r="AI9" s="3784"/>
      <c r="AJ9" s="3784"/>
      <c r="AK9" s="3784"/>
      <c r="AL9" s="3784"/>
      <c r="AM9" s="3784"/>
      <c r="AN9" s="3784"/>
      <c r="AO9" s="3784"/>
      <c r="AP9" s="3784"/>
      <c r="AQ9" s="3784"/>
      <c r="AR9" s="3784"/>
      <c r="AS9" s="3784"/>
      <c r="AT9" s="3784"/>
      <c r="AU9" s="3784"/>
      <c r="AV9" s="3784"/>
      <c r="AW9" s="3784"/>
      <c r="AX9" s="3786">
        <v>0</v>
      </c>
      <c r="AY9" s="4802"/>
      <c r="AZ9" s="4802"/>
      <c r="BA9" s="4802"/>
      <c r="BB9" s="4802"/>
      <c r="BC9" s="3863">
        <v>0</v>
      </c>
      <c r="BD9" s="4811"/>
      <c r="BE9" s="4152">
        <v>0</v>
      </c>
      <c r="BF9" s="4813"/>
      <c r="BG9" s="4811"/>
      <c r="BH9" s="4811"/>
      <c r="BI9" s="4802"/>
    </row>
    <row r="10" spans="1:61" s="2805" customFormat="1" ht="18" customHeight="1" x14ac:dyDescent="0.25">
      <c r="A10" s="3787">
        <v>1</v>
      </c>
      <c r="B10" s="3788" t="s">
        <v>901</v>
      </c>
      <c r="C10" s="3787" t="s">
        <v>902</v>
      </c>
      <c r="D10" s="3789">
        <f t="shared" ref="D10:E10" si="0">D11+D22+D24+D28</f>
        <v>123199.97</v>
      </c>
      <c r="E10" s="3790">
        <f t="shared" si="0"/>
        <v>115906.66</v>
      </c>
      <c r="F10" s="3789">
        <f t="shared" ref="F10:N10" si="1">F11+F22+F24+F28</f>
        <v>130132.0308002161</v>
      </c>
      <c r="G10" s="3789">
        <f t="shared" ref="G10" si="2">G11+G22+G24+G28</f>
        <v>120535.93</v>
      </c>
      <c r="H10" s="3789">
        <f t="shared" si="1"/>
        <v>126874.32289857589</v>
      </c>
      <c r="I10" s="3789">
        <f t="shared" si="1"/>
        <v>131185.59188472689</v>
      </c>
      <c r="J10" s="3789">
        <f t="shared" si="1"/>
        <v>146598.56</v>
      </c>
      <c r="K10" s="3789">
        <f t="shared" si="1"/>
        <v>132731.59938646757</v>
      </c>
      <c r="L10" s="3789">
        <f t="shared" ref="L10:M10" si="3">L11+L22+L24+L28</f>
        <v>138219.92427999998</v>
      </c>
      <c r="M10" s="3789">
        <f t="shared" si="3"/>
        <v>124314.61225618275</v>
      </c>
      <c r="N10" s="3789">
        <f t="shared" si="1"/>
        <v>135150.34286266143</v>
      </c>
      <c r="O10" s="3789">
        <f t="shared" ref="O10" si="4">O11+O22+O24+O28</f>
        <v>141714.08000000002</v>
      </c>
      <c r="P10" s="3789">
        <f>P11+P22+P24+P28</f>
        <v>127775.59977397999</v>
      </c>
      <c r="Q10" s="3789">
        <f t="shared" ref="Q10" si="5">Q11+Q22+Q24+Q28</f>
        <v>136412.62899999999</v>
      </c>
      <c r="R10" s="3789">
        <f t="shared" ref="R10:AD10" si="6">R11+R22+R24+R28</f>
        <v>152193.54</v>
      </c>
      <c r="S10" s="3789">
        <f t="shared" si="6"/>
        <v>163063.53999999998</v>
      </c>
      <c r="T10" s="3789">
        <f t="shared" si="6"/>
        <v>168098.30000000002</v>
      </c>
      <c r="U10" s="3789">
        <f t="shared" si="6"/>
        <v>173305.15999999997</v>
      </c>
      <c r="V10" s="3789">
        <f t="shared" si="6"/>
        <v>178711.02</v>
      </c>
      <c r="W10" s="3789">
        <f t="shared" si="6"/>
        <v>0</v>
      </c>
      <c r="X10" s="3789">
        <f t="shared" si="6"/>
        <v>147544.11811148538</v>
      </c>
      <c r="Y10" s="3789">
        <f>X10/P10*100</f>
        <v>115.47127806284891</v>
      </c>
      <c r="Z10" s="3789">
        <f t="shared" si="6"/>
        <v>152394.79711169572</v>
      </c>
      <c r="AA10" s="3789">
        <f t="shared" si="6"/>
        <v>155941.62487183817</v>
      </c>
      <c r="AB10" s="3789">
        <f t="shared" si="6"/>
        <v>160328.5385559875</v>
      </c>
      <c r="AC10" s="3789">
        <f t="shared" si="6"/>
        <v>164890.69791820081</v>
      </c>
      <c r="AD10" s="3789">
        <f t="shared" si="6"/>
        <v>169657.2078363566</v>
      </c>
      <c r="AE10" s="3789">
        <f t="shared" ref="AE10" si="7">AE11+AE22+AE24+AE28</f>
        <v>163792.15655699334</v>
      </c>
      <c r="AF10" s="3789">
        <f>AE10/X10*100</f>
        <v>111.0123254342344</v>
      </c>
      <c r="AG10" s="3784"/>
      <c r="AH10" s="3784"/>
      <c r="AI10" s="3784"/>
      <c r="AJ10" s="3784"/>
      <c r="AK10" s="3784"/>
      <c r="AL10" s="3784"/>
      <c r="AM10" s="3784"/>
      <c r="AN10" s="3784"/>
      <c r="AO10" s="3784"/>
      <c r="AP10" s="3784"/>
      <c r="AQ10" s="3784"/>
      <c r="AR10" s="3784"/>
      <c r="AS10" s="3784"/>
      <c r="AT10" s="3784"/>
      <c r="AU10" s="3784"/>
      <c r="AV10" s="3784"/>
      <c r="AW10" s="3784"/>
      <c r="AX10" s="3789">
        <f t="shared" ref="AX10" si="8">AX11+AX22+AX24+AX28</f>
        <v>149826.19082761329</v>
      </c>
      <c r="AY10" s="3789">
        <f>AX10/X10*100</f>
        <v>101.54670531454433</v>
      </c>
      <c r="AZ10" s="3789">
        <f t="shared" ref="AZ10:BA10" si="9">AZ11+AZ22+AZ24+AZ28</f>
        <v>72783.630038500007</v>
      </c>
      <c r="BA10" s="3789">
        <f t="shared" si="9"/>
        <v>111653.58178317001</v>
      </c>
      <c r="BB10" s="3789">
        <f t="shared" ref="BB10" si="10">BB11+BB22+BB24+BB28</f>
        <v>147917.25693788001</v>
      </c>
      <c r="BC10" s="3864">
        <f t="shared" ref="BC10" si="11">BC11+BC22+BC24+BC28</f>
        <v>177938.59485403632</v>
      </c>
      <c r="BD10" s="3864">
        <f>BC10/AX10*100</f>
        <v>118.76334429323411</v>
      </c>
      <c r="BE10" s="4183">
        <f t="shared" ref="BE10" si="12">BE11+BE22+BE24+BE28</f>
        <v>146345.09367614074</v>
      </c>
      <c r="BF10" s="4183">
        <f>BE10/AX10*100</f>
        <v>97.676576350073645</v>
      </c>
      <c r="BG10" s="3864">
        <f t="shared" ref="BG10:BI10" si="13">BG11+BG22+BG24+BG28</f>
        <v>74088.261499999993</v>
      </c>
      <c r="BH10" s="3864">
        <f t="shared" si="13"/>
        <v>107372.86429100001</v>
      </c>
      <c r="BI10" s="3791">
        <f t="shared" si="13"/>
        <v>118.4391456264424</v>
      </c>
    </row>
    <row r="11" spans="1:61" s="2806" customFormat="1" ht="23.25" customHeight="1" x14ac:dyDescent="0.25">
      <c r="A11" s="3792" t="s">
        <v>903</v>
      </c>
      <c r="B11" s="3793" t="s">
        <v>904</v>
      </c>
      <c r="C11" s="3792" t="s">
        <v>902</v>
      </c>
      <c r="D11" s="3789">
        <f t="shared" ref="D11:E11" si="14">D12+D13+D14</f>
        <v>105513.69</v>
      </c>
      <c r="E11" s="3790">
        <f t="shared" si="14"/>
        <v>107557.11</v>
      </c>
      <c r="F11" s="3789">
        <f t="shared" ref="F11:N11" si="15">F12+F13+F14</f>
        <v>111940.9715304191</v>
      </c>
      <c r="G11" s="3789">
        <f t="shared" ref="G11" si="16">G12+G13+G14</f>
        <v>111965.39</v>
      </c>
      <c r="H11" s="3789">
        <f t="shared" si="15"/>
        <v>108393.13558408995</v>
      </c>
      <c r="I11" s="3789">
        <f t="shared" si="15"/>
        <v>116732.41893783511</v>
      </c>
      <c r="J11" s="3789">
        <f t="shared" si="15"/>
        <v>131238.74</v>
      </c>
      <c r="K11" s="3789">
        <f t="shared" si="15"/>
        <v>118241.1578864013</v>
      </c>
      <c r="L11" s="3789">
        <f t="shared" ref="L11:M11" si="17">L12+L13+L14</f>
        <v>127900.23427999999</v>
      </c>
      <c r="M11" s="3789">
        <f t="shared" si="17"/>
        <v>108120.4815480246</v>
      </c>
      <c r="N11" s="3789">
        <f t="shared" si="15"/>
        <v>120508.37225015374</v>
      </c>
      <c r="O11" s="3789">
        <f t="shared" ref="O11:Q11" si="18">O12+O13+O14</f>
        <v>126360.15000000001</v>
      </c>
      <c r="P11" s="3789">
        <f t="shared" si="18"/>
        <v>119298.79540596965</v>
      </c>
      <c r="Q11" s="3789">
        <f t="shared" si="18"/>
        <v>126486.549</v>
      </c>
      <c r="R11" s="3789">
        <f t="shared" ref="R11:AD11" si="19">R12+R13+R14</f>
        <v>145195.96</v>
      </c>
      <c r="S11" s="3789">
        <f t="shared" si="19"/>
        <v>152733.99</v>
      </c>
      <c r="T11" s="3789">
        <f t="shared" si="19"/>
        <v>157758.25000000003</v>
      </c>
      <c r="U11" s="3789">
        <f t="shared" si="19"/>
        <v>162954.28999999998</v>
      </c>
      <c r="V11" s="3789">
        <f t="shared" si="19"/>
        <v>168349</v>
      </c>
      <c r="W11" s="3789">
        <f t="shared" si="19"/>
        <v>0</v>
      </c>
      <c r="X11" s="3789">
        <f t="shared" si="19"/>
        <v>137561.50163301575</v>
      </c>
      <c r="Y11" s="3789">
        <f>X11/P11*100</f>
        <v>115.30837437620282</v>
      </c>
      <c r="Z11" s="3789">
        <f t="shared" si="19"/>
        <v>142410.41711169571</v>
      </c>
      <c r="AA11" s="3789">
        <f t="shared" si="19"/>
        <v>145957.24487183816</v>
      </c>
      <c r="AB11" s="3789">
        <f t="shared" si="19"/>
        <v>150344.15855598749</v>
      </c>
      <c r="AC11" s="3789">
        <f t="shared" si="19"/>
        <v>154906.3179182008</v>
      </c>
      <c r="AD11" s="3789">
        <f t="shared" si="19"/>
        <v>159672.82783635659</v>
      </c>
      <c r="AE11" s="3789">
        <f t="shared" ref="AE11" si="20">AE12+AE13+AE14</f>
        <v>153578.91007852371</v>
      </c>
      <c r="AF11" s="3789">
        <f t="shared" ref="AF11:AF38" si="21">AE11/X11*100</f>
        <v>111.64381622427977</v>
      </c>
      <c r="AG11" s="3784"/>
      <c r="AH11" s="3784"/>
      <c r="AI11" s="3784"/>
      <c r="AJ11" s="3784"/>
      <c r="AK11" s="3784"/>
      <c r="AL11" s="3784"/>
      <c r="AM11" s="3784"/>
      <c r="AN11" s="3784"/>
      <c r="AO11" s="3784"/>
      <c r="AP11" s="3784"/>
      <c r="AQ11" s="3784"/>
      <c r="AR11" s="3784"/>
      <c r="AS11" s="3784"/>
      <c r="AT11" s="3784"/>
      <c r="AU11" s="3784"/>
      <c r="AV11" s="3784"/>
      <c r="AW11" s="3784"/>
      <c r="AX11" s="3789">
        <f t="shared" ref="AX11" si="22">AX12+AX13+AX14</f>
        <v>139612.93959428006</v>
      </c>
      <c r="AY11" s="3789">
        <f t="shared" ref="AY11:AY38" si="23">AX11/X11*100</f>
        <v>101.49128785082407</v>
      </c>
      <c r="AZ11" s="3789">
        <f t="shared" ref="AZ11:BA11" si="24">AZ12+AZ13+AZ14</f>
        <v>64537.180038500002</v>
      </c>
      <c r="BA11" s="3789">
        <f t="shared" si="24"/>
        <v>99483.61178317001</v>
      </c>
      <c r="BB11" s="3789">
        <f t="shared" ref="BB11" si="25">BB12+BB13+BB14</f>
        <v>132239.84693788001</v>
      </c>
      <c r="BC11" s="3864">
        <f t="shared" ref="BC11" si="26">BC12+BC13+BC14</f>
        <v>166229.61485403631</v>
      </c>
      <c r="BD11" s="3864">
        <f>BC11/AX11*100</f>
        <v>119.064619180074</v>
      </c>
      <c r="BE11" s="4183">
        <f t="shared" ref="BE11" si="27">BE12+BE13+BE14</f>
        <v>140202.38367614074</v>
      </c>
      <c r="BF11" s="4183">
        <f t="shared" ref="BF11:BF22" si="28">BE11/AX11*100</f>
        <v>100.42219874717459</v>
      </c>
      <c r="BG11" s="3864">
        <f t="shared" ref="BG11:BI11" si="29">BG12+BG13+BG14</f>
        <v>66308.6446</v>
      </c>
      <c r="BH11" s="3864">
        <f t="shared" si="29"/>
        <v>95682.164291000008</v>
      </c>
      <c r="BI11" s="3791">
        <f t="shared" si="29"/>
        <v>118.4391456264424</v>
      </c>
    </row>
    <row r="12" spans="1:61" s="2806" customFormat="1" ht="21" customHeight="1" x14ac:dyDescent="0.25">
      <c r="A12" s="3792" t="s">
        <v>905</v>
      </c>
      <c r="B12" s="3794" t="s">
        <v>906</v>
      </c>
      <c r="C12" s="3792" t="s">
        <v>902</v>
      </c>
      <c r="D12" s="3792">
        <v>86457.11</v>
      </c>
      <c r="E12" s="3795">
        <v>89990.59</v>
      </c>
      <c r="F12" s="3789">
        <f>вода!BE139+вода!BE140+вода!BE141+вода!BE142+вода!BE143+вода!BE145-F15-F17-'цех вода'!AG18-'ОХР '!AP21-'ОХР '!AP17-'ОХР '!AP24</f>
        <v>93024.157639357698</v>
      </c>
      <c r="G12" s="3789">
        <v>93097.31</v>
      </c>
      <c r="H12" s="3789">
        <f>F12</f>
        <v>93024.157639357698</v>
      </c>
      <c r="I12" s="3789">
        <f>F12*(1-I7)*(1+I8)*(1+I9)</f>
        <v>98908.865851623472</v>
      </c>
      <c r="J12" s="3789">
        <v>108667.4</v>
      </c>
      <c r="K12" s="3789">
        <f>F12*(1-K7)*(1+K8)*(1+K9)</f>
        <v>98632.584103434579</v>
      </c>
      <c r="L12" s="3789">
        <v>103885.18</v>
      </c>
      <c r="M12" s="3789">
        <f>F12*0.99*1.037</f>
        <v>95501.390957293799</v>
      </c>
      <c r="N12" s="3789">
        <f>K12*(1-N7)*(1+N8)*(1+N9)</f>
        <v>101552.10859289626</v>
      </c>
      <c r="O12" s="3789">
        <v>103364.71</v>
      </c>
      <c r="P12" s="3789">
        <f>N12</f>
        <v>101552.10859289626</v>
      </c>
      <c r="Q12" s="3789">
        <f>вода!BQ139+вода!BQ140+вода!BQ141+вода!BQ142+вода!BQ143+вода!BQ145-Q17</f>
        <v>110628.765</v>
      </c>
      <c r="R12" s="3789">
        <v>123419.62</v>
      </c>
      <c r="S12" s="3789">
        <v>127122.16</v>
      </c>
      <c r="T12" s="3789">
        <v>130935.77</v>
      </c>
      <c r="U12" s="3789">
        <v>134863.79999999999</v>
      </c>
      <c r="V12" s="3789">
        <v>138909.66</v>
      </c>
      <c r="W12" s="3789"/>
      <c r="X12" s="3789">
        <f>вода!BW139+вода!BW140+вода!BW141+вода!BW142+вода!BW143+вода!BW145</f>
        <v>116884.44357920038</v>
      </c>
      <c r="Y12" s="3789">
        <f>X12/P12*100</f>
        <v>115.09799766715689</v>
      </c>
      <c r="Z12" s="3789">
        <f>X12*(1-Z7)*(1+Z8)*(1+Z9)</f>
        <v>121038.51670400516</v>
      </c>
      <c r="AA12" s="3789">
        <f t="shared" ref="AA12:AD12" si="30">Z12*(1-AA7)*(1+AA8)*(1+AA9)</f>
        <v>123902.28800922193</v>
      </c>
      <c r="AB12" s="3789">
        <f t="shared" si="30"/>
        <v>127569.79573429489</v>
      </c>
      <c r="AC12" s="3789">
        <f t="shared" si="30"/>
        <v>131345.86168803001</v>
      </c>
      <c r="AD12" s="3789">
        <f t="shared" si="30"/>
        <v>135233.69919399571</v>
      </c>
      <c r="AE12" s="3789">
        <f>вода!BZ139+вода!BZ140+вода!BZ141+вода!BZ142+вода!BZ143+вода!BZ145</f>
        <v>130849.18843561392</v>
      </c>
      <c r="AF12" s="3789">
        <f t="shared" si="21"/>
        <v>111.947479432497</v>
      </c>
      <c r="AG12" s="3784"/>
      <c r="AH12" s="3784"/>
      <c r="AI12" s="3784"/>
      <c r="AJ12" s="3784"/>
      <c r="AK12" s="3784"/>
      <c r="AL12" s="3784"/>
      <c r="AM12" s="3784"/>
      <c r="AN12" s="3784"/>
      <c r="AO12" s="3784"/>
      <c r="AP12" s="3784"/>
      <c r="AQ12" s="3784"/>
      <c r="AR12" s="3784"/>
      <c r="AS12" s="3784"/>
      <c r="AT12" s="3784"/>
      <c r="AU12" s="3784"/>
      <c r="AV12" s="3784"/>
      <c r="AW12" s="3784"/>
      <c r="AX12" s="3789">
        <f>вода!CG139+вода!CG140+вода!CG141+вода!CG142+вода!CG143+вода!CG145</f>
        <v>119187.06933071907</v>
      </c>
      <c r="AY12" s="3789">
        <f t="shared" si="23"/>
        <v>101.97000189333016</v>
      </c>
      <c r="AZ12" s="3789">
        <f>вода!CJ139+вода!CJ140+вода!CJ141+вода!CJ142+вода!CJ143+вода!CJ145-'цех вода'!AY18-'ОХР '!CC17-'ОХР '!CC21-'Аренда земли'!U9</f>
        <v>53163.29103</v>
      </c>
      <c r="BA12" s="3789">
        <f>SUM(вода!CM139+вода!CM140+вода!CM141+вода!CM142+вода!CM143+вода!CM145-'цех вода'!AZ18-'ОХР '!CJ17-'ОХР '!CJ21-'Аренда земли'!V9)</f>
        <v>82817.168450000012</v>
      </c>
      <c r="BB12" s="3789">
        <f>SUM(вода!CP139+вода!CP140+вода!CP141+вода!CP142+вода!CP143+вода!CP145-'цех вода'!BA18-'ОХР '!CQ17-'ОХР '!CQ21-'Аренда земли'!W9)</f>
        <v>109206.64600000001</v>
      </c>
      <c r="BC12" s="3864">
        <f>SUM(вода!CS139+вода!CS140+вода!CS141+вода!CS142+вода!CS143+вода!CS145-'цех вода'!BB18-'ОХР '!CX17-'ОХР '!CX21-'Аренда земли'!Y9)</f>
        <v>138434.62555141863</v>
      </c>
      <c r="BD12" s="3864">
        <f>BC12/AX12*100</f>
        <v>116.1490305355958</v>
      </c>
      <c r="BE12" s="4186">
        <f>X12*(1+0.032)*0.99*(1+BE8)*0.99</f>
        <v>122480.38861281963</v>
      </c>
      <c r="BF12" s="4183">
        <f t="shared" si="28"/>
        <v>102.76315149000123</v>
      </c>
      <c r="BG12" s="3864">
        <f>вода!CY139+вода!CY140+вода!CY141+вода!CY142+вода!CY143+вода!CY145-'цех вода'!BD18-'ОХР '!DG17-'ОХР '!DG21-'Аренда земли'!AA9</f>
        <v>55463.278410000006</v>
      </c>
      <c r="BH12" s="3864">
        <f>SUM(вода!DB139+вода!DB140+вода!DB141+вода!DB142+вода!DB143+вода!DB145-'цех вода'!BE18-'ОХР '!DN17-'ОХР '!DN21-'Аренда земли'!AB9)</f>
        <v>80335.03764000001</v>
      </c>
      <c r="BI12" s="3791">
        <f>SUM(вода!CW139+вода!CW140+вода!CW141+вода!CW142+вода!CW143+вода!CW145-'цех вода'!BH18-'ОХР '!CX17-'ОХР '!CX21-'Аренда земли'!AH9)</f>
        <v>-100.72016534183194</v>
      </c>
    </row>
    <row r="13" spans="1:61" s="2806" customFormat="1" ht="62.25" customHeight="1" x14ac:dyDescent="0.25">
      <c r="A13" s="3792" t="s">
        <v>907</v>
      </c>
      <c r="B13" s="3794" t="s">
        <v>908</v>
      </c>
      <c r="C13" s="3792" t="s">
        <v>902</v>
      </c>
      <c r="D13" s="3792">
        <v>14266.2</v>
      </c>
      <c r="E13" s="3795">
        <v>13450.94</v>
      </c>
      <c r="F13" s="3789">
        <f>вода!BE136+'цех вода'!AG18+'ОХР '!AP21+'ОХР '!AP17</f>
        <v>13383.894959795218</v>
      </c>
      <c r="G13" s="3789">
        <v>14650.72</v>
      </c>
      <c r="H13" s="3789">
        <f>'2018 к смета'!C10</f>
        <v>11949.702441618929</v>
      </c>
      <c r="I13" s="3789">
        <f>'электр 2017-2018'!BP51+'цех вода'!AG18*1.06+'ОХР '!AP17*1.025+'ОХР '!AP21*1.066</f>
        <v>13888.068267519839</v>
      </c>
      <c r="J13" s="3789">
        <v>14515.88</v>
      </c>
      <c r="K13" s="3789">
        <f>'2017 к смета'!C4</f>
        <v>13108.636264262597</v>
      </c>
      <c r="L13" s="3789">
        <v>16266.87</v>
      </c>
      <c r="M13" s="3789">
        <f>'ЭЭ вода'!J49</f>
        <v>8668.4926037400128</v>
      </c>
      <c r="N13" s="3789">
        <f>'электр 2017-2018'!BV51+'цех вода'!AG18*1.06*1.051+'ОХР '!AP17*1.025*1.03+'ОХР '!AP21*1.066*1.067</f>
        <v>14746.787693362201</v>
      </c>
      <c r="O13" s="3789">
        <v>13964.95</v>
      </c>
      <c r="P13" s="3789">
        <f>'2018 к смета'!I10</f>
        <v>13543.132730850208</v>
      </c>
      <c r="Q13" s="3789">
        <f>вода!BQ136+вода!BQ137</f>
        <v>11013.124</v>
      </c>
      <c r="R13" s="3789">
        <v>16967.41</v>
      </c>
      <c r="S13" s="3789">
        <v>18046.52</v>
      </c>
      <c r="T13" s="3789">
        <v>19195.810000000001</v>
      </c>
      <c r="U13" s="3789">
        <v>20419.91</v>
      </c>
      <c r="V13" s="3789">
        <v>21723.79</v>
      </c>
      <c r="W13" s="3789"/>
      <c r="X13" s="3789">
        <f>вода!BW136+вода!BW137</f>
        <v>13640.899384903289</v>
      </c>
      <c r="Y13" s="3789">
        <f t="shared" ref="Y13:Y14" si="31">X13/P13*100</f>
        <v>100.72189098339395</v>
      </c>
      <c r="Z13" s="3789">
        <f>'ЭЭ вода'!U49+'Тепловая энергия (3 подъем)'!I10</f>
        <v>14213.817159069227</v>
      </c>
      <c r="AA13" s="3789">
        <f>'ЭЭ вода'!V49+'Тепловая энергия (3 подъем)'!J10</f>
        <v>14782.369845431995</v>
      </c>
      <c r="AB13" s="3789">
        <f>'ЭЭ вода'!W49+'Тепловая энергия (3 подъем)'!K10</f>
        <v>15373.664639249277</v>
      </c>
      <c r="AC13" s="3789">
        <f>'ЭЭ вода'!X49+'Тепловая энергия (3 подъем)'!L10</f>
        <v>15973.237560179998</v>
      </c>
      <c r="AD13" s="3789">
        <f>'ЭЭ вода'!Y49+'Тепловая энергия (3 подъем)'!M10</f>
        <v>16596.193825027018</v>
      </c>
      <c r="AE13" s="3789">
        <f>вода!BZ136+вода!BZ137</f>
        <v>14240.483205953551</v>
      </c>
      <c r="AF13" s="3789">
        <f t="shared" si="21"/>
        <v>104.39548598763095</v>
      </c>
      <c r="AG13" s="3784"/>
      <c r="AH13" s="3784"/>
      <c r="AI13" s="3784"/>
      <c r="AJ13" s="3784"/>
      <c r="AK13" s="3784"/>
      <c r="AL13" s="3784"/>
      <c r="AM13" s="3784"/>
      <c r="AN13" s="3784"/>
      <c r="AO13" s="3784"/>
      <c r="AP13" s="3784"/>
      <c r="AQ13" s="3784"/>
      <c r="AR13" s="3784"/>
      <c r="AS13" s="3784"/>
      <c r="AT13" s="3784"/>
      <c r="AU13" s="3784"/>
      <c r="AV13" s="3784"/>
      <c r="AW13" s="3784"/>
      <c r="AX13" s="3789">
        <f>вода!CG136+вода!CG137</f>
        <v>13549.633074173169</v>
      </c>
      <c r="AY13" s="3789">
        <f t="shared" si="23"/>
        <v>99.330936266335002</v>
      </c>
      <c r="AZ13" s="3789">
        <f>вода!CJ136+'ОХР '!CC21+'цех вода'!AY18+'ОХР '!CC17</f>
        <v>8152.0592999999999</v>
      </c>
      <c r="BA13" s="3789">
        <f>вода!CM136+'ОХР '!CJ21+'цех вода'!AZ18+'ОХР '!CJ17</f>
        <v>11833.197039999997</v>
      </c>
      <c r="BB13" s="3789">
        <f>вода!CP136+'ОХР '!CQ21+'цех вода'!BA18+'ОХР '!CQ17</f>
        <v>16589.37</v>
      </c>
      <c r="BC13" s="3864">
        <f>вода!CS136+'ОХР '!CX21+'цех вода'!BB18+'ОХР '!CX17</f>
        <v>19521.388914557312</v>
      </c>
      <c r="BD13" s="3864">
        <f>BC13/AX13*100</f>
        <v>144.07319229748629</v>
      </c>
      <c r="BE13" s="4183">
        <f>SUM(вода!CV169)</f>
        <v>12565.575762321121</v>
      </c>
      <c r="BF13" s="4183">
        <f t="shared" si="28"/>
        <v>92.737387747216928</v>
      </c>
      <c r="BG13" s="3864">
        <f>вода!CY136+'ОХР '!DG21+'цех вода'!BD18+'ОХР '!DG17</f>
        <v>8242.6339599999992</v>
      </c>
      <c r="BH13" s="3864">
        <f>вода!DB136+'ОХР '!DN21+'цех вода'!BE18+'ОХР '!DN17</f>
        <v>11021.270900000001</v>
      </c>
      <c r="BI13" s="3791">
        <f>вода!CW136+'ОХР '!CX21+'цех вода'!BH18+'ОХР '!CX17</f>
        <v>128.91931096827435</v>
      </c>
    </row>
    <row r="14" spans="1:61" s="2806" customFormat="1" ht="27" customHeight="1" x14ac:dyDescent="0.25">
      <c r="A14" s="3792" t="s">
        <v>909</v>
      </c>
      <c r="B14" s="3794" t="s">
        <v>910</v>
      </c>
      <c r="C14" s="3792" t="s">
        <v>902</v>
      </c>
      <c r="D14" s="3789">
        <f>D15+D16+D17+D18+D21</f>
        <v>4790.38</v>
      </c>
      <c r="E14" s="3790">
        <f>E15+E16+E17+E18+E21</f>
        <v>4115.58</v>
      </c>
      <c r="F14" s="3789">
        <f>F15+F16+F17+F18+F21</f>
        <v>5532.9189312661874</v>
      </c>
      <c r="G14" s="3789">
        <f>G15+G16+G17+G18+G21</f>
        <v>4217.3599999999997</v>
      </c>
      <c r="H14" s="3789">
        <f>H15+H16+H17+H18+H21</f>
        <v>3419.2755031133252</v>
      </c>
      <c r="I14" s="3789">
        <f t="shared" ref="I14:AD14" si="32">I15+I16+I17+I18+I21</f>
        <v>3935.4848186918089</v>
      </c>
      <c r="J14" s="3789">
        <f t="shared" si="32"/>
        <v>8055.46</v>
      </c>
      <c r="K14" s="3789">
        <f t="shared" si="32"/>
        <v>6499.9375187041169</v>
      </c>
      <c r="L14" s="3789">
        <f t="shared" si="32"/>
        <v>7748.1842800000004</v>
      </c>
      <c r="M14" s="3789">
        <f t="shared" si="32"/>
        <v>3950.5979869907842</v>
      </c>
      <c r="N14" s="3789">
        <f t="shared" si="32"/>
        <v>4209.4759638952746</v>
      </c>
      <c r="O14" s="3789">
        <f>O15+O16+O17+O18+O21</f>
        <v>9030.49</v>
      </c>
      <c r="P14" s="3789">
        <f t="shared" si="32"/>
        <v>4203.5540822231906</v>
      </c>
      <c r="Q14" s="3789">
        <f t="shared" ref="Q14" si="33">Q15+Q16+Q17+Q18+Q21</f>
        <v>4844.66</v>
      </c>
      <c r="R14" s="3789">
        <f t="shared" si="32"/>
        <v>4808.93</v>
      </c>
      <c r="S14" s="3789">
        <f t="shared" si="32"/>
        <v>7565.3099999999995</v>
      </c>
      <c r="T14" s="3789">
        <f t="shared" si="32"/>
        <v>7626.67</v>
      </c>
      <c r="U14" s="3789">
        <f t="shared" si="32"/>
        <v>7670.58</v>
      </c>
      <c r="V14" s="3789">
        <f t="shared" si="32"/>
        <v>7715.5500000000011</v>
      </c>
      <c r="W14" s="3789">
        <f t="shared" si="32"/>
        <v>0</v>
      </c>
      <c r="X14" s="3789">
        <f t="shared" si="32"/>
        <v>7036.1586689121004</v>
      </c>
      <c r="Y14" s="3789">
        <f t="shared" si="31"/>
        <v>167.38594368674785</v>
      </c>
      <c r="Z14" s="3789">
        <f t="shared" si="32"/>
        <v>7158.0832486213121</v>
      </c>
      <c r="AA14" s="3789">
        <f t="shared" si="32"/>
        <v>7272.5870171842435</v>
      </c>
      <c r="AB14" s="3789">
        <f t="shared" si="32"/>
        <v>7400.6981824433287</v>
      </c>
      <c r="AC14" s="3789">
        <f t="shared" si="32"/>
        <v>7587.2186699907925</v>
      </c>
      <c r="AD14" s="3789">
        <f t="shared" si="32"/>
        <v>7842.9348173338822</v>
      </c>
      <c r="AE14" s="3789">
        <f t="shared" ref="AE14" si="34">AE15+AE16+AE17+AE18+AE21</f>
        <v>8489.2384369562533</v>
      </c>
      <c r="AF14" s="3789">
        <f t="shared" si="21"/>
        <v>120.65160603134639</v>
      </c>
      <c r="AG14" s="3784"/>
      <c r="AH14" s="3784"/>
      <c r="AI14" s="3784"/>
      <c r="AJ14" s="3784"/>
      <c r="AK14" s="3784"/>
      <c r="AL14" s="3784"/>
      <c r="AM14" s="3784"/>
      <c r="AN14" s="3784"/>
      <c r="AO14" s="3784"/>
      <c r="AP14" s="3784"/>
      <c r="AQ14" s="3784"/>
      <c r="AR14" s="3784"/>
      <c r="AS14" s="3784"/>
      <c r="AT14" s="3784"/>
      <c r="AU14" s="3784"/>
      <c r="AV14" s="3784"/>
      <c r="AW14" s="3784"/>
      <c r="AX14" s="3789">
        <f t="shared" ref="AX14" si="35">AX15+AX16+AX17+AX18+AX21</f>
        <v>6876.2371893878162</v>
      </c>
      <c r="AY14" s="3789">
        <f t="shared" si="23"/>
        <v>97.727147907694771</v>
      </c>
      <c r="AZ14" s="3789">
        <f t="shared" ref="AZ14:BA14" si="36">AZ15+AZ16+AZ17+AZ18+AZ21</f>
        <v>3221.8297084999999</v>
      </c>
      <c r="BA14" s="3789">
        <f t="shared" si="36"/>
        <v>4833.2462931699993</v>
      </c>
      <c r="BB14" s="3789">
        <f t="shared" ref="BB14" si="37">BB15+BB16+BB17+BB18+BB21</f>
        <v>6443.8309378799995</v>
      </c>
      <c r="BC14" s="3864">
        <f t="shared" ref="BC14" si="38">BC15+BC16+BC17+BC18+BC21</f>
        <v>8273.6003880603639</v>
      </c>
      <c r="BD14" s="3864">
        <f>BC14/AX14*100</f>
        <v>120.32162591524789</v>
      </c>
      <c r="BE14" s="4183">
        <f t="shared" ref="BE14" si="39">BE15+BE16+BE17+BE18+BE21</f>
        <v>5156.4193009999999</v>
      </c>
      <c r="BF14" s="4183">
        <f t="shared" si="28"/>
        <v>74.988967933770041</v>
      </c>
      <c r="BG14" s="3864">
        <f t="shared" ref="BG14:BI14" si="40">BG15+BG16+BG17+BG18+BG21</f>
        <v>2602.7322300000001</v>
      </c>
      <c r="BH14" s="3864">
        <f t="shared" si="40"/>
        <v>4325.8557510000001</v>
      </c>
      <c r="BI14" s="3791">
        <f t="shared" si="40"/>
        <v>90.24</v>
      </c>
    </row>
    <row r="15" spans="1:61" s="2807" customFormat="1" ht="61.5" customHeight="1" x14ac:dyDescent="0.2">
      <c r="A15" s="3796" t="s">
        <v>911</v>
      </c>
      <c r="B15" s="3797" t="s">
        <v>912</v>
      </c>
      <c r="C15" s="3796" t="s">
        <v>902</v>
      </c>
      <c r="D15" s="3796">
        <v>26.21</v>
      </c>
      <c r="E15" s="3798">
        <v>0</v>
      </c>
      <c r="F15" s="3799">
        <f>'цех вода'!AG24</f>
        <v>27.1</v>
      </c>
      <c r="G15" s="3799">
        <v>0</v>
      </c>
      <c r="H15" s="3799">
        <f>'2018 к смета'!C18</f>
        <v>0</v>
      </c>
      <c r="I15" s="3799">
        <v>28.803999999999998</v>
      </c>
      <c r="J15" s="3799">
        <v>29.81</v>
      </c>
      <c r="K15" s="3799">
        <f>'[45]корректировка 2017'!$F$9</f>
        <v>28.83214873684431</v>
      </c>
      <c r="L15" s="3799">
        <v>0</v>
      </c>
      <c r="M15" s="3799">
        <v>0</v>
      </c>
      <c r="N15" s="3799">
        <v>30.17</v>
      </c>
      <c r="O15" s="3799">
        <v>30.84</v>
      </c>
      <c r="P15" s="3799">
        <f>'2018 к смета'!I18</f>
        <v>47.513196494407865</v>
      </c>
      <c r="Q15" s="3799">
        <f>вода!BQ148</f>
        <v>0</v>
      </c>
      <c r="R15" s="3799">
        <v>48.94</v>
      </c>
      <c r="S15" s="3799">
        <v>50.4</v>
      </c>
      <c r="T15" s="3799">
        <v>51.92</v>
      </c>
      <c r="U15" s="3799">
        <v>53.47</v>
      </c>
      <c r="V15" s="3799">
        <v>55.08</v>
      </c>
      <c r="W15" s="3799"/>
      <c r="X15" s="3799">
        <f>вода!BW148</f>
        <v>30.794479507533907</v>
      </c>
      <c r="Y15" s="3799">
        <f>X15/P15*100</f>
        <v>64.812476910826888</v>
      </c>
      <c r="Z15" s="3799">
        <f>'[44]индексация вода'!$T$32</f>
        <v>31.883869298736101</v>
      </c>
      <c r="AA15" s="3799">
        <f>'[44]индексация вода'!$U$32</f>
        <v>32.634882372052552</v>
      </c>
      <c r="AB15" s="3799">
        <f>'[44]индексация вода'!$V$32</f>
        <v>33.596672247871709</v>
      </c>
      <c r="AC15" s="3799">
        <f>'[44]индексация вода'!$W$32</f>
        <v>34.586931104015108</v>
      </c>
      <c r="AD15" s="3799">
        <f>'[44]индексация вода'!$X$32</f>
        <v>35.60650162230035</v>
      </c>
      <c r="AE15" s="3799">
        <f>вода!BZ148</f>
        <v>0</v>
      </c>
      <c r="AF15" s="3789">
        <f t="shared" si="21"/>
        <v>0</v>
      </c>
      <c r="AG15" s="3800"/>
      <c r="AH15" s="3800"/>
      <c r="AI15" s="3800"/>
      <c r="AJ15" s="3800"/>
      <c r="AK15" s="3800"/>
      <c r="AL15" s="3800"/>
      <c r="AM15" s="3800"/>
      <c r="AN15" s="3800"/>
      <c r="AO15" s="3800"/>
      <c r="AP15" s="3800"/>
      <c r="AQ15" s="3800"/>
      <c r="AR15" s="3800"/>
      <c r="AS15" s="3800"/>
      <c r="AT15" s="3800"/>
      <c r="AU15" s="3800"/>
      <c r="AV15" s="3800"/>
      <c r="AW15" s="3800"/>
      <c r="AX15" s="3799">
        <f>вода!CG148</f>
        <v>0</v>
      </c>
      <c r="AY15" s="3789">
        <f t="shared" si="23"/>
        <v>0</v>
      </c>
      <c r="AZ15" s="3799">
        <f>вода!CJ148</f>
        <v>0</v>
      </c>
      <c r="BA15" s="3799">
        <f>вода!CM148</f>
        <v>0</v>
      </c>
      <c r="BB15" s="3799">
        <f>вода!CP148</f>
        <v>0</v>
      </c>
      <c r="BC15" s="3865">
        <f>вода!CS148</f>
        <v>0</v>
      </c>
      <c r="BD15" s="3864">
        <v>0</v>
      </c>
      <c r="BE15" s="4154">
        <v>0</v>
      </c>
      <c r="BF15" s="4183" t="e">
        <f t="shared" si="28"/>
        <v>#DIV/0!</v>
      </c>
      <c r="BG15" s="3865">
        <f>вода!CY148</f>
        <v>0</v>
      </c>
      <c r="BH15" s="3865">
        <f>вода!DB148</f>
        <v>0</v>
      </c>
      <c r="BI15" s="3801">
        <f>вода!CW148</f>
        <v>0</v>
      </c>
    </row>
    <row r="16" spans="1:61" s="2807" customFormat="1" ht="122.25" customHeight="1" x14ac:dyDescent="0.2">
      <c r="A16" s="3796" t="s">
        <v>913</v>
      </c>
      <c r="B16" s="3797" t="s">
        <v>914</v>
      </c>
      <c r="C16" s="3796" t="s">
        <v>902</v>
      </c>
      <c r="D16" s="3796">
        <v>3186.57</v>
      </c>
      <c r="E16" s="3798">
        <v>3990.44</v>
      </c>
      <c r="F16" s="3799">
        <v>3107.82</v>
      </c>
      <c r="G16" s="3799">
        <v>4089.2</v>
      </c>
      <c r="H16" s="3799">
        <f>'2018 к смета'!C19</f>
        <v>3291.1155031133253</v>
      </c>
      <c r="I16" s="3799">
        <v>3285.4940000000001</v>
      </c>
      <c r="J16" s="3799">
        <v>3611.01</v>
      </c>
      <c r="K16" s="3799">
        <f>'2017 к смета'!C13</f>
        <v>3603.16741482098</v>
      </c>
      <c r="L16" s="3799">
        <v>4234.54</v>
      </c>
      <c r="M16" s="3799">
        <f>'Н 2019-2024'!D14</f>
        <v>3397.2979869907845</v>
      </c>
      <c r="N16" s="3799">
        <f>вод.налог!P36+вода!BE54+вода!BE55+вода!BE56</f>
        <v>3511.7727326458821</v>
      </c>
      <c r="O16" s="3799">
        <v>3612.02</v>
      </c>
      <c r="P16" s="3799">
        <f>'2018 к смета'!I19</f>
        <v>3502.9312821041176</v>
      </c>
      <c r="Q16" s="3799">
        <f>вода!BQ144</f>
        <v>4716.59</v>
      </c>
      <c r="R16" s="3799">
        <v>4242.43</v>
      </c>
      <c r="S16" s="3799">
        <v>4324.1899999999996</v>
      </c>
      <c r="T16" s="3799">
        <v>4362.8599999999997</v>
      </c>
      <c r="U16" s="3799">
        <v>4382.58</v>
      </c>
      <c r="V16" s="3799">
        <v>4402.3100000000004</v>
      </c>
      <c r="W16" s="3799"/>
      <c r="X16" s="3799">
        <f>вода!BW144</f>
        <v>6646.6681943163603</v>
      </c>
      <c r="Y16" s="3799">
        <f t="shared" ref="Y16:Y20" si="41">X16/P16*100</f>
        <v>189.74589162719411</v>
      </c>
      <c r="Z16" s="3799">
        <f>'Н 2019-2024'!N14</f>
        <v>6755.3077204013716</v>
      </c>
      <c r="AA16" s="3799">
        <f>'Н 2019-2024'!O14</f>
        <v>6854.2248095341383</v>
      </c>
      <c r="AB16" s="3799">
        <f>'Н 2019-2024'!P14</f>
        <v>6965.945091906282</v>
      </c>
      <c r="AC16" s="3799">
        <f>'Н 2019-2024'!Q14</f>
        <v>7135.4290638660359</v>
      </c>
      <c r="AD16" s="3799">
        <f>'Н 2019-2024'!R14</f>
        <v>7373.4375336900102</v>
      </c>
      <c r="AE16" s="3799">
        <f>вода!BZ144</f>
        <v>8047.3436809562545</v>
      </c>
      <c r="AF16" s="3789">
        <f t="shared" si="21"/>
        <v>121.07334751323418</v>
      </c>
      <c r="AG16" s="3800"/>
      <c r="AH16" s="3800"/>
      <c r="AI16" s="3800"/>
      <c r="AJ16" s="3800"/>
      <c r="AK16" s="3800"/>
      <c r="AL16" s="3800"/>
      <c r="AM16" s="3800"/>
      <c r="AN16" s="3800"/>
      <c r="AO16" s="3800"/>
      <c r="AP16" s="3800"/>
      <c r="AQ16" s="3800"/>
      <c r="AR16" s="3800"/>
      <c r="AS16" s="3800"/>
      <c r="AT16" s="3800"/>
      <c r="AU16" s="3800"/>
      <c r="AV16" s="3800"/>
      <c r="AW16" s="3800"/>
      <c r="AX16" s="3799">
        <f>вода!CG144</f>
        <v>6443.3212990978163</v>
      </c>
      <c r="AY16" s="3789">
        <f t="shared" si="23"/>
        <v>96.940619130161664</v>
      </c>
      <c r="AZ16" s="3799">
        <f>вода!CJ144</f>
        <v>3177.0067785000001</v>
      </c>
      <c r="BA16" s="3799">
        <f>вода!CM144</f>
        <v>4766.0355731699992</v>
      </c>
      <c r="BB16" s="3799">
        <f>вода!CP144</f>
        <v>6354.3249378799992</v>
      </c>
      <c r="BC16" s="3865">
        <f>вода!CS144</f>
        <v>7774.0937539999995</v>
      </c>
      <c r="BD16" s="3864">
        <f>BC16/AX16*100</f>
        <v>120.65351692284096</v>
      </c>
      <c r="BE16" s="4154">
        <f>вода!CV144</f>
        <v>5070.1323199999997</v>
      </c>
      <c r="BF16" s="4183">
        <f t="shared" si="28"/>
        <v>78.688180903067988</v>
      </c>
      <c r="BG16" s="3865">
        <f>вода!CY144</f>
        <v>2537.2637800000002</v>
      </c>
      <c r="BH16" s="3865">
        <f>вода!DB144</f>
        <v>4227.7289609999998</v>
      </c>
      <c r="BI16" s="3801">
        <f>вода!CW144</f>
        <v>0.73399999999999999</v>
      </c>
    </row>
    <row r="17" spans="1:61" s="2807" customFormat="1" ht="39" customHeight="1" x14ac:dyDescent="0.2">
      <c r="A17" s="3796" t="s">
        <v>915</v>
      </c>
      <c r="B17" s="3797" t="s">
        <v>916</v>
      </c>
      <c r="C17" s="3796" t="s">
        <v>902</v>
      </c>
      <c r="D17" s="3796">
        <v>307.8</v>
      </c>
      <c r="E17" s="3798">
        <v>125.14</v>
      </c>
      <c r="F17" s="3799">
        <f>'цех вода'!AG30+'цех вода'!AG42</f>
        <v>216.27343999999999</v>
      </c>
      <c r="G17" s="3799">
        <v>128.16</v>
      </c>
      <c r="H17" s="3799">
        <f>'2018 к смета'!C20</f>
        <v>128.16</v>
      </c>
      <c r="I17" s="3799">
        <f>F17</f>
        <v>216.27343999999999</v>
      </c>
      <c r="J17" s="3799">
        <v>237.9</v>
      </c>
      <c r="K17" s="3799">
        <f>I17</f>
        <v>216.27343999999999</v>
      </c>
      <c r="L17" s="3799">
        <v>156.02000000000001</v>
      </c>
      <c r="M17" s="3799">
        <f>L17</f>
        <v>156.02000000000001</v>
      </c>
      <c r="N17" s="3799">
        <f>I17</f>
        <v>216.27343999999999</v>
      </c>
      <c r="O17" s="3799">
        <v>237.89</v>
      </c>
      <c r="P17" s="3799">
        <f>'2018 к смета'!I20</f>
        <v>216.27</v>
      </c>
      <c r="Q17" s="3799">
        <v>128.07</v>
      </c>
      <c r="R17" s="3799">
        <v>222.75</v>
      </c>
      <c r="S17" s="3799">
        <v>229.44</v>
      </c>
      <c r="T17" s="3799">
        <v>236.32</v>
      </c>
      <c r="U17" s="3799">
        <v>243.41</v>
      </c>
      <c r="V17" s="3799">
        <v>250.71</v>
      </c>
      <c r="W17" s="3799"/>
      <c r="X17" s="3799">
        <f>вода!BW59</f>
        <v>63.885995088205725</v>
      </c>
      <c r="Y17" s="3799">
        <f t="shared" si="41"/>
        <v>29.539924672032981</v>
      </c>
      <c r="Z17" s="3799">
        <f>'Аренда земли'!N9</f>
        <v>66.058118921204724</v>
      </c>
      <c r="AA17" s="3799">
        <f>'Аренда земли'!O9</f>
        <v>68.70044367805292</v>
      </c>
      <c r="AB17" s="3799">
        <f>'Аренда земли'!P9</f>
        <v>71.44846142517504</v>
      </c>
      <c r="AC17" s="3799">
        <f>'Аренда земли'!Q9</f>
        <v>74.306399882182049</v>
      </c>
      <c r="AD17" s="3799">
        <f>'Аренда земли'!R9</f>
        <v>77.278655877469333</v>
      </c>
      <c r="AE17" s="3799">
        <f>вода!BZ59</f>
        <v>147.084756</v>
      </c>
      <c r="AF17" s="3789">
        <f t="shared" si="21"/>
        <v>230.23004618919049</v>
      </c>
      <c r="AG17" s="3800"/>
      <c r="AH17" s="3800"/>
      <c r="AI17" s="3800"/>
      <c r="AJ17" s="3800"/>
      <c r="AK17" s="3800"/>
      <c r="AL17" s="3800"/>
      <c r="AM17" s="3800"/>
      <c r="AN17" s="3800"/>
      <c r="AO17" s="3800"/>
      <c r="AP17" s="3800"/>
      <c r="AQ17" s="3800"/>
      <c r="AR17" s="3800"/>
      <c r="AS17" s="3800"/>
      <c r="AT17" s="3800"/>
      <c r="AU17" s="3800"/>
      <c r="AV17" s="3800"/>
      <c r="AW17" s="3800"/>
      <c r="AX17" s="3799">
        <f>вода!CG59</f>
        <v>138.11089028999999</v>
      </c>
      <c r="AY17" s="3789">
        <f t="shared" si="23"/>
        <v>216.18335927821724</v>
      </c>
      <c r="AZ17" s="3799">
        <f>SUM('Аренда земли'!U9)</f>
        <v>44.822929999999999</v>
      </c>
      <c r="BA17" s="3799">
        <f>вода!CM59</f>
        <v>67.210719999999995</v>
      </c>
      <c r="BB17" s="3799">
        <f>вода!CP59</f>
        <v>89.506</v>
      </c>
      <c r="BC17" s="3865">
        <f>вода!CS59</f>
        <v>138.11089028999999</v>
      </c>
      <c r="BD17" s="3864">
        <f>BC17/AX17*100</f>
        <v>100</v>
      </c>
      <c r="BE17" s="4154">
        <f>вода!CV59</f>
        <v>86.286980999999997</v>
      </c>
      <c r="BF17" s="4183">
        <f t="shared" si="28"/>
        <v>62.476594581946351</v>
      </c>
      <c r="BG17" s="3865">
        <f>SUM('Аренда земли'!AA9)</f>
        <v>65.468450000000004</v>
      </c>
      <c r="BH17" s="3865">
        <f>SUM('Аренда земли'!AB9)</f>
        <v>98.12679</v>
      </c>
      <c r="BI17" s="3801">
        <f>SUM('Аренда земли'!AC9)</f>
        <v>89.506</v>
      </c>
    </row>
    <row r="18" spans="1:61" s="2807" customFormat="1" ht="61.5" customHeight="1" x14ac:dyDescent="0.2">
      <c r="A18" s="3796" t="s">
        <v>917</v>
      </c>
      <c r="B18" s="3797" t="s">
        <v>918</v>
      </c>
      <c r="C18" s="3796" t="s">
        <v>902</v>
      </c>
      <c r="D18" s="3796">
        <v>0</v>
      </c>
      <c r="E18" s="3798">
        <v>0</v>
      </c>
      <c r="F18" s="3799">
        <f>вода!BE146</f>
        <v>395.92549126618718</v>
      </c>
      <c r="G18" s="3799">
        <v>0</v>
      </c>
      <c r="H18" s="3799">
        <f>'2018 к смета'!C21</f>
        <v>0</v>
      </c>
      <c r="I18" s="3799">
        <f>'Резерв ДЗ'!F17</f>
        <v>404.91337869180882</v>
      </c>
      <c r="J18" s="3799">
        <v>404.91</v>
      </c>
      <c r="K18" s="3799">
        <v>397.28</v>
      </c>
      <c r="L18" s="3799">
        <v>3357.62428</v>
      </c>
      <c r="M18" s="3799">
        <v>397.28</v>
      </c>
      <c r="N18" s="3799">
        <f>'Резерв ДЗ'!F27</f>
        <v>451.25979124939289</v>
      </c>
      <c r="O18" s="3799">
        <v>444.99</v>
      </c>
      <c r="P18" s="3799">
        <f>'рез к 2017'!G38</f>
        <v>436.83960362466541</v>
      </c>
      <c r="Q18" s="3799">
        <f>вода!BQ61</f>
        <v>0</v>
      </c>
      <c r="R18" s="3799">
        <v>294.81</v>
      </c>
      <c r="S18" s="3799">
        <v>296.76</v>
      </c>
      <c r="T18" s="3799">
        <v>311.05</v>
      </c>
      <c r="U18" s="3799">
        <v>326.60000000000002</v>
      </c>
      <c r="V18" s="3799">
        <v>342.93</v>
      </c>
      <c r="W18" s="3799"/>
      <c r="X18" s="3799">
        <f>вода!BW61</f>
        <v>294.81</v>
      </c>
      <c r="Y18" s="3799">
        <f t="shared" si="41"/>
        <v>67.487012980009496</v>
      </c>
      <c r="Z18" s="3799">
        <f>X18*1.034</f>
        <v>304.83354000000003</v>
      </c>
      <c r="AA18" s="3799">
        <f>Z18*1.04</f>
        <v>317.02688160000002</v>
      </c>
      <c r="AB18" s="3799">
        <f t="shared" ref="AB18:AD18" si="42">AA18*1.04</f>
        <v>329.70795686400004</v>
      </c>
      <c r="AC18" s="3799">
        <f t="shared" si="42"/>
        <v>342.89627513856004</v>
      </c>
      <c r="AD18" s="3799">
        <f t="shared" si="42"/>
        <v>356.61212614410243</v>
      </c>
      <c r="AE18" s="3799">
        <f>вода!BZ61</f>
        <v>294.81</v>
      </c>
      <c r="AF18" s="3789">
        <f t="shared" si="21"/>
        <v>100</v>
      </c>
      <c r="AG18" s="3800"/>
      <c r="AH18" s="3800"/>
      <c r="AI18" s="3800"/>
      <c r="AJ18" s="3800"/>
      <c r="AK18" s="3800"/>
      <c r="AL18" s="3800"/>
      <c r="AM18" s="3800"/>
      <c r="AN18" s="3800"/>
      <c r="AO18" s="3800"/>
      <c r="AP18" s="3800"/>
      <c r="AQ18" s="3800"/>
      <c r="AR18" s="3800"/>
      <c r="AS18" s="3800"/>
      <c r="AT18" s="3800"/>
      <c r="AU18" s="3800"/>
      <c r="AV18" s="3800"/>
      <c r="AW18" s="3800"/>
      <c r="AX18" s="3799">
        <f>вода!CG61</f>
        <v>294.80500000000001</v>
      </c>
      <c r="AY18" s="3789">
        <f t="shared" si="23"/>
        <v>99.998303992401887</v>
      </c>
      <c r="AZ18" s="3799">
        <f>вода!CJ61</f>
        <v>0</v>
      </c>
      <c r="BA18" s="3799">
        <f>вода!CM61</f>
        <v>0</v>
      </c>
      <c r="BB18" s="3799">
        <f>вода!CP61</f>
        <v>0</v>
      </c>
      <c r="BC18" s="3865">
        <f>вода!CS61</f>
        <v>361.3957437703653</v>
      </c>
      <c r="BD18" s="3864">
        <f>BC18/AX18*100</f>
        <v>122.5880645750124</v>
      </c>
      <c r="BE18" s="4154">
        <f>вода!CV61</f>
        <v>0</v>
      </c>
      <c r="BF18" s="4183">
        <f t="shared" si="28"/>
        <v>0</v>
      </c>
      <c r="BG18" s="3865">
        <f>вода!CY61</f>
        <v>0</v>
      </c>
      <c r="BH18" s="3865">
        <f>вода!DB61</f>
        <v>0</v>
      </c>
      <c r="BI18" s="3801">
        <f>вода!CW61</f>
        <v>0</v>
      </c>
    </row>
    <row r="19" spans="1:61" s="2807" customFormat="1" ht="17.25" hidden="1" customHeight="1" x14ac:dyDescent="0.2">
      <c r="A19" s="3796" t="s">
        <v>919</v>
      </c>
      <c r="B19" s="3797" t="s">
        <v>920</v>
      </c>
      <c r="C19" s="3796" t="s">
        <v>902</v>
      </c>
      <c r="D19" s="3796">
        <v>0</v>
      </c>
      <c r="E19" s="3798">
        <v>0</v>
      </c>
      <c r="F19" s="3799">
        <v>0</v>
      </c>
      <c r="G19" s="3799">
        <v>0</v>
      </c>
      <c r="H19" s="3799">
        <f>'2018 к смета'!C22</f>
        <v>0</v>
      </c>
      <c r="I19" s="3799">
        <v>0</v>
      </c>
      <c r="J19" s="3799">
        <v>0</v>
      </c>
      <c r="K19" s="3799">
        <v>0</v>
      </c>
      <c r="L19" s="3799">
        <v>0</v>
      </c>
      <c r="M19" s="3799">
        <v>0</v>
      </c>
      <c r="N19" s="3799">
        <v>0</v>
      </c>
      <c r="O19" s="3799">
        <v>0</v>
      </c>
      <c r="P19" s="3799">
        <f>'2018 к смета'!I22</f>
        <v>0</v>
      </c>
      <c r="Q19" s="3799">
        <v>0</v>
      </c>
      <c r="R19" s="3799">
        <f>'2018 к смета'!J22</f>
        <v>0</v>
      </c>
      <c r="S19" s="3799">
        <f>'2018 к смета'!K22</f>
        <v>0</v>
      </c>
      <c r="T19" s="3799">
        <f>'2018 к смета'!L22</f>
        <v>0</v>
      </c>
      <c r="U19" s="3799">
        <f>'2018 к смета'!M22</f>
        <v>0</v>
      </c>
      <c r="V19" s="3799">
        <f>'2018 к смета'!N22</f>
        <v>0</v>
      </c>
      <c r="W19" s="3799">
        <f>'2018 к смета'!O22</f>
        <v>0</v>
      </c>
      <c r="X19" s="3799">
        <v>0</v>
      </c>
      <c r="Y19" s="3799" t="e">
        <f t="shared" si="41"/>
        <v>#DIV/0!</v>
      </c>
      <c r="Z19" s="3799"/>
      <c r="AA19" s="3799"/>
      <c r="AB19" s="3799"/>
      <c r="AC19" s="3799"/>
      <c r="AD19" s="3799"/>
      <c r="AE19" s="3799">
        <v>0</v>
      </c>
      <c r="AF19" s="3789" t="e">
        <f t="shared" si="21"/>
        <v>#DIV/0!</v>
      </c>
      <c r="AG19" s="3800"/>
      <c r="AH19" s="3800"/>
      <c r="AI19" s="3800"/>
      <c r="AJ19" s="3800"/>
      <c r="AK19" s="3800"/>
      <c r="AL19" s="3800"/>
      <c r="AM19" s="3800"/>
      <c r="AN19" s="3800"/>
      <c r="AO19" s="3800"/>
      <c r="AP19" s="3800"/>
      <c r="AQ19" s="3800"/>
      <c r="AR19" s="3800"/>
      <c r="AS19" s="3800"/>
      <c r="AT19" s="3800"/>
      <c r="AU19" s="3800"/>
      <c r="AV19" s="3800"/>
      <c r="AW19" s="3800"/>
      <c r="AX19" s="3799">
        <v>0</v>
      </c>
      <c r="AY19" s="3789" t="e">
        <f t="shared" si="23"/>
        <v>#DIV/0!</v>
      </c>
      <c r="AZ19" s="3799">
        <v>0</v>
      </c>
      <c r="BA19" s="3799">
        <v>0</v>
      </c>
      <c r="BB19" s="3799">
        <v>0</v>
      </c>
      <c r="BC19" s="3865">
        <v>0</v>
      </c>
      <c r="BD19" s="3864" t="e">
        <f t="shared" ref="BD19:BD20" si="43">BC19/AV19*100</f>
        <v>#DIV/0!</v>
      </c>
      <c r="BE19" s="4181">
        <v>0</v>
      </c>
      <c r="BF19" s="4183" t="e">
        <f t="shared" si="28"/>
        <v>#DIV/0!</v>
      </c>
      <c r="BG19" s="3865">
        <v>0</v>
      </c>
      <c r="BH19" s="3865">
        <v>0</v>
      </c>
      <c r="BI19" s="3801">
        <v>0</v>
      </c>
    </row>
    <row r="20" spans="1:61" s="2807" customFormat="1" ht="25.5" hidden="1" customHeight="1" x14ac:dyDescent="0.2">
      <c r="A20" s="3796" t="s">
        <v>921</v>
      </c>
      <c r="B20" s="3797" t="s">
        <v>922</v>
      </c>
      <c r="C20" s="3796" t="s">
        <v>902</v>
      </c>
      <c r="D20" s="3796">
        <v>0</v>
      </c>
      <c r="E20" s="3798">
        <v>0</v>
      </c>
      <c r="F20" s="3799">
        <v>0</v>
      </c>
      <c r="G20" s="3799">
        <v>0</v>
      </c>
      <c r="H20" s="3799">
        <f>'2018 к смета'!C23</f>
        <v>0</v>
      </c>
      <c r="I20" s="3799">
        <v>0</v>
      </c>
      <c r="J20" s="3799">
        <v>0</v>
      </c>
      <c r="K20" s="3799">
        <v>0</v>
      </c>
      <c r="L20" s="3799">
        <v>0</v>
      </c>
      <c r="M20" s="3799">
        <v>0</v>
      </c>
      <c r="N20" s="3799">
        <v>0</v>
      </c>
      <c r="O20" s="3799">
        <v>0</v>
      </c>
      <c r="P20" s="3799">
        <f>'2018 к смета'!I23</f>
        <v>0</v>
      </c>
      <c r="Q20" s="3799">
        <v>0</v>
      </c>
      <c r="R20" s="3799">
        <f>'2018 к смета'!J23</f>
        <v>0</v>
      </c>
      <c r="S20" s="3799">
        <f>'2018 к смета'!K23</f>
        <v>0</v>
      </c>
      <c r="T20" s="3799">
        <f>'2018 к смета'!L23</f>
        <v>0</v>
      </c>
      <c r="U20" s="3799">
        <f>'2018 к смета'!M23</f>
        <v>0</v>
      </c>
      <c r="V20" s="3799">
        <f>'2018 к смета'!N23</f>
        <v>0</v>
      </c>
      <c r="W20" s="3799">
        <f>'2018 к смета'!O23</f>
        <v>0</v>
      </c>
      <c r="X20" s="3799">
        <v>0</v>
      </c>
      <c r="Y20" s="3799" t="e">
        <f t="shared" si="41"/>
        <v>#DIV/0!</v>
      </c>
      <c r="Z20" s="3799"/>
      <c r="AA20" s="3799"/>
      <c r="AB20" s="3799"/>
      <c r="AC20" s="3799"/>
      <c r="AD20" s="3799"/>
      <c r="AE20" s="3799">
        <v>0</v>
      </c>
      <c r="AF20" s="3789" t="e">
        <f t="shared" si="21"/>
        <v>#DIV/0!</v>
      </c>
      <c r="AG20" s="3800"/>
      <c r="AH20" s="3800"/>
      <c r="AI20" s="3800"/>
      <c r="AJ20" s="3800"/>
      <c r="AK20" s="3800"/>
      <c r="AL20" s="3800"/>
      <c r="AM20" s="3800"/>
      <c r="AN20" s="3800"/>
      <c r="AO20" s="3800"/>
      <c r="AP20" s="3800"/>
      <c r="AQ20" s="3800"/>
      <c r="AR20" s="3800"/>
      <c r="AS20" s="3800"/>
      <c r="AT20" s="3800"/>
      <c r="AU20" s="3800"/>
      <c r="AV20" s="3800"/>
      <c r="AW20" s="3800"/>
      <c r="AX20" s="3799">
        <v>0</v>
      </c>
      <c r="AY20" s="3789" t="e">
        <f t="shared" si="23"/>
        <v>#DIV/0!</v>
      </c>
      <c r="AZ20" s="3799">
        <v>0</v>
      </c>
      <c r="BA20" s="3799">
        <v>0</v>
      </c>
      <c r="BB20" s="3799">
        <v>0</v>
      </c>
      <c r="BC20" s="3865">
        <v>0</v>
      </c>
      <c r="BD20" s="3864" t="e">
        <f t="shared" si="43"/>
        <v>#DIV/0!</v>
      </c>
      <c r="BE20" s="4181">
        <v>0</v>
      </c>
      <c r="BF20" s="4183" t="e">
        <f t="shared" si="28"/>
        <v>#DIV/0!</v>
      </c>
      <c r="BG20" s="3865">
        <v>0</v>
      </c>
      <c r="BH20" s="3865">
        <v>0</v>
      </c>
      <c r="BI20" s="3801">
        <v>0</v>
      </c>
    </row>
    <row r="21" spans="1:61" s="2807" customFormat="1" ht="74.25" customHeight="1" x14ac:dyDescent="0.2">
      <c r="A21" s="3796" t="s">
        <v>923</v>
      </c>
      <c r="B21" s="3797" t="s">
        <v>924</v>
      </c>
      <c r="C21" s="3796" t="s">
        <v>902</v>
      </c>
      <c r="D21" s="3796">
        <v>1269.8</v>
      </c>
      <c r="E21" s="3798">
        <v>0</v>
      </c>
      <c r="F21" s="3799">
        <f>вода!BE149</f>
        <v>1785.8</v>
      </c>
      <c r="G21" s="3799">
        <v>0</v>
      </c>
      <c r="H21" s="3799">
        <f>'2018 к смета'!C24</f>
        <v>0</v>
      </c>
      <c r="I21" s="3799">
        <v>0</v>
      </c>
      <c r="J21" s="3799">
        <v>3771.83</v>
      </c>
      <c r="K21" s="3799">
        <f>'хим. реагенты'!P15+Аморт!Y25+'водный налог вып'!K12</f>
        <v>2254.3845151462929</v>
      </c>
      <c r="L21" s="3799">
        <v>0</v>
      </c>
      <c r="M21" s="3799">
        <v>0</v>
      </c>
      <c r="N21" s="3799">
        <v>0</v>
      </c>
      <c r="O21" s="3799">
        <v>4704.75</v>
      </c>
      <c r="P21" s="3799">
        <f>'2018 к смета'!I24</f>
        <v>0</v>
      </c>
      <c r="Q21" s="3799">
        <v>0</v>
      </c>
      <c r="R21" s="3799">
        <v>0</v>
      </c>
      <c r="S21" s="3799">
        <v>2664.52</v>
      </c>
      <c r="T21" s="3799">
        <v>2664.52</v>
      </c>
      <c r="U21" s="3799">
        <v>2664.52</v>
      </c>
      <c r="V21" s="3799">
        <v>2664.52</v>
      </c>
      <c r="W21" s="3799"/>
      <c r="X21" s="3799">
        <v>0</v>
      </c>
      <c r="Y21" s="3799">
        <v>0</v>
      </c>
      <c r="Z21" s="3799">
        <v>0</v>
      </c>
      <c r="AA21" s="3799">
        <v>0</v>
      </c>
      <c r="AB21" s="3799">
        <v>0</v>
      </c>
      <c r="AC21" s="3799">
        <v>0</v>
      </c>
      <c r="AD21" s="3799">
        <v>0</v>
      </c>
      <c r="AE21" s="3799">
        <v>0</v>
      </c>
      <c r="AF21" s="3789"/>
      <c r="AG21" s="3802"/>
      <c r="AH21" s="3800"/>
      <c r="AI21" s="3800"/>
      <c r="AJ21" s="3800"/>
      <c r="AK21" s="3800"/>
      <c r="AL21" s="3800"/>
      <c r="AM21" s="3800"/>
      <c r="AN21" s="3800"/>
      <c r="AO21" s="3800"/>
      <c r="AP21" s="3800"/>
      <c r="AQ21" s="3800"/>
      <c r="AR21" s="3800"/>
      <c r="AS21" s="3800"/>
      <c r="AT21" s="3800"/>
      <c r="AU21" s="3800"/>
      <c r="AV21" s="3800"/>
      <c r="AW21" s="3800"/>
      <c r="AX21" s="3799">
        <v>0</v>
      </c>
      <c r="AY21" s="3789" t="e">
        <f t="shared" si="23"/>
        <v>#DIV/0!</v>
      </c>
      <c r="AZ21" s="3799">
        <v>0</v>
      </c>
      <c r="BA21" s="3799">
        <v>0</v>
      </c>
      <c r="BB21" s="3799">
        <v>0</v>
      </c>
      <c r="BC21" s="3865">
        <v>0</v>
      </c>
      <c r="BD21" s="3864"/>
      <c r="BE21" s="4154">
        <v>0</v>
      </c>
      <c r="BF21" s="4183" t="e">
        <f t="shared" si="28"/>
        <v>#DIV/0!</v>
      </c>
      <c r="BG21" s="3865">
        <v>0</v>
      </c>
      <c r="BH21" s="3865">
        <v>0</v>
      </c>
      <c r="BI21" s="3801">
        <v>0</v>
      </c>
    </row>
    <row r="22" spans="1:61" s="2806" customFormat="1" x14ac:dyDescent="0.25">
      <c r="A22" s="3792" t="s">
        <v>925</v>
      </c>
      <c r="B22" s="3793" t="s">
        <v>2</v>
      </c>
      <c r="C22" s="3792" t="s">
        <v>902</v>
      </c>
      <c r="D22" s="3792">
        <v>7587.23</v>
      </c>
      <c r="E22" s="3795">
        <v>8349.5499999999993</v>
      </c>
      <c r="F22" s="3789">
        <f>вода!BE138+'ОХР '!AP24</f>
        <v>8206.2514738828813</v>
      </c>
      <c r="G22" s="3789">
        <v>8570.5400000000009</v>
      </c>
      <c r="H22" s="3789">
        <f>'2018 к смета'!C25</f>
        <v>8496.3795185718263</v>
      </c>
      <c r="I22" s="3789">
        <v>8206.24</v>
      </c>
      <c r="J22" s="3789">
        <v>8378.94</v>
      </c>
      <c r="K22" s="3789">
        <f>'2017 к смета'!C19</f>
        <v>8277.2407919081052</v>
      </c>
      <c r="L22" s="3789">
        <v>10319.69</v>
      </c>
      <c r="M22" s="3789">
        <f>Аморт!AC13-'тех вода 2019-2021'!M22</f>
        <v>9980.9299999999985</v>
      </c>
      <c r="N22" s="3789">
        <f>I22</f>
        <v>8206.24</v>
      </c>
      <c r="O22" s="3789">
        <v>8605.64</v>
      </c>
      <c r="P22" s="3789">
        <f>'2018 к смета'!I25</f>
        <v>8476.8043680103383</v>
      </c>
      <c r="Q22" s="3789">
        <f>вода!BQ138</f>
        <v>9926.08</v>
      </c>
      <c r="R22" s="3789">
        <v>10319.35</v>
      </c>
      <c r="S22" s="3789">
        <v>10329.549999999999</v>
      </c>
      <c r="T22" s="3789">
        <v>10340.049999999999</v>
      </c>
      <c r="U22" s="3789">
        <v>10350.870000000001</v>
      </c>
      <c r="V22" s="3789">
        <v>10362.02</v>
      </c>
      <c r="W22" s="3789"/>
      <c r="X22" s="3789">
        <f>вода!BW138</f>
        <v>9982.6164784696339</v>
      </c>
      <c r="Y22" s="3789">
        <f>X22/P22*100</f>
        <v>117.76391249681201</v>
      </c>
      <c r="Z22" s="3789">
        <f>Аморт!AP13</f>
        <v>9984.3799999999992</v>
      </c>
      <c r="AA22" s="3789">
        <f>Аморт!AQ13</f>
        <v>9984.3799999999992</v>
      </c>
      <c r="AB22" s="3789">
        <f>Аморт!AR13</f>
        <v>9984.3799999999992</v>
      </c>
      <c r="AC22" s="3789">
        <f>AB22</f>
        <v>9984.3799999999992</v>
      </c>
      <c r="AD22" s="3789">
        <f>AC22</f>
        <v>9984.3799999999992</v>
      </c>
      <c r="AE22" s="3789">
        <f>вода!BZ138</f>
        <v>10213.246478469635</v>
      </c>
      <c r="AF22" s="3789">
        <f t="shared" si="21"/>
        <v>102.31031614304146</v>
      </c>
      <c r="AG22" s="3784"/>
      <c r="AH22" s="3784"/>
      <c r="AI22" s="3784"/>
      <c r="AJ22" s="3784"/>
      <c r="AK22" s="3784"/>
      <c r="AL22" s="3784"/>
      <c r="AM22" s="3784"/>
      <c r="AN22" s="3784"/>
      <c r="AO22" s="3784"/>
      <c r="AP22" s="3784"/>
      <c r="AQ22" s="3784"/>
      <c r="AR22" s="3784"/>
      <c r="AS22" s="3784"/>
      <c r="AT22" s="3784"/>
      <c r="AU22" s="3784"/>
      <c r="AV22" s="3784"/>
      <c r="AW22" s="3784"/>
      <c r="AX22" s="3789">
        <f>вода!CG138</f>
        <v>10213.251233333236</v>
      </c>
      <c r="AY22" s="3789">
        <f t="shared" si="23"/>
        <v>102.31036377447768</v>
      </c>
      <c r="AZ22" s="3789">
        <f>вода!CJ138</f>
        <v>8246.4500000000007</v>
      </c>
      <c r="BA22" s="3789">
        <f>вода!CM138</f>
        <v>12169.970000000001</v>
      </c>
      <c r="BB22" s="3789">
        <f>вода!CP138</f>
        <v>15677.41</v>
      </c>
      <c r="BC22" s="3864">
        <f>вода!CS138</f>
        <v>11708.98</v>
      </c>
      <c r="BD22" s="3864">
        <f>BC22/AX22*100</f>
        <v>114.64498162725224</v>
      </c>
      <c r="BE22" s="4183">
        <f>вода!CV138</f>
        <v>6142.7100000000009</v>
      </c>
      <c r="BF22" s="4183">
        <f t="shared" si="28"/>
        <v>60.14451088750161</v>
      </c>
      <c r="BG22" s="3864">
        <f>вода!CY138</f>
        <v>7779.6169</v>
      </c>
      <c r="BH22" s="3864">
        <f>вода!DB138</f>
        <v>11690.7</v>
      </c>
      <c r="BI22" s="3791">
        <f>вода!CW138</f>
        <v>0</v>
      </c>
    </row>
    <row r="23" spans="1:61" s="2808" customFormat="1" ht="22.5" customHeight="1" x14ac:dyDescent="0.2">
      <c r="A23" s="3803" t="s">
        <v>193</v>
      </c>
      <c r="B23" s="3804" t="s">
        <v>926</v>
      </c>
      <c r="C23" s="3803" t="s">
        <v>44</v>
      </c>
      <c r="D23" s="3805">
        <f>D24/(D11+D22)*100</f>
        <v>8.9292377108868788</v>
      </c>
      <c r="E23" s="3806">
        <f>E24/(E11+E22)*100</f>
        <v>0</v>
      </c>
      <c r="F23" s="3805">
        <f>F24/(F11+F22)*100</f>
        <v>3.3092733236602863</v>
      </c>
      <c r="G23" s="3805">
        <f>G24/(G11+G22)*100</f>
        <v>0</v>
      </c>
      <c r="H23" s="3805">
        <f>H24/(H11+H22)*100</f>
        <v>3.4015026895337508</v>
      </c>
      <c r="I23" s="3805">
        <f t="shared" ref="I23:AD23" si="44">I24/(I11+I22)*100</f>
        <v>0</v>
      </c>
      <c r="J23" s="3805">
        <f t="shared" si="44"/>
        <v>0</v>
      </c>
      <c r="K23" s="3805">
        <f t="shared" si="44"/>
        <v>0</v>
      </c>
      <c r="L23" s="3805">
        <v>0</v>
      </c>
      <c r="M23" s="3805">
        <v>0</v>
      </c>
      <c r="N23" s="3805">
        <f t="shared" si="44"/>
        <v>0</v>
      </c>
      <c r="O23" s="3805">
        <f t="shared" si="44"/>
        <v>0</v>
      </c>
      <c r="P23" s="3805">
        <f t="shared" si="44"/>
        <v>0</v>
      </c>
      <c r="Q23" s="3805">
        <f t="shared" ref="Q23" si="45">Q24/(Q11+Q22)*100</f>
        <v>0</v>
      </c>
      <c r="R23" s="3805">
        <f t="shared" si="44"/>
        <v>-2.1359761942409401</v>
      </c>
      <c r="S23" s="3805">
        <f t="shared" si="44"/>
        <v>0</v>
      </c>
      <c r="T23" s="3805">
        <f t="shared" si="44"/>
        <v>0</v>
      </c>
      <c r="U23" s="3805">
        <f t="shared" si="44"/>
        <v>0</v>
      </c>
      <c r="V23" s="3805">
        <f t="shared" si="44"/>
        <v>0</v>
      </c>
      <c r="W23" s="3805" t="e">
        <f t="shared" si="44"/>
        <v>#DIV/0!</v>
      </c>
      <c r="X23" s="3805">
        <f t="shared" si="44"/>
        <v>0</v>
      </c>
      <c r="Y23" s="3805">
        <v>0</v>
      </c>
      <c r="Z23" s="3805">
        <f t="shared" si="44"/>
        <v>0</v>
      </c>
      <c r="AA23" s="3805">
        <f t="shared" si="44"/>
        <v>0</v>
      </c>
      <c r="AB23" s="3805">
        <f t="shared" si="44"/>
        <v>0</v>
      </c>
      <c r="AC23" s="3805">
        <f t="shared" si="44"/>
        <v>0</v>
      </c>
      <c r="AD23" s="3805">
        <f t="shared" si="44"/>
        <v>0</v>
      </c>
      <c r="AE23" s="3805">
        <f t="shared" ref="AE23" si="46">AE24/(AE11+AE22)*100</f>
        <v>0</v>
      </c>
      <c r="AF23" s="3789"/>
      <c r="AG23" s="3807"/>
      <c r="AH23" s="3807"/>
      <c r="AI23" s="3807"/>
      <c r="AJ23" s="3807"/>
      <c r="AK23" s="3807"/>
      <c r="AL23" s="3807"/>
      <c r="AM23" s="3807"/>
      <c r="AN23" s="3807"/>
      <c r="AO23" s="3807"/>
      <c r="AP23" s="3807"/>
      <c r="AQ23" s="3807"/>
      <c r="AR23" s="3807"/>
      <c r="AS23" s="3807"/>
      <c r="AT23" s="3807"/>
      <c r="AU23" s="3807"/>
      <c r="AV23" s="3807"/>
      <c r="AW23" s="3807"/>
      <c r="AX23" s="3808">
        <f t="shared" ref="AX23" si="47">AX24/(AX11+AX22)*100</f>
        <v>0</v>
      </c>
      <c r="AY23" s="3789"/>
      <c r="AZ23" s="3805">
        <f t="shared" ref="AZ23:BA23" si="48">AZ24/(AZ11+AZ22)*100</f>
        <v>0</v>
      </c>
      <c r="BA23" s="3805">
        <f t="shared" si="48"/>
        <v>0</v>
      </c>
      <c r="BB23" s="3808">
        <f t="shared" ref="BB23" si="49">BB24/(BB11+BB22)*100</f>
        <v>0</v>
      </c>
      <c r="BC23" s="3866">
        <f t="shared" ref="BC23" si="50">BC24/(BC11+BC22)*100</f>
        <v>0</v>
      </c>
      <c r="BD23" s="3864"/>
      <c r="BE23" s="4180">
        <f t="shared" ref="BE23" si="51">BE24/(BE11+BE22)*100</f>
        <v>0</v>
      </c>
      <c r="BF23" s="4183"/>
      <c r="BG23" s="3866">
        <f t="shared" ref="BG23:BI23" si="52">BG24/(BG11+BG22)*100</f>
        <v>0</v>
      </c>
      <c r="BH23" s="3866">
        <f t="shared" si="52"/>
        <v>0</v>
      </c>
      <c r="BI23" s="3809">
        <f t="shared" si="52"/>
        <v>0</v>
      </c>
    </row>
    <row r="24" spans="1:61" s="2806" customFormat="1" ht="28.5" customHeight="1" x14ac:dyDescent="0.25">
      <c r="A24" s="3792" t="s">
        <v>927</v>
      </c>
      <c r="B24" s="3793" t="s">
        <v>928</v>
      </c>
      <c r="C24" s="3792" t="s">
        <v>902</v>
      </c>
      <c r="D24" s="3789">
        <f>D25+D26+D27</f>
        <v>10099.049999999999</v>
      </c>
      <c r="E24" s="3790">
        <f>E25+E26+E27</f>
        <v>0</v>
      </c>
      <c r="F24" s="3789">
        <f>F25+F26+F27</f>
        <v>3976</v>
      </c>
      <c r="G24" s="3789">
        <f>G25+G26+G27</f>
        <v>0</v>
      </c>
      <c r="H24" s="3789">
        <f>H25+H26+H27</f>
        <v>3976</v>
      </c>
      <c r="I24" s="3789">
        <f t="shared" ref="I24:AD24" si="53">I25+I26+I27</f>
        <v>0</v>
      </c>
      <c r="J24" s="3789">
        <f t="shared" si="53"/>
        <v>0</v>
      </c>
      <c r="K24" s="3789">
        <f t="shared" si="53"/>
        <v>0</v>
      </c>
      <c r="L24" s="3789">
        <v>0</v>
      </c>
      <c r="M24" s="3789">
        <v>0</v>
      </c>
      <c r="N24" s="3789">
        <f t="shared" si="53"/>
        <v>0</v>
      </c>
      <c r="O24" s="3789">
        <f t="shared" si="53"/>
        <v>0</v>
      </c>
      <c r="P24" s="3789">
        <f t="shared" si="53"/>
        <v>0</v>
      </c>
      <c r="Q24" s="3789">
        <f t="shared" ref="Q24" si="54">Q25+Q26+Q27</f>
        <v>0</v>
      </c>
      <c r="R24" s="3789">
        <f t="shared" si="53"/>
        <v>-3321.77</v>
      </c>
      <c r="S24" s="3789">
        <f t="shared" si="53"/>
        <v>0</v>
      </c>
      <c r="T24" s="3789">
        <f t="shared" si="53"/>
        <v>0</v>
      </c>
      <c r="U24" s="3789">
        <f t="shared" si="53"/>
        <v>0</v>
      </c>
      <c r="V24" s="3789">
        <f t="shared" si="53"/>
        <v>0</v>
      </c>
      <c r="W24" s="3789">
        <f t="shared" si="53"/>
        <v>0</v>
      </c>
      <c r="X24" s="3789">
        <f t="shared" si="53"/>
        <v>0</v>
      </c>
      <c r="Y24" s="3789">
        <v>0</v>
      </c>
      <c r="Z24" s="3789">
        <f t="shared" si="53"/>
        <v>0</v>
      </c>
      <c r="AA24" s="3789">
        <f t="shared" si="53"/>
        <v>0</v>
      </c>
      <c r="AB24" s="3789">
        <f t="shared" si="53"/>
        <v>0</v>
      </c>
      <c r="AC24" s="3789">
        <f t="shared" si="53"/>
        <v>0</v>
      </c>
      <c r="AD24" s="3789">
        <f t="shared" si="53"/>
        <v>0</v>
      </c>
      <c r="AE24" s="3789">
        <f t="shared" ref="AE24" si="55">AE25+AE26+AE27</f>
        <v>0</v>
      </c>
      <c r="AF24" s="3789"/>
      <c r="AG24" s="3784"/>
      <c r="AH24" s="3784"/>
      <c r="AI24" s="3784"/>
      <c r="AJ24" s="3784"/>
      <c r="AK24" s="3784"/>
      <c r="AL24" s="3784"/>
      <c r="AM24" s="3784"/>
      <c r="AN24" s="3784"/>
      <c r="AO24" s="3784"/>
      <c r="AP24" s="3784"/>
      <c r="AQ24" s="3784"/>
      <c r="AR24" s="3784"/>
      <c r="AS24" s="3784"/>
      <c r="AT24" s="3784"/>
      <c r="AU24" s="3784"/>
      <c r="AV24" s="3784"/>
      <c r="AW24" s="3784"/>
      <c r="AX24" s="3789">
        <f t="shared" ref="AX24" si="56">AX25+AX26+AX27</f>
        <v>0</v>
      </c>
      <c r="AY24" s="3789"/>
      <c r="AZ24" s="3789">
        <f t="shared" ref="AZ24:BA24" si="57">AZ25+AZ26+AZ27</f>
        <v>0</v>
      </c>
      <c r="BA24" s="3789">
        <f t="shared" si="57"/>
        <v>0</v>
      </c>
      <c r="BB24" s="3789">
        <f t="shared" ref="BB24" si="58">BB25+BB26+BB27</f>
        <v>0</v>
      </c>
      <c r="BC24" s="3864">
        <f t="shared" ref="BC24" si="59">BC25+BC26+BC27</f>
        <v>0</v>
      </c>
      <c r="BD24" s="3864"/>
      <c r="BE24" s="4183">
        <f t="shared" ref="BE24" si="60">BE25+BE26+BE27</f>
        <v>0</v>
      </c>
      <c r="BF24" s="4183"/>
      <c r="BG24" s="3864">
        <f t="shared" ref="BG24:BI24" si="61">BG25+BG26+BG27</f>
        <v>0</v>
      </c>
      <c r="BH24" s="3864">
        <f t="shared" si="61"/>
        <v>0</v>
      </c>
      <c r="BI24" s="3791">
        <f t="shared" si="61"/>
        <v>0</v>
      </c>
    </row>
    <row r="25" spans="1:61" s="2806" customFormat="1" ht="27" customHeight="1" x14ac:dyDescent="0.25">
      <c r="A25" s="3792" t="s">
        <v>929</v>
      </c>
      <c r="B25" s="3794" t="s">
        <v>930</v>
      </c>
      <c r="C25" s="3792" t="s">
        <v>902</v>
      </c>
      <c r="D25" s="3792">
        <v>4444</v>
      </c>
      <c r="E25" s="3795">
        <v>0</v>
      </c>
      <c r="F25" s="3789">
        <f>вода!BE84</f>
        <v>3976</v>
      </c>
      <c r="G25" s="3789">
        <v>0</v>
      </c>
      <c r="H25" s="3789">
        <v>3976</v>
      </c>
      <c r="I25" s="3789">
        <v>0</v>
      </c>
      <c r="J25" s="3789">
        <v>0</v>
      </c>
      <c r="K25" s="3789">
        <v>0</v>
      </c>
      <c r="L25" s="3789">
        <v>0</v>
      </c>
      <c r="M25" s="3789">
        <v>0</v>
      </c>
      <c r="N25" s="3789">
        <v>0</v>
      </c>
      <c r="O25" s="3789">
        <v>0</v>
      </c>
      <c r="P25" s="3789">
        <v>0</v>
      </c>
      <c r="Q25" s="3789">
        <v>0</v>
      </c>
      <c r="R25" s="3789">
        <v>-3321.77</v>
      </c>
      <c r="S25" s="3789">
        <v>0</v>
      </c>
      <c r="T25" s="3789">
        <v>0</v>
      </c>
      <c r="U25" s="3789">
        <v>0</v>
      </c>
      <c r="V25" s="3789">
        <v>0</v>
      </c>
      <c r="W25" s="3789"/>
      <c r="X25" s="3789">
        <v>0</v>
      </c>
      <c r="Y25" s="3789">
        <v>0</v>
      </c>
      <c r="Z25" s="3789">
        <v>0</v>
      </c>
      <c r="AA25" s="3789">
        <v>0</v>
      </c>
      <c r="AB25" s="3789">
        <v>0</v>
      </c>
      <c r="AC25" s="3789">
        <v>0</v>
      </c>
      <c r="AD25" s="3789">
        <v>0</v>
      </c>
      <c r="AE25" s="3789">
        <v>0</v>
      </c>
      <c r="AF25" s="3789"/>
      <c r="AG25" s="3784"/>
      <c r="AH25" s="3784"/>
      <c r="AI25" s="3784"/>
      <c r="AJ25" s="3784"/>
      <c r="AK25" s="3784"/>
      <c r="AL25" s="3784"/>
      <c r="AM25" s="3784"/>
      <c r="AN25" s="3784"/>
      <c r="AO25" s="3784"/>
      <c r="AP25" s="3784"/>
      <c r="AQ25" s="3784"/>
      <c r="AR25" s="3784"/>
      <c r="AS25" s="3784"/>
      <c r="AT25" s="3784"/>
      <c r="AU25" s="3784"/>
      <c r="AV25" s="3784"/>
      <c r="AW25" s="3784"/>
      <c r="AX25" s="3789">
        <v>0</v>
      </c>
      <c r="AY25" s="3789"/>
      <c r="AZ25" s="3789">
        <v>0</v>
      </c>
      <c r="BA25" s="3789">
        <v>0</v>
      </c>
      <c r="BB25" s="3789">
        <v>0</v>
      </c>
      <c r="BC25" s="3864">
        <v>0</v>
      </c>
      <c r="BD25" s="3864"/>
      <c r="BE25" s="4183">
        <v>0</v>
      </c>
      <c r="BF25" s="4183"/>
      <c r="BG25" s="3864">
        <v>0</v>
      </c>
      <c r="BH25" s="3864">
        <v>0</v>
      </c>
      <c r="BI25" s="3791">
        <v>0</v>
      </c>
    </row>
    <row r="26" spans="1:61" s="2806" customFormat="1" ht="62.25" customHeight="1" x14ac:dyDescent="0.25">
      <c r="A26" s="3792" t="s">
        <v>931</v>
      </c>
      <c r="B26" s="3794" t="s">
        <v>932</v>
      </c>
      <c r="C26" s="3792" t="s">
        <v>902</v>
      </c>
      <c r="D26" s="3792">
        <v>0</v>
      </c>
      <c r="E26" s="3795">
        <v>0</v>
      </c>
      <c r="F26" s="3789">
        <v>0</v>
      </c>
      <c r="G26" s="3789">
        <v>0</v>
      </c>
      <c r="H26" s="3789">
        <v>0</v>
      </c>
      <c r="I26" s="3789">
        <v>0</v>
      </c>
      <c r="J26" s="3789">
        <v>0</v>
      </c>
      <c r="K26" s="3789">
        <v>0</v>
      </c>
      <c r="L26" s="3789">
        <v>0</v>
      </c>
      <c r="M26" s="3789">
        <v>0</v>
      </c>
      <c r="N26" s="3789">
        <v>0</v>
      </c>
      <c r="O26" s="3789">
        <v>0</v>
      </c>
      <c r="P26" s="3789">
        <v>0</v>
      </c>
      <c r="Q26" s="3789">
        <v>0</v>
      </c>
      <c r="R26" s="3789">
        <v>0</v>
      </c>
      <c r="S26" s="3789">
        <v>0</v>
      </c>
      <c r="T26" s="3789">
        <v>0</v>
      </c>
      <c r="U26" s="3789">
        <v>0</v>
      </c>
      <c r="V26" s="3789">
        <v>0</v>
      </c>
      <c r="W26" s="3789"/>
      <c r="X26" s="3789">
        <v>0</v>
      </c>
      <c r="Y26" s="3789">
        <v>0</v>
      </c>
      <c r="Z26" s="3789">
        <v>0</v>
      </c>
      <c r="AA26" s="3789">
        <v>0</v>
      </c>
      <c r="AB26" s="3789">
        <v>0</v>
      </c>
      <c r="AC26" s="3789">
        <v>0</v>
      </c>
      <c r="AD26" s="3789">
        <v>0</v>
      </c>
      <c r="AE26" s="3789">
        <v>0</v>
      </c>
      <c r="AF26" s="3789"/>
      <c r="AG26" s="3784"/>
      <c r="AH26" s="3784"/>
      <c r="AI26" s="3784"/>
      <c r="AJ26" s="3784"/>
      <c r="AK26" s="3784"/>
      <c r="AL26" s="3784"/>
      <c r="AM26" s="3784"/>
      <c r="AN26" s="3784"/>
      <c r="AO26" s="3784"/>
      <c r="AP26" s="3784"/>
      <c r="AQ26" s="3784"/>
      <c r="AR26" s="3784"/>
      <c r="AS26" s="3784"/>
      <c r="AT26" s="3784"/>
      <c r="AU26" s="3784"/>
      <c r="AV26" s="3784"/>
      <c r="AW26" s="3784"/>
      <c r="AX26" s="3789">
        <v>0</v>
      </c>
      <c r="AY26" s="3789"/>
      <c r="AZ26" s="3789">
        <v>0</v>
      </c>
      <c r="BA26" s="3789">
        <v>0</v>
      </c>
      <c r="BB26" s="3789">
        <v>0</v>
      </c>
      <c r="BC26" s="3864">
        <v>0</v>
      </c>
      <c r="BD26" s="3864"/>
      <c r="BE26" s="4183">
        <v>0</v>
      </c>
      <c r="BF26" s="4183"/>
      <c r="BG26" s="3864">
        <v>0</v>
      </c>
      <c r="BH26" s="3864">
        <v>0</v>
      </c>
      <c r="BI26" s="3791">
        <v>0</v>
      </c>
    </row>
    <row r="27" spans="1:61" s="2806" customFormat="1" ht="38.25" customHeight="1" x14ac:dyDescent="0.25">
      <c r="A27" s="3792" t="s">
        <v>933</v>
      </c>
      <c r="B27" s="3794" t="s">
        <v>934</v>
      </c>
      <c r="C27" s="3792" t="s">
        <v>902</v>
      </c>
      <c r="D27" s="3792">
        <v>5655.05</v>
      </c>
      <c r="E27" s="3795">
        <v>0</v>
      </c>
      <c r="F27" s="3789">
        <v>0</v>
      </c>
      <c r="G27" s="3789">
        <v>0</v>
      </c>
      <c r="H27" s="3789">
        <v>0</v>
      </c>
      <c r="I27" s="3789">
        <v>0</v>
      </c>
      <c r="J27" s="3789">
        <v>0</v>
      </c>
      <c r="K27" s="3789">
        <v>0</v>
      </c>
      <c r="L27" s="3789">
        <v>0</v>
      </c>
      <c r="M27" s="3789">
        <v>0</v>
      </c>
      <c r="N27" s="3789">
        <v>0</v>
      </c>
      <c r="O27" s="3789">
        <v>0</v>
      </c>
      <c r="P27" s="3789">
        <v>0</v>
      </c>
      <c r="Q27" s="3789">
        <v>0</v>
      </c>
      <c r="R27" s="3789">
        <v>0</v>
      </c>
      <c r="S27" s="3789">
        <v>0</v>
      </c>
      <c r="T27" s="3789">
        <v>0</v>
      </c>
      <c r="U27" s="3789">
        <v>0</v>
      </c>
      <c r="V27" s="3789">
        <v>0</v>
      </c>
      <c r="W27" s="3789"/>
      <c r="X27" s="3789">
        <v>0</v>
      </c>
      <c r="Y27" s="3789">
        <v>0</v>
      </c>
      <c r="Z27" s="3789">
        <v>0</v>
      </c>
      <c r="AA27" s="3789">
        <v>0</v>
      </c>
      <c r="AB27" s="3789">
        <v>0</v>
      </c>
      <c r="AC27" s="3789">
        <v>0</v>
      </c>
      <c r="AD27" s="3789">
        <v>0</v>
      </c>
      <c r="AE27" s="3789">
        <v>0</v>
      </c>
      <c r="AF27" s="3789"/>
      <c r="AG27" s="3784"/>
      <c r="AH27" s="3784"/>
      <c r="AI27" s="3784"/>
      <c r="AJ27" s="3784"/>
      <c r="AK27" s="3784"/>
      <c r="AL27" s="3784"/>
      <c r="AM27" s="3784"/>
      <c r="AN27" s="3784"/>
      <c r="AO27" s="3784"/>
      <c r="AP27" s="3784"/>
      <c r="AQ27" s="3784"/>
      <c r="AR27" s="3784"/>
      <c r="AS27" s="3784"/>
      <c r="AT27" s="3784"/>
      <c r="AU27" s="3784"/>
      <c r="AV27" s="3784"/>
      <c r="AW27" s="3784"/>
      <c r="AX27" s="3789">
        <v>0</v>
      </c>
      <c r="AY27" s="3789"/>
      <c r="AZ27" s="3789">
        <v>0</v>
      </c>
      <c r="BA27" s="3789">
        <v>0</v>
      </c>
      <c r="BB27" s="3789">
        <v>0</v>
      </c>
      <c r="BC27" s="3864">
        <v>0</v>
      </c>
      <c r="BD27" s="3864"/>
      <c r="BE27" s="4183">
        <v>0</v>
      </c>
      <c r="BF27" s="4183"/>
      <c r="BG27" s="3864">
        <v>0</v>
      </c>
      <c r="BH27" s="3864">
        <v>0</v>
      </c>
      <c r="BI27" s="3791">
        <v>0</v>
      </c>
    </row>
    <row r="28" spans="1:61" s="2806" customFormat="1" ht="52.5" customHeight="1" x14ac:dyDescent="0.25">
      <c r="A28" s="3792" t="s">
        <v>194</v>
      </c>
      <c r="B28" s="3793" t="s">
        <v>935</v>
      </c>
      <c r="C28" s="3792" t="s">
        <v>902</v>
      </c>
      <c r="D28" s="3792"/>
      <c r="E28" s="3795"/>
      <c r="F28" s="3789">
        <f>вода!BE81</f>
        <v>6008.8077959141219</v>
      </c>
      <c r="G28" s="3789">
        <v>0</v>
      </c>
      <c r="H28" s="3789">
        <f>F28</f>
        <v>6008.8077959141219</v>
      </c>
      <c r="I28" s="3789">
        <f>(I11+I22)*0.05</f>
        <v>6246.9329468917567</v>
      </c>
      <c r="J28" s="3789">
        <v>6980.88</v>
      </c>
      <c r="K28" s="3789">
        <f>(K11+K22-K21)*0.05</f>
        <v>6213.200708158156</v>
      </c>
      <c r="L28" s="3789">
        <v>0</v>
      </c>
      <c r="M28" s="3789">
        <f>K28</f>
        <v>6213.200708158156</v>
      </c>
      <c r="N28" s="3789">
        <f>(N11+N22)*0.05</f>
        <v>6435.7306125076875</v>
      </c>
      <c r="O28" s="3789">
        <v>6748.29</v>
      </c>
      <c r="P28" s="3789">
        <v>0</v>
      </c>
      <c r="Q28" s="3789">
        <v>0</v>
      </c>
      <c r="R28" s="3789">
        <v>0</v>
      </c>
      <c r="S28" s="3789">
        <v>0</v>
      </c>
      <c r="T28" s="3789">
        <v>0</v>
      </c>
      <c r="U28" s="3789">
        <v>0</v>
      </c>
      <c r="V28" s="3789">
        <v>0</v>
      </c>
      <c r="W28" s="3789"/>
      <c r="X28" s="3789">
        <v>0</v>
      </c>
      <c r="Y28" s="3789">
        <v>0</v>
      </c>
      <c r="Z28" s="3789">
        <v>0</v>
      </c>
      <c r="AA28" s="3789">
        <v>0</v>
      </c>
      <c r="AB28" s="3789">
        <v>0</v>
      </c>
      <c r="AC28" s="3789">
        <v>0</v>
      </c>
      <c r="AD28" s="3789">
        <v>0</v>
      </c>
      <c r="AE28" s="3789">
        <v>0</v>
      </c>
      <c r="AF28" s="3789"/>
      <c r="AG28" s="3784"/>
      <c r="AH28" s="3784"/>
      <c r="AI28" s="3784"/>
      <c r="AJ28" s="3784"/>
      <c r="AK28" s="3784"/>
      <c r="AL28" s="3784"/>
      <c r="AM28" s="3784"/>
      <c r="AN28" s="3784"/>
      <c r="AO28" s="3784"/>
      <c r="AP28" s="3784"/>
      <c r="AQ28" s="3784"/>
      <c r="AR28" s="3784"/>
      <c r="AS28" s="3784"/>
      <c r="AT28" s="3784"/>
      <c r="AU28" s="3784"/>
      <c r="AV28" s="3784"/>
      <c r="AW28" s="3784"/>
      <c r="AX28" s="3789">
        <v>0</v>
      </c>
      <c r="AY28" s="3789"/>
      <c r="AZ28" s="3789">
        <v>0</v>
      </c>
      <c r="BA28" s="3789">
        <v>0</v>
      </c>
      <c r="BB28" s="3789">
        <v>0</v>
      </c>
      <c r="BC28" s="3864">
        <v>0</v>
      </c>
      <c r="BD28" s="3864"/>
      <c r="BE28" s="4183">
        <v>0</v>
      </c>
      <c r="BF28" s="4183"/>
      <c r="BG28" s="3864">
        <v>0</v>
      </c>
      <c r="BH28" s="3864">
        <v>0</v>
      </c>
      <c r="BI28" s="3791">
        <v>0</v>
      </c>
    </row>
    <row r="29" spans="1:61" s="2809" customFormat="1" ht="42.75" hidden="1" customHeight="1" x14ac:dyDescent="0.2">
      <c r="A29" s="3731" t="s">
        <v>1604</v>
      </c>
      <c r="B29" s="3729" t="s">
        <v>1698</v>
      </c>
      <c r="C29" s="3731" t="s">
        <v>902</v>
      </c>
      <c r="D29" s="3731"/>
      <c r="E29" s="3732"/>
      <c r="F29" s="2225"/>
      <c r="G29" s="2225"/>
      <c r="H29" s="2225"/>
      <c r="I29" s="2225"/>
      <c r="J29" s="2225"/>
      <c r="K29" s="2225"/>
      <c r="L29" s="2225"/>
      <c r="M29" s="2225"/>
      <c r="N29" s="2225"/>
      <c r="O29" s="2225"/>
      <c r="P29" s="2225"/>
      <c r="Q29" s="2225"/>
      <c r="R29" s="2225"/>
      <c r="S29" s="2225"/>
      <c r="T29" s="2225"/>
      <c r="U29" s="2225"/>
      <c r="V29" s="2225"/>
      <c r="W29" s="2225"/>
      <c r="X29" s="2225"/>
      <c r="Y29" s="2225"/>
      <c r="Z29" s="2225"/>
      <c r="AA29" s="2225"/>
      <c r="AB29" s="2225"/>
      <c r="AC29" s="2225"/>
      <c r="AD29" s="2225"/>
      <c r="AE29" s="2225"/>
      <c r="AF29" s="3789" t="e">
        <f t="shared" si="21"/>
        <v>#DIV/0!</v>
      </c>
      <c r="AG29" s="2225"/>
      <c r="AH29" s="2225"/>
      <c r="AI29" s="2225"/>
      <c r="AJ29" s="2225"/>
      <c r="AK29" s="2225"/>
      <c r="AL29" s="2225"/>
      <c r="AM29" s="2225"/>
      <c r="AN29" s="3810"/>
      <c r="AO29" s="3810"/>
      <c r="AP29" s="3810"/>
      <c r="AQ29" s="3810"/>
      <c r="AR29" s="3810"/>
      <c r="AS29" s="3810"/>
      <c r="AT29" s="3810"/>
      <c r="AU29" s="3810"/>
      <c r="AV29" s="3810"/>
      <c r="AW29" s="3810"/>
      <c r="AX29" s="2225"/>
      <c r="AY29" s="3789"/>
      <c r="AZ29" s="2225"/>
      <c r="BA29" s="2225"/>
      <c r="BB29" s="2225"/>
      <c r="BC29" s="2498"/>
      <c r="BD29" s="3864" t="e">
        <f t="shared" ref="BD29:BD30" si="62">BC29/AV29*100</f>
        <v>#DIV/0!</v>
      </c>
      <c r="BE29" s="4088"/>
      <c r="BF29" s="4183" t="e">
        <f t="shared" ref="BF29:BF30" si="63">BE29/AX29*100</f>
        <v>#DIV/0!</v>
      </c>
      <c r="BG29" s="2498"/>
      <c r="BH29" s="2498"/>
      <c r="BI29" s="3811"/>
    </row>
    <row r="30" spans="1:61" s="2810" customFormat="1" ht="27" hidden="1" customHeight="1" x14ac:dyDescent="0.2">
      <c r="A30" s="3568" t="s">
        <v>1699</v>
      </c>
      <c r="B30" s="3729" t="s">
        <v>1700</v>
      </c>
      <c r="C30" s="3731" t="s">
        <v>902</v>
      </c>
      <c r="D30" s="3731"/>
      <c r="E30" s="3732"/>
      <c r="F30" s="2225"/>
      <c r="G30" s="2225"/>
      <c r="H30" s="2225"/>
      <c r="I30" s="2225"/>
      <c r="J30" s="2225"/>
      <c r="K30" s="2225"/>
      <c r="L30" s="2225"/>
      <c r="M30" s="2225"/>
      <c r="N30" s="2225"/>
      <c r="O30" s="2225"/>
      <c r="P30" s="2225"/>
      <c r="Q30" s="2225"/>
      <c r="R30" s="2225"/>
      <c r="S30" s="2225"/>
      <c r="T30" s="2225"/>
      <c r="U30" s="2225"/>
      <c r="V30" s="2225"/>
      <c r="W30" s="2225"/>
      <c r="X30" s="2225"/>
      <c r="Y30" s="2225"/>
      <c r="Z30" s="2225"/>
      <c r="AA30" s="2225"/>
      <c r="AB30" s="2225"/>
      <c r="AC30" s="2225"/>
      <c r="AD30" s="2225"/>
      <c r="AE30" s="2225"/>
      <c r="AF30" s="3789" t="e">
        <f t="shared" si="21"/>
        <v>#DIV/0!</v>
      </c>
      <c r="AG30" s="2225"/>
      <c r="AH30" s="2225"/>
      <c r="AI30" s="2225"/>
      <c r="AJ30" s="2225"/>
      <c r="AK30" s="2225"/>
      <c r="AL30" s="2225"/>
      <c r="AM30" s="2225"/>
      <c r="AN30" s="3812"/>
      <c r="AO30" s="3812"/>
      <c r="AP30" s="3812"/>
      <c r="AQ30" s="3812"/>
      <c r="AR30" s="3812"/>
      <c r="AS30" s="3812"/>
      <c r="AT30" s="3812"/>
      <c r="AU30" s="3812"/>
      <c r="AV30" s="3812"/>
      <c r="AW30" s="3812"/>
      <c r="AX30" s="2225"/>
      <c r="AY30" s="3789"/>
      <c r="AZ30" s="2225"/>
      <c r="BA30" s="2225"/>
      <c r="BB30" s="2225"/>
      <c r="BC30" s="2498"/>
      <c r="BD30" s="3864" t="e">
        <f t="shared" si="62"/>
        <v>#DIV/0!</v>
      </c>
      <c r="BE30" s="4088"/>
      <c r="BF30" s="4183" t="e">
        <f t="shared" si="63"/>
        <v>#DIV/0!</v>
      </c>
      <c r="BG30" s="2498"/>
      <c r="BH30" s="2498"/>
      <c r="BI30" s="3811"/>
    </row>
    <row r="31" spans="1:61" s="2810" customFormat="1" ht="16.5" customHeight="1" x14ac:dyDescent="0.2">
      <c r="A31" s="3568"/>
      <c r="B31" s="3729" t="s">
        <v>1701</v>
      </c>
      <c r="C31" s="3731" t="s">
        <v>902</v>
      </c>
      <c r="D31" s="3731"/>
      <c r="E31" s="3813">
        <f>D38*E36</f>
        <v>115694.38084153089</v>
      </c>
      <c r="F31" s="2225"/>
      <c r="G31" s="2225"/>
      <c r="H31" s="2225">
        <f>ТН!D24</f>
        <v>116250.6013448</v>
      </c>
      <c r="I31" s="2225"/>
      <c r="J31" s="2225"/>
      <c r="K31" s="2225"/>
      <c r="L31" s="2225"/>
      <c r="M31" s="2225">
        <f>ТН!J24</f>
        <v>127442.32099589999</v>
      </c>
      <c r="N31" s="2225"/>
      <c r="O31" s="2225"/>
      <c r="P31" s="2225"/>
      <c r="Q31" s="2225"/>
      <c r="R31" s="2225"/>
      <c r="S31" s="2225"/>
      <c r="T31" s="2225"/>
      <c r="U31" s="2225"/>
      <c r="V31" s="2225"/>
      <c r="W31" s="2225"/>
      <c r="X31" s="2225"/>
      <c r="Y31" s="2225"/>
      <c r="Z31" s="2225"/>
      <c r="AA31" s="2225"/>
      <c r="AB31" s="2225"/>
      <c r="AC31" s="2225"/>
      <c r="AD31" s="2225"/>
      <c r="AE31" s="2225"/>
      <c r="AF31" s="3789"/>
      <c r="AG31" s="2225"/>
      <c r="AH31" s="2225"/>
      <c r="AI31" s="2225"/>
      <c r="AJ31" s="2225"/>
      <c r="AK31" s="2225"/>
      <c r="AL31" s="2225"/>
      <c r="AM31" s="2225"/>
      <c r="AN31" s="3812"/>
      <c r="AO31" s="3812"/>
      <c r="AP31" s="3812"/>
      <c r="AQ31" s="3812"/>
      <c r="AR31" s="3812"/>
      <c r="AS31" s="3812"/>
      <c r="AT31" s="3812"/>
      <c r="AU31" s="3812"/>
      <c r="AV31" s="3812"/>
      <c r="AW31" s="3812"/>
      <c r="AX31" s="2225"/>
      <c r="AY31" s="3789"/>
      <c r="AZ31" s="2225"/>
      <c r="BA31" s="2225"/>
      <c r="BB31" s="2225"/>
      <c r="BC31" s="2498"/>
      <c r="BD31" s="3864"/>
      <c r="BE31" s="4088"/>
      <c r="BF31" s="4183"/>
      <c r="BG31" s="2498"/>
      <c r="BH31" s="2498"/>
      <c r="BI31" s="3811"/>
    </row>
    <row r="32" spans="1:61" s="2810" customFormat="1" ht="64.5" customHeight="1" x14ac:dyDescent="0.2">
      <c r="A32" s="3731" t="s">
        <v>186</v>
      </c>
      <c r="B32" s="3729" t="s">
        <v>1702</v>
      </c>
      <c r="C32" s="3731" t="s">
        <v>902</v>
      </c>
      <c r="D32" s="2225">
        <f>D10-E31</f>
        <v>7505.5891584691126</v>
      </c>
      <c r="E32" s="3813">
        <f>E10-E31</f>
        <v>212.27915846911492</v>
      </c>
      <c r="F32" s="2225"/>
      <c r="G32" s="2225"/>
      <c r="H32" s="2225">
        <f>H10-H31</f>
        <v>10623.721553775889</v>
      </c>
      <c r="I32" s="2225"/>
      <c r="J32" s="2225"/>
      <c r="K32" s="2225"/>
      <c r="L32" s="2225"/>
      <c r="M32" s="2225">
        <f>M10-M31</f>
        <v>-3127.7087397172436</v>
      </c>
      <c r="N32" s="2225"/>
      <c r="O32" s="2225"/>
      <c r="P32" s="2225">
        <f>H32*1.039*1.037</f>
        <v>11446.454422064953</v>
      </c>
      <c r="Q32" s="2225">
        <f>F32*1.037*1.027</f>
        <v>0</v>
      </c>
      <c r="R32" s="2225">
        <v>5605.37</v>
      </c>
      <c r="S32" s="2225"/>
      <c r="T32" s="2225"/>
      <c r="U32" s="2225"/>
      <c r="V32" s="2225"/>
      <c r="W32" s="2225"/>
      <c r="X32" s="2225">
        <f>M32*1.037*1.027</f>
        <v>-3331.0066800901241</v>
      </c>
      <c r="Y32" s="2225"/>
      <c r="Z32" s="2225"/>
      <c r="AA32" s="2225"/>
      <c r="AB32" s="2225"/>
      <c r="AC32" s="2225"/>
      <c r="AD32" s="2225"/>
      <c r="AE32" s="2225">
        <f>T32*1.037*1.027</f>
        <v>0</v>
      </c>
      <c r="AF32" s="3789"/>
      <c r="AG32" s="2225"/>
      <c r="AH32" s="2225"/>
      <c r="AI32" s="2225"/>
      <c r="AJ32" s="2225"/>
      <c r="AK32" s="2225"/>
      <c r="AL32" s="2225">
        <f>H32</f>
        <v>10623.721553775889</v>
      </c>
      <c r="AM32" s="2225"/>
      <c r="AN32" s="3812"/>
      <c r="AO32" s="3812"/>
      <c r="AP32" s="3812"/>
      <c r="AQ32" s="3812"/>
      <c r="AR32" s="3812"/>
      <c r="AS32" s="3812"/>
      <c r="AT32" s="3812"/>
      <c r="AU32" s="3812"/>
      <c r="AV32" s="3812"/>
      <c r="AW32" s="3812"/>
      <c r="AX32" s="2225">
        <f>-9643.62*1.037*1.05</f>
        <v>-10500.455637000001</v>
      </c>
      <c r="AY32" s="3789"/>
      <c r="AZ32" s="2225">
        <v>0</v>
      </c>
      <c r="BA32" s="2225">
        <v>0</v>
      </c>
      <c r="BB32" s="2225">
        <v>0</v>
      </c>
      <c r="BC32" s="2498">
        <v>0</v>
      </c>
      <c r="BD32" s="3864"/>
      <c r="BE32" s="4088">
        <v>-3320.27</v>
      </c>
      <c r="BF32" s="4183"/>
      <c r="BG32" s="2498">
        <v>0</v>
      </c>
      <c r="BH32" s="2498">
        <v>0</v>
      </c>
      <c r="BI32" s="3811">
        <v>0</v>
      </c>
    </row>
    <row r="33" spans="1:61" s="2810" customFormat="1" ht="66" customHeight="1" x14ac:dyDescent="0.2">
      <c r="A33" s="3731" t="s">
        <v>939</v>
      </c>
      <c r="B33" s="3729" t="s">
        <v>1703</v>
      </c>
      <c r="C33" s="3731" t="s">
        <v>902</v>
      </c>
      <c r="D33" s="3731"/>
      <c r="E33" s="3732"/>
      <c r="F33" s="2225"/>
      <c r="G33" s="2225"/>
      <c r="H33" s="2225"/>
      <c r="I33" s="2225"/>
      <c r="J33" s="2225"/>
      <c r="K33" s="2225">
        <v>-1205.44</v>
      </c>
      <c r="L33" s="2225"/>
      <c r="M33" s="2225">
        <v>0</v>
      </c>
      <c r="N33" s="2225"/>
      <c r="O33" s="2225"/>
      <c r="P33" s="2225">
        <v>-6624.9</v>
      </c>
      <c r="Q33" s="2225">
        <f>-ИП!F35</f>
        <v>0</v>
      </c>
      <c r="R33" s="2225"/>
      <c r="S33" s="2225"/>
      <c r="T33" s="2225"/>
      <c r="U33" s="2225"/>
      <c r="V33" s="2225"/>
      <c r="W33" s="2225"/>
      <c r="X33" s="2225">
        <f>-ИП!M35</f>
        <v>-4146</v>
      </c>
      <c r="Y33" s="2225"/>
      <c r="Z33" s="2225"/>
      <c r="AA33" s="2225"/>
      <c r="AB33" s="2225"/>
      <c r="AC33" s="2225"/>
      <c r="AD33" s="2225"/>
      <c r="AE33" s="2225">
        <f>-ИП!T35</f>
        <v>0</v>
      </c>
      <c r="AF33" s="3789"/>
      <c r="AG33" s="2225"/>
      <c r="AH33" s="2225"/>
      <c r="AI33" s="2225"/>
      <c r="AJ33" s="2225"/>
      <c r="AK33" s="2225"/>
      <c r="AL33" s="2225"/>
      <c r="AM33" s="2225"/>
      <c r="AN33" s="3812"/>
      <c r="AO33" s="3812"/>
      <c r="AP33" s="3812"/>
      <c r="AQ33" s="3812"/>
      <c r="AR33" s="3812"/>
      <c r="AS33" s="3812"/>
      <c r="AT33" s="3812"/>
      <c r="AU33" s="3812"/>
      <c r="AV33" s="3812"/>
      <c r="AW33" s="3812"/>
      <c r="AX33" s="2225">
        <f>-ИП!AM35</f>
        <v>0</v>
      </c>
      <c r="AY33" s="3789"/>
      <c r="AZ33" s="2225">
        <v>0</v>
      </c>
      <c r="BA33" s="2225">
        <v>0</v>
      </c>
      <c r="BB33" s="3814">
        <v>-0.02</v>
      </c>
      <c r="BC33" s="3867"/>
      <c r="BD33" s="3864"/>
      <c r="BE33" s="4170"/>
      <c r="BF33" s="4183"/>
      <c r="BG33" s="2498">
        <v>0</v>
      </c>
      <c r="BH33" s="2498">
        <v>0</v>
      </c>
      <c r="BI33" s="3815">
        <v>-0.02</v>
      </c>
    </row>
    <row r="34" spans="1:61" s="2811" customFormat="1" ht="155.25" customHeight="1" x14ac:dyDescent="0.25">
      <c r="A34" s="3731" t="s">
        <v>945</v>
      </c>
      <c r="B34" s="3816" t="s">
        <v>1704</v>
      </c>
      <c r="C34" s="3731" t="s">
        <v>902</v>
      </c>
      <c r="D34" s="3817"/>
      <c r="E34" s="3818"/>
      <c r="F34" s="3538"/>
      <c r="G34" s="3538"/>
      <c r="H34" s="3538"/>
      <c r="I34" s="3538"/>
      <c r="J34" s="3538"/>
      <c r="K34" s="3538"/>
      <c r="L34" s="3538"/>
      <c r="M34" s="2225">
        <v>0</v>
      </c>
      <c r="N34" s="3538"/>
      <c r="O34" s="3538"/>
      <c r="P34" s="2225">
        <f>-А!C24</f>
        <v>-1402.0984566147722</v>
      </c>
      <c r="Q34" s="2225">
        <v>0</v>
      </c>
      <c r="R34" s="2225"/>
      <c r="S34" s="2225"/>
      <c r="T34" s="2225"/>
      <c r="U34" s="2225"/>
      <c r="V34" s="2225"/>
      <c r="W34" s="2225"/>
      <c r="X34" s="2225">
        <f>-'А 2017'!C24</f>
        <v>-2860.2146527550749</v>
      </c>
      <c r="Y34" s="2225"/>
      <c r="Z34" s="2225"/>
      <c r="AA34" s="2225"/>
      <c r="AB34" s="2225"/>
      <c r="AC34" s="2225"/>
      <c r="AD34" s="2225"/>
      <c r="AE34" s="2225">
        <f>-'А 2017'!J24</f>
        <v>0</v>
      </c>
      <c r="AF34" s="3789"/>
      <c r="AG34" s="3819"/>
      <c r="AH34" s="3819"/>
      <c r="AI34" s="3819"/>
      <c r="AJ34" s="3819"/>
      <c r="AK34" s="3819"/>
      <c r="AL34" s="3820">
        <f>'[46]дельта ЦП 2018'!C2</f>
        <v>6338.908441769564</v>
      </c>
      <c r="AM34" s="3819"/>
      <c r="AN34" s="3821"/>
      <c r="AO34" s="3821"/>
      <c r="AP34" s="3821"/>
      <c r="AQ34" s="3821"/>
      <c r="AR34" s="3821"/>
      <c r="AS34" s="3821"/>
      <c r="AT34" s="3821"/>
      <c r="AU34" s="3821"/>
      <c r="AV34" s="3821"/>
      <c r="AW34" s="3821"/>
      <c r="AX34" s="2225">
        <f>-SUM('А 2018'!C23)</f>
        <v>-4372.4244373956808</v>
      </c>
      <c r="AY34" s="3789"/>
      <c r="AZ34" s="2225">
        <v>0</v>
      </c>
      <c r="BA34" s="2225">
        <v>0</v>
      </c>
      <c r="BB34" s="2225">
        <v>0</v>
      </c>
      <c r="BC34" s="2498">
        <v>0</v>
      </c>
      <c r="BD34" s="3864"/>
      <c r="BE34" s="4088"/>
      <c r="BF34" s="4183"/>
      <c r="BG34" s="2498">
        <v>0</v>
      </c>
      <c r="BH34" s="2498">
        <v>0</v>
      </c>
      <c r="BI34" s="3811">
        <v>0</v>
      </c>
    </row>
    <row r="35" spans="1:61" s="2044" customFormat="1" ht="30.75" customHeight="1" x14ac:dyDescent="0.2">
      <c r="A35" s="3822"/>
      <c r="B35" s="3823" t="s">
        <v>1753</v>
      </c>
      <c r="C35" s="3822" t="s">
        <v>902</v>
      </c>
      <c r="D35" s="3824"/>
      <c r="E35" s="3825"/>
      <c r="F35" s="3826"/>
      <c r="G35" s="3826"/>
      <c r="H35" s="3826"/>
      <c r="I35" s="3826"/>
      <c r="J35" s="3826"/>
      <c r="K35" s="3826">
        <f>K10+K32+K33+K34</f>
        <v>131526.15938646757</v>
      </c>
      <c r="L35" s="3826"/>
      <c r="M35" s="3826"/>
      <c r="N35" s="3826"/>
      <c r="O35" s="3826"/>
      <c r="P35" s="3826">
        <f>P10+P32+P33+P34</f>
        <v>131195.05573943019</v>
      </c>
      <c r="Q35" s="3826">
        <f>Q10+Q32+Q33+Q34</f>
        <v>136412.62899999999</v>
      </c>
      <c r="R35" s="3826">
        <f t="shared" ref="R35:AD35" si="64">R10+R32+R33+R34</f>
        <v>157798.91</v>
      </c>
      <c r="S35" s="3826">
        <f t="shared" si="64"/>
        <v>163063.53999999998</v>
      </c>
      <c r="T35" s="3826">
        <f t="shared" si="64"/>
        <v>168098.30000000002</v>
      </c>
      <c r="U35" s="3826">
        <f t="shared" si="64"/>
        <v>173305.15999999997</v>
      </c>
      <c r="V35" s="3826">
        <f t="shared" si="64"/>
        <v>178711.02</v>
      </c>
      <c r="W35" s="3826">
        <f t="shared" si="64"/>
        <v>0</v>
      </c>
      <c r="X35" s="3826">
        <f>X10+X32+X33+X34</f>
        <v>137206.89677864019</v>
      </c>
      <c r="Y35" s="3826">
        <f>X35/P35*100</f>
        <v>104.5823686001935</v>
      </c>
      <c r="Z35" s="3826">
        <f t="shared" si="64"/>
        <v>152394.79711169572</v>
      </c>
      <c r="AA35" s="3826">
        <f t="shared" si="64"/>
        <v>155941.62487183817</v>
      </c>
      <c r="AB35" s="3826">
        <f t="shared" si="64"/>
        <v>160328.5385559875</v>
      </c>
      <c r="AC35" s="3826">
        <f t="shared" si="64"/>
        <v>164890.69791820081</v>
      </c>
      <c r="AD35" s="3826">
        <f t="shared" si="64"/>
        <v>169657.2078363566</v>
      </c>
      <c r="AE35" s="3826">
        <f>AE10+AE32+AE33+AE34</f>
        <v>163792.15655699334</v>
      </c>
      <c r="AF35" s="3789">
        <f t="shared" si="21"/>
        <v>119.37603750432744</v>
      </c>
      <c r="AG35" s="3827"/>
      <c r="AH35" s="3827"/>
      <c r="AI35" s="3827"/>
      <c r="AJ35" s="3827"/>
      <c r="AK35" s="3827"/>
      <c r="AL35" s="3827"/>
      <c r="AM35" s="3827"/>
      <c r="AN35" s="3828"/>
      <c r="AO35" s="3828"/>
      <c r="AP35" s="3828"/>
      <c r="AQ35" s="3828"/>
      <c r="AR35" s="3828"/>
      <c r="AS35" s="3828"/>
      <c r="AT35" s="3828"/>
      <c r="AU35" s="3828"/>
      <c r="AV35" s="3828"/>
      <c r="AW35" s="3828"/>
      <c r="AX35" s="3826">
        <f>AX10+AX32+AX33+AX34</f>
        <v>134953.31075321761</v>
      </c>
      <c r="AY35" s="3789">
        <f t="shared" si="23"/>
        <v>98.357527151817763</v>
      </c>
      <c r="AZ35" s="3826">
        <f>AZ10+AZ32+AZ33+AZ34</f>
        <v>72783.630038500007</v>
      </c>
      <c r="BA35" s="3826">
        <f>BA10+BA32+BA33+BA34</f>
        <v>111653.58178317001</v>
      </c>
      <c r="BB35" s="3826">
        <f>BB10+BB32+BB33+BB34</f>
        <v>147917.23693788002</v>
      </c>
      <c r="BC35" s="3873">
        <f>BC10+BC32+BC33+BC34</f>
        <v>177938.59485403632</v>
      </c>
      <c r="BD35" s="3864">
        <f>BC35/AX35*100</f>
        <v>131.85196706987335</v>
      </c>
      <c r="BE35" s="4171">
        <f>BE10+BE32+BE33+BE34</f>
        <v>143024.82367614075</v>
      </c>
      <c r="BF35" s="4183">
        <f t="shared" ref="BF35:BF38" si="65">BE35/AX35*100</f>
        <v>105.98096695655219</v>
      </c>
      <c r="BG35" s="3873">
        <f>BG10+BG32+BG33+BG34</f>
        <v>74088.261499999993</v>
      </c>
      <c r="BH35" s="3873">
        <f>BH10+BH32+BH33+BH34</f>
        <v>107372.86429100001</v>
      </c>
      <c r="BI35" s="3829">
        <f>BI10+BI32+BI33+BI34</f>
        <v>118.4191456264424</v>
      </c>
    </row>
    <row r="36" spans="1:61" s="2805" customFormat="1" x14ac:dyDescent="0.25">
      <c r="A36" s="3830">
        <v>2</v>
      </c>
      <c r="B36" s="3831" t="s">
        <v>936</v>
      </c>
      <c r="C36" s="3830" t="s">
        <v>937</v>
      </c>
      <c r="D36" s="3832">
        <v>4006.27</v>
      </c>
      <c r="E36" s="3833">
        <v>3762.2</v>
      </c>
      <c r="F36" s="3789">
        <f>объемы!AA49</f>
        <v>3989.2170000000001</v>
      </c>
      <c r="G36" s="3789">
        <v>3566.34</v>
      </c>
      <c r="H36" s="3789">
        <v>3566.34</v>
      </c>
      <c r="I36" s="3789">
        <f>объемы!AE49</f>
        <v>3896.5800000000004</v>
      </c>
      <c r="J36" s="3789">
        <v>3771</v>
      </c>
      <c r="K36" s="3789">
        <f>объемы!AJ49</f>
        <v>3771</v>
      </c>
      <c r="L36" s="3789">
        <f>M36</f>
        <v>3655.8</v>
      </c>
      <c r="M36" s="3789">
        <f>объемы!AP49</f>
        <v>3655.8</v>
      </c>
      <c r="N36" s="3789">
        <f>I36</f>
        <v>3896.5800000000004</v>
      </c>
      <c r="O36" s="3789">
        <f>объемы!AL49</f>
        <v>3600</v>
      </c>
      <c r="P36" s="3789">
        <f>объемы!AR49</f>
        <v>3600</v>
      </c>
      <c r="Q36" s="3789">
        <f>SUM(вода!BQ151)</f>
        <v>3658.53</v>
      </c>
      <c r="R36" s="3789">
        <f>объемы!AX49</f>
        <v>3600</v>
      </c>
      <c r="S36" s="3789">
        <f>R36</f>
        <v>3600</v>
      </c>
      <c r="T36" s="3789">
        <f t="shared" ref="T36:W36" si="66">S36</f>
        <v>3600</v>
      </c>
      <c r="U36" s="3789">
        <f t="shared" si="66"/>
        <v>3600</v>
      </c>
      <c r="V36" s="3789">
        <f t="shared" si="66"/>
        <v>3600</v>
      </c>
      <c r="W36" s="3789">
        <f t="shared" si="66"/>
        <v>3600</v>
      </c>
      <c r="X36" s="3789">
        <f>объемы!AZ49</f>
        <v>3660.6249233333333</v>
      </c>
      <c r="Y36" s="3789">
        <f>X36/P36*100</f>
        <v>101.68402564814815</v>
      </c>
      <c r="Z36" s="3789">
        <f>X36</f>
        <v>3660.6249233333333</v>
      </c>
      <c r="AA36" s="3789">
        <f t="shared" ref="AA36:AD36" si="67">Z36</f>
        <v>3660.6249233333333</v>
      </c>
      <c r="AB36" s="3789">
        <f t="shared" si="67"/>
        <v>3660.6249233333333</v>
      </c>
      <c r="AC36" s="3789">
        <f t="shared" si="67"/>
        <v>3660.6249233333333</v>
      </c>
      <c r="AD36" s="3789">
        <f t="shared" si="67"/>
        <v>3660.6249233333333</v>
      </c>
      <c r="AE36" s="3789">
        <f>SUM(объемы!BB49)</f>
        <v>3660.6249233333333</v>
      </c>
      <c r="AF36" s="3789">
        <f t="shared" si="21"/>
        <v>100</v>
      </c>
      <c r="AG36" s="3784"/>
      <c r="AH36" s="3784"/>
      <c r="AI36" s="3784"/>
      <c r="AJ36" s="3784"/>
      <c r="AK36" s="3784"/>
      <c r="AL36" s="3784"/>
      <c r="AM36" s="3784"/>
      <c r="AN36" s="3784"/>
      <c r="AO36" s="3784"/>
      <c r="AP36" s="3784"/>
      <c r="AQ36" s="3784"/>
      <c r="AR36" s="3784"/>
      <c r="AS36" s="3784"/>
      <c r="AT36" s="3784"/>
      <c r="AU36" s="3784"/>
      <c r="AV36" s="3784"/>
      <c r="AW36" s="3784"/>
      <c r="AX36" s="3789">
        <f>SUM(объемы!BD49)</f>
        <v>3472.9599999999996</v>
      </c>
      <c r="AY36" s="3789">
        <f t="shared" si="23"/>
        <v>94.873418411781785</v>
      </c>
      <c r="AZ36" s="3789">
        <f>SUM(объемы!BF49)</f>
        <v>1750.931</v>
      </c>
      <c r="BA36" s="3789">
        <f>SUM(объемы!BH49)</f>
        <v>2638.4280000000003</v>
      </c>
      <c r="BB36" s="3789">
        <f>SUM(объемы!BJ49)</f>
        <v>3527.873</v>
      </c>
      <c r="BC36" s="3864">
        <f>SUM(объемы!BL49)</f>
        <v>3472.9599999999996</v>
      </c>
      <c r="BD36" s="3864">
        <f>BC36/AX36*100</f>
        <v>100</v>
      </c>
      <c r="BE36" s="4183">
        <f>SUM(объемы!BN49)</f>
        <v>3504.67</v>
      </c>
      <c r="BF36" s="4183">
        <f t="shared" si="65"/>
        <v>100.91305399428731</v>
      </c>
      <c r="BG36" s="3864">
        <f>SUM(объемы!BQ49)</f>
        <v>1768.3819999999998</v>
      </c>
      <c r="BH36" s="3864">
        <f>SUM(объемы!BS49)</f>
        <v>2632.3209999999999</v>
      </c>
      <c r="BI36" s="3791">
        <f>SUM(объемы!BQ49)</f>
        <v>1768.3819999999998</v>
      </c>
    </row>
    <row r="37" spans="1:61" s="2805" customFormat="1" x14ac:dyDescent="0.25">
      <c r="A37" s="3787" t="s">
        <v>187</v>
      </c>
      <c r="B37" s="3834" t="s">
        <v>938</v>
      </c>
      <c r="C37" s="3787" t="s">
        <v>937</v>
      </c>
      <c r="D37" s="3792">
        <v>2445.42</v>
      </c>
      <c r="E37" s="3795">
        <v>2377.86</v>
      </c>
      <c r="F37" s="3789">
        <f>объемы!AA50</f>
        <v>2428.56</v>
      </c>
      <c r="G37" s="3789"/>
      <c r="H37" s="3789"/>
      <c r="I37" s="3789">
        <f>объемы!AE50</f>
        <v>2388.7330000000002</v>
      </c>
      <c r="J37" s="3789">
        <v>2380</v>
      </c>
      <c r="K37" s="3789">
        <f>объемы!AJ50</f>
        <v>2380</v>
      </c>
      <c r="L37" s="3789">
        <f>M37</f>
        <v>2447.77</v>
      </c>
      <c r="M37" s="3789">
        <f>объемы!AN50</f>
        <v>2447.77</v>
      </c>
      <c r="N37" s="3789">
        <f>I37</f>
        <v>2388.7330000000002</v>
      </c>
      <c r="O37" s="3789">
        <f>объемы!AL50</f>
        <v>2360</v>
      </c>
      <c r="P37" s="3789">
        <f>объемы!AR50</f>
        <v>2360</v>
      </c>
      <c r="Q37" s="3789">
        <f>объемы!AS50</f>
        <v>0</v>
      </c>
      <c r="R37" s="3789">
        <f>объемы!AX50</f>
        <v>2360</v>
      </c>
      <c r="S37" s="3789">
        <f>R37</f>
        <v>2360</v>
      </c>
      <c r="T37" s="3789">
        <f t="shared" ref="T37:W37" si="68">S37</f>
        <v>2360</v>
      </c>
      <c r="U37" s="3789">
        <f t="shared" si="68"/>
        <v>2360</v>
      </c>
      <c r="V37" s="3789">
        <f t="shared" si="68"/>
        <v>2360</v>
      </c>
      <c r="W37" s="3789">
        <f t="shared" si="68"/>
        <v>2360</v>
      </c>
      <c r="X37" s="3789">
        <f>объемы!AZ50</f>
        <v>2460.5733333333333</v>
      </c>
      <c r="Y37" s="3789">
        <f>X37/P37*100</f>
        <v>104.26158192090395</v>
      </c>
      <c r="Z37" s="3789">
        <f>X37</f>
        <v>2460.5733333333333</v>
      </c>
      <c r="AA37" s="3789">
        <f t="shared" ref="AA37:AD37" si="69">Z37</f>
        <v>2460.5733333333333</v>
      </c>
      <c r="AB37" s="3789">
        <f t="shared" si="69"/>
        <v>2460.5733333333333</v>
      </c>
      <c r="AC37" s="3789">
        <f t="shared" si="69"/>
        <v>2460.5733333333333</v>
      </c>
      <c r="AD37" s="3789">
        <f t="shared" si="69"/>
        <v>2460.5733333333333</v>
      </c>
      <c r="AE37" s="3789">
        <f>SUM(объемы!BB50)</f>
        <v>2460.5733333333333</v>
      </c>
      <c r="AF37" s="3789">
        <f t="shared" si="21"/>
        <v>100</v>
      </c>
      <c r="AG37" s="3784"/>
      <c r="AH37" s="3784"/>
      <c r="AI37" s="3784"/>
      <c r="AJ37" s="3784"/>
      <c r="AK37" s="3784"/>
      <c r="AL37" s="3784"/>
      <c r="AM37" s="3784"/>
      <c r="AN37" s="3784"/>
      <c r="AO37" s="3784"/>
      <c r="AP37" s="3784"/>
      <c r="AQ37" s="3784"/>
      <c r="AR37" s="3784"/>
      <c r="AS37" s="3784"/>
      <c r="AT37" s="3784"/>
      <c r="AU37" s="3784"/>
      <c r="AV37" s="3784"/>
      <c r="AW37" s="3784"/>
      <c r="AX37" s="3789">
        <f>SUM(объемы!BD50)</f>
        <v>2302.7809999999999</v>
      </c>
      <c r="AY37" s="3789">
        <f t="shared" si="23"/>
        <v>93.587172095392404</v>
      </c>
      <c r="AZ37" s="3789">
        <f>SUM(объемы!BF50)</f>
        <v>1191.5940000000001</v>
      </c>
      <c r="BA37" s="3789">
        <f>SUM(объемы!BH50)</f>
        <v>1796.0029999999999</v>
      </c>
      <c r="BB37" s="3789">
        <f>SUM(объемы!BJ50)</f>
        <v>2389.7370000000001</v>
      </c>
      <c r="BC37" s="3864">
        <f>SUM(объемы!BL50)</f>
        <v>2302.7809999999999</v>
      </c>
      <c r="BD37" s="3864">
        <f>BC37/AX37*100</f>
        <v>100</v>
      </c>
      <c r="BE37" s="4183">
        <f>SUM(объемы!BN50)</f>
        <v>2374.02</v>
      </c>
      <c r="BF37" s="4183">
        <f t="shared" si="65"/>
        <v>103.09360725140601</v>
      </c>
      <c r="BG37" s="3864">
        <f>SUM(объемы!BQ50)</f>
        <v>1221.021</v>
      </c>
      <c r="BH37" s="3864">
        <f>SUM(объемы!BO50)</f>
        <v>0</v>
      </c>
      <c r="BI37" s="3791">
        <f>SUM(объемы!BQ50)</f>
        <v>1221.021</v>
      </c>
    </row>
    <row r="38" spans="1:61" s="2059" customFormat="1" ht="14.25" x14ac:dyDescent="0.2">
      <c r="A38" s="3787" t="s">
        <v>939</v>
      </c>
      <c r="B38" s="3788" t="s">
        <v>940</v>
      </c>
      <c r="C38" s="3787" t="s">
        <v>941</v>
      </c>
      <c r="D38" s="3835">
        <f>D10/D36</f>
        <v>30.751789070631784</v>
      </c>
      <c r="E38" s="3836">
        <f>E10/E36</f>
        <v>30.808213279464145</v>
      </c>
      <c r="F38" s="3837">
        <f t="shared" ref="F38:O38" si="70">F10/F36</f>
        <v>32.620945614193488</v>
      </c>
      <c r="G38" s="3837">
        <f t="shared" si="70"/>
        <v>33.798216098296848</v>
      </c>
      <c r="H38" s="3837">
        <f t="shared" si="70"/>
        <v>35.575498381695489</v>
      </c>
      <c r="I38" s="3837">
        <f t="shared" si="70"/>
        <v>33.666854494127385</v>
      </c>
      <c r="J38" s="3837">
        <f t="shared" si="70"/>
        <v>38.875247944842215</v>
      </c>
      <c r="K38" s="3837">
        <f>K35/K36</f>
        <v>34.878323889278057</v>
      </c>
      <c r="L38" s="3837"/>
      <c r="M38" s="3837"/>
      <c r="N38" s="3837">
        <f t="shared" si="70"/>
        <v>34.684349573898501</v>
      </c>
      <c r="O38" s="3837">
        <f t="shared" si="70"/>
        <v>39.36502222222223</v>
      </c>
      <c r="P38" s="3837">
        <f>P35/P36</f>
        <v>36.443071038730608</v>
      </c>
      <c r="Q38" s="3837">
        <f t="shared" ref="Q38" si="71">Q35/Q36</f>
        <v>37.286185708467606</v>
      </c>
      <c r="R38" s="3837">
        <f t="shared" ref="R38:AD38" si="72">R35/R36</f>
        <v>43.83303055555556</v>
      </c>
      <c r="S38" s="3837">
        <f t="shared" si="72"/>
        <v>45.295427777777775</v>
      </c>
      <c r="T38" s="3837">
        <f t="shared" si="72"/>
        <v>46.693972222222229</v>
      </c>
      <c r="U38" s="3837">
        <f t="shared" si="72"/>
        <v>48.140322222222217</v>
      </c>
      <c r="V38" s="3837">
        <f t="shared" si="72"/>
        <v>49.641949999999994</v>
      </c>
      <c r="W38" s="3837">
        <f t="shared" si="72"/>
        <v>0</v>
      </c>
      <c r="X38" s="3837">
        <f t="shared" si="72"/>
        <v>37.481823364110404</v>
      </c>
      <c r="Y38" s="3837">
        <f>X38/P38*100</f>
        <v>102.85034245405893</v>
      </c>
      <c r="Z38" s="3837">
        <f t="shared" si="72"/>
        <v>41.630814492987263</v>
      </c>
      <c r="AA38" s="3837">
        <f t="shared" si="72"/>
        <v>42.599727679786184</v>
      </c>
      <c r="AB38" s="3837">
        <f t="shared" si="72"/>
        <v>43.798133355327131</v>
      </c>
      <c r="AC38" s="3837">
        <f t="shared" si="72"/>
        <v>45.044412189614</v>
      </c>
      <c r="AD38" s="3837">
        <f t="shared" si="72"/>
        <v>46.346514977521437</v>
      </c>
      <c r="AE38" s="3837">
        <f t="shared" ref="AE38" si="73">AE35/AE36</f>
        <v>44.7443155164462</v>
      </c>
      <c r="AF38" s="3837">
        <f t="shared" si="21"/>
        <v>119.37603750432744</v>
      </c>
      <c r="AG38" s="3838"/>
      <c r="AH38" s="3838"/>
      <c r="AI38" s="3838"/>
      <c r="AJ38" s="3838"/>
      <c r="AK38" s="3838"/>
      <c r="AL38" s="3838"/>
      <c r="AM38" s="3838"/>
      <c r="AN38" s="3838"/>
      <c r="AO38" s="3838"/>
      <c r="AP38" s="3838"/>
      <c r="AQ38" s="3838"/>
      <c r="AR38" s="3838"/>
      <c r="AS38" s="3838"/>
      <c r="AT38" s="3838"/>
      <c r="AU38" s="3838"/>
      <c r="AV38" s="3838"/>
      <c r="AW38" s="3838"/>
      <c r="AX38" s="3837">
        <f t="shared" ref="AX38" si="74">AX35/AX36</f>
        <v>38.858296886004339</v>
      </c>
      <c r="AY38" s="3789">
        <f t="shared" si="23"/>
        <v>103.67237609686816</v>
      </c>
      <c r="AZ38" s="3837">
        <f t="shared" ref="AZ38:BA38" si="75">AZ35/AZ36</f>
        <v>41.568531277646009</v>
      </c>
      <c r="BA38" s="3837">
        <f t="shared" si="75"/>
        <v>42.318221980349662</v>
      </c>
      <c r="BB38" s="3837">
        <f t="shared" ref="BB38" si="76">BB35/BB36</f>
        <v>41.928163779671209</v>
      </c>
      <c r="BC38" s="3868">
        <f t="shared" ref="BC38:BE38" si="77">BC35/BC36</f>
        <v>51.235428814048056</v>
      </c>
      <c r="BD38" s="3868">
        <f>BC38/AX38*100</f>
        <v>131.85196706987335</v>
      </c>
      <c r="BE38" s="4185">
        <f t="shared" si="77"/>
        <v>40.809783425013123</v>
      </c>
      <c r="BF38" s="4183">
        <f t="shared" si="65"/>
        <v>105.02205885330929</v>
      </c>
      <c r="BG38" s="3868">
        <f t="shared" ref="BG38:BI38" si="78">BG35/BG36</f>
        <v>41.896073076970929</v>
      </c>
      <c r="BH38" s="4045">
        <f t="shared" si="78"/>
        <v>40.790186413815036</v>
      </c>
      <c r="BI38" s="4044">
        <f t="shared" si="78"/>
        <v>6.6964686151771743E-2</v>
      </c>
    </row>
    <row r="39" spans="1:61" s="1237" customFormat="1" x14ac:dyDescent="0.25">
      <c r="A39" s="3787"/>
      <c r="B39" s="3839" t="s">
        <v>942</v>
      </c>
      <c r="C39" s="3787" t="s">
        <v>941</v>
      </c>
      <c r="D39" s="3840">
        <v>30</v>
      </c>
      <c r="E39" s="3841"/>
      <c r="F39" s="3789">
        <f>вода!BE128</f>
        <v>31.52</v>
      </c>
      <c r="G39" s="3789">
        <f>F39</f>
        <v>31.52</v>
      </c>
      <c r="H39" s="3789">
        <f>F39</f>
        <v>31.52</v>
      </c>
      <c r="I39" s="3789">
        <f>F40</f>
        <v>33.72189122838698</v>
      </c>
      <c r="J39" s="3789">
        <f>F40</f>
        <v>33.72189122838698</v>
      </c>
      <c r="K39" s="3789">
        <f>F40</f>
        <v>33.72189122838698</v>
      </c>
      <c r="L39" s="3789"/>
      <c r="M39" s="3789"/>
      <c r="N39" s="3789">
        <f>I40</f>
        <v>33.61181775986779</v>
      </c>
      <c r="O39" s="3789">
        <f>K40</f>
        <v>36.034756550169135</v>
      </c>
      <c r="P39" s="3789">
        <f>K40</f>
        <v>36.034756550169135</v>
      </c>
      <c r="Q39" s="3789"/>
      <c r="R39" s="3789"/>
      <c r="S39" s="3789"/>
      <c r="T39" s="3789"/>
      <c r="U39" s="3789"/>
      <c r="V39" s="3789"/>
      <c r="W39" s="3789"/>
      <c r="X39" s="3789">
        <f>P40</f>
        <v>36.851385527292081</v>
      </c>
      <c r="Y39" s="3789"/>
      <c r="Z39" s="3789">
        <f>X40</f>
        <v>38.112261200928728</v>
      </c>
      <c r="AA39" s="3789">
        <f>AA38</f>
        <v>42.599727679786184</v>
      </c>
      <c r="AB39" s="3789">
        <f t="shared" ref="AB39:AD39" si="79">AA40</f>
        <v>42.599727679786184</v>
      </c>
      <c r="AC39" s="3789">
        <f t="shared" si="79"/>
        <v>44.996539030868078</v>
      </c>
      <c r="AD39" s="3789">
        <f t="shared" si="79"/>
        <v>45.092285348359923</v>
      </c>
      <c r="AE39" s="3789">
        <f>SUM(X40)</f>
        <v>38.112261200928728</v>
      </c>
      <c r="AF39" s="3789"/>
      <c r="AG39" s="3784"/>
      <c r="AH39" s="3784"/>
      <c r="AI39" s="3784"/>
      <c r="AJ39" s="3784"/>
      <c r="AK39" s="3784"/>
      <c r="AL39" s="3784"/>
      <c r="AM39" s="3784"/>
      <c r="AN39" s="3784"/>
      <c r="AO39" s="3784"/>
      <c r="AP39" s="3784"/>
      <c r="AQ39" s="3784"/>
      <c r="AR39" s="3784"/>
      <c r="AS39" s="3784"/>
      <c r="AT39" s="3784"/>
      <c r="AU39" s="3784"/>
      <c r="AV39" s="3784"/>
      <c r="AW39" s="3784"/>
      <c r="AX39" s="3789">
        <f>SUM(X40)</f>
        <v>38.112261200928728</v>
      </c>
      <c r="AY39" s="3789"/>
      <c r="AZ39" s="3789"/>
      <c r="BA39" s="3789"/>
      <c r="BB39" s="3789"/>
      <c r="BC39" s="3864">
        <f>SUM(AX40)</f>
        <v>39.604332571079951</v>
      </c>
      <c r="BD39" s="3864"/>
      <c r="BE39" s="4183">
        <f>SUM(AX40)</f>
        <v>39.604332571079951</v>
      </c>
      <c r="BF39" s="4183"/>
      <c r="BG39" s="3864"/>
      <c r="BH39" s="3864"/>
      <c r="BI39" s="3791"/>
    </row>
    <row r="40" spans="1:61" s="1237" customFormat="1" x14ac:dyDescent="0.25">
      <c r="A40" s="3787"/>
      <c r="B40" s="3839" t="s">
        <v>943</v>
      </c>
      <c r="C40" s="3787" t="s">
        <v>941</v>
      </c>
      <c r="D40" s="3840">
        <v>31.52</v>
      </c>
      <c r="E40" s="3841"/>
      <c r="F40" s="3789">
        <f t="shared" ref="F40:N40" si="80">F38*2-F39</f>
        <v>33.72189122838698</v>
      </c>
      <c r="G40" s="3789">
        <f t="shared" si="80"/>
        <v>36.0764321965937</v>
      </c>
      <c r="H40" s="3789">
        <f t="shared" si="80"/>
        <v>39.630996763390982</v>
      </c>
      <c r="I40" s="3789">
        <f t="shared" si="80"/>
        <v>33.61181775986779</v>
      </c>
      <c r="J40" s="3789">
        <f t="shared" si="80"/>
        <v>44.02860466129745</v>
      </c>
      <c r="K40" s="3789">
        <f t="shared" si="80"/>
        <v>36.034756550169135</v>
      </c>
      <c r="L40" s="3789"/>
      <c r="M40" s="3789"/>
      <c r="N40" s="3789">
        <f t="shared" si="80"/>
        <v>35.756881387929212</v>
      </c>
      <c r="O40" s="3789">
        <f t="shared" ref="O40:P40" si="81">O38*2-O39</f>
        <v>42.695287894275324</v>
      </c>
      <c r="P40" s="3789">
        <f t="shared" si="81"/>
        <v>36.851385527292081</v>
      </c>
      <c r="Q40" s="3789"/>
      <c r="R40" s="3789"/>
      <c r="S40" s="3789"/>
      <c r="T40" s="3789"/>
      <c r="U40" s="3789"/>
      <c r="V40" s="3789"/>
      <c r="W40" s="3789"/>
      <c r="X40" s="3789">
        <f t="shared" ref="X40:AD40" si="82">X38*2-X39</f>
        <v>38.112261200928728</v>
      </c>
      <c r="Y40" s="3789"/>
      <c r="Z40" s="3789">
        <f t="shared" si="82"/>
        <v>45.149367785045797</v>
      </c>
      <c r="AA40" s="3789">
        <f t="shared" si="82"/>
        <v>42.599727679786184</v>
      </c>
      <c r="AB40" s="3789">
        <f t="shared" si="82"/>
        <v>44.996539030868078</v>
      </c>
      <c r="AC40" s="3789">
        <f t="shared" si="82"/>
        <v>45.092285348359923</v>
      </c>
      <c r="AD40" s="3789">
        <f t="shared" si="82"/>
        <v>47.600744606682952</v>
      </c>
      <c r="AE40" s="3789">
        <f t="shared" ref="AE40" si="83">AE38*2-AE39</f>
        <v>51.376369831963672</v>
      </c>
      <c r="AF40" s="3789"/>
      <c r="AG40" s="3784"/>
      <c r="AH40" s="3784"/>
      <c r="AI40" s="3784"/>
      <c r="AJ40" s="3784"/>
      <c r="AK40" s="3784"/>
      <c r="AL40" s="3784"/>
      <c r="AM40" s="3784"/>
      <c r="AN40" s="3784"/>
      <c r="AO40" s="3784"/>
      <c r="AP40" s="3784"/>
      <c r="AQ40" s="3784"/>
      <c r="AR40" s="3784"/>
      <c r="AS40" s="3784"/>
      <c r="AT40" s="3784"/>
      <c r="AU40" s="3784"/>
      <c r="AV40" s="3784"/>
      <c r="AW40" s="3784"/>
      <c r="AX40" s="3789">
        <f t="shared" ref="AX40" si="84">AX38*2-AX39</f>
        <v>39.604332571079951</v>
      </c>
      <c r="AY40" s="3789"/>
      <c r="AZ40" s="3789"/>
      <c r="BA40" s="3789"/>
      <c r="BB40" s="3789"/>
      <c r="BC40" s="3864">
        <f t="shared" ref="BC40:BE40" si="85">BC38*2-BC39</f>
        <v>62.866525057016162</v>
      </c>
      <c r="BD40" s="3864"/>
      <c r="BE40" s="4183">
        <f t="shared" si="85"/>
        <v>42.015234278946295</v>
      </c>
      <c r="BF40" s="4183"/>
      <c r="BG40" s="3864"/>
      <c r="BH40" s="3864"/>
      <c r="BI40" s="3791"/>
    </row>
    <row r="41" spans="1:61" s="1237" customFormat="1" x14ac:dyDescent="0.25">
      <c r="A41" s="3787"/>
      <c r="B41" s="3788" t="s">
        <v>944</v>
      </c>
      <c r="C41" s="3787"/>
      <c r="D41" s="3787"/>
      <c r="E41" s="3841"/>
      <c r="F41" s="3789"/>
      <c r="G41" s="3789"/>
      <c r="H41" s="3789"/>
      <c r="I41" s="3789"/>
      <c r="J41" s="3789"/>
      <c r="K41" s="3789"/>
      <c r="L41" s="3789"/>
      <c r="M41" s="3789"/>
      <c r="N41" s="3789"/>
      <c r="O41" s="3789"/>
      <c r="P41" s="3789"/>
      <c r="Q41" s="3789"/>
      <c r="R41" s="3789"/>
      <c r="S41" s="3789"/>
      <c r="T41" s="3789"/>
      <c r="U41" s="3789"/>
      <c r="V41" s="3789"/>
      <c r="W41" s="3789"/>
      <c r="X41" s="3789"/>
      <c r="Y41" s="3789"/>
      <c r="Z41" s="3789"/>
      <c r="AA41" s="3789"/>
      <c r="AB41" s="3789"/>
      <c r="AC41" s="3789"/>
      <c r="AD41" s="3789"/>
      <c r="AE41" s="3789"/>
      <c r="AF41" s="3789"/>
      <c r="AG41" s="3784"/>
      <c r="AH41" s="3784"/>
      <c r="AI41" s="3784"/>
      <c r="AJ41" s="3784"/>
      <c r="AK41" s="3784"/>
      <c r="AL41" s="3784"/>
      <c r="AM41" s="3784"/>
      <c r="AN41" s="3784"/>
      <c r="AO41" s="3784"/>
      <c r="AP41" s="3784"/>
      <c r="AQ41" s="3784"/>
      <c r="AR41" s="3784"/>
      <c r="AS41" s="3784"/>
      <c r="AT41" s="3784"/>
      <c r="AU41" s="3784"/>
      <c r="AV41" s="3784"/>
      <c r="AW41" s="3784"/>
      <c r="AX41" s="3789"/>
      <c r="AY41" s="3789"/>
      <c r="AZ41" s="3789"/>
      <c r="BA41" s="3789"/>
      <c r="BB41" s="3789"/>
      <c r="BC41" s="3864"/>
      <c r="BD41" s="3864"/>
      <c r="BE41" s="4183"/>
      <c r="BF41" s="4182"/>
      <c r="BG41" s="3864"/>
      <c r="BH41" s="3864"/>
      <c r="BI41" s="3791"/>
    </row>
    <row r="42" spans="1:61" s="1237" customFormat="1" x14ac:dyDescent="0.25">
      <c r="A42" s="3787"/>
      <c r="B42" s="3839" t="s">
        <v>942</v>
      </c>
      <c r="C42" s="3787" t="s">
        <v>44</v>
      </c>
      <c r="D42" s="3787"/>
      <c r="E42" s="3841"/>
      <c r="F42" s="3789"/>
      <c r="G42" s="3789"/>
      <c r="H42" s="3789"/>
      <c r="I42" s="3789">
        <f>I39/F40*100</f>
        <v>100</v>
      </c>
      <c r="J42" s="3789"/>
      <c r="K42" s="3789">
        <f>K39/F40*100</f>
        <v>100</v>
      </c>
      <c r="L42" s="3789"/>
      <c r="M42" s="3789"/>
      <c r="N42" s="3789">
        <f>N39/I40*100</f>
        <v>100</v>
      </c>
      <c r="O42" s="3789"/>
      <c r="P42" s="3789">
        <f>P39/K40*100</f>
        <v>100</v>
      </c>
      <c r="Q42" s="3789"/>
      <c r="R42" s="3789"/>
      <c r="S42" s="3789"/>
      <c r="T42" s="3789"/>
      <c r="U42" s="3789"/>
      <c r="V42" s="3789"/>
      <c r="W42" s="3789"/>
      <c r="X42" s="3789">
        <f>X39/P40*100</f>
        <v>100</v>
      </c>
      <c r="Y42" s="3789"/>
      <c r="Z42" s="3789">
        <f>Z39/X40*100</f>
        <v>100</v>
      </c>
      <c r="AA42" s="3789">
        <f t="shared" ref="AA42:AD42" si="86">AA39/Z40*100</f>
        <v>94.352877503405281</v>
      </c>
      <c r="AB42" s="3789">
        <f t="shared" si="86"/>
        <v>100</v>
      </c>
      <c r="AC42" s="3789">
        <f t="shared" si="86"/>
        <v>100</v>
      </c>
      <c r="AD42" s="3789">
        <f t="shared" si="86"/>
        <v>100</v>
      </c>
      <c r="AE42" s="3789">
        <f>AE39/X40*100</f>
        <v>100</v>
      </c>
      <c r="AF42" s="3789"/>
      <c r="AG42" s="3784"/>
      <c r="AH42" s="3784"/>
      <c r="AI42" s="3784"/>
      <c r="AJ42" s="3784"/>
      <c r="AK42" s="3784"/>
      <c r="AL42" s="3784"/>
      <c r="AM42" s="3784"/>
      <c r="AN42" s="3784"/>
      <c r="AO42" s="3784"/>
      <c r="AP42" s="3784"/>
      <c r="AQ42" s="3784"/>
      <c r="AR42" s="3784"/>
      <c r="AS42" s="3784"/>
      <c r="AT42" s="3784"/>
      <c r="AU42" s="3784"/>
      <c r="AV42" s="3784"/>
      <c r="AW42" s="3784"/>
      <c r="AX42" s="3789">
        <f>AX39/X40*100</f>
        <v>100</v>
      </c>
      <c r="AY42" s="3789"/>
      <c r="AZ42" s="3789"/>
      <c r="BA42" s="3789"/>
      <c r="BB42" s="3789"/>
      <c r="BC42" s="3864">
        <f>BC39/AX40*100</f>
        <v>100</v>
      </c>
      <c r="BD42" s="3864"/>
      <c r="BE42" s="4183">
        <f>BE39/AX40*100</f>
        <v>100</v>
      </c>
      <c r="BF42" s="4182"/>
      <c r="BG42" s="3864"/>
      <c r="BH42" s="3864"/>
      <c r="BI42" s="3791"/>
    </row>
    <row r="43" spans="1:61" s="1237" customFormat="1" x14ac:dyDescent="0.25">
      <c r="A43" s="3787"/>
      <c r="B43" s="3839" t="s">
        <v>943</v>
      </c>
      <c r="C43" s="3787" t="s">
        <v>44</v>
      </c>
      <c r="D43" s="3787"/>
      <c r="E43" s="3841"/>
      <c r="F43" s="3789">
        <f t="shared" ref="F43:N43" si="87">F40/F39*100</f>
        <v>106.98569552153229</v>
      </c>
      <c r="G43" s="3789">
        <f t="shared" si="87"/>
        <v>114.45568590289881</v>
      </c>
      <c r="H43" s="3789">
        <f t="shared" si="87"/>
        <v>125.73285775187495</v>
      </c>
      <c r="I43" s="3789">
        <f t="shared" si="87"/>
        <v>99.673584533638106</v>
      </c>
      <c r="J43" s="3789">
        <f t="shared" si="87"/>
        <v>130.56386536302659</v>
      </c>
      <c r="K43" s="3789">
        <f t="shared" si="87"/>
        <v>106.85864652761585</v>
      </c>
      <c r="L43" s="3789"/>
      <c r="M43" s="3789"/>
      <c r="N43" s="3789">
        <f t="shared" si="87"/>
        <v>106.38187331427997</v>
      </c>
      <c r="O43" s="3789">
        <f t="shared" ref="O43:P43" si="88">O40/O39*100</f>
        <v>118.48363075474954</v>
      </c>
      <c r="P43" s="3842">
        <f t="shared" si="88"/>
        <v>102.26622587552659</v>
      </c>
      <c r="Q43" s="3789"/>
      <c r="R43" s="3842"/>
      <c r="S43" s="3842"/>
      <c r="T43" s="3842"/>
      <c r="U43" s="3842"/>
      <c r="V43" s="3842"/>
      <c r="W43" s="3842"/>
      <c r="X43" s="3789">
        <f>X40/X39*100</f>
        <v>103.42151497316931</v>
      </c>
      <c r="Y43" s="3789"/>
      <c r="Z43" s="3842">
        <f t="shared" ref="Z43:AD43" si="89">Z40/Z39*100</f>
        <v>118.46415395564509</v>
      </c>
      <c r="AA43" s="3842">
        <f t="shared" si="89"/>
        <v>100</v>
      </c>
      <c r="AB43" s="3842">
        <f t="shared" si="89"/>
        <v>105.62635369197253</v>
      </c>
      <c r="AC43" s="3842">
        <f t="shared" si="89"/>
        <v>100.21278595988497</v>
      </c>
      <c r="AD43" s="3842">
        <f t="shared" si="89"/>
        <v>105.56294549931093</v>
      </c>
      <c r="AE43" s="3789">
        <f>AE40/AE39*100</f>
        <v>134.80273332801286</v>
      </c>
      <c r="AF43" s="3789"/>
      <c r="AG43" s="3784"/>
      <c r="AH43" s="3784"/>
      <c r="AI43" s="3784"/>
      <c r="AJ43" s="3784"/>
      <c r="AK43" s="3784"/>
      <c r="AL43" s="3784"/>
      <c r="AM43" s="3784"/>
      <c r="AN43" s="3784"/>
      <c r="AO43" s="3784"/>
      <c r="AP43" s="3784"/>
      <c r="AQ43" s="3784"/>
      <c r="AR43" s="3784"/>
      <c r="AS43" s="3784"/>
      <c r="AT43" s="3784"/>
      <c r="AU43" s="3784"/>
      <c r="AV43" s="3784"/>
      <c r="AW43" s="3784"/>
      <c r="AX43" s="3789">
        <f>AX40/AX39*100</f>
        <v>103.91493793108992</v>
      </c>
      <c r="AY43" s="3789"/>
      <c r="AZ43" s="3789"/>
      <c r="BA43" s="3789"/>
      <c r="BB43" s="3789"/>
      <c r="BC43" s="3864">
        <f>BC40/BC39*100</f>
        <v>158.73648405559254</v>
      </c>
      <c r="BD43" s="3864"/>
      <c r="BE43" s="4183">
        <f>BE40/BE39*100</f>
        <v>106.08746960585532</v>
      </c>
      <c r="BF43" s="4182"/>
      <c r="BG43" s="3864"/>
      <c r="BH43" s="3864"/>
      <c r="BI43" s="3791"/>
    </row>
    <row r="44" spans="1:61" ht="9" hidden="1" customHeight="1" x14ac:dyDescent="0.25">
      <c r="A44" s="2632"/>
      <c r="B44" s="3843"/>
      <c r="C44" s="2632"/>
      <c r="D44" s="2632"/>
      <c r="E44" s="2632"/>
      <c r="F44" s="2632"/>
      <c r="G44" s="2632"/>
      <c r="H44" s="2632"/>
      <c r="I44" s="2632"/>
      <c r="J44" s="3844"/>
      <c r="K44" s="2632"/>
      <c r="L44" s="2632"/>
      <c r="M44" s="2632"/>
      <c r="N44" s="2632"/>
      <c r="O44" s="2632"/>
      <c r="P44" s="2632"/>
      <c r="Q44" s="2632"/>
      <c r="R44" s="2632"/>
      <c r="S44" s="2632"/>
      <c r="T44" s="2632"/>
      <c r="U44" s="2632"/>
      <c r="V44" s="2632"/>
      <c r="W44" s="2632"/>
      <c r="X44" s="2632"/>
      <c r="Y44" s="2632"/>
      <c r="Z44" s="2632"/>
      <c r="AA44" s="2632"/>
      <c r="AB44" s="2632"/>
      <c r="AC44" s="2632"/>
      <c r="AD44" s="2632"/>
      <c r="AE44" s="2632"/>
      <c r="AF44" s="3789"/>
      <c r="AG44" s="3784"/>
      <c r="AH44" s="3784"/>
      <c r="AI44" s="3784"/>
      <c r="AJ44" s="3784"/>
      <c r="AK44" s="3784"/>
      <c r="AL44" s="3784"/>
      <c r="AM44" s="3784"/>
      <c r="AN44" s="3784"/>
      <c r="AO44" s="3784"/>
      <c r="AP44" s="3784"/>
      <c r="AQ44" s="3784"/>
      <c r="AR44" s="3784"/>
      <c r="AS44" s="3784"/>
      <c r="AT44" s="3784"/>
      <c r="AU44" s="3784"/>
      <c r="AV44" s="3784"/>
      <c r="AW44" s="3784"/>
      <c r="AX44" s="2632"/>
      <c r="AY44" s="3789"/>
      <c r="AZ44" s="2632"/>
      <c r="BA44" s="2632"/>
      <c r="BB44" s="2632"/>
      <c r="BC44" s="2499"/>
      <c r="BD44" s="3864"/>
      <c r="BE44" s="4172"/>
      <c r="BF44" s="4182"/>
      <c r="BG44" s="2499"/>
      <c r="BH44" s="2499"/>
      <c r="BI44" s="3845"/>
    </row>
    <row r="45" spans="1:61" s="2815" customFormat="1" ht="27" customHeight="1" x14ac:dyDescent="0.25">
      <c r="A45" s="3846" t="s">
        <v>945</v>
      </c>
      <c r="B45" s="3788" t="s">
        <v>946</v>
      </c>
      <c r="C45" s="2632"/>
      <c r="D45" s="2632"/>
      <c r="E45" s="2632"/>
      <c r="F45" s="2632"/>
      <c r="G45" s="2632"/>
      <c r="H45" s="2632"/>
      <c r="I45" s="2632"/>
      <c r="J45" s="3844"/>
      <c r="K45" s="2632"/>
      <c r="L45" s="2632"/>
      <c r="M45" s="2632"/>
      <c r="N45" s="2632"/>
      <c r="O45" s="2632"/>
      <c r="P45" s="2632"/>
      <c r="Q45" s="2632"/>
      <c r="R45" s="2632"/>
      <c r="S45" s="2632"/>
      <c r="T45" s="2632"/>
      <c r="U45" s="2632"/>
      <c r="V45" s="2632"/>
      <c r="W45" s="2632"/>
      <c r="X45" s="2632"/>
      <c r="Y45" s="2632"/>
      <c r="Z45" s="2632"/>
      <c r="AA45" s="2632"/>
      <c r="AB45" s="2632"/>
      <c r="AC45" s="2632"/>
      <c r="AD45" s="2632"/>
      <c r="AE45" s="2632"/>
      <c r="AF45" s="3789"/>
      <c r="AG45" s="3784"/>
      <c r="AH45" s="3784"/>
      <c r="AI45" s="3784"/>
      <c r="AJ45" s="3784"/>
      <c r="AK45" s="3784"/>
      <c r="AL45" s="3784"/>
      <c r="AM45" s="3784"/>
      <c r="AN45" s="3784"/>
      <c r="AO45" s="3784"/>
      <c r="AP45" s="3784"/>
      <c r="AQ45" s="3784"/>
      <c r="AR45" s="3784"/>
      <c r="AS45" s="3784"/>
      <c r="AT45" s="3784"/>
      <c r="AU45" s="3784"/>
      <c r="AV45" s="3784"/>
      <c r="AW45" s="3784"/>
      <c r="AX45" s="2632"/>
      <c r="AY45" s="3789"/>
      <c r="AZ45" s="2632"/>
      <c r="BA45" s="2632"/>
      <c r="BB45" s="2632"/>
      <c r="BC45" s="2499"/>
      <c r="BD45" s="3864"/>
      <c r="BE45" s="4179"/>
      <c r="BF45" s="4182"/>
      <c r="BG45" s="2499"/>
      <c r="BH45" s="2499"/>
      <c r="BI45" s="3845"/>
    </row>
    <row r="46" spans="1:61" s="2815" customFormat="1" x14ac:dyDescent="0.25">
      <c r="A46" s="2632"/>
      <c r="B46" s="3839" t="s">
        <v>942</v>
      </c>
      <c r="C46" s="3847" t="s">
        <v>947</v>
      </c>
      <c r="D46" s="3847"/>
      <c r="E46" s="3847"/>
      <c r="F46" s="3848">
        <v>25.95</v>
      </c>
      <c r="G46" s="3848"/>
      <c r="H46" s="3848"/>
      <c r="I46" s="3849">
        <f>F47</f>
        <v>27.796610169491526</v>
      </c>
      <c r="J46" s="3850"/>
      <c r="K46" s="3849">
        <f>F47</f>
        <v>27.796610169491526</v>
      </c>
      <c r="L46" s="3849"/>
      <c r="M46" s="3849"/>
      <c r="N46" s="3849">
        <f>I47</f>
        <v>29.381016949152542</v>
      </c>
      <c r="O46" s="3849"/>
      <c r="P46" s="3849">
        <f>K47</f>
        <v>28.96406779661017</v>
      </c>
      <c r="Q46" s="3849"/>
      <c r="R46" s="3849"/>
      <c r="S46" s="3849"/>
      <c r="T46" s="3849"/>
      <c r="U46" s="3849"/>
      <c r="V46" s="3849"/>
      <c r="W46" s="3849"/>
      <c r="X46" s="3849">
        <f>P47</f>
        <v>30.296414915254239</v>
      </c>
      <c r="Y46" s="3849"/>
      <c r="Z46" s="3849">
        <f>X47</f>
        <v>30.993232458305084</v>
      </c>
      <c r="AA46" s="3849">
        <f t="shared" ref="AA46:AD46" si="90">Z47</f>
        <v>32.232961756637287</v>
      </c>
      <c r="AB46" s="3849">
        <f t="shared" si="90"/>
        <v>33.52228022690278</v>
      </c>
      <c r="AC46" s="3849">
        <f t="shared" si="90"/>
        <v>34.863171435978892</v>
      </c>
      <c r="AD46" s="3849">
        <f t="shared" si="90"/>
        <v>36.257698293418045</v>
      </c>
      <c r="AE46" s="3849">
        <f>SUM(X47)</f>
        <v>30.993232458305084</v>
      </c>
      <c r="AF46" s="3789"/>
      <c r="AG46" s="3784"/>
      <c r="AH46" s="3784"/>
      <c r="AI46" s="3784"/>
      <c r="AJ46" s="3784"/>
      <c r="AK46" s="3784"/>
      <c r="AL46" s="3784"/>
      <c r="AM46" s="3784"/>
      <c r="AN46" s="3784"/>
      <c r="AO46" s="3784"/>
      <c r="AP46" s="3784"/>
      <c r="AQ46" s="3784"/>
      <c r="AR46" s="3784"/>
      <c r="AS46" s="3784"/>
      <c r="AT46" s="3784"/>
      <c r="AU46" s="3784"/>
      <c r="AV46" s="3784"/>
      <c r="AW46" s="3784"/>
      <c r="AX46" s="3849">
        <f>SUM(X47)</f>
        <v>30.993232458305084</v>
      </c>
      <c r="AY46" s="3789"/>
      <c r="AZ46" s="3849"/>
      <c r="BA46" s="3849"/>
      <c r="BB46" s="3849"/>
      <c r="BC46" s="3869">
        <f>SUM(AX47)</f>
        <v>32.232961756637287</v>
      </c>
      <c r="BD46" s="3864"/>
      <c r="BE46" s="4178">
        <v>32.229999999999997</v>
      </c>
      <c r="BF46" s="4182"/>
      <c r="BG46" s="3869"/>
      <c r="BH46" s="3869"/>
      <c r="BI46" s="3851"/>
    </row>
    <row r="47" spans="1:61" s="2815" customFormat="1" x14ac:dyDescent="0.25">
      <c r="A47" s="2632"/>
      <c r="B47" s="3839" t="s">
        <v>943</v>
      </c>
      <c r="C47" s="3847" t="s">
        <v>947</v>
      </c>
      <c r="D47" s="3847"/>
      <c r="E47" s="3847"/>
      <c r="F47" s="3849">
        <f>32.8/1.18</f>
        <v>27.796610169491526</v>
      </c>
      <c r="G47" s="3849"/>
      <c r="H47" s="3849"/>
      <c r="I47" s="3849">
        <f>I46*1.057</f>
        <v>29.381016949152542</v>
      </c>
      <c r="J47" s="3850"/>
      <c r="K47" s="3849">
        <f>K46*1.042</f>
        <v>28.96406779661017</v>
      </c>
      <c r="L47" s="3849"/>
      <c r="M47" s="3849"/>
      <c r="N47" s="3849">
        <f>N46*1.046</f>
        <v>30.73254372881356</v>
      </c>
      <c r="O47" s="3849"/>
      <c r="P47" s="3849">
        <f>P46*1.046</f>
        <v>30.296414915254239</v>
      </c>
      <c r="Q47" s="3849"/>
      <c r="R47" s="3849"/>
      <c r="S47" s="3849"/>
      <c r="T47" s="3849"/>
      <c r="U47" s="3849"/>
      <c r="V47" s="3849"/>
      <c r="W47" s="3849"/>
      <c r="X47" s="3849">
        <f>X46*1.023</f>
        <v>30.993232458305084</v>
      </c>
      <c r="Y47" s="3849"/>
      <c r="Z47" s="3849">
        <f>Z46*1.04</f>
        <v>32.232961756637287</v>
      </c>
      <c r="AA47" s="3849">
        <f t="shared" ref="AA47:AD47" si="91">AA46*1.04</f>
        <v>33.52228022690278</v>
      </c>
      <c r="AB47" s="3849">
        <f t="shared" si="91"/>
        <v>34.863171435978892</v>
      </c>
      <c r="AC47" s="3849">
        <f t="shared" si="91"/>
        <v>36.257698293418045</v>
      </c>
      <c r="AD47" s="3849">
        <f t="shared" si="91"/>
        <v>37.708006225154769</v>
      </c>
      <c r="AE47" s="3849">
        <f>AE46*1.04</f>
        <v>32.232961756637287</v>
      </c>
      <c r="AF47" s="3789"/>
      <c r="AG47" s="3784"/>
      <c r="AH47" s="3784"/>
      <c r="AI47" s="3784"/>
      <c r="AJ47" s="3784"/>
      <c r="AK47" s="3784"/>
      <c r="AL47" s="3784"/>
      <c r="AM47" s="3784"/>
      <c r="AN47" s="3784"/>
      <c r="AO47" s="3784"/>
      <c r="AP47" s="3784"/>
      <c r="AQ47" s="3784"/>
      <c r="AR47" s="3784"/>
      <c r="AS47" s="3784"/>
      <c r="AT47" s="3784"/>
      <c r="AU47" s="3784"/>
      <c r="AV47" s="3784"/>
      <c r="AW47" s="3784"/>
      <c r="AX47" s="3849">
        <f>AX46*1.04</f>
        <v>32.232961756637287</v>
      </c>
      <c r="AY47" s="3789"/>
      <c r="AZ47" s="3849"/>
      <c r="BA47" s="3849"/>
      <c r="BB47" s="3849"/>
      <c r="BC47" s="3869">
        <f>BC46*1.04</f>
        <v>33.52228022690278</v>
      </c>
      <c r="BD47" s="3864"/>
      <c r="BE47" s="4178">
        <v>33.42</v>
      </c>
      <c r="BF47" s="4182"/>
      <c r="BG47" s="3869"/>
      <c r="BH47" s="3869"/>
      <c r="BI47" s="3851"/>
    </row>
    <row r="48" spans="1:61" s="2815" customFormat="1" x14ac:dyDescent="0.25">
      <c r="A48" s="2632"/>
      <c r="B48" s="3839" t="s">
        <v>349</v>
      </c>
      <c r="C48" s="3847" t="s">
        <v>44</v>
      </c>
      <c r="D48" s="3847"/>
      <c r="E48" s="3847"/>
      <c r="F48" s="3849">
        <f>F47/F46*100</f>
        <v>107.11603148166292</v>
      </c>
      <c r="G48" s="3849"/>
      <c r="H48" s="3849"/>
      <c r="I48" s="3849">
        <f>I47/I46*100</f>
        <v>105.69999999999999</v>
      </c>
      <c r="J48" s="3852"/>
      <c r="K48" s="3849">
        <f>K47/K46*100</f>
        <v>104.2</v>
      </c>
      <c r="L48" s="3849"/>
      <c r="M48" s="3849"/>
      <c r="N48" s="3848">
        <f>N47/N46*100</f>
        <v>104.60000000000001</v>
      </c>
      <c r="O48" s="3848"/>
      <c r="P48" s="3853">
        <f t="shared" ref="P48" si="92">P47/P46*100</f>
        <v>104.60000000000001</v>
      </c>
      <c r="Q48" s="3853"/>
      <c r="R48" s="3853"/>
      <c r="S48" s="3853"/>
      <c r="T48" s="3853"/>
      <c r="U48" s="3853"/>
      <c r="V48" s="3853"/>
      <c r="W48" s="3853"/>
      <c r="X48" s="3853">
        <f t="shared" ref="X48:AD48" si="93">X47/X46*100</f>
        <v>102.3</v>
      </c>
      <c r="Y48" s="3853"/>
      <c r="Z48" s="3853">
        <f t="shared" si="93"/>
        <v>104</v>
      </c>
      <c r="AA48" s="3853">
        <f t="shared" si="93"/>
        <v>104</v>
      </c>
      <c r="AB48" s="3853">
        <f t="shared" si="93"/>
        <v>104</v>
      </c>
      <c r="AC48" s="3853">
        <f t="shared" si="93"/>
        <v>104</v>
      </c>
      <c r="AD48" s="3853">
        <f t="shared" si="93"/>
        <v>104</v>
      </c>
      <c r="AE48" s="3853">
        <f t="shared" ref="AE48" si="94">AE47/AE46*100</f>
        <v>104</v>
      </c>
      <c r="AF48" s="3789"/>
      <c r="AG48" s="3784"/>
      <c r="AH48" s="3784"/>
      <c r="AI48" s="3784"/>
      <c r="AJ48" s="3784"/>
      <c r="AK48" s="3784"/>
      <c r="AL48" s="3784"/>
      <c r="AM48" s="3784"/>
      <c r="AN48" s="3784"/>
      <c r="AO48" s="3784"/>
      <c r="AP48" s="3784"/>
      <c r="AQ48" s="3784"/>
      <c r="AR48" s="3784"/>
      <c r="AS48" s="3784"/>
      <c r="AT48" s="3784"/>
      <c r="AU48" s="3784"/>
      <c r="AV48" s="3784"/>
      <c r="AW48" s="3784"/>
      <c r="AX48" s="3853">
        <f t="shared" ref="AX48" si="95">AX47/AX46*100</f>
        <v>104</v>
      </c>
      <c r="AY48" s="3789"/>
      <c r="AZ48" s="3853"/>
      <c r="BA48" s="3853"/>
      <c r="BB48" s="3853"/>
      <c r="BC48" s="3870">
        <f t="shared" ref="BC48:BE48" si="96">BC47/BC46*100</f>
        <v>104</v>
      </c>
      <c r="BD48" s="3864"/>
      <c r="BE48" s="4177">
        <f t="shared" si="96"/>
        <v>103.69221222463545</v>
      </c>
      <c r="BF48" s="4182"/>
      <c r="BG48" s="3870"/>
      <c r="BH48" s="3870"/>
      <c r="BI48" s="3854"/>
    </row>
    <row r="49" spans="1:61" s="2815" customFormat="1" x14ac:dyDescent="0.25">
      <c r="A49" s="2632"/>
      <c r="B49" s="3788" t="s">
        <v>948</v>
      </c>
      <c r="C49" s="3847" t="s">
        <v>902</v>
      </c>
      <c r="D49" s="3847"/>
      <c r="E49" s="3847"/>
      <c r="F49" s="3855">
        <f>(F39-F46)*F37/2+(F40-F47)*F37/2</f>
        <v>13958.489884195573</v>
      </c>
      <c r="G49" s="3855"/>
      <c r="H49" s="3855"/>
      <c r="I49" s="3855">
        <f>(I39-I46)*I37/2+(I40-I47)*I37/2</f>
        <v>12130.083956320392</v>
      </c>
      <c r="J49" s="3856"/>
      <c r="K49" s="3855">
        <f>(K39-K46)*K37/2+(K40-K47)*K37/2</f>
        <v>15465.204076820759</v>
      </c>
      <c r="L49" s="3855"/>
      <c r="M49" s="3855"/>
      <c r="N49" s="3855">
        <f>(N39-N46)*N37/2+(N40-N47)*N37/2</f>
        <v>11054.027341227289</v>
      </c>
      <c r="O49" s="3855"/>
      <c r="P49" s="3857">
        <f t="shared" ref="P49" si="97">(P39-P46)*P37/2+(P40-P47)*P37/2</f>
        <v>16078.278051404232</v>
      </c>
      <c r="Q49" s="3857"/>
      <c r="R49" s="3857"/>
      <c r="S49" s="3857"/>
      <c r="T49" s="3857"/>
      <c r="U49" s="3857"/>
      <c r="V49" s="3857"/>
      <c r="W49" s="3857"/>
      <c r="X49" s="3857">
        <f t="shared" ref="X49:AD49" si="98">(X39-X46)*X37/2+(X40-X47)*X37/2</f>
        <v>16822.939086048631</v>
      </c>
      <c r="Y49" s="3857"/>
      <c r="Z49" s="3857">
        <f t="shared" si="98"/>
        <v>24649.328259670576</v>
      </c>
      <c r="AA49" s="3857">
        <f t="shared" si="98"/>
        <v>23921.956460354195</v>
      </c>
      <c r="AB49" s="3857">
        <f t="shared" si="98"/>
        <v>23634.809609073982</v>
      </c>
      <c r="AC49" s="3857">
        <f t="shared" si="98"/>
        <v>23336.021699625162</v>
      </c>
      <c r="AD49" s="3857">
        <f t="shared" si="98"/>
        <v>23039.978786816628</v>
      </c>
      <c r="AE49" s="3857">
        <f t="shared" ref="AE49" si="99">(AE39-AE46)*AE37/2+(AE40-AE47)*AE37/2</f>
        <v>32310.32585129968</v>
      </c>
      <c r="AF49" s="3789"/>
      <c r="AG49" s="3784"/>
      <c r="AH49" s="3784"/>
      <c r="AI49" s="3784"/>
      <c r="AJ49" s="3784"/>
      <c r="AK49" s="3784"/>
      <c r="AL49" s="3784"/>
      <c r="AM49" s="3784"/>
      <c r="AN49" s="3784"/>
      <c r="AO49" s="3784"/>
      <c r="AP49" s="3784"/>
      <c r="AQ49" s="3784"/>
      <c r="AR49" s="3784"/>
      <c r="AS49" s="3784"/>
      <c r="AT49" s="3784"/>
      <c r="AU49" s="3784"/>
      <c r="AV49" s="3784"/>
      <c r="AW49" s="3784"/>
      <c r="AX49" s="3857">
        <f t="shared" ref="AX49" si="100">(AX39-AX46)*AX37/2+(AX40-AX47)*AX37/2</f>
        <v>16684.108391210357</v>
      </c>
      <c r="AY49" s="3789"/>
      <c r="AZ49" s="3857"/>
      <c r="BA49" s="3857"/>
      <c r="BB49" s="3857"/>
      <c r="BC49" s="3871">
        <f t="shared" ref="BC49:BE49" si="101">(BC39-BC46)*BC37/2+(BC40-BC47)*BC37/2</f>
        <v>42274.011054793205</v>
      </c>
      <c r="BD49" s="3864"/>
      <c r="BE49" s="4169">
        <f t="shared" si="101"/>
        <v>18956.035546649655</v>
      </c>
      <c r="BF49" s="4182"/>
      <c r="BG49" s="3871"/>
      <c r="BH49" s="3871"/>
      <c r="BI49" s="3858"/>
    </row>
    <row r="50" spans="1:61" s="2815" customFormat="1" ht="27" customHeight="1" x14ac:dyDescent="0.25">
      <c r="A50" s="3846">
        <v>5</v>
      </c>
      <c r="B50" s="3788" t="s">
        <v>1552</v>
      </c>
      <c r="C50" s="2632"/>
      <c r="D50" s="2632"/>
      <c r="E50" s="2632"/>
      <c r="F50" s="3857"/>
      <c r="G50" s="3857"/>
      <c r="H50" s="3857"/>
      <c r="I50" s="3857"/>
      <c r="J50" s="3859"/>
      <c r="K50" s="3857"/>
      <c r="L50" s="3857"/>
      <c r="M50" s="3857"/>
      <c r="N50" s="3848"/>
      <c r="O50" s="3848"/>
      <c r="P50" s="3848"/>
      <c r="Q50" s="3848"/>
      <c r="R50" s="3848"/>
      <c r="S50" s="3848"/>
      <c r="T50" s="3848"/>
      <c r="U50" s="3848"/>
      <c r="V50" s="3848"/>
      <c r="W50" s="3848"/>
      <c r="X50" s="3848"/>
      <c r="Y50" s="3848"/>
      <c r="Z50" s="3848"/>
      <c r="AA50" s="3848"/>
      <c r="AB50" s="3848"/>
      <c r="AC50" s="3848"/>
      <c r="AD50" s="3848"/>
      <c r="AE50" s="3848"/>
      <c r="AF50" s="3789"/>
      <c r="AG50" s="3784"/>
      <c r="AH50" s="3784"/>
      <c r="AI50" s="3784"/>
      <c r="AJ50" s="3784"/>
      <c r="AK50" s="3784"/>
      <c r="AL50" s="3784"/>
      <c r="AM50" s="3784"/>
      <c r="AN50" s="3784"/>
      <c r="AO50" s="3784"/>
      <c r="AP50" s="3784"/>
      <c r="AQ50" s="3784"/>
      <c r="AR50" s="3784"/>
      <c r="AS50" s="3784"/>
      <c r="AT50" s="3784"/>
      <c r="AU50" s="3784"/>
      <c r="AV50" s="3784"/>
      <c r="AW50" s="3784"/>
      <c r="AX50" s="3848"/>
      <c r="AY50" s="3789"/>
      <c r="AZ50" s="3848"/>
      <c r="BA50" s="3848"/>
      <c r="BB50" s="3848"/>
      <c r="BC50" s="3872"/>
      <c r="BD50" s="3864"/>
      <c r="BE50" s="4176"/>
      <c r="BF50" s="4182"/>
      <c r="BG50" s="3872"/>
      <c r="BH50" s="3872"/>
      <c r="BI50" s="3860"/>
    </row>
    <row r="51" spans="1:61" s="2815" customFormat="1" x14ac:dyDescent="0.25">
      <c r="A51" s="2632"/>
      <c r="B51" s="3839" t="s">
        <v>942</v>
      </c>
      <c r="C51" s="3847" t="s">
        <v>947</v>
      </c>
      <c r="D51" s="3847"/>
      <c r="E51" s="3847"/>
      <c r="F51" s="3849">
        <f>F46*1.18</f>
        <v>30.620999999999999</v>
      </c>
      <c r="G51" s="3849"/>
      <c r="H51" s="3849"/>
      <c r="I51" s="3849">
        <f>F52</f>
        <v>32.799999999999997</v>
      </c>
      <c r="J51" s="3850"/>
      <c r="K51" s="3849">
        <f>F52</f>
        <v>32.799999999999997</v>
      </c>
      <c r="L51" s="3849"/>
      <c r="M51" s="3849"/>
      <c r="N51" s="3849">
        <f>I52</f>
        <v>34.669599999999996</v>
      </c>
      <c r="O51" s="3849"/>
      <c r="P51" s="3849">
        <f>P46*1.18</f>
        <v>34.177599999999998</v>
      </c>
      <c r="Q51" s="3849"/>
      <c r="R51" s="3849"/>
      <c r="S51" s="3849"/>
      <c r="T51" s="3849"/>
      <c r="U51" s="3849"/>
      <c r="V51" s="3849"/>
      <c r="W51" s="3849"/>
      <c r="X51" s="3849">
        <f>X46*1.2</f>
        <v>36.355697898305088</v>
      </c>
      <c r="Y51" s="3849"/>
      <c r="Z51" s="3849">
        <f t="shared" ref="Z51:AD51" si="102">Z46*1.2</f>
        <v>37.191878949966096</v>
      </c>
      <c r="AA51" s="3849">
        <f t="shared" si="102"/>
        <v>38.679554107964741</v>
      </c>
      <c r="AB51" s="3849">
        <f t="shared" si="102"/>
        <v>40.226736272283333</v>
      </c>
      <c r="AC51" s="3849">
        <f t="shared" si="102"/>
        <v>41.835805723174666</v>
      </c>
      <c r="AD51" s="3849">
        <f t="shared" si="102"/>
        <v>43.50923795210165</v>
      </c>
      <c r="AE51" s="3849">
        <f>AE46*1.2</f>
        <v>37.191878949966096</v>
      </c>
      <c r="AF51" s="3789"/>
      <c r="AG51" s="3784"/>
      <c r="AH51" s="3784"/>
      <c r="AI51" s="3784"/>
      <c r="AJ51" s="3784"/>
      <c r="AK51" s="3784"/>
      <c r="AL51" s="3784"/>
      <c r="AM51" s="3784"/>
      <c r="AN51" s="3784"/>
      <c r="AO51" s="3784"/>
      <c r="AP51" s="3784"/>
      <c r="AQ51" s="3784"/>
      <c r="AR51" s="3784"/>
      <c r="AS51" s="3784"/>
      <c r="AT51" s="3784"/>
      <c r="AU51" s="3784"/>
      <c r="AV51" s="3784"/>
      <c r="AW51" s="3784"/>
      <c r="AX51" s="3849">
        <f>AX46*1.2</f>
        <v>37.191878949966096</v>
      </c>
      <c r="AY51" s="3789"/>
      <c r="AZ51" s="3849"/>
      <c r="BA51" s="3849"/>
      <c r="BB51" s="3849"/>
      <c r="BC51" s="3869">
        <f>BC46*1.2</f>
        <v>38.679554107964741</v>
      </c>
      <c r="BD51" s="3864"/>
      <c r="BE51" s="4178">
        <f>BE46*1.2</f>
        <v>38.675999999999995</v>
      </c>
      <c r="BF51" s="4182"/>
      <c r="BG51" s="3869"/>
      <c r="BH51" s="3869"/>
      <c r="BI51" s="3851"/>
    </row>
    <row r="52" spans="1:61" s="2815" customFormat="1" x14ac:dyDescent="0.25">
      <c r="A52" s="2632"/>
      <c r="B52" s="3839" t="s">
        <v>943</v>
      </c>
      <c r="C52" s="3847" t="s">
        <v>947</v>
      </c>
      <c r="D52" s="3847"/>
      <c r="E52" s="3847"/>
      <c r="F52" s="3849">
        <f>F47*1.18</f>
        <v>32.799999999999997</v>
      </c>
      <c r="G52" s="3849"/>
      <c r="H52" s="3849"/>
      <c r="I52" s="3849">
        <f>I51*1.057</f>
        <v>34.669599999999996</v>
      </c>
      <c r="J52" s="3850"/>
      <c r="K52" s="3849">
        <f>K47*1.18</f>
        <v>34.177599999999998</v>
      </c>
      <c r="L52" s="3849"/>
      <c r="M52" s="3849"/>
      <c r="N52" s="3849">
        <f>N51*1.046</f>
        <v>36.264401599999999</v>
      </c>
      <c r="O52" s="3849"/>
      <c r="P52" s="3849">
        <f>P47*1.18</f>
        <v>35.7497696</v>
      </c>
      <c r="Q52" s="3849"/>
      <c r="R52" s="3849"/>
      <c r="S52" s="3849"/>
      <c r="T52" s="3849"/>
      <c r="U52" s="3849"/>
      <c r="V52" s="3849"/>
      <c r="W52" s="3849"/>
      <c r="X52" s="3849">
        <f>X47*1.2</f>
        <v>37.191878949966096</v>
      </c>
      <c r="Y52" s="3849"/>
      <c r="Z52" s="3849">
        <f t="shared" ref="Z52:AD52" si="103">Z47*1.2</f>
        <v>38.679554107964741</v>
      </c>
      <c r="AA52" s="3849">
        <f t="shared" si="103"/>
        <v>40.226736272283333</v>
      </c>
      <c r="AB52" s="3849">
        <f t="shared" si="103"/>
        <v>41.835805723174666</v>
      </c>
      <c r="AC52" s="3849">
        <f t="shared" si="103"/>
        <v>43.50923795210165</v>
      </c>
      <c r="AD52" s="3849">
        <f t="shared" si="103"/>
        <v>45.249607470185722</v>
      </c>
      <c r="AE52" s="3849">
        <f>AE47*1.2</f>
        <v>38.679554107964741</v>
      </c>
      <c r="AF52" s="3789"/>
      <c r="AG52" s="3784"/>
      <c r="AH52" s="3784"/>
      <c r="AI52" s="3784"/>
      <c r="AJ52" s="3784"/>
      <c r="AK52" s="3784"/>
      <c r="AL52" s="3784"/>
      <c r="AM52" s="3784"/>
      <c r="AN52" s="3784"/>
      <c r="AO52" s="3784"/>
      <c r="AP52" s="3784"/>
      <c r="AQ52" s="3784"/>
      <c r="AR52" s="3784"/>
      <c r="AS52" s="3784"/>
      <c r="AT52" s="3784"/>
      <c r="AU52" s="3784"/>
      <c r="AV52" s="3784"/>
      <c r="AW52" s="3784"/>
      <c r="AX52" s="3849">
        <f>AX47*1.2</f>
        <v>38.679554107964741</v>
      </c>
      <c r="AY52" s="3789"/>
      <c r="AZ52" s="3849"/>
      <c r="BA52" s="3849"/>
      <c r="BB52" s="3849"/>
      <c r="BC52" s="3869">
        <f>BC47*1.2</f>
        <v>40.226736272283333</v>
      </c>
      <c r="BD52" s="3864"/>
      <c r="BE52" s="4178">
        <f>BE47*1.2</f>
        <v>40.103999999999999</v>
      </c>
      <c r="BF52" s="4182"/>
      <c r="BG52" s="3869"/>
      <c r="BH52" s="3869"/>
      <c r="BI52" s="3851"/>
    </row>
    <row r="53" spans="1:61" s="2815" customFormat="1" x14ac:dyDescent="0.25">
      <c r="A53" s="2632"/>
      <c r="B53" s="3839" t="s">
        <v>349</v>
      </c>
      <c r="C53" s="3847" t="s">
        <v>44</v>
      </c>
      <c r="D53" s="3847"/>
      <c r="E53" s="3847"/>
      <c r="F53" s="3849">
        <f>F52/F51*100</f>
        <v>107.11603148166292</v>
      </c>
      <c r="G53" s="3849"/>
      <c r="H53" s="3849"/>
      <c r="I53" s="3849">
        <f>I52/I51*100</f>
        <v>105.69999999999999</v>
      </c>
      <c r="J53" s="3852"/>
      <c r="K53" s="3849">
        <f>K52/K51*100</f>
        <v>104.2</v>
      </c>
      <c r="L53" s="3849"/>
      <c r="M53" s="3849"/>
      <c r="N53" s="3848">
        <f>N52/N51*100</f>
        <v>104.60000000000001</v>
      </c>
      <c r="O53" s="3848"/>
      <c r="P53" s="3853">
        <f t="shared" ref="P53" si="104">P52/P51*100</f>
        <v>104.60000000000001</v>
      </c>
      <c r="Q53" s="3853"/>
      <c r="R53" s="3853"/>
      <c r="S53" s="3853"/>
      <c r="T53" s="3853"/>
      <c r="U53" s="3853"/>
      <c r="V53" s="3853"/>
      <c r="W53" s="3853"/>
      <c r="X53" s="3853">
        <f t="shared" ref="X53:AD53" si="105">X52/X51*100</f>
        <v>102.29999999999997</v>
      </c>
      <c r="Y53" s="3853"/>
      <c r="Z53" s="3853">
        <f t="shared" si="105"/>
        <v>104</v>
      </c>
      <c r="AA53" s="3853">
        <f t="shared" si="105"/>
        <v>104</v>
      </c>
      <c r="AB53" s="3853">
        <f t="shared" si="105"/>
        <v>104</v>
      </c>
      <c r="AC53" s="3853">
        <f t="shared" si="105"/>
        <v>104</v>
      </c>
      <c r="AD53" s="3853">
        <f t="shared" si="105"/>
        <v>104.00000000000003</v>
      </c>
      <c r="AE53" s="3853">
        <f t="shared" ref="AE53" si="106">AE52/AE51*100</f>
        <v>104</v>
      </c>
      <c r="AF53" s="3789"/>
      <c r="AG53" s="3784"/>
      <c r="AH53" s="3784"/>
      <c r="AI53" s="3784"/>
      <c r="AJ53" s="3784"/>
      <c r="AK53" s="3784"/>
      <c r="AL53" s="3784"/>
      <c r="AM53" s="3784"/>
      <c r="AN53" s="3784"/>
      <c r="AO53" s="3784"/>
      <c r="AP53" s="3784"/>
      <c r="AQ53" s="3784"/>
      <c r="AR53" s="3784"/>
      <c r="AS53" s="3784"/>
      <c r="AT53" s="3784"/>
      <c r="AU53" s="3784"/>
      <c r="AV53" s="3784"/>
      <c r="AW53" s="3784"/>
      <c r="AX53" s="3853">
        <f t="shared" ref="AX53" si="107">AX52/AX51*100</f>
        <v>104</v>
      </c>
      <c r="AY53" s="3789"/>
      <c r="AZ53" s="3853"/>
      <c r="BA53" s="3853"/>
      <c r="BB53" s="3853"/>
      <c r="BC53" s="3870">
        <f t="shared" ref="BC53:BE53" si="108">BC52/BC51*100</f>
        <v>104</v>
      </c>
      <c r="BD53" s="3864"/>
      <c r="BE53" s="4177">
        <f t="shared" si="108"/>
        <v>103.69221222463545</v>
      </c>
      <c r="BF53" s="4182"/>
      <c r="BG53" s="3870"/>
      <c r="BH53" s="3870"/>
      <c r="BI53" s="3854"/>
    </row>
    <row r="54" spans="1:61" x14ac:dyDescent="0.25">
      <c r="X54" s="2540"/>
      <c r="Y54" s="2540"/>
      <c r="Z54" s="2540"/>
      <c r="AA54" s="2540"/>
      <c r="AB54" s="2540"/>
    </row>
    <row r="55" spans="1:61" x14ac:dyDescent="0.25">
      <c r="M55" s="2540">
        <f>M37*K38*2%</f>
        <v>1707.4822973291632</v>
      </c>
      <c r="N55" s="2540"/>
      <c r="O55" s="2540"/>
      <c r="P55" s="2541">
        <f>P49+'стоки 2019-2021'!Q48</f>
        <v>30846.904263119988</v>
      </c>
      <c r="Q55" s="2049"/>
      <c r="X55" s="2541">
        <f>X49+'стоки 2019-2021'!Z48</f>
        <v>32571.200707479795</v>
      </c>
      <c r="Y55" s="2540"/>
      <c r="Z55" s="2540"/>
      <c r="AA55" s="2540"/>
      <c r="AB55" s="2540"/>
    </row>
    <row r="56" spans="1:61" x14ac:dyDescent="0.25">
      <c r="P56" s="2049"/>
      <c r="Q56" s="2049"/>
      <c r="R56" s="2049"/>
      <c r="S56" s="2049"/>
      <c r="T56" s="2049"/>
      <c r="U56" s="2049"/>
      <c r="V56" s="2049"/>
      <c r="W56" s="2049"/>
      <c r="X56" s="2049"/>
      <c r="Y56" s="2049"/>
      <c r="Z56" s="2049"/>
      <c r="AA56" s="2049"/>
      <c r="AB56" s="2049"/>
      <c r="AC56" s="2049"/>
      <c r="AD56" s="2049"/>
      <c r="AE56" s="2049"/>
      <c r="AF56" s="2049"/>
    </row>
    <row r="57" spans="1:61" ht="20.25" x14ac:dyDescent="0.3">
      <c r="A57" s="3874" t="s">
        <v>3577</v>
      </c>
      <c r="P57" s="2049"/>
      <c r="Q57" s="2049"/>
      <c r="R57" s="2049"/>
      <c r="S57" s="2049"/>
      <c r="T57" s="2049"/>
      <c r="U57" s="2049"/>
      <c r="V57" s="2049"/>
      <c r="W57" s="2049"/>
      <c r="X57" s="2049"/>
      <c r="Y57" s="2049"/>
      <c r="Z57" s="2049"/>
      <c r="AA57" s="2049"/>
      <c r="AB57" s="2049"/>
      <c r="AC57" s="2049"/>
      <c r="AD57" s="2049"/>
      <c r="AE57" s="2049"/>
      <c r="AF57" s="2049"/>
    </row>
    <row r="58" spans="1:61" x14ac:dyDescent="0.25">
      <c r="P58" s="2050"/>
      <c r="Q58" s="2050"/>
      <c r="R58" s="2050"/>
      <c r="S58" s="2050"/>
      <c r="T58" s="2050"/>
      <c r="U58" s="2050"/>
      <c r="V58" s="2050"/>
      <c r="W58" s="2050"/>
      <c r="X58" s="2392">
        <f>X39*1.03</f>
        <v>37.956927093110842</v>
      </c>
      <c r="Y58" s="2050"/>
      <c r="Z58" s="2050"/>
      <c r="AA58" s="2050"/>
      <c r="AB58" s="2050"/>
      <c r="AC58" s="2050"/>
      <c r="AD58" s="2050"/>
      <c r="AE58" s="2050"/>
      <c r="AF58" s="2050"/>
    </row>
    <row r="59" spans="1:61" x14ac:dyDescent="0.25">
      <c r="X59" s="2241">
        <f>(X58+X39)/2</f>
        <v>37.404156310201458</v>
      </c>
    </row>
    <row r="60" spans="1:61" x14ac:dyDescent="0.25">
      <c r="X60" s="2241">
        <f>X59*X36</f>
        <v>136922.58682537923</v>
      </c>
    </row>
    <row r="61" spans="1:61" x14ac:dyDescent="0.25">
      <c r="X61" s="2049">
        <f>X35-X60</f>
        <v>284.30995326096308</v>
      </c>
    </row>
    <row r="64" spans="1:61" x14ac:dyDescent="0.25">
      <c r="X64" s="1236">
        <v>4766.46</v>
      </c>
    </row>
  </sheetData>
  <mergeCells count="44">
    <mergeCell ref="AY7:AY9"/>
    <mergeCell ref="AE5:AY5"/>
    <mergeCell ref="AZ5:AZ6"/>
    <mergeCell ref="BA5:BA6"/>
    <mergeCell ref="AE7:AE9"/>
    <mergeCell ref="AF7:AF9"/>
    <mergeCell ref="BG7:BG9"/>
    <mergeCell ref="BH7:BH9"/>
    <mergeCell ref="BI7:BI9"/>
    <mergeCell ref="AZ7:AZ9"/>
    <mergeCell ref="BA7:BA9"/>
    <mergeCell ref="BB7:BB9"/>
    <mergeCell ref="BD7:BD9"/>
    <mergeCell ref="BF7:BF9"/>
    <mergeCell ref="Y7:Y9"/>
    <mergeCell ref="Q7:Q9"/>
    <mergeCell ref="C4:C6"/>
    <mergeCell ref="G7:G9"/>
    <mergeCell ref="H7:H9"/>
    <mergeCell ref="D4:D6"/>
    <mergeCell ref="D7:D9"/>
    <mergeCell ref="L7:L9"/>
    <mergeCell ref="R6:W6"/>
    <mergeCell ref="F5:H5"/>
    <mergeCell ref="C7:C9"/>
    <mergeCell ref="F7:F9"/>
    <mergeCell ref="O7:O9"/>
    <mergeCell ref="R7:R9"/>
    <mergeCell ref="X7:X9"/>
    <mergeCell ref="E7:E9"/>
    <mergeCell ref="A2:BI2"/>
    <mergeCell ref="BG5:BG6"/>
    <mergeCell ref="BH5:BH6"/>
    <mergeCell ref="BI5:BI6"/>
    <mergeCell ref="A4:A6"/>
    <mergeCell ref="F4:Q4"/>
    <mergeCell ref="I5:M5"/>
    <mergeCell ref="R4:BI4"/>
    <mergeCell ref="N5:Q5"/>
    <mergeCell ref="B4:B6"/>
    <mergeCell ref="E4:E6"/>
    <mergeCell ref="BC5:BF5"/>
    <mergeCell ref="X6:AD6"/>
    <mergeCell ref="BB5:BB6"/>
  </mergeCells>
  <printOptions horizontalCentered="1"/>
  <pageMargins left="0.11811023622047245" right="0.11811023622047245" top="0.82677165354330717" bottom="0.27559055118110237" header="0.31496062992125984" footer="0.31496062992125984"/>
  <pageSetup paperSize="9" scale="39" fitToHeight="2" orientation="landscape" r:id="rId1"/>
  <colBreaks count="1" manualBreakCount="1">
    <brk id="3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5">
    <tabColor theme="2" tint="-0.499984740745262"/>
    <pageSetUpPr fitToPage="1"/>
  </sheetPr>
  <dimension ref="A2:AU52"/>
  <sheetViews>
    <sheetView zoomScaleNormal="100" zoomScaleSheetLayoutView="75" workbookViewId="0">
      <pane xSplit="2" ySplit="6" topLeftCell="Z34" activePane="bottomRight" state="frozen"/>
      <selection pane="topRight" activeCell="C1" sqref="C1"/>
      <selection pane="bottomLeft" activeCell="A7" sqref="A7"/>
      <selection pane="bottomRight" activeCell="AN7" sqref="AN7:AN9"/>
    </sheetView>
  </sheetViews>
  <sheetFormatPr defaultColWidth="0.85546875" defaultRowHeight="15" x14ac:dyDescent="0.25"/>
  <cols>
    <col min="1" max="1" width="9.85546875" style="1236" customWidth="1"/>
    <col min="2" max="2" width="33.85546875" style="1242" customWidth="1"/>
    <col min="3" max="3" width="10.5703125" style="1236" customWidth="1"/>
    <col min="4" max="5" width="12.7109375" style="1236" hidden="1" customWidth="1"/>
    <col min="6" max="8" width="9.7109375" style="1236" hidden="1" customWidth="1"/>
    <col min="9" max="9" width="9.7109375" style="1236" customWidth="1"/>
    <col min="10" max="10" width="16.85546875" style="1236" hidden="1" customWidth="1"/>
    <col min="11" max="14" width="9.7109375" style="1236" customWidth="1"/>
    <col min="15" max="15" width="12.7109375" style="1236" customWidth="1"/>
    <col min="16" max="30" width="9.7109375" style="1236" customWidth="1"/>
    <col min="31" max="31" width="12.7109375" style="1236" customWidth="1"/>
    <col min="32" max="32" width="8.5703125" style="1236" customWidth="1"/>
    <col min="33" max="33" width="12.7109375" style="1236" customWidth="1"/>
    <col min="34" max="34" width="8.5703125" style="1236" customWidth="1"/>
    <col min="35" max="35" width="9.7109375" style="1236" customWidth="1"/>
    <col min="36" max="36" width="10.140625" style="1236" customWidth="1"/>
    <col min="37" max="37" width="9.42578125" style="1236" customWidth="1"/>
    <col min="38" max="38" width="13" style="1236" customWidth="1"/>
    <col min="39" max="39" width="9" style="1236" customWidth="1"/>
    <col min="40" max="40" width="13.42578125" style="1236" customWidth="1"/>
    <col min="41" max="41" width="9.140625" style="1236" customWidth="1"/>
    <col min="42" max="44" width="9.7109375" style="1236" customWidth="1"/>
    <col min="45" max="47" width="9.140625" style="1236" customWidth="1"/>
    <col min="48" max="48" width="25.85546875" style="1236" customWidth="1"/>
    <col min="49" max="280" width="0.85546875" style="1236"/>
    <col min="281" max="281" width="9.85546875" style="1236" customWidth="1"/>
    <col min="282" max="282" width="81.85546875" style="1236" customWidth="1"/>
    <col min="283" max="283" width="12.7109375" style="1236" customWidth="1"/>
    <col min="284" max="284" width="12.42578125" style="1236" customWidth="1"/>
    <col min="285" max="285" width="14.5703125" style="1236" customWidth="1"/>
    <col min="286" max="286" width="12.28515625" style="1236" customWidth="1"/>
    <col min="287" max="287" width="38.140625" style="1236" customWidth="1"/>
    <col min="288" max="288" width="46.85546875" style="1236" customWidth="1"/>
    <col min="289" max="291" width="12.7109375" style="1236" customWidth="1"/>
    <col min="292" max="292" width="9.28515625" style="1236" customWidth="1"/>
    <col min="293" max="293" width="13.5703125" style="1236" customWidth="1"/>
    <col min="294" max="294" width="10.28515625" style="1236" customWidth="1"/>
    <col min="295" max="295" width="12.85546875" style="1236" customWidth="1"/>
    <col min="296" max="296" width="9.140625" style="1236" customWidth="1"/>
    <col min="297" max="297" width="9.7109375" style="1236" customWidth="1"/>
    <col min="298" max="298" width="9.28515625" style="1236" customWidth="1"/>
    <col min="299" max="299" width="9.42578125" style="1236" customWidth="1"/>
    <col min="300" max="300" width="10.5703125" style="1236" customWidth="1"/>
    <col min="301" max="301" width="12.42578125" style="1236" customWidth="1"/>
    <col min="302" max="302" width="14.5703125" style="1236" customWidth="1"/>
    <col min="303" max="303" width="12.28515625" style="1236" customWidth="1"/>
    <col min="304" max="304" width="25.85546875" style="1236" customWidth="1"/>
    <col min="305" max="536" width="0.85546875" style="1236"/>
    <col min="537" max="537" width="9.85546875" style="1236" customWidth="1"/>
    <col min="538" max="538" width="81.85546875" style="1236" customWidth="1"/>
    <col min="539" max="539" width="12.7109375" style="1236" customWidth="1"/>
    <col min="540" max="540" width="12.42578125" style="1236" customWidth="1"/>
    <col min="541" max="541" width="14.5703125" style="1236" customWidth="1"/>
    <col min="542" max="542" width="12.28515625" style="1236" customWidth="1"/>
    <col min="543" max="543" width="38.140625" style="1236" customWidth="1"/>
    <col min="544" max="544" width="46.85546875" style="1236" customWidth="1"/>
    <col min="545" max="547" width="12.7109375" style="1236" customWidth="1"/>
    <col min="548" max="548" width="9.28515625" style="1236" customWidth="1"/>
    <col min="549" max="549" width="13.5703125" style="1236" customWidth="1"/>
    <col min="550" max="550" width="10.28515625" style="1236" customWidth="1"/>
    <col min="551" max="551" width="12.85546875" style="1236" customWidth="1"/>
    <col min="552" max="552" width="9.140625" style="1236" customWidth="1"/>
    <col min="553" max="553" width="9.7109375" style="1236" customWidth="1"/>
    <col min="554" max="554" width="9.28515625" style="1236" customWidth="1"/>
    <col min="555" max="555" width="9.42578125" style="1236" customWidth="1"/>
    <col min="556" max="556" width="10.5703125" style="1236" customWidth="1"/>
    <col min="557" max="557" width="12.42578125" style="1236" customWidth="1"/>
    <col min="558" max="558" width="14.5703125" style="1236" customWidth="1"/>
    <col min="559" max="559" width="12.28515625" style="1236" customWidth="1"/>
    <col min="560" max="560" width="25.85546875" style="1236" customWidth="1"/>
    <col min="561" max="792" width="0.85546875" style="1236"/>
    <col min="793" max="793" width="9.85546875" style="1236" customWidth="1"/>
    <col min="794" max="794" width="81.85546875" style="1236" customWidth="1"/>
    <col min="795" max="795" width="12.7109375" style="1236" customWidth="1"/>
    <col min="796" max="796" width="12.42578125" style="1236" customWidth="1"/>
    <col min="797" max="797" width="14.5703125" style="1236" customWidth="1"/>
    <col min="798" max="798" width="12.28515625" style="1236" customWidth="1"/>
    <col min="799" max="799" width="38.140625" style="1236" customWidth="1"/>
    <col min="800" max="800" width="46.85546875" style="1236" customWidth="1"/>
    <col min="801" max="803" width="12.7109375" style="1236" customWidth="1"/>
    <col min="804" max="804" width="9.28515625" style="1236" customWidth="1"/>
    <col min="805" max="805" width="13.5703125" style="1236" customWidth="1"/>
    <col min="806" max="806" width="10.28515625" style="1236" customWidth="1"/>
    <col min="807" max="807" width="12.85546875" style="1236" customWidth="1"/>
    <col min="808" max="808" width="9.140625" style="1236" customWidth="1"/>
    <col min="809" max="809" width="9.7109375" style="1236" customWidth="1"/>
    <col min="810" max="810" width="9.28515625" style="1236" customWidth="1"/>
    <col min="811" max="811" width="9.42578125" style="1236" customWidth="1"/>
    <col min="812" max="812" width="10.5703125" style="1236" customWidth="1"/>
    <col min="813" max="813" width="12.42578125" style="1236" customWidth="1"/>
    <col min="814" max="814" width="14.5703125" style="1236" customWidth="1"/>
    <col min="815" max="815" width="12.28515625" style="1236" customWidth="1"/>
    <col min="816" max="816" width="25.85546875" style="1236" customWidth="1"/>
    <col min="817" max="1048" width="0.85546875" style="1236"/>
    <col min="1049" max="1049" width="9.85546875" style="1236" customWidth="1"/>
    <col min="1050" max="1050" width="81.85546875" style="1236" customWidth="1"/>
    <col min="1051" max="1051" width="12.7109375" style="1236" customWidth="1"/>
    <col min="1052" max="1052" width="12.42578125" style="1236" customWidth="1"/>
    <col min="1053" max="1053" width="14.5703125" style="1236" customWidth="1"/>
    <col min="1054" max="1054" width="12.28515625" style="1236" customWidth="1"/>
    <col min="1055" max="1055" width="38.140625" style="1236" customWidth="1"/>
    <col min="1056" max="1056" width="46.85546875" style="1236" customWidth="1"/>
    <col min="1057" max="1059" width="12.7109375" style="1236" customWidth="1"/>
    <col min="1060" max="1060" width="9.28515625" style="1236" customWidth="1"/>
    <col min="1061" max="1061" width="13.5703125" style="1236" customWidth="1"/>
    <col min="1062" max="1062" width="10.28515625" style="1236" customWidth="1"/>
    <col min="1063" max="1063" width="12.85546875" style="1236" customWidth="1"/>
    <col min="1064" max="1064" width="9.140625" style="1236" customWidth="1"/>
    <col min="1065" max="1065" width="9.7109375" style="1236" customWidth="1"/>
    <col min="1066" max="1066" width="9.28515625" style="1236" customWidth="1"/>
    <col min="1067" max="1067" width="9.42578125" style="1236" customWidth="1"/>
    <col min="1068" max="1068" width="10.5703125" style="1236" customWidth="1"/>
    <col min="1069" max="1069" width="12.42578125" style="1236" customWidth="1"/>
    <col min="1070" max="1070" width="14.5703125" style="1236" customWidth="1"/>
    <col min="1071" max="1071" width="12.28515625" style="1236" customWidth="1"/>
    <col min="1072" max="1072" width="25.85546875" style="1236" customWidth="1"/>
    <col min="1073" max="1304" width="0.85546875" style="1236"/>
    <col min="1305" max="1305" width="9.85546875" style="1236" customWidth="1"/>
    <col min="1306" max="1306" width="81.85546875" style="1236" customWidth="1"/>
    <col min="1307" max="1307" width="12.7109375" style="1236" customWidth="1"/>
    <col min="1308" max="1308" width="12.42578125" style="1236" customWidth="1"/>
    <col min="1309" max="1309" width="14.5703125" style="1236" customWidth="1"/>
    <col min="1310" max="1310" width="12.28515625" style="1236" customWidth="1"/>
    <col min="1311" max="1311" width="38.140625" style="1236" customWidth="1"/>
    <col min="1312" max="1312" width="46.85546875" style="1236" customWidth="1"/>
    <col min="1313" max="1315" width="12.7109375" style="1236" customWidth="1"/>
    <col min="1316" max="1316" width="9.28515625" style="1236" customWidth="1"/>
    <col min="1317" max="1317" width="13.5703125" style="1236" customWidth="1"/>
    <col min="1318" max="1318" width="10.28515625" style="1236" customWidth="1"/>
    <col min="1319" max="1319" width="12.85546875" style="1236" customWidth="1"/>
    <col min="1320" max="1320" width="9.140625" style="1236" customWidth="1"/>
    <col min="1321" max="1321" width="9.7109375" style="1236" customWidth="1"/>
    <col min="1322" max="1322" width="9.28515625" style="1236" customWidth="1"/>
    <col min="1323" max="1323" width="9.42578125" style="1236" customWidth="1"/>
    <col min="1324" max="1324" width="10.5703125" style="1236" customWidth="1"/>
    <col min="1325" max="1325" width="12.42578125" style="1236" customWidth="1"/>
    <col min="1326" max="1326" width="14.5703125" style="1236" customWidth="1"/>
    <col min="1327" max="1327" width="12.28515625" style="1236" customWidth="1"/>
    <col min="1328" max="1328" width="25.85546875" style="1236" customWidth="1"/>
    <col min="1329" max="1560" width="0.85546875" style="1236"/>
    <col min="1561" max="1561" width="9.85546875" style="1236" customWidth="1"/>
    <col min="1562" max="1562" width="81.85546875" style="1236" customWidth="1"/>
    <col min="1563" max="1563" width="12.7109375" style="1236" customWidth="1"/>
    <col min="1564" max="1564" width="12.42578125" style="1236" customWidth="1"/>
    <col min="1565" max="1565" width="14.5703125" style="1236" customWidth="1"/>
    <col min="1566" max="1566" width="12.28515625" style="1236" customWidth="1"/>
    <col min="1567" max="1567" width="38.140625" style="1236" customWidth="1"/>
    <col min="1568" max="1568" width="46.85546875" style="1236" customWidth="1"/>
    <col min="1569" max="1571" width="12.7109375" style="1236" customWidth="1"/>
    <col min="1572" max="1572" width="9.28515625" style="1236" customWidth="1"/>
    <col min="1573" max="1573" width="13.5703125" style="1236" customWidth="1"/>
    <col min="1574" max="1574" width="10.28515625" style="1236" customWidth="1"/>
    <col min="1575" max="1575" width="12.85546875" style="1236" customWidth="1"/>
    <col min="1576" max="1576" width="9.140625" style="1236" customWidth="1"/>
    <col min="1577" max="1577" width="9.7109375" style="1236" customWidth="1"/>
    <col min="1578" max="1578" width="9.28515625" style="1236" customWidth="1"/>
    <col min="1579" max="1579" width="9.42578125" style="1236" customWidth="1"/>
    <col min="1580" max="1580" width="10.5703125" style="1236" customWidth="1"/>
    <col min="1581" max="1581" width="12.42578125" style="1236" customWidth="1"/>
    <col min="1582" max="1582" width="14.5703125" style="1236" customWidth="1"/>
    <col min="1583" max="1583" width="12.28515625" style="1236" customWidth="1"/>
    <col min="1584" max="1584" width="25.85546875" style="1236" customWidth="1"/>
    <col min="1585" max="1816" width="0.85546875" style="1236"/>
    <col min="1817" max="1817" width="9.85546875" style="1236" customWidth="1"/>
    <col min="1818" max="1818" width="81.85546875" style="1236" customWidth="1"/>
    <col min="1819" max="1819" width="12.7109375" style="1236" customWidth="1"/>
    <col min="1820" max="1820" width="12.42578125" style="1236" customWidth="1"/>
    <col min="1821" max="1821" width="14.5703125" style="1236" customWidth="1"/>
    <col min="1822" max="1822" width="12.28515625" style="1236" customWidth="1"/>
    <col min="1823" max="1823" width="38.140625" style="1236" customWidth="1"/>
    <col min="1824" max="1824" width="46.85546875" style="1236" customWidth="1"/>
    <col min="1825" max="1827" width="12.7109375" style="1236" customWidth="1"/>
    <col min="1828" max="1828" width="9.28515625" style="1236" customWidth="1"/>
    <col min="1829" max="1829" width="13.5703125" style="1236" customWidth="1"/>
    <col min="1830" max="1830" width="10.28515625" style="1236" customWidth="1"/>
    <col min="1831" max="1831" width="12.85546875" style="1236" customWidth="1"/>
    <col min="1832" max="1832" width="9.140625" style="1236" customWidth="1"/>
    <col min="1833" max="1833" width="9.7109375" style="1236" customWidth="1"/>
    <col min="1834" max="1834" width="9.28515625" style="1236" customWidth="1"/>
    <col min="1835" max="1835" width="9.42578125" style="1236" customWidth="1"/>
    <col min="1836" max="1836" width="10.5703125" style="1236" customWidth="1"/>
    <col min="1837" max="1837" width="12.42578125" style="1236" customWidth="1"/>
    <col min="1838" max="1838" width="14.5703125" style="1236" customWidth="1"/>
    <col min="1839" max="1839" width="12.28515625" style="1236" customWidth="1"/>
    <col min="1840" max="1840" width="25.85546875" style="1236" customWidth="1"/>
    <col min="1841" max="2072" width="0.85546875" style="1236"/>
    <col min="2073" max="2073" width="9.85546875" style="1236" customWidth="1"/>
    <col min="2074" max="2074" width="81.85546875" style="1236" customWidth="1"/>
    <col min="2075" max="2075" width="12.7109375" style="1236" customWidth="1"/>
    <col min="2076" max="2076" width="12.42578125" style="1236" customWidth="1"/>
    <col min="2077" max="2077" width="14.5703125" style="1236" customWidth="1"/>
    <col min="2078" max="2078" width="12.28515625" style="1236" customWidth="1"/>
    <col min="2079" max="2079" width="38.140625" style="1236" customWidth="1"/>
    <col min="2080" max="2080" width="46.85546875" style="1236" customWidth="1"/>
    <col min="2081" max="2083" width="12.7109375" style="1236" customWidth="1"/>
    <col min="2084" max="2084" width="9.28515625" style="1236" customWidth="1"/>
    <col min="2085" max="2085" width="13.5703125" style="1236" customWidth="1"/>
    <col min="2086" max="2086" width="10.28515625" style="1236" customWidth="1"/>
    <col min="2087" max="2087" width="12.85546875" style="1236" customWidth="1"/>
    <col min="2088" max="2088" width="9.140625" style="1236" customWidth="1"/>
    <col min="2089" max="2089" width="9.7109375" style="1236" customWidth="1"/>
    <col min="2090" max="2090" width="9.28515625" style="1236" customWidth="1"/>
    <col min="2091" max="2091" width="9.42578125" style="1236" customWidth="1"/>
    <col min="2092" max="2092" width="10.5703125" style="1236" customWidth="1"/>
    <col min="2093" max="2093" width="12.42578125" style="1236" customWidth="1"/>
    <col min="2094" max="2094" width="14.5703125" style="1236" customWidth="1"/>
    <col min="2095" max="2095" width="12.28515625" style="1236" customWidth="1"/>
    <col min="2096" max="2096" width="25.85546875" style="1236" customWidth="1"/>
    <col min="2097" max="2328" width="0.85546875" style="1236"/>
    <col min="2329" max="2329" width="9.85546875" style="1236" customWidth="1"/>
    <col min="2330" max="2330" width="81.85546875" style="1236" customWidth="1"/>
    <col min="2331" max="2331" width="12.7109375" style="1236" customWidth="1"/>
    <col min="2332" max="2332" width="12.42578125" style="1236" customWidth="1"/>
    <col min="2333" max="2333" width="14.5703125" style="1236" customWidth="1"/>
    <col min="2334" max="2334" width="12.28515625" style="1236" customWidth="1"/>
    <col min="2335" max="2335" width="38.140625" style="1236" customWidth="1"/>
    <col min="2336" max="2336" width="46.85546875" style="1236" customWidth="1"/>
    <col min="2337" max="2339" width="12.7109375" style="1236" customWidth="1"/>
    <col min="2340" max="2340" width="9.28515625" style="1236" customWidth="1"/>
    <col min="2341" max="2341" width="13.5703125" style="1236" customWidth="1"/>
    <col min="2342" max="2342" width="10.28515625" style="1236" customWidth="1"/>
    <col min="2343" max="2343" width="12.85546875" style="1236" customWidth="1"/>
    <col min="2344" max="2344" width="9.140625" style="1236" customWidth="1"/>
    <col min="2345" max="2345" width="9.7109375" style="1236" customWidth="1"/>
    <col min="2346" max="2346" width="9.28515625" style="1236" customWidth="1"/>
    <col min="2347" max="2347" width="9.42578125" style="1236" customWidth="1"/>
    <col min="2348" max="2348" width="10.5703125" style="1236" customWidth="1"/>
    <col min="2349" max="2349" width="12.42578125" style="1236" customWidth="1"/>
    <col min="2350" max="2350" width="14.5703125" style="1236" customWidth="1"/>
    <col min="2351" max="2351" width="12.28515625" style="1236" customWidth="1"/>
    <col min="2352" max="2352" width="25.85546875" style="1236" customWidth="1"/>
    <col min="2353" max="2584" width="0.85546875" style="1236"/>
    <col min="2585" max="2585" width="9.85546875" style="1236" customWidth="1"/>
    <col min="2586" max="2586" width="81.85546875" style="1236" customWidth="1"/>
    <col min="2587" max="2587" width="12.7109375" style="1236" customWidth="1"/>
    <col min="2588" max="2588" width="12.42578125" style="1236" customWidth="1"/>
    <col min="2589" max="2589" width="14.5703125" style="1236" customWidth="1"/>
    <col min="2590" max="2590" width="12.28515625" style="1236" customWidth="1"/>
    <col min="2591" max="2591" width="38.140625" style="1236" customWidth="1"/>
    <col min="2592" max="2592" width="46.85546875" style="1236" customWidth="1"/>
    <col min="2593" max="2595" width="12.7109375" style="1236" customWidth="1"/>
    <col min="2596" max="2596" width="9.28515625" style="1236" customWidth="1"/>
    <col min="2597" max="2597" width="13.5703125" style="1236" customWidth="1"/>
    <col min="2598" max="2598" width="10.28515625" style="1236" customWidth="1"/>
    <col min="2599" max="2599" width="12.85546875" style="1236" customWidth="1"/>
    <col min="2600" max="2600" width="9.140625" style="1236" customWidth="1"/>
    <col min="2601" max="2601" width="9.7109375" style="1236" customWidth="1"/>
    <col min="2602" max="2602" width="9.28515625" style="1236" customWidth="1"/>
    <col min="2603" max="2603" width="9.42578125" style="1236" customWidth="1"/>
    <col min="2604" max="2604" width="10.5703125" style="1236" customWidth="1"/>
    <col min="2605" max="2605" width="12.42578125" style="1236" customWidth="1"/>
    <col min="2606" max="2606" width="14.5703125" style="1236" customWidth="1"/>
    <col min="2607" max="2607" width="12.28515625" style="1236" customWidth="1"/>
    <col min="2608" max="2608" width="25.85546875" style="1236" customWidth="1"/>
    <col min="2609" max="2840" width="0.85546875" style="1236"/>
    <col min="2841" max="2841" width="9.85546875" style="1236" customWidth="1"/>
    <col min="2842" max="2842" width="81.85546875" style="1236" customWidth="1"/>
    <col min="2843" max="2843" width="12.7109375" style="1236" customWidth="1"/>
    <col min="2844" max="2844" width="12.42578125" style="1236" customWidth="1"/>
    <col min="2845" max="2845" width="14.5703125" style="1236" customWidth="1"/>
    <col min="2846" max="2846" width="12.28515625" style="1236" customWidth="1"/>
    <col min="2847" max="2847" width="38.140625" style="1236" customWidth="1"/>
    <col min="2848" max="2848" width="46.85546875" style="1236" customWidth="1"/>
    <col min="2849" max="2851" width="12.7109375" style="1236" customWidth="1"/>
    <col min="2852" max="2852" width="9.28515625" style="1236" customWidth="1"/>
    <col min="2853" max="2853" width="13.5703125" style="1236" customWidth="1"/>
    <col min="2854" max="2854" width="10.28515625" style="1236" customWidth="1"/>
    <col min="2855" max="2855" width="12.85546875" style="1236" customWidth="1"/>
    <col min="2856" max="2856" width="9.140625" style="1236" customWidth="1"/>
    <col min="2857" max="2857" width="9.7109375" style="1236" customWidth="1"/>
    <col min="2858" max="2858" width="9.28515625" style="1236" customWidth="1"/>
    <col min="2859" max="2859" width="9.42578125" style="1236" customWidth="1"/>
    <col min="2860" max="2860" width="10.5703125" style="1236" customWidth="1"/>
    <col min="2861" max="2861" width="12.42578125" style="1236" customWidth="1"/>
    <col min="2862" max="2862" width="14.5703125" style="1236" customWidth="1"/>
    <col min="2863" max="2863" width="12.28515625" style="1236" customWidth="1"/>
    <col min="2864" max="2864" width="25.85546875" style="1236" customWidth="1"/>
    <col min="2865" max="3096" width="0.85546875" style="1236"/>
    <col min="3097" max="3097" width="9.85546875" style="1236" customWidth="1"/>
    <col min="3098" max="3098" width="81.85546875" style="1236" customWidth="1"/>
    <col min="3099" max="3099" width="12.7109375" style="1236" customWidth="1"/>
    <col min="3100" max="3100" width="12.42578125" style="1236" customWidth="1"/>
    <col min="3101" max="3101" width="14.5703125" style="1236" customWidth="1"/>
    <col min="3102" max="3102" width="12.28515625" style="1236" customWidth="1"/>
    <col min="3103" max="3103" width="38.140625" style="1236" customWidth="1"/>
    <col min="3104" max="3104" width="46.85546875" style="1236" customWidth="1"/>
    <col min="3105" max="3107" width="12.7109375" style="1236" customWidth="1"/>
    <col min="3108" max="3108" width="9.28515625" style="1236" customWidth="1"/>
    <col min="3109" max="3109" width="13.5703125" style="1236" customWidth="1"/>
    <col min="3110" max="3110" width="10.28515625" style="1236" customWidth="1"/>
    <col min="3111" max="3111" width="12.85546875" style="1236" customWidth="1"/>
    <col min="3112" max="3112" width="9.140625" style="1236" customWidth="1"/>
    <col min="3113" max="3113" width="9.7109375" style="1236" customWidth="1"/>
    <col min="3114" max="3114" width="9.28515625" style="1236" customWidth="1"/>
    <col min="3115" max="3115" width="9.42578125" style="1236" customWidth="1"/>
    <col min="3116" max="3116" width="10.5703125" style="1236" customWidth="1"/>
    <col min="3117" max="3117" width="12.42578125" style="1236" customWidth="1"/>
    <col min="3118" max="3118" width="14.5703125" style="1236" customWidth="1"/>
    <col min="3119" max="3119" width="12.28515625" style="1236" customWidth="1"/>
    <col min="3120" max="3120" width="25.85546875" style="1236" customWidth="1"/>
    <col min="3121" max="3352" width="0.85546875" style="1236"/>
    <col min="3353" max="3353" width="9.85546875" style="1236" customWidth="1"/>
    <col min="3354" max="3354" width="81.85546875" style="1236" customWidth="1"/>
    <col min="3355" max="3355" width="12.7109375" style="1236" customWidth="1"/>
    <col min="3356" max="3356" width="12.42578125" style="1236" customWidth="1"/>
    <col min="3357" max="3357" width="14.5703125" style="1236" customWidth="1"/>
    <col min="3358" max="3358" width="12.28515625" style="1236" customWidth="1"/>
    <col min="3359" max="3359" width="38.140625" style="1236" customWidth="1"/>
    <col min="3360" max="3360" width="46.85546875" style="1236" customWidth="1"/>
    <col min="3361" max="3363" width="12.7109375" style="1236" customWidth="1"/>
    <col min="3364" max="3364" width="9.28515625" style="1236" customWidth="1"/>
    <col min="3365" max="3365" width="13.5703125" style="1236" customWidth="1"/>
    <col min="3366" max="3366" width="10.28515625" style="1236" customWidth="1"/>
    <col min="3367" max="3367" width="12.85546875" style="1236" customWidth="1"/>
    <col min="3368" max="3368" width="9.140625" style="1236" customWidth="1"/>
    <col min="3369" max="3369" width="9.7109375" style="1236" customWidth="1"/>
    <col min="3370" max="3370" width="9.28515625" style="1236" customWidth="1"/>
    <col min="3371" max="3371" width="9.42578125" style="1236" customWidth="1"/>
    <col min="3372" max="3372" width="10.5703125" style="1236" customWidth="1"/>
    <col min="3373" max="3373" width="12.42578125" style="1236" customWidth="1"/>
    <col min="3374" max="3374" width="14.5703125" style="1236" customWidth="1"/>
    <col min="3375" max="3375" width="12.28515625" style="1236" customWidth="1"/>
    <col min="3376" max="3376" width="25.85546875" style="1236" customWidth="1"/>
    <col min="3377" max="3608" width="0.85546875" style="1236"/>
    <col min="3609" max="3609" width="9.85546875" style="1236" customWidth="1"/>
    <col min="3610" max="3610" width="81.85546875" style="1236" customWidth="1"/>
    <col min="3611" max="3611" width="12.7109375" style="1236" customWidth="1"/>
    <col min="3612" max="3612" width="12.42578125" style="1236" customWidth="1"/>
    <col min="3613" max="3613" width="14.5703125" style="1236" customWidth="1"/>
    <col min="3614" max="3614" width="12.28515625" style="1236" customWidth="1"/>
    <col min="3615" max="3615" width="38.140625" style="1236" customWidth="1"/>
    <col min="3616" max="3616" width="46.85546875" style="1236" customWidth="1"/>
    <col min="3617" max="3619" width="12.7109375" style="1236" customWidth="1"/>
    <col min="3620" max="3620" width="9.28515625" style="1236" customWidth="1"/>
    <col min="3621" max="3621" width="13.5703125" style="1236" customWidth="1"/>
    <col min="3622" max="3622" width="10.28515625" style="1236" customWidth="1"/>
    <col min="3623" max="3623" width="12.85546875" style="1236" customWidth="1"/>
    <col min="3624" max="3624" width="9.140625" style="1236" customWidth="1"/>
    <col min="3625" max="3625" width="9.7109375" style="1236" customWidth="1"/>
    <col min="3626" max="3626" width="9.28515625" style="1236" customWidth="1"/>
    <col min="3627" max="3627" width="9.42578125" style="1236" customWidth="1"/>
    <col min="3628" max="3628" width="10.5703125" style="1236" customWidth="1"/>
    <col min="3629" max="3629" width="12.42578125" style="1236" customWidth="1"/>
    <col min="3630" max="3630" width="14.5703125" style="1236" customWidth="1"/>
    <col min="3631" max="3631" width="12.28515625" style="1236" customWidth="1"/>
    <col min="3632" max="3632" width="25.85546875" style="1236" customWidth="1"/>
    <col min="3633" max="3864" width="0.85546875" style="1236"/>
    <col min="3865" max="3865" width="9.85546875" style="1236" customWidth="1"/>
    <col min="3866" max="3866" width="81.85546875" style="1236" customWidth="1"/>
    <col min="3867" max="3867" width="12.7109375" style="1236" customWidth="1"/>
    <col min="3868" max="3868" width="12.42578125" style="1236" customWidth="1"/>
    <col min="3869" max="3869" width="14.5703125" style="1236" customWidth="1"/>
    <col min="3870" max="3870" width="12.28515625" style="1236" customWidth="1"/>
    <col min="3871" max="3871" width="38.140625" style="1236" customWidth="1"/>
    <col min="3872" max="3872" width="46.85546875" style="1236" customWidth="1"/>
    <col min="3873" max="3875" width="12.7109375" style="1236" customWidth="1"/>
    <col min="3876" max="3876" width="9.28515625" style="1236" customWidth="1"/>
    <col min="3877" max="3877" width="13.5703125" style="1236" customWidth="1"/>
    <col min="3878" max="3878" width="10.28515625" style="1236" customWidth="1"/>
    <col min="3879" max="3879" width="12.85546875" style="1236" customWidth="1"/>
    <col min="3880" max="3880" width="9.140625" style="1236" customWidth="1"/>
    <col min="3881" max="3881" width="9.7109375" style="1236" customWidth="1"/>
    <col min="3882" max="3882" width="9.28515625" style="1236" customWidth="1"/>
    <col min="3883" max="3883" width="9.42578125" style="1236" customWidth="1"/>
    <col min="3884" max="3884" width="10.5703125" style="1236" customWidth="1"/>
    <col min="3885" max="3885" width="12.42578125" style="1236" customWidth="1"/>
    <col min="3886" max="3886" width="14.5703125" style="1236" customWidth="1"/>
    <col min="3887" max="3887" width="12.28515625" style="1236" customWidth="1"/>
    <col min="3888" max="3888" width="25.85546875" style="1236" customWidth="1"/>
    <col min="3889" max="4120" width="0.85546875" style="1236"/>
    <col min="4121" max="4121" width="9.85546875" style="1236" customWidth="1"/>
    <col min="4122" max="4122" width="81.85546875" style="1236" customWidth="1"/>
    <col min="4123" max="4123" width="12.7109375" style="1236" customWidth="1"/>
    <col min="4124" max="4124" width="12.42578125" style="1236" customWidth="1"/>
    <col min="4125" max="4125" width="14.5703125" style="1236" customWidth="1"/>
    <col min="4126" max="4126" width="12.28515625" style="1236" customWidth="1"/>
    <col min="4127" max="4127" width="38.140625" style="1236" customWidth="1"/>
    <col min="4128" max="4128" width="46.85546875" style="1236" customWidth="1"/>
    <col min="4129" max="4131" width="12.7109375" style="1236" customWidth="1"/>
    <col min="4132" max="4132" width="9.28515625" style="1236" customWidth="1"/>
    <col min="4133" max="4133" width="13.5703125" style="1236" customWidth="1"/>
    <col min="4134" max="4134" width="10.28515625" style="1236" customWidth="1"/>
    <col min="4135" max="4135" width="12.85546875" style="1236" customWidth="1"/>
    <col min="4136" max="4136" width="9.140625" style="1236" customWidth="1"/>
    <col min="4137" max="4137" width="9.7109375" style="1236" customWidth="1"/>
    <col min="4138" max="4138" width="9.28515625" style="1236" customWidth="1"/>
    <col min="4139" max="4139" width="9.42578125" style="1236" customWidth="1"/>
    <col min="4140" max="4140" width="10.5703125" style="1236" customWidth="1"/>
    <col min="4141" max="4141" width="12.42578125" style="1236" customWidth="1"/>
    <col min="4142" max="4142" width="14.5703125" style="1236" customWidth="1"/>
    <col min="4143" max="4143" width="12.28515625" style="1236" customWidth="1"/>
    <col min="4144" max="4144" width="25.85546875" style="1236" customWidth="1"/>
    <col min="4145" max="4376" width="0.85546875" style="1236"/>
    <col min="4377" max="4377" width="9.85546875" style="1236" customWidth="1"/>
    <col min="4378" max="4378" width="81.85546875" style="1236" customWidth="1"/>
    <col min="4379" max="4379" width="12.7109375" style="1236" customWidth="1"/>
    <col min="4380" max="4380" width="12.42578125" style="1236" customWidth="1"/>
    <col min="4381" max="4381" width="14.5703125" style="1236" customWidth="1"/>
    <col min="4382" max="4382" width="12.28515625" style="1236" customWidth="1"/>
    <col min="4383" max="4383" width="38.140625" style="1236" customWidth="1"/>
    <col min="4384" max="4384" width="46.85546875" style="1236" customWidth="1"/>
    <col min="4385" max="4387" width="12.7109375" style="1236" customWidth="1"/>
    <col min="4388" max="4388" width="9.28515625" style="1236" customWidth="1"/>
    <col min="4389" max="4389" width="13.5703125" style="1236" customWidth="1"/>
    <col min="4390" max="4390" width="10.28515625" style="1236" customWidth="1"/>
    <col min="4391" max="4391" width="12.85546875" style="1236" customWidth="1"/>
    <col min="4392" max="4392" width="9.140625" style="1236" customWidth="1"/>
    <col min="4393" max="4393" width="9.7109375" style="1236" customWidth="1"/>
    <col min="4394" max="4394" width="9.28515625" style="1236" customWidth="1"/>
    <col min="4395" max="4395" width="9.42578125" style="1236" customWidth="1"/>
    <col min="4396" max="4396" width="10.5703125" style="1236" customWidth="1"/>
    <col min="4397" max="4397" width="12.42578125" style="1236" customWidth="1"/>
    <col min="4398" max="4398" width="14.5703125" style="1236" customWidth="1"/>
    <col min="4399" max="4399" width="12.28515625" style="1236" customWidth="1"/>
    <col min="4400" max="4400" width="25.85546875" style="1236" customWidth="1"/>
    <col min="4401" max="4632" width="0.85546875" style="1236"/>
    <col min="4633" max="4633" width="9.85546875" style="1236" customWidth="1"/>
    <col min="4634" max="4634" width="81.85546875" style="1236" customWidth="1"/>
    <col min="4635" max="4635" width="12.7109375" style="1236" customWidth="1"/>
    <col min="4636" max="4636" width="12.42578125" style="1236" customWidth="1"/>
    <col min="4637" max="4637" width="14.5703125" style="1236" customWidth="1"/>
    <col min="4638" max="4638" width="12.28515625" style="1236" customWidth="1"/>
    <col min="4639" max="4639" width="38.140625" style="1236" customWidth="1"/>
    <col min="4640" max="4640" width="46.85546875" style="1236" customWidth="1"/>
    <col min="4641" max="4643" width="12.7109375" style="1236" customWidth="1"/>
    <col min="4644" max="4644" width="9.28515625" style="1236" customWidth="1"/>
    <col min="4645" max="4645" width="13.5703125" style="1236" customWidth="1"/>
    <col min="4646" max="4646" width="10.28515625" style="1236" customWidth="1"/>
    <col min="4647" max="4647" width="12.85546875" style="1236" customWidth="1"/>
    <col min="4648" max="4648" width="9.140625" style="1236" customWidth="1"/>
    <col min="4649" max="4649" width="9.7109375" style="1236" customWidth="1"/>
    <col min="4650" max="4650" width="9.28515625" style="1236" customWidth="1"/>
    <col min="4651" max="4651" width="9.42578125" style="1236" customWidth="1"/>
    <col min="4652" max="4652" width="10.5703125" style="1236" customWidth="1"/>
    <col min="4653" max="4653" width="12.42578125" style="1236" customWidth="1"/>
    <col min="4654" max="4654" width="14.5703125" style="1236" customWidth="1"/>
    <col min="4655" max="4655" width="12.28515625" style="1236" customWidth="1"/>
    <col min="4656" max="4656" width="25.85546875" style="1236" customWidth="1"/>
    <col min="4657" max="4888" width="0.85546875" style="1236"/>
    <col min="4889" max="4889" width="9.85546875" style="1236" customWidth="1"/>
    <col min="4890" max="4890" width="81.85546875" style="1236" customWidth="1"/>
    <col min="4891" max="4891" width="12.7109375" style="1236" customWidth="1"/>
    <col min="4892" max="4892" width="12.42578125" style="1236" customWidth="1"/>
    <col min="4893" max="4893" width="14.5703125" style="1236" customWidth="1"/>
    <col min="4894" max="4894" width="12.28515625" style="1236" customWidth="1"/>
    <col min="4895" max="4895" width="38.140625" style="1236" customWidth="1"/>
    <col min="4896" max="4896" width="46.85546875" style="1236" customWidth="1"/>
    <col min="4897" max="4899" width="12.7109375" style="1236" customWidth="1"/>
    <col min="4900" max="4900" width="9.28515625" style="1236" customWidth="1"/>
    <col min="4901" max="4901" width="13.5703125" style="1236" customWidth="1"/>
    <col min="4902" max="4902" width="10.28515625" style="1236" customWidth="1"/>
    <col min="4903" max="4903" width="12.85546875" style="1236" customWidth="1"/>
    <col min="4904" max="4904" width="9.140625" style="1236" customWidth="1"/>
    <col min="4905" max="4905" width="9.7109375" style="1236" customWidth="1"/>
    <col min="4906" max="4906" width="9.28515625" style="1236" customWidth="1"/>
    <col min="4907" max="4907" width="9.42578125" style="1236" customWidth="1"/>
    <col min="4908" max="4908" width="10.5703125" style="1236" customWidth="1"/>
    <col min="4909" max="4909" width="12.42578125" style="1236" customWidth="1"/>
    <col min="4910" max="4910" width="14.5703125" style="1236" customWidth="1"/>
    <col min="4911" max="4911" width="12.28515625" style="1236" customWidth="1"/>
    <col min="4912" max="4912" width="25.85546875" style="1236" customWidth="1"/>
    <col min="4913" max="5144" width="0.85546875" style="1236"/>
    <col min="5145" max="5145" width="9.85546875" style="1236" customWidth="1"/>
    <col min="5146" max="5146" width="81.85546875" style="1236" customWidth="1"/>
    <col min="5147" max="5147" width="12.7109375" style="1236" customWidth="1"/>
    <col min="5148" max="5148" width="12.42578125" style="1236" customWidth="1"/>
    <col min="5149" max="5149" width="14.5703125" style="1236" customWidth="1"/>
    <col min="5150" max="5150" width="12.28515625" style="1236" customWidth="1"/>
    <col min="5151" max="5151" width="38.140625" style="1236" customWidth="1"/>
    <col min="5152" max="5152" width="46.85546875" style="1236" customWidth="1"/>
    <col min="5153" max="5155" width="12.7109375" style="1236" customWidth="1"/>
    <col min="5156" max="5156" width="9.28515625" style="1236" customWidth="1"/>
    <col min="5157" max="5157" width="13.5703125" style="1236" customWidth="1"/>
    <col min="5158" max="5158" width="10.28515625" style="1236" customWidth="1"/>
    <col min="5159" max="5159" width="12.85546875" style="1236" customWidth="1"/>
    <col min="5160" max="5160" width="9.140625" style="1236" customWidth="1"/>
    <col min="5161" max="5161" width="9.7109375" style="1236" customWidth="1"/>
    <col min="5162" max="5162" width="9.28515625" style="1236" customWidth="1"/>
    <col min="5163" max="5163" width="9.42578125" style="1236" customWidth="1"/>
    <col min="5164" max="5164" width="10.5703125" style="1236" customWidth="1"/>
    <col min="5165" max="5165" width="12.42578125" style="1236" customWidth="1"/>
    <col min="5166" max="5166" width="14.5703125" style="1236" customWidth="1"/>
    <col min="5167" max="5167" width="12.28515625" style="1236" customWidth="1"/>
    <col min="5168" max="5168" width="25.85546875" style="1236" customWidth="1"/>
    <col min="5169" max="5400" width="0.85546875" style="1236"/>
    <col min="5401" max="5401" width="9.85546875" style="1236" customWidth="1"/>
    <col min="5402" max="5402" width="81.85546875" style="1236" customWidth="1"/>
    <col min="5403" max="5403" width="12.7109375" style="1236" customWidth="1"/>
    <col min="5404" max="5404" width="12.42578125" style="1236" customWidth="1"/>
    <col min="5405" max="5405" width="14.5703125" style="1236" customWidth="1"/>
    <col min="5406" max="5406" width="12.28515625" style="1236" customWidth="1"/>
    <col min="5407" max="5407" width="38.140625" style="1236" customWidth="1"/>
    <col min="5408" max="5408" width="46.85546875" style="1236" customWidth="1"/>
    <col min="5409" max="5411" width="12.7109375" style="1236" customWidth="1"/>
    <col min="5412" max="5412" width="9.28515625" style="1236" customWidth="1"/>
    <col min="5413" max="5413" width="13.5703125" style="1236" customWidth="1"/>
    <col min="5414" max="5414" width="10.28515625" style="1236" customWidth="1"/>
    <col min="5415" max="5415" width="12.85546875" style="1236" customWidth="1"/>
    <col min="5416" max="5416" width="9.140625" style="1236" customWidth="1"/>
    <col min="5417" max="5417" width="9.7109375" style="1236" customWidth="1"/>
    <col min="5418" max="5418" width="9.28515625" style="1236" customWidth="1"/>
    <col min="5419" max="5419" width="9.42578125" style="1236" customWidth="1"/>
    <col min="5420" max="5420" width="10.5703125" style="1236" customWidth="1"/>
    <col min="5421" max="5421" width="12.42578125" style="1236" customWidth="1"/>
    <col min="5422" max="5422" width="14.5703125" style="1236" customWidth="1"/>
    <col min="5423" max="5423" width="12.28515625" style="1236" customWidth="1"/>
    <col min="5424" max="5424" width="25.85546875" style="1236" customWidth="1"/>
    <col min="5425" max="5656" width="0.85546875" style="1236"/>
    <col min="5657" max="5657" width="9.85546875" style="1236" customWidth="1"/>
    <col min="5658" max="5658" width="81.85546875" style="1236" customWidth="1"/>
    <col min="5659" max="5659" width="12.7109375" style="1236" customWidth="1"/>
    <col min="5660" max="5660" width="12.42578125" style="1236" customWidth="1"/>
    <col min="5661" max="5661" width="14.5703125" style="1236" customWidth="1"/>
    <col min="5662" max="5662" width="12.28515625" style="1236" customWidth="1"/>
    <col min="5663" max="5663" width="38.140625" style="1236" customWidth="1"/>
    <col min="5664" max="5664" width="46.85546875" style="1236" customWidth="1"/>
    <col min="5665" max="5667" width="12.7109375" style="1236" customWidth="1"/>
    <col min="5668" max="5668" width="9.28515625" style="1236" customWidth="1"/>
    <col min="5669" max="5669" width="13.5703125" style="1236" customWidth="1"/>
    <col min="5670" max="5670" width="10.28515625" style="1236" customWidth="1"/>
    <col min="5671" max="5671" width="12.85546875" style="1236" customWidth="1"/>
    <col min="5672" max="5672" width="9.140625" style="1236" customWidth="1"/>
    <col min="5673" max="5673" width="9.7109375" style="1236" customWidth="1"/>
    <col min="5674" max="5674" width="9.28515625" style="1236" customWidth="1"/>
    <col min="5675" max="5675" width="9.42578125" style="1236" customWidth="1"/>
    <col min="5676" max="5676" width="10.5703125" style="1236" customWidth="1"/>
    <col min="5677" max="5677" width="12.42578125" style="1236" customWidth="1"/>
    <col min="5678" max="5678" width="14.5703125" style="1236" customWidth="1"/>
    <col min="5679" max="5679" width="12.28515625" style="1236" customWidth="1"/>
    <col min="5680" max="5680" width="25.85546875" style="1236" customWidth="1"/>
    <col min="5681" max="5912" width="0.85546875" style="1236"/>
    <col min="5913" max="5913" width="9.85546875" style="1236" customWidth="1"/>
    <col min="5914" max="5914" width="81.85546875" style="1236" customWidth="1"/>
    <col min="5915" max="5915" width="12.7109375" style="1236" customWidth="1"/>
    <col min="5916" max="5916" width="12.42578125" style="1236" customWidth="1"/>
    <col min="5917" max="5917" width="14.5703125" style="1236" customWidth="1"/>
    <col min="5918" max="5918" width="12.28515625" style="1236" customWidth="1"/>
    <col min="5919" max="5919" width="38.140625" style="1236" customWidth="1"/>
    <col min="5920" max="5920" width="46.85546875" style="1236" customWidth="1"/>
    <col min="5921" max="5923" width="12.7109375" style="1236" customWidth="1"/>
    <col min="5924" max="5924" width="9.28515625" style="1236" customWidth="1"/>
    <col min="5925" max="5925" width="13.5703125" style="1236" customWidth="1"/>
    <col min="5926" max="5926" width="10.28515625" style="1236" customWidth="1"/>
    <col min="5927" max="5927" width="12.85546875" style="1236" customWidth="1"/>
    <col min="5928" max="5928" width="9.140625" style="1236" customWidth="1"/>
    <col min="5929" max="5929" width="9.7109375" style="1236" customWidth="1"/>
    <col min="5930" max="5930" width="9.28515625" style="1236" customWidth="1"/>
    <col min="5931" max="5931" width="9.42578125" style="1236" customWidth="1"/>
    <col min="5932" max="5932" width="10.5703125" style="1236" customWidth="1"/>
    <col min="5933" max="5933" width="12.42578125" style="1236" customWidth="1"/>
    <col min="5934" max="5934" width="14.5703125" style="1236" customWidth="1"/>
    <col min="5935" max="5935" width="12.28515625" style="1236" customWidth="1"/>
    <col min="5936" max="5936" width="25.85546875" style="1236" customWidth="1"/>
    <col min="5937" max="6168" width="0.85546875" style="1236"/>
    <col min="6169" max="6169" width="9.85546875" style="1236" customWidth="1"/>
    <col min="6170" max="6170" width="81.85546875" style="1236" customWidth="1"/>
    <col min="6171" max="6171" width="12.7109375" style="1236" customWidth="1"/>
    <col min="6172" max="6172" width="12.42578125" style="1236" customWidth="1"/>
    <col min="6173" max="6173" width="14.5703125" style="1236" customWidth="1"/>
    <col min="6174" max="6174" width="12.28515625" style="1236" customWidth="1"/>
    <col min="6175" max="6175" width="38.140625" style="1236" customWidth="1"/>
    <col min="6176" max="6176" width="46.85546875" style="1236" customWidth="1"/>
    <col min="6177" max="6179" width="12.7109375" style="1236" customWidth="1"/>
    <col min="6180" max="6180" width="9.28515625" style="1236" customWidth="1"/>
    <col min="6181" max="6181" width="13.5703125" style="1236" customWidth="1"/>
    <col min="6182" max="6182" width="10.28515625" style="1236" customWidth="1"/>
    <col min="6183" max="6183" width="12.85546875" style="1236" customWidth="1"/>
    <col min="6184" max="6184" width="9.140625" style="1236" customWidth="1"/>
    <col min="6185" max="6185" width="9.7109375" style="1236" customWidth="1"/>
    <col min="6186" max="6186" width="9.28515625" style="1236" customWidth="1"/>
    <col min="6187" max="6187" width="9.42578125" style="1236" customWidth="1"/>
    <col min="6188" max="6188" width="10.5703125" style="1236" customWidth="1"/>
    <col min="6189" max="6189" width="12.42578125" style="1236" customWidth="1"/>
    <col min="6190" max="6190" width="14.5703125" style="1236" customWidth="1"/>
    <col min="6191" max="6191" width="12.28515625" style="1236" customWidth="1"/>
    <col min="6192" max="6192" width="25.85546875" style="1236" customWidth="1"/>
    <col min="6193" max="6424" width="0.85546875" style="1236"/>
    <col min="6425" max="6425" width="9.85546875" style="1236" customWidth="1"/>
    <col min="6426" max="6426" width="81.85546875" style="1236" customWidth="1"/>
    <col min="6427" max="6427" width="12.7109375" style="1236" customWidth="1"/>
    <col min="6428" max="6428" width="12.42578125" style="1236" customWidth="1"/>
    <col min="6429" max="6429" width="14.5703125" style="1236" customWidth="1"/>
    <col min="6430" max="6430" width="12.28515625" style="1236" customWidth="1"/>
    <col min="6431" max="6431" width="38.140625" style="1236" customWidth="1"/>
    <col min="6432" max="6432" width="46.85546875" style="1236" customWidth="1"/>
    <col min="6433" max="6435" width="12.7109375" style="1236" customWidth="1"/>
    <col min="6436" max="6436" width="9.28515625" style="1236" customWidth="1"/>
    <col min="6437" max="6437" width="13.5703125" style="1236" customWidth="1"/>
    <col min="6438" max="6438" width="10.28515625" style="1236" customWidth="1"/>
    <col min="6439" max="6439" width="12.85546875" style="1236" customWidth="1"/>
    <col min="6440" max="6440" width="9.140625" style="1236" customWidth="1"/>
    <col min="6441" max="6441" width="9.7109375" style="1236" customWidth="1"/>
    <col min="6442" max="6442" width="9.28515625" style="1236" customWidth="1"/>
    <col min="6443" max="6443" width="9.42578125" style="1236" customWidth="1"/>
    <col min="6444" max="6444" width="10.5703125" style="1236" customWidth="1"/>
    <col min="6445" max="6445" width="12.42578125" style="1236" customWidth="1"/>
    <col min="6446" max="6446" width="14.5703125" style="1236" customWidth="1"/>
    <col min="6447" max="6447" width="12.28515625" style="1236" customWidth="1"/>
    <col min="6448" max="6448" width="25.85546875" style="1236" customWidth="1"/>
    <col min="6449" max="6680" width="0.85546875" style="1236"/>
    <col min="6681" max="6681" width="9.85546875" style="1236" customWidth="1"/>
    <col min="6682" max="6682" width="81.85546875" style="1236" customWidth="1"/>
    <col min="6683" max="6683" width="12.7109375" style="1236" customWidth="1"/>
    <col min="6684" max="6684" width="12.42578125" style="1236" customWidth="1"/>
    <col min="6685" max="6685" width="14.5703125" style="1236" customWidth="1"/>
    <col min="6686" max="6686" width="12.28515625" style="1236" customWidth="1"/>
    <col min="6687" max="6687" width="38.140625" style="1236" customWidth="1"/>
    <col min="6688" max="6688" width="46.85546875" style="1236" customWidth="1"/>
    <col min="6689" max="6691" width="12.7109375" style="1236" customWidth="1"/>
    <col min="6692" max="6692" width="9.28515625" style="1236" customWidth="1"/>
    <col min="6693" max="6693" width="13.5703125" style="1236" customWidth="1"/>
    <col min="6694" max="6694" width="10.28515625" style="1236" customWidth="1"/>
    <col min="6695" max="6695" width="12.85546875" style="1236" customWidth="1"/>
    <col min="6696" max="6696" width="9.140625" style="1236" customWidth="1"/>
    <col min="6697" max="6697" width="9.7109375" style="1236" customWidth="1"/>
    <col min="6698" max="6698" width="9.28515625" style="1236" customWidth="1"/>
    <col min="6699" max="6699" width="9.42578125" style="1236" customWidth="1"/>
    <col min="6700" max="6700" width="10.5703125" style="1236" customWidth="1"/>
    <col min="6701" max="6701" width="12.42578125" style="1236" customWidth="1"/>
    <col min="6702" max="6702" width="14.5703125" style="1236" customWidth="1"/>
    <col min="6703" max="6703" width="12.28515625" style="1236" customWidth="1"/>
    <col min="6704" max="6704" width="25.85546875" style="1236" customWidth="1"/>
    <col min="6705" max="6936" width="0.85546875" style="1236"/>
    <col min="6937" max="6937" width="9.85546875" style="1236" customWidth="1"/>
    <col min="6938" max="6938" width="81.85546875" style="1236" customWidth="1"/>
    <col min="6939" max="6939" width="12.7109375" style="1236" customWidth="1"/>
    <col min="6940" max="6940" width="12.42578125" style="1236" customWidth="1"/>
    <col min="6941" max="6941" width="14.5703125" style="1236" customWidth="1"/>
    <col min="6942" max="6942" width="12.28515625" style="1236" customWidth="1"/>
    <col min="6943" max="6943" width="38.140625" style="1236" customWidth="1"/>
    <col min="6944" max="6944" width="46.85546875" style="1236" customWidth="1"/>
    <col min="6945" max="6947" width="12.7109375" style="1236" customWidth="1"/>
    <col min="6948" max="6948" width="9.28515625" style="1236" customWidth="1"/>
    <col min="6949" max="6949" width="13.5703125" style="1236" customWidth="1"/>
    <col min="6950" max="6950" width="10.28515625" style="1236" customWidth="1"/>
    <col min="6951" max="6951" width="12.85546875" style="1236" customWidth="1"/>
    <col min="6952" max="6952" width="9.140625" style="1236" customWidth="1"/>
    <col min="6953" max="6953" width="9.7109375" style="1236" customWidth="1"/>
    <col min="6954" max="6954" width="9.28515625" style="1236" customWidth="1"/>
    <col min="6955" max="6955" width="9.42578125" style="1236" customWidth="1"/>
    <col min="6956" max="6956" width="10.5703125" style="1236" customWidth="1"/>
    <col min="6957" max="6957" width="12.42578125" style="1236" customWidth="1"/>
    <col min="6958" max="6958" width="14.5703125" style="1236" customWidth="1"/>
    <col min="6959" max="6959" width="12.28515625" style="1236" customWidth="1"/>
    <col min="6960" max="6960" width="25.85546875" style="1236" customWidth="1"/>
    <col min="6961" max="7192" width="0.85546875" style="1236"/>
    <col min="7193" max="7193" width="9.85546875" style="1236" customWidth="1"/>
    <col min="7194" max="7194" width="81.85546875" style="1236" customWidth="1"/>
    <col min="7195" max="7195" width="12.7109375" style="1236" customWidth="1"/>
    <col min="7196" max="7196" width="12.42578125" style="1236" customWidth="1"/>
    <col min="7197" max="7197" width="14.5703125" style="1236" customWidth="1"/>
    <col min="7198" max="7198" width="12.28515625" style="1236" customWidth="1"/>
    <col min="7199" max="7199" width="38.140625" style="1236" customWidth="1"/>
    <col min="7200" max="7200" width="46.85546875" style="1236" customWidth="1"/>
    <col min="7201" max="7203" width="12.7109375" style="1236" customWidth="1"/>
    <col min="7204" max="7204" width="9.28515625" style="1236" customWidth="1"/>
    <col min="7205" max="7205" width="13.5703125" style="1236" customWidth="1"/>
    <col min="7206" max="7206" width="10.28515625" style="1236" customWidth="1"/>
    <col min="7207" max="7207" width="12.85546875" style="1236" customWidth="1"/>
    <col min="7208" max="7208" width="9.140625" style="1236" customWidth="1"/>
    <col min="7209" max="7209" width="9.7109375" style="1236" customWidth="1"/>
    <col min="7210" max="7210" width="9.28515625" style="1236" customWidth="1"/>
    <col min="7211" max="7211" width="9.42578125" style="1236" customWidth="1"/>
    <col min="7212" max="7212" width="10.5703125" style="1236" customWidth="1"/>
    <col min="7213" max="7213" width="12.42578125" style="1236" customWidth="1"/>
    <col min="7214" max="7214" width="14.5703125" style="1236" customWidth="1"/>
    <col min="7215" max="7215" width="12.28515625" style="1236" customWidth="1"/>
    <col min="7216" max="7216" width="25.85546875" style="1236" customWidth="1"/>
    <col min="7217" max="7448" width="0.85546875" style="1236"/>
    <col min="7449" max="7449" width="9.85546875" style="1236" customWidth="1"/>
    <col min="7450" max="7450" width="81.85546875" style="1236" customWidth="1"/>
    <col min="7451" max="7451" width="12.7109375" style="1236" customWidth="1"/>
    <col min="7452" max="7452" width="12.42578125" style="1236" customWidth="1"/>
    <col min="7453" max="7453" width="14.5703125" style="1236" customWidth="1"/>
    <col min="7454" max="7454" width="12.28515625" style="1236" customWidth="1"/>
    <col min="7455" max="7455" width="38.140625" style="1236" customWidth="1"/>
    <col min="7456" max="7456" width="46.85546875" style="1236" customWidth="1"/>
    <col min="7457" max="7459" width="12.7109375" style="1236" customWidth="1"/>
    <col min="7460" max="7460" width="9.28515625" style="1236" customWidth="1"/>
    <col min="7461" max="7461" width="13.5703125" style="1236" customWidth="1"/>
    <col min="7462" max="7462" width="10.28515625" style="1236" customWidth="1"/>
    <col min="7463" max="7463" width="12.85546875" style="1236" customWidth="1"/>
    <col min="7464" max="7464" width="9.140625" style="1236" customWidth="1"/>
    <col min="7465" max="7465" width="9.7109375" style="1236" customWidth="1"/>
    <col min="7466" max="7466" width="9.28515625" style="1236" customWidth="1"/>
    <col min="7467" max="7467" width="9.42578125" style="1236" customWidth="1"/>
    <col min="7468" max="7468" width="10.5703125" style="1236" customWidth="1"/>
    <col min="7469" max="7469" width="12.42578125" style="1236" customWidth="1"/>
    <col min="7470" max="7470" width="14.5703125" style="1236" customWidth="1"/>
    <col min="7471" max="7471" width="12.28515625" style="1236" customWidth="1"/>
    <col min="7472" max="7472" width="25.85546875" style="1236" customWidth="1"/>
    <col min="7473" max="7704" width="0.85546875" style="1236"/>
    <col min="7705" max="7705" width="9.85546875" style="1236" customWidth="1"/>
    <col min="7706" max="7706" width="81.85546875" style="1236" customWidth="1"/>
    <col min="7707" max="7707" width="12.7109375" style="1236" customWidth="1"/>
    <col min="7708" max="7708" width="12.42578125" style="1236" customWidth="1"/>
    <col min="7709" max="7709" width="14.5703125" style="1236" customWidth="1"/>
    <col min="7710" max="7710" width="12.28515625" style="1236" customWidth="1"/>
    <col min="7711" max="7711" width="38.140625" style="1236" customWidth="1"/>
    <col min="7712" max="7712" width="46.85546875" style="1236" customWidth="1"/>
    <col min="7713" max="7715" width="12.7109375" style="1236" customWidth="1"/>
    <col min="7716" max="7716" width="9.28515625" style="1236" customWidth="1"/>
    <col min="7717" max="7717" width="13.5703125" style="1236" customWidth="1"/>
    <col min="7718" max="7718" width="10.28515625" style="1236" customWidth="1"/>
    <col min="7719" max="7719" width="12.85546875" style="1236" customWidth="1"/>
    <col min="7720" max="7720" width="9.140625" style="1236" customWidth="1"/>
    <col min="7721" max="7721" width="9.7109375" style="1236" customWidth="1"/>
    <col min="7722" max="7722" width="9.28515625" style="1236" customWidth="1"/>
    <col min="7723" max="7723" width="9.42578125" style="1236" customWidth="1"/>
    <col min="7724" max="7724" width="10.5703125" style="1236" customWidth="1"/>
    <col min="7725" max="7725" width="12.42578125" style="1236" customWidth="1"/>
    <col min="7726" max="7726" width="14.5703125" style="1236" customWidth="1"/>
    <col min="7727" max="7727" width="12.28515625" style="1236" customWidth="1"/>
    <col min="7728" max="7728" width="25.85546875" style="1236" customWidth="1"/>
    <col min="7729" max="7960" width="0.85546875" style="1236"/>
    <col min="7961" max="7961" width="9.85546875" style="1236" customWidth="1"/>
    <col min="7962" max="7962" width="81.85546875" style="1236" customWidth="1"/>
    <col min="7963" max="7963" width="12.7109375" style="1236" customWidth="1"/>
    <col min="7964" max="7964" width="12.42578125" style="1236" customWidth="1"/>
    <col min="7965" max="7965" width="14.5703125" style="1236" customWidth="1"/>
    <col min="7966" max="7966" width="12.28515625" style="1236" customWidth="1"/>
    <col min="7967" max="7967" width="38.140625" style="1236" customWidth="1"/>
    <col min="7968" max="7968" width="46.85546875" style="1236" customWidth="1"/>
    <col min="7969" max="7971" width="12.7109375" style="1236" customWidth="1"/>
    <col min="7972" max="7972" width="9.28515625" style="1236" customWidth="1"/>
    <col min="7973" max="7973" width="13.5703125" style="1236" customWidth="1"/>
    <col min="7974" max="7974" width="10.28515625" style="1236" customWidth="1"/>
    <col min="7975" max="7975" width="12.85546875" style="1236" customWidth="1"/>
    <col min="7976" max="7976" width="9.140625" style="1236" customWidth="1"/>
    <col min="7977" max="7977" width="9.7109375" style="1236" customWidth="1"/>
    <col min="7978" max="7978" width="9.28515625" style="1236" customWidth="1"/>
    <col min="7979" max="7979" width="9.42578125" style="1236" customWidth="1"/>
    <col min="7980" max="7980" width="10.5703125" style="1236" customWidth="1"/>
    <col min="7981" max="7981" width="12.42578125" style="1236" customWidth="1"/>
    <col min="7982" max="7982" width="14.5703125" style="1236" customWidth="1"/>
    <col min="7983" max="7983" width="12.28515625" style="1236" customWidth="1"/>
    <col min="7984" max="7984" width="25.85546875" style="1236" customWidth="1"/>
    <col min="7985" max="8216" width="0.85546875" style="1236"/>
    <col min="8217" max="8217" width="9.85546875" style="1236" customWidth="1"/>
    <col min="8218" max="8218" width="81.85546875" style="1236" customWidth="1"/>
    <col min="8219" max="8219" width="12.7109375" style="1236" customWidth="1"/>
    <col min="8220" max="8220" width="12.42578125" style="1236" customWidth="1"/>
    <col min="8221" max="8221" width="14.5703125" style="1236" customWidth="1"/>
    <col min="8222" max="8222" width="12.28515625" style="1236" customWidth="1"/>
    <col min="8223" max="8223" width="38.140625" style="1236" customWidth="1"/>
    <col min="8224" max="8224" width="46.85546875" style="1236" customWidth="1"/>
    <col min="8225" max="8227" width="12.7109375" style="1236" customWidth="1"/>
    <col min="8228" max="8228" width="9.28515625" style="1236" customWidth="1"/>
    <col min="8229" max="8229" width="13.5703125" style="1236" customWidth="1"/>
    <col min="8230" max="8230" width="10.28515625" style="1236" customWidth="1"/>
    <col min="8231" max="8231" width="12.85546875" style="1236" customWidth="1"/>
    <col min="8232" max="8232" width="9.140625" style="1236" customWidth="1"/>
    <col min="8233" max="8233" width="9.7109375" style="1236" customWidth="1"/>
    <col min="8234" max="8234" width="9.28515625" style="1236" customWidth="1"/>
    <col min="8235" max="8235" width="9.42578125" style="1236" customWidth="1"/>
    <col min="8236" max="8236" width="10.5703125" style="1236" customWidth="1"/>
    <col min="8237" max="8237" width="12.42578125" style="1236" customWidth="1"/>
    <col min="8238" max="8238" width="14.5703125" style="1236" customWidth="1"/>
    <col min="8239" max="8239" width="12.28515625" style="1236" customWidth="1"/>
    <col min="8240" max="8240" width="25.85546875" style="1236" customWidth="1"/>
    <col min="8241" max="8472" width="0.85546875" style="1236"/>
    <col min="8473" max="8473" width="9.85546875" style="1236" customWidth="1"/>
    <col min="8474" max="8474" width="81.85546875" style="1236" customWidth="1"/>
    <col min="8475" max="8475" width="12.7109375" style="1236" customWidth="1"/>
    <col min="8476" max="8476" width="12.42578125" style="1236" customWidth="1"/>
    <col min="8477" max="8477" width="14.5703125" style="1236" customWidth="1"/>
    <col min="8478" max="8478" width="12.28515625" style="1236" customWidth="1"/>
    <col min="8479" max="8479" width="38.140625" style="1236" customWidth="1"/>
    <col min="8480" max="8480" width="46.85546875" style="1236" customWidth="1"/>
    <col min="8481" max="8483" width="12.7109375" style="1236" customWidth="1"/>
    <col min="8484" max="8484" width="9.28515625" style="1236" customWidth="1"/>
    <col min="8485" max="8485" width="13.5703125" style="1236" customWidth="1"/>
    <col min="8486" max="8486" width="10.28515625" style="1236" customWidth="1"/>
    <col min="8487" max="8487" width="12.85546875" style="1236" customWidth="1"/>
    <col min="8488" max="8488" width="9.140625" style="1236" customWidth="1"/>
    <col min="8489" max="8489" width="9.7109375" style="1236" customWidth="1"/>
    <col min="8490" max="8490" width="9.28515625" style="1236" customWidth="1"/>
    <col min="8491" max="8491" width="9.42578125" style="1236" customWidth="1"/>
    <col min="8492" max="8492" width="10.5703125" style="1236" customWidth="1"/>
    <col min="8493" max="8493" width="12.42578125" style="1236" customWidth="1"/>
    <col min="8494" max="8494" width="14.5703125" style="1236" customWidth="1"/>
    <col min="8495" max="8495" width="12.28515625" style="1236" customWidth="1"/>
    <col min="8496" max="8496" width="25.85546875" style="1236" customWidth="1"/>
    <col min="8497" max="8728" width="0.85546875" style="1236"/>
    <col min="8729" max="8729" width="9.85546875" style="1236" customWidth="1"/>
    <col min="8730" max="8730" width="81.85546875" style="1236" customWidth="1"/>
    <col min="8731" max="8731" width="12.7109375" style="1236" customWidth="1"/>
    <col min="8732" max="8732" width="12.42578125" style="1236" customWidth="1"/>
    <col min="8733" max="8733" width="14.5703125" style="1236" customWidth="1"/>
    <col min="8734" max="8734" width="12.28515625" style="1236" customWidth="1"/>
    <col min="8735" max="8735" width="38.140625" style="1236" customWidth="1"/>
    <col min="8736" max="8736" width="46.85546875" style="1236" customWidth="1"/>
    <col min="8737" max="8739" width="12.7109375" style="1236" customWidth="1"/>
    <col min="8740" max="8740" width="9.28515625" style="1236" customWidth="1"/>
    <col min="8741" max="8741" width="13.5703125" style="1236" customWidth="1"/>
    <col min="8742" max="8742" width="10.28515625" style="1236" customWidth="1"/>
    <col min="8743" max="8743" width="12.85546875" style="1236" customWidth="1"/>
    <col min="8744" max="8744" width="9.140625" style="1236" customWidth="1"/>
    <col min="8745" max="8745" width="9.7109375" style="1236" customWidth="1"/>
    <col min="8746" max="8746" width="9.28515625" style="1236" customWidth="1"/>
    <col min="8747" max="8747" width="9.42578125" style="1236" customWidth="1"/>
    <col min="8748" max="8748" width="10.5703125" style="1236" customWidth="1"/>
    <col min="8749" max="8749" width="12.42578125" style="1236" customWidth="1"/>
    <col min="8750" max="8750" width="14.5703125" style="1236" customWidth="1"/>
    <col min="8751" max="8751" width="12.28515625" style="1236" customWidth="1"/>
    <col min="8752" max="8752" width="25.85546875" style="1236" customWidth="1"/>
    <col min="8753" max="8984" width="0.85546875" style="1236"/>
    <col min="8985" max="8985" width="9.85546875" style="1236" customWidth="1"/>
    <col min="8986" max="8986" width="81.85546875" style="1236" customWidth="1"/>
    <col min="8987" max="8987" width="12.7109375" style="1236" customWidth="1"/>
    <col min="8988" max="8988" width="12.42578125" style="1236" customWidth="1"/>
    <col min="8989" max="8989" width="14.5703125" style="1236" customWidth="1"/>
    <col min="8990" max="8990" width="12.28515625" style="1236" customWidth="1"/>
    <col min="8991" max="8991" width="38.140625" style="1236" customWidth="1"/>
    <col min="8992" max="8992" width="46.85546875" style="1236" customWidth="1"/>
    <col min="8993" max="8995" width="12.7109375" style="1236" customWidth="1"/>
    <col min="8996" max="8996" width="9.28515625" style="1236" customWidth="1"/>
    <col min="8997" max="8997" width="13.5703125" style="1236" customWidth="1"/>
    <col min="8998" max="8998" width="10.28515625" style="1236" customWidth="1"/>
    <col min="8999" max="8999" width="12.85546875" style="1236" customWidth="1"/>
    <col min="9000" max="9000" width="9.140625" style="1236" customWidth="1"/>
    <col min="9001" max="9001" width="9.7109375" style="1236" customWidth="1"/>
    <col min="9002" max="9002" width="9.28515625" style="1236" customWidth="1"/>
    <col min="9003" max="9003" width="9.42578125" style="1236" customWidth="1"/>
    <col min="9004" max="9004" width="10.5703125" style="1236" customWidth="1"/>
    <col min="9005" max="9005" width="12.42578125" style="1236" customWidth="1"/>
    <col min="9006" max="9006" width="14.5703125" style="1236" customWidth="1"/>
    <col min="9007" max="9007" width="12.28515625" style="1236" customWidth="1"/>
    <col min="9008" max="9008" width="25.85546875" style="1236" customWidth="1"/>
    <col min="9009" max="9240" width="0.85546875" style="1236"/>
    <col min="9241" max="9241" width="9.85546875" style="1236" customWidth="1"/>
    <col min="9242" max="9242" width="81.85546875" style="1236" customWidth="1"/>
    <col min="9243" max="9243" width="12.7109375" style="1236" customWidth="1"/>
    <col min="9244" max="9244" width="12.42578125" style="1236" customWidth="1"/>
    <col min="9245" max="9245" width="14.5703125" style="1236" customWidth="1"/>
    <col min="9246" max="9246" width="12.28515625" style="1236" customWidth="1"/>
    <col min="9247" max="9247" width="38.140625" style="1236" customWidth="1"/>
    <col min="9248" max="9248" width="46.85546875" style="1236" customWidth="1"/>
    <col min="9249" max="9251" width="12.7109375" style="1236" customWidth="1"/>
    <col min="9252" max="9252" width="9.28515625" style="1236" customWidth="1"/>
    <col min="9253" max="9253" width="13.5703125" style="1236" customWidth="1"/>
    <col min="9254" max="9254" width="10.28515625" style="1236" customWidth="1"/>
    <col min="9255" max="9255" width="12.85546875" style="1236" customWidth="1"/>
    <col min="9256" max="9256" width="9.140625" style="1236" customWidth="1"/>
    <col min="9257" max="9257" width="9.7109375" style="1236" customWidth="1"/>
    <col min="9258" max="9258" width="9.28515625" style="1236" customWidth="1"/>
    <col min="9259" max="9259" width="9.42578125" style="1236" customWidth="1"/>
    <col min="9260" max="9260" width="10.5703125" style="1236" customWidth="1"/>
    <col min="9261" max="9261" width="12.42578125" style="1236" customWidth="1"/>
    <col min="9262" max="9262" width="14.5703125" style="1236" customWidth="1"/>
    <col min="9263" max="9263" width="12.28515625" style="1236" customWidth="1"/>
    <col min="9264" max="9264" width="25.85546875" style="1236" customWidth="1"/>
    <col min="9265" max="9496" width="0.85546875" style="1236"/>
    <col min="9497" max="9497" width="9.85546875" style="1236" customWidth="1"/>
    <col min="9498" max="9498" width="81.85546875" style="1236" customWidth="1"/>
    <col min="9499" max="9499" width="12.7109375" style="1236" customWidth="1"/>
    <col min="9500" max="9500" width="12.42578125" style="1236" customWidth="1"/>
    <col min="9501" max="9501" width="14.5703125" style="1236" customWidth="1"/>
    <col min="9502" max="9502" width="12.28515625" style="1236" customWidth="1"/>
    <col min="9503" max="9503" width="38.140625" style="1236" customWidth="1"/>
    <col min="9504" max="9504" width="46.85546875" style="1236" customWidth="1"/>
    <col min="9505" max="9507" width="12.7109375" style="1236" customWidth="1"/>
    <col min="9508" max="9508" width="9.28515625" style="1236" customWidth="1"/>
    <col min="9509" max="9509" width="13.5703125" style="1236" customWidth="1"/>
    <col min="9510" max="9510" width="10.28515625" style="1236" customWidth="1"/>
    <col min="9511" max="9511" width="12.85546875" style="1236" customWidth="1"/>
    <col min="9512" max="9512" width="9.140625" style="1236" customWidth="1"/>
    <col min="9513" max="9513" width="9.7109375" style="1236" customWidth="1"/>
    <col min="9514" max="9514" width="9.28515625" style="1236" customWidth="1"/>
    <col min="9515" max="9515" width="9.42578125" style="1236" customWidth="1"/>
    <col min="9516" max="9516" width="10.5703125" style="1236" customWidth="1"/>
    <col min="9517" max="9517" width="12.42578125" style="1236" customWidth="1"/>
    <col min="9518" max="9518" width="14.5703125" style="1236" customWidth="1"/>
    <col min="9519" max="9519" width="12.28515625" style="1236" customWidth="1"/>
    <col min="9520" max="9520" width="25.85546875" style="1236" customWidth="1"/>
    <col min="9521" max="9752" width="0.85546875" style="1236"/>
    <col min="9753" max="9753" width="9.85546875" style="1236" customWidth="1"/>
    <col min="9754" max="9754" width="81.85546875" style="1236" customWidth="1"/>
    <col min="9755" max="9755" width="12.7109375" style="1236" customWidth="1"/>
    <col min="9756" max="9756" width="12.42578125" style="1236" customWidth="1"/>
    <col min="9757" max="9757" width="14.5703125" style="1236" customWidth="1"/>
    <col min="9758" max="9758" width="12.28515625" style="1236" customWidth="1"/>
    <col min="9759" max="9759" width="38.140625" style="1236" customWidth="1"/>
    <col min="9760" max="9760" width="46.85546875" style="1236" customWidth="1"/>
    <col min="9761" max="9763" width="12.7109375" style="1236" customWidth="1"/>
    <col min="9764" max="9764" width="9.28515625" style="1236" customWidth="1"/>
    <col min="9765" max="9765" width="13.5703125" style="1236" customWidth="1"/>
    <col min="9766" max="9766" width="10.28515625" style="1236" customWidth="1"/>
    <col min="9767" max="9767" width="12.85546875" style="1236" customWidth="1"/>
    <col min="9768" max="9768" width="9.140625" style="1236" customWidth="1"/>
    <col min="9769" max="9769" width="9.7109375" style="1236" customWidth="1"/>
    <col min="9770" max="9770" width="9.28515625" style="1236" customWidth="1"/>
    <col min="9771" max="9771" width="9.42578125" style="1236" customWidth="1"/>
    <col min="9772" max="9772" width="10.5703125" style="1236" customWidth="1"/>
    <col min="9773" max="9773" width="12.42578125" style="1236" customWidth="1"/>
    <col min="9774" max="9774" width="14.5703125" style="1236" customWidth="1"/>
    <col min="9775" max="9775" width="12.28515625" style="1236" customWidth="1"/>
    <col min="9776" max="9776" width="25.85546875" style="1236" customWidth="1"/>
    <col min="9777" max="10008" width="0.85546875" style="1236"/>
    <col min="10009" max="10009" width="9.85546875" style="1236" customWidth="1"/>
    <col min="10010" max="10010" width="81.85546875" style="1236" customWidth="1"/>
    <col min="10011" max="10011" width="12.7109375" style="1236" customWidth="1"/>
    <col min="10012" max="10012" width="12.42578125" style="1236" customWidth="1"/>
    <col min="10013" max="10013" width="14.5703125" style="1236" customWidth="1"/>
    <col min="10014" max="10014" width="12.28515625" style="1236" customWidth="1"/>
    <col min="10015" max="10015" width="38.140625" style="1236" customWidth="1"/>
    <col min="10016" max="10016" width="46.85546875" style="1236" customWidth="1"/>
    <col min="10017" max="10019" width="12.7109375" style="1236" customWidth="1"/>
    <col min="10020" max="10020" width="9.28515625" style="1236" customWidth="1"/>
    <col min="10021" max="10021" width="13.5703125" style="1236" customWidth="1"/>
    <col min="10022" max="10022" width="10.28515625" style="1236" customWidth="1"/>
    <col min="10023" max="10023" width="12.85546875" style="1236" customWidth="1"/>
    <col min="10024" max="10024" width="9.140625" style="1236" customWidth="1"/>
    <col min="10025" max="10025" width="9.7109375" style="1236" customWidth="1"/>
    <col min="10026" max="10026" width="9.28515625" style="1236" customWidth="1"/>
    <col min="10027" max="10027" width="9.42578125" style="1236" customWidth="1"/>
    <col min="10028" max="10028" width="10.5703125" style="1236" customWidth="1"/>
    <col min="10029" max="10029" width="12.42578125" style="1236" customWidth="1"/>
    <col min="10030" max="10030" width="14.5703125" style="1236" customWidth="1"/>
    <col min="10031" max="10031" width="12.28515625" style="1236" customWidth="1"/>
    <col min="10032" max="10032" width="25.85546875" style="1236" customWidth="1"/>
    <col min="10033" max="10264" width="0.85546875" style="1236"/>
    <col min="10265" max="10265" width="9.85546875" style="1236" customWidth="1"/>
    <col min="10266" max="10266" width="81.85546875" style="1236" customWidth="1"/>
    <col min="10267" max="10267" width="12.7109375" style="1236" customWidth="1"/>
    <col min="10268" max="10268" width="12.42578125" style="1236" customWidth="1"/>
    <col min="10269" max="10269" width="14.5703125" style="1236" customWidth="1"/>
    <col min="10270" max="10270" width="12.28515625" style="1236" customWidth="1"/>
    <col min="10271" max="10271" width="38.140625" style="1236" customWidth="1"/>
    <col min="10272" max="10272" width="46.85546875" style="1236" customWidth="1"/>
    <col min="10273" max="10275" width="12.7109375" style="1236" customWidth="1"/>
    <col min="10276" max="10276" width="9.28515625" style="1236" customWidth="1"/>
    <col min="10277" max="10277" width="13.5703125" style="1236" customWidth="1"/>
    <col min="10278" max="10278" width="10.28515625" style="1236" customWidth="1"/>
    <col min="10279" max="10279" width="12.85546875" style="1236" customWidth="1"/>
    <col min="10280" max="10280" width="9.140625" style="1236" customWidth="1"/>
    <col min="10281" max="10281" width="9.7109375" style="1236" customWidth="1"/>
    <col min="10282" max="10282" width="9.28515625" style="1236" customWidth="1"/>
    <col min="10283" max="10283" width="9.42578125" style="1236" customWidth="1"/>
    <col min="10284" max="10284" width="10.5703125" style="1236" customWidth="1"/>
    <col min="10285" max="10285" width="12.42578125" style="1236" customWidth="1"/>
    <col min="10286" max="10286" width="14.5703125" style="1236" customWidth="1"/>
    <col min="10287" max="10287" width="12.28515625" style="1236" customWidth="1"/>
    <col min="10288" max="10288" width="25.85546875" style="1236" customWidth="1"/>
    <col min="10289" max="10520" width="0.85546875" style="1236"/>
    <col min="10521" max="10521" width="9.85546875" style="1236" customWidth="1"/>
    <col min="10522" max="10522" width="81.85546875" style="1236" customWidth="1"/>
    <col min="10523" max="10523" width="12.7109375" style="1236" customWidth="1"/>
    <col min="10524" max="10524" width="12.42578125" style="1236" customWidth="1"/>
    <col min="10525" max="10525" width="14.5703125" style="1236" customWidth="1"/>
    <col min="10526" max="10526" width="12.28515625" style="1236" customWidth="1"/>
    <col min="10527" max="10527" width="38.140625" style="1236" customWidth="1"/>
    <col min="10528" max="10528" width="46.85546875" style="1236" customWidth="1"/>
    <col min="10529" max="10531" width="12.7109375" style="1236" customWidth="1"/>
    <col min="10532" max="10532" width="9.28515625" style="1236" customWidth="1"/>
    <col min="10533" max="10533" width="13.5703125" style="1236" customWidth="1"/>
    <col min="10534" max="10534" width="10.28515625" style="1236" customWidth="1"/>
    <col min="10535" max="10535" width="12.85546875" style="1236" customWidth="1"/>
    <col min="10536" max="10536" width="9.140625" style="1236" customWidth="1"/>
    <col min="10537" max="10537" width="9.7109375" style="1236" customWidth="1"/>
    <col min="10538" max="10538" width="9.28515625" style="1236" customWidth="1"/>
    <col min="10539" max="10539" width="9.42578125" style="1236" customWidth="1"/>
    <col min="10540" max="10540" width="10.5703125" style="1236" customWidth="1"/>
    <col min="10541" max="10541" width="12.42578125" style="1236" customWidth="1"/>
    <col min="10542" max="10542" width="14.5703125" style="1236" customWidth="1"/>
    <col min="10543" max="10543" width="12.28515625" style="1236" customWidth="1"/>
    <col min="10544" max="10544" width="25.85546875" style="1236" customWidth="1"/>
    <col min="10545" max="10776" width="0.85546875" style="1236"/>
    <col min="10777" max="10777" width="9.85546875" style="1236" customWidth="1"/>
    <col min="10778" max="10778" width="81.85546875" style="1236" customWidth="1"/>
    <col min="10779" max="10779" width="12.7109375" style="1236" customWidth="1"/>
    <col min="10780" max="10780" width="12.42578125" style="1236" customWidth="1"/>
    <col min="10781" max="10781" width="14.5703125" style="1236" customWidth="1"/>
    <col min="10782" max="10782" width="12.28515625" style="1236" customWidth="1"/>
    <col min="10783" max="10783" width="38.140625" style="1236" customWidth="1"/>
    <col min="10784" max="10784" width="46.85546875" style="1236" customWidth="1"/>
    <col min="10785" max="10787" width="12.7109375" style="1236" customWidth="1"/>
    <col min="10788" max="10788" width="9.28515625" style="1236" customWidth="1"/>
    <col min="10789" max="10789" width="13.5703125" style="1236" customWidth="1"/>
    <col min="10790" max="10790" width="10.28515625" style="1236" customWidth="1"/>
    <col min="10791" max="10791" width="12.85546875" style="1236" customWidth="1"/>
    <col min="10792" max="10792" width="9.140625" style="1236" customWidth="1"/>
    <col min="10793" max="10793" width="9.7109375" style="1236" customWidth="1"/>
    <col min="10794" max="10794" width="9.28515625" style="1236" customWidth="1"/>
    <col min="10795" max="10795" width="9.42578125" style="1236" customWidth="1"/>
    <col min="10796" max="10796" width="10.5703125" style="1236" customWidth="1"/>
    <col min="10797" max="10797" width="12.42578125" style="1236" customWidth="1"/>
    <col min="10798" max="10798" width="14.5703125" style="1236" customWidth="1"/>
    <col min="10799" max="10799" width="12.28515625" style="1236" customWidth="1"/>
    <col min="10800" max="10800" width="25.85546875" style="1236" customWidth="1"/>
    <col min="10801" max="11032" width="0.85546875" style="1236"/>
    <col min="11033" max="11033" width="9.85546875" style="1236" customWidth="1"/>
    <col min="11034" max="11034" width="81.85546875" style="1236" customWidth="1"/>
    <col min="11035" max="11035" width="12.7109375" style="1236" customWidth="1"/>
    <col min="11036" max="11036" width="12.42578125" style="1236" customWidth="1"/>
    <col min="11037" max="11037" width="14.5703125" style="1236" customWidth="1"/>
    <col min="11038" max="11038" width="12.28515625" style="1236" customWidth="1"/>
    <col min="11039" max="11039" width="38.140625" style="1236" customWidth="1"/>
    <col min="11040" max="11040" width="46.85546875" style="1236" customWidth="1"/>
    <col min="11041" max="11043" width="12.7109375" style="1236" customWidth="1"/>
    <col min="11044" max="11044" width="9.28515625" style="1236" customWidth="1"/>
    <col min="11045" max="11045" width="13.5703125" style="1236" customWidth="1"/>
    <col min="11046" max="11046" width="10.28515625" style="1236" customWidth="1"/>
    <col min="11047" max="11047" width="12.85546875" style="1236" customWidth="1"/>
    <col min="11048" max="11048" width="9.140625" style="1236" customWidth="1"/>
    <col min="11049" max="11049" width="9.7109375" style="1236" customWidth="1"/>
    <col min="11050" max="11050" width="9.28515625" style="1236" customWidth="1"/>
    <col min="11051" max="11051" width="9.42578125" style="1236" customWidth="1"/>
    <col min="11052" max="11052" width="10.5703125" style="1236" customWidth="1"/>
    <col min="11053" max="11053" width="12.42578125" style="1236" customWidth="1"/>
    <col min="11054" max="11054" width="14.5703125" style="1236" customWidth="1"/>
    <col min="11055" max="11055" width="12.28515625" style="1236" customWidth="1"/>
    <col min="11056" max="11056" width="25.85546875" style="1236" customWidth="1"/>
    <col min="11057" max="11288" width="0.85546875" style="1236"/>
    <col min="11289" max="11289" width="9.85546875" style="1236" customWidth="1"/>
    <col min="11290" max="11290" width="81.85546875" style="1236" customWidth="1"/>
    <col min="11291" max="11291" width="12.7109375" style="1236" customWidth="1"/>
    <col min="11292" max="11292" width="12.42578125" style="1236" customWidth="1"/>
    <col min="11293" max="11293" width="14.5703125" style="1236" customWidth="1"/>
    <col min="11294" max="11294" width="12.28515625" style="1236" customWidth="1"/>
    <col min="11295" max="11295" width="38.140625" style="1236" customWidth="1"/>
    <col min="11296" max="11296" width="46.85546875" style="1236" customWidth="1"/>
    <col min="11297" max="11299" width="12.7109375" style="1236" customWidth="1"/>
    <col min="11300" max="11300" width="9.28515625" style="1236" customWidth="1"/>
    <col min="11301" max="11301" width="13.5703125" style="1236" customWidth="1"/>
    <col min="11302" max="11302" width="10.28515625" style="1236" customWidth="1"/>
    <col min="11303" max="11303" width="12.85546875" style="1236" customWidth="1"/>
    <col min="11304" max="11304" width="9.140625" style="1236" customWidth="1"/>
    <col min="11305" max="11305" width="9.7109375" style="1236" customWidth="1"/>
    <col min="11306" max="11306" width="9.28515625" style="1236" customWidth="1"/>
    <col min="11307" max="11307" width="9.42578125" style="1236" customWidth="1"/>
    <col min="11308" max="11308" width="10.5703125" style="1236" customWidth="1"/>
    <col min="11309" max="11309" width="12.42578125" style="1236" customWidth="1"/>
    <col min="11310" max="11310" width="14.5703125" style="1236" customWidth="1"/>
    <col min="11311" max="11311" width="12.28515625" style="1236" customWidth="1"/>
    <col min="11312" max="11312" width="25.85546875" style="1236" customWidth="1"/>
    <col min="11313" max="11544" width="0.85546875" style="1236"/>
    <col min="11545" max="11545" width="9.85546875" style="1236" customWidth="1"/>
    <col min="11546" max="11546" width="81.85546875" style="1236" customWidth="1"/>
    <col min="11547" max="11547" width="12.7109375" style="1236" customWidth="1"/>
    <col min="11548" max="11548" width="12.42578125" style="1236" customWidth="1"/>
    <col min="11549" max="11549" width="14.5703125" style="1236" customWidth="1"/>
    <col min="11550" max="11550" width="12.28515625" style="1236" customWidth="1"/>
    <col min="11551" max="11551" width="38.140625" style="1236" customWidth="1"/>
    <col min="11552" max="11552" width="46.85546875" style="1236" customWidth="1"/>
    <col min="11553" max="11555" width="12.7109375" style="1236" customWidth="1"/>
    <col min="11556" max="11556" width="9.28515625" style="1236" customWidth="1"/>
    <col min="11557" max="11557" width="13.5703125" style="1236" customWidth="1"/>
    <col min="11558" max="11558" width="10.28515625" style="1236" customWidth="1"/>
    <col min="11559" max="11559" width="12.85546875" style="1236" customWidth="1"/>
    <col min="11560" max="11560" width="9.140625" style="1236" customWidth="1"/>
    <col min="11561" max="11561" width="9.7109375" style="1236" customWidth="1"/>
    <col min="11562" max="11562" width="9.28515625" style="1236" customWidth="1"/>
    <col min="11563" max="11563" width="9.42578125" style="1236" customWidth="1"/>
    <col min="11564" max="11564" width="10.5703125" style="1236" customWidth="1"/>
    <col min="11565" max="11565" width="12.42578125" style="1236" customWidth="1"/>
    <col min="11566" max="11566" width="14.5703125" style="1236" customWidth="1"/>
    <col min="11567" max="11567" width="12.28515625" style="1236" customWidth="1"/>
    <col min="11568" max="11568" width="25.85546875" style="1236" customWidth="1"/>
    <col min="11569" max="11800" width="0.85546875" style="1236"/>
    <col min="11801" max="11801" width="9.85546875" style="1236" customWidth="1"/>
    <col min="11802" max="11802" width="81.85546875" style="1236" customWidth="1"/>
    <col min="11803" max="11803" width="12.7109375" style="1236" customWidth="1"/>
    <col min="11804" max="11804" width="12.42578125" style="1236" customWidth="1"/>
    <col min="11805" max="11805" width="14.5703125" style="1236" customWidth="1"/>
    <col min="11806" max="11806" width="12.28515625" style="1236" customWidth="1"/>
    <col min="11807" max="11807" width="38.140625" style="1236" customWidth="1"/>
    <col min="11808" max="11808" width="46.85546875" style="1236" customWidth="1"/>
    <col min="11809" max="11811" width="12.7109375" style="1236" customWidth="1"/>
    <col min="11812" max="11812" width="9.28515625" style="1236" customWidth="1"/>
    <col min="11813" max="11813" width="13.5703125" style="1236" customWidth="1"/>
    <col min="11814" max="11814" width="10.28515625" style="1236" customWidth="1"/>
    <col min="11815" max="11815" width="12.85546875" style="1236" customWidth="1"/>
    <col min="11816" max="11816" width="9.140625" style="1236" customWidth="1"/>
    <col min="11817" max="11817" width="9.7109375" style="1236" customWidth="1"/>
    <col min="11818" max="11818" width="9.28515625" style="1236" customWidth="1"/>
    <col min="11819" max="11819" width="9.42578125" style="1236" customWidth="1"/>
    <col min="11820" max="11820" width="10.5703125" style="1236" customWidth="1"/>
    <col min="11821" max="11821" width="12.42578125" style="1236" customWidth="1"/>
    <col min="11822" max="11822" width="14.5703125" style="1236" customWidth="1"/>
    <col min="11823" max="11823" width="12.28515625" style="1236" customWidth="1"/>
    <col min="11824" max="11824" width="25.85546875" style="1236" customWidth="1"/>
    <col min="11825" max="12056" width="0.85546875" style="1236"/>
    <col min="12057" max="12057" width="9.85546875" style="1236" customWidth="1"/>
    <col min="12058" max="12058" width="81.85546875" style="1236" customWidth="1"/>
    <col min="12059" max="12059" width="12.7109375" style="1236" customWidth="1"/>
    <col min="12060" max="12060" width="12.42578125" style="1236" customWidth="1"/>
    <col min="12061" max="12061" width="14.5703125" style="1236" customWidth="1"/>
    <col min="12062" max="12062" width="12.28515625" style="1236" customWidth="1"/>
    <col min="12063" max="12063" width="38.140625" style="1236" customWidth="1"/>
    <col min="12064" max="12064" width="46.85546875" style="1236" customWidth="1"/>
    <col min="12065" max="12067" width="12.7109375" style="1236" customWidth="1"/>
    <col min="12068" max="12068" width="9.28515625" style="1236" customWidth="1"/>
    <col min="12069" max="12069" width="13.5703125" style="1236" customWidth="1"/>
    <col min="12070" max="12070" width="10.28515625" style="1236" customWidth="1"/>
    <col min="12071" max="12071" width="12.85546875" style="1236" customWidth="1"/>
    <col min="12072" max="12072" width="9.140625" style="1236" customWidth="1"/>
    <col min="12073" max="12073" width="9.7109375" style="1236" customWidth="1"/>
    <col min="12074" max="12074" width="9.28515625" style="1236" customWidth="1"/>
    <col min="12075" max="12075" width="9.42578125" style="1236" customWidth="1"/>
    <col min="12076" max="12076" width="10.5703125" style="1236" customWidth="1"/>
    <col min="12077" max="12077" width="12.42578125" style="1236" customWidth="1"/>
    <col min="12078" max="12078" width="14.5703125" style="1236" customWidth="1"/>
    <col min="12079" max="12079" width="12.28515625" style="1236" customWidth="1"/>
    <col min="12080" max="12080" width="25.85546875" style="1236" customWidth="1"/>
    <col min="12081" max="12312" width="0.85546875" style="1236"/>
    <col min="12313" max="12313" width="9.85546875" style="1236" customWidth="1"/>
    <col min="12314" max="12314" width="81.85546875" style="1236" customWidth="1"/>
    <col min="12315" max="12315" width="12.7109375" style="1236" customWidth="1"/>
    <col min="12316" max="12316" width="12.42578125" style="1236" customWidth="1"/>
    <col min="12317" max="12317" width="14.5703125" style="1236" customWidth="1"/>
    <col min="12318" max="12318" width="12.28515625" style="1236" customWidth="1"/>
    <col min="12319" max="12319" width="38.140625" style="1236" customWidth="1"/>
    <col min="12320" max="12320" width="46.85546875" style="1236" customWidth="1"/>
    <col min="12321" max="12323" width="12.7109375" style="1236" customWidth="1"/>
    <col min="12324" max="12324" width="9.28515625" style="1236" customWidth="1"/>
    <col min="12325" max="12325" width="13.5703125" style="1236" customWidth="1"/>
    <col min="12326" max="12326" width="10.28515625" style="1236" customWidth="1"/>
    <col min="12327" max="12327" width="12.85546875" style="1236" customWidth="1"/>
    <col min="12328" max="12328" width="9.140625" style="1236" customWidth="1"/>
    <col min="12329" max="12329" width="9.7109375" style="1236" customWidth="1"/>
    <col min="12330" max="12330" width="9.28515625" style="1236" customWidth="1"/>
    <col min="12331" max="12331" width="9.42578125" style="1236" customWidth="1"/>
    <col min="12332" max="12332" width="10.5703125" style="1236" customWidth="1"/>
    <col min="12333" max="12333" width="12.42578125" style="1236" customWidth="1"/>
    <col min="12334" max="12334" width="14.5703125" style="1236" customWidth="1"/>
    <col min="12335" max="12335" width="12.28515625" style="1236" customWidth="1"/>
    <col min="12336" max="12336" width="25.85546875" style="1236" customWidth="1"/>
    <col min="12337" max="12568" width="0.85546875" style="1236"/>
    <col min="12569" max="12569" width="9.85546875" style="1236" customWidth="1"/>
    <col min="12570" max="12570" width="81.85546875" style="1236" customWidth="1"/>
    <col min="12571" max="12571" width="12.7109375" style="1236" customWidth="1"/>
    <col min="12572" max="12572" width="12.42578125" style="1236" customWidth="1"/>
    <col min="12573" max="12573" width="14.5703125" style="1236" customWidth="1"/>
    <col min="12574" max="12574" width="12.28515625" style="1236" customWidth="1"/>
    <col min="12575" max="12575" width="38.140625" style="1236" customWidth="1"/>
    <col min="12576" max="12576" width="46.85546875" style="1236" customWidth="1"/>
    <col min="12577" max="12579" width="12.7109375" style="1236" customWidth="1"/>
    <col min="12580" max="12580" width="9.28515625" style="1236" customWidth="1"/>
    <col min="12581" max="12581" width="13.5703125" style="1236" customWidth="1"/>
    <col min="12582" max="12582" width="10.28515625" style="1236" customWidth="1"/>
    <col min="12583" max="12583" width="12.85546875" style="1236" customWidth="1"/>
    <col min="12584" max="12584" width="9.140625" style="1236" customWidth="1"/>
    <col min="12585" max="12585" width="9.7109375" style="1236" customWidth="1"/>
    <col min="12586" max="12586" width="9.28515625" style="1236" customWidth="1"/>
    <col min="12587" max="12587" width="9.42578125" style="1236" customWidth="1"/>
    <col min="12588" max="12588" width="10.5703125" style="1236" customWidth="1"/>
    <col min="12589" max="12589" width="12.42578125" style="1236" customWidth="1"/>
    <col min="12590" max="12590" width="14.5703125" style="1236" customWidth="1"/>
    <col min="12591" max="12591" width="12.28515625" style="1236" customWidth="1"/>
    <col min="12592" max="12592" width="25.85546875" style="1236" customWidth="1"/>
    <col min="12593" max="12824" width="0.85546875" style="1236"/>
    <col min="12825" max="12825" width="9.85546875" style="1236" customWidth="1"/>
    <col min="12826" max="12826" width="81.85546875" style="1236" customWidth="1"/>
    <col min="12827" max="12827" width="12.7109375" style="1236" customWidth="1"/>
    <col min="12828" max="12828" width="12.42578125" style="1236" customWidth="1"/>
    <col min="12829" max="12829" width="14.5703125" style="1236" customWidth="1"/>
    <col min="12830" max="12830" width="12.28515625" style="1236" customWidth="1"/>
    <col min="12831" max="12831" width="38.140625" style="1236" customWidth="1"/>
    <col min="12832" max="12832" width="46.85546875" style="1236" customWidth="1"/>
    <col min="12833" max="12835" width="12.7109375" style="1236" customWidth="1"/>
    <col min="12836" max="12836" width="9.28515625" style="1236" customWidth="1"/>
    <col min="12837" max="12837" width="13.5703125" style="1236" customWidth="1"/>
    <col min="12838" max="12838" width="10.28515625" style="1236" customWidth="1"/>
    <col min="12839" max="12839" width="12.85546875" style="1236" customWidth="1"/>
    <col min="12840" max="12840" width="9.140625" style="1236" customWidth="1"/>
    <col min="12841" max="12841" width="9.7109375" style="1236" customWidth="1"/>
    <col min="12842" max="12842" width="9.28515625" style="1236" customWidth="1"/>
    <col min="12843" max="12843" width="9.42578125" style="1236" customWidth="1"/>
    <col min="12844" max="12844" width="10.5703125" style="1236" customWidth="1"/>
    <col min="12845" max="12845" width="12.42578125" style="1236" customWidth="1"/>
    <col min="12846" max="12846" width="14.5703125" style="1236" customWidth="1"/>
    <col min="12847" max="12847" width="12.28515625" style="1236" customWidth="1"/>
    <col min="12848" max="12848" width="25.85546875" style="1236" customWidth="1"/>
    <col min="12849" max="13080" width="0.85546875" style="1236"/>
    <col min="13081" max="13081" width="9.85546875" style="1236" customWidth="1"/>
    <col min="13082" max="13082" width="81.85546875" style="1236" customWidth="1"/>
    <col min="13083" max="13083" width="12.7109375" style="1236" customWidth="1"/>
    <col min="13084" max="13084" width="12.42578125" style="1236" customWidth="1"/>
    <col min="13085" max="13085" width="14.5703125" style="1236" customWidth="1"/>
    <col min="13086" max="13086" width="12.28515625" style="1236" customWidth="1"/>
    <col min="13087" max="13087" width="38.140625" style="1236" customWidth="1"/>
    <col min="13088" max="13088" width="46.85546875" style="1236" customWidth="1"/>
    <col min="13089" max="13091" width="12.7109375" style="1236" customWidth="1"/>
    <col min="13092" max="13092" width="9.28515625" style="1236" customWidth="1"/>
    <col min="13093" max="13093" width="13.5703125" style="1236" customWidth="1"/>
    <col min="13094" max="13094" width="10.28515625" style="1236" customWidth="1"/>
    <col min="13095" max="13095" width="12.85546875" style="1236" customWidth="1"/>
    <col min="13096" max="13096" width="9.140625" style="1236" customWidth="1"/>
    <col min="13097" max="13097" width="9.7109375" style="1236" customWidth="1"/>
    <col min="13098" max="13098" width="9.28515625" style="1236" customWidth="1"/>
    <col min="13099" max="13099" width="9.42578125" style="1236" customWidth="1"/>
    <col min="13100" max="13100" width="10.5703125" style="1236" customWidth="1"/>
    <col min="13101" max="13101" width="12.42578125" style="1236" customWidth="1"/>
    <col min="13102" max="13102" width="14.5703125" style="1236" customWidth="1"/>
    <col min="13103" max="13103" width="12.28515625" style="1236" customWidth="1"/>
    <col min="13104" max="13104" width="25.85546875" style="1236" customWidth="1"/>
    <col min="13105" max="13336" width="0.85546875" style="1236"/>
    <col min="13337" max="13337" width="9.85546875" style="1236" customWidth="1"/>
    <col min="13338" max="13338" width="81.85546875" style="1236" customWidth="1"/>
    <col min="13339" max="13339" width="12.7109375" style="1236" customWidth="1"/>
    <col min="13340" max="13340" width="12.42578125" style="1236" customWidth="1"/>
    <col min="13341" max="13341" width="14.5703125" style="1236" customWidth="1"/>
    <col min="13342" max="13342" width="12.28515625" style="1236" customWidth="1"/>
    <col min="13343" max="13343" width="38.140625" style="1236" customWidth="1"/>
    <col min="13344" max="13344" width="46.85546875" style="1236" customWidth="1"/>
    <col min="13345" max="13347" width="12.7109375" style="1236" customWidth="1"/>
    <col min="13348" max="13348" width="9.28515625" style="1236" customWidth="1"/>
    <col min="13349" max="13349" width="13.5703125" style="1236" customWidth="1"/>
    <col min="13350" max="13350" width="10.28515625" style="1236" customWidth="1"/>
    <col min="13351" max="13351" width="12.85546875" style="1236" customWidth="1"/>
    <col min="13352" max="13352" width="9.140625" style="1236" customWidth="1"/>
    <col min="13353" max="13353" width="9.7109375" style="1236" customWidth="1"/>
    <col min="13354" max="13354" width="9.28515625" style="1236" customWidth="1"/>
    <col min="13355" max="13355" width="9.42578125" style="1236" customWidth="1"/>
    <col min="13356" max="13356" width="10.5703125" style="1236" customWidth="1"/>
    <col min="13357" max="13357" width="12.42578125" style="1236" customWidth="1"/>
    <col min="13358" max="13358" width="14.5703125" style="1236" customWidth="1"/>
    <col min="13359" max="13359" width="12.28515625" style="1236" customWidth="1"/>
    <col min="13360" max="13360" width="25.85546875" style="1236" customWidth="1"/>
    <col min="13361" max="13592" width="0.85546875" style="1236"/>
    <col min="13593" max="13593" width="9.85546875" style="1236" customWidth="1"/>
    <col min="13594" max="13594" width="81.85546875" style="1236" customWidth="1"/>
    <col min="13595" max="13595" width="12.7109375" style="1236" customWidth="1"/>
    <col min="13596" max="13596" width="12.42578125" style="1236" customWidth="1"/>
    <col min="13597" max="13597" width="14.5703125" style="1236" customWidth="1"/>
    <col min="13598" max="13598" width="12.28515625" style="1236" customWidth="1"/>
    <col min="13599" max="13599" width="38.140625" style="1236" customWidth="1"/>
    <col min="13600" max="13600" width="46.85546875" style="1236" customWidth="1"/>
    <col min="13601" max="13603" width="12.7109375" style="1236" customWidth="1"/>
    <col min="13604" max="13604" width="9.28515625" style="1236" customWidth="1"/>
    <col min="13605" max="13605" width="13.5703125" style="1236" customWidth="1"/>
    <col min="13606" max="13606" width="10.28515625" style="1236" customWidth="1"/>
    <col min="13607" max="13607" width="12.85546875" style="1236" customWidth="1"/>
    <col min="13608" max="13608" width="9.140625" style="1236" customWidth="1"/>
    <col min="13609" max="13609" width="9.7109375" style="1236" customWidth="1"/>
    <col min="13610" max="13610" width="9.28515625" style="1236" customWidth="1"/>
    <col min="13611" max="13611" width="9.42578125" style="1236" customWidth="1"/>
    <col min="13612" max="13612" width="10.5703125" style="1236" customWidth="1"/>
    <col min="13613" max="13613" width="12.42578125" style="1236" customWidth="1"/>
    <col min="13614" max="13614" width="14.5703125" style="1236" customWidth="1"/>
    <col min="13615" max="13615" width="12.28515625" style="1236" customWidth="1"/>
    <col min="13616" max="13616" width="25.85546875" style="1236" customWidth="1"/>
    <col min="13617" max="13848" width="0.85546875" style="1236"/>
    <col min="13849" max="13849" width="9.85546875" style="1236" customWidth="1"/>
    <col min="13850" max="13850" width="81.85546875" style="1236" customWidth="1"/>
    <col min="13851" max="13851" width="12.7109375" style="1236" customWidth="1"/>
    <col min="13852" max="13852" width="12.42578125" style="1236" customWidth="1"/>
    <col min="13853" max="13853" width="14.5703125" style="1236" customWidth="1"/>
    <col min="13854" max="13854" width="12.28515625" style="1236" customWidth="1"/>
    <col min="13855" max="13855" width="38.140625" style="1236" customWidth="1"/>
    <col min="13856" max="13856" width="46.85546875" style="1236" customWidth="1"/>
    <col min="13857" max="13859" width="12.7109375" style="1236" customWidth="1"/>
    <col min="13860" max="13860" width="9.28515625" style="1236" customWidth="1"/>
    <col min="13861" max="13861" width="13.5703125" style="1236" customWidth="1"/>
    <col min="13862" max="13862" width="10.28515625" style="1236" customWidth="1"/>
    <col min="13863" max="13863" width="12.85546875" style="1236" customWidth="1"/>
    <col min="13864" max="13864" width="9.140625" style="1236" customWidth="1"/>
    <col min="13865" max="13865" width="9.7109375" style="1236" customWidth="1"/>
    <col min="13866" max="13866" width="9.28515625" style="1236" customWidth="1"/>
    <col min="13867" max="13867" width="9.42578125" style="1236" customWidth="1"/>
    <col min="13868" max="13868" width="10.5703125" style="1236" customWidth="1"/>
    <col min="13869" max="13869" width="12.42578125" style="1236" customWidth="1"/>
    <col min="13870" max="13870" width="14.5703125" style="1236" customWidth="1"/>
    <col min="13871" max="13871" width="12.28515625" style="1236" customWidth="1"/>
    <col min="13872" max="13872" width="25.85546875" style="1236" customWidth="1"/>
    <col min="13873" max="14104" width="0.85546875" style="1236"/>
    <col min="14105" max="14105" width="9.85546875" style="1236" customWidth="1"/>
    <col min="14106" max="14106" width="81.85546875" style="1236" customWidth="1"/>
    <col min="14107" max="14107" width="12.7109375" style="1236" customWidth="1"/>
    <col min="14108" max="14108" width="12.42578125" style="1236" customWidth="1"/>
    <col min="14109" max="14109" width="14.5703125" style="1236" customWidth="1"/>
    <col min="14110" max="14110" width="12.28515625" style="1236" customWidth="1"/>
    <col min="14111" max="14111" width="38.140625" style="1236" customWidth="1"/>
    <col min="14112" max="14112" width="46.85546875" style="1236" customWidth="1"/>
    <col min="14113" max="14115" width="12.7109375" style="1236" customWidth="1"/>
    <col min="14116" max="14116" width="9.28515625" style="1236" customWidth="1"/>
    <col min="14117" max="14117" width="13.5703125" style="1236" customWidth="1"/>
    <col min="14118" max="14118" width="10.28515625" style="1236" customWidth="1"/>
    <col min="14119" max="14119" width="12.85546875" style="1236" customWidth="1"/>
    <col min="14120" max="14120" width="9.140625" style="1236" customWidth="1"/>
    <col min="14121" max="14121" width="9.7109375" style="1236" customWidth="1"/>
    <col min="14122" max="14122" width="9.28515625" style="1236" customWidth="1"/>
    <col min="14123" max="14123" width="9.42578125" style="1236" customWidth="1"/>
    <col min="14124" max="14124" width="10.5703125" style="1236" customWidth="1"/>
    <col min="14125" max="14125" width="12.42578125" style="1236" customWidth="1"/>
    <col min="14126" max="14126" width="14.5703125" style="1236" customWidth="1"/>
    <col min="14127" max="14127" width="12.28515625" style="1236" customWidth="1"/>
    <col min="14128" max="14128" width="25.85546875" style="1236" customWidth="1"/>
    <col min="14129" max="14360" width="0.85546875" style="1236"/>
    <col min="14361" max="14361" width="9.85546875" style="1236" customWidth="1"/>
    <col min="14362" max="14362" width="81.85546875" style="1236" customWidth="1"/>
    <col min="14363" max="14363" width="12.7109375" style="1236" customWidth="1"/>
    <col min="14364" max="14364" width="12.42578125" style="1236" customWidth="1"/>
    <col min="14365" max="14365" width="14.5703125" style="1236" customWidth="1"/>
    <col min="14366" max="14366" width="12.28515625" style="1236" customWidth="1"/>
    <col min="14367" max="14367" width="38.140625" style="1236" customWidth="1"/>
    <col min="14368" max="14368" width="46.85546875" style="1236" customWidth="1"/>
    <col min="14369" max="14371" width="12.7109375" style="1236" customWidth="1"/>
    <col min="14372" max="14372" width="9.28515625" style="1236" customWidth="1"/>
    <col min="14373" max="14373" width="13.5703125" style="1236" customWidth="1"/>
    <col min="14374" max="14374" width="10.28515625" style="1236" customWidth="1"/>
    <col min="14375" max="14375" width="12.85546875" style="1236" customWidth="1"/>
    <col min="14376" max="14376" width="9.140625" style="1236" customWidth="1"/>
    <col min="14377" max="14377" width="9.7109375" style="1236" customWidth="1"/>
    <col min="14378" max="14378" width="9.28515625" style="1236" customWidth="1"/>
    <col min="14379" max="14379" width="9.42578125" style="1236" customWidth="1"/>
    <col min="14380" max="14380" width="10.5703125" style="1236" customWidth="1"/>
    <col min="14381" max="14381" width="12.42578125" style="1236" customWidth="1"/>
    <col min="14382" max="14382" width="14.5703125" style="1236" customWidth="1"/>
    <col min="14383" max="14383" width="12.28515625" style="1236" customWidth="1"/>
    <col min="14384" max="14384" width="25.85546875" style="1236" customWidth="1"/>
    <col min="14385" max="14616" width="0.85546875" style="1236"/>
    <col min="14617" max="14617" width="9.85546875" style="1236" customWidth="1"/>
    <col min="14618" max="14618" width="81.85546875" style="1236" customWidth="1"/>
    <col min="14619" max="14619" width="12.7109375" style="1236" customWidth="1"/>
    <col min="14620" max="14620" width="12.42578125" style="1236" customWidth="1"/>
    <col min="14621" max="14621" width="14.5703125" style="1236" customWidth="1"/>
    <col min="14622" max="14622" width="12.28515625" style="1236" customWidth="1"/>
    <col min="14623" max="14623" width="38.140625" style="1236" customWidth="1"/>
    <col min="14624" max="14624" width="46.85546875" style="1236" customWidth="1"/>
    <col min="14625" max="14627" width="12.7109375" style="1236" customWidth="1"/>
    <col min="14628" max="14628" width="9.28515625" style="1236" customWidth="1"/>
    <col min="14629" max="14629" width="13.5703125" style="1236" customWidth="1"/>
    <col min="14630" max="14630" width="10.28515625" style="1236" customWidth="1"/>
    <col min="14631" max="14631" width="12.85546875" style="1236" customWidth="1"/>
    <col min="14632" max="14632" width="9.140625" style="1236" customWidth="1"/>
    <col min="14633" max="14633" width="9.7109375" style="1236" customWidth="1"/>
    <col min="14634" max="14634" width="9.28515625" style="1236" customWidth="1"/>
    <col min="14635" max="14635" width="9.42578125" style="1236" customWidth="1"/>
    <col min="14636" max="14636" width="10.5703125" style="1236" customWidth="1"/>
    <col min="14637" max="14637" width="12.42578125" style="1236" customWidth="1"/>
    <col min="14638" max="14638" width="14.5703125" style="1236" customWidth="1"/>
    <col min="14639" max="14639" width="12.28515625" style="1236" customWidth="1"/>
    <col min="14640" max="14640" width="25.85546875" style="1236" customWidth="1"/>
    <col min="14641" max="14872" width="0.85546875" style="1236"/>
    <col min="14873" max="14873" width="9.85546875" style="1236" customWidth="1"/>
    <col min="14874" max="14874" width="81.85546875" style="1236" customWidth="1"/>
    <col min="14875" max="14875" width="12.7109375" style="1236" customWidth="1"/>
    <col min="14876" max="14876" width="12.42578125" style="1236" customWidth="1"/>
    <col min="14877" max="14877" width="14.5703125" style="1236" customWidth="1"/>
    <col min="14878" max="14878" width="12.28515625" style="1236" customWidth="1"/>
    <col min="14879" max="14879" width="38.140625" style="1236" customWidth="1"/>
    <col min="14880" max="14880" width="46.85546875" style="1236" customWidth="1"/>
    <col min="14881" max="14883" width="12.7109375" style="1236" customWidth="1"/>
    <col min="14884" max="14884" width="9.28515625" style="1236" customWidth="1"/>
    <col min="14885" max="14885" width="13.5703125" style="1236" customWidth="1"/>
    <col min="14886" max="14886" width="10.28515625" style="1236" customWidth="1"/>
    <col min="14887" max="14887" width="12.85546875" style="1236" customWidth="1"/>
    <col min="14888" max="14888" width="9.140625" style="1236" customWidth="1"/>
    <col min="14889" max="14889" width="9.7109375" style="1236" customWidth="1"/>
    <col min="14890" max="14890" width="9.28515625" style="1236" customWidth="1"/>
    <col min="14891" max="14891" width="9.42578125" style="1236" customWidth="1"/>
    <col min="14892" max="14892" width="10.5703125" style="1236" customWidth="1"/>
    <col min="14893" max="14893" width="12.42578125" style="1236" customWidth="1"/>
    <col min="14894" max="14894" width="14.5703125" style="1236" customWidth="1"/>
    <col min="14895" max="14895" width="12.28515625" style="1236" customWidth="1"/>
    <col min="14896" max="14896" width="25.85546875" style="1236" customWidth="1"/>
    <col min="14897" max="15128" width="0.85546875" style="1236"/>
    <col min="15129" max="15129" width="9.85546875" style="1236" customWidth="1"/>
    <col min="15130" max="15130" width="81.85546875" style="1236" customWidth="1"/>
    <col min="15131" max="15131" width="12.7109375" style="1236" customWidth="1"/>
    <col min="15132" max="15132" width="12.42578125" style="1236" customWidth="1"/>
    <col min="15133" max="15133" width="14.5703125" style="1236" customWidth="1"/>
    <col min="15134" max="15134" width="12.28515625" style="1236" customWidth="1"/>
    <col min="15135" max="15135" width="38.140625" style="1236" customWidth="1"/>
    <col min="15136" max="15136" width="46.85546875" style="1236" customWidth="1"/>
    <col min="15137" max="15139" width="12.7109375" style="1236" customWidth="1"/>
    <col min="15140" max="15140" width="9.28515625" style="1236" customWidth="1"/>
    <col min="15141" max="15141" width="13.5703125" style="1236" customWidth="1"/>
    <col min="15142" max="15142" width="10.28515625" style="1236" customWidth="1"/>
    <col min="15143" max="15143" width="12.85546875" style="1236" customWidth="1"/>
    <col min="15144" max="15144" width="9.140625" style="1236" customWidth="1"/>
    <col min="15145" max="15145" width="9.7109375" style="1236" customWidth="1"/>
    <col min="15146" max="15146" width="9.28515625" style="1236" customWidth="1"/>
    <col min="15147" max="15147" width="9.42578125" style="1236" customWidth="1"/>
    <col min="15148" max="15148" width="10.5703125" style="1236" customWidth="1"/>
    <col min="15149" max="15149" width="12.42578125" style="1236" customWidth="1"/>
    <col min="15150" max="15150" width="14.5703125" style="1236" customWidth="1"/>
    <col min="15151" max="15151" width="12.28515625" style="1236" customWidth="1"/>
    <col min="15152" max="15152" width="25.85546875" style="1236" customWidth="1"/>
    <col min="15153" max="15384" width="0.85546875" style="1236"/>
    <col min="15385" max="15385" width="9.85546875" style="1236" customWidth="1"/>
    <col min="15386" max="15386" width="81.85546875" style="1236" customWidth="1"/>
    <col min="15387" max="15387" width="12.7109375" style="1236" customWidth="1"/>
    <col min="15388" max="15388" width="12.42578125" style="1236" customWidth="1"/>
    <col min="15389" max="15389" width="14.5703125" style="1236" customWidth="1"/>
    <col min="15390" max="15390" width="12.28515625" style="1236" customWidth="1"/>
    <col min="15391" max="15391" width="38.140625" style="1236" customWidth="1"/>
    <col min="15392" max="15392" width="46.85546875" style="1236" customWidth="1"/>
    <col min="15393" max="15395" width="12.7109375" style="1236" customWidth="1"/>
    <col min="15396" max="15396" width="9.28515625" style="1236" customWidth="1"/>
    <col min="15397" max="15397" width="13.5703125" style="1236" customWidth="1"/>
    <col min="15398" max="15398" width="10.28515625" style="1236" customWidth="1"/>
    <col min="15399" max="15399" width="12.85546875" style="1236" customWidth="1"/>
    <col min="15400" max="15400" width="9.140625" style="1236" customWidth="1"/>
    <col min="15401" max="15401" width="9.7109375" style="1236" customWidth="1"/>
    <col min="15402" max="15402" width="9.28515625" style="1236" customWidth="1"/>
    <col min="15403" max="15403" width="9.42578125" style="1236" customWidth="1"/>
    <col min="15404" max="15404" width="10.5703125" style="1236" customWidth="1"/>
    <col min="15405" max="15405" width="12.42578125" style="1236" customWidth="1"/>
    <col min="15406" max="15406" width="14.5703125" style="1236" customWidth="1"/>
    <col min="15407" max="15407" width="12.28515625" style="1236" customWidth="1"/>
    <col min="15408" max="15408" width="25.85546875" style="1236" customWidth="1"/>
    <col min="15409" max="15640" width="0.85546875" style="1236"/>
    <col min="15641" max="15641" width="9.85546875" style="1236" customWidth="1"/>
    <col min="15642" max="15642" width="81.85546875" style="1236" customWidth="1"/>
    <col min="15643" max="15643" width="12.7109375" style="1236" customWidth="1"/>
    <col min="15644" max="15644" width="12.42578125" style="1236" customWidth="1"/>
    <col min="15645" max="15645" width="14.5703125" style="1236" customWidth="1"/>
    <col min="15646" max="15646" width="12.28515625" style="1236" customWidth="1"/>
    <col min="15647" max="15647" width="38.140625" style="1236" customWidth="1"/>
    <col min="15648" max="15648" width="46.85546875" style="1236" customWidth="1"/>
    <col min="15649" max="15651" width="12.7109375" style="1236" customWidth="1"/>
    <col min="15652" max="15652" width="9.28515625" style="1236" customWidth="1"/>
    <col min="15653" max="15653" width="13.5703125" style="1236" customWidth="1"/>
    <col min="15654" max="15654" width="10.28515625" style="1236" customWidth="1"/>
    <col min="15655" max="15655" width="12.85546875" style="1236" customWidth="1"/>
    <col min="15656" max="15656" width="9.140625" style="1236" customWidth="1"/>
    <col min="15657" max="15657" width="9.7109375" style="1236" customWidth="1"/>
    <col min="15658" max="15658" width="9.28515625" style="1236" customWidth="1"/>
    <col min="15659" max="15659" width="9.42578125" style="1236" customWidth="1"/>
    <col min="15660" max="15660" width="10.5703125" style="1236" customWidth="1"/>
    <col min="15661" max="15661" width="12.42578125" style="1236" customWidth="1"/>
    <col min="15662" max="15662" width="14.5703125" style="1236" customWidth="1"/>
    <col min="15663" max="15663" width="12.28515625" style="1236" customWidth="1"/>
    <col min="15664" max="15664" width="25.85546875" style="1236" customWidth="1"/>
    <col min="15665" max="15896" width="0.85546875" style="1236"/>
    <col min="15897" max="15897" width="9.85546875" style="1236" customWidth="1"/>
    <col min="15898" max="15898" width="81.85546875" style="1236" customWidth="1"/>
    <col min="15899" max="15899" width="12.7109375" style="1236" customWidth="1"/>
    <col min="15900" max="15900" width="12.42578125" style="1236" customWidth="1"/>
    <col min="15901" max="15901" width="14.5703125" style="1236" customWidth="1"/>
    <col min="15902" max="15902" width="12.28515625" style="1236" customWidth="1"/>
    <col min="15903" max="15903" width="38.140625" style="1236" customWidth="1"/>
    <col min="15904" max="15904" width="46.85546875" style="1236" customWidth="1"/>
    <col min="15905" max="15907" width="12.7109375" style="1236" customWidth="1"/>
    <col min="15908" max="15908" width="9.28515625" style="1236" customWidth="1"/>
    <col min="15909" max="15909" width="13.5703125" style="1236" customWidth="1"/>
    <col min="15910" max="15910" width="10.28515625" style="1236" customWidth="1"/>
    <col min="15911" max="15911" width="12.85546875" style="1236" customWidth="1"/>
    <col min="15912" max="15912" width="9.140625" style="1236" customWidth="1"/>
    <col min="15913" max="15913" width="9.7109375" style="1236" customWidth="1"/>
    <col min="15914" max="15914" width="9.28515625" style="1236" customWidth="1"/>
    <col min="15915" max="15915" width="9.42578125" style="1236" customWidth="1"/>
    <col min="15916" max="15916" width="10.5703125" style="1236" customWidth="1"/>
    <col min="15917" max="15917" width="12.42578125" style="1236" customWidth="1"/>
    <col min="15918" max="15918" width="14.5703125" style="1236" customWidth="1"/>
    <col min="15919" max="15919" width="12.28515625" style="1236" customWidth="1"/>
    <col min="15920" max="15920" width="25.85546875" style="1236" customWidth="1"/>
    <col min="15921" max="16152" width="0.85546875" style="1236"/>
    <col min="16153" max="16153" width="9.85546875" style="1236" customWidth="1"/>
    <col min="16154" max="16154" width="81.85546875" style="1236" customWidth="1"/>
    <col min="16155" max="16155" width="12.7109375" style="1236" customWidth="1"/>
    <col min="16156" max="16156" width="12.42578125" style="1236" customWidth="1"/>
    <col min="16157" max="16157" width="14.5703125" style="1236" customWidth="1"/>
    <col min="16158" max="16158" width="12.28515625" style="1236" customWidth="1"/>
    <col min="16159" max="16159" width="38.140625" style="1236" customWidth="1"/>
    <col min="16160" max="16160" width="46.85546875" style="1236" customWidth="1"/>
    <col min="16161" max="16163" width="12.7109375" style="1236" customWidth="1"/>
    <col min="16164" max="16164" width="9.28515625" style="1236" customWidth="1"/>
    <col min="16165" max="16165" width="13.5703125" style="1236" customWidth="1"/>
    <col min="16166" max="16166" width="10.28515625" style="1236" customWidth="1"/>
    <col min="16167" max="16167" width="12.85546875" style="1236" customWidth="1"/>
    <col min="16168" max="16168" width="9.140625" style="1236" customWidth="1"/>
    <col min="16169" max="16169" width="9.7109375" style="1236" customWidth="1"/>
    <col min="16170" max="16170" width="9.28515625" style="1236" customWidth="1"/>
    <col min="16171" max="16171" width="9.42578125" style="1236" customWidth="1"/>
    <col min="16172" max="16172" width="10.5703125" style="1236" customWidth="1"/>
    <col min="16173" max="16173" width="12.42578125" style="1236" customWidth="1"/>
    <col min="16174" max="16174" width="14.5703125" style="1236" customWidth="1"/>
    <col min="16175" max="16175" width="12.28515625" style="1236" customWidth="1"/>
    <col min="16176" max="16176" width="25.85546875" style="1236" customWidth="1"/>
    <col min="16177" max="16384" width="0.85546875" style="1236"/>
  </cols>
  <sheetData>
    <row r="2" spans="1:47" ht="29.25" customHeight="1" x14ac:dyDescent="0.3">
      <c r="A2" s="4785" t="s">
        <v>3934</v>
      </c>
      <c r="B2" s="4785"/>
      <c r="C2" s="4785"/>
      <c r="D2" s="4785"/>
      <c r="E2" s="4785"/>
      <c r="F2" s="4785"/>
      <c r="G2" s="4785"/>
      <c r="H2" s="4785"/>
      <c r="I2" s="4785"/>
      <c r="J2" s="4785"/>
      <c r="K2" s="4785"/>
      <c r="L2" s="4785"/>
      <c r="M2" s="4785"/>
      <c r="N2" s="4785"/>
      <c r="O2" s="4785"/>
      <c r="P2" s="4785"/>
      <c r="Q2" s="4785"/>
      <c r="R2" s="4785"/>
      <c r="S2" s="4785"/>
      <c r="T2" s="4785"/>
      <c r="U2" s="4785"/>
      <c r="V2" s="4785"/>
      <c r="W2" s="4785"/>
      <c r="X2" s="4785"/>
      <c r="Y2" s="4785"/>
      <c r="Z2" s="4785"/>
      <c r="AA2" s="4785"/>
      <c r="AB2" s="4785"/>
      <c r="AC2" s="4785"/>
      <c r="AD2" s="4785"/>
      <c r="AE2" s="4785"/>
      <c r="AF2" s="4785"/>
      <c r="AG2" s="4785"/>
      <c r="AH2" s="4785"/>
      <c r="AI2" s="4242"/>
      <c r="AJ2" s="4242"/>
      <c r="AK2" s="4242"/>
      <c r="AL2" s="4242"/>
      <c r="AM2" s="4242"/>
      <c r="AN2" s="4242"/>
      <c r="AO2" s="4242"/>
      <c r="AP2" s="4242"/>
      <c r="AQ2" s="4242"/>
      <c r="AR2" s="4242"/>
      <c r="AS2" s="3911"/>
      <c r="AT2" s="3911"/>
      <c r="AU2" s="3911"/>
    </row>
    <row r="4" spans="1:47" ht="15.75" customHeight="1" x14ac:dyDescent="0.25">
      <c r="A4" s="4787" t="s">
        <v>893</v>
      </c>
      <c r="B4" s="4787" t="s">
        <v>358</v>
      </c>
      <c r="C4" s="4787" t="s">
        <v>894</v>
      </c>
      <c r="D4" s="4787" t="s">
        <v>1790</v>
      </c>
      <c r="E4" s="4787" t="s">
        <v>1789</v>
      </c>
      <c r="F4" s="4787" t="str">
        <f>'вода 2019-2021 коррект'!F4:AD4</f>
        <v>Установлено на первый долгосрочный период регулирования 2016 - 2018 годы</v>
      </c>
      <c r="G4" s="4787"/>
      <c r="H4" s="4787"/>
      <c r="I4" s="4787"/>
      <c r="J4" s="4787"/>
      <c r="K4" s="4787"/>
      <c r="L4" s="4787"/>
      <c r="M4" s="4787"/>
      <c r="N4" s="4787"/>
      <c r="O4" s="4787"/>
      <c r="P4" s="4787"/>
      <c r="Q4" s="4739"/>
      <c r="R4" s="4788" t="s">
        <v>1807</v>
      </c>
      <c r="S4" s="4789"/>
      <c r="T4" s="4789"/>
      <c r="U4" s="4789"/>
      <c r="V4" s="4789"/>
      <c r="W4" s="4789"/>
      <c r="X4" s="4789"/>
      <c r="Y4" s="4789"/>
      <c r="Z4" s="4789"/>
      <c r="AA4" s="4789"/>
      <c r="AB4" s="4789"/>
      <c r="AC4" s="4789"/>
      <c r="AD4" s="4789"/>
      <c r="AE4" s="4741"/>
      <c r="AF4" s="4741"/>
      <c r="AG4" s="4741"/>
      <c r="AH4" s="4741"/>
      <c r="AI4" s="4794"/>
      <c r="AJ4" s="4794"/>
      <c r="AK4" s="4794"/>
      <c r="AL4" s="4794"/>
      <c r="AM4" s="4794"/>
      <c r="AN4" s="4794"/>
      <c r="AO4" s="4794"/>
      <c r="AP4" s="4794"/>
      <c r="AQ4" s="4794"/>
      <c r="AR4" s="4795"/>
      <c r="AS4" s="3925"/>
      <c r="AT4" s="3925"/>
      <c r="AU4" s="3925"/>
    </row>
    <row r="5" spans="1:47" ht="34.5" customHeight="1" x14ac:dyDescent="0.25">
      <c r="A5" s="4787"/>
      <c r="B5" s="4787"/>
      <c r="C5" s="4787"/>
      <c r="D5" s="4787"/>
      <c r="E5" s="4787"/>
      <c r="F5" s="4787" t="s">
        <v>818</v>
      </c>
      <c r="G5" s="4787"/>
      <c r="H5" s="4787"/>
      <c r="I5" s="4787" t="s">
        <v>895</v>
      </c>
      <c r="J5" s="4787"/>
      <c r="K5" s="4787"/>
      <c r="L5" s="4787"/>
      <c r="M5" s="4787"/>
      <c r="N5" s="4787" t="s">
        <v>896</v>
      </c>
      <c r="O5" s="4787"/>
      <c r="P5" s="4787"/>
      <c r="Q5" s="4739"/>
      <c r="R5" s="2585" t="s">
        <v>1802</v>
      </c>
      <c r="S5" s="2585" t="s">
        <v>1808</v>
      </c>
      <c r="T5" s="2585" t="s">
        <v>1809</v>
      </c>
      <c r="U5" s="2585" t="s">
        <v>1810</v>
      </c>
      <c r="V5" s="2585" t="s">
        <v>1811</v>
      </c>
      <c r="W5" s="2585" t="s">
        <v>1812</v>
      </c>
      <c r="X5" s="2585" t="s">
        <v>1802</v>
      </c>
      <c r="Y5" s="2585" t="s">
        <v>2051</v>
      </c>
      <c r="Z5" s="2585" t="s">
        <v>1808</v>
      </c>
      <c r="AA5" s="2585" t="s">
        <v>1809</v>
      </c>
      <c r="AB5" s="2585" t="s">
        <v>1810</v>
      </c>
      <c r="AC5" s="2585" t="s">
        <v>1811</v>
      </c>
      <c r="AD5" s="2585" t="s">
        <v>1812</v>
      </c>
      <c r="AE5" s="4788" t="s">
        <v>1808</v>
      </c>
      <c r="AF5" s="4741"/>
      <c r="AG5" s="4741"/>
      <c r="AH5" s="4742"/>
      <c r="AI5" s="4787" t="s">
        <v>3648</v>
      </c>
      <c r="AJ5" s="4787" t="s">
        <v>3649</v>
      </c>
      <c r="AK5" s="4787" t="s">
        <v>3657</v>
      </c>
      <c r="AL5" s="4788" t="s">
        <v>1809</v>
      </c>
      <c r="AM5" s="4741"/>
      <c r="AN5" s="4741"/>
      <c r="AO5" s="4742"/>
      <c r="AP5" s="4787" t="s">
        <v>3943</v>
      </c>
      <c r="AQ5" s="4787" t="s">
        <v>3944</v>
      </c>
      <c r="AR5" s="4787" t="s">
        <v>3945</v>
      </c>
      <c r="AS5" s="3940"/>
      <c r="AT5" s="3940"/>
      <c r="AU5" s="3940"/>
    </row>
    <row r="6" spans="1:47" ht="67.5" customHeight="1" x14ac:dyDescent="0.25">
      <c r="A6" s="4787"/>
      <c r="B6" s="4787"/>
      <c r="C6" s="4787"/>
      <c r="D6" s="4787"/>
      <c r="E6" s="4787"/>
      <c r="F6" s="2585" t="s">
        <v>1588</v>
      </c>
      <c r="G6" s="2585" t="s">
        <v>1804</v>
      </c>
      <c r="H6" s="2585" t="s">
        <v>1678</v>
      </c>
      <c r="I6" s="2585" t="s">
        <v>1588</v>
      </c>
      <c r="J6" s="2585" t="s">
        <v>1513</v>
      </c>
      <c r="K6" s="2585" t="str">
        <f>'вода 2019-2021 коррект'!K6</f>
        <v>корректировка</v>
      </c>
      <c r="L6" s="2585" t="s">
        <v>1804</v>
      </c>
      <c r="M6" s="2585" t="s">
        <v>1678</v>
      </c>
      <c r="N6" s="2585" t="s">
        <v>1588</v>
      </c>
      <c r="O6" s="2585" t="s">
        <v>1513</v>
      </c>
      <c r="P6" s="2585" t="str">
        <f>'вода 2019-2021 коррект'!P6</f>
        <v>корректировка</v>
      </c>
      <c r="Q6" s="2585" t="s">
        <v>1804</v>
      </c>
      <c r="R6" s="4787" t="s">
        <v>119</v>
      </c>
      <c r="S6" s="4787"/>
      <c r="T6" s="4787"/>
      <c r="U6" s="4787"/>
      <c r="V6" s="4787"/>
      <c r="W6" s="4787"/>
      <c r="X6" s="4787" t="s">
        <v>1524</v>
      </c>
      <c r="Y6" s="4787"/>
      <c r="Z6" s="4787"/>
      <c r="AA6" s="4787"/>
      <c r="AB6" s="4787"/>
      <c r="AC6" s="4787"/>
      <c r="AD6" s="4787"/>
      <c r="AE6" s="2585" t="s">
        <v>3551</v>
      </c>
      <c r="AF6" s="2777" t="s">
        <v>3578</v>
      </c>
      <c r="AG6" s="2777" t="s">
        <v>3708</v>
      </c>
      <c r="AH6" s="2777" t="s">
        <v>3578</v>
      </c>
      <c r="AI6" s="4739"/>
      <c r="AJ6" s="4739"/>
      <c r="AK6" s="4739"/>
      <c r="AL6" s="3571" t="s">
        <v>3551</v>
      </c>
      <c r="AM6" s="3571" t="s">
        <v>3929</v>
      </c>
      <c r="AN6" s="3571" t="s">
        <v>3708</v>
      </c>
      <c r="AO6" s="3571" t="s">
        <v>3929</v>
      </c>
      <c r="AP6" s="4739"/>
      <c r="AQ6" s="4739"/>
      <c r="AR6" s="4739"/>
      <c r="AS6" s="3941"/>
      <c r="AT6" s="3941"/>
      <c r="AU6" s="3941"/>
    </row>
    <row r="7" spans="1:47" s="2813" customFormat="1" ht="27" customHeight="1" x14ac:dyDescent="0.25">
      <c r="A7" s="3780"/>
      <c r="B7" s="3781" t="s">
        <v>897</v>
      </c>
      <c r="C7" s="4808" t="s">
        <v>898</v>
      </c>
      <c r="D7" s="4804" t="s">
        <v>898</v>
      </c>
      <c r="E7" s="4804" t="s">
        <v>898</v>
      </c>
      <c r="F7" s="4804" t="s">
        <v>898</v>
      </c>
      <c r="G7" s="4804" t="s">
        <v>898</v>
      </c>
      <c r="H7" s="4804" t="s">
        <v>898</v>
      </c>
      <c r="I7" s="3782">
        <v>0.01</v>
      </c>
      <c r="J7" s="3782"/>
      <c r="K7" s="3782">
        <v>0.01</v>
      </c>
      <c r="L7" s="4804" t="s">
        <v>898</v>
      </c>
      <c r="M7" s="3782">
        <v>0.01</v>
      </c>
      <c r="N7" s="3782">
        <v>0.01</v>
      </c>
      <c r="O7" s="4817" t="s">
        <v>898</v>
      </c>
      <c r="P7" s="3782">
        <v>0.01</v>
      </c>
      <c r="Q7" s="4817" t="s">
        <v>898</v>
      </c>
      <c r="R7" s="4817" t="s">
        <v>898</v>
      </c>
      <c r="S7" s="3782">
        <v>0.01</v>
      </c>
      <c r="T7" s="3782">
        <v>0.01</v>
      </c>
      <c r="U7" s="3782">
        <v>0.01</v>
      </c>
      <c r="V7" s="3782">
        <v>0.01</v>
      </c>
      <c r="W7" s="3782">
        <v>0.01</v>
      </c>
      <c r="X7" s="4817" t="s">
        <v>898</v>
      </c>
      <c r="Y7" s="4817" t="s">
        <v>898</v>
      </c>
      <c r="Z7" s="3782">
        <v>0.01</v>
      </c>
      <c r="AA7" s="3782">
        <v>0.01</v>
      </c>
      <c r="AB7" s="3782">
        <v>0.01</v>
      </c>
      <c r="AC7" s="3782">
        <v>0.01</v>
      </c>
      <c r="AD7" s="3782">
        <v>0.01</v>
      </c>
      <c r="AE7" s="4817" t="s">
        <v>898</v>
      </c>
      <c r="AF7" s="4817" t="s">
        <v>898</v>
      </c>
      <c r="AG7" s="3782">
        <v>0.01</v>
      </c>
      <c r="AH7" s="4817" t="s">
        <v>898</v>
      </c>
      <c r="AI7" s="4817" t="s">
        <v>898</v>
      </c>
      <c r="AJ7" s="4817" t="s">
        <v>898</v>
      </c>
      <c r="AK7" s="4817" t="s">
        <v>898</v>
      </c>
      <c r="AL7" s="3887">
        <v>0.01</v>
      </c>
      <c r="AM7" s="4818" t="s">
        <v>898</v>
      </c>
      <c r="AN7" s="4150">
        <v>0.01</v>
      </c>
      <c r="AO7" s="4818" t="s">
        <v>898</v>
      </c>
      <c r="AP7" s="4815" t="s">
        <v>898</v>
      </c>
      <c r="AQ7" s="4815" t="s">
        <v>898</v>
      </c>
      <c r="AR7" s="4816" t="s">
        <v>898</v>
      </c>
      <c r="AS7" s="3942"/>
      <c r="AT7" s="3942"/>
      <c r="AU7" s="3942"/>
    </row>
    <row r="8" spans="1:47" s="2813" customFormat="1" ht="20.100000000000001" customHeight="1" x14ac:dyDescent="0.25">
      <c r="A8" s="3780"/>
      <c r="B8" s="3781" t="s">
        <v>899</v>
      </c>
      <c r="C8" s="4808"/>
      <c r="D8" s="4804"/>
      <c r="E8" s="4804"/>
      <c r="F8" s="4804"/>
      <c r="G8" s="4804"/>
      <c r="H8" s="4804"/>
      <c r="I8" s="3785">
        <v>7.3999999999999996E-2</v>
      </c>
      <c r="J8" s="3785"/>
      <c r="K8" s="3785">
        <v>7.0999999999999994E-2</v>
      </c>
      <c r="L8" s="4804"/>
      <c r="M8" s="3785">
        <v>3.6999999999999998E-2</v>
      </c>
      <c r="N8" s="3785">
        <v>5.8000000000000003E-2</v>
      </c>
      <c r="O8" s="4817"/>
      <c r="P8" s="3785">
        <v>3.6999999999999998E-2</v>
      </c>
      <c r="Q8" s="4817"/>
      <c r="R8" s="4817"/>
      <c r="S8" s="3785">
        <v>3.6999999999999998E-2</v>
      </c>
      <c r="T8" s="3785">
        <v>3.6999999999999998E-2</v>
      </c>
      <c r="U8" s="3785">
        <v>3.6999999999999998E-2</v>
      </c>
      <c r="V8" s="3785">
        <v>3.6999999999999998E-2</v>
      </c>
      <c r="W8" s="3785">
        <v>3.6999999999999998E-2</v>
      </c>
      <c r="X8" s="4817"/>
      <c r="Y8" s="4817"/>
      <c r="Z8" s="3785">
        <v>4.5999999999999999E-2</v>
      </c>
      <c r="AA8" s="3785">
        <v>3.4000000000000002E-2</v>
      </c>
      <c r="AB8" s="3785">
        <v>0.04</v>
      </c>
      <c r="AC8" s="3785">
        <v>0.04</v>
      </c>
      <c r="AD8" s="3785">
        <v>0.04</v>
      </c>
      <c r="AE8" s="4817"/>
      <c r="AF8" s="4817"/>
      <c r="AG8" s="3785">
        <v>0.03</v>
      </c>
      <c r="AH8" s="4817"/>
      <c r="AI8" s="4817"/>
      <c r="AJ8" s="4817"/>
      <c r="AK8" s="4817"/>
      <c r="AL8" s="3862">
        <v>4.5999999999999999E-2</v>
      </c>
      <c r="AM8" s="4818"/>
      <c r="AN8" s="4151">
        <v>3.5999999999999997E-2</v>
      </c>
      <c r="AO8" s="4818"/>
      <c r="AP8" s="4815"/>
      <c r="AQ8" s="4815"/>
      <c r="AR8" s="4816"/>
      <c r="AS8" s="3942"/>
      <c r="AT8" s="3942"/>
      <c r="AU8" s="3942"/>
    </row>
    <row r="9" spans="1:47" s="2813" customFormat="1" ht="20.100000000000001" customHeight="1" x14ac:dyDescent="0.25">
      <c r="A9" s="3780"/>
      <c r="B9" s="3781" t="s">
        <v>900</v>
      </c>
      <c r="C9" s="4808"/>
      <c r="D9" s="4804"/>
      <c r="E9" s="4804"/>
      <c r="F9" s="4804"/>
      <c r="G9" s="4804"/>
      <c r="H9" s="4804"/>
      <c r="I9" s="3786">
        <v>0</v>
      </c>
      <c r="J9" s="3786"/>
      <c r="K9" s="3786">
        <v>0</v>
      </c>
      <c r="L9" s="4804"/>
      <c r="M9" s="3786">
        <v>0</v>
      </c>
      <c r="N9" s="3786">
        <v>0</v>
      </c>
      <c r="O9" s="4817"/>
      <c r="P9" s="3786">
        <v>0</v>
      </c>
      <c r="Q9" s="4817"/>
      <c r="R9" s="4817"/>
      <c r="S9" s="3786">
        <v>0</v>
      </c>
      <c r="T9" s="3786">
        <v>0</v>
      </c>
      <c r="U9" s="3786">
        <v>0</v>
      </c>
      <c r="V9" s="3786">
        <v>0</v>
      </c>
      <c r="W9" s="3786">
        <v>0</v>
      </c>
      <c r="X9" s="4817"/>
      <c r="Y9" s="4817"/>
      <c r="Z9" s="3786">
        <v>0</v>
      </c>
      <c r="AA9" s="3786">
        <v>0</v>
      </c>
      <c r="AB9" s="3786">
        <v>0</v>
      </c>
      <c r="AC9" s="3786">
        <v>0</v>
      </c>
      <c r="AD9" s="3786">
        <v>0</v>
      </c>
      <c r="AE9" s="4817"/>
      <c r="AF9" s="4817"/>
      <c r="AG9" s="3786">
        <v>0</v>
      </c>
      <c r="AH9" s="4817"/>
      <c r="AI9" s="4817"/>
      <c r="AJ9" s="4817"/>
      <c r="AK9" s="4817"/>
      <c r="AL9" s="3863">
        <v>0</v>
      </c>
      <c r="AM9" s="4818"/>
      <c r="AN9" s="4152">
        <v>0</v>
      </c>
      <c r="AO9" s="4818"/>
      <c r="AP9" s="4815"/>
      <c r="AQ9" s="4815"/>
      <c r="AR9" s="4816"/>
      <c r="AS9" s="3942"/>
      <c r="AT9" s="3942"/>
      <c r="AU9" s="3942"/>
    </row>
    <row r="10" spans="1:47" s="2805" customFormat="1" x14ac:dyDescent="0.25">
      <c r="A10" s="3787">
        <v>1</v>
      </c>
      <c r="B10" s="3788" t="s">
        <v>901</v>
      </c>
      <c r="C10" s="3787" t="s">
        <v>902</v>
      </c>
      <c r="D10" s="3789">
        <v>868.73</v>
      </c>
      <c r="E10" s="3789">
        <f>E11+E22+E24+E28</f>
        <v>307.76</v>
      </c>
      <c r="F10" s="3789">
        <f>F11+F22+F24+F28</f>
        <v>343.98110328661932</v>
      </c>
      <c r="G10" s="3789">
        <f t="shared" ref="G10:H10" si="0">G11+G22+G24+G28</f>
        <v>41.94</v>
      </c>
      <c r="H10" s="3789">
        <f t="shared" si="0"/>
        <v>274.93607123873733</v>
      </c>
      <c r="I10" s="3789">
        <f>I11+I22+I24+I28</f>
        <v>365.46778424388827</v>
      </c>
      <c r="J10" s="3789">
        <f>J11+J22+J24+J28</f>
        <v>383.20700000000005</v>
      </c>
      <c r="K10" s="3789">
        <f>K11+K22+K24+K28</f>
        <v>345.86970594954454</v>
      </c>
      <c r="L10" s="3789">
        <f t="shared" ref="L10:M10" si="1">L11+L22+L24+L28</f>
        <v>29.1</v>
      </c>
      <c r="M10" s="3789">
        <f t="shared" si="1"/>
        <v>283.78029250458792</v>
      </c>
      <c r="N10" s="3789">
        <f>N11+N22+N24+N28</f>
        <v>383.91179642972696</v>
      </c>
      <c r="O10" s="3789">
        <f t="shared" ref="O10" si="2">O11+O22+O24+O28</f>
        <v>384.57</v>
      </c>
      <c r="P10" s="3789">
        <f>P11+P22+P24+P28</f>
        <v>366.79760876240886</v>
      </c>
      <c r="Q10" s="3789">
        <f t="shared" ref="Q10" si="3">Q11+Q22+Q24+Q28</f>
        <v>24.232999999999997</v>
      </c>
      <c r="R10" s="3789">
        <f t="shared" ref="R10:AD10" si="4">R11+R22+R24+R28</f>
        <v>103.50999999999999</v>
      </c>
      <c r="S10" s="3789">
        <f t="shared" si="4"/>
        <v>106.53999999999999</v>
      </c>
      <c r="T10" s="3789">
        <f t="shared" si="4"/>
        <v>109.44</v>
      </c>
      <c r="U10" s="3789">
        <f t="shared" si="4"/>
        <v>112.58</v>
      </c>
      <c r="V10" s="3789">
        <f t="shared" si="4"/>
        <v>115.67999999999999</v>
      </c>
      <c r="W10" s="3789">
        <f t="shared" si="4"/>
        <v>0</v>
      </c>
      <c r="X10" s="3789">
        <f t="shared" si="4"/>
        <v>30.811242463479257</v>
      </c>
      <c r="Y10" s="3789">
        <f>X10/P10*100</f>
        <v>8.4000663383378456</v>
      </c>
      <c r="Z10" s="3789">
        <f t="shared" si="4"/>
        <v>31.785934257425236</v>
      </c>
      <c r="AA10" s="3789">
        <f t="shared" si="4"/>
        <v>32.583910354880125</v>
      </c>
      <c r="AB10" s="3789">
        <f t="shared" si="4"/>
        <v>33.502140830376895</v>
      </c>
      <c r="AC10" s="3789">
        <f t="shared" si="4"/>
        <v>34.552245945013873</v>
      </c>
      <c r="AD10" s="3789">
        <f t="shared" si="4"/>
        <v>35.58084459643441</v>
      </c>
      <c r="AE10" s="3789">
        <f t="shared" ref="AE10:AI10" si="5">AE11+AE22+AE24+AE28</f>
        <v>34.59801046541218</v>
      </c>
      <c r="AF10" s="3789">
        <f>AE10/X10*100</f>
        <v>112.29021519148863</v>
      </c>
      <c r="AG10" s="3789">
        <f t="shared" ref="AG10" si="6">AG11+AG22+AG24+AG28</f>
        <v>30.517876104420509</v>
      </c>
      <c r="AH10" s="3789">
        <f>AG10/Z10*100</f>
        <v>96.010631171841339</v>
      </c>
      <c r="AI10" s="3789">
        <f t="shared" si="5"/>
        <v>12.51976</v>
      </c>
      <c r="AJ10" s="3789">
        <f t="shared" ref="AJ10:AK10" si="7">AJ11+AJ22+AJ24+AJ28</f>
        <v>18.962799999999998</v>
      </c>
      <c r="AK10" s="3789">
        <f t="shared" si="7"/>
        <v>24.069100000000006</v>
      </c>
      <c r="AL10" s="3864">
        <f t="shared" ref="AL10:AN10" si="8">AL11+AL22+AL24+AL28</f>
        <v>59.179996884835646</v>
      </c>
      <c r="AM10" s="3864">
        <f>AL10/AG10*100</f>
        <v>193.91912032916153</v>
      </c>
      <c r="AN10" s="4153">
        <f t="shared" si="8"/>
        <v>28.926615626442405</v>
      </c>
      <c r="AO10" s="3864">
        <f>AN10/AG10*100</f>
        <v>94.785808578115265</v>
      </c>
      <c r="AP10" s="3864">
        <f t="shared" ref="AP10:AR10" si="9">AP11+AP22+AP24+AP28</f>
        <v>10.47058</v>
      </c>
      <c r="AQ10" s="3864">
        <f t="shared" si="9"/>
        <v>17.489899999999999</v>
      </c>
      <c r="AR10" s="3791" t="e">
        <f t="shared" si="9"/>
        <v>#VALUE!</v>
      </c>
      <c r="AS10" s="3943"/>
      <c r="AT10" s="3943"/>
      <c r="AU10" s="3943"/>
    </row>
    <row r="11" spans="1:47" s="1238" customFormat="1" x14ac:dyDescent="0.25">
      <c r="A11" s="3792" t="s">
        <v>903</v>
      </c>
      <c r="B11" s="3793" t="s">
        <v>904</v>
      </c>
      <c r="C11" s="3792" t="s">
        <v>902</v>
      </c>
      <c r="D11" s="3789">
        <f>D12+D13+D14</f>
        <v>692.49000000000012</v>
      </c>
      <c r="E11" s="3789">
        <f>E12+E13+E14</f>
        <v>275.3</v>
      </c>
      <c r="F11" s="3789">
        <f>F12+F13+F14</f>
        <v>308.72975697928689</v>
      </c>
      <c r="G11" s="3789">
        <f t="shared" ref="G11:H11" si="10">G12+G13+G14</f>
        <v>37.129999999999995</v>
      </c>
      <c r="H11" s="3789">
        <f t="shared" si="10"/>
        <v>273.41558981056386</v>
      </c>
      <c r="I11" s="3789">
        <f>I12+I13+I14</f>
        <v>330.21643793655585</v>
      </c>
      <c r="J11" s="3789">
        <f>J12+J13+J14</f>
        <v>332.95700000000005</v>
      </c>
      <c r="K11" s="3789">
        <f>K12+K13+K14</f>
        <v>326.43049785764902</v>
      </c>
      <c r="L11" s="3789">
        <f t="shared" ref="L11:M11" si="11">L12+L13+L14</f>
        <v>25.650000000000002</v>
      </c>
      <c r="M11" s="3789">
        <f t="shared" si="11"/>
        <v>280.33029250458793</v>
      </c>
      <c r="N11" s="3789">
        <f>N12+N13+N14</f>
        <v>348.66045012239454</v>
      </c>
      <c r="O11" s="3789">
        <f t="shared" ref="O11:Q11" si="12">O12+O13+O14</f>
        <v>347.08</v>
      </c>
      <c r="P11" s="3789">
        <f t="shared" si="12"/>
        <v>345.70197677274734</v>
      </c>
      <c r="Q11" s="3789">
        <f t="shared" si="12"/>
        <v>21.838999999999999</v>
      </c>
      <c r="R11" s="3789">
        <f t="shared" ref="R11:AD11" si="13">R12+R13+R14</f>
        <v>98.52</v>
      </c>
      <c r="S11" s="3789">
        <f t="shared" si="13"/>
        <v>101.55</v>
      </c>
      <c r="T11" s="3789">
        <f t="shared" si="13"/>
        <v>104.45</v>
      </c>
      <c r="U11" s="3789">
        <f t="shared" si="13"/>
        <v>107.59</v>
      </c>
      <c r="V11" s="3789">
        <f t="shared" si="13"/>
        <v>110.69</v>
      </c>
      <c r="W11" s="3789">
        <f t="shared" si="13"/>
        <v>0</v>
      </c>
      <c r="X11" s="3789">
        <f t="shared" si="13"/>
        <v>29.047720933113659</v>
      </c>
      <c r="Y11" s="3789">
        <f>X11/P11*100</f>
        <v>8.4025324946893889</v>
      </c>
      <c r="Z11" s="3789">
        <f t="shared" si="13"/>
        <v>30.022412727059638</v>
      </c>
      <c r="AA11" s="3789">
        <f t="shared" si="13"/>
        <v>30.820388824514527</v>
      </c>
      <c r="AB11" s="3789">
        <f t="shared" si="13"/>
        <v>31.738619300011297</v>
      </c>
      <c r="AC11" s="3789">
        <f t="shared" si="13"/>
        <v>32.788724414648271</v>
      </c>
      <c r="AD11" s="3789">
        <f t="shared" si="13"/>
        <v>33.817323066068809</v>
      </c>
      <c r="AE11" s="3789">
        <f t="shared" ref="AE11:AI11" si="14">AE12+AE13+AE14</f>
        <v>32.834488935046579</v>
      </c>
      <c r="AF11" s="3789">
        <f t="shared" ref="AF11:AF37" si="15">AE11/X11*100</f>
        <v>113.0363687073849</v>
      </c>
      <c r="AG11" s="3789">
        <f t="shared" ref="AG11" si="16">AG12+AG13+AG14</f>
        <v>28.759109437657912</v>
      </c>
      <c r="AH11" s="3789">
        <f t="shared" ref="AH11:AH14" si="17">AG11/Z11*100</f>
        <v>95.79213269470813</v>
      </c>
      <c r="AI11" s="3789">
        <f t="shared" si="14"/>
        <v>12.51976</v>
      </c>
      <c r="AJ11" s="3789">
        <f t="shared" ref="AJ11:AK11" si="18">AJ12+AJ13+AJ14</f>
        <v>18.962799999999998</v>
      </c>
      <c r="AK11" s="3789">
        <f t="shared" si="18"/>
        <v>24.059100000000004</v>
      </c>
      <c r="AL11" s="3864">
        <f t="shared" ref="AL11:AN11" si="19">AL12+AL13+AL14</f>
        <v>59.179996884835646</v>
      </c>
      <c r="AM11" s="3864">
        <f>AL11/AG11*100</f>
        <v>205.77826658061898</v>
      </c>
      <c r="AN11" s="4153">
        <f t="shared" si="19"/>
        <v>28.926615626442405</v>
      </c>
      <c r="AO11" s="3864">
        <f t="shared" ref="AO11:AO39" si="20">AN11/AG11*100</f>
        <v>100.58244567394412</v>
      </c>
      <c r="AP11" s="3864">
        <f t="shared" ref="AP11:AR11" si="21">AP12+AP13+AP14</f>
        <v>10.47058</v>
      </c>
      <c r="AQ11" s="3864">
        <f t="shared" si="21"/>
        <v>17.489899999999999</v>
      </c>
      <c r="AR11" s="3791" t="e">
        <f t="shared" si="21"/>
        <v>#VALUE!</v>
      </c>
      <c r="AS11" s="3943"/>
      <c r="AT11" s="3943"/>
      <c r="AU11" s="3943"/>
    </row>
    <row r="12" spans="1:47" s="1239" customFormat="1" ht="20.100000000000001" customHeight="1" x14ac:dyDescent="0.25">
      <c r="A12" s="3792" t="s">
        <v>905</v>
      </c>
      <c r="B12" s="3794" t="s">
        <v>906</v>
      </c>
      <c r="C12" s="3792" t="s">
        <v>902</v>
      </c>
      <c r="D12" s="3792">
        <v>586.07000000000005</v>
      </c>
      <c r="E12" s="3792">
        <v>237.59</v>
      </c>
      <c r="F12" s="3789">
        <f>вода!BF139+вода!BF140+вода!BF141+вода!BF142+вода!BF143+вода!BF145</f>
        <v>270.46955781056386</v>
      </c>
      <c r="G12" s="3789">
        <v>33.08</v>
      </c>
      <c r="H12" s="3789">
        <f>F12</f>
        <v>270.46955781056386</v>
      </c>
      <c r="I12" s="3789">
        <f>F12*(1-I7)*(1+I8)*(1+I9)</f>
        <v>287.57946203766011</v>
      </c>
      <c r="J12" s="3789">
        <v>295.67</v>
      </c>
      <c r="K12" s="3789">
        <f>F12*(1-K7)*(1+K8)*(1+K9)</f>
        <v>286.7761674509627</v>
      </c>
      <c r="L12" s="3789">
        <v>22.53</v>
      </c>
      <c r="M12" s="3789">
        <f>F12*0.99*1.037</f>
        <v>277.67216213505912</v>
      </c>
      <c r="N12" s="3789">
        <f>I12*(1-N7)*(1+N8)*(1+N9)</f>
        <v>301.21648012748597</v>
      </c>
      <c r="O12" s="3789">
        <v>305.13</v>
      </c>
      <c r="P12" s="3789">
        <f>N12</f>
        <v>301.21648012748597</v>
      </c>
      <c r="Q12" s="3789">
        <f>SUM(вода!BR168)</f>
        <v>18.998999999999999</v>
      </c>
      <c r="R12" s="3789">
        <v>83.81</v>
      </c>
      <c r="S12" s="3789">
        <v>86.38</v>
      </c>
      <c r="T12" s="3789">
        <v>89.01</v>
      </c>
      <c r="U12" s="3789">
        <v>91.73</v>
      </c>
      <c r="V12" s="3789">
        <v>94.55</v>
      </c>
      <c r="W12" s="3789"/>
      <c r="X12" s="3789">
        <f>вода!BX168</f>
        <v>25.498907169864808</v>
      </c>
      <c r="Y12" s="3789">
        <f>X12/P12*100</f>
        <v>8.4653094542080591</v>
      </c>
      <c r="Z12" s="3789">
        <f>X12*(1-Z7)*(1+Z8)*(1+Z9)</f>
        <v>26.405138330681805</v>
      </c>
      <c r="AA12" s="3789">
        <f t="shared" ref="AA12:AD12" si="22">Z12*(1-AA7)*(1+AA8)*(1+AA9)</f>
        <v>27.029883903585738</v>
      </c>
      <c r="AB12" s="3789">
        <f t="shared" si="22"/>
        <v>27.829968467131877</v>
      </c>
      <c r="AC12" s="3789">
        <f t="shared" si="22"/>
        <v>28.653735533758983</v>
      </c>
      <c r="AD12" s="3789">
        <f t="shared" si="22"/>
        <v>29.501886105558249</v>
      </c>
      <c r="AE12" s="3789">
        <f>вода!CA168</f>
        <v>29.208594901584028</v>
      </c>
      <c r="AF12" s="3789">
        <f t="shared" si="15"/>
        <v>114.54841851459192</v>
      </c>
      <c r="AG12" s="3789">
        <f>SUM(вода!CH168)</f>
        <v>25.996086932683362</v>
      </c>
      <c r="AH12" s="3789">
        <f t="shared" si="17"/>
        <v>98.450864400421864</v>
      </c>
      <c r="AI12" s="3789">
        <f>вода!CK168</f>
        <v>12.08831</v>
      </c>
      <c r="AJ12" s="3789">
        <f>вода!CN168</f>
        <v>18.326699999999999</v>
      </c>
      <c r="AK12" s="3789">
        <f>вода!CQ168</f>
        <v>23.192100000000003</v>
      </c>
      <c r="AL12" s="3864">
        <f>вода!CT168</f>
        <v>56.99711524232422</v>
      </c>
      <c r="AM12" s="3864">
        <f>AL12/AG12*100</f>
        <v>219.25267210375833</v>
      </c>
      <c r="AN12" s="4153">
        <f>SUM(вода!CW168)</f>
        <v>26.716949065647434</v>
      </c>
      <c r="AO12" s="3864">
        <f t="shared" si="20"/>
        <v>102.77296400350843</v>
      </c>
      <c r="AP12" s="3864">
        <f>вода!CZ168</f>
        <v>10.06808</v>
      </c>
      <c r="AQ12" s="3864">
        <f>вода!DC168</f>
        <v>16.929019999999998</v>
      </c>
      <c r="AR12" s="3791" t="str">
        <f>вода!CX168</f>
        <v>ОР</v>
      </c>
      <c r="AS12" s="3943"/>
      <c r="AT12" s="3943"/>
      <c r="AU12" s="3943"/>
    </row>
    <row r="13" spans="1:47" s="1239" customFormat="1" ht="62.25" customHeight="1" x14ac:dyDescent="0.25">
      <c r="A13" s="3792" t="s">
        <v>907</v>
      </c>
      <c r="B13" s="3794" t="s">
        <v>908</v>
      </c>
      <c r="C13" s="3792" t="s">
        <v>902</v>
      </c>
      <c r="D13" s="3792">
        <v>52.32</v>
      </c>
      <c r="E13" s="3792">
        <v>18.38</v>
      </c>
      <c r="F13" s="3789">
        <f>вода!BF136</f>
        <v>20.640199168723029</v>
      </c>
      <c r="G13" s="3789">
        <v>1.3</v>
      </c>
      <c r="H13" s="3789">
        <f>'2018 к смета'!D11</f>
        <v>0.72763199999999995</v>
      </c>
      <c r="I13" s="3789">
        <f>F13*1.084</f>
        <v>22.373975898895765</v>
      </c>
      <c r="J13" s="3789">
        <v>20.05</v>
      </c>
      <c r="K13" s="3789">
        <f>'2017 к смета'!D4</f>
        <v>20.927522406686286</v>
      </c>
      <c r="L13" s="3789">
        <v>1.07</v>
      </c>
      <c r="M13" s="3789">
        <f>'ЭЭ вода'!J50</f>
        <v>1.034007169528822</v>
      </c>
      <c r="N13" s="3789">
        <f>I13*1.079</f>
        <v>24.141519994908528</v>
      </c>
      <c r="O13" s="3789">
        <v>22.43</v>
      </c>
      <c r="P13" s="3789">
        <f>'2018 к смета'!J10</f>
        <v>23.594366645261381</v>
      </c>
      <c r="Q13" s="3789">
        <f>SUM(вода!BR169)</f>
        <v>1.1299999999999999</v>
      </c>
      <c r="R13" s="3789">
        <v>6.75</v>
      </c>
      <c r="S13" s="3789">
        <v>7.23</v>
      </c>
      <c r="T13" s="3789">
        <v>7.73</v>
      </c>
      <c r="U13" s="3789">
        <v>8.27</v>
      </c>
      <c r="V13" s="3789">
        <v>8.85</v>
      </c>
      <c r="W13" s="3789"/>
      <c r="X13" s="3789">
        <f>вода!BX169</f>
        <v>1.2183794999999999</v>
      </c>
      <c r="Y13" s="3789">
        <f t="shared" ref="Y13:Y14" si="23">X13/P13*100</f>
        <v>5.1638576204150644</v>
      </c>
      <c r="Z13" s="3789">
        <f>'ЭЭ вода'!U50</f>
        <v>1.269551439</v>
      </c>
      <c r="AA13" s="3789">
        <f>'ЭЭ вода'!V50</f>
        <v>1.32033349656</v>
      </c>
      <c r="AB13" s="3789">
        <f>'ЭЭ вода'!W50</f>
        <v>1.3731468364224</v>
      </c>
      <c r="AC13" s="3789">
        <f>'ЭЭ вода'!X50</f>
        <v>1.4266995630428734</v>
      </c>
      <c r="AD13" s="3789">
        <f>'ЭЭ вода'!Y50</f>
        <v>1.4823408460015455</v>
      </c>
      <c r="AE13" s="3789">
        <f>вода!CA169</f>
        <v>1.269551439</v>
      </c>
      <c r="AF13" s="3789">
        <f t="shared" si="15"/>
        <v>104.2</v>
      </c>
      <c r="AG13" s="3789">
        <f>SUM(вода!CH169)</f>
        <v>0.89212483339199999</v>
      </c>
      <c r="AH13" s="3789">
        <f t="shared" si="17"/>
        <v>70.270869378456112</v>
      </c>
      <c r="AI13" s="3789">
        <f>вода!CK169</f>
        <v>0.43</v>
      </c>
      <c r="AJ13" s="3789">
        <f>вода!CN169</f>
        <v>0.63376999999999994</v>
      </c>
      <c r="AK13" s="3789">
        <f>вода!CQ169</f>
        <v>0.86399999999999999</v>
      </c>
      <c r="AL13" s="3864">
        <f>вода!CT169</f>
        <v>0.96866164251143072</v>
      </c>
      <c r="AM13" s="3864">
        <f>AL13/AG13*100</f>
        <v>108.57915913274442</v>
      </c>
      <c r="AN13" s="4153">
        <f>вода!CW169</f>
        <v>1.4756665607949733</v>
      </c>
      <c r="AO13" s="3864">
        <f t="shared" si="20"/>
        <v>165.41032213891583</v>
      </c>
      <c r="AP13" s="3864">
        <f>вода!CZ169</f>
        <v>0.40250000000000002</v>
      </c>
      <c r="AQ13" s="3864">
        <f>вода!DC169</f>
        <v>0.55088000000000004</v>
      </c>
      <c r="AR13" s="3791" t="str">
        <f>вода!CX169</f>
        <v>РЭ</v>
      </c>
      <c r="AS13" s="3943"/>
      <c r="AT13" s="3943"/>
      <c r="AU13" s="3943"/>
    </row>
    <row r="14" spans="1:47" s="1239" customFormat="1" ht="27" customHeight="1" x14ac:dyDescent="0.25">
      <c r="A14" s="3792" t="s">
        <v>909</v>
      </c>
      <c r="B14" s="3794" t="s">
        <v>910</v>
      </c>
      <c r="C14" s="3792" t="s">
        <v>902</v>
      </c>
      <c r="D14" s="3789">
        <f t="shared" ref="D14:E14" si="24">D15+D16+D17+D18+D21</f>
        <v>54.1</v>
      </c>
      <c r="E14" s="3789">
        <f t="shared" si="24"/>
        <v>19.329999999999998</v>
      </c>
      <c r="F14" s="3789">
        <f>F15+F16+F17+F18+F21</f>
        <v>17.62</v>
      </c>
      <c r="G14" s="3789">
        <f t="shared" ref="G14:H14" si="25">G15+G16+G17+G18+G21</f>
        <v>2.75</v>
      </c>
      <c r="H14" s="3789">
        <f t="shared" si="25"/>
        <v>2.2184000000000004</v>
      </c>
      <c r="I14" s="3789">
        <f t="shared" ref="I14:AD14" si="26">I15+I16+I17+I18+I21</f>
        <v>20.262999999999998</v>
      </c>
      <c r="J14" s="3789">
        <f t="shared" si="26"/>
        <v>17.236999999999998</v>
      </c>
      <c r="K14" s="3789">
        <f t="shared" si="26"/>
        <v>18.726808000000002</v>
      </c>
      <c r="L14" s="3789">
        <f t="shared" si="26"/>
        <v>2.0499999999999998</v>
      </c>
      <c r="M14" s="3789">
        <f t="shared" si="26"/>
        <v>1.6241232000000001</v>
      </c>
      <c r="N14" s="3789">
        <f t="shared" si="26"/>
        <v>23.302449999999997</v>
      </c>
      <c r="O14" s="3789">
        <f t="shared" si="26"/>
        <v>19.52</v>
      </c>
      <c r="P14" s="3789">
        <f t="shared" si="26"/>
        <v>20.89113</v>
      </c>
      <c r="Q14" s="3789">
        <f t="shared" ref="Q14" si="27">Q15+Q16+Q17+Q18+Q21</f>
        <v>1.71</v>
      </c>
      <c r="R14" s="3789">
        <f t="shared" si="26"/>
        <v>7.96</v>
      </c>
      <c r="S14" s="3789">
        <f t="shared" si="26"/>
        <v>7.94</v>
      </c>
      <c r="T14" s="3789">
        <f t="shared" si="26"/>
        <v>7.71</v>
      </c>
      <c r="U14" s="3789">
        <f t="shared" si="26"/>
        <v>7.59</v>
      </c>
      <c r="V14" s="3789">
        <f t="shared" si="26"/>
        <v>7.29</v>
      </c>
      <c r="W14" s="3789">
        <f t="shared" si="26"/>
        <v>0</v>
      </c>
      <c r="X14" s="3789">
        <f t="shared" si="26"/>
        <v>2.3304342632488502</v>
      </c>
      <c r="Y14" s="3789">
        <f t="shared" si="23"/>
        <v>11.155137435116483</v>
      </c>
      <c r="Z14" s="3789">
        <f t="shared" si="26"/>
        <v>2.3477229573778313</v>
      </c>
      <c r="AA14" s="3789">
        <f t="shared" si="26"/>
        <v>2.4701714243687896</v>
      </c>
      <c r="AB14" s="3789">
        <f t="shared" si="26"/>
        <v>2.5355039964570194</v>
      </c>
      <c r="AC14" s="3789">
        <f t="shared" si="26"/>
        <v>2.7082893178464125</v>
      </c>
      <c r="AD14" s="3789">
        <f t="shared" si="26"/>
        <v>2.8330961145090159</v>
      </c>
      <c r="AE14" s="3789">
        <f t="shared" ref="AE14:AI14" si="28">AE15+AE16+AE17+AE18+AE21</f>
        <v>2.3563425944625518</v>
      </c>
      <c r="AF14" s="3789">
        <f t="shared" si="15"/>
        <v>101.11173834088684</v>
      </c>
      <c r="AG14" s="3789">
        <f t="shared" ref="AG14" si="29">AG15+AG16+AG17+AG18+AG21</f>
        <v>1.8708976715825516</v>
      </c>
      <c r="AH14" s="3789">
        <f t="shared" si="17"/>
        <v>79.689882730974134</v>
      </c>
      <c r="AI14" s="3789">
        <f t="shared" si="28"/>
        <v>1.4499999999999999E-3</v>
      </c>
      <c r="AJ14" s="3789">
        <f t="shared" ref="AJ14:AK14" si="30">AJ15+AJ16+AJ17+AJ18+AJ21</f>
        <v>2.33E-3</v>
      </c>
      <c r="AK14" s="3789">
        <f t="shared" si="30"/>
        <v>3.0000000000000001E-3</v>
      </c>
      <c r="AL14" s="3864">
        <f t="shared" ref="AL14:AN14" si="31">AL15+AL16+AL17+AL18+AL21</f>
        <v>1.2142200000000001</v>
      </c>
      <c r="AM14" s="3864">
        <f>AL14/AG14*100</f>
        <v>64.900396127646999</v>
      </c>
      <c r="AN14" s="4153">
        <f t="shared" si="31"/>
        <v>0.73399999999999999</v>
      </c>
      <c r="AO14" s="3864">
        <f t="shared" si="20"/>
        <v>39.23250379477598</v>
      </c>
      <c r="AP14" s="3864">
        <f t="shared" ref="AP14:AR14" si="32">AP15+AP16+AP17+AP18+AP21</f>
        <v>0</v>
      </c>
      <c r="AQ14" s="3864">
        <f t="shared" si="32"/>
        <v>0.01</v>
      </c>
      <c r="AR14" s="3791" t="e">
        <f t="shared" si="32"/>
        <v>#VALUE!</v>
      </c>
      <c r="AS14" s="3943"/>
      <c r="AT14" s="3943"/>
      <c r="AU14" s="3943"/>
    </row>
    <row r="15" spans="1:47" s="1240" customFormat="1" ht="60.75" customHeight="1" x14ac:dyDescent="0.2">
      <c r="A15" s="3796" t="s">
        <v>911</v>
      </c>
      <c r="B15" s="3797" t="s">
        <v>912</v>
      </c>
      <c r="C15" s="3796" t="s">
        <v>902</v>
      </c>
      <c r="D15" s="3796">
        <v>0</v>
      </c>
      <c r="E15" s="3796">
        <v>0</v>
      </c>
      <c r="F15" s="3799">
        <v>0</v>
      </c>
      <c r="G15" s="3799">
        <v>0</v>
      </c>
      <c r="H15" s="3799">
        <f>'2018 к смета'!D18</f>
        <v>0</v>
      </c>
      <c r="I15" s="3799">
        <v>0</v>
      </c>
      <c r="J15" s="3799">
        <v>0</v>
      </c>
      <c r="K15" s="3799">
        <v>0</v>
      </c>
      <c r="L15" s="3799">
        <v>0</v>
      </c>
      <c r="M15" s="3799">
        <v>0</v>
      </c>
      <c r="N15" s="3799">
        <f>I15*1.079</f>
        <v>0</v>
      </c>
      <c r="O15" s="3799">
        <v>0</v>
      </c>
      <c r="P15" s="3799">
        <f>'2018 к смета'!J18</f>
        <v>0</v>
      </c>
      <c r="Q15" s="3799">
        <f>'2018 к смета'!J18</f>
        <v>0</v>
      </c>
      <c r="R15" s="3799">
        <v>0</v>
      </c>
      <c r="S15" s="3799">
        <v>0</v>
      </c>
      <c r="T15" s="3799">
        <f>'2018 к смета'!M18</f>
        <v>0</v>
      </c>
      <c r="U15" s="3799">
        <f>'2018 к смета'!N18</f>
        <v>0</v>
      </c>
      <c r="V15" s="3799">
        <f>'2018 к смета'!O18</f>
        <v>0</v>
      </c>
      <c r="W15" s="3799">
        <f>'2018 к смета'!P18</f>
        <v>0</v>
      </c>
      <c r="X15" s="3799">
        <f>'2018 к смета'!Q18</f>
        <v>0</v>
      </c>
      <c r="Y15" s="3799">
        <v>0</v>
      </c>
      <c r="Z15" s="3799">
        <f>'2018 к смета'!R18</f>
        <v>0</v>
      </c>
      <c r="AA15" s="3799">
        <f>'2018 к смета'!S18</f>
        <v>0</v>
      </c>
      <c r="AB15" s="3799">
        <f>'2018 к смета'!T18</f>
        <v>0</v>
      </c>
      <c r="AC15" s="3799">
        <f>'2018 к смета'!U18</f>
        <v>0</v>
      </c>
      <c r="AD15" s="3799">
        <f>'2018 к смета'!V18</f>
        <v>0</v>
      </c>
      <c r="AE15" s="3799">
        <f>'2018 к смета'!X18</f>
        <v>0</v>
      </c>
      <c r="AF15" s="3789"/>
      <c r="AG15" s="3799">
        <v>0</v>
      </c>
      <c r="AH15" s="3789"/>
      <c r="AI15" s="3799">
        <v>0</v>
      </c>
      <c r="AJ15" s="3799">
        <v>0</v>
      </c>
      <c r="AK15" s="3799">
        <v>0</v>
      </c>
      <c r="AL15" s="3865">
        <v>0</v>
      </c>
      <c r="AM15" s="3864"/>
      <c r="AN15" s="4154">
        <v>0</v>
      </c>
      <c r="AO15" s="3864"/>
      <c r="AP15" s="3865">
        <v>0</v>
      </c>
      <c r="AQ15" s="3908">
        <v>0.01</v>
      </c>
      <c r="AR15" s="3801">
        <v>0</v>
      </c>
      <c r="AS15" s="3943"/>
      <c r="AT15" s="3943"/>
      <c r="AU15" s="3943"/>
    </row>
    <row r="16" spans="1:47" s="1240" customFormat="1" ht="100.5" customHeight="1" x14ac:dyDescent="0.2">
      <c r="A16" s="3796" t="s">
        <v>913</v>
      </c>
      <c r="B16" s="3797" t="s">
        <v>914</v>
      </c>
      <c r="C16" s="3796" t="s">
        <v>902</v>
      </c>
      <c r="D16" s="3796">
        <v>36.6</v>
      </c>
      <c r="E16" s="3796">
        <v>19.329999999999998</v>
      </c>
      <c r="F16" s="3799">
        <v>17.62</v>
      </c>
      <c r="G16" s="3799">
        <v>2.75</v>
      </c>
      <c r="H16" s="3799">
        <f>'2018 к смета'!D19</f>
        <v>2.2184000000000004</v>
      </c>
      <c r="I16" s="3799">
        <f>F16*1.15</f>
        <v>20.262999999999998</v>
      </c>
      <c r="J16" s="3799">
        <f>'2017 к'!D21</f>
        <v>17.236999999999998</v>
      </c>
      <c r="K16" s="3799">
        <f>'2017 к смета'!D13</f>
        <v>18.726808000000002</v>
      </c>
      <c r="L16" s="3799">
        <v>2.0499999999999998</v>
      </c>
      <c r="M16" s="3799">
        <f>'Н 2019-2024'!D23</f>
        <v>1.6241232000000001</v>
      </c>
      <c r="N16" s="3799">
        <f>I16*1.15</f>
        <v>23.302449999999997</v>
      </c>
      <c r="O16" s="3799">
        <v>19.52</v>
      </c>
      <c r="P16" s="3799">
        <f>'2018 к смета'!J19</f>
        <v>20.89113</v>
      </c>
      <c r="Q16" s="3799">
        <f>SUM(вода!BR172)</f>
        <v>1.71</v>
      </c>
      <c r="R16" s="3799">
        <f>'Н 2019-2024'!G23</f>
        <v>7.96</v>
      </c>
      <c r="S16" s="3799">
        <f>'Н 2019-2024'!H23</f>
        <v>7.94</v>
      </c>
      <c r="T16" s="3799">
        <f>'Н 2019-2024'!I23</f>
        <v>7.71</v>
      </c>
      <c r="U16" s="3799">
        <f>'Н 2019-2024'!J23</f>
        <v>7.59</v>
      </c>
      <c r="V16" s="3799">
        <f>'Н 2019-2024'!K23</f>
        <v>7.29</v>
      </c>
      <c r="W16" s="3799"/>
      <c r="X16" s="3799">
        <f>вода!BX172</f>
        <v>2.2995438514545756</v>
      </c>
      <c r="Y16" s="3799">
        <f t="shared" ref="Y16:Y20" si="33">X16/P16*100</f>
        <v>11.007273668081027</v>
      </c>
      <c r="Z16" s="3799">
        <f>'Н 2019-2024'!N23</f>
        <v>2.3157822715825516</v>
      </c>
      <c r="AA16" s="3799">
        <f>'Н 2019-2024'!O23</f>
        <v>2.4369531111416984</v>
      </c>
      <c r="AB16" s="3799">
        <f>'Н 2019-2024'!P23</f>
        <v>2.5009569507008447</v>
      </c>
      <c r="AC16" s="3799">
        <f>'Н 2019-2024'!Q23</f>
        <v>2.6723603902599908</v>
      </c>
      <c r="AD16" s="3799">
        <f>'Н 2019-2024'!R23</f>
        <v>2.7957300298191372</v>
      </c>
      <c r="AE16" s="3799">
        <f>вода!CA172</f>
        <v>2.3557822715825516</v>
      </c>
      <c r="AF16" s="3789">
        <f t="shared" si="15"/>
        <v>102.445633732638</v>
      </c>
      <c r="AG16" s="3799">
        <f>SUM(вода!CH172)</f>
        <v>1.8708976715825516</v>
      </c>
      <c r="AH16" s="3789">
        <f t="shared" ref="AH16:AH22" si="34">AG16/Z16*100</f>
        <v>80.789014344773605</v>
      </c>
      <c r="AI16" s="3799">
        <f>вода!CK172</f>
        <v>0</v>
      </c>
      <c r="AJ16" s="3799">
        <f>вода!CN172</f>
        <v>0</v>
      </c>
      <c r="AK16" s="3799">
        <f>вода!CQ172</f>
        <v>0</v>
      </c>
      <c r="AL16" s="3865">
        <f>вода!CT172</f>
        <v>1.2142200000000001</v>
      </c>
      <c r="AM16" s="3864">
        <f>AL16/AG16*100</f>
        <v>64.900396127646999</v>
      </c>
      <c r="AN16" s="4154">
        <f>вода!CW172</f>
        <v>0.73399999999999999</v>
      </c>
      <c r="AO16" s="3864">
        <f t="shared" si="20"/>
        <v>39.23250379477598</v>
      </c>
      <c r="AP16" s="3865">
        <f>вода!CZ172</f>
        <v>0</v>
      </c>
      <c r="AQ16" s="3865">
        <f>вода!DC172</f>
        <v>0</v>
      </c>
      <c r="AR16" s="3801" t="str">
        <f>вода!CX172</f>
        <v>Налоги</v>
      </c>
      <c r="AS16" s="3943"/>
      <c r="AT16" s="3943"/>
      <c r="AU16" s="3943"/>
    </row>
    <row r="17" spans="1:47" s="1240" customFormat="1" ht="39" customHeight="1" x14ac:dyDescent="0.2">
      <c r="A17" s="3796" t="s">
        <v>915</v>
      </c>
      <c r="B17" s="3797" t="s">
        <v>916</v>
      </c>
      <c r="C17" s="3796" t="s">
        <v>902</v>
      </c>
      <c r="D17" s="3796">
        <v>0</v>
      </c>
      <c r="E17" s="3796">
        <v>0</v>
      </c>
      <c r="F17" s="3799">
        <v>0</v>
      </c>
      <c r="G17" s="3799">
        <v>0</v>
      </c>
      <c r="H17" s="3799">
        <f>'2018 к смета'!D20</f>
        <v>0</v>
      </c>
      <c r="I17" s="3799">
        <f>F17</f>
        <v>0</v>
      </c>
      <c r="J17" s="3799">
        <v>0</v>
      </c>
      <c r="K17" s="3799">
        <v>0</v>
      </c>
      <c r="L17" s="3799">
        <v>0</v>
      </c>
      <c r="M17" s="3799">
        <v>0</v>
      </c>
      <c r="N17" s="3799">
        <f>I17</f>
        <v>0</v>
      </c>
      <c r="O17" s="3799">
        <v>0</v>
      </c>
      <c r="P17" s="3799">
        <f>'2018 к смета'!J20</f>
        <v>0</v>
      </c>
      <c r="Q17" s="3799">
        <v>0</v>
      </c>
      <c r="R17" s="3799">
        <v>0</v>
      </c>
      <c r="S17" s="3799">
        <v>0</v>
      </c>
      <c r="T17" s="3799">
        <v>0</v>
      </c>
      <c r="U17" s="3799">
        <v>0</v>
      </c>
      <c r="V17" s="3799">
        <v>0</v>
      </c>
      <c r="W17" s="3799">
        <v>0</v>
      </c>
      <c r="X17" s="3799">
        <f>вода!BX59</f>
        <v>3.0890411794274542E-2</v>
      </c>
      <c r="Y17" s="3799">
        <v>0</v>
      </c>
      <c r="Z17" s="3799">
        <f>'Аренда земли'!N12</f>
        <v>3.194068579527988E-2</v>
      </c>
      <c r="AA17" s="3799">
        <f>'Аренда земли'!O12</f>
        <v>3.3218313227091074E-2</v>
      </c>
      <c r="AB17" s="3799">
        <f>'Аренда земли'!P12</f>
        <v>3.4547045756174719E-2</v>
      </c>
      <c r="AC17" s="3799">
        <f>'Аренда земли'!Q12</f>
        <v>3.5928927586421709E-2</v>
      </c>
      <c r="AD17" s="3799">
        <f>'Аренда земли'!R12</f>
        <v>3.7366084689878579E-2</v>
      </c>
      <c r="AE17" s="3875">
        <f>вода!CA59</f>
        <v>5.6032287999999999E-4</v>
      </c>
      <c r="AF17" s="3789">
        <f t="shared" si="15"/>
        <v>1.8139055048267578</v>
      </c>
      <c r="AG17" s="3875">
        <f>вода!CCD59</f>
        <v>0</v>
      </c>
      <c r="AH17" s="3789">
        <f t="shared" si="34"/>
        <v>0</v>
      </c>
      <c r="AI17" s="3875">
        <f>вода!CK59</f>
        <v>1.4499999999999999E-3</v>
      </c>
      <c r="AJ17" s="3875">
        <f>вода!CN59</f>
        <v>2.33E-3</v>
      </c>
      <c r="AK17" s="3875">
        <f>вода!CQ59</f>
        <v>3.0000000000000001E-3</v>
      </c>
      <c r="AL17" s="3888">
        <f>вода!CT59</f>
        <v>0</v>
      </c>
      <c r="AM17" s="3864">
        <v>0</v>
      </c>
      <c r="AN17" s="4155">
        <f>вода!CW59</f>
        <v>0</v>
      </c>
      <c r="AO17" s="3864"/>
      <c r="AP17" s="3888">
        <f>вода!CZ59</f>
        <v>0</v>
      </c>
      <c r="AQ17" s="3888">
        <f>вода!DC59</f>
        <v>0</v>
      </c>
      <c r="AR17" s="3876">
        <f>вода!CX59</f>
        <v>0</v>
      </c>
      <c r="AS17" s="3943"/>
      <c r="AT17" s="3943"/>
      <c r="AU17" s="3943"/>
    </row>
    <row r="18" spans="1:47" s="1240" customFormat="1" ht="49.5" hidden="1" customHeight="1" x14ac:dyDescent="0.2">
      <c r="A18" s="3796" t="s">
        <v>917</v>
      </c>
      <c r="B18" s="3797" t="s">
        <v>918</v>
      </c>
      <c r="C18" s="3796" t="s">
        <v>902</v>
      </c>
      <c r="D18" s="3796">
        <v>0</v>
      </c>
      <c r="E18" s="3796">
        <v>0</v>
      </c>
      <c r="F18" s="3799">
        <v>0</v>
      </c>
      <c r="G18" s="3799">
        <v>0</v>
      </c>
      <c r="H18" s="3799">
        <f>'2018 к смета'!D21</f>
        <v>0</v>
      </c>
      <c r="I18" s="3799">
        <v>0</v>
      </c>
      <c r="J18" s="3799">
        <v>0</v>
      </c>
      <c r="K18" s="3799">
        <v>0</v>
      </c>
      <c r="L18" s="3799">
        <v>0</v>
      </c>
      <c r="M18" s="3799">
        <v>0</v>
      </c>
      <c r="N18" s="3799">
        <v>0</v>
      </c>
      <c r="O18" s="3799">
        <v>0</v>
      </c>
      <c r="P18" s="3799">
        <f>'2018 к смета'!J21</f>
        <v>0</v>
      </c>
      <c r="Q18" s="3799">
        <f>'2018 к смета'!J21</f>
        <v>0</v>
      </c>
      <c r="R18" s="3799">
        <v>0</v>
      </c>
      <c r="S18" s="3799">
        <v>0</v>
      </c>
      <c r="T18" s="3799">
        <f>'2018 к смета'!M21</f>
        <v>0</v>
      </c>
      <c r="U18" s="3799">
        <f>'2018 к смета'!N21</f>
        <v>0</v>
      </c>
      <c r="V18" s="3799">
        <f>'2018 к смета'!O21</f>
        <v>0</v>
      </c>
      <c r="W18" s="3799">
        <f>'2018 к смета'!P21</f>
        <v>0</v>
      </c>
      <c r="X18" s="3799">
        <f>'2018 к смета'!Q21</f>
        <v>0</v>
      </c>
      <c r="Y18" s="3799" t="e">
        <f t="shared" si="33"/>
        <v>#DIV/0!</v>
      </c>
      <c r="Z18" s="3799">
        <f>'2018 к смета'!R21</f>
        <v>0</v>
      </c>
      <c r="AA18" s="3799">
        <f>'2018 к смета'!S21</f>
        <v>0</v>
      </c>
      <c r="AB18" s="3799">
        <f>'2018 к смета'!T21</f>
        <v>0</v>
      </c>
      <c r="AC18" s="3799">
        <f>'2018 к смета'!U21</f>
        <v>0</v>
      </c>
      <c r="AD18" s="3799">
        <f>'2018 к смета'!V21</f>
        <v>0</v>
      </c>
      <c r="AE18" s="3799">
        <f>'2018 к смета'!X21</f>
        <v>0</v>
      </c>
      <c r="AF18" s="3789" t="e">
        <f t="shared" si="15"/>
        <v>#DIV/0!</v>
      </c>
      <c r="AG18" s="3799">
        <f>'2018 к смета'!Z21</f>
        <v>0</v>
      </c>
      <c r="AH18" s="3789" t="e">
        <f t="shared" si="34"/>
        <v>#DIV/0!</v>
      </c>
      <c r="AI18" s="3799">
        <f>'2018 к смета'!Z21</f>
        <v>0</v>
      </c>
      <c r="AJ18" s="3799">
        <f>'2018 к смета'!AA21</f>
        <v>0</v>
      </c>
      <c r="AK18" s="3799">
        <f>'2018 к смета'!AB21</f>
        <v>0</v>
      </c>
      <c r="AL18" s="3865">
        <f>'2018 к смета'!AC21</f>
        <v>0</v>
      </c>
      <c r="AM18" s="3864" t="e">
        <f t="shared" ref="AM18:AM21" si="35">AL18/AE18*100</f>
        <v>#DIV/0!</v>
      </c>
      <c r="AN18" s="4154">
        <f>'2018 к смета'!AE21</f>
        <v>0</v>
      </c>
      <c r="AO18" s="3864" t="e">
        <f t="shared" si="20"/>
        <v>#DIV/0!</v>
      </c>
      <c r="AP18" s="3865">
        <f>'2018 к смета'!AG21</f>
        <v>0</v>
      </c>
      <c r="AQ18" s="3865">
        <f>'2018 к смета'!AH21</f>
        <v>0</v>
      </c>
      <c r="AR18" s="3801">
        <f>'2018 к смета'!AI21</f>
        <v>0</v>
      </c>
      <c r="AS18" s="3943"/>
      <c r="AT18" s="3943"/>
      <c r="AU18" s="3943"/>
    </row>
    <row r="19" spans="1:47" s="1240" customFormat="1" ht="12.75" hidden="1" customHeight="1" x14ac:dyDescent="0.2">
      <c r="A19" s="3796" t="s">
        <v>919</v>
      </c>
      <c r="B19" s="3797" t="s">
        <v>920</v>
      </c>
      <c r="C19" s="3796" t="s">
        <v>902</v>
      </c>
      <c r="D19" s="3796">
        <v>0</v>
      </c>
      <c r="E19" s="3796">
        <v>0</v>
      </c>
      <c r="F19" s="3799">
        <v>0</v>
      </c>
      <c r="G19" s="3799">
        <v>0</v>
      </c>
      <c r="H19" s="3799">
        <f>'2018 к смета'!D22</f>
        <v>0</v>
      </c>
      <c r="I19" s="3799">
        <f>'2018 к смета'!E22</f>
        <v>0</v>
      </c>
      <c r="J19" s="3799">
        <f>'2018 к смета'!F22</f>
        <v>0</v>
      </c>
      <c r="K19" s="3799">
        <f>'2018 к смета'!G22</f>
        <v>0</v>
      </c>
      <c r="L19" s="3799">
        <f>'2018 к смета'!H22</f>
        <v>0</v>
      </c>
      <c r="M19" s="3799">
        <f>'2018 к смета'!I22</f>
        <v>0</v>
      </c>
      <c r="N19" s="3799">
        <f>'2018 к смета'!H22</f>
        <v>0</v>
      </c>
      <c r="O19" s="3799">
        <f>'2018 к смета'!I22</f>
        <v>0</v>
      </c>
      <c r="P19" s="3799">
        <f>'2018 к смета'!J22</f>
        <v>0</v>
      </c>
      <c r="Q19" s="3799">
        <f>'2018 к смета'!J22</f>
        <v>0</v>
      </c>
      <c r="R19" s="3799">
        <f>'2018 к смета'!K22</f>
        <v>0</v>
      </c>
      <c r="S19" s="3799">
        <f>'2018 к смета'!L22</f>
        <v>0</v>
      </c>
      <c r="T19" s="3799">
        <f>'2018 к смета'!M22</f>
        <v>0</v>
      </c>
      <c r="U19" s="3799">
        <f>'2018 к смета'!N22</f>
        <v>0</v>
      </c>
      <c r="V19" s="3799">
        <f>'2018 к смета'!O22</f>
        <v>0</v>
      </c>
      <c r="W19" s="3799">
        <f>'2018 к смета'!P22</f>
        <v>0</v>
      </c>
      <c r="X19" s="3799">
        <f>'2018 к смета'!Q22</f>
        <v>0</v>
      </c>
      <c r="Y19" s="3799" t="e">
        <f t="shared" si="33"/>
        <v>#DIV/0!</v>
      </c>
      <c r="Z19" s="3799">
        <f>'2018 к смета'!R22</f>
        <v>0</v>
      </c>
      <c r="AA19" s="3799">
        <f>'2018 к смета'!S22</f>
        <v>0</v>
      </c>
      <c r="AB19" s="3799">
        <f>'2018 к смета'!T22</f>
        <v>0</v>
      </c>
      <c r="AC19" s="3799">
        <f>'2018 к смета'!U22</f>
        <v>0</v>
      </c>
      <c r="AD19" s="3799">
        <f>'2018 к смета'!V22</f>
        <v>0</v>
      </c>
      <c r="AE19" s="3799">
        <f>'2018 к смета'!X22</f>
        <v>0</v>
      </c>
      <c r="AF19" s="3789" t="e">
        <f t="shared" si="15"/>
        <v>#DIV/0!</v>
      </c>
      <c r="AG19" s="3799">
        <f>'2018 к смета'!Z22</f>
        <v>0</v>
      </c>
      <c r="AH19" s="3789" t="e">
        <f t="shared" si="34"/>
        <v>#DIV/0!</v>
      </c>
      <c r="AI19" s="3799">
        <f>'2018 к смета'!Z22</f>
        <v>0</v>
      </c>
      <c r="AJ19" s="3799">
        <f>'2018 к смета'!AA22</f>
        <v>0</v>
      </c>
      <c r="AK19" s="3799">
        <f>'2018 к смета'!AB22</f>
        <v>0</v>
      </c>
      <c r="AL19" s="3865">
        <f>'2018 к смета'!AC22</f>
        <v>0</v>
      </c>
      <c r="AM19" s="3864" t="e">
        <f t="shared" si="35"/>
        <v>#DIV/0!</v>
      </c>
      <c r="AN19" s="4154">
        <f>'2018 к смета'!AE22</f>
        <v>0</v>
      </c>
      <c r="AO19" s="3864" t="e">
        <f t="shared" si="20"/>
        <v>#DIV/0!</v>
      </c>
      <c r="AP19" s="3865">
        <f>'2018 к смета'!AG22</f>
        <v>0</v>
      </c>
      <c r="AQ19" s="3865">
        <f>'2018 к смета'!AH22</f>
        <v>0</v>
      </c>
      <c r="AR19" s="3801">
        <f>'2018 к смета'!AI22</f>
        <v>0</v>
      </c>
      <c r="AS19" s="3943"/>
      <c r="AT19" s="3943"/>
      <c r="AU19" s="3943"/>
    </row>
    <row r="20" spans="1:47" s="1240" customFormat="1" ht="25.5" hidden="1" customHeight="1" x14ac:dyDescent="0.2">
      <c r="A20" s="3796" t="s">
        <v>921</v>
      </c>
      <c r="B20" s="3797" t="s">
        <v>922</v>
      </c>
      <c r="C20" s="3796" t="s">
        <v>902</v>
      </c>
      <c r="D20" s="3796">
        <v>0</v>
      </c>
      <c r="E20" s="3796">
        <v>0</v>
      </c>
      <c r="F20" s="3799">
        <v>0</v>
      </c>
      <c r="G20" s="3799">
        <v>0</v>
      </c>
      <c r="H20" s="3799">
        <f>'2018 к смета'!D23</f>
        <v>0</v>
      </c>
      <c r="I20" s="3799">
        <f>'2018 к смета'!E23</f>
        <v>0</v>
      </c>
      <c r="J20" s="3799">
        <f>'2018 к смета'!F23</f>
        <v>0</v>
      </c>
      <c r="K20" s="3799">
        <f>'2018 к смета'!G23</f>
        <v>0</v>
      </c>
      <c r="L20" s="3799">
        <f>'2018 к смета'!H23</f>
        <v>0</v>
      </c>
      <c r="M20" s="3799">
        <f>'2018 к смета'!I23</f>
        <v>0</v>
      </c>
      <c r="N20" s="3799">
        <f>'2018 к смета'!H23</f>
        <v>0</v>
      </c>
      <c r="O20" s="3799">
        <f>'2018 к смета'!I23</f>
        <v>0</v>
      </c>
      <c r="P20" s="3799">
        <f>'2018 к смета'!J23</f>
        <v>0</v>
      </c>
      <c r="Q20" s="3799">
        <f>'2018 к смета'!J23</f>
        <v>0</v>
      </c>
      <c r="R20" s="3799">
        <f>'2018 к смета'!K23</f>
        <v>0</v>
      </c>
      <c r="S20" s="3799">
        <f>'2018 к смета'!L23</f>
        <v>0</v>
      </c>
      <c r="T20" s="3799">
        <f>'2018 к смета'!M23</f>
        <v>0</v>
      </c>
      <c r="U20" s="3799">
        <f>'2018 к смета'!N23</f>
        <v>0</v>
      </c>
      <c r="V20" s="3799">
        <f>'2018 к смета'!O23</f>
        <v>0</v>
      </c>
      <c r="W20" s="3799">
        <f>'2018 к смета'!P23</f>
        <v>0</v>
      </c>
      <c r="X20" s="3799">
        <f>'2018 к смета'!Q23</f>
        <v>0</v>
      </c>
      <c r="Y20" s="3799" t="e">
        <f t="shared" si="33"/>
        <v>#DIV/0!</v>
      </c>
      <c r="Z20" s="3799">
        <f>'2018 к смета'!R23</f>
        <v>0</v>
      </c>
      <c r="AA20" s="3799">
        <f>'2018 к смета'!S23</f>
        <v>0</v>
      </c>
      <c r="AB20" s="3799">
        <f>'2018 к смета'!T23</f>
        <v>0</v>
      </c>
      <c r="AC20" s="3799">
        <f>'2018 к смета'!U23</f>
        <v>0</v>
      </c>
      <c r="AD20" s="3799">
        <f>'2018 к смета'!V23</f>
        <v>0</v>
      </c>
      <c r="AE20" s="3799">
        <f>'2018 к смета'!X23</f>
        <v>0</v>
      </c>
      <c r="AF20" s="3789" t="e">
        <f t="shared" si="15"/>
        <v>#DIV/0!</v>
      </c>
      <c r="AG20" s="3799">
        <f>'2018 к смета'!Z23</f>
        <v>0</v>
      </c>
      <c r="AH20" s="3789" t="e">
        <f t="shared" si="34"/>
        <v>#DIV/0!</v>
      </c>
      <c r="AI20" s="3799">
        <f>'2018 к смета'!Z23</f>
        <v>0</v>
      </c>
      <c r="AJ20" s="3799">
        <f>'2018 к смета'!AA23</f>
        <v>0</v>
      </c>
      <c r="AK20" s="3799">
        <f>'2018 к смета'!AB23</f>
        <v>0</v>
      </c>
      <c r="AL20" s="3865">
        <f>'2018 к смета'!AC23</f>
        <v>0</v>
      </c>
      <c r="AM20" s="3864" t="e">
        <f t="shared" si="35"/>
        <v>#DIV/0!</v>
      </c>
      <c r="AN20" s="4154">
        <f>'2018 к смета'!AE23</f>
        <v>0</v>
      </c>
      <c r="AO20" s="3864" t="e">
        <f t="shared" si="20"/>
        <v>#DIV/0!</v>
      </c>
      <c r="AP20" s="3865">
        <f>'2018 к смета'!AG23</f>
        <v>0</v>
      </c>
      <c r="AQ20" s="3865">
        <f>'2018 к смета'!AH23</f>
        <v>0</v>
      </c>
      <c r="AR20" s="3801">
        <f>'2018 к смета'!AI23</f>
        <v>0</v>
      </c>
      <c r="AS20" s="3943"/>
      <c r="AT20" s="3943"/>
      <c r="AU20" s="3943"/>
    </row>
    <row r="21" spans="1:47" s="1240" customFormat="1" ht="51.75" hidden="1" customHeight="1" x14ac:dyDescent="0.2">
      <c r="A21" s="3796" t="s">
        <v>923</v>
      </c>
      <c r="B21" s="3797" t="s">
        <v>924</v>
      </c>
      <c r="C21" s="3796" t="s">
        <v>902</v>
      </c>
      <c r="D21" s="3796">
        <v>17.5</v>
      </c>
      <c r="E21" s="3796">
        <v>0</v>
      </c>
      <c r="F21" s="3799">
        <v>0</v>
      </c>
      <c r="G21" s="3799">
        <v>0</v>
      </c>
      <c r="H21" s="3799">
        <f>'2018 к смета'!D24</f>
        <v>0</v>
      </c>
      <c r="I21" s="3799">
        <v>0</v>
      </c>
      <c r="J21" s="3799">
        <v>0</v>
      </c>
      <c r="K21" s="3799">
        <v>0</v>
      </c>
      <c r="L21" s="3799">
        <v>0</v>
      </c>
      <c r="M21" s="3799">
        <v>0</v>
      </c>
      <c r="N21" s="3799">
        <v>0</v>
      </c>
      <c r="O21" s="3799">
        <v>0</v>
      </c>
      <c r="P21" s="3799">
        <f>'2018 к смета'!J24</f>
        <v>0</v>
      </c>
      <c r="Q21" s="3799">
        <f>'2018 к смета'!J24</f>
        <v>0</v>
      </c>
      <c r="R21" s="3799">
        <f>'2018 к смета'!K24</f>
        <v>0</v>
      </c>
      <c r="S21" s="3799">
        <f>'2018 к смета'!L24</f>
        <v>0</v>
      </c>
      <c r="T21" s="3799">
        <f>'2018 к смета'!M24</f>
        <v>0</v>
      </c>
      <c r="U21" s="3799">
        <f>'2018 к смета'!N24</f>
        <v>0</v>
      </c>
      <c r="V21" s="3799">
        <f>'2018 к смета'!O24</f>
        <v>0</v>
      </c>
      <c r="W21" s="3799">
        <f>'2018 к смета'!P24</f>
        <v>0</v>
      </c>
      <c r="X21" s="3799">
        <f>'2018 к смета'!Q24</f>
        <v>0</v>
      </c>
      <c r="Y21" s="3799">
        <v>0</v>
      </c>
      <c r="Z21" s="3799">
        <f>'2018 к смета'!R24</f>
        <v>0</v>
      </c>
      <c r="AA21" s="3799">
        <f>'2018 к смета'!S24</f>
        <v>0</v>
      </c>
      <c r="AB21" s="3799">
        <f>'2018 к смета'!T24</f>
        <v>0</v>
      </c>
      <c r="AC21" s="3799">
        <f>'2018 к смета'!U24</f>
        <v>0</v>
      </c>
      <c r="AD21" s="3799">
        <f>'2018 к смета'!V24</f>
        <v>0</v>
      </c>
      <c r="AE21" s="3799">
        <f>'2018 к смета'!X24</f>
        <v>0</v>
      </c>
      <c r="AF21" s="3789" t="e">
        <f t="shared" si="15"/>
        <v>#DIV/0!</v>
      </c>
      <c r="AG21" s="3799">
        <f>'2018 к смета'!Z24</f>
        <v>0</v>
      </c>
      <c r="AH21" s="3789" t="e">
        <f t="shared" si="34"/>
        <v>#DIV/0!</v>
      </c>
      <c r="AI21" s="3799">
        <f>'2018 к смета'!Z24</f>
        <v>0</v>
      </c>
      <c r="AJ21" s="3799">
        <f>'2018 к смета'!AA24</f>
        <v>0</v>
      </c>
      <c r="AK21" s="3799">
        <f>'2018 к смета'!AB24</f>
        <v>0</v>
      </c>
      <c r="AL21" s="3865">
        <f>'2018 к смета'!AC24</f>
        <v>0</v>
      </c>
      <c r="AM21" s="3864" t="e">
        <f t="shared" si="35"/>
        <v>#DIV/0!</v>
      </c>
      <c r="AN21" s="4154">
        <f>'2018 к смета'!AE24</f>
        <v>0</v>
      </c>
      <c r="AO21" s="3864" t="e">
        <f t="shared" si="20"/>
        <v>#DIV/0!</v>
      </c>
      <c r="AP21" s="3865">
        <f>'2018 к смета'!AG24</f>
        <v>0</v>
      </c>
      <c r="AQ21" s="3865">
        <f>'2018 к смета'!AH24</f>
        <v>0</v>
      </c>
      <c r="AR21" s="3801">
        <f>'2018 к смета'!AI24</f>
        <v>0</v>
      </c>
      <c r="AS21" s="3943"/>
      <c r="AT21" s="3943"/>
      <c r="AU21" s="3943"/>
    </row>
    <row r="22" spans="1:47" s="1238" customFormat="1" ht="20.100000000000001" customHeight="1" x14ac:dyDescent="0.25">
      <c r="A22" s="3792" t="s">
        <v>925</v>
      </c>
      <c r="B22" s="3793" t="s">
        <v>2</v>
      </c>
      <c r="C22" s="3792" t="s">
        <v>902</v>
      </c>
      <c r="D22" s="3792">
        <v>77.739999999999995</v>
      </c>
      <c r="E22" s="3792">
        <v>32.46</v>
      </c>
      <c r="F22" s="3789">
        <f>вода!BF138</f>
        <v>35.251346307332426</v>
      </c>
      <c r="G22" s="3789">
        <v>4.8099999999999996</v>
      </c>
      <c r="H22" s="3789">
        <f>'2018 к смета'!D25</f>
        <v>1.5204814281734422</v>
      </c>
      <c r="I22" s="3789">
        <f>F22</f>
        <v>35.251346307332426</v>
      </c>
      <c r="J22" s="3789">
        <v>32</v>
      </c>
      <c r="K22" s="3789">
        <f>'2017 к смета'!D19</f>
        <v>19.439208091895523</v>
      </c>
      <c r="L22" s="3789">
        <v>3.45</v>
      </c>
      <c r="M22" s="3789">
        <f>вода!BL138</f>
        <v>3.45</v>
      </c>
      <c r="N22" s="3789">
        <f>I22</f>
        <v>35.251346307332426</v>
      </c>
      <c r="O22" s="3789">
        <v>19.18</v>
      </c>
      <c r="P22" s="3789">
        <f>'2018 к смета'!J25</f>
        <v>21.095631989661516</v>
      </c>
      <c r="Q22" s="3789">
        <f>SUM(вода!BR175)</f>
        <v>2.3940000000000001</v>
      </c>
      <c r="R22" s="3789">
        <v>4.99</v>
      </c>
      <c r="S22" s="3789">
        <v>4.99</v>
      </c>
      <c r="T22" s="3789">
        <v>4.99</v>
      </c>
      <c r="U22" s="3789">
        <v>4.99</v>
      </c>
      <c r="V22" s="3789">
        <v>4.99</v>
      </c>
      <c r="W22" s="3789"/>
      <c r="X22" s="3789">
        <f>вода!BX175</f>
        <v>1.7635215303655989</v>
      </c>
      <c r="Y22" s="3789">
        <f>X22/P22*100</f>
        <v>8.3596525158850916</v>
      </c>
      <c r="Z22" s="3789">
        <f>X22</f>
        <v>1.7635215303655989</v>
      </c>
      <c r="AA22" s="3789">
        <f t="shared" ref="AA22:AD22" si="36">Z22</f>
        <v>1.7635215303655989</v>
      </c>
      <c r="AB22" s="3789">
        <f t="shared" si="36"/>
        <v>1.7635215303655989</v>
      </c>
      <c r="AC22" s="3789">
        <f t="shared" si="36"/>
        <v>1.7635215303655989</v>
      </c>
      <c r="AD22" s="3789">
        <f t="shared" si="36"/>
        <v>1.7635215303655989</v>
      </c>
      <c r="AE22" s="3789">
        <f>вода!CA175</f>
        <v>1.7635215303655989</v>
      </c>
      <c r="AF22" s="3789">
        <f t="shared" si="15"/>
        <v>100</v>
      </c>
      <c r="AG22" s="3789">
        <f>вода!CH175</f>
        <v>1.7587666667625974</v>
      </c>
      <c r="AH22" s="3789">
        <f t="shared" si="34"/>
        <v>99.73037677617603</v>
      </c>
      <c r="AI22" s="3789">
        <f>вода!CK175</f>
        <v>0</v>
      </c>
      <c r="AJ22" s="3789">
        <f>вода!CN175</f>
        <v>0</v>
      </c>
      <c r="AK22" s="3789">
        <f>вода!CQ175</f>
        <v>0</v>
      </c>
      <c r="AL22" s="3864">
        <f>вода!CT175</f>
        <v>0</v>
      </c>
      <c r="AM22" s="3864">
        <f>AL22/AG22*100</f>
        <v>0</v>
      </c>
      <c r="AN22" s="4153">
        <f>вода!CW175</f>
        <v>0</v>
      </c>
      <c r="AO22" s="3864"/>
      <c r="AP22" s="3864">
        <f>вода!CZ175</f>
        <v>0</v>
      </c>
      <c r="AQ22" s="3864">
        <f>вода!DC175</f>
        <v>0</v>
      </c>
      <c r="AR22" s="3791" t="str">
        <f>вода!CX175</f>
        <v>Амортизация</v>
      </c>
      <c r="AS22" s="3943"/>
      <c r="AT22" s="3943"/>
      <c r="AU22" s="3943"/>
    </row>
    <row r="23" spans="1:47" s="1241" customFormat="1" ht="14.25" x14ac:dyDescent="0.2">
      <c r="A23" s="3803" t="s">
        <v>193</v>
      </c>
      <c r="B23" s="3804" t="s">
        <v>926</v>
      </c>
      <c r="C23" s="3877" t="s">
        <v>44</v>
      </c>
      <c r="D23" s="3878">
        <f t="shared" ref="D23:E23" si="37">D24/(D11+D22)*100</f>
        <v>0</v>
      </c>
      <c r="E23" s="3878">
        <f t="shared" si="37"/>
        <v>0</v>
      </c>
      <c r="F23" s="3878">
        <f>F24/(F11+F22)*100</f>
        <v>0</v>
      </c>
      <c r="G23" s="3878">
        <f t="shared" ref="G23:H23" si="38">G24/(G11+G22)*100</f>
        <v>0</v>
      </c>
      <c r="H23" s="3878">
        <f t="shared" si="38"/>
        <v>0</v>
      </c>
      <c r="I23" s="3878">
        <f t="shared" ref="I23:N23" si="39">I24/(I11+I22)*100</f>
        <v>0</v>
      </c>
      <c r="J23" s="3878">
        <f t="shared" ref="J23:K23" si="40">J24/(J11+J22)*100</f>
        <v>0</v>
      </c>
      <c r="K23" s="3878">
        <f t="shared" si="40"/>
        <v>0</v>
      </c>
      <c r="L23" s="3878">
        <f t="shared" ref="L23:M23" si="41">L24/(L11+L22)*100</f>
        <v>0</v>
      </c>
      <c r="M23" s="3878">
        <f t="shared" si="41"/>
        <v>0</v>
      </c>
      <c r="N23" s="3878">
        <f t="shared" si="39"/>
        <v>0</v>
      </c>
      <c r="O23" s="3878">
        <f t="shared" ref="O23:AD23" si="42">O24/(O11+O22)*100</f>
        <v>0</v>
      </c>
      <c r="P23" s="3878">
        <f t="shared" si="42"/>
        <v>0</v>
      </c>
      <c r="Q23" s="3878">
        <f t="shared" ref="Q23" si="43">Q24/(Q11+Q22)*100</f>
        <v>0</v>
      </c>
      <c r="R23" s="3878">
        <f t="shared" si="42"/>
        <v>0</v>
      </c>
      <c r="S23" s="3878">
        <f t="shared" si="42"/>
        <v>0</v>
      </c>
      <c r="T23" s="3878">
        <f t="shared" si="42"/>
        <v>0</v>
      </c>
      <c r="U23" s="3878">
        <f t="shared" si="42"/>
        <v>0</v>
      </c>
      <c r="V23" s="3878">
        <f t="shared" si="42"/>
        <v>0</v>
      </c>
      <c r="W23" s="3878">
        <v>0</v>
      </c>
      <c r="X23" s="3878">
        <f t="shared" si="42"/>
        <v>0</v>
      </c>
      <c r="Y23" s="3805">
        <v>0</v>
      </c>
      <c r="Z23" s="3878">
        <f t="shared" si="42"/>
        <v>0</v>
      </c>
      <c r="AA23" s="3878">
        <f t="shared" si="42"/>
        <v>0</v>
      </c>
      <c r="AB23" s="3878">
        <f t="shared" si="42"/>
        <v>0</v>
      </c>
      <c r="AC23" s="3878">
        <f t="shared" si="42"/>
        <v>0</v>
      </c>
      <c r="AD23" s="3878">
        <f t="shared" si="42"/>
        <v>0</v>
      </c>
      <c r="AE23" s="3878">
        <f t="shared" ref="AE23:AI23" si="44">AE24/(AE11+AE22)*100</f>
        <v>0</v>
      </c>
      <c r="AF23" s="3789"/>
      <c r="AG23" s="3879">
        <f t="shared" ref="AG23" si="45">AG24/(AG11+AG22)*100</f>
        <v>0</v>
      </c>
      <c r="AH23" s="3789"/>
      <c r="AI23" s="3878">
        <f t="shared" si="44"/>
        <v>0</v>
      </c>
      <c r="AJ23" s="3879">
        <f t="shared" ref="AJ23:AK23" si="46">AJ24/(AJ11+AJ22)*100</f>
        <v>0</v>
      </c>
      <c r="AK23" s="3879">
        <f t="shared" si="46"/>
        <v>0</v>
      </c>
      <c r="AL23" s="3889">
        <f t="shared" ref="AL23:AN23" si="47">AL24/(AL11+AL22)*100</f>
        <v>0</v>
      </c>
      <c r="AM23" s="3864"/>
      <c r="AN23" s="4156">
        <f t="shared" si="47"/>
        <v>0</v>
      </c>
      <c r="AO23" s="3864"/>
      <c r="AP23" s="3889">
        <f t="shared" ref="AP23:AR23" si="48">AP24/(AP11+AP22)*100</f>
        <v>0</v>
      </c>
      <c r="AQ23" s="3889">
        <f t="shared" si="48"/>
        <v>0</v>
      </c>
      <c r="AR23" s="3880" t="e">
        <f t="shared" si="48"/>
        <v>#VALUE!</v>
      </c>
      <c r="AS23" s="3943"/>
      <c r="AT23" s="3943"/>
      <c r="AU23" s="3943"/>
    </row>
    <row r="24" spans="1:47" s="1238" customFormat="1" ht="20.100000000000001" customHeight="1" x14ac:dyDescent="0.25">
      <c r="A24" s="3792" t="s">
        <v>927</v>
      </c>
      <c r="B24" s="3793" t="s">
        <v>928</v>
      </c>
      <c r="C24" s="3792" t="s">
        <v>902</v>
      </c>
      <c r="D24" s="3789">
        <f t="shared" ref="D24:E24" si="49">D25+D26+D27</f>
        <v>0</v>
      </c>
      <c r="E24" s="3789">
        <f t="shared" si="49"/>
        <v>0</v>
      </c>
      <c r="F24" s="3789">
        <f>F25+F26+F27</f>
        <v>0</v>
      </c>
      <c r="G24" s="3789">
        <f t="shared" ref="G24:H24" si="50">G25+G26+G27</f>
        <v>0</v>
      </c>
      <c r="H24" s="3789">
        <f t="shared" si="50"/>
        <v>0</v>
      </c>
      <c r="I24" s="3789">
        <f t="shared" ref="I24:AD24" si="51">I25+I26+I27</f>
        <v>0</v>
      </c>
      <c r="J24" s="3789">
        <f t="shared" ref="J24:K24" si="52">J25+J26+J27</f>
        <v>0</v>
      </c>
      <c r="K24" s="3789">
        <f t="shared" si="52"/>
        <v>0</v>
      </c>
      <c r="L24" s="3789">
        <f t="shared" ref="L24:M24" si="53">L25+L26+L27</f>
        <v>0</v>
      </c>
      <c r="M24" s="3789">
        <f t="shared" si="53"/>
        <v>0</v>
      </c>
      <c r="N24" s="3789">
        <f t="shared" si="51"/>
        <v>0</v>
      </c>
      <c r="O24" s="3789">
        <f t="shared" si="51"/>
        <v>0</v>
      </c>
      <c r="P24" s="3789">
        <f t="shared" si="51"/>
        <v>0</v>
      </c>
      <c r="Q24" s="3789">
        <f t="shared" ref="Q24" si="54">Q25+Q26+Q27</f>
        <v>0</v>
      </c>
      <c r="R24" s="3789">
        <f t="shared" si="51"/>
        <v>0</v>
      </c>
      <c r="S24" s="3789">
        <f t="shared" si="51"/>
        <v>0</v>
      </c>
      <c r="T24" s="3789">
        <f t="shared" si="51"/>
        <v>0</v>
      </c>
      <c r="U24" s="3789">
        <f t="shared" si="51"/>
        <v>0</v>
      </c>
      <c r="V24" s="3789">
        <f t="shared" si="51"/>
        <v>0</v>
      </c>
      <c r="W24" s="3789">
        <f t="shared" si="51"/>
        <v>0</v>
      </c>
      <c r="X24" s="3789">
        <f t="shared" si="51"/>
        <v>0</v>
      </c>
      <c r="Y24" s="3789">
        <v>0</v>
      </c>
      <c r="Z24" s="3789">
        <f t="shared" si="51"/>
        <v>0</v>
      </c>
      <c r="AA24" s="3789">
        <f t="shared" si="51"/>
        <v>0</v>
      </c>
      <c r="AB24" s="3789">
        <f t="shared" si="51"/>
        <v>0</v>
      </c>
      <c r="AC24" s="3789">
        <f t="shared" si="51"/>
        <v>0</v>
      </c>
      <c r="AD24" s="3789">
        <f t="shared" si="51"/>
        <v>0</v>
      </c>
      <c r="AE24" s="3789">
        <f t="shared" ref="AE24:AI24" si="55">AE25+AE26+AE27</f>
        <v>0</v>
      </c>
      <c r="AF24" s="3789"/>
      <c r="AG24" s="3789">
        <f t="shared" ref="AG24" si="56">AG25+AG26+AG27</f>
        <v>0</v>
      </c>
      <c r="AH24" s="3789"/>
      <c r="AI24" s="3789">
        <f t="shared" si="55"/>
        <v>0</v>
      </c>
      <c r="AJ24" s="3789">
        <f t="shared" ref="AJ24:AK24" si="57">AJ25+AJ26+AJ27</f>
        <v>0</v>
      </c>
      <c r="AK24" s="3789">
        <f t="shared" si="57"/>
        <v>0</v>
      </c>
      <c r="AL24" s="3864">
        <f t="shared" ref="AL24:AN24" si="58">AL25+AL26+AL27</f>
        <v>0</v>
      </c>
      <c r="AM24" s="3864"/>
      <c r="AN24" s="4153">
        <f t="shared" si="58"/>
        <v>0</v>
      </c>
      <c r="AO24" s="3864"/>
      <c r="AP24" s="3864">
        <f t="shared" ref="AP24:AR24" si="59">AP25+AP26+AP27</f>
        <v>0</v>
      </c>
      <c r="AQ24" s="3864">
        <f t="shared" si="59"/>
        <v>0</v>
      </c>
      <c r="AR24" s="3791">
        <f t="shared" si="59"/>
        <v>0</v>
      </c>
      <c r="AS24" s="3943"/>
      <c r="AT24" s="3943"/>
      <c r="AU24" s="3943"/>
    </row>
    <row r="25" spans="1:47" s="1239" customFormat="1" ht="24" hidden="1" customHeight="1" x14ac:dyDescent="0.25">
      <c r="A25" s="3792" t="s">
        <v>929</v>
      </c>
      <c r="B25" s="3794" t="s">
        <v>930</v>
      </c>
      <c r="C25" s="3792" t="s">
        <v>902</v>
      </c>
      <c r="D25" s="3789">
        <v>0</v>
      </c>
      <c r="E25" s="3789">
        <v>0</v>
      </c>
      <c r="F25" s="3789">
        <v>0</v>
      </c>
      <c r="G25" s="3789">
        <v>0</v>
      </c>
      <c r="H25" s="3789">
        <v>0</v>
      </c>
      <c r="I25" s="3789">
        <v>0</v>
      </c>
      <c r="J25" s="3789">
        <v>0</v>
      </c>
      <c r="K25" s="3789">
        <v>0</v>
      </c>
      <c r="L25" s="3789">
        <v>0</v>
      </c>
      <c r="M25" s="3789">
        <v>0</v>
      </c>
      <c r="N25" s="3789">
        <v>0</v>
      </c>
      <c r="O25" s="3789">
        <v>0</v>
      </c>
      <c r="P25" s="3789">
        <v>0</v>
      </c>
      <c r="Q25" s="3789">
        <v>0</v>
      </c>
      <c r="R25" s="3789">
        <v>0</v>
      </c>
      <c r="S25" s="3789">
        <v>0</v>
      </c>
      <c r="T25" s="3789">
        <v>0</v>
      </c>
      <c r="U25" s="3789">
        <v>0</v>
      </c>
      <c r="V25" s="3789">
        <v>0</v>
      </c>
      <c r="W25" s="3789">
        <v>0</v>
      </c>
      <c r="X25" s="3789">
        <v>0</v>
      </c>
      <c r="Y25" s="3789">
        <v>0</v>
      </c>
      <c r="Z25" s="3789">
        <v>0</v>
      </c>
      <c r="AA25" s="3789">
        <v>0</v>
      </c>
      <c r="AB25" s="3789">
        <v>0</v>
      </c>
      <c r="AC25" s="3789">
        <v>0</v>
      </c>
      <c r="AD25" s="3789">
        <v>0</v>
      </c>
      <c r="AE25" s="3789">
        <v>0</v>
      </c>
      <c r="AF25" s="3789" t="e">
        <f t="shared" si="15"/>
        <v>#DIV/0!</v>
      </c>
      <c r="AG25" s="3789">
        <v>0</v>
      </c>
      <c r="AH25" s="3789" t="e">
        <f t="shared" ref="AH25:AH27" si="60">AG25/Z25*100</f>
        <v>#DIV/0!</v>
      </c>
      <c r="AI25" s="3789">
        <v>0</v>
      </c>
      <c r="AJ25" s="3789">
        <v>0</v>
      </c>
      <c r="AK25" s="3789">
        <v>0</v>
      </c>
      <c r="AL25" s="3864">
        <v>0</v>
      </c>
      <c r="AM25" s="3864" t="e">
        <f t="shared" ref="AM25:AM27" si="61">AL25/AE25*100</f>
        <v>#DIV/0!</v>
      </c>
      <c r="AN25" s="4153">
        <v>0</v>
      </c>
      <c r="AO25" s="3864" t="e">
        <f t="shared" si="20"/>
        <v>#DIV/0!</v>
      </c>
      <c r="AP25" s="3864">
        <v>0</v>
      </c>
      <c r="AQ25" s="3864">
        <v>0</v>
      </c>
      <c r="AR25" s="3791">
        <v>0</v>
      </c>
      <c r="AS25" s="3943"/>
      <c r="AT25" s="3943"/>
      <c r="AU25" s="3943"/>
    </row>
    <row r="26" spans="1:47" s="1239" customFormat="1" ht="56.25" hidden="1" customHeight="1" x14ac:dyDescent="0.25">
      <c r="A26" s="3792" t="s">
        <v>931</v>
      </c>
      <c r="B26" s="3794" t="s">
        <v>932</v>
      </c>
      <c r="C26" s="3792" t="s">
        <v>902</v>
      </c>
      <c r="D26" s="3789">
        <v>0</v>
      </c>
      <c r="E26" s="3789">
        <v>0</v>
      </c>
      <c r="F26" s="3789">
        <v>0</v>
      </c>
      <c r="G26" s="3789">
        <v>0</v>
      </c>
      <c r="H26" s="3789">
        <v>0</v>
      </c>
      <c r="I26" s="3789">
        <v>0</v>
      </c>
      <c r="J26" s="3789">
        <v>0</v>
      </c>
      <c r="K26" s="3789">
        <v>0</v>
      </c>
      <c r="L26" s="3789">
        <v>0</v>
      </c>
      <c r="M26" s="3789">
        <v>0</v>
      </c>
      <c r="N26" s="3789">
        <v>0</v>
      </c>
      <c r="O26" s="3789">
        <v>0</v>
      </c>
      <c r="P26" s="3789">
        <v>0</v>
      </c>
      <c r="Q26" s="3789">
        <v>0</v>
      </c>
      <c r="R26" s="3789">
        <v>0</v>
      </c>
      <c r="S26" s="3789">
        <v>0</v>
      </c>
      <c r="T26" s="3789">
        <v>0</v>
      </c>
      <c r="U26" s="3789">
        <v>0</v>
      </c>
      <c r="V26" s="3789">
        <v>0</v>
      </c>
      <c r="W26" s="3789">
        <v>0</v>
      </c>
      <c r="X26" s="3789">
        <v>0</v>
      </c>
      <c r="Y26" s="3789">
        <v>0</v>
      </c>
      <c r="Z26" s="3789">
        <v>0</v>
      </c>
      <c r="AA26" s="3789">
        <v>0</v>
      </c>
      <c r="AB26" s="3789">
        <v>0</v>
      </c>
      <c r="AC26" s="3789">
        <v>0</v>
      </c>
      <c r="AD26" s="3789">
        <v>0</v>
      </c>
      <c r="AE26" s="3789">
        <v>0</v>
      </c>
      <c r="AF26" s="3789" t="e">
        <f t="shared" si="15"/>
        <v>#DIV/0!</v>
      </c>
      <c r="AG26" s="3789">
        <v>0</v>
      </c>
      <c r="AH26" s="3789" t="e">
        <f t="shared" si="60"/>
        <v>#DIV/0!</v>
      </c>
      <c r="AI26" s="3789">
        <v>0</v>
      </c>
      <c r="AJ26" s="3789">
        <v>0</v>
      </c>
      <c r="AK26" s="3789">
        <v>0</v>
      </c>
      <c r="AL26" s="3864">
        <v>0</v>
      </c>
      <c r="AM26" s="3864" t="e">
        <f t="shared" si="61"/>
        <v>#DIV/0!</v>
      </c>
      <c r="AN26" s="4153">
        <v>0</v>
      </c>
      <c r="AO26" s="3864" t="e">
        <f t="shared" si="20"/>
        <v>#DIV/0!</v>
      </c>
      <c r="AP26" s="3864">
        <v>0</v>
      </c>
      <c r="AQ26" s="3864">
        <v>0</v>
      </c>
      <c r="AR26" s="3791">
        <v>0</v>
      </c>
      <c r="AS26" s="3943"/>
      <c r="AT26" s="3943"/>
      <c r="AU26" s="3943"/>
    </row>
    <row r="27" spans="1:47" s="1239" customFormat="1" ht="37.5" hidden="1" customHeight="1" x14ac:dyDescent="0.25">
      <c r="A27" s="3792" t="s">
        <v>933</v>
      </c>
      <c r="B27" s="3794" t="s">
        <v>934</v>
      </c>
      <c r="C27" s="3792" t="s">
        <v>902</v>
      </c>
      <c r="D27" s="3789">
        <v>0</v>
      </c>
      <c r="E27" s="3789">
        <v>0</v>
      </c>
      <c r="F27" s="3789">
        <v>0</v>
      </c>
      <c r="G27" s="3789">
        <v>0</v>
      </c>
      <c r="H27" s="3789">
        <v>0</v>
      </c>
      <c r="I27" s="3789">
        <v>0</v>
      </c>
      <c r="J27" s="3789">
        <v>0</v>
      </c>
      <c r="K27" s="3789">
        <v>0</v>
      </c>
      <c r="L27" s="3789">
        <v>0</v>
      </c>
      <c r="M27" s="3789">
        <v>0</v>
      </c>
      <c r="N27" s="3789">
        <v>0</v>
      </c>
      <c r="O27" s="3789">
        <v>0</v>
      </c>
      <c r="P27" s="3789">
        <v>0</v>
      </c>
      <c r="Q27" s="3789">
        <v>0</v>
      </c>
      <c r="R27" s="3789">
        <v>0</v>
      </c>
      <c r="S27" s="3789">
        <v>0</v>
      </c>
      <c r="T27" s="3789">
        <v>0</v>
      </c>
      <c r="U27" s="3789">
        <v>0</v>
      </c>
      <c r="V27" s="3789">
        <v>0</v>
      </c>
      <c r="W27" s="3789">
        <v>0</v>
      </c>
      <c r="X27" s="3789">
        <v>0</v>
      </c>
      <c r="Y27" s="3789">
        <v>0</v>
      </c>
      <c r="Z27" s="3789">
        <v>0</v>
      </c>
      <c r="AA27" s="3789">
        <v>0</v>
      </c>
      <c r="AB27" s="3789">
        <v>0</v>
      </c>
      <c r="AC27" s="3789">
        <v>0</v>
      </c>
      <c r="AD27" s="3789">
        <v>0</v>
      </c>
      <c r="AE27" s="3789">
        <v>0</v>
      </c>
      <c r="AF27" s="3789" t="e">
        <f t="shared" si="15"/>
        <v>#DIV/0!</v>
      </c>
      <c r="AG27" s="3789">
        <v>0</v>
      </c>
      <c r="AH27" s="3789" t="e">
        <f t="shared" si="60"/>
        <v>#DIV/0!</v>
      </c>
      <c r="AI27" s="3789">
        <v>0</v>
      </c>
      <c r="AJ27" s="3789">
        <v>0</v>
      </c>
      <c r="AK27" s="3789">
        <v>0</v>
      </c>
      <c r="AL27" s="3864">
        <v>0</v>
      </c>
      <c r="AM27" s="3864" t="e">
        <f t="shared" si="61"/>
        <v>#DIV/0!</v>
      </c>
      <c r="AN27" s="4153">
        <v>0</v>
      </c>
      <c r="AO27" s="3864" t="e">
        <f t="shared" si="20"/>
        <v>#DIV/0!</v>
      </c>
      <c r="AP27" s="3864">
        <v>0</v>
      </c>
      <c r="AQ27" s="3864">
        <v>0</v>
      </c>
      <c r="AR27" s="3791">
        <v>0</v>
      </c>
      <c r="AS27" s="3943"/>
      <c r="AT27" s="3943"/>
      <c r="AU27" s="3943"/>
    </row>
    <row r="28" spans="1:47" s="1238" customFormat="1" ht="50.25" customHeight="1" x14ac:dyDescent="0.25">
      <c r="A28" s="3792" t="s">
        <v>194</v>
      </c>
      <c r="B28" s="3793" t="s">
        <v>935</v>
      </c>
      <c r="C28" s="3792" t="s">
        <v>902</v>
      </c>
      <c r="D28" s="3789">
        <v>0</v>
      </c>
      <c r="E28" s="3789">
        <v>0</v>
      </c>
      <c r="F28" s="3789">
        <v>0</v>
      </c>
      <c r="G28" s="3789">
        <v>0</v>
      </c>
      <c r="H28" s="3789">
        <v>0</v>
      </c>
      <c r="I28" s="3789">
        <v>0</v>
      </c>
      <c r="J28" s="3789">
        <f>18.25</f>
        <v>18.25</v>
      </c>
      <c r="K28" s="3789">
        <v>0</v>
      </c>
      <c r="L28" s="3789">
        <v>0</v>
      </c>
      <c r="M28" s="3789">
        <v>0</v>
      </c>
      <c r="N28" s="3789">
        <v>0</v>
      </c>
      <c r="O28" s="3789">
        <v>18.309999999999999</v>
      </c>
      <c r="P28" s="3789">
        <v>0</v>
      </c>
      <c r="Q28" s="3789">
        <v>0</v>
      </c>
      <c r="R28" s="3789">
        <v>0</v>
      </c>
      <c r="S28" s="3789">
        <v>0</v>
      </c>
      <c r="T28" s="3789">
        <v>0</v>
      </c>
      <c r="U28" s="3789">
        <v>0</v>
      </c>
      <c r="V28" s="3789">
        <v>0</v>
      </c>
      <c r="W28" s="3789">
        <v>0</v>
      </c>
      <c r="X28" s="3789">
        <v>0</v>
      </c>
      <c r="Y28" s="3789">
        <v>0</v>
      </c>
      <c r="Z28" s="3789">
        <v>0</v>
      </c>
      <c r="AA28" s="3789">
        <v>0</v>
      </c>
      <c r="AB28" s="3789">
        <v>0</v>
      </c>
      <c r="AC28" s="3789">
        <v>0</v>
      </c>
      <c r="AD28" s="3789">
        <v>0</v>
      </c>
      <c r="AE28" s="3789">
        <v>0</v>
      </c>
      <c r="AF28" s="3789"/>
      <c r="AG28" s="3789">
        <v>0</v>
      </c>
      <c r="AH28" s="3789"/>
      <c r="AI28" s="3789">
        <v>0</v>
      </c>
      <c r="AJ28" s="3789">
        <v>0</v>
      </c>
      <c r="AK28" s="3842">
        <v>0.01</v>
      </c>
      <c r="AL28" s="3890">
        <v>0</v>
      </c>
      <c r="AM28" s="3864"/>
      <c r="AN28" s="4157">
        <v>0</v>
      </c>
      <c r="AO28" s="3864"/>
      <c r="AP28" s="3864">
        <v>0</v>
      </c>
      <c r="AQ28" s="3864">
        <v>0</v>
      </c>
      <c r="AR28" s="3881">
        <v>0.01</v>
      </c>
      <c r="AS28" s="3943"/>
      <c r="AT28" s="3943"/>
      <c r="AU28" s="3943"/>
    </row>
    <row r="29" spans="1:47" s="1935" customFormat="1" ht="12.75" hidden="1" customHeight="1" x14ac:dyDescent="0.2">
      <c r="A29" s="3731" t="s">
        <v>1604</v>
      </c>
      <c r="B29" s="3729" t="s">
        <v>1698</v>
      </c>
      <c r="C29" s="3731" t="s">
        <v>902</v>
      </c>
      <c r="D29" s="3731"/>
      <c r="E29" s="3731"/>
      <c r="F29" s="2225"/>
      <c r="G29" s="2225"/>
      <c r="H29" s="2225"/>
      <c r="I29" s="2225"/>
      <c r="J29" s="2225"/>
      <c r="K29" s="2225"/>
      <c r="L29" s="2225"/>
      <c r="M29" s="2225"/>
      <c r="N29" s="2225"/>
      <c r="O29" s="2225"/>
      <c r="P29" s="2225"/>
      <c r="Q29" s="2225"/>
      <c r="R29" s="2225"/>
      <c r="S29" s="2225"/>
      <c r="T29" s="2225"/>
      <c r="U29" s="2225"/>
      <c r="V29" s="2225"/>
      <c r="W29" s="2225"/>
      <c r="X29" s="2225"/>
      <c r="Y29" s="2225"/>
      <c r="Z29" s="2225"/>
      <c r="AA29" s="2225"/>
      <c r="AB29" s="2225"/>
      <c r="AC29" s="2225"/>
      <c r="AD29" s="2225"/>
      <c r="AE29" s="2225"/>
      <c r="AF29" s="3789" t="e">
        <f t="shared" si="15"/>
        <v>#DIV/0!</v>
      </c>
      <c r="AG29" s="2225"/>
      <c r="AH29" s="3789" t="e">
        <f t="shared" ref="AH29:AH30" si="62">AG29/Z29*100</f>
        <v>#DIV/0!</v>
      </c>
      <c r="AI29" s="2225"/>
      <c r="AJ29" s="2225"/>
      <c r="AK29" s="2225"/>
      <c r="AL29" s="2498"/>
      <c r="AM29" s="3864" t="e">
        <f t="shared" ref="AM29:AM30" si="63">AL29/AE29*100</f>
        <v>#DIV/0!</v>
      </c>
      <c r="AN29" s="4088"/>
      <c r="AO29" s="3864" t="e">
        <f t="shared" si="20"/>
        <v>#DIV/0!</v>
      </c>
      <c r="AP29" s="2498"/>
      <c r="AQ29" s="2498"/>
      <c r="AR29" s="3811"/>
      <c r="AS29" s="3943"/>
      <c r="AT29" s="3943"/>
      <c r="AU29" s="3943"/>
    </row>
    <row r="30" spans="1:47" s="1937" customFormat="1" ht="12.75" hidden="1" customHeight="1" x14ac:dyDescent="0.2">
      <c r="A30" s="3568" t="s">
        <v>1699</v>
      </c>
      <c r="B30" s="3729" t="s">
        <v>1700</v>
      </c>
      <c r="C30" s="3731" t="s">
        <v>902</v>
      </c>
      <c r="D30" s="3731"/>
      <c r="E30" s="3731"/>
      <c r="F30" s="2225"/>
      <c r="G30" s="2225"/>
      <c r="H30" s="2225"/>
      <c r="I30" s="2225"/>
      <c r="J30" s="2225"/>
      <c r="K30" s="2225"/>
      <c r="L30" s="2225"/>
      <c r="M30" s="2225"/>
      <c r="N30" s="2225"/>
      <c r="O30" s="2225"/>
      <c r="P30" s="2225"/>
      <c r="Q30" s="2225"/>
      <c r="R30" s="2225"/>
      <c r="S30" s="2225"/>
      <c r="T30" s="2225"/>
      <c r="U30" s="2225"/>
      <c r="V30" s="2225"/>
      <c r="W30" s="2225"/>
      <c r="X30" s="2225"/>
      <c r="Y30" s="2225"/>
      <c r="Z30" s="2225"/>
      <c r="AA30" s="2225"/>
      <c r="AB30" s="2225"/>
      <c r="AC30" s="2225"/>
      <c r="AD30" s="2225"/>
      <c r="AE30" s="2225"/>
      <c r="AF30" s="3789" t="e">
        <f t="shared" si="15"/>
        <v>#DIV/0!</v>
      </c>
      <c r="AG30" s="2225"/>
      <c r="AH30" s="3789" t="e">
        <f t="shared" si="62"/>
        <v>#DIV/0!</v>
      </c>
      <c r="AI30" s="2225"/>
      <c r="AJ30" s="2225"/>
      <c r="AK30" s="2225"/>
      <c r="AL30" s="2498"/>
      <c r="AM30" s="3864" t="e">
        <f t="shared" si="63"/>
        <v>#DIV/0!</v>
      </c>
      <c r="AN30" s="4088"/>
      <c r="AO30" s="3864" t="e">
        <f t="shared" si="20"/>
        <v>#DIV/0!</v>
      </c>
      <c r="AP30" s="2498"/>
      <c r="AQ30" s="2498"/>
      <c r="AR30" s="3811"/>
      <c r="AS30" s="3943"/>
      <c r="AT30" s="3943"/>
      <c r="AU30" s="3943"/>
    </row>
    <row r="31" spans="1:47" s="1937" customFormat="1" ht="20.25" customHeight="1" x14ac:dyDescent="0.2">
      <c r="A31" s="3568"/>
      <c r="B31" s="3729" t="s">
        <v>1701</v>
      </c>
      <c r="C31" s="3731" t="s">
        <v>902</v>
      </c>
      <c r="D31" s="3731"/>
      <c r="E31" s="3731"/>
      <c r="F31" s="2225"/>
      <c r="G31" s="2225"/>
      <c r="H31" s="2225">
        <f>ТН!D40</f>
        <v>38.527939999999987</v>
      </c>
      <c r="I31" s="2225"/>
      <c r="J31" s="2225"/>
      <c r="K31" s="2225"/>
      <c r="L31" s="2225"/>
      <c r="M31" s="2225">
        <f>ТН!J40</f>
        <v>29.77777</v>
      </c>
      <c r="N31" s="2225"/>
      <c r="O31" s="2225"/>
      <c r="P31" s="2225"/>
      <c r="Q31" s="2225"/>
      <c r="R31" s="2225"/>
      <c r="S31" s="2225"/>
      <c r="T31" s="2225"/>
      <c r="U31" s="2225"/>
      <c r="V31" s="2225"/>
      <c r="W31" s="2225"/>
      <c r="X31" s="2225"/>
      <c r="Y31" s="2225"/>
      <c r="Z31" s="2225"/>
      <c r="AA31" s="2225"/>
      <c r="AB31" s="2225"/>
      <c r="AC31" s="2225"/>
      <c r="AD31" s="2225"/>
      <c r="AE31" s="2225"/>
      <c r="AF31" s="3789"/>
      <c r="AG31" s="2225"/>
      <c r="AH31" s="3789"/>
      <c r="AI31" s="2225"/>
      <c r="AJ31" s="2225"/>
      <c r="AK31" s="2225"/>
      <c r="AL31" s="2498"/>
      <c r="AM31" s="3864"/>
      <c r="AN31" s="4088"/>
      <c r="AO31" s="3864"/>
      <c r="AP31" s="2498"/>
      <c r="AQ31" s="2498"/>
      <c r="AR31" s="3811"/>
      <c r="AS31" s="3943"/>
      <c r="AT31" s="3943"/>
      <c r="AU31" s="3943"/>
    </row>
    <row r="32" spans="1:47" s="1938" customFormat="1" ht="63.75" customHeight="1" x14ac:dyDescent="0.2">
      <c r="A32" s="3731" t="s">
        <v>186</v>
      </c>
      <c r="B32" s="3729" t="s">
        <v>1702</v>
      </c>
      <c r="C32" s="3731" t="s">
        <v>902</v>
      </c>
      <c r="D32" s="3731"/>
      <c r="E32" s="3731"/>
      <c r="F32" s="2225"/>
      <c r="G32" s="2225"/>
      <c r="H32" s="2225">
        <f>H10-H31</f>
        <v>236.40813123873733</v>
      </c>
      <c r="I32" s="2225"/>
      <c r="J32" s="2225"/>
      <c r="K32" s="2225"/>
      <c r="L32" s="2225"/>
      <c r="M32" s="2225">
        <f>M10-M31</f>
        <v>254.00252250458792</v>
      </c>
      <c r="N32" s="2225"/>
      <c r="O32" s="2225"/>
      <c r="P32" s="2225">
        <f>H32*1.039*1.037</f>
        <v>254.71628614625882</v>
      </c>
      <c r="Q32" s="2225"/>
      <c r="R32" s="2225"/>
      <c r="S32" s="2225"/>
      <c r="T32" s="2225"/>
      <c r="U32" s="2225"/>
      <c r="V32" s="2225"/>
      <c r="W32" s="2225"/>
      <c r="X32" s="2225"/>
      <c r="Y32" s="2225"/>
      <c r="Z32" s="2225"/>
      <c r="AA32" s="2225"/>
      <c r="AB32" s="2225"/>
      <c r="AC32" s="2225"/>
      <c r="AD32" s="2225"/>
      <c r="AE32" s="2225"/>
      <c r="AF32" s="3789"/>
      <c r="AG32" s="2225"/>
      <c r="AH32" s="3789"/>
      <c r="AI32" s="2225"/>
      <c r="AJ32" s="2225"/>
      <c r="AK32" s="2225"/>
      <c r="AL32" s="2498"/>
      <c r="AM32" s="3864"/>
      <c r="AN32" s="4088">
        <f>SUM(вода!CW153)</f>
        <v>4.8516000000000004</v>
      </c>
      <c r="AO32" s="3864"/>
      <c r="AP32" s="2498"/>
      <c r="AQ32" s="2498"/>
      <c r="AR32" s="3811"/>
      <c r="AS32" s="3943"/>
      <c r="AT32" s="3943"/>
      <c r="AU32" s="3943"/>
    </row>
    <row r="33" spans="1:47" s="1938" customFormat="1" ht="63" customHeight="1" x14ac:dyDescent="0.2">
      <c r="A33" s="3731" t="s">
        <v>939</v>
      </c>
      <c r="B33" s="3729" t="s">
        <v>1703</v>
      </c>
      <c r="C33" s="3731" t="s">
        <v>902</v>
      </c>
      <c r="D33" s="3731"/>
      <c r="E33" s="3731"/>
      <c r="F33" s="2225"/>
      <c r="G33" s="2225"/>
      <c r="H33" s="2225"/>
      <c r="I33" s="2225"/>
      <c r="J33" s="2225"/>
      <c r="K33" s="2225"/>
      <c r="L33" s="2225"/>
      <c r="M33" s="2225"/>
      <c r="N33" s="2225"/>
      <c r="O33" s="2225"/>
      <c r="P33" s="2225">
        <v>0</v>
      </c>
      <c r="Q33" s="2225"/>
      <c r="R33" s="2225"/>
      <c r="S33" s="2225"/>
      <c r="T33" s="2225"/>
      <c r="U33" s="2225"/>
      <c r="V33" s="2225"/>
      <c r="W33" s="2225"/>
      <c r="X33" s="2225"/>
      <c r="Y33" s="2225"/>
      <c r="Z33" s="2225"/>
      <c r="AA33" s="2225"/>
      <c r="AB33" s="2225"/>
      <c r="AC33" s="2225"/>
      <c r="AD33" s="2225"/>
      <c r="AE33" s="2225"/>
      <c r="AF33" s="3789"/>
      <c r="AG33" s="2225"/>
      <c r="AH33" s="3789"/>
      <c r="AI33" s="2225"/>
      <c r="AJ33" s="2225"/>
      <c r="AK33" s="2225"/>
      <c r="AL33" s="2498"/>
      <c r="AM33" s="3864"/>
      <c r="AN33" s="4088"/>
      <c r="AO33" s="3864"/>
      <c r="AP33" s="2498"/>
      <c r="AQ33" s="2498"/>
      <c r="AR33" s="3811"/>
      <c r="AS33" s="3943"/>
      <c r="AT33" s="3943"/>
      <c r="AU33" s="3943"/>
    </row>
    <row r="34" spans="1:47" s="1938" customFormat="1" ht="153.75" customHeight="1" x14ac:dyDescent="0.2">
      <c r="A34" s="3731" t="s">
        <v>945</v>
      </c>
      <c r="B34" s="3882" t="s">
        <v>1704</v>
      </c>
      <c r="C34" s="3731" t="s">
        <v>902</v>
      </c>
      <c r="D34" s="3731"/>
      <c r="E34" s="3731"/>
      <c r="F34" s="2225"/>
      <c r="G34" s="2225"/>
      <c r="H34" s="2225"/>
      <c r="I34" s="2225"/>
      <c r="J34" s="2225"/>
      <c r="K34" s="2225"/>
      <c r="L34" s="2225"/>
      <c r="M34" s="2225"/>
      <c r="N34" s="2225"/>
      <c r="O34" s="2225"/>
      <c r="P34" s="2225">
        <f>-А!C39</f>
        <v>-3.706200318684449</v>
      </c>
      <c r="Q34" s="2225"/>
      <c r="R34" s="2225"/>
      <c r="S34" s="2225"/>
      <c r="T34" s="2225"/>
      <c r="U34" s="2225"/>
      <c r="V34" s="2225"/>
      <c r="W34" s="2225"/>
      <c r="X34" s="2225"/>
      <c r="Y34" s="2225"/>
      <c r="Z34" s="2225"/>
      <c r="AA34" s="2225"/>
      <c r="AB34" s="2225"/>
      <c r="AC34" s="2225"/>
      <c r="AD34" s="2225"/>
      <c r="AE34" s="2225"/>
      <c r="AF34" s="3789"/>
      <c r="AG34" s="2225"/>
      <c r="AH34" s="3789"/>
      <c r="AI34" s="2225"/>
      <c r="AJ34" s="2225"/>
      <c r="AK34" s="2225"/>
      <c r="AL34" s="2498"/>
      <c r="AM34" s="3864"/>
      <c r="AN34" s="4088"/>
      <c r="AO34" s="3864"/>
      <c r="AP34" s="2498"/>
      <c r="AQ34" s="2498"/>
      <c r="AR34" s="3811"/>
      <c r="AS34" s="3943"/>
      <c r="AT34" s="3943"/>
      <c r="AU34" s="3943"/>
    </row>
    <row r="35" spans="1:47" s="2047" customFormat="1" ht="24" customHeight="1" x14ac:dyDescent="0.2">
      <c r="A35" s="3883" t="s">
        <v>2043</v>
      </c>
      <c r="B35" s="3884" t="s">
        <v>1753</v>
      </c>
      <c r="C35" s="3730" t="s">
        <v>902</v>
      </c>
      <c r="D35" s="3883"/>
      <c r="E35" s="3883"/>
      <c r="F35" s="3885"/>
      <c r="G35" s="3885"/>
      <c r="H35" s="3885"/>
      <c r="I35" s="3885"/>
      <c r="J35" s="3885"/>
      <c r="K35" s="3885">
        <f>K10</f>
        <v>345.86970594954454</v>
      </c>
      <c r="L35" s="3885"/>
      <c r="M35" s="3885"/>
      <c r="N35" s="3885"/>
      <c r="O35" s="3885"/>
      <c r="P35" s="3885">
        <f>P10+P32+P33+P34</f>
        <v>617.80769458998327</v>
      </c>
      <c r="Q35" s="3885">
        <f t="shared" ref="Q35" si="64">Q10+Q32+Q33+Q34</f>
        <v>24.232999999999997</v>
      </c>
      <c r="R35" s="3885">
        <f t="shared" ref="R35:AD35" si="65">R10+R32+R33+R34</f>
        <v>103.50999999999999</v>
      </c>
      <c r="S35" s="3885">
        <f t="shared" si="65"/>
        <v>106.53999999999999</v>
      </c>
      <c r="T35" s="3885">
        <f t="shared" si="65"/>
        <v>109.44</v>
      </c>
      <c r="U35" s="3885">
        <f t="shared" si="65"/>
        <v>112.58</v>
      </c>
      <c r="V35" s="3885">
        <f t="shared" si="65"/>
        <v>115.67999999999999</v>
      </c>
      <c r="W35" s="3885">
        <f t="shared" si="65"/>
        <v>0</v>
      </c>
      <c r="X35" s="3885">
        <f t="shared" si="65"/>
        <v>30.811242463479257</v>
      </c>
      <c r="Y35" s="3826">
        <f>X35/P35*100</f>
        <v>4.9871898218955613</v>
      </c>
      <c r="Z35" s="3885">
        <f t="shared" si="65"/>
        <v>31.785934257425236</v>
      </c>
      <c r="AA35" s="3885">
        <f t="shared" si="65"/>
        <v>32.583910354880125</v>
      </c>
      <c r="AB35" s="3885">
        <f t="shared" si="65"/>
        <v>33.502140830376895</v>
      </c>
      <c r="AC35" s="3885">
        <f t="shared" si="65"/>
        <v>34.552245945013873</v>
      </c>
      <c r="AD35" s="3885">
        <f t="shared" si="65"/>
        <v>35.58084459643441</v>
      </c>
      <c r="AE35" s="3885">
        <f t="shared" ref="AE35:AI35" si="66">AE10+AE32+AE33+AE34</f>
        <v>34.59801046541218</v>
      </c>
      <c r="AF35" s="3837">
        <f t="shared" si="15"/>
        <v>112.29021519148863</v>
      </c>
      <c r="AG35" s="3885">
        <f t="shared" ref="AG35" si="67">AG10+AG32+AG33+AG34</f>
        <v>30.517876104420509</v>
      </c>
      <c r="AH35" s="3837">
        <f>AG35/X35*100</f>
        <v>99.047859366896745</v>
      </c>
      <c r="AI35" s="3885">
        <f t="shared" si="66"/>
        <v>12.51976</v>
      </c>
      <c r="AJ35" s="3885">
        <f t="shared" ref="AJ35:AK35" si="68">AJ10+AJ32+AJ33+AJ34</f>
        <v>18.962799999999998</v>
      </c>
      <c r="AK35" s="3885">
        <f t="shared" si="68"/>
        <v>24.069100000000006</v>
      </c>
      <c r="AL35" s="3891">
        <f t="shared" ref="AL35:AN35" si="69">AL10+AL32+AL33+AL34</f>
        <v>59.179996884835646</v>
      </c>
      <c r="AM35" s="3868">
        <f>AL35/AG35*100</f>
        <v>193.91912032916153</v>
      </c>
      <c r="AN35" s="4158">
        <f t="shared" si="69"/>
        <v>33.778215626442403</v>
      </c>
      <c r="AO35" s="3864">
        <f t="shared" si="20"/>
        <v>110.68337623124971</v>
      </c>
      <c r="AP35" s="3891">
        <f t="shared" ref="AP35:AR35" si="70">AP10+AP32+AP33+AP34</f>
        <v>10.47058</v>
      </c>
      <c r="AQ35" s="3891">
        <f t="shared" si="70"/>
        <v>17.489899999999999</v>
      </c>
      <c r="AR35" s="3886" t="e">
        <f t="shared" si="70"/>
        <v>#VALUE!</v>
      </c>
      <c r="AS35" s="3942"/>
      <c r="AT35" s="3942"/>
      <c r="AU35" s="3942"/>
    </row>
    <row r="36" spans="1:47" s="2805" customFormat="1" ht="17.25" customHeight="1" x14ac:dyDescent="0.25">
      <c r="A36" s="3787" t="s">
        <v>2044</v>
      </c>
      <c r="B36" s="3788" t="s">
        <v>936</v>
      </c>
      <c r="C36" s="3787" t="s">
        <v>937</v>
      </c>
      <c r="D36" s="3787">
        <v>46.13</v>
      </c>
      <c r="E36" s="3787">
        <v>18.22</v>
      </c>
      <c r="F36" s="3789">
        <f>объемы!AB39</f>
        <v>21.42</v>
      </c>
      <c r="G36" s="3789">
        <f>объемы!Z49</f>
        <v>2.4</v>
      </c>
      <c r="H36" s="3789">
        <f>объемы!Z49</f>
        <v>2.4</v>
      </c>
      <c r="I36" s="3789">
        <f>F36</f>
        <v>21.42</v>
      </c>
      <c r="J36" s="3789">
        <v>18</v>
      </c>
      <c r="K36" s="3789">
        <f>объемы!AK49</f>
        <v>20.349</v>
      </c>
      <c r="L36" s="3789">
        <f>M36</f>
        <v>1.77</v>
      </c>
      <c r="M36" s="3789">
        <f>объемы!AQ49</f>
        <v>1.77</v>
      </c>
      <c r="N36" s="3789">
        <f>I36</f>
        <v>21.42</v>
      </c>
      <c r="O36" s="3789">
        <f>объемы!AM49</f>
        <v>20</v>
      </c>
      <c r="P36" s="3789">
        <f>N36</f>
        <v>21.42</v>
      </c>
      <c r="Q36" s="3789">
        <f>SUM(объемы!AW49)</f>
        <v>1.33</v>
      </c>
      <c r="R36" s="3789">
        <f>объемы!AY49</f>
        <v>5</v>
      </c>
      <c r="S36" s="3789">
        <f>R36</f>
        <v>5</v>
      </c>
      <c r="T36" s="3789">
        <f>S36</f>
        <v>5</v>
      </c>
      <c r="U36" s="3789">
        <f t="shared" ref="U36:V36" si="71">T36</f>
        <v>5</v>
      </c>
      <c r="V36" s="3789">
        <f t="shared" si="71"/>
        <v>5</v>
      </c>
      <c r="W36" s="3789">
        <f>объемы!BA49</f>
        <v>1.77</v>
      </c>
      <c r="X36" s="3789">
        <f>W36</f>
        <v>1.77</v>
      </c>
      <c r="Y36" s="3789">
        <f>X36/P36*100</f>
        <v>8.2633053221288506</v>
      </c>
      <c r="Z36" s="3789">
        <f>X36</f>
        <v>1.77</v>
      </c>
      <c r="AA36" s="3789">
        <f t="shared" ref="AA36:AD36" si="72">Z36</f>
        <v>1.77</v>
      </c>
      <c r="AB36" s="3789">
        <f t="shared" si="72"/>
        <v>1.77</v>
      </c>
      <c r="AC36" s="3789">
        <f t="shared" si="72"/>
        <v>1.77</v>
      </c>
      <c r="AD36" s="3789">
        <f t="shared" si="72"/>
        <v>1.77</v>
      </c>
      <c r="AE36" s="3789">
        <f>SUM(объемы!BC44)</f>
        <v>1.77</v>
      </c>
      <c r="AF36" s="3789">
        <f t="shared" si="15"/>
        <v>100</v>
      </c>
      <c r="AG36" s="3789">
        <f>SUM(объемы!BE44)</f>
        <v>1.77</v>
      </c>
      <c r="AH36" s="3789">
        <f>AG36/X36*100</f>
        <v>100</v>
      </c>
      <c r="AI36" s="3789">
        <f>SUM(объемы!BG44)</f>
        <v>0.55800000000000005</v>
      </c>
      <c r="AJ36" s="3789">
        <f>SUM(объемы!BI44)</f>
        <v>0.82899999999999996</v>
      </c>
      <c r="AK36" s="3789">
        <f>SUM(объемы!BK44)</f>
        <v>1.129</v>
      </c>
      <c r="AL36" s="3864">
        <f>SUM(объемы!BM44)</f>
        <v>1.77</v>
      </c>
      <c r="AM36" s="3864">
        <f>AL36/AG36*100</f>
        <v>100</v>
      </c>
      <c r="AN36" s="4153">
        <f>SUM(объемы!BO44)</f>
        <v>1.7698</v>
      </c>
      <c r="AO36" s="3864">
        <f t="shared" si="20"/>
        <v>99.988700564971751</v>
      </c>
      <c r="AP36" s="3864">
        <f>SUM(объемы!BR44)</f>
        <v>0.54100000000000004</v>
      </c>
      <c r="AQ36" s="3864">
        <f>SUM(объемы!BT44)</f>
        <v>0.72599999999999998</v>
      </c>
      <c r="AR36" s="3791">
        <f>SUM(объемы!BR44)</f>
        <v>0.54100000000000004</v>
      </c>
      <c r="AS36" s="3943"/>
      <c r="AT36" s="3943"/>
      <c r="AU36" s="3943"/>
    </row>
    <row r="37" spans="1:47" s="1237" customFormat="1" ht="21" customHeight="1" x14ac:dyDescent="0.25">
      <c r="A37" s="4819" t="s">
        <v>2045</v>
      </c>
      <c r="B37" s="3788" t="s">
        <v>940</v>
      </c>
      <c r="C37" s="3787" t="s">
        <v>941</v>
      </c>
      <c r="D37" s="3789">
        <v>18.829999999999998</v>
      </c>
      <c r="E37" s="3789">
        <f t="shared" ref="E37:O37" si="73">E10/E36</f>
        <v>16.891328210757411</v>
      </c>
      <c r="F37" s="3789">
        <f t="shared" si="73"/>
        <v>16.058875036723588</v>
      </c>
      <c r="G37" s="3789">
        <f t="shared" si="73"/>
        <v>17.475000000000001</v>
      </c>
      <c r="H37" s="3789">
        <f t="shared" si="73"/>
        <v>114.5566963494739</v>
      </c>
      <c r="I37" s="3789">
        <f t="shared" si="73"/>
        <v>17.061988059938759</v>
      </c>
      <c r="J37" s="3789">
        <f t="shared" si="73"/>
        <v>21.28927777777778</v>
      </c>
      <c r="K37" s="3789">
        <f t="shared" si="73"/>
        <v>16.99688957440388</v>
      </c>
      <c r="L37" s="3789"/>
      <c r="M37" s="3789"/>
      <c r="N37" s="3789">
        <f t="shared" si="73"/>
        <v>17.923053054609099</v>
      </c>
      <c r="O37" s="3789">
        <f t="shared" si="73"/>
        <v>19.2285</v>
      </c>
      <c r="P37" s="3789">
        <f>P35/P36</f>
        <v>28.842562772641607</v>
      </c>
      <c r="Q37" s="3789">
        <f t="shared" ref="Q37" si="74">Q35/Q36</f>
        <v>18.220300751879694</v>
      </c>
      <c r="R37" s="3789">
        <f t="shared" ref="R37:AD37" si="75">R35/R36</f>
        <v>20.701999999999998</v>
      </c>
      <c r="S37" s="3789">
        <f t="shared" si="75"/>
        <v>21.308</v>
      </c>
      <c r="T37" s="3789">
        <f t="shared" si="75"/>
        <v>21.887999999999998</v>
      </c>
      <c r="U37" s="3789">
        <f t="shared" si="75"/>
        <v>22.515999999999998</v>
      </c>
      <c r="V37" s="3789">
        <f t="shared" si="75"/>
        <v>23.135999999999999</v>
      </c>
      <c r="W37" s="3789">
        <f t="shared" si="75"/>
        <v>0</v>
      </c>
      <c r="X37" s="3789">
        <f t="shared" si="75"/>
        <v>17.407481617784892</v>
      </c>
      <c r="Y37" s="3789">
        <f>X37/P37*100</f>
        <v>60.353449709041207</v>
      </c>
      <c r="Z37" s="3789">
        <f t="shared" si="75"/>
        <v>17.958154947697874</v>
      </c>
      <c r="AA37" s="3789">
        <f t="shared" si="75"/>
        <v>18.408988901062216</v>
      </c>
      <c r="AB37" s="3789">
        <f t="shared" si="75"/>
        <v>18.927763181003897</v>
      </c>
      <c r="AC37" s="3789">
        <f t="shared" si="75"/>
        <v>19.5210429067875</v>
      </c>
      <c r="AD37" s="3789">
        <f t="shared" si="75"/>
        <v>20.102172088381021</v>
      </c>
      <c r="AE37" s="3789">
        <f t="shared" ref="AE37:AI37" si="76">AE35/AE36</f>
        <v>19.54689856802948</v>
      </c>
      <c r="AF37" s="3789">
        <f t="shared" si="15"/>
        <v>112.29021519148863</v>
      </c>
      <c r="AG37" s="3789">
        <f t="shared" ref="AG37" si="77">AG35/AG36</f>
        <v>17.241737912101982</v>
      </c>
      <c r="AH37" s="3789">
        <f>AG37/X37*100</f>
        <v>99.047859366896745</v>
      </c>
      <c r="AI37" s="3789">
        <f t="shared" si="76"/>
        <v>22.436845878136197</v>
      </c>
      <c r="AJ37" s="3789">
        <f t="shared" ref="AJ37:AK37" si="78">AJ35/AJ36</f>
        <v>22.874306393244872</v>
      </c>
      <c r="AK37" s="3789">
        <f t="shared" si="78"/>
        <v>21.318954827280784</v>
      </c>
      <c r="AL37" s="3864">
        <f t="shared" ref="AL37:AN37" si="79">AL35/AL36</f>
        <v>33.435026488607711</v>
      </c>
      <c r="AM37" s="3864">
        <f>AL37/AG37*100</f>
        <v>193.91912032916156</v>
      </c>
      <c r="AN37" s="4153">
        <f t="shared" si="79"/>
        <v>19.085894240277096</v>
      </c>
      <c r="AO37" s="3864">
        <f t="shared" si="20"/>
        <v>110.69588424076844</v>
      </c>
      <c r="AP37" s="3864">
        <f t="shared" ref="AP37:AR37" si="80">AP35/AP36</f>
        <v>19.354121996303142</v>
      </c>
      <c r="AQ37" s="3864">
        <f t="shared" si="80"/>
        <v>24.090771349862258</v>
      </c>
      <c r="AR37" s="3791" t="e">
        <f t="shared" si="80"/>
        <v>#VALUE!</v>
      </c>
      <c r="AS37" s="3943"/>
      <c r="AT37" s="3943"/>
      <c r="AU37" s="3943"/>
    </row>
    <row r="38" spans="1:47" s="1237" customFormat="1" ht="13.5" customHeight="1" x14ac:dyDescent="0.25">
      <c r="A38" s="4819"/>
      <c r="B38" s="3839" t="s">
        <v>942</v>
      </c>
      <c r="C38" s="3787" t="s">
        <v>941</v>
      </c>
      <c r="D38" s="3792">
        <v>18.420000000000002</v>
      </c>
      <c r="E38" s="3787"/>
      <c r="F38" s="3789">
        <f>F37</f>
        <v>16.058875036723588</v>
      </c>
      <c r="G38" s="3789">
        <f>F38</f>
        <v>16.058875036723588</v>
      </c>
      <c r="H38" s="3789">
        <f>G38</f>
        <v>16.058875036723588</v>
      </c>
      <c r="I38" s="3789">
        <f>F39</f>
        <v>16.058875036723588</v>
      </c>
      <c r="J38" s="3789">
        <f>F39</f>
        <v>16.058875036723588</v>
      </c>
      <c r="K38" s="3789">
        <f>F39</f>
        <v>16.058875036723588</v>
      </c>
      <c r="L38" s="3789"/>
      <c r="M38" s="3789"/>
      <c r="N38" s="3789">
        <f>I39</f>
        <v>18.06510108315393</v>
      </c>
      <c r="O38" s="3789">
        <f>K39</f>
        <v>17.934904112084173</v>
      </c>
      <c r="P38" s="3789">
        <f>K39</f>
        <v>17.934904112084173</v>
      </c>
      <c r="Q38" s="3789"/>
      <c r="R38" s="3789"/>
      <c r="S38" s="3789"/>
      <c r="T38" s="3789"/>
      <c r="U38" s="3789"/>
      <c r="V38" s="3789"/>
      <c r="W38" s="3789"/>
      <c r="X38" s="3789">
        <f>X37</f>
        <v>17.407481617784892</v>
      </c>
      <c r="Y38" s="3837"/>
      <c r="Z38" s="3789">
        <f>X39</f>
        <v>17.407481617784892</v>
      </c>
      <c r="AA38" s="3789">
        <f>AA37</f>
        <v>18.408988901062216</v>
      </c>
      <c r="AB38" s="3789">
        <f t="shared" ref="AB38:AD38" si="81">AA39</f>
        <v>18.408988901062216</v>
      </c>
      <c r="AC38" s="3789">
        <f t="shared" si="81"/>
        <v>19.446537460945578</v>
      </c>
      <c r="AD38" s="3789">
        <f t="shared" si="81"/>
        <v>19.595548352629422</v>
      </c>
      <c r="AE38" s="3789">
        <f>SUM(X39)</f>
        <v>17.407481617784892</v>
      </c>
      <c r="AF38" s="3837"/>
      <c r="AG38" s="3789">
        <f>SUM(AG37)</f>
        <v>17.241737912101982</v>
      </c>
      <c r="AH38" s="3837"/>
      <c r="AI38" s="3789"/>
      <c r="AJ38" s="3789"/>
      <c r="AK38" s="3789"/>
      <c r="AL38" s="3864">
        <f>SUM(AG39)</f>
        <v>17.241737912101982</v>
      </c>
      <c r="AM38" s="3868"/>
      <c r="AN38" s="4153">
        <f>SUM(AG39)</f>
        <v>17.241737912101982</v>
      </c>
      <c r="AO38" s="3864">
        <f t="shared" si="20"/>
        <v>100</v>
      </c>
      <c r="AP38" s="3864"/>
      <c r="AQ38" s="3864"/>
      <c r="AR38" s="3791"/>
      <c r="AS38" s="3942"/>
      <c r="AT38" s="3942"/>
      <c r="AU38" s="3942"/>
    </row>
    <row r="39" spans="1:47" s="1237" customFormat="1" ht="15" customHeight="1" x14ac:dyDescent="0.25">
      <c r="A39" s="4819"/>
      <c r="B39" s="3839" t="s">
        <v>943</v>
      </c>
      <c r="C39" s="3787" t="s">
        <v>941</v>
      </c>
      <c r="D39" s="3792">
        <v>20.11</v>
      </c>
      <c r="E39" s="3787"/>
      <c r="F39" s="3789">
        <f>F37*2-F38</f>
        <v>16.058875036723588</v>
      </c>
      <c r="G39" s="3789">
        <f t="shared" ref="G39:H39" si="82">G37*2-G38</f>
        <v>18.891124963276415</v>
      </c>
      <c r="H39" s="3789">
        <f t="shared" si="82"/>
        <v>213.05451766222421</v>
      </c>
      <c r="I39" s="3789">
        <f>I37*2-I38</f>
        <v>18.06510108315393</v>
      </c>
      <c r="J39" s="3789">
        <f>J37*2-J38</f>
        <v>26.519680518831972</v>
      </c>
      <c r="K39" s="3789">
        <f>K37*2-K38</f>
        <v>17.934904112084173</v>
      </c>
      <c r="L39" s="3789"/>
      <c r="M39" s="3789"/>
      <c r="N39" s="3789">
        <f>N37*2-N38</f>
        <v>17.781005026064268</v>
      </c>
      <c r="O39" s="3789">
        <f t="shared" ref="O39:P39" si="83">O37*2-O38</f>
        <v>20.522095887915828</v>
      </c>
      <c r="P39" s="3789">
        <f t="shared" si="83"/>
        <v>39.750221433199044</v>
      </c>
      <c r="Q39" s="3789"/>
      <c r="R39" s="3789"/>
      <c r="S39" s="3789"/>
      <c r="T39" s="3789"/>
      <c r="U39" s="3789"/>
      <c r="V39" s="3789"/>
      <c r="W39" s="3789"/>
      <c r="X39" s="3789">
        <f t="shared" ref="X39:AD39" si="84">X37*2-X38</f>
        <v>17.407481617784892</v>
      </c>
      <c r="Y39" s="3789"/>
      <c r="Z39" s="3789">
        <f t="shared" si="84"/>
        <v>18.508828277610856</v>
      </c>
      <c r="AA39" s="3789">
        <f t="shared" si="84"/>
        <v>18.408988901062216</v>
      </c>
      <c r="AB39" s="3789">
        <f t="shared" si="84"/>
        <v>19.446537460945578</v>
      </c>
      <c r="AC39" s="3789">
        <f t="shared" si="84"/>
        <v>19.595548352629422</v>
      </c>
      <c r="AD39" s="3789">
        <f t="shared" si="84"/>
        <v>20.608795824132621</v>
      </c>
      <c r="AE39" s="3789">
        <f t="shared" ref="AE39:AG39" si="85">AE37*2-AE38</f>
        <v>21.686315518274068</v>
      </c>
      <c r="AF39" s="3789"/>
      <c r="AG39" s="3789">
        <f t="shared" si="85"/>
        <v>17.241737912101982</v>
      </c>
      <c r="AH39" s="3789"/>
      <c r="AI39" s="3789"/>
      <c r="AJ39" s="3789"/>
      <c r="AK39" s="3789"/>
      <c r="AL39" s="3864">
        <f t="shared" ref="AL39:AN39" si="86">AL37*2-AL38</f>
        <v>49.628315065113441</v>
      </c>
      <c r="AM39" s="3864"/>
      <c r="AN39" s="4153">
        <f t="shared" si="86"/>
        <v>20.930050568452209</v>
      </c>
      <c r="AO39" s="3864">
        <f t="shared" si="20"/>
        <v>121.39176848153687</v>
      </c>
      <c r="AP39" s="3864"/>
      <c r="AQ39" s="3864"/>
      <c r="AR39" s="3791"/>
      <c r="AS39" s="3943"/>
      <c r="AT39" s="3943"/>
      <c r="AU39" s="3943"/>
    </row>
    <row r="40" spans="1:47" s="1237" customFormat="1" ht="17.25" customHeight="1" x14ac:dyDescent="0.25">
      <c r="A40" s="4819"/>
      <c r="B40" s="3788" t="s">
        <v>944</v>
      </c>
      <c r="C40" s="3787"/>
      <c r="D40" s="3787"/>
      <c r="E40" s="3787"/>
      <c r="F40" s="3789"/>
      <c r="G40" s="3789"/>
      <c r="H40" s="3789"/>
      <c r="I40" s="3789"/>
      <c r="J40" s="3789"/>
      <c r="K40" s="3789"/>
      <c r="L40" s="3789"/>
      <c r="M40" s="3789"/>
      <c r="N40" s="3789"/>
      <c r="O40" s="3789"/>
      <c r="P40" s="3789"/>
      <c r="Q40" s="3789"/>
      <c r="R40" s="3789"/>
      <c r="S40" s="3789"/>
      <c r="T40" s="3789"/>
      <c r="U40" s="3789"/>
      <c r="V40" s="3789"/>
      <c r="W40" s="3789"/>
      <c r="X40" s="3789"/>
      <c r="Y40" s="3789"/>
      <c r="Z40" s="3789"/>
      <c r="AA40" s="3789"/>
      <c r="AB40" s="3789"/>
      <c r="AC40" s="3789"/>
      <c r="AD40" s="3789"/>
      <c r="AE40" s="3789"/>
      <c r="AF40" s="3789"/>
      <c r="AG40" s="3789"/>
      <c r="AH40" s="3789"/>
      <c r="AI40" s="3789"/>
      <c r="AJ40" s="3789"/>
      <c r="AK40" s="3789"/>
      <c r="AL40" s="3864"/>
      <c r="AM40" s="3864"/>
      <c r="AN40" s="4153"/>
      <c r="AO40" s="3864"/>
      <c r="AP40" s="3864"/>
      <c r="AQ40" s="3864"/>
      <c r="AR40" s="3791"/>
      <c r="AS40" s="3943"/>
      <c r="AT40" s="3943"/>
      <c r="AU40" s="3943"/>
    </row>
    <row r="41" spans="1:47" s="1237" customFormat="1" ht="16.5" customHeight="1" x14ac:dyDescent="0.25">
      <c r="A41" s="4819"/>
      <c r="B41" s="3839" t="s">
        <v>942</v>
      </c>
      <c r="C41" s="3787" t="s">
        <v>44</v>
      </c>
      <c r="D41" s="3787"/>
      <c r="E41" s="3787"/>
      <c r="F41" s="3789"/>
      <c r="G41" s="3789"/>
      <c r="H41" s="3789"/>
      <c r="I41" s="3789">
        <f>I38/F39*100</f>
        <v>100</v>
      </c>
      <c r="J41" s="3789"/>
      <c r="K41" s="3789">
        <f>K38/F39*100</f>
        <v>100</v>
      </c>
      <c r="L41" s="3789"/>
      <c r="M41" s="3789"/>
      <c r="N41" s="3789">
        <f>N38/I39*100</f>
        <v>100</v>
      </c>
      <c r="O41" s="3789"/>
      <c r="P41" s="3789">
        <f>P38/K39*100</f>
        <v>100</v>
      </c>
      <c r="Q41" s="3789"/>
      <c r="R41" s="3789"/>
      <c r="S41" s="3789"/>
      <c r="T41" s="3789"/>
      <c r="U41" s="3789"/>
      <c r="V41" s="3789"/>
      <c r="W41" s="3789"/>
      <c r="X41" s="3789">
        <f>X38/P39*100</f>
        <v>43.792162634964122</v>
      </c>
      <c r="Y41" s="3789"/>
      <c r="Z41" s="3789">
        <f>Z38/X39*100</f>
        <v>100</v>
      </c>
      <c r="AA41" s="3789">
        <f t="shared" ref="AA41:AD41" si="87">AA38/Z39*100</f>
        <v>99.460585105382322</v>
      </c>
      <c r="AB41" s="3789">
        <f t="shared" si="87"/>
        <v>100</v>
      </c>
      <c r="AC41" s="3789">
        <f t="shared" si="87"/>
        <v>100</v>
      </c>
      <c r="AD41" s="3789">
        <f t="shared" si="87"/>
        <v>100</v>
      </c>
      <c r="AE41" s="3789">
        <f>AE38/X39*100</f>
        <v>100</v>
      </c>
      <c r="AF41" s="3789"/>
      <c r="AG41" s="3789">
        <f>AG38/X39*100</f>
        <v>99.047859366896745</v>
      </c>
      <c r="AH41" s="3789"/>
      <c r="AI41" s="3789"/>
      <c r="AJ41" s="3789"/>
      <c r="AK41" s="3789"/>
      <c r="AL41" s="3864">
        <f>AL38/AG39*100</f>
        <v>100</v>
      </c>
      <c r="AM41" s="3864"/>
      <c r="AN41" s="4153">
        <f>AN38/AG39*100</f>
        <v>100</v>
      </c>
      <c r="AO41" s="3864"/>
      <c r="AP41" s="3864"/>
      <c r="AQ41" s="3864"/>
      <c r="AR41" s="3791"/>
      <c r="AS41" s="3943"/>
      <c r="AT41" s="3943"/>
      <c r="AU41" s="3943"/>
    </row>
    <row r="42" spans="1:47" s="1237" customFormat="1" ht="20.25" customHeight="1" x14ac:dyDescent="0.25">
      <c r="A42" s="4819"/>
      <c r="B42" s="3839" t="s">
        <v>943</v>
      </c>
      <c r="C42" s="3787" t="s">
        <v>44</v>
      </c>
      <c r="D42" s="3787"/>
      <c r="E42" s="3787"/>
      <c r="F42" s="3789">
        <f>F39/F38*100</f>
        <v>100</v>
      </c>
      <c r="G42" s="3789">
        <f t="shared" ref="G42:H42" si="88">G39/G38*100</f>
        <v>117.63666458625532</v>
      </c>
      <c r="H42" s="3789">
        <f t="shared" si="88"/>
        <v>1326.708858341628</v>
      </c>
      <c r="I42" s="3789">
        <f>I39/I38*100</f>
        <v>112.4929426366572</v>
      </c>
      <c r="J42" s="3789">
        <f>J39/J38*100</f>
        <v>165.14033802608537</v>
      </c>
      <c r="K42" s="3789">
        <f>K39/K38*100</f>
        <v>111.68219486776292</v>
      </c>
      <c r="L42" s="3789"/>
      <c r="M42" s="3789"/>
      <c r="N42" s="3789">
        <f>N39/N38*100</f>
        <v>98.427376321992526</v>
      </c>
      <c r="O42" s="3789">
        <f t="shared" ref="O42:P42" si="89">O39/O38*100</f>
        <v>114.42545641539539</v>
      </c>
      <c r="P42" s="3789">
        <f t="shared" si="89"/>
        <v>221.63609676851385</v>
      </c>
      <c r="Q42" s="3789"/>
      <c r="R42" s="3789"/>
      <c r="S42" s="3789"/>
      <c r="T42" s="3789"/>
      <c r="U42" s="3789"/>
      <c r="V42" s="3789"/>
      <c r="W42" s="3789"/>
      <c r="X42" s="3789">
        <f>X39/X38*100</f>
        <v>100</v>
      </c>
      <c r="Y42" s="3789"/>
      <c r="Z42" s="3789">
        <f t="shared" ref="Z42:AD42" si="90">Z39/Z38*100</f>
        <v>106.32685809474438</v>
      </c>
      <c r="AA42" s="3789">
        <f t="shared" si="90"/>
        <v>100</v>
      </c>
      <c r="AB42" s="3789">
        <f t="shared" si="90"/>
        <v>105.63609748183124</v>
      </c>
      <c r="AC42" s="3789">
        <f t="shared" si="90"/>
        <v>100.76625924786407</v>
      </c>
      <c r="AD42" s="3789">
        <f t="shared" si="90"/>
        <v>105.17080437489894</v>
      </c>
      <c r="AE42" s="3789">
        <f>AE39/AE38*100</f>
        <v>124.58043038297724</v>
      </c>
      <c r="AF42" s="3789"/>
      <c r="AG42" s="3789">
        <f>AG39/AG38*100</f>
        <v>100</v>
      </c>
      <c r="AH42" s="3789"/>
      <c r="AI42" s="3789"/>
      <c r="AJ42" s="3789"/>
      <c r="AK42" s="3789"/>
      <c r="AL42" s="3864">
        <f>AL39/AG38*100</f>
        <v>287.83824065832312</v>
      </c>
      <c r="AM42" s="3864"/>
      <c r="AN42" s="4153">
        <f>SUM(AN39/AN38)*100</f>
        <v>121.39176848153687</v>
      </c>
      <c r="AO42" s="3864"/>
      <c r="AP42" s="3864"/>
      <c r="AQ42" s="3864"/>
      <c r="AR42" s="3791"/>
      <c r="AS42" s="3943"/>
      <c r="AT42" s="3943"/>
      <c r="AU42" s="3943"/>
    </row>
    <row r="43" spans="1:47" ht="9" customHeight="1" x14ac:dyDescent="0.25"/>
    <row r="44" spans="1:47" ht="31.5" hidden="1" x14ac:dyDescent="0.25">
      <c r="A44" s="1243" t="s">
        <v>945</v>
      </c>
      <c r="B44" s="1244" t="s">
        <v>946</v>
      </c>
      <c r="C44" s="1245"/>
      <c r="D44" s="2060"/>
      <c r="E44" s="2060"/>
      <c r="F44" s="1245"/>
      <c r="G44" s="2007"/>
      <c r="H44" s="2007"/>
      <c r="I44" s="1245"/>
      <c r="J44" s="1575"/>
      <c r="K44" s="1575"/>
      <c r="L44" s="2060"/>
      <c r="M44" s="2060"/>
      <c r="N44" s="1245"/>
      <c r="O44" s="2008"/>
      <c r="P44" s="2008"/>
      <c r="Q44" s="2008"/>
      <c r="R44" s="2008"/>
      <c r="S44" s="2008"/>
      <c r="T44" s="2008"/>
      <c r="U44" s="2008"/>
      <c r="V44" s="2008"/>
      <c r="W44" s="2008"/>
      <c r="X44" s="2008"/>
      <c r="Y44" s="2008"/>
      <c r="Z44" s="2008"/>
      <c r="AA44" s="2008"/>
      <c r="AB44" s="2008"/>
      <c r="AC44" s="2008"/>
      <c r="AD44" s="2008"/>
      <c r="AE44" s="2008"/>
      <c r="AF44" s="2008"/>
      <c r="AG44" s="2008"/>
      <c r="AH44" s="2008"/>
    </row>
    <row r="45" spans="1:47" ht="31.5" hidden="1" x14ac:dyDescent="0.25">
      <c r="A45" s="1245"/>
      <c r="B45" s="1246" t="s">
        <v>942</v>
      </c>
      <c r="C45" s="1247" t="s">
        <v>947</v>
      </c>
      <c r="D45" s="2061"/>
      <c r="E45" s="2061"/>
      <c r="F45" s="1245"/>
      <c r="G45" s="2007"/>
      <c r="H45" s="2007"/>
      <c r="I45" s="1248">
        <f>F46</f>
        <v>0</v>
      </c>
      <c r="J45" s="1576"/>
      <c r="K45" s="1576"/>
      <c r="L45" s="2093"/>
      <c r="M45" s="2093"/>
      <c r="N45" s="1248">
        <f>I46</f>
        <v>0</v>
      </c>
      <c r="O45" s="2009"/>
      <c r="P45" s="2009"/>
      <c r="Q45" s="2009"/>
      <c r="R45" s="2009"/>
      <c r="S45" s="2009"/>
      <c r="T45" s="2009"/>
      <c r="U45" s="2009"/>
      <c r="V45" s="2009"/>
      <c r="W45" s="2009"/>
      <c r="X45" s="2009"/>
      <c r="Y45" s="2009"/>
      <c r="Z45" s="2009"/>
      <c r="AA45" s="2009"/>
      <c r="AB45" s="2009"/>
      <c r="AC45" s="2009"/>
      <c r="AD45" s="2009"/>
      <c r="AE45" s="2009"/>
      <c r="AF45" s="2009"/>
      <c r="AG45" s="2009"/>
      <c r="AH45" s="2009"/>
    </row>
    <row r="46" spans="1:47" ht="31.5" hidden="1" x14ac:dyDescent="0.25">
      <c r="A46" s="1245"/>
      <c r="B46" s="1246" t="s">
        <v>943</v>
      </c>
      <c r="C46" s="1247" t="s">
        <v>947</v>
      </c>
      <c r="D46" s="2061"/>
      <c r="E46" s="2061"/>
      <c r="F46" s="1245"/>
      <c r="G46" s="2007"/>
      <c r="H46" s="2007"/>
      <c r="I46" s="1245"/>
      <c r="J46" s="1575"/>
      <c r="K46" s="1575"/>
      <c r="L46" s="2060"/>
      <c r="M46" s="2060"/>
      <c r="N46" s="1245"/>
      <c r="O46" s="2008"/>
      <c r="P46" s="2008"/>
      <c r="Q46" s="2008"/>
      <c r="R46" s="2008"/>
      <c r="S46" s="2008"/>
      <c r="T46" s="2008"/>
      <c r="U46" s="2008"/>
      <c r="V46" s="2008"/>
      <c r="W46" s="2008"/>
      <c r="X46" s="2008"/>
      <c r="Y46" s="2008"/>
      <c r="Z46" s="2008"/>
      <c r="AA46" s="2008"/>
      <c r="AB46" s="2008"/>
      <c r="AC46" s="2008"/>
      <c r="AD46" s="2008"/>
      <c r="AE46" s="2008"/>
      <c r="AF46" s="2008"/>
      <c r="AG46" s="2008"/>
      <c r="AH46" s="2008"/>
    </row>
    <row r="47" spans="1:47" ht="15.75" hidden="1" x14ac:dyDescent="0.25">
      <c r="A47" s="1245"/>
      <c r="B47" s="1246" t="s">
        <v>349</v>
      </c>
      <c r="C47" s="1247" t="s">
        <v>44</v>
      </c>
      <c r="D47" s="2061"/>
      <c r="E47" s="2061"/>
      <c r="F47" s="1245" t="e">
        <f>F46/F45*100</f>
        <v>#DIV/0!</v>
      </c>
      <c r="G47" s="2007"/>
      <c r="H47" s="2007"/>
      <c r="I47" s="1245" t="e">
        <f>I46/I45*100</f>
        <v>#DIV/0!</v>
      </c>
      <c r="J47" s="1575"/>
      <c r="K47" s="1575"/>
      <c r="L47" s="2060"/>
      <c r="M47" s="2060"/>
      <c r="N47" s="1245" t="e">
        <f>N46/N45*100</f>
        <v>#DIV/0!</v>
      </c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2008"/>
      <c r="AB47" s="2008"/>
      <c r="AC47" s="2008"/>
      <c r="AD47" s="2008"/>
      <c r="AE47" s="2008"/>
      <c r="AF47" s="2008"/>
      <c r="AG47" s="2008"/>
      <c r="AH47" s="2008"/>
    </row>
    <row r="48" spans="1:47" ht="15.75" hidden="1" x14ac:dyDescent="0.25">
      <c r="A48" s="1245"/>
      <c r="B48" s="1244" t="s">
        <v>948</v>
      </c>
      <c r="C48" s="1247" t="s">
        <v>902</v>
      </c>
      <c r="D48" s="2061"/>
      <c r="E48" s="2061"/>
      <c r="F48" s="1245" t="e">
        <f>(F38-F45)*#REF!/2+(F39-F46)*#REF!/2</f>
        <v>#REF!</v>
      </c>
      <c r="G48" s="2007"/>
      <c r="H48" s="2007"/>
      <c r="I48" s="1245" t="e">
        <f>(I38-I45)*#REF!/2+(I39-I46)*#REF!/2</f>
        <v>#REF!</v>
      </c>
      <c r="J48" s="1575"/>
      <c r="K48" s="1575"/>
      <c r="L48" s="2060"/>
      <c r="M48" s="2060"/>
      <c r="N48" s="1245" t="e">
        <f>(N38-N45)*#REF!/2+(N39-N46)*#REF!/2</f>
        <v>#REF!</v>
      </c>
      <c r="O48" s="2008"/>
      <c r="P48" s="2008"/>
      <c r="Q48" s="2008"/>
      <c r="R48" s="2008"/>
      <c r="S48" s="2008"/>
      <c r="T48" s="2008"/>
      <c r="U48" s="2008"/>
      <c r="V48" s="2008"/>
      <c r="W48" s="2008"/>
      <c r="X48" s="2008"/>
      <c r="Y48" s="2008"/>
      <c r="Z48" s="2008"/>
      <c r="AA48" s="2008"/>
      <c r="AB48" s="2008"/>
      <c r="AC48" s="2008"/>
      <c r="AD48" s="2008"/>
      <c r="AE48" s="2008"/>
      <c r="AF48" s="2008"/>
      <c r="AG48" s="2008"/>
      <c r="AH48" s="2008"/>
    </row>
    <row r="49" spans="1:5" hidden="1" x14ac:dyDescent="0.25">
      <c r="C49" s="1249"/>
      <c r="D49" s="1249"/>
      <c r="E49" s="1249"/>
    </row>
    <row r="52" spans="1:5" ht="20.25" x14ac:dyDescent="0.3">
      <c r="A52" s="3874" t="s">
        <v>3517</v>
      </c>
    </row>
  </sheetData>
  <mergeCells count="45">
    <mergeCell ref="AJ7:AJ9"/>
    <mergeCell ref="AK7:AK9"/>
    <mergeCell ref="C7:C9"/>
    <mergeCell ref="F7:F9"/>
    <mergeCell ref="G7:G9"/>
    <mergeCell ref="A37:A42"/>
    <mergeCell ref="Y7:Y9"/>
    <mergeCell ref="R6:W6"/>
    <mergeCell ref="X6:AD6"/>
    <mergeCell ref="R7:R9"/>
    <mergeCell ref="X7:X9"/>
    <mergeCell ref="Q7:Q9"/>
    <mergeCell ref="AL5:AO5"/>
    <mergeCell ref="R4:AR4"/>
    <mergeCell ref="A2:AR2"/>
    <mergeCell ref="AE7:AE9"/>
    <mergeCell ref="AF7:AF9"/>
    <mergeCell ref="AH7:AH9"/>
    <mergeCell ref="AI5:AI6"/>
    <mergeCell ref="AJ5:AJ6"/>
    <mergeCell ref="H7:H9"/>
    <mergeCell ref="O7:O9"/>
    <mergeCell ref="D7:D9"/>
    <mergeCell ref="E7:E9"/>
    <mergeCell ref="L7:L9"/>
    <mergeCell ref="AM7:AM9"/>
    <mergeCell ref="AO7:AO9"/>
    <mergeCell ref="AI7:AI9"/>
    <mergeCell ref="AK5:AK6"/>
    <mergeCell ref="A4:A6"/>
    <mergeCell ref="B4:B6"/>
    <mergeCell ref="C4:C6"/>
    <mergeCell ref="D4:D6"/>
    <mergeCell ref="E4:E6"/>
    <mergeCell ref="F5:H5"/>
    <mergeCell ref="I5:M5"/>
    <mergeCell ref="F4:Q4"/>
    <mergeCell ref="N5:Q5"/>
    <mergeCell ref="AE5:AH5"/>
    <mergeCell ref="AP5:AP6"/>
    <mergeCell ref="AQ5:AQ6"/>
    <mergeCell ref="AR5:AR6"/>
    <mergeCell ref="AP7:AP9"/>
    <mergeCell ref="AQ7:AQ9"/>
    <mergeCell ref="AR7:AR9"/>
  </mergeCells>
  <printOptions horizontalCentered="1"/>
  <pageMargins left="0.31496062992125984" right="0.31496062992125984" top="0.35433070866141736" bottom="0.15748031496062992" header="0.31496062992125984" footer="0.31496062992125984"/>
  <pageSetup paperSize="9" scale="3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6">
    <tabColor theme="2" tint="-0.499984740745262"/>
    <pageSetUpPr fitToPage="1"/>
  </sheetPr>
  <dimension ref="A1:AT55"/>
  <sheetViews>
    <sheetView topLeftCell="B1" zoomScaleNormal="100" zoomScaleSheetLayoutView="75" workbookViewId="0">
      <pane xSplit="1" ySplit="5" topLeftCell="AB33" activePane="bottomRight" state="frozen"/>
      <selection activeCell="B1" sqref="B1"/>
      <selection pane="topRight" activeCell="C1" sqref="C1"/>
      <selection pane="bottomLeft" activeCell="B6" sqref="B6"/>
      <selection pane="bottomRight" activeCell="AP11" sqref="AP11"/>
    </sheetView>
  </sheetViews>
  <sheetFormatPr defaultColWidth="0.85546875" defaultRowHeight="15" x14ac:dyDescent="0.25"/>
  <cols>
    <col min="1" max="1" width="6.42578125" style="1236" customWidth="1"/>
    <col min="2" max="2" width="36.7109375" style="1242" customWidth="1"/>
    <col min="3" max="3" width="9.7109375" style="1236" customWidth="1"/>
    <col min="4" max="5" width="10.7109375" style="1236" hidden="1" customWidth="1"/>
    <col min="6" max="6" width="8.85546875" style="1236" hidden="1" customWidth="1"/>
    <col min="7" max="7" width="9" style="1236" hidden="1" customWidth="1"/>
    <col min="8" max="8" width="8.85546875" style="1236" hidden="1" customWidth="1"/>
    <col min="9" max="9" width="8.28515625" style="1236" customWidth="1"/>
    <col min="10" max="10" width="12.7109375" style="1236" customWidth="1"/>
    <col min="11" max="11" width="11.7109375" style="1236" customWidth="1"/>
    <col min="12" max="12" width="9.28515625" style="1236" customWidth="1"/>
    <col min="13" max="14" width="9.42578125" style="1236" customWidth="1"/>
    <col min="15" max="15" width="12.7109375" style="1236" customWidth="1"/>
    <col min="16" max="16" width="11" style="1236" hidden="1" customWidth="1"/>
    <col min="17" max="17" width="11.28515625" style="1236" customWidth="1"/>
    <col min="18" max="18" width="8.42578125" style="1236" customWidth="1"/>
    <col min="19" max="19" width="10.42578125" style="1236" customWidth="1"/>
    <col min="20" max="26" width="11.7109375" style="1236" customWidth="1"/>
    <col min="27" max="27" width="10.7109375" style="1236" customWidth="1"/>
    <col min="28" max="32" width="11.7109375" style="1236" customWidth="1"/>
    <col min="33" max="33" width="13" style="1236" customWidth="1"/>
    <col min="34" max="34" width="9.5703125" style="1236" customWidth="1"/>
    <col min="35" max="35" width="13" style="1236" customWidth="1"/>
    <col min="36" max="36" width="9.5703125" style="1236" customWidth="1"/>
    <col min="37" max="38" width="10.5703125" style="1236" customWidth="1"/>
    <col min="39" max="39" width="10.42578125" style="1236" customWidth="1"/>
    <col min="40" max="40" width="12.85546875" style="1236" customWidth="1"/>
    <col min="41" max="41" width="9.140625" style="1236" customWidth="1"/>
    <col min="42" max="42" width="12.85546875" style="1236" customWidth="1"/>
    <col min="43" max="43" width="9.140625" style="1236" customWidth="1"/>
    <col min="44" max="46" width="10.5703125" style="1236" customWidth="1"/>
    <col min="47" max="47" width="9.42578125" style="1236" customWidth="1"/>
    <col min="48" max="48" width="10.5703125" style="1236" customWidth="1"/>
    <col min="49" max="49" width="12.42578125" style="1236" customWidth="1"/>
    <col min="50" max="50" width="14.5703125" style="1236" customWidth="1"/>
    <col min="51" max="51" width="12.28515625" style="1236" customWidth="1"/>
    <col min="52" max="52" width="25.85546875" style="1236" customWidth="1"/>
    <col min="53" max="284" width="0.85546875" style="1236"/>
    <col min="285" max="285" width="9.85546875" style="1236" customWidth="1"/>
    <col min="286" max="286" width="81.85546875" style="1236" customWidth="1"/>
    <col min="287" max="287" width="12.7109375" style="1236" customWidth="1"/>
    <col min="288" max="288" width="12.42578125" style="1236" customWidth="1"/>
    <col min="289" max="289" width="14.5703125" style="1236" customWidth="1"/>
    <col min="290" max="290" width="12.28515625" style="1236" customWidth="1"/>
    <col min="291" max="291" width="38.140625" style="1236" customWidth="1"/>
    <col min="292" max="292" width="46.85546875" style="1236" customWidth="1"/>
    <col min="293" max="295" width="12.7109375" style="1236" customWidth="1"/>
    <col min="296" max="296" width="9.28515625" style="1236" customWidth="1"/>
    <col min="297" max="297" width="13.5703125" style="1236" customWidth="1"/>
    <col min="298" max="298" width="10.28515625" style="1236" customWidth="1"/>
    <col min="299" max="299" width="12.85546875" style="1236" customWidth="1"/>
    <col min="300" max="300" width="9.140625" style="1236" customWidth="1"/>
    <col min="301" max="301" width="9.7109375" style="1236" customWidth="1"/>
    <col min="302" max="302" width="9.28515625" style="1236" customWidth="1"/>
    <col min="303" max="303" width="9.42578125" style="1236" customWidth="1"/>
    <col min="304" max="304" width="10.5703125" style="1236" customWidth="1"/>
    <col min="305" max="305" width="12.42578125" style="1236" customWidth="1"/>
    <col min="306" max="306" width="14.5703125" style="1236" customWidth="1"/>
    <col min="307" max="307" width="12.28515625" style="1236" customWidth="1"/>
    <col min="308" max="308" width="25.85546875" style="1236" customWidth="1"/>
    <col min="309" max="540" width="0.85546875" style="1236"/>
    <col min="541" max="541" width="9.85546875" style="1236" customWidth="1"/>
    <col min="542" max="542" width="81.85546875" style="1236" customWidth="1"/>
    <col min="543" max="543" width="12.7109375" style="1236" customWidth="1"/>
    <col min="544" max="544" width="12.42578125" style="1236" customWidth="1"/>
    <col min="545" max="545" width="14.5703125" style="1236" customWidth="1"/>
    <col min="546" max="546" width="12.28515625" style="1236" customWidth="1"/>
    <col min="547" max="547" width="38.140625" style="1236" customWidth="1"/>
    <col min="548" max="548" width="46.85546875" style="1236" customWidth="1"/>
    <col min="549" max="551" width="12.7109375" style="1236" customWidth="1"/>
    <col min="552" max="552" width="9.28515625" style="1236" customWidth="1"/>
    <col min="553" max="553" width="13.5703125" style="1236" customWidth="1"/>
    <col min="554" max="554" width="10.28515625" style="1236" customWidth="1"/>
    <col min="555" max="555" width="12.85546875" style="1236" customWidth="1"/>
    <col min="556" max="556" width="9.140625" style="1236" customWidth="1"/>
    <col min="557" max="557" width="9.7109375" style="1236" customWidth="1"/>
    <col min="558" max="558" width="9.28515625" style="1236" customWidth="1"/>
    <col min="559" max="559" width="9.42578125" style="1236" customWidth="1"/>
    <col min="560" max="560" width="10.5703125" style="1236" customWidth="1"/>
    <col min="561" max="561" width="12.42578125" style="1236" customWidth="1"/>
    <col min="562" max="562" width="14.5703125" style="1236" customWidth="1"/>
    <col min="563" max="563" width="12.28515625" style="1236" customWidth="1"/>
    <col min="564" max="564" width="25.85546875" style="1236" customWidth="1"/>
    <col min="565" max="796" width="0.85546875" style="1236"/>
    <col min="797" max="797" width="9.85546875" style="1236" customWidth="1"/>
    <col min="798" max="798" width="81.85546875" style="1236" customWidth="1"/>
    <col min="799" max="799" width="12.7109375" style="1236" customWidth="1"/>
    <col min="800" max="800" width="12.42578125" style="1236" customWidth="1"/>
    <col min="801" max="801" width="14.5703125" style="1236" customWidth="1"/>
    <col min="802" max="802" width="12.28515625" style="1236" customWidth="1"/>
    <col min="803" max="803" width="38.140625" style="1236" customWidth="1"/>
    <col min="804" max="804" width="46.85546875" style="1236" customWidth="1"/>
    <col min="805" max="807" width="12.7109375" style="1236" customWidth="1"/>
    <col min="808" max="808" width="9.28515625" style="1236" customWidth="1"/>
    <col min="809" max="809" width="13.5703125" style="1236" customWidth="1"/>
    <col min="810" max="810" width="10.28515625" style="1236" customWidth="1"/>
    <col min="811" max="811" width="12.85546875" style="1236" customWidth="1"/>
    <col min="812" max="812" width="9.140625" style="1236" customWidth="1"/>
    <col min="813" max="813" width="9.7109375" style="1236" customWidth="1"/>
    <col min="814" max="814" width="9.28515625" style="1236" customWidth="1"/>
    <col min="815" max="815" width="9.42578125" style="1236" customWidth="1"/>
    <col min="816" max="816" width="10.5703125" style="1236" customWidth="1"/>
    <col min="817" max="817" width="12.42578125" style="1236" customWidth="1"/>
    <col min="818" max="818" width="14.5703125" style="1236" customWidth="1"/>
    <col min="819" max="819" width="12.28515625" style="1236" customWidth="1"/>
    <col min="820" max="820" width="25.85546875" style="1236" customWidth="1"/>
    <col min="821" max="1052" width="0.85546875" style="1236"/>
    <col min="1053" max="1053" width="9.85546875" style="1236" customWidth="1"/>
    <col min="1054" max="1054" width="81.85546875" style="1236" customWidth="1"/>
    <col min="1055" max="1055" width="12.7109375" style="1236" customWidth="1"/>
    <col min="1056" max="1056" width="12.42578125" style="1236" customWidth="1"/>
    <col min="1057" max="1057" width="14.5703125" style="1236" customWidth="1"/>
    <col min="1058" max="1058" width="12.28515625" style="1236" customWidth="1"/>
    <col min="1059" max="1059" width="38.140625" style="1236" customWidth="1"/>
    <col min="1060" max="1060" width="46.85546875" style="1236" customWidth="1"/>
    <col min="1061" max="1063" width="12.7109375" style="1236" customWidth="1"/>
    <col min="1064" max="1064" width="9.28515625" style="1236" customWidth="1"/>
    <col min="1065" max="1065" width="13.5703125" style="1236" customWidth="1"/>
    <col min="1066" max="1066" width="10.28515625" style="1236" customWidth="1"/>
    <col min="1067" max="1067" width="12.85546875" style="1236" customWidth="1"/>
    <col min="1068" max="1068" width="9.140625" style="1236" customWidth="1"/>
    <col min="1069" max="1069" width="9.7109375" style="1236" customWidth="1"/>
    <col min="1070" max="1070" width="9.28515625" style="1236" customWidth="1"/>
    <col min="1071" max="1071" width="9.42578125" style="1236" customWidth="1"/>
    <col min="1072" max="1072" width="10.5703125" style="1236" customWidth="1"/>
    <col min="1073" max="1073" width="12.42578125" style="1236" customWidth="1"/>
    <col min="1074" max="1074" width="14.5703125" style="1236" customWidth="1"/>
    <col min="1075" max="1075" width="12.28515625" style="1236" customWidth="1"/>
    <col min="1076" max="1076" width="25.85546875" style="1236" customWidth="1"/>
    <col min="1077" max="1308" width="0.85546875" style="1236"/>
    <col min="1309" max="1309" width="9.85546875" style="1236" customWidth="1"/>
    <col min="1310" max="1310" width="81.85546875" style="1236" customWidth="1"/>
    <col min="1311" max="1311" width="12.7109375" style="1236" customWidth="1"/>
    <col min="1312" max="1312" width="12.42578125" style="1236" customWidth="1"/>
    <col min="1313" max="1313" width="14.5703125" style="1236" customWidth="1"/>
    <col min="1314" max="1314" width="12.28515625" style="1236" customWidth="1"/>
    <col min="1315" max="1315" width="38.140625" style="1236" customWidth="1"/>
    <col min="1316" max="1316" width="46.85546875" style="1236" customWidth="1"/>
    <col min="1317" max="1319" width="12.7109375" style="1236" customWidth="1"/>
    <col min="1320" max="1320" width="9.28515625" style="1236" customWidth="1"/>
    <col min="1321" max="1321" width="13.5703125" style="1236" customWidth="1"/>
    <col min="1322" max="1322" width="10.28515625" style="1236" customWidth="1"/>
    <col min="1323" max="1323" width="12.85546875" style="1236" customWidth="1"/>
    <col min="1324" max="1324" width="9.140625" style="1236" customWidth="1"/>
    <col min="1325" max="1325" width="9.7109375" style="1236" customWidth="1"/>
    <col min="1326" max="1326" width="9.28515625" style="1236" customWidth="1"/>
    <col min="1327" max="1327" width="9.42578125" style="1236" customWidth="1"/>
    <col min="1328" max="1328" width="10.5703125" style="1236" customWidth="1"/>
    <col min="1329" max="1329" width="12.42578125" style="1236" customWidth="1"/>
    <col min="1330" max="1330" width="14.5703125" style="1236" customWidth="1"/>
    <col min="1331" max="1331" width="12.28515625" style="1236" customWidth="1"/>
    <col min="1332" max="1332" width="25.85546875" style="1236" customWidth="1"/>
    <col min="1333" max="1564" width="0.85546875" style="1236"/>
    <col min="1565" max="1565" width="9.85546875" style="1236" customWidth="1"/>
    <col min="1566" max="1566" width="81.85546875" style="1236" customWidth="1"/>
    <col min="1567" max="1567" width="12.7109375" style="1236" customWidth="1"/>
    <col min="1568" max="1568" width="12.42578125" style="1236" customWidth="1"/>
    <col min="1569" max="1569" width="14.5703125" style="1236" customWidth="1"/>
    <col min="1570" max="1570" width="12.28515625" style="1236" customWidth="1"/>
    <col min="1571" max="1571" width="38.140625" style="1236" customWidth="1"/>
    <col min="1572" max="1572" width="46.85546875" style="1236" customWidth="1"/>
    <col min="1573" max="1575" width="12.7109375" style="1236" customWidth="1"/>
    <col min="1576" max="1576" width="9.28515625" style="1236" customWidth="1"/>
    <col min="1577" max="1577" width="13.5703125" style="1236" customWidth="1"/>
    <col min="1578" max="1578" width="10.28515625" style="1236" customWidth="1"/>
    <col min="1579" max="1579" width="12.85546875" style="1236" customWidth="1"/>
    <col min="1580" max="1580" width="9.140625" style="1236" customWidth="1"/>
    <col min="1581" max="1581" width="9.7109375" style="1236" customWidth="1"/>
    <col min="1582" max="1582" width="9.28515625" style="1236" customWidth="1"/>
    <col min="1583" max="1583" width="9.42578125" style="1236" customWidth="1"/>
    <col min="1584" max="1584" width="10.5703125" style="1236" customWidth="1"/>
    <col min="1585" max="1585" width="12.42578125" style="1236" customWidth="1"/>
    <col min="1586" max="1586" width="14.5703125" style="1236" customWidth="1"/>
    <col min="1587" max="1587" width="12.28515625" style="1236" customWidth="1"/>
    <col min="1588" max="1588" width="25.85546875" style="1236" customWidth="1"/>
    <col min="1589" max="1820" width="0.85546875" style="1236"/>
    <col min="1821" max="1821" width="9.85546875" style="1236" customWidth="1"/>
    <col min="1822" max="1822" width="81.85546875" style="1236" customWidth="1"/>
    <col min="1823" max="1823" width="12.7109375" style="1236" customWidth="1"/>
    <col min="1824" max="1824" width="12.42578125" style="1236" customWidth="1"/>
    <col min="1825" max="1825" width="14.5703125" style="1236" customWidth="1"/>
    <col min="1826" max="1826" width="12.28515625" style="1236" customWidth="1"/>
    <col min="1827" max="1827" width="38.140625" style="1236" customWidth="1"/>
    <col min="1828" max="1828" width="46.85546875" style="1236" customWidth="1"/>
    <col min="1829" max="1831" width="12.7109375" style="1236" customWidth="1"/>
    <col min="1832" max="1832" width="9.28515625" style="1236" customWidth="1"/>
    <col min="1833" max="1833" width="13.5703125" style="1236" customWidth="1"/>
    <col min="1834" max="1834" width="10.28515625" style="1236" customWidth="1"/>
    <col min="1835" max="1835" width="12.85546875" style="1236" customWidth="1"/>
    <col min="1836" max="1836" width="9.140625" style="1236" customWidth="1"/>
    <col min="1837" max="1837" width="9.7109375" style="1236" customWidth="1"/>
    <col min="1838" max="1838" width="9.28515625" style="1236" customWidth="1"/>
    <col min="1839" max="1839" width="9.42578125" style="1236" customWidth="1"/>
    <col min="1840" max="1840" width="10.5703125" style="1236" customWidth="1"/>
    <col min="1841" max="1841" width="12.42578125" style="1236" customWidth="1"/>
    <col min="1842" max="1842" width="14.5703125" style="1236" customWidth="1"/>
    <col min="1843" max="1843" width="12.28515625" style="1236" customWidth="1"/>
    <col min="1844" max="1844" width="25.85546875" style="1236" customWidth="1"/>
    <col min="1845" max="2076" width="0.85546875" style="1236"/>
    <col min="2077" max="2077" width="9.85546875" style="1236" customWidth="1"/>
    <col min="2078" max="2078" width="81.85546875" style="1236" customWidth="1"/>
    <col min="2079" max="2079" width="12.7109375" style="1236" customWidth="1"/>
    <col min="2080" max="2080" width="12.42578125" style="1236" customWidth="1"/>
    <col min="2081" max="2081" width="14.5703125" style="1236" customWidth="1"/>
    <col min="2082" max="2082" width="12.28515625" style="1236" customWidth="1"/>
    <col min="2083" max="2083" width="38.140625" style="1236" customWidth="1"/>
    <col min="2084" max="2084" width="46.85546875" style="1236" customWidth="1"/>
    <col min="2085" max="2087" width="12.7109375" style="1236" customWidth="1"/>
    <col min="2088" max="2088" width="9.28515625" style="1236" customWidth="1"/>
    <col min="2089" max="2089" width="13.5703125" style="1236" customWidth="1"/>
    <col min="2090" max="2090" width="10.28515625" style="1236" customWidth="1"/>
    <col min="2091" max="2091" width="12.85546875" style="1236" customWidth="1"/>
    <col min="2092" max="2092" width="9.140625" style="1236" customWidth="1"/>
    <col min="2093" max="2093" width="9.7109375" style="1236" customWidth="1"/>
    <col min="2094" max="2094" width="9.28515625" style="1236" customWidth="1"/>
    <col min="2095" max="2095" width="9.42578125" style="1236" customWidth="1"/>
    <col min="2096" max="2096" width="10.5703125" style="1236" customWidth="1"/>
    <col min="2097" max="2097" width="12.42578125" style="1236" customWidth="1"/>
    <col min="2098" max="2098" width="14.5703125" style="1236" customWidth="1"/>
    <col min="2099" max="2099" width="12.28515625" style="1236" customWidth="1"/>
    <col min="2100" max="2100" width="25.85546875" style="1236" customWidth="1"/>
    <col min="2101" max="2332" width="0.85546875" style="1236"/>
    <col min="2333" max="2333" width="9.85546875" style="1236" customWidth="1"/>
    <col min="2334" max="2334" width="81.85546875" style="1236" customWidth="1"/>
    <col min="2335" max="2335" width="12.7109375" style="1236" customWidth="1"/>
    <col min="2336" max="2336" width="12.42578125" style="1236" customWidth="1"/>
    <col min="2337" max="2337" width="14.5703125" style="1236" customWidth="1"/>
    <col min="2338" max="2338" width="12.28515625" style="1236" customWidth="1"/>
    <col min="2339" max="2339" width="38.140625" style="1236" customWidth="1"/>
    <col min="2340" max="2340" width="46.85546875" style="1236" customWidth="1"/>
    <col min="2341" max="2343" width="12.7109375" style="1236" customWidth="1"/>
    <col min="2344" max="2344" width="9.28515625" style="1236" customWidth="1"/>
    <col min="2345" max="2345" width="13.5703125" style="1236" customWidth="1"/>
    <col min="2346" max="2346" width="10.28515625" style="1236" customWidth="1"/>
    <col min="2347" max="2347" width="12.85546875" style="1236" customWidth="1"/>
    <col min="2348" max="2348" width="9.140625" style="1236" customWidth="1"/>
    <col min="2349" max="2349" width="9.7109375" style="1236" customWidth="1"/>
    <col min="2350" max="2350" width="9.28515625" style="1236" customWidth="1"/>
    <col min="2351" max="2351" width="9.42578125" style="1236" customWidth="1"/>
    <col min="2352" max="2352" width="10.5703125" style="1236" customWidth="1"/>
    <col min="2353" max="2353" width="12.42578125" style="1236" customWidth="1"/>
    <col min="2354" max="2354" width="14.5703125" style="1236" customWidth="1"/>
    <col min="2355" max="2355" width="12.28515625" style="1236" customWidth="1"/>
    <col min="2356" max="2356" width="25.85546875" style="1236" customWidth="1"/>
    <col min="2357" max="2588" width="0.85546875" style="1236"/>
    <col min="2589" max="2589" width="9.85546875" style="1236" customWidth="1"/>
    <col min="2590" max="2590" width="81.85546875" style="1236" customWidth="1"/>
    <col min="2591" max="2591" width="12.7109375" style="1236" customWidth="1"/>
    <col min="2592" max="2592" width="12.42578125" style="1236" customWidth="1"/>
    <col min="2593" max="2593" width="14.5703125" style="1236" customWidth="1"/>
    <col min="2594" max="2594" width="12.28515625" style="1236" customWidth="1"/>
    <col min="2595" max="2595" width="38.140625" style="1236" customWidth="1"/>
    <col min="2596" max="2596" width="46.85546875" style="1236" customWidth="1"/>
    <col min="2597" max="2599" width="12.7109375" style="1236" customWidth="1"/>
    <col min="2600" max="2600" width="9.28515625" style="1236" customWidth="1"/>
    <col min="2601" max="2601" width="13.5703125" style="1236" customWidth="1"/>
    <col min="2602" max="2602" width="10.28515625" style="1236" customWidth="1"/>
    <col min="2603" max="2603" width="12.85546875" style="1236" customWidth="1"/>
    <col min="2604" max="2604" width="9.140625" style="1236" customWidth="1"/>
    <col min="2605" max="2605" width="9.7109375" style="1236" customWidth="1"/>
    <col min="2606" max="2606" width="9.28515625" style="1236" customWidth="1"/>
    <col min="2607" max="2607" width="9.42578125" style="1236" customWidth="1"/>
    <col min="2608" max="2608" width="10.5703125" style="1236" customWidth="1"/>
    <col min="2609" max="2609" width="12.42578125" style="1236" customWidth="1"/>
    <col min="2610" max="2610" width="14.5703125" style="1236" customWidth="1"/>
    <col min="2611" max="2611" width="12.28515625" style="1236" customWidth="1"/>
    <col min="2612" max="2612" width="25.85546875" style="1236" customWidth="1"/>
    <col min="2613" max="2844" width="0.85546875" style="1236"/>
    <col min="2845" max="2845" width="9.85546875" style="1236" customWidth="1"/>
    <col min="2846" max="2846" width="81.85546875" style="1236" customWidth="1"/>
    <col min="2847" max="2847" width="12.7109375" style="1236" customWidth="1"/>
    <col min="2848" max="2848" width="12.42578125" style="1236" customWidth="1"/>
    <col min="2849" max="2849" width="14.5703125" style="1236" customWidth="1"/>
    <col min="2850" max="2850" width="12.28515625" style="1236" customWidth="1"/>
    <col min="2851" max="2851" width="38.140625" style="1236" customWidth="1"/>
    <col min="2852" max="2852" width="46.85546875" style="1236" customWidth="1"/>
    <col min="2853" max="2855" width="12.7109375" style="1236" customWidth="1"/>
    <col min="2856" max="2856" width="9.28515625" style="1236" customWidth="1"/>
    <col min="2857" max="2857" width="13.5703125" style="1236" customWidth="1"/>
    <col min="2858" max="2858" width="10.28515625" style="1236" customWidth="1"/>
    <col min="2859" max="2859" width="12.85546875" style="1236" customWidth="1"/>
    <col min="2860" max="2860" width="9.140625" style="1236" customWidth="1"/>
    <col min="2861" max="2861" width="9.7109375" style="1236" customWidth="1"/>
    <col min="2862" max="2862" width="9.28515625" style="1236" customWidth="1"/>
    <col min="2863" max="2863" width="9.42578125" style="1236" customWidth="1"/>
    <col min="2864" max="2864" width="10.5703125" style="1236" customWidth="1"/>
    <col min="2865" max="2865" width="12.42578125" style="1236" customWidth="1"/>
    <col min="2866" max="2866" width="14.5703125" style="1236" customWidth="1"/>
    <col min="2867" max="2867" width="12.28515625" style="1236" customWidth="1"/>
    <col min="2868" max="2868" width="25.85546875" style="1236" customWidth="1"/>
    <col min="2869" max="3100" width="0.85546875" style="1236"/>
    <col min="3101" max="3101" width="9.85546875" style="1236" customWidth="1"/>
    <col min="3102" max="3102" width="81.85546875" style="1236" customWidth="1"/>
    <col min="3103" max="3103" width="12.7109375" style="1236" customWidth="1"/>
    <col min="3104" max="3104" width="12.42578125" style="1236" customWidth="1"/>
    <col min="3105" max="3105" width="14.5703125" style="1236" customWidth="1"/>
    <col min="3106" max="3106" width="12.28515625" style="1236" customWidth="1"/>
    <col min="3107" max="3107" width="38.140625" style="1236" customWidth="1"/>
    <col min="3108" max="3108" width="46.85546875" style="1236" customWidth="1"/>
    <col min="3109" max="3111" width="12.7109375" style="1236" customWidth="1"/>
    <col min="3112" max="3112" width="9.28515625" style="1236" customWidth="1"/>
    <col min="3113" max="3113" width="13.5703125" style="1236" customWidth="1"/>
    <col min="3114" max="3114" width="10.28515625" style="1236" customWidth="1"/>
    <col min="3115" max="3115" width="12.85546875" style="1236" customWidth="1"/>
    <col min="3116" max="3116" width="9.140625" style="1236" customWidth="1"/>
    <col min="3117" max="3117" width="9.7109375" style="1236" customWidth="1"/>
    <col min="3118" max="3118" width="9.28515625" style="1236" customWidth="1"/>
    <col min="3119" max="3119" width="9.42578125" style="1236" customWidth="1"/>
    <col min="3120" max="3120" width="10.5703125" style="1236" customWidth="1"/>
    <col min="3121" max="3121" width="12.42578125" style="1236" customWidth="1"/>
    <col min="3122" max="3122" width="14.5703125" style="1236" customWidth="1"/>
    <col min="3123" max="3123" width="12.28515625" style="1236" customWidth="1"/>
    <col min="3124" max="3124" width="25.85546875" style="1236" customWidth="1"/>
    <col min="3125" max="3356" width="0.85546875" style="1236"/>
    <col min="3357" max="3357" width="9.85546875" style="1236" customWidth="1"/>
    <col min="3358" max="3358" width="81.85546875" style="1236" customWidth="1"/>
    <col min="3359" max="3359" width="12.7109375" style="1236" customWidth="1"/>
    <col min="3360" max="3360" width="12.42578125" style="1236" customWidth="1"/>
    <col min="3361" max="3361" width="14.5703125" style="1236" customWidth="1"/>
    <col min="3362" max="3362" width="12.28515625" style="1236" customWidth="1"/>
    <col min="3363" max="3363" width="38.140625" style="1236" customWidth="1"/>
    <col min="3364" max="3364" width="46.85546875" style="1236" customWidth="1"/>
    <col min="3365" max="3367" width="12.7109375" style="1236" customWidth="1"/>
    <col min="3368" max="3368" width="9.28515625" style="1236" customWidth="1"/>
    <col min="3369" max="3369" width="13.5703125" style="1236" customWidth="1"/>
    <col min="3370" max="3370" width="10.28515625" style="1236" customWidth="1"/>
    <col min="3371" max="3371" width="12.85546875" style="1236" customWidth="1"/>
    <col min="3372" max="3372" width="9.140625" style="1236" customWidth="1"/>
    <col min="3373" max="3373" width="9.7109375" style="1236" customWidth="1"/>
    <col min="3374" max="3374" width="9.28515625" style="1236" customWidth="1"/>
    <col min="3375" max="3375" width="9.42578125" style="1236" customWidth="1"/>
    <col min="3376" max="3376" width="10.5703125" style="1236" customWidth="1"/>
    <col min="3377" max="3377" width="12.42578125" style="1236" customWidth="1"/>
    <col min="3378" max="3378" width="14.5703125" style="1236" customWidth="1"/>
    <col min="3379" max="3379" width="12.28515625" style="1236" customWidth="1"/>
    <col min="3380" max="3380" width="25.85546875" style="1236" customWidth="1"/>
    <col min="3381" max="3612" width="0.85546875" style="1236"/>
    <col min="3613" max="3613" width="9.85546875" style="1236" customWidth="1"/>
    <col min="3614" max="3614" width="81.85546875" style="1236" customWidth="1"/>
    <col min="3615" max="3615" width="12.7109375" style="1236" customWidth="1"/>
    <col min="3616" max="3616" width="12.42578125" style="1236" customWidth="1"/>
    <col min="3617" max="3617" width="14.5703125" style="1236" customWidth="1"/>
    <col min="3618" max="3618" width="12.28515625" style="1236" customWidth="1"/>
    <col min="3619" max="3619" width="38.140625" style="1236" customWidth="1"/>
    <col min="3620" max="3620" width="46.85546875" style="1236" customWidth="1"/>
    <col min="3621" max="3623" width="12.7109375" style="1236" customWidth="1"/>
    <col min="3624" max="3624" width="9.28515625" style="1236" customWidth="1"/>
    <col min="3625" max="3625" width="13.5703125" style="1236" customWidth="1"/>
    <col min="3626" max="3626" width="10.28515625" style="1236" customWidth="1"/>
    <col min="3627" max="3627" width="12.85546875" style="1236" customWidth="1"/>
    <col min="3628" max="3628" width="9.140625" style="1236" customWidth="1"/>
    <col min="3629" max="3629" width="9.7109375" style="1236" customWidth="1"/>
    <col min="3630" max="3630" width="9.28515625" style="1236" customWidth="1"/>
    <col min="3631" max="3631" width="9.42578125" style="1236" customWidth="1"/>
    <col min="3632" max="3632" width="10.5703125" style="1236" customWidth="1"/>
    <col min="3633" max="3633" width="12.42578125" style="1236" customWidth="1"/>
    <col min="3634" max="3634" width="14.5703125" style="1236" customWidth="1"/>
    <col min="3635" max="3635" width="12.28515625" style="1236" customWidth="1"/>
    <col min="3636" max="3636" width="25.85546875" style="1236" customWidth="1"/>
    <col min="3637" max="3868" width="0.85546875" style="1236"/>
    <col min="3869" max="3869" width="9.85546875" style="1236" customWidth="1"/>
    <col min="3870" max="3870" width="81.85546875" style="1236" customWidth="1"/>
    <col min="3871" max="3871" width="12.7109375" style="1236" customWidth="1"/>
    <col min="3872" max="3872" width="12.42578125" style="1236" customWidth="1"/>
    <col min="3873" max="3873" width="14.5703125" style="1236" customWidth="1"/>
    <col min="3874" max="3874" width="12.28515625" style="1236" customWidth="1"/>
    <col min="3875" max="3875" width="38.140625" style="1236" customWidth="1"/>
    <col min="3876" max="3876" width="46.85546875" style="1236" customWidth="1"/>
    <col min="3877" max="3879" width="12.7109375" style="1236" customWidth="1"/>
    <col min="3880" max="3880" width="9.28515625" style="1236" customWidth="1"/>
    <col min="3881" max="3881" width="13.5703125" style="1236" customWidth="1"/>
    <col min="3882" max="3882" width="10.28515625" style="1236" customWidth="1"/>
    <col min="3883" max="3883" width="12.85546875" style="1236" customWidth="1"/>
    <col min="3884" max="3884" width="9.140625" style="1236" customWidth="1"/>
    <col min="3885" max="3885" width="9.7109375" style="1236" customWidth="1"/>
    <col min="3886" max="3886" width="9.28515625" style="1236" customWidth="1"/>
    <col min="3887" max="3887" width="9.42578125" style="1236" customWidth="1"/>
    <col min="3888" max="3888" width="10.5703125" style="1236" customWidth="1"/>
    <col min="3889" max="3889" width="12.42578125" style="1236" customWidth="1"/>
    <col min="3890" max="3890" width="14.5703125" style="1236" customWidth="1"/>
    <col min="3891" max="3891" width="12.28515625" style="1236" customWidth="1"/>
    <col min="3892" max="3892" width="25.85546875" style="1236" customWidth="1"/>
    <col min="3893" max="4124" width="0.85546875" style="1236"/>
    <col min="4125" max="4125" width="9.85546875" style="1236" customWidth="1"/>
    <col min="4126" max="4126" width="81.85546875" style="1236" customWidth="1"/>
    <col min="4127" max="4127" width="12.7109375" style="1236" customWidth="1"/>
    <col min="4128" max="4128" width="12.42578125" style="1236" customWidth="1"/>
    <col min="4129" max="4129" width="14.5703125" style="1236" customWidth="1"/>
    <col min="4130" max="4130" width="12.28515625" style="1236" customWidth="1"/>
    <col min="4131" max="4131" width="38.140625" style="1236" customWidth="1"/>
    <col min="4132" max="4132" width="46.85546875" style="1236" customWidth="1"/>
    <col min="4133" max="4135" width="12.7109375" style="1236" customWidth="1"/>
    <col min="4136" max="4136" width="9.28515625" style="1236" customWidth="1"/>
    <col min="4137" max="4137" width="13.5703125" style="1236" customWidth="1"/>
    <col min="4138" max="4138" width="10.28515625" style="1236" customWidth="1"/>
    <col min="4139" max="4139" width="12.85546875" style="1236" customWidth="1"/>
    <col min="4140" max="4140" width="9.140625" style="1236" customWidth="1"/>
    <col min="4141" max="4141" width="9.7109375" style="1236" customWidth="1"/>
    <col min="4142" max="4142" width="9.28515625" style="1236" customWidth="1"/>
    <col min="4143" max="4143" width="9.42578125" style="1236" customWidth="1"/>
    <col min="4144" max="4144" width="10.5703125" style="1236" customWidth="1"/>
    <col min="4145" max="4145" width="12.42578125" style="1236" customWidth="1"/>
    <col min="4146" max="4146" width="14.5703125" style="1236" customWidth="1"/>
    <col min="4147" max="4147" width="12.28515625" style="1236" customWidth="1"/>
    <col min="4148" max="4148" width="25.85546875" style="1236" customWidth="1"/>
    <col min="4149" max="4380" width="0.85546875" style="1236"/>
    <col min="4381" max="4381" width="9.85546875" style="1236" customWidth="1"/>
    <col min="4382" max="4382" width="81.85546875" style="1236" customWidth="1"/>
    <col min="4383" max="4383" width="12.7109375" style="1236" customWidth="1"/>
    <col min="4384" max="4384" width="12.42578125" style="1236" customWidth="1"/>
    <col min="4385" max="4385" width="14.5703125" style="1236" customWidth="1"/>
    <col min="4386" max="4386" width="12.28515625" style="1236" customWidth="1"/>
    <col min="4387" max="4387" width="38.140625" style="1236" customWidth="1"/>
    <col min="4388" max="4388" width="46.85546875" style="1236" customWidth="1"/>
    <col min="4389" max="4391" width="12.7109375" style="1236" customWidth="1"/>
    <col min="4392" max="4392" width="9.28515625" style="1236" customWidth="1"/>
    <col min="4393" max="4393" width="13.5703125" style="1236" customWidth="1"/>
    <col min="4394" max="4394" width="10.28515625" style="1236" customWidth="1"/>
    <col min="4395" max="4395" width="12.85546875" style="1236" customWidth="1"/>
    <col min="4396" max="4396" width="9.140625" style="1236" customWidth="1"/>
    <col min="4397" max="4397" width="9.7109375" style="1236" customWidth="1"/>
    <col min="4398" max="4398" width="9.28515625" style="1236" customWidth="1"/>
    <col min="4399" max="4399" width="9.42578125" style="1236" customWidth="1"/>
    <col min="4400" max="4400" width="10.5703125" style="1236" customWidth="1"/>
    <col min="4401" max="4401" width="12.42578125" style="1236" customWidth="1"/>
    <col min="4402" max="4402" width="14.5703125" style="1236" customWidth="1"/>
    <col min="4403" max="4403" width="12.28515625" style="1236" customWidth="1"/>
    <col min="4404" max="4404" width="25.85546875" style="1236" customWidth="1"/>
    <col min="4405" max="4636" width="0.85546875" style="1236"/>
    <col min="4637" max="4637" width="9.85546875" style="1236" customWidth="1"/>
    <col min="4638" max="4638" width="81.85546875" style="1236" customWidth="1"/>
    <col min="4639" max="4639" width="12.7109375" style="1236" customWidth="1"/>
    <col min="4640" max="4640" width="12.42578125" style="1236" customWidth="1"/>
    <col min="4641" max="4641" width="14.5703125" style="1236" customWidth="1"/>
    <col min="4642" max="4642" width="12.28515625" style="1236" customWidth="1"/>
    <col min="4643" max="4643" width="38.140625" style="1236" customWidth="1"/>
    <col min="4644" max="4644" width="46.85546875" style="1236" customWidth="1"/>
    <col min="4645" max="4647" width="12.7109375" style="1236" customWidth="1"/>
    <col min="4648" max="4648" width="9.28515625" style="1236" customWidth="1"/>
    <col min="4649" max="4649" width="13.5703125" style="1236" customWidth="1"/>
    <col min="4650" max="4650" width="10.28515625" style="1236" customWidth="1"/>
    <col min="4651" max="4651" width="12.85546875" style="1236" customWidth="1"/>
    <col min="4652" max="4652" width="9.140625" style="1236" customWidth="1"/>
    <col min="4653" max="4653" width="9.7109375" style="1236" customWidth="1"/>
    <col min="4654" max="4654" width="9.28515625" style="1236" customWidth="1"/>
    <col min="4655" max="4655" width="9.42578125" style="1236" customWidth="1"/>
    <col min="4656" max="4656" width="10.5703125" style="1236" customWidth="1"/>
    <col min="4657" max="4657" width="12.42578125" style="1236" customWidth="1"/>
    <col min="4658" max="4658" width="14.5703125" style="1236" customWidth="1"/>
    <col min="4659" max="4659" width="12.28515625" style="1236" customWidth="1"/>
    <col min="4660" max="4660" width="25.85546875" style="1236" customWidth="1"/>
    <col min="4661" max="4892" width="0.85546875" style="1236"/>
    <col min="4893" max="4893" width="9.85546875" style="1236" customWidth="1"/>
    <col min="4894" max="4894" width="81.85546875" style="1236" customWidth="1"/>
    <col min="4895" max="4895" width="12.7109375" style="1236" customWidth="1"/>
    <col min="4896" max="4896" width="12.42578125" style="1236" customWidth="1"/>
    <col min="4897" max="4897" width="14.5703125" style="1236" customWidth="1"/>
    <col min="4898" max="4898" width="12.28515625" style="1236" customWidth="1"/>
    <col min="4899" max="4899" width="38.140625" style="1236" customWidth="1"/>
    <col min="4900" max="4900" width="46.85546875" style="1236" customWidth="1"/>
    <col min="4901" max="4903" width="12.7109375" style="1236" customWidth="1"/>
    <col min="4904" max="4904" width="9.28515625" style="1236" customWidth="1"/>
    <col min="4905" max="4905" width="13.5703125" style="1236" customWidth="1"/>
    <col min="4906" max="4906" width="10.28515625" style="1236" customWidth="1"/>
    <col min="4907" max="4907" width="12.85546875" style="1236" customWidth="1"/>
    <col min="4908" max="4908" width="9.140625" style="1236" customWidth="1"/>
    <col min="4909" max="4909" width="9.7109375" style="1236" customWidth="1"/>
    <col min="4910" max="4910" width="9.28515625" style="1236" customWidth="1"/>
    <col min="4911" max="4911" width="9.42578125" style="1236" customWidth="1"/>
    <col min="4912" max="4912" width="10.5703125" style="1236" customWidth="1"/>
    <col min="4913" max="4913" width="12.42578125" style="1236" customWidth="1"/>
    <col min="4914" max="4914" width="14.5703125" style="1236" customWidth="1"/>
    <col min="4915" max="4915" width="12.28515625" style="1236" customWidth="1"/>
    <col min="4916" max="4916" width="25.85546875" style="1236" customWidth="1"/>
    <col min="4917" max="5148" width="0.85546875" style="1236"/>
    <col min="5149" max="5149" width="9.85546875" style="1236" customWidth="1"/>
    <col min="5150" max="5150" width="81.85546875" style="1236" customWidth="1"/>
    <col min="5151" max="5151" width="12.7109375" style="1236" customWidth="1"/>
    <col min="5152" max="5152" width="12.42578125" style="1236" customWidth="1"/>
    <col min="5153" max="5153" width="14.5703125" style="1236" customWidth="1"/>
    <col min="5154" max="5154" width="12.28515625" style="1236" customWidth="1"/>
    <col min="5155" max="5155" width="38.140625" style="1236" customWidth="1"/>
    <col min="5156" max="5156" width="46.85546875" style="1236" customWidth="1"/>
    <col min="5157" max="5159" width="12.7109375" style="1236" customWidth="1"/>
    <col min="5160" max="5160" width="9.28515625" style="1236" customWidth="1"/>
    <col min="5161" max="5161" width="13.5703125" style="1236" customWidth="1"/>
    <col min="5162" max="5162" width="10.28515625" style="1236" customWidth="1"/>
    <col min="5163" max="5163" width="12.85546875" style="1236" customWidth="1"/>
    <col min="5164" max="5164" width="9.140625" style="1236" customWidth="1"/>
    <col min="5165" max="5165" width="9.7109375" style="1236" customWidth="1"/>
    <col min="5166" max="5166" width="9.28515625" style="1236" customWidth="1"/>
    <col min="5167" max="5167" width="9.42578125" style="1236" customWidth="1"/>
    <col min="5168" max="5168" width="10.5703125" style="1236" customWidth="1"/>
    <col min="5169" max="5169" width="12.42578125" style="1236" customWidth="1"/>
    <col min="5170" max="5170" width="14.5703125" style="1236" customWidth="1"/>
    <col min="5171" max="5171" width="12.28515625" style="1236" customWidth="1"/>
    <col min="5172" max="5172" width="25.85546875" style="1236" customWidth="1"/>
    <col min="5173" max="5404" width="0.85546875" style="1236"/>
    <col min="5405" max="5405" width="9.85546875" style="1236" customWidth="1"/>
    <col min="5406" max="5406" width="81.85546875" style="1236" customWidth="1"/>
    <col min="5407" max="5407" width="12.7109375" style="1236" customWidth="1"/>
    <col min="5408" max="5408" width="12.42578125" style="1236" customWidth="1"/>
    <col min="5409" max="5409" width="14.5703125" style="1236" customWidth="1"/>
    <col min="5410" max="5410" width="12.28515625" style="1236" customWidth="1"/>
    <col min="5411" max="5411" width="38.140625" style="1236" customWidth="1"/>
    <col min="5412" max="5412" width="46.85546875" style="1236" customWidth="1"/>
    <col min="5413" max="5415" width="12.7109375" style="1236" customWidth="1"/>
    <col min="5416" max="5416" width="9.28515625" style="1236" customWidth="1"/>
    <col min="5417" max="5417" width="13.5703125" style="1236" customWidth="1"/>
    <col min="5418" max="5418" width="10.28515625" style="1236" customWidth="1"/>
    <col min="5419" max="5419" width="12.85546875" style="1236" customWidth="1"/>
    <col min="5420" max="5420" width="9.140625" style="1236" customWidth="1"/>
    <col min="5421" max="5421" width="9.7109375" style="1236" customWidth="1"/>
    <col min="5422" max="5422" width="9.28515625" style="1236" customWidth="1"/>
    <col min="5423" max="5423" width="9.42578125" style="1236" customWidth="1"/>
    <col min="5424" max="5424" width="10.5703125" style="1236" customWidth="1"/>
    <col min="5425" max="5425" width="12.42578125" style="1236" customWidth="1"/>
    <col min="5426" max="5426" width="14.5703125" style="1236" customWidth="1"/>
    <col min="5427" max="5427" width="12.28515625" style="1236" customWidth="1"/>
    <col min="5428" max="5428" width="25.85546875" style="1236" customWidth="1"/>
    <col min="5429" max="5660" width="0.85546875" style="1236"/>
    <col min="5661" max="5661" width="9.85546875" style="1236" customWidth="1"/>
    <col min="5662" max="5662" width="81.85546875" style="1236" customWidth="1"/>
    <col min="5663" max="5663" width="12.7109375" style="1236" customWidth="1"/>
    <col min="5664" max="5664" width="12.42578125" style="1236" customWidth="1"/>
    <col min="5665" max="5665" width="14.5703125" style="1236" customWidth="1"/>
    <col min="5666" max="5666" width="12.28515625" style="1236" customWidth="1"/>
    <col min="5667" max="5667" width="38.140625" style="1236" customWidth="1"/>
    <col min="5668" max="5668" width="46.85546875" style="1236" customWidth="1"/>
    <col min="5669" max="5671" width="12.7109375" style="1236" customWidth="1"/>
    <col min="5672" max="5672" width="9.28515625" style="1236" customWidth="1"/>
    <col min="5673" max="5673" width="13.5703125" style="1236" customWidth="1"/>
    <col min="5674" max="5674" width="10.28515625" style="1236" customWidth="1"/>
    <col min="5675" max="5675" width="12.85546875" style="1236" customWidth="1"/>
    <col min="5676" max="5676" width="9.140625" style="1236" customWidth="1"/>
    <col min="5677" max="5677" width="9.7109375" style="1236" customWidth="1"/>
    <col min="5678" max="5678" width="9.28515625" style="1236" customWidth="1"/>
    <col min="5679" max="5679" width="9.42578125" style="1236" customWidth="1"/>
    <col min="5680" max="5680" width="10.5703125" style="1236" customWidth="1"/>
    <col min="5681" max="5681" width="12.42578125" style="1236" customWidth="1"/>
    <col min="5682" max="5682" width="14.5703125" style="1236" customWidth="1"/>
    <col min="5683" max="5683" width="12.28515625" style="1236" customWidth="1"/>
    <col min="5684" max="5684" width="25.85546875" style="1236" customWidth="1"/>
    <col min="5685" max="5916" width="0.85546875" style="1236"/>
    <col min="5917" max="5917" width="9.85546875" style="1236" customWidth="1"/>
    <col min="5918" max="5918" width="81.85546875" style="1236" customWidth="1"/>
    <col min="5919" max="5919" width="12.7109375" style="1236" customWidth="1"/>
    <col min="5920" max="5920" width="12.42578125" style="1236" customWidth="1"/>
    <col min="5921" max="5921" width="14.5703125" style="1236" customWidth="1"/>
    <col min="5922" max="5922" width="12.28515625" style="1236" customWidth="1"/>
    <col min="5923" max="5923" width="38.140625" style="1236" customWidth="1"/>
    <col min="5924" max="5924" width="46.85546875" style="1236" customWidth="1"/>
    <col min="5925" max="5927" width="12.7109375" style="1236" customWidth="1"/>
    <col min="5928" max="5928" width="9.28515625" style="1236" customWidth="1"/>
    <col min="5929" max="5929" width="13.5703125" style="1236" customWidth="1"/>
    <col min="5930" max="5930" width="10.28515625" style="1236" customWidth="1"/>
    <col min="5931" max="5931" width="12.85546875" style="1236" customWidth="1"/>
    <col min="5932" max="5932" width="9.140625" style="1236" customWidth="1"/>
    <col min="5933" max="5933" width="9.7109375" style="1236" customWidth="1"/>
    <col min="5934" max="5934" width="9.28515625" style="1236" customWidth="1"/>
    <col min="5935" max="5935" width="9.42578125" style="1236" customWidth="1"/>
    <col min="5936" max="5936" width="10.5703125" style="1236" customWidth="1"/>
    <col min="5937" max="5937" width="12.42578125" style="1236" customWidth="1"/>
    <col min="5938" max="5938" width="14.5703125" style="1236" customWidth="1"/>
    <col min="5939" max="5939" width="12.28515625" style="1236" customWidth="1"/>
    <col min="5940" max="5940" width="25.85546875" style="1236" customWidth="1"/>
    <col min="5941" max="6172" width="0.85546875" style="1236"/>
    <col min="6173" max="6173" width="9.85546875" style="1236" customWidth="1"/>
    <col min="6174" max="6174" width="81.85546875" style="1236" customWidth="1"/>
    <col min="6175" max="6175" width="12.7109375" style="1236" customWidth="1"/>
    <col min="6176" max="6176" width="12.42578125" style="1236" customWidth="1"/>
    <col min="6177" max="6177" width="14.5703125" style="1236" customWidth="1"/>
    <col min="6178" max="6178" width="12.28515625" style="1236" customWidth="1"/>
    <col min="6179" max="6179" width="38.140625" style="1236" customWidth="1"/>
    <col min="6180" max="6180" width="46.85546875" style="1236" customWidth="1"/>
    <col min="6181" max="6183" width="12.7109375" style="1236" customWidth="1"/>
    <col min="6184" max="6184" width="9.28515625" style="1236" customWidth="1"/>
    <col min="6185" max="6185" width="13.5703125" style="1236" customWidth="1"/>
    <col min="6186" max="6186" width="10.28515625" style="1236" customWidth="1"/>
    <col min="6187" max="6187" width="12.85546875" style="1236" customWidth="1"/>
    <col min="6188" max="6188" width="9.140625" style="1236" customWidth="1"/>
    <col min="6189" max="6189" width="9.7109375" style="1236" customWidth="1"/>
    <col min="6190" max="6190" width="9.28515625" style="1236" customWidth="1"/>
    <col min="6191" max="6191" width="9.42578125" style="1236" customWidth="1"/>
    <col min="6192" max="6192" width="10.5703125" style="1236" customWidth="1"/>
    <col min="6193" max="6193" width="12.42578125" style="1236" customWidth="1"/>
    <col min="6194" max="6194" width="14.5703125" style="1236" customWidth="1"/>
    <col min="6195" max="6195" width="12.28515625" style="1236" customWidth="1"/>
    <col min="6196" max="6196" width="25.85546875" style="1236" customWidth="1"/>
    <col min="6197" max="6428" width="0.85546875" style="1236"/>
    <col min="6429" max="6429" width="9.85546875" style="1236" customWidth="1"/>
    <col min="6430" max="6430" width="81.85546875" style="1236" customWidth="1"/>
    <col min="6431" max="6431" width="12.7109375" style="1236" customWidth="1"/>
    <col min="6432" max="6432" width="12.42578125" style="1236" customWidth="1"/>
    <col min="6433" max="6433" width="14.5703125" style="1236" customWidth="1"/>
    <col min="6434" max="6434" width="12.28515625" style="1236" customWidth="1"/>
    <col min="6435" max="6435" width="38.140625" style="1236" customWidth="1"/>
    <col min="6436" max="6436" width="46.85546875" style="1236" customWidth="1"/>
    <col min="6437" max="6439" width="12.7109375" style="1236" customWidth="1"/>
    <col min="6440" max="6440" width="9.28515625" style="1236" customWidth="1"/>
    <col min="6441" max="6441" width="13.5703125" style="1236" customWidth="1"/>
    <col min="6442" max="6442" width="10.28515625" style="1236" customWidth="1"/>
    <col min="6443" max="6443" width="12.85546875" style="1236" customWidth="1"/>
    <col min="6444" max="6444" width="9.140625" style="1236" customWidth="1"/>
    <col min="6445" max="6445" width="9.7109375" style="1236" customWidth="1"/>
    <col min="6446" max="6446" width="9.28515625" style="1236" customWidth="1"/>
    <col min="6447" max="6447" width="9.42578125" style="1236" customWidth="1"/>
    <col min="6448" max="6448" width="10.5703125" style="1236" customWidth="1"/>
    <col min="6449" max="6449" width="12.42578125" style="1236" customWidth="1"/>
    <col min="6450" max="6450" width="14.5703125" style="1236" customWidth="1"/>
    <col min="6451" max="6451" width="12.28515625" style="1236" customWidth="1"/>
    <col min="6452" max="6452" width="25.85546875" style="1236" customWidth="1"/>
    <col min="6453" max="6684" width="0.85546875" style="1236"/>
    <col min="6685" max="6685" width="9.85546875" style="1236" customWidth="1"/>
    <col min="6686" max="6686" width="81.85546875" style="1236" customWidth="1"/>
    <col min="6687" max="6687" width="12.7109375" style="1236" customWidth="1"/>
    <col min="6688" max="6688" width="12.42578125" style="1236" customWidth="1"/>
    <col min="6689" max="6689" width="14.5703125" style="1236" customWidth="1"/>
    <col min="6690" max="6690" width="12.28515625" style="1236" customWidth="1"/>
    <col min="6691" max="6691" width="38.140625" style="1236" customWidth="1"/>
    <col min="6692" max="6692" width="46.85546875" style="1236" customWidth="1"/>
    <col min="6693" max="6695" width="12.7109375" style="1236" customWidth="1"/>
    <col min="6696" max="6696" width="9.28515625" style="1236" customWidth="1"/>
    <col min="6697" max="6697" width="13.5703125" style="1236" customWidth="1"/>
    <col min="6698" max="6698" width="10.28515625" style="1236" customWidth="1"/>
    <col min="6699" max="6699" width="12.85546875" style="1236" customWidth="1"/>
    <col min="6700" max="6700" width="9.140625" style="1236" customWidth="1"/>
    <col min="6701" max="6701" width="9.7109375" style="1236" customWidth="1"/>
    <col min="6702" max="6702" width="9.28515625" style="1236" customWidth="1"/>
    <col min="6703" max="6703" width="9.42578125" style="1236" customWidth="1"/>
    <col min="6704" max="6704" width="10.5703125" style="1236" customWidth="1"/>
    <col min="6705" max="6705" width="12.42578125" style="1236" customWidth="1"/>
    <col min="6706" max="6706" width="14.5703125" style="1236" customWidth="1"/>
    <col min="6707" max="6707" width="12.28515625" style="1236" customWidth="1"/>
    <col min="6708" max="6708" width="25.85546875" style="1236" customWidth="1"/>
    <col min="6709" max="6940" width="0.85546875" style="1236"/>
    <col min="6941" max="6941" width="9.85546875" style="1236" customWidth="1"/>
    <col min="6942" max="6942" width="81.85546875" style="1236" customWidth="1"/>
    <col min="6943" max="6943" width="12.7109375" style="1236" customWidth="1"/>
    <col min="6944" max="6944" width="12.42578125" style="1236" customWidth="1"/>
    <col min="6945" max="6945" width="14.5703125" style="1236" customWidth="1"/>
    <col min="6946" max="6946" width="12.28515625" style="1236" customWidth="1"/>
    <col min="6947" max="6947" width="38.140625" style="1236" customWidth="1"/>
    <col min="6948" max="6948" width="46.85546875" style="1236" customWidth="1"/>
    <col min="6949" max="6951" width="12.7109375" style="1236" customWidth="1"/>
    <col min="6952" max="6952" width="9.28515625" style="1236" customWidth="1"/>
    <col min="6953" max="6953" width="13.5703125" style="1236" customWidth="1"/>
    <col min="6954" max="6954" width="10.28515625" style="1236" customWidth="1"/>
    <col min="6955" max="6955" width="12.85546875" style="1236" customWidth="1"/>
    <col min="6956" max="6956" width="9.140625" style="1236" customWidth="1"/>
    <col min="6957" max="6957" width="9.7109375" style="1236" customWidth="1"/>
    <col min="6958" max="6958" width="9.28515625" style="1236" customWidth="1"/>
    <col min="6959" max="6959" width="9.42578125" style="1236" customWidth="1"/>
    <col min="6960" max="6960" width="10.5703125" style="1236" customWidth="1"/>
    <col min="6961" max="6961" width="12.42578125" style="1236" customWidth="1"/>
    <col min="6962" max="6962" width="14.5703125" style="1236" customWidth="1"/>
    <col min="6963" max="6963" width="12.28515625" style="1236" customWidth="1"/>
    <col min="6964" max="6964" width="25.85546875" style="1236" customWidth="1"/>
    <col min="6965" max="7196" width="0.85546875" style="1236"/>
    <col min="7197" max="7197" width="9.85546875" style="1236" customWidth="1"/>
    <col min="7198" max="7198" width="81.85546875" style="1236" customWidth="1"/>
    <col min="7199" max="7199" width="12.7109375" style="1236" customWidth="1"/>
    <col min="7200" max="7200" width="12.42578125" style="1236" customWidth="1"/>
    <col min="7201" max="7201" width="14.5703125" style="1236" customWidth="1"/>
    <col min="7202" max="7202" width="12.28515625" style="1236" customWidth="1"/>
    <col min="7203" max="7203" width="38.140625" style="1236" customWidth="1"/>
    <col min="7204" max="7204" width="46.85546875" style="1236" customWidth="1"/>
    <col min="7205" max="7207" width="12.7109375" style="1236" customWidth="1"/>
    <col min="7208" max="7208" width="9.28515625" style="1236" customWidth="1"/>
    <col min="7209" max="7209" width="13.5703125" style="1236" customWidth="1"/>
    <col min="7210" max="7210" width="10.28515625" style="1236" customWidth="1"/>
    <col min="7211" max="7211" width="12.85546875" style="1236" customWidth="1"/>
    <col min="7212" max="7212" width="9.140625" style="1236" customWidth="1"/>
    <col min="7213" max="7213" width="9.7109375" style="1236" customWidth="1"/>
    <col min="7214" max="7214" width="9.28515625" style="1236" customWidth="1"/>
    <col min="7215" max="7215" width="9.42578125" style="1236" customWidth="1"/>
    <col min="7216" max="7216" width="10.5703125" style="1236" customWidth="1"/>
    <col min="7217" max="7217" width="12.42578125" style="1236" customWidth="1"/>
    <col min="7218" max="7218" width="14.5703125" style="1236" customWidth="1"/>
    <col min="7219" max="7219" width="12.28515625" style="1236" customWidth="1"/>
    <col min="7220" max="7220" width="25.85546875" style="1236" customWidth="1"/>
    <col min="7221" max="7452" width="0.85546875" style="1236"/>
    <col min="7453" max="7453" width="9.85546875" style="1236" customWidth="1"/>
    <col min="7454" max="7454" width="81.85546875" style="1236" customWidth="1"/>
    <col min="7455" max="7455" width="12.7109375" style="1236" customWidth="1"/>
    <col min="7456" max="7456" width="12.42578125" style="1236" customWidth="1"/>
    <col min="7457" max="7457" width="14.5703125" style="1236" customWidth="1"/>
    <col min="7458" max="7458" width="12.28515625" style="1236" customWidth="1"/>
    <col min="7459" max="7459" width="38.140625" style="1236" customWidth="1"/>
    <col min="7460" max="7460" width="46.85546875" style="1236" customWidth="1"/>
    <col min="7461" max="7463" width="12.7109375" style="1236" customWidth="1"/>
    <col min="7464" max="7464" width="9.28515625" style="1236" customWidth="1"/>
    <col min="7465" max="7465" width="13.5703125" style="1236" customWidth="1"/>
    <col min="7466" max="7466" width="10.28515625" style="1236" customWidth="1"/>
    <col min="7467" max="7467" width="12.85546875" style="1236" customWidth="1"/>
    <col min="7468" max="7468" width="9.140625" style="1236" customWidth="1"/>
    <col min="7469" max="7469" width="9.7109375" style="1236" customWidth="1"/>
    <col min="7470" max="7470" width="9.28515625" style="1236" customWidth="1"/>
    <col min="7471" max="7471" width="9.42578125" style="1236" customWidth="1"/>
    <col min="7472" max="7472" width="10.5703125" style="1236" customWidth="1"/>
    <col min="7473" max="7473" width="12.42578125" style="1236" customWidth="1"/>
    <col min="7474" max="7474" width="14.5703125" style="1236" customWidth="1"/>
    <col min="7475" max="7475" width="12.28515625" style="1236" customWidth="1"/>
    <col min="7476" max="7476" width="25.85546875" style="1236" customWidth="1"/>
    <col min="7477" max="7708" width="0.85546875" style="1236"/>
    <col min="7709" max="7709" width="9.85546875" style="1236" customWidth="1"/>
    <col min="7710" max="7710" width="81.85546875" style="1236" customWidth="1"/>
    <col min="7711" max="7711" width="12.7109375" style="1236" customWidth="1"/>
    <col min="7712" max="7712" width="12.42578125" style="1236" customWidth="1"/>
    <col min="7713" max="7713" width="14.5703125" style="1236" customWidth="1"/>
    <col min="7714" max="7714" width="12.28515625" style="1236" customWidth="1"/>
    <col min="7715" max="7715" width="38.140625" style="1236" customWidth="1"/>
    <col min="7716" max="7716" width="46.85546875" style="1236" customWidth="1"/>
    <col min="7717" max="7719" width="12.7109375" style="1236" customWidth="1"/>
    <col min="7720" max="7720" width="9.28515625" style="1236" customWidth="1"/>
    <col min="7721" max="7721" width="13.5703125" style="1236" customWidth="1"/>
    <col min="7722" max="7722" width="10.28515625" style="1236" customWidth="1"/>
    <col min="7723" max="7723" width="12.85546875" style="1236" customWidth="1"/>
    <col min="7724" max="7724" width="9.140625" style="1236" customWidth="1"/>
    <col min="7725" max="7725" width="9.7109375" style="1236" customWidth="1"/>
    <col min="7726" max="7726" width="9.28515625" style="1236" customWidth="1"/>
    <col min="7727" max="7727" width="9.42578125" style="1236" customWidth="1"/>
    <col min="7728" max="7728" width="10.5703125" style="1236" customWidth="1"/>
    <col min="7729" max="7729" width="12.42578125" style="1236" customWidth="1"/>
    <col min="7730" max="7730" width="14.5703125" style="1236" customWidth="1"/>
    <col min="7731" max="7731" width="12.28515625" style="1236" customWidth="1"/>
    <col min="7732" max="7732" width="25.85546875" style="1236" customWidth="1"/>
    <col min="7733" max="7964" width="0.85546875" style="1236"/>
    <col min="7965" max="7965" width="9.85546875" style="1236" customWidth="1"/>
    <col min="7966" max="7966" width="81.85546875" style="1236" customWidth="1"/>
    <col min="7967" max="7967" width="12.7109375" style="1236" customWidth="1"/>
    <col min="7968" max="7968" width="12.42578125" style="1236" customWidth="1"/>
    <col min="7969" max="7969" width="14.5703125" style="1236" customWidth="1"/>
    <col min="7970" max="7970" width="12.28515625" style="1236" customWidth="1"/>
    <col min="7971" max="7971" width="38.140625" style="1236" customWidth="1"/>
    <col min="7972" max="7972" width="46.85546875" style="1236" customWidth="1"/>
    <col min="7973" max="7975" width="12.7109375" style="1236" customWidth="1"/>
    <col min="7976" max="7976" width="9.28515625" style="1236" customWidth="1"/>
    <col min="7977" max="7977" width="13.5703125" style="1236" customWidth="1"/>
    <col min="7978" max="7978" width="10.28515625" style="1236" customWidth="1"/>
    <col min="7979" max="7979" width="12.85546875" style="1236" customWidth="1"/>
    <col min="7980" max="7980" width="9.140625" style="1236" customWidth="1"/>
    <col min="7981" max="7981" width="9.7109375" style="1236" customWidth="1"/>
    <col min="7982" max="7982" width="9.28515625" style="1236" customWidth="1"/>
    <col min="7983" max="7983" width="9.42578125" style="1236" customWidth="1"/>
    <col min="7984" max="7984" width="10.5703125" style="1236" customWidth="1"/>
    <col min="7985" max="7985" width="12.42578125" style="1236" customWidth="1"/>
    <col min="7986" max="7986" width="14.5703125" style="1236" customWidth="1"/>
    <col min="7987" max="7987" width="12.28515625" style="1236" customWidth="1"/>
    <col min="7988" max="7988" width="25.85546875" style="1236" customWidth="1"/>
    <col min="7989" max="8220" width="0.85546875" style="1236"/>
    <col min="8221" max="8221" width="9.85546875" style="1236" customWidth="1"/>
    <col min="8222" max="8222" width="81.85546875" style="1236" customWidth="1"/>
    <col min="8223" max="8223" width="12.7109375" style="1236" customWidth="1"/>
    <col min="8224" max="8224" width="12.42578125" style="1236" customWidth="1"/>
    <col min="8225" max="8225" width="14.5703125" style="1236" customWidth="1"/>
    <col min="8226" max="8226" width="12.28515625" style="1236" customWidth="1"/>
    <col min="8227" max="8227" width="38.140625" style="1236" customWidth="1"/>
    <col min="8228" max="8228" width="46.85546875" style="1236" customWidth="1"/>
    <col min="8229" max="8231" width="12.7109375" style="1236" customWidth="1"/>
    <col min="8232" max="8232" width="9.28515625" style="1236" customWidth="1"/>
    <col min="8233" max="8233" width="13.5703125" style="1236" customWidth="1"/>
    <col min="8234" max="8234" width="10.28515625" style="1236" customWidth="1"/>
    <col min="8235" max="8235" width="12.85546875" style="1236" customWidth="1"/>
    <col min="8236" max="8236" width="9.140625" style="1236" customWidth="1"/>
    <col min="8237" max="8237" width="9.7109375" style="1236" customWidth="1"/>
    <col min="8238" max="8238" width="9.28515625" style="1236" customWidth="1"/>
    <col min="8239" max="8239" width="9.42578125" style="1236" customWidth="1"/>
    <col min="8240" max="8240" width="10.5703125" style="1236" customWidth="1"/>
    <col min="8241" max="8241" width="12.42578125" style="1236" customWidth="1"/>
    <col min="8242" max="8242" width="14.5703125" style="1236" customWidth="1"/>
    <col min="8243" max="8243" width="12.28515625" style="1236" customWidth="1"/>
    <col min="8244" max="8244" width="25.85546875" style="1236" customWidth="1"/>
    <col min="8245" max="8476" width="0.85546875" style="1236"/>
    <col min="8477" max="8477" width="9.85546875" style="1236" customWidth="1"/>
    <col min="8478" max="8478" width="81.85546875" style="1236" customWidth="1"/>
    <col min="8479" max="8479" width="12.7109375" style="1236" customWidth="1"/>
    <col min="8480" max="8480" width="12.42578125" style="1236" customWidth="1"/>
    <col min="8481" max="8481" width="14.5703125" style="1236" customWidth="1"/>
    <col min="8482" max="8482" width="12.28515625" style="1236" customWidth="1"/>
    <col min="8483" max="8483" width="38.140625" style="1236" customWidth="1"/>
    <col min="8484" max="8484" width="46.85546875" style="1236" customWidth="1"/>
    <col min="8485" max="8487" width="12.7109375" style="1236" customWidth="1"/>
    <col min="8488" max="8488" width="9.28515625" style="1236" customWidth="1"/>
    <col min="8489" max="8489" width="13.5703125" style="1236" customWidth="1"/>
    <col min="8490" max="8490" width="10.28515625" style="1236" customWidth="1"/>
    <col min="8491" max="8491" width="12.85546875" style="1236" customWidth="1"/>
    <col min="8492" max="8492" width="9.140625" style="1236" customWidth="1"/>
    <col min="8493" max="8493" width="9.7109375" style="1236" customWidth="1"/>
    <col min="8494" max="8494" width="9.28515625" style="1236" customWidth="1"/>
    <col min="8495" max="8495" width="9.42578125" style="1236" customWidth="1"/>
    <col min="8496" max="8496" width="10.5703125" style="1236" customWidth="1"/>
    <col min="8497" max="8497" width="12.42578125" style="1236" customWidth="1"/>
    <col min="8498" max="8498" width="14.5703125" style="1236" customWidth="1"/>
    <col min="8499" max="8499" width="12.28515625" style="1236" customWidth="1"/>
    <col min="8500" max="8500" width="25.85546875" style="1236" customWidth="1"/>
    <col min="8501" max="8732" width="0.85546875" style="1236"/>
    <col min="8733" max="8733" width="9.85546875" style="1236" customWidth="1"/>
    <col min="8734" max="8734" width="81.85546875" style="1236" customWidth="1"/>
    <col min="8735" max="8735" width="12.7109375" style="1236" customWidth="1"/>
    <col min="8736" max="8736" width="12.42578125" style="1236" customWidth="1"/>
    <col min="8737" max="8737" width="14.5703125" style="1236" customWidth="1"/>
    <col min="8738" max="8738" width="12.28515625" style="1236" customWidth="1"/>
    <col min="8739" max="8739" width="38.140625" style="1236" customWidth="1"/>
    <col min="8740" max="8740" width="46.85546875" style="1236" customWidth="1"/>
    <col min="8741" max="8743" width="12.7109375" style="1236" customWidth="1"/>
    <col min="8744" max="8744" width="9.28515625" style="1236" customWidth="1"/>
    <col min="8745" max="8745" width="13.5703125" style="1236" customWidth="1"/>
    <col min="8746" max="8746" width="10.28515625" style="1236" customWidth="1"/>
    <col min="8747" max="8747" width="12.85546875" style="1236" customWidth="1"/>
    <col min="8748" max="8748" width="9.140625" style="1236" customWidth="1"/>
    <col min="8749" max="8749" width="9.7109375" style="1236" customWidth="1"/>
    <col min="8750" max="8750" width="9.28515625" style="1236" customWidth="1"/>
    <col min="8751" max="8751" width="9.42578125" style="1236" customWidth="1"/>
    <col min="8752" max="8752" width="10.5703125" style="1236" customWidth="1"/>
    <col min="8753" max="8753" width="12.42578125" style="1236" customWidth="1"/>
    <col min="8754" max="8754" width="14.5703125" style="1236" customWidth="1"/>
    <col min="8755" max="8755" width="12.28515625" style="1236" customWidth="1"/>
    <col min="8756" max="8756" width="25.85546875" style="1236" customWidth="1"/>
    <col min="8757" max="8988" width="0.85546875" style="1236"/>
    <col min="8989" max="8989" width="9.85546875" style="1236" customWidth="1"/>
    <col min="8990" max="8990" width="81.85546875" style="1236" customWidth="1"/>
    <col min="8991" max="8991" width="12.7109375" style="1236" customWidth="1"/>
    <col min="8992" max="8992" width="12.42578125" style="1236" customWidth="1"/>
    <col min="8993" max="8993" width="14.5703125" style="1236" customWidth="1"/>
    <col min="8994" max="8994" width="12.28515625" style="1236" customWidth="1"/>
    <col min="8995" max="8995" width="38.140625" style="1236" customWidth="1"/>
    <col min="8996" max="8996" width="46.85546875" style="1236" customWidth="1"/>
    <col min="8997" max="8999" width="12.7109375" style="1236" customWidth="1"/>
    <col min="9000" max="9000" width="9.28515625" style="1236" customWidth="1"/>
    <col min="9001" max="9001" width="13.5703125" style="1236" customWidth="1"/>
    <col min="9002" max="9002" width="10.28515625" style="1236" customWidth="1"/>
    <col min="9003" max="9003" width="12.85546875" style="1236" customWidth="1"/>
    <col min="9004" max="9004" width="9.140625" style="1236" customWidth="1"/>
    <col min="9005" max="9005" width="9.7109375" style="1236" customWidth="1"/>
    <col min="9006" max="9006" width="9.28515625" style="1236" customWidth="1"/>
    <col min="9007" max="9007" width="9.42578125" style="1236" customWidth="1"/>
    <col min="9008" max="9008" width="10.5703125" style="1236" customWidth="1"/>
    <col min="9009" max="9009" width="12.42578125" style="1236" customWidth="1"/>
    <col min="9010" max="9010" width="14.5703125" style="1236" customWidth="1"/>
    <col min="9011" max="9011" width="12.28515625" style="1236" customWidth="1"/>
    <col min="9012" max="9012" width="25.85546875" style="1236" customWidth="1"/>
    <col min="9013" max="9244" width="0.85546875" style="1236"/>
    <col min="9245" max="9245" width="9.85546875" style="1236" customWidth="1"/>
    <col min="9246" max="9246" width="81.85546875" style="1236" customWidth="1"/>
    <col min="9247" max="9247" width="12.7109375" style="1236" customWidth="1"/>
    <col min="9248" max="9248" width="12.42578125" style="1236" customWidth="1"/>
    <col min="9249" max="9249" width="14.5703125" style="1236" customWidth="1"/>
    <col min="9250" max="9250" width="12.28515625" style="1236" customWidth="1"/>
    <col min="9251" max="9251" width="38.140625" style="1236" customWidth="1"/>
    <col min="9252" max="9252" width="46.85546875" style="1236" customWidth="1"/>
    <col min="9253" max="9255" width="12.7109375" style="1236" customWidth="1"/>
    <col min="9256" max="9256" width="9.28515625" style="1236" customWidth="1"/>
    <col min="9257" max="9257" width="13.5703125" style="1236" customWidth="1"/>
    <col min="9258" max="9258" width="10.28515625" style="1236" customWidth="1"/>
    <col min="9259" max="9259" width="12.85546875" style="1236" customWidth="1"/>
    <col min="9260" max="9260" width="9.140625" style="1236" customWidth="1"/>
    <col min="9261" max="9261" width="9.7109375" style="1236" customWidth="1"/>
    <col min="9262" max="9262" width="9.28515625" style="1236" customWidth="1"/>
    <col min="9263" max="9263" width="9.42578125" style="1236" customWidth="1"/>
    <col min="9264" max="9264" width="10.5703125" style="1236" customWidth="1"/>
    <col min="9265" max="9265" width="12.42578125" style="1236" customWidth="1"/>
    <col min="9266" max="9266" width="14.5703125" style="1236" customWidth="1"/>
    <col min="9267" max="9267" width="12.28515625" style="1236" customWidth="1"/>
    <col min="9268" max="9268" width="25.85546875" style="1236" customWidth="1"/>
    <col min="9269" max="9500" width="0.85546875" style="1236"/>
    <col min="9501" max="9501" width="9.85546875" style="1236" customWidth="1"/>
    <col min="9502" max="9502" width="81.85546875" style="1236" customWidth="1"/>
    <col min="9503" max="9503" width="12.7109375" style="1236" customWidth="1"/>
    <col min="9504" max="9504" width="12.42578125" style="1236" customWidth="1"/>
    <col min="9505" max="9505" width="14.5703125" style="1236" customWidth="1"/>
    <col min="9506" max="9506" width="12.28515625" style="1236" customWidth="1"/>
    <col min="9507" max="9507" width="38.140625" style="1236" customWidth="1"/>
    <col min="9508" max="9508" width="46.85546875" style="1236" customWidth="1"/>
    <col min="9509" max="9511" width="12.7109375" style="1236" customWidth="1"/>
    <col min="9512" max="9512" width="9.28515625" style="1236" customWidth="1"/>
    <col min="9513" max="9513" width="13.5703125" style="1236" customWidth="1"/>
    <col min="9514" max="9514" width="10.28515625" style="1236" customWidth="1"/>
    <col min="9515" max="9515" width="12.85546875" style="1236" customWidth="1"/>
    <col min="9516" max="9516" width="9.140625" style="1236" customWidth="1"/>
    <col min="9517" max="9517" width="9.7109375" style="1236" customWidth="1"/>
    <col min="9518" max="9518" width="9.28515625" style="1236" customWidth="1"/>
    <col min="9519" max="9519" width="9.42578125" style="1236" customWidth="1"/>
    <col min="9520" max="9520" width="10.5703125" style="1236" customWidth="1"/>
    <col min="9521" max="9521" width="12.42578125" style="1236" customWidth="1"/>
    <col min="9522" max="9522" width="14.5703125" style="1236" customWidth="1"/>
    <col min="9523" max="9523" width="12.28515625" style="1236" customWidth="1"/>
    <col min="9524" max="9524" width="25.85546875" style="1236" customWidth="1"/>
    <col min="9525" max="9756" width="0.85546875" style="1236"/>
    <col min="9757" max="9757" width="9.85546875" style="1236" customWidth="1"/>
    <col min="9758" max="9758" width="81.85546875" style="1236" customWidth="1"/>
    <col min="9759" max="9759" width="12.7109375" style="1236" customWidth="1"/>
    <col min="9760" max="9760" width="12.42578125" style="1236" customWidth="1"/>
    <col min="9761" max="9761" width="14.5703125" style="1236" customWidth="1"/>
    <col min="9762" max="9762" width="12.28515625" style="1236" customWidth="1"/>
    <col min="9763" max="9763" width="38.140625" style="1236" customWidth="1"/>
    <col min="9764" max="9764" width="46.85546875" style="1236" customWidth="1"/>
    <col min="9765" max="9767" width="12.7109375" style="1236" customWidth="1"/>
    <col min="9768" max="9768" width="9.28515625" style="1236" customWidth="1"/>
    <col min="9769" max="9769" width="13.5703125" style="1236" customWidth="1"/>
    <col min="9770" max="9770" width="10.28515625" style="1236" customWidth="1"/>
    <col min="9771" max="9771" width="12.85546875" style="1236" customWidth="1"/>
    <col min="9772" max="9772" width="9.140625" style="1236" customWidth="1"/>
    <col min="9773" max="9773" width="9.7109375" style="1236" customWidth="1"/>
    <col min="9774" max="9774" width="9.28515625" style="1236" customWidth="1"/>
    <col min="9775" max="9775" width="9.42578125" style="1236" customWidth="1"/>
    <col min="9776" max="9776" width="10.5703125" style="1236" customWidth="1"/>
    <col min="9777" max="9777" width="12.42578125" style="1236" customWidth="1"/>
    <col min="9778" max="9778" width="14.5703125" style="1236" customWidth="1"/>
    <col min="9779" max="9779" width="12.28515625" style="1236" customWidth="1"/>
    <col min="9780" max="9780" width="25.85546875" style="1236" customWidth="1"/>
    <col min="9781" max="10012" width="0.85546875" style="1236"/>
    <col min="10013" max="10013" width="9.85546875" style="1236" customWidth="1"/>
    <col min="10014" max="10014" width="81.85546875" style="1236" customWidth="1"/>
    <col min="10015" max="10015" width="12.7109375" style="1236" customWidth="1"/>
    <col min="10016" max="10016" width="12.42578125" style="1236" customWidth="1"/>
    <col min="10017" max="10017" width="14.5703125" style="1236" customWidth="1"/>
    <col min="10018" max="10018" width="12.28515625" style="1236" customWidth="1"/>
    <col min="10019" max="10019" width="38.140625" style="1236" customWidth="1"/>
    <col min="10020" max="10020" width="46.85546875" style="1236" customWidth="1"/>
    <col min="10021" max="10023" width="12.7109375" style="1236" customWidth="1"/>
    <col min="10024" max="10024" width="9.28515625" style="1236" customWidth="1"/>
    <col min="10025" max="10025" width="13.5703125" style="1236" customWidth="1"/>
    <col min="10026" max="10026" width="10.28515625" style="1236" customWidth="1"/>
    <col min="10027" max="10027" width="12.85546875" style="1236" customWidth="1"/>
    <col min="10028" max="10028" width="9.140625" style="1236" customWidth="1"/>
    <col min="10029" max="10029" width="9.7109375" style="1236" customWidth="1"/>
    <col min="10030" max="10030" width="9.28515625" style="1236" customWidth="1"/>
    <col min="10031" max="10031" width="9.42578125" style="1236" customWidth="1"/>
    <col min="10032" max="10032" width="10.5703125" style="1236" customWidth="1"/>
    <col min="10033" max="10033" width="12.42578125" style="1236" customWidth="1"/>
    <col min="10034" max="10034" width="14.5703125" style="1236" customWidth="1"/>
    <col min="10035" max="10035" width="12.28515625" style="1236" customWidth="1"/>
    <col min="10036" max="10036" width="25.85546875" style="1236" customWidth="1"/>
    <col min="10037" max="10268" width="0.85546875" style="1236"/>
    <col min="10269" max="10269" width="9.85546875" style="1236" customWidth="1"/>
    <col min="10270" max="10270" width="81.85546875" style="1236" customWidth="1"/>
    <col min="10271" max="10271" width="12.7109375" style="1236" customWidth="1"/>
    <col min="10272" max="10272" width="12.42578125" style="1236" customWidth="1"/>
    <col min="10273" max="10273" width="14.5703125" style="1236" customWidth="1"/>
    <col min="10274" max="10274" width="12.28515625" style="1236" customWidth="1"/>
    <col min="10275" max="10275" width="38.140625" style="1236" customWidth="1"/>
    <col min="10276" max="10276" width="46.85546875" style="1236" customWidth="1"/>
    <col min="10277" max="10279" width="12.7109375" style="1236" customWidth="1"/>
    <col min="10280" max="10280" width="9.28515625" style="1236" customWidth="1"/>
    <col min="10281" max="10281" width="13.5703125" style="1236" customWidth="1"/>
    <col min="10282" max="10282" width="10.28515625" style="1236" customWidth="1"/>
    <col min="10283" max="10283" width="12.85546875" style="1236" customWidth="1"/>
    <col min="10284" max="10284" width="9.140625" style="1236" customWidth="1"/>
    <col min="10285" max="10285" width="9.7109375" style="1236" customWidth="1"/>
    <col min="10286" max="10286" width="9.28515625" style="1236" customWidth="1"/>
    <col min="10287" max="10287" width="9.42578125" style="1236" customWidth="1"/>
    <col min="10288" max="10288" width="10.5703125" style="1236" customWidth="1"/>
    <col min="10289" max="10289" width="12.42578125" style="1236" customWidth="1"/>
    <col min="10290" max="10290" width="14.5703125" style="1236" customWidth="1"/>
    <col min="10291" max="10291" width="12.28515625" style="1236" customWidth="1"/>
    <col min="10292" max="10292" width="25.85546875" style="1236" customWidth="1"/>
    <col min="10293" max="10524" width="0.85546875" style="1236"/>
    <col min="10525" max="10525" width="9.85546875" style="1236" customWidth="1"/>
    <col min="10526" max="10526" width="81.85546875" style="1236" customWidth="1"/>
    <col min="10527" max="10527" width="12.7109375" style="1236" customWidth="1"/>
    <col min="10528" max="10528" width="12.42578125" style="1236" customWidth="1"/>
    <col min="10529" max="10529" width="14.5703125" style="1236" customWidth="1"/>
    <col min="10530" max="10530" width="12.28515625" style="1236" customWidth="1"/>
    <col min="10531" max="10531" width="38.140625" style="1236" customWidth="1"/>
    <col min="10532" max="10532" width="46.85546875" style="1236" customWidth="1"/>
    <col min="10533" max="10535" width="12.7109375" style="1236" customWidth="1"/>
    <col min="10536" max="10536" width="9.28515625" style="1236" customWidth="1"/>
    <col min="10537" max="10537" width="13.5703125" style="1236" customWidth="1"/>
    <col min="10538" max="10538" width="10.28515625" style="1236" customWidth="1"/>
    <col min="10539" max="10539" width="12.85546875" style="1236" customWidth="1"/>
    <col min="10540" max="10540" width="9.140625" style="1236" customWidth="1"/>
    <col min="10541" max="10541" width="9.7109375" style="1236" customWidth="1"/>
    <col min="10542" max="10542" width="9.28515625" style="1236" customWidth="1"/>
    <col min="10543" max="10543" width="9.42578125" style="1236" customWidth="1"/>
    <col min="10544" max="10544" width="10.5703125" style="1236" customWidth="1"/>
    <col min="10545" max="10545" width="12.42578125" style="1236" customWidth="1"/>
    <col min="10546" max="10546" width="14.5703125" style="1236" customWidth="1"/>
    <col min="10547" max="10547" width="12.28515625" style="1236" customWidth="1"/>
    <col min="10548" max="10548" width="25.85546875" style="1236" customWidth="1"/>
    <col min="10549" max="10780" width="0.85546875" style="1236"/>
    <col min="10781" max="10781" width="9.85546875" style="1236" customWidth="1"/>
    <col min="10782" max="10782" width="81.85546875" style="1236" customWidth="1"/>
    <col min="10783" max="10783" width="12.7109375" style="1236" customWidth="1"/>
    <col min="10784" max="10784" width="12.42578125" style="1236" customWidth="1"/>
    <col min="10785" max="10785" width="14.5703125" style="1236" customWidth="1"/>
    <col min="10786" max="10786" width="12.28515625" style="1236" customWidth="1"/>
    <col min="10787" max="10787" width="38.140625" style="1236" customWidth="1"/>
    <col min="10788" max="10788" width="46.85546875" style="1236" customWidth="1"/>
    <col min="10789" max="10791" width="12.7109375" style="1236" customWidth="1"/>
    <col min="10792" max="10792" width="9.28515625" style="1236" customWidth="1"/>
    <col min="10793" max="10793" width="13.5703125" style="1236" customWidth="1"/>
    <col min="10794" max="10794" width="10.28515625" style="1236" customWidth="1"/>
    <col min="10795" max="10795" width="12.85546875" style="1236" customWidth="1"/>
    <col min="10796" max="10796" width="9.140625" style="1236" customWidth="1"/>
    <col min="10797" max="10797" width="9.7109375" style="1236" customWidth="1"/>
    <col min="10798" max="10798" width="9.28515625" style="1236" customWidth="1"/>
    <col min="10799" max="10799" width="9.42578125" style="1236" customWidth="1"/>
    <col min="10800" max="10800" width="10.5703125" style="1236" customWidth="1"/>
    <col min="10801" max="10801" width="12.42578125" style="1236" customWidth="1"/>
    <col min="10802" max="10802" width="14.5703125" style="1236" customWidth="1"/>
    <col min="10803" max="10803" width="12.28515625" style="1236" customWidth="1"/>
    <col min="10804" max="10804" width="25.85546875" style="1236" customWidth="1"/>
    <col min="10805" max="11036" width="0.85546875" style="1236"/>
    <col min="11037" max="11037" width="9.85546875" style="1236" customWidth="1"/>
    <col min="11038" max="11038" width="81.85546875" style="1236" customWidth="1"/>
    <col min="11039" max="11039" width="12.7109375" style="1236" customWidth="1"/>
    <col min="11040" max="11040" width="12.42578125" style="1236" customWidth="1"/>
    <col min="11041" max="11041" width="14.5703125" style="1236" customWidth="1"/>
    <col min="11042" max="11042" width="12.28515625" style="1236" customWidth="1"/>
    <col min="11043" max="11043" width="38.140625" style="1236" customWidth="1"/>
    <col min="11044" max="11044" width="46.85546875" style="1236" customWidth="1"/>
    <col min="11045" max="11047" width="12.7109375" style="1236" customWidth="1"/>
    <col min="11048" max="11048" width="9.28515625" style="1236" customWidth="1"/>
    <col min="11049" max="11049" width="13.5703125" style="1236" customWidth="1"/>
    <col min="11050" max="11050" width="10.28515625" style="1236" customWidth="1"/>
    <col min="11051" max="11051" width="12.85546875" style="1236" customWidth="1"/>
    <col min="11052" max="11052" width="9.140625" style="1236" customWidth="1"/>
    <col min="11053" max="11053" width="9.7109375" style="1236" customWidth="1"/>
    <col min="11054" max="11054" width="9.28515625" style="1236" customWidth="1"/>
    <col min="11055" max="11055" width="9.42578125" style="1236" customWidth="1"/>
    <col min="11056" max="11056" width="10.5703125" style="1236" customWidth="1"/>
    <col min="11057" max="11057" width="12.42578125" style="1236" customWidth="1"/>
    <col min="11058" max="11058" width="14.5703125" style="1236" customWidth="1"/>
    <col min="11059" max="11059" width="12.28515625" style="1236" customWidth="1"/>
    <col min="11060" max="11060" width="25.85546875" style="1236" customWidth="1"/>
    <col min="11061" max="11292" width="0.85546875" style="1236"/>
    <col min="11293" max="11293" width="9.85546875" style="1236" customWidth="1"/>
    <col min="11294" max="11294" width="81.85546875" style="1236" customWidth="1"/>
    <col min="11295" max="11295" width="12.7109375" style="1236" customWidth="1"/>
    <col min="11296" max="11296" width="12.42578125" style="1236" customWidth="1"/>
    <col min="11297" max="11297" width="14.5703125" style="1236" customWidth="1"/>
    <col min="11298" max="11298" width="12.28515625" style="1236" customWidth="1"/>
    <col min="11299" max="11299" width="38.140625" style="1236" customWidth="1"/>
    <col min="11300" max="11300" width="46.85546875" style="1236" customWidth="1"/>
    <col min="11301" max="11303" width="12.7109375" style="1236" customWidth="1"/>
    <col min="11304" max="11304" width="9.28515625" style="1236" customWidth="1"/>
    <col min="11305" max="11305" width="13.5703125" style="1236" customWidth="1"/>
    <col min="11306" max="11306" width="10.28515625" style="1236" customWidth="1"/>
    <col min="11307" max="11307" width="12.85546875" style="1236" customWidth="1"/>
    <col min="11308" max="11308" width="9.140625" style="1236" customWidth="1"/>
    <col min="11309" max="11309" width="9.7109375" style="1236" customWidth="1"/>
    <col min="11310" max="11310" width="9.28515625" style="1236" customWidth="1"/>
    <col min="11311" max="11311" width="9.42578125" style="1236" customWidth="1"/>
    <col min="11312" max="11312" width="10.5703125" style="1236" customWidth="1"/>
    <col min="11313" max="11313" width="12.42578125" style="1236" customWidth="1"/>
    <col min="11314" max="11314" width="14.5703125" style="1236" customWidth="1"/>
    <col min="11315" max="11315" width="12.28515625" style="1236" customWidth="1"/>
    <col min="11316" max="11316" width="25.85546875" style="1236" customWidth="1"/>
    <col min="11317" max="11548" width="0.85546875" style="1236"/>
    <col min="11549" max="11549" width="9.85546875" style="1236" customWidth="1"/>
    <col min="11550" max="11550" width="81.85546875" style="1236" customWidth="1"/>
    <col min="11551" max="11551" width="12.7109375" style="1236" customWidth="1"/>
    <col min="11552" max="11552" width="12.42578125" style="1236" customWidth="1"/>
    <col min="11553" max="11553" width="14.5703125" style="1236" customWidth="1"/>
    <col min="11554" max="11554" width="12.28515625" style="1236" customWidth="1"/>
    <col min="11555" max="11555" width="38.140625" style="1236" customWidth="1"/>
    <col min="11556" max="11556" width="46.85546875" style="1236" customWidth="1"/>
    <col min="11557" max="11559" width="12.7109375" style="1236" customWidth="1"/>
    <col min="11560" max="11560" width="9.28515625" style="1236" customWidth="1"/>
    <col min="11561" max="11561" width="13.5703125" style="1236" customWidth="1"/>
    <col min="11562" max="11562" width="10.28515625" style="1236" customWidth="1"/>
    <col min="11563" max="11563" width="12.85546875" style="1236" customWidth="1"/>
    <col min="11564" max="11564" width="9.140625" style="1236" customWidth="1"/>
    <col min="11565" max="11565" width="9.7109375" style="1236" customWidth="1"/>
    <col min="11566" max="11566" width="9.28515625" style="1236" customWidth="1"/>
    <col min="11567" max="11567" width="9.42578125" style="1236" customWidth="1"/>
    <col min="11568" max="11568" width="10.5703125" style="1236" customWidth="1"/>
    <col min="11569" max="11569" width="12.42578125" style="1236" customWidth="1"/>
    <col min="11570" max="11570" width="14.5703125" style="1236" customWidth="1"/>
    <col min="11571" max="11571" width="12.28515625" style="1236" customWidth="1"/>
    <col min="11572" max="11572" width="25.85546875" style="1236" customWidth="1"/>
    <col min="11573" max="11804" width="0.85546875" style="1236"/>
    <col min="11805" max="11805" width="9.85546875" style="1236" customWidth="1"/>
    <col min="11806" max="11806" width="81.85546875" style="1236" customWidth="1"/>
    <col min="11807" max="11807" width="12.7109375" style="1236" customWidth="1"/>
    <col min="11808" max="11808" width="12.42578125" style="1236" customWidth="1"/>
    <col min="11809" max="11809" width="14.5703125" style="1236" customWidth="1"/>
    <col min="11810" max="11810" width="12.28515625" style="1236" customWidth="1"/>
    <col min="11811" max="11811" width="38.140625" style="1236" customWidth="1"/>
    <col min="11812" max="11812" width="46.85546875" style="1236" customWidth="1"/>
    <col min="11813" max="11815" width="12.7109375" style="1236" customWidth="1"/>
    <col min="11816" max="11816" width="9.28515625" style="1236" customWidth="1"/>
    <col min="11817" max="11817" width="13.5703125" style="1236" customWidth="1"/>
    <col min="11818" max="11818" width="10.28515625" style="1236" customWidth="1"/>
    <col min="11819" max="11819" width="12.85546875" style="1236" customWidth="1"/>
    <col min="11820" max="11820" width="9.140625" style="1236" customWidth="1"/>
    <col min="11821" max="11821" width="9.7109375" style="1236" customWidth="1"/>
    <col min="11822" max="11822" width="9.28515625" style="1236" customWidth="1"/>
    <col min="11823" max="11823" width="9.42578125" style="1236" customWidth="1"/>
    <col min="11824" max="11824" width="10.5703125" style="1236" customWidth="1"/>
    <col min="11825" max="11825" width="12.42578125" style="1236" customWidth="1"/>
    <col min="11826" max="11826" width="14.5703125" style="1236" customWidth="1"/>
    <col min="11827" max="11827" width="12.28515625" style="1236" customWidth="1"/>
    <col min="11828" max="11828" width="25.85546875" style="1236" customWidth="1"/>
    <col min="11829" max="12060" width="0.85546875" style="1236"/>
    <col min="12061" max="12061" width="9.85546875" style="1236" customWidth="1"/>
    <col min="12062" max="12062" width="81.85546875" style="1236" customWidth="1"/>
    <col min="12063" max="12063" width="12.7109375" style="1236" customWidth="1"/>
    <col min="12064" max="12064" width="12.42578125" style="1236" customWidth="1"/>
    <col min="12065" max="12065" width="14.5703125" style="1236" customWidth="1"/>
    <col min="12066" max="12066" width="12.28515625" style="1236" customWidth="1"/>
    <col min="12067" max="12067" width="38.140625" style="1236" customWidth="1"/>
    <col min="12068" max="12068" width="46.85546875" style="1236" customWidth="1"/>
    <col min="12069" max="12071" width="12.7109375" style="1236" customWidth="1"/>
    <col min="12072" max="12072" width="9.28515625" style="1236" customWidth="1"/>
    <col min="12073" max="12073" width="13.5703125" style="1236" customWidth="1"/>
    <col min="12074" max="12074" width="10.28515625" style="1236" customWidth="1"/>
    <col min="12075" max="12075" width="12.85546875" style="1236" customWidth="1"/>
    <col min="12076" max="12076" width="9.140625" style="1236" customWidth="1"/>
    <col min="12077" max="12077" width="9.7109375" style="1236" customWidth="1"/>
    <col min="12078" max="12078" width="9.28515625" style="1236" customWidth="1"/>
    <col min="12079" max="12079" width="9.42578125" style="1236" customWidth="1"/>
    <col min="12080" max="12080" width="10.5703125" style="1236" customWidth="1"/>
    <col min="12081" max="12081" width="12.42578125" style="1236" customWidth="1"/>
    <col min="12082" max="12082" width="14.5703125" style="1236" customWidth="1"/>
    <col min="12083" max="12083" width="12.28515625" style="1236" customWidth="1"/>
    <col min="12084" max="12084" width="25.85546875" style="1236" customWidth="1"/>
    <col min="12085" max="12316" width="0.85546875" style="1236"/>
    <col min="12317" max="12317" width="9.85546875" style="1236" customWidth="1"/>
    <col min="12318" max="12318" width="81.85546875" style="1236" customWidth="1"/>
    <col min="12319" max="12319" width="12.7109375" style="1236" customWidth="1"/>
    <col min="12320" max="12320" width="12.42578125" style="1236" customWidth="1"/>
    <col min="12321" max="12321" width="14.5703125" style="1236" customWidth="1"/>
    <col min="12322" max="12322" width="12.28515625" style="1236" customWidth="1"/>
    <col min="12323" max="12323" width="38.140625" style="1236" customWidth="1"/>
    <col min="12324" max="12324" width="46.85546875" style="1236" customWidth="1"/>
    <col min="12325" max="12327" width="12.7109375" style="1236" customWidth="1"/>
    <col min="12328" max="12328" width="9.28515625" style="1236" customWidth="1"/>
    <col min="12329" max="12329" width="13.5703125" style="1236" customWidth="1"/>
    <col min="12330" max="12330" width="10.28515625" style="1236" customWidth="1"/>
    <col min="12331" max="12331" width="12.85546875" style="1236" customWidth="1"/>
    <col min="12332" max="12332" width="9.140625" style="1236" customWidth="1"/>
    <col min="12333" max="12333" width="9.7109375" style="1236" customWidth="1"/>
    <col min="12334" max="12334" width="9.28515625" style="1236" customWidth="1"/>
    <col min="12335" max="12335" width="9.42578125" style="1236" customWidth="1"/>
    <col min="12336" max="12336" width="10.5703125" style="1236" customWidth="1"/>
    <col min="12337" max="12337" width="12.42578125" style="1236" customWidth="1"/>
    <col min="12338" max="12338" width="14.5703125" style="1236" customWidth="1"/>
    <col min="12339" max="12339" width="12.28515625" style="1236" customWidth="1"/>
    <col min="12340" max="12340" width="25.85546875" style="1236" customWidth="1"/>
    <col min="12341" max="12572" width="0.85546875" style="1236"/>
    <col min="12573" max="12573" width="9.85546875" style="1236" customWidth="1"/>
    <col min="12574" max="12574" width="81.85546875" style="1236" customWidth="1"/>
    <col min="12575" max="12575" width="12.7109375" style="1236" customWidth="1"/>
    <col min="12576" max="12576" width="12.42578125" style="1236" customWidth="1"/>
    <col min="12577" max="12577" width="14.5703125" style="1236" customWidth="1"/>
    <col min="12578" max="12578" width="12.28515625" style="1236" customWidth="1"/>
    <col min="12579" max="12579" width="38.140625" style="1236" customWidth="1"/>
    <col min="12580" max="12580" width="46.85546875" style="1236" customWidth="1"/>
    <col min="12581" max="12583" width="12.7109375" style="1236" customWidth="1"/>
    <col min="12584" max="12584" width="9.28515625" style="1236" customWidth="1"/>
    <col min="12585" max="12585" width="13.5703125" style="1236" customWidth="1"/>
    <col min="12586" max="12586" width="10.28515625" style="1236" customWidth="1"/>
    <col min="12587" max="12587" width="12.85546875" style="1236" customWidth="1"/>
    <col min="12588" max="12588" width="9.140625" style="1236" customWidth="1"/>
    <col min="12589" max="12589" width="9.7109375" style="1236" customWidth="1"/>
    <col min="12590" max="12590" width="9.28515625" style="1236" customWidth="1"/>
    <col min="12591" max="12591" width="9.42578125" style="1236" customWidth="1"/>
    <col min="12592" max="12592" width="10.5703125" style="1236" customWidth="1"/>
    <col min="12593" max="12593" width="12.42578125" style="1236" customWidth="1"/>
    <col min="12594" max="12594" width="14.5703125" style="1236" customWidth="1"/>
    <col min="12595" max="12595" width="12.28515625" style="1236" customWidth="1"/>
    <col min="12596" max="12596" width="25.85546875" style="1236" customWidth="1"/>
    <col min="12597" max="12828" width="0.85546875" style="1236"/>
    <col min="12829" max="12829" width="9.85546875" style="1236" customWidth="1"/>
    <col min="12830" max="12830" width="81.85546875" style="1236" customWidth="1"/>
    <col min="12831" max="12831" width="12.7109375" style="1236" customWidth="1"/>
    <col min="12832" max="12832" width="12.42578125" style="1236" customWidth="1"/>
    <col min="12833" max="12833" width="14.5703125" style="1236" customWidth="1"/>
    <col min="12834" max="12834" width="12.28515625" style="1236" customWidth="1"/>
    <col min="12835" max="12835" width="38.140625" style="1236" customWidth="1"/>
    <col min="12836" max="12836" width="46.85546875" style="1236" customWidth="1"/>
    <col min="12837" max="12839" width="12.7109375" style="1236" customWidth="1"/>
    <col min="12840" max="12840" width="9.28515625" style="1236" customWidth="1"/>
    <col min="12841" max="12841" width="13.5703125" style="1236" customWidth="1"/>
    <col min="12842" max="12842" width="10.28515625" style="1236" customWidth="1"/>
    <col min="12843" max="12843" width="12.85546875" style="1236" customWidth="1"/>
    <col min="12844" max="12844" width="9.140625" style="1236" customWidth="1"/>
    <col min="12845" max="12845" width="9.7109375" style="1236" customWidth="1"/>
    <col min="12846" max="12846" width="9.28515625" style="1236" customWidth="1"/>
    <col min="12847" max="12847" width="9.42578125" style="1236" customWidth="1"/>
    <col min="12848" max="12848" width="10.5703125" style="1236" customWidth="1"/>
    <col min="12849" max="12849" width="12.42578125" style="1236" customWidth="1"/>
    <col min="12850" max="12850" width="14.5703125" style="1236" customWidth="1"/>
    <col min="12851" max="12851" width="12.28515625" style="1236" customWidth="1"/>
    <col min="12852" max="12852" width="25.85546875" style="1236" customWidth="1"/>
    <col min="12853" max="13084" width="0.85546875" style="1236"/>
    <col min="13085" max="13085" width="9.85546875" style="1236" customWidth="1"/>
    <col min="13086" max="13086" width="81.85546875" style="1236" customWidth="1"/>
    <col min="13087" max="13087" width="12.7109375" style="1236" customWidth="1"/>
    <col min="13088" max="13088" width="12.42578125" style="1236" customWidth="1"/>
    <col min="13089" max="13089" width="14.5703125" style="1236" customWidth="1"/>
    <col min="13090" max="13090" width="12.28515625" style="1236" customWidth="1"/>
    <col min="13091" max="13091" width="38.140625" style="1236" customWidth="1"/>
    <col min="13092" max="13092" width="46.85546875" style="1236" customWidth="1"/>
    <col min="13093" max="13095" width="12.7109375" style="1236" customWidth="1"/>
    <col min="13096" max="13096" width="9.28515625" style="1236" customWidth="1"/>
    <col min="13097" max="13097" width="13.5703125" style="1236" customWidth="1"/>
    <col min="13098" max="13098" width="10.28515625" style="1236" customWidth="1"/>
    <col min="13099" max="13099" width="12.85546875" style="1236" customWidth="1"/>
    <col min="13100" max="13100" width="9.140625" style="1236" customWidth="1"/>
    <col min="13101" max="13101" width="9.7109375" style="1236" customWidth="1"/>
    <col min="13102" max="13102" width="9.28515625" style="1236" customWidth="1"/>
    <col min="13103" max="13103" width="9.42578125" style="1236" customWidth="1"/>
    <col min="13104" max="13104" width="10.5703125" style="1236" customWidth="1"/>
    <col min="13105" max="13105" width="12.42578125" style="1236" customWidth="1"/>
    <col min="13106" max="13106" width="14.5703125" style="1236" customWidth="1"/>
    <col min="13107" max="13107" width="12.28515625" style="1236" customWidth="1"/>
    <col min="13108" max="13108" width="25.85546875" style="1236" customWidth="1"/>
    <col min="13109" max="13340" width="0.85546875" style="1236"/>
    <col min="13341" max="13341" width="9.85546875" style="1236" customWidth="1"/>
    <col min="13342" max="13342" width="81.85546875" style="1236" customWidth="1"/>
    <col min="13343" max="13343" width="12.7109375" style="1236" customWidth="1"/>
    <col min="13344" max="13344" width="12.42578125" style="1236" customWidth="1"/>
    <col min="13345" max="13345" width="14.5703125" style="1236" customWidth="1"/>
    <col min="13346" max="13346" width="12.28515625" style="1236" customWidth="1"/>
    <col min="13347" max="13347" width="38.140625" style="1236" customWidth="1"/>
    <col min="13348" max="13348" width="46.85546875" style="1236" customWidth="1"/>
    <col min="13349" max="13351" width="12.7109375" style="1236" customWidth="1"/>
    <col min="13352" max="13352" width="9.28515625" style="1236" customWidth="1"/>
    <col min="13353" max="13353" width="13.5703125" style="1236" customWidth="1"/>
    <col min="13354" max="13354" width="10.28515625" style="1236" customWidth="1"/>
    <col min="13355" max="13355" width="12.85546875" style="1236" customWidth="1"/>
    <col min="13356" max="13356" width="9.140625" style="1236" customWidth="1"/>
    <col min="13357" max="13357" width="9.7109375" style="1236" customWidth="1"/>
    <col min="13358" max="13358" width="9.28515625" style="1236" customWidth="1"/>
    <col min="13359" max="13359" width="9.42578125" style="1236" customWidth="1"/>
    <col min="13360" max="13360" width="10.5703125" style="1236" customWidth="1"/>
    <col min="13361" max="13361" width="12.42578125" style="1236" customWidth="1"/>
    <col min="13362" max="13362" width="14.5703125" style="1236" customWidth="1"/>
    <col min="13363" max="13363" width="12.28515625" style="1236" customWidth="1"/>
    <col min="13364" max="13364" width="25.85546875" style="1236" customWidth="1"/>
    <col min="13365" max="13596" width="0.85546875" style="1236"/>
    <col min="13597" max="13597" width="9.85546875" style="1236" customWidth="1"/>
    <col min="13598" max="13598" width="81.85546875" style="1236" customWidth="1"/>
    <col min="13599" max="13599" width="12.7109375" style="1236" customWidth="1"/>
    <col min="13600" max="13600" width="12.42578125" style="1236" customWidth="1"/>
    <col min="13601" max="13601" width="14.5703125" style="1236" customWidth="1"/>
    <col min="13602" max="13602" width="12.28515625" style="1236" customWidth="1"/>
    <col min="13603" max="13603" width="38.140625" style="1236" customWidth="1"/>
    <col min="13604" max="13604" width="46.85546875" style="1236" customWidth="1"/>
    <col min="13605" max="13607" width="12.7109375" style="1236" customWidth="1"/>
    <col min="13608" max="13608" width="9.28515625" style="1236" customWidth="1"/>
    <col min="13609" max="13609" width="13.5703125" style="1236" customWidth="1"/>
    <col min="13610" max="13610" width="10.28515625" style="1236" customWidth="1"/>
    <col min="13611" max="13611" width="12.85546875" style="1236" customWidth="1"/>
    <col min="13612" max="13612" width="9.140625" style="1236" customWidth="1"/>
    <col min="13613" max="13613" width="9.7109375" style="1236" customWidth="1"/>
    <col min="13614" max="13614" width="9.28515625" style="1236" customWidth="1"/>
    <col min="13615" max="13615" width="9.42578125" style="1236" customWidth="1"/>
    <col min="13616" max="13616" width="10.5703125" style="1236" customWidth="1"/>
    <col min="13617" max="13617" width="12.42578125" style="1236" customWidth="1"/>
    <col min="13618" max="13618" width="14.5703125" style="1236" customWidth="1"/>
    <col min="13619" max="13619" width="12.28515625" style="1236" customWidth="1"/>
    <col min="13620" max="13620" width="25.85546875" style="1236" customWidth="1"/>
    <col min="13621" max="13852" width="0.85546875" style="1236"/>
    <col min="13853" max="13853" width="9.85546875" style="1236" customWidth="1"/>
    <col min="13854" max="13854" width="81.85546875" style="1236" customWidth="1"/>
    <col min="13855" max="13855" width="12.7109375" style="1236" customWidth="1"/>
    <col min="13856" max="13856" width="12.42578125" style="1236" customWidth="1"/>
    <col min="13857" max="13857" width="14.5703125" style="1236" customWidth="1"/>
    <col min="13858" max="13858" width="12.28515625" style="1236" customWidth="1"/>
    <col min="13859" max="13859" width="38.140625" style="1236" customWidth="1"/>
    <col min="13860" max="13860" width="46.85546875" style="1236" customWidth="1"/>
    <col min="13861" max="13863" width="12.7109375" style="1236" customWidth="1"/>
    <col min="13864" max="13864" width="9.28515625" style="1236" customWidth="1"/>
    <col min="13865" max="13865" width="13.5703125" style="1236" customWidth="1"/>
    <col min="13866" max="13866" width="10.28515625" style="1236" customWidth="1"/>
    <col min="13867" max="13867" width="12.85546875" style="1236" customWidth="1"/>
    <col min="13868" max="13868" width="9.140625" style="1236" customWidth="1"/>
    <col min="13869" max="13869" width="9.7109375" style="1236" customWidth="1"/>
    <col min="13870" max="13870" width="9.28515625" style="1236" customWidth="1"/>
    <col min="13871" max="13871" width="9.42578125" style="1236" customWidth="1"/>
    <col min="13872" max="13872" width="10.5703125" style="1236" customWidth="1"/>
    <col min="13873" max="13873" width="12.42578125" style="1236" customWidth="1"/>
    <col min="13874" max="13874" width="14.5703125" style="1236" customWidth="1"/>
    <col min="13875" max="13875" width="12.28515625" style="1236" customWidth="1"/>
    <col min="13876" max="13876" width="25.85546875" style="1236" customWidth="1"/>
    <col min="13877" max="14108" width="0.85546875" style="1236"/>
    <col min="14109" max="14109" width="9.85546875" style="1236" customWidth="1"/>
    <col min="14110" max="14110" width="81.85546875" style="1236" customWidth="1"/>
    <col min="14111" max="14111" width="12.7109375" style="1236" customWidth="1"/>
    <col min="14112" max="14112" width="12.42578125" style="1236" customWidth="1"/>
    <col min="14113" max="14113" width="14.5703125" style="1236" customWidth="1"/>
    <col min="14114" max="14114" width="12.28515625" style="1236" customWidth="1"/>
    <col min="14115" max="14115" width="38.140625" style="1236" customWidth="1"/>
    <col min="14116" max="14116" width="46.85546875" style="1236" customWidth="1"/>
    <col min="14117" max="14119" width="12.7109375" style="1236" customWidth="1"/>
    <col min="14120" max="14120" width="9.28515625" style="1236" customWidth="1"/>
    <col min="14121" max="14121" width="13.5703125" style="1236" customWidth="1"/>
    <col min="14122" max="14122" width="10.28515625" style="1236" customWidth="1"/>
    <col min="14123" max="14123" width="12.85546875" style="1236" customWidth="1"/>
    <col min="14124" max="14124" width="9.140625" style="1236" customWidth="1"/>
    <col min="14125" max="14125" width="9.7109375" style="1236" customWidth="1"/>
    <col min="14126" max="14126" width="9.28515625" style="1236" customWidth="1"/>
    <col min="14127" max="14127" width="9.42578125" style="1236" customWidth="1"/>
    <col min="14128" max="14128" width="10.5703125" style="1236" customWidth="1"/>
    <col min="14129" max="14129" width="12.42578125" style="1236" customWidth="1"/>
    <col min="14130" max="14130" width="14.5703125" style="1236" customWidth="1"/>
    <col min="14131" max="14131" width="12.28515625" style="1236" customWidth="1"/>
    <col min="14132" max="14132" width="25.85546875" style="1236" customWidth="1"/>
    <col min="14133" max="14364" width="0.85546875" style="1236"/>
    <col min="14365" max="14365" width="9.85546875" style="1236" customWidth="1"/>
    <col min="14366" max="14366" width="81.85546875" style="1236" customWidth="1"/>
    <col min="14367" max="14367" width="12.7109375" style="1236" customWidth="1"/>
    <col min="14368" max="14368" width="12.42578125" style="1236" customWidth="1"/>
    <col min="14369" max="14369" width="14.5703125" style="1236" customWidth="1"/>
    <col min="14370" max="14370" width="12.28515625" style="1236" customWidth="1"/>
    <col min="14371" max="14371" width="38.140625" style="1236" customWidth="1"/>
    <col min="14372" max="14372" width="46.85546875" style="1236" customWidth="1"/>
    <col min="14373" max="14375" width="12.7109375" style="1236" customWidth="1"/>
    <col min="14376" max="14376" width="9.28515625" style="1236" customWidth="1"/>
    <col min="14377" max="14377" width="13.5703125" style="1236" customWidth="1"/>
    <col min="14378" max="14378" width="10.28515625" style="1236" customWidth="1"/>
    <col min="14379" max="14379" width="12.85546875" style="1236" customWidth="1"/>
    <col min="14380" max="14380" width="9.140625" style="1236" customWidth="1"/>
    <col min="14381" max="14381" width="9.7109375" style="1236" customWidth="1"/>
    <col min="14382" max="14382" width="9.28515625" style="1236" customWidth="1"/>
    <col min="14383" max="14383" width="9.42578125" style="1236" customWidth="1"/>
    <col min="14384" max="14384" width="10.5703125" style="1236" customWidth="1"/>
    <col min="14385" max="14385" width="12.42578125" style="1236" customWidth="1"/>
    <col min="14386" max="14386" width="14.5703125" style="1236" customWidth="1"/>
    <col min="14387" max="14387" width="12.28515625" style="1236" customWidth="1"/>
    <col min="14388" max="14388" width="25.85546875" style="1236" customWidth="1"/>
    <col min="14389" max="14620" width="0.85546875" style="1236"/>
    <col min="14621" max="14621" width="9.85546875" style="1236" customWidth="1"/>
    <col min="14622" max="14622" width="81.85546875" style="1236" customWidth="1"/>
    <col min="14623" max="14623" width="12.7109375" style="1236" customWidth="1"/>
    <col min="14624" max="14624" width="12.42578125" style="1236" customWidth="1"/>
    <col min="14625" max="14625" width="14.5703125" style="1236" customWidth="1"/>
    <col min="14626" max="14626" width="12.28515625" style="1236" customWidth="1"/>
    <col min="14627" max="14627" width="38.140625" style="1236" customWidth="1"/>
    <col min="14628" max="14628" width="46.85546875" style="1236" customWidth="1"/>
    <col min="14629" max="14631" width="12.7109375" style="1236" customWidth="1"/>
    <col min="14632" max="14632" width="9.28515625" style="1236" customWidth="1"/>
    <col min="14633" max="14633" width="13.5703125" style="1236" customWidth="1"/>
    <col min="14634" max="14634" width="10.28515625" style="1236" customWidth="1"/>
    <col min="14635" max="14635" width="12.85546875" style="1236" customWidth="1"/>
    <col min="14636" max="14636" width="9.140625" style="1236" customWidth="1"/>
    <col min="14637" max="14637" width="9.7109375" style="1236" customWidth="1"/>
    <col min="14638" max="14638" width="9.28515625" style="1236" customWidth="1"/>
    <col min="14639" max="14639" width="9.42578125" style="1236" customWidth="1"/>
    <col min="14640" max="14640" width="10.5703125" style="1236" customWidth="1"/>
    <col min="14641" max="14641" width="12.42578125" style="1236" customWidth="1"/>
    <col min="14642" max="14642" width="14.5703125" style="1236" customWidth="1"/>
    <col min="14643" max="14643" width="12.28515625" style="1236" customWidth="1"/>
    <col min="14644" max="14644" width="25.85546875" style="1236" customWidth="1"/>
    <col min="14645" max="14876" width="0.85546875" style="1236"/>
    <col min="14877" max="14877" width="9.85546875" style="1236" customWidth="1"/>
    <col min="14878" max="14878" width="81.85546875" style="1236" customWidth="1"/>
    <col min="14879" max="14879" width="12.7109375" style="1236" customWidth="1"/>
    <col min="14880" max="14880" width="12.42578125" style="1236" customWidth="1"/>
    <col min="14881" max="14881" width="14.5703125" style="1236" customWidth="1"/>
    <col min="14882" max="14882" width="12.28515625" style="1236" customWidth="1"/>
    <col min="14883" max="14883" width="38.140625" style="1236" customWidth="1"/>
    <col min="14884" max="14884" width="46.85546875" style="1236" customWidth="1"/>
    <col min="14885" max="14887" width="12.7109375" style="1236" customWidth="1"/>
    <col min="14888" max="14888" width="9.28515625" style="1236" customWidth="1"/>
    <col min="14889" max="14889" width="13.5703125" style="1236" customWidth="1"/>
    <col min="14890" max="14890" width="10.28515625" style="1236" customWidth="1"/>
    <col min="14891" max="14891" width="12.85546875" style="1236" customWidth="1"/>
    <col min="14892" max="14892" width="9.140625" style="1236" customWidth="1"/>
    <col min="14893" max="14893" width="9.7109375" style="1236" customWidth="1"/>
    <col min="14894" max="14894" width="9.28515625" style="1236" customWidth="1"/>
    <col min="14895" max="14895" width="9.42578125" style="1236" customWidth="1"/>
    <col min="14896" max="14896" width="10.5703125" style="1236" customWidth="1"/>
    <col min="14897" max="14897" width="12.42578125" style="1236" customWidth="1"/>
    <col min="14898" max="14898" width="14.5703125" style="1236" customWidth="1"/>
    <col min="14899" max="14899" width="12.28515625" style="1236" customWidth="1"/>
    <col min="14900" max="14900" width="25.85546875" style="1236" customWidth="1"/>
    <col min="14901" max="15132" width="0.85546875" style="1236"/>
    <col min="15133" max="15133" width="9.85546875" style="1236" customWidth="1"/>
    <col min="15134" max="15134" width="81.85546875" style="1236" customWidth="1"/>
    <col min="15135" max="15135" width="12.7109375" style="1236" customWidth="1"/>
    <col min="15136" max="15136" width="12.42578125" style="1236" customWidth="1"/>
    <col min="15137" max="15137" width="14.5703125" style="1236" customWidth="1"/>
    <col min="15138" max="15138" width="12.28515625" style="1236" customWidth="1"/>
    <col min="15139" max="15139" width="38.140625" style="1236" customWidth="1"/>
    <col min="15140" max="15140" width="46.85546875" style="1236" customWidth="1"/>
    <col min="15141" max="15143" width="12.7109375" style="1236" customWidth="1"/>
    <col min="15144" max="15144" width="9.28515625" style="1236" customWidth="1"/>
    <col min="15145" max="15145" width="13.5703125" style="1236" customWidth="1"/>
    <col min="15146" max="15146" width="10.28515625" style="1236" customWidth="1"/>
    <col min="15147" max="15147" width="12.85546875" style="1236" customWidth="1"/>
    <col min="15148" max="15148" width="9.140625" style="1236" customWidth="1"/>
    <col min="15149" max="15149" width="9.7109375" style="1236" customWidth="1"/>
    <col min="15150" max="15150" width="9.28515625" style="1236" customWidth="1"/>
    <col min="15151" max="15151" width="9.42578125" style="1236" customWidth="1"/>
    <col min="15152" max="15152" width="10.5703125" style="1236" customWidth="1"/>
    <col min="15153" max="15153" width="12.42578125" style="1236" customWidth="1"/>
    <col min="15154" max="15154" width="14.5703125" style="1236" customWidth="1"/>
    <col min="15155" max="15155" width="12.28515625" style="1236" customWidth="1"/>
    <col min="15156" max="15156" width="25.85546875" style="1236" customWidth="1"/>
    <col min="15157" max="15388" width="0.85546875" style="1236"/>
    <col min="15389" max="15389" width="9.85546875" style="1236" customWidth="1"/>
    <col min="15390" max="15390" width="81.85546875" style="1236" customWidth="1"/>
    <col min="15391" max="15391" width="12.7109375" style="1236" customWidth="1"/>
    <col min="15392" max="15392" width="12.42578125" style="1236" customWidth="1"/>
    <col min="15393" max="15393" width="14.5703125" style="1236" customWidth="1"/>
    <col min="15394" max="15394" width="12.28515625" style="1236" customWidth="1"/>
    <col min="15395" max="15395" width="38.140625" style="1236" customWidth="1"/>
    <col min="15396" max="15396" width="46.85546875" style="1236" customWidth="1"/>
    <col min="15397" max="15399" width="12.7109375" style="1236" customWidth="1"/>
    <col min="15400" max="15400" width="9.28515625" style="1236" customWidth="1"/>
    <col min="15401" max="15401" width="13.5703125" style="1236" customWidth="1"/>
    <col min="15402" max="15402" width="10.28515625" style="1236" customWidth="1"/>
    <col min="15403" max="15403" width="12.85546875" style="1236" customWidth="1"/>
    <col min="15404" max="15404" width="9.140625" style="1236" customWidth="1"/>
    <col min="15405" max="15405" width="9.7109375" style="1236" customWidth="1"/>
    <col min="15406" max="15406" width="9.28515625" style="1236" customWidth="1"/>
    <col min="15407" max="15407" width="9.42578125" style="1236" customWidth="1"/>
    <col min="15408" max="15408" width="10.5703125" style="1236" customWidth="1"/>
    <col min="15409" max="15409" width="12.42578125" style="1236" customWidth="1"/>
    <col min="15410" max="15410" width="14.5703125" style="1236" customWidth="1"/>
    <col min="15411" max="15411" width="12.28515625" style="1236" customWidth="1"/>
    <col min="15412" max="15412" width="25.85546875" style="1236" customWidth="1"/>
    <col min="15413" max="15644" width="0.85546875" style="1236"/>
    <col min="15645" max="15645" width="9.85546875" style="1236" customWidth="1"/>
    <col min="15646" max="15646" width="81.85546875" style="1236" customWidth="1"/>
    <col min="15647" max="15647" width="12.7109375" style="1236" customWidth="1"/>
    <col min="15648" max="15648" width="12.42578125" style="1236" customWidth="1"/>
    <col min="15649" max="15649" width="14.5703125" style="1236" customWidth="1"/>
    <col min="15650" max="15650" width="12.28515625" style="1236" customWidth="1"/>
    <col min="15651" max="15651" width="38.140625" style="1236" customWidth="1"/>
    <col min="15652" max="15652" width="46.85546875" style="1236" customWidth="1"/>
    <col min="15653" max="15655" width="12.7109375" style="1236" customWidth="1"/>
    <col min="15656" max="15656" width="9.28515625" style="1236" customWidth="1"/>
    <col min="15657" max="15657" width="13.5703125" style="1236" customWidth="1"/>
    <col min="15658" max="15658" width="10.28515625" style="1236" customWidth="1"/>
    <col min="15659" max="15659" width="12.85546875" style="1236" customWidth="1"/>
    <col min="15660" max="15660" width="9.140625" style="1236" customWidth="1"/>
    <col min="15661" max="15661" width="9.7109375" style="1236" customWidth="1"/>
    <col min="15662" max="15662" width="9.28515625" style="1236" customWidth="1"/>
    <col min="15663" max="15663" width="9.42578125" style="1236" customWidth="1"/>
    <col min="15664" max="15664" width="10.5703125" style="1236" customWidth="1"/>
    <col min="15665" max="15665" width="12.42578125" style="1236" customWidth="1"/>
    <col min="15666" max="15666" width="14.5703125" style="1236" customWidth="1"/>
    <col min="15667" max="15667" width="12.28515625" style="1236" customWidth="1"/>
    <col min="15668" max="15668" width="25.85546875" style="1236" customWidth="1"/>
    <col min="15669" max="15900" width="0.85546875" style="1236"/>
    <col min="15901" max="15901" width="9.85546875" style="1236" customWidth="1"/>
    <col min="15902" max="15902" width="81.85546875" style="1236" customWidth="1"/>
    <col min="15903" max="15903" width="12.7109375" style="1236" customWidth="1"/>
    <col min="15904" max="15904" width="12.42578125" style="1236" customWidth="1"/>
    <col min="15905" max="15905" width="14.5703125" style="1236" customWidth="1"/>
    <col min="15906" max="15906" width="12.28515625" style="1236" customWidth="1"/>
    <col min="15907" max="15907" width="38.140625" style="1236" customWidth="1"/>
    <col min="15908" max="15908" width="46.85546875" style="1236" customWidth="1"/>
    <col min="15909" max="15911" width="12.7109375" style="1236" customWidth="1"/>
    <col min="15912" max="15912" width="9.28515625" style="1236" customWidth="1"/>
    <col min="15913" max="15913" width="13.5703125" style="1236" customWidth="1"/>
    <col min="15914" max="15914" width="10.28515625" style="1236" customWidth="1"/>
    <col min="15915" max="15915" width="12.85546875" style="1236" customWidth="1"/>
    <col min="15916" max="15916" width="9.140625" style="1236" customWidth="1"/>
    <col min="15917" max="15917" width="9.7109375" style="1236" customWidth="1"/>
    <col min="15918" max="15918" width="9.28515625" style="1236" customWidth="1"/>
    <col min="15919" max="15919" width="9.42578125" style="1236" customWidth="1"/>
    <col min="15920" max="15920" width="10.5703125" style="1236" customWidth="1"/>
    <col min="15921" max="15921" width="12.42578125" style="1236" customWidth="1"/>
    <col min="15922" max="15922" width="14.5703125" style="1236" customWidth="1"/>
    <col min="15923" max="15923" width="12.28515625" style="1236" customWidth="1"/>
    <col min="15924" max="15924" width="25.85546875" style="1236" customWidth="1"/>
    <col min="15925" max="16156" width="0.85546875" style="1236"/>
    <col min="16157" max="16157" width="9.85546875" style="1236" customWidth="1"/>
    <col min="16158" max="16158" width="81.85546875" style="1236" customWidth="1"/>
    <col min="16159" max="16159" width="12.7109375" style="1236" customWidth="1"/>
    <col min="16160" max="16160" width="12.42578125" style="1236" customWidth="1"/>
    <col min="16161" max="16161" width="14.5703125" style="1236" customWidth="1"/>
    <col min="16162" max="16162" width="12.28515625" style="1236" customWidth="1"/>
    <col min="16163" max="16163" width="38.140625" style="1236" customWidth="1"/>
    <col min="16164" max="16164" width="46.85546875" style="1236" customWidth="1"/>
    <col min="16165" max="16167" width="12.7109375" style="1236" customWidth="1"/>
    <col min="16168" max="16168" width="9.28515625" style="1236" customWidth="1"/>
    <col min="16169" max="16169" width="13.5703125" style="1236" customWidth="1"/>
    <col min="16170" max="16170" width="10.28515625" style="1236" customWidth="1"/>
    <col min="16171" max="16171" width="12.85546875" style="1236" customWidth="1"/>
    <col min="16172" max="16172" width="9.140625" style="1236" customWidth="1"/>
    <col min="16173" max="16173" width="9.7109375" style="1236" customWidth="1"/>
    <col min="16174" max="16174" width="9.28515625" style="1236" customWidth="1"/>
    <col min="16175" max="16175" width="9.42578125" style="1236" customWidth="1"/>
    <col min="16176" max="16176" width="10.5703125" style="1236" customWidth="1"/>
    <col min="16177" max="16177" width="12.42578125" style="1236" customWidth="1"/>
    <col min="16178" max="16178" width="14.5703125" style="1236" customWidth="1"/>
    <col min="16179" max="16179" width="12.28515625" style="1236" customWidth="1"/>
    <col min="16180" max="16180" width="25.85546875" style="1236" customWidth="1"/>
    <col min="16181" max="16384" width="0.85546875" style="1236"/>
  </cols>
  <sheetData>
    <row r="1" spans="1:46" ht="29.25" customHeight="1" x14ac:dyDescent="0.3">
      <c r="A1" s="4785" t="s">
        <v>3930</v>
      </c>
      <c r="B1" s="4785"/>
      <c r="C1" s="4785"/>
      <c r="D1" s="4785"/>
      <c r="E1" s="4785"/>
      <c r="F1" s="4785"/>
      <c r="G1" s="4785"/>
      <c r="H1" s="4785"/>
      <c r="I1" s="4785"/>
      <c r="J1" s="4785"/>
      <c r="K1" s="4785"/>
      <c r="L1" s="4785"/>
      <c r="M1" s="4785"/>
      <c r="N1" s="4785"/>
      <c r="O1" s="4785"/>
      <c r="P1" s="4785"/>
      <c r="Q1" s="4785"/>
      <c r="R1" s="4785"/>
      <c r="S1" s="4785"/>
      <c r="T1" s="4785"/>
      <c r="U1" s="4785"/>
      <c r="V1" s="4785"/>
      <c r="W1" s="4785"/>
      <c r="X1" s="4785"/>
      <c r="Y1" s="4785"/>
      <c r="Z1" s="4785"/>
      <c r="AA1" s="4785"/>
      <c r="AB1" s="4785"/>
      <c r="AC1" s="4785"/>
      <c r="AD1" s="4785"/>
      <c r="AE1" s="4785"/>
      <c r="AF1" s="4785"/>
      <c r="AG1" s="4785"/>
      <c r="AH1" s="4785"/>
      <c r="AI1" s="4785"/>
      <c r="AJ1" s="4785"/>
      <c r="AK1" s="4242"/>
      <c r="AL1" s="4242"/>
      <c r="AM1" s="4242"/>
      <c r="AN1" s="4242"/>
      <c r="AO1" s="4242"/>
      <c r="AP1" s="4242"/>
      <c r="AQ1" s="4242"/>
      <c r="AR1" s="4242"/>
      <c r="AS1" s="4242"/>
      <c r="AT1" s="4242"/>
    </row>
    <row r="3" spans="1:46" ht="15.75" customHeight="1" x14ac:dyDescent="0.25">
      <c r="A3" s="4787" t="s">
        <v>893</v>
      </c>
      <c r="B3" s="4787" t="s">
        <v>358</v>
      </c>
      <c r="C3" s="4787" t="s">
        <v>894</v>
      </c>
      <c r="D3" s="4787" t="s">
        <v>1790</v>
      </c>
      <c r="E3" s="4787" t="s">
        <v>1789</v>
      </c>
      <c r="F3" s="4787" t="str">
        <f>'тех вода 2019-2021'!F4:P4</f>
        <v>Установлено на первый долгосрочный период регулирования 2016 - 2018 годы</v>
      </c>
      <c r="G3" s="4787"/>
      <c r="H3" s="4787"/>
      <c r="I3" s="4787"/>
      <c r="J3" s="4787"/>
      <c r="K3" s="4787"/>
      <c r="L3" s="4787"/>
      <c r="M3" s="4787"/>
      <c r="N3" s="4787"/>
      <c r="O3" s="4787"/>
      <c r="P3" s="4787"/>
      <c r="Q3" s="4787"/>
      <c r="R3" s="4739"/>
      <c r="S3" s="4739"/>
      <c r="T3" s="4788" t="s">
        <v>1807</v>
      </c>
      <c r="U3" s="4789"/>
      <c r="V3" s="4789"/>
      <c r="W3" s="4789"/>
      <c r="X3" s="4789"/>
      <c r="Y3" s="4789"/>
      <c r="Z3" s="4789"/>
      <c r="AA3" s="4789"/>
      <c r="AB3" s="4789"/>
      <c r="AC3" s="4789"/>
      <c r="AD3" s="4789"/>
      <c r="AE3" s="4789"/>
      <c r="AF3" s="4789"/>
      <c r="AG3" s="4741"/>
      <c r="AH3" s="4741"/>
      <c r="AI3" s="4741"/>
      <c r="AJ3" s="4741"/>
      <c r="AK3" s="4794"/>
      <c r="AL3" s="4794"/>
      <c r="AM3" s="4794"/>
      <c r="AN3" s="4794"/>
      <c r="AO3" s="4794"/>
      <c r="AP3" s="4794"/>
      <c r="AQ3" s="4794"/>
      <c r="AR3" s="4794"/>
      <c r="AS3" s="4794"/>
      <c r="AT3" s="4795"/>
    </row>
    <row r="4" spans="1:46" ht="33" customHeight="1" x14ac:dyDescent="0.25">
      <c r="A4" s="4787"/>
      <c r="B4" s="4787"/>
      <c r="C4" s="4787"/>
      <c r="D4" s="4787"/>
      <c r="E4" s="4787"/>
      <c r="F4" s="4787" t="s">
        <v>818</v>
      </c>
      <c r="G4" s="4787"/>
      <c r="H4" s="4787"/>
      <c r="I4" s="4787" t="s">
        <v>895</v>
      </c>
      <c r="J4" s="4787"/>
      <c r="K4" s="4787"/>
      <c r="L4" s="4787"/>
      <c r="M4" s="4787"/>
      <c r="N4" s="4787" t="s">
        <v>896</v>
      </c>
      <c r="O4" s="4787"/>
      <c r="P4" s="4787"/>
      <c r="Q4" s="4787"/>
      <c r="R4" s="4787"/>
      <c r="S4" s="4739"/>
      <c r="T4" s="2585" t="s">
        <v>1802</v>
      </c>
      <c r="U4" s="2585" t="s">
        <v>1808</v>
      </c>
      <c r="V4" s="2585" t="s">
        <v>1809</v>
      </c>
      <c r="W4" s="2585" t="s">
        <v>1810</v>
      </c>
      <c r="X4" s="2585" t="s">
        <v>1811</v>
      </c>
      <c r="Y4" s="2585" t="s">
        <v>1812</v>
      </c>
      <c r="Z4" s="2585" t="s">
        <v>1802</v>
      </c>
      <c r="AA4" s="2585" t="s">
        <v>2051</v>
      </c>
      <c r="AB4" s="2585" t="s">
        <v>1808</v>
      </c>
      <c r="AC4" s="2585" t="s">
        <v>1809</v>
      </c>
      <c r="AD4" s="2585" t="s">
        <v>1810</v>
      </c>
      <c r="AE4" s="2585" t="s">
        <v>1811</v>
      </c>
      <c r="AF4" s="2585" t="s">
        <v>1812</v>
      </c>
      <c r="AG4" s="4788" t="s">
        <v>1808</v>
      </c>
      <c r="AH4" s="4741"/>
      <c r="AI4" s="4741"/>
      <c r="AJ4" s="4742"/>
      <c r="AK4" s="4787" t="s">
        <v>3648</v>
      </c>
      <c r="AL4" s="4787" t="s">
        <v>3649</v>
      </c>
      <c r="AM4" s="4787" t="s">
        <v>3657</v>
      </c>
      <c r="AN4" s="4788" t="s">
        <v>1809</v>
      </c>
      <c r="AO4" s="4741"/>
      <c r="AP4" s="4741"/>
      <c r="AQ4" s="4742"/>
      <c r="AR4" s="4787" t="s">
        <v>3943</v>
      </c>
      <c r="AS4" s="4787" t="s">
        <v>3944</v>
      </c>
      <c r="AT4" s="4787" t="s">
        <v>3945</v>
      </c>
    </row>
    <row r="5" spans="1:46" ht="66.75" customHeight="1" x14ac:dyDescent="0.25">
      <c r="A5" s="4787"/>
      <c r="B5" s="4787"/>
      <c r="C5" s="4787"/>
      <c r="D5" s="4787"/>
      <c r="E5" s="4787"/>
      <c r="F5" s="2585" t="s">
        <v>1588</v>
      </c>
      <c r="G5" s="2585" t="s">
        <v>1804</v>
      </c>
      <c r="H5" s="2585" t="s">
        <v>1813</v>
      </c>
      <c r="I5" s="2585" t="s">
        <v>1588</v>
      </c>
      <c r="J5" s="2585" t="s">
        <v>1513</v>
      </c>
      <c r="K5" s="2585" t="str">
        <f>'вода 2019-2021 коррект'!K6</f>
        <v>корректировка</v>
      </c>
      <c r="L5" s="2585" t="s">
        <v>1804</v>
      </c>
      <c r="M5" s="2585" t="s">
        <v>1813</v>
      </c>
      <c r="N5" s="2585" t="s">
        <v>1588</v>
      </c>
      <c r="O5" s="2585" t="s">
        <v>1687</v>
      </c>
      <c r="P5" s="2585" t="str">
        <f>'вода 2019-2021 коррект'!P6</f>
        <v>корректировка</v>
      </c>
      <c r="Q5" s="2585" t="s">
        <v>1682</v>
      </c>
      <c r="R5" s="2585" t="s">
        <v>1678</v>
      </c>
      <c r="S5" s="2585" t="s">
        <v>1804</v>
      </c>
      <c r="T5" s="4787" t="s">
        <v>119</v>
      </c>
      <c r="U5" s="4787"/>
      <c r="V5" s="4787"/>
      <c r="W5" s="4787"/>
      <c r="X5" s="4787"/>
      <c r="Y5" s="4787"/>
      <c r="Z5" s="4787" t="s">
        <v>1524</v>
      </c>
      <c r="AA5" s="4787"/>
      <c r="AB5" s="4787"/>
      <c r="AC5" s="4787"/>
      <c r="AD5" s="4787"/>
      <c r="AE5" s="4787"/>
      <c r="AF5" s="4787"/>
      <c r="AG5" s="2585" t="s">
        <v>3551</v>
      </c>
      <c r="AH5" s="2777" t="s">
        <v>3570</v>
      </c>
      <c r="AI5" s="2777" t="s">
        <v>3708</v>
      </c>
      <c r="AJ5" s="2777" t="s">
        <v>3570</v>
      </c>
      <c r="AK5" s="4739"/>
      <c r="AL5" s="4739"/>
      <c r="AM5" s="4739"/>
      <c r="AN5" s="3571" t="s">
        <v>3551</v>
      </c>
      <c r="AO5" s="3571" t="s">
        <v>3929</v>
      </c>
      <c r="AP5" s="3571" t="s">
        <v>3708</v>
      </c>
      <c r="AQ5" s="3571" t="s">
        <v>3929</v>
      </c>
      <c r="AR5" s="4739"/>
      <c r="AS5" s="4739"/>
      <c r="AT5" s="4739"/>
    </row>
    <row r="6" spans="1:46" s="2813" customFormat="1" ht="27" customHeight="1" x14ac:dyDescent="0.25">
      <c r="A6" s="2816"/>
      <c r="B6" s="3902" t="s">
        <v>897</v>
      </c>
      <c r="C6" s="4808" t="s">
        <v>898</v>
      </c>
      <c r="D6" s="4804" t="s">
        <v>898</v>
      </c>
      <c r="E6" s="4804" t="s">
        <v>898</v>
      </c>
      <c r="F6" s="4804" t="s">
        <v>898</v>
      </c>
      <c r="G6" s="4804" t="s">
        <v>898</v>
      </c>
      <c r="H6" s="4804" t="s">
        <v>898</v>
      </c>
      <c r="I6" s="3837">
        <v>0.01</v>
      </c>
      <c r="J6" s="3837"/>
      <c r="K6" s="3837">
        <v>0.01</v>
      </c>
      <c r="L6" s="4804" t="s">
        <v>898</v>
      </c>
      <c r="M6" s="3837">
        <v>0.01</v>
      </c>
      <c r="N6" s="3837">
        <v>0.01</v>
      </c>
      <c r="O6" s="3837">
        <v>0.01</v>
      </c>
      <c r="P6" s="4820" t="s">
        <v>898</v>
      </c>
      <c r="Q6" s="3837">
        <v>0.01</v>
      </c>
      <c r="R6" s="3837">
        <v>0.01</v>
      </c>
      <c r="S6" s="4820" t="s">
        <v>898</v>
      </c>
      <c r="T6" s="4820" t="s">
        <v>898</v>
      </c>
      <c r="U6" s="3837">
        <v>0.01</v>
      </c>
      <c r="V6" s="3837">
        <v>0.01</v>
      </c>
      <c r="W6" s="3837">
        <v>0.01</v>
      </c>
      <c r="X6" s="3837">
        <v>0.01</v>
      </c>
      <c r="Y6" s="3837">
        <v>0.01</v>
      </c>
      <c r="Z6" s="4820" t="s">
        <v>898</v>
      </c>
      <c r="AA6" s="4820" t="s">
        <v>898</v>
      </c>
      <c r="AB6" s="3837">
        <v>0.01</v>
      </c>
      <c r="AC6" s="3837">
        <v>0.01</v>
      </c>
      <c r="AD6" s="3837">
        <v>0.01</v>
      </c>
      <c r="AE6" s="3837">
        <v>0.01</v>
      </c>
      <c r="AF6" s="3837">
        <v>0.01</v>
      </c>
      <c r="AG6" s="4820" t="s">
        <v>898</v>
      </c>
      <c r="AH6" s="4820" t="s">
        <v>898</v>
      </c>
      <c r="AI6" s="3837">
        <v>0.01</v>
      </c>
      <c r="AJ6" s="3837"/>
      <c r="AK6" s="4820" t="s">
        <v>898</v>
      </c>
      <c r="AL6" s="4820" t="s">
        <v>898</v>
      </c>
      <c r="AM6" s="4820" t="s">
        <v>898</v>
      </c>
      <c r="AN6" s="3887">
        <v>0.01</v>
      </c>
      <c r="AO6" s="4818" t="s">
        <v>898</v>
      </c>
      <c r="AP6" s="4150">
        <v>0.01</v>
      </c>
      <c r="AQ6" s="4821" t="s">
        <v>898</v>
      </c>
      <c r="AR6" s="4818" t="s">
        <v>898</v>
      </c>
      <c r="AS6" s="4818" t="s">
        <v>898</v>
      </c>
      <c r="AT6" s="4817" t="s">
        <v>898</v>
      </c>
    </row>
    <row r="7" spans="1:46" s="2813" customFormat="1" ht="20.100000000000001" customHeight="1" x14ac:dyDescent="0.25">
      <c r="A7" s="2816"/>
      <c r="B7" s="3902" t="s">
        <v>899</v>
      </c>
      <c r="C7" s="4808"/>
      <c r="D7" s="4804"/>
      <c r="E7" s="4804"/>
      <c r="F7" s="4804"/>
      <c r="G7" s="4804"/>
      <c r="H7" s="4804"/>
      <c r="I7" s="3895">
        <v>7.3999999999999996E-2</v>
      </c>
      <c r="J7" s="3895"/>
      <c r="K7" s="3895">
        <v>7.0999999999999994E-2</v>
      </c>
      <c r="L7" s="4804"/>
      <c r="M7" s="3895">
        <v>3.6999999999999998E-2</v>
      </c>
      <c r="N7" s="3895">
        <v>5.8000000000000003E-2</v>
      </c>
      <c r="O7" s="3895">
        <v>0.04</v>
      </c>
      <c r="P7" s="4820"/>
      <c r="Q7" s="3895">
        <v>3.6999999999999998E-2</v>
      </c>
      <c r="R7" s="3895">
        <v>2.7E-2</v>
      </c>
      <c r="S7" s="4820"/>
      <c r="T7" s="4820"/>
      <c r="U7" s="3895">
        <v>3.6999999999999998E-2</v>
      </c>
      <c r="V7" s="3895">
        <v>3.6999999999999998E-2</v>
      </c>
      <c r="W7" s="3895">
        <v>3.6999999999999998E-2</v>
      </c>
      <c r="X7" s="3895">
        <v>3.6999999999999998E-2</v>
      </c>
      <c r="Y7" s="3895">
        <v>3.6999999999999998E-2</v>
      </c>
      <c r="Z7" s="4820"/>
      <c r="AA7" s="4820"/>
      <c r="AB7" s="3895">
        <v>4.5999999999999999E-2</v>
      </c>
      <c r="AC7" s="3895">
        <v>3.4000000000000002E-2</v>
      </c>
      <c r="AD7" s="3895">
        <v>0.04</v>
      </c>
      <c r="AE7" s="3895">
        <v>0.04</v>
      </c>
      <c r="AF7" s="3895">
        <v>0.04</v>
      </c>
      <c r="AG7" s="4820"/>
      <c r="AH7" s="4820"/>
      <c r="AI7" s="3895">
        <v>0.03</v>
      </c>
      <c r="AJ7" s="3837"/>
      <c r="AK7" s="4820"/>
      <c r="AL7" s="4820"/>
      <c r="AM7" s="4820"/>
      <c r="AN7" s="3862">
        <v>4.5999999999999999E-2</v>
      </c>
      <c r="AO7" s="4818"/>
      <c r="AP7" s="4151">
        <v>3.60001E-2</v>
      </c>
      <c r="AQ7" s="4821"/>
      <c r="AR7" s="4818"/>
      <c r="AS7" s="4818"/>
      <c r="AT7" s="4817"/>
    </row>
    <row r="8" spans="1:46" s="2813" customFormat="1" ht="20.100000000000001" customHeight="1" x14ac:dyDescent="0.25">
      <c r="A8" s="2816"/>
      <c r="B8" s="3902" t="s">
        <v>900</v>
      </c>
      <c r="C8" s="4808"/>
      <c r="D8" s="4804"/>
      <c r="E8" s="4804"/>
      <c r="F8" s="4804"/>
      <c r="G8" s="4804"/>
      <c r="H8" s="4804"/>
      <c r="I8" s="3896">
        <v>0</v>
      </c>
      <c r="J8" s="3896"/>
      <c r="K8" s="3896">
        <v>0</v>
      </c>
      <c r="L8" s="4804"/>
      <c r="M8" s="3896">
        <v>0</v>
      </c>
      <c r="N8" s="3896">
        <v>0</v>
      </c>
      <c r="O8" s="3896">
        <v>0</v>
      </c>
      <c r="P8" s="4820"/>
      <c r="Q8" s="3896">
        <v>0</v>
      </c>
      <c r="R8" s="3896">
        <v>0</v>
      </c>
      <c r="S8" s="4820"/>
      <c r="T8" s="4820"/>
      <c r="U8" s="3896">
        <v>0</v>
      </c>
      <c r="V8" s="3896">
        <v>0</v>
      </c>
      <c r="W8" s="3896">
        <v>0</v>
      </c>
      <c r="X8" s="3896">
        <v>0</v>
      </c>
      <c r="Y8" s="3896">
        <v>0</v>
      </c>
      <c r="Z8" s="4820"/>
      <c r="AA8" s="4820"/>
      <c r="AB8" s="3896">
        <v>0</v>
      </c>
      <c r="AC8" s="3896">
        <v>0</v>
      </c>
      <c r="AD8" s="3896">
        <v>0</v>
      </c>
      <c r="AE8" s="3896">
        <v>0</v>
      </c>
      <c r="AF8" s="3896">
        <v>0</v>
      </c>
      <c r="AG8" s="4820"/>
      <c r="AH8" s="4820"/>
      <c r="AI8" s="3896">
        <v>0</v>
      </c>
      <c r="AJ8" s="3837"/>
      <c r="AK8" s="4820"/>
      <c r="AL8" s="4820"/>
      <c r="AM8" s="4820"/>
      <c r="AN8" s="3863">
        <v>0</v>
      </c>
      <c r="AO8" s="4818"/>
      <c r="AP8" s="4152">
        <v>0</v>
      </c>
      <c r="AQ8" s="4821"/>
      <c r="AR8" s="4818"/>
      <c r="AS8" s="4818"/>
      <c r="AT8" s="4817"/>
    </row>
    <row r="9" spans="1:46" s="2805" customFormat="1" ht="20.100000000000001" customHeight="1" x14ac:dyDescent="0.25">
      <c r="A9" s="2804">
        <v>1</v>
      </c>
      <c r="B9" s="3788" t="s">
        <v>901</v>
      </c>
      <c r="C9" s="3787" t="s">
        <v>902</v>
      </c>
      <c r="D9" s="3789">
        <f t="shared" ref="D9:E9" si="0">D10+D21+D23+D27</f>
        <v>88530.32</v>
      </c>
      <c r="E9" s="3789">
        <f t="shared" si="0"/>
        <v>73012.949999999983</v>
      </c>
      <c r="F9" s="3789">
        <f t="shared" ref="F9:O9" si="1">F10+F21+F23+F27</f>
        <v>85119.686560402581</v>
      </c>
      <c r="G9" s="3789">
        <f t="shared" ref="G9:H9" si="2">G10+G21+G23+G27</f>
        <v>81207.200000000012</v>
      </c>
      <c r="H9" s="3789">
        <f t="shared" si="2"/>
        <v>83991.721064670361</v>
      </c>
      <c r="I9" s="3789">
        <f t="shared" si="1"/>
        <v>90133.71597037118</v>
      </c>
      <c r="J9" s="3789">
        <f t="shared" si="1"/>
        <v>89683.209999999992</v>
      </c>
      <c r="K9" s="3789">
        <f>K10+K21+K23+K27</f>
        <v>89936.60938437593</v>
      </c>
      <c r="L9" s="3789">
        <f t="shared" ref="L9:M9" si="3">L10+L21+L23+L27</f>
        <v>79280.170000000013</v>
      </c>
      <c r="M9" s="3789">
        <f t="shared" si="3"/>
        <v>86044.710593147334</v>
      </c>
      <c r="N9" s="3789">
        <f t="shared" si="1"/>
        <v>94243.238690983708</v>
      </c>
      <c r="O9" s="3789">
        <f t="shared" si="1"/>
        <v>92093.682063002489</v>
      </c>
      <c r="P9" s="3789">
        <f t="shared" ref="P9" si="4">P10+P21+P23+P27</f>
        <v>92263.49</v>
      </c>
      <c r="Q9" s="3789">
        <f>Q10+Q21+Q23+Q27</f>
        <v>88991.080014408988</v>
      </c>
      <c r="R9" s="3789">
        <f>R10+R21+R23+R27</f>
        <v>84596.043469316792</v>
      </c>
      <c r="S9" s="3789">
        <f t="shared" ref="S9" si="5">S10+S21+S23+S27</f>
        <v>81392.003999999986</v>
      </c>
      <c r="T9" s="3789">
        <f t="shared" ref="T9:AF9" si="6">T10+T21+T23+T27</f>
        <v>113395.52</v>
      </c>
      <c r="U9" s="3789">
        <f t="shared" si="6"/>
        <v>121134.76000000001</v>
      </c>
      <c r="V9" s="3789">
        <f t="shared" si="6"/>
        <v>124960.26999999999</v>
      </c>
      <c r="W9" s="3789">
        <f t="shared" si="6"/>
        <v>128922.74</v>
      </c>
      <c r="X9" s="3789">
        <f t="shared" si="6"/>
        <v>133042.88</v>
      </c>
      <c r="Y9" s="3789">
        <f t="shared" si="6"/>
        <v>0</v>
      </c>
      <c r="Z9" s="3789">
        <f t="shared" si="6"/>
        <v>96264.342668392695</v>
      </c>
      <c r="AA9" s="3789">
        <f>Z9/Q9*100</f>
        <v>108.17302436694337</v>
      </c>
      <c r="AB9" s="3789">
        <f t="shared" si="6"/>
        <v>99543.027872602281</v>
      </c>
      <c r="AC9" s="3789">
        <f t="shared" si="6"/>
        <v>101913.99973195847</v>
      </c>
      <c r="AD9" s="3789">
        <f t="shared" si="6"/>
        <v>104857.74200689301</v>
      </c>
      <c r="AE9" s="3789">
        <f t="shared" si="6"/>
        <v>107883.212349685</v>
      </c>
      <c r="AF9" s="3789">
        <f t="shared" si="6"/>
        <v>111000.61730132673</v>
      </c>
      <c r="AG9" s="3789">
        <f t="shared" ref="AG9:AK9" si="7">AG10+AG21+AG23+AG27</f>
        <v>100435.51397593356</v>
      </c>
      <c r="AH9" s="3789">
        <f>SUM(AG9/Z9)*100</f>
        <v>104.33303878873357</v>
      </c>
      <c r="AI9" s="3789">
        <f t="shared" ref="AI9" si="8">AI10+AI21+AI23+AI27</f>
        <v>97610.762389121403</v>
      </c>
      <c r="AJ9" s="3789">
        <f>SUM(AI9/Z9)*100</f>
        <v>101.39866920960215</v>
      </c>
      <c r="AK9" s="3789">
        <f t="shared" si="7"/>
        <v>41333.026150000005</v>
      </c>
      <c r="AL9" s="3789">
        <f t="shared" ref="AL9:AM9" si="9">AL10+AL21+AL23+AL27</f>
        <v>62279.233329999995</v>
      </c>
      <c r="AM9" s="3789">
        <f t="shared" si="9"/>
        <v>83476.862999999983</v>
      </c>
      <c r="AN9" s="3864">
        <f t="shared" ref="AN9" si="10">AN10+AN21+AN23+AN27</f>
        <v>115167.0118381748</v>
      </c>
      <c r="AO9" s="3864">
        <f>SUM(AN9/AG9)*100</f>
        <v>114.66761833445808</v>
      </c>
      <c r="AP9" s="4183">
        <f t="shared" ref="AP9" si="11">AP10+AP21+AP23+AP27</f>
        <v>100595.26049879487</v>
      </c>
      <c r="AQ9" s="4183">
        <f>SUM(AP9/AI9)*100</f>
        <v>103.05755025022331</v>
      </c>
      <c r="AR9" s="3864">
        <f t="shared" ref="AR9:AT9" si="12">AR10+AR21+AR23+AR27</f>
        <v>41485.347180000012</v>
      </c>
      <c r="AS9" s="3864">
        <f t="shared" si="12"/>
        <v>62650.197609999996</v>
      </c>
      <c r="AT9" s="3791">
        <f t="shared" si="12"/>
        <v>275.44427473702683</v>
      </c>
    </row>
    <row r="10" spans="1:46" s="1238" customFormat="1" ht="20.100000000000001" customHeight="1" x14ac:dyDescent="0.25">
      <c r="A10" s="1929" t="s">
        <v>903</v>
      </c>
      <c r="B10" s="3793" t="s">
        <v>904</v>
      </c>
      <c r="C10" s="3792" t="s">
        <v>902</v>
      </c>
      <c r="D10" s="3789">
        <f t="shared" ref="D10:E10" si="13">D11+D12+D13</f>
        <v>75957.17</v>
      </c>
      <c r="E10" s="3789">
        <f t="shared" si="13"/>
        <v>67775.329999999987</v>
      </c>
      <c r="F10" s="3789">
        <f t="shared" ref="F10:O10" si="14">F11+F12+F13</f>
        <v>76161.408873341803</v>
      </c>
      <c r="G10" s="3789">
        <f t="shared" ref="G10:H10" si="15">G11+G12+G13</f>
        <v>76120.460000000006</v>
      </c>
      <c r="H10" s="3789">
        <f t="shared" si="15"/>
        <v>74908.690565591925</v>
      </c>
      <c r="I10" s="3789">
        <f t="shared" si="14"/>
        <v>80937.532120930948</v>
      </c>
      <c r="J10" s="3789">
        <f t="shared" si="14"/>
        <v>80154.599999999991</v>
      </c>
      <c r="K10" s="3789">
        <f t="shared" si="14"/>
        <v>80478.321315274574</v>
      </c>
      <c r="L10" s="3789">
        <f t="shared" ref="L10:M10" si="16">L11+L12+L13</f>
        <v>74030.680000000008</v>
      </c>
      <c r="M10" s="3789">
        <f t="shared" si="16"/>
        <v>76758.814908177053</v>
      </c>
      <c r="N10" s="3789">
        <f t="shared" si="14"/>
        <v>84851.363283419065</v>
      </c>
      <c r="O10" s="3789">
        <f t="shared" si="14"/>
        <v>82532.676247299867</v>
      </c>
      <c r="P10" s="3789">
        <f t="shared" ref="P10:AF10" si="17">P11+P12+P13</f>
        <v>82710.350000000006</v>
      </c>
      <c r="Q10" s="3789">
        <f t="shared" si="17"/>
        <v>83962.225065825914</v>
      </c>
      <c r="R10" s="3789">
        <f t="shared" ref="R10:S10" si="18">R11+R12+R13</f>
        <v>79567.188520733718</v>
      </c>
      <c r="S10" s="3789">
        <f t="shared" si="18"/>
        <v>76566.723999999987</v>
      </c>
      <c r="T10" s="3789">
        <f t="shared" si="17"/>
        <v>111296.05</v>
      </c>
      <c r="U10" s="3789">
        <f t="shared" si="17"/>
        <v>116131.46</v>
      </c>
      <c r="V10" s="3789">
        <f t="shared" si="17"/>
        <v>119956.96999999999</v>
      </c>
      <c r="W10" s="3789">
        <f t="shared" si="17"/>
        <v>123919.44</v>
      </c>
      <c r="X10" s="3789">
        <f t="shared" si="17"/>
        <v>128039.58</v>
      </c>
      <c r="Y10" s="3789">
        <f t="shared" si="17"/>
        <v>0</v>
      </c>
      <c r="Z10" s="3789">
        <f t="shared" si="17"/>
        <v>91261.05605660181</v>
      </c>
      <c r="AA10" s="3789">
        <f>Z10/Q10*100</f>
        <v>108.69299376601043</v>
      </c>
      <c r="AB10" s="3789">
        <f t="shared" si="17"/>
        <v>94539.741260811395</v>
      </c>
      <c r="AC10" s="3789">
        <f t="shared" si="17"/>
        <v>96910.71312016758</v>
      </c>
      <c r="AD10" s="3789">
        <f t="shared" si="17"/>
        <v>99854.455395102123</v>
      </c>
      <c r="AE10" s="3789">
        <f t="shared" si="17"/>
        <v>102879.92573789411</v>
      </c>
      <c r="AF10" s="3789">
        <f t="shared" si="17"/>
        <v>105997.33068953584</v>
      </c>
      <c r="AG10" s="3789">
        <f t="shared" ref="AG10:AK10" si="19">AG11+AG12+AG13</f>
        <v>95393.557364142674</v>
      </c>
      <c r="AH10" s="3789">
        <f t="shared" ref="AH10:AH38" si="20">SUM(AG10/Z10)*100</f>
        <v>104.52821990683279</v>
      </c>
      <c r="AI10" s="3789">
        <f t="shared" ref="AI10" si="21">AI11+AI12+AI13</f>
        <v>92568.801191136678</v>
      </c>
      <c r="AJ10" s="3789">
        <f t="shared" ref="AJ10:AJ17" si="22">SUM(AI10/Z10)*100</f>
        <v>101.43297173081558</v>
      </c>
      <c r="AK10" s="3789">
        <f t="shared" si="19"/>
        <v>38777.766150000003</v>
      </c>
      <c r="AL10" s="3789">
        <f t="shared" ref="AL10:AM10" si="23">AL11+AL12+AL13</f>
        <v>58435.203329999997</v>
      </c>
      <c r="AM10" s="3789">
        <f t="shared" si="23"/>
        <v>78332.252999999982</v>
      </c>
      <c r="AN10" s="3864">
        <f t="shared" ref="AN10" si="24">AN11+AN12+AN13</f>
        <v>110022.4018381748</v>
      </c>
      <c r="AO10" s="3864">
        <f t="shared" ref="AO10:AO17" si="25">SUM(AN10/AI10)*100</f>
        <v>118.85473336853505</v>
      </c>
      <c r="AP10" s="4183">
        <f t="shared" ref="AP10" si="26">AP11+AP12+AP13</f>
        <v>95462.640498794877</v>
      </c>
      <c r="AQ10" s="4183">
        <f t="shared" ref="AQ10:AQ21" si="27">SUM(AP10/AI10)*100</f>
        <v>103.12614970748403</v>
      </c>
      <c r="AR10" s="3864">
        <f t="shared" ref="AR10:AT10" si="28">AR11+AR12+AR13</f>
        <v>38853.941180000009</v>
      </c>
      <c r="AS10" s="3864">
        <f t="shared" si="28"/>
        <v>58704.327609999993</v>
      </c>
      <c r="AT10" s="3791">
        <f t="shared" si="28"/>
        <v>275.44427473702683</v>
      </c>
    </row>
    <row r="11" spans="1:46" s="1239" customFormat="1" ht="20.100000000000001" customHeight="1" x14ac:dyDescent="0.25">
      <c r="A11" s="1930" t="s">
        <v>905</v>
      </c>
      <c r="B11" s="3794" t="s">
        <v>906</v>
      </c>
      <c r="C11" s="3792" t="s">
        <v>902</v>
      </c>
      <c r="D11" s="3792">
        <v>63991.73</v>
      </c>
      <c r="E11" s="3792">
        <v>56507.61</v>
      </c>
      <c r="F11" s="3789">
        <f>стоки!BB88+стоки!BB89+стоки!BB90+стоки!BB92+стоки!BB91+стоки!BB94-F14-F16-'цех стоки'!AH19-'ОХР '!AQ21-'ОХР '!AQ17-'ОХР '!AQ24</f>
        <v>65769.170595226184</v>
      </c>
      <c r="G11" s="3789">
        <v>61981.599999999999</v>
      </c>
      <c r="H11" s="3789">
        <f>F11</f>
        <v>65769.170595226184</v>
      </c>
      <c r="I11" s="3789">
        <f>F11*(1-I6)*(1+I7)*(1+I8)</f>
        <v>69929.7283270802</v>
      </c>
      <c r="J11" s="3789">
        <v>68913.06</v>
      </c>
      <c r="K11" s="3789">
        <f>F11*(1-K6)*(1+K7)*(1+K8)</f>
        <v>69734.393890412364</v>
      </c>
      <c r="L11" s="3789">
        <v>61081.760000000002</v>
      </c>
      <c r="M11" s="3789">
        <f>F11*0.99*1.037</f>
        <v>67520.603608177058</v>
      </c>
      <c r="N11" s="3789">
        <f>I11*(1-N6)*(1+N7)*(1+N8)</f>
        <v>73245.79604435034</v>
      </c>
      <c r="O11" s="3789">
        <f>K11*(1-O6)*(1+O7)*(1+O8)</f>
        <v>71798.531949568569</v>
      </c>
      <c r="P11" s="3789">
        <v>70471.25</v>
      </c>
      <c r="Q11" s="3789">
        <f>N11</f>
        <v>73245.79604435034</v>
      </c>
      <c r="R11" s="3789">
        <f>F11*0.99*1.037*0.99*1.03</f>
        <v>68850.759499258143</v>
      </c>
      <c r="S11" s="3789">
        <f>стоки!BN117-S16</f>
        <v>64344.148000000001</v>
      </c>
      <c r="T11" s="3789">
        <v>92102.22</v>
      </c>
      <c r="U11" s="3789">
        <v>94865.25</v>
      </c>
      <c r="V11" s="3789">
        <v>97711.18</v>
      </c>
      <c r="W11" s="3789">
        <v>100642.49</v>
      </c>
      <c r="X11" s="3789">
        <v>103661.71</v>
      </c>
      <c r="Y11" s="3789"/>
      <c r="Z11" s="3789">
        <f>стоки!BT117</f>
        <v>80511.434001577523</v>
      </c>
      <c r="AA11" s="3789">
        <f>Z11/Q11*100</f>
        <v>109.91952896904532</v>
      </c>
      <c r="AB11" s="3789">
        <f>Z11*(1-AB6)*(1+AB7)*(1+AB8)</f>
        <v>83372.810365993588</v>
      </c>
      <c r="AC11" s="3789">
        <f t="shared" ref="AC11:AF11" si="29">AB11*(1-AC6)*(1+AC7)*(1+AC8)</f>
        <v>85345.411059253005</v>
      </c>
      <c r="AD11" s="3789">
        <f t="shared" si="29"/>
        <v>87871.635226606901</v>
      </c>
      <c r="AE11" s="3789">
        <f t="shared" si="29"/>
        <v>90472.635629314464</v>
      </c>
      <c r="AF11" s="3789">
        <f t="shared" si="29"/>
        <v>93150.62564394217</v>
      </c>
      <c r="AG11" s="3789">
        <f>SUM(стоки!BW117)</f>
        <v>84231.342155564809</v>
      </c>
      <c r="AH11" s="3789">
        <f t="shared" si="20"/>
        <v>104.62034765635202</v>
      </c>
      <c r="AI11" s="3789">
        <f>SUM(стоки!CL117)</f>
        <v>82097.511669475745</v>
      </c>
      <c r="AJ11" s="3789">
        <f t="shared" si="22"/>
        <v>101.97000300338352</v>
      </c>
      <c r="AK11" s="3789">
        <f>SUM(стоки!CO117)</f>
        <v>32239.876960000005</v>
      </c>
      <c r="AL11" s="3789">
        <f>SUM(стоки!CR117)</f>
        <v>48713.670409999999</v>
      </c>
      <c r="AM11" s="3789">
        <f>SUM(стоки!CU117)</f>
        <v>64019.866999999991</v>
      </c>
      <c r="AN11" s="3864">
        <f>SUM(стоки!CX117)</f>
        <v>95212.929184142311</v>
      </c>
      <c r="AO11" s="3864">
        <f t="shared" si="25"/>
        <v>115.97541417268428</v>
      </c>
      <c r="AP11" s="4183">
        <f>Z11*(1+0.032)*0.99*(1+AP7)*0.99</f>
        <v>84365.997511445355</v>
      </c>
      <c r="AQ11" s="4183">
        <f t="shared" si="27"/>
        <v>102.7631602905366</v>
      </c>
      <c r="AR11" s="3864">
        <f>SUM(стоки!DD117)</f>
        <v>32007.216260000008</v>
      </c>
      <c r="AS11" s="3864">
        <f>SUM(стоки!DG117)</f>
        <v>48507.98689</v>
      </c>
      <c r="AT11" s="3791">
        <f>SUM(стоки!DB117)</f>
        <v>223.30730768284951</v>
      </c>
    </row>
    <row r="12" spans="1:46" s="1239" customFormat="1" ht="48.75" customHeight="1" x14ac:dyDescent="0.25">
      <c r="A12" s="1930" t="s">
        <v>907</v>
      </c>
      <c r="B12" s="3794" t="s">
        <v>908</v>
      </c>
      <c r="C12" s="3792" t="s">
        <v>902</v>
      </c>
      <c r="D12" s="3792">
        <v>7909.24</v>
      </c>
      <c r="E12" s="3792">
        <v>9124.32</v>
      </c>
      <c r="F12" s="3789">
        <f>стоки!BB86+'цех стоки'!AH19+'ОХР '!AQ21+'ОХР '!AQ17</f>
        <v>7932.8583201665333</v>
      </c>
      <c r="G12" s="3789">
        <v>10316</v>
      </c>
      <c r="H12" s="3789">
        <f>'2018 к смета'!F10</f>
        <v>7470.4365935489632</v>
      </c>
      <c r="I12" s="3789">
        <f>'электр 2017-2018'!BP55+'цех стоки'!AH19*1.06+'ОХР '!AQ17*1.025+'ОХР '!AQ21*1.066</f>
        <v>8487.4768382307393</v>
      </c>
      <c r="J12" s="3789">
        <v>8194.4599999999991</v>
      </c>
      <c r="K12" s="3789">
        <f>'2017 к смета'!F4</f>
        <v>7843.1079887619744</v>
      </c>
      <c r="L12" s="3789">
        <v>11516.34</v>
      </c>
      <c r="M12" s="3789">
        <f>'ЭЭ стоки'!J40</f>
        <v>7541.6313</v>
      </c>
      <c r="N12" s="3789">
        <f>'электр 2017-2018'!BV55+'цех стоки'!AH19*1.06*1.051+'ОХР '!AQ17*1.025*1.03+'ОХР '!AQ21*1.066*1.067</f>
        <v>9049.018279834816</v>
      </c>
      <c r="O12" s="3789">
        <f>K12*1.043</f>
        <v>8180.3616322787384</v>
      </c>
      <c r="P12" s="3789">
        <v>8338.89</v>
      </c>
      <c r="Q12" s="3789">
        <f>'2018 к смета'!L10</f>
        <v>8258.6513019242266</v>
      </c>
      <c r="R12" s="3789">
        <f>Q12</f>
        <v>8258.6513019242266</v>
      </c>
      <c r="S12" s="3789">
        <f>стоки!BN118</f>
        <v>10771.54</v>
      </c>
      <c r="T12" s="3789">
        <v>12443.86</v>
      </c>
      <c r="U12" s="3789">
        <v>13305.47</v>
      </c>
      <c r="V12" s="3789">
        <v>14226.96</v>
      </c>
      <c r="W12" s="3789">
        <v>15212.51</v>
      </c>
      <c r="X12" s="3789">
        <v>16266.58</v>
      </c>
      <c r="Y12" s="3789"/>
      <c r="Z12" s="3789">
        <f>стоки!BT118</f>
        <v>8882.0761197497486</v>
      </c>
      <c r="AA12" s="3789">
        <f>Z12/Q12*100</f>
        <v>107.54874851878378</v>
      </c>
      <c r="AB12" s="3789">
        <f>'ЭЭ стоки'!T40</f>
        <v>9255.1233167792379</v>
      </c>
      <c r="AC12" s="3789">
        <f>'ЭЭ стоки'!U40</f>
        <v>9625.3282494504074</v>
      </c>
      <c r="AD12" s="3789">
        <f>'ЭЭ стоки'!V40</f>
        <v>10010.341379428424</v>
      </c>
      <c r="AE12" s="3789">
        <f>'ЭЭ стоки'!W40</f>
        <v>10400.74469322613</v>
      </c>
      <c r="AF12" s="3789">
        <f>'ЭЭ стоки'!X40</f>
        <v>10806.37373626195</v>
      </c>
      <c r="AG12" s="3789">
        <f>SUM(стоки!BW118)</f>
        <v>9255.1233167792379</v>
      </c>
      <c r="AH12" s="3789">
        <f t="shared" si="20"/>
        <v>104.2</v>
      </c>
      <c r="AI12" s="3789">
        <f>SUM(стоки!CL118)</f>
        <v>8812.7885117623136</v>
      </c>
      <c r="AJ12" s="3789">
        <f t="shared" si="22"/>
        <v>99.219916525671621</v>
      </c>
      <c r="AK12" s="3789">
        <f>SUM(стоки!CO118)</f>
        <v>5361.5251600000001</v>
      </c>
      <c r="AL12" s="3789">
        <f>SUM(стоки!CR118)</f>
        <v>7955.81005</v>
      </c>
      <c r="AM12" s="3789">
        <f>SUM(стоки!CU118)</f>
        <v>10817.41</v>
      </c>
      <c r="AN12" s="3864">
        <f>SUM(стоки!CX118)</f>
        <v>10967.044172434635</v>
      </c>
      <c r="AO12" s="3864">
        <f t="shared" si="25"/>
        <v>124.44465401384663</v>
      </c>
      <c r="AP12" s="4183">
        <f>SUM(стоки!DA118)</f>
        <v>8341.9678483495227</v>
      </c>
      <c r="AQ12" s="4183">
        <f t="shared" si="27"/>
        <v>94.657529080785352</v>
      </c>
      <c r="AR12" s="3864">
        <f>SUM(стоки!DD118)</f>
        <v>5242.8322800000005</v>
      </c>
      <c r="AS12" s="3864">
        <f>SUM(стоки!DG118)</f>
        <v>7803.0482599999996</v>
      </c>
      <c r="AT12" s="3791">
        <f>SUM(стоки!DB118)</f>
        <v>52.136967054177305</v>
      </c>
    </row>
    <row r="13" spans="1:46" s="1239" customFormat="1" ht="20.100000000000001" customHeight="1" x14ac:dyDescent="0.25">
      <c r="A13" s="1930" t="s">
        <v>909</v>
      </c>
      <c r="B13" s="3794" t="s">
        <v>910</v>
      </c>
      <c r="C13" s="3792" t="s">
        <v>902</v>
      </c>
      <c r="D13" s="3789">
        <f>D14+D15+D16+D17+D20</f>
        <v>4056.2</v>
      </c>
      <c r="E13" s="3789">
        <f>E14+E15+E16+E17+E20</f>
        <v>2143.4</v>
      </c>
      <c r="F13" s="3789">
        <f>F14+F15+F16+F17+F20</f>
        <v>2459.3799579490837</v>
      </c>
      <c r="G13" s="3789">
        <f t="shared" ref="G13:H13" si="30">G14+G15+G16+G17+G20</f>
        <v>3822.86</v>
      </c>
      <c r="H13" s="3789">
        <f t="shared" si="30"/>
        <v>1669.0833768167786</v>
      </c>
      <c r="I13" s="3789">
        <f t="shared" ref="I13:N13" si="31">I14+I15+I16+I17+I20</f>
        <v>2520.3269556200053</v>
      </c>
      <c r="J13" s="3789">
        <f t="shared" si="31"/>
        <v>3047.08</v>
      </c>
      <c r="K13" s="3789">
        <f t="shared" si="31"/>
        <v>2900.819436100242</v>
      </c>
      <c r="L13" s="3789">
        <f t="shared" si="31"/>
        <v>1432.58</v>
      </c>
      <c r="M13" s="3789">
        <f t="shared" si="31"/>
        <v>1696.58</v>
      </c>
      <c r="N13" s="3789">
        <f t="shared" si="31"/>
        <v>2556.5489592339159</v>
      </c>
      <c r="O13" s="3789">
        <f t="shared" ref="O13:AF13" si="32">O14+O15+O16+O17+O20</f>
        <v>2553.7826654525525</v>
      </c>
      <c r="P13" s="3789">
        <f t="shared" si="32"/>
        <v>3900.21</v>
      </c>
      <c r="Q13" s="3789">
        <f t="shared" si="32"/>
        <v>2457.7777195513509</v>
      </c>
      <c r="R13" s="3789">
        <f t="shared" si="32"/>
        <v>2457.7777195513509</v>
      </c>
      <c r="S13" s="3789">
        <f t="shared" ref="S13" si="33">S14+S15+S16+S17+S20</f>
        <v>1451.0359999999998</v>
      </c>
      <c r="T13" s="3789">
        <f t="shared" si="32"/>
        <v>6749.9700000000012</v>
      </c>
      <c r="U13" s="3789">
        <f t="shared" si="32"/>
        <v>7960.74</v>
      </c>
      <c r="V13" s="3789">
        <f t="shared" si="32"/>
        <v>8018.83</v>
      </c>
      <c r="W13" s="3789">
        <f t="shared" si="32"/>
        <v>8064.44</v>
      </c>
      <c r="X13" s="3789">
        <f t="shared" si="32"/>
        <v>8111.29</v>
      </c>
      <c r="Y13" s="3789">
        <f t="shared" si="32"/>
        <v>0</v>
      </c>
      <c r="Z13" s="3789">
        <f t="shared" si="32"/>
        <v>1867.5459352745386</v>
      </c>
      <c r="AA13" s="3789">
        <f>Z13/Q13*100</f>
        <v>75.985143832105578</v>
      </c>
      <c r="AB13" s="3789">
        <f t="shared" si="32"/>
        <v>1911.8075780385748</v>
      </c>
      <c r="AC13" s="3789">
        <f t="shared" si="32"/>
        <v>1939.9738114641727</v>
      </c>
      <c r="AD13" s="3789">
        <f t="shared" si="32"/>
        <v>1972.4787890667944</v>
      </c>
      <c r="AE13" s="3789">
        <f t="shared" si="32"/>
        <v>2006.5454153535211</v>
      </c>
      <c r="AF13" s="3789">
        <f t="shared" si="32"/>
        <v>2040.331309331717</v>
      </c>
      <c r="AG13" s="3789">
        <f t="shared" ref="AG13:AK13" si="34">AG14+AG15+AG16+AG17+AG20</f>
        <v>1907.0918917986287</v>
      </c>
      <c r="AH13" s="3789">
        <f t="shared" si="20"/>
        <v>102.11753594795925</v>
      </c>
      <c r="AI13" s="3789">
        <f t="shared" ref="AI13" si="35">AI14+AI15+AI16+AI17+AI20</f>
        <v>1658.5010098986286</v>
      </c>
      <c r="AJ13" s="3789">
        <f t="shared" si="22"/>
        <v>88.806437291451175</v>
      </c>
      <c r="AK13" s="3789">
        <f t="shared" si="34"/>
        <v>1176.36403</v>
      </c>
      <c r="AL13" s="3789">
        <f t="shared" ref="AL13:AM13" si="36">AL14+AL15+AL16+AL17+AL20</f>
        <v>1765.7228700000001</v>
      </c>
      <c r="AM13" s="3789">
        <f t="shared" si="36"/>
        <v>3494.9759999999997</v>
      </c>
      <c r="AN13" s="3864">
        <f t="shared" ref="AN13" si="37">AN14+AN15+AN16+AN17+AN20</f>
        <v>3842.4284815978676</v>
      </c>
      <c r="AO13" s="3864">
        <f t="shared" si="25"/>
        <v>231.68080445321681</v>
      </c>
      <c r="AP13" s="4183">
        <f t="shared" ref="AP13" si="38">AP14+AP15+AP16+AP17+AP20</f>
        <v>2754.6751389999999</v>
      </c>
      <c r="AQ13" s="4183">
        <f t="shared" si="27"/>
        <v>166.09426961810365</v>
      </c>
      <c r="AR13" s="3864">
        <f t="shared" ref="AR13:AT13" si="39">AR14+AR15+AR16+AR17+AR20</f>
        <v>1603.8926399999998</v>
      </c>
      <c r="AS13" s="3864">
        <f t="shared" si="39"/>
        <v>2393.2924599999997</v>
      </c>
      <c r="AT13" s="3791">
        <f t="shared" si="39"/>
        <v>0</v>
      </c>
    </row>
    <row r="14" spans="1:46" s="1240" customFormat="1" ht="54" customHeight="1" x14ac:dyDescent="0.2">
      <c r="A14" s="1620" t="s">
        <v>911</v>
      </c>
      <c r="B14" s="3797" t="s">
        <v>912</v>
      </c>
      <c r="C14" s="3796" t="s">
        <v>902</v>
      </c>
      <c r="D14" s="3796">
        <v>494.19</v>
      </c>
      <c r="E14" s="3796">
        <v>206.8</v>
      </c>
      <c r="F14" s="3799">
        <f>'цех стоки'!AH38</f>
        <v>318.05</v>
      </c>
      <c r="G14" s="3799">
        <v>61.43</v>
      </c>
      <c r="H14" s="3799">
        <f>'2018 к смета'!F18</f>
        <v>61.43</v>
      </c>
      <c r="I14" s="3799">
        <v>337.9</v>
      </c>
      <c r="J14" s="3799">
        <v>349.86</v>
      </c>
      <c r="K14" s="3799">
        <f>'[47]корректировка 2017'!$F$9</f>
        <v>338.21463610024222</v>
      </c>
      <c r="L14" s="3799">
        <v>0</v>
      </c>
      <c r="M14" s="3799">
        <v>0</v>
      </c>
      <c r="N14" s="3799">
        <v>353.77</v>
      </c>
      <c r="O14" s="3799">
        <f>'[47]корректировка 2017'!$F$9*1.043</f>
        <v>352.75786545255261</v>
      </c>
      <c r="P14" s="3799">
        <v>372.03</v>
      </c>
      <c r="Q14" s="3799">
        <v>437.59</v>
      </c>
      <c r="R14" s="3799">
        <f>Q14</f>
        <v>437.59</v>
      </c>
      <c r="S14" s="3799">
        <v>0</v>
      </c>
      <c r="T14" s="3799">
        <v>450.72</v>
      </c>
      <c r="U14" s="3799">
        <v>464.24</v>
      </c>
      <c r="V14" s="3799">
        <v>478.17</v>
      </c>
      <c r="W14" s="3799">
        <v>492.51</v>
      </c>
      <c r="X14" s="3799">
        <v>507.29</v>
      </c>
      <c r="Y14" s="3799"/>
      <c r="Z14" s="3799">
        <f>'Транспортировка КЭМЗ'!C12</f>
        <v>517.29666900000007</v>
      </c>
      <c r="AA14" s="3799">
        <v>0</v>
      </c>
      <c r="AB14" s="3799">
        <f>'Транспортировка КЭМЗ'!D12</f>
        <v>549.04411800000003</v>
      </c>
      <c r="AC14" s="3799">
        <f>'Транспортировка КЭМЗ'!E12</f>
        <v>562.11659700000007</v>
      </c>
      <c r="AD14" s="3799">
        <f>'Транспортировка КЭМЗ'!F12</f>
        <v>578.92407000000003</v>
      </c>
      <c r="AE14" s="3799">
        <f>'Транспортировка КЭМЗ'!G12</f>
        <v>596.66529150000008</v>
      </c>
      <c r="AF14" s="3799">
        <f>'Транспортировка КЭМЗ'!H12</f>
        <v>613.47276450000004</v>
      </c>
      <c r="AG14" s="3799">
        <f>SUM(стоки!BW97)</f>
        <v>549.04411800000003</v>
      </c>
      <c r="AH14" s="3789">
        <f t="shared" si="20"/>
        <v>106.13718411552347</v>
      </c>
      <c r="AI14" s="3799">
        <f>SUM(стоки!CL97)</f>
        <v>322.41899999999998</v>
      </c>
      <c r="AJ14" s="3789">
        <f t="shared" si="22"/>
        <v>62.327677582629079</v>
      </c>
      <c r="AK14" s="3799">
        <f>SUM(стоки!CO97)</f>
        <v>0</v>
      </c>
      <c r="AL14" s="3799">
        <f>SUM(стоки!CR97)</f>
        <v>0</v>
      </c>
      <c r="AM14" s="3799">
        <f>SUM(стоки!CU97)</f>
        <v>648.35</v>
      </c>
      <c r="AN14" s="3865">
        <f>SUM(стоки!CX97)</f>
        <v>704.58079999999995</v>
      </c>
      <c r="AO14" s="3864">
        <f t="shared" si="25"/>
        <v>218.52955315908801</v>
      </c>
      <c r="AP14" s="4154">
        <f>SUM(стоки!DA97)</f>
        <v>316.125</v>
      </c>
      <c r="AQ14" s="4183">
        <f t="shared" si="27"/>
        <v>98.047881793566759</v>
      </c>
      <c r="AR14" s="3865">
        <f>SUM(стоки!DD97)</f>
        <v>193.685</v>
      </c>
      <c r="AS14" s="3865">
        <f>SUM(стоки!DG97)</f>
        <v>280.77</v>
      </c>
      <c r="AT14" s="3801">
        <f>SUM(стоки!DB97)</f>
        <v>0</v>
      </c>
    </row>
    <row r="15" spans="1:46" s="1240" customFormat="1" ht="82.5" customHeight="1" x14ac:dyDescent="0.2">
      <c r="A15" s="1620" t="s">
        <v>913</v>
      </c>
      <c r="B15" s="3797" t="s">
        <v>914</v>
      </c>
      <c r="C15" s="3796" t="s">
        <v>902</v>
      </c>
      <c r="D15" s="3796">
        <v>1927.04</v>
      </c>
      <c r="E15" s="3796">
        <v>1783.57</v>
      </c>
      <c r="F15" s="3799">
        <f>стоки!BB93</f>
        <v>1676.7703977774761</v>
      </c>
      <c r="G15" s="3799">
        <v>3603.63</v>
      </c>
      <c r="H15" s="3799">
        <f>'2018 к смета'!F19</f>
        <v>1449.8533768167786</v>
      </c>
      <c r="I15" s="3799">
        <f>F15</f>
        <v>1676.7703977774761</v>
      </c>
      <c r="J15" s="3799">
        <v>1805.24</v>
      </c>
      <c r="K15" s="3799">
        <f>'2017 к смета'!F13</f>
        <v>1783.57</v>
      </c>
      <c r="L15" s="3799">
        <v>1266.71</v>
      </c>
      <c r="M15" s="3799">
        <f>'Н 2019-2024'!D31</f>
        <v>1265.31</v>
      </c>
      <c r="N15" s="3799">
        <f>I15</f>
        <v>1676.7703977774761</v>
      </c>
      <c r="O15" s="3799">
        <f>K15</f>
        <v>1783.57</v>
      </c>
      <c r="P15" s="3799">
        <v>1699.21</v>
      </c>
      <c r="Q15" s="3799">
        <f>'2018 к смета'!L19</f>
        <v>1502.7644400919853</v>
      </c>
      <c r="R15" s="3799">
        <f t="shared" ref="R15:R20" si="40">Q15</f>
        <v>1502.7644400919853</v>
      </c>
      <c r="S15" s="3799">
        <f>стоки!BN121</f>
        <v>1364.6959999999999</v>
      </c>
      <c r="T15" s="3799">
        <v>5882.27</v>
      </c>
      <c r="U15" s="3799">
        <v>5936.54</v>
      </c>
      <c r="V15" s="3799">
        <v>5962.21</v>
      </c>
      <c r="W15" s="3799">
        <v>5975.3</v>
      </c>
      <c r="X15" s="3799">
        <v>5988.38</v>
      </c>
      <c r="Y15" s="3799"/>
      <c r="Z15" s="3799">
        <f>стоки!BT121</f>
        <v>1003.7504477745384</v>
      </c>
      <c r="AA15" s="3799">
        <f>Z15/Q15*100</f>
        <v>66.793598583760613</v>
      </c>
      <c r="AB15" s="3799">
        <f>'Н 2019-2024'!N31</f>
        <v>1004.4836817095747</v>
      </c>
      <c r="AC15" s="3799">
        <f>'Н 2019-2024'!O31</f>
        <v>1005.2462450020126</v>
      </c>
      <c r="AD15" s="3799">
        <f>'Н 2019-2024'!P31</f>
        <v>1006.039310826148</v>
      </c>
      <c r="AE15" s="3799">
        <f>'Н 2019-2024'!Q31</f>
        <v>1006.8640992832488</v>
      </c>
      <c r="AF15" s="3799">
        <f>'Н 2019-2024'!R31</f>
        <v>1007.7218792786335</v>
      </c>
      <c r="AG15" s="3799">
        <f>SUM(стоки!BW93)</f>
        <v>1009.9095993986285</v>
      </c>
      <c r="AH15" s="3789">
        <f t="shared" si="20"/>
        <v>100.61361383576424</v>
      </c>
      <c r="AI15" s="3799">
        <f>SUM(стоки!CL93)</f>
        <v>993.77209049862847</v>
      </c>
      <c r="AJ15" s="3789">
        <f t="shared" si="22"/>
        <v>99.005892620219157</v>
      </c>
      <c r="AK15" s="3799">
        <f>SUM(стоки!CO93)</f>
        <v>1128.57</v>
      </c>
      <c r="AL15" s="3799">
        <f>SUM(стоки!CR93)</f>
        <v>1694.01</v>
      </c>
      <c r="AM15" s="3799">
        <f>SUM(стоки!CU93)</f>
        <v>2751.05</v>
      </c>
      <c r="AN15" s="3865">
        <f>SUM(стоки!CX93)</f>
        <v>2751.05</v>
      </c>
      <c r="AO15" s="3864">
        <f t="shared" si="25"/>
        <v>276.82906637271844</v>
      </c>
      <c r="AP15" s="4154">
        <f>SUM(стоки!DA93)</f>
        <v>2345.44022</v>
      </c>
      <c r="AQ15" s="4183">
        <f t="shared" si="27"/>
        <v>236.01389518024877</v>
      </c>
      <c r="AR15" s="3865">
        <f>SUM(стоки!DD93)</f>
        <v>1372.3319999999999</v>
      </c>
      <c r="AS15" s="3865">
        <f>SUM(стоки!DG93)</f>
        <v>2055.6059999999998</v>
      </c>
      <c r="AT15" s="3801">
        <f>SUM(стоки!DB93)</f>
        <v>0</v>
      </c>
    </row>
    <row r="16" spans="1:46" s="1240" customFormat="1" ht="40.5" customHeight="1" x14ac:dyDescent="0.2">
      <c r="A16" s="1620" t="s">
        <v>915</v>
      </c>
      <c r="B16" s="3797" t="s">
        <v>916</v>
      </c>
      <c r="C16" s="3796" t="s">
        <v>902</v>
      </c>
      <c r="D16" s="3796">
        <v>184.67</v>
      </c>
      <c r="E16" s="3796">
        <v>153.03</v>
      </c>
      <c r="F16" s="3799">
        <f>'цех стоки'!AH43+'цех стоки'!AH29</f>
        <v>152.0548</v>
      </c>
      <c r="G16" s="3799">
        <v>157.80000000000001</v>
      </c>
      <c r="H16" s="3799">
        <f>'2018 к смета'!F20</f>
        <v>157.80000000000001</v>
      </c>
      <c r="I16" s="3799">
        <f>F16</f>
        <v>152.0548</v>
      </c>
      <c r="J16" s="3799">
        <v>176.8</v>
      </c>
      <c r="K16" s="3799">
        <f>I16</f>
        <v>152.0548</v>
      </c>
      <c r="L16" s="3799">
        <v>165.87</v>
      </c>
      <c r="M16" s="3799">
        <f>L16</f>
        <v>165.87</v>
      </c>
      <c r="N16" s="3799">
        <f>I16</f>
        <v>152.0548</v>
      </c>
      <c r="O16" s="3799">
        <f>K16</f>
        <v>152.0548</v>
      </c>
      <c r="P16" s="3799">
        <v>167.26</v>
      </c>
      <c r="Q16" s="3799">
        <f>K16</f>
        <v>152.0548</v>
      </c>
      <c r="R16" s="3799">
        <f t="shared" si="40"/>
        <v>152.0548</v>
      </c>
      <c r="S16" s="3799">
        <f>SUM('цех стоки'!AL43)</f>
        <v>86.34</v>
      </c>
      <c r="T16" s="3799">
        <v>175.97</v>
      </c>
      <c r="U16" s="3799">
        <v>181.25</v>
      </c>
      <c r="V16" s="3799">
        <v>186.68</v>
      </c>
      <c r="W16" s="3799">
        <v>192.28</v>
      </c>
      <c r="X16" s="3799">
        <v>198.05</v>
      </c>
      <c r="Y16" s="3799"/>
      <c r="Z16" s="3799">
        <f>стоки!BT48</f>
        <v>105.48881849999999</v>
      </c>
      <c r="AA16" s="3799">
        <v>0</v>
      </c>
      <c r="AB16" s="3799">
        <f>Z16*1.034</f>
        <v>109.07543832899999</v>
      </c>
      <c r="AC16" s="3799">
        <f>AB16*1.04</f>
        <v>113.43845586216</v>
      </c>
      <c r="AD16" s="3799">
        <f t="shared" ref="AD16:AF17" si="41">AC16*1.04</f>
        <v>117.9759940966464</v>
      </c>
      <c r="AE16" s="3799">
        <f t="shared" si="41"/>
        <v>122.69503386051227</v>
      </c>
      <c r="AF16" s="3799">
        <f t="shared" si="41"/>
        <v>127.60283521493277</v>
      </c>
      <c r="AG16" s="3799">
        <f>SUM(стоки!BW96)</f>
        <v>98.938174399999994</v>
      </c>
      <c r="AH16" s="3789">
        <f t="shared" si="20"/>
        <v>93.79020052253216</v>
      </c>
      <c r="AI16" s="3799">
        <f>SUM(стоки!CL96)</f>
        <v>93.10991940000001</v>
      </c>
      <c r="AJ16" s="3789">
        <f t="shared" si="22"/>
        <v>88.265202629035059</v>
      </c>
      <c r="AK16" s="3799">
        <f>SUM(стоки!CO122)</f>
        <v>47.794029999999999</v>
      </c>
      <c r="AL16" s="3799">
        <f>SUM(стоки!CR96)</f>
        <v>71.712869999999995</v>
      </c>
      <c r="AM16" s="3799">
        <f>SUM(стоки!CU96)</f>
        <v>95.585999999999999</v>
      </c>
      <c r="AN16" s="3865">
        <f>SUM(стоки!CX96)</f>
        <v>93.10991940000001</v>
      </c>
      <c r="AO16" s="3864">
        <f t="shared" si="25"/>
        <v>100</v>
      </c>
      <c r="AP16" s="4154">
        <f>SUM(стоки!DA96)</f>
        <v>93.109919000000005</v>
      </c>
      <c r="AQ16" s="4183">
        <f t="shared" si="27"/>
        <v>99.99999957040022</v>
      </c>
      <c r="AR16" s="3865">
        <f>SUM(стоки!DD122)</f>
        <v>37.875640000000004</v>
      </c>
      <c r="AS16" s="3865">
        <f>SUM(стоки!DG122)</f>
        <v>56.916460000000001</v>
      </c>
      <c r="AT16" s="3801">
        <f>SUM(стоки!DB96)</f>
        <v>0</v>
      </c>
    </row>
    <row r="17" spans="1:46" s="1240" customFormat="1" ht="51.75" customHeight="1" x14ac:dyDescent="0.2">
      <c r="A17" s="1620" t="s">
        <v>917</v>
      </c>
      <c r="B17" s="3797" t="s">
        <v>918</v>
      </c>
      <c r="C17" s="3796" t="s">
        <v>902</v>
      </c>
      <c r="D17" s="3796">
        <v>0</v>
      </c>
      <c r="E17" s="3796">
        <v>0</v>
      </c>
      <c r="F17" s="3799">
        <f>стоки!BB95</f>
        <v>286.40476017160813</v>
      </c>
      <c r="G17" s="3799">
        <v>0</v>
      </c>
      <c r="H17" s="3799">
        <f>'2018 к смета'!F21</f>
        <v>0</v>
      </c>
      <c r="I17" s="3799">
        <f>'Резерв ДЗ'!F22</f>
        <v>353.60175784252925</v>
      </c>
      <c r="J17" s="3799">
        <v>353.6</v>
      </c>
      <c r="K17" s="3799">
        <v>265.39999999999998</v>
      </c>
      <c r="L17" s="3799">
        <v>0</v>
      </c>
      <c r="M17" s="3799">
        <v>265.39999999999998</v>
      </c>
      <c r="N17" s="3799">
        <f>'Резерв ДЗ'!F32</f>
        <v>373.95376145643951</v>
      </c>
      <c r="O17" s="3799">
        <v>265.39999999999998</v>
      </c>
      <c r="P17" s="3799">
        <v>370.51</v>
      </c>
      <c r="Q17" s="3799">
        <f>'рез к 2017'!G43</f>
        <v>365.36847945936529</v>
      </c>
      <c r="R17" s="3799">
        <f t="shared" si="40"/>
        <v>365.36847945936529</v>
      </c>
      <c r="S17" s="3799">
        <v>0</v>
      </c>
      <c r="T17" s="3799">
        <v>241.01</v>
      </c>
      <c r="U17" s="3799">
        <v>238.68</v>
      </c>
      <c r="V17" s="3799">
        <v>251.74</v>
      </c>
      <c r="W17" s="3799">
        <v>264.32</v>
      </c>
      <c r="X17" s="3799">
        <v>277.54000000000002</v>
      </c>
      <c r="Y17" s="3799"/>
      <c r="Z17" s="3799">
        <f>T17</f>
        <v>241.01</v>
      </c>
      <c r="AA17" s="3799">
        <f>Z17/Q17*100</f>
        <v>65.963544626679834</v>
      </c>
      <c r="AB17" s="3799">
        <f>Z17*1.034</f>
        <v>249.20434</v>
      </c>
      <c r="AC17" s="3799">
        <f>AB17*1.04</f>
        <v>259.1725136</v>
      </c>
      <c r="AD17" s="3799">
        <f t="shared" si="41"/>
        <v>269.53941414400003</v>
      </c>
      <c r="AE17" s="3799">
        <f t="shared" si="41"/>
        <v>280.32099070976005</v>
      </c>
      <c r="AF17" s="3799">
        <f t="shared" si="41"/>
        <v>291.53383033815044</v>
      </c>
      <c r="AG17" s="3799">
        <f>SUM(стоки!BW95)</f>
        <v>249.2</v>
      </c>
      <c r="AH17" s="3789">
        <f t="shared" si="20"/>
        <v>103.39819924484462</v>
      </c>
      <c r="AI17" s="3799">
        <f>SUM(стоки!CL95)</f>
        <v>249.2</v>
      </c>
      <c r="AJ17" s="3789">
        <f t="shared" si="22"/>
        <v>103.39819924484462</v>
      </c>
      <c r="AK17" s="3799">
        <f>SUM(стоки!CO95)</f>
        <v>0</v>
      </c>
      <c r="AL17" s="3799">
        <f>SUM(стоки!CR95)</f>
        <v>0</v>
      </c>
      <c r="AM17" s="3903">
        <f>SUM(стоки!CU95)</f>
        <v>-0.01</v>
      </c>
      <c r="AN17" s="3908">
        <f>SUM(стоки!CX95)</f>
        <v>293.68776219786787</v>
      </c>
      <c r="AO17" s="3864">
        <f t="shared" si="25"/>
        <v>117.85223202161632</v>
      </c>
      <c r="AP17" s="4154">
        <f>SUM(стоки!DA95)</f>
        <v>0</v>
      </c>
      <c r="AQ17" s="4183">
        <f t="shared" si="27"/>
        <v>0</v>
      </c>
      <c r="AR17" s="3865">
        <f>SUM(стоки!DD95)</f>
        <v>0</v>
      </c>
      <c r="AS17" s="3865">
        <f>SUM(стоки!DG95)</f>
        <v>0</v>
      </c>
      <c r="AT17" s="4050">
        <f>SUM(стоки!DB95)</f>
        <v>0</v>
      </c>
    </row>
    <row r="18" spans="1:46" s="1240" customFormat="1" ht="20.100000000000001" customHeight="1" x14ac:dyDescent="0.2">
      <c r="A18" s="1620" t="s">
        <v>919</v>
      </c>
      <c r="B18" s="3797" t="s">
        <v>920</v>
      </c>
      <c r="C18" s="3796" t="s">
        <v>902</v>
      </c>
      <c r="D18" s="3796">
        <v>0</v>
      </c>
      <c r="E18" s="3796">
        <v>0</v>
      </c>
      <c r="F18" s="3799">
        <v>0</v>
      </c>
      <c r="G18" s="3799">
        <v>0</v>
      </c>
      <c r="H18" s="3799">
        <f>'2018 к смета'!F22</f>
        <v>0</v>
      </c>
      <c r="I18" s="3799">
        <v>0</v>
      </c>
      <c r="J18" s="3799">
        <v>0</v>
      </c>
      <c r="K18" s="3799">
        <v>0</v>
      </c>
      <c r="L18" s="3799">
        <v>0</v>
      </c>
      <c r="M18" s="3799">
        <v>0</v>
      </c>
      <c r="N18" s="3799">
        <v>0</v>
      </c>
      <c r="O18" s="3799">
        <v>0</v>
      </c>
      <c r="P18" s="3799">
        <v>0</v>
      </c>
      <c r="Q18" s="3799">
        <f>'2018 к смета'!F22</f>
        <v>0</v>
      </c>
      <c r="R18" s="3799">
        <f t="shared" si="40"/>
        <v>0</v>
      </c>
      <c r="S18" s="3799">
        <f>'2018 к смета'!F22</f>
        <v>0</v>
      </c>
      <c r="T18" s="3799">
        <f>'2018 к смета'!G22</f>
        <v>0</v>
      </c>
      <c r="U18" s="3799">
        <f>'2018 к смета'!H22</f>
        <v>0</v>
      </c>
      <c r="V18" s="3799">
        <f>'2018 к смета'!I22</f>
        <v>0</v>
      </c>
      <c r="W18" s="3799">
        <f>'2018 к смета'!J22</f>
        <v>0</v>
      </c>
      <c r="X18" s="3799">
        <f>'2018 к смета'!K22</f>
        <v>0</v>
      </c>
      <c r="Y18" s="3799">
        <f>'2018 к смета'!L22</f>
        <v>0</v>
      </c>
      <c r="Z18" s="3799">
        <f>'2018 к смета'!M22</f>
        <v>0</v>
      </c>
      <c r="AA18" s="3799">
        <v>0</v>
      </c>
      <c r="AB18" s="3799">
        <f>'2018 к смета'!N22</f>
        <v>0</v>
      </c>
      <c r="AC18" s="3799">
        <f>'2018 к смета'!O22</f>
        <v>0</v>
      </c>
      <c r="AD18" s="3799">
        <f>'2018 к смета'!P22</f>
        <v>0</v>
      </c>
      <c r="AE18" s="3799">
        <f>'2018 к смета'!Q22</f>
        <v>0</v>
      </c>
      <c r="AF18" s="3799">
        <f>'2018 к смета'!R22</f>
        <v>0</v>
      </c>
      <c r="AG18" s="3799">
        <f>'2018 к смета'!T22</f>
        <v>0</v>
      </c>
      <c r="AH18" s="3789"/>
      <c r="AI18" s="3799">
        <v>0</v>
      </c>
      <c r="AJ18" s="3789"/>
      <c r="AK18" s="3799">
        <v>0</v>
      </c>
      <c r="AL18" s="3799">
        <v>0</v>
      </c>
      <c r="AM18" s="3799">
        <v>0</v>
      </c>
      <c r="AN18" s="3865">
        <v>0</v>
      </c>
      <c r="AO18" s="3864"/>
      <c r="AP18" s="4154">
        <v>0</v>
      </c>
      <c r="AQ18" s="4183"/>
      <c r="AR18" s="3865">
        <v>0</v>
      </c>
      <c r="AS18" s="3865">
        <v>0</v>
      </c>
      <c r="AT18" s="3801">
        <v>0</v>
      </c>
    </row>
    <row r="19" spans="1:46" s="1240" customFormat="1" ht="27" customHeight="1" x14ac:dyDescent="0.2">
      <c r="A19" s="1620" t="s">
        <v>921</v>
      </c>
      <c r="B19" s="3797" t="s">
        <v>922</v>
      </c>
      <c r="C19" s="3796" t="s">
        <v>902</v>
      </c>
      <c r="D19" s="3796">
        <v>0</v>
      </c>
      <c r="E19" s="3796">
        <v>0</v>
      </c>
      <c r="F19" s="3799">
        <v>0</v>
      </c>
      <c r="G19" s="3799">
        <v>0</v>
      </c>
      <c r="H19" s="3799">
        <f>'2018 к смета'!F23</f>
        <v>0</v>
      </c>
      <c r="I19" s="3799">
        <v>0</v>
      </c>
      <c r="J19" s="3799">
        <v>0</v>
      </c>
      <c r="K19" s="3799">
        <v>0</v>
      </c>
      <c r="L19" s="3799">
        <v>0</v>
      </c>
      <c r="M19" s="3799">
        <v>0</v>
      </c>
      <c r="N19" s="3799">
        <v>0</v>
      </c>
      <c r="O19" s="3799">
        <v>0</v>
      </c>
      <c r="P19" s="3799">
        <v>0</v>
      </c>
      <c r="Q19" s="3799">
        <f>'2018 к смета'!F23</f>
        <v>0</v>
      </c>
      <c r="R19" s="3799">
        <f t="shared" si="40"/>
        <v>0</v>
      </c>
      <c r="S19" s="3799">
        <f>'2018 к смета'!F23</f>
        <v>0</v>
      </c>
      <c r="T19" s="3799">
        <f>'2018 к смета'!G23</f>
        <v>0</v>
      </c>
      <c r="U19" s="3799">
        <f>'2018 к смета'!H23</f>
        <v>0</v>
      </c>
      <c r="V19" s="3799">
        <f>'2018 к смета'!I23</f>
        <v>0</v>
      </c>
      <c r="W19" s="3799">
        <f>'2018 к смета'!J23</f>
        <v>0</v>
      </c>
      <c r="X19" s="3799">
        <f>'2018 к смета'!K23</f>
        <v>0</v>
      </c>
      <c r="Y19" s="3799">
        <f>'2018 к смета'!L23</f>
        <v>0</v>
      </c>
      <c r="Z19" s="3799">
        <f>'2018 к смета'!M23</f>
        <v>0</v>
      </c>
      <c r="AA19" s="3799">
        <v>0</v>
      </c>
      <c r="AB19" s="3799">
        <f>'2018 к смета'!N23</f>
        <v>0</v>
      </c>
      <c r="AC19" s="3799">
        <f>'2018 к смета'!O23</f>
        <v>0</v>
      </c>
      <c r="AD19" s="3799">
        <f>'2018 к смета'!P23</f>
        <v>0</v>
      </c>
      <c r="AE19" s="3799">
        <f>'2018 к смета'!Q23</f>
        <v>0</v>
      </c>
      <c r="AF19" s="3799">
        <f>'2018 к смета'!R23</f>
        <v>0</v>
      </c>
      <c r="AG19" s="3799">
        <f>'2018 к смета'!T23</f>
        <v>0</v>
      </c>
      <c r="AH19" s="3789"/>
      <c r="AI19" s="3799">
        <v>0</v>
      </c>
      <c r="AJ19" s="3789"/>
      <c r="AK19" s="3799">
        <v>0</v>
      </c>
      <c r="AL19" s="3799">
        <v>0</v>
      </c>
      <c r="AM19" s="3799">
        <v>0</v>
      </c>
      <c r="AN19" s="3865">
        <v>0</v>
      </c>
      <c r="AO19" s="3864"/>
      <c r="AP19" s="4154">
        <v>0</v>
      </c>
      <c r="AQ19" s="4183"/>
      <c r="AR19" s="3865">
        <v>0</v>
      </c>
      <c r="AS19" s="3865">
        <v>0</v>
      </c>
      <c r="AT19" s="3801">
        <v>0</v>
      </c>
    </row>
    <row r="20" spans="1:46" s="1240" customFormat="1" ht="59.25" customHeight="1" x14ac:dyDescent="0.2">
      <c r="A20" s="1620" t="s">
        <v>923</v>
      </c>
      <c r="B20" s="3797" t="s">
        <v>924</v>
      </c>
      <c r="C20" s="3796" t="s">
        <v>902</v>
      </c>
      <c r="D20" s="3796">
        <v>1450.3</v>
      </c>
      <c r="E20" s="3796">
        <v>0</v>
      </c>
      <c r="F20" s="3799">
        <f>стоки!BB98</f>
        <v>26.100000000000009</v>
      </c>
      <c r="G20" s="3799">
        <v>0</v>
      </c>
      <c r="H20" s="3799">
        <f>'2018 к смета'!F24</f>
        <v>0</v>
      </c>
      <c r="I20" s="3799"/>
      <c r="J20" s="3799">
        <v>361.58</v>
      </c>
      <c r="K20" s="3799">
        <v>361.58</v>
      </c>
      <c r="L20" s="3799">
        <v>0</v>
      </c>
      <c r="M20" s="3799">
        <v>0</v>
      </c>
      <c r="N20" s="3799">
        <v>0</v>
      </c>
      <c r="O20" s="3799">
        <v>0</v>
      </c>
      <c r="P20" s="3799">
        <v>1291.2</v>
      </c>
      <c r="Q20" s="3799">
        <f>'2018 к смета'!F24</f>
        <v>0</v>
      </c>
      <c r="R20" s="3799">
        <f t="shared" si="40"/>
        <v>0</v>
      </c>
      <c r="S20" s="3799">
        <v>0</v>
      </c>
      <c r="T20" s="3799">
        <f>'2018 к смета'!G24</f>
        <v>0</v>
      </c>
      <c r="U20" s="3799">
        <v>1140.03</v>
      </c>
      <c r="V20" s="3799">
        <v>1140.03</v>
      </c>
      <c r="W20" s="3799">
        <v>1140.03</v>
      </c>
      <c r="X20" s="3799">
        <v>1140.03</v>
      </c>
      <c r="Y20" s="3799"/>
      <c r="Z20" s="3799">
        <v>0</v>
      </c>
      <c r="AA20" s="3799">
        <v>0</v>
      </c>
      <c r="AB20" s="3799">
        <v>0</v>
      </c>
      <c r="AC20" s="3799">
        <v>0</v>
      </c>
      <c r="AD20" s="3799">
        <v>0</v>
      </c>
      <c r="AE20" s="3799">
        <v>0</v>
      </c>
      <c r="AF20" s="3799">
        <v>0</v>
      </c>
      <c r="AG20" s="3799">
        <v>0</v>
      </c>
      <c r="AH20" s="3789"/>
      <c r="AI20" s="3799">
        <v>0</v>
      </c>
      <c r="AJ20" s="3789"/>
      <c r="AK20" s="3799">
        <v>0</v>
      </c>
      <c r="AL20" s="3799">
        <v>0</v>
      </c>
      <c r="AM20" s="3799">
        <v>0</v>
      </c>
      <c r="AN20" s="3865">
        <v>0</v>
      </c>
      <c r="AO20" s="3864"/>
      <c r="AP20" s="4154">
        <v>0</v>
      </c>
      <c r="AQ20" s="4183"/>
      <c r="AR20" s="3865">
        <v>0</v>
      </c>
      <c r="AS20" s="3865">
        <v>0</v>
      </c>
      <c r="AT20" s="3801">
        <v>0</v>
      </c>
    </row>
    <row r="21" spans="1:46" s="1238" customFormat="1" ht="20.100000000000001" customHeight="1" x14ac:dyDescent="0.25">
      <c r="A21" s="1929" t="s">
        <v>925</v>
      </c>
      <c r="B21" s="3793" t="s">
        <v>2</v>
      </c>
      <c r="C21" s="3792" t="s">
        <v>902</v>
      </c>
      <c r="D21" s="3792">
        <v>4899.58</v>
      </c>
      <c r="E21" s="3792">
        <v>5237.62</v>
      </c>
      <c r="F21" s="3789">
        <f>стоки!BB87+'ОХР '!AQ24</f>
        <v>4904.1021365654224</v>
      </c>
      <c r="G21" s="3789">
        <v>5086.74</v>
      </c>
      <c r="H21" s="3789">
        <f>'2018 к смета'!F25</f>
        <v>5028.8549485830717</v>
      </c>
      <c r="I21" s="3789">
        <f>F21</f>
        <v>4904.1021365654224</v>
      </c>
      <c r="J21" s="3789">
        <v>5257.98</v>
      </c>
      <c r="K21" s="3789">
        <f>'2017 к смета'!F19</f>
        <v>5175.5923841310778</v>
      </c>
      <c r="L21" s="3789">
        <v>5249.49</v>
      </c>
      <c r="M21" s="3789">
        <f>Аморт!AC18-'очистка 2019-2021'!M22</f>
        <v>5003.2</v>
      </c>
      <c r="N21" s="3789">
        <f>I21</f>
        <v>4904.1021365654224</v>
      </c>
      <c r="O21" s="3789">
        <f>K21</f>
        <v>5175.5923841310778</v>
      </c>
      <c r="P21" s="3789">
        <v>5159.6400000000003</v>
      </c>
      <c r="Q21" s="3789">
        <f>'2018 к смета'!L25</f>
        <v>5028.8549485830717</v>
      </c>
      <c r="R21" s="3789">
        <f>Q21</f>
        <v>5028.8549485830717</v>
      </c>
      <c r="S21" s="3789">
        <f>стоки!BN124</f>
        <v>4825.28</v>
      </c>
      <c r="T21" s="3789">
        <v>5003.3</v>
      </c>
      <c r="U21" s="3789">
        <v>5003.3</v>
      </c>
      <c r="V21" s="3789">
        <v>5003.3</v>
      </c>
      <c r="W21" s="3789">
        <v>5003.3</v>
      </c>
      <c r="X21" s="3789">
        <v>5003.3</v>
      </c>
      <c r="Y21" s="3789"/>
      <c r="Z21" s="3789">
        <f>стоки!BT124</f>
        <v>5003.2866117908889</v>
      </c>
      <c r="AA21" s="3789">
        <f>Z21/Q21*100</f>
        <v>99.491567423327908</v>
      </c>
      <c r="AB21" s="3789">
        <f>Z21</f>
        <v>5003.2866117908889</v>
      </c>
      <c r="AC21" s="3789">
        <f t="shared" ref="AC21:AF21" si="42">AB21</f>
        <v>5003.2866117908889</v>
      </c>
      <c r="AD21" s="3789">
        <f t="shared" si="42"/>
        <v>5003.2866117908889</v>
      </c>
      <c r="AE21" s="3789">
        <f t="shared" si="42"/>
        <v>5003.2866117908889</v>
      </c>
      <c r="AF21" s="3789">
        <f t="shared" si="42"/>
        <v>5003.2866117908889</v>
      </c>
      <c r="AG21" s="3789">
        <f>SUM(стоки!BW124)</f>
        <v>5041.9566117908889</v>
      </c>
      <c r="AH21" s="3789">
        <f t="shared" si="20"/>
        <v>100.7728919608337</v>
      </c>
      <c r="AI21" s="3789">
        <f>SUM(стоки!CL124)</f>
        <v>5041.9611979847214</v>
      </c>
      <c r="AJ21" s="3789">
        <f t="shared" ref="AJ21" si="43">SUM(AI21/Z21)*100</f>
        <v>100.77298362445779</v>
      </c>
      <c r="AK21" s="3789">
        <f>SUM(стоки!CO124)</f>
        <v>2555.2600000000002</v>
      </c>
      <c r="AL21" s="3789">
        <f>SUM(стоки!CR124)</f>
        <v>3844.0299999999997</v>
      </c>
      <c r="AM21" s="3789">
        <f>SUM(стоки!CU124)</f>
        <v>5144.6099999999997</v>
      </c>
      <c r="AN21" s="3864">
        <f>SUM(стоки!CX124)</f>
        <v>5144.6099999999997</v>
      </c>
      <c r="AO21" s="3864">
        <f>SUM(AN21/AI21)*100</f>
        <v>102.03589036060625</v>
      </c>
      <c r="AP21" s="4183">
        <f>SUM(стоки!DA124)</f>
        <v>5132.6200000000008</v>
      </c>
      <c r="AQ21" s="4183">
        <f t="shared" si="27"/>
        <v>101.79808607118031</v>
      </c>
      <c r="AR21" s="3864">
        <f>SUM(стоки!DD124)</f>
        <v>2631.4059999999999</v>
      </c>
      <c r="AS21" s="3864">
        <f>SUM(стоки!DG124)</f>
        <v>3945.87</v>
      </c>
      <c r="AT21" s="3791">
        <f>SUM(стоки!DB124)</f>
        <v>0</v>
      </c>
    </row>
    <row r="22" spans="1:46" s="2013" customFormat="1" ht="20.100000000000001" customHeight="1" x14ac:dyDescent="0.2">
      <c r="A22" s="1931" t="s">
        <v>193</v>
      </c>
      <c r="B22" s="3904" t="s">
        <v>926</v>
      </c>
      <c r="C22" s="3787" t="s">
        <v>44</v>
      </c>
      <c r="D22" s="3835">
        <f>D23/(D10+D21)*100</f>
        <v>4.4116292084458006</v>
      </c>
      <c r="E22" s="3835">
        <f>E23/(E10+E21)*100</f>
        <v>0</v>
      </c>
      <c r="F22" s="3835">
        <f>F23/(F10+F21)*100</f>
        <v>1.1102131952144343E-3</v>
      </c>
      <c r="G22" s="3835">
        <f t="shared" ref="G22:H22" si="44">G23/(G10+G21)*100</f>
        <v>0</v>
      </c>
      <c r="H22" s="3835">
        <f t="shared" si="44"/>
        <v>1.1258789523884078E-3</v>
      </c>
      <c r="I22" s="3835">
        <f t="shared" ref="I22:N22" si="45">I23/(I10+I21)*100</f>
        <v>0</v>
      </c>
      <c r="J22" s="3787">
        <f t="shared" si="45"/>
        <v>0</v>
      </c>
      <c r="K22" s="3835">
        <f t="shared" si="45"/>
        <v>0</v>
      </c>
      <c r="L22" s="3835">
        <f t="shared" si="45"/>
        <v>0</v>
      </c>
      <c r="M22" s="3835">
        <f t="shared" si="45"/>
        <v>0</v>
      </c>
      <c r="N22" s="3835">
        <f t="shared" si="45"/>
        <v>0</v>
      </c>
      <c r="O22" s="3835">
        <f t="shared" ref="O22:X22" si="46">O23/(O10+O21)*100</f>
        <v>0</v>
      </c>
      <c r="P22" s="3835">
        <f t="shared" si="46"/>
        <v>0</v>
      </c>
      <c r="Q22" s="3835">
        <f t="shared" si="46"/>
        <v>0</v>
      </c>
      <c r="R22" s="3835">
        <f t="shared" ref="R22" si="47">R23/(R10+R21)*100</f>
        <v>0</v>
      </c>
      <c r="S22" s="3835">
        <v>0</v>
      </c>
      <c r="T22" s="3835">
        <f t="shared" si="46"/>
        <v>-2.4968583229398957</v>
      </c>
      <c r="U22" s="3835">
        <f t="shared" si="46"/>
        <v>0</v>
      </c>
      <c r="V22" s="3835">
        <f t="shared" si="46"/>
        <v>0</v>
      </c>
      <c r="W22" s="3835">
        <f t="shared" si="46"/>
        <v>0</v>
      </c>
      <c r="X22" s="3835">
        <f t="shared" si="46"/>
        <v>0</v>
      </c>
      <c r="Y22" s="3835"/>
      <c r="Z22" s="3835">
        <v>0</v>
      </c>
      <c r="AA22" s="3808">
        <v>0</v>
      </c>
      <c r="AB22" s="3835">
        <v>0</v>
      </c>
      <c r="AC22" s="3835">
        <v>0</v>
      </c>
      <c r="AD22" s="3835">
        <v>0</v>
      </c>
      <c r="AE22" s="3835">
        <v>0</v>
      </c>
      <c r="AF22" s="3835">
        <v>0</v>
      </c>
      <c r="AG22" s="3835">
        <v>0</v>
      </c>
      <c r="AH22" s="3789"/>
      <c r="AI22" s="3835">
        <v>0</v>
      </c>
      <c r="AJ22" s="3789"/>
      <c r="AK22" s="3835">
        <v>0</v>
      </c>
      <c r="AL22" s="3835">
        <v>0</v>
      </c>
      <c r="AM22" s="3835">
        <v>0</v>
      </c>
      <c r="AN22" s="3893">
        <v>0</v>
      </c>
      <c r="AO22" s="3864"/>
      <c r="AP22" s="4173">
        <v>0</v>
      </c>
      <c r="AQ22" s="4183"/>
      <c r="AR22" s="3893">
        <v>0</v>
      </c>
      <c r="AS22" s="3893">
        <v>0</v>
      </c>
      <c r="AT22" s="3897">
        <v>0</v>
      </c>
    </row>
    <row r="23" spans="1:46" s="1238" customFormat="1" ht="20.100000000000001" customHeight="1" x14ac:dyDescent="0.25">
      <c r="A23" s="1929" t="s">
        <v>927</v>
      </c>
      <c r="B23" s="3793" t="s">
        <v>928</v>
      </c>
      <c r="C23" s="3792" t="s">
        <v>902</v>
      </c>
      <c r="D23" s="3789">
        <f>D24+D25+D26</f>
        <v>3567.1</v>
      </c>
      <c r="E23" s="3789">
        <f>E24+E25+E26</f>
        <v>0</v>
      </c>
      <c r="F23" s="3789">
        <f>F24+F25+F26</f>
        <v>0.9</v>
      </c>
      <c r="G23" s="3789">
        <f t="shared" ref="G23:H23" si="48">G24+G25+G26</f>
        <v>0</v>
      </c>
      <c r="H23" s="3789">
        <f t="shared" si="48"/>
        <v>0.9</v>
      </c>
      <c r="I23" s="3789">
        <f t="shared" ref="I23:N23" si="49">I24+I25+I26</f>
        <v>0</v>
      </c>
      <c r="J23" s="3789">
        <f t="shared" si="49"/>
        <v>0</v>
      </c>
      <c r="K23" s="3789">
        <f t="shared" si="49"/>
        <v>0</v>
      </c>
      <c r="L23" s="3789">
        <f t="shared" si="49"/>
        <v>0</v>
      </c>
      <c r="M23" s="3789">
        <f t="shared" si="49"/>
        <v>0</v>
      </c>
      <c r="N23" s="3789">
        <f t="shared" si="49"/>
        <v>0</v>
      </c>
      <c r="O23" s="3789">
        <f t="shared" ref="O23:X23" si="50">O24+O25+O26</f>
        <v>0</v>
      </c>
      <c r="P23" s="3789">
        <f t="shared" si="50"/>
        <v>0</v>
      </c>
      <c r="Q23" s="3789">
        <f t="shared" si="50"/>
        <v>0</v>
      </c>
      <c r="R23" s="3789">
        <f t="shared" ref="R23" si="51">R24+R25+R26</f>
        <v>0</v>
      </c>
      <c r="S23" s="3789"/>
      <c r="T23" s="3789">
        <f t="shared" si="50"/>
        <v>-2903.83</v>
      </c>
      <c r="U23" s="3789">
        <f t="shared" si="50"/>
        <v>0</v>
      </c>
      <c r="V23" s="3789">
        <f t="shared" si="50"/>
        <v>0</v>
      </c>
      <c r="W23" s="3789">
        <f t="shared" si="50"/>
        <v>0</v>
      </c>
      <c r="X23" s="3789">
        <f t="shared" si="50"/>
        <v>0</v>
      </c>
      <c r="Y23" s="3789"/>
      <c r="Z23" s="3789"/>
      <c r="AA23" s="3789">
        <v>0</v>
      </c>
      <c r="AB23" s="3789"/>
      <c r="AC23" s="3789"/>
      <c r="AD23" s="3789"/>
      <c r="AE23" s="3789"/>
      <c r="AF23" s="3789"/>
      <c r="AG23" s="3789"/>
      <c r="AH23" s="3789"/>
      <c r="AI23" s="3789"/>
      <c r="AJ23" s="3789"/>
      <c r="AK23" s="3789"/>
      <c r="AL23" s="3789"/>
      <c r="AM23" s="3789"/>
      <c r="AN23" s="3864"/>
      <c r="AO23" s="3864"/>
      <c r="AP23" s="4183"/>
      <c r="AQ23" s="4183"/>
      <c r="AR23" s="3864"/>
      <c r="AS23" s="3864"/>
      <c r="AT23" s="3791"/>
    </row>
    <row r="24" spans="1:46" s="1239" customFormat="1" ht="27" customHeight="1" x14ac:dyDescent="0.25">
      <c r="A24" s="1930" t="s">
        <v>929</v>
      </c>
      <c r="B24" s="3794" t="s">
        <v>930</v>
      </c>
      <c r="C24" s="3792" t="s">
        <v>902</v>
      </c>
      <c r="D24" s="3792">
        <v>3567.1</v>
      </c>
      <c r="E24" s="3792">
        <v>0</v>
      </c>
      <c r="F24" s="3789">
        <f>стоки!BB108</f>
        <v>0.9</v>
      </c>
      <c r="G24" s="3789">
        <v>0</v>
      </c>
      <c r="H24" s="3789">
        <v>0.9</v>
      </c>
      <c r="I24" s="3789">
        <v>0</v>
      </c>
      <c r="J24" s="3789">
        <v>0</v>
      </c>
      <c r="K24" s="3789">
        <v>0</v>
      </c>
      <c r="L24" s="3789">
        <v>0</v>
      </c>
      <c r="M24" s="3789">
        <v>0</v>
      </c>
      <c r="N24" s="3789">
        <v>0</v>
      </c>
      <c r="O24" s="3789">
        <f>-ИП!F20</f>
        <v>0</v>
      </c>
      <c r="P24" s="3789">
        <f>-ИП!G20</f>
        <v>0</v>
      </c>
      <c r="Q24" s="3789">
        <f>-ИП!H20</f>
        <v>0</v>
      </c>
      <c r="R24" s="3789">
        <v>0</v>
      </c>
      <c r="S24" s="3789">
        <f>-ИП!H20</f>
        <v>0</v>
      </c>
      <c r="T24" s="3789">
        <v>-2903.83</v>
      </c>
      <c r="U24" s="3789">
        <f>-ИП!J20</f>
        <v>0</v>
      </c>
      <c r="V24" s="3789">
        <f>-ИП!K20</f>
        <v>0</v>
      </c>
      <c r="W24" s="3789">
        <f>-ИП!L20</f>
        <v>0</v>
      </c>
      <c r="X24" s="3789">
        <f>-ИП!M20</f>
        <v>0</v>
      </c>
      <c r="Y24" s="3789">
        <f>-ИП!N20</f>
        <v>0</v>
      </c>
      <c r="Z24" s="3789">
        <f>-ИП!O20</f>
        <v>0</v>
      </c>
      <c r="AA24" s="3789">
        <v>0</v>
      </c>
      <c r="AB24" s="3789">
        <f>-ИП!P20</f>
        <v>0</v>
      </c>
      <c r="AC24" s="3789">
        <f>-ИП!Q20</f>
        <v>0</v>
      </c>
      <c r="AD24" s="3789">
        <f>-ИП!R20</f>
        <v>0</v>
      </c>
      <c r="AE24" s="3789">
        <f>-ИП!S20</f>
        <v>0</v>
      </c>
      <c r="AF24" s="3789">
        <f>-ИП!T20</f>
        <v>0</v>
      </c>
      <c r="AG24" s="3789">
        <f>-ИП!V20</f>
        <v>0</v>
      </c>
      <c r="AH24" s="3789"/>
      <c r="AI24" s="3789">
        <f>-ИП!X20</f>
        <v>0</v>
      </c>
      <c r="AJ24" s="3789"/>
      <c r="AK24" s="3789">
        <v>0</v>
      </c>
      <c r="AL24" s="3789">
        <v>0</v>
      </c>
      <c r="AM24" s="3789">
        <v>0</v>
      </c>
      <c r="AN24" s="3864">
        <v>0</v>
      </c>
      <c r="AO24" s="3864"/>
      <c r="AP24" s="4183">
        <f>-ИП!AE20</f>
        <v>0</v>
      </c>
      <c r="AQ24" s="4183"/>
      <c r="AR24" s="3864">
        <v>0</v>
      </c>
      <c r="AS24" s="3864">
        <v>0</v>
      </c>
      <c r="AT24" s="3791">
        <v>0</v>
      </c>
    </row>
    <row r="25" spans="1:46" s="1239" customFormat="1" ht="58.5" customHeight="1" x14ac:dyDescent="0.25">
      <c r="A25" s="1930" t="s">
        <v>931</v>
      </c>
      <c r="B25" s="3794" t="s">
        <v>932</v>
      </c>
      <c r="C25" s="3792" t="s">
        <v>902</v>
      </c>
      <c r="D25" s="3792">
        <v>0</v>
      </c>
      <c r="E25" s="3792">
        <v>0</v>
      </c>
      <c r="F25" s="3789">
        <v>0</v>
      </c>
      <c r="G25" s="3789">
        <v>0</v>
      </c>
      <c r="H25" s="3789">
        <v>0</v>
      </c>
      <c r="I25" s="3789">
        <v>0</v>
      </c>
      <c r="J25" s="3789">
        <v>0</v>
      </c>
      <c r="K25" s="3789">
        <v>0</v>
      </c>
      <c r="L25" s="3789">
        <v>0</v>
      </c>
      <c r="M25" s="3789">
        <v>0</v>
      </c>
      <c r="N25" s="3789">
        <v>0</v>
      </c>
      <c r="O25" s="3789">
        <v>0</v>
      </c>
      <c r="P25" s="3789">
        <v>0</v>
      </c>
      <c r="Q25" s="3789">
        <v>0</v>
      </c>
      <c r="R25" s="3789">
        <v>0</v>
      </c>
      <c r="S25" s="3789">
        <v>0</v>
      </c>
      <c r="T25" s="3789">
        <v>0</v>
      </c>
      <c r="U25" s="3789">
        <v>0</v>
      </c>
      <c r="V25" s="3789">
        <v>0</v>
      </c>
      <c r="W25" s="3789">
        <v>0</v>
      </c>
      <c r="X25" s="3789">
        <v>0</v>
      </c>
      <c r="Y25" s="3789">
        <v>0</v>
      </c>
      <c r="Z25" s="3789">
        <v>0</v>
      </c>
      <c r="AA25" s="3789">
        <v>0</v>
      </c>
      <c r="AB25" s="3789">
        <v>0</v>
      </c>
      <c r="AC25" s="3789">
        <v>0</v>
      </c>
      <c r="AD25" s="3789">
        <v>0</v>
      </c>
      <c r="AE25" s="3789">
        <v>0</v>
      </c>
      <c r="AF25" s="3789">
        <v>0</v>
      </c>
      <c r="AG25" s="3789">
        <v>0</v>
      </c>
      <c r="AH25" s="3789"/>
      <c r="AI25" s="3789">
        <v>0</v>
      </c>
      <c r="AJ25" s="3789"/>
      <c r="AK25" s="3789">
        <v>0</v>
      </c>
      <c r="AL25" s="3789">
        <v>0</v>
      </c>
      <c r="AM25" s="3789">
        <v>0</v>
      </c>
      <c r="AN25" s="3864">
        <v>0</v>
      </c>
      <c r="AO25" s="3864"/>
      <c r="AP25" s="4183">
        <v>0</v>
      </c>
      <c r="AQ25" s="4183"/>
      <c r="AR25" s="3864">
        <v>0</v>
      </c>
      <c r="AS25" s="3864">
        <v>0</v>
      </c>
      <c r="AT25" s="3791">
        <v>0</v>
      </c>
    </row>
    <row r="26" spans="1:46" s="1239" customFormat="1" ht="33.75" customHeight="1" x14ac:dyDescent="0.25">
      <c r="A26" s="1930" t="s">
        <v>933</v>
      </c>
      <c r="B26" s="3794" t="s">
        <v>934</v>
      </c>
      <c r="C26" s="3792" t="s">
        <v>902</v>
      </c>
      <c r="D26" s="3792">
        <v>0</v>
      </c>
      <c r="E26" s="3792">
        <v>0</v>
      </c>
      <c r="F26" s="3789">
        <v>0</v>
      </c>
      <c r="G26" s="3789">
        <v>0</v>
      </c>
      <c r="H26" s="3789">
        <v>0</v>
      </c>
      <c r="I26" s="3789">
        <v>0</v>
      </c>
      <c r="J26" s="3789">
        <v>0</v>
      </c>
      <c r="K26" s="3789">
        <v>0</v>
      </c>
      <c r="L26" s="3789">
        <v>0</v>
      </c>
      <c r="M26" s="3789">
        <v>0</v>
      </c>
      <c r="N26" s="3789">
        <v>0</v>
      </c>
      <c r="O26" s="3789">
        <v>0</v>
      </c>
      <c r="P26" s="3789">
        <v>0</v>
      </c>
      <c r="Q26" s="3789">
        <v>0</v>
      </c>
      <c r="R26" s="3789">
        <v>0</v>
      </c>
      <c r="S26" s="3789">
        <v>0</v>
      </c>
      <c r="T26" s="3789">
        <v>0</v>
      </c>
      <c r="U26" s="3789">
        <v>0</v>
      </c>
      <c r="V26" s="3789">
        <v>0</v>
      </c>
      <c r="W26" s="3789">
        <v>0</v>
      </c>
      <c r="X26" s="3789">
        <v>0</v>
      </c>
      <c r="Y26" s="3789">
        <v>0</v>
      </c>
      <c r="Z26" s="3789">
        <v>0</v>
      </c>
      <c r="AA26" s="3789">
        <v>0</v>
      </c>
      <c r="AB26" s="3789">
        <v>0</v>
      </c>
      <c r="AC26" s="3789">
        <v>0</v>
      </c>
      <c r="AD26" s="3789">
        <v>0</v>
      </c>
      <c r="AE26" s="3789">
        <v>0</v>
      </c>
      <c r="AF26" s="3789">
        <v>0</v>
      </c>
      <c r="AG26" s="3789">
        <v>0</v>
      </c>
      <c r="AH26" s="3789"/>
      <c r="AI26" s="3789">
        <v>0</v>
      </c>
      <c r="AJ26" s="3789"/>
      <c r="AK26" s="3789">
        <v>0</v>
      </c>
      <c r="AL26" s="3789">
        <v>0</v>
      </c>
      <c r="AM26" s="3789">
        <v>0</v>
      </c>
      <c r="AN26" s="3864">
        <v>0</v>
      </c>
      <c r="AO26" s="3864"/>
      <c r="AP26" s="4183">
        <v>0</v>
      </c>
      <c r="AQ26" s="4183"/>
      <c r="AR26" s="3864">
        <v>0</v>
      </c>
      <c r="AS26" s="3864">
        <v>0</v>
      </c>
      <c r="AT26" s="3791">
        <v>0</v>
      </c>
    </row>
    <row r="27" spans="1:46" s="1238" customFormat="1" ht="52.5" customHeight="1" x14ac:dyDescent="0.25">
      <c r="A27" s="1929" t="s">
        <v>194</v>
      </c>
      <c r="B27" s="3793" t="s">
        <v>935</v>
      </c>
      <c r="C27" s="3792" t="s">
        <v>902</v>
      </c>
      <c r="D27" s="3792">
        <v>4106.47</v>
      </c>
      <c r="E27" s="3792">
        <v>0</v>
      </c>
      <c r="F27" s="3789">
        <f>стоки!BB105</f>
        <v>4053.2755504953611</v>
      </c>
      <c r="G27" s="3789">
        <v>0</v>
      </c>
      <c r="H27" s="3789">
        <f>F27</f>
        <v>4053.2755504953611</v>
      </c>
      <c r="I27" s="3789">
        <f>(I10+I21)*0.05</f>
        <v>4292.0817128748185</v>
      </c>
      <c r="J27" s="3789">
        <v>4270.63</v>
      </c>
      <c r="K27" s="3789">
        <f>(K10+K21)*0.05</f>
        <v>4282.6956849702829</v>
      </c>
      <c r="L27" s="3789">
        <v>0</v>
      </c>
      <c r="M27" s="3789">
        <f>K27</f>
        <v>4282.6956849702829</v>
      </c>
      <c r="N27" s="3789">
        <f>(N10+N21)*0.05</f>
        <v>4487.7732709992242</v>
      </c>
      <c r="O27" s="3789">
        <f>(O10+O21)*0.05</f>
        <v>4385.4134315715473</v>
      </c>
      <c r="P27" s="3789">
        <v>4393.5</v>
      </c>
      <c r="Q27" s="3789">
        <v>0</v>
      </c>
      <c r="R27" s="3789">
        <v>0</v>
      </c>
      <c r="S27" s="3789">
        <v>0</v>
      </c>
      <c r="T27" s="3789">
        <v>0</v>
      </c>
      <c r="U27" s="3789">
        <v>0</v>
      </c>
      <c r="V27" s="3789">
        <v>0</v>
      </c>
      <c r="W27" s="3789">
        <v>0</v>
      </c>
      <c r="X27" s="3789">
        <v>0</v>
      </c>
      <c r="Y27" s="3789">
        <v>0</v>
      </c>
      <c r="Z27" s="3789">
        <v>0</v>
      </c>
      <c r="AA27" s="3789">
        <v>0</v>
      </c>
      <c r="AB27" s="3789">
        <v>0</v>
      </c>
      <c r="AC27" s="3789">
        <v>0</v>
      </c>
      <c r="AD27" s="3789">
        <v>0</v>
      </c>
      <c r="AE27" s="3789">
        <v>0</v>
      </c>
      <c r="AF27" s="3789">
        <v>0</v>
      </c>
      <c r="AG27" s="3789">
        <v>0</v>
      </c>
      <c r="AH27" s="3789"/>
      <c r="AI27" s="3789">
        <v>0</v>
      </c>
      <c r="AJ27" s="3789"/>
      <c r="AK27" s="3789">
        <v>0</v>
      </c>
      <c r="AL27" s="3789">
        <v>0</v>
      </c>
      <c r="AM27" s="3789">
        <v>0</v>
      </c>
      <c r="AN27" s="3864">
        <v>0</v>
      </c>
      <c r="AO27" s="3864"/>
      <c r="AP27" s="4183">
        <v>0</v>
      </c>
      <c r="AQ27" s="4183"/>
      <c r="AR27" s="3864">
        <v>0</v>
      </c>
      <c r="AS27" s="3864">
        <v>0</v>
      </c>
      <c r="AT27" s="3791">
        <v>0</v>
      </c>
    </row>
    <row r="28" spans="1:46" s="1935" customFormat="1" ht="27.75" hidden="1" customHeight="1" x14ac:dyDescent="0.2">
      <c r="A28" s="1934" t="s">
        <v>1604</v>
      </c>
      <c r="B28" s="3729" t="s">
        <v>1698</v>
      </c>
      <c r="C28" s="3731" t="s">
        <v>902</v>
      </c>
      <c r="D28" s="3731"/>
      <c r="E28" s="3731"/>
      <c r="F28" s="2225"/>
      <c r="G28" s="2225"/>
      <c r="H28" s="2225"/>
      <c r="I28" s="2225"/>
      <c r="J28" s="2225"/>
      <c r="K28" s="2225"/>
      <c r="L28" s="2225"/>
      <c r="M28" s="2225"/>
      <c r="N28" s="2225"/>
      <c r="O28" s="2225"/>
      <c r="P28" s="2225"/>
      <c r="Q28" s="2225"/>
      <c r="R28" s="2225"/>
      <c r="S28" s="2225"/>
      <c r="T28" s="2225"/>
      <c r="U28" s="2225"/>
      <c r="V28" s="2225"/>
      <c r="W28" s="2225"/>
      <c r="X28" s="2225"/>
      <c r="Y28" s="2225"/>
      <c r="Z28" s="2225"/>
      <c r="AA28" s="2225"/>
      <c r="AB28" s="2225"/>
      <c r="AC28" s="2225"/>
      <c r="AD28" s="2225"/>
      <c r="AE28" s="2225"/>
      <c r="AF28" s="2225"/>
      <c r="AG28" s="2225"/>
      <c r="AH28" s="3789" t="e">
        <f t="shared" si="20"/>
        <v>#DIV/0!</v>
      </c>
      <c r="AI28" s="2225"/>
      <c r="AJ28" s="3789" t="e">
        <f t="shared" ref="AJ28" si="52">SUM(AI28/AB28)*100</f>
        <v>#DIV/0!</v>
      </c>
      <c r="AK28" s="2225"/>
      <c r="AL28" s="2225"/>
      <c r="AM28" s="2225"/>
      <c r="AN28" s="2498"/>
      <c r="AO28" s="3864" t="e">
        <f t="shared" ref="AO28" si="53">SUM(AN28/AG28)*100</f>
        <v>#DIV/0!</v>
      </c>
      <c r="AP28" s="4088"/>
      <c r="AQ28" s="4183" t="e">
        <f t="shared" ref="AQ28" si="54">SUM(AP28/AI28)*100</f>
        <v>#DIV/0!</v>
      </c>
      <c r="AR28" s="2498"/>
      <c r="AS28" s="2498"/>
      <c r="AT28" s="3811"/>
    </row>
    <row r="29" spans="1:46" s="1861" customFormat="1" ht="27" customHeight="1" x14ac:dyDescent="0.25">
      <c r="A29" s="2010" t="s">
        <v>1699</v>
      </c>
      <c r="B29" s="3729" t="s">
        <v>1700</v>
      </c>
      <c r="C29" s="3792" t="s">
        <v>902</v>
      </c>
      <c r="D29" s="3792"/>
      <c r="E29" s="3792"/>
      <c r="F29" s="3789"/>
      <c r="G29" s="3789"/>
      <c r="H29" s="3789"/>
      <c r="I29" s="3789"/>
      <c r="J29" s="3789"/>
      <c r="K29" s="3789">
        <v>-5234.7</v>
      </c>
      <c r="L29" s="3789"/>
      <c r="M29" s="3789">
        <f>K29</f>
        <v>-5234.7</v>
      </c>
      <c r="N29" s="3789"/>
      <c r="O29" s="3789">
        <f>-K29</f>
        <v>5234.7</v>
      </c>
      <c r="P29" s="3789">
        <v>5234.7</v>
      </c>
      <c r="Q29" s="3789">
        <f>O29</f>
        <v>5234.7</v>
      </c>
      <c r="R29" s="3789">
        <f>Q29</f>
        <v>5234.7</v>
      </c>
      <c r="S29" s="3789"/>
      <c r="T29" s="3789"/>
      <c r="U29" s="3789"/>
      <c r="V29" s="3789"/>
      <c r="W29" s="3789"/>
      <c r="X29" s="3789"/>
      <c r="Y29" s="3789"/>
      <c r="Z29" s="3789"/>
      <c r="AA29" s="2225"/>
      <c r="AB29" s="3789"/>
      <c r="AC29" s="3789"/>
      <c r="AD29" s="3789"/>
      <c r="AE29" s="3789"/>
      <c r="AF29" s="3789"/>
      <c r="AG29" s="3789"/>
      <c r="AH29" s="3789"/>
      <c r="AI29" s="3789"/>
      <c r="AJ29" s="3789"/>
      <c r="AK29" s="3789"/>
      <c r="AL29" s="3789"/>
      <c r="AM29" s="3789"/>
      <c r="AN29" s="3864"/>
      <c r="AO29" s="3864"/>
      <c r="AP29" s="4183"/>
      <c r="AQ29" s="4183"/>
      <c r="AR29" s="3864"/>
      <c r="AS29" s="3864"/>
      <c r="AT29" s="3791"/>
    </row>
    <row r="30" spans="1:46" s="1937" customFormat="1" ht="20.100000000000001" customHeight="1" x14ac:dyDescent="0.2">
      <c r="A30" s="1936"/>
      <c r="B30" s="3729" t="s">
        <v>1701</v>
      </c>
      <c r="C30" s="3731" t="s">
        <v>902</v>
      </c>
      <c r="D30" s="3731"/>
      <c r="E30" s="3568">
        <f>D38*E36</f>
        <v>77402.272286443331</v>
      </c>
      <c r="F30" s="2225"/>
      <c r="G30" s="2225"/>
      <c r="H30" s="2225">
        <f>ТН!D56</f>
        <v>75099.622775800002</v>
      </c>
      <c r="I30" s="2225"/>
      <c r="J30" s="2225"/>
      <c r="K30" s="2225"/>
      <c r="L30" s="2225"/>
      <c r="M30" s="2225">
        <f>ТН!J56</f>
        <v>82259.710110899992</v>
      </c>
      <c r="N30" s="2225"/>
      <c r="O30" s="2225"/>
      <c r="P30" s="2225"/>
      <c r="Q30" s="2225"/>
      <c r="R30" s="2225">
        <f>M36*Q38</f>
        <v>97396.744271251693</v>
      </c>
      <c r="S30" s="2225"/>
      <c r="T30" s="2225"/>
      <c r="U30" s="2225"/>
      <c r="V30" s="2225"/>
      <c r="W30" s="2225"/>
      <c r="X30" s="2225"/>
      <c r="Y30" s="2225"/>
      <c r="Z30" s="2225"/>
      <c r="AA30" s="2225"/>
      <c r="AB30" s="2225"/>
      <c r="AC30" s="2225"/>
      <c r="AD30" s="2225"/>
      <c r="AE30" s="2225"/>
      <c r="AF30" s="2225"/>
      <c r="AG30" s="2225"/>
      <c r="AH30" s="3789"/>
      <c r="AI30" s="2225"/>
      <c r="AJ30" s="3789"/>
      <c r="AK30" s="2225"/>
      <c r="AL30" s="2225"/>
      <c r="AM30" s="2225"/>
      <c r="AN30" s="2498"/>
      <c r="AO30" s="3864"/>
      <c r="AP30" s="4088"/>
      <c r="AQ30" s="4183"/>
      <c r="AR30" s="2498"/>
      <c r="AS30" s="2498"/>
      <c r="AT30" s="3811"/>
    </row>
    <row r="31" spans="1:46" s="1938" customFormat="1" ht="48.75" customHeight="1" x14ac:dyDescent="0.2">
      <c r="A31" s="2588" t="s">
        <v>186</v>
      </c>
      <c r="B31" s="3729" t="s">
        <v>1702</v>
      </c>
      <c r="C31" s="3731" t="s">
        <v>902</v>
      </c>
      <c r="D31" s="2225">
        <f>D9-E30</f>
        <v>11128.047713556676</v>
      </c>
      <c r="E31" s="2225">
        <f>E9-E30</f>
        <v>-4389.3222864433483</v>
      </c>
      <c r="F31" s="2225"/>
      <c r="G31" s="2225"/>
      <c r="H31" s="2225">
        <f>H9-H30</f>
        <v>8892.0982888703584</v>
      </c>
      <c r="I31" s="2225"/>
      <c r="J31" s="2225"/>
      <c r="K31" s="2225"/>
      <c r="L31" s="2225"/>
      <c r="M31" s="2225">
        <f>(M9+M29)-M30</f>
        <v>-1449.6995177526551</v>
      </c>
      <c r="N31" s="2225"/>
      <c r="O31" s="2225"/>
      <c r="P31" s="2225"/>
      <c r="Q31" s="2225">
        <f>H31*1.039*1.037</f>
        <v>9580.7290566553438</v>
      </c>
      <c r="R31" s="2225">
        <f>(R9+R29)-R30</f>
        <v>-7566.0008019349043</v>
      </c>
      <c r="S31" s="2225">
        <f>F31*1.027*1.046-U31</f>
        <v>0</v>
      </c>
      <c r="T31" s="2225">
        <v>7731.78</v>
      </c>
      <c r="U31" s="2225"/>
      <c r="V31" s="2225"/>
      <c r="W31" s="2225"/>
      <c r="X31" s="2225"/>
      <c r="Y31" s="2225"/>
      <c r="Z31" s="2225">
        <f>M31*1.027*1.046-AB31</f>
        <v>-1557.3281093496475</v>
      </c>
      <c r="AA31" s="2225"/>
      <c r="AB31" s="2225"/>
      <c r="AC31" s="2225"/>
      <c r="AD31" s="2225"/>
      <c r="AE31" s="2225"/>
      <c r="AF31" s="2225"/>
      <c r="AG31" s="2225">
        <v>3311.12</v>
      </c>
      <c r="AH31" s="3789"/>
      <c r="AI31" s="2225">
        <f>-1061.9*1.047*1.03</f>
        <v>-1145.1635790000003</v>
      </c>
      <c r="AJ31" s="3789"/>
      <c r="AK31" s="2225">
        <v>0</v>
      </c>
      <c r="AL31" s="2225">
        <v>0</v>
      </c>
      <c r="AM31" s="2225">
        <v>0</v>
      </c>
      <c r="AN31" s="2498">
        <v>0</v>
      </c>
      <c r="AO31" s="3864"/>
      <c r="AP31" s="4088">
        <v>-2292.83</v>
      </c>
      <c r="AQ31" s="4183"/>
      <c r="AR31" s="2498">
        <v>0</v>
      </c>
      <c r="AS31" s="2498">
        <v>0</v>
      </c>
      <c r="AT31" s="3811">
        <v>0</v>
      </c>
    </row>
    <row r="32" spans="1:46" s="1938" customFormat="1" ht="48.75" customHeight="1" x14ac:dyDescent="0.2">
      <c r="A32" s="2588" t="s">
        <v>939</v>
      </c>
      <c r="B32" s="3729" t="s">
        <v>1703</v>
      </c>
      <c r="C32" s="3731" t="s">
        <v>902</v>
      </c>
      <c r="D32" s="3731"/>
      <c r="E32" s="3731"/>
      <c r="F32" s="2225"/>
      <c r="G32" s="2225"/>
      <c r="H32" s="2225"/>
      <c r="I32" s="2225"/>
      <c r="J32" s="2225"/>
      <c r="K32" s="2225"/>
      <c r="L32" s="2225"/>
      <c r="M32" s="2225"/>
      <c r="N32" s="2225"/>
      <c r="O32" s="2225"/>
      <c r="P32" s="2225">
        <v>0</v>
      </c>
      <c r="Q32" s="2225">
        <v>-3902.11</v>
      </c>
      <c r="R32" s="2225"/>
      <c r="S32" s="3814">
        <v>0</v>
      </c>
      <c r="T32" s="2225"/>
      <c r="U32" s="2225"/>
      <c r="V32" s="2225"/>
      <c r="W32" s="2225"/>
      <c r="X32" s="2225"/>
      <c r="Y32" s="2225"/>
      <c r="Z32" s="3814">
        <f>'снятие ИП'!G5</f>
        <v>-3569.01</v>
      </c>
      <c r="AA32" s="2225"/>
      <c r="AB32" s="2225"/>
      <c r="AC32" s="2225"/>
      <c r="AD32" s="2225"/>
      <c r="AE32" s="2225"/>
      <c r="AF32" s="2225"/>
      <c r="AG32" s="3814">
        <f>'снятие ИП'!N5</f>
        <v>0</v>
      </c>
      <c r="AH32" s="3789"/>
      <c r="AI32" s="3814">
        <f>'снятие ИП'!P5</f>
        <v>0</v>
      </c>
      <c r="AJ32" s="3789"/>
      <c r="AK32" s="3814">
        <v>0</v>
      </c>
      <c r="AL32" s="3814">
        <v>0</v>
      </c>
      <c r="AM32" s="3814">
        <v>0</v>
      </c>
      <c r="AN32" s="3867">
        <v>0</v>
      </c>
      <c r="AO32" s="3864"/>
      <c r="AP32" s="4170">
        <f>'снятие ИП'!W5</f>
        <v>0</v>
      </c>
      <c r="AQ32" s="4183"/>
      <c r="AR32" s="3867">
        <v>0</v>
      </c>
      <c r="AS32" s="3867">
        <v>0</v>
      </c>
      <c r="AT32" s="3815">
        <v>0</v>
      </c>
    </row>
    <row r="33" spans="1:46" s="1939" customFormat="1" ht="54.75" customHeight="1" x14ac:dyDescent="0.25">
      <c r="A33" s="2588" t="s">
        <v>945</v>
      </c>
      <c r="B33" s="3905" t="s">
        <v>1704</v>
      </c>
      <c r="C33" s="3731" t="s">
        <v>902</v>
      </c>
      <c r="D33" s="3731"/>
      <c r="E33" s="3731"/>
      <c r="F33" s="3538"/>
      <c r="G33" s="3538"/>
      <c r="H33" s="3538"/>
      <c r="I33" s="3538"/>
      <c r="J33" s="3538"/>
      <c r="K33" s="3538"/>
      <c r="L33" s="3538"/>
      <c r="M33" s="3538"/>
      <c r="N33" s="3538"/>
      <c r="O33" s="3538"/>
      <c r="P33" s="2225">
        <v>0</v>
      </c>
      <c r="Q33" s="2225">
        <f>-А!C31</f>
        <v>-917.11610446699819</v>
      </c>
      <c r="R33" s="2225"/>
      <c r="S33" s="2225">
        <v>0</v>
      </c>
      <c r="T33" s="2225"/>
      <c r="U33" s="2225"/>
      <c r="V33" s="2225"/>
      <c r="W33" s="2225"/>
      <c r="X33" s="2225"/>
      <c r="Y33" s="2225"/>
      <c r="Z33" s="2225">
        <f>-'А 2017'!C31</f>
        <v>-969.01570224930151</v>
      </c>
      <c r="AA33" s="2225"/>
      <c r="AB33" s="2225"/>
      <c r="AC33" s="2225"/>
      <c r="AD33" s="2225"/>
      <c r="AE33" s="2225"/>
      <c r="AF33" s="2225"/>
      <c r="AG33" s="2225">
        <f>-'А 2017'!J31</f>
        <v>0</v>
      </c>
      <c r="AH33" s="3789"/>
      <c r="AI33" s="2225">
        <f>-SUM('А 2018'!C30)</f>
        <v>-1015.4171782492955</v>
      </c>
      <c r="AJ33" s="3789"/>
      <c r="AK33" s="2225">
        <v>0</v>
      </c>
      <c r="AL33" s="2225">
        <v>0</v>
      </c>
      <c r="AM33" s="2225">
        <v>0</v>
      </c>
      <c r="AN33" s="2498">
        <v>0</v>
      </c>
      <c r="AO33" s="3864"/>
      <c r="AP33" s="4088">
        <f>-SUM('А 2018'!J30)</f>
        <v>0</v>
      </c>
      <c r="AQ33" s="4183"/>
      <c r="AR33" s="2498">
        <v>0</v>
      </c>
      <c r="AS33" s="2498">
        <v>0</v>
      </c>
      <c r="AT33" s="3811">
        <v>0</v>
      </c>
    </row>
    <row r="34" spans="1:46" s="2393" customFormat="1" ht="42" customHeight="1" x14ac:dyDescent="0.25">
      <c r="A34" s="2582"/>
      <c r="B34" s="3905" t="s">
        <v>3511</v>
      </c>
      <c r="C34" s="3731"/>
      <c r="D34" s="3731"/>
      <c r="E34" s="3731"/>
      <c r="F34" s="3538"/>
      <c r="G34" s="3538"/>
      <c r="H34" s="3538"/>
      <c r="I34" s="3538"/>
      <c r="J34" s="3538"/>
      <c r="K34" s="3538"/>
      <c r="L34" s="3538"/>
      <c r="M34" s="3538"/>
      <c r="N34" s="3538"/>
      <c r="O34" s="3538"/>
      <c r="P34" s="2225"/>
      <c r="Q34" s="2225"/>
      <c r="R34" s="2225"/>
      <c r="S34" s="2225">
        <f>-(S31+S32+S33)</f>
        <v>0</v>
      </c>
      <c r="T34" s="2225"/>
      <c r="U34" s="2225"/>
      <c r="V34" s="2225"/>
      <c r="W34" s="2225"/>
      <c r="X34" s="2225"/>
      <c r="Y34" s="2225"/>
      <c r="Z34" s="2225">
        <f>-(Z31+Z32+Z33)</f>
        <v>6095.3538115989495</v>
      </c>
      <c r="AA34" s="2225"/>
      <c r="AB34" s="2225">
        <f>-Z34+2807.35</f>
        <v>-3288.0038115989496</v>
      </c>
      <c r="AC34" s="2225">
        <f>-2807.35</f>
        <v>-2807.35</v>
      </c>
      <c r="AD34" s="2225"/>
      <c r="AE34" s="2225"/>
      <c r="AF34" s="2225"/>
      <c r="AG34" s="2225">
        <f>SUM(AB34)</f>
        <v>-3288.0038115989496</v>
      </c>
      <c r="AH34" s="3789">
        <f t="shared" si="20"/>
        <v>-53.942788445555898</v>
      </c>
      <c r="AI34" s="2225">
        <f>SUM(AB34)</f>
        <v>-3288.0038115989496</v>
      </c>
      <c r="AJ34" s="3789">
        <f t="shared" ref="AJ34:AJ38" si="55">SUM(AI34/Z34)*100</f>
        <v>-53.942788445555898</v>
      </c>
      <c r="AK34" s="2225">
        <v>0</v>
      </c>
      <c r="AL34" s="2225">
        <v>0</v>
      </c>
      <c r="AM34" s="2225">
        <v>0</v>
      </c>
      <c r="AN34" s="2498">
        <v>0</v>
      </c>
      <c r="AO34" s="3864">
        <f>SUM(AN34/AI34)*100</f>
        <v>0</v>
      </c>
      <c r="AP34" s="4088">
        <f>SUM(AC34)</f>
        <v>-2807.35</v>
      </c>
      <c r="AQ34" s="4183"/>
      <c r="AR34" s="2498">
        <v>0</v>
      </c>
      <c r="AS34" s="2498">
        <v>0</v>
      </c>
      <c r="AT34" s="3811">
        <v>0</v>
      </c>
    </row>
    <row r="35" spans="1:46" s="2047" customFormat="1" ht="22.5" customHeight="1" x14ac:dyDescent="0.2">
      <c r="A35" s="2046" t="s">
        <v>2043</v>
      </c>
      <c r="B35" s="3906" t="s">
        <v>1753</v>
      </c>
      <c r="C35" s="3883" t="s">
        <v>902</v>
      </c>
      <c r="D35" s="3883"/>
      <c r="E35" s="3883"/>
      <c r="F35" s="3885"/>
      <c r="G35" s="3885"/>
      <c r="H35" s="3885"/>
      <c r="I35" s="3885"/>
      <c r="J35" s="3885"/>
      <c r="K35" s="3885">
        <f>K9+K29</f>
        <v>84701.909384375933</v>
      </c>
      <c r="L35" s="3885"/>
      <c r="M35" s="3885"/>
      <c r="N35" s="3885"/>
      <c r="O35" s="3885"/>
      <c r="P35" s="3885"/>
      <c r="Q35" s="3885">
        <f>Q9+Q29+Q31+Q32+Q33</f>
        <v>98987.282966597326</v>
      </c>
      <c r="R35" s="3885"/>
      <c r="S35" s="3885">
        <f>S9+S29+S31+S32+S33+S34</f>
        <v>81392.003999999986</v>
      </c>
      <c r="T35" s="3885">
        <f t="shared" ref="T35:Y35" si="56">T9+T29+T31+T32+T33</f>
        <v>121127.3</v>
      </c>
      <c r="U35" s="3885">
        <f t="shared" si="56"/>
        <v>121134.76000000001</v>
      </c>
      <c r="V35" s="3885">
        <f t="shared" si="56"/>
        <v>124960.26999999999</v>
      </c>
      <c r="W35" s="3885">
        <f t="shared" si="56"/>
        <v>128922.74</v>
      </c>
      <c r="X35" s="3885">
        <f t="shared" si="56"/>
        <v>133042.88</v>
      </c>
      <c r="Y35" s="3885">
        <f t="shared" si="56"/>
        <v>0</v>
      </c>
      <c r="Z35" s="3885">
        <f>Z9+Z29+Z31+Z32+Z33+Z34</f>
        <v>96264.342668392695</v>
      </c>
      <c r="AA35" s="3826">
        <f>Z35/Q35*100</f>
        <v>97.24920190089118</v>
      </c>
      <c r="AB35" s="3885">
        <f>AB9+AB29+AB31+AB32+AB33+AB34</f>
        <v>96255.024061003336</v>
      </c>
      <c r="AC35" s="3885">
        <f t="shared" ref="AC35:AF35" si="57">AC9+AC29+AC31+AC32+AC33+AC34</f>
        <v>99106.64973195846</v>
      </c>
      <c r="AD35" s="3885">
        <f t="shared" si="57"/>
        <v>104857.74200689301</v>
      </c>
      <c r="AE35" s="3885">
        <f t="shared" si="57"/>
        <v>107883.212349685</v>
      </c>
      <c r="AF35" s="3885">
        <f t="shared" si="57"/>
        <v>111000.61730132673</v>
      </c>
      <c r="AG35" s="3885">
        <f>AG9+AG29+AG31+AG32+AG33+AG34</f>
        <v>100458.63016433461</v>
      </c>
      <c r="AH35" s="3789">
        <f t="shared" si="20"/>
        <v>104.35705202952481</v>
      </c>
      <c r="AI35" s="3885">
        <f>AI9+AI29+AI31+AI32+AI33+AI34</f>
        <v>92162.177820273166</v>
      </c>
      <c r="AJ35" s="3789">
        <f t="shared" si="55"/>
        <v>95.738645552018681</v>
      </c>
      <c r="AK35" s="3885">
        <f>AK9+AK29+AK31+AK32+AK33+AK34</f>
        <v>41333.026150000005</v>
      </c>
      <c r="AL35" s="3885">
        <f>AL9+AL29+AL31+AL32+AL33+AL34</f>
        <v>62279.233329999995</v>
      </c>
      <c r="AM35" s="3885">
        <f>AM9+AM29+AM31+AM32+AM33+AM34</f>
        <v>83476.862999999983</v>
      </c>
      <c r="AN35" s="3891">
        <f>AN9+AN29+AN31+AN32+AN33+AN34</f>
        <v>115167.0118381748</v>
      </c>
      <c r="AO35" s="3864">
        <f>SUM(AN35/AI35)*100</f>
        <v>124.96125261141691</v>
      </c>
      <c r="AP35" s="4158">
        <f>AP9+AP29+AP31+AP32+AP33+AP34</f>
        <v>95495.080498794865</v>
      </c>
      <c r="AQ35" s="4183">
        <f t="shared" ref="AQ35:AQ38" si="58">SUM(AP35/AI35)*100</f>
        <v>103.61634540041061</v>
      </c>
      <c r="AR35" s="3891">
        <f>AR9+AR29+AR31+AR32+AR33+AR34</f>
        <v>41485.347180000012</v>
      </c>
      <c r="AS35" s="3891">
        <f>AS9+AS29+AS31+AS32+AS33+AS34</f>
        <v>62650.197609999996</v>
      </c>
      <c r="AT35" s="3886">
        <f>AT9+AT29+AT31+AT32+AT33+AT34</f>
        <v>275.44427473702683</v>
      </c>
    </row>
    <row r="36" spans="1:46" s="2805" customFormat="1" ht="20.100000000000001" customHeight="1" x14ac:dyDescent="0.25">
      <c r="A36" s="2814" t="s">
        <v>2044</v>
      </c>
      <c r="B36" s="3788" t="s">
        <v>1791</v>
      </c>
      <c r="C36" s="3787" t="s">
        <v>937</v>
      </c>
      <c r="D36" s="3792">
        <v>3644.7</v>
      </c>
      <c r="E36" s="3792">
        <v>3186.57</v>
      </c>
      <c r="F36" s="3789">
        <f>объемы!AA63</f>
        <v>3445</v>
      </c>
      <c r="G36" s="3789">
        <f>объемы!W63</f>
        <v>4196.72</v>
      </c>
      <c r="H36" s="3789">
        <f>объемы!Y63</f>
        <v>3040.84</v>
      </c>
      <c r="I36" s="3789">
        <f>F36</f>
        <v>3445</v>
      </c>
      <c r="J36" s="3789">
        <v>3200</v>
      </c>
      <c r="K36" s="3789">
        <f>объемы!AJ62</f>
        <v>3272.75</v>
      </c>
      <c r="L36" s="3789">
        <f>объемы!AN63</f>
        <v>3178.1</v>
      </c>
      <c r="M36" s="3789">
        <f>объемы!AP63</f>
        <v>3178.1</v>
      </c>
      <c r="N36" s="3789">
        <f>объемы!AJ62</f>
        <v>3272.75</v>
      </c>
      <c r="O36" s="3789">
        <f>K36</f>
        <v>3272.75</v>
      </c>
      <c r="P36" s="3789">
        <f>объемы!AL63</f>
        <v>3230</v>
      </c>
      <c r="Q36" s="3789">
        <f>объемы!AR63</f>
        <v>3230</v>
      </c>
      <c r="R36" s="3789"/>
      <c r="S36" s="3789">
        <f>SUM(объемы!AV63)</f>
        <v>3132.12</v>
      </c>
      <c r="T36" s="3789">
        <f>объемы!AX63</f>
        <v>3230</v>
      </c>
      <c r="U36" s="3789">
        <f>T36</f>
        <v>3230</v>
      </c>
      <c r="V36" s="3789">
        <f t="shared" ref="V36:Y36" si="59">U36</f>
        <v>3230</v>
      </c>
      <c r="W36" s="3789">
        <f t="shared" si="59"/>
        <v>3230</v>
      </c>
      <c r="X36" s="3789">
        <f t="shared" si="59"/>
        <v>3230</v>
      </c>
      <c r="Y36" s="3789">
        <f t="shared" si="59"/>
        <v>3230</v>
      </c>
      <c r="Z36" s="3789">
        <f>объемы!AZ63</f>
        <v>3002.3369764914323</v>
      </c>
      <c r="AA36" s="3789">
        <f>Z36/Q36*100</f>
        <v>92.951609179301315</v>
      </c>
      <c r="AB36" s="3789">
        <f>Z36</f>
        <v>3002.3369764914323</v>
      </c>
      <c r="AC36" s="3789">
        <f t="shared" ref="AC36:AF36" si="60">AB36</f>
        <v>3002.3369764914323</v>
      </c>
      <c r="AD36" s="3789">
        <f t="shared" si="60"/>
        <v>3002.3369764914323</v>
      </c>
      <c r="AE36" s="3789">
        <f t="shared" si="60"/>
        <v>3002.3369764914323</v>
      </c>
      <c r="AF36" s="3789">
        <f t="shared" si="60"/>
        <v>3002.3369764914323</v>
      </c>
      <c r="AG36" s="3789">
        <f>SUM(объемы!BB63)</f>
        <v>3002.3369764914323</v>
      </c>
      <c r="AH36" s="3789">
        <f t="shared" si="20"/>
        <v>100</v>
      </c>
      <c r="AI36" s="3789">
        <f>SUM(объемы!BD63)</f>
        <v>2826.7379999999998</v>
      </c>
      <c r="AJ36" s="3789">
        <f t="shared" si="55"/>
        <v>94.151256908655213</v>
      </c>
      <c r="AK36" s="3789">
        <f>SUM(объемы!BF63)</f>
        <v>1538.6509999999998</v>
      </c>
      <c r="AL36" s="3789">
        <f>SUM(объемы!BH63)</f>
        <v>2309.123</v>
      </c>
      <c r="AM36" s="3789">
        <f>SUM(объемы!BJ63)</f>
        <v>3105.598</v>
      </c>
      <c r="AN36" s="3864">
        <f>SUM(объемы!BL63)</f>
        <v>2826.7379999999998</v>
      </c>
      <c r="AO36" s="3864">
        <f>SUM(AN36/AI36)*100</f>
        <v>100</v>
      </c>
      <c r="AP36" s="4183">
        <f>SUM(объемы!BN63)</f>
        <v>2826.7379999999998</v>
      </c>
      <c r="AQ36" s="4183">
        <f t="shared" si="58"/>
        <v>100</v>
      </c>
      <c r="AR36" s="3864">
        <f>SUM(объемы!BQ63)</f>
        <v>1559.5720000000001</v>
      </c>
      <c r="AS36" s="3864">
        <f>SUM(объемы!BS63)</f>
        <v>2275.0949999999998</v>
      </c>
      <c r="AT36" s="3791">
        <f>SUM(объемы!BQ63)</f>
        <v>1559.5720000000001</v>
      </c>
    </row>
    <row r="37" spans="1:46" s="2805" customFormat="1" ht="20.100000000000001" customHeight="1" x14ac:dyDescent="0.25">
      <c r="A37" s="2804" t="s">
        <v>2048</v>
      </c>
      <c r="B37" s="3834" t="s">
        <v>938</v>
      </c>
      <c r="C37" s="3787" t="s">
        <v>937</v>
      </c>
      <c r="D37" s="3792">
        <v>2600</v>
      </c>
      <c r="E37" s="3792">
        <v>2289.52</v>
      </c>
      <c r="F37" s="3789">
        <f>объемы!AA64</f>
        <v>2448</v>
      </c>
      <c r="G37" s="3789">
        <f>объемы!W64</f>
        <v>2239.89</v>
      </c>
      <c r="H37" s="3789">
        <f>объемы!Y64</f>
        <v>2239.89</v>
      </c>
      <c r="I37" s="3789">
        <f>F37</f>
        <v>2448</v>
      </c>
      <c r="J37" s="3789">
        <v>2300</v>
      </c>
      <c r="K37" s="3789">
        <f>объемы!AJ64</f>
        <v>2300</v>
      </c>
      <c r="L37" s="3789">
        <f>объемы!AN64</f>
        <v>2420.66</v>
      </c>
      <c r="M37" s="3789">
        <f>L37</f>
        <v>2420.66</v>
      </c>
      <c r="N37" s="3789">
        <f>объемы!AJ64</f>
        <v>2300</v>
      </c>
      <c r="O37" s="3789">
        <v>2300</v>
      </c>
      <c r="P37" s="3789">
        <f>объемы!AL64</f>
        <v>2280</v>
      </c>
      <c r="Q37" s="3789">
        <f>объемы!AR64</f>
        <v>2280</v>
      </c>
      <c r="R37" s="3789"/>
      <c r="S37" s="3789">
        <f>объемы!AS64</f>
        <v>0</v>
      </c>
      <c r="T37" s="3789">
        <f>объемы!AX64</f>
        <v>2280</v>
      </c>
      <c r="U37" s="3789">
        <f>T37</f>
        <v>2280</v>
      </c>
      <c r="V37" s="3789">
        <f t="shared" ref="V37:Y37" si="61">U37</f>
        <v>2280</v>
      </c>
      <c r="W37" s="3789">
        <f t="shared" si="61"/>
        <v>2280</v>
      </c>
      <c r="X37" s="3789">
        <f t="shared" si="61"/>
        <v>2280</v>
      </c>
      <c r="Y37" s="3789">
        <f t="shared" si="61"/>
        <v>2280</v>
      </c>
      <c r="Z37" s="3789">
        <f>объемы!AZ64</f>
        <v>2280</v>
      </c>
      <c r="AA37" s="3789">
        <f>Z37/Q37*100</f>
        <v>100</v>
      </c>
      <c r="AB37" s="3789">
        <f>Z37</f>
        <v>2280</v>
      </c>
      <c r="AC37" s="3789">
        <f t="shared" ref="AC37:AF37" si="62">AB37</f>
        <v>2280</v>
      </c>
      <c r="AD37" s="3789">
        <f t="shared" si="62"/>
        <v>2280</v>
      </c>
      <c r="AE37" s="3789">
        <f t="shared" si="62"/>
        <v>2280</v>
      </c>
      <c r="AF37" s="3789">
        <f t="shared" si="62"/>
        <v>2280</v>
      </c>
      <c r="AG37" s="3789">
        <f>SUM(объемы!BB64)</f>
        <v>2280</v>
      </c>
      <c r="AH37" s="3789">
        <f t="shared" si="20"/>
        <v>100</v>
      </c>
      <c r="AI37" s="3789">
        <f>SUM(объемы!BD64)</f>
        <v>2146.6489999999999</v>
      </c>
      <c r="AJ37" s="3789">
        <f t="shared" si="55"/>
        <v>94.15127192982456</v>
      </c>
      <c r="AK37" s="3789">
        <f>SUM(объемы!BF64)</f>
        <v>1172.6869999999999</v>
      </c>
      <c r="AL37" s="3789">
        <f>SUM(объемы!BH64)</f>
        <v>1750.2370000000001</v>
      </c>
      <c r="AM37" s="3789">
        <f>SUM(объемы!BJ64)</f>
        <v>2347.616</v>
      </c>
      <c r="AN37" s="3864">
        <f>SUM(объемы!BL64)</f>
        <v>2146.6489999999999</v>
      </c>
      <c r="AO37" s="3864">
        <f>SUM(AN37/AI37)*100</f>
        <v>100</v>
      </c>
      <c r="AP37" s="4183">
        <f>SUM(объемы!BN64)</f>
        <v>2146.6489999999999</v>
      </c>
      <c r="AQ37" s="4183">
        <f t="shared" si="58"/>
        <v>100</v>
      </c>
      <c r="AR37" s="3864">
        <f>SUM(объемы!BQ64)</f>
        <v>1225.816</v>
      </c>
      <c r="AS37" s="3864">
        <f>SUM(объемы!BS64)</f>
        <v>1807.895</v>
      </c>
      <c r="AT37" s="3791">
        <f>SUM(объемы!BQ64)</f>
        <v>1225.816</v>
      </c>
    </row>
    <row r="38" spans="1:46" s="1237" customFormat="1" ht="20.100000000000001" customHeight="1" x14ac:dyDescent="0.25">
      <c r="A38" s="2802" t="s">
        <v>2045</v>
      </c>
      <c r="B38" s="3788" t="s">
        <v>940</v>
      </c>
      <c r="C38" s="3787" t="s">
        <v>941</v>
      </c>
      <c r="D38" s="3837">
        <f t="shared" ref="D38:J38" si="63">D9/D36</f>
        <v>24.290152824649493</v>
      </c>
      <c r="E38" s="3837">
        <f t="shared" si="63"/>
        <v>22.912708649111735</v>
      </c>
      <c r="F38" s="3837">
        <f t="shared" si="63"/>
        <v>24.708181875298283</v>
      </c>
      <c r="G38" s="3837">
        <f t="shared" si="63"/>
        <v>19.350159171924744</v>
      </c>
      <c r="H38" s="3837">
        <f t="shared" si="63"/>
        <v>27.621223433219228</v>
      </c>
      <c r="I38" s="3837">
        <f t="shared" si="63"/>
        <v>26.163633082836338</v>
      </c>
      <c r="J38" s="3837">
        <f t="shared" si="63"/>
        <v>28.026003124999999</v>
      </c>
      <c r="K38" s="3837">
        <f>K35/K36</f>
        <v>25.880959249675634</v>
      </c>
      <c r="L38" s="3837"/>
      <c r="M38" s="3837"/>
      <c r="N38" s="3837">
        <f>(N9+N29)/N36</f>
        <v>28.796345180959044</v>
      </c>
      <c r="O38" s="3837">
        <f>(O9+O29)/O36</f>
        <v>29.739021331602622</v>
      </c>
      <c r="P38" s="3837">
        <f>(P9+P29)/P36</f>
        <v>30.185198142414862</v>
      </c>
      <c r="Q38" s="3837">
        <f>Q35/Q36</f>
        <v>30.646217636717438</v>
      </c>
      <c r="R38" s="3837"/>
      <c r="S38" s="3837">
        <f t="shared" ref="S38" si="64">S35/S36</f>
        <v>25.986234243898696</v>
      </c>
      <c r="T38" s="3837">
        <f t="shared" ref="T38:AF38" si="65">T35/T36</f>
        <v>37.500712074303408</v>
      </c>
      <c r="U38" s="3837">
        <f t="shared" si="65"/>
        <v>37.50302167182663</v>
      </c>
      <c r="V38" s="3837">
        <f t="shared" si="65"/>
        <v>38.687390092879255</v>
      </c>
      <c r="W38" s="3837">
        <f t="shared" si="65"/>
        <v>39.914160990712077</v>
      </c>
      <c r="X38" s="3837">
        <f t="shared" si="65"/>
        <v>41.189746130030962</v>
      </c>
      <c r="Y38" s="3837">
        <f t="shared" si="65"/>
        <v>0</v>
      </c>
      <c r="Z38" s="3837">
        <f t="shared" si="65"/>
        <v>32.063137290101388</v>
      </c>
      <c r="AA38" s="3837">
        <f>Z38/Q38*100</f>
        <v>104.62347318086759</v>
      </c>
      <c r="AB38" s="3837">
        <f>AB35/AB36</f>
        <v>32.060033505462179</v>
      </c>
      <c r="AC38" s="3837">
        <f t="shared" si="65"/>
        <v>33.009835507463826</v>
      </c>
      <c r="AD38" s="3837">
        <f t="shared" si="65"/>
        <v>34.925374076240786</v>
      </c>
      <c r="AE38" s="3837">
        <f t="shared" si="65"/>
        <v>35.933079196112971</v>
      </c>
      <c r="AF38" s="3837">
        <f t="shared" si="65"/>
        <v>36.971405332070155</v>
      </c>
      <c r="AG38" s="3837">
        <f t="shared" ref="AG38:AK38" si="66">AG35/AG36</f>
        <v>33.46014486412907</v>
      </c>
      <c r="AH38" s="3837">
        <f t="shared" si="20"/>
        <v>104.35705202952479</v>
      </c>
      <c r="AI38" s="3837">
        <f t="shared" ref="AI38" si="67">AI35/AI36</f>
        <v>32.603721257602643</v>
      </c>
      <c r="AJ38" s="3837">
        <f t="shared" si="55"/>
        <v>101.68599835571345</v>
      </c>
      <c r="AK38" s="3837">
        <f t="shared" si="66"/>
        <v>26.863158799493849</v>
      </c>
      <c r="AL38" s="3837">
        <f t="shared" ref="AL38:AN38" si="68">AL35/AL36</f>
        <v>26.970946688418067</v>
      </c>
      <c r="AM38" s="3837">
        <f t="shared" si="68"/>
        <v>26.879481182046092</v>
      </c>
      <c r="AN38" s="3868">
        <f t="shared" si="68"/>
        <v>40.742018481435075</v>
      </c>
      <c r="AO38" s="3868">
        <f>SUM(AN38/AI38)*100</f>
        <v>124.96125261141691</v>
      </c>
      <c r="AP38" s="4185">
        <f t="shared" ref="AP38" si="69">AP35/AP36</f>
        <v>33.782784431664652</v>
      </c>
      <c r="AQ38" s="4183">
        <f t="shared" si="58"/>
        <v>103.61634540041061</v>
      </c>
      <c r="AR38" s="3979">
        <f t="shared" ref="AR38:AT38" si="70">AR35/AR36</f>
        <v>26.600469346718207</v>
      </c>
      <c r="AS38" s="4047">
        <f t="shared" si="70"/>
        <v>27.537398486656603</v>
      </c>
      <c r="AT38" s="4046">
        <f t="shared" si="70"/>
        <v>0.17661529877237267</v>
      </c>
    </row>
    <row r="39" spans="1:46" s="1237" customFormat="1" x14ac:dyDescent="0.25">
      <c r="A39" s="2802"/>
      <c r="B39" s="3839" t="s">
        <v>942</v>
      </c>
      <c r="C39" s="3787" t="s">
        <v>941</v>
      </c>
      <c r="D39" s="3899">
        <f>D38</f>
        <v>24.290152824649493</v>
      </c>
      <c r="E39" s="3787"/>
      <c r="F39" s="3789">
        <v>24.29</v>
      </c>
      <c r="G39" s="3789">
        <f>F39</f>
        <v>24.29</v>
      </c>
      <c r="H39" s="3789">
        <f>F39</f>
        <v>24.29</v>
      </c>
      <c r="I39" s="3789">
        <f>F40</f>
        <v>25.126363750596568</v>
      </c>
      <c r="J39" s="3789"/>
      <c r="K39" s="3789">
        <f>F40</f>
        <v>25.126363750596568</v>
      </c>
      <c r="L39" s="3789"/>
      <c r="M39" s="3789"/>
      <c r="N39" s="3789">
        <f>I40</f>
        <v>27.200902415076108</v>
      </c>
      <c r="O39" s="3789">
        <f>K40</f>
        <v>26.6355547487547</v>
      </c>
      <c r="P39" s="3789">
        <f>K40</f>
        <v>26.6355547487547</v>
      </c>
      <c r="Q39" s="3789">
        <f>K40</f>
        <v>26.6355547487547</v>
      </c>
      <c r="R39" s="3789"/>
      <c r="S39" s="3789"/>
      <c r="T39" s="3789"/>
      <c r="U39" s="3789"/>
      <c r="V39" s="3789"/>
      <c r="W39" s="3789"/>
      <c r="X39" s="3789"/>
      <c r="Y39" s="3789"/>
      <c r="Z39" s="3789">
        <f>Z38</f>
        <v>32.063137290101388</v>
      </c>
      <c r="AA39" s="3789"/>
      <c r="AB39" s="3789">
        <f>Z40</f>
        <v>32.063137290101388</v>
      </c>
      <c r="AC39" s="3789">
        <f>AB40</f>
        <v>32.056929720822971</v>
      </c>
      <c r="AD39" s="3789">
        <f t="shared" ref="AD39:AF39" si="71">AC40</f>
        <v>33.962741294104681</v>
      </c>
      <c r="AE39" s="3789">
        <f t="shared" si="71"/>
        <v>35.88800685837689</v>
      </c>
      <c r="AF39" s="3789">
        <f t="shared" si="71"/>
        <v>35.978151533849051</v>
      </c>
      <c r="AG39" s="3789">
        <f>SUM(Z40)</f>
        <v>32.063137290101388</v>
      </c>
      <c r="AH39" s="3789"/>
      <c r="AI39" s="3789">
        <f>SUM(AB40)+0.006</f>
        <v>32.062929720822972</v>
      </c>
      <c r="AJ39" s="3789"/>
      <c r="AK39" s="3789"/>
      <c r="AL39" s="3789"/>
      <c r="AM39" s="3789"/>
      <c r="AN39" s="3864">
        <f>SUM(AI40)</f>
        <v>33.144512794382315</v>
      </c>
      <c r="AO39" s="3864"/>
      <c r="AP39" s="4183">
        <f>SUM(AI40)</f>
        <v>33.144512794382315</v>
      </c>
      <c r="AQ39" s="4183"/>
      <c r="AR39" s="3864"/>
      <c r="AS39" s="3864"/>
      <c r="AT39" s="3791"/>
    </row>
    <row r="40" spans="1:46" s="1237" customFormat="1" x14ac:dyDescent="0.25">
      <c r="A40" s="2802"/>
      <c r="B40" s="3839" t="s">
        <v>943</v>
      </c>
      <c r="C40" s="3787" t="s">
        <v>941</v>
      </c>
      <c r="D40" s="3899">
        <f>D39</f>
        <v>24.290152824649493</v>
      </c>
      <c r="E40" s="3787"/>
      <c r="F40" s="3789">
        <f>F38*2-F39</f>
        <v>25.126363750596568</v>
      </c>
      <c r="G40" s="3789">
        <f t="shared" ref="G40:H40" si="72">G38*2-G39</f>
        <v>14.41031834384949</v>
      </c>
      <c r="H40" s="3789">
        <f t="shared" si="72"/>
        <v>30.952446866438457</v>
      </c>
      <c r="I40" s="3789">
        <f>I38*2-I39</f>
        <v>27.200902415076108</v>
      </c>
      <c r="J40" s="3789"/>
      <c r="K40" s="3789">
        <f>K38*2-K39</f>
        <v>26.6355547487547</v>
      </c>
      <c r="L40" s="3789"/>
      <c r="M40" s="3789"/>
      <c r="N40" s="3789">
        <f>N38*2-N39</f>
        <v>30.39178794684198</v>
      </c>
      <c r="O40" s="3789">
        <f>O38*2-O39</f>
        <v>32.842487914450544</v>
      </c>
      <c r="P40" s="3789">
        <f t="shared" ref="P40:Q40" si="73">P38*2-P39</f>
        <v>33.734841536075024</v>
      </c>
      <c r="Q40" s="3789">
        <f t="shared" si="73"/>
        <v>34.656880524680176</v>
      </c>
      <c r="R40" s="3789"/>
      <c r="S40" s="3789"/>
      <c r="T40" s="3789"/>
      <c r="U40" s="3789"/>
      <c r="V40" s="3789"/>
      <c r="W40" s="3789"/>
      <c r="X40" s="3789"/>
      <c r="Y40" s="3789"/>
      <c r="Z40" s="3789">
        <f t="shared" ref="Z40:AF40" si="74">Z38*2-Z39</f>
        <v>32.063137290101388</v>
      </c>
      <c r="AA40" s="3789"/>
      <c r="AB40" s="3789">
        <f t="shared" si="74"/>
        <v>32.056929720822971</v>
      </c>
      <c r="AC40" s="3789">
        <f t="shared" si="74"/>
        <v>33.962741294104681</v>
      </c>
      <c r="AD40" s="3789">
        <f t="shared" si="74"/>
        <v>35.88800685837689</v>
      </c>
      <c r="AE40" s="3789">
        <f t="shared" si="74"/>
        <v>35.978151533849051</v>
      </c>
      <c r="AF40" s="3789">
        <f t="shared" si="74"/>
        <v>37.96465913029126</v>
      </c>
      <c r="AG40" s="3789">
        <f t="shared" ref="AG40:AI40" si="75">AG38*2-AG39</f>
        <v>34.857152438156753</v>
      </c>
      <c r="AH40" s="3789"/>
      <c r="AI40" s="3789">
        <f t="shared" si="75"/>
        <v>33.144512794382315</v>
      </c>
      <c r="AJ40" s="3789"/>
      <c r="AK40" s="3789"/>
      <c r="AL40" s="3789"/>
      <c r="AM40" s="3789"/>
      <c r="AN40" s="3864">
        <f t="shared" ref="AN40" si="76">AN38*2-AN39</f>
        <v>48.339524168487834</v>
      </c>
      <c r="AO40" s="3864"/>
      <c r="AP40" s="4183">
        <f t="shared" ref="AP40" si="77">AP38*2-AP39</f>
        <v>34.421056068946989</v>
      </c>
      <c r="AQ40" s="4183"/>
      <c r="AR40" s="3864"/>
      <c r="AS40" s="3864"/>
      <c r="AT40" s="3791"/>
    </row>
    <row r="41" spans="1:46" s="1237" customFormat="1" x14ac:dyDescent="0.25">
      <c r="A41" s="2802"/>
      <c r="B41" s="3788" t="s">
        <v>944</v>
      </c>
      <c r="C41" s="3787"/>
      <c r="D41" s="3787"/>
      <c r="E41" s="3787"/>
      <c r="F41" s="3789"/>
      <c r="G41" s="3789"/>
      <c r="H41" s="3789"/>
      <c r="I41" s="3789"/>
      <c r="J41" s="3789"/>
      <c r="K41" s="3789"/>
      <c r="L41" s="3789"/>
      <c r="M41" s="3789"/>
      <c r="N41" s="3789"/>
      <c r="O41" s="3789"/>
      <c r="P41" s="3789"/>
      <c r="Q41" s="3789"/>
      <c r="R41" s="3789"/>
      <c r="S41" s="3789"/>
      <c r="T41" s="3789"/>
      <c r="U41" s="3789"/>
      <c r="V41" s="3789"/>
      <c r="W41" s="3789"/>
      <c r="X41" s="3789"/>
      <c r="Y41" s="3789"/>
      <c r="Z41" s="3789"/>
      <c r="AA41" s="3789"/>
      <c r="AB41" s="3789"/>
      <c r="AC41" s="3789"/>
      <c r="AD41" s="3789"/>
      <c r="AE41" s="3789"/>
      <c r="AF41" s="3789"/>
      <c r="AG41" s="3789"/>
      <c r="AH41" s="3789"/>
      <c r="AI41" s="3789"/>
      <c r="AJ41" s="3789"/>
      <c r="AK41" s="3789"/>
      <c r="AL41" s="3789"/>
      <c r="AM41" s="3789"/>
      <c r="AN41" s="3864"/>
      <c r="AO41" s="3864"/>
      <c r="AP41" s="4183"/>
      <c r="AQ41" s="4183"/>
      <c r="AR41" s="3864"/>
      <c r="AS41" s="3864"/>
      <c r="AT41" s="3791"/>
    </row>
    <row r="42" spans="1:46" s="1237" customFormat="1" x14ac:dyDescent="0.25">
      <c r="A42" s="2802"/>
      <c r="B42" s="3839" t="s">
        <v>942</v>
      </c>
      <c r="C42" s="3787" t="s">
        <v>44</v>
      </c>
      <c r="D42" s="3787"/>
      <c r="E42" s="3787"/>
      <c r="F42" s="3789"/>
      <c r="G42" s="3789"/>
      <c r="H42" s="3789"/>
      <c r="I42" s="3789">
        <f>I39/F40*100</f>
        <v>100</v>
      </c>
      <c r="J42" s="3789"/>
      <c r="K42" s="3789">
        <f>K39/F40*100</f>
        <v>100</v>
      </c>
      <c r="L42" s="3789"/>
      <c r="M42" s="3789"/>
      <c r="N42" s="3789">
        <f>N39/I40*100</f>
        <v>100</v>
      </c>
      <c r="O42" s="3789">
        <f>O39/K40*100</f>
        <v>100</v>
      </c>
      <c r="P42" s="3789"/>
      <c r="Q42" s="3789"/>
      <c r="R42" s="3789"/>
      <c r="S42" s="3789"/>
      <c r="T42" s="3789"/>
      <c r="U42" s="3789"/>
      <c r="V42" s="3789"/>
      <c r="W42" s="3789"/>
      <c r="X42" s="3789"/>
      <c r="Y42" s="3789"/>
      <c r="Z42" s="3789">
        <f>Z39/Q40*100</f>
        <v>92.515935666132137</v>
      </c>
      <c r="AA42" s="3789"/>
      <c r="AB42" s="3789">
        <f>AB39/Z40*100</f>
        <v>100</v>
      </c>
      <c r="AC42" s="3789">
        <f t="shared" ref="AC42:AF42" si="78">AC39/AB40*100</f>
        <v>100</v>
      </c>
      <c r="AD42" s="3789">
        <f t="shared" si="78"/>
        <v>100</v>
      </c>
      <c r="AE42" s="3789">
        <f t="shared" si="78"/>
        <v>100</v>
      </c>
      <c r="AF42" s="3789">
        <f t="shared" si="78"/>
        <v>100</v>
      </c>
      <c r="AG42" s="3789">
        <f>SUM(AG39/Z40)*100</f>
        <v>100</v>
      </c>
      <c r="AH42" s="3789"/>
      <c r="AI42" s="3842">
        <f>SUM(AI39/AB40)*100</f>
        <v>100.01871670198068</v>
      </c>
      <c r="AJ42" s="3789"/>
      <c r="AK42" s="3789"/>
      <c r="AL42" s="3789"/>
      <c r="AM42" s="3789"/>
      <c r="AN42" s="3864">
        <f>SUM(AN39/AI40)*100</f>
        <v>100</v>
      </c>
      <c r="AO42" s="3864"/>
      <c r="AP42" s="4184">
        <f>SUM(AP39/AI40)*100</f>
        <v>100</v>
      </c>
      <c r="AQ42" s="4183"/>
      <c r="AR42" s="3864"/>
      <c r="AS42" s="3864"/>
      <c r="AT42" s="3791"/>
    </row>
    <row r="43" spans="1:46" s="1237" customFormat="1" x14ac:dyDescent="0.25">
      <c r="A43" s="2802"/>
      <c r="B43" s="3839" t="s">
        <v>943</v>
      </c>
      <c r="C43" s="3787" t="s">
        <v>44</v>
      </c>
      <c r="D43" s="3787"/>
      <c r="E43" s="3787"/>
      <c r="F43" s="3789">
        <f>F40/F39*100</f>
        <v>103.44324310661412</v>
      </c>
      <c r="G43" s="3789"/>
      <c r="H43" s="3789"/>
      <c r="I43" s="3789">
        <f>I40/I39*100</f>
        <v>108.25642215909687</v>
      </c>
      <c r="J43" s="3789"/>
      <c r="K43" s="3789">
        <f>K40/K39*100</f>
        <v>106.00640432152584</v>
      </c>
      <c r="L43" s="3789"/>
      <c r="M43" s="3789"/>
      <c r="N43" s="3789">
        <f>N40/N39*100</f>
        <v>111.73080761466694</v>
      </c>
      <c r="O43" s="3789">
        <f>O40/O39*100</f>
        <v>123.30318712804748</v>
      </c>
      <c r="P43" s="3789">
        <f t="shared" ref="P43:Q43" si="79">P40/P39*100</f>
        <v>126.6534219177554</v>
      </c>
      <c r="Q43" s="3789">
        <f t="shared" si="79"/>
        <v>130.11510686219327</v>
      </c>
      <c r="R43" s="3789"/>
      <c r="S43" s="3789"/>
      <c r="T43" s="3789"/>
      <c r="U43" s="3789"/>
      <c r="V43" s="3789"/>
      <c r="W43" s="3789"/>
      <c r="X43" s="3789"/>
      <c r="Y43" s="3789"/>
      <c r="Z43" s="3789">
        <f>Z40/Z39*100</f>
        <v>100</v>
      </c>
      <c r="AA43" s="3789"/>
      <c r="AB43" s="3789">
        <f t="shared" ref="AB43:AF43" si="80">AB40/AB39*100</f>
        <v>99.980639544963267</v>
      </c>
      <c r="AC43" s="3789">
        <f t="shared" si="80"/>
        <v>105.94508454140498</v>
      </c>
      <c r="AD43" s="3789">
        <f t="shared" si="80"/>
        <v>105.66875785320191</v>
      </c>
      <c r="AE43" s="3789">
        <f t="shared" si="80"/>
        <v>100.2511832875754</v>
      </c>
      <c r="AF43" s="3789">
        <f t="shared" si="80"/>
        <v>105.52142762135308</v>
      </c>
      <c r="AG43" s="3789">
        <f>AG40/AG39*100</f>
        <v>108.71410405904957</v>
      </c>
      <c r="AH43" s="3789"/>
      <c r="AI43" s="3789">
        <f>AI40/AI39*100</f>
        <v>103.37331330286052</v>
      </c>
      <c r="AJ43" s="3789"/>
      <c r="AK43" s="3789"/>
      <c r="AL43" s="3789"/>
      <c r="AM43" s="3789"/>
      <c r="AN43" s="3864">
        <f>AN40/AN39*100</f>
        <v>145.84472690357643</v>
      </c>
      <c r="AO43" s="3864"/>
      <c r="AP43" s="4183">
        <f>AP40/AP39*100</f>
        <v>103.85144679146117</v>
      </c>
      <c r="AQ43" s="4183"/>
      <c r="AR43" s="3864"/>
      <c r="AS43" s="3864"/>
      <c r="AT43" s="3791"/>
    </row>
    <row r="44" spans="1:46" s="2815" customFormat="1" ht="20.100000000000001" customHeight="1" x14ac:dyDescent="0.25">
      <c r="A44" s="1932" t="s">
        <v>2049</v>
      </c>
      <c r="B44" s="3788" t="s">
        <v>3574</v>
      </c>
      <c r="C44" s="2632"/>
      <c r="D44" s="2632"/>
      <c r="E44" s="2632"/>
      <c r="F44" s="2632"/>
      <c r="G44" s="2632"/>
      <c r="H44" s="2632"/>
      <c r="I44" s="2632"/>
      <c r="J44" s="2632"/>
      <c r="K44" s="2632"/>
      <c r="L44" s="2632"/>
      <c r="M44" s="2632"/>
      <c r="N44" s="2632"/>
      <c r="O44" s="2632"/>
      <c r="P44" s="2632"/>
      <c r="Q44" s="2632"/>
      <c r="R44" s="2632"/>
      <c r="S44" s="2632"/>
      <c r="T44" s="2632"/>
      <c r="U44" s="2632"/>
      <c r="V44" s="2632"/>
      <c r="W44" s="2632"/>
      <c r="X44" s="2632"/>
      <c r="Y44" s="2632"/>
      <c r="Z44" s="2632"/>
      <c r="AA44" s="2632"/>
      <c r="AB44" s="2632"/>
      <c r="AC44" s="2632"/>
      <c r="AD44" s="2632"/>
      <c r="AE44" s="2632"/>
      <c r="AF44" s="2632"/>
      <c r="AG44" s="2632"/>
      <c r="AH44" s="3789"/>
      <c r="AI44" s="2632"/>
      <c r="AJ44" s="3789"/>
      <c r="AK44" s="2632"/>
      <c r="AL44" s="2632"/>
      <c r="AM44" s="2632"/>
      <c r="AN44" s="2499"/>
      <c r="AO44" s="3864"/>
      <c r="AP44" s="4179"/>
      <c r="AQ44" s="4183"/>
      <c r="AR44" s="2499"/>
      <c r="AS44" s="2499"/>
      <c r="AT44" s="3845"/>
    </row>
    <row r="45" spans="1:46" s="2815" customFormat="1" x14ac:dyDescent="0.25">
      <c r="A45" s="1933"/>
      <c r="B45" s="3839" t="s">
        <v>942</v>
      </c>
      <c r="C45" s="3847" t="s">
        <v>947</v>
      </c>
      <c r="D45" s="3847"/>
      <c r="E45" s="3847"/>
      <c r="F45" s="3849">
        <v>21.01</v>
      </c>
      <c r="G45" s="3849"/>
      <c r="H45" s="3849"/>
      <c r="I45" s="3849">
        <f>F46</f>
        <v>22.500000000000004</v>
      </c>
      <c r="J45" s="3849"/>
      <c r="K45" s="3849">
        <f>F46</f>
        <v>22.500000000000004</v>
      </c>
      <c r="L45" s="3849"/>
      <c r="M45" s="3849"/>
      <c r="N45" s="3849">
        <f>I46</f>
        <v>23.782500000000002</v>
      </c>
      <c r="O45" s="3849"/>
      <c r="P45" s="3849"/>
      <c r="Q45" s="3849">
        <f>K46</f>
        <v>23.467500000000001</v>
      </c>
      <c r="R45" s="3849"/>
      <c r="S45" s="3849"/>
      <c r="T45" s="3849"/>
      <c r="U45" s="3849"/>
      <c r="V45" s="3849"/>
      <c r="W45" s="3849"/>
      <c r="X45" s="3849"/>
      <c r="Y45" s="3849"/>
      <c r="Z45" s="3849">
        <f>Q46</f>
        <v>24.87</v>
      </c>
      <c r="AA45" s="3849"/>
      <c r="AB45" s="3849">
        <f>Z46</f>
        <v>25.44201</v>
      </c>
      <c r="AC45" s="3849">
        <f t="shared" ref="AC45:AF45" si="81">AB46</f>
        <v>26.459690399999999</v>
      </c>
      <c r="AD45" s="3849">
        <f t="shared" si="81"/>
        <v>27.518078016</v>
      </c>
      <c r="AE45" s="3849">
        <f t="shared" si="81"/>
        <v>28.618801136640002</v>
      </c>
      <c r="AF45" s="3849">
        <f t="shared" si="81"/>
        <v>29.763553182105603</v>
      </c>
      <c r="AG45" s="3849">
        <f>SUM(Z46)</f>
        <v>25.44201</v>
      </c>
      <c r="AH45" s="3789"/>
      <c r="AI45" s="3849">
        <f>SUM(Z46)</f>
        <v>25.44201</v>
      </c>
      <c r="AJ45" s="3789"/>
      <c r="AK45" s="3849"/>
      <c r="AL45" s="3849"/>
      <c r="AM45" s="3849"/>
      <c r="AN45" s="3869">
        <f>SUM(AI46)</f>
        <v>26.459690399999999</v>
      </c>
      <c r="AO45" s="3864"/>
      <c r="AP45" s="4178">
        <v>26.46</v>
      </c>
      <c r="AQ45" s="4183"/>
      <c r="AR45" s="3869"/>
      <c r="AS45" s="3869"/>
      <c r="AT45" s="3851"/>
    </row>
    <row r="46" spans="1:46" s="2815" customFormat="1" x14ac:dyDescent="0.25">
      <c r="A46" s="1933"/>
      <c r="B46" s="3839" t="s">
        <v>943</v>
      </c>
      <c r="C46" s="3847" t="s">
        <v>947</v>
      </c>
      <c r="D46" s="3847"/>
      <c r="E46" s="3847"/>
      <c r="F46" s="3849">
        <f>26.55/1.18</f>
        <v>22.500000000000004</v>
      </c>
      <c r="G46" s="3849"/>
      <c r="H46" s="3849"/>
      <c r="I46" s="3849">
        <f>I45*1.057</f>
        <v>23.782500000000002</v>
      </c>
      <c r="J46" s="3849"/>
      <c r="K46" s="3849">
        <f>K45*1.043</f>
        <v>23.467500000000001</v>
      </c>
      <c r="L46" s="3849"/>
      <c r="M46" s="3849"/>
      <c r="N46" s="3849">
        <f>N45*1.06</f>
        <v>25.209450000000004</v>
      </c>
      <c r="O46" s="3849"/>
      <c r="P46" s="3849"/>
      <c r="Q46" s="3849">
        <v>24.87</v>
      </c>
      <c r="R46" s="3849"/>
      <c r="S46" s="3849"/>
      <c r="T46" s="3849"/>
      <c r="U46" s="3849"/>
      <c r="V46" s="3849"/>
      <c r="W46" s="3849"/>
      <c r="X46" s="3849"/>
      <c r="Y46" s="3849"/>
      <c r="Z46" s="3849">
        <f>Z45*1.023</f>
        <v>25.44201</v>
      </c>
      <c r="AA46" s="3849"/>
      <c r="AB46" s="3849">
        <f>AB45*1.04</f>
        <v>26.459690399999999</v>
      </c>
      <c r="AC46" s="3849">
        <f t="shared" ref="AC46:AF46" si="82">AC45*1.04</f>
        <v>27.518078016</v>
      </c>
      <c r="AD46" s="3849">
        <f t="shared" si="82"/>
        <v>28.618801136640002</v>
      </c>
      <c r="AE46" s="3849">
        <f t="shared" si="82"/>
        <v>29.763553182105603</v>
      </c>
      <c r="AF46" s="3849">
        <f t="shared" si="82"/>
        <v>30.954095309389828</v>
      </c>
      <c r="AG46" s="3849">
        <f>AG45*1.04</f>
        <v>26.459690399999999</v>
      </c>
      <c r="AH46" s="3789"/>
      <c r="AI46" s="3849">
        <f>AI45*1.04</f>
        <v>26.459690399999999</v>
      </c>
      <c r="AJ46" s="3789"/>
      <c r="AK46" s="3849"/>
      <c r="AL46" s="3849"/>
      <c r="AM46" s="3849"/>
      <c r="AN46" s="3869">
        <f>AN45*1.04</f>
        <v>27.518078016</v>
      </c>
      <c r="AO46" s="3864"/>
      <c r="AP46" s="4178">
        <v>27.25</v>
      </c>
      <c r="AQ46" s="4183"/>
      <c r="AR46" s="3869"/>
      <c r="AS46" s="3869"/>
      <c r="AT46" s="3851"/>
    </row>
    <row r="47" spans="1:46" s="2815" customFormat="1" x14ac:dyDescent="0.25">
      <c r="A47" s="1933"/>
      <c r="B47" s="3839" t="s">
        <v>349</v>
      </c>
      <c r="C47" s="3847" t="s">
        <v>44</v>
      </c>
      <c r="D47" s="3847"/>
      <c r="E47" s="3847"/>
      <c r="F47" s="3853">
        <f>F46/F45*100</f>
        <v>107.09186101856261</v>
      </c>
      <c r="G47" s="3853"/>
      <c r="H47" s="3853"/>
      <c r="I47" s="3848">
        <f>I46/I45*100</f>
        <v>105.69999999999999</v>
      </c>
      <c r="J47" s="3848"/>
      <c r="K47" s="3853">
        <f>K46/K45*100</f>
        <v>104.3</v>
      </c>
      <c r="L47" s="3853"/>
      <c r="M47" s="3853"/>
      <c r="N47" s="3853">
        <f>N46/N45*100</f>
        <v>106</v>
      </c>
      <c r="O47" s="3853"/>
      <c r="P47" s="3853"/>
      <c r="Q47" s="3853">
        <f>Q46/Q45*100</f>
        <v>105.97635027165228</v>
      </c>
      <c r="R47" s="3853"/>
      <c r="S47" s="3853"/>
      <c r="T47" s="3853"/>
      <c r="U47" s="3853"/>
      <c r="V47" s="3853"/>
      <c r="W47" s="3853"/>
      <c r="X47" s="3853"/>
      <c r="Y47" s="3853"/>
      <c r="Z47" s="3853">
        <f>Z46/Z45*100</f>
        <v>102.3</v>
      </c>
      <c r="AA47" s="3853"/>
      <c r="AB47" s="3853">
        <f t="shared" ref="AB47:AF47" si="83">AB46/AB45*100</f>
        <v>104</v>
      </c>
      <c r="AC47" s="3853">
        <f t="shared" si="83"/>
        <v>104</v>
      </c>
      <c r="AD47" s="3853">
        <f t="shared" si="83"/>
        <v>104</v>
      </c>
      <c r="AE47" s="3853">
        <f t="shared" si="83"/>
        <v>104</v>
      </c>
      <c r="AF47" s="3853">
        <f t="shared" si="83"/>
        <v>104</v>
      </c>
      <c r="AG47" s="3853">
        <f>AG46/AG45*100</f>
        <v>104</v>
      </c>
      <c r="AH47" s="3789"/>
      <c r="AI47" s="3853">
        <f>AI46/AI45*100</f>
        <v>104</v>
      </c>
      <c r="AJ47" s="3789"/>
      <c r="AK47" s="3853"/>
      <c r="AL47" s="3853"/>
      <c r="AM47" s="3853"/>
      <c r="AN47" s="3870">
        <f>AN46/AN45*100</f>
        <v>104</v>
      </c>
      <c r="AO47" s="3864"/>
      <c r="AP47" s="4177">
        <f>AP46/AP45*100</f>
        <v>102.98563869992441</v>
      </c>
      <c r="AQ47" s="4183"/>
      <c r="AR47" s="3870"/>
      <c r="AS47" s="3870"/>
      <c r="AT47" s="3854"/>
    </row>
    <row r="48" spans="1:46" s="2815" customFormat="1" x14ac:dyDescent="0.25">
      <c r="A48" s="1933"/>
      <c r="B48" s="3788" t="s">
        <v>948</v>
      </c>
      <c r="C48" s="3847" t="s">
        <v>902</v>
      </c>
      <c r="D48" s="3847"/>
      <c r="E48" s="3847"/>
      <c r="F48" s="3849">
        <f>(F39-F45)*F37/2+(F40-F46)*F37/2</f>
        <v>7229.3892307301912</v>
      </c>
      <c r="G48" s="3849"/>
      <c r="H48" s="3849"/>
      <c r="I48" s="3849">
        <f>(I39-I45)*I37/2+(I40-I46)*I37/2</f>
        <v>7398.793786783348</v>
      </c>
      <c r="J48" s="3849"/>
      <c r="K48" s="3849">
        <f>(K39-K45)*K37/2+(K40-K46)*K37/2</f>
        <v>6663.5812742539529</v>
      </c>
      <c r="L48" s="3849"/>
      <c r="M48" s="3849"/>
      <c r="N48" s="3849">
        <f>(N39-N45)*N37/2+(N40-N46)*N37/2</f>
        <v>9890.8514162057945</v>
      </c>
      <c r="O48" s="3849"/>
      <c r="P48" s="3849"/>
      <c r="Q48" s="3849">
        <f>(Q39-Q45)*Q37/2+(Q40-Q46)*Q37/2</f>
        <v>14768.626211715757</v>
      </c>
      <c r="R48" s="3849"/>
      <c r="S48" s="3849"/>
      <c r="T48" s="3849"/>
      <c r="U48" s="3849"/>
      <c r="V48" s="3849"/>
      <c r="W48" s="3849"/>
      <c r="X48" s="3849"/>
      <c r="Y48" s="3849"/>
      <c r="Z48" s="3849">
        <f>(Z39-Z45)*Z37/2+(Z40-Z46)*Z37/2</f>
        <v>15748.261621431164</v>
      </c>
      <c r="AA48" s="3849"/>
      <c r="AB48" s="3849">
        <f t="shared" ref="AB48:AF48" si="84">(AB39-AB45)*AB37/2+(AB40-AB46)*AB37/2</f>
        <v>13928.937936453771</v>
      </c>
      <c r="AC48" s="3849">
        <f t="shared" si="84"/>
        <v>13727.768962777523</v>
      </c>
      <c r="AD48" s="3849">
        <f t="shared" si="84"/>
        <v>15633.810659819388</v>
      </c>
      <c r="AE48" s="3849">
        <f t="shared" si="84"/>
        <v>15371.536643767582</v>
      </c>
      <c r="AF48" s="3849">
        <f t="shared" si="84"/>
        <v>15076.684876815161</v>
      </c>
      <c r="AG48" s="3849">
        <f>(AG39-AG45)*AG37/2+(AG40-AG46)*AG37/2</f>
        <v>17121.191834214282</v>
      </c>
      <c r="AH48" s="3789"/>
      <c r="AI48" s="3849">
        <f>(AI39-AI45)*AI37/2+(AI40-AI46)*AI37/2</f>
        <v>14281.379002931657</v>
      </c>
      <c r="AJ48" s="3789"/>
      <c r="AK48" s="3849"/>
      <c r="AL48" s="3849"/>
      <c r="AM48" s="3849"/>
      <c r="AN48" s="3869">
        <f>(AN39-AN45)*AN37/2+(AN40-AN46)*AN37/2</f>
        <v>29523.151934935129</v>
      </c>
      <c r="AO48" s="3864"/>
      <c r="AP48" s="4178">
        <f>(AP39-AP45)*AP37/2+(AP40-AP46)*AP37/2</f>
        <v>14871.521522448493</v>
      </c>
      <c r="AQ48" s="4183"/>
      <c r="AR48" s="3869"/>
      <c r="AS48" s="3869"/>
      <c r="AT48" s="3851"/>
    </row>
    <row r="49" spans="1:46" s="2815" customFormat="1" ht="32.25" customHeight="1" x14ac:dyDescent="0.25">
      <c r="A49" s="1932" t="s">
        <v>2050</v>
      </c>
      <c r="B49" s="3788" t="s">
        <v>3575</v>
      </c>
      <c r="C49" s="2632"/>
      <c r="D49" s="2632"/>
      <c r="E49" s="2632"/>
      <c r="F49" s="3900"/>
      <c r="G49" s="3900"/>
      <c r="H49" s="3900"/>
      <c r="I49" s="3900"/>
      <c r="J49" s="3900"/>
      <c r="K49" s="3900"/>
      <c r="L49" s="3900"/>
      <c r="M49" s="3900"/>
      <c r="N49" s="2632"/>
      <c r="O49" s="2632"/>
      <c r="P49" s="2632"/>
      <c r="Q49" s="2632"/>
      <c r="R49" s="2632"/>
      <c r="S49" s="2632"/>
      <c r="T49" s="2632"/>
      <c r="U49" s="2632"/>
      <c r="V49" s="2632"/>
      <c r="W49" s="2632"/>
      <c r="X49" s="2632"/>
      <c r="Y49" s="2632"/>
      <c r="Z49" s="2632"/>
      <c r="AA49" s="2632"/>
      <c r="AB49" s="2632"/>
      <c r="AC49" s="2632"/>
      <c r="AD49" s="2632"/>
      <c r="AE49" s="2632"/>
      <c r="AF49" s="2632"/>
      <c r="AG49" s="2632"/>
      <c r="AH49" s="3789"/>
      <c r="AI49" s="2632"/>
      <c r="AJ49" s="3789"/>
      <c r="AK49" s="2632"/>
      <c r="AL49" s="2632"/>
      <c r="AM49" s="2632"/>
      <c r="AN49" s="2499"/>
      <c r="AO49" s="3864"/>
      <c r="AP49" s="4179"/>
      <c r="AQ49" s="4183"/>
      <c r="AR49" s="2499"/>
      <c r="AS49" s="2499"/>
      <c r="AT49" s="3845"/>
    </row>
    <row r="50" spans="1:46" s="2815" customFormat="1" x14ac:dyDescent="0.25">
      <c r="A50" s="1933"/>
      <c r="B50" s="3839" t="s">
        <v>942</v>
      </c>
      <c r="C50" s="3847" t="s">
        <v>947</v>
      </c>
      <c r="D50" s="3847"/>
      <c r="E50" s="3847"/>
      <c r="F50" s="3849">
        <f>F45*1.18</f>
        <v>24.791800000000002</v>
      </c>
      <c r="G50" s="3849"/>
      <c r="H50" s="3849"/>
      <c r="I50" s="3849">
        <f>F51</f>
        <v>26.550000000000004</v>
      </c>
      <c r="J50" s="3849"/>
      <c r="K50" s="3840">
        <f>F51</f>
        <v>26.550000000000004</v>
      </c>
      <c r="L50" s="3840"/>
      <c r="M50" s="3840"/>
      <c r="N50" s="3849">
        <f>I51</f>
        <v>28.063350000000003</v>
      </c>
      <c r="O50" s="3849"/>
      <c r="P50" s="3849"/>
      <c r="Q50" s="3849">
        <f>Q45*1.18</f>
        <v>27.691649999999999</v>
      </c>
      <c r="R50" s="3849"/>
      <c r="S50" s="3849"/>
      <c r="T50" s="3849"/>
      <c r="U50" s="3849"/>
      <c r="V50" s="3849"/>
      <c r="W50" s="3849"/>
      <c r="X50" s="3849"/>
      <c r="Y50" s="3849"/>
      <c r="Z50" s="3849">
        <f>Z45*1.2</f>
        <v>29.844000000000001</v>
      </c>
      <c r="AA50" s="3849"/>
      <c r="AB50" s="3849">
        <f t="shared" ref="AB50:AF50" si="85">AB45*1.2</f>
        <v>30.530411999999998</v>
      </c>
      <c r="AC50" s="3849">
        <f t="shared" si="85"/>
        <v>31.751628479999997</v>
      </c>
      <c r="AD50" s="3849">
        <f t="shared" si="85"/>
        <v>33.021693619200001</v>
      </c>
      <c r="AE50" s="3849">
        <f t="shared" si="85"/>
        <v>34.342561363968002</v>
      </c>
      <c r="AF50" s="3849">
        <f t="shared" si="85"/>
        <v>35.71626381852672</v>
      </c>
      <c r="AG50" s="3849">
        <f>AG45*1.2</f>
        <v>30.530411999999998</v>
      </c>
      <c r="AH50" s="3789"/>
      <c r="AI50" s="3849">
        <f>AI45*1.2</f>
        <v>30.530411999999998</v>
      </c>
      <c r="AJ50" s="3789"/>
      <c r="AK50" s="3849"/>
      <c r="AL50" s="3849"/>
      <c r="AM50" s="3849"/>
      <c r="AN50" s="3869">
        <f>AN45*1.2</f>
        <v>31.751628479999997</v>
      </c>
      <c r="AO50" s="3864"/>
      <c r="AP50" s="4178">
        <f>AP45*1.2</f>
        <v>31.751999999999999</v>
      </c>
      <c r="AQ50" s="4183"/>
      <c r="AR50" s="3869"/>
      <c r="AS50" s="3869"/>
      <c r="AT50" s="3851"/>
    </row>
    <row r="51" spans="1:46" s="2815" customFormat="1" x14ac:dyDescent="0.25">
      <c r="A51" s="1933"/>
      <c r="B51" s="3839" t="s">
        <v>943</v>
      </c>
      <c r="C51" s="3847" t="s">
        <v>947</v>
      </c>
      <c r="D51" s="3847"/>
      <c r="E51" s="3847"/>
      <c r="F51" s="3849">
        <f>F46*1.18</f>
        <v>26.550000000000004</v>
      </c>
      <c r="G51" s="3849"/>
      <c r="H51" s="3849"/>
      <c r="I51" s="3849">
        <f>I50*1.057</f>
        <v>28.063350000000003</v>
      </c>
      <c r="J51" s="3849"/>
      <c r="K51" s="3840">
        <f>K46*1.18</f>
        <v>27.691649999999999</v>
      </c>
      <c r="L51" s="3840"/>
      <c r="M51" s="3840"/>
      <c r="N51" s="3901">
        <f>N50*1.046</f>
        <v>29.354264100000005</v>
      </c>
      <c r="O51" s="3901"/>
      <c r="P51" s="3901"/>
      <c r="Q51" s="3849">
        <f>Q46*1.18</f>
        <v>29.346599999999999</v>
      </c>
      <c r="R51" s="3849"/>
      <c r="S51" s="3849"/>
      <c r="T51" s="3849"/>
      <c r="U51" s="3849"/>
      <c r="V51" s="3849"/>
      <c r="W51" s="3849"/>
      <c r="X51" s="3849"/>
      <c r="Y51" s="3849"/>
      <c r="Z51" s="3849">
        <f>Z46*1.2</f>
        <v>30.530411999999998</v>
      </c>
      <c r="AA51" s="3849"/>
      <c r="AB51" s="3849">
        <f t="shared" ref="AB51:AF51" si="86">AB46*1.2</f>
        <v>31.751628479999997</v>
      </c>
      <c r="AC51" s="3849">
        <f t="shared" si="86"/>
        <v>33.021693619200001</v>
      </c>
      <c r="AD51" s="3849">
        <f t="shared" si="86"/>
        <v>34.342561363968002</v>
      </c>
      <c r="AE51" s="3849">
        <f t="shared" si="86"/>
        <v>35.71626381852672</v>
      </c>
      <c r="AF51" s="3849">
        <f t="shared" si="86"/>
        <v>37.144914371267795</v>
      </c>
      <c r="AG51" s="3849">
        <f>AG46*1.2</f>
        <v>31.751628479999997</v>
      </c>
      <c r="AH51" s="3789"/>
      <c r="AI51" s="3849">
        <f>AI46*1.2</f>
        <v>31.751628479999997</v>
      </c>
      <c r="AJ51" s="3789"/>
      <c r="AK51" s="3849"/>
      <c r="AL51" s="3849"/>
      <c r="AM51" s="3849"/>
      <c r="AN51" s="3869">
        <f>AN46*1.2</f>
        <v>33.021693619200001</v>
      </c>
      <c r="AO51" s="3864"/>
      <c r="AP51" s="4178">
        <f>AP46*1.2</f>
        <v>32.699999999999996</v>
      </c>
      <c r="AQ51" s="4183"/>
      <c r="AR51" s="3869"/>
      <c r="AS51" s="3869"/>
      <c r="AT51" s="3851"/>
    </row>
    <row r="52" spans="1:46" s="2815" customFormat="1" x14ac:dyDescent="0.25">
      <c r="A52" s="1933"/>
      <c r="B52" s="3839" t="s">
        <v>349</v>
      </c>
      <c r="C52" s="3847" t="s">
        <v>44</v>
      </c>
      <c r="D52" s="3847"/>
      <c r="E52" s="3847"/>
      <c r="F52" s="3849">
        <f>F51/F50*100</f>
        <v>107.09186101856261</v>
      </c>
      <c r="G52" s="3849"/>
      <c r="H52" s="3849"/>
      <c r="I52" s="3849">
        <f>I51/I50*100</f>
        <v>105.69999999999999</v>
      </c>
      <c r="J52" s="3848"/>
      <c r="K52" s="3849">
        <f>K51/K50*100</f>
        <v>104.29999999999997</v>
      </c>
      <c r="L52" s="3849"/>
      <c r="M52" s="3849"/>
      <c r="N52" s="2632">
        <f>N51/N50*100</f>
        <v>104.60000000000001</v>
      </c>
      <c r="O52" s="2632"/>
      <c r="P52" s="2632"/>
      <c r="Q52" s="3894">
        <f>Q51/Q50*100</f>
        <v>105.97635027165228</v>
      </c>
      <c r="R52" s="3894"/>
      <c r="S52" s="3894"/>
      <c r="T52" s="3894"/>
      <c r="U52" s="3894"/>
      <c r="V52" s="3894"/>
      <c r="W52" s="3894"/>
      <c r="X52" s="3894"/>
      <c r="Y52" s="3894"/>
      <c r="Z52" s="3894">
        <f>Z51/Z50*100</f>
        <v>102.3</v>
      </c>
      <c r="AA52" s="3894"/>
      <c r="AB52" s="3894">
        <f t="shared" ref="AB52:AF52" si="87">AB51/AB50*100</f>
        <v>104</v>
      </c>
      <c r="AC52" s="3894">
        <f t="shared" si="87"/>
        <v>104</v>
      </c>
      <c r="AD52" s="3894">
        <f t="shared" si="87"/>
        <v>104</v>
      </c>
      <c r="AE52" s="3894">
        <f t="shared" si="87"/>
        <v>104</v>
      </c>
      <c r="AF52" s="3894">
        <f t="shared" si="87"/>
        <v>104.00000000000003</v>
      </c>
      <c r="AG52" s="3894">
        <f>AG51/AG50*100</f>
        <v>104</v>
      </c>
      <c r="AH52" s="3789"/>
      <c r="AI52" s="3894">
        <f>AI51/AI50*100</f>
        <v>104</v>
      </c>
      <c r="AJ52" s="3789"/>
      <c r="AK52" s="3894"/>
      <c r="AL52" s="3894"/>
      <c r="AM52" s="3894"/>
      <c r="AN52" s="3892">
        <f>AN51/AN50*100</f>
        <v>104</v>
      </c>
      <c r="AO52" s="3864"/>
      <c r="AP52" s="4174">
        <f>AP51/AP50*100</f>
        <v>102.98563869992441</v>
      </c>
      <c r="AQ52" s="4183"/>
      <c r="AR52" s="3892"/>
      <c r="AS52" s="3892"/>
      <c r="AT52" s="3898"/>
    </row>
    <row r="55" spans="1:46" ht="20.25" x14ac:dyDescent="0.3">
      <c r="A55" s="2539" t="s">
        <v>3576</v>
      </c>
      <c r="B55" s="3907"/>
    </row>
  </sheetData>
  <mergeCells count="43">
    <mergeCell ref="AK6:AK8"/>
    <mergeCell ref="AA6:AA8"/>
    <mergeCell ref="G6:G8"/>
    <mergeCell ref="H6:H8"/>
    <mergeCell ref="P6:P8"/>
    <mergeCell ref="T6:T8"/>
    <mergeCell ref="Z6:Z8"/>
    <mergeCell ref="L6:L8"/>
    <mergeCell ref="C6:C8"/>
    <mergeCell ref="N4:S4"/>
    <mergeCell ref="I4:M4"/>
    <mergeCell ref="S6:S8"/>
    <mergeCell ref="A3:A5"/>
    <mergeCell ref="B3:B5"/>
    <mergeCell ref="C3:C5"/>
    <mergeCell ref="D3:D5"/>
    <mergeCell ref="E3:E5"/>
    <mergeCell ref="F6:F8"/>
    <mergeCell ref="D6:D8"/>
    <mergeCell ref="E6:E8"/>
    <mergeCell ref="AR6:AR8"/>
    <mergeCell ref="AS6:AS8"/>
    <mergeCell ref="AT6:AT8"/>
    <mergeCell ref="F4:H4"/>
    <mergeCell ref="F3:S3"/>
    <mergeCell ref="AG4:AJ4"/>
    <mergeCell ref="AN4:AQ4"/>
    <mergeCell ref="AO6:AO8"/>
    <mergeCell ref="AL6:AL8"/>
    <mergeCell ref="AM6:AM8"/>
    <mergeCell ref="AH6:AH8"/>
    <mergeCell ref="AK4:AK5"/>
    <mergeCell ref="AL4:AL5"/>
    <mergeCell ref="AM4:AM5"/>
    <mergeCell ref="AQ6:AQ8"/>
    <mergeCell ref="AG6:AG8"/>
    <mergeCell ref="T3:AT3"/>
    <mergeCell ref="A1:AT1"/>
    <mergeCell ref="AR4:AR5"/>
    <mergeCell ref="AS4:AS5"/>
    <mergeCell ref="AT4:AT5"/>
    <mergeCell ref="T5:Y5"/>
    <mergeCell ref="Z5:AF5"/>
  </mergeCells>
  <printOptions horizontalCentered="1"/>
  <pageMargins left="0.11811023622047245" right="0.11811023622047245" top="0.98425196850393704" bottom="0.78740157480314965" header="0.31496062992125984" footer="0.31496062992125984"/>
  <pageSetup paperSize="9" scale="34" fitToHeight="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7">
    <tabColor theme="2" tint="-0.499984740745262"/>
    <pageSetUpPr fitToPage="1"/>
  </sheetPr>
  <dimension ref="A2:AR64"/>
  <sheetViews>
    <sheetView zoomScale="80" zoomScaleNormal="80" zoomScaleSheetLayoutView="75" workbookViewId="0">
      <pane xSplit="5" ySplit="6" topLeftCell="X31" activePane="bottomRight" state="frozen"/>
      <selection pane="topRight" activeCell="F1" sqref="F1"/>
      <selection pane="bottomLeft" activeCell="A7" sqref="A7"/>
      <selection pane="bottomRight" activeCell="AR44" sqref="AR44"/>
    </sheetView>
  </sheetViews>
  <sheetFormatPr defaultColWidth="0.85546875" defaultRowHeight="15" x14ac:dyDescent="0.25"/>
  <cols>
    <col min="1" max="1" width="9.85546875" style="1236" customWidth="1"/>
    <col min="2" max="2" width="35.140625" style="1242" customWidth="1"/>
    <col min="3" max="3" width="10.28515625" style="2243" customWidth="1"/>
    <col min="4" max="5" width="12.7109375" style="1236" hidden="1" customWidth="1"/>
    <col min="6" max="6" width="10.7109375" style="1236" hidden="1" customWidth="1"/>
    <col min="7" max="7" width="11.7109375" style="1236" hidden="1" customWidth="1"/>
    <col min="8" max="8" width="9.7109375" style="1236" hidden="1" customWidth="1"/>
    <col min="9" max="9" width="10.5703125" style="1236" customWidth="1"/>
    <col min="10" max="10" width="18.42578125" style="1236" hidden="1" customWidth="1"/>
    <col min="11" max="11" width="12.85546875" style="1236" customWidth="1"/>
    <col min="12" max="12" width="12.28515625" style="1236" customWidth="1"/>
    <col min="13" max="13" width="11" style="1236" customWidth="1"/>
    <col min="14" max="14" width="10.28515625" style="1236" customWidth="1"/>
    <col min="15" max="15" width="15" style="1236" hidden="1" customWidth="1"/>
    <col min="16" max="17" width="12.5703125" style="1236" customWidth="1"/>
    <col min="18" max="24" width="10.140625" style="1236" customWidth="1"/>
    <col min="25" max="25" width="10.5703125" style="1236" customWidth="1"/>
    <col min="26" max="30" width="10.140625" style="1236" customWidth="1"/>
    <col min="31" max="31" width="14.28515625" style="1236" customWidth="1"/>
    <col min="32" max="32" width="10.7109375" style="1236" customWidth="1"/>
    <col min="33" max="33" width="14.28515625" style="1236" customWidth="1"/>
    <col min="34" max="34" width="10.7109375" style="1236" customWidth="1"/>
    <col min="35" max="35" width="11.5703125" style="1236" customWidth="1"/>
    <col min="36" max="36" width="11.28515625" style="1236" customWidth="1"/>
    <col min="37" max="37" width="10.140625" style="1236" customWidth="1"/>
    <col min="38" max="38" width="13.5703125" style="1236" customWidth="1"/>
    <col min="39" max="39" width="10.28515625" style="1236" customWidth="1"/>
    <col min="40" max="40" width="14" style="1236" customWidth="1"/>
    <col min="41" max="41" width="9.140625" style="1236" customWidth="1"/>
    <col min="42" max="44" width="10.7109375" style="1236" customWidth="1"/>
    <col min="45" max="45" width="10.5703125" style="1236" customWidth="1"/>
    <col min="46" max="46" width="12.42578125" style="1236" customWidth="1"/>
    <col min="47" max="47" width="14.5703125" style="1236" customWidth="1"/>
    <col min="48" max="48" width="12.28515625" style="1236" customWidth="1"/>
    <col min="49" max="49" width="25.85546875" style="1236" customWidth="1"/>
    <col min="50" max="281" width="0.85546875" style="1236"/>
    <col min="282" max="282" width="9.85546875" style="1236" customWidth="1"/>
    <col min="283" max="283" width="81.85546875" style="1236" customWidth="1"/>
    <col min="284" max="284" width="12.7109375" style="1236" customWidth="1"/>
    <col min="285" max="285" width="12.42578125" style="1236" customWidth="1"/>
    <col min="286" max="286" width="14.5703125" style="1236" customWidth="1"/>
    <col min="287" max="287" width="12.28515625" style="1236" customWidth="1"/>
    <col min="288" max="288" width="38.140625" style="1236" customWidth="1"/>
    <col min="289" max="289" width="46.85546875" style="1236" customWidth="1"/>
    <col min="290" max="292" width="12.7109375" style="1236" customWidth="1"/>
    <col min="293" max="293" width="9.28515625" style="1236" customWidth="1"/>
    <col min="294" max="294" width="13.5703125" style="1236" customWidth="1"/>
    <col min="295" max="295" width="10.28515625" style="1236" customWidth="1"/>
    <col min="296" max="296" width="12.85546875" style="1236" customWidth="1"/>
    <col min="297" max="297" width="9.140625" style="1236" customWidth="1"/>
    <col min="298" max="298" width="9.7109375" style="1236" customWidth="1"/>
    <col min="299" max="299" width="9.28515625" style="1236" customWidth="1"/>
    <col min="300" max="300" width="9.42578125" style="1236" customWidth="1"/>
    <col min="301" max="301" width="10.5703125" style="1236" customWidth="1"/>
    <col min="302" max="302" width="12.42578125" style="1236" customWidth="1"/>
    <col min="303" max="303" width="14.5703125" style="1236" customWidth="1"/>
    <col min="304" max="304" width="12.28515625" style="1236" customWidth="1"/>
    <col min="305" max="305" width="25.85546875" style="1236" customWidth="1"/>
    <col min="306" max="537" width="0.85546875" style="1236"/>
    <col min="538" max="538" width="9.85546875" style="1236" customWidth="1"/>
    <col min="539" max="539" width="81.85546875" style="1236" customWidth="1"/>
    <col min="540" max="540" width="12.7109375" style="1236" customWidth="1"/>
    <col min="541" max="541" width="12.42578125" style="1236" customWidth="1"/>
    <col min="542" max="542" width="14.5703125" style="1236" customWidth="1"/>
    <col min="543" max="543" width="12.28515625" style="1236" customWidth="1"/>
    <col min="544" max="544" width="38.140625" style="1236" customWidth="1"/>
    <col min="545" max="545" width="46.85546875" style="1236" customWidth="1"/>
    <col min="546" max="548" width="12.7109375" style="1236" customWidth="1"/>
    <col min="549" max="549" width="9.28515625" style="1236" customWidth="1"/>
    <col min="550" max="550" width="13.5703125" style="1236" customWidth="1"/>
    <col min="551" max="551" width="10.28515625" style="1236" customWidth="1"/>
    <col min="552" max="552" width="12.85546875" style="1236" customWidth="1"/>
    <col min="553" max="553" width="9.140625" style="1236" customWidth="1"/>
    <col min="554" max="554" width="9.7109375" style="1236" customWidth="1"/>
    <col min="555" max="555" width="9.28515625" style="1236" customWidth="1"/>
    <col min="556" max="556" width="9.42578125" style="1236" customWidth="1"/>
    <col min="557" max="557" width="10.5703125" style="1236" customWidth="1"/>
    <col min="558" max="558" width="12.42578125" style="1236" customWidth="1"/>
    <col min="559" max="559" width="14.5703125" style="1236" customWidth="1"/>
    <col min="560" max="560" width="12.28515625" style="1236" customWidth="1"/>
    <col min="561" max="561" width="25.85546875" style="1236" customWidth="1"/>
    <col min="562" max="793" width="0.85546875" style="1236"/>
    <col min="794" max="794" width="9.85546875" style="1236" customWidth="1"/>
    <col min="795" max="795" width="81.85546875" style="1236" customWidth="1"/>
    <col min="796" max="796" width="12.7109375" style="1236" customWidth="1"/>
    <col min="797" max="797" width="12.42578125" style="1236" customWidth="1"/>
    <col min="798" max="798" width="14.5703125" style="1236" customWidth="1"/>
    <col min="799" max="799" width="12.28515625" style="1236" customWidth="1"/>
    <col min="800" max="800" width="38.140625" style="1236" customWidth="1"/>
    <col min="801" max="801" width="46.85546875" style="1236" customWidth="1"/>
    <col min="802" max="804" width="12.7109375" style="1236" customWidth="1"/>
    <col min="805" max="805" width="9.28515625" style="1236" customWidth="1"/>
    <col min="806" max="806" width="13.5703125" style="1236" customWidth="1"/>
    <col min="807" max="807" width="10.28515625" style="1236" customWidth="1"/>
    <col min="808" max="808" width="12.85546875" style="1236" customWidth="1"/>
    <col min="809" max="809" width="9.140625" style="1236" customWidth="1"/>
    <col min="810" max="810" width="9.7109375" style="1236" customWidth="1"/>
    <col min="811" max="811" width="9.28515625" style="1236" customWidth="1"/>
    <col min="812" max="812" width="9.42578125" style="1236" customWidth="1"/>
    <col min="813" max="813" width="10.5703125" style="1236" customWidth="1"/>
    <col min="814" max="814" width="12.42578125" style="1236" customWidth="1"/>
    <col min="815" max="815" width="14.5703125" style="1236" customWidth="1"/>
    <col min="816" max="816" width="12.28515625" style="1236" customWidth="1"/>
    <col min="817" max="817" width="25.85546875" style="1236" customWidth="1"/>
    <col min="818" max="1049" width="0.85546875" style="1236"/>
    <col min="1050" max="1050" width="9.85546875" style="1236" customWidth="1"/>
    <col min="1051" max="1051" width="81.85546875" style="1236" customWidth="1"/>
    <col min="1052" max="1052" width="12.7109375" style="1236" customWidth="1"/>
    <col min="1053" max="1053" width="12.42578125" style="1236" customWidth="1"/>
    <col min="1054" max="1054" width="14.5703125" style="1236" customWidth="1"/>
    <col min="1055" max="1055" width="12.28515625" style="1236" customWidth="1"/>
    <col min="1056" max="1056" width="38.140625" style="1236" customWidth="1"/>
    <col min="1057" max="1057" width="46.85546875" style="1236" customWidth="1"/>
    <col min="1058" max="1060" width="12.7109375" style="1236" customWidth="1"/>
    <col min="1061" max="1061" width="9.28515625" style="1236" customWidth="1"/>
    <col min="1062" max="1062" width="13.5703125" style="1236" customWidth="1"/>
    <col min="1063" max="1063" width="10.28515625" style="1236" customWidth="1"/>
    <col min="1064" max="1064" width="12.85546875" style="1236" customWidth="1"/>
    <col min="1065" max="1065" width="9.140625" style="1236" customWidth="1"/>
    <col min="1066" max="1066" width="9.7109375" style="1236" customWidth="1"/>
    <col min="1067" max="1067" width="9.28515625" style="1236" customWidth="1"/>
    <col min="1068" max="1068" width="9.42578125" style="1236" customWidth="1"/>
    <col min="1069" max="1069" width="10.5703125" style="1236" customWidth="1"/>
    <col min="1070" max="1070" width="12.42578125" style="1236" customWidth="1"/>
    <col min="1071" max="1071" width="14.5703125" style="1236" customWidth="1"/>
    <col min="1072" max="1072" width="12.28515625" style="1236" customWidth="1"/>
    <col min="1073" max="1073" width="25.85546875" style="1236" customWidth="1"/>
    <col min="1074" max="1305" width="0.85546875" style="1236"/>
    <col min="1306" max="1306" width="9.85546875" style="1236" customWidth="1"/>
    <col min="1307" max="1307" width="81.85546875" style="1236" customWidth="1"/>
    <col min="1308" max="1308" width="12.7109375" style="1236" customWidth="1"/>
    <col min="1309" max="1309" width="12.42578125" style="1236" customWidth="1"/>
    <col min="1310" max="1310" width="14.5703125" style="1236" customWidth="1"/>
    <col min="1311" max="1311" width="12.28515625" style="1236" customWidth="1"/>
    <col min="1312" max="1312" width="38.140625" style="1236" customWidth="1"/>
    <col min="1313" max="1313" width="46.85546875" style="1236" customWidth="1"/>
    <col min="1314" max="1316" width="12.7109375" style="1236" customWidth="1"/>
    <col min="1317" max="1317" width="9.28515625" style="1236" customWidth="1"/>
    <col min="1318" max="1318" width="13.5703125" style="1236" customWidth="1"/>
    <col min="1319" max="1319" width="10.28515625" style="1236" customWidth="1"/>
    <col min="1320" max="1320" width="12.85546875" style="1236" customWidth="1"/>
    <col min="1321" max="1321" width="9.140625" style="1236" customWidth="1"/>
    <col min="1322" max="1322" width="9.7109375" style="1236" customWidth="1"/>
    <col min="1323" max="1323" width="9.28515625" style="1236" customWidth="1"/>
    <col min="1324" max="1324" width="9.42578125" style="1236" customWidth="1"/>
    <col min="1325" max="1325" width="10.5703125" style="1236" customWidth="1"/>
    <col min="1326" max="1326" width="12.42578125" style="1236" customWidth="1"/>
    <col min="1327" max="1327" width="14.5703125" style="1236" customWidth="1"/>
    <col min="1328" max="1328" width="12.28515625" style="1236" customWidth="1"/>
    <col min="1329" max="1329" width="25.85546875" style="1236" customWidth="1"/>
    <col min="1330" max="1561" width="0.85546875" style="1236"/>
    <col min="1562" max="1562" width="9.85546875" style="1236" customWidth="1"/>
    <col min="1563" max="1563" width="81.85546875" style="1236" customWidth="1"/>
    <col min="1564" max="1564" width="12.7109375" style="1236" customWidth="1"/>
    <col min="1565" max="1565" width="12.42578125" style="1236" customWidth="1"/>
    <col min="1566" max="1566" width="14.5703125" style="1236" customWidth="1"/>
    <col min="1567" max="1567" width="12.28515625" style="1236" customWidth="1"/>
    <col min="1568" max="1568" width="38.140625" style="1236" customWidth="1"/>
    <col min="1569" max="1569" width="46.85546875" style="1236" customWidth="1"/>
    <col min="1570" max="1572" width="12.7109375" style="1236" customWidth="1"/>
    <col min="1573" max="1573" width="9.28515625" style="1236" customWidth="1"/>
    <col min="1574" max="1574" width="13.5703125" style="1236" customWidth="1"/>
    <col min="1575" max="1575" width="10.28515625" style="1236" customWidth="1"/>
    <col min="1576" max="1576" width="12.85546875" style="1236" customWidth="1"/>
    <col min="1577" max="1577" width="9.140625" style="1236" customWidth="1"/>
    <col min="1578" max="1578" width="9.7109375" style="1236" customWidth="1"/>
    <col min="1579" max="1579" width="9.28515625" style="1236" customWidth="1"/>
    <col min="1580" max="1580" width="9.42578125" style="1236" customWidth="1"/>
    <col min="1581" max="1581" width="10.5703125" style="1236" customWidth="1"/>
    <col min="1582" max="1582" width="12.42578125" style="1236" customWidth="1"/>
    <col min="1583" max="1583" width="14.5703125" style="1236" customWidth="1"/>
    <col min="1584" max="1584" width="12.28515625" style="1236" customWidth="1"/>
    <col min="1585" max="1585" width="25.85546875" style="1236" customWidth="1"/>
    <col min="1586" max="1817" width="0.85546875" style="1236"/>
    <col min="1818" max="1818" width="9.85546875" style="1236" customWidth="1"/>
    <col min="1819" max="1819" width="81.85546875" style="1236" customWidth="1"/>
    <col min="1820" max="1820" width="12.7109375" style="1236" customWidth="1"/>
    <col min="1821" max="1821" width="12.42578125" style="1236" customWidth="1"/>
    <col min="1822" max="1822" width="14.5703125" style="1236" customWidth="1"/>
    <col min="1823" max="1823" width="12.28515625" style="1236" customWidth="1"/>
    <col min="1824" max="1824" width="38.140625" style="1236" customWidth="1"/>
    <col min="1825" max="1825" width="46.85546875" style="1236" customWidth="1"/>
    <col min="1826" max="1828" width="12.7109375" style="1236" customWidth="1"/>
    <col min="1829" max="1829" width="9.28515625" style="1236" customWidth="1"/>
    <col min="1830" max="1830" width="13.5703125" style="1236" customWidth="1"/>
    <col min="1831" max="1831" width="10.28515625" style="1236" customWidth="1"/>
    <col min="1832" max="1832" width="12.85546875" style="1236" customWidth="1"/>
    <col min="1833" max="1833" width="9.140625" style="1236" customWidth="1"/>
    <col min="1834" max="1834" width="9.7109375" style="1236" customWidth="1"/>
    <col min="1835" max="1835" width="9.28515625" style="1236" customWidth="1"/>
    <col min="1836" max="1836" width="9.42578125" style="1236" customWidth="1"/>
    <col min="1837" max="1837" width="10.5703125" style="1236" customWidth="1"/>
    <col min="1838" max="1838" width="12.42578125" style="1236" customWidth="1"/>
    <col min="1839" max="1839" width="14.5703125" style="1236" customWidth="1"/>
    <col min="1840" max="1840" width="12.28515625" style="1236" customWidth="1"/>
    <col min="1841" max="1841" width="25.85546875" style="1236" customWidth="1"/>
    <col min="1842" max="2073" width="0.85546875" style="1236"/>
    <col min="2074" max="2074" width="9.85546875" style="1236" customWidth="1"/>
    <col min="2075" max="2075" width="81.85546875" style="1236" customWidth="1"/>
    <col min="2076" max="2076" width="12.7109375" style="1236" customWidth="1"/>
    <col min="2077" max="2077" width="12.42578125" style="1236" customWidth="1"/>
    <col min="2078" max="2078" width="14.5703125" style="1236" customWidth="1"/>
    <col min="2079" max="2079" width="12.28515625" style="1236" customWidth="1"/>
    <col min="2080" max="2080" width="38.140625" style="1236" customWidth="1"/>
    <col min="2081" max="2081" width="46.85546875" style="1236" customWidth="1"/>
    <col min="2082" max="2084" width="12.7109375" style="1236" customWidth="1"/>
    <col min="2085" max="2085" width="9.28515625" style="1236" customWidth="1"/>
    <col min="2086" max="2086" width="13.5703125" style="1236" customWidth="1"/>
    <col min="2087" max="2087" width="10.28515625" style="1236" customWidth="1"/>
    <col min="2088" max="2088" width="12.85546875" style="1236" customWidth="1"/>
    <col min="2089" max="2089" width="9.140625" style="1236" customWidth="1"/>
    <col min="2090" max="2090" width="9.7109375" style="1236" customWidth="1"/>
    <col min="2091" max="2091" width="9.28515625" style="1236" customWidth="1"/>
    <col min="2092" max="2092" width="9.42578125" style="1236" customWidth="1"/>
    <col min="2093" max="2093" width="10.5703125" style="1236" customWidth="1"/>
    <col min="2094" max="2094" width="12.42578125" style="1236" customWidth="1"/>
    <col min="2095" max="2095" width="14.5703125" style="1236" customWidth="1"/>
    <col min="2096" max="2096" width="12.28515625" style="1236" customWidth="1"/>
    <col min="2097" max="2097" width="25.85546875" style="1236" customWidth="1"/>
    <col min="2098" max="2329" width="0.85546875" style="1236"/>
    <col min="2330" max="2330" width="9.85546875" style="1236" customWidth="1"/>
    <col min="2331" max="2331" width="81.85546875" style="1236" customWidth="1"/>
    <col min="2332" max="2332" width="12.7109375" style="1236" customWidth="1"/>
    <col min="2333" max="2333" width="12.42578125" style="1236" customWidth="1"/>
    <col min="2334" max="2334" width="14.5703125" style="1236" customWidth="1"/>
    <col min="2335" max="2335" width="12.28515625" style="1236" customWidth="1"/>
    <col min="2336" max="2336" width="38.140625" style="1236" customWidth="1"/>
    <col min="2337" max="2337" width="46.85546875" style="1236" customWidth="1"/>
    <col min="2338" max="2340" width="12.7109375" style="1236" customWidth="1"/>
    <col min="2341" max="2341" width="9.28515625" style="1236" customWidth="1"/>
    <col min="2342" max="2342" width="13.5703125" style="1236" customWidth="1"/>
    <col min="2343" max="2343" width="10.28515625" style="1236" customWidth="1"/>
    <col min="2344" max="2344" width="12.85546875" style="1236" customWidth="1"/>
    <col min="2345" max="2345" width="9.140625" style="1236" customWidth="1"/>
    <col min="2346" max="2346" width="9.7109375" style="1236" customWidth="1"/>
    <col min="2347" max="2347" width="9.28515625" style="1236" customWidth="1"/>
    <col min="2348" max="2348" width="9.42578125" style="1236" customWidth="1"/>
    <col min="2349" max="2349" width="10.5703125" style="1236" customWidth="1"/>
    <col min="2350" max="2350" width="12.42578125" style="1236" customWidth="1"/>
    <col min="2351" max="2351" width="14.5703125" style="1236" customWidth="1"/>
    <col min="2352" max="2352" width="12.28515625" style="1236" customWidth="1"/>
    <col min="2353" max="2353" width="25.85546875" style="1236" customWidth="1"/>
    <col min="2354" max="2585" width="0.85546875" style="1236"/>
    <col min="2586" max="2586" width="9.85546875" style="1236" customWidth="1"/>
    <col min="2587" max="2587" width="81.85546875" style="1236" customWidth="1"/>
    <col min="2588" max="2588" width="12.7109375" style="1236" customWidth="1"/>
    <col min="2589" max="2589" width="12.42578125" style="1236" customWidth="1"/>
    <col min="2590" max="2590" width="14.5703125" style="1236" customWidth="1"/>
    <col min="2591" max="2591" width="12.28515625" style="1236" customWidth="1"/>
    <col min="2592" max="2592" width="38.140625" style="1236" customWidth="1"/>
    <col min="2593" max="2593" width="46.85546875" style="1236" customWidth="1"/>
    <col min="2594" max="2596" width="12.7109375" style="1236" customWidth="1"/>
    <col min="2597" max="2597" width="9.28515625" style="1236" customWidth="1"/>
    <col min="2598" max="2598" width="13.5703125" style="1236" customWidth="1"/>
    <col min="2599" max="2599" width="10.28515625" style="1236" customWidth="1"/>
    <col min="2600" max="2600" width="12.85546875" style="1236" customWidth="1"/>
    <col min="2601" max="2601" width="9.140625" style="1236" customWidth="1"/>
    <col min="2602" max="2602" width="9.7109375" style="1236" customWidth="1"/>
    <col min="2603" max="2603" width="9.28515625" style="1236" customWidth="1"/>
    <col min="2604" max="2604" width="9.42578125" style="1236" customWidth="1"/>
    <col min="2605" max="2605" width="10.5703125" style="1236" customWidth="1"/>
    <col min="2606" max="2606" width="12.42578125" style="1236" customWidth="1"/>
    <col min="2607" max="2607" width="14.5703125" style="1236" customWidth="1"/>
    <col min="2608" max="2608" width="12.28515625" style="1236" customWidth="1"/>
    <col min="2609" max="2609" width="25.85546875" style="1236" customWidth="1"/>
    <col min="2610" max="2841" width="0.85546875" style="1236"/>
    <col min="2842" max="2842" width="9.85546875" style="1236" customWidth="1"/>
    <col min="2843" max="2843" width="81.85546875" style="1236" customWidth="1"/>
    <col min="2844" max="2844" width="12.7109375" style="1236" customWidth="1"/>
    <col min="2845" max="2845" width="12.42578125" style="1236" customWidth="1"/>
    <col min="2846" max="2846" width="14.5703125" style="1236" customWidth="1"/>
    <col min="2847" max="2847" width="12.28515625" style="1236" customWidth="1"/>
    <col min="2848" max="2848" width="38.140625" style="1236" customWidth="1"/>
    <col min="2849" max="2849" width="46.85546875" style="1236" customWidth="1"/>
    <col min="2850" max="2852" width="12.7109375" style="1236" customWidth="1"/>
    <col min="2853" max="2853" width="9.28515625" style="1236" customWidth="1"/>
    <col min="2854" max="2854" width="13.5703125" style="1236" customWidth="1"/>
    <col min="2855" max="2855" width="10.28515625" style="1236" customWidth="1"/>
    <col min="2856" max="2856" width="12.85546875" style="1236" customWidth="1"/>
    <col min="2857" max="2857" width="9.140625" style="1236" customWidth="1"/>
    <col min="2858" max="2858" width="9.7109375" style="1236" customWidth="1"/>
    <col min="2859" max="2859" width="9.28515625" style="1236" customWidth="1"/>
    <col min="2860" max="2860" width="9.42578125" style="1236" customWidth="1"/>
    <col min="2861" max="2861" width="10.5703125" style="1236" customWidth="1"/>
    <col min="2862" max="2862" width="12.42578125" style="1236" customWidth="1"/>
    <col min="2863" max="2863" width="14.5703125" style="1236" customWidth="1"/>
    <col min="2864" max="2864" width="12.28515625" style="1236" customWidth="1"/>
    <col min="2865" max="2865" width="25.85546875" style="1236" customWidth="1"/>
    <col min="2866" max="3097" width="0.85546875" style="1236"/>
    <col min="3098" max="3098" width="9.85546875" style="1236" customWidth="1"/>
    <col min="3099" max="3099" width="81.85546875" style="1236" customWidth="1"/>
    <col min="3100" max="3100" width="12.7109375" style="1236" customWidth="1"/>
    <col min="3101" max="3101" width="12.42578125" style="1236" customWidth="1"/>
    <col min="3102" max="3102" width="14.5703125" style="1236" customWidth="1"/>
    <col min="3103" max="3103" width="12.28515625" style="1236" customWidth="1"/>
    <col min="3104" max="3104" width="38.140625" style="1236" customWidth="1"/>
    <col min="3105" max="3105" width="46.85546875" style="1236" customWidth="1"/>
    <col min="3106" max="3108" width="12.7109375" style="1236" customWidth="1"/>
    <col min="3109" max="3109" width="9.28515625" style="1236" customWidth="1"/>
    <col min="3110" max="3110" width="13.5703125" style="1236" customWidth="1"/>
    <col min="3111" max="3111" width="10.28515625" style="1236" customWidth="1"/>
    <col min="3112" max="3112" width="12.85546875" style="1236" customWidth="1"/>
    <col min="3113" max="3113" width="9.140625" style="1236" customWidth="1"/>
    <col min="3114" max="3114" width="9.7109375" style="1236" customWidth="1"/>
    <col min="3115" max="3115" width="9.28515625" style="1236" customWidth="1"/>
    <col min="3116" max="3116" width="9.42578125" style="1236" customWidth="1"/>
    <col min="3117" max="3117" width="10.5703125" style="1236" customWidth="1"/>
    <col min="3118" max="3118" width="12.42578125" style="1236" customWidth="1"/>
    <col min="3119" max="3119" width="14.5703125" style="1236" customWidth="1"/>
    <col min="3120" max="3120" width="12.28515625" style="1236" customWidth="1"/>
    <col min="3121" max="3121" width="25.85546875" style="1236" customWidth="1"/>
    <col min="3122" max="3353" width="0.85546875" style="1236"/>
    <col min="3354" max="3354" width="9.85546875" style="1236" customWidth="1"/>
    <col min="3355" max="3355" width="81.85546875" style="1236" customWidth="1"/>
    <col min="3356" max="3356" width="12.7109375" style="1236" customWidth="1"/>
    <col min="3357" max="3357" width="12.42578125" style="1236" customWidth="1"/>
    <col min="3358" max="3358" width="14.5703125" style="1236" customWidth="1"/>
    <col min="3359" max="3359" width="12.28515625" style="1236" customWidth="1"/>
    <col min="3360" max="3360" width="38.140625" style="1236" customWidth="1"/>
    <col min="3361" max="3361" width="46.85546875" style="1236" customWidth="1"/>
    <col min="3362" max="3364" width="12.7109375" style="1236" customWidth="1"/>
    <col min="3365" max="3365" width="9.28515625" style="1236" customWidth="1"/>
    <col min="3366" max="3366" width="13.5703125" style="1236" customWidth="1"/>
    <col min="3367" max="3367" width="10.28515625" style="1236" customWidth="1"/>
    <col min="3368" max="3368" width="12.85546875" style="1236" customWidth="1"/>
    <col min="3369" max="3369" width="9.140625" style="1236" customWidth="1"/>
    <col min="3370" max="3370" width="9.7109375" style="1236" customWidth="1"/>
    <col min="3371" max="3371" width="9.28515625" style="1236" customWidth="1"/>
    <col min="3372" max="3372" width="9.42578125" style="1236" customWidth="1"/>
    <col min="3373" max="3373" width="10.5703125" style="1236" customWidth="1"/>
    <col min="3374" max="3374" width="12.42578125" style="1236" customWidth="1"/>
    <col min="3375" max="3375" width="14.5703125" style="1236" customWidth="1"/>
    <col min="3376" max="3376" width="12.28515625" style="1236" customWidth="1"/>
    <col min="3377" max="3377" width="25.85546875" style="1236" customWidth="1"/>
    <col min="3378" max="3609" width="0.85546875" style="1236"/>
    <col min="3610" max="3610" width="9.85546875" style="1236" customWidth="1"/>
    <col min="3611" max="3611" width="81.85546875" style="1236" customWidth="1"/>
    <col min="3612" max="3612" width="12.7109375" style="1236" customWidth="1"/>
    <col min="3613" max="3613" width="12.42578125" style="1236" customWidth="1"/>
    <col min="3614" max="3614" width="14.5703125" style="1236" customWidth="1"/>
    <col min="3615" max="3615" width="12.28515625" style="1236" customWidth="1"/>
    <col min="3616" max="3616" width="38.140625" style="1236" customWidth="1"/>
    <col min="3617" max="3617" width="46.85546875" style="1236" customWidth="1"/>
    <col min="3618" max="3620" width="12.7109375" style="1236" customWidth="1"/>
    <col min="3621" max="3621" width="9.28515625" style="1236" customWidth="1"/>
    <col min="3622" max="3622" width="13.5703125" style="1236" customWidth="1"/>
    <col min="3623" max="3623" width="10.28515625" style="1236" customWidth="1"/>
    <col min="3624" max="3624" width="12.85546875" style="1236" customWidth="1"/>
    <col min="3625" max="3625" width="9.140625" style="1236" customWidth="1"/>
    <col min="3626" max="3626" width="9.7109375" style="1236" customWidth="1"/>
    <col min="3627" max="3627" width="9.28515625" style="1236" customWidth="1"/>
    <col min="3628" max="3628" width="9.42578125" style="1236" customWidth="1"/>
    <col min="3629" max="3629" width="10.5703125" style="1236" customWidth="1"/>
    <col min="3630" max="3630" width="12.42578125" style="1236" customWidth="1"/>
    <col min="3631" max="3631" width="14.5703125" style="1236" customWidth="1"/>
    <col min="3632" max="3632" width="12.28515625" style="1236" customWidth="1"/>
    <col min="3633" max="3633" width="25.85546875" style="1236" customWidth="1"/>
    <col min="3634" max="3865" width="0.85546875" style="1236"/>
    <col min="3866" max="3866" width="9.85546875" style="1236" customWidth="1"/>
    <col min="3867" max="3867" width="81.85546875" style="1236" customWidth="1"/>
    <col min="3868" max="3868" width="12.7109375" style="1236" customWidth="1"/>
    <col min="3869" max="3869" width="12.42578125" style="1236" customWidth="1"/>
    <col min="3870" max="3870" width="14.5703125" style="1236" customWidth="1"/>
    <col min="3871" max="3871" width="12.28515625" style="1236" customWidth="1"/>
    <col min="3872" max="3872" width="38.140625" style="1236" customWidth="1"/>
    <col min="3873" max="3873" width="46.85546875" style="1236" customWidth="1"/>
    <col min="3874" max="3876" width="12.7109375" style="1236" customWidth="1"/>
    <col min="3877" max="3877" width="9.28515625" style="1236" customWidth="1"/>
    <col min="3878" max="3878" width="13.5703125" style="1236" customWidth="1"/>
    <col min="3879" max="3879" width="10.28515625" style="1236" customWidth="1"/>
    <col min="3880" max="3880" width="12.85546875" style="1236" customWidth="1"/>
    <col min="3881" max="3881" width="9.140625" style="1236" customWidth="1"/>
    <col min="3882" max="3882" width="9.7109375" style="1236" customWidth="1"/>
    <col min="3883" max="3883" width="9.28515625" style="1236" customWidth="1"/>
    <col min="3884" max="3884" width="9.42578125" style="1236" customWidth="1"/>
    <col min="3885" max="3885" width="10.5703125" style="1236" customWidth="1"/>
    <col min="3886" max="3886" width="12.42578125" style="1236" customWidth="1"/>
    <col min="3887" max="3887" width="14.5703125" style="1236" customWidth="1"/>
    <col min="3888" max="3888" width="12.28515625" style="1236" customWidth="1"/>
    <col min="3889" max="3889" width="25.85546875" style="1236" customWidth="1"/>
    <col min="3890" max="4121" width="0.85546875" style="1236"/>
    <col min="4122" max="4122" width="9.85546875" style="1236" customWidth="1"/>
    <col min="4123" max="4123" width="81.85546875" style="1236" customWidth="1"/>
    <col min="4124" max="4124" width="12.7109375" style="1236" customWidth="1"/>
    <col min="4125" max="4125" width="12.42578125" style="1236" customWidth="1"/>
    <col min="4126" max="4126" width="14.5703125" style="1236" customWidth="1"/>
    <col min="4127" max="4127" width="12.28515625" style="1236" customWidth="1"/>
    <col min="4128" max="4128" width="38.140625" style="1236" customWidth="1"/>
    <col min="4129" max="4129" width="46.85546875" style="1236" customWidth="1"/>
    <col min="4130" max="4132" width="12.7109375" style="1236" customWidth="1"/>
    <col min="4133" max="4133" width="9.28515625" style="1236" customWidth="1"/>
    <col min="4134" max="4134" width="13.5703125" style="1236" customWidth="1"/>
    <col min="4135" max="4135" width="10.28515625" style="1236" customWidth="1"/>
    <col min="4136" max="4136" width="12.85546875" style="1236" customWidth="1"/>
    <col min="4137" max="4137" width="9.140625" style="1236" customWidth="1"/>
    <col min="4138" max="4138" width="9.7109375" style="1236" customWidth="1"/>
    <col min="4139" max="4139" width="9.28515625" style="1236" customWidth="1"/>
    <col min="4140" max="4140" width="9.42578125" style="1236" customWidth="1"/>
    <col min="4141" max="4141" width="10.5703125" style="1236" customWidth="1"/>
    <col min="4142" max="4142" width="12.42578125" style="1236" customWidth="1"/>
    <col min="4143" max="4143" width="14.5703125" style="1236" customWidth="1"/>
    <col min="4144" max="4144" width="12.28515625" style="1236" customWidth="1"/>
    <col min="4145" max="4145" width="25.85546875" style="1236" customWidth="1"/>
    <col min="4146" max="4377" width="0.85546875" style="1236"/>
    <col min="4378" max="4378" width="9.85546875" style="1236" customWidth="1"/>
    <col min="4379" max="4379" width="81.85546875" style="1236" customWidth="1"/>
    <col min="4380" max="4380" width="12.7109375" style="1236" customWidth="1"/>
    <col min="4381" max="4381" width="12.42578125" style="1236" customWidth="1"/>
    <col min="4382" max="4382" width="14.5703125" style="1236" customWidth="1"/>
    <col min="4383" max="4383" width="12.28515625" style="1236" customWidth="1"/>
    <col min="4384" max="4384" width="38.140625" style="1236" customWidth="1"/>
    <col min="4385" max="4385" width="46.85546875" style="1236" customWidth="1"/>
    <col min="4386" max="4388" width="12.7109375" style="1236" customWidth="1"/>
    <col min="4389" max="4389" width="9.28515625" style="1236" customWidth="1"/>
    <col min="4390" max="4390" width="13.5703125" style="1236" customWidth="1"/>
    <col min="4391" max="4391" width="10.28515625" style="1236" customWidth="1"/>
    <col min="4392" max="4392" width="12.85546875" style="1236" customWidth="1"/>
    <col min="4393" max="4393" width="9.140625" style="1236" customWidth="1"/>
    <col min="4394" max="4394" width="9.7109375" style="1236" customWidth="1"/>
    <col min="4395" max="4395" width="9.28515625" style="1236" customWidth="1"/>
    <col min="4396" max="4396" width="9.42578125" style="1236" customWidth="1"/>
    <col min="4397" max="4397" width="10.5703125" style="1236" customWidth="1"/>
    <col min="4398" max="4398" width="12.42578125" style="1236" customWidth="1"/>
    <col min="4399" max="4399" width="14.5703125" style="1236" customWidth="1"/>
    <col min="4400" max="4400" width="12.28515625" style="1236" customWidth="1"/>
    <col min="4401" max="4401" width="25.85546875" style="1236" customWidth="1"/>
    <col min="4402" max="4633" width="0.85546875" style="1236"/>
    <col min="4634" max="4634" width="9.85546875" style="1236" customWidth="1"/>
    <col min="4635" max="4635" width="81.85546875" style="1236" customWidth="1"/>
    <col min="4636" max="4636" width="12.7109375" style="1236" customWidth="1"/>
    <col min="4637" max="4637" width="12.42578125" style="1236" customWidth="1"/>
    <col min="4638" max="4638" width="14.5703125" style="1236" customWidth="1"/>
    <col min="4639" max="4639" width="12.28515625" style="1236" customWidth="1"/>
    <col min="4640" max="4640" width="38.140625" style="1236" customWidth="1"/>
    <col min="4641" max="4641" width="46.85546875" style="1236" customWidth="1"/>
    <col min="4642" max="4644" width="12.7109375" style="1236" customWidth="1"/>
    <col min="4645" max="4645" width="9.28515625" style="1236" customWidth="1"/>
    <col min="4646" max="4646" width="13.5703125" style="1236" customWidth="1"/>
    <col min="4647" max="4647" width="10.28515625" style="1236" customWidth="1"/>
    <col min="4648" max="4648" width="12.85546875" style="1236" customWidth="1"/>
    <col min="4649" max="4649" width="9.140625" style="1236" customWidth="1"/>
    <col min="4650" max="4650" width="9.7109375" style="1236" customWidth="1"/>
    <col min="4651" max="4651" width="9.28515625" style="1236" customWidth="1"/>
    <col min="4652" max="4652" width="9.42578125" style="1236" customWidth="1"/>
    <col min="4653" max="4653" width="10.5703125" style="1236" customWidth="1"/>
    <col min="4654" max="4654" width="12.42578125" style="1236" customWidth="1"/>
    <col min="4655" max="4655" width="14.5703125" style="1236" customWidth="1"/>
    <col min="4656" max="4656" width="12.28515625" style="1236" customWidth="1"/>
    <col min="4657" max="4657" width="25.85546875" style="1236" customWidth="1"/>
    <col min="4658" max="4889" width="0.85546875" style="1236"/>
    <col min="4890" max="4890" width="9.85546875" style="1236" customWidth="1"/>
    <col min="4891" max="4891" width="81.85546875" style="1236" customWidth="1"/>
    <col min="4892" max="4892" width="12.7109375" style="1236" customWidth="1"/>
    <col min="4893" max="4893" width="12.42578125" style="1236" customWidth="1"/>
    <col min="4894" max="4894" width="14.5703125" style="1236" customWidth="1"/>
    <col min="4895" max="4895" width="12.28515625" style="1236" customWidth="1"/>
    <col min="4896" max="4896" width="38.140625" style="1236" customWidth="1"/>
    <col min="4897" max="4897" width="46.85546875" style="1236" customWidth="1"/>
    <col min="4898" max="4900" width="12.7109375" style="1236" customWidth="1"/>
    <col min="4901" max="4901" width="9.28515625" style="1236" customWidth="1"/>
    <col min="4902" max="4902" width="13.5703125" style="1236" customWidth="1"/>
    <col min="4903" max="4903" width="10.28515625" style="1236" customWidth="1"/>
    <col min="4904" max="4904" width="12.85546875" style="1236" customWidth="1"/>
    <col min="4905" max="4905" width="9.140625" style="1236" customWidth="1"/>
    <col min="4906" max="4906" width="9.7109375" style="1236" customWidth="1"/>
    <col min="4907" max="4907" width="9.28515625" style="1236" customWidth="1"/>
    <col min="4908" max="4908" width="9.42578125" style="1236" customWidth="1"/>
    <col min="4909" max="4909" width="10.5703125" style="1236" customWidth="1"/>
    <col min="4910" max="4910" width="12.42578125" style="1236" customWidth="1"/>
    <col min="4911" max="4911" width="14.5703125" style="1236" customWidth="1"/>
    <col min="4912" max="4912" width="12.28515625" style="1236" customWidth="1"/>
    <col min="4913" max="4913" width="25.85546875" style="1236" customWidth="1"/>
    <col min="4914" max="5145" width="0.85546875" style="1236"/>
    <col min="5146" max="5146" width="9.85546875" style="1236" customWidth="1"/>
    <col min="5147" max="5147" width="81.85546875" style="1236" customWidth="1"/>
    <col min="5148" max="5148" width="12.7109375" style="1236" customWidth="1"/>
    <col min="5149" max="5149" width="12.42578125" style="1236" customWidth="1"/>
    <col min="5150" max="5150" width="14.5703125" style="1236" customWidth="1"/>
    <col min="5151" max="5151" width="12.28515625" style="1236" customWidth="1"/>
    <col min="5152" max="5152" width="38.140625" style="1236" customWidth="1"/>
    <col min="5153" max="5153" width="46.85546875" style="1236" customWidth="1"/>
    <col min="5154" max="5156" width="12.7109375" style="1236" customWidth="1"/>
    <col min="5157" max="5157" width="9.28515625" style="1236" customWidth="1"/>
    <col min="5158" max="5158" width="13.5703125" style="1236" customWidth="1"/>
    <col min="5159" max="5159" width="10.28515625" style="1236" customWidth="1"/>
    <col min="5160" max="5160" width="12.85546875" style="1236" customWidth="1"/>
    <col min="5161" max="5161" width="9.140625" style="1236" customWidth="1"/>
    <col min="5162" max="5162" width="9.7109375" style="1236" customWidth="1"/>
    <col min="5163" max="5163" width="9.28515625" style="1236" customWidth="1"/>
    <col min="5164" max="5164" width="9.42578125" style="1236" customWidth="1"/>
    <col min="5165" max="5165" width="10.5703125" style="1236" customWidth="1"/>
    <col min="5166" max="5166" width="12.42578125" style="1236" customWidth="1"/>
    <col min="5167" max="5167" width="14.5703125" style="1236" customWidth="1"/>
    <col min="5168" max="5168" width="12.28515625" style="1236" customWidth="1"/>
    <col min="5169" max="5169" width="25.85546875" style="1236" customWidth="1"/>
    <col min="5170" max="5401" width="0.85546875" style="1236"/>
    <col min="5402" max="5402" width="9.85546875" style="1236" customWidth="1"/>
    <col min="5403" max="5403" width="81.85546875" style="1236" customWidth="1"/>
    <col min="5404" max="5404" width="12.7109375" style="1236" customWidth="1"/>
    <col min="5405" max="5405" width="12.42578125" style="1236" customWidth="1"/>
    <col min="5406" max="5406" width="14.5703125" style="1236" customWidth="1"/>
    <col min="5407" max="5407" width="12.28515625" style="1236" customWidth="1"/>
    <col min="5408" max="5408" width="38.140625" style="1236" customWidth="1"/>
    <col min="5409" max="5409" width="46.85546875" style="1236" customWidth="1"/>
    <col min="5410" max="5412" width="12.7109375" style="1236" customWidth="1"/>
    <col min="5413" max="5413" width="9.28515625" style="1236" customWidth="1"/>
    <col min="5414" max="5414" width="13.5703125" style="1236" customWidth="1"/>
    <col min="5415" max="5415" width="10.28515625" style="1236" customWidth="1"/>
    <col min="5416" max="5416" width="12.85546875" style="1236" customWidth="1"/>
    <col min="5417" max="5417" width="9.140625" style="1236" customWidth="1"/>
    <col min="5418" max="5418" width="9.7109375" style="1236" customWidth="1"/>
    <col min="5419" max="5419" width="9.28515625" style="1236" customWidth="1"/>
    <col min="5420" max="5420" width="9.42578125" style="1236" customWidth="1"/>
    <col min="5421" max="5421" width="10.5703125" style="1236" customWidth="1"/>
    <col min="5422" max="5422" width="12.42578125" style="1236" customWidth="1"/>
    <col min="5423" max="5423" width="14.5703125" style="1236" customWidth="1"/>
    <col min="5424" max="5424" width="12.28515625" style="1236" customWidth="1"/>
    <col min="5425" max="5425" width="25.85546875" style="1236" customWidth="1"/>
    <col min="5426" max="5657" width="0.85546875" style="1236"/>
    <col min="5658" max="5658" width="9.85546875" style="1236" customWidth="1"/>
    <col min="5659" max="5659" width="81.85546875" style="1236" customWidth="1"/>
    <col min="5660" max="5660" width="12.7109375" style="1236" customWidth="1"/>
    <col min="5661" max="5661" width="12.42578125" style="1236" customWidth="1"/>
    <col min="5662" max="5662" width="14.5703125" style="1236" customWidth="1"/>
    <col min="5663" max="5663" width="12.28515625" style="1236" customWidth="1"/>
    <col min="5664" max="5664" width="38.140625" style="1236" customWidth="1"/>
    <col min="5665" max="5665" width="46.85546875" style="1236" customWidth="1"/>
    <col min="5666" max="5668" width="12.7109375" style="1236" customWidth="1"/>
    <col min="5669" max="5669" width="9.28515625" style="1236" customWidth="1"/>
    <col min="5670" max="5670" width="13.5703125" style="1236" customWidth="1"/>
    <col min="5671" max="5671" width="10.28515625" style="1236" customWidth="1"/>
    <col min="5672" max="5672" width="12.85546875" style="1236" customWidth="1"/>
    <col min="5673" max="5673" width="9.140625" style="1236" customWidth="1"/>
    <col min="5674" max="5674" width="9.7109375" style="1236" customWidth="1"/>
    <col min="5675" max="5675" width="9.28515625" style="1236" customWidth="1"/>
    <col min="5676" max="5676" width="9.42578125" style="1236" customWidth="1"/>
    <col min="5677" max="5677" width="10.5703125" style="1236" customWidth="1"/>
    <col min="5678" max="5678" width="12.42578125" style="1236" customWidth="1"/>
    <col min="5679" max="5679" width="14.5703125" style="1236" customWidth="1"/>
    <col min="5680" max="5680" width="12.28515625" style="1236" customWidth="1"/>
    <col min="5681" max="5681" width="25.85546875" style="1236" customWidth="1"/>
    <col min="5682" max="5913" width="0.85546875" style="1236"/>
    <col min="5914" max="5914" width="9.85546875" style="1236" customWidth="1"/>
    <col min="5915" max="5915" width="81.85546875" style="1236" customWidth="1"/>
    <col min="5916" max="5916" width="12.7109375" style="1236" customWidth="1"/>
    <col min="5917" max="5917" width="12.42578125" style="1236" customWidth="1"/>
    <col min="5918" max="5918" width="14.5703125" style="1236" customWidth="1"/>
    <col min="5919" max="5919" width="12.28515625" style="1236" customWidth="1"/>
    <col min="5920" max="5920" width="38.140625" style="1236" customWidth="1"/>
    <col min="5921" max="5921" width="46.85546875" style="1236" customWidth="1"/>
    <col min="5922" max="5924" width="12.7109375" style="1236" customWidth="1"/>
    <col min="5925" max="5925" width="9.28515625" style="1236" customWidth="1"/>
    <col min="5926" max="5926" width="13.5703125" style="1236" customWidth="1"/>
    <col min="5927" max="5927" width="10.28515625" style="1236" customWidth="1"/>
    <col min="5928" max="5928" width="12.85546875" style="1236" customWidth="1"/>
    <col min="5929" max="5929" width="9.140625" style="1236" customWidth="1"/>
    <col min="5930" max="5930" width="9.7109375" style="1236" customWidth="1"/>
    <col min="5931" max="5931" width="9.28515625" style="1236" customWidth="1"/>
    <col min="5932" max="5932" width="9.42578125" style="1236" customWidth="1"/>
    <col min="5933" max="5933" width="10.5703125" style="1236" customWidth="1"/>
    <col min="5934" max="5934" width="12.42578125" style="1236" customWidth="1"/>
    <col min="5935" max="5935" width="14.5703125" style="1236" customWidth="1"/>
    <col min="5936" max="5936" width="12.28515625" style="1236" customWidth="1"/>
    <col min="5937" max="5937" width="25.85546875" style="1236" customWidth="1"/>
    <col min="5938" max="6169" width="0.85546875" style="1236"/>
    <col min="6170" max="6170" width="9.85546875" style="1236" customWidth="1"/>
    <col min="6171" max="6171" width="81.85546875" style="1236" customWidth="1"/>
    <col min="6172" max="6172" width="12.7109375" style="1236" customWidth="1"/>
    <col min="6173" max="6173" width="12.42578125" style="1236" customWidth="1"/>
    <col min="6174" max="6174" width="14.5703125" style="1236" customWidth="1"/>
    <col min="6175" max="6175" width="12.28515625" style="1236" customWidth="1"/>
    <col min="6176" max="6176" width="38.140625" style="1236" customWidth="1"/>
    <col min="6177" max="6177" width="46.85546875" style="1236" customWidth="1"/>
    <col min="6178" max="6180" width="12.7109375" style="1236" customWidth="1"/>
    <col min="6181" max="6181" width="9.28515625" style="1236" customWidth="1"/>
    <col min="6182" max="6182" width="13.5703125" style="1236" customWidth="1"/>
    <col min="6183" max="6183" width="10.28515625" style="1236" customWidth="1"/>
    <col min="6184" max="6184" width="12.85546875" style="1236" customWidth="1"/>
    <col min="6185" max="6185" width="9.140625" style="1236" customWidth="1"/>
    <col min="6186" max="6186" width="9.7109375" style="1236" customWidth="1"/>
    <col min="6187" max="6187" width="9.28515625" style="1236" customWidth="1"/>
    <col min="6188" max="6188" width="9.42578125" style="1236" customWidth="1"/>
    <col min="6189" max="6189" width="10.5703125" style="1236" customWidth="1"/>
    <col min="6190" max="6190" width="12.42578125" style="1236" customWidth="1"/>
    <col min="6191" max="6191" width="14.5703125" style="1236" customWidth="1"/>
    <col min="6192" max="6192" width="12.28515625" style="1236" customWidth="1"/>
    <col min="6193" max="6193" width="25.85546875" style="1236" customWidth="1"/>
    <col min="6194" max="6425" width="0.85546875" style="1236"/>
    <col min="6426" max="6426" width="9.85546875" style="1236" customWidth="1"/>
    <col min="6427" max="6427" width="81.85546875" style="1236" customWidth="1"/>
    <col min="6428" max="6428" width="12.7109375" style="1236" customWidth="1"/>
    <col min="6429" max="6429" width="12.42578125" style="1236" customWidth="1"/>
    <col min="6430" max="6430" width="14.5703125" style="1236" customWidth="1"/>
    <col min="6431" max="6431" width="12.28515625" style="1236" customWidth="1"/>
    <col min="6432" max="6432" width="38.140625" style="1236" customWidth="1"/>
    <col min="6433" max="6433" width="46.85546875" style="1236" customWidth="1"/>
    <col min="6434" max="6436" width="12.7109375" style="1236" customWidth="1"/>
    <col min="6437" max="6437" width="9.28515625" style="1236" customWidth="1"/>
    <col min="6438" max="6438" width="13.5703125" style="1236" customWidth="1"/>
    <col min="6439" max="6439" width="10.28515625" style="1236" customWidth="1"/>
    <col min="6440" max="6440" width="12.85546875" style="1236" customWidth="1"/>
    <col min="6441" max="6441" width="9.140625" style="1236" customWidth="1"/>
    <col min="6442" max="6442" width="9.7109375" style="1236" customWidth="1"/>
    <col min="6443" max="6443" width="9.28515625" style="1236" customWidth="1"/>
    <col min="6444" max="6444" width="9.42578125" style="1236" customWidth="1"/>
    <col min="6445" max="6445" width="10.5703125" style="1236" customWidth="1"/>
    <col min="6446" max="6446" width="12.42578125" style="1236" customWidth="1"/>
    <col min="6447" max="6447" width="14.5703125" style="1236" customWidth="1"/>
    <col min="6448" max="6448" width="12.28515625" style="1236" customWidth="1"/>
    <col min="6449" max="6449" width="25.85546875" style="1236" customWidth="1"/>
    <col min="6450" max="6681" width="0.85546875" style="1236"/>
    <col min="6682" max="6682" width="9.85546875" style="1236" customWidth="1"/>
    <col min="6683" max="6683" width="81.85546875" style="1236" customWidth="1"/>
    <col min="6684" max="6684" width="12.7109375" style="1236" customWidth="1"/>
    <col min="6685" max="6685" width="12.42578125" style="1236" customWidth="1"/>
    <col min="6686" max="6686" width="14.5703125" style="1236" customWidth="1"/>
    <col min="6687" max="6687" width="12.28515625" style="1236" customWidth="1"/>
    <col min="6688" max="6688" width="38.140625" style="1236" customWidth="1"/>
    <col min="6689" max="6689" width="46.85546875" style="1236" customWidth="1"/>
    <col min="6690" max="6692" width="12.7109375" style="1236" customWidth="1"/>
    <col min="6693" max="6693" width="9.28515625" style="1236" customWidth="1"/>
    <col min="6694" max="6694" width="13.5703125" style="1236" customWidth="1"/>
    <col min="6695" max="6695" width="10.28515625" style="1236" customWidth="1"/>
    <col min="6696" max="6696" width="12.85546875" style="1236" customWidth="1"/>
    <col min="6697" max="6697" width="9.140625" style="1236" customWidth="1"/>
    <col min="6698" max="6698" width="9.7109375" style="1236" customWidth="1"/>
    <col min="6699" max="6699" width="9.28515625" style="1236" customWidth="1"/>
    <col min="6700" max="6700" width="9.42578125" style="1236" customWidth="1"/>
    <col min="6701" max="6701" width="10.5703125" style="1236" customWidth="1"/>
    <col min="6702" max="6702" width="12.42578125" style="1236" customWidth="1"/>
    <col min="6703" max="6703" width="14.5703125" style="1236" customWidth="1"/>
    <col min="6704" max="6704" width="12.28515625" style="1236" customWidth="1"/>
    <col min="6705" max="6705" width="25.85546875" style="1236" customWidth="1"/>
    <col min="6706" max="6937" width="0.85546875" style="1236"/>
    <col min="6938" max="6938" width="9.85546875" style="1236" customWidth="1"/>
    <col min="6939" max="6939" width="81.85546875" style="1236" customWidth="1"/>
    <col min="6940" max="6940" width="12.7109375" style="1236" customWidth="1"/>
    <col min="6941" max="6941" width="12.42578125" style="1236" customWidth="1"/>
    <col min="6942" max="6942" width="14.5703125" style="1236" customWidth="1"/>
    <col min="6943" max="6943" width="12.28515625" style="1236" customWidth="1"/>
    <col min="6944" max="6944" width="38.140625" style="1236" customWidth="1"/>
    <col min="6945" max="6945" width="46.85546875" style="1236" customWidth="1"/>
    <col min="6946" max="6948" width="12.7109375" style="1236" customWidth="1"/>
    <col min="6949" max="6949" width="9.28515625" style="1236" customWidth="1"/>
    <col min="6950" max="6950" width="13.5703125" style="1236" customWidth="1"/>
    <col min="6951" max="6951" width="10.28515625" style="1236" customWidth="1"/>
    <col min="6952" max="6952" width="12.85546875" style="1236" customWidth="1"/>
    <col min="6953" max="6953" width="9.140625" style="1236" customWidth="1"/>
    <col min="6954" max="6954" width="9.7109375" style="1236" customWidth="1"/>
    <col min="6955" max="6955" width="9.28515625" style="1236" customWidth="1"/>
    <col min="6956" max="6956" width="9.42578125" style="1236" customWidth="1"/>
    <col min="6957" max="6957" width="10.5703125" style="1236" customWidth="1"/>
    <col min="6958" max="6958" width="12.42578125" style="1236" customWidth="1"/>
    <col min="6959" max="6959" width="14.5703125" style="1236" customWidth="1"/>
    <col min="6960" max="6960" width="12.28515625" style="1236" customWidth="1"/>
    <col min="6961" max="6961" width="25.85546875" style="1236" customWidth="1"/>
    <col min="6962" max="7193" width="0.85546875" style="1236"/>
    <col min="7194" max="7194" width="9.85546875" style="1236" customWidth="1"/>
    <col min="7195" max="7195" width="81.85546875" style="1236" customWidth="1"/>
    <col min="7196" max="7196" width="12.7109375" style="1236" customWidth="1"/>
    <col min="7197" max="7197" width="12.42578125" style="1236" customWidth="1"/>
    <col min="7198" max="7198" width="14.5703125" style="1236" customWidth="1"/>
    <col min="7199" max="7199" width="12.28515625" style="1236" customWidth="1"/>
    <col min="7200" max="7200" width="38.140625" style="1236" customWidth="1"/>
    <col min="7201" max="7201" width="46.85546875" style="1236" customWidth="1"/>
    <col min="7202" max="7204" width="12.7109375" style="1236" customWidth="1"/>
    <col min="7205" max="7205" width="9.28515625" style="1236" customWidth="1"/>
    <col min="7206" max="7206" width="13.5703125" style="1236" customWidth="1"/>
    <col min="7207" max="7207" width="10.28515625" style="1236" customWidth="1"/>
    <col min="7208" max="7208" width="12.85546875" style="1236" customWidth="1"/>
    <col min="7209" max="7209" width="9.140625" style="1236" customWidth="1"/>
    <col min="7210" max="7210" width="9.7109375" style="1236" customWidth="1"/>
    <col min="7211" max="7211" width="9.28515625" style="1236" customWidth="1"/>
    <col min="7212" max="7212" width="9.42578125" style="1236" customWidth="1"/>
    <col min="7213" max="7213" width="10.5703125" style="1236" customWidth="1"/>
    <col min="7214" max="7214" width="12.42578125" style="1236" customWidth="1"/>
    <col min="7215" max="7215" width="14.5703125" style="1236" customWidth="1"/>
    <col min="7216" max="7216" width="12.28515625" style="1236" customWidth="1"/>
    <col min="7217" max="7217" width="25.85546875" style="1236" customWidth="1"/>
    <col min="7218" max="7449" width="0.85546875" style="1236"/>
    <col min="7450" max="7450" width="9.85546875" style="1236" customWidth="1"/>
    <col min="7451" max="7451" width="81.85546875" style="1236" customWidth="1"/>
    <col min="7452" max="7452" width="12.7109375" style="1236" customWidth="1"/>
    <col min="7453" max="7453" width="12.42578125" style="1236" customWidth="1"/>
    <col min="7454" max="7454" width="14.5703125" style="1236" customWidth="1"/>
    <col min="7455" max="7455" width="12.28515625" style="1236" customWidth="1"/>
    <col min="7456" max="7456" width="38.140625" style="1236" customWidth="1"/>
    <col min="7457" max="7457" width="46.85546875" style="1236" customWidth="1"/>
    <col min="7458" max="7460" width="12.7109375" style="1236" customWidth="1"/>
    <col min="7461" max="7461" width="9.28515625" style="1236" customWidth="1"/>
    <col min="7462" max="7462" width="13.5703125" style="1236" customWidth="1"/>
    <col min="7463" max="7463" width="10.28515625" style="1236" customWidth="1"/>
    <col min="7464" max="7464" width="12.85546875" style="1236" customWidth="1"/>
    <col min="7465" max="7465" width="9.140625" style="1236" customWidth="1"/>
    <col min="7466" max="7466" width="9.7109375" style="1236" customWidth="1"/>
    <col min="7467" max="7467" width="9.28515625" style="1236" customWidth="1"/>
    <col min="7468" max="7468" width="9.42578125" style="1236" customWidth="1"/>
    <col min="7469" max="7469" width="10.5703125" style="1236" customWidth="1"/>
    <col min="7470" max="7470" width="12.42578125" style="1236" customWidth="1"/>
    <col min="7471" max="7471" width="14.5703125" style="1236" customWidth="1"/>
    <col min="7472" max="7472" width="12.28515625" style="1236" customWidth="1"/>
    <col min="7473" max="7473" width="25.85546875" style="1236" customWidth="1"/>
    <col min="7474" max="7705" width="0.85546875" style="1236"/>
    <col min="7706" max="7706" width="9.85546875" style="1236" customWidth="1"/>
    <col min="7707" max="7707" width="81.85546875" style="1236" customWidth="1"/>
    <col min="7708" max="7708" width="12.7109375" style="1236" customWidth="1"/>
    <col min="7709" max="7709" width="12.42578125" style="1236" customWidth="1"/>
    <col min="7710" max="7710" width="14.5703125" style="1236" customWidth="1"/>
    <col min="7711" max="7711" width="12.28515625" style="1236" customWidth="1"/>
    <col min="7712" max="7712" width="38.140625" style="1236" customWidth="1"/>
    <col min="7713" max="7713" width="46.85546875" style="1236" customWidth="1"/>
    <col min="7714" max="7716" width="12.7109375" style="1236" customWidth="1"/>
    <col min="7717" max="7717" width="9.28515625" style="1236" customWidth="1"/>
    <col min="7718" max="7718" width="13.5703125" style="1236" customWidth="1"/>
    <col min="7719" max="7719" width="10.28515625" style="1236" customWidth="1"/>
    <col min="7720" max="7720" width="12.85546875" style="1236" customWidth="1"/>
    <col min="7721" max="7721" width="9.140625" style="1236" customWidth="1"/>
    <col min="7722" max="7722" width="9.7109375" style="1236" customWidth="1"/>
    <col min="7723" max="7723" width="9.28515625" style="1236" customWidth="1"/>
    <col min="7724" max="7724" width="9.42578125" style="1236" customWidth="1"/>
    <col min="7725" max="7725" width="10.5703125" style="1236" customWidth="1"/>
    <col min="7726" max="7726" width="12.42578125" style="1236" customWidth="1"/>
    <col min="7727" max="7727" width="14.5703125" style="1236" customWidth="1"/>
    <col min="7728" max="7728" width="12.28515625" style="1236" customWidth="1"/>
    <col min="7729" max="7729" width="25.85546875" style="1236" customWidth="1"/>
    <col min="7730" max="7961" width="0.85546875" style="1236"/>
    <col min="7962" max="7962" width="9.85546875" style="1236" customWidth="1"/>
    <col min="7963" max="7963" width="81.85546875" style="1236" customWidth="1"/>
    <col min="7964" max="7964" width="12.7109375" style="1236" customWidth="1"/>
    <col min="7965" max="7965" width="12.42578125" style="1236" customWidth="1"/>
    <col min="7966" max="7966" width="14.5703125" style="1236" customWidth="1"/>
    <col min="7967" max="7967" width="12.28515625" style="1236" customWidth="1"/>
    <col min="7968" max="7968" width="38.140625" style="1236" customWidth="1"/>
    <col min="7969" max="7969" width="46.85546875" style="1236" customWidth="1"/>
    <col min="7970" max="7972" width="12.7109375" style="1236" customWidth="1"/>
    <col min="7973" max="7973" width="9.28515625" style="1236" customWidth="1"/>
    <col min="7974" max="7974" width="13.5703125" style="1236" customWidth="1"/>
    <col min="7975" max="7975" width="10.28515625" style="1236" customWidth="1"/>
    <col min="7976" max="7976" width="12.85546875" style="1236" customWidth="1"/>
    <col min="7977" max="7977" width="9.140625" style="1236" customWidth="1"/>
    <col min="7978" max="7978" width="9.7109375" style="1236" customWidth="1"/>
    <col min="7979" max="7979" width="9.28515625" style="1236" customWidth="1"/>
    <col min="7980" max="7980" width="9.42578125" style="1236" customWidth="1"/>
    <col min="7981" max="7981" width="10.5703125" style="1236" customWidth="1"/>
    <col min="7982" max="7982" width="12.42578125" style="1236" customWidth="1"/>
    <col min="7983" max="7983" width="14.5703125" style="1236" customWidth="1"/>
    <col min="7984" max="7984" width="12.28515625" style="1236" customWidth="1"/>
    <col min="7985" max="7985" width="25.85546875" style="1236" customWidth="1"/>
    <col min="7986" max="8217" width="0.85546875" style="1236"/>
    <col min="8218" max="8218" width="9.85546875" style="1236" customWidth="1"/>
    <col min="8219" max="8219" width="81.85546875" style="1236" customWidth="1"/>
    <col min="8220" max="8220" width="12.7109375" style="1236" customWidth="1"/>
    <col min="8221" max="8221" width="12.42578125" style="1236" customWidth="1"/>
    <col min="8222" max="8222" width="14.5703125" style="1236" customWidth="1"/>
    <col min="8223" max="8223" width="12.28515625" style="1236" customWidth="1"/>
    <col min="8224" max="8224" width="38.140625" style="1236" customWidth="1"/>
    <col min="8225" max="8225" width="46.85546875" style="1236" customWidth="1"/>
    <col min="8226" max="8228" width="12.7109375" style="1236" customWidth="1"/>
    <col min="8229" max="8229" width="9.28515625" style="1236" customWidth="1"/>
    <col min="8230" max="8230" width="13.5703125" style="1236" customWidth="1"/>
    <col min="8231" max="8231" width="10.28515625" style="1236" customWidth="1"/>
    <col min="8232" max="8232" width="12.85546875" style="1236" customWidth="1"/>
    <col min="8233" max="8233" width="9.140625" style="1236" customWidth="1"/>
    <col min="8234" max="8234" width="9.7109375" style="1236" customWidth="1"/>
    <col min="8235" max="8235" width="9.28515625" style="1236" customWidth="1"/>
    <col min="8236" max="8236" width="9.42578125" style="1236" customWidth="1"/>
    <col min="8237" max="8237" width="10.5703125" style="1236" customWidth="1"/>
    <col min="8238" max="8238" width="12.42578125" style="1236" customWidth="1"/>
    <col min="8239" max="8239" width="14.5703125" style="1236" customWidth="1"/>
    <col min="8240" max="8240" width="12.28515625" style="1236" customWidth="1"/>
    <col min="8241" max="8241" width="25.85546875" style="1236" customWidth="1"/>
    <col min="8242" max="8473" width="0.85546875" style="1236"/>
    <col min="8474" max="8474" width="9.85546875" style="1236" customWidth="1"/>
    <col min="8475" max="8475" width="81.85546875" style="1236" customWidth="1"/>
    <col min="8476" max="8476" width="12.7109375" style="1236" customWidth="1"/>
    <col min="8477" max="8477" width="12.42578125" style="1236" customWidth="1"/>
    <col min="8478" max="8478" width="14.5703125" style="1236" customWidth="1"/>
    <col min="8479" max="8479" width="12.28515625" style="1236" customWidth="1"/>
    <col min="8480" max="8480" width="38.140625" style="1236" customWidth="1"/>
    <col min="8481" max="8481" width="46.85546875" style="1236" customWidth="1"/>
    <col min="8482" max="8484" width="12.7109375" style="1236" customWidth="1"/>
    <col min="8485" max="8485" width="9.28515625" style="1236" customWidth="1"/>
    <col min="8486" max="8486" width="13.5703125" style="1236" customWidth="1"/>
    <col min="8487" max="8487" width="10.28515625" style="1236" customWidth="1"/>
    <col min="8488" max="8488" width="12.85546875" style="1236" customWidth="1"/>
    <col min="8489" max="8489" width="9.140625" style="1236" customWidth="1"/>
    <col min="8490" max="8490" width="9.7109375" style="1236" customWidth="1"/>
    <col min="8491" max="8491" width="9.28515625" style="1236" customWidth="1"/>
    <col min="8492" max="8492" width="9.42578125" style="1236" customWidth="1"/>
    <col min="8493" max="8493" width="10.5703125" style="1236" customWidth="1"/>
    <col min="8494" max="8494" width="12.42578125" style="1236" customWidth="1"/>
    <col min="8495" max="8495" width="14.5703125" style="1236" customWidth="1"/>
    <col min="8496" max="8496" width="12.28515625" style="1236" customWidth="1"/>
    <col min="8497" max="8497" width="25.85546875" style="1236" customWidth="1"/>
    <col min="8498" max="8729" width="0.85546875" style="1236"/>
    <col min="8730" max="8730" width="9.85546875" style="1236" customWidth="1"/>
    <col min="8731" max="8731" width="81.85546875" style="1236" customWidth="1"/>
    <col min="8732" max="8732" width="12.7109375" style="1236" customWidth="1"/>
    <col min="8733" max="8733" width="12.42578125" style="1236" customWidth="1"/>
    <col min="8734" max="8734" width="14.5703125" style="1236" customWidth="1"/>
    <col min="8735" max="8735" width="12.28515625" style="1236" customWidth="1"/>
    <col min="8736" max="8736" width="38.140625" style="1236" customWidth="1"/>
    <col min="8737" max="8737" width="46.85546875" style="1236" customWidth="1"/>
    <col min="8738" max="8740" width="12.7109375" style="1236" customWidth="1"/>
    <col min="8741" max="8741" width="9.28515625" style="1236" customWidth="1"/>
    <col min="8742" max="8742" width="13.5703125" style="1236" customWidth="1"/>
    <col min="8743" max="8743" width="10.28515625" style="1236" customWidth="1"/>
    <col min="8744" max="8744" width="12.85546875" style="1236" customWidth="1"/>
    <col min="8745" max="8745" width="9.140625" style="1236" customWidth="1"/>
    <col min="8746" max="8746" width="9.7109375" style="1236" customWidth="1"/>
    <col min="8747" max="8747" width="9.28515625" style="1236" customWidth="1"/>
    <col min="8748" max="8748" width="9.42578125" style="1236" customWidth="1"/>
    <col min="8749" max="8749" width="10.5703125" style="1236" customWidth="1"/>
    <col min="8750" max="8750" width="12.42578125" style="1236" customWidth="1"/>
    <col min="8751" max="8751" width="14.5703125" style="1236" customWidth="1"/>
    <col min="8752" max="8752" width="12.28515625" style="1236" customWidth="1"/>
    <col min="8753" max="8753" width="25.85546875" style="1236" customWidth="1"/>
    <col min="8754" max="8985" width="0.85546875" style="1236"/>
    <col min="8986" max="8986" width="9.85546875" style="1236" customWidth="1"/>
    <col min="8987" max="8987" width="81.85546875" style="1236" customWidth="1"/>
    <col min="8988" max="8988" width="12.7109375" style="1236" customWidth="1"/>
    <col min="8989" max="8989" width="12.42578125" style="1236" customWidth="1"/>
    <col min="8990" max="8990" width="14.5703125" style="1236" customWidth="1"/>
    <col min="8991" max="8991" width="12.28515625" style="1236" customWidth="1"/>
    <col min="8992" max="8992" width="38.140625" style="1236" customWidth="1"/>
    <col min="8993" max="8993" width="46.85546875" style="1236" customWidth="1"/>
    <col min="8994" max="8996" width="12.7109375" style="1236" customWidth="1"/>
    <col min="8997" max="8997" width="9.28515625" style="1236" customWidth="1"/>
    <col min="8998" max="8998" width="13.5703125" style="1236" customWidth="1"/>
    <col min="8999" max="8999" width="10.28515625" style="1236" customWidth="1"/>
    <col min="9000" max="9000" width="12.85546875" style="1236" customWidth="1"/>
    <col min="9001" max="9001" width="9.140625" style="1236" customWidth="1"/>
    <col min="9002" max="9002" width="9.7109375" style="1236" customWidth="1"/>
    <col min="9003" max="9003" width="9.28515625" style="1236" customWidth="1"/>
    <col min="9004" max="9004" width="9.42578125" style="1236" customWidth="1"/>
    <col min="9005" max="9005" width="10.5703125" style="1236" customWidth="1"/>
    <col min="9006" max="9006" width="12.42578125" style="1236" customWidth="1"/>
    <col min="9007" max="9007" width="14.5703125" style="1236" customWidth="1"/>
    <col min="9008" max="9008" width="12.28515625" style="1236" customWidth="1"/>
    <col min="9009" max="9009" width="25.85546875" style="1236" customWidth="1"/>
    <col min="9010" max="9241" width="0.85546875" style="1236"/>
    <col min="9242" max="9242" width="9.85546875" style="1236" customWidth="1"/>
    <col min="9243" max="9243" width="81.85546875" style="1236" customWidth="1"/>
    <col min="9244" max="9244" width="12.7109375" style="1236" customWidth="1"/>
    <col min="9245" max="9245" width="12.42578125" style="1236" customWidth="1"/>
    <col min="9246" max="9246" width="14.5703125" style="1236" customWidth="1"/>
    <col min="9247" max="9247" width="12.28515625" style="1236" customWidth="1"/>
    <col min="9248" max="9248" width="38.140625" style="1236" customWidth="1"/>
    <col min="9249" max="9249" width="46.85546875" style="1236" customWidth="1"/>
    <col min="9250" max="9252" width="12.7109375" style="1236" customWidth="1"/>
    <col min="9253" max="9253" width="9.28515625" style="1236" customWidth="1"/>
    <col min="9254" max="9254" width="13.5703125" style="1236" customWidth="1"/>
    <col min="9255" max="9255" width="10.28515625" style="1236" customWidth="1"/>
    <col min="9256" max="9256" width="12.85546875" style="1236" customWidth="1"/>
    <col min="9257" max="9257" width="9.140625" style="1236" customWidth="1"/>
    <col min="9258" max="9258" width="9.7109375" style="1236" customWidth="1"/>
    <col min="9259" max="9259" width="9.28515625" style="1236" customWidth="1"/>
    <col min="9260" max="9260" width="9.42578125" style="1236" customWidth="1"/>
    <col min="9261" max="9261" width="10.5703125" style="1236" customWidth="1"/>
    <col min="9262" max="9262" width="12.42578125" style="1236" customWidth="1"/>
    <col min="9263" max="9263" width="14.5703125" style="1236" customWidth="1"/>
    <col min="9264" max="9264" width="12.28515625" style="1236" customWidth="1"/>
    <col min="9265" max="9265" width="25.85546875" style="1236" customWidth="1"/>
    <col min="9266" max="9497" width="0.85546875" style="1236"/>
    <col min="9498" max="9498" width="9.85546875" style="1236" customWidth="1"/>
    <col min="9499" max="9499" width="81.85546875" style="1236" customWidth="1"/>
    <col min="9500" max="9500" width="12.7109375" style="1236" customWidth="1"/>
    <col min="9501" max="9501" width="12.42578125" style="1236" customWidth="1"/>
    <col min="9502" max="9502" width="14.5703125" style="1236" customWidth="1"/>
    <col min="9503" max="9503" width="12.28515625" style="1236" customWidth="1"/>
    <col min="9504" max="9504" width="38.140625" style="1236" customWidth="1"/>
    <col min="9505" max="9505" width="46.85546875" style="1236" customWidth="1"/>
    <col min="9506" max="9508" width="12.7109375" style="1236" customWidth="1"/>
    <col min="9509" max="9509" width="9.28515625" style="1236" customWidth="1"/>
    <col min="9510" max="9510" width="13.5703125" style="1236" customWidth="1"/>
    <col min="9511" max="9511" width="10.28515625" style="1236" customWidth="1"/>
    <col min="9512" max="9512" width="12.85546875" style="1236" customWidth="1"/>
    <col min="9513" max="9513" width="9.140625" style="1236" customWidth="1"/>
    <col min="9514" max="9514" width="9.7109375" style="1236" customWidth="1"/>
    <col min="9515" max="9515" width="9.28515625" style="1236" customWidth="1"/>
    <col min="9516" max="9516" width="9.42578125" style="1236" customWidth="1"/>
    <col min="9517" max="9517" width="10.5703125" style="1236" customWidth="1"/>
    <col min="9518" max="9518" width="12.42578125" style="1236" customWidth="1"/>
    <col min="9519" max="9519" width="14.5703125" style="1236" customWidth="1"/>
    <col min="9520" max="9520" width="12.28515625" style="1236" customWidth="1"/>
    <col min="9521" max="9521" width="25.85546875" style="1236" customWidth="1"/>
    <col min="9522" max="9753" width="0.85546875" style="1236"/>
    <col min="9754" max="9754" width="9.85546875" style="1236" customWidth="1"/>
    <col min="9755" max="9755" width="81.85546875" style="1236" customWidth="1"/>
    <col min="9756" max="9756" width="12.7109375" style="1236" customWidth="1"/>
    <col min="9757" max="9757" width="12.42578125" style="1236" customWidth="1"/>
    <col min="9758" max="9758" width="14.5703125" style="1236" customWidth="1"/>
    <col min="9759" max="9759" width="12.28515625" style="1236" customWidth="1"/>
    <col min="9760" max="9760" width="38.140625" style="1236" customWidth="1"/>
    <col min="9761" max="9761" width="46.85546875" style="1236" customWidth="1"/>
    <col min="9762" max="9764" width="12.7109375" style="1236" customWidth="1"/>
    <col min="9765" max="9765" width="9.28515625" style="1236" customWidth="1"/>
    <col min="9766" max="9766" width="13.5703125" style="1236" customWidth="1"/>
    <col min="9767" max="9767" width="10.28515625" style="1236" customWidth="1"/>
    <col min="9768" max="9768" width="12.85546875" style="1236" customWidth="1"/>
    <col min="9769" max="9769" width="9.140625" style="1236" customWidth="1"/>
    <col min="9770" max="9770" width="9.7109375" style="1236" customWidth="1"/>
    <col min="9771" max="9771" width="9.28515625" style="1236" customWidth="1"/>
    <col min="9772" max="9772" width="9.42578125" style="1236" customWidth="1"/>
    <col min="9773" max="9773" width="10.5703125" style="1236" customWidth="1"/>
    <col min="9774" max="9774" width="12.42578125" style="1236" customWidth="1"/>
    <col min="9775" max="9775" width="14.5703125" style="1236" customWidth="1"/>
    <col min="9776" max="9776" width="12.28515625" style="1236" customWidth="1"/>
    <col min="9777" max="9777" width="25.85546875" style="1236" customWidth="1"/>
    <col min="9778" max="10009" width="0.85546875" style="1236"/>
    <col min="10010" max="10010" width="9.85546875" style="1236" customWidth="1"/>
    <col min="10011" max="10011" width="81.85546875" style="1236" customWidth="1"/>
    <col min="10012" max="10012" width="12.7109375" style="1236" customWidth="1"/>
    <col min="10013" max="10013" width="12.42578125" style="1236" customWidth="1"/>
    <col min="10014" max="10014" width="14.5703125" style="1236" customWidth="1"/>
    <col min="10015" max="10015" width="12.28515625" style="1236" customWidth="1"/>
    <col min="10016" max="10016" width="38.140625" style="1236" customWidth="1"/>
    <col min="10017" max="10017" width="46.85546875" style="1236" customWidth="1"/>
    <col min="10018" max="10020" width="12.7109375" style="1236" customWidth="1"/>
    <col min="10021" max="10021" width="9.28515625" style="1236" customWidth="1"/>
    <col min="10022" max="10022" width="13.5703125" style="1236" customWidth="1"/>
    <col min="10023" max="10023" width="10.28515625" style="1236" customWidth="1"/>
    <col min="10024" max="10024" width="12.85546875" style="1236" customWidth="1"/>
    <col min="10025" max="10025" width="9.140625" style="1236" customWidth="1"/>
    <col min="10026" max="10026" width="9.7109375" style="1236" customWidth="1"/>
    <col min="10027" max="10027" width="9.28515625" style="1236" customWidth="1"/>
    <col min="10028" max="10028" width="9.42578125" style="1236" customWidth="1"/>
    <col min="10029" max="10029" width="10.5703125" style="1236" customWidth="1"/>
    <col min="10030" max="10030" width="12.42578125" style="1236" customWidth="1"/>
    <col min="10031" max="10031" width="14.5703125" style="1236" customWidth="1"/>
    <col min="10032" max="10032" width="12.28515625" style="1236" customWidth="1"/>
    <col min="10033" max="10033" width="25.85546875" style="1236" customWidth="1"/>
    <col min="10034" max="10265" width="0.85546875" style="1236"/>
    <col min="10266" max="10266" width="9.85546875" style="1236" customWidth="1"/>
    <col min="10267" max="10267" width="81.85546875" style="1236" customWidth="1"/>
    <col min="10268" max="10268" width="12.7109375" style="1236" customWidth="1"/>
    <col min="10269" max="10269" width="12.42578125" style="1236" customWidth="1"/>
    <col min="10270" max="10270" width="14.5703125" style="1236" customWidth="1"/>
    <col min="10271" max="10271" width="12.28515625" style="1236" customWidth="1"/>
    <col min="10272" max="10272" width="38.140625" style="1236" customWidth="1"/>
    <col min="10273" max="10273" width="46.85546875" style="1236" customWidth="1"/>
    <col min="10274" max="10276" width="12.7109375" style="1236" customWidth="1"/>
    <col min="10277" max="10277" width="9.28515625" style="1236" customWidth="1"/>
    <col min="10278" max="10278" width="13.5703125" style="1236" customWidth="1"/>
    <col min="10279" max="10279" width="10.28515625" style="1236" customWidth="1"/>
    <col min="10280" max="10280" width="12.85546875" style="1236" customWidth="1"/>
    <col min="10281" max="10281" width="9.140625" style="1236" customWidth="1"/>
    <col min="10282" max="10282" width="9.7109375" style="1236" customWidth="1"/>
    <col min="10283" max="10283" width="9.28515625" style="1236" customWidth="1"/>
    <col min="10284" max="10284" width="9.42578125" style="1236" customWidth="1"/>
    <col min="10285" max="10285" width="10.5703125" style="1236" customWidth="1"/>
    <col min="10286" max="10286" width="12.42578125" style="1236" customWidth="1"/>
    <col min="10287" max="10287" width="14.5703125" style="1236" customWidth="1"/>
    <col min="10288" max="10288" width="12.28515625" style="1236" customWidth="1"/>
    <col min="10289" max="10289" width="25.85546875" style="1236" customWidth="1"/>
    <col min="10290" max="10521" width="0.85546875" style="1236"/>
    <col min="10522" max="10522" width="9.85546875" style="1236" customWidth="1"/>
    <col min="10523" max="10523" width="81.85546875" style="1236" customWidth="1"/>
    <col min="10524" max="10524" width="12.7109375" style="1236" customWidth="1"/>
    <col min="10525" max="10525" width="12.42578125" style="1236" customWidth="1"/>
    <col min="10526" max="10526" width="14.5703125" style="1236" customWidth="1"/>
    <col min="10527" max="10527" width="12.28515625" style="1236" customWidth="1"/>
    <col min="10528" max="10528" width="38.140625" style="1236" customWidth="1"/>
    <col min="10529" max="10529" width="46.85546875" style="1236" customWidth="1"/>
    <col min="10530" max="10532" width="12.7109375" style="1236" customWidth="1"/>
    <col min="10533" max="10533" width="9.28515625" style="1236" customWidth="1"/>
    <col min="10534" max="10534" width="13.5703125" style="1236" customWidth="1"/>
    <col min="10535" max="10535" width="10.28515625" style="1236" customWidth="1"/>
    <col min="10536" max="10536" width="12.85546875" style="1236" customWidth="1"/>
    <col min="10537" max="10537" width="9.140625" style="1236" customWidth="1"/>
    <col min="10538" max="10538" width="9.7109375" style="1236" customWidth="1"/>
    <col min="10539" max="10539" width="9.28515625" style="1236" customWidth="1"/>
    <col min="10540" max="10540" width="9.42578125" style="1236" customWidth="1"/>
    <col min="10541" max="10541" width="10.5703125" style="1236" customWidth="1"/>
    <col min="10542" max="10542" width="12.42578125" style="1236" customWidth="1"/>
    <col min="10543" max="10543" width="14.5703125" style="1236" customWidth="1"/>
    <col min="10544" max="10544" width="12.28515625" style="1236" customWidth="1"/>
    <col min="10545" max="10545" width="25.85546875" style="1236" customWidth="1"/>
    <col min="10546" max="10777" width="0.85546875" style="1236"/>
    <col min="10778" max="10778" width="9.85546875" style="1236" customWidth="1"/>
    <col min="10779" max="10779" width="81.85546875" style="1236" customWidth="1"/>
    <col min="10780" max="10780" width="12.7109375" style="1236" customWidth="1"/>
    <col min="10781" max="10781" width="12.42578125" style="1236" customWidth="1"/>
    <col min="10782" max="10782" width="14.5703125" style="1236" customWidth="1"/>
    <col min="10783" max="10783" width="12.28515625" style="1236" customWidth="1"/>
    <col min="10784" max="10784" width="38.140625" style="1236" customWidth="1"/>
    <col min="10785" max="10785" width="46.85546875" style="1236" customWidth="1"/>
    <col min="10786" max="10788" width="12.7109375" style="1236" customWidth="1"/>
    <col min="10789" max="10789" width="9.28515625" style="1236" customWidth="1"/>
    <col min="10790" max="10790" width="13.5703125" style="1236" customWidth="1"/>
    <col min="10791" max="10791" width="10.28515625" style="1236" customWidth="1"/>
    <col min="10792" max="10792" width="12.85546875" style="1236" customWidth="1"/>
    <col min="10793" max="10793" width="9.140625" style="1236" customWidth="1"/>
    <col min="10794" max="10794" width="9.7109375" style="1236" customWidth="1"/>
    <col min="10795" max="10795" width="9.28515625" style="1236" customWidth="1"/>
    <col min="10796" max="10796" width="9.42578125" style="1236" customWidth="1"/>
    <col min="10797" max="10797" width="10.5703125" style="1236" customWidth="1"/>
    <col min="10798" max="10798" width="12.42578125" style="1236" customWidth="1"/>
    <col min="10799" max="10799" width="14.5703125" style="1236" customWidth="1"/>
    <col min="10800" max="10800" width="12.28515625" style="1236" customWidth="1"/>
    <col min="10801" max="10801" width="25.85546875" style="1236" customWidth="1"/>
    <col min="10802" max="11033" width="0.85546875" style="1236"/>
    <col min="11034" max="11034" width="9.85546875" style="1236" customWidth="1"/>
    <col min="11035" max="11035" width="81.85546875" style="1236" customWidth="1"/>
    <col min="11036" max="11036" width="12.7109375" style="1236" customWidth="1"/>
    <col min="11037" max="11037" width="12.42578125" style="1236" customWidth="1"/>
    <col min="11038" max="11038" width="14.5703125" style="1236" customWidth="1"/>
    <col min="11039" max="11039" width="12.28515625" style="1236" customWidth="1"/>
    <col min="11040" max="11040" width="38.140625" style="1236" customWidth="1"/>
    <col min="11041" max="11041" width="46.85546875" style="1236" customWidth="1"/>
    <col min="11042" max="11044" width="12.7109375" style="1236" customWidth="1"/>
    <col min="11045" max="11045" width="9.28515625" style="1236" customWidth="1"/>
    <col min="11046" max="11046" width="13.5703125" style="1236" customWidth="1"/>
    <col min="11047" max="11047" width="10.28515625" style="1236" customWidth="1"/>
    <col min="11048" max="11048" width="12.85546875" style="1236" customWidth="1"/>
    <col min="11049" max="11049" width="9.140625" style="1236" customWidth="1"/>
    <col min="11050" max="11050" width="9.7109375" style="1236" customWidth="1"/>
    <col min="11051" max="11051" width="9.28515625" style="1236" customWidth="1"/>
    <col min="11052" max="11052" width="9.42578125" style="1236" customWidth="1"/>
    <col min="11053" max="11053" width="10.5703125" style="1236" customWidth="1"/>
    <col min="11054" max="11054" width="12.42578125" style="1236" customWidth="1"/>
    <col min="11055" max="11055" width="14.5703125" style="1236" customWidth="1"/>
    <col min="11056" max="11056" width="12.28515625" style="1236" customWidth="1"/>
    <col min="11057" max="11057" width="25.85546875" style="1236" customWidth="1"/>
    <col min="11058" max="11289" width="0.85546875" style="1236"/>
    <col min="11290" max="11290" width="9.85546875" style="1236" customWidth="1"/>
    <col min="11291" max="11291" width="81.85546875" style="1236" customWidth="1"/>
    <col min="11292" max="11292" width="12.7109375" style="1236" customWidth="1"/>
    <col min="11293" max="11293" width="12.42578125" style="1236" customWidth="1"/>
    <col min="11294" max="11294" width="14.5703125" style="1236" customWidth="1"/>
    <col min="11295" max="11295" width="12.28515625" style="1236" customWidth="1"/>
    <col min="11296" max="11296" width="38.140625" style="1236" customWidth="1"/>
    <col min="11297" max="11297" width="46.85546875" style="1236" customWidth="1"/>
    <col min="11298" max="11300" width="12.7109375" style="1236" customWidth="1"/>
    <col min="11301" max="11301" width="9.28515625" style="1236" customWidth="1"/>
    <col min="11302" max="11302" width="13.5703125" style="1236" customWidth="1"/>
    <col min="11303" max="11303" width="10.28515625" style="1236" customWidth="1"/>
    <col min="11304" max="11304" width="12.85546875" style="1236" customWidth="1"/>
    <col min="11305" max="11305" width="9.140625" style="1236" customWidth="1"/>
    <col min="11306" max="11306" width="9.7109375" style="1236" customWidth="1"/>
    <col min="11307" max="11307" width="9.28515625" style="1236" customWidth="1"/>
    <col min="11308" max="11308" width="9.42578125" style="1236" customWidth="1"/>
    <col min="11309" max="11309" width="10.5703125" style="1236" customWidth="1"/>
    <col min="11310" max="11310" width="12.42578125" style="1236" customWidth="1"/>
    <col min="11311" max="11311" width="14.5703125" style="1236" customWidth="1"/>
    <col min="11312" max="11312" width="12.28515625" style="1236" customWidth="1"/>
    <col min="11313" max="11313" width="25.85546875" style="1236" customWidth="1"/>
    <col min="11314" max="11545" width="0.85546875" style="1236"/>
    <col min="11546" max="11546" width="9.85546875" style="1236" customWidth="1"/>
    <col min="11547" max="11547" width="81.85546875" style="1236" customWidth="1"/>
    <col min="11548" max="11548" width="12.7109375" style="1236" customWidth="1"/>
    <col min="11549" max="11549" width="12.42578125" style="1236" customWidth="1"/>
    <col min="11550" max="11550" width="14.5703125" style="1236" customWidth="1"/>
    <col min="11551" max="11551" width="12.28515625" style="1236" customWidth="1"/>
    <col min="11552" max="11552" width="38.140625" style="1236" customWidth="1"/>
    <col min="11553" max="11553" width="46.85546875" style="1236" customWidth="1"/>
    <col min="11554" max="11556" width="12.7109375" style="1236" customWidth="1"/>
    <col min="11557" max="11557" width="9.28515625" style="1236" customWidth="1"/>
    <col min="11558" max="11558" width="13.5703125" style="1236" customWidth="1"/>
    <col min="11559" max="11559" width="10.28515625" style="1236" customWidth="1"/>
    <col min="11560" max="11560" width="12.85546875" style="1236" customWidth="1"/>
    <col min="11561" max="11561" width="9.140625" style="1236" customWidth="1"/>
    <col min="11562" max="11562" width="9.7109375" style="1236" customWidth="1"/>
    <col min="11563" max="11563" width="9.28515625" style="1236" customWidth="1"/>
    <col min="11564" max="11564" width="9.42578125" style="1236" customWidth="1"/>
    <col min="11565" max="11565" width="10.5703125" style="1236" customWidth="1"/>
    <col min="11566" max="11566" width="12.42578125" style="1236" customWidth="1"/>
    <col min="11567" max="11567" width="14.5703125" style="1236" customWidth="1"/>
    <col min="11568" max="11568" width="12.28515625" style="1236" customWidth="1"/>
    <col min="11569" max="11569" width="25.85546875" style="1236" customWidth="1"/>
    <col min="11570" max="11801" width="0.85546875" style="1236"/>
    <col min="11802" max="11802" width="9.85546875" style="1236" customWidth="1"/>
    <col min="11803" max="11803" width="81.85546875" style="1236" customWidth="1"/>
    <col min="11804" max="11804" width="12.7109375" style="1236" customWidth="1"/>
    <col min="11805" max="11805" width="12.42578125" style="1236" customWidth="1"/>
    <col min="11806" max="11806" width="14.5703125" style="1236" customWidth="1"/>
    <col min="11807" max="11807" width="12.28515625" style="1236" customWidth="1"/>
    <col min="11808" max="11808" width="38.140625" style="1236" customWidth="1"/>
    <col min="11809" max="11809" width="46.85546875" style="1236" customWidth="1"/>
    <col min="11810" max="11812" width="12.7109375" style="1236" customWidth="1"/>
    <col min="11813" max="11813" width="9.28515625" style="1236" customWidth="1"/>
    <col min="11814" max="11814" width="13.5703125" style="1236" customWidth="1"/>
    <col min="11815" max="11815" width="10.28515625" style="1236" customWidth="1"/>
    <col min="11816" max="11816" width="12.85546875" style="1236" customWidth="1"/>
    <col min="11817" max="11817" width="9.140625" style="1236" customWidth="1"/>
    <col min="11818" max="11818" width="9.7109375" style="1236" customWidth="1"/>
    <col min="11819" max="11819" width="9.28515625" style="1236" customWidth="1"/>
    <col min="11820" max="11820" width="9.42578125" style="1236" customWidth="1"/>
    <col min="11821" max="11821" width="10.5703125" style="1236" customWidth="1"/>
    <col min="11822" max="11822" width="12.42578125" style="1236" customWidth="1"/>
    <col min="11823" max="11823" width="14.5703125" style="1236" customWidth="1"/>
    <col min="11824" max="11824" width="12.28515625" style="1236" customWidth="1"/>
    <col min="11825" max="11825" width="25.85546875" style="1236" customWidth="1"/>
    <col min="11826" max="12057" width="0.85546875" style="1236"/>
    <col min="12058" max="12058" width="9.85546875" style="1236" customWidth="1"/>
    <col min="12059" max="12059" width="81.85546875" style="1236" customWidth="1"/>
    <col min="12060" max="12060" width="12.7109375" style="1236" customWidth="1"/>
    <col min="12061" max="12061" width="12.42578125" style="1236" customWidth="1"/>
    <col min="12062" max="12062" width="14.5703125" style="1236" customWidth="1"/>
    <col min="12063" max="12063" width="12.28515625" style="1236" customWidth="1"/>
    <col min="12064" max="12064" width="38.140625" style="1236" customWidth="1"/>
    <col min="12065" max="12065" width="46.85546875" style="1236" customWidth="1"/>
    <col min="12066" max="12068" width="12.7109375" style="1236" customWidth="1"/>
    <col min="12069" max="12069" width="9.28515625" style="1236" customWidth="1"/>
    <col min="12070" max="12070" width="13.5703125" style="1236" customWidth="1"/>
    <col min="12071" max="12071" width="10.28515625" style="1236" customWidth="1"/>
    <col min="12072" max="12072" width="12.85546875" style="1236" customWidth="1"/>
    <col min="12073" max="12073" width="9.140625" style="1236" customWidth="1"/>
    <col min="12074" max="12074" width="9.7109375" style="1236" customWidth="1"/>
    <col min="12075" max="12075" width="9.28515625" style="1236" customWidth="1"/>
    <col min="12076" max="12076" width="9.42578125" style="1236" customWidth="1"/>
    <col min="12077" max="12077" width="10.5703125" style="1236" customWidth="1"/>
    <col min="12078" max="12078" width="12.42578125" style="1236" customWidth="1"/>
    <col min="12079" max="12079" width="14.5703125" style="1236" customWidth="1"/>
    <col min="12080" max="12080" width="12.28515625" style="1236" customWidth="1"/>
    <col min="12081" max="12081" width="25.85546875" style="1236" customWidth="1"/>
    <col min="12082" max="12313" width="0.85546875" style="1236"/>
    <col min="12314" max="12314" width="9.85546875" style="1236" customWidth="1"/>
    <col min="12315" max="12315" width="81.85546875" style="1236" customWidth="1"/>
    <col min="12316" max="12316" width="12.7109375" style="1236" customWidth="1"/>
    <col min="12317" max="12317" width="12.42578125" style="1236" customWidth="1"/>
    <col min="12318" max="12318" width="14.5703125" style="1236" customWidth="1"/>
    <col min="12319" max="12319" width="12.28515625" style="1236" customWidth="1"/>
    <col min="12320" max="12320" width="38.140625" style="1236" customWidth="1"/>
    <col min="12321" max="12321" width="46.85546875" style="1236" customWidth="1"/>
    <col min="12322" max="12324" width="12.7109375" style="1236" customWidth="1"/>
    <col min="12325" max="12325" width="9.28515625" style="1236" customWidth="1"/>
    <col min="12326" max="12326" width="13.5703125" style="1236" customWidth="1"/>
    <col min="12327" max="12327" width="10.28515625" style="1236" customWidth="1"/>
    <col min="12328" max="12328" width="12.85546875" style="1236" customWidth="1"/>
    <col min="12329" max="12329" width="9.140625" style="1236" customWidth="1"/>
    <col min="12330" max="12330" width="9.7109375" style="1236" customWidth="1"/>
    <col min="12331" max="12331" width="9.28515625" style="1236" customWidth="1"/>
    <col min="12332" max="12332" width="9.42578125" style="1236" customWidth="1"/>
    <col min="12333" max="12333" width="10.5703125" style="1236" customWidth="1"/>
    <col min="12334" max="12334" width="12.42578125" style="1236" customWidth="1"/>
    <col min="12335" max="12335" width="14.5703125" style="1236" customWidth="1"/>
    <col min="12336" max="12336" width="12.28515625" style="1236" customWidth="1"/>
    <col min="12337" max="12337" width="25.85546875" style="1236" customWidth="1"/>
    <col min="12338" max="12569" width="0.85546875" style="1236"/>
    <col min="12570" max="12570" width="9.85546875" style="1236" customWidth="1"/>
    <col min="12571" max="12571" width="81.85546875" style="1236" customWidth="1"/>
    <col min="12572" max="12572" width="12.7109375" style="1236" customWidth="1"/>
    <col min="12573" max="12573" width="12.42578125" style="1236" customWidth="1"/>
    <col min="12574" max="12574" width="14.5703125" style="1236" customWidth="1"/>
    <col min="12575" max="12575" width="12.28515625" style="1236" customWidth="1"/>
    <col min="12576" max="12576" width="38.140625" style="1236" customWidth="1"/>
    <col min="12577" max="12577" width="46.85546875" style="1236" customWidth="1"/>
    <col min="12578" max="12580" width="12.7109375" style="1236" customWidth="1"/>
    <col min="12581" max="12581" width="9.28515625" style="1236" customWidth="1"/>
    <col min="12582" max="12582" width="13.5703125" style="1236" customWidth="1"/>
    <col min="12583" max="12583" width="10.28515625" style="1236" customWidth="1"/>
    <col min="12584" max="12584" width="12.85546875" style="1236" customWidth="1"/>
    <col min="12585" max="12585" width="9.140625" style="1236" customWidth="1"/>
    <col min="12586" max="12586" width="9.7109375" style="1236" customWidth="1"/>
    <col min="12587" max="12587" width="9.28515625" style="1236" customWidth="1"/>
    <col min="12588" max="12588" width="9.42578125" style="1236" customWidth="1"/>
    <col min="12589" max="12589" width="10.5703125" style="1236" customWidth="1"/>
    <col min="12590" max="12590" width="12.42578125" style="1236" customWidth="1"/>
    <col min="12591" max="12591" width="14.5703125" style="1236" customWidth="1"/>
    <col min="12592" max="12592" width="12.28515625" style="1236" customWidth="1"/>
    <col min="12593" max="12593" width="25.85546875" style="1236" customWidth="1"/>
    <col min="12594" max="12825" width="0.85546875" style="1236"/>
    <col min="12826" max="12826" width="9.85546875" style="1236" customWidth="1"/>
    <col min="12827" max="12827" width="81.85546875" style="1236" customWidth="1"/>
    <col min="12828" max="12828" width="12.7109375" style="1236" customWidth="1"/>
    <col min="12829" max="12829" width="12.42578125" style="1236" customWidth="1"/>
    <col min="12830" max="12830" width="14.5703125" style="1236" customWidth="1"/>
    <col min="12831" max="12831" width="12.28515625" style="1236" customWidth="1"/>
    <col min="12832" max="12832" width="38.140625" style="1236" customWidth="1"/>
    <col min="12833" max="12833" width="46.85546875" style="1236" customWidth="1"/>
    <col min="12834" max="12836" width="12.7109375" style="1236" customWidth="1"/>
    <col min="12837" max="12837" width="9.28515625" style="1236" customWidth="1"/>
    <col min="12838" max="12838" width="13.5703125" style="1236" customWidth="1"/>
    <col min="12839" max="12839" width="10.28515625" style="1236" customWidth="1"/>
    <col min="12840" max="12840" width="12.85546875" style="1236" customWidth="1"/>
    <col min="12841" max="12841" width="9.140625" style="1236" customWidth="1"/>
    <col min="12842" max="12842" width="9.7109375" style="1236" customWidth="1"/>
    <col min="12843" max="12843" width="9.28515625" style="1236" customWidth="1"/>
    <col min="12844" max="12844" width="9.42578125" style="1236" customWidth="1"/>
    <col min="12845" max="12845" width="10.5703125" style="1236" customWidth="1"/>
    <col min="12846" max="12846" width="12.42578125" style="1236" customWidth="1"/>
    <col min="12847" max="12847" width="14.5703125" style="1236" customWidth="1"/>
    <col min="12848" max="12848" width="12.28515625" style="1236" customWidth="1"/>
    <col min="12849" max="12849" width="25.85546875" style="1236" customWidth="1"/>
    <col min="12850" max="13081" width="0.85546875" style="1236"/>
    <col min="13082" max="13082" width="9.85546875" style="1236" customWidth="1"/>
    <col min="13083" max="13083" width="81.85546875" style="1236" customWidth="1"/>
    <col min="13084" max="13084" width="12.7109375" style="1236" customWidth="1"/>
    <col min="13085" max="13085" width="12.42578125" style="1236" customWidth="1"/>
    <col min="13086" max="13086" width="14.5703125" style="1236" customWidth="1"/>
    <col min="13087" max="13087" width="12.28515625" style="1236" customWidth="1"/>
    <col min="13088" max="13088" width="38.140625" style="1236" customWidth="1"/>
    <col min="13089" max="13089" width="46.85546875" style="1236" customWidth="1"/>
    <col min="13090" max="13092" width="12.7109375" style="1236" customWidth="1"/>
    <col min="13093" max="13093" width="9.28515625" style="1236" customWidth="1"/>
    <col min="13094" max="13094" width="13.5703125" style="1236" customWidth="1"/>
    <col min="13095" max="13095" width="10.28515625" style="1236" customWidth="1"/>
    <col min="13096" max="13096" width="12.85546875" style="1236" customWidth="1"/>
    <col min="13097" max="13097" width="9.140625" style="1236" customWidth="1"/>
    <col min="13098" max="13098" width="9.7109375" style="1236" customWidth="1"/>
    <col min="13099" max="13099" width="9.28515625" style="1236" customWidth="1"/>
    <col min="13100" max="13100" width="9.42578125" style="1236" customWidth="1"/>
    <col min="13101" max="13101" width="10.5703125" style="1236" customWidth="1"/>
    <col min="13102" max="13102" width="12.42578125" style="1236" customWidth="1"/>
    <col min="13103" max="13103" width="14.5703125" style="1236" customWidth="1"/>
    <col min="13104" max="13104" width="12.28515625" style="1236" customWidth="1"/>
    <col min="13105" max="13105" width="25.85546875" style="1236" customWidth="1"/>
    <col min="13106" max="13337" width="0.85546875" style="1236"/>
    <col min="13338" max="13338" width="9.85546875" style="1236" customWidth="1"/>
    <col min="13339" max="13339" width="81.85546875" style="1236" customWidth="1"/>
    <col min="13340" max="13340" width="12.7109375" style="1236" customWidth="1"/>
    <col min="13341" max="13341" width="12.42578125" style="1236" customWidth="1"/>
    <col min="13342" max="13342" width="14.5703125" style="1236" customWidth="1"/>
    <col min="13343" max="13343" width="12.28515625" style="1236" customWidth="1"/>
    <col min="13344" max="13344" width="38.140625" style="1236" customWidth="1"/>
    <col min="13345" max="13345" width="46.85546875" style="1236" customWidth="1"/>
    <col min="13346" max="13348" width="12.7109375" style="1236" customWidth="1"/>
    <col min="13349" max="13349" width="9.28515625" style="1236" customWidth="1"/>
    <col min="13350" max="13350" width="13.5703125" style="1236" customWidth="1"/>
    <col min="13351" max="13351" width="10.28515625" style="1236" customWidth="1"/>
    <col min="13352" max="13352" width="12.85546875" style="1236" customWidth="1"/>
    <col min="13353" max="13353" width="9.140625" style="1236" customWidth="1"/>
    <col min="13354" max="13354" width="9.7109375" style="1236" customWidth="1"/>
    <col min="13355" max="13355" width="9.28515625" style="1236" customWidth="1"/>
    <col min="13356" max="13356" width="9.42578125" style="1236" customWidth="1"/>
    <col min="13357" max="13357" width="10.5703125" style="1236" customWidth="1"/>
    <col min="13358" max="13358" width="12.42578125" style="1236" customWidth="1"/>
    <col min="13359" max="13359" width="14.5703125" style="1236" customWidth="1"/>
    <col min="13360" max="13360" width="12.28515625" style="1236" customWidth="1"/>
    <col min="13361" max="13361" width="25.85546875" style="1236" customWidth="1"/>
    <col min="13362" max="13593" width="0.85546875" style="1236"/>
    <col min="13594" max="13594" width="9.85546875" style="1236" customWidth="1"/>
    <col min="13595" max="13595" width="81.85546875" style="1236" customWidth="1"/>
    <col min="13596" max="13596" width="12.7109375" style="1236" customWidth="1"/>
    <col min="13597" max="13597" width="12.42578125" style="1236" customWidth="1"/>
    <col min="13598" max="13598" width="14.5703125" style="1236" customWidth="1"/>
    <col min="13599" max="13599" width="12.28515625" style="1236" customWidth="1"/>
    <col min="13600" max="13600" width="38.140625" style="1236" customWidth="1"/>
    <col min="13601" max="13601" width="46.85546875" style="1236" customWidth="1"/>
    <col min="13602" max="13604" width="12.7109375" style="1236" customWidth="1"/>
    <col min="13605" max="13605" width="9.28515625" style="1236" customWidth="1"/>
    <col min="13606" max="13606" width="13.5703125" style="1236" customWidth="1"/>
    <col min="13607" max="13607" width="10.28515625" style="1236" customWidth="1"/>
    <col min="13608" max="13608" width="12.85546875" style="1236" customWidth="1"/>
    <col min="13609" max="13609" width="9.140625" style="1236" customWidth="1"/>
    <col min="13610" max="13610" width="9.7109375" style="1236" customWidth="1"/>
    <col min="13611" max="13611" width="9.28515625" style="1236" customWidth="1"/>
    <col min="13612" max="13612" width="9.42578125" style="1236" customWidth="1"/>
    <col min="13613" max="13613" width="10.5703125" style="1236" customWidth="1"/>
    <col min="13614" max="13614" width="12.42578125" style="1236" customWidth="1"/>
    <col min="13615" max="13615" width="14.5703125" style="1236" customWidth="1"/>
    <col min="13616" max="13616" width="12.28515625" style="1236" customWidth="1"/>
    <col min="13617" max="13617" width="25.85546875" style="1236" customWidth="1"/>
    <col min="13618" max="13849" width="0.85546875" style="1236"/>
    <col min="13850" max="13850" width="9.85546875" style="1236" customWidth="1"/>
    <col min="13851" max="13851" width="81.85546875" style="1236" customWidth="1"/>
    <col min="13852" max="13852" width="12.7109375" style="1236" customWidth="1"/>
    <col min="13853" max="13853" width="12.42578125" style="1236" customWidth="1"/>
    <col min="13854" max="13854" width="14.5703125" style="1236" customWidth="1"/>
    <col min="13855" max="13855" width="12.28515625" style="1236" customWidth="1"/>
    <col min="13856" max="13856" width="38.140625" style="1236" customWidth="1"/>
    <col min="13857" max="13857" width="46.85546875" style="1236" customWidth="1"/>
    <col min="13858" max="13860" width="12.7109375" style="1236" customWidth="1"/>
    <col min="13861" max="13861" width="9.28515625" style="1236" customWidth="1"/>
    <col min="13862" max="13862" width="13.5703125" style="1236" customWidth="1"/>
    <col min="13863" max="13863" width="10.28515625" style="1236" customWidth="1"/>
    <col min="13864" max="13864" width="12.85546875" style="1236" customWidth="1"/>
    <col min="13865" max="13865" width="9.140625" style="1236" customWidth="1"/>
    <col min="13866" max="13866" width="9.7109375" style="1236" customWidth="1"/>
    <col min="13867" max="13867" width="9.28515625" style="1236" customWidth="1"/>
    <col min="13868" max="13868" width="9.42578125" style="1236" customWidth="1"/>
    <col min="13869" max="13869" width="10.5703125" style="1236" customWidth="1"/>
    <col min="13870" max="13870" width="12.42578125" style="1236" customWidth="1"/>
    <col min="13871" max="13871" width="14.5703125" style="1236" customWidth="1"/>
    <col min="13872" max="13872" width="12.28515625" style="1236" customWidth="1"/>
    <col min="13873" max="13873" width="25.85546875" style="1236" customWidth="1"/>
    <col min="13874" max="14105" width="0.85546875" style="1236"/>
    <col min="14106" max="14106" width="9.85546875" style="1236" customWidth="1"/>
    <col min="14107" max="14107" width="81.85546875" style="1236" customWidth="1"/>
    <col min="14108" max="14108" width="12.7109375" style="1236" customWidth="1"/>
    <col min="14109" max="14109" width="12.42578125" style="1236" customWidth="1"/>
    <col min="14110" max="14110" width="14.5703125" style="1236" customWidth="1"/>
    <col min="14111" max="14111" width="12.28515625" style="1236" customWidth="1"/>
    <col min="14112" max="14112" width="38.140625" style="1236" customWidth="1"/>
    <col min="14113" max="14113" width="46.85546875" style="1236" customWidth="1"/>
    <col min="14114" max="14116" width="12.7109375" style="1236" customWidth="1"/>
    <col min="14117" max="14117" width="9.28515625" style="1236" customWidth="1"/>
    <col min="14118" max="14118" width="13.5703125" style="1236" customWidth="1"/>
    <col min="14119" max="14119" width="10.28515625" style="1236" customWidth="1"/>
    <col min="14120" max="14120" width="12.85546875" style="1236" customWidth="1"/>
    <col min="14121" max="14121" width="9.140625" style="1236" customWidth="1"/>
    <col min="14122" max="14122" width="9.7109375" style="1236" customWidth="1"/>
    <col min="14123" max="14123" width="9.28515625" style="1236" customWidth="1"/>
    <col min="14124" max="14124" width="9.42578125" style="1236" customWidth="1"/>
    <col min="14125" max="14125" width="10.5703125" style="1236" customWidth="1"/>
    <col min="14126" max="14126" width="12.42578125" style="1236" customWidth="1"/>
    <col min="14127" max="14127" width="14.5703125" style="1236" customWidth="1"/>
    <col min="14128" max="14128" width="12.28515625" style="1236" customWidth="1"/>
    <col min="14129" max="14129" width="25.85546875" style="1236" customWidth="1"/>
    <col min="14130" max="14361" width="0.85546875" style="1236"/>
    <col min="14362" max="14362" width="9.85546875" style="1236" customWidth="1"/>
    <col min="14363" max="14363" width="81.85546875" style="1236" customWidth="1"/>
    <col min="14364" max="14364" width="12.7109375" style="1236" customWidth="1"/>
    <col min="14365" max="14365" width="12.42578125" style="1236" customWidth="1"/>
    <col min="14366" max="14366" width="14.5703125" style="1236" customWidth="1"/>
    <col min="14367" max="14367" width="12.28515625" style="1236" customWidth="1"/>
    <col min="14368" max="14368" width="38.140625" style="1236" customWidth="1"/>
    <col min="14369" max="14369" width="46.85546875" style="1236" customWidth="1"/>
    <col min="14370" max="14372" width="12.7109375" style="1236" customWidth="1"/>
    <col min="14373" max="14373" width="9.28515625" style="1236" customWidth="1"/>
    <col min="14374" max="14374" width="13.5703125" style="1236" customWidth="1"/>
    <col min="14375" max="14375" width="10.28515625" style="1236" customWidth="1"/>
    <col min="14376" max="14376" width="12.85546875" style="1236" customWidth="1"/>
    <col min="14377" max="14377" width="9.140625" style="1236" customWidth="1"/>
    <col min="14378" max="14378" width="9.7109375" style="1236" customWidth="1"/>
    <col min="14379" max="14379" width="9.28515625" style="1236" customWidth="1"/>
    <col min="14380" max="14380" width="9.42578125" style="1236" customWidth="1"/>
    <col min="14381" max="14381" width="10.5703125" style="1236" customWidth="1"/>
    <col min="14382" max="14382" width="12.42578125" style="1236" customWidth="1"/>
    <col min="14383" max="14383" width="14.5703125" style="1236" customWidth="1"/>
    <col min="14384" max="14384" width="12.28515625" style="1236" customWidth="1"/>
    <col min="14385" max="14385" width="25.85546875" style="1236" customWidth="1"/>
    <col min="14386" max="14617" width="0.85546875" style="1236"/>
    <col min="14618" max="14618" width="9.85546875" style="1236" customWidth="1"/>
    <col min="14619" max="14619" width="81.85546875" style="1236" customWidth="1"/>
    <col min="14620" max="14620" width="12.7109375" style="1236" customWidth="1"/>
    <col min="14621" max="14621" width="12.42578125" style="1236" customWidth="1"/>
    <col min="14622" max="14622" width="14.5703125" style="1236" customWidth="1"/>
    <col min="14623" max="14623" width="12.28515625" style="1236" customWidth="1"/>
    <col min="14624" max="14624" width="38.140625" style="1236" customWidth="1"/>
    <col min="14625" max="14625" width="46.85546875" style="1236" customWidth="1"/>
    <col min="14626" max="14628" width="12.7109375" style="1236" customWidth="1"/>
    <col min="14629" max="14629" width="9.28515625" style="1236" customWidth="1"/>
    <col min="14630" max="14630" width="13.5703125" style="1236" customWidth="1"/>
    <col min="14631" max="14631" width="10.28515625" style="1236" customWidth="1"/>
    <col min="14632" max="14632" width="12.85546875" style="1236" customWidth="1"/>
    <col min="14633" max="14633" width="9.140625" style="1236" customWidth="1"/>
    <col min="14634" max="14634" width="9.7109375" style="1236" customWidth="1"/>
    <col min="14635" max="14635" width="9.28515625" style="1236" customWidth="1"/>
    <col min="14636" max="14636" width="9.42578125" style="1236" customWidth="1"/>
    <col min="14637" max="14637" width="10.5703125" style="1236" customWidth="1"/>
    <col min="14638" max="14638" width="12.42578125" style="1236" customWidth="1"/>
    <col min="14639" max="14639" width="14.5703125" style="1236" customWidth="1"/>
    <col min="14640" max="14640" width="12.28515625" style="1236" customWidth="1"/>
    <col min="14641" max="14641" width="25.85546875" style="1236" customWidth="1"/>
    <col min="14642" max="14873" width="0.85546875" style="1236"/>
    <col min="14874" max="14874" width="9.85546875" style="1236" customWidth="1"/>
    <col min="14875" max="14875" width="81.85546875" style="1236" customWidth="1"/>
    <col min="14876" max="14876" width="12.7109375" style="1236" customWidth="1"/>
    <col min="14877" max="14877" width="12.42578125" style="1236" customWidth="1"/>
    <col min="14878" max="14878" width="14.5703125" style="1236" customWidth="1"/>
    <col min="14879" max="14879" width="12.28515625" style="1236" customWidth="1"/>
    <col min="14880" max="14880" width="38.140625" style="1236" customWidth="1"/>
    <col min="14881" max="14881" width="46.85546875" style="1236" customWidth="1"/>
    <col min="14882" max="14884" width="12.7109375" style="1236" customWidth="1"/>
    <col min="14885" max="14885" width="9.28515625" style="1236" customWidth="1"/>
    <col min="14886" max="14886" width="13.5703125" style="1236" customWidth="1"/>
    <col min="14887" max="14887" width="10.28515625" style="1236" customWidth="1"/>
    <col min="14888" max="14888" width="12.85546875" style="1236" customWidth="1"/>
    <col min="14889" max="14889" width="9.140625" style="1236" customWidth="1"/>
    <col min="14890" max="14890" width="9.7109375" style="1236" customWidth="1"/>
    <col min="14891" max="14891" width="9.28515625" style="1236" customWidth="1"/>
    <col min="14892" max="14892" width="9.42578125" style="1236" customWidth="1"/>
    <col min="14893" max="14893" width="10.5703125" style="1236" customWidth="1"/>
    <col min="14894" max="14894" width="12.42578125" style="1236" customWidth="1"/>
    <col min="14895" max="14895" width="14.5703125" style="1236" customWidth="1"/>
    <col min="14896" max="14896" width="12.28515625" style="1236" customWidth="1"/>
    <col min="14897" max="14897" width="25.85546875" style="1236" customWidth="1"/>
    <col min="14898" max="15129" width="0.85546875" style="1236"/>
    <col min="15130" max="15130" width="9.85546875" style="1236" customWidth="1"/>
    <col min="15131" max="15131" width="81.85546875" style="1236" customWidth="1"/>
    <col min="15132" max="15132" width="12.7109375" style="1236" customWidth="1"/>
    <col min="15133" max="15133" width="12.42578125" style="1236" customWidth="1"/>
    <col min="15134" max="15134" width="14.5703125" style="1236" customWidth="1"/>
    <col min="15135" max="15135" width="12.28515625" style="1236" customWidth="1"/>
    <col min="15136" max="15136" width="38.140625" style="1236" customWidth="1"/>
    <col min="15137" max="15137" width="46.85546875" style="1236" customWidth="1"/>
    <col min="15138" max="15140" width="12.7109375" style="1236" customWidth="1"/>
    <col min="15141" max="15141" width="9.28515625" style="1236" customWidth="1"/>
    <col min="15142" max="15142" width="13.5703125" style="1236" customWidth="1"/>
    <col min="15143" max="15143" width="10.28515625" style="1236" customWidth="1"/>
    <col min="15144" max="15144" width="12.85546875" style="1236" customWidth="1"/>
    <col min="15145" max="15145" width="9.140625" style="1236" customWidth="1"/>
    <col min="15146" max="15146" width="9.7109375" style="1236" customWidth="1"/>
    <col min="15147" max="15147" width="9.28515625" style="1236" customWidth="1"/>
    <col min="15148" max="15148" width="9.42578125" style="1236" customWidth="1"/>
    <col min="15149" max="15149" width="10.5703125" style="1236" customWidth="1"/>
    <col min="15150" max="15150" width="12.42578125" style="1236" customWidth="1"/>
    <col min="15151" max="15151" width="14.5703125" style="1236" customWidth="1"/>
    <col min="15152" max="15152" width="12.28515625" style="1236" customWidth="1"/>
    <col min="15153" max="15153" width="25.85546875" style="1236" customWidth="1"/>
    <col min="15154" max="15385" width="0.85546875" style="1236"/>
    <col min="15386" max="15386" width="9.85546875" style="1236" customWidth="1"/>
    <col min="15387" max="15387" width="81.85546875" style="1236" customWidth="1"/>
    <col min="15388" max="15388" width="12.7109375" style="1236" customWidth="1"/>
    <col min="15389" max="15389" width="12.42578125" style="1236" customWidth="1"/>
    <col min="15390" max="15390" width="14.5703125" style="1236" customWidth="1"/>
    <col min="15391" max="15391" width="12.28515625" style="1236" customWidth="1"/>
    <col min="15392" max="15392" width="38.140625" style="1236" customWidth="1"/>
    <col min="15393" max="15393" width="46.85546875" style="1236" customWidth="1"/>
    <col min="15394" max="15396" width="12.7109375" style="1236" customWidth="1"/>
    <col min="15397" max="15397" width="9.28515625" style="1236" customWidth="1"/>
    <col min="15398" max="15398" width="13.5703125" style="1236" customWidth="1"/>
    <col min="15399" max="15399" width="10.28515625" style="1236" customWidth="1"/>
    <col min="15400" max="15400" width="12.85546875" style="1236" customWidth="1"/>
    <col min="15401" max="15401" width="9.140625" style="1236" customWidth="1"/>
    <col min="15402" max="15402" width="9.7109375" style="1236" customWidth="1"/>
    <col min="15403" max="15403" width="9.28515625" style="1236" customWidth="1"/>
    <col min="15404" max="15404" width="9.42578125" style="1236" customWidth="1"/>
    <col min="15405" max="15405" width="10.5703125" style="1236" customWidth="1"/>
    <col min="15406" max="15406" width="12.42578125" style="1236" customWidth="1"/>
    <col min="15407" max="15407" width="14.5703125" style="1236" customWidth="1"/>
    <col min="15408" max="15408" width="12.28515625" style="1236" customWidth="1"/>
    <col min="15409" max="15409" width="25.85546875" style="1236" customWidth="1"/>
    <col min="15410" max="15641" width="0.85546875" style="1236"/>
    <col min="15642" max="15642" width="9.85546875" style="1236" customWidth="1"/>
    <col min="15643" max="15643" width="81.85546875" style="1236" customWidth="1"/>
    <col min="15644" max="15644" width="12.7109375" style="1236" customWidth="1"/>
    <col min="15645" max="15645" width="12.42578125" style="1236" customWidth="1"/>
    <col min="15646" max="15646" width="14.5703125" style="1236" customWidth="1"/>
    <col min="15647" max="15647" width="12.28515625" style="1236" customWidth="1"/>
    <col min="15648" max="15648" width="38.140625" style="1236" customWidth="1"/>
    <col min="15649" max="15649" width="46.85546875" style="1236" customWidth="1"/>
    <col min="15650" max="15652" width="12.7109375" style="1236" customWidth="1"/>
    <col min="15653" max="15653" width="9.28515625" style="1236" customWidth="1"/>
    <col min="15654" max="15654" width="13.5703125" style="1236" customWidth="1"/>
    <col min="15655" max="15655" width="10.28515625" style="1236" customWidth="1"/>
    <col min="15656" max="15656" width="12.85546875" style="1236" customWidth="1"/>
    <col min="15657" max="15657" width="9.140625" style="1236" customWidth="1"/>
    <col min="15658" max="15658" width="9.7109375" style="1236" customWidth="1"/>
    <col min="15659" max="15659" width="9.28515625" style="1236" customWidth="1"/>
    <col min="15660" max="15660" width="9.42578125" style="1236" customWidth="1"/>
    <col min="15661" max="15661" width="10.5703125" style="1236" customWidth="1"/>
    <col min="15662" max="15662" width="12.42578125" style="1236" customWidth="1"/>
    <col min="15663" max="15663" width="14.5703125" style="1236" customWidth="1"/>
    <col min="15664" max="15664" width="12.28515625" style="1236" customWidth="1"/>
    <col min="15665" max="15665" width="25.85546875" style="1236" customWidth="1"/>
    <col min="15666" max="15897" width="0.85546875" style="1236"/>
    <col min="15898" max="15898" width="9.85546875" style="1236" customWidth="1"/>
    <col min="15899" max="15899" width="81.85546875" style="1236" customWidth="1"/>
    <col min="15900" max="15900" width="12.7109375" style="1236" customWidth="1"/>
    <col min="15901" max="15901" width="12.42578125" style="1236" customWidth="1"/>
    <col min="15902" max="15902" width="14.5703125" style="1236" customWidth="1"/>
    <col min="15903" max="15903" width="12.28515625" style="1236" customWidth="1"/>
    <col min="15904" max="15904" width="38.140625" style="1236" customWidth="1"/>
    <col min="15905" max="15905" width="46.85546875" style="1236" customWidth="1"/>
    <col min="15906" max="15908" width="12.7109375" style="1236" customWidth="1"/>
    <col min="15909" max="15909" width="9.28515625" style="1236" customWidth="1"/>
    <col min="15910" max="15910" width="13.5703125" style="1236" customWidth="1"/>
    <col min="15911" max="15911" width="10.28515625" style="1236" customWidth="1"/>
    <col min="15912" max="15912" width="12.85546875" style="1236" customWidth="1"/>
    <col min="15913" max="15913" width="9.140625" style="1236" customWidth="1"/>
    <col min="15914" max="15914" width="9.7109375" style="1236" customWidth="1"/>
    <col min="15915" max="15915" width="9.28515625" style="1236" customWidth="1"/>
    <col min="15916" max="15916" width="9.42578125" style="1236" customWidth="1"/>
    <col min="15917" max="15917" width="10.5703125" style="1236" customWidth="1"/>
    <col min="15918" max="15918" width="12.42578125" style="1236" customWidth="1"/>
    <col min="15919" max="15919" width="14.5703125" style="1236" customWidth="1"/>
    <col min="15920" max="15920" width="12.28515625" style="1236" customWidth="1"/>
    <col min="15921" max="15921" width="25.85546875" style="1236" customWidth="1"/>
    <col min="15922" max="16153" width="0.85546875" style="1236"/>
    <col min="16154" max="16154" width="9.85546875" style="1236" customWidth="1"/>
    <col min="16155" max="16155" width="81.85546875" style="1236" customWidth="1"/>
    <col min="16156" max="16156" width="12.7109375" style="1236" customWidth="1"/>
    <col min="16157" max="16157" width="12.42578125" style="1236" customWidth="1"/>
    <col min="16158" max="16158" width="14.5703125" style="1236" customWidth="1"/>
    <col min="16159" max="16159" width="12.28515625" style="1236" customWidth="1"/>
    <col min="16160" max="16160" width="38.140625" style="1236" customWidth="1"/>
    <col min="16161" max="16161" width="46.85546875" style="1236" customWidth="1"/>
    <col min="16162" max="16164" width="12.7109375" style="1236" customWidth="1"/>
    <col min="16165" max="16165" width="9.28515625" style="1236" customWidth="1"/>
    <col min="16166" max="16166" width="13.5703125" style="1236" customWidth="1"/>
    <col min="16167" max="16167" width="10.28515625" style="1236" customWidth="1"/>
    <col min="16168" max="16168" width="12.85546875" style="1236" customWidth="1"/>
    <col min="16169" max="16169" width="9.140625" style="1236" customWidth="1"/>
    <col min="16170" max="16170" width="9.7109375" style="1236" customWidth="1"/>
    <col min="16171" max="16171" width="9.28515625" style="1236" customWidth="1"/>
    <col min="16172" max="16172" width="9.42578125" style="1236" customWidth="1"/>
    <col min="16173" max="16173" width="10.5703125" style="1236" customWidth="1"/>
    <col min="16174" max="16174" width="12.42578125" style="1236" customWidth="1"/>
    <col min="16175" max="16175" width="14.5703125" style="1236" customWidth="1"/>
    <col min="16176" max="16176" width="12.28515625" style="1236" customWidth="1"/>
    <col min="16177" max="16177" width="25.85546875" style="1236" customWidth="1"/>
    <col min="16178" max="16384" width="0.85546875" style="1236"/>
  </cols>
  <sheetData>
    <row r="2" spans="1:44" ht="29.25" customHeight="1" x14ac:dyDescent="0.3">
      <c r="A2" s="4785" t="s">
        <v>3931</v>
      </c>
      <c r="B2" s="4785"/>
      <c r="C2" s="4785"/>
      <c r="D2" s="4785"/>
      <c r="E2" s="4785"/>
      <c r="F2" s="4785"/>
      <c r="G2" s="4785"/>
      <c r="H2" s="4785"/>
      <c r="I2" s="4785"/>
      <c r="J2" s="4785"/>
      <c r="K2" s="4785"/>
      <c r="L2" s="4785"/>
      <c r="M2" s="4785"/>
      <c r="N2" s="4785"/>
      <c r="O2" s="4785"/>
      <c r="P2" s="4785"/>
      <c r="Q2" s="4785"/>
      <c r="R2" s="4785"/>
      <c r="S2" s="4785"/>
      <c r="T2" s="4785"/>
      <c r="U2" s="4785"/>
      <c r="V2" s="4785"/>
      <c r="W2" s="4785"/>
      <c r="X2" s="4785"/>
      <c r="Y2" s="4785"/>
      <c r="Z2" s="4785"/>
      <c r="AA2" s="4785"/>
      <c r="AB2" s="4785"/>
      <c r="AC2" s="4785"/>
      <c r="AD2" s="4785"/>
      <c r="AE2" s="4785"/>
      <c r="AF2" s="4785"/>
      <c r="AG2" s="4785"/>
      <c r="AH2" s="4785"/>
      <c r="AI2" s="4242"/>
      <c r="AJ2" s="4242"/>
      <c r="AK2" s="4242"/>
      <c r="AL2" s="4242"/>
      <c r="AM2" s="4242"/>
      <c r="AN2" s="4242"/>
      <c r="AO2" s="4242"/>
      <c r="AP2" s="4242"/>
      <c r="AQ2" s="4242"/>
      <c r="AR2" s="4242"/>
    </row>
    <row r="4" spans="1:44" ht="15.75" customHeight="1" x14ac:dyDescent="0.25">
      <c r="A4" s="4787" t="s">
        <v>893</v>
      </c>
      <c r="B4" s="4787" t="s">
        <v>358</v>
      </c>
      <c r="C4" s="4787" t="s">
        <v>894</v>
      </c>
      <c r="D4" s="4787" t="s">
        <v>1790</v>
      </c>
      <c r="E4" s="4787" t="s">
        <v>1789</v>
      </c>
      <c r="F4" s="4787" t="str">
        <f>'стоки 2019-2021'!F3:Q3</f>
        <v>Установлено на первый долгосрочный период регулирования 2016 - 2018 годы</v>
      </c>
      <c r="G4" s="4787"/>
      <c r="H4" s="4787"/>
      <c r="I4" s="4787"/>
      <c r="J4" s="4787"/>
      <c r="K4" s="4787"/>
      <c r="L4" s="4787"/>
      <c r="M4" s="4787"/>
      <c r="N4" s="4787"/>
      <c r="O4" s="4787"/>
      <c r="P4" s="4787"/>
      <c r="Q4" s="4739"/>
      <c r="R4" s="4788" t="s">
        <v>1807</v>
      </c>
      <c r="S4" s="4789"/>
      <c r="T4" s="4789"/>
      <c r="U4" s="4789"/>
      <c r="V4" s="4789"/>
      <c r="W4" s="4789"/>
      <c r="X4" s="4789"/>
      <c r="Y4" s="4789"/>
      <c r="Z4" s="4789"/>
      <c r="AA4" s="4789"/>
      <c r="AB4" s="4789"/>
      <c r="AC4" s="4789"/>
      <c r="AD4" s="4789"/>
      <c r="AE4" s="4741"/>
      <c r="AF4" s="4741"/>
      <c r="AG4" s="4741"/>
      <c r="AH4" s="4741"/>
      <c r="AI4" s="4794"/>
      <c r="AJ4" s="4794"/>
      <c r="AK4" s="4794"/>
      <c r="AL4" s="4794"/>
      <c r="AM4" s="4794"/>
      <c r="AN4" s="4794"/>
      <c r="AO4" s="4794"/>
      <c r="AP4" s="4794"/>
      <c r="AQ4" s="4794"/>
      <c r="AR4" s="4795"/>
    </row>
    <row r="5" spans="1:44" ht="35.25" customHeight="1" x14ac:dyDescent="0.25">
      <c r="A5" s="4787"/>
      <c r="B5" s="4787"/>
      <c r="C5" s="4787"/>
      <c r="D5" s="4787"/>
      <c r="E5" s="4787"/>
      <c r="F5" s="4787" t="s">
        <v>818</v>
      </c>
      <c r="G5" s="4787"/>
      <c r="H5" s="4787"/>
      <c r="I5" s="4787" t="s">
        <v>895</v>
      </c>
      <c r="J5" s="4787"/>
      <c r="K5" s="4787"/>
      <c r="L5" s="4787"/>
      <c r="M5" s="4787"/>
      <c r="N5" s="4787" t="s">
        <v>896</v>
      </c>
      <c r="O5" s="4787"/>
      <c r="P5" s="4787"/>
      <c r="Q5" s="4739"/>
      <c r="R5" s="2585" t="s">
        <v>1802</v>
      </c>
      <c r="S5" s="2585" t="s">
        <v>1808</v>
      </c>
      <c r="T5" s="2585" t="s">
        <v>1809</v>
      </c>
      <c r="U5" s="2585" t="s">
        <v>1810</v>
      </c>
      <c r="V5" s="2585" t="s">
        <v>1811</v>
      </c>
      <c r="W5" s="2585" t="s">
        <v>1812</v>
      </c>
      <c r="X5" s="2585" t="s">
        <v>1802</v>
      </c>
      <c r="Y5" s="2585" t="s">
        <v>2051</v>
      </c>
      <c r="Z5" s="2585" t="s">
        <v>1808</v>
      </c>
      <c r="AA5" s="2585" t="s">
        <v>1809</v>
      </c>
      <c r="AB5" s="2585" t="s">
        <v>1810</v>
      </c>
      <c r="AC5" s="2585" t="s">
        <v>1811</v>
      </c>
      <c r="AD5" s="2585" t="s">
        <v>1812</v>
      </c>
      <c r="AE5" s="4788" t="s">
        <v>1808</v>
      </c>
      <c r="AF5" s="4741"/>
      <c r="AG5" s="4741"/>
      <c r="AH5" s="4742"/>
      <c r="AI5" s="4787" t="s">
        <v>3648</v>
      </c>
      <c r="AJ5" s="4787" t="s">
        <v>3649</v>
      </c>
      <c r="AK5" s="4787" t="s">
        <v>3657</v>
      </c>
      <c r="AL5" s="4788" t="s">
        <v>1809</v>
      </c>
      <c r="AM5" s="4741"/>
      <c r="AN5" s="4741"/>
      <c r="AO5" s="4742"/>
      <c r="AP5" s="4787" t="s">
        <v>3943</v>
      </c>
      <c r="AQ5" s="4787" t="s">
        <v>3944</v>
      </c>
      <c r="AR5" s="4787" t="s">
        <v>3945</v>
      </c>
    </row>
    <row r="6" spans="1:44" ht="56.25" customHeight="1" x14ac:dyDescent="0.25">
      <c r="A6" s="4787"/>
      <c r="B6" s="4787"/>
      <c r="C6" s="4787"/>
      <c r="D6" s="4787"/>
      <c r="E6" s="4787"/>
      <c r="F6" s="2585" t="s">
        <v>1588</v>
      </c>
      <c r="G6" s="2585" t="s">
        <v>1804</v>
      </c>
      <c r="H6" s="2585" t="s">
        <v>1813</v>
      </c>
      <c r="I6" s="2585" t="s">
        <v>1588</v>
      </c>
      <c r="J6" s="2585" t="s">
        <v>1513</v>
      </c>
      <c r="K6" s="2585" t="s">
        <v>1682</v>
      </c>
      <c r="L6" s="2585" t="s">
        <v>1804</v>
      </c>
      <c r="M6" s="2585" t="s">
        <v>1813</v>
      </c>
      <c r="N6" s="2585" t="s">
        <v>1588</v>
      </c>
      <c r="O6" s="2585" t="s">
        <v>1687</v>
      </c>
      <c r="P6" s="2585" t="s">
        <v>1682</v>
      </c>
      <c r="Q6" s="2585" t="s">
        <v>1804</v>
      </c>
      <c r="R6" s="4787" t="s">
        <v>119</v>
      </c>
      <c r="S6" s="4787"/>
      <c r="T6" s="4787"/>
      <c r="U6" s="4787"/>
      <c r="V6" s="4787"/>
      <c r="W6" s="4787"/>
      <c r="X6" s="4787" t="s">
        <v>1524</v>
      </c>
      <c r="Y6" s="4787"/>
      <c r="Z6" s="4787"/>
      <c r="AA6" s="4787"/>
      <c r="AB6" s="4787"/>
      <c r="AC6" s="4787"/>
      <c r="AD6" s="4787"/>
      <c r="AE6" s="2585" t="s">
        <v>3551</v>
      </c>
      <c r="AF6" s="2777" t="s">
        <v>3570</v>
      </c>
      <c r="AG6" s="2777" t="s">
        <v>3708</v>
      </c>
      <c r="AH6" s="2777" t="s">
        <v>3570</v>
      </c>
      <c r="AI6" s="4739"/>
      <c r="AJ6" s="4739"/>
      <c r="AK6" s="4739"/>
      <c r="AL6" s="3571" t="s">
        <v>3551</v>
      </c>
      <c r="AM6" s="3571" t="s">
        <v>3929</v>
      </c>
      <c r="AN6" s="3571" t="s">
        <v>3708</v>
      </c>
      <c r="AO6" s="3571" t="s">
        <v>3929</v>
      </c>
      <c r="AP6" s="4739"/>
      <c r="AQ6" s="4739"/>
      <c r="AR6" s="4739"/>
    </row>
    <row r="7" spans="1:44" s="2813" customFormat="1" ht="27" customHeight="1" x14ac:dyDescent="0.25">
      <c r="A7" s="4822"/>
      <c r="B7" s="3781" t="s">
        <v>897</v>
      </c>
      <c r="C7" s="4808" t="s">
        <v>898</v>
      </c>
      <c r="D7" s="4804" t="s">
        <v>898</v>
      </c>
      <c r="E7" s="4804" t="s">
        <v>898</v>
      </c>
      <c r="F7" s="4804" t="s">
        <v>898</v>
      </c>
      <c r="G7" s="4804" t="s">
        <v>898</v>
      </c>
      <c r="H7" s="4804" t="s">
        <v>898</v>
      </c>
      <c r="I7" s="3782">
        <v>0.01</v>
      </c>
      <c r="J7" s="3782"/>
      <c r="K7" s="3782">
        <v>0.01</v>
      </c>
      <c r="L7" s="4817" t="s">
        <v>898</v>
      </c>
      <c r="M7" s="3782">
        <v>0.01</v>
      </c>
      <c r="N7" s="3782">
        <v>0.01</v>
      </c>
      <c r="O7" s="4804" t="s">
        <v>898</v>
      </c>
      <c r="P7" s="3782">
        <v>0.01</v>
      </c>
      <c r="Q7" s="4817" t="s">
        <v>898</v>
      </c>
      <c r="R7" s="4817" t="s">
        <v>898</v>
      </c>
      <c r="S7" s="3782">
        <v>0.01</v>
      </c>
      <c r="T7" s="3782">
        <v>0.01</v>
      </c>
      <c r="U7" s="3782">
        <v>0.01</v>
      </c>
      <c r="V7" s="3782">
        <v>0.01</v>
      </c>
      <c r="W7" s="3782">
        <v>0.01</v>
      </c>
      <c r="X7" s="4817" t="s">
        <v>898</v>
      </c>
      <c r="Y7" s="4817" t="s">
        <v>898</v>
      </c>
      <c r="Z7" s="3782">
        <v>0.01</v>
      </c>
      <c r="AA7" s="3782">
        <v>0.01</v>
      </c>
      <c r="AB7" s="3782">
        <v>0.01</v>
      </c>
      <c r="AC7" s="3782">
        <v>0.01</v>
      </c>
      <c r="AD7" s="3782">
        <v>0.01</v>
      </c>
      <c r="AE7" s="4817" t="s">
        <v>898</v>
      </c>
      <c r="AF7" s="4817" t="s">
        <v>898</v>
      </c>
      <c r="AG7" s="3782">
        <v>0.01</v>
      </c>
      <c r="AH7" s="3782"/>
      <c r="AI7" s="4817" t="s">
        <v>898</v>
      </c>
      <c r="AJ7" s="4817" t="s">
        <v>898</v>
      </c>
      <c r="AK7" s="4817" t="s">
        <v>898</v>
      </c>
      <c r="AL7" s="3887">
        <v>0.01</v>
      </c>
      <c r="AM7" s="4818" t="s">
        <v>898</v>
      </c>
      <c r="AN7" s="4150">
        <v>0.01</v>
      </c>
      <c r="AO7" s="4821" t="s">
        <v>898</v>
      </c>
      <c r="AP7" s="4818" t="s">
        <v>898</v>
      </c>
      <c r="AQ7" s="4818" t="s">
        <v>898</v>
      </c>
      <c r="AR7" s="4816" t="s">
        <v>898</v>
      </c>
    </row>
    <row r="8" spans="1:44" s="2813" customFormat="1" ht="27" customHeight="1" x14ac:dyDescent="0.25">
      <c r="A8" s="4822"/>
      <c r="B8" s="3781" t="s">
        <v>899</v>
      </c>
      <c r="C8" s="4808"/>
      <c r="D8" s="4804"/>
      <c r="E8" s="4804"/>
      <c r="F8" s="4804"/>
      <c r="G8" s="4804"/>
      <c r="H8" s="4804"/>
      <c r="I8" s="3782">
        <v>7.3999999999999996E-2</v>
      </c>
      <c r="J8" s="3782"/>
      <c r="K8" s="3785">
        <v>7.0999999999999994E-2</v>
      </c>
      <c r="L8" s="4817"/>
      <c r="M8" s="3785">
        <v>3.6999999999999998E-2</v>
      </c>
      <c r="N8" s="3785">
        <v>5.8000000000000003E-2</v>
      </c>
      <c r="O8" s="4804"/>
      <c r="P8" s="3785">
        <v>3.6999999999999998E-2</v>
      </c>
      <c r="Q8" s="4817"/>
      <c r="R8" s="4817"/>
      <c r="S8" s="3785">
        <v>3.6999999999999998E-2</v>
      </c>
      <c r="T8" s="3785">
        <v>3.6999999999999998E-2</v>
      </c>
      <c r="U8" s="3785">
        <v>3.6999999999999998E-2</v>
      </c>
      <c r="V8" s="3785">
        <v>3.6999999999999998E-2</v>
      </c>
      <c r="W8" s="3785">
        <v>3.6999999999999998E-2</v>
      </c>
      <c r="X8" s="4817"/>
      <c r="Y8" s="4817"/>
      <c r="Z8" s="3785">
        <v>4.5999999999999999E-2</v>
      </c>
      <c r="AA8" s="3785">
        <v>3.4000000000000002E-2</v>
      </c>
      <c r="AB8" s="3785">
        <v>0.04</v>
      </c>
      <c r="AC8" s="3785">
        <v>0.04</v>
      </c>
      <c r="AD8" s="3785">
        <v>0.04</v>
      </c>
      <c r="AE8" s="4817"/>
      <c r="AF8" s="4817"/>
      <c r="AG8" s="3785">
        <v>0.03</v>
      </c>
      <c r="AH8" s="3782"/>
      <c r="AI8" s="4817"/>
      <c r="AJ8" s="4817"/>
      <c r="AK8" s="4817"/>
      <c r="AL8" s="3862">
        <v>4.5999999999999999E-2</v>
      </c>
      <c r="AM8" s="4818"/>
      <c r="AN8" s="4151">
        <v>3.60001E-2</v>
      </c>
      <c r="AO8" s="4821"/>
      <c r="AP8" s="4818"/>
      <c r="AQ8" s="4818"/>
      <c r="AR8" s="4816"/>
    </row>
    <row r="9" spans="1:44" s="2813" customFormat="1" ht="27" customHeight="1" x14ac:dyDescent="0.25">
      <c r="A9" s="4822"/>
      <c r="B9" s="3781" t="s">
        <v>900</v>
      </c>
      <c r="C9" s="4808"/>
      <c r="D9" s="4804"/>
      <c r="E9" s="4804"/>
      <c r="F9" s="4804"/>
      <c r="G9" s="4804"/>
      <c r="H9" s="4804"/>
      <c r="I9" s="3786">
        <v>0</v>
      </c>
      <c r="J9" s="3786"/>
      <c r="K9" s="3786">
        <v>0</v>
      </c>
      <c r="L9" s="4817"/>
      <c r="M9" s="3786">
        <v>0</v>
      </c>
      <c r="N9" s="3786">
        <v>0</v>
      </c>
      <c r="O9" s="4804"/>
      <c r="P9" s="3786">
        <v>0</v>
      </c>
      <c r="Q9" s="4817"/>
      <c r="R9" s="4817"/>
      <c r="S9" s="3786">
        <v>0</v>
      </c>
      <c r="T9" s="3786">
        <v>0</v>
      </c>
      <c r="U9" s="3786">
        <v>0</v>
      </c>
      <c r="V9" s="3786">
        <v>0</v>
      </c>
      <c r="W9" s="3786">
        <v>0</v>
      </c>
      <c r="X9" s="4817"/>
      <c r="Y9" s="4817"/>
      <c r="Z9" s="3786">
        <v>0</v>
      </c>
      <c r="AA9" s="3786">
        <v>0</v>
      </c>
      <c r="AB9" s="3786">
        <v>0</v>
      </c>
      <c r="AC9" s="3786">
        <v>0</v>
      </c>
      <c r="AD9" s="3786">
        <v>0</v>
      </c>
      <c r="AE9" s="4817"/>
      <c r="AF9" s="4817"/>
      <c r="AG9" s="3786">
        <v>0</v>
      </c>
      <c r="AH9" s="3782"/>
      <c r="AI9" s="4817"/>
      <c r="AJ9" s="4817"/>
      <c r="AK9" s="4817"/>
      <c r="AL9" s="3863">
        <v>0</v>
      </c>
      <c r="AM9" s="4818"/>
      <c r="AN9" s="4152">
        <v>0</v>
      </c>
      <c r="AO9" s="4821"/>
      <c r="AP9" s="4818"/>
      <c r="AQ9" s="4818"/>
      <c r="AR9" s="4816"/>
    </row>
    <row r="10" spans="1:44" s="2805" customFormat="1" x14ac:dyDescent="0.25">
      <c r="A10" s="3787">
        <v>1</v>
      </c>
      <c r="B10" s="3788" t="s">
        <v>901</v>
      </c>
      <c r="C10" s="3787" t="s">
        <v>902</v>
      </c>
      <c r="D10" s="3789">
        <f>D11+D22+D24+D28</f>
        <v>357.19</v>
      </c>
      <c r="E10" s="3789">
        <f>E11+E22+E24+E28</f>
        <v>331.11</v>
      </c>
      <c r="F10" s="3789">
        <f>F11+F22+F24+F28</f>
        <v>265.72014801492946</v>
      </c>
      <c r="G10" s="3789">
        <f t="shared" ref="G10:H10" si="0">G11+G22+G24+G28</f>
        <v>347.01</v>
      </c>
      <c r="H10" s="3789">
        <f t="shared" si="0"/>
        <v>269.31954980966509</v>
      </c>
      <c r="I10" s="3789">
        <f>I11+I22+I24+I28</f>
        <v>281.78079818910521</v>
      </c>
      <c r="J10" s="3789">
        <f>J11+J22+J24+J28</f>
        <v>355.28000000000003</v>
      </c>
      <c r="K10" s="3789">
        <f>K11+K22+K24+K28</f>
        <v>335.24464410116991</v>
      </c>
      <c r="L10" s="3789">
        <f t="shared" ref="L10:M10" si="1">L11+L22+L24+L28</f>
        <v>309.01999999999992</v>
      </c>
      <c r="M10" s="3789">
        <f t="shared" si="1"/>
        <v>274.32604240017173</v>
      </c>
      <c r="N10" s="3789">
        <f>N11+N22+N24+N28</f>
        <v>295.19784732288423</v>
      </c>
      <c r="O10" s="3789">
        <f t="shared" ref="O10" si="2">O11+O22+O24+O28</f>
        <v>321.74</v>
      </c>
      <c r="P10" s="3789">
        <f>P11+P22+P24+P28+P32+P33-P34</f>
        <v>269.60817185247777</v>
      </c>
      <c r="Q10" s="3789">
        <f>Q11+Q22+Q24+Q28</f>
        <v>300.37200000000001</v>
      </c>
      <c r="R10" s="3789">
        <f t="shared" ref="R10:AD10" si="3">R11+R22+R24+R28</f>
        <v>452.32</v>
      </c>
      <c r="S10" s="3789">
        <f t="shared" si="3"/>
        <v>467.46000000000004</v>
      </c>
      <c r="T10" s="3789">
        <f t="shared" si="3"/>
        <v>483.04</v>
      </c>
      <c r="U10" s="3789">
        <f t="shared" si="3"/>
        <v>499.20000000000005</v>
      </c>
      <c r="V10" s="3789">
        <f t="shared" si="3"/>
        <v>516.01</v>
      </c>
      <c r="W10" s="3789">
        <f t="shared" si="3"/>
        <v>0</v>
      </c>
      <c r="X10" s="3789">
        <f>X11+X22+X24+X28</f>
        <v>264.21623643095779</v>
      </c>
      <c r="Y10" s="3789">
        <f>X10/P10*100</f>
        <v>98.00008457292968</v>
      </c>
      <c r="Z10" s="3789">
        <f t="shared" si="3"/>
        <v>273.56212254049359</v>
      </c>
      <c r="AA10" s="3789">
        <f t="shared" si="3"/>
        <v>279.90203227222241</v>
      </c>
      <c r="AB10" s="3789">
        <f t="shared" si="3"/>
        <v>287.77784091789164</v>
      </c>
      <c r="AC10" s="3789">
        <f t="shared" si="3"/>
        <v>295.87735928964918</v>
      </c>
      <c r="AD10" s="3789">
        <f t="shared" si="3"/>
        <v>304.25317620309391</v>
      </c>
      <c r="AE10" s="3789">
        <f>AE11+AE22+AE24+AE28</f>
        <v>360.49113625919529</v>
      </c>
      <c r="AF10" s="3789">
        <f>AE10/X10*100</f>
        <v>136.43791961036243</v>
      </c>
      <c r="AG10" s="3789">
        <f>AG11+AG22+AG24+AG28</f>
        <v>267.94681284789755</v>
      </c>
      <c r="AH10" s="3789">
        <f>AG10/X10*100</f>
        <v>101.4119406389753</v>
      </c>
      <c r="AI10" s="3789">
        <f>AI11+AI22+AI24+AI28</f>
        <v>98.409330000000026</v>
      </c>
      <c r="AJ10" s="3789">
        <f>AJ11+AJ22+AJ24+AJ28</f>
        <v>135.33795000000003</v>
      </c>
      <c r="AK10" s="3789">
        <f>AK11+AK22+AK24+AK28</f>
        <v>181.10504999999998</v>
      </c>
      <c r="AL10" s="3864">
        <f>AL11+AL22+AL24+AL28</f>
        <v>290.91962848529329</v>
      </c>
      <c r="AM10" s="3864">
        <f>AL10/AG10*100</f>
        <v>108.57364765537871</v>
      </c>
      <c r="AN10" s="4183">
        <f>AN11+AN22+AN24+AN28</f>
        <v>275.44457208196002</v>
      </c>
      <c r="AO10" s="4183">
        <f>AN10/AG10*100</f>
        <v>102.79822669072712</v>
      </c>
      <c r="AP10" s="3864">
        <f>AP11+AP22+AP24+AP28</f>
        <v>93.235279999999989</v>
      </c>
      <c r="AQ10" s="3864">
        <f>AQ11+AQ22+AQ24+AQ28</f>
        <v>138.99222</v>
      </c>
      <c r="AR10" s="3791" t="e">
        <f>AR11+AR22+AR24+AR28</f>
        <v>#VALUE!</v>
      </c>
    </row>
    <row r="11" spans="1:44" s="1238" customFormat="1" x14ac:dyDescent="0.25">
      <c r="A11" s="3792" t="s">
        <v>903</v>
      </c>
      <c r="B11" s="3793" t="s">
        <v>904</v>
      </c>
      <c r="C11" s="3792" t="s">
        <v>902</v>
      </c>
      <c r="D11" s="3789">
        <f>D12+D13+D14</f>
        <v>357.19</v>
      </c>
      <c r="E11" s="3789">
        <f>E12+E13+E14</f>
        <v>325.89</v>
      </c>
      <c r="F11" s="3789">
        <f>F12+F13+F14</f>
        <v>260.46893422019343</v>
      </c>
      <c r="G11" s="3789">
        <f t="shared" ref="G11:H11" si="4">G12+G13+G14</f>
        <v>343.03999999999996</v>
      </c>
      <c r="H11" s="3789">
        <f t="shared" si="4"/>
        <v>264.19954980966509</v>
      </c>
      <c r="I11" s="3789">
        <f>I12+I13+I14</f>
        <v>276.52958439436918</v>
      </c>
      <c r="J11" s="3789">
        <f>J12+J13+J14</f>
        <v>333.24</v>
      </c>
      <c r="K11" s="3789">
        <f>K12+K13+K14</f>
        <v>314.16061342968561</v>
      </c>
      <c r="L11" s="3789">
        <f t="shared" ref="L11:M11" si="5">L12+L13+L14</f>
        <v>305.92999999999995</v>
      </c>
      <c r="M11" s="3789">
        <f t="shared" si="5"/>
        <v>271.23604240017175</v>
      </c>
      <c r="N11" s="3789">
        <f>N12+N13+N14</f>
        <v>289.9466335281482</v>
      </c>
      <c r="O11" s="3789">
        <f t="shared" ref="O11:AD11" si="6">O12+O13+O14</f>
        <v>302.26</v>
      </c>
      <c r="P11" s="3789">
        <f t="shared" si="6"/>
        <v>292.08097754926939</v>
      </c>
      <c r="Q11" s="3789">
        <f t="shared" ref="Q11" si="7">Q12+Q13+Q14</f>
        <v>297.74200000000002</v>
      </c>
      <c r="R11" s="3789">
        <f t="shared" si="6"/>
        <v>449.33</v>
      </c>
      <c r="S11" s="3789">
        <f t="shared" si="6"/>
        <v>464.47</v>
      </c>
      <c r="T11" s="3789">
        <f t="shared" si="6"/>
        <v>480.05</v>
      </c>
      <c r="U11" s="3789">
        <f t="shared" si="6"/>
        <v>496.21000000000004</v>
      </c>
      <c r="V11" s="3789">
        <f t="shared" si="6"/>
        <v>513.02</v>
      </c>
      <c r="W11" s="3789">
        <f t="shared" si="6"/>
        <v>0</v>
      </c>
      <c r="X11" s="3789">
        <f t="shared" si="6"/>
        <v>261.2128482218468</v>
      </c>
      <c r="Y11" s="3789">
        <f>X11/P11*100</f>
        <v>89.431653650838783</v>
      </c>
      <c r="Z11" s="3789">
        <f t="shared" si="6"/>
        <v>270.5587343313826</v>
      </c>
      <c r="AA11" s="3789">
        <f t="shared" si="6"/>
        <v>276.89864406311142</v>
      </c>
      <c r="AB11" s="3789">
        <f t="shared" si="6"/>
        <v>284.77445270878064</v>
      </c>
      <c r="AC11" s="3789">
        <f t="shared" si="6"/>
        <v>292.87397108053818</v>
      </c>
      <c r="AD11" s="3789">
        <f t="shared" si="6"/>
        <v>301.24978799398292</v>
      </c>
      <c r="AE11" s="3789">
        <f t="shared" ref="AE11:AG11" si="8">AE12+AE13+AE14</f>
        <v>357.48774805008429</v>
      </c>
      <c r="AF11" s="3789">
        <f t="shared" ref="AF11:AF40" si="9">AE11/X11*100</f>
        <v>136.85687763201898</v>
      </c>
      <c r="AG11" s="3789">
        <f t="shared" si="8"/>
        <v>264.94801083261939</v>
      </c>
      <c r="AH11" s="3789">
        <f t="shared" ref="AH11:AH22" si="10">AG11/X11*100</f>
        <v>101.42993066236939</v>
      </c>
      <c r="AI11" s="3789">
        <f t="shared" ref="AI11:AJ11" si="11">AI12+AI13+AI14</f>
        <v>98.409330000000026</v>
      </c>
      <c r="AJ11" s="3789">
        <f t="shared" si="11"/>
        <v>135.33795000000003</v>
      </c>
      <c r="AK11" s="3789">
        <f t="shared" ref="AK11" si="12">AK12+AK13+AK14</f>
        <v>181.10504999999998</v>
      </c>
      <c r="AL11" s="3864">
        <f t="shared" ref="AL11:AN11" si="13">AL12+AL13+AL14</f>
        <v>290.91962848529329</v>
      </c>
      <c r="AM11" s="3864">
        <f>AL11/AG11*100</f>
        <v>109.8025335502826</v>
      </c>
      <c r="AN11" s="4183">
        <f t="shared" si="13"/>
        <v>275.44457208196002</v>
      </c>
      <c r="AO11" s="4183">
        <f t="shared" ref="AO11:AO38" si="14">AN11/AG11*100</f>
        <v>103.96174374601055</v>
      </c>
      <c r="AP11" s="3864">
        <f t="shared" ref="AP11:AR11" si="15">AP12+AP13+AP14</f>
        <v>93.235279999999989</v>
      </c>
      <c r="AQ11" s="3864">
        <f t="shared" si="15"/>
        <v>138.99222</v>
      </c>
      <c r="AR11" s="3791" t="e">
        <f t="shared" si="15"/>
        <v>#VALUE!</v>
      </c>
    </row>
    <row r="12" spans="1:44" s="1239" customFormat="1" ht="19.5" customHeight="1" x14ac:dyDescent="0.25">
      <c r="A12" s="3792" t="s">
        <v>905</v>
      </c>
      <c r="B12" s="3794" t="s">
        <v>906</v>
      </c>
      <c r="C12" s="3792" t="s">
        <v>902</v>
      </c>
      <c r="D12" s="3792">
        <v>289.52</v>
      </c>
      <c r="E12" s="3792">
        <v>261.37</v>
      </c>
      <c r="F12" s="3789">
        <f>стоки!BC88+стоки!BC89+стоки!BC90+стоки!BC91+стоки!BC92+стоки!BC94</f>
        <v>219.71405316440371</v>
      </c>
      <c r="G12" s="3789">
        <v>271.14999999999998</v>
      </c>
      <c r="H12" s="3789">
        <f>F12</f>
        <v>219.71405316440371</v>
      </c>
      <c r="I12" s="3789">
        <f>F12*(1-I7)*(1+I8)*(1+I9)</f>
        <v>233.6131641675839</v>
      </c>
      <c r="J12" s="3789">
        <v>279</v>
      </c>
      <c r="K12" s="3789">
        <f>F12*(1-K7)*(1+K8)*(1+K9)</f>
        <v>232.96061342968559</v>
      </c>
      <c r="L12" s="3789">
        <v>236.25</v>
      </c>
      <c r="M12" s="3789">
        <f>F12*0.99*1.037</f>
        <v>225.56503840017177</v>
      </c>
      <c r="N12" s="3789">
        <f>I12*(1-N7)*(1+N8)*(1+N9)</f>
        <v>244.69110041241075</v>
      </c>
      <c r="O12" s="3789">
        <v>248.06</v>
      </c>
      <c r="P12" s="3789">
        <f>N12</f>
        <v>244.69110041241075</v>
      </c>
      <c r="Q12" s="3789">
        <f>SUM(стоки!BO117)</f>
        <v>233.322</v>
      </c>
      <c r="R12" s="3789">
        <v>356.28</v>
      </c>
      <c r="S12" s="3789">
        <v>367</v>
      </c>
      <c r="T12" s="3789">
        <v>378.04</v>
      </c>
      <c r="U12" s="3789">
        <v>389.42</v>
      </c>
      <c r="V12" s="3789">
        <v>401.14</v>
      </c>
      <c r="W12" s="3789"/>
      <c r="X12" s="3789">
        <f>стоки!BU117</f>
        <v>213.10499531289966</v>
      </c>
      <c r="Y12" s="3789">
        <f>X12/P12*100</f>
        <v>87.091436898900383</v>
      </c>
      <c r="Z12" s="3789">
        <f>X12*(1-Z7)*(1+Z8)*(1+Z9)</f>
        <v>220.67874684632011</v>
      </c>
      <c r="AA12" s="3789">
        <f t="shared" ref="AA12:AD12" si="16">Z12*(1-AA7)*(1+AA8)*(1+AA9)</f>
        <v>225.90000599670404</v>
      </c>
      <c r="AB12" s="3789">
        <f t="shared" si="16"/>
        <v>232.58664617420649</v>
      </c>
      <c r="AC12" s="3789">
        <f t="shared" si="16"/>
        <v>239.471210900963</v>
      </c>
      <c r="AD12" s="3789">
        <f t="shared" si="16"/>
        <v>246.5595587436315</v>
      </c>
      <c r="AE12" s="3789">
        <f>SUM(стоки!BX117)</f>
        <v>308.23205715422455</v>
      </c>
      <c r="AF12" s="3789">
        <f t="shared" si="9"/>
        <v>144.63858845807479</v>
      </c>
      <c r="AG12" s="3789">
        <f>SUM(стоки!CM117)</f>
        <v>217.29990582799104</v>
      </c>
      <c r="AH12" s="3789">
        <f t="shared" si="10"/>
        <v>101.96847122655761</v>
      </c>
      <c r="AI12" s="3789">
        <f>SUM(стоки!CP117)</f>
        <v>88.846020000000024</v>
      </c>
      <c r="AJ12" s="3789">
        <f>SUM(стоки!CS117)</f>
        <v>116.88126000000001</v>
      </c>
      <c r="AK12" s="3789">
        <f>SUM(стоки!CV117)</f>
        <v>159.60504999999998</v>
      </c>
      <c r="AL12" s="3864">
        <f>SUM(стоки!CY117)</f>
        <v>149.56800575875323</v>
      </c>
      <c r="AM12" s="3864">
        <f>AL12/AG12*100</f>
        <v>68.830221158562026</v>
      </c>
      <c r="AN12" s="4183">
        <f>X12*(1+0.032)*0.99*(1+AN8)*0.99</f>
        <v>223.3076050277827</v>
      </c>
      <c r="AO12" s="4183">
        <f t="shared" si="14"/>
        <v>102.76470400523192</v>
      </c>
      <c r="AP12" s="3864">
        <f>SUM(стоки!DE117)</f>
        <v>78.853239999999985</v>
      </c>
      <c r="AQ12" s="3864">
        <f>SUM(стоки!DH117)</f>
        <v>116.50633000000001</v>
      </c>
      <c r="AR12" s="3791">
        <f>SUM(стоки!DC117)</f>
        <v>0</v>
      </c>
    </row>
    <row r="13" spans="1:44" s="1239" customFormat="1" ht="62.25" customHeight="1" x14ac:dyDescent="0.25">
      <c r="A13" s="3792" t="s">
        <v>907</v>
      </c>
      <c r="B13" s="3794" t="s">
        <v>908</v>
      </c>
      <c r="C13" s="3792" t="s">
        <v>902</v>
      </c>
      <c r="D13" s="3792">
        <v>50.67</v>
      </c>
      <c r="E13" s="3792">
        <v>53.99</v>
      </c>
      <c r="F13" s="3789">
        <f>стоки!BC86</f>
        <v>32.75059349993262</v>
      </c>
      <c r="G13" s="3789">
        <v>62.71</v>
      </c>
      <c r="H13" s="3789">
        <f>'2018 к смета'!J10</f>
        <v>23.594366645261381</v>
      </c>
      <c r="I13" s="3789">
        <f>F13*1.066</f>
        <v>34.912132670928173</v>
      </c>
      <c r="J13" s="3789">
        <v>43.77</v>
      </c>
      <c r="K13" s="3789">
        <f>'2017 к смета'!G4</f>
        <v>70.73</v>
      </c>
      <c r="L13" s="3789">
        <v>62.03</v>
      </c>
      <c r="M13" s="3789">
        <f>'ЭЭ стоки'!J41</f>
        <v>38.021003999999998</v>
      </c>
      <c r="N13" s="3789">
        <f>I13*1.067</f>
        <v>37.25124555988036</v>
      </c>
      <c r="O13" s="3789">
        <v>44.58</v>
      </c>
      <c r="P13" s="3789">
        <f>'2018 к смета'!M10</f>
        <v>36.689984838989993</v>
      </c>
      <c r="Q13" s="3789">
        <f>SUM(стоки!BO118)</f>
        <v>56.47</v>
      </c>
      <c r="R13" s="3789">
        <v>58.57</v>
      </c>
      <c r="S13" s="3789">
        <v>62.67</v>
      </c>
      <c r="T13" s="3789">
        <v>67.06</v>
      </c>
      <c r="U13" s="3789">
        <v>71.760000000000005</v>
      </c>
      <c r="V13" s="3789">
        <v>76.78</v>
      </c>
      <c r="W13" s="3789"/>
      <c r="X13" s="3789">
        <f>стоки!BU118</f>
        <v>42.193680383698222</v>
      </c>
      <c r="Y13" s="3789">
        <f t="shared" ref="Y13:Y14" si="17">X13/P13*100</f>
        <v>115.00053916310023</v>
      </c>
      <c r="Z13" s="3789">
        <f>'ЭЭ стоки'!T41</f>
        <v>43.965814959813549</v>
      </c>
      <c r="AA13" s="3789">
        <f>'ЭЭ стоки'!U41</f>
        <v>45.724447558206087</v>
      </c>
      <c r="AB13" s="3789">
        <f>'ЭЭ стоки'!V41</f>
        <v>47.553425460534335</v>
      </c>
      <c r="AC13" s="3789">
        <f>'ЭЭ стоки'!W41</f>
        <v>49.408009053495164</v>
      </c>
      <c r="AD13" s="3789">
        <f>'ЭЭ стоки'!X41</f>
        <v>51.334921406581472</v>
      </c>
      <c r="AE13" s="3789">
        <f>SUM(стоки!BX118)</f>
        <v>43.965814959813549</v>
      </c>
      <c r="AF13" s="3789">
        <f t="shared" si="9"/>
        <v>104.2</v>
      </c>
      <c r="AG13" s="3789">
        <f>SUM(стоки!CM118)</f>
        <v>42.358229068582141</v>
      </c>
      <c r="AH13" s="3789">
        <f t="shared" si="10"/>
        <v>100.38998419523388</v>
      </c>
      <c r="AI13" s="3789">
        <f>SUM(стоки!CP118)</f>
        <v>9.5513300000000019</v>
      </c>
      <c r="AJ13" s="3789">
        <f>SUM(стоки!CS118)</f>
        <v>18.440630000000002</v>
      </c>
      <c r="AK13" s="3789">
        <f>SUM(стоки!CV118)</f>
        <v>21.48</v>
      </c>
      <c r="AL13" s="3864">
        <f>SUM(стоки!CY118)</f>
        <v>136.06174679049383</v>
      </c>
      <c r="AM13" s="3864">
        <f>AL13/AG13*100</f>
        <v>321.21679726080259</v>
      </c>
      <c r="AN13" s="4183">
        <f>SUM(стоки!DB118)</f>
        <v>52.136967054177305</v>
      </c>
      <c r="AO13" s="4183">
        <f t="shared" si="14"/>
        <v>123.08580457828495</v>
      </c>
      <c r="AP13" s="3864">
        <f>SUM(стоки!DE118)</f>
        <v>14.352130000000001</v>
      </c>
      <c r="AQ13" s="3864">
        <f>SUM(стоки!DH118)</f>
        <v>22.44096</v>
      </c>
      <c r="AR13" s="3791">
        <f>SUM(стоки!DC118)</f>
        <v>0</v>
      </c>
    </row>
    <row r="14" spans="1:44" s="1239" customFormat="1" ht="27" customHeight="1" x14ac:dyDescent="0.25">
      <c r="A14" s="3792" t="s">
        <v>909</v>
      </c>
      <c r="B14" s="3794" t="s">
        <v>910</v>
      </c>
      <c r="C14" s="3792" t="s">
        <v>902</v>
      </c>
      <c r="D14" s="3789">
        <f>D15+D16+D17+D18+D21</f>
        <v>17</v>
      </c>
      <c r="E14" s="3789">
        <f>E15+E16+E17+E18+E21</f>
        <v>10.53</v>
      </c>
      <c r="F14" s="3789">
        <f>F15+F16+F17+F18+F21</f>
        <v>8.0042875558570898</v>
      </c>
      <c r="G14" s="3789">
        <f t="shared" ref="G14:H14" si="18">G15+G16+G17+G18+G21</f>
        <v>9.18</v>
      </c>
      <c r="H14" s="3789">
        <f t="shared" si="18"/>
        <v>20.89113</v>
      </c>
      <c r="I14" s="3789">
        <f t="shared" ref="I14:AD14" si="19">I15+I16+I17+I18+I21</f>
        <v>8.0042875558570898</v>
      </c>
      <c r="J14" s="3789">
        <f t="shared" si="19"/>
        <v>10.47</v>
      </c>
      <c r="K14" s="3789">
        <f t="shared" si="19"/>
        <v>10.47</v>
      </c>
      <c r="L14" s="3789">
        <f t="shared" si="19"/>
        <v>7.65</v>
      </c>
      <c r="M14" s="3789">
        <f t="shared" si="19"/>
        <v>7.6499999999999995</v>
      </c>
      <c r="N14" s="3789">
        <f t="shared" si="19"/>
        <v>8.0042875558570898</v>
      </c>
      <c r="O14" s="3789">
        <f t="shared" si="19"/>
        <v>9.6199999999999992</v>
      </c>
      <c r="P14" s="3789">
        <f t="shared" si="19"/>
        <v>10.699892297868619</v>
      </c>
      <c r="Q14" s="3789">
        <f t="shared" ref="Q14" si="20">Q15+Q16+Q17+Q18+Q21</f>
        <v>7.95</v>
      </c>
      <c r="R14" s="3789">
        <f t="shared" si="19"/>
        <v>34.479999999999997</v>
      </c>
      <c r="S14" s="3789">
        <f t="shared" si="19"/>
        <v>34.799999999999997</v>
      </c>
      <c r="T14" s="3789">
        <f t="shared" si="19"/>
        <v>34.950000000000003</v>
      </c>
      <c r="U14" s="3789">
        <f t="shared" si="19"/>
        <v>35.03</v>
      </c>
      <c r="V14" s="3789">
        <f t="shared" si="19"/>
        <v>35.1</v>
      </c>
      <c r="W14" s="3789">
        <f t="shared" si="19"/>
        <v>0</v>
      </c>
      <c r="X14" s="3789">
        <f t="shared" si="19"/>
        <v>5.9141725252489437</v>
      </c>
      <c r="Y14" s="3789">
        <f t="shared" si="17"/>
        <v>55.273196781868783</v>
      </c>
      <c r="Z14" s="3789">
        <f t="shared" si="19"/>
        <v>5.9141725252489437</v>
      </c>
      <c r="AA14" s="3789">
        <f t="shared" si="19"/>
        <v>5.2741905082012792</v>
      </c>
      <c r="AB14" s="3789">
        <f t="shared" si="19"/>
        <v>4.6343810740398172</v>
      </c>
      <c r="AC14" s="3789">
        <f t="shared" si="19"/>
        <v>3.9947511260800086</v>
      </c>
      <c r="AD14" s="3789">
        <f t="shared" si="19"/>
        <v>3.3553078437699169</v>
      </c>
      <c r="AE14" s="3789">
        <f t="shared" ref="AE14:AG14" si="21">AE15+AE16+AE17+AE18+AE21</f>
        <v>5.2898759360461867</v>
      </c>
      <c r="AF14" s="3789">
        <f t="shared" si="9"/>
        <v>89.444058546863602</v>
      </c>
      <c r="AG14" s="3789">
        <f t="shared" si="21"/>
        <v>5.2898759360461867</v>
      </c>
      <c r="AH14" s="3789">
        <f t="shared" si="10"/>
        <v>89.444058546863602</v>
      </c>
      <c r="AI14" s="3789">
        <f t="shared" ref="AI14:AJ14" si="22">AI15+AI16+AI17+AI18+AI21</f>
        <v>1.1979999999999999E-2</v>
      </c>
      <c r="AJ14" s="3789">
        <f t="shared" si="22"/>
        <v>1.6060000000000001E-2</v>
      </c>
      <c r="AK14" s="3789">
        <f t="shared" ref="AK14" si="23">AK15+AK16+AK17+AK18+AK21</f>
        <v>0.02</v>
      </c>
      <c r="AL14" s="3864">
        <f t="shared" ref="AL14:AN14" si="24">AL15+AL16+AL17+AL18+AL21</f>
        <v>5.2898759360461867</v>
      </c>
      <c r="AM14" s="3864">
        <f>AL14/AG14*100</f>
        <v>100</v>
      </c>
      <c r="AN14" s="4183">
        <f t="shared" si="24"/>
        <v>0</v>
      </c>
      <c r="AO14" s="4183">
        <f t="shared" si="14"/>
        <v>0</v>
      </c>
      <c r="AP14" s="3864">
        <f t="shared" ref="AP14:AR14" si="25">AP15+AP16+AP17+AP18+AP21</f>
        <v>2.9909999999999999E-2</v>
      </c>
      <c r="AQ14" s="3864">
        <f t="shared" si="25"/>
        <v>4.4929999999999998E-2</v>
      </c>
      <c r="AR14" s="3791" t="e">
        <f t="shared" si="25"/>
        <v>#VALUE!</v>
      </c>
    </row>
    <row r="15" spans="1:44" s="1240" customFormat="1" ht="64.5" customHeight="1" x14ac:dyDescent="0.2">
      <c r="A15" s="3796" t="s">
        <v>911</v>
      </c>
      <c r="B15" s="3797" t="s">
        <v>912</v>
      </c>
      <c r="C15" s="3796" t="s">
        <v>902</v>
      </c>
      <c r="D15" s="3796">
        <v>0</v>
      </c>
      <c r="E15" s="3796">
        <v>0</v>
      </c>
      <c r="F15" s="3799">
        <v>0</v>
      </c>
      <c r="G15" s="3799">
        <v>0</v>
      </c>
      <c r="H15" s="3799">
        <f>'2018 к смета'!J18</f>
        <v>0</v>
      </c>
      <c r="I15" s="3799">
        <f>F15*1.084</f>
        <v>0</v>
      </c>
      <c r="J15" s="3799">
        <v>0</v>
      </c>
      <c r="K15" s="3799">
        <v>0</v>
      </c>
      <c r="L15" s="3799">
        <v>0</v>
      </c>
      <c r="M15" s="3799">
        <v>0</v>
      </c>
      <c r="N15" s="3799">
        <f>I15*1.079</f>
        <v>0</v>
      </c>
      <c r="O15" s="3799">
        <v>0</v>
      </c>
      <c r="P15" s="3799">
        <f>'2018 к смета'!M18</f>
        <v>0</v>
      </c>
      <c r="Q15" s="3799">
        <f>'2018 к смета'!M18</f>
        <v>0</v>
      </c>
      <c r="R15" s="3799">
        <f>'2018 к смета'!N18</f>
        <v>0</v>
      </c>
      <c r="S15" s="3799">
        <f>'2018 к смета'!O18</f>
        <v>0</v>
      </c>
      <c r="T15" s="3799">
        <f>'2018 к смета'!P18</f>
        <v>0</v>
      </c>
      <c r="U15" s="3799">
        <f>'2018 к смета'!Q18</f>
        <v>0</v>
      </c>
      <c r="V15" s="3799">
        <f>'2018 к смета'!R18</f>
        <v>0</v>
      </c>
      <c r="W15" s="3799">
        <f>'2018 к смета'!S18</f>
        <v>0</v>
      </c>
      <c r="X15" s="3799">
        <f>'2018 к смета'!T18</f>
        <v>0</v>
      </c>
      <c r="Y15" s="3799">
        <v>0</v>
      </c>
      <c r="Z15" s="3799">
        <f>'2018 к смета'!U18</f>
        <v>0</v>
      </c>
      <c r="AA15" s="3799">
        <f>'2018 к смета'!V18</f>
        <v>0</v>
      </c>
      <c r="AB15" s="3799">
        <f>'2018 к смета'!W18</f>
        <v>0</v>
      </c>
      <c r="AC15" s="3799">
        <f>'2018 к смета'!X18</f>
        <v>0</v>
      </c>
      <c r="AD15" s="3799">
        <f>'2018 к смета'!Y18</f>
        <v>0</v>
      </c>
      <c r="AE15" s="3799">
        <f>'2018 к смета'!AA18</f>
        <v>0</v>
      </c>
      <c r="AF15" s="3789"/>
      <c r="AG15" s="3799">
        <v>0</v>
      </c>
      <c r="AH15" s="3789"/>
      <c r="AI15" s="3799">
        <v>0</v>
      </c>
      <c r="AJ15" s="3799">
        <v>0</v>
      </c>
      <c r="AK15" s="3799">
        <v>0</v>
      </c>
      <c r="AL15" s="3865">
        <v>0</v>
      </c>
      <c r="AM15" s="3864">
        <v>0</v>
      </c>
      <c r="AN15" s="4154">
        <v>0</v>
      </c>
      <c r="AO15" s="4183"/>
      <c r="AP15" s="3865">
        <v>0</v>
      </c>
      <c r="AQ15" s="3865">
        <v>0</v>
      </c>
      <c r="AR15" s="3801">
        <v>0</v>
      </c>
    </row>
    <row r="16" spans="1:44" s="1240" customFormat="1" ht="94.5" customHeight="1" x14ac:dyDescent="0.2">
      <c r="A16" s="3796" t="s">
        <v>913</v>
      </c>
      <c r="B16" s="3797" t="s">
        <v>914</v>
      </c>
      <c r="C16" s="3796" t="s">
        <v>902</v>
      </c>
      <c r="D16" s="3796">
        <v>8.9</v>
      </c>
      <c r="E16" s="3796">
        <v>10.53</v>
      </c>
      <c r="F16" s="3799">
        <f>стоки!BC42</f>
        <v>8.0042875558570898</v>
      </c>
      <c r="G16" s="3799">
        <v>9.18</v>
      </c>
      <c r="H16" s="3799">
        <f>'2018 к смета'!J19</f>
        <v>20.89113</v>
      </c>
      <c r="I16" s="3799">
        <f>F16</f>
        <v>8.0042875558570898</v>
      </c>
      <c r="J16" s="3799">
        <v>10.47</v>
      </c>
      <c r="K16" s="3799">
        <f>'2017 к смета'!G11</f>
        <v>10.47</v>
      </c>
      <c r="L16" s="3799">
        <v>7.65</v>
      </c>
      <c r="M16" s="3799">
        <f>'Н 2019-2024'!D39</f>
        <v>7.6499999999999995</v>
      </c>
      <c r="N16" s="3799">
        <f>I16</f>
        <v>8.0042875558570898</v>
      </c>
      <c r="O16" s="3799">
        <v>9.6199999999999992</v>
      </c>
      <c r="P16" s="3799">
        <f>'2018 к смета'!M19</f>
        <v>10.699892297868619</v>
      </c>
      <c r="Q16" s="3799">
        <f>SUM(стоки!BO121)</f>
        <v>7.95</v>
      </c>
      <c r="R16" s="3799">
        <v>34.479999999999997</v>
      </c>
      <c r="S16" s="3799">
        <v>34.799999999999997</v>
      </c>
      <c r="T16" s="3799">
        <v>34.950000000000003</v>
      </c>
      <c r="U16" s="3799">
        <v>35.03</v>
      </c>
      <c r="V16" s="3799">
        <v>35.1</v>
      </c>
      <c r="W16" s="3799"/>
      <c r="X16" s="3799">
        <f>стоки!BU121</f>
        <v>5.9141725252489437</v>
      </c>
      <c r="Y16" s="3799">
        <f t="shared" ref="Y16:Y18" si="26">X16/P16*100</f>
        <v>55.273196781868783</v>
      </c>
      <c r="Z16" s="3799">
        <f>'Н 2019-2024'!M39</f>
        <v>5.9141725252489437</v>
      </c>
      <c r="AA16" s="3799">
        <f>'Н 2019-2024'!N39</f>
        <v>5.2741905082012792</v>
      </c>
      <c r="AB16" s="3799">
        <f>'Н 2019-2024'!O39</f>
        <v>4.6343810740398172</v>
      </c>
      <c r="AC16" s="3799">
        <f>'Н 2019-2024'!P39</f>
        <v>3.9947511260800086</v>
      </c>
      <c r="AD16" s="3799">
        <f>'Н 2019-2024'!Q39</f>
        <v>3.3553078437699169</v>
      </c>
      <c r="AE16" s="3799">
        <f>SUM(стоки!BX93)</f>
        <v>5.2898759360461867</v>
      </c>
      <c r="AF16" s="3789">
        <f t="shared" si="9"/>
        <v>89.444058546863602</v>
      </c>
      <c r="AG16" s="3799">
        <f>SUM(стоки!CM121)</f>
        <v>5.2898759360461867</v>
      </c>
      <c r="AH16" s="3789">
        <f t="shared" si="10"/>
        <v>89.444058546863602</v>
      </c>
      <c r="AI16" s="3799">
        <f>SUM(стоки!CP93)</f>
        <v>0</v>
      </c>
      <c r="AJ16" s="3799">
        <f>SUM(стоки!CS93)</f>
        <v>0</v>
      </c>
      <c r="AK16" s="3799">
        <f>SUM(стоки!CV93)</f>
        <v>0</v>
      </c>
      <c r="AL16" s="3865">
        <f>SUM(стоки!CY93)</f>
        <v>5.2898759360461867</v>
      </c>
      <c r="AM16" s="3864">
        <f>AL16/AG16*100</f>
        <v>100</v>
      </c>
      <c r="AN16" s="4154">
        <f>SUM(стоки!CDB93)</f>
        <v>0</v>
      </c>
      <c r="AO16" s="4183">
        <f t="shared" si="14"/>
        <v>0</v>
      </c>
      <c r="AP16" s="3865">
        <f>SUM(стоки!DE93)</f>
        <v>0</v>
      </c>
      <c r="AQ16" s="3865">
        <f>SUM(стоки!DH93)</f>
        <v>0</v>
      </c>
      <c r="AR16" s="3801">
        <f>SUM(стоки!DC93)</f>
        <v>1372.3319999999999</v>
      </c>
    </row>
    <row r="17" spans="1:44" s="1240" customFormat="1" ht="39" customHeight="1" x14ac:dyDescent="0.2">
      <c r="A17" s="3796" t="s">
        <v>915</v>
      </c>
      <c r="B17" s="3797" t="s">
        <v>916</v>
      </c>
      <c r="C17" s="3796" t="s">
        <v>902</v>
      </c>
      <c r="D17" s="3796">
        <v>0</v>
      </c>
      <c r="E17" s="3796">
        <v>0</v>
      </c>
      <c r="F17" s="3799">
        <v>0</v>
      </c>
      <c r="G17" s="3799">
        <v>0</v>
      </c>
      <c r="H17" s="3799">
        <f>'2018 к смета'!J20</f>
        <v>0</v>
      </c>
      <c r="I17" s="3799">
        <v>0</v>
      </c>
      <c r="J17" s="3799">
        <v>0</v>
      </c>
      <c r="K17" s="3799">
        <v>0</v>
      </c>
      <c r="L17" s="3799">
        <v>0</v>
      </c>
      <c r="M17" s="3799">
        <v>0</v>
      </c>
      <c r="N17" s="3799">
        <v>0</v>
      </c>
      <c r="O17" s="3799">
        <v>0</v>
      </c>
      <c r="P17" s="3799">
        <f>'2018 к смета'!M20</f>
        <v>0</v>
      </c>
      <c r="Q17" s="3799">
        <f>стоки!BN122</f>
        <v>0</v>
      </c>
      <c r="R17" s="3799">
        <f>'2018 к смета'!N20</f>
        <v>0</v>
      </c>
      <c r="S17" s="3799">
        <f>'2018 к смета'!O20</f>
        <v>0</v>
      </c>
      <c r="T17" s="3799">
        <f>'2018 к смета'!P20</f>
        <v>0</v>
      </c>
      <c r="U17" s="3799">
        <f>'2018 к смета'!Q20</f>
        <v>0</v>
      </c>
      <c r="V17" s="3799">
        <f>'2018 к смета'!R20</f>
        <v>0</v>
      </c>
      <c r="W17" s="3799">
        <f>'2018 к смета'!S20</f>
        <v>0</v>
      </c>
      <c r="X17" s="3799">
        <f>стоки!BU122</f>
        <v>0</v>
      </c>
      <c r="Y17" s="3799">
        <v>0</v>
      </c>
      <c r="Z17" s="3799">
        <f>'2018 к смета'!U20</f>
        <v>0</v>
      </c>
      <c r="AA17" s="3799">
        <f>'2018 к смета'!V20</f>
        <v>0</v>
      </c>
      <c r="AB17" s="3799">
        <f>'2018 к смета'!W20</f>
        <v>0</v>
      </c>
      <c r="AC17" s="3799">
        <f>'2018 к смета'!X20</f>
        <v>0</v>
      </c>
      <c r="AD17" s="3799">
        <f>'2018 к смета'!Y20</f>
        <v>0</v>
      </c>
      <c r="AE17" s="3799">
        <f>стоки!CB122</f>
        <v>0</v>
      </c>
      <c r="AF17" s="3789"/>
      <c r="AG17" s="3799">
        <v>0</v>
      </c>
      <c r="AH17" s="3789"/>
      <c r="AI17" s="3799">
        <f>стоки!CP122</f>
        <v>1.1979999999999999E-2</v>
      </c>
      <c r="AJ17" s="3799">
        <f>стоки!CS122</f>
        <v>1.6060000000000001E-2</v>
      </c>
      <c r="AK17" s="3799">
        <f>стоки!CV122</f>
        <v>0.02</v>
      </c>
      <c r="AL17" s="3865">
        <f>стоки!CY122</f>
        <v>0</v>
      </c>
      <c r="AM17" s="3864">
        <v>0</v>
      </c>
      <c r="AN17" s="4154">
        <f>стоки!DB122</f>
        <v>0</v>
      </c>
      <c r="AO17" s="4183"/>
      <c r="AP17" s="3865">
        <f>стоки!DE122</f>
        <v>2.9909999999999999E-2</v>
      </c>
      <c r="AQ17" s="3865">
        <f>стоки!DH122</f>
        <v>4.4929999999999998E-2</v>
      </c>
      <c r="AR17" s="3801" t="str">
        <f>стоки!DC122</f>
        <v>Аренда</v>
      </c>
    </row>
    <row r="18" spans="1:44" s="1240" customFormat="1" ht="138" hidden="1" customHeight="1" x14ac:dyDescent="0.2">
      <c r="A18" s="3796" t="s">
        <v>917</v>
      </c>
      <c r="B18" s="3797" t="s">
        <v>918</v>
      </c>
      <c r="C18" s="3796" t="s">
        <v>902</v>
      </c>
      <c r="D18" s="3796">
        <v>0</v>
      </c>
      <c r="E18" s="3796">
        <v>0</v>
      </c>
      <c r="F18" s="3799">
        <v>0</v>
      </c>
      <c r="G18" s="3799">
        <v>0</v>
      </c>
      <c r="H18" s="3799">
        <f>'2018 к смета'!J21</f>
        <v>0</v>
      </c>
      <c r="I18" s="3799">
        <v>0</v>
      </c>
      <c r="J18" s="3799">
        <v>0</v>
      </c>
      <c r="K18" s="3799">
        <v>0</v>
      </c>
      <c r="L18" s="3799">
        <v>0</v>
      </c>
      <c r="M18" s="3799">
        <v>0</v>
      </c>
      <c r="N18" s="3799">
        <v>0</v>
      </c>
      <c r="O18" s="3799">
        <v>0</v>
      </c>
      <c r="P18" s="3799">
        <f>'2018 к смета'!M21</f>
        <v>0</v>
      </c>
      <c r="Q18" s="3799">
        <f>'2018 к смета'!M21</f>
        <v>0</v>
      </c>
      <c r="R18" s="3799">
        <f>'2018 к смета'!N21</f>
        <v>0</v>
      </c>
      <c r="S18" s="3799">
        <f>'2018 к смета'!O21</f>
        <v>0</v>
      </c>
      <c r="T18" s="3799">
        <f>'2018 к смета'!P21</f>
        <v>0</v>
      </c>
      <c r="U18" s="3799">
        <f>'2018 к смета'!Q21</f>
        <v>0</v>
      </c>
      <c r="V18" s="3799">
        <f>'2018 к смета'!R21</f>
        <v>0</v>
      </c>
      <c r="W18" s="3799">
        <f>'2018 к смета'!S21</f>
        <v>0</v>
      </c>
      <c r="X18" s="3799">
        <f>'2018 к смета'!T21</f>
        <v>0</v>
      </c>
      <c r="Y18" s="3799" t="e">
        <f t="shared" si="26"/>
        <v>#DIV/0!</v>
      </c>
      <c r="Z18" s="3799">
        <f>'2018 к смета'!U21</f>
        <v>0</v>
      </c>
      <c r="AA18" s="3799">
        <f>'2018 к смета'!V21</f>
        <v>0</v>
      </c>
      <c r="AB18" s="3799">
        <f>'2018 к смета'!W21</f>
        <v>0</v>
      </c>
      <c r="AC18" s="3799">
        <f>'2018 к смета'!X21</f>
        <v>0</v>
      </c>
      <c r="AD18" s="3799">
        <f>'2018 к смета'!Y21</f>
        <v>0</v>
      </c>
      <c r="AE18" s="3799">
        <f>'2018 к смета'!AA21</f>
        <v>0</v>
      </c>
      <c r="AF18" s="3789" t="e">
        <f t="shared" si="9"/>
        <v>#DIV/0!</v>
      </c>
      <c r="AG18" s="3799">
        <f>'2018 к смета'!AC21</f>
        <v>0</v>
      </c>
      <c r="AH18" s="3789" t="e">
        <f t="shared" si="10"/>
        <v>#DIV/0!</v>
      </c>
      <c r="AI18" s="3799">
        <f>'2018 к смета'!AD21</f>
        <v>0</v>
      </c>
      <c r="AJ18" s="3799">
        <f>'2018 к смета'!AE21</f>
        <v>0</v>
      </c>
      <c r="AK18" s="3799">
        <f>'2018 к смета'!AF21</f>
        <v>0</v>
      </c>
      <c r="AL18" s="3865">
        <f>'2018 к смета'!AG21</f>
        <v>0</v>
      </c>
      <c r="AM18" s="3864" t="e">
        <f t="shared" ref="AM18:AM21" si="27">AL18/AE18*100</f>
        <v>#DIV/0!</v>
      </c>
      <c r="AN18" s="3799">
        <f>'2018 к смета'!AI21</f>
        <v>0</v>
      </c>
      <c r="AO18" s="4183"/>
      <c r="AP18" s="3865">
        <f>'2018 к смета'!AK21</f>
        <v>0</v>
      </c>
      <c r="AQ18" s="3865">
        <f>'2018 к смета'!AL21</f>
        <v>0</v>
      </c>
      <c r="AR18" s="3801">
        <f>'2018 к смета'!AM21</f>
        <v>0</v>
      </c>
    </row>
    <row r="19" spans="1:44" s="1240" customFormat="1" ht="23.25" hidden="1" customHeight="1" x14ac:dyDescent="0.2">
      <c r="A19" s="3796" t="s">
        <v>919</v>
      </c>
      <c r="B19" s="3797" t="s">
        <v>920</v>
      </c>
      <c r="C19" s="3796" t="s">
        <v>902</v>
      </c>
      <c r="D19" s="3796">
        <v>0</v>
      </c>
      <c r="E19" s="3796">
        <v>0</v>
      </c>
      <c r="F19" s="3799">
        <v>0</v>
      </c>
      <c r="G19" s="3799">
        <v>0</v>
      </c>
      <c r="H19" s="3799">
        <f>'2018 к смета'!J22</f>
        <v>0</v>
      </c>
      <c r="I19" s="3799">
        <v>0</v>
      </c>
      <c r="J19" s="3799">
        <v>0</v>
      </c>
      <c r="K19" s="3799">
        <v>0</v>
      </c>
      <c r="L19" s="3799">
        <v>0</v>
      </c>
      <c r="M19" s="3799">
        <v>0</v>
      </c>
      <c r="N19" s="3799">
        <v>0</v>
      </c>
      <c r="O19" s="3799">
        <v>0</v>
      </c>
      <c r="P19" s="3799">
        <f>'2018 к смета'!M22</f>
        <v>0</v>
      </c>
      <c r="Q19" s="3799">
        <f>'2018 к смета'!M22</f>
        <v>0</v>
      </c>
      <c r="R19" s="3799">
        <f>'2018 к смета'!N22</f>
        <v>0</v>
      </c>
      <c r="S19" s="3799">
        <f>'2018 к смета'!O22</f>
        <v>0</v>
      </c>
      <c r="T19" s="3799">
        <f>'2018 к смета'!P22</f>
        <v>0</v>
      </c>
      <c r="U19" s="3799">
        <f>'2018 к смета'!Q22</f>
        <v>0</v>
      </c>
      <c r="V19" s="3799">
        <f>'2018 к смета'!R22</f>
        <v>0</v>
      </c>
      <c r="W19" s="3799">
        <f>'2018 к смета'!S22</f>
        <v>0</v>
      </c>
      <c r="X19" s="3799">
        <f>'2018 к смета'!T22</f>
        <v>0</v>
      </c>
      <c r="Y19" s="3799">
        <v>0</v>
      </c>
      <c r="Z19" s="3799">
        <f>'2018 к смета'!U22</f>
        <v>0</v>
      </c>
      <c r="AA19" s="3799">
        <f>'2018 к смета'!V22</f>
        <v>0</v>
      </c>
      <c r="AB19" s="3799">
        <f>'2018 к смета'!W22</f>
        <v>0</v>
      </c>
      <c r="AC19" s="3799">
        <f>'2018 к смета'!X22</f>
        <v>0</v>
      </c>
      <c r="AD19" s="3799">
        <f>'2018 к смета'!Y22</f>
        <v>0</v>
      </c>
      <c r="AE19" s="3799">
        <f>'2018 к смета'!AA22</f>
        <v>0</v>
      </c>
      <c r="AF19" s="3789" t="e">
        <f t="shared" si="9"/>
        <v>#DIV/0!</v>
      </c>
      <c r="AG19" s="3799">
        <f>'2018 к смета'!AC22</f>
        <v>0</v>
      </c>
      <c r="AH19" s="3789" t="e">
        <f t="shared" si="10"/>
        <v>#DIV/0!</v>
      </c>
      <c r="AI19" s="3799">
        <f>'2018 к смета'!AD22</f>
        <v>0</v>
      </c>
      <c r="AJ19" s="3799">
        <f>'2018 к смета'!AE22</f>
        <v>0</v>
      </c>
      <c r="AK19" s="3799">
        <f>'2018 к смета'!AF22</f>
        <v>0</v>
      </c>
      <c r="AL19" s="3865">
        <f>'2018 к смета'!AG22</f>
        <v>0</v>
      </c>
      <c r="AM19" s="3864" t="e">
        <f t="shared" si="27"/>
        <v>#DIV/0!</v>
      </c>
      <c r="AN19" s="3799">
        <f>'2018 к смета'!AI22</f>
        <v>0</v>
      </c>
      <c r="AO19" s="4183"/>
      <c r="AP19" s="3865">
        <f>'2018 к смета'!AK22</f>
        <v>0</v>
      </c>
      <c r="AQ19" s="3865">
        <f>'2018 к смета'!AL22</f>
        <v>0</v>
      </c>
      <c r="AR19" s="3801">
        <f>'2018 к смета'!AM22</f>
        <v>0</v>
      </c>
    </row>
    <row r="20" spans="1:44" s="1240" customFormat="1" ht="87.75" hidden="1" customHeight="1" x14ac:dyDescent="0.2">
      <c r="A20" s="3796" t="s">
        <v>921</v>
      </c>
      <c r="B20" s="3797" t="s">
        <v>922</v>
      </c>
      <c r="C20" s="3796" t="s">
        <v>902</v>
      </c>
      <c r="D20" s="3796">
        <v>0</v>
      </c>
      <c r="E20" s="3796">
        <v>0</v>
      </c>
      <c r="F20" s="3799">
        <v>0</v>
      </c>
      <c r="G20" s="3799">
        <v>0</v>
      </c>
      <c r="H20" s="3799">
        <f>'2018 к смета'!J23</f>
        <v>0</v>
      </c>
      <c r="I20" s="3799">
        <v>0</v>
      </c>
      <c r="J20" s="3799">
        <v>0</v>
      </c>
      <c r="K20" s="3799">
        <v>0</v>
      </c>
      <c r="L20" s="3799">
        <v>0</v>
      </c>
      <c r="M20" s="3799">
        <v>0</v>
      </c>
      <c r="N20" s="3799">
        <v>0</v>
      </c>
      <c r="O20" s="3799">
        <v>0</v>
      </c>
      <c r="P20" s="3799">
        <f>'2018 к смета'!M23</f>
        <v>0</v>
      </c>
      <c r="Q20" s="3799">
        <f>'2018 к смета'!M23</f>
        <v>0</v>
      </c>
      <c r="R20" s="3799">
        <f>'2018 к смета'!N23</f>
        <v>0</v>
      </c>
      <c r="S20" s="3799">
        <f>'2018 к смета'!O23</f>
        <v>0</v>
      </c>
      <c r="T20" s="3799">
        <f>'2018 к смета'!P23</f>
        <v>0</v>
      </c>
      <c r="U20" s="3799">
        <f>'2018 к смета'!Q23</f>
        <v>0</v>
      </c>
      <c r="V20" s="3799">
        <f>'2018 к смета'!R23</f>
        <v>0</v>
      </c>
      <c r="W20" s="3799">
        <f>'2018 к смета'!S23</f>
        <v>0</v>
      </c>
      <c r="X20" s="3799">
        <f>'2018 к смета'!T23</f>
        <v>0</v>
      </c>
      <c r="Y20" s="3799">
        <v>0</v>
      </c>
      <c r="Z20" s="3799">
        <f>'2018 к смета'!U23</f>
        <v>0</v>
      </c>
      <c r="AA20" s="3799">
        <f>'2018 к смета'!V23</f>
        <v>0</v>
      </c>
      <c r="AB20" s="3799">
        <f>'2018 к смета'!W23</f>
        <v>0</v>
      </c>
      <c r="AC20" s="3799">
        <f>'2018 к смета'!X23</f>
        <v>0</v>
      </c>
      <c r="AD20" s="3799">
        <f>'2018 к смета'!Y23</f>
        <v>0</v>
      </c>
      <c r="AE20" s="3799">
        <f>'2018 к смета'!AA23</f>
        <v>0</v>
      </c>
      <c r="AF20" s="3789" t="e">
        <f t="shared" si="9"/>
        <v>#DIV/0!</v>
      </c>
      <c r="AG20" s="3799">
        <f>'2018 к смета'!AC23</f>
        <v>0</v>
      </c>
      <c r="AH20" s="3789" t="e">
        <f t="shared" si="10"/>
        <v>#DIV/0!</v>
      </c>
      <c r="AI20" s="3799">
        <f>'2018 к смета'!AD23</f>
        <v>0</v>
      </c>
      <c r="AJ20" s="3799">
        <f>'2018 к смета'!AE23</f>
        <v>0</v>
      </c>
      <c r="AK20" s="3799">
        <f>'2018 к смета'!AF23</f>
        <v>0</v>
      </c>
      <c r="AL20" s="3865">
        <f>'2018 к смета'!AG23</f>
        <v>0</v>
      </c>
      <c r="AM20" s="3864" t="e">
        <f t="shared" si="27"/>
        <v>#DIV/0!</v>
      </c>
      <c r="AN20" s="3799">
        <f>'2018 к смета'!AI23</f>
        <v>0</v>
      </c>
      <c r="AO20" s="4183"/>
      <c r="AP20" s="3865">
        <f>'2018 к смета'!AK23</f>
        <v>0</v>
      </c>
      <c r="AQ20" s="3865">
        <f>'2018 к смета'!AL23</f>
        <v>0</v>
      </c>
      <c r="AR20" s="3801">
        <f>'2018 к смета'!AM23</f>
        <v>0</v>
      </c>
    </row>
    <row r="21" spans="1:44" s="1240" customFormat="1" ht="144.75" hidden="1" customHeight="1" x14ac:dyDescent="0.2">
      <c r="A21" s="3796" t="s">
        <v>923</v>
      </c>
      <c r="B21" s="3797" t="s">
        <v>924</v>
      </c>
      <c r="C21" s="3796" t="s">
        <v>902</v>
      </c>
      <c r="D21" s="3796">
        <v>8.1</v>
      </c>
      <c r="E21" s="3796">
        <v>0</v>
      </c>
      <c r="F21" s="3799">
        <v>0</v>
      </c>
      <c r="G21" s="3799">
        <v>0</v>
      </c>
      <c r="H21" s="3799">
        <f>'2018 к смета'!J24</f>
        <v>0</v>
      </c>
      <c r="I21" s="3799">
        <v>0</v>
      </c>
      <c r="J21" s="3799">
        <v>0</v>
      </c>
      <c r="K21" s="3799">
        <v>0</v>
      </c>
      <c r="L21" s="3799">
        <v>0</v>
      </c>
      <c r="M21" s="3799">
        <v>0</v>
      </c>
      <c r="N21" s="3799">
        <v>0</v>
      </c>
      <c r="O21" s="3799">
        <v>0</v>
      </c>
      <c r="P21" s="3799">
        <f>'2018 к смета'!M24</f>
        <v>0</v>
      </c>
      <c r="Q21" s="3799">
        <f>'2018 к смета'!M24</f>
        <v>0</v>
      </c>
      <c r="R21" s="3799">
        <f>'2018 к смета'!N24</f>
        <v>0</v>
      </c>
      <c r="S21" s="3799">
        <f>'2018 к смета'!O24</f>
        <v>0</v>
      </c>
      <c r="T21" s="3799">
        <f>'2018 к смета'!P24</f>
        <v>0</v>
      </c>
      <c r="U21" s="3799">
        <f>'2018 к смета'!Q24</f>
        <v>0</v>
      </c>
      <c r="V21" s="3799">
        <f>'2018 к смета'!R24</f>
        <v>0</v>
      </c>
      <c r="W21" s="3799">
        <f>'2018 к смета'!S24</f>
        <v>0</v>
      </c>
      <c r="X21" s="3799">
        <f>'2018 к смета'!T24</f>
        <v>0</v>
      </c>
      <c r="Y21" s="3799">
        <v>0</v>
      </c>
      <c r="Z21" s="3799">
        <f>'2018 к смета'!U24</f>
        <v>0</v>
      </c>
      <c r="AA21" s="3799">
        <f>'2018 к смета'!V24</f>
        <v>0</v>
      </c>
      <c r="AB21" s="3799">
        <f>'2018 к смета'!W24</f>
        <v>0</v>
      </c>
      <c r="AC21" s="3799">
        <f>'2018 к смета'!X24</f>
        <v>0</v>
      </c>
      <c r="AD21" s="3799">
        <f>'2018 к смета'!Y24</f>
        <v>0</v>
      </c>
      <c r="AE21" s="3799">
        <f>'2018 к смета'!AA24</f>
        <v>0</v>
      </c>
      <c r="AF21" s="3789" t="e">
        <f t="shared" si="9"/>
        <v>#DIV/0!</v>
      </c>
      <c r="AG21" s="3799">
        <f>'2018 к смета'!AC24</f>
        <v>0</v>
      </c>
      <c r="AH21" s="3789" t="e">
        <f t="shared" si="10"/>
        <v>#DIV/0!</v>
      </c>
      <c r="AI21" s="3799">
        <f>'2018 к смета'!AD24</f>
        <v>0</v>
      </c>
      <c r="AJ21" s="3799">
        <f>'2018 к смета'!AE24</f>
        <v>0</v>
      </c>
      <c r="AK21" s="3799">
        <f>'2018 к смета'!AF24</f>
        <v>0</v>
      </c>
      <c r="AL21" s="3865">
        <f>'2018 к смета'!AG24</f>
        <v>0</v>
      </c>
      <c r="AM21" s="3864" t="e">
        <f t="shared" si="27"/>
        <v>#DIV/0!</v>
      </c>
      <c r="AN21" s="3799">
        <f>'2018 к смета'!AI24</f>
        <v>0</v>
      </c>
      <c r="AO21" s="4183"/>
      <c r="AP21" s="3865">
        <f>'2018 к смета'!AK24</f>
        <v>0</v>
      </c>
      <c r="AQ21" s="3865">
        <f>'2018 к смета'!AL24</f>
        <v>0</v>
      </c>
      <c r="AR21" s="3801">
        <f>'2018 к смета'!AM24</f>
        <v>0</v>
      </c>
    </row>
    <row r="22" spans="1:44" s="1238" customFormat="1" ht="14.25" customHeight="1" x14ac:dyDescent="0.25">
      <c r="A22" s="3792" t="s">
        <v>925</v>
      </c>
      <c r="B22" s="3793" t="s">
        <v>2</v>
      </c>
      <c r="C22" s="3792" t="s">
        <v>902</v>
      </c>
      <c r="D22" s="3792">
        <v>0</v>
      </c>
      <c r="E22" s="3792">
        <v>5.22</v>
      </c>
      <c r="F22" s="3789">
        <f>стоки!BC87</f>
        <v>5.2512137947360316</v>
      </c>
      <c r="G22" s="3789">
        <v>3.97</v>
      </c>
      <c r="H22" s="3789">
        <f>'2018 к смета'!G25</f>
        <v>5.12</v>
      </c>
      <c r="I22" s="3789">
        <f>F22</f>
        <v>5.2512137947360316</v>
      </c>
      <c r="J22" s="3789">
        <v>5.12</v>
      </c>
      <c r="K22" s="3789">
        <f>'2017 к смета'!G19</f>
        <v>5.12</v>
      </c>
      <c r="L22" s="3789">
        <v>3.09</v>
      </c>
      <c r="M22" s="3789">
        <f>L22</f>
        <v>3.09</v>
      </c>
      <c r="N22" s="3789">
        <f>I22</f>
        <v>5.2512137947360316</v>
      </c>
      <c r="O22" s="3789">
        <v>4.16</v>
      </c>
      <c r="P22" s="3789">
        <f>'2018 к смета'!M25</f>
        <v>5.12</v>
      </c>
      <c r="Q22" s="3789">
        <f>SUM(стоки!BO124)</f>
        <v>2.63</v>
      </c>
      <c r="R22" s="3789">
        <v>2.99</v>
      </c>
      <c r="S22" s="3789">
        <v>2.99</v>
      </c>
      <c r="T22" s="3789">
        <v>2.99</v>
      </c>
      <c r="U22" s="3789">
        <v>2.99</v>
      </c>
      <c r="V22" s="3789">
        <v>2.99</v>
      </c>
      <c r="W22" s="3789"/>
      <c r="X22" s="3789">
        <f>стоки!BU124</f>
        <v>3.0033882091110118</v>
      </c>
      <c r="Y22" s="3789">
        <f>X22/P22*100</f>
        <v>58.659925959199441</v>
      </c>
      <c r="Z22" s="3789">
        <f>X22</f>
        <v>3.0033882091110118</v>
      </c>
      <c r="AA22" s="3789">
        <f t="shared" ref="AA22:AD22" si="28">Z22</f>
        <v>3.0033882091110118</v>
      </c>
      <c r="AB22" s="3789">
        <f t="shared" si="28"/>
        <v>3.0033882091110118</v>
      </c>
      <c r="AC22" s="3789">
        <f t="shared" si="28"/>
        <v>3.0033882091110118</v>
      </c>
      <c r="AD22" s="3789">
        <f t="shared" si="28"/>
        <v>3.0033882091110118</v>
      </c>
      <c r="AE22" s="3789">
        <f>SUM(стоки!BX87)</f>
        <v>3.0033882091110118</v>
      </c>
      <c r="AF22" s="3789">
        <f t="shared" si="9"/>
        <v>100</v>
      </c>
      <c r="AG22" s="3789">
        <f>SUM(стоки!CM124)</f>
        <v>2.9988020152781827</v>
      </c>
      <c r="AH22" s="3789">
        <f t="shared" si="10"/>
        <v>99.847299332836286</v>
      </c>
      <c r="AI22" s="3789">
        <f>SUM(стоки!CP87)</f>
        <v>0</v>
      </c>
      <c r="AJ22" s="3789">
        <f>SUM(стоки!CS87)</f>
        <v>0</v>
      </c>
      <c r="AK22" s="3789">
        <f>SUM(стоки!CV87)</f>
        <v>0</v>
      </c>
      <c r="AL22" s="3864">
        <f>SUM(стоки!CY87)</f>
        <v>0</v>
      </c>
      <c r="AM22" s="3864">
        <f>AL22/AG22*100</f>
        <v>0</v>
      </c>
      <c r="AN22" s="4183">
        <f>SUM(стоки!DB87)</f>
        <v>0</v>
      </c>
      <c r="AO22" s="4183"/>
      <c r="AP22" s="3864">
        <f>SUM(стоки!DE87)</f>
        <v>0</v>
      </c>
      <c r="AQ22" s="3864">
        <f>SUM(стоки!DH87)</f>
        <v>0</v>
      </c>
      <c r="AR22" s="3791">
        <f>SUM(стоки!DC87)</f>
        <v>2631.4059999999999</v>
      </c>
    </row>
    <row r="23" spans="1:44" s="1241" customFormat="1" ht="15" customHeight="1" x14ac:dyDescent="0.2">
      <c r="A23" s="3803" t="s">
        <v>193</v>
      </c>
      <c r="B23" s="3804" t="s">
        <v>926</v>
      </c>
      <c r="C23" s="3877" t="s">
        <v>44</v>
      </c>
      <c r="D23" s="3878">
        <f>D24/(D11+D22)*100</f>
        <v>0</v>
      </c>
      <c r="E23" s="3878">
        <f>E24/(E11+E22)*100</f>
        <v>0</v>
      </c>
      <c r="F23" s="3878">
        <f>F24/(F11+F22)*100</f>
        <v>0</v>
      </c>
      <c r="G23" s="3878">
        <f t="shared" ref="G23:H23" si="29">G24/(G11+G22)*100</f>
        <v>0</v>
      </c>
      <c r="H23" s="3878">
        <f t="shared" si="29"/>
        <v>0</v>
      </c>
      <c r="I23" s="3878">
        <f t="shared" ref="I23:P23" si="30">I24/(I11+I22)*100</f>
        <v>0</v>
      </c>
      <c r="J23" s="3878">
        <f t="shared" si="30"/>
        <v>0</v>
      </c>
      <c r="K23" s="3878">
        <f t="shared" si="30"/>
        <v>0</v>
      </c>
      <c r="L23" s="3878">
        <f t="shared" si="30"/>
        <v>0</v>
      </c>
      <c r="M23" s="3878">
        <f t="shared" si="30"/>
        <v>0</v>
      </c>
      <c r="N23" s="3878">
        <f t="shared" si="30"/>
        <v>0</v>
      </c>
      <c r="O23" s="3878">
        <f>O24/(O11+O22)*100</f>
        <v>0</v>
      </c>
      <c r="P23" s="3878">
        <f t="shared" si="30"/>
        <v>0</v>
      </c>
      <c r="Q23" s="3878">
        <v>0</v>
      </c>
      <c r="R23" s="3878">
        <f t="shared" ref="R23:AD23" si="31">R24/(R11+R22)*100</f>
        <v>0</v>
      </c>
      <c r="S23" s="3878">
        <f t="shared" si="31"/>
        <v>0</v>
      </c>
      <c r="T23" s="3878">
        <f t="shared" si="31"/>
        <v>0</v>
      </c>
      <c r="U23" s="3878">
        <f t="shared" si="31"/>
        <v>0</v>
      </c>
      <c r="V23" s="3878">
        <f t="shared" si="31"/>
        <v>0</v>
      </c>
      <c r="W23" s="3878" t="e">
        <f t="shared" si="31"/>
        <v>#DIV/0!</v>
      </c>
      <c r="X23" s="3878">
        <v>0</v>
      </c>
      <c r="Y23" s="3805">
        <v>0</v>
      </c>
      <c r="Z23" s="3878">
        <f t="shared" si="31"/>
        <v>0</v>
      </c>
      <c r="AA23" s="3878">
        <f t="shared" si="31"/>
        <v>0</v>
      </c>
      <c r="AB23" s="3878">
        <f t="shared" si="31"/>
        <v>0</v>
      </c>
      <c r="AC23" s="3878">
        <f t="shared" si="31"/>
        <v>0</v>
      </c>
      <c r="AD23" s="3878">
        <f t="shared" si="31"/>
        <v>0</v>
      </c>
      <c r="AE23" s="3878">
        <v>0</v>
      </c>
      <c r="AF23" s="3789"/>
      <c r="AG23" s="3879">
        <v>0</v>
      </c>
      <c r="AH23" s="3789"/>
      <c r="AI23" s="3878">
        <v>0</v>
      </c>
      <c r="AJ23" s="3879">
        <v>0</v>
      </c>
      <c r="AK23" s="3879">
        <v>0</v>
      </c>
      <c r="AL23" s="3889">
        <v>0</v>
      </c>
      <c r="AM23" s="3864"/>
      <c r="AN23" s="4156">
        <v>0</v>
      </c>
      <c r="AO23" s="4183"/>
      <c r="AP23" s="3889">
        <v>0</v>
      </c>
      <c r="AQ23" s="3889">
        <v>0</v>
      </c>
      <c r="AR23" s="3880">
        <v>0</v>
      </c>
    </row>
    <row r="24" spans="1:44" s="1238" customFormat="1" x14ac:dyDescent="0.25">
      <c r="A24" s="3792" t="s">
        <v>927</v>
      </c>
      <c r="B24" s="3793" t="s">
        <v>928</v>
      </c>
      <c r="C24" s="3792" t="s">
        <v>902</v>
      </c>
      <c r="D24" s="3789">
        <f>D25+D26+D27</f>
        <v>0</v>
      </c>
      <c r="E24" s="3789">
        <f>E25+E26+E27</f>
        <v>0</v>
      </c>
      <c r="F24" s="3789">
        <f>F25+F26+F27</f>
        <v>0</v>
      </c>
      <c r="G24" s="3789">
        <f t="shared" ref="G24:H24" si="32">G25+G26+G27</f>
        <v>0</v>
      </c>
      <c r="H24" s="3789">
        <f t="shared" si="32"/>
        <v>0</v>
      </c>
      <c r="I24" s="3789">
        <f t="shared" ref="I24:Q24" si="33">I25+I26+I27</f>
        <v>0</v>
      </c>
      <c r="J24" s="3789">
        <f t="shared" si="33"/>
        <v>0</v>
      </c>
      <c r="K24" s="3789">
        <f t="shared" si="33"/>
        <v>0</v>
      </c>
      <c r="L24" s="3789">
        <f t="shared" ref="L24:M24" si="34">L25+L26+L27</f>
        <v>0</v>
      </c>
      <c r="M24" s="3789">
        <f t="shared" si="34"/>
        <v>0</v>
      </c>
      <c r="N24" s="3789">
        <f t="shared" si="33"/>
        <v>0</v>
      </c>
      <c r="O24" s="3789">
        <f t="shared" si="33"/>
        <v>0</v>
      </c>
      <c r="P24" s="3789">
        <f t="shared" si="33"/>
        <v>0</v>
      </c>
      <c r="Q24" s="3789">
        <f t="shared" si="33"/>
        <v>0</v>
      </c>
      <c r="R24" s="3789">
        <f t="shared" ref="R24:AD24" si="35">R25+R26+R27</f>
        <v>0</v>
      </c>
      <c r="S24" s="3789">
        <f t="shared" si="35"/>
        <v>0</v>
      </c>
      <c r="T24" s="3789">
        <f t="shared" si="35"/>
        <v>0</v>
      </c>
      <c r="U24" s="3789">
        <f t="shared" si="35"/>
        <v>0</v>
      </c>
      <c r="V24" s="3789">
        <f t="shared" si="35"/>
        <v>0</v>
      </c>
      <c r="W24" s="3789">
        <f t="shared" si="35"/>
        <v>0</v>
      </c>
      <c r="X24" s="3789">
        <f t="shared" si="35"/>
        <v>0</v>
      </c>
      <c r="Y24" s="3789">
        <v>0</v>
      </c>
      <c r="Z24" s="3789">
        <f t="shared" si="35"/>
        <v>0</v>
      </c>
      <c r="AA24" s="3789">
        <f t="shared" si="35"/>
        <v>0</v>
      </c>
      <c r="AB24" s="3789">
        <f t="shared" si="35"/>
        <v>0</v>
      </c>
      <c r="AC24" s="3789">
        <f t="shared" si="35"/>
        <v>0</v>
      </c>
      <c r="AD24" s="3789">
        <f t="shared" si="35"/>
        <v>0</v>
      </c>
      <c r="AE24" s="3789">
        <f t="shared" ref="AE24:AG24" si="36">AE25+AE26+AE27</f>
        <v>0</v>
      </c>
      <c r="AF24" s="3789"/>
      <c r="AG24" s="3789">
        <f t="shared" si="36"/>
        <v>0</v>
      </c>
      <c r="AH24" s="3789"/>
      <c r="AI24" s="3789">
        <f t="shared" ref="AI24:AJ24" si="37">AI25+AI26+AI27</f>
        <v>0</v>
      </c>
      <c r="AJ24" s="3789">
        <f t="shared" si="37"/>
        <v>0</v>
      </c>
      <c r="AK24" s="3789">
        <f t="shared" ref="AK24" si="38">AK25+AK26+AK27</f>
        <v>0</v>
      </c>
      <c r="AL24" s="3864">
        <f t="shared" ref="AL24:AN24" si="39">AL25+AL26+AL27</f>
        <v>0</v>
      </c>
      <c r="AM24" s="3864"/>
      <c r="AN24" s="4183">
        <f t="shared" si="39"/>
        <v>0</v>
      </c>
      <c r="AO24" s="4183"/>
      <c r="AP24" s="3864">
        <f t="shared" ref="AP24:AR24" si="40">AP25+AP26+AP27</f>
        <v>0</v>
      </c>
      <c r="AQ24" s="3864">
        <f t="shared" si="40"/>
        <v>0</v>
      </c>
      <c r="AR24" s="3791">
        <f t="shared" si="40"/>
        <v>0</v>
      </c>
    </row>
    <row r="25" spans="1:44" s="1239" customFormat="1" ht="35.25" hidden="1" customHeight="1" x14ac:dyDescent="0.25">
      <c r="A25" s="3792" t="s">
        <v>929</v>
      </c>
      <c r="B25" s="3794" t="s">
        <v>930</v>
      </c>
      <c r="C25" s="3792" t="s">
        <v>902</v>
      </c>
      <c r="D25" s="3789">
        <v>0</v>
      </c>
      <c r="E25" s="3789">
        <v>0</v>
      </c>
      <c r="F25" s="3789">
        <v>0</v>
      </c>
      <c r="G25" s="3789">
        <v>0</v>
      </c>
      <c r="H25" s="3789">
        <v>0</v>
      </c>
      <c r="I25" s="3789">
        <v>0</v>
      </c>
      <c r="J25" s="3789">
        <v>0</v>
      </c>
      <c r="K25" s="3789">
        <v>0</v>
      </c>
      <c r="L25" s="3789">
        <v>0</v>
      </c>
      <c r="M25" s="3789">
        <v>0</v>
      </c>
      <c r="N25" s="3789">
        <v>0</v>
      </c>
      <c r="O25" s="3789">
        <v>0</v>
      </c>
      <c r="P25" s="3789">
        <v>0</v>
      </c>
      <c r="Q25" s="3789">
        <v>0</v>
      </c>
      <c r="R25" s="3789">
        <v>0</v>
      </c>
      <c r="S25" s="3789">
        <v>0</v>
      </c>
      <c r="T25" s="3789">
        <v>0</v>
      </c>
      <c r="U25" s="3789">
        <v>0</v>
      </c>
      <c r="V25" s="3789">
        <v>0</v>
      </c>
      <c r="W25" s="3789">
        <v>0</v>
      </c>
      <c r="X25" s="3789">
        <v>0</v>
      </c>
      <c r="Y25" s="3789">
        <v>0</v>
      </c>
      <c r="Z25" s="3789">
        <v>0</v>
      </c>
      <c r="AA25" s="3789">
        <v>0</v>
      </c>
      <c r="AB25" s="3789">
        <v>0</v>
      </c>
      <c r="AC25" s="3789">
        <v>0</v>
      </c>
      <c r="AD25" s="3789">
        <v>0</v>
      </c>
      <c r="AE25" s="3789">
        <v>0</v>
      </c>
      <c r="AF25" s="3789" t="e">
        <f t="shared" si="9"/>
        <v>#DIV/0!</v>
      </c>
      <c r="AG25" s="3789">
        <v>0</v>
      </c>
      <c r="AH25" s="3789" t="e">
        <f t="shared" ref="AH25:AH27" si="41">AG25/Z25*100</f>
        <v>#DIV/0!</v>
      </c>
      <c r="AI25" s="3789">
        <v>0</v>
      </c>
      <c r="AJ25" s="3789">
        <v>0</v>
      </c>
      <c r="AK25" s="3789">
        <v>0</v>
      </c>
      <c r="AL25" s="3864">
        <v>0</v>
      </c>
      <c r="AM25" s="3864" t="e">
        <f t="shared" ref="AM25:AM27" si="42">AL25/AE25*100</f>
        <v>#DIV/0!</v>
      </c>
      <c r="AN25" s="4183">
        <v>0</v>
      </c>
      <c r="AO25" s="4183"/>
      <c r="AP25" s="3864">
        <v>0</v>
      </c>
      <c r="AQ25" s="3864">
        <v>0</v>
      </c>
      <c r="AR25" s="3791">
        <v>0</v>
      </c>
    </row>
    <row r="26" spans="1:44" s="1239" customFormat="1" ht="56.25" hidden="1" customHeight="1" x14ac:dyDescent="0.25">
      <c r="A26" s="3792" t="s">
        <v>931</v>
      </c>
      <c r="B26" s="3794" t="s">
        <v>932</v>
      </c>
      <c r="C26" s="3792" t="s">
        <v>902</v>
      </c>
      <c r="D26" s="3789">
        <v>0</v>
      </c>
      <c r="E26" s="3789">
        <v>0</v>
      </c>
      <c r="F26" s="3789">
        <v>0</v>
      </c>
      <c r="G26" s="3789">
        <v>0</v>
      </c>
      <c r="H26" s="3789">
        <v>0</v>
      </c>
      <c r="I26" s="3789">
        <v>0</v>
      </c>
      <c r="J26" s="3789">
        <v>0</v>
      </c>
      <c r="K26" s="3789">
        <v>0</v>
      </c>
      <c r="L26" s="3789">
        <v>0</v>
      </c>
      <c r="M26" s="3789">
        <v>0</v>
      </c>
      <c r="N26" s="3789">
        <v>0</v>
      </c>
      <c r="O26" s="3789">
        <v>0</v>
      </c>
      <c r="P26" s="3789">
        <v>0</v>
      </c>
      <c r="Q26" s="3789">
        <v>0</v>
      </c>
      <c r="R26" s="3789">
        <v>0</v>
      </c>
      <c r="S26" s="3789">
        <v>0</v>
      </c>
      <c r="T26" s="3789">
        <v>0</v>
      </c>
      <c r="U26" s="3789">
        <v>0</v>
      </c>
      <c r="V26" s="3789">
        <v>0</v>
      </c>
      <c r="W26" s="3789">
        <v>0</v>
      </c>
      <c r="X26" s="3789">
        <v>0</v>
      </c>
      <c r="Y26" s="3789">
        <v>0</v>
      </c>
      <c r="Z26" s="3789">
        <v>0</v>
      </c>
      <c r="AA26" s="3789">
        <v>0</v>
      </c>
      <c r="AB26" s="3789">
        <v>0</v>
      </c>
      <c r="AC26" s="3789">
        <v>0</v>
      </c>
      <c r="AD26" s="3789">
        <v>0</v>
      </c>
      <c r="AE26" s="3789">
        <v>0</v>
      </c>
      <c r="AF26" s="3789" t="e">
        <f t="shared" si="9"/>
        <v>#DIV/0!</v>
      </c>
      <c r="AG26" s="3789">
        <v>0</v>
      </c>
      <c r="AH26" s="3789" t="e">
        <f t="shared" si="41"/>
        <v>#DIV/0!</v>
      </c>
      <c r="AI26" s="3789">
        <v>0</v>
      </c>
      <c r="AJ26" s="3789">
        <v>0</v>
      </c>
      <c r="AK26" s="3789">
        <v>0</v>
      </c>
      <c r="AL26" s="3864">
        <v>0</v>
      </c>
      <c r="AM26" s="3864" t="e">
        <f t="shared" si="42"/>
        <v>#DIV/0!</v>
      </c>
      <c r="AN26" s="4183">
        <v>0</v>
      </c>
      <c r="AO26" s="4183"/>
      <c r="AP26" s="3864">
        <v>0</v>
      </c>
      <c r="AQ26" s="3864">
        <v>0</v>
      </c>
      <c r="AR26" s="3791">
        <v>0</v>
      </c>
    </row>
    <row r="27" spans="1:44" s="1239" customFormat="1" ht="75" hidden="1" customHeight="1" x14ac:dyDescent="0.25">
      <c r="A27" s="3792" t="s">
        <v>933</v>
      </c>
      <c r="B27" s="3794" t="s">
        <v>934</v>
      </c>
      <c r="C27" s="3792" t="s">
        <v>902</v>
      </c>
      <c r="D27" s="3789">
        <v>0</v>
      </c>
      <c r="E27" s="3789">
        <v>0</v>
      </c>
      <c r="F27" s="3789">
        <v>0</v>
      </c>
      <c r="G27" s="3789">
        <v>0</v>
      </c>
      <c r="H27" s="3789">
        <v>0</v>
      </c>
      <c r="I27" s="3789">
        <v>0</v>
      </c>
      <c r="J27" s="3789">
        <v>0</v>
      </c>
      <c r="K27" s="3789">
        <v>0</v>
      </c>
      <c r="L27" s="3789">
        <v>0</v>
      </c>
      <c r="M27" s="3789">
        <v>0</v>
      </c>
      <c r="N27" s="3789">
        <v>0</v>
      </c>
      <c r="O27" s="3789">
        <v>0</v>
      </c>
      <c r="P27" s="3789">
        <v>0</v>
      </c>
      <c r="Q27" s="3789">
        <v>0</v>
      </c>
      <c r="R27" s="3789">
        <v>0</v>
      </c>
      <c r="S27" s="3789">
        <v>0</v>
      </c>
      <c r="T27" s="3789">
        <v>0</v>
      </c>
      <c r="U27" s="3789">
        <v>0</v>
      </c>
      <c r="V27" s="3789">
        <v>0</v>
      </c>
      <c r="W27" s="3789">
        <v>0</v>
      </c>
      <c r="X27" s="3789">
        <v>0</v>
      </c>
      <c r="Y27" s="3789">
        <v>0</v>
      </c>
      <c r="Z27" s="3789">
        <v>0</v>
      </c>
      <c r="AA27" s="3789">
        <v>0</v>
      </c>
      <c r="AB27" s="3789">
        <v>0</v>
      </c>
      <c r="AC27" s="3789">
        <v>0</v>
      </c>
      <c r="AD27" s="3789">
        <v>0</v>
      </c>
      <c r="AE27" s="3789">
        <v>0</v>
      </c>
      <c r="AF27" s="3789" t="e">
        <f t="shared" si="9"/>
        <v>#DIV/0!</v>
      </c>
      <c r="AG27" s="3789">
        <v>0</v>
      </c>
      <c r="AH27" s="3789" t="e">
        <f t="shared" si="41"/>
        <v>#DIV/0!</v>
      </c>
      <c r="AI27" s="3789">
        <v>0</v>
      </c>
      <c r="AJ27" s="3789">
        <v>0</v>
      </c>
      <c r="AK27" s="3789">
        <v>0</v>
      </c>
      <c r="AL27" s="3864">
        <v>0</v>
      </c>
      <c r="AM27" s="3864" t="e">
        <f t="shared" si="42"/>
        <v>#DIV/0!</v>
      </c>
      <c r="AN27" s="4183">
        <v>0</v>
      </c>
      <c r="AO27" s="4183"/>
      <c r="AP27" s="3864">
        <v>0</v>
      </c>
      <c r="AQ27" s="3864">
        <v>0</v>
      </c>
      <c r="AR27" s="3791">
        <v>0</v>
      </c>
    </row>
    <row r="28" spans="1:44" s="1238" customFormat="1" ht="51" customHeight="1" x14ac:dyDescent="0.25">
      <c r="A28" s="3792" t="s">
        <v>194</v>
      </c>
      <c r="B28" s="3793" t="s">
        <v>935</v>
      </c>
      <c r="C28" s="3792" t="s">
        <v>902</v>
      </c>
      <c r="D28" s="3792">
        <v>0</v>
      </c>
      <c r="E28" s="3792">
        <v>0</v>
      </c>
      <c r="F28" s="3789">
        <v>0</v>
      </c>
      <c r="G28" s="3789">
        <v>0</v>
      </c>
      <c r="H28" s="3789">
        <v>0</v>
      </c>
      <c r="I28" s="3789">
        <v>0</v>
      </c>
      <c r="J28" s="3789">
        <v>16.920000000000002</v>
      </c>
      <c r="K28" s="3789">
        <f>(K11+K22)*0.05</f>
        <v>15.964030671484281</v>
      </c>
      <c r="L28" s="3789">
        <v>0</v>
      </c>
      <c r="M28" s="3789">
        <v>0</v>
      </c>
      <c r="N28" s="3789">
        <v>0</v>
      </c>
      <c r="O28" s="3789">
        <v>15.32</v>
      </c>
      <c r="P28" s="3789">
        <v>0</v>
      </c>
      <c r="Q28" s="3789">
        <v>0</v>
      </c>
      <c r="R28" s="3789">
        <v>0</v>
      </c>
      <c r="S28" s="3789">
        <v>0</v>
      </c>
      <c r="T28" s="3789">
        <v>0</v>
      </c>
      <c r="U28" s="3789">
        <v>0</v>
      </c>
      <c r="V28" s="3789">
        <v>0</v>
      </c>
      <c r="W28" s="3789">
        <v>0</v>
      </c>
      <c r="X28" s="3789">
        <v>0</v>
      </c>
      <c r="Y28" s="3789">
        <v>0</v>
      </c>
      <c r="Z28" s="3789">
        <v>0</v>
      </c>
      <c r="AA28" s="3789">
        <v>0</v>
      </c>
      <c r="AB28" s="3789">
        <v>0</v>
      </c>
      <c r="AC28" s="3789">
        <v>0</v>
      </c>
      <c r="AD28" s="3789">
        <v>0</v>
      </c>
      <c r="AE28" s="3789">
        <v>0</v>
      </c>
      <c r="AF28" s="3789"/>
      <c r="AG28" s="3789">
        <v>0</v>
      </c>
      <c r="AH28" s="3789"/>
      <c r="AI28" s="3789">
        <v>0</v>
      </c>
      <c r="AJ28" s="3789">
        <v>0</v>
      </c>
      <c r="AK28" s="3789">
        <v>0</v>
      </c>
      <c r="AL28" s="3864">
        <v>0</v>
      </c>
      <c r="AM28" s="3864"/>
      <c r="AN28" s="4183">
        <v>0</v>
      </c>
      <c r="AO28" s="4183"/>
      <c r="AP28" s="3864">
        <v>0</v>
      </c>
      <c r="AQ28" s="3864">
        <v>0</v>
      </c>
      <c r="AR28" s="3791">
        <v>0</v>
      </c>
    </row>
    <row r="29" spans="1:44" s="1935" customFormat="1" ht="69" hidden="1" customHeight="1" x14ac:dyDescent="0.2">
      <c r="A29" s="3731" t="s">
        <v>1604</v>
      </c>
      <c r="B29" s="3729" t="s">
        <v>1698</v>
      </c>
      <c r="C29" s="3731" t="s">
        <v>902</v>
      </c>
      <c r="D29" s="3731"/>
      <c r="E29" s="3731"/>
      <c r="F29" s="2225"/>
      <c r="G29" s="2225"/>
      <c r="H29" s="2225"/>
      <c r="I29" s="2225"/>
      <c r="J29" s="2225"/>
      <c r="K29" s="2225"/>
      <c r="L29" s="2225"/>
      <c r="M29" s="2225"/>
      <c r="N29" s="2225"/>
      <c r="O29" s="2225"/>
      <c r="P29" s="2225"/>
      <c r="Q29" s="2225"/>
      <c r="R29" s="2225"/>
      <c r="S29" s="2225"/>
      <c r="T29" s="2225"/>
      <c r="U29" s="2225"/>
      <c r="V29" s="2225"/>
      <c r="W29" s="2225"/>
      <c r="X29" s="2225"/>
      <c r="Y29" s="2225"/>
      <c r="Z29" s="2225"/>
      <c r="AA29" s="2225"/>
      <c r="AB29" s="2225"/>
      <c r="AC29" s="2225"/>
      <c r="AD29" s="2225"/>
      <c r="AE29" s="2225"/>
      <c r="AF29" s="3789" t="e">
        <f t="shared" si="9"/>
        <v>#DIV/0!</v>
      </c>
      <c r="AG29" s="2225"/>
      <c r="AH29" s="3789" t="e">
        <f t="shared" ref="AH29:AH30" si="43">AG29/Z29*100</f>
        <v>#DIV/0!</v>
      </c>
      <c r="AI29" s="2225"/>
      <c r="AJ29" s="2225"/>
      <c r="AK29" s="2225"/>
      <c r="AL29" s="2498"/>
      <c r="AM29" s="3864" t="e">
        <f t="shared" ref="AM29:AM30" si="44">AL29/AE29*100</f>
        <v>#DIV/0!</v>
      </c>
      <c r="AN29" s="4088"/>
      <c r="AO29" s="4183"/>
      <c r="AP29" s="2498"/>
      <c r="AQ29" s="2498"/>
      <c r="AR29" s="3811"/>
    </row>
    <row r="30" spans="1:44" s="1861" customFormat="1" ht="46.5" hidden="1" customHeight="1" x14ac:dyDescent="0.25">
      <c r="A30" s="3792" t="s">
        <v>1699</v>
      </c>
      <c r="B30" s="3729" t="s">
        <v>1700</v>
      </c>
      <c r="C30" s="3792" t="s">
        <v>902</v>
      </c>
      <c r="D30" s="3792"/>
      <c r="E30" s="3792"/>
      <c r="F30" s="3789"/>
      <c r="G30" s="3789"/>
      <c r="H30" s="3789"/>
      <c r="I30" s="3789"/>
      <c r="J30" s="3789"/>
      <c r="K30" s="3789">
        <v>0</v>
      </c>
      <c r="L30" s="3789"/>
      <c r="M30" s="3789"/>
      <c r="N30" s="3789">
        <v>0</v>
      </c>
      <c r="O30" s="3789">
        <v>0</v>
      </c>
      <c r="P30" s="3789">
        <v>0</v>
      </c>
      <c r="Q30" s="3789"/>
      <c r="R30" s="3789"/>
      <c r="S30" s="3789"/>
      <c r="T30" s="3789"/>
      <c r="U30" s="3789"/>
      <c r="V30" s="3789"/>
      <c r="W30" s="3789"/>
      <c r="X30" s="3789"/>
      <c r="Y30" s="2225"/>
      <c r="Z30" s="3789"/>
      <c r="AA30" s="3789"/>
      <c r="AB30" s="3789"/>
      <c r="AC30" s="3789"/>
      <c r="AD30" s="3789"/>
      <c r="AE30" s="3789"/>
      <c r="AF30" s="3789" t="e">
        <f t="shared" si="9"/>
        <v>#DIV/0!</v>
      </c>
      <c r="AG30" s="3789"/>
      <c r="AH30" s="3789" t="e">
        <f t="shared" si="43"/>
        <v>#DIV/0!</v>
      </c>
      <c r="AI30" s="3789"/>
      <c r="AJ30" s="3789"/>
      <c r="AK30" s="3789"/>
      <c r="AL30" s="3864"/>
      <c r="AM30" s="3864" t="e">
        <f t="shared" si="44"/>
        <v>#DIV/0!</v>
      </c>
      <c r="AN30" s="4183"/>
      <c r="AO30" s="4183"/>
      <c r="AP30" s="3864"/>
      <c r="AQ30" s="3864"/>
      <c r="AR30" s="3791"/>
    </row>
    <row r="31" spans="1:44" s="1937" customFormat="1" ht="21.75" customHeight="1" x14ac:dyDescent="0.2">
      <c r="A31" s="3568"/>
      <c r="B31" s="3729" t="s">
        <v>1701</v>
      </c>
      <c r="C31" s="3731" t="s">
        <v>902</v>
      </c>
      <c r="D31" s="3731"/>
      <c r="E31" s="3731"/>
      <c r="F31" s="2225"/>
      <c r="G31" s="2225"/>
      <c r="H31" s="2225">
        <f>ТН!D72</f>
        <v>289.80907689999992</v>
      </c>
      <c r="I31" s="2225"/>
      <c r="J31" s="2225"/>
      <c r="K31" s="2225"/>
      <c r="L31" s="2225"/>
      <c r="M31" s="2225">
        <f>ТН!J72</f>
        <v>280.37668049999996</v>
      </c>
      <c r="N31" s="2225"/>
      <c r="O31" s="2225"/>
      <c r="P31" s="2225"/>
      <c r="Q31" s="2225"/>
      <c r="R31" s="2225"/>
      <c r="S31" s="2225"/>
      <c r="T31" s="2225"/>
      <c r="U31" s="2225"/>
      <c r="V31" s="2225"/>
      <c r="W31" s="2225"/>
      <c r="X31" s="2225"/>
      <c r="Y31" s="2225"/>
      <c r="Z31" s="2225"/>
      <c r="AA31" s="2225"/>
      <c r="AB31" s="2225"/>
      <c r="AC31" s="2225"/>
      <c r="AD31" s="2225"/>
      <c r="AE31" s="2225"/>
      <c r="AF31" s="3789"/>
      <c r="AG31" s="2225"/>
      <c r="AH31" s="3789"/>
      <c r="AI31" s="2225"/>
      <c r="AJ31" s="2225"/>
      <c r="AK31" s="2225"/>
      <c r="AL31" s="2498"/>
      <c r="AM31" s="3864"/>
      <c r="AN31" s="4088"/>
      <c r="AO31" s="4183"/>
      <c r="AP31" s="2498"/>
      <c r="AQ31" s="2498"/>
      <c r="AR31" s="3811"/>
    </row>
    <row r="32" spans="1:44" s="1938" customFormat="1" ht="64.5" customHeight="1" x14ac:dyDescent="0.2">
      <c r="A32" s="3731" t="s">
        <v>186</v>
      </c>
      <c r="B32" s="3729" t="s">
        <v>1702</v>
      </c>
      <c r="C32" s="3731" t="s">
        <v>902</v>
      </c>
      <c r="D32" s="3731"/>
      <c r="E32" s="3731"/>
      <c r="F32" s="2225"/>
      <c r="G32" s="2225"/>
      <c r="H32" s="2225">
        <f>H11-H31</f>
        <v>-25.609527090334836</v>
      </c>
      <c r="I32" s="2225"/>
      <c r="J32" s="2225"/>
      <c r="K32" s="2225"/>
      <c r="L32" s="2225"/>
      <c r="M32" s="1598">
        <f>M11-M31</f>
        <v>-9.1406380998282089</v>
      </c>
      <c r="N32" s="2225"/>
      <c r="O32" s="2225"/>
      <c r="P32" s="2225">
        <f>H32*1.039*1.037</f>
        <v>-27.592805696791633</v>
      </c>
      <c r="Q32" s="2225">
        <f>F32*1.027*1.046</f>
        <v>0</v>
      </c>
      <c r="R32" s="2225"/>
      <c r="S32" s="2225"/>
      <c r="T32" s="2225"/>
      <c r="U32" s="2225"/>
      <c r="V32" s="2225"/>
      <c r="W32" s="2225"/>
      <c r="X32" s="2225">
        <f>M32*1.027*1.046</f>
        <v>-9.8192573536356544</v>
      </c>
      <c r="Y32" s="2225"/>
      <c r="Z32" s="2225"/>
      <c r="AA32" s="2225"/>
      <c r="AB32" s="2225"/>
      <c r="AC32" s="2225"/>
      <c r="AD32" s="2225"/>
      <c r="AE32" s="2225">
        <v>9.7100000000000009</v>
      </c>
      <c r="AF32" s="3789"/>
      <c r="AG32" s="2225">
        <f>-9.098*1.047*1.03</f>
        <v>-9.8113741799999996</v>
      </c>
      <c r="AH32" s="3789"/>
      <c r="AI32" s="2225">
        <v>0</v>
      </c>
      <c r="AJ32" s="2225">
        <v>0</v>
      </c>
      <c r="AK32" s="2225">
        <v>0</v>
      </c>
      <c r="AL32" s="2498">
        <v>0</v>
      </c>
      <c r="AM32" s="3864"/>
      <c r="AN32" s="4088">
        <v>30.25</v>
      </c>
      <c r="AO32" s="4183">
        <f t="shared" si="14"/>
        <v>-308.31562883070063</v>
      </c>
      <c r="AP32" s="2498">
        <v>0</v>
      </c>
      <c r="AQ32" s="2498">
        <v>0</v>
      </c>
      <c r="AR32" s="3811">
        <v>0</v>
      </c>
    </row>
    <row r="33" spans="1:44" s="1938" customFormat="1" ht="66" customHeight="1" x14ac:dyDescent="0.2">
      <c r="A33" s="3731" t="s">
        <v>939</v>
      </c>
      <c r="B33" s="3729" t="s">
        <v>1703</v>
      </c>
      <c r="C33" s="3731" t="s">
        <v>902</v>
      </c>
      <c r="D33" s="3731"/>
      <c r="E33" s="3731"/>
      <c r="F33" s="2225"/>
      <c r="G33" s="2225"/>
      <c r="H33" s="2225"/>
      <c r="I33" s="2225"/>
      <c r="J33" s="2225"/>
      <c r="K33" s="2225"/>
      <c r="L33" s="2225"/>
      <c r="M33" s="2225"/>
      <c r="N33" s="2225"/>
      <c r="O33" s="2225"/>
      <c r="P33" s="2225">
        <v>0</v>
      </c>
      <c r="Q33" s="2225"/>
      <c r="R33" s="2225"/>
      <c r="S33" s="2225"/>
      <c r="T33" s="2225"/>
      <c r="U33" s="2225"/>
      <c r="V33" s="2225"/>
      <c r="W33" s="2225"/>
      <c r="X33" s="2225"/>
      <c r="Y33" s="2225"/>
      <c r="Z33" s="2225"/>
      <c r="AA33" s="2225"/>
      <c r="AB33" s="2225"/>
      <c r="AC33" s="2225"/>
      <c r="AD33" s="2225"/>
      <c r="AE33" s="2225"/>
      <c r="AF33" s="3789"/>
      <c r="AG33" s="2225"/>
      <c r="AH33" s="3789"/>
      <c r="AI33" s="2225"/>
      <c r="AJ33" s="2225"/>
      <c r="AK33" s="2225"/>
      <c r="AL33" s="2498"/>
      <c r="AM33" s="3864"/>
      <c r="AN33" s="4088"/>
      <c r="AO33" s="4183"/>
      <c r="AP33" s="2498"/>
      <c r="AQ33" s="2498"/>
      <c r="AR33" s="3811"/>
    </row>
    <row r="34" spans="1:44" s="1939" customFormat="1" ht="75.75" customHeight="1" x14ac:dyDescent="0.25">
      <c r="A34" s="3731" t="s">
        <v>945</v>
      </c>
      <c r="B34" s="3909" t="s">
        <v>1704</v>
      </c>
      <c r="C34" s="3731" t="s">
        <v>902</v>
      </c>
      <c r="D34" s="3731"/>
      <c r="E34" s="3731"/>
      <c r="F34" s="3538"/>
      <c r="G34" s="3538"/>
      <c r="H34" s="3538"/>
      <c r="I34" s="3538"/>
      <c r="J34" s="3538"/>
      <c r="K34" s="3538"/>
      <c r="L34" s="3538"/>
      <c r="M34" s="3538"/>
      <c r="N34" s="3538"/>
      <c r="O34" s="3538"/>
      <c r="P34" s="2225">
        <v>0</v>
      </c>
      <c r="Q34" s="2225"/>
      <c r="R34" s="2225"/>
      <c r="S34" s="2225"/>
      <c r="T34" s="2225"/>
      <c r="U34" s="2225"/>
      <c r="V34" s="2225"/>
      <c r="W34" s="2225"/>
      <c r="X34" s="2225"/>
      <c r="Y34" s="2225"/>
      <c r="Z34" s="2225"/>
      <c r="AA34" s="2225"/>
      <c r="AB34" s="2225"/>
      <c r="AC34" s="2225"/>
      <c r="AD34" s="2225"/>
      <c r="AE34" s="2225"/>
      <c r="AF34" s="3789"/>
      <c r="AG34" s="2225"/>
      <c r="AH34" s="3789"/>
      <c r="AI34" s="2225"/>
      <c r="AJ34" s="2225"/>
      <c r="AK34" s="2225"/>
      <c r="AL34" s="2498"/>
      <c r="AM34" s="3864"/>
      <c r="AN34" s="4088"/>
      <c r="AO34" s="4183"/>
      <c r="AP34" s="2498"/>
      <c r="AQ34" s="2498"/>
      <c r="AR34" s="3811"/>
    </row>
    <row r="35" spans="1:44" s="2812" customFormat="1" ht="22.5" customHeight="1" x14ac:dyDescent="0.25">
      <c r="A35" s="3731"/>
      <c r="B35" s="3910" t="s">
        <v>1821</v>
      </c>
      <c r="C35" s="3731" t="s">
        <v>902</v>
      </c>
      <c r="D35" s="3731"/>
      <c r="E35" s="3731"/>
      <c r="F35" s="3538"/>
      <c r="G35" s="3538"/>
      <c r="H35" s="3538"/>
      <c r="I35" s="3538"/>
      <c r="J35" s="3538"/>
      <c r="K35" s="3538"/>
      <c r="L35" s="3538"/>
      <c r="M35" s="3538"/>
      <c r="N35" s="3538"/>
      <c r="O35" s="3538"/>
      <c r="P35" s="2225">
        <f>P10</f>
        <v>269.60817185247777</v>
      </c>
      <c r="Q35" s="2225">
        <f>Q10+Q32+Q33+Q34</f>
        <v>300.37200000000001</v>
      </c>
      <c r="R35" s="2225">
        <f t="shared" ref="R35:V35" si="45">R10</f>
        <v>452.32</v>
      </c>
      <c r="S35" s="2225">
        <f t="shared" si="45"/>
        <v>467.46000000000004</v>
      </c>
      <c r="T35" s="2225">
        <f t="shared" si="45"/>
        <v>483.04</v>
      </c>
      <c r="U35" s="2225">
        <f t="shared" si="45"/>
        <v>499.20000000000005</v>
      </c>
      <c r="V35" s="2225">
        <f t="shared" si="45"/>
        <v>516.01</v>
      </c>
      <c r="W35" s="2225"/>
      <c r="X35" s="2225">
        <f>X10+X32+X33+X34</f>
        <v>254.39697907732213</v>
      </c>
      <c r="Y35" s="3826">
        <f>X35/P35*100</f>
        <v>94.358037195000605</v>
      </c>
      <c r="Z35" s="2225">
        <f t="shared" ref="Z35:AD35" si="46">Z10+Z32+Z33+Z34</f>
        <v>273.56212254049359</v>
      </c>
      <c r="AA35" s="2225">
        <f t="shared" si="46"/>
        <v>279.90203227222241</v>
      </c>
      <c r="AB35" s="2225">
        <f t="shared" si="46"/>
        <v>287.77784091789164</v>
      </c>
      <c r="AC35" s="2225">
        <f t="shared" si="46"/>
        <v>295.87735928964918</v>
      </c>
      <c r="AD35" s="2225">
        <f t="shared" si="46"/>
        <v>304.25317620309391</v>
      </c>
      <c r="AE35" s="2225">
        <f>AE10+AE32+AE33+AE34</f>
        <v>370.20113625919527</v>
      </c>
      <c r="AF35" s="3789">
        <f t="shared" si="9"/>
        <v>145.52104258544489</v>
      </c>
      <c r="AG35" s="2225">
        <f>AG10+AG32+AG33+AG34</f>
        <v>258.13543866789757</v>
      </c>
      <c r="AH35" s="3789">
        <f t="shared" ref="AH35:AH38" si="47">AG35/X35*100</f>
        <v>101.46953772962814</v>
      </c>
      <c r="AI35" s="2225">
        <f>AI10+AI32+AI33+AI34</f>
        <v>98.409330000000026</v>
      </c>
      <c r="AJ35" s="2225">
        <f>AJ10+AJ32+AJ33+AJ34</f>
        <v>135.33795000000003</v>
      </c>
      <c r="AK35" s="2225">
        <f>AK10+AK32+AK33+AK34</f>
        <v>181.10504999999998</v>
      </c>
      <c r="AL35" s="2498">
        <f>AL10+AL32+AL33+AL34</f>
        <v>290.91962848529329</v>
      </c>
      <c r="AM35" s="3864">
        <f>AL35/AG35*100</f>
        <v>112.70038317349133</v>
      </c>
      <c r="AN35" s="4088">
        <f>AN10+AN32+AN33+AN34</f>
        <v>305.69457208196002</v>
      </c>
      <c r="AO35" s="4183">
        <f t="shared" si="14"/>
        <v>118.42410079743036</v>
      </c>
      <c r="AP35" s="2498">
        <f>AP10+AP32+AP33+AP34</f>
        <v>93.235279999999989</v>
      </c>
      <c r="AQ35" s="2498">
        <f>AQ10+AQ32+AQ33+AQ34</f>
        <v>138.99222</v>
      </c>
      <c r="AR35" s="3811" t="e">
        <f>AR10+AR32+AR33+AR34</f>
        <v>#VALUE!</v>
      </c>
    </row>
    <row r="36" spans="1:44" s="2805" customFormat="1" x14ac:dyDescent="0.25">
      <c r="A36" s="3787" t="s">
        <v>2043</v>
      </c>
      <c r="B36" s="3788" t="s">
        <v>936</v>
      </c>
      <c r="C36" s="3787" t="s">
        <v>937</v>
      </c>
      <c r="D36" s="3835">
        <v>28</v>
      </c>
      <c r="E36" s="3787">
        <v>23.38</v>
      </c>
      <c r="F36" s="3789">
        <f>объемы!AB63</f>
        <v>18.93</v>
      </c>
      <c r="G36" s="3789">
        <f>объемы!X63</f>
        <v>20.65</v>
      </c>
      <c r="H36" s="3789">
        <f>объемы!Z63</f>
        <v>20.65</v>
      </c>
      <c r="I36" s="3789">
        <f>F36</f>
        <v>18.93</v>
      </c>
      <c r="J36" s="3789">
        <v>23</v>
      </c>
      <c r="K36" s="3789">
        <f>объемы!AK62</f>
        <v>23</v>
      </c>
      <c r="L36" s="3789">
        <f>объемы!AO70</f>
        <v>19.22</v>
      </c>
      <c r="M36" s="3789">
        <f>объемы!AQ62</f>
        <v>19.22</v>
      </c>
      <c r="N36" s="3789">
        <f>I36</f>
        <v>18.93</v>
      </c>
      <c r="O36" s="3789">
        <f>объемы!AM63</f>
        <v>23</v>
      </c>
      <c r="P36" s="3789">
        <f>объемы!AS63</f>
        <v>18.93</v>
      </c>
      <c r="Q36" s="3789">
        <f>SUM(объемы!AW63)</f>
        <v>18.25</v>
      </c>
      <c r="R36" s="3789">
        <f>объемы!AY63</f>
        <v>18.93</v>
      </c>
      <c r="S36" s="3789">
        <f>R36</f>
        <v>18.93</v>
      </c>
      <c r="T36" s="3789">
        <f t="shared" ref="T36:W36" si="48">S36</f>
        <v>18.93</v>
      </c>
      <c r="U36" s="3789">
        <f t="shared" si="48"/>
        <v>18.93</v>
      </c>
      <c r="V36" s="3789">
        <f t="shared" si="48"/>
        <v>18.93</v>
      </c>
      <c r="W36" s="3789">
        <f t="shared" si="48"/>
        <v>18.93</v>
      </c>
      <c r="X36" s="3789">
        <f>объемы!BA63</f>
        <v>17.666666666666668</v>
      </c>
      <c r="Y36" s="3789">
        <f>X36/P36*100</f>
        <v>93.32628983976052</v>
      </c>
      <c r="Z36" s="3789">
        <f>X36</f>
        <v>17.666666666666668</v>
      </c>
      <c r="AA36" s="3789">
        <f t="shared" ref="AA36:AD36" si="49">Z36</f>
        <v>17.666666666666668</v>
      </c>
      <c r="AB36" s="3789">
        <f t="shared" si="49"/>
        <v>17.666666666666668</v>
      </c>
      <c r="AC36" s="3789">
        <f t="shared" si="49"/>
        <v>17.666666666666668</v>
      </c>
      <c r="AD36" s="3789">
        <f t="shared" si="49"/>
        <v>17.666666666666668</v>
      </c>
      <c r="AE36" s="3789">
        <f>SUM(объемы!BC63)</f>
        <v>17.666666666666668</v>
      </c>
      <c r="AF36" s="3789">
        <f t="shared" si="9"/>
        <v>100</v>
      </c>
      <c r="AG36" s="3789">
        <f>SUM(объемы!BE63)</f>
        <v>17.666666666666668</v>
      </c>
      <c r="AH36" s="3789">
        <f t="shared" si="47"/>
        <v>100</v>
      </c>
      <c r="AI36" s="3789">
        <f>SUM(объемы!BG63)</f>
        <v>8.7319999999999993</v>
      </c>
      <c r="AJ36" s="3789">
        <f>SUM(объемы!BI63)</f>
        <v>13.331</v>
      </c>
      <c r="AK36" s="3789">
        <f>SUM(объемы!BK63)</f>
        <v>14.835000000000001</v>
      </c>
      <c r="AL36" s="3864">
        <f>SUM(объемы!BM63)</f>
        <v>17.666666666666668</v>
      </c>
      <c r="AM36" s="3864">
        <f>AL36/AG36*100</f>
        <v>100</v>
      </c>
      <c r="AN36" s="4183">
        <f>SUM(объемы!BO63)</f>
        <v>17.667000000000002</v>
      </c>
      <c r="AO36" s="4183">
        <f t="shared" si="14"/>
        <v>100.00188679245284</v>
      </c>
      <c r="AP36" s="3864">
        <f>SUM(объемы!BR63)</f>
        <v>7.7590000000000003</v>
      </c>
      <c r="AQ36" s="3864">
        <f>SUM(объемы!BT63)</f>
        <v>11.851000000000001</v>
      </c>
      <c r="AR36" s="3791">
        <f>SUM(объемы!BR63)</f>
        <v>7.7590000000000003</v>
      </c>
    </row>
    <row r="37" spans="1:44" s="2805" customFormat="1" ht="18.75" customHeight="1" x14ac:dyDescent="0.25">
      <c r="A37" s="3787" t="s">
        <v>2046</v>
      </c>
      <c r="B37" s="3834" t="s">
        <v>938</v>
      </c>
      <c r="C37" s="3787" t="s">
        <v>937</v>
      </c>
      <c r="D37" s="3787">
        <v>0</v>
      </c>
      <c r="E37" s="3787">
        <v>0</v>
      </c>
      <c r="F37" s="3789">
        <f>F36</f>
        <v>18.93</v>
      </c>
      <c r="G37" s="3789">
        <f t="shared" ref="G37:H37" si="50">G36</f>
        <v>20.65</v>
      </c>
      <c r="H37" s="3789">
        <f t="shared" si="50"/>
        <v>20.65</v>
      </c>
      <c r="I37" s="3789">
        <f>F37</f>
        <v>18.93</v>
      </c>
      <c r="J37" s="3789">
        <v>0</v>
      </c>
      <c r="K37" s="3789">
        <f>K36</f>
        <v>23</v>
      </c>
      <c r="L37" s="3789">
        <f>L36</f>
        <v>19.22</v>
      </c>
      <c r="M37" s="3789">
        <f>M36</f>
        <v>19.22</v>
      </c>
      <c r="N37" s="3789">
        <f>I37</f>
        <v>18.93</v>
      </c>
      <c r="O37" s="3789">
        <f>O36</f>
        <v>23</v>
      </c>
      <c r="P37" s="3789">
        <f>P36</f>
        <v>18.93</v>
      </c>
      <c r="Q37" s="3789">
        <f t="shared" ref="Q37" si="51">Q36</f>
        <v>18.25</v>
      </c>
      <c r="R37" s="3789">
        <f>R36</f>
        <v>18.93</v>
      </c>
      <c r="S37" s="3789">
        <f t="shared" ref="S37:AD37" si="52">S36</f>
        <v>18.93</v>
      </c>
      <c r="T37" s="3789">
        <f t="shared" si="52"/>
        <v>18.93</v>
      </c>
      <c r="U37" s="3789">
        <f t="shared" si="52"/>
        <v>18.93</v>
      </c>
      <c r="V37" s="3789">
        <f t="shared" si="52"/>
        <v>18.93</v>
      </c>
      <c r="W37" s="3789">
        <f t="shared" si="52"/>
        <v>18.93</v>
      </c>
      <c r="X37" s="3789">
        <f t="shared" si="52"/>
        <v>17.666666666666668</v>
      </c>
      <c r="Y37" s="3789">
        <f>X37/P37*100</f>
        <v>93.32628983976052</v>
      </c>
      <c r="Z37" s="3789">
        <f t="shared" si="52"/>
        <v>17.666666666666668</v>
      </c>
      <c r="AA37" s="3789">
        <f t="shared" si="52"/>
        <v>17.666666666666668</v>
      </c>
      <c r="AB37" s="3789">
        <f t="shared" si="52"/>
        <v>17.666666666666668</v>
      </c>
      <c r="AC37" s="3789">
        <f t="shared" si="52"/>
        <v>17.666666666666668</v>
      </c>
      <c r="AD37" s="3789">
        <f t="shared" si="52"/>
        <v>17.666666666666668</v>
      </c>
      <c r="AE37" s="3789">
        <f t="shared" ref="AE37:AG37" si="53">AE36</f>
        <v>17.666666666666668</v>
      </c>
      <c r="AF37" s="3789">
        <f t="shared" si="9"/>
        <v>100</v>
      </c>
      <c r="AG37" s="3789">
        <f t="shared" si="53"/>
        <v>17.666666666666668</v>
      </c>
      <c r="AH37" s="3789">
        <f t="shared" si="47"/>
        <v>100</v>
      </c>
      <c r="AI37" s="3789">
        <f t="shared" ref="AI37:AJ37" si="54">AI36</f>
        <v>8.7319999999999993</v>
      </c>
      <c r="AJ37" s="3789">
        <f t="shared" si="54"/>
        <v>13.331</v>
      </c>
      <c r="AK37" s="3789">
        <f t="shared" ref="AK37" si="55">AK36</f>
        <v>14.835000000000001</v>
      </c>
      <c r="AL37" s="3864">
        <f t="shared" ref="AL37:AN37" si="56">AL36</f>
        <v>17.666666666666668</v>
      </c>
      <c r="AM37" s="3864">
        <f>AL37/AG37*100</f>
        <v>100</v>
      </c>
      <c r="AN37" s="4183">
        <f t="shared" si="56"/>
        <v>17.667000000000002</v>
      </c>
      <c r="AO37" s="4183">
        <f t="shared" si="14"/>
        <v>100.00188679245284</v>
      </c>
      <c r="AP37" s="3864">
        <f t="shared" ref="AP37:AR37" si="57">AP36</f>
        <v>7.7590000000000003</v>
      </c>
      <c r="AQ37" s="3864">
        <f t="shared" si="57"/>
        <v>11.851000000000001</v>
      </c>
      <c r="AR37" s="3791">
        <f t="shared" si="57"/>
        <v>7.7590000000000003</v>
      </c>
    </row>
    <row r="38" spans="1:44" s="2059" customFormat="1" ht="23.25" customHeight="1" x14ac:dyDescent="0.2">
      <c r="A38" s="3787" t="s">
        <v>945</v>
      </c>
      <c r="B38" s="3788" t="s">
        <v>940</v>
      </c>
      <c r="C38" s="3787" t="s">
        <v>941</v>
      </c>
      <c r="D38" s="3837">
        <f>D10/D36</f>
        <v>12.756785714285714</v>
      </c>
      <c r="E38" s="3837">
        <f>E10/E36</f>
        <v>14.162104362703166</v>
      </c>
      <c r="F38" s="3837">
        <f>F10/F36</f>
        <v>14.036986160323796</v>
      </c>
      <c r="G38" s="3837">
        <f t="shared" ref="G38:H38" si="58">G10/G36</f>
        <v>16.804358353510896</v>
      </c>
      <c r="H38" s="3837">
        <f t="shared" si="58"/>
        <v>13.042108949620586</v>
      </c>
      <c r="I38" s="3837">
        <f>I10/I36</f>
        <v>14.885409307401227</v>
      </c>
      <c r="J38" s="3837">
        <f>J10/J36</f>
        <v>15.446956521739132</v>
      </c>
      <c r="K38" s="3837">
        <f>K10/K36</f>
        <v>14.575854091355213</v>
      </c>
      <c r="L38" s="3837">
        <f t="shared" ref="L38:M38" si="59">L10/L36</f>
        <v>16.078043704474503</v>
      </c>
      <c r="M38" s="3837">
        <f t="shared" si="59"/>
        <v>14.27294705515982</v>
      </c>
      <c r="N38" s="3837">
        <f>N10/N36</f>
        <v>15.594181052450303</v>
      </c>
      <c r="O38" s="3837">
        <f t="shared" ref="O38:W38" si="60">O10/O36</f>
        <v>13.988695652173913</v>
      </c>
      <c r="P38" s="3837">
        <f>P10/P36</f>
        <v>14.242375692154134</v>
      </c>
      <c r="Q38" s="3837">
        <f>Q35/Q36</f>
        <v>16.4587397260274</v>
      </c>
      <c r="R38" s="3837">
        <f t="shared" si="60"/>
        <v>23.894347596407819</v>
      </c>
      <c r="S38" s="3837">
        <f t="shared" si="60"/>
        <v>24.694136291600636</v>
      </c>
      <c r="T38" s="3837">
        <f t="shared" si="60"/>
        <v>25.51716851558373</v>
      </c>
      <c r="U38" s="3837">
        <f t="shared" si="60"/>
        <v>26.370839936608562</v>
      </c>
      <c r="V38" s="3837">
        <f t="shared" si="60"/>
        <v>27.258848388800846</v>
      </c>
      <c r="W38" s="3837">
        <f t="shared" si="60"/>
        <v>0</v>
      </c>
      <c r="X38" s="3837">
        <f>X35/X36</f>
        <v>14.399829004376723</v>
      </c>
      <c r="Y38" s="3837">
        <f>X38/P38*100</f>
        <v>101.10552702460535</v>
      </c>
      <c r="Z38" s="3837">
        <f t="shared" ref="Z38:AD38" si="61">Z35/Z36</f>
        <v>15.484648445688315</v>
      </c>
      <c r="AA38" s="3837">
        <f t="shared" si="61"/>
        <v>15.843511260691834</v>
      </c>
      <c r="AB38" s="3837">
        <f t="shared" si="61"/>
        <v>16.289311750069338</v>
      </c>
      <c r="AC38" s="3837">
        <f t="shared" si="61"/>
        <v>16.747775054131086</v>
      </c>
      <c r="AD38" s="3837">
        <f t="shared" si="61"/>
        <v>17.221877898288334</v>
      </c>
      <c r="AE38" s="3837">
        <f>AE35/AE36</f>
        <v>20.954781297690296</v>
      </c>
      <c r="AF38" s="3789">
        <f t="shared" si="9"/>
        <v>145.52104258544489</v>
      </c>
      <c r="AG38" s="3837">
        <f>AG35/AG36</f>
        <v>14.611439924597976</v>
      </c>
      <c r="AH38" s="3789">
        <f t="shared" si="47"/>
        <v>101.46953772962814</v>
      </c>
      <c r="AI38" s="3837">
        <f>AI35/AI36</f>
        <v>11.269964498396705</v>
      </c>
      <c r="AJ38" s="3837">
        <f>AJ35/AJ36</f>
        <v>10.152122871502517</v>
      </c>
      <c r="AK38" s="3837">
        <f>AK35/AK36</f>
        <v>12.207957532861474</v>
      </c>
      <c r="AL38" s="3868">
        <f>AL35/AL36</f>
        <v>16.46714878218641</v>
      </c>
      <c r="AM38" s="3864">
        <f>AL38/AG38*100</f>
        <v>112.70038317349132</v>
      </c>
      <c r="AN38" s="4185">
        <f>AN35/AN36</f>
        <v>17.303139869924717</v>
      </c>
      <c r="AO38" s="4183">
        <f t="shared" si="14"/>
        <v>118.42186642259216</v>
      </c>
      <c r="AP38" s="3979">
        <f>AP35/AP36</f>
        <v>12.016404175795849</v>
      </c>
      <c r="AQ38" s="4048">
        <f>AQ35/AQ36</f>
        <v>11.728311534891569</v>
      </c>
      <c r="AR38" s="4049" t="e">
        <f>AR35/AR36</f>
        <v>#VALUE!</v>
      </c>
    </row>
    <row r="39" spans="1:44" s="1237" customFormat="1" x14ac:dyDescent="0.25">
      <c r="A39" s="3787"/>
      <c r="B39" s="3839" t="s">
        <v>942</v>
      </c>
      <c r="C39" s="3787" t="s">
        <v>941</v>
      </c>
      <c r="D39" s="3792">
        <v>12.04</v>
      </c>
      <c r="E39" s="3787"/>
      <c r="F39" s="3789">
        <v>13.79</v>
      </c>
      <c r="G39" s="3789">
        <v>13.79</v>
      </c>
      <c r="H39" s="3789">
        <v>13.79</v>
      </c>
      <c r="I39" s="3789">
        <f>F40</f>
        <v>14.283972320647592</v>
      </c>
      <c r="J39" s="3789">
        <f>F40</f>
        <v>14.283972320647592</v>
      </c>
      <c r="K39" s="3789">
        <f>F40</f>
        <v>14.283972320647592</v>
      </c>
      <c r="L39" s="3789"/>
      <c r="M39" s="3789"/>
      <c r="N39" s="3789">
        <f>I40</f>
        <v>15.486846294154862</v>
      </c>
      <c r="O39" s="3789">
        <f>K40</f>
        <v>14.867735862062833</v>
      </c>
      <c r="P39" s="3789">
        <f>P38</f>
        <v>14.242375692154134</v>
      </c>
      <c r="Q39" s="3789"/>
      <c r="R39" s="3789"/>
      <c r="S39" s="3789"/>
      <c r="T39" s="3789"/>
      <c r="U39" s="3789"/>
      <c r="V39" s="3789"/>
      <c r="W39" s="3789"/>
      <c r="X39" s="3789">
        <f>P40</f>
        <v>14.242375692154134</v>
      </c>
      <c r="Y39" s="3789"/>
      <c r="Z39" s="3789">
        <f>X40</f>
        <v>14.557282316599313</v>
      </c>
      <c r="AA39" s="3789">
        <f>AA38</f>
        <v>15.843511260691834</v>
      </c>
      <c r="AB39" s="3789">
        <f t="shared" ref="AB39:AD39" si="62">AA40</f>
        <v>15.843511260691834</v>
      </c>
      <c r="AC39" s="3789">
        <f t="shared" si="62"/>
        <v>16.735112239446842</v>
      </c>
      <c r="AD39" s="3789">
        <f t="shared" si="62"/>
        <v>16.76043786881533</v>
      </c>
      <c r="AE39" s="3789">
        <f>SUM(X40)</f>
        <v>14.557282316599313</v>
      </c>
      <c r="AF39" s="3789">
        <f>AE39/X40*100</f>
        <v>100</v>
      </c>
      <c r="AG39" s="3789">
        <f>SUM(X40)</f>
        <v>14.557282316599313</v>
      </c>
      <c r="AH39" s="3789"/>
      <c r="AI39" s="3789"/>
      <c r="AJ39" s="3789"/>
      <c r="AK39" s="3789"/>
      <c r="AL39" s="3864">
        <f>SUM(AG40)</f>
        <v>14.665597532596639</v>
      </c>
      <c r="AM39" s="3864">
        <f>AL39/AG40*100</f>
        <v>100</v>
      </c>
      <c r="AN39" s="4183">
        <f>SUM(AG40)</f>
        <v>14.665597532596639</v>
      </c>
      <c r="AO39" s="4183"/>
      <c r="AP39" s="3864"/>
      <c r="AQ39" s="3864"/>
      <c r="AR39" s="3791"/>
    </row>
    <row r="40" spans="1:44" s="1237" customFormat="1" x14ac:dyDescent="0.25">
      <c r="A40" s="3787"/>
      <c r="B40" s="3839" t="s">
        <v>943</v>
      </c>
      <c r="C40" s="3787" t="s">
        <v>941</v>
      </c>
      <c r="D40" s="3789">
        <v>13.79</v>
      </c>
      <c r="E40" s="3787"/>
      <c r="F40" s="3789">
        <f>F38*2-F39</f>
        <v>14.283972320647592</v>
      </c>
      <c r="G40" s="3789">
        <f t="shared" ref="G40:H40" si="63">G38*2-G39</f>
        <v>19.818716707021792</v>
      </c>
      <c r="H40" s="3789">
        <f t="shared" si="63"/>
        <v>12.294217899241172</v>
      </c>
      <c r="I40" s="3789">
        <f>I38*2-I39</f>
        <v>15.486846294154862</v>
      </c>
      <c r="J40" s="3789">
        <f>J38*2-J39</f>
        <v>16.609940722830672</v>
      </c>
      <c r="K40" s="3789">
        <f>K38*2-K39</f>
        <v>14.867735862062833</v>
      </c>
      <c r="L40" s="3789"/>
      <c r="M40" s="3789"/>
      <c r="N40" s="3789">
        <f>N38*2-N39</f>
        <v>15.701515810745743</v>
      </c>
      <c r="O40" s="3789">
        <f t="shared" ref="O40:P40" si="64">O38*2-O39</f>
        <v>13.109655442284993</v>
      </c>
      <c r="P40" s="3789">
        <f t="shared" si="64"/>
        <v>14.242375692154134</v>
      </c>
      <c r="Q40" s="3789"/>
      <c r="R40" s="3789"/>
      <c r="S40" s="3789"/>
      <c r="T40" s="3789"/>
      <c r="U40" s="3789"/>
      <c r="V40" s="3789"/>
      <c r="W40" s="3789"/>
      <c r="X40" s="3789">
        <f t="shared" ref="X40:AD40" si="65">X38*2-X39</f>
        <v>14.557282316599313</v>
      </c>
      <c r="Y40" s="3789"/>
      <c r="Z40" s="3789">
        <f t="shared" si="65"/>
        <v>16.412014574777317</v>
      </c>
      <c r="AA40" s="3789">
        <f t="shared" si="65"/>
        <v>15.843511260691834</v>
      </c>
      <c r="AB40" s="3789">
        <f t="shared" si="65"/>
        <v>16.735112239446842</v>
      </c>
      <c r="AC40" s="3789">
        <f t="shared" si="65"/>
        <v>16.76043786881533</v>
      </c>
      <c r="AD40" s="3789">
        <f t="shared" si="65"/>
        <v>17.683317927761337</v>
      </c>
      <c r="AE40" s="3789">
        <f t="shared" ref="AE40:AG40" si="66">AE38*2-AE39</f>
        <v>27.352280278781279</v>
      </c>
      <c r="AF40" s="3789">
        <f t="shared" si="9"/>
        <v>187.89413905638241</v>
      </c>
      <c r="AG40" s="3789">
        <f t="shared" si="66"/>
        <v>14.665597532596639</v>
      </c>
      <c r="AH40" s="3789"/>
      <c r="AI40" s="3789"/>
      <c r="AJ40" s="3789"/>
      <c r="AK40" s="3789"/>
      <c r="AL40" s="3864">
        <f t="shared" ref="AL40:AN40" si="67">AL38*2-AL39</f>
        <v>18.268700031776181</v>
      </c>
      <c r="AM40" s="3864">
        <f>AL40/AG40*100</f>
        <v>124.5683988747889</v>
      </c>
      <c r="AN40" s="4183">
        <f t="shared" si="67"/>
        <v>19.940682207252795</v>
      </c>
      <c r="AO40" s="4183"/>
      <c r="AP40" s="3864"/>
      <c r="AQ40" s="3864"/>
      <c r="AR40" s="3791"/>
    </row>
    <row r="41" spans="1:44" s="1237" customFormat="1" x14ac:dyDescent="0.25">
      <c r="A41" s="3787"/>
      <c r="B41" s="3788" t="s">
        <v>944</v>
      </c>
      <c r="C41" s="3787"/>
      <c r="D41" s="3787"/>
      <c r="E41" s="3787"/>
      <c r="F41" s="3789"/>
      <c r="G41" s="3789"/>
      <c r="H41" s="3789"/>
      <c r="I41" s="3789"/>
      <c r="J41" s="3789"/>
      <c r="K41" s="3789"/>
      <c r="L41" s="3789"/>
      <c r="M41" s="3789"/>
      <c r="N41" s="3789"/>
      <c r="O41" s="3789"/>
      <c r="P41" s="3789"/>
      <c r="Q41" s="3789"/>
      <c r="R41" s="3789"/>
      <c r="S41" s="3789"/>
      <c r="T41" s="3789"/>
      <c r="U41" s="3789"/>
      <c r="V41" s="3789"/>
      <c r="W41" s="3789"/>
      <c r="X41" s="3789"/>
      <c r="Y41" s="3789"/>
      <c r="Z41" s="3789"/>
      <c r="AA41" s="3789"/>
      <c r="AB41" s="3789"/>
      <c r="AC41" s="3789"/>
      <c r="AD41" s="3789"/>
      <c r="AE41" s="3789"/>
      <c r="AF41" s="3789"/>
      <c r="AG41" s="3789"/>
      <c r="AH41" s="3789"/>
      <c r="AI41" s="3789"/>
      <c r="AJ41" s="3789"/>
      <c r="AK41" s="3789"/>
      <c r="AL41" s="3864"/>
      <c r="AM41" s="3864"/>
      <c r="AN41" s="4183"/>
      <c r="AO41" s="4183"/>
      <c r="AP41" s="3864"/>
      <c r="AQ41" s="3864"/>
      <c r="AR41" s="3791"/>
    </row>
    <row r="42" spans="1:44" s="1237" customFormat="1" x14ac:dyDescent="0.25">
      <c r="A42" s="3787"/>
      <c r="B42" s="3839" t="s">
        <v>942</v>
      </c>
      <c r="C42" s="3787" t="s">
        <v>44</v>
      </c>
      <c r="D42" s="3787"/>
      <c r="E42" s="3787"/>
      <c r="F42" s="3789"/>
      <c r="G42" s="3789"/>
      <c r="H42" s="3789"/>
      <c r="I42" s="3789">
        <f>I39/F40*100</f>
        <v>100</v>
      </c>
      <c r="J42" s="3789">
        <f>J39/F40*100</f>
        <v>100</v>
      </c>
      <c r="K42" s="3789">
        <f>K39/F40*100</f>
        <v>100</v>
      </c>
      <c r="L42" s="3789"/>
      <c r="M42" s="3789"/>
      <c r="N42" s="3789">
        <f>N39/I40*100</f>
        <v>100</v>
      </c>
      <c r="O42" s="3789"/>
      <c r="P42" s="3789">
        <f>P39/K40*100</f>
        <v>95.793843960435183</v>
      </c>
      <c r="Q42" s="3789"/>
      <c r="R42" s="3789"/>
      <c r="S42" s="3789"/>
      <c r="T42" s="3789"/>
      <c r="U42" s="3789"/>
      <c r="V42" s="3789"/>
      <c r="W42" s="3789"/>
      <c r="X42" s="3789">
        <f>X39/P40*100</f>
        <v>100</v>
      </c>
      <c r="Y42" s="3789"/>
      <c r="Z42" s="3789">
        <f>Z39/X40*100</f>
        <v>100</v>
      </c>
      <c r="AA42" s="3789">
        <f t="shared" ref="AA42:AD42" si="68">AA39/Z40*100</f>
        <v>96.536054050554014</v>
      </c>
      <c r="AB42" s="3789">
        <f t="shared" si="68"/>
        <v>100</v>
      </c>
      <c r="AC42" s="3789">
        <f t="shared" si="68"/>
        <v>100</v>
      </c>
      <c r="AD42" s="3789">
        <f t="shared" si="68"/>
        <v>100</v>
      </c>
      <c r="AE42" s="3789">
        <f>AE39/X40*100</f>
        <v>100</v>
      </c>
      <c r="AF42" s="3789"/>
      <c r="AG42" s="3789">
        <f>AG39/X40*100</f>
        <v>100</v>
      </c>
      <c r="AH42" s="3789"/>
      <c r="AI42" s="3789"/>
      <c r="AJ42" s="3789"/>
      <c r="AK42" s="3789"/>
      <c r="AL42" s="3864">
        <f>AL39/AG40*100</f>
        <v>100</v>
      </c>
      <c r="AM42" s="3864"/>
      <c r="AN42" s="4183">
        <f>AN39/AG40*100</f>
        <v>100</v>
      </c>
      <c r="AO42" s="4183"/>
      <c r="AP42" s="3864"/>
      <c r="AQ42" s="3864"/>
      <c r="AR42" s="3791"/>
    </row>
    <row r="43" spans="1:44" s="1237" customFormat="1" x14ac:dyDescent="0.25">
      <c r="A43" s="3787"/>
      <c r="B43" s="3839" t="s">
        <v>943</v>
      </c>
      <c r="C43" s="3787" t="s">
        <v>44</v>
      </c>
      <c r="D43" s="3787"/>
      <c r="E43" s="3787"/>
      <c r="F43" s="3789">
        <f>F40/F39*100</f>
        <v>103.58210529838718</v>
      </c>
      <c r="G43" s="3789">
        <f t="shared" ref="G43:H43" si="69">G40/G39*100</f>
        <v>143.71803268326173</v>
      </c>
      <c r="H43" s="3789">
        <f t="shared" si="69"/>
        <v>89.153139225824305</v>
      </c>
      <c r="I43" s="3789">
        <f>I40/I39*100</f>
        <v>108.42114466833925</v>
      </c>
      <c r="J43" s="3789">
        <f>J40/J39*100</f>
        <v>116.28376441769545</v>
      </c>
      <c r="K43" s="3842">
        <f>K40/K39*100</f>
        <v>104.08684312956422</v>
      </c>
      <c r="L43" s="3842"/>
      <c r="M43" s="3842"/>
      <c r="N43" s="3789">
        <f>N40/N39*100</f>
        <v>101.38614093866163</v>
      </c>
      <c r="O43" s="3789">
        <f t="shared" ref="O43:P43" si="70">O40/O39*100</f>
        <v>88.175197379825434</v>
      </c>
      <c r="P43" s="3789">
        <f t="shared" si="70"/>
        <v>100</v>
      </c>
      <c r="Q43" s="3789"/>
      <c r="R43" s="3789"/>
      <c r="S43" s="3789"/>
      <c r="T43" s="3789"/>
      <c r="U43" s="3789"/>
      <c r="V43" s="3789"/>
      <c r="W43" s="3789"/>
      <c r="X43" s="3789">
        <f>X40/X39*100</f>
        <v>102.21105404921073</v>
      </c>
      <c r="Y43" s="3789"/>
      <c r="Z43" s="3789">
        <f t="shared" ref="Z43:AD43" si="71">Z40/Z39*100</f>
        <v>112.7409238746651</v>
      </c>
      <c r="AA43" s="3789">
        <f t="shared" si="71"/>
        <v>100</v>
      </c>
      <c r="AB43" s="3789">
        <f t="shared" si="71"/>
        <v>105.6275465967389</v>
      </c>
      <c r="AC43" s="3789">
        <f t="shared" si="71"/>
        <v>100.15133229467558</v>
      </c>
      <c r="AD43" s="3789">
        <f t="shared" si="71"/>
        <v>105.50630040915057</v>
      </c>
      <c r="AE43" s="3789">
        <f>AE40/AE39*100</f>
        <v>187.89413905638241</v>
      </c>
      <c r="AF43" s="3789"/>
      <c r="AG43" s="3789">
        <f>AG40/AG39*100</f>
        <v>100.74406206901556</v>
      </c>
      <c r="AH43" s="3789"/>
      <c r="AI43" s="3789"/>
      <c r="AJ43" s="3789"/>
      <c r="AK43" s="3789"/>
      <c r="AL43" s="3864">
        <f>AL40/AL39*100</f>
        <v>124.5683988747889</v>
      </c>
      <c r="AM43" s="3864"/>
      <c r="AN43" s="4183">
        <f>AN40/AN39*100</f>
        <v>135.96910840442359</v>
      </c>
      <c r="AO43" s="4183"/>
      <c r="AP43" s="3864"/>
      <c r="AQ43" s="3864"/>
      <c r="AR43" s="3791"/>
    </row>
    <row r="44" spans="1:44" s="2815" customFormat="1" ht="27" customHeight="1" x14ac:dyDescent="0.25">
      <c r="A44" s="3846" t="s">
        <v>2043</v>
      </c>
      <c r="B44" s="3788" t="s">
        <v>2047</v>
      </c>
      <c r="C44" s="2632"/>
      <c r="D44" s="2632"/>
      <c r="E44" s="2632"/>
      <c r="F44" s="2632"/>
      <c r="G44" s="2632"/>
      <c r="H44" s="2632"/>
      <c r="I44" s="2632"/>
      <c r="J44" s="2632"/>
      <c r="K44" s="2632"/>
      <c r="L44" s="2632"/>
      <c r="M44" s="2632"/>
      <c r="N44" s="2632"/>
      <c r="O44" s="3848"/>
      <c r="P44" s="2632"/>
      <c r="Q44" s="2632"/>
      <c r="R44" s="2632"/>
      <c r="S44" s="2632"/>
      <c r="T44" s="2632"/>
      <c r="U44" s="2632"/>
      <c r="V44" s="2632"/>
      <c r="W44" s="2632"/>
      <c r="X44" s="2632"/>
      <c r="Y44" s="2632"/>
      <c r="Z44" s="2632"/>
      <c r="AA44" s="2632"/>
      <c r="AB44" s="2632"/>
      <c r="AC44" s="2632"/>
      <c r="AD44" s="2632"/>
      <c r="AE44" s="2632"/>
      <c r="AF44" s="3789"/>
      <c r="AG44" s="2632"/>
      <c r="AH44" s="3789"/>
      <c r="AI44" s="2632"/>
      <c r="AJ44" s="2632"/>
      <c r="AK44" s="2632"/>
      <c r="AL44" s="2499"/>
      <c r="AM44" s="3864"/>
      <c r="AN44" s="4179"/>
      <c r="AO44" s="4183"/>
      <c r="AP44" s="2499"/>
      <c r="AQ44" s="2499"/>
      <c r="AR44" s="3845"/>
    </row>
    <row r="45" spans="1:44" s="2815" customFormat="1" x14ac:dyDescent="0.25">
      <c r="A45" s="2632"/>
      <c r="B45" s="3839" t="s">
        <v>942</v>
      </c>
      <c r="C45" s="3847" t="s">
        <v>947</v>
      </c>
      <c r="D45" s="3847"/>
      <c r="E45" s="3847"/>
      <c r="F45" s="3849">
        <v>13.79</v>
      </c>
      <c r="G45" s="3849"/>
      <c r="H45" s="3849"/>
      <c r="I45" s="3849">
        <f>F46</f>
        <v>14.283972320647592</v>
      </c>
      <c r="J45" s="3849"/>
      <c r="K45" s="3849">
        <f>F46</f>
        <v>14.283972320647592</v>
      </c>
      <c r="L45" s="3849"/>
      <c r="M45" s="3849"/>
      <c r="N45" s="3849">
        <f t="shared" ref="N45" si="72">I46</f>
        <v>15.486846294154862</v>
      </c>
      <c r="O45" s="3849">
        <f t="shared" ref="O45" si="73">J46</f>
        <v>0</v>
      </c>
      <c r="P45" s="3849">
        <f>P39</f>
        <v>14.242375692154134</v>
      </c>
      <c r="Q45" s="3849"/>
      <c r="R45" s="3849"/>
      <c r="S45" s="3849"/>
      <c r="T45" s="3849"/>
      <c r="U45" s="3849"/>
      <c r="V45" s="3849"/>
      <c r="W45" s="3849"/>
      <c r="X45" s="3849">
        <f>X39</f>
        <v>14.242375692154134</v>
      </c>
      <c r="Y45" s="3849"/>
      <c r="Z45" s="3849">
        <f t="shared" ref="Z45:AD45" si="74">Z39</f>
        <v>14.557282316599313</v>
      </c>
      <c r="AA45" s="3849">
        <f t="shared" si="74"/>
        <v>15.843511260691834</v>
      </c>
      <c r="AB45" s="3849">
        <f t="shared" si="74"/>
        <v>15.843511260691834</v>
      </c>
      <c r="AC45" s="3849">
        <f t="shared" si="74"/>
        <v>16.735112239446842</v>
      </c>
      <c r="AD45" s="3849">
        <f t="shared" si="74"/>
        <v>16.76043786881533</v>
      </c>
      <c r="AE45" s="3849">
        <f>AE39</f>
        <v>14.557282316599313</v>
      </c>
      <c r="AF45" s="3789"/>
      <c r="AG45" s="3849">
        <f>AG39</f>
        <v>14.557282316599313</v>
      </c>
      <c r="AH45" s="3789"/>
      <c r="AI45" s="3849"/>
      <c r="AJ45" s="3849"/>
      <c r="AK45" s="3849"/>
      <c r="AL45" s="3869">
        <f>AL39</f>
        <v>14.665597532596639</v>
      </c>
      <c r="AM45" s="3864"/>
      <c r="AN45" s="4178">
        <f>AN39</f>
        <v>14.665597532596639</v>
      </c>
      <c r="AO45" s="4183"/>
      <c r="AP45" s="3869"/>
      <c r="AQ45" s="3869"/>
      <c r="AR45" s="3851"/>
    </row>
    <row r="46" spans="1:44" s="2815" customFormat="1" x14ac:dyDescent="0.25">
      <c r="A46" s="2632"/>
      <c r="B46" s="3839" t="s">
        <v>943</v>
      </c>
      <c r="C46" s="3847" t="s">
        <v>947</v>
      </c>
      <c r="D46" s="3847"/>
      <c r="E46" s="3847"/>
      <c r="F46" s="3849">
        <f>F40</f>
        <v>14.283972320647592</v>
      </c>
      <c r="G46" s="3849"/>
      <c r="H46" s="3849"/>
      <c r="I46" s="3849">
        <f>I40</f>
        <v>15.486846294154862</v>
      </c>
      <c r="J46" s="3849"/>
      <c r="K46" s="3849">
        <f>K40</f>
        <v>14.867735862062833</v>
      </c>
      <c r="L46" s="3849"/>
      <c r="M46" s="3849"/>
      <c r="N46" s="3849">
        <f t="shared" ref="N46:P46" si="75">N40</f>
        <v>15.701515810745743</v>
      </c>
      <c r="O46" s="3849">
        <f t="shared" si="75"/>
        <v>13.109655442284993</v>
      </c>
      <c r="P46" s="3849">
        <f t="shared" si="75"/>
        <v>14.242375692154134</v>
      </c>
      <c r="Q46" s="3849"/>
      <c r="R46" s="3849"/>
      <c r="S46" s="3849"/>
      <c r="T46" s="3849"/>
      <c r="U46" s="3849"/>
      <c r="V46" s="3849"/>
      <c r="W46" s="3849"/>
      <c r="X46" s="3849">
        <f>X40</f>
        <v>14.557282316599313</v>
      </c>
      <c r="Y46" s="3849"/>
      <c r="Z46" s="3849">
        <f t="shared" ref="Z46:AD46" si="76">Z40</f>
        <v>16.412014574777317</v>
      </c>
      <c r="AA46" s="3849">
        <f t="shared" si="76"/>
        <v>15.843511260691834</v>
      </c>
      <c r="AB46" s="3849">
        <f t="shared" si="76"/>
        <v>16.735112239446842</v>
      </c>
      <c r="AC46" s="3849">
        <f t="shared" si="76"/>
        <v>16.76043786881533</v>
      </c>
      <c r="AD46" s="3849">
        <f t="shared" si="76"/>
        <v>17.683317927761337</v>
      </c>
      <c r="AE46" s="3849">
        <f>AE40</f>
        <v>27.352280278781279</v>
      </c>
      <c r="AF46" s="3789"/>
      <c r="AG46" s="3849">
        <f>AG40</f>
        <v>14.665597532596639</v>
      </c>
      <c r="AH46" s="3789"/>
      <c r="AI46" s="3849"/>
      <c r="AJ46" s="3849"/>
      <c r="AK46" s="3849"/>
      <c r="AL46" s="3869">
        <f>AL40</f>
        <v>18.268700031776181</v>
      </c>
      <c r="AM46" s="3864"/>
      <c r="AN46" s="4178">
        <f>AN40</f>
        <v>19.940682207252795</v>
      </c>
      <c r="AO46" s="4183"/>
      <c r="AP46" s="3869"/>
      <c r="AQ46" s="3869"/>
      <c r="AR46" s="3851"/>
    </row>
    <row r="47" spans="1:44" s="2815" customFormat="1" x14ac:dyDescent="0.25">
      <c r="A47" s="2632"/>
      <c r="B47" s="3839" t="s">
        <v>349</v>
      </c>
      <c r="C47" s="3847" t="s">
        <v>44</v>
      </c>
      <c r="D47" s="3847"/>
      <c r="E47" s="3847"/>
      <c r="F47" s="3849">
        <f>F46/F45*100</f>
        <v>103.58210529838718</v>
      </c>
      <c r="G47" s="3849"/>
      <c r="H47" s="3849"/>
      <c r="I47" s="3849">
        <f>I46/I45*100</f>
        <v>108.42114466833925</v>
      </c>
      <c r="J47" s="3849"/>
      <c r="K47" s="3849">
        <f t="shared" ref="K47:P47" si="77">K46/K45*100</f>
        <v>104.08684312956422</v>
      </c>
      <c r="L47" s="3849"/>
      <c r="M47" s="3849"/>
      <c r="N47" s="3849">
        <f t="shared" si="77"/>
        <v>101.38614093866163</v>
      </c>
      <c r="O47" s="3849">
        <v>0</v>
      </c>
      <c r="P47" s="3849">
        <f t="shared" si="77"/>
        <v>100</v>
      </c>
      <c r="Q47" s="3849"/>
      <c r="R47" s="3849"/>
      <c r="S47" s="3849"/>
      <c r="T47" s="3849"/>
      <c r="U47" s="3849"/>
      <c r="V47" s="3849"/>
      <c r="W47" s="3849"/>
      <c r="X47" s="3849">
        <f t="shared" ref="X47:AD47" si="78">X46/X45*100</f>
        <v>102.21105404921073</v>
      </c>
      <c r="Y47" s="3849"/>
      <c r="Z47" s="3849">
        <f t="shared" si="78"/>
        <v>112.7409238746651</v>
      </c>
      <c r="AA47" s="3849">
        <f t="shared" si="78"/>
        <v>100</v>
      </c>
      <c r="AB47" s="3849">
        <f t="shared" si="78"/>
        <v>105.6275465967389</v>
      </c>
      <c r="AC47" s="3849">
        <f t="shared" si="78"/>
        <v>100.15133229467558</v>
      </c>
      <c r="AD47" s="3849">
        <f t="shared" si="78"/>
        <v>105.50630040915057</v>
      </c>
      <c r="AE47" s="3849">
        <f t="shared" ref="AE47:AG47" si="79">AE46/AE45*100</f>
        <v>187.89413905638241</v>
      </c>
      <c r="AF47" s="3789"/>
      <c r="AG47" s="3849">
        <f t="shared" si="79"/>
        <v>100.74406206901556</v>
      </c>
      <c r="AH47" s="3789"/>
      <c r="AI47" s="3849"/>
      <c r="AJ47" s="3849"/>
      <c r="AK47" s="3849"/>
      <c r="AL47" s="3869">
        <f t="shared" ref="AL47:AN47" si="80">AL46/AL45*100</f>
        <v>124.5683988747889</v>
      </c>
      <c r="AM47" s="3864"/>
      <c r="AN47" s="4178">
        <f t="shared" si="80"/>
        <v>135.96910840442359</v>
      </c>
      <c r="AO47" s="4183"/>
      <c r="AP47" s="3869"/>
      <c r="AQ47" s="3869"/>
      <c r="AR47" s="3851"/>
    </row>
    <row r="48" spans="1:44" s="2815" customFormat="1" x14ac:dyDescent="0.25">
      <c r="A48" s="2632"/>
      <c r="B48" s="3788" t="s">
        <v>948</v>
      </c>
      <c r="C48" s="3847" t="s">
        <v>902</v>
      </c>
      <c r="D48" s="3847"/>
      <c r="E48" s="3847"/>
      <c r="F48" s="3848">
        <f>(F39-F45)*F37/2+(F40-F46)*F37/2</f>
        <v>0</v>
      </c>
      <c r="G48" s="3848"/>
      <c r="H48" s="3848"/>
      <c r="I48" s="3848">
        <f>(I39-I45)*I37/2+(I40-I46)*I37/2</f>
        <v>0</v>
      </c>
      <c r="J48" s="3848">
        <f t="shared" ref="J48:N48" si="81">(J39-J45)*J37/2+(J40-J46)*J37/2</f>
        <v>0</v>
      </c>
      <c r="K48" s="3848">
        <f t="shared" si="81"/>
        <v>0</v>
      </c>
      <c r="L48" s="3848"/>
      <c r="M48" s="3848"/>
      <c r="N48" s="3848">
        <f t="shared" si="81"/>
        <v>0</v>
      </c>
      <c r="O48" s="3848">
        <v>0</v>
      </c>
      <c r="P48" s="3848"/>
      <c r="Q48" s="3848"/>
      <c r="R48" s="3848"/>
      <c r="S48" s="3848"/>
      <c r="T48" s="3848"/>
      <c r="U48" s="3848"/>
      <c r="V48" s="3848"/>
      <c r="W48" s="3848"/>
      <c r="X48" s="3848">
        <f t="shared" ref="X48:AD48" si="82">(X39-X45)*X37/2+(X40-X46)*X37/2</f>
        <v>0</v>
      </c>
      <c r="Y48" s="3848"/>
      <c r="Z48" s="3848">
        <f t="shared" si="82"/>
        <v>0</v>
      </c>
      <c r="AA48" s="3848">
        <f t="shared" si="82"/>
        <v>0</v>
      </c>
      <c r="AB48" s="3848">
        <f t="shared" si="82"/>
        <v>0</v>
      </c>
      <c r="AC48" s="3848">
        <f t="shared" si="82"/>
        <v>0</v>
      </c>
      <c r="AD48" s="3848">
        <f t="shared" si="82"/>
        <v>0</v>
      </c>
      <c r="AE48" s="3848">
        <f t="shared" ref="AE48:AG48" si="83">(AE39-AE45)*AE37/2+(AE40-AE46)*AE37/2</f>
        <v>0</v>
      </c>
      <c r="AF48" s="3789"/>
      <c r="AG48" s="3848">
        <f t="shared" si="83"/>
        <v>0</v>
      </c>
      <c r="AH48" s="3789"/>
      <c r="AI48" s="3848"/>
      <c r="AJ48" s="3848"/>
      <c r="AK48" s="3848"/>
      <c r="AL48" s="3872">
        <f t="shared" ref="AL48:AN48" si="84">(AL39-AL45)*AL37/2+(AL40-AL46)*AL37/2</f>
        <v>0</v>
      </c>
      <c r="AM48" s="3864"/>
      <c r="AN48" s="4176">
        <f t="shared" si="84"/>
        <v>0</v>
      </c>
      <c r="AO48" s="4183"/>
      <c r="AP48" s="3872"/>
      <c r="AQ48" s="3872"/>
      <c r="AR48" s="3860"/>
    </row>
    <row r="49" spans="1:24" hidden="1" x14ac:dyDescent="0.25">
      <c r="C49" s="1236"/>
    </row>
    <row r="50" spans="1:24" hidden="1" x14ac:dyDescent="0.25">
      <c r="C50" s="1236"/>
      <c r="M50" s="2540">
        <f>M32*K33*2%</f>
        <v>0</v>
      </c>
      <c r="N50" s="2540"/>
      <c r="O50" s="2540"/>
      <c r="P50" s="2541">
        <f>P44+'стоки 2019-2021'!Q43</f>
        <v>130.11510686219327</v>
      </c>
      <c r="Q50" s="2049"/>
      <c r="X50" s="2540">
        <v>14.4</v>
      </c>
    </row>
    <row r="51" spans="1:24" hidden="1" x14ac:dyDescent="0.25">
      <c r="C51" s="1236"/>
      <c r="M51" s="2540"/>
      <c r="N51" s="2540"/>
      <c r="O51" s="2540"/>
      <c r="P51" s="2541"/>
      <c r="Q51" s="2049"/>
      <c r="X51" s="2540"/>
    </row>
    <row r="52" spans="1:24" hidden="1" x14ac:dyDescent="0.25">
      <c r="C52" s="1236"/>
      <c r="P52" s="2049"/>
      <c r="Q52" s="2049"/>
      <c r="R52" s="2049"/>
      <c r="S52" s="2049"/>
      <c r="T52" s="2049"/>
      <c r="X52" s="2540">
        <f>X37*X50</f>
        <v>254.40000000000003</v>
      </c>
    </row>
    <row r="53" spans="1:24" ht="20.25" hidden="1" x14ac:dyDescent="0.3">
      <c r="A53" s="3874"/>
      <c r="C53" s="1236"/>
      <c r="P53" s="2049"/>
      <c r="Q53" s="2049"/>
      <c r="R53" s="2049"/>
      <c r="S53" s="2049"/>
      <c r="T53" s="2049"/>
      <c r="X53" s="2541">
        <f>X35-X52</f>
        <v>-3.0209226779049914E-3</v>
      </c>
    </row>
    <row r="54" spans="1:24" hidden="1" x14ac:dyDescent="0.25">
      <c r="X54" s="2540"/>
    </row>
    <row r="55" spans="1:24" hidden="1" x14ac:dyDescent="0.25"/>
    <row r="56" spans="1:24" hidden="1" x14ac:dyDescent="0.25"/>
    <row r="57" spans="1:24" hidden="1" x14ac:dyDescent="0.25"/>
    <row r="58" spans="1:24" hidden="1" x14ac:dyDescent="0.25"/>
    <row r="59" spans="1:24" hidden="1" x14ac:dyDescent="0.25"/>
    <row r="60" spans="1:24" hidden="1" x14ac:dyDescent="0.25"/>
    <row r="64" spans="1:24" ht="20.25" x14ac:dyDescent="0.3">
      <c r="A64" s="3874" t="s">
        <v>3577</v>
      </c>
    </row>
  </sheetData>
  <mergeCells count="44">
    <mergeCell ref="A4:A6"/>
    <mergeCell ref="Q7:Q9"/>
    <mergeCell ref="A7:A9"/>
    <mergeCell ref="R6:W6"/>
    <mergeCell ref="X6:AD6"/>
    <mergeCell ref="Y7:Y9"/>
    <mergeCell ref="O7:O9"/>
    <mergeCell ref="F5:H5"/>
    <mergeCell ref="F4:Q4"/>
    <mergeCell ref="N5:Q5"/>
    <mergeCell ref="F7:F9"/>
    <mergeCell ref="B4:B6"/>
    <mergeCell ref="C4:C6"/>
    <mergeCell ref="G7:G9"/>
    <mergeCell ref="H7:H9"/>
    <mergeCell ref="D4:D6"/>
    <mergeCell ref="E4:E6"/>
    <mergeCell ref="D7:D9"/>
    <mergeCell ref="E7:E9"/>
    <mergeCell ref="C7:C9"/>
    <mergeCell ref="AJ5:AJ6"/>
    <mergeCell ref="AK5:AK6"/>
    <mergeCell ref="AL5:AO5"/>
    <mergeCell ref="AM7:AM9"/>
    <mergeCell ref="R4:AR4"/>
    <mergeCell ref="AE7:AE9"/>
    <mergeCell ref="AF7:AF9"/>
    <mergeCell ref="AE5:AH5"/>
    <mergeCell ref="A2:AR2"/>
    <mergeCell ref="AP5:AP6"/>
    <mergeCell ref="AQ5:AQ6"/>
    <mergeCell ref="AR5:AR6"/>
    <mergeCell ref="AP7:AP9"/>
    <mergeCell ref="AQ7:AQ9"/>
    <mergeCell ref="AR7:AR9"/>
    <mergeCell ref="AO7:AO9"/>
    <mergeCell ref="R7:R9"/>
    <mergeCell ref="X7:X9"/>
    <mergeCell ref="L7:L9"/>
    <mergeCell ref="I5:M5"/>
    <mergeCell ref="AI7:AI9"/>
    <mergeCell ref="AJ7:AJ9"/>
    <mergeCell ref="AK7:AK9"/>
    <mergeCell ref="AI5:AI6"/>
  </mergeCells>
  <printOptions horizontalCentered="1"/>
  <pageMargins left="0" right="0" top="0.35433070866141736" bottom="0" header="0.31496062992125984" footer="0.31496062992125984"/>
  <pageSetup paperSize="9" scale="3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28">
    <tabColor rgb="FFFFFF00"/>
    <pageSetUpPr fitToPage="1"/>
  </sheetPr>
  <dimension ref="A1:BF77"/>
  <sheetViews>
    <sheetView zoomScale="79" zoomScaleNormal="79" zoomScaleSheetLayoutView="100" zoomScalePageLayoutView="80" workbookViewId="0">
      <pane xSplit="35" ySplit="7" topLeftCell="AN38" activePane="bottomRight" state="frozen"/>
      <selection pane="topRight" activeCell="AJ1" sqref="AJ1"/>
      <selection pane="bottomLeft" activeCell="A8" sqref="A8"/>
      <selection pane="bottomRight" activeCell="AX46" sqref="AX46"/>
    </sheetView>
  </sheetViews>
  <sheetFormatPr defaultRowHeight="12.75" outlineLevelCol="1" x14ac:dyDescent="0.2"/>
  <cols>
    <col min="1" max="1" width="43.710937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5" hidden="1" customWidth="1" collapsed="1"/>
    <col min="22" max="22" width="13.42578125" style="365" hidden="1" customWidth="1" outlineLevel="1"/>
    <col min="23" max="23" width="13.85546875" style="365" hidden="1" customWidth="1" collapsed="1"/>
    <col min="24" max="28" width="13.85546875" style="365" hidden="1" customWidth="1"/>
    <col min="29" max="32" width="14.140625" hidden="1" customWidth="1"/>
    <col min="33" max="35" width="15.7109375" hidden="1" customWidth="1"/>
    <col min="36" max="37" width="13.7109375" hidden="1" customWidth="1"/>
    <col min="38" max="39" width="15.7109375" customWidth="1"/>
    <col min="40" max="40" width="18.7109375" customWidth="1"/>
    <col min="41" max="41" width="13.85546875" style="565" hidden="1" customWidth="1"/>
    <col min="42" max="42" width="11.7109375" style="565" hidden="1" customWidth="1"/>
    <col min="43" max="43" width="12.28515625" style="565" hidden="1" customWidth="1"/>
    <col min="44" max="44" width="13.28515625" hidden="1" customWidth="1"/>
    <col min="45" max="45" width="12.5703125" hidden="1" customWidth="1"/>
    <col min="46" max="46" width="14.140625" hidden="1" customWidth="1"/>
    <col min="47" max="47" width="12" hidden="1" customWidth="1"/>
    <col min="48" max="48" width="12.28515625" hidden="1" customWidth="1"/>
    <col min="49" max="49" width="11.140625" hidden="1" customWidth="1"/>
    <col min="50" max="50" width="18" customWidth="1"/>
    <col min="51" max="53" width="12.85546875" customWidth="1"/>
    <col min="54" max="54" width="18.42578125" customWidth="1"/>
    <col min="55" max="55" width="17.5703125" customWidth="1"/>
    <col min="56" max="58" width="12.85546875" customWidth="1"/>
  </cols>
  <sheetData>
    <row r="1" spans="1:58" x14ac:dyDescent="0.2">
      <c r="AO1" s="565" t="s">
        <v>1497</v>
      </c>
    </row>
    <row r="2" spans="1:58" ht="20.25" x14ac:dyDescent="0.3">
      <c r="A2" s="4826" t="s">
        <v>3906</v>
      </c>
      <c r="B2" s="4826"/>
      <c r="C2" s="4826"/>
      <c r="D2" s="4826"/>
      <c r="E2" s="4826"/>
      <c r="F2" s="4826"/>
      <c r="G2" s="4826"/>
      <c r="H2" s="4826"/>
      <c r="I2" s="4826"/>
      <c r="J2" s="4826"/>
      <c r="K2" s="4826"/>
      <c r="L2" s="4826"/>
      <c r="M2" s="4826"/>
      <c r="N2" s="4826"/>
      <c r="O2" s="4826"/>
      <c r="P2" s="4826"/>
      <c r="Q2" s="4826"/>
      <c r="R2" s="4826"/>
      <c r="S2" s="4826"/>
      <c r="T2" s="4826"/>
      <c r="U2" s="4826"/>
      <c r="V2" s="4826"/>
      <c r="W2" s="4826"/>
      <c r="X2" s="4826"/>
      <c r="Y2" s="4826"/>
      <c r="Z2" s="4826"/>
      <c r="AA2" s="4826"/>
      <c r="AB2" s="4826"/>
      <c r="AC2" s="4826"/>
      <c r="AD2" s="4826"/>
      <c r="AE2" s="4826"/>
      <c r="AF2" s="4826"/>
      <c r="AG2" s="4826"/>
      <c r="AH2" s="4826"/>
      <c r="AI2" s="4826"/>
      <c r="AJ2" s="4826"/>
      <c r="AK2" s="4826"/>
      <c r="AL2" s="4826"/>
      <c r="AM2" s="4826"/>
      <c r="AN2" s="4826"/>
      <c r="AO2" s="4826"/>
      <c r="AP2" s="4492"/>
      <c r="AQ2" s="4492"/>
      <c r="AR2" s="4242"/>
      <c r="AS2" s="4242"/>
      <c r="AT2" s="4242"/>
      <c r="AU2" s="4242"/>
      <c r="AV2" s="4242"/>
      <c r="AW2" s="4242"/>
      <c r="AX2" s="4242"/>
      <c r="AY2" s="4242"/>
      <c r="AZ2" s="4242"/>
      <c r="BA2" s="4242"/>
      <c r="BB2" s="4242"/>
      <c r="BC2" s="4242"/>
      <c r="BD2" s="4242"/>
      <c r="BE2" s="4242"/>
      <c r="BF2" s="4242"/>
    </row>
    <row r="3" spans="1:58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55</v>
      </c>
      <c r="Q3" s="16"/>
    </row>
    <row r="4" spans="1:58" ht="16.5" customHeight="1" x14ac:dyDescent="0.3">
      <c r="A4" s="4763" t="s">
        <v>527</v>
      </c>
      <c r="B4" s="4736" t="s">
        <v>57</v>
      </c>
      <c r="C4" s="4763" t="s">
        <v>58</v>
      </c>
      <c r="D4" s="4763"/>
      <c r="E4" s="4761" t="s">
        <v>66</v>
      </c>
      <c r="F4" s="4761"/>
      <c r="G4" s="4761" t="s">
        <v>92</v>
      </c>
      <c r="H4" s="4761"/>
      <c r="I4" s="4761" t="s">
        <v>117</v>
      </c>
      <c r="J4" s="4761"/>
      <c r="K4" s="4761"/>
      <c r="L4" s="4761"/>
      <c r="M4" s="4761"/>
      <c r="N4" s="4749" t="s">
        <v>154</v>
      </c>
      <c r="O4" s="4749"/>
      <c r="P4" s="4749"/>
      <c r="Q4" s="4749"/>
      <c r="R4" s="4749"/>
      <c r="S4" s="4749"/>
      <c r="T4" s="4749"/>
      <c r="U4" s="4839" t="s">
        <v>229</v>
      </c>
      <c r="V4" s="4839"/>
      <c r="W4" s="4839"/>
      <c r="X4" s="4839"/>
      <c r="Y4" s="4839"/>
      <c r="Z4" s="4839"/>
      <c r="AA4" s="4839" t="s">
        <v>364</v>
      </c>
      <c r="AB4" s="4839"/>
      <c r="AC4" s="4839"/>
      <c r="AD4" s="4839"/>
      <c r="AE4" s="4839"/>
      <c r="AF4" s="4839" t="s">
        <v>818</v>
      </c>
      <c r="AG4" s="4839"/>
      <c r="AH4" s="4839"/>
      <c r="AI4" s="2586" t="s">
        <v>895</v>
      </c>
      <c r="AJ4" s="4839" t="s">
        <v>896</v>
      </c>
      <c r="AK4" s="4842"/>
      <c r="AL4" s="4839" t="s">
        <v>1802</v>
      </c>
      <c r="AM4" s="4839"/>
      <c r="AN4" s="4775" t="s">
        <v>3694</v>
      </c>
      <c r="AO4" s="4741"/>
      <c r="AP4" s="4741"/>
      <c r="AQ4" s="4741"/>
      <c r="AR4" s="4741"/>
      <c r="AS4" s="4741"/>
      <c r="AT4" s="4741"/>
      <c r="AU4" s="4741"/>
      <c r="AV4" s="4741"/>
      <c r="AW4" s="4741"/>
      <c r="AX4" s="4742"/>
      <c r="AY4" s="4745" t="s">
        <v>3648</v>
      </c>
      <c r="AZ4" s="4736" t="s">
        <v>3649</v>
      </c>
      <c r="BA4" s="4736" t="s">
        <v>3651</v>
      </c>
      <c r="BB4" s="4840" t="s">
        <v>3888</v>
      </c>
      <c r="BC4" s="4841"/>
      <c r="BD4" s="4745" t="s">
        <v>3943</v>
      </c>
      <c r="BE4" s="4736" t="s">
        <v>3944</v>
      </c>
      <c r="BF4" s="4736" t="s">
        <v>3946</v>
      </c>
    </row>
    <row r="5" spans="1:58" ht="12.75" customHeight="1" x14ac:dyDescent="0.2">
      <c r="A5" s="4763"/>
      <c r="B5" s="4736"/>
      <c r="C5" s="4736" t="s">
        <v>60</v>
      </c>
      <c r="D5" s="4736" t="s">
        <v>61</v>
      </c>
      <c r="E5" s="4749" t="s">
        <v>60</v>
      </c>
      <c r="F5" s="4749" t="s">
        <v>65</v>
      </c>
      <c r="G5" s="4749" t="s">
        <v>60</v>
      </c>
      <c r="H5" s="4749" t="s">
        <v>109</v>
      </c>
      <c r="I5" s="4749" t="s">
        <v>59</v>
      </c>
      <c r="J5" s="4749" t="s">
        <v>62</v>
      </c>
      <c r="K5" s="4749" t="s">
        <v>107</v>
      </c>
      <c r="L5" s="4749" t="s">
        <v>60</v>
      </c>
      <c r="M5" s="4749" t="s">
        <v>116</v>
      </c>
      <c r="N5" s="4749" t="s">
        <v>119</v>
      </c>
      <c r="O5" s="4749" t="s">
        <v>153</v>
      </c>
      <c r="P5" s="4749" t="s">
        <v>238</v>
      </c>
      <c r="Q5" s="4749" t="s">
        <v>161</v>
      </c>
      <c r="R5" s="4749" t="s">
        <v>153</v>
      </c>
      <c r="S5" s="4749" t="s">
        <v>107</v>
      </c>
      <c r="T5" s="4749" t="s">
        <v>60</v>
      </c>
      <c r="U5" s="4736" t="s">
        <v>551</v>
      </c>
      <c r="V5" s="4736" t="s">
        <v>234</v>
      </c>
      <c r="W5" s="4736" t="s">
        <v>552</v>
      </c>
      <c r="X5" s="4736" t="s">
        <v>375</v>
      </c>
      <c r="Y5" s="4736" t="s">
        <v>127</v>
      </c>
      <c r="Z5" s="4736" t="s">
        <v>643</v>
      </c>
      <c r="AA5" s="4736" t="s">
        <v>551</v>
      </c>
      <c r="AB5" s="4736" t="s">
        <v>552</v>
      </c>
      <c r="AC5" s="4736" t="s">
        <v>553</v>
      </c>
      <c r="AD5" s="4736" t="s">
        <v>375</v>
      </c>
      <c r="AE5" s="4736" t="s">
        <v>127</v>
      </c>
      <c r="AF5" s="4736" t="s">
        <v>551</v>
      </c>
      <c r="AG5" s="4736" t="s">
        <v>1588</v>
      </c>
      <c r="AH5" s="4736" t="s">
        <v>60</v>
      </c>
      <c r="AI5" s="4736" t="s">
        <v>60</v>
      </c>
      <c r="AJ5" s="4736" t="s">
        <v>1588</v>
      </c>
      <c r="AK5" s="4736" t="s">
        <v>60</v>
      </c>
      <c r="AL5" s="4736" t="s">
        <v>119</v>
      </c>
      <c r="AM5" s="4736" t="s">
        <v>1524</v>
      </c>
      <c r="AN5" s="4745" t="s">
        <v>3516</v>
      </c>
      <c r="AO5" s="2723"/>
      <c r="AP5" s="2728"/>
      <c r="AQ5" s="2728"/>
      <c r="AR5" s="2727"/>
      <c r="AS5" s="2727"/>
      <c r="AT5" s="2727"/>
      <c r="AU5" s="2727"/>
      <c r="AV5" s="2727"/>
      <c r="AW5" s="2727"/>
      <c r="AX5" s="4745" t="s">
        <v>3695</v>
      </c>
      <c r="AY5" s="4823"/>
      <c r="AZ5" s="4825"/>
      <c r="BA5" s="4825"/>
      <c r="BB5" s="4745" t="s">
        <v>3516</v>
      </c>
      <c r="BC5" s="4745" t="s">
        <v>3695</v>
      </c>
      <c r="BD5" s="4823"/>
      <c r="BE5" s="4825"/>
      <c r="BF5" s="4825"/>
    </row>
    <row r="6" spans="1:58" ht="12.75" customHeight="1" x14ac:dyDescent="0.2">
      <c r="A6" s="4763"/>
      <c r="B6" s="4736"/>
      <c r="C6" s="4736"/>
      <c r="D6" s="4736"/>
      <c r="E6" s="4749"/>
      <c r="F6" s="4749"/>
      <c r="G6" s="4749"/>
      <c r="H6" s="4749"/>
      <c r="I6" s="4749"/>
      <c r="J6" s="4749"/>
      <c r="K6" s="4749"/>
      <c r="L6" s="4749"/>
      <c r="M6" s="4749"/>
      <c r="N6" s="4749"/>
      <c r="O6" s="4749"/>
      <c r="P6" s="4749"/>
      <c r="Q6" s="4749"/>
      <c r="R6" s="4749"/>
      <c r="S6" s="4749"/>
      <c r="T6" s="4749"/>
      <c r="U6" s="4736"/>
      <c r="V6" s="4736"/>
      <c r="W6" s="4736"/>
      <c r="X6" s="4736"/>
      <c r="Y6" s="4736"/>
      <c r="Z6" s="4736"/>
      <c r="AA6" s="4736"/>
      <c r="AB6" s="4736"/>
      <c r="AC6" s="4736"/>
      <c r="AD6" s="4736"/>
      <c r="AE6" s="4736"/>
      <c r="AF6" s="4736"/>
      <c r="AG6" s="4736"/>
      <c r="AH6" s="4736"/>
      <c r="AI6" s="4736"/>
      <c r="AJ6" s="4736"/>
      <c r="AK6" s="4736"/>
      <c r="AL6" s="4736"/>
      <c r="AM6" s="4736"/>
      <c r="AN6" s="4829"/>
      <c r="AO6" s="2723"/>
      <c r="AP6" s="2728"/>
      <c r="AQ6" s="2728"/>
      <c r="AR6" s="2727"/>
      <c r="AS6" s="2727"/>
      <c r="AT6" s="2727"/>
      <c r="AU6" s="2727"/>
      <c r="AV6" s="2727"/>
      <c r="AW6" s="2727"/>
      <c r="AX6" s="4829"/>
      <c r="AY6" s="4823"/>
      <c r="AZ6" s="4825"/>
      <c r="BA6" s="4825"/>
      <c r="BB6" s="4829"/>
      <c r="BC6" s="4829"/>
      <c r="BD6" s="4823"/>
      <c r="BE6" s="4825"/>
      <c r="BF6" s="4825"/>
    </row>
    <row r="7" spans="1:58" ht="27" customHeight="1" x14ac:dyDescent="0.2">
      <c r="A7" s="4763"/>
      <c r="B7" s="4736"/>
      <c r="C7" s="4736"/>
      <c r="D7" s="4736"/>
      <c r="E7" s="4749"/>
      <c r="F7" s="4749"/>
      <c r="G7" s="4749"/>
      <c r="H7" s="4749"/>
      <c r="I7" s="4749"/>
      <c r="J7" s="4749"/>
      <c r="K7" s="4749"/>
      <c r="L7" s="4749"/>
      <c r="M7" s="4749"/>
      <c r="N7" s="4749"/>
      <c r="O7" s="4749"/>
      <c r="P7" s="4749"/>
      <c r="Q7" s="4749"/>
      <c r="R7" s="4749"/>
      <c r="S7" s="4749"/>
      <c r="T7" s="4749"/>
      <c r="U7" s="4736"/>
      <c r="V7" s="4736"/>
      <c r="W7" s="4736"/>
      <c r="X7" s="4736"/>
      <c r="Y7" s="4736"/>
      <c r="Z7" s="4736"/>
      <c r="AA7" s="4736"/>
      <c r="AB7" s="4736"/>
      <c r="AC7" s="4736"/>
      <c r="AD7" s="4736"/>
      <c r="AE7" s="4736"/>
      <c r="AF7" s="4736"/>
      <c r="AG7" s="4736"/>
      <c r="AH7" s="4736"/>
      <c r="AI7" s="4736"/>
      <c r="AJ7" s="4736"/>
      <c r="AK7" s="4736"/>
      <c r="AL7" s="4736"/>
      <c r="AM7" s="4736"/>
      <c r="AN7" s="4830"/>
      <c r="AO7" s="2723"/>
      <c r="AP7" s="2728"/>
      <c r="AQ7" s="2728"/>
      <c r="AR7" s="2727"/>
      <c r="AS7" s="2727"/>
      <c r="AT7" s="2727"/>
      <c r="AU7" s="2727"/>
      <c r="AV7" s="2727"/>
      <c r="AW7" s="2727"/>
      <c r="AX7" s="4830"/>
      <c r="AY7" s="4824"/>
      <c r="AZ7" s="4825"/>
      <c r="BA7" s="4825"/>
      <c r="BB7" s="4830"/>
      <c r="BC7" s="4830"/>
      <c r="BD7" s="4824"/>
      <c r="BE7" s="4825"/>
      <c r="BF7" s="4825"/>
    </row>
    <row r="8" spans="1:58" ht="38.25" customHeight="1" x14ac:dyDescent="0.2">
      <c r="A8" s="3466" t="s">
        <v>71</v>
      </c>
      <c r="B8" s="3467">
        <v>4357</v>
      </c>
      <c r="C8" s="3468">
        <v>5406.5</v>
      </c>
      <c r="D8" s="1731">
        <f>C8/B8*100</f>
        <v>124.08767500573789</v>
      </c>
      <c r="E8" s="1602">
        <v>6087.5</v>
      </c>
      <c r="F8" s="1605">
        <f t="shared" ref="F8:F16" si="0">E8/C8*100</f>
        <v>112.59594932026265</v>
      </c>
      <c r="G8" s="1602">
        <v>6903.5</v>
      </c>
      <c r="H8" s="1605">
        <f>G8/E8*100</f>
        <v>113.40451745379876</v>
      </c>
      <c r="I8" s="1602">
        <v>6484.8</v>
      </c>
      <c r="J8" s="1602">
        <v>3738.1</v>
      </c>
      <c r="K8" s="1602">
        <v>5035.8999999999996</v>
      </c>
      <c r="L8" s="1602">
        <v>7062.7</v>
      </c>
      <c r="M8" s="1605">
        <f>L8/G8*100</f>
        <v>102.30607662779749</v>
      </c>
      <c r="N8" s="1602">
        <v>8395.1</v>
      </c>
      <c r="O8" s="1605">
        <f t="shared" ref="O8:O17" si="1">N8/L8*100</f>
        <v>118.86530646919735</v>
      </c>
      <c r="P8" s="1602">
        <v>7191.3</v>
      </c>
      <c r="Q8" s="1605">
        <f t="shared" ref="Q8:Q17" si="2">P8/I8*100</f>
        <v>110.89470762398224</v>
      </c>
      <c r="R8" s="1605">
        <f t="shared" ref="R8:R17" si="3">P8/L8*100</f>
        <v>101.82083339232872</v>
      </c>
      <c r="S8" s="1602">
        <v>5453.4</v>
      </c>
      <c r="T8" s="1602">
        <v>6885.5</v>
      </c>
      <c r="U8" s="2626">
        <v>8933.7000000000007</v>
      </c>
      <c r="V8" s="3469">
        <f>U8/P8</f>
        <v>1.2422927704309374</v>
      </c>
      <c r="W8" s="1602">
        <f>P8*1.056</f>
        <v>7594.0128000000004</v>
      </c>
      <c r="X8" s="1602">
        <v>3201.3</v>
      </c>
      <c r="Y8" s="1602">
        <v>4939.3</v>
      </c>
      <c r="Z8" s="1602">
        <v>6586.3</v>
      </c>
      <c r="AA8" s="1602">
        <v>7973.7</v>
      </c>
      <c r="AB8" s="1602">
        <f>T8*1.074*1.067</f>
        <v>7890.4938089999996</v>
      </c>
      <c r="AC8" s="3469">
        <f>AB8/W8</f>
        <v>1.039041415495112</v>
      </c>
      <c r="AD8" s="1602">
        <v>3191.57</v>
      </c>
      <c r="AE8" s="1602">
        <v>5009.13</v>
      </c>
      <c r="AF8" s="1602">
        <f>SUM(AB8*1.1)</f>
        <v>8679.5431898999996</v>
      </c>
      <c r="AG8" s="1602">
        <f>AE8/9*12*1.074</f>
        <v>7173.074160000001</v>
      </c>
      <c r="AH8" s="1602">
        <v>6605.9</v>
      </c>
      <c r="AI8" s="1602">
        <v>6256.63</v>
      </c>
      <c r="AJ8" s="1602">
        <f>AJ9*AJ10*12/1000</f>
        <v>7830.6633600000005</v>
      </c>
      <c r="AK8" s="1602">
        <v>7184.53</v>
      </c>
      <c r="AL8" s="1602">
        <v>9899.81</v>
      </c>
      <c r="AM8" s="1602">
        <f>AM9*AM10*12/1000</f>
        <v>7831.709945391618</v>
      </c>
      <c r="AN8" s="1602">
        <f>AN9*AN10*12/1000</f>
        <v>7515.0183800000004</v>
      </c>
      <c r="AO8" s="4827" t="s">
        <v>241</v>
      </c>
      <c r="AP8" s="4828"/>
      <c r="AQ8" s="4828"/>
      <c r="AR8" s="3478"/>
      <c r="AS8" s="3478"/>
      <c r="AT8" s="3478"/>
      <c r="AU8" s="3478"/>
      <c r="AV8" s="3478"/>
      <c r="AW8" s="3478"/>
      <c r="AX8" s="1602">
        <f>AX9*AX10*12/1000</f>
        <v>7985.9946313158307</v>
      </c>
      <c r="AY8" s="3467">
        <v>3530.11</v>
      </c>
      <c r="AZ8" s="3467">
        <v>5392.32</v>
      </c>
      <c r="BA8" s="3467">
        <v>7522.09</v>
      </c>
      <c r="BB8" s="2371">
        <f>BB9*BB10*12/1000</f>
        <v>9542.0964005916903</v>
      </c>
      <c r="BC8" s="4101">
        <f>BC9*BC10*12/1000</f>
        <v>8206.6599133397849</v>
      </c>
      <c r="BD8" s="3486">
        <v>4227.38</v>
      </c>
      <c r="BE8" s="3486">
        <v>6122.63</v>
      </c>
      <c r="BF8" s="3982"/>
    </row>
    <row r="9" spans="1:58" ht="38.25" customHeight="1" x14ac:dyDescent="0.2">
      <c r="A9" s="3470" t="s">
        <v>1456</v>
      </c>
      <c r="B9" s="3467"/>
      <c r="C9" s="3468"/>
      <c r="D9" s="1731"/>
      <c r="E9" s="1602"/>
      <c r="F9" s="1605"/>
      <c r="G9" s="1602"/>
      <c r="H9" s="1605"/>
      <c r="I9" s="1602"/>
      <c r="J9" s="1602"/>
      <c r="K9" s="1602"/>
      <c r="L9" s="1602"/>
      <c r="M9" s="1605"/>
      <c r="N9" s="1602"/>
      <c r="O9" s="1605"/>
      <c r="P9" s="1602"/>
      <c r="Q9" s="1605"/>
      <c r="R9" s="1605"/>
      <c r="S9" s="1602"/>
      <c r="T9" s="1602"/>
      <c r="U9" s="2626"/>
      <c r="V9" s="3469"/>
      <c r="W9" s="1602"/>
      <c r="X9" s="1602"/>
      <c r="Y9" s="1602"/>
      <c r="Z9" s="1602"/>
      <c r="AA9" s="1602"/>
      <c r="AB9" s="1602"/>
      <c r="AC9" s="3469"/>
      <c r="AD9" s="1602">
        <v>13</v>
      </c>
      <c r="AE9" s="1602">
        <v>13</v>
      </c>
      <c r="AF9" s="1602"/>
      <c r="AG9" s="1602">
        <f>AD9</f>
        <v>13</v>
      </c>
      <c r="AH9" s="1602">
        <v>13</v>
      </c>
      <c r="AI9" s="1602">
        <v>13</v>
      </c>
      <c r="AJ9" s="1602">
        <v>13</v>
      </c>
      <c r="AK9" s="1602">
        <v>14</v>
      </c>
      <c r="AL9" s="1602">
        <v>14</v>
      </c>
      <c r="AM9" s="1602">
        <v>13</v>
      </c>
      <c r="AN9" s="1602">
        <v>14</v>
      </c>
      <c r="AO9" s="4827" t="s">
        <v>2054</v>
      </c>
      <c r="AP9" s="4827"/>
      <c r="AQ9" s="4827"/>
      <c r="AR9" s="3478"/>
      <c r="AS9" s="3478"/>
      <c r="AT9" s="3478"/>
      <c r="AU9" s="3478"/>
      <c r="AV9" s="3478"/>
      <c r="AW9" s="3478"/>
      <c r="AX9" s="1602">
        <f>SUM(AM9)</f>
        <v>13</v>
      </c>
      <c r="AY9" s="3467">
        <v>15</v>
      </c>
      <c r="AZ9" s="3467">
        <v>15</v>
      </c>
      <c r="BA9" s="3467">
        <v>15</v>
      </c>
      <c r="BB9" s="2371">
        <v>15</v>
      </c>
      <c r="BC9" s="4101">
        <v>13</v>
      </c>
      <c r="BD9" s="3486">
        <v>16</v>
      </c>
      <c r="BE9" s="3486">
        <v>16</v>
      </c>
      <c r="BF9" s="3982">
        <v>15</v>
      </c>
    </row>
    <row r="10" spans="1:58" ht="38.25" customHeight="1" x14ac:dyDescent="0.2">
      <c r="A10" s="3470" t="s">
        <v>1457</v>
      </c>
      <c r="B10" s="3467"/>
      <c r="C10" s="3468"/>
      <c r="D10" s="1731"/>
      <c r="E10" s="1602"/>
      <c r="F10" s="1605"/>
      <c r="G10" s="1602"/>
      <c r="H10" s="1605"/>
      <c r="I10" s="1602"/>
      <c r="J10" s="1602"/>
      <c r="K10" s="1602"/>
      <c r="L10" s="1602"/>
      <c r="M10" s="1605"/>
      <c r="N10" s="1602"/>
      <c r="O10" s="1605"/>
      <c r="P10" s="1602"/>
      <c r="Q10" s="1605"/>
      <c r="R10" s="1605"/>
      <c r="S10" s="1602"/>
      <c r="T10" s="1602"/>
      <c r="U10" s="2626"/>
      <c r="V10" s="3469"/>
      <c r="W10" s="1602"/>
      <c r="X10" s="1602"/>
      <c r="Y10" s="1602"/>
      <c r="Z10" s="1602"/>
      <c r="AA10" s="1602"/>
      <c r="AB10" s="1602"/>
      <c r="AC10" s="3469"/>
      <c r="AD10" s="1602">
        <f>AD8/AD9/6*1000</f>
        <v>40917.564102564109</v>
      </c>
      <c r="AE10" s="1602">
        <f>AE8/AE9/9*1000</f>
        <v>42813.076923076922</v>
      </c>
      <c r="AF10" s="1602"/>
      <c r="AG10" s="1602">
        <f>AG8/AG9/12*1000</f>
        <v>45981.244615384618</v>
      </c>
      <c r="AH10" s="1602">
        <v>42345.51</v>
      </c>
      <c r="AI10" s="1602">
        <v>40106.6</v>
      </c>
      <c r="AJ10" s="1602">
        <v>50196.56</v>
      </c>
      <c r="AK10" s="2627">
        <f t="shared" ref="AK10" si="4">AK8/AK9*1000/12</f>
        <v>42765.059523809527</v>
      </c>
      <c r="AL10" s="1602">
        <v>58927.44</v>
      </c>
      <c r="AM10" s="1602">
        <f>AG10*0.99*1.037*0.99*1.027*1.046</f>
        <v>50203.268880715492</v>
      </c>
      <c r="AN10" s="1602">
        <f>SUM(AK10*1.046)</f>
        <v>44732.252261904767</v>
      </c>
      <c r="AO10" s="4827" t="s">
        <v>2055</v>
      </c>
      <c r="AP10" s="4827"/>
      <c r="AQ10" s="4827"/>
      <c r="AR10" s="3478"/>
      <c r="AS10" s="3478"/>
      <c r="AT10" s="3478"/>
      <c r="AU10" s="3478"/>
      <c r="AV10" s="3478"/>
      <c r="AW10" s="3478"/>
      <c r="AX10" s="3479">
        <f>SUM(AM10*1.03)*(1-0.01)</f>
        <v>51192.27327766559</v>
      </c>
      <c r="AY10" s="2627">
        <f>AY8/AY9*1000/6</f>
        <v>39223.444444444445</v>
      </c>
      <c r="AZ10" s="2627">
        <f>AZ8/AZ9*1000/9</f>
        <v>39943.111111111109</v>
      </c>
      <c r="BA10" s="2627">
        <f>BA8/BA9*1000/12</f>
        <v>41789.388888888891</v>
      </c>
      <c r="BB10" s="3484">
        <f>SUM(AX10*1.046)*(1-0.01)</f>
        <v>53011.646669953829</v>
      </c>
      <c r="BC10" s="4100">
        <f>SUM(AM10*(1+0.032)*0.99*(1+0.036)*0.99)</f>
        <v>52606.79431628067</v>
      </c>
      <c r="BD10" s="2482">
        <f>BD8/BD9*1000/6</f>
        <v>44035.208333333336</v>
      </c>
      <c r="BE10" s="2482">
        <f>BE8/BE9*1000/9</f>
        <v>42518.263888888891</v>
      </c>
      <c r="BF10" s="3491">
        <f>BF8/BF9*1000/12</f>
        <v>0</v>
      </c>
    </row>
    <row r="11" spans="1:58" ht="38.25" customHeight="1" x14ac:dyDescent="0.2">
      <c r="A11" s="3466" t="s">
        <v>114</v>
      </c>
      <c r="B11" s="3467">
        <v>1088.3</v>
      </c>
      <c r="C11" s="3468">
        <v>1239</v>
      </c>
      <c r="D11" s="1731">
        <f>C11/B11*100</f>
        <v>113.84728475604153</v>
      </c>
      <c r="E11" s="1602">
        <v>1492.4</v>
      </c>
      <c r="F11" s="1605">
        <f t="shared" si="0"/>
        <v>120.45197740112997</v>
      </c>
      <c r="G11" s="1602">
        <v>2283.5</v>
      </c>
      <c r="H11" s="1605">
        <f t="shared" ref="H11:H46" si="5">G11/E11*100</f>
        <v>153.00857678906459</v>
      </c>
      <c r="I11" s="1602">
        <f>I8*30.2/100</f>
        <v>1958.4096</v>
      </c>
      <c r="J11" s="1602">
        <v>1276.0999999999999</v>
      </c>
      <c r="K11" s="1602">
        <v>1509.5</v>
      </c>
      <c r="L11" s="1602">
        <v>2054.4</v>
      </c>
      <c r="M11" s="1605">
        <f t="shared" ref="M11:M46" si="6">L11/G11*100</f>
        <v>89.967155682067002</v>
      </c>
      <c r="N11" s="1602">
        <v>2535.3000000000002</v>
      </c>
      <c r="O11" s="1605">
        <f t="shared" si="1"/>
        <v>123.40829439252336</v>
      </c>
      <c r="P11" s="1602">
        <v>2171.6999999999998</v>
      </c>
      <c r="Q11" s="1605">
        <f t="shared" si="2"/>
        <v>110.89100053431109</v>
      </c>
      <c r="R11" s="1605">
        <f t="shared" si="3"/>
        <v>105.70969626168223</v>
      </c>
      <c r="S11" s="1602">
        <v>1600.4</v>
      </c>
      <c r="T11" s="1602">
        <v>1941.4</v>
      </c>
      <c r="U11" s="2626">
        <v>2698</v>
      </c>
      <c r="V11" s="3469">
        <f t="shared" ref="V11:V46" si="7">U11/P11</f>
        <v>1.2423447069116362</v>
      </c>
      <c r="W11" s="1602">
        <f>W8*S12</f>
        <v>2228.6019886896256</v>
      </c>
      <c r="X11" s="1602">
        <v>962.5</v>
      </c>
      <c r="Y11" s="1602">
        <v>1485.4</v>
      </c>
      <c r="Z11" s="1602">
        <v>1966.3</v>
      </c>
      <c r="AA11" s="1602">
        <v>2408.1</v>
      </c>
      <c r="AB11" s="1602">
        <f>AB8*AB12</f>
        <v>2372.9150899699553</v>
      </c>
      <c r="AC11" s="3469">
        <f>AB11/W11</f>
        <v>1.0647549908026346</v>
      </c>
      <c r="AD11" s="1602">
        <v>957.03</v>
      </c>
      <c r="AE11" s="1602">
        <v>1502.4</v>
      </c>
      <c r="AF11" s="1602">
        <f>SUM(AF8*AF12)</f>
        <v>2621.2220433497996</v>
      </c>
      <c r="AG11" s="1602">
        <f>AG8*AG12</f>
        <v>2141.4778738909558</v>
      </c>
      <c r="AH11" s="1602">
        <v>1987.5</v>
      </c>
      <c r="AI11" s="1602">
        <v>1853.81</v>
      </c>
      <c r="AJ11" s="1602">
        <v>2337.8000000000002</v>
      </c>
      <c r="AK11" s="1602">
        <v>2161.66</v>
      </c>
      <c r="AL11" s="1602">
        <v>2965.98</v>
      </c>
      <c r="AM11" s="1602">
        <f>AM8*AI12</f>
        <v>2320.4987691243427</v>
      </c>
      <c r="AN11" s="1602">
        <f>AN8*AK12</f>
        <v>2261.0963600000005</v>
      </c>
      <c r="AO11" s="4827"/>
      <c r="AP11" s="4828"/>
      <c r="AQ11" s="4828"/>
      <c r="AR11" s="3478"/>
      <c r="AS11" s="3478"/>
      <c r="AT11" s="3478"/>
      <c r="AU11" s="3478"/>
      <c r="AV11" s="3478"/>
      <c r="AW11" s="3478"/>
      <c r="AX11" s="3479">
        <f>SUM(AX8*AX12)</f>
        <v>2366.2125948760913</v>
      </c>
      <c r="AY11" s="3467">
        <v>1068.26</v>
      </c>
      <c r="AZ11" s="3467">
        <v>1630.24</v>
      </c>
      <c r="BA11" s="3467">
        <v>2292.4299999999998</v>
      </c>
      <c r="BB11" s="3484">
        <f>SUM(BB8*BB12)</f>
        <v>2908.0465737060322</v>
      </c>
      <c r="BC11" s="4100">
        <f>SUM(BC8*BC12)</f>
        <v>2431.594678596693</v>
      </c>
      <c r="BD11" s="3486">
        <v>1270.83</v>
      </c>
      <c r="BE11" s="3486">
        <v>1841.66</v>
      </c>
      <c r="BF11" s="3982"/>
    </row>
    <row r="12" spans="1:58" s="181" customFormat="1" ht="20.25" customHeight="1" x14ac:dyDescent="0.2">
      <c r="A12" s="3470" t="s">
        <v>310</v>
      </c>
      <c r="B12" s="3471"/>
      <c r="C12" s="1731"/>
      <c r="D12" s="1731"/>
      <c r="E12" s="1604">
        <f>E11/E8</f>
        <v>0.24515811088295689</v>
      </c>
      <c r="F12" s="1604">
        <f t="shared" ref="F12:W12" si="8">F11/F8</f>
        <v>1.0697718535017811</v>
      </c>
      <c r="G12" s="1604">
        <f t="shared" si="8"/>
        <v>0.33077424494821467</v>
      </c>
      <c r="H12" s="1604">
        <f t="shared" si="8"/>
        <v>1.3492282337994217</v>
      </c>
      <c r="I12" s="1604">
        <f t="shared" si="8"/>
        <v>0.30199999999999999</v>
      </c>
      <c r="J12" s="1604">
        <f t="shared" si="8"/>
        <v>0.34137663518899974</v>
      </c>
      <c r="K12" s="1604">
        <f t="shared" si="8"/>
        <v>0.29974781071903733</v>
      </c>
      <c r="L12" s="1604">
        <f t="shared" si="8"/>
        <v>0.29088025825817326</v>
      </c>
      <c r="M12" s="1604">
        <f t="shared" si="8"/>
        <v>0.87939210111026878</v>
      </c>
      <c r="N12" s="1604">
        <f t="shared" si="8"/>
        <v>0.3019975938344987</v>
      </c>
      <c r="O12" s="1604">
        <f t="shared" si="8"/>
        <v>1.0382196290765739</v>
      </c>
      <c r="P12" s="1604">
        <f t="shared" si="8"/>
        <v>0.3019899044678987</v>
      </c>
      <c r="Q12" s="1604">
        <f t="shared" si="8"/>
        <v>0.99996657108575715</v>
      </c>
      <c r="R12" s="1604">
        <f t="shared" si="8"/>
        <v>1.0381931942588725</v>
      </c>
      <c r="S12" s="1604">
        <f t="shared" si="8"/>
        <v>0.29346829500861854</v>
      </c>
      <c r="T12" s="1604">
        <f>T11/T8</f>
        <v>0.2819548326192724</v>
      </c>
      <c r="U12" s="1604">
        <f t="shared" si="8"/>
        <v>0.30200252974691333</v>
      </c>
      <c r="V12" s="3469">
        <f t="shared" si="7"/>
        <v>1.0000418069572123</v>
      </c>
      <c r="W12" s="1604">
        <f t="shared" si="8"/>
        <v>0.29346829500861854</v>
      </c>
      <c r="X12" s="1604">
        <f>X11/X8</f>
        <v>0.30065910723768469</v>
      </c>
      <c r="Y12" s="1604">
        <f>Y11/Y8</f>
        <v>0.30073087279574029</v>
      </c>
      <c r="Z12" s="1604">
        <f>Z11/Z8</f>
        <v>0.29854394728451483</v>
      </c>
      <c r="AA12" s="1604">
        <f>X12</f>
        <v>0.30065910723768469</v>
      </c>
      <c r="AB12" s="1604">
        <f>Y12</f>
        <v>0.30073087279574029</v>
      </c>
      <c r="AC12" s="1604">
        <f>Z12</f>
        <v>0.29854394728451483</v>
      </c>
      <c r="AD12" s="1604">
        <f t="shared" ref="AD12:AE12" si="9">AD11/AD8</f>
        <v>0.29986182349125978</v>
      </c>
      <c r="AE12" s="1604">
        <f t="shared" si="9"/>
        <v>0.29993232357714816</v>
      </c>
      <c r="AF12" s="1604">
        <v>0.30199999999999999</v>
      </c>
      <c r="AG12" s="1604">
        <f>Z12</f>
        <v>0.29854394728451483</v>
      </c>
      <c r="AH12" s="1604">
        <f>AH11/AH8</f>
        <v>0.30086740640942189</v>
      </c>
      <c r="AI12" s="1604">
        <f>AI11/AI8</f>
        <v>0.29629528995641424</v>
      </c>
      <c r="AJ12" s="1604">
        <f>AJ11/AJ8</f>
        <v>0.29854431132128251</v>
      </c>
      <c r="AK12" s="1604">
        <f>AK11/AK8</f>
        <v>0.30087702327083332</v>
      </c>
      <c r="AL12" s="1604">
        <f t="shared" ref="AL12:AM12" si="10">AL11/AL8</f>
        <v>0.29959968928696612</v>
      </c>
      <c r="AM12" s="1604">
        <f t="shared" si="10"/>
        <v>0.29629528995641424</v>
      </c>
      <c r="AN12" s="1604">
        <f t="shared" ref="AN12" si="11">AN11/AN8</f>
        <v>0.30087702327083332</v>
      </c>
      <c r="AO12" s="4838" t="s">
        <v>2056</v>
      </c>
      <c r="AP12" s="4828"/>
      <c r="AQ12" s="4828"/>
      <c r="AR12" s="3472"/>
      <c r="AS12" s="3472"/>
      <c r="AT12" s="3472"/>
      <c r="AU12" s="3472"/>
      <c r="AV12" s="3472"/>
      <c r="AW12" s="3472"/>
      <c r="AX12" s="3480">
        <f>SUM(AM12)</f>
        <v>0.29629528995641424</v>
      </c>
      <c r="AY12" s="1604">
        <f t="shared" ref="AY12:BA12" si="12">AY11/AY8</f>
        <v>0.30261379956998508</v>
      </c>
      <c r="AZ12" s="1604">
        <f t="shared" si="12"/>
        <v>0.30232627143789687</v>
      </c>
      <c r="BA12" s="1604">
        <f t="shared" si="12"/>
        <v>0.30475971438788951</v>
      </c>
      <c r="BB12" s="3485">
        <f>SUM(BA12)</f>
        <v>0.30475971438788951</v>
      </c>
      <c r="BC12" s="4102">
        <f>SUM(AM12)</f>
        <v>0.29629528995641424</v>
      </c>
      <c r="BD12" s="3651">
        <f t="shared" ref="BD12:BF12" si="13">BD11/BD8</f>
        <v>0.30061882300621184</v>
      </c>
      <c r="BE12" s="3651">
        <f t="shared" si="13"/>
        <v>0.30079557314422073</v>
      </c>
      <c r="BF12" s="3733" t="e">
        <f t="shared" si="13"/>
        <v>#DIV/0!</v>
      </c>
    </row>
    <row r="13" spans="1:58" ht="30.75" customHeight="1" x14ac:dyDescent="0.2">
      <c r="A13" s="3466" t="s">
        <v>81</v>
      </c>
      <c r="B13" s="3467">
        <v>324.39999999999998</v>
      </c>
      <c r="C13" s="3468">
        <v>328</v>
      </c>
      <c r="D13" s="1731"/>
      <c r="E13" s="1602">
        <v>140.6</v>
      </c>
      <c r="F13" s="1605">
        <f t="shared" si="0"/>
        <v>42.865853658536587</v>
      </c>
      <c r="G13" s="1602">
        <v>140.6</v>
      </c>
      <c r="H13" s="1605">
        <f t="shared" si="5"/>
        <v>100</v>
      </c>
      <c r="I13" s="1602">
        <v>159.69999999999999</v>
      </c>
      <c r="J13" s="1602">
        <v>0</v>
      </c>
      <c r="K13" s="1602">
        <v>147.30000000000001</v>
      </c>
      <c r="L13" s="1602">
        <v>147.30000000000001</v>
      </c>
      <c r="M13" s="1605">
        <f t="shared" si="6"/>
        <v>104.76529160739689</v>
      </c>
      <c r="N13" s="1602">
        <v>166.9</v>
      </c>
      <c r="O13" s="1605">
        <f t="shared" si="1"/>
        <v>113.306177868296</v>
      </c>
      <c r="P13" s="1602">
        <v>166.9</v>
      </c>
      <c r="Q13" s="1605">
        <f t="shared" si="2"/>
        <v>104.50845335003132</v>
      </c>
      <c r="R13" s="1605">
        <f t="shared" si="3"/>
        <v>113.306177868296</v>
      </c>
      <c r="S13" s="1602">
        <v>0</v>
      </c>
      <c r="T13" s="1602">
        <v>0</v>
      </c>
      <c r="U13" s="2626">
        <v>183</v>
      </c>
      <c r="V13" s="3469">
        <f t="shared" si="7"/>
        <v>1.0964649490713001</v>
      </c>
      <c r="W13" s="1602">
        <v>0</v>
      </c>
      <c r="X13" s="1602">
        <v>80</v>
      </c>
      <c r="Y13" s="1602">
        <v>240</v>
      </c>
      <c r="Z13" s="1602">
        <v>389.6</v>
      </c>
      <c r="AA13" s="1602">
        <v>0</v>
      </c>
      <c r="AB13" s="1602">
        <v>0</v>
      </c>
      <c r="AC13" s="3469"/>
      <c r="AD13" s="1602">
        <v>528</v>
      </c>
      <c r="AE13" s="1602">
        <v>792</v>
      </c>
      <c r="AF13" s="1602">
        <v>1056</v>
      </c>
      <c r="AG13" s="1602">
        <v>1056</v>
      </c>
      <c r="AH13" s="1602">
        <v>1056</v>
      </c>
      <c r="AI13" s="1602">
        <v>1022.37</v>
      </c>
      <c r="AJ13" s="1602">
        <v>1152.81</v>
      </c>
      <c r="AK13" s="1602">
        <v>740</v>
      </c>
      <c r="AL13" s="1602">
        <v>1187.3900000000001</v>
      </c>
      <c r="AM13" s="1602">
        <f>AI13*1.027*1.046</f>
        <v>1098.2727935400001</v>
      </c>
      <c r="AN13" s="1602">
        <f>SUM(AM13*1.046)</f>
        <v>1148.7933420428401</v>
      </c>
      <c r="AO13" s="4827" t="s">
        <v>2057</v>
      </c>
      <c r="AP13" s="4828"/>
      <c r="AQ13" s="4828"/>
      <c r="AR13" s="3478"/>
      <c r="AS13" s="3478"/>
      <c r="AT13" s="3478"/>
      <c r="AU13" s="3478"/>
      <c r="AV13" s="3478"/>
      <c r="AW13" s="3478"/>
      <c r="AX13" s="3479">
        <f t="shared" ref="AX13:AX23" si="14">SUM(AM13*1.03)*(1-0.01)</f>
        <v>1119.908767572738</v>
      </c>
      <c r="AY13" s="3467">
        <v>328.5</v>
      </c>
      <c r="AZ13" s="3467">
        <v>492.75</v>
      </c>
      <c r="BA13" s="3467">
        <v>657</v>
      </c>
      <c r="BB13" s="3484">
        <f>SUM(AX13*1.046)*(1-0.01)</f>
        <v>1159.7103251722731</v>
      </c>
      <c r="BC13" s="4100">
        <v>672.51</v>
      </c>
      <c r="BD13" s="3486">
        <v>324.57</v>
      </c>
      <c r="BE13" s="3486">
        <v>486.84</v>
      </c>
      <c r="BF13" s="3982"/>
    </row>
    <row r="14" spans="1:58" ht="20.25" customHeight="1" x14ac:dyDescent="0.2">
      <c r="A14" s="3466" t="s">
        <v>52</v>
      </c>
      <c r="B14" s="3467">
        <v>107.6</v>
      </c>
      <c r="C14" s="3468">
        <v>91.5</v>
      </c>
      <c r="D14" s="1731">
        <f>C14/B14*100</f>
        <v>85.037174721189587</v>
      </c>
      <c r="E14" s="1602">
        <v>103.9</v>
      </c>
      <c r="F14" s="1605">
        <f t="shared" si="0"/>
        <v>113.55191256830601</v>
      </c>
      <c r="G14" s="1602">
        <v>103.5</v>
      </c>
      <c r="H14" s="1605">
        <f t="shared" si="5"/>
        <v>99.615014436958603</v>
      </c>
      <c r="I14" s="1602">
        <v>112.9</v>
      </c>
      <c r="J14" s="1602">
        <v>50</v>
      </c>
      <c r="K14" s="1602">
        <v>74.5</v>
      </c>
      <c r="L14" s="1602">
        <v>97.9</v>
      </c>
      <c r="M14" s="1605">
        <f t="shared" si="6"/>
        <v>94.589371980676333</v>
      </c>
      <c r="N14" s="1602">
        <v>119.7</v>
      </c>
      <c r="O14" s="1605">
        <f t="shared" si="1"/>
        <v>122.26762002042901</v>
      </c>
      <c r="P14" s="1602">
        <v>118.4</v>
      </c>
      <c r="Q14" s="1605">
        <f t="shared" si="2"/>
        <v>104.87156775907881</v>
      </c>
      <c r="R14" s="1605">
        <f t="shared" si="3"/>
        <v>120.93973442288049</v>
      </c>
      <c r="S14" s="1602">
        <v>86.7</v>
      </c>
      <c r="T14" s="1602">
        <v>113.5</v>
      </c>
      <c r="U14" s="2626">
        <v>124.3</v>
      </c>
      <c r="V14" s="3469">
        <f t="shared" si="7"/>
        <v>1.0498310810810809</v>
      </c>
      <c r="W14" s="1602">
        <f>P14*1.048</f>
        <v>124.08320000000001</v>
      </c>
      <c r="X14" s="1602">
        <v>58.3</v>
      </c>
      <c r="Y14" s="1602">
        <v>86.2</v>
      </c>
      <c r="Z14" s="1602">
        <v>114.6</v>
      </c>
      <c r="AA14" s="1602">
        <v>131</v>
      </c>
      <c r="AB14" s="1602">
        <f>AA14</f>
        <v>131</v>
      </c>
      <c r="AC14" s="3469">
        <f>AB14/W14</f>
        <v>1.0557432432432432</v>
      </c>
      <c r="AD14" s="1602">
        <v>75.569999999999993</v>
      </c>
      <c r="AE14" s="1602">
        <v>113.59</v>
      </c>
      <c r="AF14" s="1602">
        <f>SUM(AB14*1.1)</f>
        <v>144.10000000000002</v>
      </c>
      <c r="AG14" s="1602">
        <f>AF14</f>
        <v>144.10000000000002</v>
      </c>
      <c r="AH14" s="1602">
        <v>158.79</v>
      </c>
      <c r="AI14" s="1602">
        <v>122.86</v>
      </c>
      <c r="AJ14" s="1602">
        <v>157.31</v>
      </c>
      <c r="AK14" s="1602">
        <v>155.08000000000001</v>
      </c>
      <c r="AL14" s="1602">
        <v>162.03</v>
      </c>
      <c r="AM14" s="1602">
        <f>AL14</f>
        <v>162.03</v>
      </c>
      <c r="AN14" s="1602">
        <f>SUM(AM14*1.046)</f>
        <v>169.48338000000001</v>
      </c>
      <c r="AO14" s="4827" t="s">
        <v>2058</v>
      </c>
      <c r="AP14" s="4828"/>
      <c r="AQ14" s="4828"/>
      <c r="AR14" s="3478"/>
      <c r="AS14" s="3478"/>
      <c r="AT14" s="3478"/>
      <c r="AU14" s="3478"/>
      <c r="AV14" s="3478"/>
      <c r="AW14" s="3478"/>
      <c r="AX14" s="3479">
        <f t="shared" si="14"/>
        <v>165.221991</v>
      </c>
      <c r="AY14" s="3467">
        <v>79.08</v>
      </c>
      <c r="AZ14" s="3467">
        <v>145.16999999999999</v>
      </c>
      <c r="BA14" s="3467">
        <v>203.41</v>
      </c>
      <c r="BB14" s="3484">
        <f>SUM(BA14*1.046)*(1-0.01)</f>
        <v>210.63919140000002</v>
      </c>
      <c r="BC14" s="4100">
        <f>SUM(AM14*(1+0.032)*0.99*(1+0.036)*0.99)</f>
        <v>169.78732805865602</v>
      </c>
      <c r="BD14" s="3486">
        <v>157.41</v>
      </c>
      <c r="BE14" s="3486">
        <v>235.82</v>
      </c>
      <c r="BF14" s="3982"/>
    </row>
    <row r="15" spans="1:58" ht="57" customHeight="1" x14ac:dyDescent="0.2">
      <c r="A15" s="3466" t="s">
        <v>31</v>
      </c>
      <c r="B15" s="3467">
        <v>2520.4</v>
      </c>
      <c r="C15" s="3468">
        <v>1777.2</v>
      </c>
      <c r="D15" s="1731">
        <f>C15/B15*100</f>
        <v>70.512617044913512</v>
      </c>
      <c r="E15" s="1602">
        <v>1991.1</v>
      </c>
      <c r="F15" s="1605">
        <f t="shared" si="0"/>
        <v>112.03578663065497</v>
      </c>
      <c r="G15" s="1602">
        <v>2194.3000000000002</v>
      </c>
      <c r="H15" s="1605">
        <f t="shared" si="5"/>
        <v>110.20541409271259</v>
      </c>
      <c r="I15" s="1602">
        <v>1991.3</v>
      </c>
      <c r="J15" s="1602">
        <v>1139.5</v>
      </c>
      <c r="K15" s="1602">
        <v>1737</v>
      </c>
      <c r="L15" s="1602">
        <v>2367.8000000000002</v>
      </c>
      <c r="M15" s="1605">
        <f t="shared" si="6"/>
        <v>107.90684956478147</v>
      </c>
      <c r="N15" s="1602">
        <v>2413.4</v>
      </c>
      <c r="O15" s="1605">
        <f t="shared" si="1"/>
        <v>101.92583833094011</v>
      </c>
      <c r="P15" s="1602">
        <v>2188.6</v>
      </c>
      <c r="Q15" s="1605">
        <f t="shared" si="2"/>
        <v>109.90810023602671</v>
      </c>
      <c r="R15" s="1605">
        <f t="shared" si="3"/>
        <v>92.431793225779188</v>
      </c>
      <c r="S15" s="1602">
        <v>2103.8000000000002</v>
      </c>
      <c r="T15" s="1602">
        <v>2562.8000000000002</v>
      </c>
      <c r="U15" s="2626">
        <v>2520</v>
      </c>
      <c r="V15" s="3469">
        <f t="shared" si="7"/>
        <v>1.1514209997258522</v>
      </c>
      <c r="W15" s="1602">
        <f>P15*1.03</f>
        <v>2254.2579999999998</v>
      </c>
      <c r="X15" s="1602">
        <v>606.20000000000005</v>
      </c>
      <c r="Y15" s="1602">
        <v>1009.7</v>
      </c>
      <c r="Z15" s="1602">
        <v>1396.8</v>
      </c>
      <c r="AA15" s="1602">
        <v>2637.1</v>
      </c>
      <c r="AB15" s="1602">
        <f>AA15</f>
        <v>2637.1</v>
      </c>
      <c r="AC15" s="3469">
        <f>AB15/W15</f>
        <v>1.1698306050150427</v>
      </c>
      <c r="AD15" s="1602">
        <v>730.2</v>
      </c>
      <c r="AE15" s="1602">
        <v>1127.3599999999999</v>
      </c>
      <c r="AF15" s="1602">
        <f>SUM(AB15*1.15)</f>
        <v>3032.6649999999995</v>
      </c>
      <c r="AG15" s="1602">
        <f>AE15/3*4*1.033</f>
        <v>1552.7505066666663</v>
      </c>
      <c r="AH15" s="1602">
        <v>1643.01</v>
      </c>
      <c r="AI15" s="1602">
        <v>1662.72</v>
      </c>
      <c r="AJ15" s="1602">
        <v>1695.1</v>
      </c>
      <c r="AK15" s="1602">
        <v>1960.9</v>
      </c>
      <c r="AL15" s="1602">
        <v>2011.89</v>
      </c>
      <c r="AM15" s="1602">
        <f>AI15*1.221*1.019</f>
        <v>2068.75456128</v>
      </c>
      <c r="AN15" s="1602">
        <f>SUM(AM15*1.046)</f>
        <v>2163.9172710988801</v>
      </c>
      <c r="AO15" s="4827" t="s">
        <v>2059</v>
      </c>
      <c r="AP15" s="4828"/>
      <c r="AQ15" s="4828"/>
      <c r="AR15" s="3481">
        <f>Z15*1.044*1.033</f>
        <v>1506.3817535999999</v>
      </c>
      <c r="AS15" s="3478">
        <f>AE15/3*4*1.033</f>
        <v>1552.7505066666663</v>
      </c>
      <c r="AT15" s="3478"/>
      <c r="AU15" s="3478"/>
      <c r="AV15" s="3478"/>
      <c r="AW15" s="3478"/>
      <c r="AX15" s="3479">
        <f t="shared" si="14"/>
        <v>2109.5090261372161</v>
      </c>
      <c r="AY15" s="3467">
        <v>810.54</v>
      </c>
      <c r="AZ15" s="3467">
        <v>1246.0899999999999</v>
      </c>
      <c r="BA15" s="3467">
        <v>1676.47</v>
      </c>
      <c r="BB15" s="3484">
        <f>SUM(AX15*1.046)*(1-0.01)</f>
        <v>2184.4809769261328</v>
      </c>
      <c r="BC15" s="4100">
        <v>1918.3</v>
      </c>
      <c r="BD15" s="3486">
        <v>825.73</v>
      </c>
      <c r="BE15" s="3486">
        <v>1391.18</v>
      </c>
      <c r="BF15" s="3982"/>
    </row>
    <row r="16" spans="1:58" ht="38.25" customHeight="1" x14ac:dyDescent="0.2">
      <c r="A16" s="3466" t="s">
        <v>70</v>
      </c>
      <c r="B16" s="3467">
        <v>113.7</v>
      </c>
      <c r="C16" s="3468">
        <v>71.400000000000006</v>
      </c>
      <c r="D16" s="1731">
        <f>C16/B16*100</f>
        <v>62.79683377308708</v>
      </c>
      <c r="E16" s="1602">
        <v>95.5</v>
      </c>
      <c r="F16" s="1605">
        <f t="shared" si="0"/>
        <v>133.75350140056022</v>
      </c>
      <c r="G16" s="1602">
        <v>111.7</v>
      </c>
      <c r="H16" s="1605">
        <f t="shared" si="5"/>
        <v>116.96335078534032</v>
      </c>
      <c r="I16" s="1602">
        <v>93.4</v>
      </c>
      <c r="J16" s="1602">
        <v>61.3</v>
      </c>
      <c r="K16" s="1602">
        <v>93.4</v>
      </c>
      <c r="L16" s="1602">
        <v>132.30000000000001</v>
      </c>
      <c r="M16" s="1605">
        <f t="shared" si="6"/>
        <v>118.44225604297225</v>
      </c>
      <c r="N16" s="1602">
        <v>122.9</v>
      </c>
      <c r="O16" s="1605">
        <f t="shared" si="1"/>
        <v>92.894935752078595</v>
      </c>
      <c r="P16" s="1602">
        <v>130.69999999999999</v>
      </c>
      <c r="Q16" s="1605">
        <f t="shared" si="2"/>
        <v>139.93576017130619</v>
      </c>
      <c r="R16" s="1605">
        <f t="shared" si="3"/>
        <v>98.790627362055915</v>
      </c>
      <c r="S16" s="1602">
        <v>58.4</v>
      </c>
      <c r="T16" s="1602">
        <v>130.69999999999999</v>
      </c>
      <c r="U16" s="2626">
        <v>148.19999999999999</v>
      </c>
      <c r="V16" s="3469">
        <f t="shared" si="7"/>
        <v>1.13389441469013</v>
      </c>
      <c r="W16" s="1602">
        <f>S16/3*4*1.048</f>
        <v>81.604266666666661</v>
      </c>
      <c r="X16" s="1602">
        <v>70</v>
      </c>
      <c r="Y16" s="1602">
        <v>94.99</v>
      </c>
      <c r="Z16" s="1602">
        <v>124.7</v>
      </c>
      <c r="AA16" s="1602">
        <v>191.1</v>
      </c>
      <c r="AB16" s="1602">
        <f>Y16/3*4*1.049</f>
        <v>132.85934666666665</v>
      </c>
      <c r="AC16" s="3469">
        <f>AB16/W16</f>
        <v>1.6280931389208406</v>
      </c>
      <c r="AD16" s="1602">
        <v>78.25</v>
      </c>
      <c r="AE16" s="1602">
        <v>112.2</v>
      </c>
      <c r="AF16" s="1602">
        <f>SUM(Z16*1.1)</f>
        <v>137.17000000000002</v>
      </c>
      <c r="AG16" s="1602">
        <f>AF16</f>
        <v>137.17000000000002</v>
      </c>
      <c r="AH16" s="1602">
        <v>173.18</v>
      </c>
      <c r="AI16" s="1602">
        <v>144.38</v>
      </c>
      <c r="AJ16" s="1602">
        <v>149.75</v>
      </c>
      <c r="AK16" s="1602">
        <v>139.22</v>
      </c>
      <c r="AL16" s="1602">
        <v>154.24</v>
      </c>
      <c r="AM16" s="1602">
        <v>154.24</v>
      </c>
      <c r="AN16" s="1602">
        <f>SUM(AM16*1.046)</f>
        <v>161.33504000000002</v>
      </c>
      <c r="AO16" s="4827" t="s">
        <v>2058</v>
      </c>
      <c r="AP16" s="4828"/>
      <c r="AQ16" s="4828"/>
      <c r="AR16" s="3478"/>
      <c r="AS16" s="3478"/>
      <c r="AT16" s="3478"/>
      <c r="AU16" s="3478"/>
      <c r="AV16" s="3478"/>
      <c r="AW16" s="3478"/>
      <c r="AX16" s="3479">
        <f t="shared" si="14"/>
        <v>157.27852800000002</v>
      </c>
      <c r="AY16" s="3467">
        <v>65.150000000000006</v>
      </c>
      <c r="AZ16" s="3467">
        <v>97.37</v>
      </c>
      <c r="BA16" s="3467">
        <f>110.84+17.7</f>
        <v>128.54</v>
      </c>
      <c r="BB16" s="3484">
        <f>SUM(AX16*1.046)*(1-0.01)</f>
        <v>162.86820688512003</v>
      </c>
      <c r="BC16" s="4100">
        <f>SUM(AM16*(1+0.032)*0.99*(1+0.036)*0.99)</f>
        <v>161.62437499084797</v>
      </c>
      <c r="BD16" s="3486">
        <v>58.12</v>
      </c>
      <c r="BE16" s="3486">
        <v>88.18</v>
      </c>
      <c r="BF16" s="3982"/>
    </row>
    <row r="17" spans="1:58" ht="20.25" customHeight="1" x14ac:dyDescent="0.2">
      <c r="A17" s="3466" t="s">
        <v>835</v>
      </c>
      <c r="B17" s="3467">
        <f>SUM(B18:B22)</f>
        <v>636.9</v>
      </c>
      <c r="C17" s="3468">
        <f>SUM(C18:C22)</f>
        <v>812.49999999999989</v>
      </c>
      <c r="D17" s="1731">
        <f>C17/B17*100</f>
        <v>127.57104726016641</v>
      </c>
      <c r="E17" s="1602">
        <f>SUM(E18:E22)</f>
        <v>929.9</v>
      </c>
      <c r="F17" s="1602">
        <f>SUM(F18:F22)</f>
        <v>498.86527273998672</v>
      </c>
      <c r="G17" s="1602">
        <f>SUM(G18:G22)</f>
        <v>882.49999999999989</v>
      </c>
      <c r="H17" s="1605">
        <f t="shared" si="5"/>
        <v>94.902677707280347</v>
      </c>
      <c r="I17" s="1602">
        <f>SUM(I18:I22)</f>
        <v>978.70000000000016</v>
      </c>
      <c r="J17" s="1602">
        <f>SUM(J18:J22)</f>
        <v>526.9</v>
      </c>
      <c r="K17" s="1602">
        <f>SUM(K18:K22)</f>
        <v>542.70000000000005</v>
      </c>
      <c r="L17" s="1602">
        <f>SUM(L18:L22)</f>
        <v>790.2</v>
      </c>
      <c r="M17" s="1605">
        <f t="shared" si="6"/>
        <v>89.541076487252141</v>
      </c>
      <c r="N17" s="1602">
        <f>SUM(N18:N22)</f>
        <v>1105.9999999999998</v>
      </c>
      <c r="O17" s="1605">
        <f t="shared" si="1"/>
        <v>139.96456593267524</v>
      </c>
      <c r="P17" s="1602">
        <f>SUM(P18:P22)</f>
        <v>868.5</v>
      </c>
      <c r="Q17" s="1605">
        <f t="shared" si="2"/>
        <v>88.740165525697336</v>
      </c>
      <c r="R17" s="1605">
        <f t="shared" si="3"/>
        <v>109.90888382687926</v>
      </c>
      <c r="S17" s="1602">
        <f>SUM(S18:S22)</f>
        <v>477.5</v>
      </c>
      <c r="T17" s="1602">
        <f>SUM(T18:T22)</f>
        <v>5233.3999999999996</v>
      </c>
      <c r="U17" s="1602">
        <f>SUM(U18:U22)</f>
        <v>990.9</v>
      </c>
      <c r="V17" s="3469">
        <f t="shared" si="7"/>
        <v>1.1409326424870465</v>
      </c>
      <c r="W17" s="1602">
        <f t="shared" ref="W17:AB17" si="15">SUM(W18:W22)</f>
        <v>729.71640000000002</v>
      </c>
      <c r="X17" s="1602">
        <f t="shared" si="15"/>
        <v>2335.7000000000003</v>
      </c>
      <c r="Y17" s="1602">
        <f t="shared" si="15"/>
        <v>2529</v>
      </c>
      <c r="Z17" s="1602">
        <f t="shared" si="15"/>
        <v>4147.5</v>
      </c>
      <c r="AA17" s="1602">
        <f t="shared" si="15"/>
        <v>5434.9</v>
      </c>
      <c r="AB17" s="1602">
        <f t="shared" si="15"/>
        <v>4876.6199500000002</v>
      </c>
      <c r="AC17" s="3469">
        <f>AB17/(W17+W25)</f>
        <v>0.96894515275477255</v>
      </c>
      <c r="AD17" s="1602">
        <f t="shared" ref="AD17:AH17" si="16">SUM(AD18:AD22)</f>
        <v>2106.85</v>
      </c>
      <c r="AE17" s="1602">
        <f t="shared" si="16"/>
        <v>2260.81</v>
      </c>
      <c r="AF17" s="1602">
        <f t="shared" si="16"/>
        <v>4616.423065</v>
      </c>
      <c r="AG17" s="1602">
        <f t="shared" si="16"/>
        <v>4448.0314096000002</v>
      </c>
      <c r="AH17" s="1602">
        <f t="shared" si="16"/>
        <v>4402.38</v>
      </c>
      <c r="AI17" s="1602">
        <v>5875.51</v>
      </c>
      <c r="AJ17" s="1602">
        <f>SUM(AJ18:AJ21)</f>
        <v>4829.2780000000002</v>
      </c>
      <c r="AK17" s="1602">
        <f>SUM(AK18:AK21)</f>
        <v>5589.7199999999993</v>
      </c>
      <c r="AL17" s="1602">
        <v>6364.15</v>
      </c>
      <c r="AM17" s="1602">
        <f t="shared" ref="AM17:AN17" si="17">SUM(AM18:AM22)</f>
        <v>6364.15</v>
      </c>
      <c r="AN17" s="1602">
        <f t="shared" si="17"/>
        <v>6656.9009000000005</v>
      </c>
      <c r="AO17" s="4827" t="s">
        <v>2058</v>
      </c>
      <c r="AP17" s="4828"/>
      <c r="AQ17" s="4828"/>
      <c r="AR17" s="3478"/>
      <c r="AS17" s="3478"/>
      <c r="AT17" s="3478"/>
      <c r="AU17" s="3478"/>
      <c r="AV17" s="3478"/>
      <c r="AW17" s="3478"/>
      <c r="AX17" s="1602">
        <f t="shared" ref="AX17" si="18">SUM(AX18:AX22)</f>
        <v>6489.5237550000002</v>
      </c>
      <c r="AY17" s="1602">
        <f>SUM(AY18:AY22)</f>
        <v>2856.7599999999993</v>
      </c>
      <c r="AZ17" s="1602">
        <f t="shared" ref="AZ17:BB17" si="19">SUM(AZ18:AZ22)</f>
        <v>3070.68</v>
      </c>
      <c r="BA17" s="1602">
        <f t="shared" si="19"/>
        <v>4324.7299999999996</v>
      </c>
      <c r="BB17" s="2371">
        <f t="shared" si="19"/>
        <v>6720.1614292526992</v>
      </c>
      <c r="BC17" s="4101">
        <f t="shared" ref="BC17" si="20">SUM(BC18:BC22)</f>
        <v>3501.1291871392</v>
      </c>
      <c r="BD17" s="2371">
        <f>SUM(BD18:BD22)</f>
        <v>1427.0500000000002</v>
      </c>
      <c r="BE17" s="2371">
        <f t="shared" ref="BE17:BF17" si="21">SUM(BE18:BE22)</f>
        <v>1567.65</v>
      </c>
      <c r="BF17" s="3487">
        <f t="shared" si="21"/>
        <v>0</v>
      </c>
    </row>
    <row r="18" spans="1:58" ht="38.25" customHeight="1" x14ac:dyDescent="0.2">
      <c r="A18" s="3470" t="s">
        <v>3677</v>
      </c>
      <c r="B18" s="3471">
        <v>240.3</v>
      </c>
      <c r="C18" s="1731">
        <v>359.1</v>
      </c>
      <c r="D18" s="1731">
        <f t="shared" ref="D18:D26" si="22">C18/B18*100</f>
        <v>149.43820224719101</v>
      </c>
      <c r="E18" s="1605">
        <v>465.8</v>
      </c>
      <c r="F18" s="1605">
        <f t="shared" ref="F18:F25" si="23">E18/C18*100</f>
        <v>129.71317181843497</v>
      </c>
      <c r="G18" s="1605">
        <v>457.7</v>
      </c>
      <c r="H18" s="1605">
        <f t="shared" si="5"/>
        <v>98.261056247316432</v>
      </c>
      <c r="I18" s="1605">
        <v>479.1</v>
      </c>
      <c r="J18" s="1605">
        <v>293.2</v>
      </c>
      <c r="K18" s="1605">
        <v>287.8</v>
      </c>
      <c r="L18" s="1605">
        <v>441.5</v>
      </c>
      <c r="M18" s="1605">
        <f t="shared" si="6"/>
        <v>96.460563688005237</v>
      </c>
      <c r="N18" s="1605">
        <v>551</v>
      </c>
      <c r="O18" s="1605">
        <f t="shared" ref="O18:O26" si="24">N18/L18*100</f>
        <v>124.80181200453002</v>
      </c>
      <c r="P18" s="1605">
        <v>512.6</v>
      </c>
      <c r="Q18" s="1605">
        <f t="shared" ref="Q18:Q26" si="25">P18/I18*100</f>
        <v>106.99227718639115</v>
      </c>
      <c r="R18" s="1605">
        <f t="shared" ref="R18:R26" si="26">P18/L18*100</f>
        <v>116.10419026047565</v>
      </c>
      <c r="S18" s="1602">
        <v>228</v>
      </c>
      <c r="T18" s="1602">
        <v>4866.7</v>
      </c>
      <c r="U18" s="2626">
        <v>550</v>
      </c>
      <c r="V18" s="3469">
        <f t="shared" si="7"/>
        <v>1.0729613733905579</v>
      </c>
      <c r="W18" s="1602">
        <f>S18/5*8*1.015</f>
        <v>370.27199999999999</v>
      </c>
      <c r="X18" s="1602">
        <v>2130</v>
      </c>
      <c r="Y18" s="1602">
        <v>2267.8000000000002</v>
      </c>
      <c r="Z18" s="1602">
        <v>3728</v>
      </c>
      <c r="AA18" s="1602">
        <v>5023</v>
      </c>
      <c r="AB18" s="1602">
        <f>1630/3*8*1.035</f>
        <v>4498.8</v>
      </c>
      <c r="AC18" s="3469">
        <f>AB18/(W18+W25)</f>
        <v>0.96262478944989949</v>
      </c>
      <c r="AD18" s="1602">
        <v>2001.55</v>
      </c>
      <c r="AE18" s="1602">
        <v>2110.23</v>
      </c>
      <c r="AF18" s="1602">
        <f>SUM(Z18*1.1)</f>
        <v>4100.8</v>
      </c>
      <c r="AG18" s="1602">
        <f>AF18</f>
        <v>4100.8</v>
      </c>
      <c r="AH18" s="1602">
        <v>4114.47</v>
      </c>
      <c r="AI18" s="1602">
        <v>4870.7</v>
      </c>
      <c r="AJ18" s="1602">
        <v>4450.2139999999999</v>
      </c>
      <c r="AK18" s="1602">
        <v>4527.49</v>
      </c>
      <c r="AL18" s="1602">
        <v>5268.15</v>
      </c>
      <c r="AM18" s="1602">
        <f>AL18</f>
        <v>5268.15</v>
      </c>
      <c r="AN18" s="1602">
        <f>SUM(AM18*1.046)</f>
        <v>5510.4848999999995</v>
      </c>
      <c r="AO18" s="4827" t="s">
        <v>2058</v>
      </c>
      <c r="AP18" s="4828"/>
      <c r="AQ18" s="4828"/>
      <c r="AR18" s="3478"/>
      <c r="AS18" s="3478"/>
      <c r="AT18" s="3478"/>
      <c r="AU18" s="3478"/>
      <c r="AV18" s="3478"/>
      <c r="AW18" s="3478"/>
      <c r="AX18" s="3479">
        <f t="shared" si="14"/>
        <v>5371.9325549999994</v>
      </c>
      <c r="AY18" s="3467">
        <v>2495.2399999999998</v>
      </c>
      <c r="AZ18" s="3467">
        <v>2522.29</v>
      </c>
      <c r="BA18" s="3467">
        <v>3285.45</v>
      </c>
      <c r="BB18" s="3484">
        <f>SUM(AX18*1.046)*(1-0.01)</f>
        <v>5562.8510380046991</v>
      </c>
      <c r="BC18" s="4100">
        <v>2792.58</v>
      </c>
      <c r="BD18" s="3486">
        <v>1269.47</v>
      </c>
      <c r="BE18" s="3486">
        <v>1336.04</v>
      </c>
      <c r="BF18" s="3982"/>
    </row>
    <row r="19" spans="1:58" ht="38.25" customHeight="1" x14ac:dyDescent="0.2">
      <c r="A19" s="3470" t="s">
        <v>547</v>
      </c>
      <c r="B19" s="3471">
        <v>27.6</v>
      </c>
      <c r="C19" s="1731">
        <v>31.9</v>
      </c>
      <c r="D19" s="1731">
        <f t="shared" si="22"/>
        <v>115.57971014492752</v>
      </c>
      <c r="E19" s="1605">
        <v>32</v>
      </c>
      <c r="F19" s="1605">
        <f t="shared" si="23"/>
        <v>100.31347962382446</v>
      </c>
      <c r="G19" s="1605">
        <v>38.4</v>
      </c>
      <c r="H19" s="1605">
        <f t="shared" si="5"/>
        <v>120</v>
      </c>
      <c r="I19" s="1605">
        <v>34.700000000000003</v>
      </c>
      <c r="J19" s="1605">
        <v>19.2</v>
      </c>
      <c r="K19" s="1605">
        <v>30.8</v>
      </c>
      <c r="L19" s="1605">
        <v>41.5</v>
      </c>
      <c r="M19" s="1605">
        <f t="shared" si="6"/>
        <v>108.07291666666667</v>
      </c>
      <c r="N19" s="1605">
        <v>42.4</v>
      </c>
      <c r="O19" s="1605">
        <f t="shared" si="24"/>
        <v>102.16867469879519</v>
      </c>
      <c r="P19" s="1605">
        <v>42.4</v>
      </c>
      <c r="Q19" s="1605">
        <f t="shared" si="25"/>
        <v>122.19020172910662</v>
      </c>
      <c r="R19" s="1605">
        <f t="shared" si="26"/>
        <v>102.16867469879519</v>
      </c>
      <c r="S19" s="1602">
        <v>1.5</v>
      </c>
      <c r="T19" s="1602">
        <v>1.5</v>
      </c>
      <c r="U19" s="2626">
        <v>44.5</v>
      </c>
      <c r="V19" s="3469">
        <f t="shared" si="7"/>
        <v>1.0495283018867925</v>
      </c>
      <c r="W19" s="1602">
        <f>P19*1.048</f>
        <v>44.435200000000002</v>
      </c>
      <c r="X19" s="1602">
        <v>0</v>
      </c>
      <c r="Y19" s="1602">
        <v>0</v>
      </c>
      <c r="Z19" s="1602">
        <v>0</v>
      </c>
      <c r="AA19" s="1602">
        <v>47</v>
      </c>
      <c r="AB19" s="1602">
        <f>(E19+G19+L19+S19)/4*1.049</f>
        <v>29.739149999999999</v>
      </c>
      <c r="AC19" s="3469">
        <f>AB19/W19</f>
        <v>0.66927008317730086</v>
      </c>
      <c r="AD19" s="1602">
        <v>0</v>
      </c>
      <c r="AE19" s="1602">
        <v>0</v>
      </c>
      <c r="AF19" s="1602">
        <f>SUM(AB19*1.1)</f>
        <v>32.713065</v>
      </c>
      <c r="AG19" s="1602">
        <v>0</v>
      </c>
      <c r="AH19" s="1602">
        <v>0</v>
      </c>
      <c r="AI19" s="1602">
        <v>0</v>
      </c>
      <c r="AJ19" s="1602">
        <v>0</v>
      </c>
      <c r="AK19" s="1602">
        <v>0</v>
      </c>
      <c r="AL19" s="1602">
        <v>30</v>
      </c>
      <c r="AM19" s="1602">
        <v>30</v>
      </c>
      <c r="AN19" s="1602">
        <f>SUM(AM19*1.046)</f>
        <v>31.380000000000003</v>
      </c>
      <c r="AO19" s="4827" t="s">
        <v>2058</v>
      </c>
      <c r="AP19" s="4828"/>
      <c r="AQ19" s="4828"/>
      <c r="AR19" s="3478"/>
      <c r="AS19" s="3478"/>
      <c r="AT19" s="3478"/>
      <c r="AU19" s="3478"/>
      <c r="AV19" s="3478"/>
      <c r="AW19" s="3478"/>
      <c r="AX19" s="3479">
        <f t="shared" si="14"/>
        <v>30.591000000000001</v>
      </c>
      <c r="AY19" s="3467">
        <v>0</v>
      </c>
      <c r="AZ19" s="3467">
        <v>0</v>
      </c>
      <c r="BA19" s="3467">
        <v>0</v>
      </c>
      <c r="BB19" s="3484">
        <f>SUM(AX19*1.046)*(1-0.01)</f>
        <v>31.678204140000005</v>
      </c>
      <c r="BC19" s="4100">
        <f t="shared" ref="BC19:BC45" si="27">SUM(AM19*(1+0.032)*0.99*(1+0.036)*0.99)</f>
        <v>31.436276256000003</v>
      </c>
      <c r="BD19" s="3486">
        <v>0</v>
      </c>
      <c r="BE19" s="3486">
        <v>0</v>
      </c>
      <c r="BF19" s="3982">
        <v>0</v>
      </c>
    </row>
    <row r="20" spans="1:58" ht="38.25" customHeight="1" x14ac:dyDescent="0.2">
      <c r="A20" s="3470" t="s">
        <v>548</v>
      </c>
      <c r="B20" s="3471">
        <v>315.7</v>
      </c>
      <c r="C20" s="1731">
        <v>352.3</v>
      </c>
      <c r="D20" s="1731">
        <f t="shared" si="22"/>
        <v>111.59328476401649</v>
      </c>
      <c r="E20" s="1605">
        <v>378.8</v>
      </c>
      <c r="F20" s="1605">
        <f t="shared" si="23"/>
        <v>107.52199829690605</v>
      </c>
      <c r="G20" s="1605">
        <v>338.8</v>
      </c>
      <c r="H20" s="1605">
        <f t="shared" si="5"/>
        <v>89.440337909186908</v>
      </c>
      <c r="I20" s="1605">
        <v>422.8</v>
      </c>
      <c r="J20" s="1605">
        <v>198.2</v>
      </c>
      <c r="K20" s="1605">
        <v>199.6</v>
      </c>
      <c r="L20" s="1605">
        <v>260.2</v>
      </c>
      <c r="M20" s="1605">
        <f t="shared" si="6"/>
        <v>76.800472255017709</v>
      </c>
      <c r="N20" s="1605">
        <v>454.4</v>
      </c>
      <c r="O20" s="1605">
        <f t="shared" si="24"/>
        <v>174.63489623366641</v>
      </c>
      <c r="P20" s="1605">
        <v>279.2</v>
      </c>
      <c r="Q20" s="1605">
        <f t="shared" si="25"/>
        <v>66.035950804162724</v>
      </c>
      <c r="R20" s="1605">
        <f t="shared" si="26"/>
        <v>107.3020753266718</v>
      </c>
      <c r="S20" s="1602">
        <v>222.9</v>
      </c>
      <c r="T20" s="1602">
        <v>315.10000000000002</v>
      </c>
      <c r="U20" s="2626">
        <v>339.3</v>
      </c>
      <c r="V20" s="3469">
        <f t="shared" si="7"/>
        <v>1.2152578796561606</v>
      </c>
      <c r="W20" s="1602">
        <f>P20</f>
        <v>279.2</v>
      </c>
      <c r="X20" s="1602">
        <v>188.9</v>
      </c>
      <c r="Y20" s="1602">
        <v>235.5</v>
      </c>
      <c r="Z20" s="1602">
        <v>385.4</v>
      </c>
      <c r="AA20" s="1602">
        <v>309.7</v>
      </c>
      <c r="AB20" s="1602">
        <f>W20*1.049</f>
        <v>292.88079999999997</v>
      </c>
      <c r="AC20" s="3469">
        <f>AB20/W20</f>
        <v>1.0489999999999999</v>
      </c>
      <c r="AD20" s="1602">
        <v>87.9</v>
      </c>
      <c r="AE20" s="1602">
        <v>124.62</v>
      </c>
      <c r="AF20" s="1602">
        <f>SUM(Z20*1.1)</f>
        <v>423.94</v>
      </c>
      <c r="AG20" s="1602">
        <f>AB20*1.062</f>
        <v>311.0394096</v>
      </c>
      <c r="AH20" s="1602">
        <v>246.83</v>
      </c>
      <c r="AI20" s="1602">
        <v>966.16</v>
      </c>
      <c r="AJ20" s="1602">
        <v>339.55399999999997</v>
      </c>
      <c r="AK20" s="1602">
        <v>1021.73</v>
      </c>
      <c r="AL20" s="1602">
        <v>1025</v>
      </c>
      <c r="AM20" s="1602">
        <v>1025</v>
      </c>
      <c r="AN20" s="1602">
        <f>SUM(AM20*1.046)</f>
        <v>1072.1500000000001</v>
      </c>
      <c r="AO20" s="4827" t="s">
        <v>2058</v>
      </c>
      <c r="AP20" s="4828"/>
      <c r="AQ20" s="4828"/>
      <c r="AR20" s="3478"/>
      <c r="AS20" s="3478"/>
      <c r="AT20" s="3478"/>
      <c r="AU20" s="3478"/>
      <c r="AV20" s="3478"/>
      <c r="AW20" s="3478"/>
      <c r="AX20" s="3479">
        <f t="shared" si="14"/>
        <v>1045.1924999999999</v>
      </c>
      <c r="AY20" s="3467">
        <v>348.03</v>
      </c>
      <c r="AZ20" s="3467">
        <v>513.28</v>
      </c>
      <c r="BA20" s="3467">
        <v>999.78</v>
      </c>
      <c r="BB20" s="3484">
        <f>SUM(AX20*1.046)*(1-0.01)</f>
        <v>1082.3386414499998</v>
      </c>
      <c r="BC20" s="4100">
        <v>634.15</v>
      </c>
      <c r="BD20" s="3486">
        <v>136.93</v>
      </c>
      <c r="BE20" s="3486">
        <v>203.98</v>
      </c>
      <c r="BF20" s="3982"/>
    </row>
    <row r="21" spans="1:58" ht="38.25" customHeight="1" x14ac:dyDescent="0.2">
      <c r="A21" s="3470" t="s">
        <v>549</v>
      </c>
      <c r="B21" s="3471">
        <v>23.9</v>
      </c>
      <c r="C21" s="1731">
        <v>47.8</v>
      </c>
      <c r="D21" s="1731">
        <f t="shared" si="22"/>
        <v>200</v>
      </c>
      <c r="E21" s="1605">
        <v>34</v>
      </c>
      <c r="F21" s="1605">
        <f t="shared" si="23"/>
        <v>71.129707112970721</v>
      </c>
      <c r="G21" s="1605">
        <v>32.799999999999997</v>
      </c>
      <c r="H21" s="1605">
        <f t="shared" si="5"/>
        <v>96.470588235294102</v>
      </c>
      <c r="I21" s="1605">
        <v>34.700000000000003</v>
      </c>
      <c r="J21" s="1605">
        <v>16.3</v>
      </c>
      <c r="K21" s="1605">
        <v>24.5</v>
      </c>
      <c r="L21" s="1605">
        <v>32.200000000000003</v>
      </c>
      <c r="M21" s="1605">
        <f t="shared" si="6"/>
        <v>98.170731707317088</v>
      </c>
      <c r="N21" s="1605">
        <v>40.6</v>
      </c>
      <c r="O21" s="1605">
        <f t="shared" si="24"/>
        <v>126.08695652173911</v>
      </c>
      <c r="P21" s="1605">
        <v>34.299999999999997</v>
      </c>
      <c r="Q21" s="1605">
        <f t="shared" si="25"/>
        <v>98.8472622478386</v>
      </c>
      <c r="R21" s="1605">
        <f t="shared" si="26"/>
        <v>106.52173913043477</v>
      </c>
      <c r="S21" s="1602">
        <v>25.1</v>
      </c>
      <c r="T21" s="1602">
        <v>33.4</v>
      </c>
      <c r="U21" s="2626">
        <v>40.1</v>
      </c>
      <c r="V21" s="3469">
        <f t="shared" si="7"/>
        <v>1.1690962099125366</v>
      </c>
      <c r="W21" s="1602">
        <f>P21*1.044</f>
        <v>35.809199999999997</v>
      </c>
      <c r="X21" s="1602">
        <v>16.8</v>
      </c>
      <c r="Y21" s="1602">
        <v>25.7</v>
      </c>
      <c r="Z21" s="1602">
        <v>34.1</v>
      </c>
      <c r="AA21" s="1602">
        <v>37.700000000000003</v>
      </c>
      <c r="AB21" s="1602">
        <f>AA21</f>
        <v>37.700000000000003</v>
      </c>
      <c r="AC21" s="3469">
        <f>AB21/W21</f>
        <v>1.0528020732102366</v>
      </c>
      <c r="AD21" s="1602">
        <v>17.399999999999999</v>
      </c>
      <c r="AE21" s="1602">
        <v>25.96</v>
      </c>
      <c r="AF21" s="1602">
        <f>SUM(AA21*1.1)</f>
        <v>41.470000000000006</v>
      </c>
      <c r="AG21" s="1602">
        <f>AD21*2*1.04</f>
        <v>36.192</v>
      </c>
      <c r="AH21" s="1602">
        <v>41.08</v>
      </c>
      <c r="AI21" s="1602">
        <v>38.65</v>
      </c>
      <c r="AJ21" s="1602">
        <v>39.51</v>
      </c>
      <c r="AK21" s="1602">
        <v>40.5</v>
      </c>
      <c r="AL21" s="1602">
        <v>41</v>
      </c>
      <c r="AM21" s="1602">
        <v>41</v>
      </c>
      <c r="AN21" s="1602">
        <f>SUM(AM21*1.046)</f>
        <v>42.886000000000003</v>
      </c>
      <c r="AO21" s="4827" t="s">
        <v>2058</v>
      </c>
      <c r="AP21" s="4828"/>
      <c r="AQ21" s="4828"/>
      <c r="AR21" s="3478"/>
      <c r="AS21" s="3478"/>
      <c r="AT21" s="3478"/>
      <c r="AU21" s="3478"/>
      <c r="AV21" s="3478"/>
      <c r="AW21" s="3478"/>
      <c r="AX21" s="3479">
        <f t="shared" si="14"/>
        <v>41.807700000000004</v>
      </c>
      <c r="AY21" s="3467">
        <v>13.49</v>
      </c>
      <c r="AZ21" s="3467">
        <v>35.11</v>
      </c>
      <c r="BA21" s="3467">
        <v>39.5</v>
      </c>
      <c r="BB21" s="3484">
        <f>SUM(AX21*1.046)*(1-0.01)</f>
        <v>43.293545657999999</v>
      </c>
      <c r="BC21" s="4100">
        <f t="shared" si="27"/>
        <v>42.962910883200003</v>
      </c>
      <c r="BD21" s="3486">
        <v>20.65</v>
      </c>
      <c r="BE21" s="3486">
        <v>27.63</v>
      </c>
      <c r="BF21" s="3982"/>
    </row>
    <row r="22" spans="1:58" ht="28.5" customHeight="1" x14ac:dyDescent="0.2">
      <c r="A22" s="3470" t="s">
        <v>550</v>
      </c>
      <c r="B22" s="3471">
        <v>29.4</v>
      </c>
      <c r="C22" s="1731">
        <v>21.4</v>
      </c>
      <c r="D22" s="1731">
        <f t="shared" si="22"/>
        <v>72.789115646258509</v>
      </c>
      <c r="E22" s="1605">
        <v>19.3</v>
      </c>
      <c r="F22" s="1605">
        <f t="shared" si="23"/>
        <v>90.186915887850475</v>
      </c>
      <c r="G22" s="1605">
        <v>14.8</v>
      </c>
      <c r="H22" s="1605">
        <f t="shared" si="5"/>
        <v>76.683937823834199</v>
      </c>
      <c r="I22" s="1605">
        <v>7.4</v>
      </c>
      <c r="J22" s="1605">
        <v>0</v>
      </c>
      <c r="K22" s="1605">
        <v>0</v>
      </c>
      <c r="L22" s="1605">
        <v>14.8</v>
      </c>
      <c r="M22" s="1605">
        <f t="shared" si="6"/>
        <v>100</v>
      </c>
      <c r="N22" s="1605">
        <v>17.600000000000001</v>
      </c>
      <c r="O22" s="1605"/>
      <c r="P22" s="1605">
        <v>0</v>
      </c>
      <c r="Q22" s="1605">
        <f t="shared" si="25"/>
        <v>0</v>
      </c>
      <c r="R22" s="1605"/>
      <c r="S22" s="1602">
        <v>0</v>
      </c>
      <c r="T22" s="1602">
        <v>16.7</v>
      </c>
      <c r="U22" s="2626">
        <v>17</v>
      </c>
      <c r="V22" s="3469"/>
      <c r="W22" s="1602">
        <f>P22</f>
        <v>0</v>
      </c>
      <c r="X22" s="1602">
        <v>0</v>
      </c>
      <c r="Y22" s="1602">
        <v>0</v>
      </c>
      <c r="Z22" s="1602">
        <v>0</v>
      </c>
      <c r="AA22" s="1602">
        <v>17.5</v>
      </c>
      <c r="AB22" s="1602">
        <f>AA22</f>
        <v>17.5</v>
      </c>
      <c r="AC22" s="3469"/>
      <c r="AD22" s="1602">
        <v>0</v>
      </c>
      <c r="AE22" s="1602">
        <v>0</v>
      </c>
      <c r="AF22" s="1602">
        <f>SUM(AB22)</f>
        <v>17.5</v>
      </c>
      <c r="AG22" s="1602">
        <v>0</v>
      </c>
      <c r="AH22" s="1602">
        <v>0</v>
      </c>
      <c r="AI22" s="1602">
        <v>0</v>
      </c>
      <c r="AJ22" s="1602">
        <v>0</v>
      </c>
      <c r="AK22" s="1602">
        <v>0</v>
      </c>
      <c r="AL22" s="1602">
        <v>0</v>
      </c>
      <c r="AM22" s="1602">
        <v>0</v>
      </c>
      <c r="AN22" s="1602">
        <v>0</v>
      </c>
      <c r="AO22" s="4827"/>
      <c r="AP22" s="4828"/>
      <c r="AQ22" s="4828"/>
      <c r="AR22" s="3478"/>
      <c r="AS22" s="3478"/>
      <c r="AT22" s="3478"/>
      <c r="AU22" s="3478"/>
      <c r="AV22" s="3478"/>
      <c r="AW22" s="3478"/>
      <c r="AX22" s="3479">
        <f t="shared" si="14"/>
        <v>0</v>
      </c>
      <c r="AY22" s="3467">
        <v>0</v>
      </c>
      <c r="AZ22" s="3467">
        <v>0</v>
      </c>
      <c r="BA22" s="3467">
        <v>0</v>
      </c>
      <c r="BB22" s="3484">
        <v>0</v>
      </c>
      <c r="BC22" s="4100">
        <f t="shared" si="27"/>
        <v>0</v>
      </c>
      <c r="BD22" s="3486">
        <v>0</v>
      </c>
      <c r="BE22" s="3486">
        <v>0</v>
      </c>
      <c r="BF22" s="3982">
        <v>0</v>
      </c>
    </row>
    <row r="23" spans="1:58" ht="27" customHeight="1" x14ac:dyDescent="0.2">
      <c r="A23" s="3466" t="s">
        <v>30</v>
      </c>
      <c r="B23" s="3467">
        <v>596.20000000000005</v>
      </c>
      <c r="C23" s="3468">
        <v>491.2</v>
      </c>
      <c r="D23" s="1731">
        <f t="shared" si="22"/>
        <v>82.388460248238843</v>
      </c>
      <c r="E23" s="1602">
        <v>434.9</v>
      </c>
      <c r="F23" s="1605">
        <f t="shared" si="23"/>
        <v>88.538273615635177</v>
      </c>
      <c r="G23" s="1602">
        <v>447.9</v>
      </c>
      <c r="H23" s="1605">
        <f t="shared" si="5"/>
        <v>102.98919291791215</v>
      </c>
      <c r="I23" s="1605">
        <v>638.6</v>
      </c>
      <c r="J23" s="1602">
        <v>240.8</v>
      </c>
      <c r="K23" s="1602">
        <v>453.7</v>
      </c>
      <c r="L23" s="1605">
        <v>604.6</v>
      </c>
      <c r="M23" s="1605">
        <f t="shared" si="6"/>
        <v>134.98548783210541</v>
      </c>
      <c r="N23" s="1602">
        <v>692.7</v>
      </c>
      <c r="O23" s="1605">
        <f t="shared" si="24"/>
        <v>114.57161759841216</v>
      </c>
      <c r="P23" s="1605">
        <v>634.6</v>
      </c>
      <c r="Q23" s="1605">
        <f t="shared" si="25"/>
        <v>99.373629815220795</v>
      </c>
      <c r="R23" s="1605">
        <f t="shared" si="26"/>
        <v>104.96195831955011</v>
      </c>
      <c r="S23" s="1602">
        <v>521.70000000000005</v>
      </c>
      <c r="T23" s="1602">
        <v>640.4</v>
      </c>
      <c r="U23" s="2626">
        <v>743.4</v>
      </c>
      <c r="V23" s="3469">
        <f t="shared" si="7"/>
        <v>1.1714465805231642</v>
      </c>
      <c r="W23" s="1602">
        <f>P23*1.048</f>
        <v>665.06080000000009</v>
      </c>
      <c r="X23" s="1602">
        <v>580.4</v>
      </c>
      <c r="Y23" s="1602">
        <v>679.7</v>
      </c>
      <c r="Z23" s="1602">
        <v>819.2</v>
      </c>
      <c r="AA23" s="1602">
        <v>748.4</v>
      </c>
      <c r="AB23" s="1602">
        <f>AA23</f>
        <v>748.4</v>
      </c>
      <c r="AC23" s="3469">
        <f>AB23/W23</f>
        <v>1.1253106482895998</v>
      </c>
      <c r="AD23" s="1602">
        <v>235.18</v>
      </c>
      <c r="AE23" s="1602">
        <v>379.87</v>
      </c>
      <c r="AF23" s="1602">
        <f>SUM(Z23*1.1)</f>
        <v>901.12000000000012</v>
      </c>
      <c r="AG23" s="1602">
        <f>AB23*1.062</f>
        <v>794.80079999999998</v>
      </c>
      <c r="AH23" s="1602">
        <v>865.88</v>
      </c>
      <c r="AI23" s="1602">
        <v>805.79</v>
      </c>
      <c r="AJ23" s="1602">
        <v>867.66</v>
      </c>
      <c r="AK23" s="1602">
        <v>902.26</v>
      </c>
      <c r="AL23" s="1602">
        <v>893.69</v>
      </c>
      <c r="AM23" s="1602">
        <f>AI23*1.027*1.046</f>
        <v>865.61346117999994</v>
      </c>
      <c r="AN23" s="1602">
        <f>SUM(AK23*1.046)</f>
        <v>943.76396</v>
      </c>
      <c r="AO23" s="4827" t="s">
        <v>2057</v>
      </c>
      <c r="AP23" s="4828"/>
      <c r="AQ23" s="4828"/>
      <c r="AR23" s="3478">
        <f>AD23*2*1.062</f>
        <v>499.52232000000004</v>
      </c>
      <c r="AS23" s="3478"/>
      <c r="AT23" s="3478"/>
      <c r="AU23" s="3478"/>
      <c r="AV23" s="3478"/>
      <c r="AW23" s="3478"/>
      <c r="AX23" s="3479">
        <f t="shared" si="14"/>
        <v>882.66604636524596</v>
      </c>
      <c r="AY23" s="3467">
        <v>519.22</v>
      </c>
      <c r="AZ23" s="3467">
        <v>656.67</v>
      </c>
      <c r="BA23" s="3467">
        <v>1000.58</v>
      </c>
      <c r="BB23" s="3484">
        <f>SUM(BA23*1.046)*(1-0.01)</f>
        <v>1036.1406132000002</v>
      </c>
      <c r="BC23" s="4100">
        <v>799.42</v>
      </c>
      <c r="BD23" s="3486">
        <v>342.67</v>
      </c>
      <c r="BE23" s="3486">
        <v>477.44</v>
      </c>
      <c r="BF23" s="3982"/>
    </row>
    <row r="24" spans="1:58" ht="20.25" customHeight="1" x14ac:dyDescent="0.2">
      <c r="A24" s="3466" t="s">
        <v>285</v>
      </c>
      <c r="B24" s="3467"/>
      <c r="C24" s="3468"/>
      <c r="D24" s="1731"/>
      <c r="E24" s="1602"/>
      <c r="F24" s="1605"/>
      <c r="G24" s="1602"/>
      <c r="H24" s="1605"/>
      <c r="I24" s="1605"/>
      <c r="J24" s="1602"/>
      <c r="K24" s="1602"/>
      <c r="L24" s="1605"/>
      <c r="M24" s="1605"/>
      <c r="N24" s="1602"/>
      <c r="O24" s="1605"/>
      <c r="P24" s="1605"/>
      <c r="Q24" s="1605"/>
      <c r="R24" s="1605"/>
      <c r="S24" s="1602"/>
      <c r="T24" s="1602"/>
      <c r="U24" s="2626"/>
      <c r="V24" s="3469"/>
      <c r="W24" s="1602">
        <f>7.607*3.39</f>
        <v>25.787730000000003</v>
      </c>
      <c r="X24" s="1602">
        <v>0</v>
      </c>
      <c r="Y24" s="1602">
        <v>0</v>
      </c>
      <c r="Z24" s="1602">
        <v>0</v>
      </c>
      <c r="AA24" s="1602">
        <v>27.2</v>
      </c>
      <c r="AB24" s="1602">
        <f>7.607/2*3.39+7.607/2*3.39*1.033</f>
        <v>26.213227545000002</v>
      </c>
      <c r="AC24" s="3469">
        <f>AB24/W24</f>
        <v>1.0165</v>
      </c>
      <c r="AD24" s="1602">
        <v>0</v>
      </c>
      <c r="AE24" s="1602">
        <v>0</v>
      </c>
      <c r="AF24" s="1602">
        <f>SUM(AA24*1.1)</f>
        <v>29.92</v>
      </c>
      <c r="AG24" s="1602">
        <v>27.1</v>
      </c>
      <c r="AH24" s="1602">
        <v>0</v>
      </c>
      <c r="AI24" s="1602">
        <v>0</v>
      </c>
      <c r="AJ24" s="1602">
        <v>47.51</v>
      </c>
      <c r="AK24" s="1602">
        <v>0</v>
      </c>
      <c r="AL24" s="1602">
        <v>48.94</v>
      </c>
      <c r="AM24" s="1602">
        <v>0</v>
      </c>
      <c r="AN24" s="1602">
        <v>0</v>
      </c>
      <c r="AO24" s="4827" t="s">
        <v>2060</v>
      </c>
      <c r="AP24" s="4828"/>
      <c r="AQ24" s="4828"/>
      <c r="AR24" s="3478"/>
      <c r="AS24" s="3478"/>
      <c r="AT24" s="3478"/>
      <c r="AU24" s="3478"/>
      <c r="AV24" s="3478"/>
      <c r="AW24" s="3478"/>
      <c r="AX24" s="3467">
        <v>0</v>
      </c>
      <c r="AY24" s="3467">
        <v>0</v>
      </c>
      <c r="AZ24" s="3467">
        <v>0</v>
      </c>
      <c r="BA24" s="3467">
        <v>0</v>
      </c>
      <c r="BB24" s="3486">
        <v>0</v>
      </c>
      <c r="BC24" s="4100">
        <f t="shared" si="27"/>
        <v>0</v>
      </c>
      <c r="BD24" s="3486">
        <v>0</v>
      </c>
      <c r="BE24" s="3486">
        <v>0</v>
      </c>
      <c r="BF24" s="3982">
        <v>0</v>
      </c>
    </row>
    <row r="25" spans="1:58" ht="20.25" customHeight="1" x14ac:dyDescent="0.2">
      <c r="A25" s="3466" t="s">
        <v>82</v>
      </c>
      <c r="B25" s="3467">
        <v>2265.5</v>
      </c>
      <c r="C25" s="3468">
        <v>2370.8000000000002</v>
      </c>
      <c r="D25" s="1731">
        <f t="shared" si="22"/>
        <v>104.64798057823882</v>
      </c>
      <c r="E25" s="1602">
        <v>3361.3</v>
      </c>
      <c r="F25" s="1605">
        <f t="shared" si="23"/>
        <v>141.77914627973681</v>
      </c>
      <c r="G25" s="1602">
        <v>3843.8</v>
      </c>
      <c r="H25" s="1605">
        <f t="shared" si="5"/>
        <v>114.35456519798888</v>
      </c>
      <c r="I25" s="1602">
        <v>2976.4</v>
      </c>
      <c r="J25" s="1602">
        <v>2205.8000000000002</v>
      </c>
      <c r="K25" s="1602">
        <v>2484.8000000000002</v>
      </c>
      <c r="L25" s="1605">
        <v>3864.3</v>
      </c>
      <c r="M25" s="1605">
        <f t="shared" si="6"/>
        <v>100.5333263957542</v>
      </c>
      <c r="N25" s="1602">
        <v>4898</v>
      </c>
      <c r="O25" s="1605">
        <f t="shared" si="24"/>
        <v>126.74999353052299</v>
      </c>
      <c r="P25" s="1605">
        <v>3475.4</v>
      </c>
      <c r="Q25" s="1605">
        <f t="shared" si="25"/>
        <v>116.76521972853111</v>
      </c>
      <c r="R25" s="1605">
        <f t="shared" si="26"/>
        <v>89.936081567166099</v>
      </c>
      <c r="S25" s="1602">
        <v>2996.7</v>
      </c>
      <c r="T25" s="1602">
        <v>0</v>
      </c>
      <c r="U25" s="2626">
        <v>4889.2</v>
      </c>
      <c r="V25" s="3469">
        <f t="shared" si="7"/>
        <v>1.4068020947229094</v>
      </c>
      <c r="W25" s="1602">
        <v>4303.2</v>
      </c>
      <c r="X25" s="1602">
        <v>0</v>
      </c>
      <c r="Y25" s="1602">
        <v>0</v>
      </c>
      <c r="Z25" s="1602">
        <v>0</v>
      </c>
      <c r="AA25" s="1602">
        <v>0</v>
      </c>
      <c r="AB25" s="1602">
        <v>0</v>
      </c>
      <c r="AC25" s="3469"/>
      <c r="AD25" s="1602">
        <v>0</v>
      </c>
      <c r="AE25" s="1602">
        <v>0</v>
      </c>
      <c r="AF25" s="1602">
        <f>SUM(Z25*1.1)</f>
        <v>0</v>
      </c>
      <c r="AG25" s="1602">
        <f>AF25</f>
        <v>0</v>
      </c>
      <c r="AH25" s="1602">
        <v>0</v>
      </c>
      <c r="AI25" s="1602">
        <v>0</v>
      </c>
      <c r="AJ25" s="1602">
        <v>0</v>
      </c>
      <c r="AK25" s="1602">
        <v>0</v>
      </c>
      <c r="AL25" s="1602">
        <v>0</v>
      </c>
      <c r="AM25" s="1602">
        <v>0</v>
      </c>
      <c r="AN25" s="1602">
        <v>0</v>
      </c>
      <c r="AO25" s="4827"/>
      <c r="AP25" s="4828"/>
      <c r="AQ25" s="4828"/>
      <c r="AR25" s="3478"/>
      <c r="AS25" s="3478"/>
      <c r="AT25" s="3478"/>
      <c r="AU25" s="3478"/>
      <c r="AV25" s="3478"/>
      <c r="AW25" s="3478"/>
      <c r="AX25" s="3467">
        <v>0</v>
      </c>
      <c r="AY25" s="3467">
        <v>0</v>
      </c>
      <c r="AZ25" s="3467"/>
      <c r="BA25" s="3467"/>
      <c r="BB25" s="3486">
        <v>0</v>
      </c>
      <c r="BC25" s="4100">
        <f t="shared" si="27"/>
        <v>0</v>
      </c>
      <c r="BD25" s="3486">
        <v>0</v>
      </c>
      <c r="BE25" s="3486"/>
      <c r="BF25" s="3982"/>
    </row>
    <row r="26" spans="1:58" ht="20.25" customHeight="1" x14ac:dyDescent="0.2">
      <c r="A26" s="3466" t="s">
        <v>837</v>
      </c>
      <c r="B26" s="3467">
        <f>SUM(B27:B41)</f>
        <v>612.30000000000007</v>
      </c>
      <c r="C26" s="3468">
        <f>SUM(C27:C41)</f>
        <v>1059.2000000000003</v>
      </c>
      <c r="D26" s="1731">
        <f t="shared" si="22"/>
        <v>172.98709782786219</v>
      </c>
      <c r="E26" s="1602">
        <f>SUM(E27:E41)</f>
        <v>1540.5</v>
      </c>
      <c r="F26" s="1602">
        <f>SUM(F27:F41)</f>
        <v>7226.5100998898079</v>
      </c>
      <c r="G26" s="1602">
        <f>SUM(G27:G41)</f>
        <v>1630.6000000000001</v>
      </c>
      <c r="H26" s="1605">
        <f t="shared" si="5"/>
        <v>105.84875040571245</v>
      </c>
      <c r="I26" s="1602">
        <f>SUM(I27:I43)</f>
        <v>574.80000000000007</v>
      </c>
      <c r="J26" s="1602">
        <f>SUM(J27:J42)</f>
        <v>833.19999999999993</v>
      </c>
      <c r="K26" s="1602">
        <f>SUM(K27:K43)</f>
        <v>1422.4999999999998</v>
      </c>
      <c r="L26" s="1602">
        <f>SUM(L27:L43)</f>
        <v>2181.3999999999996</v>
      </c>
      <c r="M26" s="1605">
        <f t="shared" si="6"/>
        <v>133.77897706365752</v>
      </c>
      <c r="N26" s="1602">
        <f>SUM(N27:N42)</f>
        <v>1609.2</v>
      </c>
      <c r="O26" s="1605">
        <f t="shared" si="24"/>
        <v>73.769139084991309</v>
      </c>
      <c r="P26" s="1602">
        <f>SUM(P27:P42)</f>
        <v>688.09999999999991</v>
      </c>
      <c r="Q26" s="1605">
        <f t="shared" si="25"/>
        <v>119.71120389700762</v>
      </c>
      <c r="R26" s="1605">
        <f t="shared" si="26"/>
        <v>31.543962592830294</v>
      </c>
      <c r="S26" s="1602">
        <f>SUM(S27:S43)</f>
        <v>1530.4999999999998</v>
      </c>
      <c r="T26" s="1602">
        <f>SUM(T27:T43)</f>
        <v>1994.6</v>
      </c>
      <c r="U26" s="1602">
        <f t="shared" ref="U26:Y26" si="28">SUM(U27:U45)</f>
        <v>1927.9999999999998</v>
      </c>
      <c r="V26" s="1602">
        <f t="shared" si="28"/>
        <v>20.175819892344588</v>
      </c>
      <c r="W26" s="1602">
        <f t="shared" si="28"/>
        <v>717.20720000000006</v>
      </c>
      <c r="X26" s="1602">
        <f t="shared" si="28"/>
        <v>567.9</v>
      </c>
      <c r="Y26" s="1602">
        <f t="shared" si="28"/>
        <v>1099.3100000000002</v>
      </c>
      <c r="Z26" s="1602">
        <f>SUM(Z27:Z45)</f>
        <v>1771.4000000000003</v>
      </c>
      <c r="AA26" s="1602">
        <f t="shared" ref="AA26:AB26" si="29">SUM(AA27:AA45)</f>
        <v>1836.6</v>
      </c>
      <c r="AB26" s="1602">
        <f t="shared" si="29"/>
        <v>884.60680579999996</v>
      </c>
      <c r="AC26" s="3469">
        <f t="shared" ref="AC26:AC36" si="30">AB26/W26</f>
        <v>1.2334048038000733</v>
      </c>
      <c r="AD26" s="1602">
        <f t="shared" ref="AD26:AM26" si="31">SUM(AD27:AD45)</f>
        <v>1469.5699999999997</v>
      </c>
      <c r="AE26" s="1602">
        <f t="shared" si="31"/>
        <v>2026.9600000000003</v>
      </c>
      <c r="AF26" s="1602">
        <f t="shared" si="31"/>
        <v>2123.25</v>
      </c>
      <c r="AG26" s="1602">
        <f>SUM(AG27:AG45)</f>
        <v>1245.10448</v>
      </c>
      <c r="AH26" s="1602">
        <f t="shared" si="31"/>
        <v>2531.66</v>
      </c>
      <c r="AI26" s="1602">
        <f t="shared" si="31"/>
        <v>2092.3800000000006</v>
      </c>
      <c r="AJ26" s="1602">
        <f t="shared" ref="AJ26" si="32">SUM(AJ27:AJ45)</f>
        <v>1339.41</v>
      </c>
      <c r="AK26" s="1602">
        <f t="shared" ref="AK26" si="33">SUM(AK27:AK45)</f>
        <v>2825.5000000000005</v>
      </c>
      <c r="AL26" s="1602">
        <f t="shared" si="31"/>
        <v>2708.1000000000004</v>
      </c>
      <c r="AM26" s="1602">
        <f t="shared" si="31"/>
        <v>1824.8485971790187</v>
      </c>
      <c r="AN26" s="1602">
        <f t="shared" ref="AN26" si="34">SUM(AN27:AN45)</f>
        <v>2979.9258978642943</v>
      </c>
      <c r="AO26" s="4827"/>
      <c r="AP26" s="4828"/>
      <c r="AQ26" s="4828"/>
      <c r="AR26" s="3478"/>
      <c r="AS26" s="3478"/>
      <c r="AT26" s="3478"/>
      <c r="AU26" s="3478"/>
      <c r="AV26" s="3478"/>
      <c r="AW26" s="3478"/>
      <c r="AX26" s="1602">
        <f t="shared" ref="AX26" si="35">SUM(AX27:AX45)</f>
        <v>1860.7981145434453</v>
      </c>
      <c r="AY26" s="1602">
        <f t="shared" ref="AY26:BB26" si="36">SUM(AY27:AY45)</f>
        <v>1588.67</v>
      </c>
      <c r="AZ26" s="1602">
        <f t="shared" si="36"/>
        <v>2434.0900000000006</v>
      </c>
      <c r="BA26" s="1602">
        <f t="shared" si="36"/>
        <v>3071.1500000000005</v>
      </c>
      <c r="BB26" s="2371">
        <f t="shared" si="36"/>
        <v>3496.5303899805376</v>
      </c>
      <c r="BC26" s="4101">
        <f t="shared" ref="BC26:BF26" si="37">SUM(BC27:BC45)</f>
        <v>1565.3675867500465</v>
      </c>
      <c r="BD26" s="2371">
        <f t="shared" si="37"/>
        <v>678.89</v>
      </c>
      <c r="BE26" s="2371">
        <f t="shared" si="37"/>
        <v>1277.2840000000001</v>
      </c>
      <c r="BF26" s="3487">
        <f t="shared" si="37"/>
        <v>0</v>
      </c>
    </row>
    <row r="27" spans="1:58" ht="45.75" customHeight="1" x14ac:dyDescent="0.2">
      <c r="A27" s="3470" t="s">
        <v>533</v>
      </c>
      <c r="B27" s="3471">
        <v>84.7</v>
      </c>
      <c r="C27" s="1731">
        <v>70.5</v>
      </c>
      <c r="D27" s="1731">
        <f t="shared" ref="D27:D41" si="38">C27/B27*100</f>
        <v>83.234946871310498</v>
      </c>
      <c r="E27" s="1602">
        <v>133.5</v>
      </c>
      <c r="F27" s="1605">
        <f t="shared" ref="F27:F41" si="39">E27/C27*100</f>
        <v>189.36170212765958</v>
      </c>
      <c r="G27" s="1605">
        <v>78.5</v>
      </c>
      <c r="H27" s="1605">
        <f t="shared" si="5"/>
        <v>58.801498127340821</v>
      </c>
      <c r="I27" s="1605">
        <v>117.7</v>
      </c>
      <c r="J27" s="1602">
        <v>78.5</v>
      </c>
      <c r="K27" s="1602">
        <v>491.2</v>
      </c>
      <c r="L27" s="1605">
        <v>491.2</v>
      </c>
      <c r="M27" s="1605">
        <f t="shared" si="6"/>
        <v>625.73248407643302</v>
      </c>
      <c r="N27" s="1605">
        <v>123</v>
      </c>
      <c r="O27" s="1605">
        <f t="shared" ref="O27:O40" si="40">N27/L27*100</f>
        <v>25.04071661237785</v>
      </c>
      <c r="P27" s="1605">
        <v>123</v>
      </c>
      <c r="Q27" s="1605">
        <f t="shared" ref="Q27:Q41" si="41">P27/I27*100</f>
        <v>104.50297366185217</v>
      </c>
      <c r="R27" s="1605">
        <f t="shared" ref="R27:R43" si="42">P27/L27*100</f>
        <v>25.04071661237785</v>
      </c>
      <c r="S27" s="1602">
        <v>192.6</v>
      </c>
      <c r="T27" s="1602">
        <v>192.6</v>
      </c>
      <c r="U27" s="2626">
        <v>240</v>
      </c>
      <c r="V27" s="3469">
        <f t="shared" si="7"/>
        <v>1.9512195121951219</v>
      </c>
      <c r="W27" s="1602">
        <f>P27*1.048</f>
        <v>128.904</v>
      </c>
      <c r="X27" s="1602">
        <v>0</v>
      </c>
      <c r="Y27" s="1602">
        <v>0</v>
      </c>
      <c r="Z27" s="1602">
        <v>242.3</v>
      </c>
      <c r="AA27" s="1602">
        <v>141</v>
      </c>
      <c r="AB27" s="1602">
        <v>141</v>
      </c>
      <c r="AC27" s="3469">
        <f t="shared" si="30"/>
        <v>1.0938372742506051</v>
      </c>
      <c r="AD27" s="1602">
        <v>0</v>
      </c>
      <c r="AE27" s="1602">
        <v>0</v>
      </c>
      <c r="AF27" s="1602">
        <f>SUM(Z27*1.1)</f>
        <v>266.53000000000003</v>
      </c>
      <c r="AG27" s="1602">
        <f>AF27</f>
        <v>266.53000000000003</v>
      </c>
      <c r="AH27" s="1602">
        <v>0</v>
      </c>
      <c r="AI27" s="1602">
        <v>0</v>
      </c>
      <c r="AJ27" s="1602">
        <v>290.95999999999998</v>
      </c>
      <c r="AK27" s="1602">
        <v>0</v>
      </c>
      <c r="AL27" s="1602">
        <v>299.69</v>
      </c>
      <c r="AM27" s="1602">
        <f>AG27*0.99*1.037*0.99*1.027*1.046</f>
        <v>291.00293753901855</v>
      </c>
      <c r="AN27" s="1602">
        <f>SUM(AM27*1.046)</f>
        <v>304.38907266581339</v>
      </c>
      <c r="AO27" s="4827" t="s">
        <v>2061</v>
      </c>
      <c r="AP27" s="4828"/>
      <c r="AQ27" s="4828"/>
      <c r="AR27" s="3478"/>
      <c r="AS27" s="3478"/>
      <c r="AT27" s="3478"/>
      <c r="AU27" s="3478"/>
      <c r="AV27" s="3478"/>
      <c r="AW27" s="3478"/>
      <c r="AX27" s="3479">
        <f t="shared" ref="AX27:AX45" si="43">SUM(AM27*1.03)*(1-0.01)</f>
        <v>296.73569540853725</v>
      </c>
      <c r="AY27" s="3467"/>
      <c r="AZ27" s="3467"/>
      <c r="BA27" s="3467"/>
      <c r="BB27" s="3484">
        <f>SUM(AX27*1.046)*(1-0.01)</f>
        <v>307.28168202335667</v>
      </c>
      <c r="BC27" s="4100">
        <f t="shared" si="27"/>
        <v>304.93495785947005</v>
      </c>
      <c r="BD27" s="3486"/>
      <c r="BE27" s="3486"/>
      <c r="BF27" s="3982"/>
    </row>
    <row r="28" spans="1:58" ht="20.25" customHeight="1" x14ac:dyDescent="0.2">
      <c r="A28" s="3470" t="s">
        <v>534</v>
      </c>
      <c r="B28" s="3471">
        <v>131.6</v>
      </c>
      <c r="C28" s="1731">
        <v>171.2</v>
      </c>
      <c r="D28" s="1731">
        <f t="shared" si="38"/>
        <v>130.09118541033436</v>
      </c>
      <c r="E28" s="1605">
        <v>112.7</v>
      </c>
      <c r="F28" s="1605">
        <f t="shared" si="39"/>
        <v>65.829439252336456</v>
      </c>
      <c r="G28" s="1605">
        <v>319</v>
      </c>
      <c r="H28" s="1605">
        <f t="shared" si="5"/>
        <v>283.05235137533271</v>
      </c>
      <c r="I28" s="1605">
        <v>102.5</v>
      </c>
      <c r="J28" s="1605">
        <v>56.8</v>
      </c>
      <c r="K28" s="1605">
        <v>159.5</v>
      </c>
      <c r="L28" s="1605">
        <v>193.1</v>
      </c>
      <c r="M28" s="1605">
        <f t="shared" si="6"/>
        <v>60.532915360501562</v>
      </c>
      <c r="N28" s="1605">
        <v>245.6</v>
      </c>
      <c r="O28" s="1605">
        <f t="shared" si="40"/>
        <v>127.18798549974106</v>
      </c>
      <c r="P28" s="1605">
        <v>223.1</v>
      </c>
      <c r="Q28" s="1605">
        <f t="shared" si="41"/>
        <v>217.65853658536588</v>
      </c>
      <c r="R28" s="1605">
        <f t="shared" si="42"/>
        <v>115.53599171413775</v>
      </c>
      <c r="S28" s="1602">
        <v>280</v>
      </c>
      <c r="T28" s="1602">
        <v>321.39999999999998</v>
      </c>
      <c r="U28" s="2626">
        <v>260.8</v>
      </c>
      <c r="V28" s="3469">
        <f t="shared" si="7"/>
        <v>1.1689825190497536</v>
      </c>
      <c r="W28" s="1602">
        <f t="shared" ref="W28:W43" si="44">P28*1.048</f>
        <v>233.80879999999999</v>
      </c>
      <c r="X28" s="1602">
        <v>4.9000000000000004</v>
      </c>
      <c r="Y28" s="1602">
        <v>142.5</v>
      </c>
      <c r="Z28" s="1602">
        <v>203.7</v>
      </c>
      <c r="AA28" s="1602">
        <v>273.2</v>
      </c>
      <c r="AB28" s="1602">
        <v>273.2</v>
      </c>
      <c r="AC28" s="3469">
        <f t="shared" si="30"/>
        <v>1.1684761223700733</v>
      </c>
      <c r="AD28" s="1602">
        <v>65.5</v>
      </c>
      <c r="AE28" s="1602">
        <v>229.74</v>
      </c>
      <c r="AF28" s="1602">
        <f>SUM(AB28*1.1)</f>
        <v>300.52000000000004</v>
      </c>
      <c r="AG28" s="1602">
        <f>AF28</f>
        <v>300.52000000000004</v>
      </c>
      <c r="AH28" s="1602">
        <v>404.68</v>
      </c>
      <c r="AI28" s="1602">
        <v>453.94</v>
      </c>
      <c r="AJ28" s="1602">
        <v>328.07</v>
      </c>
      <c r="AK28" s="1602">
        <v>658.32</v>
      </c>
      <c r="AL28" s="1602">
        <v>481.58</v>
      </c>
      <c r="AM28" s="1602">
        <f>AL28</f>
        <v>481.58</v>
      </c>
      <c r="AN28" s="1602">
        <f>SUM(AK28*1.046)</f>
        <v>688.60272000000009</v>
      </c>
      <c r="AO28" s="4827" t="s">
        <v>2058</v>
      </c>
      <c r="AP28" s="4828"/>
      <c r="AQ28" s="4828"/>
      <c r="AR28" s="3478"/>
      <c r="AS28" s="3478"/>
      <c r="AT28" s="3478"/>
      <c r="AU28" s="3478"/>
      <c r="AV28" s="3478"/>
      <c r="AW28" s="3478"/>
      <c r="AX28" s="3479">
        <f t="shared" si="43"/>
        <v>491.06712599999997</v>
      </c>
      <c r="AY28" s="3467">
        <v>304.22000000000003</v>
      </c>
      <c r="AZ28" s="3467">
        <v>706.97</v>
      </c>
      <c r="BA28" s="3467">
        <v>823.56</v>
      </c>
      <c r="BB28" s="3484">
        <f>SUM(BA28*1.046)*(1-0.01)</f>
        <v>852.82932240000002</v>
      </c>
      <c r="BC28" s="4100">
        <v>389.04</v>
      </c>
      <c r="BD28" s="3486"/>
      <c r="BE28" s="3486">
        <v>243</v>
      </c>
      <c r="BF28" s="3982"/>
    </row>
    <row r="29" spans="1:58" ht="37.5" customHeight="1" x14ac:dyDescent="0.2">
      <c r="A29" s="3470" t="s">
        <v>535</v>
      </c>
      <c r="B29" s="3471">
        <v>2</v>
      </c>
      <c r="C29" s="1731">
        <v>5</v>
      </c>
      <c r="D29" s="1731">
        <f t="shared" si="38"/>
        <v>250</v>
      </c>
      <c r="E29" s="1605">
        <v>7.5</v>
      </c>
      <c r="F29" s="1605">
        <f t="shared" si="39"/>
        <v>150</v>
      </c>
      <c r="G29" s="1605">
        <v>13.9</v>
      </c>
      <c r="H29" s="1605">
        <f t="shared" si="5"/>
        <v>185.33333333333331</v>
      </c>
      <c r="I29" s="1605">
        <v>6</v>
      </c>
      <c r="J29" s="1605">
        <v>2.9</v>
      </c>
      <c r="K29" s="1605"/>
      <c r="L29" s="1605">
        <v>19.399999999999999</v>
      </c>
      <c r="M29" s="1605">
        <f t="shared" si="6"/>
        <v>139.56834532374097</v>
      </c>
      <c r="N29" s="1605">
        <v>14.6</v>
      </c>
      <c r="O29" s="1605"/>
      <c r="P29" s="1605">
        <v>6.3</v>
      </c>
      <c r="Q29" s="1605">
        <f t="shared" si="41"/>
        <v>105</v>
      </c>
      <c r="R29" s="1605"/>
      <c r="S29" s="1602">
        <v>2.5</v>
      </c>
      <c r="T29" s="1602">
        <v>21</v>
      </c>
      <c r="U29" s="2626">
        <v>21</v>
      </c>
      <c r="V29" s="3469">
        <f t="shared" si="7"/>
        <v>3.3333333333333335</v>
      </c>
      <c r="W29" s="1602">
        <f>P29</f>
        <v>6.3</v>
      </c>
      <c r="X29" s="1602">
        <v>2.6</v>
      </c>
      <c r="Y29" s="1602">
        <v>4.91</v>
      </c>
      <c r="Z29" s="1602">
        <v>15.6</v>
      </c>
      <c r="AA29" s="1602">
        <v>6.8</v>
      </c>
      <c r="AB29" s="1602">
        <v>6.8</v>
      </c>
      <c r="AC29" s="3469">
        <f t="shared" si="30"/>
        <v>1.0793650793650793</v>
      </c>
      <c r="AD29" s="1602">
        <v>1.86</v>
      </c>
      <c r="AE29" s="1602">
        <v>12.54</v>
      </c>
      <c r="AF29" s="1602">
        <f>SUM(Z29*1.1)</f>
        <v>17.16</v>
      </c>
      <c r="AG29" s="1602">
        <f>AF29</f>
        <v>17.16</v>
      </c>
      <c r="AH29" s="1602">
        <v>18.12</v>
      </c>
      <c r="AI29" s="1602">
        <v>16.98</v>
      </c>
      <c r="AJ29" s="1602">
        <v>18.73</v>
      </c>
      <c r="AK29" s="1602">
        <v>16.98</v>
      </c>
      <c r="AL29" s="1602">
        <v>19.3</v>
      </c>
      <c r="AM29" s="1602">
        <f>AI29*1.027*1.046</f>
        <v>18.240629160000001</v>
      </c>
      <c r="AN29" s="1602">
        <f>SUM(AM29*1.046)</f>
        <v>19.079698101360002</v>
      </c>
      <c r="AO29" s="4827" t="s">
        <v>2057</v>
      </c>
      <c r="AP29" s="4828"/>
      <c r="AQ29" s="4828"/>
      <c r="AR29" s="3478"/>
      <c r="AS29" s="3478"/>
      <c r="AT29" s="3478"/>
      <c r="AU29" s="3478"/>
      <c r="AV29" s="3478"/>
      <c r="AW29" s="3478"/>
      <c r="AX29" s="3479">
        <f t="shared" si="43"/>
        <v>18.599969554452002</v>
      </c>
      <c r="AY29" s="3467">
        <v>3.16</v>
      </c>
      <c r="AZ29" s="3467">
        <v>11.32</v>
      </c>
      <c r="BA29" s="3467">
        <v>15.72</v>
      </c>
      <c r="BB29" s="3484">
        <f t="shared" ref="BB29:BB31" si="45">SUM(AX29*1.046)*(1-0.01)</f>
        <v>19.261012472417224</v>
      </c>
      <c r="BC29" s="4100">
        <f t="shared" si="27"/>
        <v>19.113915245233642</v>
      </c>
      <c r="BD29" s="3486">
        <v>3.76</v>
      </c>
      <c r="BE29" s="3486">
        <v>10.7</v>
      </c>
      <c r="BF29" s="3982"/>
    </row>
    <row r="30" spans="1:58" ht="43.5" customHeight="1" x14ac:dyDescent="0.2">
      <c r="A30" s="3470" t="s">
        <v>536</v>
      </c>
      <c r="B30" s="3471">
        <v>74.7</v>
      </c>
      <c r="C30" s="3471">
        <v>67.5</v>
      </c>
      <c r="D30" s="1731">
        <f t="shared" si="38"/>
        <v>90.361445783132524</v>
      </c>
      <c r="E30" s="1605">
        <v>69.599999999999994</v>
      </c>
      <c r="F30" s="1605">
        <f t="shared" si="39"/>
        <v>103.11111111111111</v>
      </c>
      <c r="G30" s="1605">
        <v>69.599999999999994</v>
      </c>
      <c r="H30" s="1605">
        <f t="shared" si="5"/>
        <v>100</v>
      </c>
      <c r="I30" s="1605">
        <v>66.5</v>
      </c>
      <c r="J30" s="1605">
        <v>34.799999999999997</v>
      </c>
      <c r="K30" s="1605">
        <v>50.1</v>
      </c>
      <c r="L30" s="1605">
        <v>69.400000000000006</v>
      </c>
      <c r="M30" s="1605">
        <f t="shared" si="6"/>
        <v>99.712643678160944</v>
      </c>
      <c r="N30" s="1605">
        <v>73.900000000000006</v>
      </c>
      <c r="O30" s="1605">
        <f t="shared" si="40"/>
        <v>106.48414985590777</v>
      </c>
      <c r="P30" s="1605">
        <v>70.099999999999994</v>
      </c>
      <c r="Q30" s="1605">
        <f t="shared" si="41"/>
        <v>105.41353383458645</v>
      </c>
      <c r="R30" s="1605">
        <f t="shared" si="42"/>
        <v>101.00864553314119</v>
      </c>
      <c r="S30" s="1602">
        <v>16.7</v>
      </c>
      <c r="T30" s="1602">
        <v>81.900000000000006</v>
      </c>
      <c r="U30" s="2626">
        <v>82.3</v>
      </c>
      <c r="V30" s="3469">
        <f t="shared" si="7"/>
        <v>1.1740370898716119</v>
      </c>
      <c r="W30" s="1602">
        <f>P30</f>
        <v>70.099999999999994</v>
      </c>
      <c r="X30" s="1602">
        <v>37.799999999999997</v>
      </c>
      <c r="Y30" s="1602">
        <v>56.7</v>
      </c>
      <c r="Z30" s="1602">
        <v>75.599999999999994</v>
      </c>
      <c r="AA30" s="1602">
        <v>84.2</v>
      </c>
      <c r="AB30" s="1602">
        <f>AA30</f>
        <v>84.2</v>
      </c>
      <c r="AC30" s="3469">
        <f t="shared" si="30"/>
        <v>1.2011412268188304</v>
      </c>
      <c r="AD30" s="1602">
        <v>41.55</v>
      </c>
      <c r="AE30" s="1602">
        <v>62.34</v>
      </c>
      <c r="AF30" s="1602">
        <f>SUM(AB30*1.1)</f>
        <v>92.62</v>
      </c>
      <c r="AG30" s="1602">
        <f>AE30/3*4*1.062</f>
        <v>88.273440000000008</v>
      </c>
      <c r="AH30" s="1602">
        <v>83.16</v>
      </c>
      <c r="AI30" s="1602">
        <v>83.16</v>
      </c>
      <c r="AJ30" s="1602">
        <v>88.27</v>
      </c>
      <c r="AK30" s="1602">
        <v>20.79</v>
      </c>
      <c r="AL30" s="1602">
        <v>90.91</v>
      </c>
      <c r="AM30" s="1602">
        <f>AI30*1.027*1.046</f>
        <v>89.333964719999997</v>
      </c>
      <c r="AN30" s="1602">
        <f>SUM(AM30*1.046)</f>
        <v>93.443327097120005</v>
      </c>
      <c r="AO30" s="4827" t="s">
        <v>2057</v>
      </c>
      <c r="AP30" s="4828"/>
      <c r="AQ30" s="4828"/>
      <c r="AR30" s="3478"/>
      <c r="AS30" s="3478"/>
      <c r="AT30" s="3478"/>
      <c r="AU30" s="3478"/>
      <c r="AV30" s="3478"/>
      <c r="AW30" s="3478"/>
      <c r="AX30" s="3479">
        <f t="shared" si="43"/>
        <v>91.093843824983992</v>
      </c>
      <c r="AY30" s="3467">
        <v>44.88</v>
      </c>
      <c r="AZ30" s="3467">
        <v>89.76</v>
      </c>
      <c r="BA30" s="3467">
        <v>89.76</v>
      </c>
      <c r="BB30" s="3484">
        <f t="shared" si="45"/>
        <v>94.331319034523929</v>
      </c>
      <c r="BC30" s="4100">
        <f t="shared" si="27"/>
        <v>93.610906466055923</v>
      </c>
      <c r="BD30" s="3486">
        <v>47.38</v>
      </c>
      <c r="BE30" s="3486">
        <v>47.38</v>
      </c>
      <c r="BF30" s="3982"/>
    </row>
    <row r="31" spans="1:58" ht="20.25" customHeight="1" x14ac:dyDescent="0.2">
      <c r="A31" s="3470" t="s">
        <v>537</v>
      </c>
      <c r="B31" s="3471">
        <v>17</v>
      </c>
      <c r="C31" s="1731">
        <v>50.1</v>
      </c>
      <c r="D31" s="1731">
        <f t="shared" si="38"/>
        <v>294.70588235294122</v>
      </c>
      <c r="E31" s="1605">
        <v>33</v>
      </c>
      <c r="F31" s="1605">
        <f t="shared" si="39"/>
        <v>65.868263473053887</v>
      </c>
      <c r="G31" s="1605">
        <v>29.6</v>
      </c>
      <c r="H31" s="1605">
        <f t="shared" si="5"/>
        <v>89.696969696969703</v>
      </c>
      <c r="I31" s="1605">
        <v>35.6</v>
      </c>
      <c r="J31" s="1605">
        <v>6.2</v>
      </c>
      <c r="K31" s="1605">
        <v>13.7</v>
      </c>
      <c r="L31" s="1605">
        <v>13.7</v>
      </c>
      <c r="M31" s="1605">
        <f t="shared" si="6"/>
        <v>46.283783783783775</v>
      </c>
      <c r="N31" s="1605">
        <v>37.200000000000003</v>
      </c>
      <c r="O31" s="1605">
        <f t="shared" si="40"/>
        <v>271.5328467153285</v>
      </c>
      <c r="P31" s="1605">
        <v>19.2</v>
      </c>
      <c r="Q31" s="1605">
        <f t="shared" si="41"/>
        <v>53.932584269662918</v>
      </c>
      <c r="R31" s="1605">
        <f t="shared" si="42"/>
        <v>140.14598540145985</v>
      </c>
      <c r="S31" s="1602">
        <v>23.2</v>
      </c>
      <c r="T31" s="1602">
        <v>23.3</v>
      </c>
      <c r="U31" s="2626">
        <v>20.2</v>
      </c>
      <c r="V31" s="3469">
        <f t="shared" si="7"/>
        <v>1.0520833333333333</v>
      </c>
      <c r="W31" s="1602">
        <f t="shared" si="44"/>
        <v>20.121600000000001</v>
      </c>
      <c r="X31" s="1602">
        <v>37.799999999999997</v>
      </c>
      <c r="Y31" s="1602">
        <v>47</v>
      </c>
      <c r="Z31" s="1602">
        <v>47.2</v>
      </c>
      <c r="AA31" s="1602">
        <v>21.6</v>
      </c>
      <c r="AB31" s="1602">
        <f>AA31</f>
        <v>21.6</v>
      </c>
      <c r="AC31" s="3469">
        <f t="shared" si="30"/>
        <v>1.0734732824427482</v>
      </c>
      <c r="AD31" s="1602">
        <v>39.18</v>
      </c>
      <c r="AE31" s="1602">
        <v>91.2</v>
      </c>
      <c r="AF31" s="1602">
        <f>SUM(Z31*1.1)</f>
        <v>51.920000000000009</v>
      </c>
      <c r="AG31" s="1602">
        <f>AF31</f>
        <v>51.920000000000009</v>
      </c>
      <c r="AH31" s="1602">
        <v>249.52</v>
      </c>
      <c r="AI31" s="1602">
        <v>151.34</v>
      </c>
      <c r="AJ31" s="1602">
        <v>56.68</v>
      </c>
      <c r="AK31" s="1602">
        <v>112.62</v>
      </c>
      <c r="AL31" s="1602">
        <v>160.56</v>
      </c>
      <c r="AM31" s="1602">
        <v>160.56</v>
      </c>
      <c r="AN31" s="1602">
        <f>SUM(AM31*1.046)</f>
        <v>167.94576000000001</v>
      </c>
      <c r="AO31" s="4832" t="s">
        <v>2058</v>
      </c>
      <c r="AP31" s="4833"/>
      <c r="AQ31" s="4833"/>
      <c r="AR31" s="3478"/>
      <c r="AS31" s="3478"/>
      <c r="AT31" s="3478"/>
      <c r="AU31" s="3478"/>
      <c r="AV31" s="3478"/>
      <c r="AW31" s="3478"/>
      <c r="AX31" s="3479">
        <f t="shared" si="43"/>
        <v>163.72303199999999</v>
      </c>
      <c r="AY31" s="3467">
        <v>62.71</v>
      </c>
      <c r="AZ31" s="3467">
        <v>108.63</v>
      </c>
      <c r="BA31" s="3467">
        <v>167.37</v>
      </c>
      <c r="BB31" s="3484">
        <f t="shared" si="45"/>
        <v>169.54174855728002</v>
      </c>
      <c r="BC31" s="4100">
        <f t="shared" si="27"/>
        <v>168.24695052211203</v>
      </c>
      <c r="BD31" s="3486">
        <v>68.5</v>
      </c>
      <c r="BE31" s="3486">
        <v>89.9</v>
      </c>
      <c r="BF31" s="3982"/>
    </row>
    <row r="32" spans="1:58" ht="20.25" customHeight="1" x14ac:dyDescent="0.2">
      <c r="A32" s="3470" t="s">
        <v>3544</v>
      </c>
      <c r="B32" s="3471"/>
      <c r="C32" s="1731"/>
      <c r="D32" s="1731"/>
      <c r="E32" s="1605"/>
      <c r="F32" s="1605"/>
      <c r="G32" s="1605"/>
      <c r="H32" s="1605"/>
      <c r="I32" s="1605"/>
      <c r="J32" s="1605"/>
      <c r="K32" s="1605"/>
      <c r="L32" s="1605"/>
      <c r="M32" s="1605"/>
      <c r="N32" s="1605"/>
      <c r="O32" s="1605"/>
      <c r="P32" s="1605"/>
      <c r="Q32" s="1605"/>
      <c r="R32" s="1605"/>
      <c r="S32" s="1602"/>
      <c r="T32" s="1602"/>
      <c r="U32" s="2626"/>
      <c r="V32" s="3469"/>
      <c r="W32" s="1602"/>
      <c r="X32" s="1602"/>
      <c r="Y32" s="1602"/>
      <c r="Z32" s="1602"/>
      <c r="AA32" s="1602"/>
      <c r="AB32" s="1602"/>
      <c r="AC32" s="3469"/>
      <c r="AD32" s="1602"/>
      <c r="AE32" s="1602"/>
      <c r="AF32" s="1602"/>
      <c r="AG32" s="1602"/>
      <c r="AH32" s="1602"/>
      <c r="AI32" s="1602"/>
      <c r="AJ32" s="1602"/>
      <c r="AK32" s="1602">
        <v>299.49</v>
      </c>
      <c r="AL32" s="1602"/>
      <c r="AM32" s="1602"/>
      <c r="AN32" s="1602"/>
      <c r="AO32" s="3313"/>
      <c r="AP32" s="3473"/>
      <c r="AQ32" s="3473"/>
      <c r="AR32" s="3478"/>
      <c r="AS32" s="3478"/>
      <c r="AT32" s="3478"/>
      <c r="AU32" s="3478"/>
      <c r="AV32" s="3478"/>
      <c r="AW32" s="3478"/>
      <c r="AX32" s="3479">
        <f t="shared" si="43"/>
        <v>0</v>
      </c>
      <c r="AY32" s="3467">
        <v>0</v>
      </c>
      <c r="AZ32" s="3467">
        <v>0</v>
      </c>
      <c r="BA32" s="3467">
        <v>0</v>
      </c>
      <c r="BB32" s="3484">
        <f t="shared" ref="BB32:BB33" si="46">SUM(AQ32*1.03)*(1-0.01)</f>
        <v>0</v>
      </c>
      <c r="BC32" s="4100">
        <f t="shared" si="27"/>
        <v>0</v>
      </c>
      <c r="BD32" s="3486">
        <v>0</v>
      </c>
      <c r="BE32" s="3486">
        <v>0</v>
      </c>
      <c r="BF32" s="3982">
        <v>0</v>
      </c>
    </row>
    <row r="33" spans="1:58" ht="20.25" customHeight="1" x14ac:dyDescent="0.2">
      <c r="A33" s="3470" t="s">
        <v>538</v>
      </c>
      <c r="B33" s="3471">
        <v>3.9</v>
      </c>
      <c r="C33" s="1731">
        <v>6.4</v>
      </c>
      <c r="D33" s="1731">
        <f t="shared" si="38"/>
        <v>164.10256410256412</v>
      </c>
      <c r="E33" s="1605">
        <v>7.3</v>
      </c>
      <c r="F33" s="1605">
        <f t="shared" si="39"/>
        <v>114.0625</v>
      </c>
      <c r="G33" s="1605">
        <v>6.3</v>
      </c>
      <c r="H33" s="1605">
        <f t="shared" si="5"/>
        <v>86.301369863013704</v>
      </c>
      <c r="I33" s="1605">
        <v>6</v>
      </c>
      <c r="J33" s="1605">
        <v>3.6</v>
      </c>
      <c r="K33" s="1605">
        <v>3.8</v>
      </c>
      <c r="L33" s="1605">
        <v>5.5</v>
      </c>
      <c r="M33" s="1605">
        <f t="shared" si="6"/>
        <v>87.301587301587304</v>
      </c>
      <c r="N33" s="1605">
        <v>6.8</v>
      </c>
      <c r="O33" s="1605">
        <f t="shared" si="40"/>
        <v>123.63636363636363</v>
      </c>
      <c r="P33" s="1605">
        <v>5.3</v>
      </c>
      <c r="Q33" s="1605">
        <f t="shared" si="41"/>
        <v>88.333333333333329</v>
      </c>
      <c r="R33" s="1605">
        <f t="shared" si="42"/>
        <v>96.36363636363636</v>
      </c>
      <c r="S33" s="1602">
        <v>4.2</v>
      </c>
      <c r="T33" s="1602">
        <v>4.2</v>
      </c>
      <c r="U33" s="2626">
        <v>5.7</v>
      </c>
      <c r="V33" s="3469">
        <f t="shared" si="7"/>
        <v>1.0754716981132075</v>
      </c>
      <c r="W33" s="1602">
        <f>P33</f>
        <v>5.3</v>
      </c>
      <c r="X33" s="1602">
        <v>0</v>
      </c>
      <c r="Y33" s="1602">
        <v>0</v>
      </c>
      <c r="Z33" s="1602"/>
      <c r="AA33" s="1602">
        <v>6</v>
      </c>
      <c r="AB33" s="1602">
        <f>AA33</f>
        <v>6</v>
      </c>
      <c r="AC33" s="3469">
        <f t="shared" si="30"/>
        <v>1.1320754716981132</v>
      </c>
      <c r="AD33" s="1602">
        <v>0.7</v>
      </c>
      <c r="AE33" s="1602">
        <v>0.7</v>
      </c>
      <c r="AF33" s="1602">
        <f>SUM(AB33)</f>
        <v>6</v>
      </c>
      <c r="AG33" s="1602"/>
      <c r="AH33" s="1602">
        <v>0</v>
      </c>
      <c r="AI33" s="1602">
        <v>0</v>
      </c>
      <c r="AJ33" s="1602">
        <v>0</v>
      </c>
      <c r="AK33" s="1602">
        <v>0</v>
      </c>
      <c r="AL33" s="1602">
        <v>0</v>
      </c>
      <c r="AM33" s="1602">
        <v>0</v>
      </c>
      <c r="AN33" s="1602">
        <v>0</v>
      </c>
      <c r="AO33" s="4827"/>
      <c r="AP33" s="4828"/>
      <c r="AQ33" s="4828"/>
      <c r="AR33" s="3478"/>
      <c r="AS33" s="3478"/>
      <c r="AT33" s="3478"/>
      <c r="AU33" s="3478"/>
      <c r="AV33" s="3478"/>
      <c r="AW33" s="3478"/>
      <c r="AX33" s="3479">
        <f t="shared" si="43"/>
        <v>0</v>
      </c>
      <c r="AY33" s="3467">
        <v>0</v>
      </c>
      <c r="AZ33" s="3467">
        <v>0</v>
      </c>
      <c r="BA33" s="3467">
        <v>0</v>
      </c>
      <c r="BB33" s="3484">
        <f t="shared" si="46"/>
        <v>0</v>
      </c>
      <c r="BC33" s="4100">
        <f t="shared" si="27"/>
        <v>0</v>
      </c>
      <c r="BD33" s="3486">
        <v>0</v>
      </c>
      <c r="BE33" s="3486">
        <v>0</v>
      </c>
      <c r="BF33" s="3982">
        <v>0</v>
      </c>
    </row>
    <row r="34" spans="1:58" ht="35.25" customHeight="1" x14ac:dyDescent="0.2">
      <c r="A34" s="3470" t="s">
        <v>539</v>
      </c>
      <c r="B34" s="3471">
        <v>12.6</v>
      </c>
      <c r="C34" s="3471">
        <v>3.3</v>
      </c>
      <c r="D34" s="1731">
        <f t="shared" si="38"/>
        <v>26.190476190476193</v>
      </c>
      <c r="E34" s="1605">
        <v>197.5</v>
      </c>
      <c r="F34" s="1605">
        <f t="shared" si="39"/>
        <v>5984.848484848485</v>
      </c>
      <c r="G34" s="1605">
        <v>73.2</v>
      </c>
      <c r="H34" s="1605">
        <f t="shared" si="5"/>
        <v>37.063291139240505</v>
      </c>
      <c r="I34" s="1605">
        <v>3.6</v>
      </c>
      <c r="J34" s="1605">
        <v>46.2</v>
      </c>
      <c r="K34" s="1605">
        <v>40.5</v>
      </c>
      <c r="L34" s="1605">
        <v>98.8</v>
      </c>
      <c r="M34" s="1605">
        <f t="shared" si="6"/>
        <v>134.9726775956284</v>
      </c>
      <c r="N34" s="1605">
        <v>77.3</v>
      </c>
      <c r="O34" s="1605">
        <f t="shared" si="40"/>
        <v>78.238866396761125</v>
      </c>
      <c r="P34" s="1605">
        <v>56.6</v>
      </c>
      <c r="Q34" s="1605">
        <f t="shared" si="41"/>
        <v>1572.2222222222222</v>
      </c>
      <c r="R34" s="1605">
        <f t="shared" si="42"/>
        <v>57.287449392712553</v>
      </c>
      <c r="S34" s="1602">
        <v>71.400000000000006</v>
      </c>
      <c r="T34" s="1602">
        <v>147.19999999999999</v>
      </c>
      <c r="U34" s="2626">
        <v>104</v>
      </c>
      <c r="V34" s="3469">
        <f t="shared" si="7"/>
        <v>1.8374558303886925</v>
      </c>
      <c r="W34" s="1602">
        <f t="shared" si="44"/>
        <v>59.316800000000001</v>
      </c>
      <c r="X34" s="1602">
        <v>57.1</v>
      </c>
      <c r="Y34" s="1602">
        <v>75.400000000000006</v>
      </c>
      <c r="Z34" s="1602">
        <v>120.8</v>
      </c>
      <c r="AA34" s="1602">
        <v>60.6</v>
      </c>
      <c r="AB34" s="1602">
        <f>AA34</f>
        <v>60.6</v>
      </c>
      <c r="AC34" s="3469">
        <f t="shared" si="30"/>
        <v>1.021632994362474</v>
      </c>
      <c r="AD34" s="1602">
        <v>777.98</v>
      </c>
      <c r="AE34" s="1602">
        <v>815.25</v>
      </c>
      <c r="AF34" s="1602">
        <f t="shared" ref="AF34:AF40" si="47">SUM(Z34*1.1)</f>
        <v>132.88</v>
      </c>
      <c r="AG34" s="1602">
        <f>AF34</f>
        <v>132.88</v>
      </c>
      <c r="AH34" s="1602">
        <v>386.79</v>
      </c>
      <c r="AI34" s="1602">
        <v>59.09</v>
      </c>
      <c r="AJ34" s="1602">
        <v>145.06</v>
      </c>
      <c r="AK34" s="1602">
        <v>176.23</v>
      </c>
      <c r="AL34" s="1602">
        <v>149.41</v>
      </c>
      <c r="AM34" s="1602">
        <f>AI34*1.027*1.046</f>
        <v>63.476959780000001</v>
      </c>
      <c r="AN34" s="1602">
        <f>SUM(AK34*1.046)</f>
        <v>184.33658</v>
      </c>
      <c r="AO34" s="4827" t="s">
        <v>2057</v>
      </c>
      <c r="AP34" s="4828"/>
      <c r="AQ34" s="4828"/>
      <c r="AR34" s="3478"/>
      <c r="AS34" s="3478"/>
      <c r="AT34" s="3478"/>
      <c r="AU34" s="3478"/>
      <c r="AV34" s="3478"/>
      <c r="AW34" s="3478"/>
      <c r="AX34" s="3479">
        <f t="shared" si="43"/>
        <v>64.727455887666011</v>
      </c>
      <c r="AY34" s="3467">
        <v>303.94</v>
      </c>
      <c r="AZ34" s="3467">
        <v>275.39999999999998</v>
      </c>
      <c r="BA34" s="3467">
        <v>335.86</v>
      </c>
      <c r="BB34" s="3484">
        <f t="shared" ref="BB34:BB45" si="48">SUM(BA34*1.046)*(1-0.01)</f>
        <v>347.79646440000005</v>
      </c>
      <c r="BC34" s="4100">
        <f t="shared" si="27"/>
        <v>66.515974784502703</v>
      </c>
      <c r="BD34" s="3486">
        <v>42.89</v>
      </c>
      <c r="BE34" s="3486">
        <v>42.89</v>
      </c>
      <c r="BF34" s="3982"/>
    </row>
    <row r="35" spans="1:58" ht="38.25" customHeight="1" x14ac:dyDescent="0.2">
      <c r="A35" s="3470" t="s">
        <v>540</v>
      </c>
      <c r="B35" s="3471">
        <v>135.5</v>
      </c>
      <c r="C35" s="3471">
        <v>181.6</v>
      </c>
      <c r="D35" s="1731">
        <f t="shared" si="38"/>
        <v>134.02214022140222</v>
      </c>
      <c r="E35" s="1605">
        <v>362.1</v>
      </c>
      <c r="F35" s="1605">
        <f t="shared" si="39"/>
        <v>199.39427312775334</v>
      </c>
      <c r="G35" s="1605">
        <v>395.9</v>
      </c>
      <c r="H35" s="1605">
        <f t="shared" si="5"/>
        <v>109.33443800055231</v>
      </c>
      <c r="I35" s="1605">
        <v>133.5</v>
      </c>
      <c r="J35" s="1605">
        <v>256.10000000000002</v>
      </c>
      <c r="K35" s="1605">
        <v>77.099999999999994</v>
      </c>
      <c r="L35" s="1605">
        <v>109.7</v>
      </c>
      <c r="M35" s="1605">
        <f t="shared" si="6"/>
        <v>27.709017428643602</v>
      </c>
      <c r="N35" s="1605">
        <v>139.5</v>
      </c>
      <c r="O35" s="1605">
        <f t="shared" si="40"/>
        <v>127.16499544211486</v>
      </c>
      <c r="P35" s="1605">
        <v>107.8</v>
      </c>
      <c r="Q35" s="1605">
        <f t="shared" si="41"/>
        <v>80.749063670411985</v>
      </c>
      <c r="R35" s="1605">
        <f t="shared" si="42"/>
        <v>98.268003646308117</v>
      </c>
      <c r="S35" s="1602">
        <v>214</v>
      </c>
      <c r="T35" s="1602">
        <v>253.7</v>
      </c>
      <c r="U35" s="2626">
        <v>176.8</v>
      </c>
      <c r="V35" s="3469">
        <f t="shared" si="7"/>
        <v>1.6400742115027831</v>
      </c>
      <c r="W35" s="1602">
        <f t="shared" si="44"/>
        <v>112.9744</v>
      </c>
      <c r="X35" s="1602">
        <v>7.9</v>
      </c>
      <c r="Y35" s="1602">
        <v>20.100000000000001</v>
      </c>
      <c r="Z35" s="1602">
        <v>43.2</v>
      </c>
      <c r="AA35" s="1602">
        <v>178</v>
      </c>
      <c r="AB35" s="1602">
        <v>28.16</v>
      </c>
      <c r="AC35" s="3469">
        <f t="shared" si="30"/>
        <v>0.24926000934725034</v>
      </c>
      <c r="AD35" s="1602">
        <v>59.79</v>
      </c>
      <c r="AE35" s="1602">
        <v>117.23</v>
      </c>
      <c r="AF35" s="1602">
        <f t="shared" si="47"/>
        <v>47.52000000000001</v>
      </c>
      <c r="AG35" s="1602">
        <f>AF35</f>
        <v>47.52000000000001</v>
      </c>
      <c r="AH35" s="1602">
        <v>122.83</v>
      </c>
      <c r="AI35" s="1602">
        <v>51.35</v>
      </c>
      <c r="AJ35" s="1602">
        <v>51.88</v>
      </c>
      <c r="AK35" s="1602">
        <v>74.92</v>
      </c>
      <c r="AL35" s="1602">
        <v>54.48</v>
      </c>
      <c r="AM35" s="1602">
        <v>54.48</v>
      </c>
      <c r="AN35" s="1602">
        <f>SUM(AK35*1.046)</f>
        <v>78.366320000000002</v>
      </c>
      <c r="AO35" s="4832" t="s">
        <v>2058</v>
      </c>
      <c r="AP35" s="4833"/>
      <c r="AQ35" s="4833"/>
      <c r="AR35" s="3478"/>
      <c r="AS35" s="3478"/>
      <c r="AT35" s="3478"/>
      <c r="AU35" s="3478"/>
      <c r="AV35" s="3478"/>
      <c r="AW35" s="3478"/>
      <c r="AX35" s="3479">
        <f t="shared" si="43"/>
        <v>55.553255999999998</v>
      </c>
      <c r="AY35" s="3467">
        <v>241.36</v>
      </c>
      <c r="AZ35" s="3467">
        <v>355.3</v>
      </c>
      <c r="BA35" s="3467">
        <v>399.48</v>
      </c>
      <c r="BB35" s="3484">
        <f t="shared" si="48"/>
        <v>413.67751920000001</v>
      </c>
      <c r="BC35" s="4100">
        <f t="shared" si="27"/>
        <v>57.088277680895999</v>
      </c>
      <c r="BD35" s="3484">
        <v>82.055000000000007</v>
      </c>
      <c r="BE35" s="3486">
        <v>98.41</v>
      </c>
      <c r="BF35" s="3982"/>
    </row>
    <row r="36" spans="1:58" ht="38.25" customHeight="1" x14ac:dyDescent="0.2">
      <c r="A36" s="3470" t="s">
        <v>541</v>
      </c>
      <c r="B36" s="3471">
        <v>46.1</v>
      </c>
      <c r="C36" s="1731">
        <v>102.2</v>
      </c>
      <c r="D36" s="1731">
        <f t="shared" si="38"/>
        <v>221.69197396963125</v>
      </c>
      <c r="E36" s="1605">
        <v>50.2</v>
      </c>
      <c r="F36" s="1605">
        <f t="shared" si="39"/>
        <v>49.119373776908027</v>
      </c>
      <c r="G36" s="1605">
        <v>38.799999999999997</v>
      </c>
      <c r="H36" s="1605">
        <f t="shared" si="5"/>
        <v>77.290836653386435</v>
      </c>
      <c r="I36" s="1605">
        <v>56.8</v>
      </c>
      <c r="J36" s="1605">
        <v>23.8</v>
      </c>
      <c r="K36" s="1605">
        <v>39.299999999999997</v>
      </c>
      <c r="L36" s="1605">
        <v>30.8</v>
      </c>
      <c r="M36" s="1605">
        <f t="shared" si="6"/>
        <v>79.381443298969074</v>
      </c>
      <c r="N36" s="1605">
        <v>59.4</v>
      </c>
      <c r="O36" s="1605">
        <f t="shared" si="40"/>
        <v>192.85714285714283</v>
      </c>
      <c r="P36" s="1605">
        <v>55</v>
      </c>
      <c r="Q36" s="1605">
        <f t="shared" si="41"/>
        <v>96.83098591549296</v>
      </c>
      <c r="R36" s="1605">
        <f t="shared" si="42"/>
        <v>178.57142857142856</v>
      </c>
      <c r="S36" s="1602">
        <v>18.2</v>
      </c>
      <c r="T36" s="1602">
        <v>13.8</v>
      </c>
      <c r="U36" s="2626">
        <v>59.6</v>
      </c>
      <c r="V36" s="3469">
        <f t="shared" si="7"/>
        <v>1.0836363636363637</v>
      </c>
      <c r="W36" s="1602">
        <f t="shared" si="44"/>
        <v>57.64</v>
      </c>
      <c r="X36" s="1602">
        <v>3.8</v>
      </c>
      <c r="Y36" s="1602">
        <v>3.8</v>
      </c>
      <c r="Z36" s="1602">
        <v>44.6</v>
      </c>
      <c r="AA36" s="1602">
        <v>65.599999999999994</v>
      </c>
      <c r="AB36" s="1602">
        <f>13.8*1.077*1.049</f>
        <v>15.590867399999999</v>
      </c>
      <c r="AC36" s="3469">
        <f t="shared" si="30"/>
        <v>0.27048694309507282</v>
      </c>
      <c r="AD36" s="1602">
        <v>26.9</v>
      </c>
      <c r="AE36" s="1602">
        <v>26.9</v>
      </c>
      <c r="AF36" s="1602">
        <f t="shared" si="47"/>
        <v>49.06</v>
      </c>
      <c r="AG36" s="1602">
        <f>AF36</f>
        <v>49.06</v>
      </c>
      <c r="AH36" s="1602">
        <v>145.01</v>
      </c>
      <c r="AI36" s="1602">
        <v>58.6</v>
      </c>
      <c r="AJ36" s="1602">
        <v>53.56</v>
      </c>
      <c r="AK36" s="1602">
        <v>98.04</v>
      </c>
      <c r="AL36" s="1602">
        <v>62.17</v>
      </c>
      <c r="AM36" s="1602">
        <v>62.17</v>
      </c>
      <c r="AN36" s="1602">
        <f>SUM(AK36*1.046)</f>
        <v>102.54984000000002</v>
      </c>
      <c r="AO36" s="4827" t="s">
        <v>2058</v>
      </c>
      <c r="AP36" s="4828"/>
      <c r="AQ36" s="4828"/>
      <c r="AR36" s="3478"/>
      <c r="AS36" s="3478"/>
      <c r="AT36" s="3478"/>
      <c r="AU36" s="3478"/>
      <c r="AV36" s="3478"/>
      <c r="AW36" s="3478"/>
      <c r="AX36" s="3479">
        <f t="shared" si="43"/>
        <v>63.394748999999997</v>
      </c>
      <c r="AY36" s="3467">
        <v>72.2</v>
      </c>
      <c r="AZ36" s="3467">
        <v>77.900000000000006</v>
      </c>
      <c r="BA36" s="3467">
        <v>132.04</v>
      </c>
      <c r="BB36" s="3484">
        <f t="shared" si="48"/>
        <v>136.73270160000001</v>
      </c>
      <c r="BC36" s="4100">
        <f t="shared" si="27"/>
        <v>65.14644316118401</v>
      </c>
      <c r="BD36" s="3486">
        <v>51.78</v>
      </c>
      <c r="BE36" s="3486">
        <v>51.78</v>
      </c>
      <c r="BF36" s="3982"/>
    </row>
    <row r="37" spans="1:58" ht="20.25" customHeight="1" x14ac:dyDescent="0.2">
      <c r="A37" s="3474" t="s">
        <v>554</v>
      </c>
      <c r="B37" s="3471">
        <v>21.5</v>
      </c>
      <c r="C37" s="1731">
        <v>304.3</v>
      </c>
      <c r="D37" s="1731">
        <f t="shared" si="38"/>
        <v>1415.3488372093025</v>
      </c>
      <c r="E37" s="1605">
        <v>523.9</v>
      </c>
      <c r="F37" s="1605">
        <f t="shared" si="39"/>
        <v>172.16562602694708</v>
      </c>
      <c r="G37" s="1605">
        <v>556</v>
      </c>
      <c r="H37" s="1605">
        <f t="shared" si="5"/>
        <v>106.12712349685054</v>
      </c>
      <c r="I37" s="1605">
        <v>0</v>
      </c>
      <c r="J37" s="1605">
        <v>275.10000000000002</v>
      </c>
      <c r="K37" s="1605">
        <v>473.8</v>
      </c>
      <c r="L37" s="1605">
        <v>672.1</v>
      </c>
      <c r="M37" s="1605">
        <f t="shared" si="6"/>
        <v>120.88129496402877</v>
      </c>
      <c r="N37" s="1605">
        <v>715</v>
      </c>
      <c r="O37" s="1605">
        <f t="shared" si="40"/>
        <v>106.38297872340425</v>
      </c>
      <c r="P37" s="1605">
        <v>0</v>
      </c>
      <c r="Q37" s="1605"/>
      <c r="R37" s="1605">
        <f t="shared" si="42"/>
        <v>0</v>
      </c>
      <c r="S37" s="1602">
        <v>540.79999999999995</v>
      </c>
      <c r="T37" s="1602">
        <v>706</v>
      </c>
      <c r="U37" s="2626">
        <v>741.3</v>
      </c>
      <c r="V37" s="3469"/>
      <c r="W37" s="1602">
        <f t="shared" si="44"/>
        <v>0</v>
      </c>
      <c r="X37" s="1602">
        <v>313.60000000000002</v>
      </c>
      <c r="Y37" s="1602">
        <v>497.5</v>
      </c>
      <c r="Z37" s="1602">
        <v>652.29999999999995</v>
      </c>
      <c r="AA37" s="1602">
        <v>735</v>
      </c>
      <c r="AB37" s="1602">
        <v>0</v>
      </c>
      <c r="AC37" s="3469"/>
      <c r="AD37" s="1602">
        <v>306.45999999999998</v>
      </c>
      <c r="AE37" s="1602">
        <v>459.06</v>
      </c>
      <c r="AF37" s="1602">
        <f t="shared" si="47"/>
        <v>717.53</v>
      </c>
      <c r="AG37" s="1602">
        <v>0</v>
      </c>
      <c r="AH37" s="1602">
        <v>632.22</v>
      </c>
      <c r="AI37" s="1602">
        <v>579.72</v>
      </c>
      <c r="AJ37" s="1602">
        <v>0</v>
      </c>
      <c r="AK37" s="1602">
        <v>524.98</v>
      </c>
      <c r="AL37" s="1602">
        <v>615.02</v>
      </c>
      <c r="AM37" s="1602">
        <v>0</v>
      </c>
      <c r="AN37" s="1602">
        <f>SUM(AK37*1.046)</f>
        <v>549.12908000000004</v>
      </c>
      <c r="AO37" s="4832" t="s">
        <v>2062</v>
      </c>
      <c r="AP37" s="4833"/>
      <c r="AQ37" s="4833"/>
      <c r="AR37" s="3478"/>
      <c r="AS37" s="3478"/>
      <c r="AT37" s="3478"/>
      <c r="AU37" s="3478"/>
      <c r="AV37" s="3478"/>
      <c r="AW37" s="3478"/>
      <c r="AX37" s="3479">
        <f t="shared" si="43"/>
        <v>0</v>
      </c>
      <c r="AY37" s="3467">
        <v>229.72</v>
      </c>
      <c r="AZ37" s="3467">
        <v>335.92</v>
      </c>
      <c r="BA37" s="3467">
        <v>447.57</v>
      </c>
      <c r="BB37" s="3484">
        <f t="shared" si="48"/>
        <v>463.47663780000005</v>
      </c>
      <c r="BC37" s="4100">
        <f t="shared" si="27"/>
        <v>0</v>
      </c>
      <c r="BD37" s="3486">
        <v>197.1</v>
      </c>
      <c r="BE37" s="3486">
        <v>288.26</v>
      </c>
      <c r="BF37" s="3982"/>
    </row>
    <row r="38" spans="1:58" ht="20.25" customHeight="1" x14ac:dyDescent="0.2">
      <c r="A38" s="3474" t="s">
        <v>568</v>
      </c>
      <c r="B38" s="3471"/>
      <c r="C38" s="1731"/>
      <c r="D38" s="1731"/>
      <c r="E38" s="1605"/>
      <c r="F38" s="1605"/>
      <c r="G38" s="1605"/>
      <c r="H38" s="1605"/>
      <c r="I38" s="1605"/>
      <c r="J38" s="1605"/>
      <c r="K38" s="1605"/>
      <c r="L38" s="1605"/>
      <c r="M38" s="1605"/>
      <c r="N38" s="1605"/>
      <c r="O38" s="1605"/>
      <c r="P38" s="1605"/>
      <c r="Q38" s="1605"/>
      <c r="R38" s="1605"/>
      <c r="S38" s="1602"/>
      <c r="T38" s="1602"/>
      <c r="U38" s="2626"/>
      <c r="V38" s="3469"/>
      <c r="W38" s="1602"/>
      <c r="X38" s="1602"/>
      <c r="Y38" s="1602"/>
      <c r="Z38" s="1602">
        <v>35.9</v>
      </c>
      <c r="AA38" s="1602"/>
      <c r="AB38" s="1602"/>
      <c r="AC38" s="3469"/>
      <c r="AD38" s="1602">
        <v>21.6</v>
      </c>
      <c r="AE38" s="1602">
        <v>34.4</v>
      </c>
      <c r="AF38" s="1602">
        <f t="shared" si="47"/>
        <v>39.49</v>
      </c>
      <c r="AG38" s="1602">
        <v>0</v>
      </c>
      <c r="AH38" s="1602">
        <v>172.41</v>
      </c>
      <c r="AI38" s="1602">
        <v>318.67</v>
      </c>
      <c r="AJ38" s="1602">
        <v>0</v>
      </c>
      <c r="AK38" s="1602">
        <v>379.71</v>
      </c>
      <c r="AL38" s="1602">
        <v>338.08</v>
      </c>
      <c r="AM38" s="1602">
        <f>AL38</f>
        <v>338.08</v>
      </c>
      <c r="AN38" s="1602">
        <f>SUM(AK38*1.046)</f>
        <v>397.17665999999997</v>
      </c>
      <c r="AO38" s="4832" t="s">
        <v>2058</v>
      </c>
      <c r="AP38" s="4833"/>
      <c r="AQ38" s="4833"/>
      <c r="AR38" s="3478"/>
      <c r="AS38" s="3478"/>
      <c r="AT38" s="3478"/>
      <c r="AU38" s="3478"/>
      <c r="AV38" s="3478"/>
      <c r="AW38" s="3478"/>
      <c r="AX38" s="3479">
        <f t="shared" si="43"/>
        <v>344.74017599999996</v>
      </c>
      <c r="AY38" s="3467">
        <v>42.52</v>
      </c>
      <c r="AZ38" s="3467">
        <v>66.77</v>
      </c>
      <c r="BA38" s="3467">
        <v>101.84</v>
      </c>
      <c r="BB38" s="3484">
        <f t="shared" si="48"/>
        <v>105.4593936</v>
      </c>
      <c r="BC38" s="4100">
        <v>105.51</v>
      </c>
      <c r="BD38" s="3486">
        <v>35.39</v>
      </c>
      <c r="BE38" s="3486">
        <v>61.9</v>
      </c>
      <c r="BF38" s="3982"/>
    </row>
    <row r="39" spans="1:58" ht="38.25" customHeight="1" x14ac:dyDescent="0.2">
      <c r="A39" s="3470" t="s">
        <v>542</v>
      </c>
      <c r="B39" s="3471">
        <v>57</v>
      </c>
      <c r="C39" s="1731">
        <v>74.2</v>
      </c>
      <c r="D39" s="1731">
        <f t="shared" si="38"/>
        <v>130.17543859649123</v>
      </c>
      <c r="E39" s="1605">
        <v>24.3</v>
      </c>
      <c r="F39" s="1605">
        <f t="shared" si="39"/>
        <v>32.749326145552558</v>
      </c>
      <c r="G39" s="1605">
        <v>26.9</v>
      </c>
      <c r="H39" s="1605">
        <f t="shared" si="5"/>
        <v>110.69958847736625</v>
      </c>
      <c r="I39" s="1605">
        <v>26.1</v>
      </c>
      <c r="J39" s="1605">
        <v>12.9</v>
      </c>
      <c r="K39" s="1605">
        <v>3.8</v>
      </c>
      <c r="L39" s="1605">
        <v>8.1</v>
      </c>
      <c r="M39" s="1605">
        <f t="shared" si="6"/>
        <v>30.111524163568777</v>
      </c>
      <c r="N39" s="1605">
        <v>27.3</v>
      </c>
      <c r="O39" s="1605">
        <f t="shared" si="40"/>
        <v>337.03703703703707</v>
      </c>
      <c r="P39" s="1605">
        <v>5.3</v>
      </c>
      <c r="Q39" s="1605">
        <f t="shared" si="41"/>
        <v>20.306513409961685</v>
      </c>
      <c r="R39" s="1605">
        <f t="shared" si="42"/>
        <v>65.432098765432102</v>
      </c>
      <c r="S39" s="1602">
        <v>17.7</v>
      </c>
      <c r="T39" s="1602">
        <v>21.2</v>
      </c>
      <c r="U39" s="2626">
        <v>9.5</v>
      </c>
      <c r="V39" s="3469">
        <f t="shared" si="7"/>
        <v>1.7924528301886793</v>
      </c>
      <c r="W39" s="1602">
        <f t="shared" si="44"/>
        <v>5.5544000000000002</v>
      </c>
      <c r="X39" s="1602">
        <v>14</v>
      </c>
      <c r="Y39" s="1602">
        <v>27.5</v>
      </c>
      <c r="Z39" s="1602">
        <v>48.8</v>
      </c>
      <c r="AA39" s="1602">
        <v>6.4</v>
      </c>
      <c r="AB39" s="1602">
        <f>W39*1.049</f>
        <v>5.8265655999999995</v>
      </c>
      <c r="AC39" s="3469">
        <f>AB39/W39</f>
        <v>1.0489999999999999</v>
      </c>
      <c r="AD39" s="1602">
        <v>18.73</v>
      </c>
      <c r="AE39" s="1602">
        <v>27.19</v>
      </c>
      <c r="AF39" s="1602">
        <f t="shared" si="47"/>
        <v>53.68</v>
      </c>
      <c r="AG39" s="1602">
        <f>AE39/3*4*1.062</f>
        <v>38.501040000000003</v>
      </c>
      <c r="AH39" s="1602">
        <v>114.88</v>
      </c>
      <c r="AI39" s="1602">
        <v>91.34</v>
      </c>
      <c r="AJ39" s="1602">
        <v>42.024999999999999</v>
      </c>
      <c r="AK39" s="1602">
        <v>62.89</v>
      </c>
      <c r="AL39" s="1602">
        <v>96.9</v>
      </c>
      <c r="AM39" s="1602">
        <f>AL39</f>
        <v>96.9</v>
      </c>
      <c r="AN39" s="1602">
        <f>SUM(AM39*1.046)</f>
        <v>101.35740000000001</v>
      </c>
      <c r="AO39" s="4827" t="s">
        <v>2058</v>
      </c>
      <c r="AP39" s="4828"/>
      <c r="AQ39" s="4828"/>
      <c r="AR39" s="3478"/>
      <c r="AS39" s="3478"/>
      <c r="AT39" s="3478" t="s">
        <v>984</v>
      </c>
      <c r="AU39" s="3478"/>
      <c r="AV39" s="3478"/>
      <c r="AW39" s="3478"/>
      <c r="AX39" s="3479">
        <f t="shared" si="43"/>
        <v>98.808930000000004</v>
      </c>
      <c r="AY39" s="3467">
        <v>88.38</v>
      </c>
      <c r="AZ39" s="3467">
        <v>118.14</v>
      </c>
      <c r="BA39" s="3467">
        <v>140.88</v>
      </c>
      <c r="BB39" s="3484">
        <f t="shared" si="48"/>
        <v>145.88687519999999</v>
      </c>
      <c r="BC39" s="4100">
        <v>93.93</v>
      </c>
      <c r="BD39" s="3486">
        <v>35.79</v>
      </c>
      <c r="BE39" s="3484">
        <v>68.519000000000005</v>
      </c>
      <c r="BF39" s="3982"/>
    </row>
    <row r="40" spans="1:58" ht="38.25" customHeight="1" x14ac:dyDescent="0.2">
      <c r="A40" s="3470" t="s">
        <v>543</v>
      </c>
      <c r="B40" s="3471">
        <v>21.7</v>
      </c>
      <c r="C40" s="1731">
        <v>18.899999999999999</v>
      </c>
      <c r="D40" s="1731">
        <f t="shared" si="38"/>
        <v>87.096774193548384</v>
      </c>
      <c r="E40" s="1605">
        <v>18.899999999999999</v>
      </c>
      <c r="F40" s="1605">
        <f t="shared" si="39"/>
        <v>100</v>
      </c>
      <c r="G40" s="1605">
        <v>18.2</v>
      </c>
      <c r="H40" s="1605">
        <f t="shared" si="5"/>
        <v>96.296296296296305</v>
      </c>
      <c r="I40" s="1605">
        <v>15.7</v>
      </c>
      <c r="J40" s="1605">
        <v>36.299999999999997</v>
      </c>
      <c r="K40" s="1605">
        <v>41.1</v>
      </c>
      <c r="L40" s="1605">
        <v>57.5</v>
      </c>
      <c r="M40" s="1605">
        <f t="shared" si="6"/>
        <v>315.93406593406598</v>
      </c>
      <c r="N40" s="1605">
        <v>16.399999999999999</v>
      </c>
      <c r="O40" s="1605">
        <f t="shared" si="40"/>
        <v>28.521739130434781</v>
      </c>
      <c r="P40" s="1605">
        <v>16.399999999999999</v>
      </c>
      <c r="Q40" s="1605">
        <f t="shared" si="41"/>
        <v>104.45859872611464</v>
      </c>
      <c r="R40" s="1605">
        <f t="shared" si="42"/>
        <v>28.521739130434781</v>
      </c>
      <c r="S40" s="1602">
        <v>22.1</v>
      </c>
      <c r="T40" s="1602">
        <v>35.799999999999997</v>
      </c>
      <c r="U40" s="2626">
        <v>66.7</v>
      </c>
      <c r="V40" s="3469">
        <f t="shared" si="7"/>
        <v>4.0670731707317076</v>
      </c>
      <c r="W40" s="1602">
        <f t="shared" si="44"/>
        <v>17.187200000000001</v>
      </c>
      <c r="X40" s="1602">
        <v>30.9</v>
      </c>
      <c r="Y40" s="1602">
        <v>47.6</v>
      </c>
      <c r="Z40" s="1602">
        <v>100.9</v>
      </c>
      <c r="AA40" s="1602">
        <v>34.6</v>
      </c>
      <c r="AB40" s="1602">
        <f>W40*1.049</f>
        <v>18.029372800000001</v>
      </c>
      <c r="AC40" s="3469">
        <f>AB40/W40</f>
        <v>1.0489999999999999</v>
      </c>
      <c r="AD40" s="1602">
        <v>79.8</v>
      </c>
      <c r="AE40" s="1602">
        <v>108.69</v>
      </c>
      <c r="AF40" s="1602">
        <f t="shared" si="47"/>
        <v>110.99000000000001</v>
      </c>
      <c r="AG40" s="1602">
        <f>AF40</f>
        <v>110.99000000000001</v>
      </c>
      <c r="AH40" s="1602">
        <v>136.12</v>
      </c>
      <c r="AI40" s="1602">
        <v>153.36000000000001</v>
      </c>
      <c r="AJ40" s="1602">
        <v>121.155</v>
      </c>
      <c r="AK40" s="1602">
        <v>260.49</v>
      </c>
      <c r="AL40" s="1602">
        <v>162.69999999999999</v>
      </c>
      <c r="AM40" s="1602">
        <f>AI40</f>
        <v>153.36000000000001</v>
      </c>
      <c r="AN40" s="1602">
        <f>SUM(AK40*1.046)</f>
        <v>272.47254000000004</v>
      </c>
      <c r="AO40" s="4832" t="s">
        <v>2063</v>
      </c>
      <c r="AP40" s="4833"/>
      <c r="AQ40" s="4833"/>
      <c r="AR40" s="3478"/>
      <c r="AS40" s="3478"/>
      <c r="AT40" s="3478">
        <v>2013</v>
      </c>
      <c r="AU40" s="3478">
        <v>2014</v>
      </c>
      <c r="AV40" s="3478"/>
      <c r="AW40" s="3478"/>
      <c r="AX40" s="3479">
        <f t="shared" si="43"/>
        <v>156.381192</v>
      </c>
      <c r="AY40" s="3467">
        <v>142.13999999999999</v>
      </c>
      <c r="AZ40" s="3467">
        <v>186.54</v>
      </c>
      <c r="BA40" s="3467">
        <v>252.67</v>
      </c>
      <c r="BB40" s="3484">
        <f t="shared" si="48"/>
        <v>261.64989179999998</v>
      </c>
      <c r="BC40" s="4100">
        <v>97.14</v>
      </c>
      <c r="BD40" s="3486">
        <v>56.43</v>
      </c>
      <c r="BE40" s="3486">
        <v>84</v>
      </c>
      <c r="BF40" s="3982"/>
    </row>
    <row r="41" spans="1:58" ht="32.25" customHeight="1" x14ac:dyDescent="0.2">
      <c r="A41" s="3470" t="s">
        <v>544</v>
      </c>
      <c r="B41" s="3471">
        <v>4</v>
      </c>
      <c r="C41" s="3471">
        <v>4</v>
      </c>
      <c r="D41" s="1731">
        <f t="shared" si="38"/>
        <v>100</v>
      </c>
      <c r="E41" s="1605">
        <v>0</v>
      </c>
      <c r="F41" s="1605">
        <f t="shared" si="39"/>
        <v>0</v>
      </c>
      <c r="G41" s="1605">
        <v>4.7</v>
      </c>
      <c r="H41" s="1605"/>
      <c r="I41" s="1605">
        <v>4.8</v>
      </c>
      <c r="J41" s="1605">
        <v>0</v>
      </c>
      <c r="K41" s="1605">
        <v>0</v>
      </c>
      <c r="L41" s="1605">
        <v>0</v>
      </c>
      <c r="M41" s="1605">
        <f t="shared" si="6"/>
        <v>0</v>
      </c>
      <c r="N41" s="1605">
        <v>5</v>
      </c>
      <c r="O41" s="1605"/>
      <c r="P41" s="1605">
        <v>0</v>
      </c>
      <c r="Q41" s="1605">
        <f t="shared" si="41"/>
        <v>0</v>
      </c>
      <c r="R41" s="1605" t="e">
        <f t="shared" si="42"/>
        <v>#DIV/0!</v>
      </c>
      <c r="S41" s="1602">
        <v>0</v>
      </c>
      <c r="T41" s="1602">
        <v>0</v>
      </c>
      <c r="U41" s="2626">
        <v>0</v>
      </c>
      <c r="V41" s="3469"/>
      <c r="W41" s="1602">
        <f t="shared" si="44"/>
        <v>0</v>
      </c>
      <c r="X41" s="1602">
        <v>0</v>
      </c>
      <c r="Y41" s="1602">
        <v>0</v>
      </c>
      <c r="Z41" s="1602">
        <v>0</v>
      </c>
      <c r="AA41" s="1602">
        <v>0</v>
      </c>
      <c r="AB41" s="1602">
        <v>0</v>
      </c>
      <c r="AC41" s="3469"/>
      <c r="AD41" s="1602">
        <v>0</v>
      </c>
      <c r="AE41" s="1602">
        <v>0</v>
      </c>
      <c r="AF41" s="1602">
        <v>0</v>
      </c>
      <c r="AG41" s="1602">
        <v>0</v>
      </c>
      <c r="AH41" s="1602">
        <v>0</v>
      </c>
      <c r="AI41" s="1602">
        <v>0.19</v>
      </c>
      <c r="AJ41" s="1602">
        <v>0</v>
      </c>
      <c r="AK41" s="1602">
        <v>4.6900000000000004</v>
      </c>
      <c r="AL41" s="1602">
        <v>30</v>
      </c>
      <c r="AM41" s="1602">
        <f>AI41*1.027*1.046</f>
        <v>0.20410597999999999</v>
      </c>
      <c r="AN41" s="1602">
        <f>SUM(AK41*1.046)</f>
        <v>4.9057400000000007</v>
      </c>
      <c r="AO41" s="4827" t="s">
        <v>2057</v>
      </c>
      <c r="AP41" s="4828"/>
      <c r="AQ41" s="4828"/>
      <c r="AR41" s="3478"/>
      <c r="AS41" s="3478"/>
      <c r="AT41" s="3478"/>
      <c r="AU41" s="3482">
        <f>W19+W24+W25+W18-Z18+W33</f>
        <v>1020.9949299999996</v>
      </c>
      <c r="AV41" s="3478"/>
      <c r="AW41" s="3478"/>
      <c r="AX41" s="3479">
        <f t="shared" si="43"/>
        <v>0.20812686780600001</v>
      </c>
      <c r="AY41" s="3467">
        <v>4.71</v>
      </c>
      <c r="AZ41" s="3467">
        <v>30.34</v>
      </c>
      <c r="BA41" s="3467">
        <v>71.78</v>
      </c>
      <c r="BB41" s="3484">
        <f t="shared" si="48"/>
        <v>74.331061199999994</v>
      </c>
      <c r="BC41" s="4100">
        <v>88.89</v>
      </c>
      <c r="BD41" s="3486">
        <v>1.95</v>
      </c>
      <c r="BE41" s="3486">
        <v>104.73</v>
      </c>
      <c r="BF41" s="3982"/>
    </row>
    <row r="42" spans="1:58" ht="20.25" customHeight="1" x14ac:dyDescent="0.2">
      <c r="A42" s="3470" t="s">
        <v>545</v>
      </c>
      <c r="B42" s="3471"/>
      <c r="C42" s="3471"/>
      <c r="D42" s="1731"/>
      <c r="E42" s="1605"/>
      <c r="F42" s="1605"/>
      <c r="G42" s="1605"/>
      <c r="H42" s="1605"/>
      <c r="I42" s="1605">
        <f>E42*1.03</f>
        <v>0</v>
      </c>
      <c r="J42" s="1605"/>
      <c r="K42" s="1605">
        <v>0</v>
      </c>
      <c r="L42" s="1605">
        <v>127.9</v>
      </c>
      <c r="M42" s="1605"/>
      <c r="N42" s="1605">
        <v>68.2</v>
      </c>
      <c r="O42" s="1605"/>
      <c r="P42" s="1605">
        <v>0</v>
      </c>
      <c r="Q42" s="1605"/>
      <c r="R42" s="1605">
        <f t="shared" si="42"/>
        <v>0</v>
      </c>
      <c r="S42" s="1602">
        <v>0</v>
      </c>
      <c r="T42" s="1602">
        <v>172.5</v>
      </c>
      <c r="U42" s="2626">
        <v>140.1</v>
      </c>
      <c r="V42" s="3469"/>
      <c r="W42" s="1602">
        <f t="shared" si="44"/>
        <v>0</v>
      </c>
      <c r="X42" s="1602">
        <v>54</v>
      </c>
      <c r="Y42" s="1602">
        <v>162</v>
      </c>
      <c r="Z42" s="1602">
        <v>128</v>
      </c>
      <c r="AA42" s="1602">
        <v>223.6</v>
      </c>
      <c r="AB42" s="1602">
        <f>AA42</f>
        <v>223.6</v>
      </c>
      <c r="AC42" s="3469"/>
      <c r="AD42" s="1602">
        <v>20.99</v>
      </c>
      <c r="AE42" s="1602">
        <v>31.49</v>
      </c>
      <c r="AF42" s="1602">
        <f>SUM(AB42)</f>
        <v>223.6</v>
      </c>
      <c r="AG42" s="1602">
        <f>Z42</f>
        <v>128</v>
      </c>
      <c r="AH42" s="1602">
        <v>45</v>
      </c>
      <c r="AI42" s="1602">
        <v>72.86</v>
      </c>
      <c r="AJ42" s="1602">
        <v>128</v>
      </c>
      <c r="AK42" s="1602">
        <v>128.07</v>
      </c>
      <c r="AL42" s="1602">
        <v>131.84</v>
      </c>
      <c r="AM42" s="1602">
        <v>0</v>
      </c>
      <c r="AN42" s="1602">
        <v>0</v>
      </c>
      <c r="AO42" s="4827" t="s">
        <v>2060</v>
      </c>
      <c r="AP42" s="4828"/>
      <c r="AQ42" s="4828"/>
      <c r="AR42" s="3478"/>
      <c r="AS42" s="3478"/>
      <c r="AT42" s="3478"/>
      <c r="AU42" s="3478"/>
      <c r="AV42" s="3478"/>
      <c r="AW42" s="3478"/>
      <c r="AX42" s="3479">
        <f t="shared" si="43"/>
        <v>0</v>
      </c>
      <c r="AY42" s="3467">
        <v>40.340000000000003</v>
      </c>
      <c r="AZ42" s="3467">
        <v>60.51</v>
      </c>
      <c r="BA42" s="3467">
        <v>80.709999999999994</v>
      </c>
      <c r="BB42" s="3484">
        <f t="shared" si="48"/>
        <v>83.578433399999994</v>
      </c>
      <c r="BC42" s="4100">
        <f t="shared" si="27"/>
        <v>0</v>
      </c>
      <c r="BD42" s="3486">
        <v>52.13</v>
      </c>
      <c r="BE42" s="3486">
        <v>78.2</v>
      </c>
      <c r="BF42" s="3982"/>
    </row>
    <row r="43" spans="1:58" ht="20.25" customHeight="1" x14ac:dyDescent="0.2">
      <c r="A43" s="3470" t="s">
        <v>289</v>
      </c>
      <c r="B43" s="3471"/>
      <c r="C43" s="3471"/>
      <c r="D43" s="1731"/>
      <c r="E43" s="1605"/>
      <c r="F43" s="1605"/>
      <c r="G43" s="1605"/>
      <c r="H43" s="1605"/>
      <c r="I43" s="1605"/>
      <c r="J43" s="1605"/>
      <c r="K43" s="1605">
        <f>1.4+9.5+17.7</f>
        <v>28.6</v>
      </c>
      <c r="L43" s="1605">
        <v>284.2</v>
      </c>
      <c r="M43" s="1605"/>
      <c r="N43" s="1605"/>
      <c r="O43" s="1605"/>
      <c r="P43" s="1605">
        <v>0</v>
      </c>
      <c r="Q43" s="1605"/>
      <c r="R43" s="1605">
        <f t="shared" si="42"/>
        <v>0</v>
      </c>
      <c r="S43" s="1602">
        <v>127.1</v>
      </c>
      <c r="T43" s="1602">
        <v>0</v>
      </c>
      <c r="U43" s="2626">
        <v>0</v>
      </c>
      <c r="V43" s="3469"/>
      <c r="W43" s="1602">
        <f t="shared" si="44"/>
        <v>0</v>
      </c>
      <c r="X43" s="1602">
        <v>3.5</v>
      </c>
      <c r="Y43" s="1602">
        <v>14.3</v>
      </c>
      <c r="Z43" s="1602"/>
      <c r="AA43" s="1602"/>
      <c r="AB43" s="1602">
        <v>0</v>
      </c>
      <c r="AC43" s="3469"/>
      <c r="AD43" s="1602"/>
      <c r="AE43" s="1602"/>
      <c r="AF43" s="1602">
        <v>0</v>
      </c>
      <c r="AG43" s="1602">
        <v>0</v>
      </c>
      <c r="AH43" s="1602">
        <v>0</v>
      </c>
      <c r="AI43" s="1602">
        <v>0</v>
      </c>
      <c r="AJ43" s="1602">
        <v>0</v>
      </c>
      <c r="AK43" s="1602">
        <v>0</v>
      </c>
      <c r="AL43" s="1602">
        <v>0</v>
      </c>
      <c r="AM43" s="1602">
        <v>0</v>
      </c>
      <c r="AN43" s="1602">
        <v>0</v>
      </c>
      <c r="AO43" s="4832"/>
      <c r="AP43" s="4833"/>
      <c r="AQ43" s="4833"/>
      <c r="AR43" s="3478"/>
      <c r="AS43" s="3478"/>
      <c r="AT43" s="3478"/>
      <c r="AU43" s="3478"/>
      <c r="AV43" s="3478"/>
      <c r="AW43" s="3478"/>
      <c r="AX43" s="3479">
        <f t="shared" si="43"/>
        <v>0</v>
      </c>
      <c r="AY43" s="3467"/>
      <c r="AZ43" s="3467"/>
      <c r="BA43" s="3467"/>
      <c r="BB43" s="3484">
        <f t="shared" si="48"/>
        <v>0</v>
      </c>
      <c r="BC43" s="4100">
        <f t="shared" si="27"/>
        <v>0</v>
      </c>
      <c r="BD43" s="3486"/>
      <c r="BE43" s="3486"/>
      <c r="BF43" s="3982"/>
    </row>
    <row r="44" spans="1:58" ht="20.25" customHeight="1" x14ac:dyDescent="0.2">
      <c r="A44" s="3470" t="s">
        <v>836</v>
      </c>
      <c r="B44" s="3471"/>
      <c r="C44" s="3471"/>
      <c r="D44" s="1731"/>
      <c r="E44" s="1605"/>
      <c r="F44" s="1605"/>
      <c r="G44" s="1605"/>
      <c r="H44" s="1605"/>
      <c r="I44" s="1605"/>
      <c r="J44" s="1605"/>
      <c r="K44" s="1605"/>
      <c r="L44" s="1605"/>
      <c r="M44" s="1605"/>
      <c r="N44" s="1605"/>
      <c r="O44" s="1605"/>
      <c r="P44" s="1605"/>
      <c r="Q44" s="1605"/>
      <c r="R44" s="1605"/>
      <c r="S44" s="1602"/>
      <c r="T44" s="1602"/>
      <c r="U44" s="2626"/>
      <c r="V44" s="3469"/>
      <c r="W44" s="1602"/>
      <c r="X44" s="1602"/>
      <c r="Y44" s="1602"/>
      <c r="Z44" s="1602">
        <v>6.4</v>
      </c>
      <c r="AA44" s="1602"/>
      <c r="AB44" s="1602"/>
      <c r="AC44" s="3469"/>
      <c r="AD44" s="1602"/>
      <c r="AE44" s="1602"/>
      <c r="AF44" s="1602">
        <f>SUM(Z44*1.1)</f>
        <v>7.0400000000000009</v>
      </c>
      <c r="AG44" s="1602">
        <f>AF44</f>
        <v>7.0400000000000009</v>
      </c>
      <c r="AH44" s="1602">
        <v>0</v>
      </c>
      <c r="AI44" s="1602">
        <v>0</v>
      </c>
      <c r="AJ44" s="1602">
        <v>7.69</v>
      </c>
      <c r="AK44" s="1602">
        <v>0</v>
      </c>
      <c r="AL44" s="1602">
        <v>7.92</v>
      </c>
      <c r="AM44" s="1602">
        <v>7.92</v>
      </c>
      <c r="AN44" s="1602">
        <f>SUM(AM44*1.046)</f>
        <v>8.284320000000001</v>
      </c>
      <c r="AO44" s="4832" t="s">
        <v>2058</v>
      </c>
      <c r="AP44" s="4833"/>
      <c r="AQ44" s="4833"/>
      <c r="AR44" s="3478"/>
      <c r="AS44" s="3478"/>
      <c r="AT44" s="3478"/>
      <c r="AU44" s="3478"/>
      <c r="AV44" s="3478"/>
      <c r="AW44" s="3478"/>
      <c r="AX44" s="3479">
        <f t="shared" si="43"/>
        <v>8.0760240000000003</v>
      </c>
      <c r="AY44" s="3467"/>
      <c r="AZ44" s="3467"/>
      <c r="BA44" s="3467"/>
      <c r="BB44" s="3484">
        <f t="shared" ref="BB44" si="49">SUM(AX44*1.046)*(1-0.01)</f>
        <v>8.3630458929599989</v>
      </c>
      <c r="BC44" s="4100">
        <f t="shared" si="27"/>
        <v>8.2991769315839985</v>
      </c>
      <c r="BD44" s="3486"/>
      <c r="BE44" s="3486"/>
      <c r="BF44" s="3982"/>
    </row>
    <row r="45" spans="1:58" ht="20.25" customHeight="1" x14ac:dyDescent="0.2">
      <c r="A45" s="3470" t="s">
        <v>598</v>
      </c>
      <c r="B45" s="3471"/>
      <c r="C45" s="3471"/>
      <c r="D45" s="1731"/>
      <c r="E45" s="1605"/>
      <c r="F45" s="1605"/>
      <c r="G45" s="1605"/>
      <c r="H45" s="1605"/>
      <c r="I45" s="1605"/>
      <c r="J45" s="1605"/>
      <c r="K45" s="1605"/>
      <c r="L45" s="1605"/>
      <c r="M45" s="1605"/>
      <c r="N45" s="1605"/>
      <c r="O45" s="1605"/>
      <c r="P45" s="1605"/>
      <c r="Q45" s="1605"/>
      <c r="R45" s="1605"/>
      <c r="S45" s="1602"/>
      <c r="T45" s="1602"/>
      <c r="U45" s="2626"/>
      <c r="V45" s="3469"/>
      <c r="W45" s="1602"/>
      <c r="X45" s="1602"/>
      <c r="Y45" s="1602"/>
      <c r="Z45" s="1602">
        <v>6.1</v>
      </c>
      <c r="AA45" s="1602"/>
      <c r="AB45" s="1602"/>
      <c r="AC45" s="3469"/>
      <c r="AD45" s="1602">
        <v>8.5299999999999994</v>
      </c>
      <c r="AE45" s="1602">
        <v>10.23</v>
      </c>
      <c r="AF45" s="1602">
        <f>SUM(Z45*1.1)</f>
        <v>6.71</v>
      </c>
      <c r="AG45" s="1602">
        <f>AF45</f>
        <v>6.71</v>
      </c>
      <c r="AH45" s="1602">
        <v>20.92</v>
      </c>
      <c r="AI45" s="1602">
        <v>1.78</v>
      </c>
      <c r="AJ45" s="1602">
        <v>7.33</v>
      </c>
      <c r="AK45" s="1602">
        <v>7.28</v>
      </c>
      <c r="AL45" s="1602">
        <v>7.54</v>
      </c>
      <c r="AM45" s="1602">
        <v>7.54</v>
      </c>
      <c r="AN45" s="1602">
        <f>SUM(AM45*1.046)</f>
        <v>7.8868400000000003</v>
      </c>
      <c r="AO45" s="4832" t="s">
        <v>2058</v>
      </c>
      <c r="AP45" s="4833"/>
      <c r="AQ45" s="4833"/>
      <c r="AR45" s="3478"/>
      <c r="AS45" s="3478"/>
      <c r="AT45" s="3478"/>
      <c r="AU45" s="3478"/>
      <c r="AV45" s="3478"/>
      <c r="AW45" s="3478"/>
      <c r="AX45" s="3479">
        <f t="shared" si="43"/>
        <v>7.6885380000000003</v>
      </c>
      <c r="AY45" s="3467">
        <v>8.39</v>
      </c>
      <c r="AZ45" s="3467">
        <v>10.59</v>
      </c>
      <c r="BA45" s="3467">
        <v>11.91</v>
      </c>
      <c r="BB45" s="3484">
        <f t="shared" si="48"/>
        <v>12.333281400000001</v>
      </c>
      <c r="BC45" s="4100">
        <f t="shared" si="27"/>
        <v>7.9009840990080011</v>
      </c>
      <c r="BD45" s="3484">
        <v>3.7349999999999999</v>
      </c>
      <c r="BE45" s="3484">
        <v>7.6150000000000002</v>
      </c>
      <c r="BF45" s="3982"/>
    </row>
    <row r="46" spans="1:58" ht="20.100000000000001" customHeight="1" x14ac:dyDescent="0.2">
      <c r="A46" s="3475" t="s">
        <v>54</v>
      </c>
      <c r="B46" s="1728">
        <f>B8+B11+B13+B14+B15+B16+B17+B23+B25+B26</f>
        <v>12622.300000000001</v>
      </c>
      <c r="C46" s="1729">
        <f>C8+C11+C13+C14+C15+C16+C17+C23+C25+C26</f>
        <v>13647.300000000003</v>
      </c>
      <c r="D46" s="1731">
        <f>C46/B46*100</f>
        <v>108.12054855295787</v>
      </c>
      <c r="E46" s="1606">
        <f>E8+E11+E13+E14+E15+E16+E17+E23+E25+E26</f>
        <v>16177.599999999999</v>
      </c>
      <c r="F46" s="1606">
        <f>F8+F11+F13+F14+F15+F16+F17+F23+F25+F26</f>
        <v>8590.9477735046166</v>
      </c>
      <c r="G46" s="1606">
        <f>G8+G11+G13+G14+G15+G16+G17+G23+G25+G26</f>
        <v>18541.900000000001</v>
      </c>
      <c r="H46" s="1605">
        <f t="shared" si="5"/>
        <v>114.61465235881715</v>
      </c>
      <c r="I46" s="1606">
        <f>I8+I11+I13+I14+I15+I16+I17+I23+I25+I26</f>
        <v>15969.009599999999</v>
      </c>
      <c r="J46" s="1606">
        <f>J8+J11+J13+J14+J15+J16+J17+J23+J25+J26</f>
        <v>10071.700000000001</v>
      </c>
      <c r="K46" s="1606">
        <f>K8+K11+K13+K14+K15+K16+K17+K23+K25+K26</f>
        <v>13501.300000000003</v>
      </c>
      <c r="L46" s="1606">
        <f>L8+L11+L13+L14+L15+L16+L17+L23+L25+L26</f>
        <v>19302.900000000001</v>
      </c>
      <c r="M46" s="1605">
        <f t="shared" si="6"/>
        <v>104.10421801433509</v>
      </c>
      <c r="N46" s="1606">
        <f>N8+N11+N13+N14+N15+N16+N17+N23+N25+N26</f>
        <v>22059.200000000001</v>
      </c>
      <c r="O46" s="1605">
        <f>N46/L46*100</f>
        <v>114.27920157074843</v>
      </c>
      <c r="P46" s="1606">
        <f>P8+P11+P13+P14+P15+P16+P17+P23+P25+P26</f>
        <v>17634.2</v>
      </c>
      <c r="Q46" s="1605">
        <f>P46/I46*100</f>
        <v>110.42763729066832</v>
      </c>
      <c r="R46" s="1605">
        <f>P46/L46*100</f>
        <v>91.355184972206246</v>
      </c>
      <c r="S46" s="1606">
        <f>S8+S11+S13+S14+S15+S16+S17+S23+S25+S26</f>
        <v>14829.099999999999</v>
      </c>
      <c r="T46" s="1606">
        <f>T8+T11+T13+T14+T15+T16+T17+T23+T25+T26</f>
        <v>19502.300000000003</v>
      </c>
      <c r="U46" s="1606">
        <f>U8+U11+U13+U14+U15+U16+U17+U23+U25+U26</f>
        <v>23158.7</v>
      </c>
      <c r="V46" s="3469">
        <f t="shared" si="7"/>
        <v>1.3132832790826916</v>
      </c>
      <c r="W46" s="1606">
        <f t="shared" ref="W46:AB46" si="50">W8+W11+W13+W14+W15+W16+W17+W23+W25+W26+W24</f>
        <v>18723.532385356291</v>
      </c>
      <c r="X46" s="1606">
        <f t="shared" si="50"/>
        <v>8462.2999999999993</v>
      </c>
      <c r="Y46" s="1606">
        <f t="shared" si="50"/>
        <v>12163.6</v>
      </c>
      <c r="Z46" s="1606">
        <f t="shared" si="50"/>
        <v>17316.400000000001</v>
      </c>
      <c r="AA46" s="1606">
        <f t="shared" si="50"/>
        <v>21388.100000000002</v>
      </c>
      <c r="AB46" s="1606">
        <f t="shared" si="50"/>
        <v>19700.208228981621</v>
      </c>
      <c r="AC46" s="3469">
        <f>AB46/W46</f>
        <v>1.0521630119532994</v>
      </c>
      <c r="AD46" s="1606">
        <f t="shared" ref="AD46:AF46" si="51">AD8+AD11+AD13+AD14+AD15+AD16+AD17+AD23+AD25+AD26+AD24</f>
        <v>9372.2199999999993</v>
      </c>
      <c r="AE46" s="1606">
        <f t="shared" si="51"/>
        <v>13324.320000000003</v>
      </c>
      <c r="AF46" s="1606">
        <f t="shared" si="51"/>
        <v>23341.413298249798</v>
      </c>
      <c r="AG46" s="1606">
        <f>AG8+AG11+AG13+AG14+AG15+AG16+AG17+AG23+AG25+AG26+AG24</f>
        <v>18719.609230157621</v>
      </c>
      <c r="AH46" s="1606">
        <f t="shared" ref="AH46:AM46" si="52">AH8+AH11+AH13+AH14+AH15+AH16+AH17+AH23+AH25+AH26+AH24</f>
        <v>19424.300000000003</v>
      </c>
      <c r="AI46" s="1606">
        <f t="shared" si="52"/>
        <v>19836.45</v>
      </c>
      <c r="AJ46" s="1606">
        <f t="shared" si="52"/>
        <v>20407.291359999999</v>
      </c>
      <c r="AK46" s="1606">
        <f t="shared" ref="AK46" si="53">AK8+AK11+AK13+AK14+AK15+AK16+AK17+AK23+AK25+AK26+AK24</f>
        <v>21658.869999999995</v>
      </c>
      <c r="AL46" s="1606">
        <f t="shared" si="52"/>
        <v>26396.219999999998</v>
      </c>
      <c r="AM46" s="1606">
        <f t="shared" si="52"/>
        <v>22690.118127694979</v>
      </c>
      <c r="AN46" s="1606">
        <f t="shared" ref="AN46" si="54">AN8+AN11+AN13+AN14+AN15+AN16+AN17+AN23+AN25+AN26+AN24</f>
        <v>24000.234531006015</v>
      </c>
      <c r="AO46" s="4832"/>
      <c r="AP46" s="4832"/>
      <c r="AQ46" s="4832"/>
      <c r="AR46" s="3478"/>
      <c r="AS46" s="3478"/>
      <c r="AT46" s="3478"/>
      <c r="AU46" s="3478"/>
      <c r="AV46" s="3478"/>
      <c r="AW46" s="3478"/>
      <c r="AX46" s="1606">
        <f t="shared" ref="AX46" si="55">AX8+AX11+AX13+AX14+AX15+AX16+AX17+AX23+AX25+AX26+AX24</f>
        <v>23137.113454810569</v>
      </c>
      <c r="AY46" s="1606">
        <f t="shared" ref="AY46:BB46" si="56">AY8+AY11+AY13+AY14+AY15+AY16+AY17+AY23+AY25+AY26+AY24</f>
        <v>10846.289999999997</v>
      </c>
      <c r="AZ46" s="1606">
        <f t="shared" si="56"/>
        <v>15165.380000000001</v>
      </c>
      <c r="BA46" s="1606">
        <f t="shared" si="56"/>
        <v>20876.400000000001</v>
      </c>
      <c r="BB46" s="2374">
        <f t="shared" si="56"/>
        <v>27420.674107114482</v>
      </c>
      <c r="BC46" s="4103">
        <f t="shared" ref="BC46:BF46" si="57">BC8+BC11+BC13+BC14+BC15+BC16+BC17+BC23+BC25+BC26+BC24</f>
        <v>19426.393068875226</v>
      </c>
      <c r="BD46" s="2374">
        <f t="shared" si="57"/>
        <v>9312.65</v>
      </c>
      <c r="BE46" s="2374">
        <f t="shared" si="57"/>
        <v>13488.683999999999</v>
      </c>
      <c r="BF46" s="3489">
        <f t="shared" si="57"/>
        <v>0</v>
      </c>
    </row>
    <row r="47" spans="1:58" ht="20.100000000000001" customHeight="1" x14ac:dyDescent="0.2">
      <c r="A47" s="3470" t="s">
        <v>213</v>
      </c>
      <c r="B47" s="3466"/>
      <c r="C47" s="3466"/>
      <c r="D47" s="3466"/>
      <c r="E47" s="2627"/>
      <c r="F47" s="2627"/>
      <c r="G47" s="2627"/>
      <c r="H47" s="2627"/>
      <c r="I47" s="2627"/>
      <c r="J47" s="2627"/>
      <c r="K47" s="2627">
        <f t="shared" ref="K47:X47" si="58">K46-K37</f>
        <v>13027.500000000004</v>
      </c>
      <c r="L47" s="2627">
        <f t="shared" si="58"/>
        <v>18630.800000000003</v>
      </c>
      <c r="M47" s="2627">
        <f t="shared" si="58"/>
        <v>-16.777076949693679</v>
      </c>
      <c r="N47" s="2627">
        <f t="shared" si="58"/>
        <v>21344.2</v>
      </c>
      <c r="O47" s="2627">
        <f t="shared" si="58"/>
        <v>7.8962228473441769</v>
      </c>
      <c r="P47" s="2627">
        <f t="shared" si="58"/>
        <v>17634.2</v>
      </c>
      <c r="Q47" s="2627">
        <f t="shared" si="58"/>
        <v>110.42763729066832</v>
      </c>
      <c r="R47" s="2627">
        <f t="shared" si="58"/>
        <v>91.355184972206246</v>
      </c>
      <c r="S47" s="2627">
        <f t="shared" si="58"/>
        <v>14288.3</v>
      </c>
      <c r="T47" s="2627">
        <f t="shared" si="58"/>
        <v>18796.300000000003</v>
      </c>
      <c r="U47" s="2627">
        <f t="shared" si="58"/>
        <v>22417.4</v>
      </c>
      <c r="V47" s="2627">
        <f t="shared" si="58"/>
        <v>1.3132832790826916</v>
      </c>
      <c r="W47" s="2627">
        <f t="shared" si="58"/>
        <v>18723.532385356291</v>
      </c>
      <c r="X47" s="2627">
        <f t="shared" si="58"/>
        <v>8148.6999999999989</v>
      </c>
      <c r="Y47" s="2627"/>
      <c r="Z47" s="2627">
        <f>SUM(Z46-Z37-Z38)</f>
        <v>16628.2</v>
      </c>
      <c r="AA47" s="2627">
        <f t="shared" ref="AA47:AB47" si="59">SUM(AA46-AA37-AA38)</f>
        <v>20653.100000000002</v>
      </c>
      <c r="AB47" s="2627">
        <f t="shared" si="59"/>
        <v>19700.208228981621</v>
      </c>
      <c r="AC47" s="3469">
        <f>AB47/W47</f>
        <v>1.0521630119532994</v>
      </c>
      <c r="AD47" s="2627">
        <f t="shared" ref="AD47" si="60">SUM(AD46-AD37-AD38)</f>
        <v>9044.16</v>
      </c>
      <c r="AE47" s="2627">
        <f t="shared" ref="AE47" si="61">SUM(AE46-AE37-AE38)</f>
        <v>12830.860000000004</v>
      </c>
      <c r="AF47" s="2627">
        <f t="shared" ref="AF47" si="62">SUM(AF46-AF37-AF38)</f>
        <v>22584.393298249797</v>
      </c>
      <c r="AG47" s="2627">
        <f t="shared" ref="AG47:AL47" si="63">SUM(AG46-AG37-AG38)</f>
        <v>18719.609230157621</v>
      </c>
      <c r="AH47" s="2627">
        <f t="shared" si="63"/>
        <v>18619.670000000002</v>
      </c>
      <c r="AI47" s="2627">
        <f t="shared" si="63"/>
        <v>18938.060000000001</v>
      </c>
      <c r="AJ47" s="2627">
        <f t="shared" ref="AJ47" si="64">SUM(AJ46-AJ37-AJ38)</f>
        <v>20407.291359999999</v>
      </c>
      <c r="AK47" s="2627">
        <f t="shared" ref="AK47" si="65">SUM(AK46-AK37-AK38)</f>
        <v>20754.179999999997</v>
      </c>
      <c r="AL47" s="2627">
        <f t="shared" si="63"/>
        <v>25443.119999999995</v>
      </c>
      <c r="AM47" s="2627">
        <f>SUM(AM46-AM37-AM38)</f>
        <v>22352.038127694977</v>
      </c>
      <c r="AN47" s="2627">
        <f>SUM(AN46-AN37-AN38)</f>
        <v>23053.928791006016</v>
      </c>
      <c r="AO47" s="4836"/>
      <c r="AP47" s="4837"/>
      <c r="AQ47" s="4837"/>
      <c r="AR47" s="3483"/>
      <c r="AS47" s="3478"/>
      <c r="AT47" s="3478"/>
      <c r="AU47" s="3478"/>
      <c r="AV47" s="3478"/>
      <c r="AW47" s="3478"/>
      <c r="AX47" s="2627">
        <f>SUM(AX46-AX37-AX38)</f>
        <v>22792.37327881057</v>
      </c>
      <c r="AY47" s="2627">
        <f>SUM(AY48:AY51)</f>
        <v>10846.289999999999</v>
      </c>
      <c r="AZ47" s="2627">
        <f t="shared" ref="AZ47:BA47" si="66">SUM(AZ48:AZ51)</f>
        <v>15165.38</v>
      </c>
      <c r="BA47" s="2627">
        <f t="shared" si="66"/>
        <v>20876.399999999998</v>
      </c>
      <c r="BB47" s="2482">
        <f>SUM(BB46-BB37-BB38)</f>
        <v>26851.738075714486</v>
      </c>
      <c r="BC47" s="4104">
        <f>SUM(BC46-BC37)</f>
        <v>19426.393068875226</v>
      </c>
      <c r="BD47" s="2482">
        <f>SUM(BD48:BD51)</f>
        <v>9312.65</v>
      </c>
      <c r="BE47" s="2482">
        <f t="shared" ref="BE47:BF47" si="67">SUM(BE48:BE51)</f>
        <v>13488.683999999999</v>
      </c>
      <c r="BF47" s="3491">
        <f t="shared" si="67"/>
        <v>6253.35</v>
      </c>
    </row>
    <row r="48" spans="1:58" ht="19.5" customHeight="1" x14ac:dyDescent="0.2">
      <c r="A48" s="4831" t="s">
        <v>151</v>
      </c>
      <c r="B48" s="4831"/>
      <c r="C48" s="4831"/>
      <c r="D48" s="3466"/>
      <c r="E48" s="2627"/>
      <c r="F48" s="2627"/>
      <c r="G48" s="2627"/>
      <c r="H48" s="2627"/>
      <c r="I48" s="1605">
        <v>1679.5</v>
      </c>
      <c r="J48" s="2627"/>
      <c r="K48" s="1605">
        <f>I48/I46*K47</f>
        <v>1370.1342035638834</v>
      </c>
      <c r="L48" s="2627">
        <f>I48/I46*L47</f>
        <v>1959.4470404726922</v>
      </c>
      <c r="M48" s="2627"/>
      <c r="N48" s="1605">
        <f>вода!O16</f>
        <v>1662.3</v>
      </c>
      <c r="O48" s="2627"/>
      <c r="P48" s="1605">
        <f>N48/N46*P46</f>
        <v>1328.848310908827</v>
      </c>
      <c r="Q48" s="2627"/>
      <c r="R48" s="2627"/>
      <c r="S48" s="1605">
        <v>832.1</v>
      </c>
      <c r="T48" s="1605"/>
      <c r="U48" s="2627">
        <f>вода!Y16</f>
        <v>1803.5</v>
      </c>
      <c r="V48" s="2627"/>
      <c r="W48" s="2627">
        <f>W47*(P48/P47)</f>
        <v>1410.9363841017698</v>
      </c>
      <c r="X48" s="2627">
        <v>658.7</v>
      </c>
      <c r="Y48" s="2627"/>
      <c r="Z48" s="2627">
        <v>1490.4</v>
      </c>
      <c r="AA48" s="2627">
        <f>SUM(AA46*AA52)</f>
        <v>1665.6132835608219</v>
      </c>
      <c r="AB48" s="2627">
        <f>AB47*(W48/W47)</f>
        <v>1484.5350755710156</v>
      </c>
      <c r="AC48" s="3466"/>
      <c r="AD48" s="2627">
        <v>1047.32</v>
      </c>
      <c r="AE48" s="2627">
        <v>1465.34</v>
      </c>
      <c r="AF48" s="2627">
        <f>SUM(AF46*AF52)</f>
        <v>2008.9650493007493</v>
      </c>
      <c r="AG48" s="2627">
        <f>SUM(AG46*AG52)</f>
        <v>1611.1723912953566</v>
      </c>
      <c r="AH48" s="2627">
        <v>1817.18</v>
      </c>
      <c r="AI48" s="2627">
        <v>1309.4000000000001</v>
      </c>
      <c r="AJ48" s="2627">
        <v>1459.71</v>
      </c>
      <c r="AK48" s="2627">
        <v>792.42</v>
      </c>
      <c r="AL48" s="2627">
        <v>1742.41</v>
      </c>
      <c r="AM48" s="2627">
        <f>AM47*AL52</f>
        <v>1475.4542413298955</v>
      </c>
      <c r="AN48" s="2627">
        <f>AN47*AK52</f>
        <v>843.46017371030848</v>
      </c>
      <c r="AO48" s="4832"/>
      <c r="AP48" s="4833"/>
      <c r="AQ48" s="4833"/>
      <c r="AR48" s="3478"/>
      <c r="AS48" s="3478"/>
      <c r="AT48" s="3478"/>
      <c r="AU48" s="3478"/>
      <c r="AV48" s="3478"/>
      <c r="AW48" s="3478"/>
      <c r="AX48" s="2627">
        <f>AX47*AX52</f>
        <v>1482.103514619803</v>
      </c>
      <c r="AY48" s="3466">
        <v>346.17</v>
      </c>
      <c r="AZ48" s="3466">
        <v>525.76</v>
      </c>
      <c r="BA48" s="3466">
        <v>695.14</v>
      </c>
      <c r="BB48" s="2482">
        <f>BB47*BB52</f>
        <v>894.10612969439967</v>
      </c>
      <c r="BC48" s="4104">
        <f>BC47*BC52</f>
        <v>646.85783362542975</v>
      </c>
      <c r="BD48" s="3967">
        <v>366.83</v>
      </c>
      <c r="BE48" s="3967">
        <v>549.92899999999997</v>
      </c>
      <c r="BF48" s="3983"/>
    </row>
    <row r="49" spans="1:58" ht="20.100000000000001" customHeight="1" x14ac:dyDescent="0.2">
      <c r="A49" s="4831" t="s">
        <v>148</v>
      </c>
      <c r="B49" s="4831"/>
      <c r="C49" s="4831"/>
      <c r="D49" s="3466"/>
      <c r="E49" s="2627"/>
      <c r="F49" s="2627"/>
      <c r="G49" s="2627"/>
      <c r="H49" s="2627"/>
      <c r="I49" s="1605">
        <v>8659.2999999999993</v>
      </c>
      <c r="J49" s="2627"/>
      <c r="K49" s="1605">
        <f>I49/I46*K47</f>
        <v>7064.2471622034736</v>
      </c>
      <c r="L49" s="2627">
        <f>I49/I46*L47</f>
        <v>10102.673270357356</v>
      </c>
      <c r="M49" s="2627"/>
      <c r="N49" s="1605">
        <f>вода!O26</f>
        <v>13061</v>
      </c>
      <c r="O49" s="2627"/>
      <c r="P49" s="1605">
        <f>N49/N46*P46</f>
        <v>10441.008114528178</v>
      </c>
      <c r="Q49" s="2627"/>
      <c r="R49" s="2627"/>
      <c r="S49" s="1605">
        <v>7957</v>
      </c>
      <c r="T49" s="1605"/>
      <c r="U49" s="2627">
        <f>вода!Y26</f>
        <v>13533.8</v>
      </c>
      <c r="V49" s="2627"/>
      <c r="W49" s="2627">
        <f>W47*(P49/P47)</f>
        <v>11085.989359774539</v>
      </c>
      <c r="X49" s="2627">
        <v>4626.8999999999996</v>
      </c>
      <c r="Y49" s="2627"/>
      <c r="Z49" s="2627">
        <v>9696.2999999999993</v>
      </c>
      <c r="AA49" s="2627">
        <f>SUM(AA46*AA53)</f>
        <v>12499.072390937314</v>
      </c>
      <c r="AB49" s="2627">
        <f>AB47*(W49/W47)</f>
        <v>11664.267955262609</v>
      </c>
      <c r="AC49" s="3466"/>
      <c r="AD49" s="2627">
        <v>5322.04</v>
      </c>
      <c r="AE49" s="2627">
        <v>7066.56</v>
      </c>
      <c r="AF49" s="2627">
        <f>SUM(AF46*AF53)</f>
        <v>13069.99987086343</v>
      </c>
      <c r="AG49" s="2627">
        <f>SUM(AG46*AG53)</f>
        <v>10482.025535236962</v>
      </c>
      <c r="AH49" s="2627">
        <v>10745.24</v>
      </c>
      <c r="AI49" s="2627">
        <v>13297.15</v>
      </c>
      <c r="AJ49" s="2627">
        <v>13162.7</v>
      </c>
      <c r="AK49" s="2627">
        <v>15818.07</v>
      </c>
      <c r="AL49" s="2627">
        <v>17694.43</v>
      </c>
      <c r="AM49" s="2627">
        <f>AM47*AL53</f>
        <v>14983.454979835366</v>
      </c>
      <c r="AN49" s="2627">
        <f>AN47*AK53</f>
        <v>16836.919903538299</v>
      </c>
      <c r="AO49" s="4832"/>
      <c r="AP49" s="4833"/>
      <c r="AQ49" s="4833"/>
      <c r="AR49" s="3478"/>
      <c r="AS49" s="3478"/>
      <c r="AT49" s="3478"/>
      <c r="AU49" s="3478"/>
      <c r="AV49" s="3478"/>
      <c r="AW49" s="3478"/>
      <c r="AX49" s="2627">
        <f>AX47*AX53</f>
        <v>15050.97932874242</v>
      </c>
      <c r="AY49" s="3466">
        <v>8011.99</v>
      </c>
      <c r="AZ49" s="3466">
        <v>9993.06</v>
      </c>
      <c r="BA49" s="3466">
        <v>13927.91</v>
      </c>
      <c r="BB49" s="2482">
        <f>BB47*BB53</f>
        <v>17914.419692194271</v>
      </c>
      <c r="BC49" s="4104">
        <f>BC47*BC53</f>
        <v>12960.522613473488</v>
      </c>
      <c r="BD49" s="3967">
        <v>5138.1499999999996</v>
      </c>
      <c r="BE49" s="3981">
        <v>7257.6049999999996</v>
      </c>
      <c r="BF49" s="3983"/>
    </row>
    <row r="50" spans="1:58" ht="20.100000000000001" customHeight="1" x14ac:dyDescent="0.2">
      <c r="A50" s="4831" t="s">
        <v>149</v>
      </c>
      <c r="B50" s="4831"/>
      <c r="C50" s="4831"/>
      <c r="D50" s="3466"/>
      <c r="E50" s="2627"/>
      <c r="F50" s="2627"/>
      <c r="G50" s="2627"/>
      <c r="H50" s="2627"/>
      <c r="I50" s="1605">
        <v>3523.1</v>
      </c>
      <c r="J50" s="2627"/>
      <c r="K50" s="1605">
        <f>I50/I46*K47</f>
        <v>2874.1410018314482</v>
      </c>
      <c r="L50" s="2627">
        <f>I50/I46*L47</f>
        <v>4110.3470486986253</v>
      </c>
      <c r="M50" s="2627"/>
      <c r="N50" s="1605">
        <f>вода!O34</f>
        <v>4691.6000000000004</v>
      </c>
      <c r="O50" s="2627"/>
      <c r="P50" s="1605">
        <f>N50/N46*P46</f>
        <v>3750.4811017625302</v>
      </c>
      <c r="Q50" s="2627"/>
      <c r="R50" s="2627"/>
      <c r="S50" s="1605">
        <v>3991.4</v>
      </c>
      <c r="T50" s="1605"/>
      <c r="U50" s="2627">
        <f>вода!Y34</f>
        <v>5004</v>
      </c>
      <c r="V50" s="2627"/>
      <c r="W50" s="2627">
        <f>W47*(P50/P47)</f>
        <v>3982.1627501966336</v>
      </c>
      <c r="X50" s="2627">
        <v>1750</v>
      </c>
      <c r="Y50" s="2627"/>
      <c r="Z50" s="2627">
        <v>3840.1</v>
      </c>
      <c r="AA50" s="2627">
        <f>SUM(AA46*AA54)</f>
        <v>4621.4188361177448</v>
      </c>
      <c r="AB50" s="2627">
        <f>AB47*(W50/W47)</f>
        <v>4189.8843533351246</v>
      </c>
      <c r="AC50" s="3466"/>
      <c r="AD50" s="2627">
        <v>1853.14</v>
      </c>
      <c r="AE50" s="2627">
        <v>3037.94</v>
      </c>
      <c r="AF50" s="2627">
        <f>SUM(AF46*AF54)</f>
        <v>5176.2122153917117</v>
      </c>
      <c r="AG50" s="2627">
        <f>SUM(AG46*AG54)</f>
        <v>4151.2769054034479</v>
      </c>
      <c r="AH50" s="2627">
        <v>4356.6499999999996</v>
      </c>
      <c r="AI50" s="2627">
        <v>2827.72</v>
      </c>
      <c r="AJ50" s="2627">
        <v>3269.25</v>
      </c>
      <c r="AK50" s="2627">
        <v>2605.86</v>
      </c>
      <c r="AL50" s="2627">
        <v>3762.83</v>
      </c>
      <c r="AM50" s="2627">
        <f>AM47*AL54</f>
        <v>3186.3243914482641</v>
      </c>
      <c r="AN50" s="2627">
        <f>AN47*AK54</f>
        <v>2773.7047629599765</v>
      </c>
      <c r="AO50" s="4832"/>
      <c r="AP50" s="4833"/>
      <c r="AQ50" s="4833"/>
      <c r="AR50" s="3478"/>
      <c r="AS50" s="3478"/>
      <c r="AT50" s="3478"/>
      <c r="AU50" s="3478"/>
      <c r="AV50" s="3478"/>
      <c r="AW50" s="3478"/>
      <c r="AX50" s="2627">
        <f>AX47*AX54</f>
        <v>3200.6838619594887</v>
      </c>
      <c r="AY50" s="3466">
        <v>1185.06</v>
      </c>
      <c r="AZ50" s="3466">
        <v>2334.5700000000002</v>
      </c>
      <c r="BA50" s="3466">
        <v>2408.46</v>
      </c>
      <c r="BB50" s="2482">
        <f>BB47*BB54</f>
        <v>3097.8203658597895</v>
      </c>
      <c r="BC50" s="4104">
        <f>BC47*BC54</f>
        <v>2241.1761918081293</v>
      </c>
      <c r="BD50" s="3967">
        <v>1002.75</v>
      </c>
      <c r="BE50" s="3967">
        <v>1682.74</v>
      </c>
      <c r="BF50" s="3983">
        <v>2408.46</v>
      </c>
    </row>
    <row r="51" spans="1:58" ht="20.100000000000001" customHeight="1" x14ac:dyDescent="0.2">
      <c r="A51" s="4831" t="s">
        <v>150</v>
      </c>
      <c r="B51" s="4831"/>
      <c r="C51" s="4831"/>
      <c r="D51" s="3466"/>
      <c r="E51" s="2627"/>
      <c r="F51" s="2627"/>
      <c r="G51" s="2627"/>
      <c r="H51" s="2627"/>
      <c r="I51" s="1605">
        <v>2107</v>
      </c>
      <c r="J51" s="2627"/>
      <c r="K51" s="1605">
        <f>I51/I46*K47</f>
        <v>1718.888220844955</v>
      </c>
      <c r="L51" s="2627">
        <f>I51/I46*L46</f>
        <v>2546.8837027939417</v>
      </c>
      <c r="M51" s="2627"/>
      <c r="N51" s="1605">
        <f>N46-N48-N49-N50</f>
        <v>2644.3000000000011</v>
      </c>
      <c r="O51" s="2627"/>
      <c r="P51" s="1605">
        <f>N51/N46*P46</f>
        <v>2113.8624728004652</v>
      </c>
      <c r="Q51" s="2627"/>
      <c r="R51" s="2627"/>
      <c r="S51" s="1605">
        <v>2048.6</v>
      </c>
      <c r="T51" s="1605"/>
      <c r="U51" s="2627">
        <f>вода!Y42</f>
        <v>2817.5</v>
      </c>
      <c r="V51" s="2627"/>
      <c r="W51" s="2627">
        <f>W47*(P51/P47)</f>
        <v>2244.4438912833493</v>
      </c>
      <c r="X51" s="2627">
        <v>1113.8</v>
      </c>
      <c r="Y51" s="2627"/>
      <c r="Z51" s="2627">
        <v>2289.6</v>
      </c>
      <c r="AA51" s="2627">
        <f>SUM(AA46*AA55)</f>
        <v>2602.0878438772475</v>
      </c>
      <c r="AB51" s="2627">
        <f>AB47*(W51/W47)</f>
        <v>2361.5208448128728</v>
      </c>
      <c r="AC51" s="3466"/>
      <c r="AD51" s="2627">
        <v>1149.72</v>
      </c>
      <c r="AE51" s="2627">
        <v>1754.48</v>
      </c>
      <c r="AF51" s="2627">
        <f>SUM(AF46*AF55)</f>
        <v>3086.2361626939046</v>
      </c>
      <c r="AG51" s="2627">
        <f>SUM(AG46*AG55)</f>
        <v>2475.1343982218523</v>
      </c>
      <c r="AH51" s="2627">
        <v>2505.2399999999998</v>
      </c>
      <c r="AI51" s="2627">
        <v>2402.1799999999998</v>
      </c>
      <c r="AJ51" s="2627">
        <v>2516.5500000000002</v>
      </c>
      <c r="AK51" s="2627">
        <v>2442.52</v>
      </c>
      <c r="AL51" s="2627">
        <v>3196.56</v>
      </c>
      <c r="AM51" s="2627">
        <f>AM47*AL55</f>
        <v>2706.8129829750114</v>
      </c>
      <c r="AN51" s="2627">
        <f>AN47*AK55</f>
        <v>2599.8439507974344</v>
      </c>
      <c r="AO51" s="4832"/>
      <c r="AP51" s="4833"/>
      <c r="AQ51" s="4833"/>
      <c r="AR51" s="3478"/>
      <c r="AS51" s="3478"/>
      <c r="AT51" s="3478"/>
      <c r="AU51" s="3478"/>
      <c r="AV51" s="3478"/>
      <c r="AW51" s="3478"/>
      <c r="AX51" s="2627">
        <f>AX47*AX55</f>
        <v>2719.011490230816</v>
      </c>
      <c r="AY51" s="3466">
        <v>1303.07</v>
      </c>
      <c r="AZ51" s="3466">
        <v>2311.9899999999998</v>
      </c>
      <c r="BA51" s="3466">
        <v>3844.89</v>
      </c>
      <c r="BB51" s="2482">
        <f>BB47*BB55</f>
        <v>4945.3918879660223</v>
      </c>
      <c r="BC51" s="4104">
        <f>BC47*BC55</f>
        <v>3577.8364299681775</v>
      </c>
      <c r="BD51" s="3967">
        <v>2804.92</v>
      </c>
      <c r="BE51" s="3967">
        <v>3998.41</v>
      </c>
      <c r="BF51" s="3983">
        <v>3844.89</v>
      </c>
    </row>
    <row r="52" spans="1:58" ht="20.100000000000001" customHeight="1" x14ac:dyDescent="0.3">
      <c r="A52" s="4831" t="s">
        <v>831</v>
      </c>
      <c r="B52" s="4831"/>
      <c r="C52" s="4831"/>
      <c r="D52" s="3476"/>
      <c r="E52" s="3476"/>
      <c r="F52" s="3476"/>
      <c r="G52" s="3476"/>
      <c r="H52" s="3476"/>
      <c r="I52" s="3476"/>
      <c r="J52" s="3476"/>
      <c r="K52" s="3476"/>
      <c r="L52" s="3476"/>
      <c r="M52" s="3476"/>
      <c r="N52" s="3476"/>
      <c r="O52" s="3476"/>
      <c r="P52" s="3476"/>
      <c r="Q52" s="3476"/>
      <c r="R52" s="3476"/>
      <c r="S52" s="3476"/>
      <c r="T52" s="3476"/>
      <c r="U52" s="3477">
        <f>U48/U46</f>
        <v>7.7875701140392162E-2</v>
      </c>
      <c r="V52" s="3476"/>
      <c r="W52" s="3476"/>
      <c r="X52" s="3476"/>
      <c r="Y52" s="3476"/>
      <c r="Z52" s="3477">
        <f>Z48/Z46</f>
        <v>8.6068697881776804E-2</v>
      </c>
      <c r="AA52" s="2631">
        <f>U52</f>
        <v>7.7875701140392162E-2</v>
      </c>
      <c r="AB52" s="3477">
        <f>AB48/AB46</f>
        <v>7.535631391890911E-2</v>
      </c>
      <c r="AC52" s="3476"/>
      <c r="AD52" s="3477">
        <f t="shared" ref="AD52:AE52" si="68">AD48/AD46</f>
        <v>0.11174727012383405</v>
      </c>
      <c r="AE52" s="3477">
        <f t="shared" si="68"/>
        <v>0.10997484299386381</v>
      </c>
      <c r="AF52" s="2631">
        <f>SUM(Z52)</f>
        <v>8.6068697881776804E-2</v>
      </c>
      <c r="AG52" s="2631">
        <f>SUM(AF52)</f>
        <v>8.6068697881776804E-2</v>
      </c>
      <c r="AH52" s="2631">
        <f t="shared" ref="AH52:AN52" si="69">AH48/AH46</f>
        <v>9.3551891187842018E-2</v>
      </c>
      <c r="AI52" s="2631">
        <f t="shared" si="69"/>
        <v>6.6009795099425561E-2</v>
      </c>
      <c r="AJ52" s="2631">
        <f t="shared" ref="AJ52" si="70">AJ48/AJ46</f>
        <v>7.1528845952636019E-2</v>
      </c>
      <c r="AK52" s="2631">
        <f t="shared" si="69"/>
        <v>3.658639624320198E-2</v>
      </c>
      <c r="AL52" s="2631">
        <f t="shared" si="69"/>
        <v>6.6009830195384048E-2</v>
      </c>
      <c r="AM52" s="2631">
        <f t="shared" si="69"/>
        <v>6.5026291755131665E-2</v>
      </c>
      <c r="AN52" s="2631">
        <f t="shared" si="69"/>
        <v>3.5143830474683002E-2</v>
      </c>
      <c r="AO52" s="4834"/>
      <c r="AP52" s="4835"/>
      <c r="AQ52" s="4835"/>
      <c r="AR52" s="3478"/>
      <c r="AS52" s="3478"/>
      <c r="AT52" s="3478"/>
      <c r="AU52" s="3478"/>
      <c r="AV52" s="3478"/>
      <c r="AW52" s="3478"/>
      <c r="AX52" s="2629">
        <f>SUM(AM52)</f>
        <v>6.5026291755131665E-2</v>
      </c>
      <c r="AY52" s="2629">
        <f t="shared" ref="AY52:BA52" si="71">AY48/AY46</f>
        <v>3.191598233128564E-2</v>
      </c>
      <c r="AZ52" s="2629">
        <f t="shared" si="71"/>
        <v>3.466843560794388E-2</v>
      </c>
      <c r="BA52" s="2629">
        <f t="shared" si="71"/>
        <v>3.3297886608802278E-2</v>
      </c>
      <c r="BB52" s="2485">
        <f>SUM(BA52)</f>
        <v>3.3297886608802278E-2</v>
      </c>
      <c r="BC52" s="4105">
        <f>SUM(BB52)</f>
        <v>3.3297886608802278E-2</v>
      </c>
      <c r="BD52" s="2485">
        <f t="shared" ref="BD52:BF52" si="72">BD48/BD46</f>
        <v>3.9390506461640884E-2</v>
      </c>
      <c r="BE52" s="2485">
        <f t="shared" si="72"/>
        <v>4.0769655512724594E-2</v>
      </c>
      <c r="BF52" s="3492" t="e">
        <f t="shared" si="72"/>
        <v>#DIV/0!</v>
      </c>
    </row>
    <row r="53" spans="1:58" ht="20.100000000000001" customHeight="1" x14ac:dyDescent="0.3">
      <c r="A53" s="4831" t="s">
        <v>832</v>
      </c>
      <c r="B53" s="4831"/>
      <c r="C53" s="4831"/>
      <c r="D53" s="3476"/>
      <c r="E53" s="3476"/>
      <c r="F53" s="3476"/>
      <c r="G53" s="3476"/>
      <c r="H53" s="3476"/>
      <c r="I53" s="3476"/>
      <c r="J53" s="3476"/>
      <c r="K53" s="3476"/>
      <c r="L53" s="3476"/>
      <c r="M53" s="3476"/>
      <c r="N53" s="3476"/>
      <c r="O53" s="3476"/>
      <c r="P53" s="3476"/>
      <c r="Q53" s="3476"/>
      <c r="R53" s="3476"/>
      <c r="S53" s="3476"/>
      <c r="T53" s="3476"/>
      <c r="U53" s="3477">
        <f>U49/U46</f>
        <v>0.58439376994390868</v>
      </c>
      <c r="V53" s="3476"/>
      <c r="W53" s="3476"/>
      <c r="X53" s="3476"/>
      <c r="Y53" s="3476"/>
      <c r="Z53" s="3477">
        <f>Z49/Z46</f>
        <v>0.55994895012820212</v>
      </c>
      <c r="AA53" s="2631">
        <f>U53</f>
        <v>0.58439376994390868</v>
      </c>
      <c r="AB53" s="3477">
        <f>AB49/AB46</f>
        <v>0.59208856168854718</v>
      </c>
      <c r="AC53" s="3476"/>
      <c r="AD53" s="3477">
        <f t="shared" ref="AD53:AE53" si="73">AD49/AD46</f>
        <v>0.56785265390697193</v>
      </c>
      <c r="AE53" s="3477">
        <f t="shared" si="73"/>
        <v>0.53035051694945778</v>
      </c>
      <c r="AF53" s="2631">
        <f>SUM(Z53)</f>
        <v>0.55994895012820212</v>
      </c>
      <c r="AG53" s="2631">
        <f>SUM(AF53)</f>
        <v>0.55994895012820212</v>
      </c>
      <c r="AH53" s="2631">
        <f t="shared" ref="AH53:AN53" si="74">AH49/AH46</f>
        <v>0.55318544297606598</v>
      </c>
      <c r="AI53" s="2631">
        <f t="shared" si="74"/>
        <v>0.67033919879817205</v>
      </c>
      <c r="AJ53" s="2631">
        <f t="shared" ref="AJ53" si="75">AJ49/AJ46</f>
        <v>0.64499985656107184</v>
      </c>
      <c r="AK53" s="2631">
        <f t="shared" si="74"/>
        <v>0.73032757479960875</v>
      </c>
      <c r="AL53" s="2631">
        <f t="shared" si="74"/>
        <v>0.67033954104034599</v>
      </c>
      <c r="AM53" s="2631">
        <f t="shared" si="74"/>
        <v>0.66035156342121215</v>
      </c>
      <c r="AN53" s="2631">
        <f t="shared" si="74"/>
        <v>0.70153147386066594</v>
      </c>
      <c r="AO53" s="4834"/>
      <c r="AP53" s="4835"/>
      <c r="AQ53" s="4835"/>
      <c r="AR53" s="3478"/>
      <c r="AS53" s="3478"/>
      <c r="AT53" s="3478"/>
      <c r="AU53" s="3478"/>
      <c r="AV53" s="3478"/>
      <c r="AW53" s="3478"/>
      <c r="AX53" s="2629">
        <f t="shared" ref="AX53:AX55" si="76">SUM(AM53)</f>
        <v>0.66035156342121215</v>
      </c>
      <c r="AY53" s="2629">
        <f t="shared" ref="AY53:BA53" si="77">AY49/AY46</f>
        <v>0.73868484062292283</v>
      </c>
      <c r="AZ53" s="2629">
        <f t="shared" si="77"/>
        <v>0.65893897811990199</v>
      </c>
      <c r="BA53" s="2629">
        <f t="shared" si="77"/>
        <v>0.66716052576114648</v>
      </c>
      <c r="BB53" s="2485">
        <f t="shared" ref="BB53:BB55" si="78">SUM(BA53)</f>
        <v>0.66716052576114648</v>
      </c>
      <c r="BC53" s="4105">
        <f t="shared" ref="BC53:BC55" si="79">SUM(BB53)</f>
        <v>0.66716052576114648</v>
      </c>
      <c r="BD53" s="2485">
        <f t="shared" ref="BD53:BF53" si="80">BD49/BD46</f>
        <v>0.55173876393937282</v>
      </c>
      <c r="BE53" s="2485">
        <f t="shared" si="80"/>
        <v>0.53805137699126171</v>
      </c>
      <c r="BF53" s="3492" t="e">
        <f t="shared" si="80"/>
        <v>#DIV/0!</v>
      </c>
    </row>
    <row r="54" spans="1:58" ht="20.100000000000001" customHeight="1" x14ac:dyDescent="0.3">
      <c r="A54" s="4831" t="s">
        <v>833</v>
      </c>
      <c r="B54" s="4831"/>
      <c r="C54" s="4831"/>
      <c r="D54" s="3476"/>
      <c r="E54" s="3476"/>
      <c r="F54" s="3476"/>
      <c r="G54" s="3476"/>
      <c r="H54" s="3476"/>
      <c r="I54" s="3476"/>
      <c r="J54" s="3476"/>
      <c r="K54" s="3476"/>
      <c r="L54" s="3476"/>
      <c r="M54" s="3476"/>
      <c r="N54" s="3476"/>
      <c r="O54" s="3476"/>
      <c r="P54" s="3476"/>
      <c r="Q54" s="3476"/>
      <c r="R54" s="3476"/>
      <c r="S54" s="3476"/>
      <c r="T54" s="3476"/>
      <c r="U54" s="3477">
        <f>U50/U46</f>
        <v>0.21607430468895059</v>
      </c>
      <c r="V54" s="3476"/>
      <c r="W54" s="3476"/>
      <c r="X54" s="3476"/>
      <c r="Y54" s="3476"/>
      <c r="Z54" s="3477">
        <f>Z50/Z46</f>
        <v>0.2217608740846827</v>
      </c>
      <c r="AA54" s="2631">
        <f>U54</f>
        <v>0.21607430468895059</v>
      </c>
      <c r="AB54" s="3477">
        <f>AB50/AB46</f>
        <v>0.21268223688982377</v>
      </c>
      <c r="AC54" s="3476"/>
      <c r="AD54" s="3477">
        <f t="shared" ref="AD54:AE54" si="81">AD50/AD46</f>
        <v>0.19772689928320081</v>
      </c>
      <c r="AE54" s="3477">
        <f t="shared" si="81"/>
        <v>0.22799962774835783</v>
      </c>
      <c r="AF54" s="2631">
        <f>SUM(Z54)</f>
        <v>0.2217608740846827</v>
      </c>
      <c r="AG54" s="2631">
        <f>SUM(AF54)</f>
        <v>0.2217608740846827</v>
      </c>
      <c r="AH54" s="2631">
        <f t="shared" ref="AH54:AN54" si="82">AH50/AH46</f>
        <v>0.22428864875439522</v>
      </c>
      <c r="AI54" s="2631">
        <f t="shared" si="82"/>
        <v>0.14255171666301175</v>
      </c>
      <c r="AJ54" s="2631">
        <f t="shared" ref="AJ54" si="83">AJ50/AJ46</f>
        <v>0.16020009428630022</v>
      </c>
      <c r="AK54" s="2631">
        <f t="shared" si="82"/>
        <v>0.12031375598080604</v>
      </c>
      <c r="AL54" s="2631">
        <f t="shared" si="82"/>
        <v>0.14255185022704009</v>
      </c>
      <c r="AM54" s="2631">
        <f t="shared" si="82"/>
        <v>0.14042784499914604</v>
      </c>
      <c r="AN54" s="2631">
        <f t="shared" si="82"/>
        <v>0.1155699024264373</v>
      </c>
      <c r="AO54" s="4834"/>
      <c r="AP54" s="4835"/>
      <c r="AQ54" s="4835"/>
      <c r="AR54" s="3478"/>
      <c r="AS54" s="3478"/>
      <c r="AT54" s="3478"/>
      <c r="AU54" s="3478"/>
      <c r="AV54" s="3478"/>
      <c r="AW54" s="3478"/>
      <c r="AX54" s="2629">
        <f t="shared" si="76"/>
        <v>0.14042784499914604</v>
      </c>
      <c r="AY54" s="2629">
        <f t="shared" ref="AY54:BA54" si="84">AY50/AY46</f>
        <v>0.10925947950866151</v>
      </c>
      <c r="AZ54" s="2629">
        <f t="shared" si="84"/>
        <v>0.15394075189675432</v>
      </c>
      <c r="BA54" s="2629">
        <f t="shared" si="84"/>
        <v>0.1153675921135828</v>
      </c>
      <c r="BB54" s="2485">
        <f t="shared" si="78"/>
        <v>0.1153675921135828</v>
      </c>
      <c r="BC54" s="4105">
        <f t="shared" si="79"/>
        <v>0.1153675921135828</v>
      </c>
      <c r="BD54" s="2485">
        <f t="shared" ref="BD54:BF54" si="85">BD50/BD46</f>
        <v>0.10767611796856964</v>
      </c>
      <c r="BE54" s="2485">
        <f t="shared" si="85"/>
        <v>0.12475197728703558</v>
      </c>
      <c r="BF54" s="3492" t="e">
        <f t="shared" si="85"/>
        <v>#DIV/0!</v>
      </c>
    </row>
    <row r="55" spans="1:58" ht="20.100000000000001" customHeight="1" x14ac:dyDescent="0.3">
      <c r="A55" s="4831" t="s">
        <v>834</v>
      </c>
      <c r="B55" s="4831"/>
      <c r="C55" s="4831"/>
      <c r="D55" s="3476"/>
      <c r="E55" s="3476"/>
      <c r="F55" s="3476"/>
      <c r="G55" s="3476"/>
      <c r="H55" s="3476"/>
      <c r="I55" s="3476"/>
      <c r="J55" s="3476"/>
      <c r="K55" s="3476"/>
      <c r="L55" s="3476"/>
      <c r="M55" s="3476"/>
      <c r="N55" s="3476"/>
      <c r="O55" s="3476"/>
      <c r="P55" s="3476"/>
      <c r="Q55" s="3476"/>
      <c r="R55" s="3476"/>
      <c r="S55" s="3476"/>
      <c r="T55" s="3476"/>
      <c r="U55" s="3477">
        <f>U51/U46</f>
        <v>0.12166054225841692</v>
      </c>
      <c r="V55" s="3476"/>
      <c r="W55" s="3476"/>
      <c r="X55" s="3476"/>
      <c r="Y55" s="3476"/>
      <c r="Z55" s="3477">
        <f>Z51/Z46</f>
        <v>0.13222147790533828</v>
      </c>
      <c r="AA55" s="2631">
        <f>U55</f>
        <v>0.12166054225841692</v>
      </c>
      <c r="AB55" s="3477">
        <f>AB51/AB46</f>
        <v>0.11987288750272002</v>
      </c>
      <c r="AC55" s="3476"/>
      <c r="AD55" s="3477">
        <f t="shared" ref="AD55:AE55" si="86">AD51/AD46</f>
        <v>0.1226731766859933</v>
      </c>
      <c r="AE55" s="3477">
        <f t="shared" si="86"/>
        <v>0.1316750123083204</v>
      </c>
      <c r="AF55" s="2631">
        <f>SUM(Z55)</f>
        <v>0.13222147790533828</v>
      </c>
      <c r="AG55" s="2631">
        <f>SUM(AF55)</f>
        <v>0.13222147790533828</v>
      </c>
      <c r="AH55" s="2631">
        <f t="shared" ref="AH55:AN55" si="87">AH51/AH46</f>
        <v>0.12897453190076344</v>
      </c>
      <c r="AI55" s="2631">
        <f t="shared" si="87"/>
        <v>0.12109928943939061</v>
      </c>
      <c r="AJ55" s="2631">
        <f t="shared" ref="AJ55" si="88">AJ51/AJ46</f>
        <v>0.12331621848319611</v>
      </c>
      <c r="AK55" s="2631">
        <f t="shared" si="87"/>
        <v>0.11277227297638337</v>
      </c>
      <c r="AL55" s="2631">
        <f t="shared" si="87"/>
        <v>0.12109915737935205</v>
      </c>
      <c r="AM55" s="2631">
        <f t="shared" si="87"/>
        <v>0.11929479466531047</v>
      </c>
      <c r="AN55" s="2631">
        <f t="shared" si="87"/>
        <v>0.10832577271020764</v>
      </c>
      <c r="AO55" s="4834"/>
      <c r="AP55" s="4835"/>
      <c r="AQ55" s="4835"/>
      <c r="AR55" s="3478"/>
      <c r="AS55" s="3478"/>
      <c r="AT55" s="3478"/>
      <c r="AU55" s="3478"/>
      <c r="AV55" s="3478"/>
      <c r="AW55" s="3478"/>
      <c r="AX55" s="2629">
        <f t="shared" si="76"/>
        <v>0.11929479466531047</v>
      </c>
      <c r="AY55" s="2629">
        <f t="shared" ref="AY55:BA55" si="89">AY51/AY46</f>
        <v>0.12013969753713023</v>
      </c>
      <c r="AZ55" s="2629">
        <f t="shared" si="89"/>
        <v>0.15245183437539975</v>
      </c>
      <c r="BA55" s="2629">
        <f t="shared" si="89"/>
        <v>0.18417399551646835</v>
      </c>
      <c r="BB55" s="2485">
        <f t="shared" si="78"/>
        <v>0.18417399551646835</v>
      </c>
      <c r="BC55" s="4105">
        <f t="shared" si="79"/>
        <v>0.18417399551646835</v>
      </c>
      <c r="BD55" s="2485">
        <f t="shared" ref="BD55:BF55" si="90">BD51/BD46</f>
        <v>0.30119461163041672</v>
      </c>
      <c r="BE55" s="2485">
        <f t="shared" si="90"/>
        <v>0.29642699020897811</v>
      </c>
      <c r="BF55" s="3492" t="e">
        <f t="shared" si="90"/>
        <v>#DIV/0!</v>
      </c>
    </row>
    <row r="60" spans="1:58" ht="20.25" x14ac:dyDescent="0.3">
      <c r="A60" s="2476" t="s">
        <v>3545</v>
      </c>
      <c r="BC60" s="155"/>
    </row>
    <row r="74" spans="21:47" x14ac:dyDescent="0.2"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>
        <v>8</v>
      </c>
      <c r="AP74" s="365">
        <v>9</v>
      </c>
      <c r="AQ74" s="365">
        <v>10</v>
      </c>
      <c r="AR74" s="365">
        <v>11</v>
      </c>
      <c r="AS74" s="365">
        <v>12</v>
      </c>
      <c r="AT74" t="s">
        <v>290</v>
      </c>
    </row>
    <row r="75" spans="21:47" x14ac:dyDescent="0.2">
      <c r="U75" s="557"/>
      <c r="W75" s="557"/>
      <c r="X75" s="557"/>
      <c r="Y75" s="557"/>
      <c r="Z75" s="557"/>
      <c r="AA75" s="557"/>
      <c r="AB75" s="557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988">
        <v>5300</v>
      </c>
      <c r="AP75" s="988">
        <v>4625</v>
      </c>
      <c r="AQ75" s="988">
        <f>SUM(U75)</f>
        <v>0</v>
      </c>
      <c r="AR75" s="128">
        <f>SUM(U75)</f>
        <v>0</v>
      </c>
      <c r="AS75" s="128">
        <f>SUM(U75)</f>
        <v>0</v>
      </c>
      <c r="AT75">
        <v>52000</v>
      </c>
      <c r="AU75" s="128">
        <f>SUM(U75:AS75)</f>
        <v>9925</v>
      </c>
    </row>
    <row r="76" spans="21:47" x14ac:dyDescent="0.2">
      <c r="U76" s="557"/>
      <c r="W76" s="557"/>
      <c r="X76" s="557"/>
      <c r="Y76" s="557"/>
      <c r="Z76" s="557"/>
      <c r="AA76" s="557"/>
      <c r="AB76" s="557"/>
      <c r="AC76" s="557"/>
      <c r="AD76" s="557"/>
      <c r="AE76" s="557"/>
      <c r="AF76" s="557"/>
      <c r="AG76" s="557"/>
      <c r="AH76" s="557"/>
      <c r="AI76" s="557"/>
      <c r="AJ76" s="557"/>
      <c r="AK76" s="557"/>
      <c r="AL76" s="557"/>
      <c r="AM76" s="557"/>
      <c r="AN76" s="557"/>
      <c r="AO76" s="557">
        <f>SUM(AO75/AT75*100)</f>
        <v>10.192307692307692</v>
      </c>
      <c r="AP76" s="557">
        <f>SUM(AP75/AT75*100)</f>
        <v>8.8942307692307701</v>
      </c>
      <c r="AQ76" s="557">
        <f>SUM(AQ75/AT75*100)</f>
        <v>0</v>
      </c>
      <c r="AR76" s="557">
        <f>SUM(AR75/AT75*100)</f>
        <v>0</v>
      </c>
      <c r="AS76" s="557">
        <f>SUM(AS75/AT75*100)</f>
        <v>0</v>
      </c>
      <c r="AT76" s="128">
        <f>SUM(U76:AS76)</f>
        <v>19.08653846153846</v>
      </c>
    </row>
    <row r="77" spans="21:47" x14ac:dyDescent="0.2">
      <c r="U77" s="557"/>
    </row>
  </sheetData>
  <mergeCells count="117">
    <mergeCell ref="U4:Z4"/>
    <mergeCell ref="AA4:AE4"/>
    <mergeCell ref="Z5:Z7"/>
    <mergeCell ref="AA5:AA7"/>
    <mergeCell ref="BC5:BC7"/>
    <mergeCell ref="BB4:BC4"/>
    <mergeCell ref="BB5:BB7"/>
    <mergeCell ref="AX5:AX7"/>
    <mergeCell ref="AN4:AX4"/>
    <mergeCell ref="AB5:AB7"/>
    <mergeCell ref="AC5:AC7"/>
    <mergeCell ref="X5:X7"/>
    <mergeCell ref="Y5:Y7"/>
    <mergeCell ref="AJ4:AK4"/>
    <mergeCell ref="AF4:AH4"/>
    <mergeCell ref="AI5:AI7"/>
    <mergeCell ref="AL4:AM4"/>
    <mergeCell ref="AL5:AL7"/>
    <mergeCell ref="AJ5:AJ7"/>
    <mergeCell ref="BA4:BA7"/>
    <mergeCell ref="AY4:AY7"/>
    <mergeCell ref="AZ4:AZ7"/>
    <mergeCell ref="AO14:AQ14"/>
    <mergeCell ref="AO15:AQ15"/>
    <mergeCell ref="AO16:AQ16"/>
    <mergeCell ref="AO8:AQ8"/>
    <mergeCell ref="AO11:AQ11"/>
    <mergeCell ref="AO12:AQ12"/>
    <mergeCell ref="AO13:AQ13"/>
    <mergeCell ref="AO9:AQ9"/>
    <mergeCell ref="A54:C54"/>
    <mergeCell ref="AO33:AQ33"/>
    <mergeCell ref="AO34:AQ34"/>
    <mergeCell ref="AO30:AQ30"/>
    <mergeCell ref="AO31:AQ31"/>
    <mergeCell ref="AO35:AQ35"/>
    <mergeCell ref="AO36:AQ36"/>
    <mergeCell ref="AO37:AQ37"/>
    <mergeCell ref="AO41:AQ41"/>
    <mergeCell ref="AO27:AQ27"/>
    <mergeCell ref="AO28:AQ28"/>
    <mergeCell ref="AO29:AQ29"/>
    <mergeCell ref="AO25:AQ25"/>
    <mergeCell ref="AO22:AQ22"/>
    <mergeCell ref="AO19:AQ19"/>
    <mergeCell ref="A55:C55"/>
    <mergeCell ref="AO38:AQ38"/>
    <mergeCell ref="AO44:AQ44"/>
    <mergeCell ref="AO45:AQ45"/>
    <mergeCell ref="AO52:AQ52"/>
    <mergeCell ref="AO53:AQ53"/>
    <mergeCell ref="AO54:AQ54"/>
    <mergeCell ref="AO55:AQ55"/>
    <mergeCell ref="AO51:AQ51"/>
    <mergeCell ref="AO46:AQ46"/>
    <mergeCell ref="AO47:AQ47"/>
    <mergeCell ref="AO48:AQ48"/>
    <mergeCell ref="A49:C49"/>
    <mergeCell ref="A52:C52"/>
    <mergeCell ref="A53:C53"/>
    <mergeCell ref="A48:C48"/>
    <mergeCell ref="AO49:AQ49"/>
    <mergeCell ref="AO50:AQ50"/>
    <mergeCell ref="AO39:AQ39"/>
    <mergeCell ref="A50:C50"/>
    <mergeCell ref="AO43:AQ43"/>
    <mergeCell ref="A51:C51"/>
    <mergeCell ref="AO42:AQ42"/>
    <mergeCell ref="AO40:AQ40"/>
    <mergeCell ref="F5:F7"/>
    <mergeCell ref="J5:J7"/>
    <mergeCell ref="P5:P7"/>
    <mergeCell ref="R5:R7"/>
    <mergeCell ref="N5:N7"/>
    <mergeCell ref="O5:O7"/>
    <mergeCell ref="K5:K7"/>
    <mergeCell ref="L5:L7"/>
    <mergeCell ref="AO26:AQ26"/>
    <mergeCell ref="AO10:AQ10"/>
    <mergeCell ref="AD5:AD7"/>
    <mergeCell ref="AE5:AE7"/>
    <mergeCell ref="AO21:AQ21"/>
    <mergeCell ref="AO20:AQ20"/>
    <mergeCell ref="AM5:AM7"/>
    <mergeCell ref="AF5:AF7"/>
    <mergeCell ref="AG5:AG7"/>
    <mergeCell ref="AH5:AH7"/>
    <mergeCell ref="AK5:AK7"/>
    <mergeCell ref="AN5:AN7"/>
    <mergeCell ref="AO17:AQ17"/>
    <mergeCell ref="AO18:AQ18"/>
    <mergeCell ref="AO23:AQ23"/>
    <mergeCell ref="AO24:AQ24"/>
    <mergeCell ref="BD4:BD7"/>
    <mergeCell ref="BE4:BE7"/>
    <mergeCell ref="BF4:BF7"/>
    <mergeCell ref="A2:BF2"/>
    <mergeCell ref="B4:B7"/>
    <mergeCell ref="C4:D4"/>
    <mergeCell ref="C5:C7"/>
    <mergeCell ref="E4:F4"/>
    <mergeCell ref="A4:A7"/>
    <mergeCell ref="N4:T4"/>
    <mergeCell ref="T5:T7"/>
    <mergeCell ref="I4:M4"/>
    <mergeCell ref="M5:M7"/>
    <mergeCell ref="H5:H7"/>
    <mergeCell ref="G4:H4"/>
    <mergeCell ref="I5:I7"/>
    <mergeCell ref="D5:D7"/>
    <mergeCell ref="Q5:Q7"/>
    <mergeCell ref="G5:G7"/>
    <mergeCell ref="E5:E7"/>
    <mergeCell ref="U5:U7"/>
    <mergeCell ref="V5:V7"/>
    <mergeCell ref="S5:S7"/>
    <mergeCell ref="W5:W7"/>
  </mergeCells>
  <phoneticPr fontId="9" type="noConversion"/>
  <printOptions horizontalCentered="1" verticalCentered="1"/>
  <pageMargins left="0.39370078740157483" right="0.39370078740157483" top="0.39370078740157483" bottom="0.19685039370078741" header="0" footer="0"/>
  <pageSetup paperSize="9" scale="43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29">
    <tabColor rgb="FFFFFF00"/>
    <pageSetUpPr fitToPage="1"/>
  </sheetPr>
  <dimension ref="A1:BJ317"/>
  <sheetViews>
    <sheetView zoomScale="80" zoomScaleNormal="80" zoomScalePageLayoutView="80" workbookViewId="0">
      <pane xSplit="36" ySplit="8" topLeftCell="AM32" activePane="bottomRight" state="frozen"/>
      <selection pane="topRight" activeCell="AK1" sqref="AK1"/>
      <selection pane="bottomLeft" activeCell="A9" sqref="A9"/>
      <selection pane="bottomRight" activeCell="AS38" sqref="AS38"/>
    </sheetView>
  </sheetViews>
  <sheetFormatPr defaultRowHeight="12.75" outlineLevelCol="1" x14ac:dyDescent="0.2"/>
  <cols>
    <col min="1" max="1" width="44.8554687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6" hidden="1" customWidth="1" collapsed="1"/>
    <col min="20" max="21" width="10.42578125" style="326" hidden="1" customWidth="1" outlineLevel="1"/>
    <col min="22" max="22" width="13.28515625" style="523" hidden="1" customWidth="1" collapsed="1"/>
    <col min="23" max="23" width="10" hidden="1" customWidth="1" outlineLevel="1"/>
    <col min="24" max="24" width="12.85546875" style="365" hidden="1" customWidth="1" collapsed="1"/>
    <col min="25" max="25" width="13.7109375" style="365" hidden="1" customWidth="1"/>
    <col min="26" max="29" width="12.85546875" style="365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36" width="15.7109375" hidden="1" customWidth="1"/>
    <col min="37" max="38" width="12.7109375" hidden="1" customWidth="1"/>
    <col min="39" max="40" width="15.7109375" customWidth="1"/>
    <col min="41" max="41" width="18" customWidth="1"/>
    <col min="42" max="42" width="17.28515625" customWidth="1"/>
    <col min="43" max="44" width="12.85546875" customWidth="1"/>
    <col min="45" max="45" width="13.28515625" customWidth="1"/>
    <col min="46" max="46" width="18" customWidth="1"/>
    <col min="47" max="47" width="17.5703125" customWidth="1"/>
    <col min="48" max="50" width="12.85546875" hidden="1" customWidth="1"/>
    <col min="51" max="62" width="12.85546875" customWidth="1"/>
  </cols>
  <sheetData>
    <row r="1" spans="1:53" x14ac:dyDescent="0.2">
      <c r="A1" s="4701" t="s">
        <v>1498</v>
      </c>
      <c r="B1" s="4701"/>
      <c r="C1" s="4701"/>
      <c r="D1" s="4701"/>
      <c r="E1" s="4701"/>
      <c r="F1" s="4701"/>
      <c r="G1" s="4701"/>
      <c r="H1" s="4701"/>
      <c r="I1" s="4701"/>
      <c r="J1" s="4701"/>
      <c r="K1" s="4701"/>
      <c r="L1" s="4701"/>
      <c r="M1" s="4701"/>
      <c r="N1" s="4701"/>
      <c r="O1" s="4701"/>
      <c r="P1" s="4701"/>
      <c r="Q1" s="4701"/>
      <c r="R1" s="4701"/>
      <c r="S1" s="4701"/>
      <c r="T1" s="4701"/>
      <c r="U1" s="4701"/>
      <c r="V1" s="4701"/>
      <c r="W1" s="4701"/>
      <c r="X1" s="4701"/>
      <c r="Y1" s="4701"/>
      <c r="Z1" s="4701"/>
      <c r="AA1" s="4701"/>
      <c r="AB1" s="4701"/>
      <c r="AC1" s="4701"/>
      <c r="AD1" s="4701"/>
      <c r="AE1" s="4701"/>
      <c r="AF1" s="4701"/>
      <c r="AG1" s="4701"/>
      <c r="AH1" s="4701"/>
      <c r="AI1" s="4701"/>
      <c r="AJ1" s="4701"/>
      <c r="AK1" s="4701"/>
      <c r="AL1" s="4701"/>
      <c r="AM1" s="4701"/>
      <c r="AN1" s="4701"/>
      <c r="AO1" s="4701"/>
      <c r="AP1" s="4701"/>
      <c r="AQ1" s="4701"/>
      <c r="AR1" s="4701"/>
      <c r="AS1" s="4701"/>
      <c r="AT1" s="4701"/>
      <c r="AU1" s="4701"/>
      <c r="AV1" s="4701"/>
      <c r="AW1" s="4701"/>
      <c r="AX1" s="4701"/>
      <c r="AY1" s="4701"/>
      <c r="AZ1" s="4701"/>
      <c r="BA1" s="4701"/>
    </row>
    <row r="2" spans="1:53" ht="20.25" x14ac:dyDescent="0.3">
      <c r="A2" s="4504" t="s">
        <v>3907</v>
      </c>
      <c r="B2" s="4492"/>
      <c r="C2" s="4492"/>
      <c r="D2" s="4492"/>
      <c r="E2" s="4492"/>
      <c r="F2" s="4492"/>
      <c r="G2" s="4492"/>
      <c r="H2" s="4492"/>
      <c r="I2" s="4492"/>
      <c r="J2" s="4492"/>
      <c r="K2" s="4492"/>
      <c r="L2" s="4492"/>
      <c r="M2" s="4492"/>
      <c r="N2" s="4492"/>
      <c r="O2" s="4492"/>
      <c r="P2" s="4492"/>
      <c r="Q2" s="4492"/>
      <c r="R2" s="4492"/>
      <c r="S2" s="4492"/>
      <c r="T2" s="4492"/>
      <c r="U2" s="4492"/>
      <c r="V2" s="4492"/>
      <c r="W2" s="4492"/>
      <c r="X2" s="4492"/>
      <c r="Y2" s="4492"/>
      <c r="Z2" s="4492"/>
      <c r="AA2" s="4492"/>
      <c r="AB2" s="4492"/>
      <c r="AC2" s="4492"/>
      <c r="AD2" s="4492"/>
      <c r="AE2" s="4492"/>
      <c r="AF2" s="4492"/>
      <c r="AG2" s="4492"/>
      <c r="AH2" s="4492"/>
      <c r="AI2" s="4492"/>
      <c r="AJ2" s="4492"/>
      <c r="AK2" s="4492"/>
      <c r="AL2" s="4492"/>
      <c r="AM2" s="4492"/>
      <c r="AN2" s="4492"/>
      <c r="AO2" s="4492"/>
      <c r="AP2" s="4492"/>
      <c r="AQ2" s="4492"/>
      <c r="AR2" s="4492"/>
      <c r="AS2" s="4492"/>
      <c r="AT2" s="4492"/>
      <c r="AU2" s="4492"/>
      <c r="AV2" s="4242"/>
      <c r="AW2" s="4242"/>
      <c r="AX2" s="4242"/>
      <c r="AY2" s="4242"/>
      <c r="AZ2" s="4242"/>
      <c r="BA2" s="4242"/>
    </row>
    <row r="3" spans="1:53" ht="15.75" x14ac:dyDescent="0.2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1"/>
      <c r="T3" s="391"/>
      <c r="U3" s="391"/>
      <c r="V3" s="394"/>
      <c r="W3" s="5"/>
      <c r="X3" s="394"/>
      <c r="Y3" s="394"/>
      <c r="Z3" s="394"/>
      <c r="AA3" s="394"/>
      <c r="AB3" s="394"/>
      <c r="AC3" s="394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53" x14ac:dyDescent="0.2">
      <c r="A4" s="392"/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5"/>
      <c r="N4" s="5"/>
      <c r="O4" s="5"/>
      <c r="P4" s="393" t="s">
        <v>55</v>
      </c>
      <c r="Q4" s="393"/>
      <c r="R4" s="5"/>
      <c r="S4" s="391"/>
      <c r="T4" s="391"/>
      <c r="U4" s="391"/>
      <c r="V4" s="394"/>
      <c r="W4" s="5"/>
      <c r="X4" s="394"/>
      <c r="Y4" s="394"/>
      <c r="Z4" s="394"/>
      <c r="AA4" s="394"/>
      <c r="AB4" s="394"/>
      <c r="AC4" s="394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53" ht="16.5" customHeight="1" x14ac:dyDescent="0.3">
      <c r="A5" s="4763" t="s">
        <v>527</v>
      </c>
      <c r="B5" s="4736" t="s">
        <v>57</v>
      </c>
      <c r="C5" s="4763" t="s">
        <v>58</v>
      </c>
      <c r="D5" s="4763"/>
      <c r="E5" s="4763" t="s">
        <v>66</v>
      </c>
      <c r="F5" s="4763"/>
      <c r="G5" s="4763" t="s">
        <v>92</v>
      </c>
      <c r="H5" s="4763"/>
      <c r="I5" s="4763" t="s">
        <v>117</v>
      </c>
      <c r="J5" s="4763"/>
      <c r="K5" s="4763"/>
      <c r="L5" s="4763"/>
      <c r="M5" s="4763"/>
      <c r="N5" s="4736" t="s">
        <v>155</v>
      </c>
      <c r="O5" s="4736"/>
      <c r="P5" s="4736"/>
      <c r="Q5" s="4736"/>
      <c r="R5" s="4736"/>
      <c r="S5" s="4736"/>
      <c r="T5" s="4736"/>
      <c r="U5" s="4736"/>
      <c r="V5" s="4761" t="s">
        <v>229</v>
      </c>
      <c r="W5" s="4761"/>
      <c r="X5" s="4761"/>
      <c r="Y5" s="4761"/>
      <c r="Z5" s="4761"/>
      <c r="AA5" s="4851"/>
      <c r="AB5" s="4761" t="s">
        <v>364</v>
      </c>
      <c r="AC5" s="4761"/>
      <c r="AD5" s="4761"/>
      <c r="AE5" s="4851"/>
      <c r="AF5" s="4851"/>
      <c r="AG5" s="4870" t="s">
        <v>818</v>
      </c>
      <c r="AH5" s="4871"/>
      <c r="AI5" s="4872"/>
      <c r="AJ5" s="2681" t="s">
        <v>895</v>
      </c>
      <c r="AK5" s="4870" t="s">
        <v>896</v>
      </c>
      <c r="AL5" s="4875"/>
      <c r="AM5" s="4870" t="s">
        <v>1802</v>
      </c>
      <c r="AN5" s="4872"/>
      <c r="AO5" s="4840" t="s">
        <v>3694</v>
      </c>
      <c r="AP5" s="4876"/>
      <c r="AQ5" s="4745" t="s">
        <v>3648</v>
      </c>
      <c r="AR5" s="4745" t="s">
        <v>3649</v>
      </c>
      <c r="AS5" s="4745" t="s">
        <v>3651</v>
      </c>
      <c r="AT5" s="4840" t="s">
        <v>3888</v>
      </c>
      <c r="AU5" s="4876"/>
      <c r="AV5" s="4476" t="s">
        <v>237</v>
      </c>
      <c r="AW5" s="4850"/>
      <c r="AX5" s="4850"/>
      <c r="AY5" s="4745" t="s">
        <v>3943</v>
      </c>
      <c r="AZ5" s="4745" t="s">
        <v>3944</v>
      </c>
      <c r="BA5" s="4745" t="s">
        <v>3946</v>
      </c>
    </row>
    <row r="6" spans="1:53" ht="16.5" customHeight="1" x14ac:dyDescent="0.2">
      <c r="A6" s="4763"/>
      <c r="B6" s="4736"/>
      <c r="C6" s="4736" t="s">
        <v>60</v>
      </c>
      <c r="D6" s="4736" t="s">
        <v>61</v>
      </c>
      <c r="E6" s="4736" t="s">
        <v>60</v>
      </c>
      <c r="F6" s="4736" t="s">
        <v>65</v>
      </c>
      <c r="G6" s="4736" t="s">
        <v>60</v>
      </c>
      <c r="H6" s="4736" t="s">
        <v>109</v>
      </c>
      <c r="I6" s="4736" t="s">
        <v>59</v>
      </c>
      <c r="J6" s="4736" t="s">
        <v>62</v>
      </c>
      <c r="K6" s="4736" t="s">
        <v>107</v>
      </c>
      <c r="L6" s="4736" t="s">
        <v>60</v>
      </c>
      <c r="M6" s="4736" t="s">
        <v>116</v>
      </c>
      <c r="N6" s="4736" t="s">
        <v>119</v>
      </c>
      <c r="O6" s="4736" t="s">
        <v>161</v>
      </c>
      <c r="P6" s="4736" t="s">
        <v>120</v>
      </c>
      <c r="Q6" s="4736" t="s">
        <v>203</v>
      </c>
      <c r="R6" s="4736" t="s">
        <v>204</v>
      </c>
      <c r="S6" s="4736" t="s">
        <v>107</v>
      </c>
      <c r="T6" s="4736" t="s">
        <v>63</v>
      </c>
      <c r="U6" s="4736" t="s">
        <v>60</v>
      </c>
      <c r="V6" s="4736" t="s">
        <v>551</v>
      </c>
      <c r="W6" s="4736" t="s">
        <v>234</v>
      </c>
      <c r="X6" s="4736" t="s">
        <v>552</v>
      </c>
      <c r="Y6" s="4736" t="s">
        <v>375</v>
      </c>
      <c r="Z6" s="4736" t="s">
        <v>127</v>
      </c>
      <c r="AA6" s="4736" t="s">
        <v>643</v>
      </c>
      <c r="AB6" s="4736" t="s">
        <v>551</v>
      </c>
      <c r="AC6" s="4736" t="s">
        <v>552</v>
      </c>
      <c r="AD6" s="4736" t="s">
        <v>553</v>
      </c>
      <c r="AE6" s="4736" t="s">
        <v>375</v>
      </c>
      <c r="AF6" s="4736" t="s">
        <v>127</v>
      </c>
      <c r="AG6" s="4736" t="s">
        <v>551</v>
      </c>
      <c r="AH6" s="4736" t="s">
        <v>1588</v>
      </c>
      <c r="AI6" s="4745" t="s">
        <v>60</v>
      </c>
      <c r="AJ6" s="4745" t="s">
        <v>60</v>
      </c>
      <c r="AK6" s="4736" t="s">
        <v>1588</v>
      </c>
      <c r="AL6" s="4772" t="s">
        <v>60</v>
      </c>
      <c r="AM6" s="4745" t="s">
        <v>1820</v>
      </c>
      <c r="AN6" s="4745" t="s">
        <v>1903</v>
      </c>
      <c r="AO6" s="4745" t="s">
        <v>3516</v>
      </c>
      <c r="AP6" s="4745" t="s">
        <v>3695</v>
      </c>
      <c r="AQ6" s="4823"/>
      <c r="AR6" s="4823"/>
      <c r="AS6" s="4823"/>
      <c r="AT6" s="4745" t="s">
        <v>3516</v>
      </c>
      <c r="AU6" s="4745" t="s">
        <v>3695</v>
      </c>
      <c r="AV6" s="4476"/>
      <c r="AW6" s="4850"/>
      <c r="AX6" s="4850"/>
      <c r="AY6" s="4823"/>
      <c r="AZ6" s="4823"/>
      <c r="BA6" s="4823"/>
    </row>
    <row r="7" spans="1:53" ht="28.5" customHeight="1" x14ac:dyDescent="0.2">
      <c r="A7" s="4763"/>
      <c r="B7" s="4736"/>
      <c r="C7" s="4736"/>
      <c r="D7" s="4736"/>
      <c r="E7" s="4736"/>
      <c r="F7" s="4736"/>
      <c r="G7" s="4736"/>
      <c r="H7" s="4736"/>
      <c r="I7" s="4736"/>
      <c r="J7" s="4736"/>
      <c r="K7" s="4736"/>
      <c r="L7" s="4736"/>
      <c r="M7" s="4736"/>
      <c r="N7" s="4736"/>
      <c r="O7" s="4736"/>
      <c r="P7" s="4736"/>
      <c r="Q7" s="4736"/>
      <c r="R7" s="4736"/>
      <c r="S7" s="4736"/>
      <c r="T7" s="4736"/>
      <c r="U7" s="4736"/>
      <c r="V7" s="4736"/>
      <c r="W7" s="4736"/>
      <c r="X7" s="4736"/>
      <c r="Y7" s="4736"/>
      <c r="Z7" s="4736"/>
      <c r="AA7" s="4736"/>
      <c r="AB7" s="4736"/>
      <c r="AC7" s="4736"/>
      <c r="AD7" s="4736"/>
      <c r="AE7" s="4736"/>
      <c r="AF7" s="4736"/>
      <c r="AG7" s="4736"/>
      <c r="AH7" s="4736"/>
      <c r="AI7" s="4873"/>
      <c r="AJ7" s="4873"/>
      <c r="AK7" s="4736"/>
      <c r="AL7" s="4874"/>
      <c r="AM7" s="4873"/>
      <c r="AN7" s="4873"/>
      <c r="AO7" s="4829"/>
      <c r="AP7" s="4829"/>
      <c r="AQ7" s="4823"/>
      <c r="AR7" s="4823"/>
      <c r="AS7" s="4823"/>
      <c r="AT7" s="4829"/>
      <c r="AU7" s="4829"/>
      <c r="AV7" s="4476"/>
      <c r="AW7" s="4850"/>
      <c r="AX7" s="4850"/>
      <c r="AY7" s="4823"/>
      <c r="AZ7" s="4823"/>
      <c r="BA7" s="4823"/>
    </row>
    <row r="8" spans="1:53" ht="35.25" customHeight="1" x14ac:dyDescent="0.2">
      <c r="A8" s="4763"/>
      <c r="B8" s="4736"/>
      <c r="C8" s="4736"/>
      <c r="D8" s="4736"/>
      <c r="E8" s="4736"/>
      <c r="F8" s="4736"/>
      <c r="G8" s="4736"/>
      <c r="H8" s="4736"/>
      <c r="I8" s="4736"/>
      <c r="J8" s="4736"/>
      <c r="K8" s="4736"/>
      <c r="L8" s="4736"/>
      <c r="M8" s="4736"/>
      <c r="N8" s="4736"/>
      <c r="O8" s="4736"/>
      <c r="P8" s="4736"/>
      <c r="Q8" s="4736"/>
      <c r="R8" s="4736"/>
      <c r="S8" s="4736"/>
      <c r="T8" s="4736"/>
      <c r="U8" s="4736"/>
      <c r="V8" s="4736"/>
      <c r="W8" s="4736"/>
      <c r="X8" s="4736"/>
      <c r="Y8" s="4736"/>
      <c r="Z8" s="4736"/>
      <c r="AA8" s="4736"/>
      <c r="AB8" s="4736"/>
      <c r="AC8" s="4736"/>
      <c r="AD8" s="4736"/>
      <c r="AE8" s="4736"/>
      <c r="AF8" s="4736"/>
      <c r="AG8" s="4736"/>
      <c r="AH8" s="4736"/>
      <c r="AI8" s="4746"/>
      <c r="AJ8" s="4746"/>
      <c r="AK8" s="4736"/>
      <c r="AL8" s="4773"/>
      <c r="AM8" s="4746"/>
      <c r="AN8" s="4746"/>
      <c r="AO8" s="4830"/>
      <c r="AP8" s="4830"/>
      <c r="AQ8" s="4824"/>
      <c r="AR8" s="4824"/>
      <c r="AS8" s="4824"/>
      <c r="AT8" s="4830"/>
      <c r="AU8" s="4830"/>
      <c r="AV8" s="4476"/>
      <c r="AW8" s="4850"/>
      <c r="AX8" s="4850"/>
      <c r="AY8" s="4824"/>
      <c r="AZ8" s="4824"/>
      <c r="BA8" s="4824"/>
    </row>
    <row r="9" spans="1:53" ht="46.5" customHeight="1" x14ac:dyDescent="0.2">
      <c r="A9" s="3466" t="s">
        <v>71</v>
      </c>
      <c r="B9" s="3467">
        <v>3590.7</v>
      </c>
      <c r="C9" s="3468">
        <v>3994.1</v>
      </c>
      <c r="D9" s="1731">
        <f t="shared" ref="D9:D18" si="0">C9/B9*100</f>
        <v>111.23457821594675</v>
      </c>
      <c r="E9" s="1602">
        <v>5061.1000000000004</v>
      </c>
      <c r="F9" s="1605">
        <f>E9/C9*100</f>
        <v>126.71440374552465</v>
      </c>
      <c r="G9" s="1602">
        <v>5204.1000000000004</v>
      </c>
      <c r="H9" s="1605">
        <f>G9/E9*100</f>
        <v>102.82547272332101</v>
      </c>
      <c r="I9" s="1602">
        <v>5863.5</v>
      </c>
      <c r="J9" s="1602">
        <v>2662.2</v>
      </c>
      <c r="K9" s="1602">
        <v>3506.3</v>
      </c>
      <c r="L9" s="1602">
        <v>5246.3</v>
      </c>
      <c r="M9" s="1605">
        <f>L9/G9*100</f>
        <v>100.81089909878749</v>
      </c>
      <c r="N9" s="1602">
        <v>7305.8</v>
      </c>
      <c r="O9" s="1605">
        <f>N9/I9*100</f>
        <v>124.59793638611751</v>
      </c>
      <c r="P9" s="1602">
        <v>6279.8</v>
      </c>
      <c r="Q9" s="1605">
        <f>P9/I9*100</f>
        <v>107.09985503538842</v>
      </c>
      <c r="R9" s="1605">
        <f>P9/L9*100</f>
        <v>119.69959781179116</v>
      </c>
      <c r="S9" s="1602">
        <v>4175.6000000000004</v>
      </c>
      <c r="T9" s="1602"/>
      <c r="U9" s="1602">
        <v>5450.9</v>
      </c>
      <c r="V9" s="1602">
        <v>7339.4</v>
      </c>
      <c r="W9" s="3469">
        <f>V9/P9</f>
        <v>1.1687314882639575</v>
      </c>
      <c r="X9" s="2626">
        <f>P9*1.056</f>
        <v>6631.4688000000006</v>
      </c>
      <c r="Y9" s="2626"/>
      <c r="Z9" s="2626"/>
      <c r="AA9" s="2626">
        <v>4558.8999999999996</v>
      </c>
      <c r="AB9" s="2626">
        <v>7001.8</v>
      </c>
      <c r="AC9" s="2626">
        <f>U9*1.074*1.067</f>
        <v>6246.5024621999992</v>
      </c>
      <c r="AD9" s="3469">
        <f>AC9/X9</f>
        <v>0.94194855628363938</v>
      </c>
      <c r="AE9" s="2626">
        <v>2176.5</v>
      </c>
      <c r="AF9" s="2626">
        <v>3321.14</v>
      </c>
      <c r="AG9" s="2626">
        <f>SUM(AC9*1.1)</f>
        <v>6871.1527084199997</v>
      </c>
      <c r="AH9" s="2626">
        <f>AF9/3*4*1.074</f>
        <v>4755.87248</v>
      </c>
      <c r="AI9" s="2626">
        <v>5466</v>
      </c>
      <c r="AJ9" s="2626">
        <v>4915.54</v>
      </c>
      <c r="AK9" s="2626">
        <f>AK10*AK11*12/1000</f>
        <v>5318.6964000000007</v>
      </c>
      <c r="AL9" s="2626">
        <v>5392.82</v>
      </c>
      <c r="AM9" s="2626">
        <v>7986.52</v>
      </c>
      <c r="AN9" s="2626">
        <f>AN10*AN11*12/1000</f>
        <v>5192.5594201064687</v>
      </c>
      <c r="AO9" s="1602">
        <f>AO10*AO11*12/1000</f>
        <v>5974.5588687745021</v>
      </c>
      <c r="AP9" s="1602">
        <f>AP10*AP11*12/1000</f>
        <v>5294.8528406825662</v>
      </c>
      <c r="AQ9" s="2626">
        <v>2670.23</v>
      </c>
      <c r="AR9" s="2626">
        <v>3827.12</v>
      </c>
      <c r="AS9" s="2626">
        <v>5400.11</v>
      </c>
      <c r="AT9" s="2371">
        <f>AT10*AT11*12/1000</f>
        <v>6579.6382927685099</v>
      </c>
      <c r="AU9" s="4101">
        <f>AU10*AU11*12/1000</f>
        <v>6529.3892962464852</v>
      </c>
      <c r="AV9" s="4845" t="str">
        <f>'цех вода'!AO8</f>
        <v xml:space="preserve"> </v>
      </c>
      <c r="AW9" s="4846"/>
      <c r="AX9" s="4846"/>
      <c r="AY9" s="2483">
        <v>3712.42</v>
      </c>
      <c r="AZ9" s="2483">
        <v>5391.73</v>
      </c>
      <c r="BA9" s="3490"/>
    </row>
    <row r="10" spans="1:53" s="181" customFormat="1" ht="28.5" customHeight="1" x14ac:dyDescent="0.2">
      <c r="A10" s="3470" t="s">
        <v>1456</v>
      </c>
      <c r="B10" s="3471"/>
      <c r="C10" s="1731"/>
      <c r="D10" s="1731"/>
      <c r="E10" s="1605"/>
      <c r="F10" s="1605"/>
      <c r="G10" s="1605"/>
      <c r="H10" s="1605"/>
      <c r="I10" s="1605"/>
      <c r="J10" s="1605"/>
      <c r="K10" s="1605"/>
      <c r="L10" s="1605"/>
      <c r="M10" s="1605"/>
      <c r="N10" s="1605"/>
      <c r="O10" s="1605"/>
      <c r="P10" s="1605"/>
      <c r="Q10" s="1605"/>
      <c r="R10" s="1605"/>
      <c r="S10" s="1605"/>
      <c r="T10" s="1605"/>
      <c r="U10" s="1605"/>
      <c r="V10" s="1605"/>
      <c r="W10" s="3493"/>
      <c r="X10" s="2627"/>
      <c r="Y10" s="2627"/>
      <c r="Z10" s="2627"/>
      <c r="AA10" s="2627"/>
      <c r="AB10" s="2627"/>
      <c r="AC10" s="2627"/>
      <c r="AD10" s="3493"/>
      <c r="AE10" s="2627">
        <v>10</v>
      </c>
      <c r="AF10" s="2627">
        <f>AE10</f>
        <v>10</v>
      </c>
      <c r="AG10" s="2627"/>
      <c r="AH10" s="2627">
        <f>AE10</f>
        <v>10</v>
      </c>
      <c r="AI10" s="2627">
        <v>12</v>
      </c>
      <c r="AJ10" s="2627">
        <v>10</v>
      </c>
      <c r="AK10" s="2627">
        <v>10</v>
      </c>
      <c r="AL10" s="2627">
        <v>11</v>
      </c>
      <c r="AM10" s="2627">
        <v>11</v>
      </c>
      <c r="AN10" s="2627">
        <v>10</v>
      </c>
      <c r="AO10" s="1605">
        <v>11</v>
      </c>
      <c r="AP10" s="1605">
        <f>SUM(AN10)</f>
        <v>10</v>
      </c>
      <c r="AQ10" s="2627">
        <v>12</v>
      </c>
      <c r="AR10" s="2627">
        <v>12</v>
      </c>
      <c r="AS10" s="2627">
        <v>12</v>
      </c>
      <c r="AT10" s="2373">
        <v>12</v>
      </c>
      <c r="AU10" s="4106">
        <v>12</v>
      </c>
      <c r="AV10" s="4868" t="str">
        <f>'цех вода'!AO9</f>
        <v>исходя из фактической численности за 2017 год</v>
      </c>
      <c r="AW10" s="4869"/>
      <c r="AX10" s="4869"/>
      <c r="AY10" s="2482">
        <v>14</v>
      </c>
      <c r="AZ10" s="2482">
        <v>14</v>
      </c>
      <c r="BA10" s="3491"/>
    </row>
    <row r="11" spans="1:53" s="181" customFormat="1" ht="33" customHeight="1" x14ac:dyDescent="0.2">
      <c r="A11" s="3470" t="s">
        <v>1457</v>
      </c>
      <c r="B11" s="3471"/>
      <c r="C11" s="1731"/>
      <c r="D11" s="1731"/>
      <c r="E11" s="1605"/>
      <c r="F11" s="1605"/>
      <c r="G11" s="1605"/>
      <c r="H11" s="1605"/>
      <c r="I11" s="1605"/>
      <c r="J11" s="1605"/>
      <c r="K11" s="1605"/>
      <c r="L11" s="1605"/>
      <c r="M11" s="1605"/>
      <c r="N11" s="1605"/>
      <c r="O11" s="1605"/>
      <c r="P11" s="1605"/>
      <c r="Q11" s="1605"/>
      <c r="R11" s="1605"/>
      <c r="S11" s="1605"/>
      <c r="T11" s="1605"/>
      <c r="U11" s="1605"/>
      <c r="V11" s="1605"/>
      <c r="W11" s="3493"/>
      <c r="X11" s="2627"/>
      <c r="Y11" s="2627"/>
      <c r="Z11" s="2627"/>
      <c r="AA11" s="2627"/>
      <c r="AB11" s="2627"/>
      <c r="AC11" s="2627"/>
      <c r="AD11" s="3493"/>
      <c r="AE11" s="2627">
        <f>AE9/AE10/6*1000</f>
        <v>36275</v>
      </c>
      <c r="AF11" s="2627">
        <f>AF9/AF10/9*1000</f>
        <v>36901.555555555555</v>
      </c>
      <c r="AG11" s="2627"/>
      <c r="AH11" s="2627">
        <f>AH9/AH10*1000/12</f>
        <v>39632.270666666664</v>
      </c>
      <c r="AI11" s="2627">
        <f t="shared" ref="AI11:AM11" si="1">AI9/AI10*1000/12</f>
        <v>37958.333333333336</v>
      </c>
      <c r="AJ11" s="2627">
        <f t="shared" si="1"/>
        <v>40962.833333333336</v>
      </c>
      <c r="AK11" s="2627">
        <v>44322.47</v>
      </c>
      <c r="AL11" s="2627">
        <f t="shared" ref="AL11" si="2">AL9/AL10*1000/12</f>
        <v>40854.696969696968</v>
      </c>
      <c r="AM11" s="2627">
        <f t="shared" si="1"/>
        <v>60503.939393939399</v>
      </c>
      <c r="AN11" s="1605">
        <f>AH11*0.99*1.037*0.99*1.027*1.046</f>
        <v>43271.328500887241</v>
      </c>
      <c r="AO11" s="1605">
        <f>SUM(AN11*1.046)</f>
        <v>45261.809611928053</v>
      </c>
      <c r="AP11" s="1605">
        <f>SUM(AN11*1.03)*(1-0.01)</f>
        <v>44123.77367235472</v>
      </c>
      <c r="AQ11" s="2627">
        <f>AQ9/AQ10*1000/6</f>
        <v>37086.527777777781</v>
      </c>
      <c r="AR11" s="2627">
        <f>AR9/AR10*1000/9</f>
        <v>35436.296296296299</v>
      </c>
      <c r="AS11" s="2627">
        <f t="shared" ref="AS11" si="3">AS9/AS10*1000/12</f>
        <v>37500.763888888891</v>
      </c>
      <c r="AT11" s="2373">
        <f>SUM(AP11*1.046)*(1-0.01)</f>
        <v>45691.932588670206</v>
      </c>
      <c r="AU11" s="4100">
        <f>SUM(AN11*(1+0.032)*0.99*(1+0.036)*0.99)</f>
        <v>45342.981223933923</v>
      </c>
      <c r="AV11" s="4868" t="str">
        <f>'цех вода'!AO10</f>
        <v>исходя из утвержденной в тарифах на догосрочный период регулирования</v>
      </c>
      <c r="AW11" s="4869"/>
      <c r="AX11" s="4869"/>
      <c r="AY11" s="2482">
        <f>AY9/AY10*1000/6</f>
        <v>44195.476190476191</v>
      </c>
      <c r="AZ11" s="2482">
        <f>AZ9/AZ10*1000/9</f>
        <v>42791.507936507929</v>
      </c>
      <c r="BA11" s="3491" t="e">
        <f t="shared" ref="BA11" si="4">BA9/BA10*1000/12</f>
        <v>#DIV/0!</v>
      </c>
    </row>
    <row r="12" spans="1:53" ht="41.25" customHeight="1" x14ac:dyDescent="0.2">
      <c r="A12" s="3466" t="s">
        <v>5</v>
      </c>
      <c r="B12" s="3467">
        <v>898.5</v>
      </c>
      <c r="C12" s="3468">
        <v>887.6</v>
      </c>
      <c r="D12" s="1731">
        <f t="shared" si="0"/>
        <v>98.786867000556484</v>
      </c>
      <c r="E12" s="1602">
        <v>1300.4000000000001</v>
      </c>
      <c r="F12" s="1605">
        <f t="shared" ref="F12:F45" si="5">E12/C12*100</f>
        <v>146.50743578188374</v>
      </c>
      <c r="G12" s="1602">
        <v>1722.2</v>
      </c>
      <c r="H12" s="1605">
        <f t="shared" ref="H12:H45" si="6">G12/E12*100</f>
        <v>132.4361734850815</v>
      </c>
      <c r="I12" s="1602">
        <f>I9*30.2/100</f>
        <v>1770.7769999999998</v>
      </c>
      <c r="J12" s="1602">
        <v>858</v>
      </c>
      <c r="K12" s="1602">
        <v>1052.7</v>
      </c>
      <c r="L12" s="1602">
        <v>1516.7</v>
      </c>
      <c r="M12" s="1605">
        <f t="shared" ref="M12:M45" si="7">L12/G12*100</f>
        <v>88.067587968877021</v>
      </c>
      <c r="N12" s="1602">
        <v>2206.35</v>
      </c>
      <c r="O12" s="1605">
        <f t="shared" ref="O12:O45" si="8">N12/I12*100</f>
        <v>124.59784603030195</v>
      </c>
      <c r="P12" s="1602">
        <f>P9*30.2/100</f>
        <v>1896.4995999999999</v>
      </c>
      <c r="Q12" s="1605">
        <f t="shared" ref="Q12:Q41" si="9">P12/I12*100</f>
        <v>107.09985503538842</v>
      </c>
      <c r="R12" s="1605">
        <f>P12/L12*100</f>
        <v>125.04118151249422</v>
      </c>
      <c r="S12" s="1602">
        <v>1252.8</v>
      </c>
      <c r="T12" s="1602"/>
      <c r="U12" s="1602">
        <v>1634.9</v>
      </c>
      <c r="V12" s="1602">
        <v>2216.5</v>
      </c>
      <c r="W12" s="3469">
        <f t="shared" ref="W12:W42" si="10">V12/P12</f>
        <v>1.1687321210086203</v>
      </c>
      <c r="X12" s="2626">
        <f>X9*S13</f>
        <v>1989.6312177028451</v>
      </c>
      <c r="Y12" s="2626"/>
      <c r="Z12" s="2626"/>
      <c r="AA12" s="2626">
        <v>1368.5</v>
      </c>
      <c r="AB12" s="2626">
        <v>2114.54</v>
      </c>
      <c r="AC12" s="2626">
        <f>AC9*AC13</f>
        <v>1873.5267342000002</v>
      </c>
      <c r="AD12" s="3469">
        <f t="shared" ref="AD12:AD46" si="11">AC12/X12</f>
        <v>0.9416452242657839</v>
      </c>
      <c r="AE12" s="2626">
        <v>653.79999999999995</v>
      </c>
      <c r="AF12" s="2626">
        <v>997.09</v>
      </c>
      <c r="AG12" s="2626">
        <f>SUM(AG9*AG13)</f>
        <v>2075.0881179428397</v>
      </c>
      <c r="AH12" s="2626">
        <f>AH9*AH13</f>
        <v>1427.627605097721</v>
      </c>
      <c r="AI12" s="2626">
        <v>1645.78</v>
      </c>
      <c r="AJ12" s="2626">
        <v>1479.99</v>
      </c>
      <c r="AK12" s="2626">
        <v>1596.58</v>
      </c>
      <c r="AL12" s="2626">
        <v>1622.77</v>
      </c>
      <c r="AM12" s="2626">
        <v>2399.9499999999998</v>
      </c>
      <c r="AN12" s="2626">
        <f>AN9*AM13</f>
        <v>1560.3645868644314</v>
      </c>
      <c r="AO12" s="1602">
        <f>SUM(AO9*AO13)</f>
        <v>1797.8228265510809</v>
      </c>
      <c r="AP12" s="1602">
        <f>SUM(AP9*AP13)</f>
        <v>1591.1037692256607</v>
      </c>
      <c r="AQ12" s="2626">
        <v>818.09</v>
      </c>
      <c r="AR12" s="2626">
        <v>1165.1099999999999</v>
      </c>
      <c r="AS12" s="2626">
        <v>1646.62</v>
      </c>
      <c r="AT12" s="2371">
        <f>SUM(AT9*AT13)</f>
        <v>2006.2857989260374</v>
      </c>
      <c r="AU12" s="4101">
        <f>SUM(AU9*AU13)</f>
        <v>1962.0820885099831</v>
      </c>
      <c r="AV12" s="4845" t="s">
        <v>241</v>
      </c>
      <c r="AW12" s="4846"/>
      <c r="AX12" s="4846"/>
      <c r="AY12" s="2483">
        <v>1117.92</v>
      </c>
      <c r="AZ12" s="2483">
        <v>1834.39</v>
      </c>
      <c r="BA12" s="3490"/>
    </row>
    <row r="13" spans="1:53" ht="18.75" x14ac:dyDescent="0.2">
      <c r="A13" s="3466" t="s">
        <v>310</v>
      </c>
      <c r="B13" s="3467"/>
      <c r="C13" s="3468"/>
      <c r="D13" s="1731"/>
      <c r="E13" s="1733">
        <f>E12/E9</f>
        <v>0.25694019086759795</v>
      </c>
      <c r="F13" s="1733">
        <f t="shared" ref="F13:X13" si="12">F12/F9</f>
        <v>1.1562019111584869</v>
      </c>
      <c r="G13" s="1733">
        <f t="shared" si="12"/>
        <v>0.33093138102649833</v>
      </c>
      <c r="H13" s="1733">
        <f t="shared" si="12"/>
        <v>1.2879704802470091</v>
      </c>
      <c r="I13" s="1733">
        <f t="shared" si="12"/>
        <v>0.30199999999999999</v>
      </c>
      <c r="J13" s="1733">
        <f t="shared" si="12"/>
        <v>0.32228983547441969</v>
      </c>
      <c r="K13" s="1733">
        <f t="shared" si="12"/>
        <v>0.3002310127484813</v>
      </c>
      <c r="L13" s="1733">
        <f t="shared" si="12"/>
        <v>0.28909898404589901</v>
      </c>
      <c r="M13" s="1733">
        <f t="shared" si="12"/>
        <v>0.8735919305964831</v>
      </c>
      <c r="N13" s="1733">
        <f t="shared" si="12"/>
        <v>0.30199978099592101</v>
      </c>
      <c r="O13" s="1733">
        <f t="shared" si="12"/>
        <v>0.99999927482093054</v>
      </c>
      <c r="P13" s="1733">
        <f t="shared" si="12"/>
        <v>0.30199999999999999</v>
      </c>
      <c r="Q13" s="1733">
        <f t="shared" si="12"/>
        <v>1</v>
      </c>
      <c r="R13" s="1733">
        <f t="shared" si="12"/>
        <v>1.0446249093426518</v>
      </c>
      <c r="S13" s="1733">
        <f t="shared" si="12"/>
        <v>0.30002873838490274</v>
      </c>
      <c r="T13" s="1733" t="e">
        <f>T12/T9</f>
        <v>#DIV/0!</v>
      </c>
      <c r="U13" s="1733">
        <f>U12/U9</f>
        <v>0.29993212130106961</v>
      </c>
      <c r="V13" s="1733">
        <f t="shared" si="12"/>
        <v>0.30200016350110365</v>
      </c>
      <c r="W13" s="3469">
        <f t="shared" si="10"/>
        <v>1.0000005413943829</v>
      </c>
      <c r="X13" s="1733">
        <f t="shared" si="12"/>
        <v>0.30002873838490274</v>
      </c>
      <c r="Y13" s="1733"/>
      <c r="Z13" s="1733"/>
      <c r="AA13" s="1733">
        <f>SUM(AA12/AA9)</f>
        <v>0.30018206146219484</v>
      </c>
      <c r="AB13" s="1733">
        <f>AB12/AB9</f>
        <v>0.30199948584649661</v>
      </c>
      <c r="AC13" s="1733">
        <f>U13</f>
        <v>0.29993212130106961</v>
      </c>
      <c r="AD13" s="3469">
        <f t="shared" si="11"/>
        <v>0.9996779739022561</v>
      </c>
      <c r="AE13" s="1733">
        <f t="shared" ref="AE13:AF13" si="13">SUM(AE12/AE9)</f>
        <v>0.30039053526303694</v>
      </c>
      <c r="AF13" s="1733">
        <f t="shared" si="13"/>
        <v>0.30022522386891248</v>
      </c>
      <c r="AG13" s="1733">
        <v>0.30199999999999999</v>
      </c>
      <c r="AH13" s="1733">
        <f>AA13</f>
        <v>0.30018206146219484</v>
      </c>
      <c r="AI13" s="1733">
        <f>AI12/AI9</f>
        <v>0.30109403585803146</v>
      </c>
      <c r="AJ13" s="1733">
        <f t="shared" ref="AJ13:AN13" si="14">AJ12/AJ9</f>
        <v>0.30108390939754331</v>
      </c>
      <c r="AK13" s="1733">
        <f t="shared" ref="AK13" si="15">AK12/AK9</f>
        <v>0.30018257857320069</v>
      </c>
      <c r="AL13" s="1733">
        <f t="shared" ref="AL13" si="16">AL12/AL9</f>
        <v>0.30091306589131478</v>
      </c>
      <c r="AM13" s="1733">
        <f t="shared" si="14"/>
        <v>0.30050009265612554</v>
      </c>
      <c r="AN13" s="1733">
        <f t="shared" si="14"/>
        <v>0.30050009265612554</v>
      </c>
      <c r="AO13" s="1733">
        <f>SUM(AL13)</f>
        <v>0.30091306589131478</v>
      </c>
      <c r="AP13" s="1733">
        <f>SUM(AN13)</f>
        <v>0.30050009265612554</v>
      </c>
      <c r="AQ13" s="1733">
        <f t="shared" ref="AQ13:AS13" si="17">AQ12/AQ9</f>
        <v>0.30637435726510454</v>
      </c>
      <c r="AR13" s="1733">
        <f t="shared" si="17"/>
        <v>0.30443518886264342</v>
      </c>
      <c r="AS13" s="1733">
        <f t="shared" si="17"/>
        <v>0.30492341822666574</v>
      </c>
      <c r="AT13" s="2484">
        <f>SUM(AS13)</f>
        <v>0.30492341822666574</v>
      </c>
      <c r="AU13" s="4107">
        <f>SUM(AN13)</f>
        <v>0.30050009265612554</v>
      </c>
      <c r="AV13" s="4845"/>
      <c r="AW13" s="4846"/>
      <c r="AX13" s="4846"/>
      <c r="AY13" s="2484">
        <f t="shared" ref="AY13:BA13" si="18">AY12/AY9</f>
        <v>0.30112972131385995</v>
      </c>
      <c r="AZ13" s="2484">
        <f t="shared" si="18"/>
        <v>0.3402228969180579</v>
      </c>
      <c r="BA13" s="3488" t="e">
        <f t="shared" si="18"/>
        <v>#DIV/0!</v>
      </c>
    </row>
    <row r="14" spans="1:53" ht="19.5" customHeight="1" x14ac:dyDescent="0.2">
      <c r="A14" s="3466" t="s">
        <v>52</v>
      </c>
      <c r="B14" s="3467">
        <v>45.4</v>
      </c>
      <c r="C14" s="3468">
        <v>31.8</v>
      </c>
      <c r="D14" s="1731">
        <f t="shared" si="0"/>
        <v>70.044052863436121</v>
      </c>
      <c r="E14" s="1602">
        <v>39.799999999999997</v>
      </c>
      <c r="F14" s="1605">
        <f t="shared" si="5"/>
        <v>125.1572327044025</v>
      </c>
      <c r="G14" s="1602">
        <v>38.6</v>
      </c>
      <c r="H14" s="1605">
        <f t="shared" si="6"/>
        <v>96.984924623115589</v>
      </c>
      <c r="I14" s="1602">
        <v>44.2</v>
      </c>
      <c r="J14" s="1602">
        <v>17.899999999999999</v>
      </c>
      <c r="K14" s="1602">
        <v>38.1</v>
      </c>
      <c r="L14" s="1602">
        <v>39.4</v>
      </c>
      <c r="M14" s="1605">
        <f t="shared" si="7"/>
        <v>102.07253886010361</v>
      </c>
      <c r="N14" s="1602">
        <v>48.62</v>
      </c>
      <c r="O14" s="1605">
        <f t="shared" si="8"/>
        <v>109.99999999999999</v>
      </c>
      <c r="P14" s="1602">
        <v>46.4</v>
      </c>
      <c r="Q14" s="1605">
        <f t="shared" si="9"/>
        <v>104.97737556561084</v>
      </c>
      <c r="R14" s="1605">
        <f>P14/L14*100</f>
        <v>117.76649746192894</v>
      </c>
      <c r="S14" s="1602">
        <v>32.9</v>
      </c>
      <c r="T14" s="1602"/>
      <c r="U14" s="1602">
        <v>43.5</v>
      </c>
      <c r="V14" s="1602">
        <v>50.82</v>
      </c>
      <c r="W14" s="3469">
        <f t="shared" si="10"/>
        <v>1.0952586206896553</v>
      </c>
      <c r="X14" s="2626">
        <f>P14*1.048</f>
        <v>48.627200000000002</v>
      </c>
      <c r="Y14" s="2626"/>
      <c r="Z14" s="2626"/>
      <c r="AA14" s="2626">
        <v>35.1</v>
      </c>
      <c r="AB14" s="2626">
        <v>53.148000000000003</v>
      </c>
      <c r="AC14" s="2626">
        <f>X14*1.076</f>
        <v>52.322867200000005</v>
      </c>
      <c r="AD14" s="3469">
        <f t="shared" si="11"/>
        <v>1.0760000000000001</v>
      </c>
      <c r="AE14" s="2626">
        <v>22.87</v>
      </c>
      <c r="AF14" s="2626">
        <v>36.43</v>
      </c>
      <c r="AG14" s="2626">
        <f>SUM(AC14*1.1)</f>
        <v>57.555153920000009</v>
      </c>
      <c r="AH14" s="2626">
        <f>AG14</f>
        <v>57.555153920000009</v>
      </c>
      <c r="AI14" s="2626">
        <v>49.68</v>
      </c>
      <c r="AJ14" s="2626">
        <v>39.72</v>
      </c>
      <c r="AK14" s="2626">
        <v>64.37</v>
      </c>
      <c r="AL14" s="2626">
        <v>79.14</v>
      </c>
      <c r="AM14" s="2626">
        <v>66.3</v>
      </c>
      <c r="AN14" s="2626">
        <f>AM14</f>
        <v>66.3</v>
      </c>
      <c r="AO14" s="1602">
        <f>SUM(AL14*1.046)</f>
        <v>82.780439999999999</v>
      </c>
      <c r="AP14" s="1602">
        <f>SUM(AN14*1.03)*(1-0.01)</f>
        <v>67.606110000000001</v>
      </c>
      <c r="AQ14" s="2626">
        <v>59.59</v>
      </c>
      <c r="AR14" s="2626">
        <v>108.51</v>
      </c>
      <c r="AS14" s="2626">
        <v>151.79</v>
      </c>
      <c r="AT14" s="2371">
        <f>SUM(AS14*1.046)*(1-0.01)</f>
        <v>157.1846166</v>
      </c>
      <c r="AU14" s="4100">
        <v>180.36</v>
      </c>
      <c r="AV14" s="4845" t="s">
        <v>2058</v>
      </c>
      <c r="AW14" s="4846"/>
      <c r="AX14" s="4846"/>
      <c r="AY14" s="2483">
        <v>87.31</v>
      </c>
      <c r="AZ14" s="2483">
        <v>130.74</v>
      </c>
      <c r="BA14" s="3490">
        <v>151.79</v>
      </c>
    </row>
    <row r="15" spans="1:53" ht="40.5" customHeight="1" x14ac:dyDescent="0.2">
      <c r="A15" s="3466" t="s">
        <v>31</v>
      </c>
      <c r="B15" s="3467">
        <v>644.5</v>
      </c>
      <c r="C15" s="3468">
        <v>514</v>
      </c>
      <c r="D15" s="1731">
        <f t="shared" si="0"/>
        <v>79.751745539177648</v>
      </c>
      <c r="E15" s="1602">
        <v>579.70000000000005</v>
      </c>
      <c r="F15" s="1605">
        <f t="shared" si="5"/>
        <v>112.78210116731518</v>
      </c>
      <c r="G15" s="1602">
        <v>612.70000000000005</v>
      </c>
      <c r="H15" s="1605">
        <f t="shared" si="6"/>
        <v>105.69259962049335</v>
      </c>
      <c r="I15" s="1602">
        <v>587</v>
      </c>
      <c r="J15" s="1602">
        <v>290.39999999999998</v>
      </c>
      <c r="K15" s="1602">
        <v>517.5</v>
      </c>
      <c r="L15" s="1602">
        <v>750.9</v>
      </c>
      <c r="M15" s="1605">
        <f t="shared" si="7"/>
        <v>122.5559001142484</v>
      </c>
      <c r="N15" s="1602">
        <v>682</v>
      </c>
      <c r="O15" s="1605">
        <f t="shared" si="8"/>
        <v>116.1839863713799</v>
      </c>
      <c r="P15" s="1602">
        <v>650.4</v>
      </c>
      <c r="Q15" s="1605">
        <f t="shared" si="9"/>
        <v>110.8006814310051</v>
      </c>
      <c r="R15" s="1605">
        <f>P15/L15*100</f>
        <v>86.616060727127447</v>
      </c>
      <c r="S15" s="1602">
        <v>668.6</v>
      </c>
      <c r="T15" s="1602"/>
      <c r="U15" s="1602">
        <v>837.1</v>
      </c>
      <c r="V15" s="1602">
        <v>867.3</v>
      </c>
      <c r="W15" s="3469">
        <f t="shared" si="10"/>
        <v>1.3334870848708487</v>
      </c>
      <c r="X15" s="2626">
        <f>P15*1.03</f>
        <v>669.91200000000003</v>
      </c>
      <c r="Y15" s="2626"/>
      <c r="Z15" s="2626"/>
      <c r="AA15" s="2626">
        <v>594.9</v>
      </c>
      <c r="AB15" s="2626">
        <v>824.4</v>
      </c>
      <c r="AC15" s="2626">
        <f>AB15</f>
        <v>824.4</v>
      </c>
      <c r="AD15" s="3469">
        <f t="shared" si="11"/>
        <v>1.2306093934725755</v>
      </c>
      <c r="AE15" s="2626">
        <v>286.11</v>
      </c>
      <c r="AF15" s="2626">
        <v>440.35</v>
      </c>
      <c r="AG15" s="2626">
        <f>SUM(AC15*1.1)</f>
        <v>906.84</v>
      </c>
      <c r="AH15" s="2626">
        <f>AA15*1.044*1.033</f>
        <v>641.57109479999997</v>
      </c>
      <c r="AI15" s="2626">
        <v>707.5</v>
      </c>
      <c r="AJ15" s="2626">
        <v>790.73</v>
      </c>
      <c r="AK15" s="2626">
        <v>717.5</v>
      </c>
      <c r="AL15" s="2626">
        <v>1155.2</v>
      </c>
      <c r="AM15" s="2626">
        <v>739.02</v>
      </c>
      <c r="AN15" s="1602">
        <f>AM15</f>
        <v>739.02</v>
      </c>
      <c r="AO15" s="1602">
        <f>SUM(AL15*1.046)</f>
        <v>1208.3392000000001</v>
      </c>
      <c r="AP15" s="1602">
        <f t="shared" ref="AP15:AP44" si="19">SUM(AN15*1.03)*(1-0.01)</f>
        <v>753.57869400000004</v>
      </c>
      <c r="AQ15" s="1602">
        <v>823.41</v>
      </c>
      <c r="AR15" s="1602">
        <v>1160.71</v>
      </c>
      <c r="AS15" s="1602">
        <v>1426.98</v>
      </c>
      <c r="AT15" s="2371">
        <f>SUM(AS15*1.046)*(1-0.01)</f>
        <v>1477.6948692000001</v>
      </c>
      <c r="AU15" s="4100">
        <v>1478.35</v>
      </c>
      <c r="AV15" s="4845" t="s">
        <v>2058</v>
      </c>
      <c r="AW15" s="4846"/>
      <c r="AX15" s="4846"/>
      <c r="AY15" s="2371">
        <v>574.70000000000005</v>
      </c>
      <c r="AZ15" s="2371">
        <v>811.75</v>
      </c>
      <c r="BA15" s="3487"/>
    </row>
    <row r="16" spans="1:53" ht="18.75" customHeight="1" x14ac:dyDescent="0.2">
      <c r="A16" s="3466" t="s">
        <v>70</v>
      </c>
      <c r="B16" s="3467">
        <v>17.3</v>
      </c>
      <c r="C16" s="3468">
        <v>13.5</v>
      </c>
      <c r="D16" s="1731">
        <f t="shared" si="0"/>
        <v>78.034682080924853</v>
      </c>
      <c r="E16" s="1602">
        <v>28.4</v>
      </c>
      <c r="F16" s="1605">
        <f t="shared" si="5"/>
        <v>210.37037037037035</v>
      </c>
      <c r="G16" s="1602">
        <v>20</v>
      </c>
      <c r="H16" s="1605">
        <f t="shared" si="6"/>
        <v>70.422535211267615</v>
      </c>
      <c r="I16" s="1602">
        <v>19.5</v>
      </c>
      <c r="J16" s="1602">
        <v>10.199999999999999</v>
      </c>
      <c r="K16" s="1602">
        <v>50.4</v>
      </c>
      <c r="L16" s="1602">
        <v>93.1</v>
      </c>
      <c r="M16" s="1605">
        <f t="shared" si="7"/>
        <v>465.49999999999994</v>
      </c>
      <c r="N16" s="1602">
        <v>21.78</v>
      </c>
      <c r="O16" s="1605">
        <f t="shared" si="8"/>
        <v>111.69230769230769</v>
      </c>
      <c r="P16" s="1602">
        <v>20.5</v>
      </c>
      <c r="Q16" s="1605">
        <f t="shared" si="9"/>
        <v>105.12820512820514</v>
      </c>
      <c r="R16" s="1605">
        <f>P16/L16*100</f>
        <v>22.019334049409238</v>
      </c>
      <c r="S16" s="1602">
        <v>72.400000000000006</v>
      </c>
      <c r="T16" s="1602"/>
      <c r="U16" s="1602">
        <f>96.4+14.5</f>
        <v>110.9</v>
      </c>
      <c r="V16" s="1602">
        <v>103.3</v>
      </c>
      <c r="W16" s="3469">
        <f t="shared" si="10"/>
        <v>5.0390243902439025</v>
      </c>
      <c r="X16" s="2626">
        <f>P16*1.048</f>
        <v>21.484000000000002</v>
      </c>
      <c r="Y16" s="2626"/>
      <c r="Z16" s="2626"/>
      <c r="AA16" s="2626">
        <v>90.9</v>
      </c>
      <c r="AB16" s="2626">
        <f>90.072+14.5</f>
        <v>104.572</v>
      </c>
      <c r="AC16" s="2626">
        <f>AB16</f>
        <v>104.572</v>
      </c>
      <c r="AD16" s="3469">
        <f t="shared" si="11"/>
        <v>4.8674362316142243</v>
      </c>
      <c r="AE16" s="2626">
        <v>44.31</v>
      </c>
      <c r="AF16" s="2626">
        <v>52.63</v>
      </c>
      <c r="AG16" s="2626">
        <f>SUM(AC16*1.1)</f>
        <v>115.02920000000002</v>
      </c>
      <c r="AH16" s="2626">
        <f>AE16*2*1.062</f>
        <v>94.114440000000016</v>
      </c>
      <c r="AI16" s="2626">
        <v>78.150000000000006</v>
      </c>
      <c r="AJ16" s="2626">
        <v>66.77</v>
      </c>
      <c r="AK16" s="2626">
        <v>105.25</v>
      </c>
      <c r="AL16" s="2626">
        <v>69.58</v>
      </c>
      <c r="AM16" s="2626">
        <v>108.41</v>
      </c>
      <c r="AN16" s="2626">
        <f>AM16</f>
        <v>108.41</v>
      </c>
      <c r="AO16" s="1602">
        <f>SUM(AN16*1.046)</f>
        <v>113.39686</v>
      </c>
      <c r="AP16" s="1602">
        <f t="shared" si="19"/>
        <v>110.545677</v>
      </c>
      <c r="AQ16" s="2626">
        <v>45.24</v>
      </c>
      <c r="AR16" s="2626">
        <v>68.62</v>
      </c>
      <c r="AS16" s="2626">
        <v>91.7</v>
      </c>
      <c r="AT16" s="2371">
        <f>SUM(AP16*1.046)*(1-0.01)</f>
        <v>114.47447036058</v>
      </c>
      <c r="AU16" s="4100">
        <f t="shared" ref="AU16" si="20">SUM(AN16*(1+0.032)*0.99*(1+0.036)*0.99)</f>
        <v>113.600223630432</v>
      </c>
      <c r="AV16" s="4843" t="s">
        <v>2058</v>
      </c>
      <c r="AW16" s="4844"/>
      <c r="AX16" s="4844"/>
      <c r="AY16" s="2483">
        <v>42.76</v>
      </c>
      <c r="AZ16" s="2483">
        <v>61.83</v>
      </c>
      <c r="BA16" s="3490"/>
    </row>
    <row r="17" spans="1:53" ht="42.75" hidden="1" customHeight="1" x14ac:dyDescent="0.2">
      <c r="A17" s="3494" t="s">
        <v>985</v>
      </c>
      <c r="B17" s="3467"/>
      <c r="C17" s="3468"/>
      <c r="D17" s="1731"/>
      <c r="E17" s="1602"/>
      <c r="F17" s="1605"/>
      <c r="G17" s="1602"/>
      <c r="H17" s="1605"/>
      <c r="I17" s="1602"/>
      <c r="J17" s="1602"/>
      <c r="K17" s="1602"/>
      <c r="L17" s="1602"/>
      <c r="M17" s="1605"/>
      <c r="N17" s="1602"/>
      <c r="O17" s="1605"/>
      <c r="P17" s="1602"/>
      <c r="Q17" s="1605"/>
      <c r="R17" s="1605"/>
      <c r="S17" s="1602"/>
      <c r="T17" s="1602"/>
      <c r="U17" s="1602"/>
      <c r="V17" s="1602"/>
      <c r="W17" s="3469"/>
      <c r="X17" s="2626"/>
      <c r="Y17" s="2626"/>
      <c r="Z17" s="2626"/>
      <c r="AA17" s="2626"/>
      <c r="AB17" s="2626"/>
      <c r="AC17" s="2626"/>
      <c r="AD17" s="3469"/>
      <c r="AE17" s="2626"/>
      <c r="AF17" s="2626">
        <v>206.8</v>
      </c>
      <c r="AG17" s="2626"/>
      <c r="AH17" s="2626"/>
      <c r="AI17" s="2626">
        <v>0</v>
      </c>
      <c r="AJ17" s="2626">
        <v>0</v>
      </c>
      <c r="AK17" s="2626">
        <v>0</v>
      </c>
      <c r="AL17" s="2626">
        <v>0</v>
      </c>
      <c r="AM17" s="2626">
        <v>0</v>
      </c>
      <c r="AN17" s="2626">
        <v>0</v>
      </c>
      <c r="AO17" s="3495">
        <v>0</v>
      </c>
      <c r="AP17" s="1602">
        <f t="shared" si="19"/>
        <v>0</v>
      </c>
      <c r="AQ17" s="2630">
        <v>0</v>
      </c>
      <c r="AR17" s="2630">
        <v>0</v>
      </c>
      <c r="AS17" s="2626">
        <v>0</v>
      </c>
      <c r="AT17" s="2768">
        <v>0</v>
      </c>
      <c r="AU17" s="4168">
        <v>0</v>
      </c>
      <c r="AV17" s="4847"/>
      <c r="AW17" s="4848"/>
      <c r="AX17" s="4849"/>
      <c r="AY17" s="3968">
        <v>0</v>
      </c>
      <c r="AZ17" s="3968">
        <v>0</v>
      </c>
      <c r="BA17" s="3490">
        <v>0</v>
      </c>
    </row>
    <row r="18" spans="1:53" ht="18.75" x14ac:dyDescent="0.2">
      <c r="A18" s="3466" t="s">
        <v>839</v>
      </c>
      <c r="B18" s="3467">
        <f>SUM(B19:B23)</f>
        <v>471.59999999999997</v>
      </c>
      <c r="C18" s="3468">
        <f>SUM(C19:C23)</f>
        <v>352.20000000000005</v>
      </c>
      <c r="D18" s="1731">
        <f t="shared" si="0"/>
        <v>74.681933842239204</v>
      </c>
      <c r="E18" s="1602">
        <f>SUM(E19:E23)</f>
        <v>471.29999999999995</v>
      </c>
      <c r="F18" s="1602">
        <f>SUM(F19:F23)</f>
        <v>530.71550893713459</v>
      </c>
      <c r="G18" s="1602">
        <f>SUM(G19:G23)</f>
        <v>454.09999999999997</v>
      </c>
      <c r="H18" s="1605">
        <f t="shared" si="6"/>
        <v>96.350519838743892</v>
      </c>
      <c r="I18" s="1602">
        <f>SUM(I19:I22)</f>
        <v>453.5</v>
      </c>
      <c r="J18" s="1602">
        <f>SUM(J19:J23)</f>
        <v>283.89999999999998</v>
      </c>
      <c r="K18" s="1602">
        <f>SUM(K19:K23)</f>
        <v>296.89999999999998</v>
      </c>
      <c r="L18" s="1602">
        <f>SUM(L19:L23)</f>
        <v>549.20000000000005</v>
      </c>
      <c r="M18" s="1605">
        <f t="shared" si="7"/>
        <v>120.94252367319976</v>
      </c>
      <c r="N18" s="1602">
        <f>SUM(N19:N23)</f>
        <v>577.11</v>
      </c>
      <c r="O18" s="1605">
        <f t="shared" si="8"/>
        <v>127.25689084895259</v>
      </c>
      <c r="P18" s="1602">
        <f t="shared" ref="P18:V18" si="21">SUM(P19:P22)</f>
        <v>537.5</v>
      </c>
      <c r="Q18" s="1602">
        <f t="shared" si="21"/>
        <v>446.08399155210333</v>
      </c>
      <c r="R18" s="1602">
        <f t="shared" si="21"/>
        <v>422.88989770621242</v>
      </c>
      <c r="S18" s="1602">
        <f t="shared" si="21"/>
        <v>277.40000000000003</v>
      </c>
      <c r="T18" s="1602">
        <f t="shared" si="21"/>
        <v>0</v>
      </c>
      <c r="U18" s="1602">
        <f t="shared" si="21"/>
        <v>412.7</v>
      </c>
      <c r="V18" s="1602">
        <f t="shared" si="21"/>
        <v>771.33999999999992</v>
      </c>
      <c r="W18" s="3469">
        <f t="shared" si="10"/>
        <v>1.4350511627906974</v>
      </c>
      <c r="X18" s="1602">
        <f>SUM(X19:X22)</f>
        <v>434.14643333333339</v>
      </c>
      <c r="Y18" s="1602"/>
      <c r="Z18" s="1602"/>
      <c r="AA18" s="1602">
        <f>SUM(AA19:AA22)</f>
        <v>437.90000000000003</v>
      </c>
      <c r="AB18" s="1602">
        <f>SUM(AB19:AB22)</f>
        <v>511.51799999999997</v>
      </c>
      <c r="AC18" s="1602">
        <f>SUM(AC19:AC22)</f>
        <v>457.87871249999995</v>
      </c>
      <c r="AD18" s="3469">
        <f t="shared" si="11"/>
        <v>1.0546642269624387</v>
      </c>
      <c r="AE18" s="1602">
        <f t="shared" ref="AE18:AF18" si="22">SUM(AE19:AE22)</f>
        <v>214.23999999999998</v>
      </c>
      <c r="AF18" s="1602">
        <f t="shared" si="22"/>
        <v>237</v>
      </c>
      <c r="AG18" s="1602">
        <f t="shared" ref="AG18" si="23">SUM(AG19:AG22)</f>
        <v>513.89349000000016</v>
      </c>
      <c r="AH18" s="1602">
        <f t="shared" ref="AH18:AS18" si="24">SUM(AH19:AH22)</f>
        <v>486.57128000000006</v>
      </c>
      <c r="AI18" s="1602">
        <f t="shared" si="24"/>
        <v>491.28999999999996</v>
      </c>
      <c r="AJ18" s="1602">
        <f t="shared" si="24"/>
        <v>458.75000000000006</v>
      </c>
      <c r="AK18" s="1602">
        <f t="shared" ref="AK18" si="25">SUM(AK19:AK22)</f>
        <v>542.42000000000007</v>
      </c>
      <c r="AL18" s="1602">
        <f t="shared" ref="AL18" si="26">SUM(AL19:AL22)</f>
        <v>735.24</v>
      </c>
      <c r="AM18" s="1602">
        <f t="shared" si="24"/>
        <v>564.03</v>
      </c>
      <c r="AN18" s="1602">
        <f t="shared" si="24"/>
        <v>564.03</v>
      </c>
      <c r="AO18" s="1602">
        <f t="shared" si="24"/>
        <v>793.13996000000009</v>
      </c>
      <c r="AP18" s="1602">
        <f t="shared" si="24"/>
        <v>575.141391</v>
      </c>
      <c r="AQ18" s="1602">
        <f t="shared" si="24"/>
        <v>896.20999999999992</v>
      </c>
      <c r="AR18" s="1602">
        <f t="shared" si="24"/>
        <v>934.86</v>
      </c>
      <c r="AS18" s="1602">
        <f t="shared" si="24"/>
        <v>1112.24</v>
      </c>
      <c r="AT18" s="2371">
        <f t="shared" ref="AT18" si="27">SUM(AT19:AT22)</f>
        <v>1157.39717053554</v>
      </c>
      <c r="AU18" s="4101">
        <f t="shared" ref="AU18" si="28">SUM(AU19:AU22)</f>
        <v>1104.4833527485762</v>
      </c>
      <c r="AV18" s="4843" t="s">
        <v>2058</v>
      </c>
      <c r="AW18" s="4844"/>
      <c r="AX18" s="4844"/>
      <c r="AY18" s="2371">
        <f t="shared" ref="AY18:BA18" si="29">SUM(AY19:AY22)</f>
        <v>357.03999999999996</v>
      </c>
      <c r="AZ18" s="2371">
        <f t="shared" si="29"/>
        <v>418.8</v>
      </c>
      <c r="BA18" s="3487">
        <f t="shared" si="29"/>
        <v>0</v>
      </c>
    </row>
    <row r="19" spans="1:53" ht="42.75" customHeight="1" x14ac:dyDescent="0.2">
      <c r="A19" s="3470" t="s">
        <v>3677</v>
      </c>
      <c r="B19" s="3471">
        <v>272.89999999999998</v>
      </c>
      <c r="C19" s="1731">
        <v>192.5</v>
      </c>
      <c r="D19" s="1731">
        <f>C19/B19*100</f>
        <v>70.538658849395389</v>
      </c>
      <c r="E19" s="1605">
        <v>235.4</v>
      </c>
      <c r="F19" s="1605">
        <f t="shared" si="5"/>
        <v>122.28571428571429</v>
      </c>
      <c r="G19" s="1605">
        <v>255.7</v>
      </c>
      <c r="H19" s="1605">
        <f t="shared" si="6"/>
        <v>108.62361937128291</v>
      </c>
      <c r="I19" s="1602">
        <v>242.8</v>
      </c>
      <c r="J19" s="1605">
        <v>165.5</v>
      </c>
      <c r="K19" s="1605">
        <v>165.8</v>
      </c>
      <c r="L19" s="1605">
        <v>266.2</v>
      </c>
      <c r="M19" s="1605">
        <f t="shared" si="7"/>
        <v>104.10637465780211</v>
      </c>
      <c r="N19" s="1605">
        <v>338.3</v>
      </c>
      <c r="O19" s="1605">
        <f t="shared" si="8"/>
        <v>139.332784184514</v>
      </c>
      <c r="P19" s="1602">
        <v>309.89999999999998</v>
      </c>
      <c r="Q19" s="1605">
        <f t="shared" si="9"/>
        <v>127.63591433278417</v>
      </c>
      <c r="R19" s="1605">
        <f>P19/L19*100</f>
        <v>116.41622839969948</v>
      </c>
      <c r="S19" s="1602">
        <v>175</v>
      </c>
      <c r="T19" s="1602"/>
      <c r="U19" s="1602">
        <v>275.7</v>
      </c>
      <c r="V19" s="1602">
        <v>465.7</v>
      </c>
      <c r="W19" s="3469">
        <f t="shared" si="10"/>
        <v>1.5027428202646016</v>
      </c>
      <c r="X19" s="2626">
        <f>S19/6*9*1.015</f>
        <v>266.4375</v>
      </c>
      <c r="Y19" s="2626"/>
      <c r="Z19" s="2626"/>
      <c r="AA19" s="2626">
        <v>282.60000000000002</v>
      </c>
      <c r="AB19" s="2626">
        <v>328.8</v>
      </c>
      <c r="AC19" s="2626">
        <f>X19*1.035</f>
        <v>275.7628125</v>
      </c>
      <c r="AD19" s="3469">
        <f t="shared" si="11"/>
        <v>1.0349999999999999</v>
      </c>
      <c r="AE19" s="2626">
        <v>175.2</v>
      </c>
      <c r="AF19" s="2626">
        <v>179.53</v>
      </c>
      <c r="AG19" s="2626">
        <f>SUM(AA19*1.1)</f>
        <v>310.86000000000007</v>
      </c>
      <c r="AH19" s="2626">
        <f>AG19</f>
        <v>310.86000000000007</v>
      </c>
      <c r="AI19" s="2626">
        <v>324.56</v>
      </c>
      <c r="AJ19" s="2626">
        <v>327.06</v>
      </c>
      <c r="AK19" s="2626">
        <v>345.92</v>
      </c>
      <c r="AL19" s="2626">
        <v>354.85</v>
      </c>
      <c r="AM19" s="2626">
        <v>356.3</v>
      </c>
      <c r="AN19" s="1602">
        <f>AM19</f>
        <v>356.3</v>
      </c>
      <c r="AO19" s="1602">
        <f>SUM(AN19*1.046)</f>
        <v>372.68980000000005</v>
      </c>
      <c r="AP19" s="1602">
        <f t="shared" si="19"/>
        <v>363.31911000000002</v>
      </c>
      <c r="AQ19" s="1602">
        <v>259.06</v>
      </c>
      <c r="AR19" s="1602">
        <v>270.69</v>
      </c>
      <c r="AS19" s="1602">
        <v>411.91</v>
      </c>
      <c r="AT19" s="2371">
        <f>SUM(AS19*1.046)*(1-0.01)</f>
        <v>426.54928140000004</v>
      </c>
      <c r="AU19" s="4100">
        <f t="shared" ref="AU19:AU44" si="30">SUM(AN19*(1+0.032)*0.99*(1+0.036)*0.99)</f>
        <v>373.35817433376008</v>
      </c>
      <c r="AV19" s="4843" t="s">
        <v>2058</v>
      </c>
      <c r="AW19" s="4844"/>
      <c r="AX19" s="4844"/>
      <c r="AY19" s="2371">
        <v>234.68</v>
      </c>
      <c r="AZ19" s="2371">
        <v>244.79</v>
      </c>
      <c r="BA19" s="3487"/>
    </row>
    <row r="20" spans="1:53" ht="42.75" customHeight="1" x14ac:dyDescent="0.2">
      <c r="A20" s="3470" t="s">
        <v>547</v>
      </c>
      <c r="B20" s="3471">
        <v>12</v>
      </c>
      <c r="C20" s="1731">
        <v>13.2</v>
      </c>
      <c r="D20" s="1731">
        <f>C20/B20*100</f>
        <v>109.99999999999999</v>
      </c>
      <c r="E20" s="1605">
        <v>15.2</v>
      </c>
      <c r="F20" s="1605">
        <f t="shared" si="5"/>
        <v>115.15151515151516</v>
      </c>
      <c r="G20" s="1605">
        <v>16.399999999999999</v>
      </c>
      <c r="H20" s="1605">
        <f t="shared" si="6"/>
        <v>107.89473684210526</v>
      </c>
      <c r="I20" s="1602">
        <v>16.3</v>
      </c>
      <c r="J20" s="1605">
        <v>8.4</v>
      </c>
      <c r="K20" s="1605">
        <v>13.5</v>
      </c>
      <c r="L20" s="1605">
        <v>17.8</v>
      </c>
      <c r="M20" s="1605">
        <f t="shared" si="7"/>
        <v>108.53658536585367</v>
      </c>
      <c r="N20" s="1605">
        <v>17.93</v>
      </c>
      <c r="O20" s="1605">
        <f t="shared" si="8"/>
        <v>109.99999999999999</v>
      </c>
      <c r="P20" s="1602">
        <v>17.100000000000001</v>
      </c>
      <c r="Q20" s="1605">
        <f t="shared" si="9"/>
        <v>104.9079754601227</v>
      </c>
      <c r="R20" s="1605">
        <f>P20/L20*100</f>
        <v>96.067415730337075</v>
      </c>
      <c r="S20" s="1602">
        <v>0</v>
      </c>
      <c r="T20" s="1602"/>
      <c r="U20" s="1602">
        <v>0</v>
      </c>
      <c r="V20" s="1602">
        <v>18.899999999999999</v>
      </c>
      <c r="W20" s="3469">
        <f t="shared" si="10"/>
        <v>1.1052631578947367</v>
      </c>
      <c r="X20" s="2626">
        <f>P20</f>
        <v>17.100000000000001</v>
      </c>
      <c r="Y20" s="2626"/>
      <c r="Z20" s="2626"/>
      <c r="AA20" s="2626">
        <v>0.3</v>
      </c>
      <c r="AB20" s="2626">
        <v>18.54</v>
      </c>
      <c r="AC20" s="2626">
        <f>X20*1.049</f>
        <v>17.937899999999999</v>
      </c>
      <c r="AD20" s="3469">
        <f t="shared" si="11"/>
        <v>1.0489999999999999</v>
      </c>
      <c r="AE20" s="2626">
        <v>0</v>
      </c>
      <c r="AF20" s="2626">
        <v>0</v>
      </c>
      <c r="AG20" s="2626">
        <f>SUM(AC20*1.1)</f>
        <v>19.73169</v>
      </c>
      <c r="AH20" s="2626">
        <v>0</v>
      </c>
      <c r="AI20" s="2626">
        <v>0</v>
      </c>
      <c r="AJ20" s="2626">
        <v>5.17</v>
      </c>
      <c r="AK20" s="2626">
        <v>0</v>
      </c>
      <c r="AL20" s="2626">
        <v>0</v>
      </c>
      <c r="AM20" s="2626">
        <v>5.33</v>
      </c>
      <c r="AN20" s="2626">
        <f>AM20</f>
        <v>5.33</v>
      </c>
      <c r="AO20" s="1602">
        <f>SUM(AN20*1.046)</f>
        <v>5.5751800000000005</v>
      </c>
      <c r="AP20" s="1602">
        <f t="shared" si="19"/>
        <v>5.4350010000000006</v>
      </c>
      <c r="AQ20" s="1602">
        <v>0</v>
      </c>
      <c r="AR20" s="1602">
        <v>0</v>
      </c>
      <c r="AS20" s="1602">
        <v>0</v>
      </c>
      <c r="AT20" s="2371">
        <f>SUM(AP20*1.046)*(1-0.01)</f>
        <v>5.6281609355400004</v>
      </c>
      <c r="AU20" s="4100">
        <f t="shared" si="30"/>
        <v>5.5851784148160002</v>
      </c>
      <c r="AV20" s="4843" t="s">
        <v>2058</v>
      </c>
      <c r="AW20" s="4844"/>
      <c r="AX20" s="4844"/>
      <c r="AY20" s="2371">
        <v>0</v>
      </c>
      <c r="AZ20" s="2371">
        <v>0</v>
      </c>
      <c r="BA20" s="3487">
        <v>0</v>
      </c>
    </row>
    <row r="21" spans="1:53" ht="18.75" customHeight="1" x14ac:dyDescent="0.2">
      <c r="A21" s="3470" t="s">
        <v>548</v>
      </c>
      <c r="B21" s="3471">
        <v>163.5</v>
      </c>
      <c r="C21" s="1731">
        <v>122.4</v>
      </c>
      <c r="D21" s="1731">
        <f>C21/B21*100</f>
        <v>74.862385321100916</v>
      </c>
      <c r="E21" s="1605">
        <v>186.8</v>
      </c>
      <c r="F21" s="1605">
        <f t="shared" si="5"/>
        <v>152.61437908496734</v>
      </c>
      <c r="G21" s="1605">
        <v>158.30000000000001</v>
      </c>
      <c r="H21" s="1605">
        <f t="shared" si="6"/>
        <v>84.743040685224841</v>
      </c>
      <c r="I21" s="1602">
        <v>163.69999999999999</v>
      </c>
      <c r="J21" s="1605">
        <v>99</v>
      </c>
      <c r="K21" s="1605">
        <v>100.1</v>
      </c>
      <c r="L21" s="1605">
        <v>241.7</v>
      </c>
      <c r="M21" s="1605">
        <f t="shared" si="7"/>
        <v>152.68477574226151</v>
      </c>
      <c r="N21" s="1605">
        <v>187.11</v>
      </c>
      <c r="O21" s="1605">
        <f t="shared" si="8"/>
        <v>114.30054978619428</v>
      </c>
      <c r="P21" s="1602">
        <v>178.4</v>
      </c>
      <c r="Q21" s="1605">
        <f t="shared" si="9"/>
        <v>108.97984117287723</v>
      </c>
      <c r="R21" s="1605">
        <f>P21/L21*100</f>
        <v>73.810508895324787</v>
      </c>
      <c r="S21" s="1602">
        <v>83.8</v>
      </c>
      <c r="T21" s="1602"/>
      <c r="U21" s="1602">
        <v>100.3</v>
      </c>
      <c r="V21" s="1602">
        <v>252.93</v>
      </c>
      <c r="W21" s="3469">
        <f t="shared" si="10"/>
        <v>1.4177690582959641</v>
      </c>
      <c r="X21" s="2626">
        <f>S21/9*12*1.048</f>
        <v>117.09653333333333</v>
      </c>
      <c r="Y21" s="2626"/>
      <c r="Z21" s="2626"/>
      <c r="AA21" s="2626">
        <v>131</v>
      </c>
      <c r="AB21" s="2626">
        <v>128.54</v>
      </c>
      <c r="AC21" s="2626">
        <f>AB21</f>
        <v>128.54</v>
      </c>
      <c r="AD21" s="3469">
        <f t="shared" si="11"/>
        <v>1.0977267758567291</v>
      </c>
      <c r="AE21" s="2626">
        <v>26.16</v>
      </c>
      <c r="AF21" s="2626">
        <v>38.049999999999997</v>
      </c>
      <c r="AG21" s="2626">
        <f>SUM(AA21*1.1)</f>
        <v>144.10000000000002</v>
      </c>
      <c r="AH21" s="2626">
        <f>AC21*1.062</f>
        <v>136.50948</v>
      </c>
      <c r="AI21" s="2626">
        <v>132.46</v>
      </c>
      <c r="AJ21" s="2626">
        <v>103.61</v>
      </c>
      <c r="AK21" s="2626">
        <v>152.66</v>
      </c>
      <c r="AL21" s="2626">
        <v>351.47</v>
      </c>
      <c r="AM21" s="2626">
        <v>157.24</v>
      </c>
      <c r="AN21" s="2626">
        <f>AM21</f>
        <v>157.24</v>
      </c>
      <c r="AO21" s="1602">
        <f>SUM(AL21*1.046)</f>
        <v>367.63762000000003</v>
      </c>
      <c r="AP21" s="1602">
        <f t="shared" si="19"/>
        <v>160.337628</v>
      </c>
      <c r="AQ21" s="2626">
        <v>480.25</v>
      </c>
      <c r="AR21" s="2626">
        <v>490.55</v>
      </c>
      <c r="AS21" s="2626">
        <v>507.13</v>
      </c>
      <c r="AT21" s="2371">
        <f>SUM(AS21*1.046)*(1-0.01)</f>
        <v>525.15340019999996</v>
      </c>
      <c r="AU21" s="4100">
        <v>525.38</v>
      </c>
      <c r="AV21" s="4843" t="s">
        <v>2058</v>
      </c>
      <c r="AW21" s="4844"/>
      <c r="AX21" s="4844"/>
      <c r="AY21" s="2483">
        <v>52.76</v>
      </c>
      <c r="AZ21" s="2483">
        <v>97.14</v>
      </c>
      <c r="BA21" s="3490"/>
    </row>
    <row r="22" spans="1:53" ht="18.75" customHeight="1" x14ac:dyDescent="0.2">
      <c r="A22" s="3470" t="s">
        <v>549</v>
      </c>
      <c r="B22" s="3471">
        <v>23.2</v>
      </c>
      <c r="C22" s="1731">
        <v>24.1</v>
      </c>
      <c r="D22" s="1731">
        <f>C22/B22*100</f>
        <v>103.8793103448276</v>
      </c>
      <c r="E22" s="1605">
        <v>33.9</v>
      </c>
      <c r="F22" s="1605">
        <f t="shared" si="5"/>
        <v>140.66390041493776</v>
      </c>
      <c r="G22" s="1605">
        <v>23.7</v>
      </c>
      <c r="H22" s="1605">
        <f t="shared" si="6"/>
        <v>69.911504424778755</v>
      </c>
      <c r="I22" s="1602">
        <v>30.7</v>
      </c>
      <c r="J22" s="1605">
        <v>11</v>
      </c>
      <c r="K22" s="1605">
        <v>17.5</v>
      </c>
      <c r="L22" s="1605">
        <v>23.5</v>
      </c>
      <c r="M22" s="1605">
        <f t="shared" si="7"/>
        <v>99.156118143459921</v>
      </c>
      <c r="N22" s="1605">
        <v>33.770000000000003</v>
      </c>
      <c r="O22" s="1605">
        <f t="shared" si="8"/>
        <v>110.00000000000001</v>
      </c>
      <c r="P22" s="1602">
        <v>32.1</v>
      </c>
      <c r="Q22" s="1605">
        <f t="shared" si="9"/>
        <v>104.56026058631922</v>
      </c>
      <c r="R22" s="1605">
        <f>P22/L22*100</f>
        <v>136.59574468085108</v>
      </c>
      <c r="S22" s="1602">
        <v>18.600000000000001</v>
      </c>
      <c r="T22" s="1602"/>
      <c r="U22" s="1602">
        <v>36.700000000000003</v>
      </c>
      <c r="V22" s="1602">
        <v>33.81</v>
      </c>
      <c r="W22" s="3469">
        <f t="shared" si="10"/>
        <v>1.0532710280373832</v>
      </c>
      <c r="X22" s="2626">
        <f>P22*1.044</f>
        <v>33.5124</v>
      </c>
      <c r="Y22" s="2626"/>
      <c r="Z22" s="2626"/>
      <c r="AA22" s="2626">
        <v>24</v>
      </c>
      <c r="AB22" s="2626">
        <v>35.637999999999998</v>
      </c>
      <c r="AC22" s="2626">
        <f>AB22</f>
        <v>35.637999999999998</v>
      </c>
      <c r="AD22" s="3469">
        <f t="shared" si="11"/>
        <v>1.0634272687124766</v>
      </c>
      <c r="AE22" s="2626">
        <v>12.88</v>
      </c>
      <c r="AF22" s="2626">
        <v>19.420000000000002</v>
      </c>
      <c r="AG22" s="2626">
        <f>SUM(AC22*1.1)</f>
        <v>39.201799999999999</v>
      </c>
      <c r="AH22" s="2626">
        <f>AG22</f>
        <v>39.201799999999999</v>
      </c>
      <c r="AI22" s="2626">
        <v>34.270000000000003</v>
      </c>
      <c r="AJ22" s="2626">
        <v>22.91</v>
      </c>
      <c r="AK22" s="2626">
        <v>43.84</v>
      </c>
      <c r="AL22" s="2626">
        <v>28.92</v>
      </c>
      <c r="AM22" s="2626">
        <v>45.16</v>
      </c>
      <c r="AN22" s="2626">
        <f>AM22</f>
        <v>45.16</v>
      </c>
      <c r="AO22" s="1602">
        <f>SUM(AN22*1.046)</f>
        <v>47.237359999999995</v>
      </c>
      <c r="AP22" s="1602">
        <f t="shared" si="19"/>
        <v>46.049652000000002</v>
      </c>
      <c r="AQ22" s="2626">
        <v>156.9</v>
      </c>
      <c r="AR22" s="2626">
        <v>173.62</v>
      </c>
      <c r="AS22" s="2626">
        <v>193.2</v>
      </c>
      <c r="AT22" s="2371">
        <f>SUM(AS22*1.046)*(1-0.01)</f>
        <v>200.066328</v>
      </c>
      <c r="AU22" s="4100">
        <v>200.16</v>
      </c>
      <c r="AV22" s="4843" t="s">
        <v>2058</v>
      </c>
      <c r="AW22" s="4844"/>
      <c r="AX22" s="4844"/>
      <c r="AY22" s="2483">
        <v>69.599999999999994</v>
      </c>
      <c r="AZ22" s="2483">
        <v>76.87</v>
      </c>
      <c r="BA22" s="3490"/>
    </row>
    <row r="23" spans="1:53" ht="18.75" hidden="1" x14ac:dyDescent="0.2">
      <c r="A23" s="3470" t="s">
        <v>53</v>
      </c>
      <c r="B23" s="3471"/>
      <c r="C23" s="1731"/>
      <c r="D23" s="1731"/>
      <c r="E23" s="1605"/>
      <c r="F23" s="1605"/>
      <c r="G23" s="1605"/>
      <c r="H23" s="1605"/>
      <c r="I23" s="1602"/>
      <c r="J23" s="1605"/>
      <c r="K23" s="1605"/>
      <c r="L23" s="1605"/>
      <c r="M23" s="1605"/>
      <c r="N23" s="1605"/>
      <c r="O23" s="1605"/>
      <c r="P23" s="1602">
        <f>L23*1.049</f>
        <v>0</v>
      </c>
      <c r="Q23" s="1605" t="e">
        <f t="shared" si="9"/>
        <v>#DIV/0!</v>
      </c>
      <c r="R23" s="1605"/>
      <c r="S23" s="1602"/>
      <c r="T23" s="1602"/>
      <c r="U23" s="1602"/>
      <c r="V23" s="1602"/>
      <c r="W23" s="3469" t="e">
        <f t="shared" si="10"/>
        <v>#DIV/0!</v>
      </c>
      <c r="X23" s="2626"/>
      <c r="Y23" s="2626"/>
      <c r="Z23" s="2626"/>
      <c r="AA23" s="2626"/>
      <c r="AB23" s="2626"/>
      <c r="AC23" s="2626"/>
      <c r="AD23" s="3469" t="e">
        <f t="shared" si="11"/>
        <v>#DIV/0!</v>
      </c>
      <c r="AE23" s="2626"/>
      <c r="AF23" s="2626"/>
      <c r="AG23" s="2626"/>
      <c r="AH23" s="2626"/>
      <c r="AI23" s="2626"/>
      <c r="AJ23" s="2626"/>
      <c r="AK23" s="2626"/>
      <c r="AL23" s="2626"/>
      <c r="AM23" s="2626"/>
      <c r="AN23" s="2626"/>
      <c r="AO23" s="1602"/>
      <c r="AP23" s="1602"/>
      <c r="AQ23" s="2626"/>
      <c r="AR23" s="2626"/>
      <c r="AS23" s="2626"/>
      <c r="AT23" s="2371"/>
      <c r="AU23" s="4101"/>
      <c r="AV23" s="1682"/>
      <c r="AW23" s="2152"/>
      <c r="AX23" s="2152"/>
      <c r="AY23" s="2483"/>
      <c r="AZ23" s="2483"/>
      <c r="BA23" s="3490"/>
    </row>
    <row r="24" spans="1:53" ht="35.25" customHeight="1" x14ac:dyDescent="0.2">
      <c r="A24" s="3466" t="s">
        <v>30</v>
      </c>
      <c r="B24" s="3467">
        <v>583.79999999999995</v>
      </c>
      <c r="C24" s="3468">
        <v>428.9</v>
      </c>
      <c r="D24" s="1731">
        <f>C24/B24*100</f>
        <v>73.466940733127785</v>
      </c>
      <c r="E24" s="1602">
        <v>512.20000000000005</v>
      </c>
      <c r="F24" s="1605">
        <f t="shared" si="5"/>
        <v>119.42177663791097</v>
      </c>
      <c r="G24" s="1602">
        <v>410.6</v>
      </c>
      <c r="H24" s="1605">
        <f t="shared" si="6"/>
        <v>80.163998438110113</v>
      </c>
      <c r="I24" s="1602">
        <v>549.1</v>
      </c>
      <c r="J24" s="1602">
        <v>209.5</v>
      </c>
      <c r="K24" s="1602">
        <v>387.9</v>
      </c>
      <c r="L24" s="1602">
        <v>533.79999999999995</v>
      </c>
      <c r="M24" s="1605">
        <f t="shared" si="7"/>
        <v>130.00487092060396</v>
      </c>
      <c r="N24" s="1602">
        <v>604.01</v>
      </c>
      <c r="O24" s="1605">
        <f t="shared" si="8"/>
        <v>109.99999999999999</v>
      </c>
      <c r="P24" s="1602">
        <v>579</v>
      </c>
      <c r="Q24" s="1605">
        <f t="shared" si="9"/>
        <v>105.44527408486614</v>
      </c>
      <c r="R24" s="1605">
        <f>P24/L24*100</f>
        <v>108.46759085799927</v>
      </c>
      <c r="S24" s="1602">
        <v>426.5</v>
      </c>
      <c r="T24" s="1602"/>
      <c r="U24" s="1602">
        <v>554.29999999999995</v>
      </c>
      <c r="V24" s="1602">
        <v>698.46</v>
      </c>
      <c r="W24" s="3469">
        <f t="shared" si="10"/>
        <v>1.2063212435233162</v>
      </c>
      <c r="X24" s="2626">
        <f>P24*1.048</f>
        <v>606.79200000000003</v>
      </c>
      <c r="Y24" s="2626"/>
      <c r="Z24" s="2626"/>
      <c r="AA24" s="2626">
        <v>391.5</v>
      </c>
      <c r="AB24" s="2626">
        <v>645.6</v>
      </c>
      <c r="AC24" s="2626">
        <f>AB24</f>
        <v>645.6</v>
      </c>
      <c r="AD24" s="3469">
        <f t="shared" si="11"/>
        <v>1.0639560178776253</v>
      </c>
      <c r="AE24" s="2626">
        <v>424.39</v>
      </c>
      <c r="AF24" s="2626">
        <v>525.45000000000005</v>
      </c>
      <c r="AG24" s="2626">
        <f>SUM(AC24*1.1)</f>
        <v>710.16000000000008</v>
      </c>
      <c r="AH24" s="2626">
        <f>AG24</f>
        <v>710.16000000000008</v>
      </c>
      <c r="AI24" s="2626">
        <v>762.78</v>
      </c>
      <c r="AJ24" s="2626">
        <v>833.62</v>
      </c>
      <c r="AK24" s="2626">
        <v>794.2</v>
      </c>
      <c r="AL24" s="2626">
        <v>915.12</v>
      </c>
      <c r="AM24" s="2626">
        <v>884.39</v>
      </c>
      <c r="AN24" s="1602">
        <f>AJ24*1.027*1.046</f>
        <v>895.50961603999997</v>
      </c>
      <c r="AO24" s="1602">
        <f>SUM(AL24*1.046)</f>
        <v>957.21552000000008</v>
      </c>
      <c r="AP24" s="1602">
        <f t="shared" si="19"/>
        <v>913.15115547598793</v>
      </c>
      <c r="AQ24" s="1602">
        <v>504.98</v>
      </c>
      <c r="AR24" s="1602">
        <v>719.29</v>
      </c>
      <c r="AS24" s="1602">
        <v>1062.02</v>
      </c>
      <c r="AT24" s="2371">
        <f>SUM(AS24*1.046)*(1-0.01)</f>
        <v>1099.7641908000001</v>
      </c>
      <c r="AU24" s="4100">
        <v>1100.25</v>
      </c>
      <c r="AV24" s="4843" t="s">
        <v>2057</v>
      </c>
      <c r="AW24" s="4844"/>
      <c r="AX24" s="4844"/>
      <c r="AY24" s="2371">
        <v>387.2</v>
      </c>
      <c r="AZ24" s="2371">
        <v>572.29999999999995</v>
      </c>
      <c r="BA24" s="3487"/>
    </row>
    <row r="25" spans="1:53" ht="18.75" x14ac:dyDescent="0.2">
      <c r="A25" s="3466" t="s">
        <v>840</v>
      </c>
      <c r="B25" s="3467">
        <f>SUM(B26:B40)</f>
        <v>1274</v>
      </c>
      <c r="C25" s="3468">
        <f>SUM(C26:C40)</f>
        <v>1570.1999999999998</v>
      </c>
      <c r="D25" s="1731">
        <f>C25/B25*100</f>
        <v>123.24960753532181</v>
      </c>
      <c r="E25" s="1602">
        <f>SUM(E26:E41)</f>
        <v>2458.1999999999998</v>
      </c>
      <c r="F25" s="1602">
        <f>SUM(F26:F41)</f>
        <v>1921.4028595453462</v>
      </c>
      <c r="G25" s="1602">
        <f>SUM(G26:G44)</f>
        <v>1923.4</v>
      </c>
      <c r="H25" s="1605">
        <f t="shared" si="6"/>
        <v>78.24424375559353</v>
      </c>
      <c r="I25" s="1602">
        <f>SUM(I26:I41)</f>
        <v>1629.7320000000004</v>
      </c>
      <c r="J25" s="1602">
        <f>SUM(J26:J41)</f>
        <v>1107.6000000000001</v>
      </c>
      <c r="K25" s="1602">
        <f>SUM(K26:K44)</f>
        <v>2027.9</v>
      </c>
      <c r="L25" s="1602">
        <f>SUM(L26:L44)</f>
        <v>3341.3000000000006</v>
      </c>
      <c r="M25" s="1605">
        <f t="shared" si="7"/>
        <v>173.71841530622859</v>
      </c>
      <c r="N25" s="1602">
        <f>SUM(N26:N44)</f>
        <v>2703.43</v>
      </c>
      <c r="O25" s="1605">
        <f t="shared" si="8"/>
        <v>165.88187505675776</v>
      </c>
      <c r="P25" s="1602">
        <f>SUM(P26:P44)</f>
        <v>1876.2000000000003</v>
      </c>
      <c r="Q25" s="1602">
        <f t="shared" ref="Q25:AC25" si="31">SUM(Q26:Q44)</f>
        <v>1650.0918364803115</v>
      </c>
      <c r="R25" s="1602" t="e">
        <f t="shared" si="31"/>
        <v>#DIV/0!</v>
      </c>
      <c r="S25" s="1602">
        <f t="shared" si="31"/>
        <v>2098.5</v>
      </c>
      <c r="T25" s="1602">
        <f t="shared" si="31"/>
        <v>0</v>
      </c>
      <c r="U25" s="1602">
        <f t="shared" si="31"/>
        <v>2454.1000000000004</v>
      </c>
      <c r="V25" s="1602">
        <f t="shared" si="31"/>
        <v>3781.8249999999998</v>
      </c>
      <c r="W25" s="3469">
        <f t="shared" si="10"/>
        <v>2.0156832960238775</v>
      </c>
      <c r="X25" s="1602">
        <f t="shared" si="31"/>
        <v>2043.1773000000003</v>
      </c>
      <c r="Y25" s="1602"/>
      <c r="Z25" s="1602"/>
      <c r="AA25" s="1602">
        <f t="shared" si="31"/>
        <v>2151.9</v>
      </c>
      <c r="AB25" s="1602">
        <f t="shared" si="31"/>
        <v>3030.5219999999999</v>
      </c>
      <c r="AC25" s="1602">
        <f t="shared" si="31"/>
        <v>1551.6120093000002</v>
      </c>
      <c r="AD25" s="3469">
        <f t="shared" si="11"/>
        <v>0.75941133904531921</v>
      </c>
      <c r="AE25" s="1602">
        <f t="shared" ref="AE25:AF25" si="32">SUM(AE26:AE44)</f>
        <v>1396.08</v>
      </c>
      <c r="AF25" s="1602">
        <f t="shared" si="32"/>
        <v>2018.5900000000001</v>
      </c>
      <c r="AG25" s="1602">
        <f t="shared" ref="AG25:AS25" si="33">SUM(AG26:AG44)</f>
        <v>3301.3489307700006</v>
      </c>
      <c r="AH25" s="1602">
        <f t="shared" si="33"/>
        <v>2251.9940915978004</v>
      </c>
      <c r="AI25" s="1602">
        <f t="shared" si="33"/>
        <v>3079.7400000000002</v>
      </c>
      <c r="AJ25" s="1602">
        <f t="shared" si="33"/>
        <v>2168.15</v>
      </c>
      <c r="AK25" s="1602">
        <f t="shared" ref="AK25" si="34">SUM(AK26:AK44)</f>
        <v>2584.5400000000004</v>
      </c>
      <c r="AL25" s="1602">
        <f t="shared" ref="AL25" si="35">SUM(AL26:AL44)</f>
        <v>2855.01</v>
      </c>
      <c r="AM25" s="1602">
        <f t="shared" si="33"/>
        <v>6767.4799999999987</v>
      </c>
      <c r="AN25" s="1602">
        <f t="shared" si="33"/>
        <v>6198.2877710817211</v>
      </c>
      <c r="AO25" s="1602">
        <f t="shared" si="33"/>
        <v>7388.9214597478012</v>
      </c>
      <c r="AP25" s="1602">
        <f t="shared" si="33"/>
        <v>6320.3940401720311</v>
      </c>
      <c r="AQ25" s="1602">
        <f t="shared" si="33"/>
        <v>611.81000000000006</v>
      </c>
      <c r="AR25" s="1602">
        <f t="shared" si="33"/>
        <v>1196.7619999999999</v>
      </c>
      <c r="AS25" s="1602">
        <f t="shared" si="33"/>
        <v>1937.95</v>
      </c>
      <c r="AT25" s="2371">
        <f t="shared" ref="AT25" si="36">SUM(AT26:AT44)</f>
        <v>6793.1122931527661</v>
      </c>
      <c r="AU25" s="4101">
        <f t="shared" ref="AU25" si="37">SUM(AU26:AU44)</f>
        <v>7103.0379635566014</v>
      </c>
      <c r="AV25" s="4845"/>
      <c r="AW25" s="4846"/>
      <c r="AX25" s="4846"/>
      <c r="AY25" s="2371">
        <f t="shared" ref="AY25:BA25" si="38">SUM(AY26:AY44)</f>
        <v>375.69</v>
      </c>
      <c r="AZ25" s="2371">
        <f t="shared" si="38"/>
        <v>755.91</v>
      </c>
      <c r="BA25" s="3487">
        <f t="shared" si="38"/>
        <v>0</v>
      </c>
    </row>
    <row r="26" spans="1:53" ht="47.25" customHeight="1" x14ac:dyDescent="0.2">
      <c r="A26" s="3470" t="s">
        <v>533</v>
      </c>
      <c r="B26" s="3471">
        <v>81.7</v>
      </c>
      <c r="C26" s="1731">
        <v>71.599999999999994</v>
      </c>
      <c r="D26" s="1731">
        <f t="shared" ref="D26:D34" si="39">C26/B26*100</f>
        <v>87.6376988984088</v>
      </c>
      <c r="E26" s="1605">
        <v>58.8</v>
      </c>
      <c r="F26" s="1605">
        <f t="shared" si="5"/>
        <v>82.122905027932973</v>
      </c>
      <c r="G26" s="1605">
        <v>81.8</v>
      </c>
      <c r="H26" s="1605">
        <f t="shared" si="6"/>
        <v>139.1156462585034</v>
      </c>
      <c r="I26" s="1602">
        <v>84.3</v>
      </c>
      <c r="J26" s="1602">
        <v>81.8</v>
      </c>
      <c r="K26" s="1602">
        <v>402.6</v>
      </c>
      <c r="L26" s="1605">
        <v>402.6</v>
      </c>
      <c r="M26" s="1605">
        <f t="shared" si="7"/>
        <v>492.17603911980444</v>
      </c>
      <c r="N26" s="1605">
        <v>92.73</v>
      </c>
      <c r="O26" s="1605">
        <f t="shared" si="8"/>
        <v>110.00000000000001</v>
      </c>
      <c r="P26" s="1602">
        <v>88.4</v>
      </c>
      <c r="Q26" s="1605">
        <f t="shared" si="9"/>
        <v>104.86358244365364</v>
      </c>
      <c r="R26" s="1605">
        <f t="shared" ref="R26:R37" si="40">P26/L26*100</f>
        <v>21.957277694982615</v>
      </c>
      <c r="S26" s="1602">
        <v>169.5</v>
      </c>
      <c r="T26" s="1602"/>
      <c r="U26" s="1602">
        <v>169.5</v>
      </c>
      <c r="V26" s="1602">
        <v>240</v>
      </c>
      <c r="W26" s="3469">
        <f t="shared" si="10"/>
        <v>2.7149321266968323</v>
      </c>
      <c r="X26" s="2626">
        <f>P26*1.048</f>
        <v>92.643200000000007</v>
      </c>
      <c r="Y26" s="2626"/>
      <c r="Z26" s="2626"/>
      <c r="AA26" s="2626">
        <v>273.8</v>
      </c>
      <c r="AB26" s="2626">
        <v>98</v>
      </c>
      <c r="AC26" s="2626">
        <f>AB26</f>
        <v>98</v>
      </c>
      <c r="AD26" s="3469">
        <f t="shared" si="11"/>
        <v>1.0578218368968255</v>
      </c>
      <c r="AE26" s="2626">
        <v>0</v>
      </c>
      <c r="AF26" s="2626">
        <v>0</v>
      </c>
      <c r="AG26" s="2626">
        <f>SUM(AA26*1.1)</f>
        <v>301.18000000000006</v>
      </c>
      <c r="AH26" s="2626">
        <f>AG26</f>
        <v>301.18000000000006</v>
      </c>
      <c r="AI26" s="2626">
        <v>0</v>
      </c>
      <c r="AJ26" s="2626">
        <v>0</v>
      </c>
      <c r="AK26" s="2626">
        <v>336.82</v>
      </c>
      <c r="AL26" s="2626">
        <v>0</v>
      </c>
      <c r="AM26" s="2626">
        <v>346.93</v>
      </c>
      <c r="AN26" s="1602">
        <f>AH26*0.99*1.037*0.99*1.027*1.046</f>
        <v>328.83452042172217</v>
      </c>
      <c r="AO26" s="1602">
        <f>SUM(AN26*1.046)</f>
        <v>343.96090836112143</v>
      </c>
      <c r="AP26" s="1602">
        <f t="shared" si="19"/>
        <v>335.31256047403014</v>
      </c>
      <c r="AQ26" s="1602"/>
      <c r="AR26" s="1602"/>
      <c r="AS26" s="1602"/>
      <c r="AT26" s="2371">
        <f>SUM(AP26*1.046)*(1-0.01)</f>
        <v>347.22956887327717</v>
      </c>
      <c r="AU26" s="4100">
        <f t="shared" si="30"/>
        <v>344.57776088288438</v>
      </c>
      <c r="AV26" s="4843" t="s">
        <v>2061</v>
      </c>
      <c r="AW26" s="4844"/>
      <c r="AX26" s="4844"/>
      <c r="AY26" s="2371"/>
      <c r="AZ26" s="2371"/>
      <c r="BA26" s="3487"/>
    </row>
    <row r="27" spans="1:53" ht="18.75" customHeight="1" x14ac:dyDescent="0.2">
      <c r="A27" s="3470" t="s">
        <v>534</v>
      </c>
      <c r="B27" s="3471">
        <v>58.5</v>
      </c>
      <c r="C27" s="1731">
        <v>91.6</v>
      </c>
      <c r="D27" s="1731">
        <f t="shared" si="39"/>
        <v>156.58119658119659</v>
      </c>
      <c r="E27" s="1605">
        <v>197.3</v>
      </c>
      <c r="F27" s="1605">
        <f t="shared" si="5"/>
        <v>215.39301310043672</v>
      </c>
      <c r="G27" s="1605">
        <v>132.5</v>
      </c>
      <c r="H27" s="1605">
        <f t="shared" si="6"/>
        <v>67.156614292954885</v>
      </c>
      <c r="I27" s="1602">
        <v>82.5</v>
      </c>
      <c r="J27" s="1605">
        <v>40.700000000000003</v>
      </c>
      <c r="K27" s="1605">
        <v>201.6</v>
      </c>
      <c r="L27" s="1605">
        <v>268.8</v>
      </c>
      <c r="M27" s="1605">
        <f t="shared" si="7"/>
        <v>202.8679245283019</v>
      </c>
      <c r="N27" s="1605">
        <v>112.42</v>
      </c>
      <c r="O27" s="1605">
        <f t="shared" si="8"/>
        <v>136.26666666666668</v>
      </c>
      <c r="P27" s="1602">
        <v>112.4</v>
      </c>
      <c r="Q27" s="1605">
        <f t="shared" si="9"/>
        <v>136.24242424242425</v>
      </c>
      <c r="R27" s="1605">
        <f t="shared" si="40"/>
        <v>41.81547619047619</v>
      </c>
      <c r="S27" s="1602">
        <v>283.3</v>
      </c>
      <c r="T27" s="1602"/>
      <c r="U27" s="1602">
        <v>316.10000000000002</v>
      </c>
      <c r="V27" s="1602">
        <v>285.60000000000002</v>
      </c>
      <c r="W27" s="3469">
        <f t="shared" si="10"/>
        <v>2.5409252669039146</v>
      </c>
      <c r="X27" s="2626">
        <f t="shared" ref="X27:X44" si="41">P27*1.048</f>
        <v>117.79520000000001</v>
      </c>
      <c r="Y27" s="2626"/>
      <c r="Z27" s="2626"/>
      <c r="AA27" s="2626">
        <v>185.6</v>
      </c>
      <c r="AB27" s="2626">
        <v>133.9</v>
      </c>
      <c r="AC27" s="2626">
        <f>AB27</f>
        <v>133.9</v>
      </c>
      <c r="AD27" s="3469">
        <f t="shared" si="11"/>
        <v>1.1367186438836216</v>
      </c>
      <c r="AE27" s="2626">
        <v>45.04</v>
      </c>
      <c r="AF27" s="2626">
        <v>215.01</v>
      </c>
      <c r="AG27" s="2626">
        <f>SUM(AA27*1.1)</f>
        <v>204.16</v>
      </c>
      <c r="AH27" s="2626">
        <f>AG27</f>
        <v>204.16</v>
      </c>
      <c r="AI27" s="2626">
        <v>272</v>
      </c>
      <c r="AJ27" s="2626">
        <v>355.13</v>
      </c>
      <c r="AK27" s="2626">
        <v>230.46</v>
      </c>
      <c r="AL27" s="2626">
        <v>277.44</v>
      </c>
      <c r="AM27" s="2626">
        <v>376.76</v>
      </c>
      <c r="AN27" s="2626">
        <f>AM27</f>
        <v>376.76</v>
      </c>
      <c r="AO27" s="1602">
        <f>SUM(AN27*1.046)</f>
        <v>394.09096</v>
      </c>
      <c r="AP27" s="1602">
        <f t="shared" si="19"/>
        <v>384.18217199999998</v>
      </c>
      <c r="AQ27" s="1602">
        <v>9.08</v>
      </c>
      <c r="AR27" s="1602">
        <v>345.8</v>
      </c>
      <c r="AS27" s="1602">
        <v>401.87</v>
      </c>
      <c r="AT27" s="2371">
        <f>SUM(AS27*1.046)*(1-0.01)</f>
        <v>416.15245979999997</v>
      </c>
      <c r="AU27" s="4100">
        <v>416.33</v>
      </c>
      <c r="AV27" s="4845" t="s">
        <v>2058</v>
      </c>
      <c r="AW27" s="4846"/>
      <c r="AX27" s="4846"/>
      <c r="AY27" s="2371">
        <v>8.8000000000000007</v>
      </c>
      <c r="AZ27" s="2371">
        <v>133.19499999999999</v>
      </c>
      <c r="BA27" s="3487"/>
    </row>
    <row r="28" spans="1:53" ht="42" customHeight="1" x14ac:dyDescent="0.2">
      <c r="A28" s="3470" t="s">
        <v>555</v>
      </c>
      <c r="B28" s="3471">
        <v>796.5</v>
      </c>
      <c r="C28" s="1731">
        <v>579.4</v>
      </c>
      <c r="D28" s="1731">
        <f t="shared" si="39"/>
        <v>72.743251726302574</v>
      </c>
      <c r="E28" s="1605">
        <v>931.4</v>
      </c>
      <c r="F28" s="1605">
        <f t="shared" si="5"/>
        <v>160.75250258888505</v>
      </c>
      <c r="G28" s="1605">
        <v>362.1</v>
      </c>
      <c r="H28" s="1605">
        <f t="shared" si="6"/>
        <v>38.876959415933008</v>
      </c>
      <c r="I28" s="1602">
        <v>672.9</v>
      </c>
      <c r="J28" s="1605">
        <v>330.4</v>
      </c>
      <c r="K28" s="1605">
        <v>0</v>
      </c>
      <c r="L28" s="1605">
        <v>758.8</v>
      </c>
      <c r="M28" s="1605">
        <f t="shared" si="7"/>
        <v>209.55537144435237</v>
      </c>
      <c r="N28" s="1605">
        <v>740.19</v>
      </c>
      <c r="O28" s="1605">
        <f t="shared" si="8"/>
        <v>110.00000000000001</v>
      </c>
      <c r="P28" s="1602">
        <v>705.8</v>
      </c>
      <c r="Q28" s="1605">
        <f t="shared" si="9"/>
        <v>104.88928518353396</v>
      </c>
      <c r="R28" s="1605">
        <f t="shared" si="40"/>
        <v>93.015287295730104</v>
      </c>
      <c r="S28" s="1602">
        <v>240.3</v>
      </c>
      <c r="T28" s="1602"/>
      <c r="U28" s="1602">
        <v>240.3</v>
      </c>
      <c r="V28" s="1602">
        <v>875.7</v>
      </c>
      <c r="W28" s="3469">
        <f t="shared" si="10"/>
        <v>1.2407197506375744</v>
      </c>
      <c r="X28" s="2626">
        <f>P28*1.044</f>
        <v>736.85519999999997</v>
      </c>
      <c r="Y28" s="2626"/>
      <c r="Z28" s="2626"/>
      <c r="AA28" s="2626">
        <v>0</v>
      </c>
      <c r="AB28" s="2626">
        <v>786.92</v>
      </c>
      <c r="AC28" s="2626">
        <f>U28*1.077*1.049</f>
        <v>271.48445190000001</v>
      </c>
      <c r="AD28" s="3469">
        <f t="shared" si="11"/>
        <v>0.36843663707604973</v>
      </c>
      <c r="AE28" s="2626">
        <v>0</v>
      </c>
      <c r="AF28" s="2626">
        <v>0</v>
      </c>
      <c r="AG28" s="2626">
        <f>SUM(AC28*1.1)</f>
        <v>298.63289709000003</v>
      </c>
      <c r="AH28" s="2626">
        <f>AC28*1.062</f>
        <v>288.31648791780003</v>
      </c>
      <c r="AI28" s="2626">
        <v>0</v>
      </c>
      <c r="AJ28" s="2626">
        <v>0</v>
      </c>
      <c r="AK28" s="2626">
        <v>322.44</v>
      </c>
      <c r="AL28" s="2626">
        <v>0</v>
      </c>
      <c r="AM28" s="2626">
        <v>3012.97</v>
      </c>
      <c r="AN28" s="1602">
        <f>AM28</f>
        <v>3012.97</v>
      </c>
      <c r="AO28" s="1602">
        <f>SUM(AN28*1.046)</f>
        <v>3151.5666200000001</v>
      </c>
      <c r="AP28" s="1602">
        <f t="shared" si="19"/>
        <v>3072.3255089999998</v>
      </c>
      <c r="AQ28" s="1602"/>
      <c r="AR28" s="1602"/>
      <c r="AS28" s="1602"/>
      <c r="AT28" s="2371">
        <f t="shared" ref="AT28:AT32" si="42">SUM(AP28*1.046)*(1-0.01)</f>
        <v>3181.5159575898597</v>
      </c>
      <c r="AU28" s="4100">
        <f t="shared" si="30"/>
        <v>3157.2185757013435</v>
      </c>
      <c r="AV28" s="4845" t="s">
        <v>2058</v>
      </c>
      <c r="AW28" s="4846"/>
      <c r="AX28" s="4846"/>
      <c r="AY28" s="2371"/>
      <c r="AZ28" s="2371"/>
      <c r="BA28" s="3487"/>
    </row>
    <row r="29" spans="1:53" ht="38.25" customHeight="1" x14ac:dyDescent="0.2">
      <c r="A29" s="3470" t="s">
        <v>536</v>
      </c>
      <c r="B29" s="3471">
        <v>61.2</v>
      </c>
      <c r="C29" s="3471">
        <v>61.2</v>
      </c>
      <c r="D29" s="1731">
        <f t="shared" si="39"/>
        <v>100</v>
      </c>
      <c r="E29" s="1605">
        <v>61.2</v>
      </c>
      <c r="F29" s="1605">
        <f t="shared" si="5"/>
        <v>100</v>
      </c>
      <c r="G29" s="1605">
        <v>61</v>
      </c>
      <c r="H29" s="1605">
        <f t="shared" si="6"/>
        <v>99.673202614379079</v>
      </c>
      <c r="I29" s="1602">
        <f>E29*1.03</f>
        <v>63.036000000000001</v>
      </c>
      <c r="J29" s="1605">
        <v>30.6</v>
      </c>
      <c r="K29" s="1605">
        <v>45.9</v>
      </c>
      <c r="L29" s="1605">
        <v>61</v>
      </c>
      <c r="M29" s="1605">
        <f t="shared" si="7"/>
        <v>100</v>
      </c>
      <c r="N29" s="1605">
        <v>69.3</v>
      </c>
      <c r="O29" s="1605">
        <f t="shared" si="8"/>
        <v>109.93717875499713</v>
      </c>
      <c r="P29" s="1602">
        <v>66.099999999999994</v>
      </c>
      <c r="Q29" s="1605">
        <f t="shared" si="9"/>
        <v>104.86071451234213</v>
      </c>
      <c r="R29" s="1605">
        <f t="shared" si="40"/>
        <v>108.3606557377049</v>
      </c>
      <c r="S29" s="1602">
        <v>56.7</v>
      </c>
      <c r="T29" s="1602"/>
      <c r="U29" s="1602">
        <v>75.599999999999994</v>
      </c>
      <c r="V29" s="1602">
        <v>69.3</v>
      </c>
      <c r="W29" s="3469">
        <f t="shared" si="10"/>
        <v>1.0484114977307111</v>
      </c>
      <c r="X29" s="2626">
        <f>P29</f>
        <v>66.099999999999994</v>
      </c>
      <c r="Y29" s="2626"/>
      <c r="Z29" s="2626"/>
      <c r="AA29" s="2626">
        <v>75.599999999999994</v>
      </c>
      <c r="AB29" s="2626">
        <v>77.867999999999995</v>
      </c>
      <c r="AC29" s="2626">
        <f>AB29</f>
        <v>77.867999999999995</v>
      </c>
      <c r="AD29" s="3469">
        <f t="shared" si="11"/>
        <v>1.1780332829046898</v>
      </c>
      <c r="AE29" s="2626">
        <v>41.55</v>
      </c>
      <c r="AF29" s="2626">
        <v>62.34</v>
      </c>
      <c r="AG29" s="2626">
        <f>SUM(AC29*1.1)</f>
        <v>85.654799999999994</v>
      </c>
      <c r="AH29" s="2626">
        <f>AG29</f>
        <v>85.654799999999994</v>
      </c>
      <c r="AI29" s="2626">
        <v>83.16</v>
      </c>
      <c r="AJ29" s="2626">
        <v>83.16</v>
      </c>
      <c r="AK29" s="2626">
        <v>85.65</v>
      </c>
      <c r="AL29" s="2626">
        <v>20.79</v>
      </c>
      <c r="AM29" s="2626">
        <v>88.22</v>
      </c>
      <c r="AN29" s="1602">
        <f>AM29</f>
        <v>88.22</v>
      </c>
      <c r="AO29" s="1602">
        <f>SUM(AN29*1.046)</f>
        <v>92.278120000000001</v>
      </c>
      <c r="AP29" s="1602">
        <f t="shared" si="19"/>
        <v>89.957934000000009</v>
      </c>
      <c r="AQ29" s="1602"/>
      <c r="AR29" s="1602"/>
      <c r="AS29" s="1602"/>
      <c r="AT29" s="2371">
        <f t="shared" si="42"/>
        <v>93.155038974360011</v>
      </c>
      <c r="AU29" s="4100">
        <f t="shared" si="30"/>
        <v>92.443609710144017</v>
      </c>
      <c r="AV29" s="4845" t="s">
        <v>2058</v>
      </c>
      <c r="AW29" s="4846"/>
      <c r="AX29" s="4846"/>
      <c r="AY29" s="2371"/>
      <c r="AZ29" s="2371"/>
      <c r="BA29" s="3487"/>
    </row>
    <row r="30" spans="1:53" ht="33" customHeight="1" x14ac:dyDescent="0.2">
      <c r="A30" s="3470" t="s">
        <v>537</v>
      </c>
      <c r="B30" s="3471">
        <v>3.8</v>
      </c>
      <c r="C30" s="1731">
        <v>11.5</v>
      </c>
      <c r="D30" s="1731">
        <f t="shared" si="39"/>
        <v>302.63157894736844</v>
      </c>
      <c r="E30" s="1605">
        <v>1.9</v>
      </c>
      <c r="F30" s="1605">
        <f t="shared" si="5"/>
        <v>16.521739130434781</v>
      </c>
      <c r="G30" s="1605">
        <v>37.1</v>
      </c>
      <c r="H30" s="1605">
        <f t="shared" si="6"/>
        <v>1952.6315789473686</v>
      </c>
      <c r="I30" s="1602">
        <v>10.9</v>
      </c>
      <c r="J30" s="1605">
        <v>3.5</v>
      </c>
      <c r="K30" s="1605">
        <v>23.7</v>
      </c>
      <c r="L30" s="1605">
        <v>23.7</v>
      </c>
      <c r="M30" s="1605">
        <f t="shared" si="7"/>
        <v>63.881401617250667</v>
      </c>
      <c r="N30" s="1605">
        <v>14.19</v>
      </c>
      <c r="O30" s="1605">
        <f t="shared" si="8"/>
        <v>130.18348623853211</v>
      </c>
      <c r="P30" s="1602">
        <v>14.2</v>
      </c>
      <c r="Q30" s="1605">
        <f t="shared" si="9"/>
        <v>130.27522935779817</v>
      </c>
      <c r="R30" s="1605">
        <f t="shared" si="40"/>
        <v>59.915611814345993</v>
      </c>
      <c r="S30" s="1602">
        <v>51.1</v>
      </c>
      <c r="T30" s="1602"/>
      <c r="U30" s="1602">
        <v>51.1</v>
      </c>
      <c r="V30" s="1602">
        <v>25.8</v>
      </c>
      <c r="W30" s="3469">
        <f t="shared" si="10"/>
        <v>1.8169014084507045</v>
      </c>
      <c r="X30" s="2626">
        <f t="shared" si="41"/>
        <v>14.881600000000001</v>
      </c>
      <c r="Y30" s="2626"/>
      <c r="Z30" s="2626"/>
      <c r="AA30" s="2626">
        <v>50.4</v>
      </c>
      <c r="AB30" s="2626">
        <v>15.862</v>
      </c>
      <c r="AC30" s="2626">
        <f>AB30</f>
        <v>15.862</v>
      </c>
      <c r="AD30" s="3469">
        <f t="shared" si="11"/>
        <v>1.0658800129018384</v>
      </c>
      <c r="AE30" s="2626">
        <v>33.6</v>
      </c>
      <c r="AF30" s="2626">
        <v>67.5</v>
      </c>
      <c r="AG30" s="2626">
        <f>SUM(AA30*1.1)</f>
        <v>55.440000000000005</v>
      </c>
      <c r="AH30" s="2626">
        <f>AG30</f>
        <v>55.440000000000005</v>
      </c>
      <c r="AI30" s="2626">
        <v>43.16</v>
      </c>
      <c r="AJ30" s="2626">
        <v>56.49</v>
      </c>
      <c r="AK30" s="2626">
        <v>62</v>
      </c>
      <c r="AL30" s="2626">
        <v>25.45</v>
      </c>
      <c r="AM30" s="2626">
        <v>63.86</v>
      </c>
      <c r="AN30" s="1602">
        <f>AJ30*1.027*1.046</f>
        <v>60.683930579999995</v>
      </c>
      <c r="AO30" s="1602">
        <f>SUM(AN30*1.046)</f>
        <v>63.475391386679995</v>
      </c>
      <c r="AP30" s="1602">
        <f t="shared" si="19"/>
        <v>61.879404012426001</v>
      </c>
      <c r="AQ30" s="1602">
        <v>7.67</v>
      </c>
      <c r="AR30" s="1602">
        <v>26.38</v>
      </c>
      <c r="AS30" s="1602">
        <v>26.38</v>
      </c>
      <c r="AT30" s="2371">
        <f t="shared" si="42"/>
        <v>64.078598031027624</v>
      </c>
      <c r="AU30" s="4100">
        <f t="shared" si="30"/>
        <v>63.589226867093537</v>
      </c>
      <c r="AV30" s="4843" t="s">
        <v>2057</v>
      </c>
      <c r="AW30" s="4844"/>
      <c r="AX30" s="4844"/>
      <c r="AY30" s="2371">
        <v>6.8949999999999996</v>
      </c>
      <c r="AZ30" s="2371">
        <v>20.145</v>
      </c>
      <c r="BA30" s="3487"/>
    </row>
    <row r="31" spans="1:53" ht="30" customHeight="1" x14ac:dyDescent="0.2">
      <c r="A31" s="3470" t="s">
        <v>538</v>
      </c>
      <c r="B31" s="3471">
        <v>2.8</v>
      </c>
      <c r="C31" s="1731">
        <v>4.2</v>
      </c>
      <c r="D31" s="1731">
        <f t="shared" si="39"/>
        <v>150.00000000000003</v>
      </c>
      <c r="E31" s="1605">
        <v>7.2</v>
      </c>
      <c r="F31" s="1605">
        <f t="shared" si="5"/>
        <v>171.42857142857142</v>
      </c>
      <c r="G31" s="1605">
        <v>5.9</v>
      </c>
      <c r="H31" s="1605">
        <f t="shared" si="6"/>
        <v>81.944444444444443</v>
      </c>
      <c r="I31" s="1602">
        <v>9.6999999999999993</v>
      </c>
      <c r="J31" s="1605">
        <v>3.2</v>
      </c>
      <c r="K31" s="1605">
        <v>3.7</v>
      </c>
      <c r="L31" s="1605">
        <v>5.5</v>
      </c>
      <c r="M31" s="1605">
        <f t="shared" si="7"/>
        <v>93.220338983050837</v>
      </c>
      <c r="N31" s="1605">
        <v>12.98</v>
      </c>
      <c r="O31" s="1605">
        <f t="shared" si="8"/>
        <v>133.81443298969074</v>
      </c>
      <c r="P31" s="1602">
        <v>5.2</v>
      </c>
      <c r="Q31" s="1605">
        <f t="shared" si="9"/>
        <v>53.608247422680421</v>
      </c>
      <c r="R31" s="1605">
        <f t="shared" si="40"/>
        <v>94.545454545454547</v>
      </c>
      <c r="S31" s="1602">
        <v>4.0999999999999996</v>
      </c>
      <c r="T31" s="1602"/>
      <c r="U31" s="1602">
        <v>4.2</v>
      </c>
      <c r="V31" s="1602">
        <v>6.3</v>
      </c>
      <c r="W31" s="3469">
        <f t="shared" si="10"/>
        <v>1.2115384615384615</v>
      </c>
      <c r="X31" s="2626">
        <f>P31</f>
        <v>5.2</v>
      </c>
      <c r="Y31" s="2626"/>
      <c r="Z31" s="2626"/>
      <c r="AA31" s="2626">
        <v>0</v>
      </c>
      <c r="AB31" s="2626">
        <v>158.21</v>
      </c>
      <c r="AC31" s="2626">
        <f>X31</f>
        <v>5.2</v>
      </c>
      <c r="AD31" s="3469">
        <f t="shared" si="11"/>
        <v>1</v>
      </c>
      <c r="AE31" s="2626">
        <v>0</v>
      </c>
      <c r="AF31" s="2626">
        <v>0</v>
      </c>
      <c r="AG31" s="2626">
        <f>SUM(AC31*1.1)</f>
        <v>5.7200000000000006</v>
      </c>
      <c r="AH31" s="2626">
        <v>0</v>
      </c>
      <c r="AI31" s="2626">
        <v>0</v>
      </c>
      <c r="AJ31" s="2626">
        <v>0</v>
      </c>
      <c r="AK31" s="2626">
        <v>0</v>
      </c>
      <c r="AL31" s="2626">
        <v>0</v>
      </c>
      <c r="AM31" s="2626">
        <v>0</v>
      </c>
      <c r="AN31" s="2626">
        <v>0</v>
      </c>
      <c r="AO31" s="1602">
        <v>0</v>
      </c>
      <c r="AP31" s="1602">
        <f t="shared" si="19"/>
        <v>0</v>
      </c>
      <c r="AQ31" s="2626">
        <v>0</v>
      </c>
      <c r="AR31" s="2626">
        <v>0</v>
      </c>
      <c r="AS31" s="2626">
        <v>0</v>
      </c>
      <c r="AT31" s="2371">
        <v>0</v>
      </c>
      <c r="AU31" s="4100">
        <f t="shared" si="30"/>
        <v>0</v>
      </c>
      <c r="AV31" s="4843"/>
      <c r="AW31" s="4844"/>
      <c r="AX31" s="4844"/>
      <c r="AY31" s="2483">
        <v>0</v>
      </c>
      <c r="AZ31" s="2483">
        <v>0</v>
      </c>
      <c r="BA31" s="3490">
        <v>0</v>
      </c>
    </row>
    <row r="32" spans="1:53" ht="44.25" customHeight="1" x14ac:dyDescent="0.2">
      <c r="A32" s="3470" t="s">
        <v>566</v>
      </c>
      <c r="B32" s="3471">
        <v>51.5</v>
      </c>
      <c r="C32" s="3471">
        <v>192.5</v>
      </c>
      <c r="D32" s="1731">
        <f t="shared" si="39"/>
        <v>373.78640776699029</v>
      </c>
      <c r="E32" s="1605">
        <v>211.5</v>
      </c>
      <c r="F32" s="1605">
        <f t="shared" si="5"/>
        <v>109.87012987012987</v>
      </c>
      <c r="G32" s="1605">
        <v>29.9</v>
      </c>
      <c r="H32" s="1605">
        <f t="shared" si="6"/>
        <v>14.137115839243497</v>
      </c>
      <c r="I32" s="1602">
        <v>253.5</v>
      </c>
      <c r="J32" s="1605">
        <v>132.1</v>
      </c>
      <c r="K32" s="1605">
        <v>40.6</v>
      </c>
      <c r="L32" s="1605">
        <v>42.8</v>
      </c>
      <c r="M32" s="1605">
        <f t="shared" si="7"/>
        <v>143.1438127090301</v>
      </c>
      <c r="N32" s="1605">
        <v>278.85000000000002</v>
      </c>
      <c r="O32" s="1605">
        <f t="shared" si="8"/>
        <v>110.00000000000001</v>
      </c>
      <c r="P32" s="1602">
        <v>265.89999999999998</v>
      </c>
      <c r="Q32" s="1605">
        <f t="shared" si="9"/>
        <v>104.89151873767257</v>
      </c>
      <c r="R32" s="1605">
        <f t="shared" si="40"/>
        <v>621.26168224299056</v>
      </c>
      <c r="S32" s="1602">
        <v>98</v>
      </c>
      <c r="T32" s="1602"/>
      <c r="U32" s="1602">
        <v>98.2</v>
      </c>
      <c r="V32" s="1602">
        <v>316.05</v>
      </c>
      <c r="W32" s="3469">
        <f t="shared" si="10"/>
        <v>1.1886047386235428</v>
      </c>
      <c r="X32" s="2626">
        <f t="shared" si="41"/>
        <v>278.66319999999996</v>
      </c>
      <c r="Y32" s="2626"/>
      <c r="Z32" s="2626"/>
      <c r="AA32" s="2626">
        <v>507.1</v>
      </c>
      <c r="AB32" s="2626">
        <v>296.64</v>
      </c>
      <c r="AC32" s="2626">
        <f>U32*1.077*1.049</f>
        <v>110.94370859999999</v>
      </c>
      <c r="AD32" s="3469">
        <f t="shared" si="11"/>
        <v>0.39812830901245666</v>
      </c>
      <c r="AE32" s="2626">
        <v>487.79</v>
      </c>
      <c r="AF32" s="2626">
        <v>487.79</v>
      </c>
      <c r="AG32" s="2626">
        <f>SUM(AA32*1.1)</f>
        <v>557.81000000000006</v>
      </c>
      <c r="AH32" s="2626">
        <f>AG32</f>
        <v>557.81000000000006</v>
      </c>
      <c r="AI32" s="2626">
        <v>9.58</v>
      </c>
      <c r="AJ32" s="2626">
        <v>4.43</v>
      </c>
      <c r="AK32" s="2626">
        <v>623.82000000000005</v>
      </c>
      <c r="AL32" s="2626">
        <v>0</v>
      </c>
      <c r="AM32" s="2626">
        <v>642.54</v>
      </c>
      <c r="AN32" s="2626">
        <f t="shared" ref="AN32:AN37" si="43">AM32</f>
        <v>642.54</v>
      </c>
      <c r="AO32" s="1602">
        <f>SUM(AN32*1.046)</f>
        <v>672.09684000000004</v>
      </c>
      <c r="AP32" s="1602">
        <f t="shared" si="19"/>
        <v>655.198038</v>
      </c>
      <c r="AQ32" s="1602"/>
      <c r="AR32" s="1602"/>
      <c r="AS32" s="1602"/>
      <c r="AT32" s="2371">
        <f t="shared" si="42"/>
        <v>678.48377627052002</v>
      </c>
      <c r="AU32" s="4100">
        <f t="shared" si="30"/>
        <v>673.302164851008</v>
      </c>
      <c r="AV32" s="4845" t="s">
        <v>2058</v>
      </c>
      <c r="AW32" s="4846"/>
      <c r="AX32" s="4846"/>
      <c r="AY32" s="2371"/>
      <c r="AZ32" s="2371"/>
      <c r="BA32" s="3487"/>
    </row>
    <row r="33" spans="1:53" ht="18.75" customHeight="1" x14ac:dyDescent="0.2">
      <c r="A33" s="3470" t="s">
        <v>3546</v>
      </c>
      <c r="B33" s="3471">
        <v>8.6999999999999993</v>
      </c>
      <c r="C33" s="1731">
        <v>7.2</v>
      </c>
      <c r="D33" s="1731">
        <f t="shared" si="39"/>
        <v>82.758620689655189</v>
      </c>
      <c r="E33" s="1605">
        <v>22.4</v>
      </c>
      <c r="F33" s="1605">
        <f t="shared" si="5"/>
        <v>311.11111111111109</v>
      </c>
      <c r="G33" s="1605">
        <v>17.3</v>
      </c>
      <c r="H33" s="1605">
        <f t="shared" si="6"/>
        <v>77.232142857142861</v>
      </c>
      <c r="I33" s="1602">
        <v>28.9</v>
      </c>
      <c r="J33" s="1605">
        <v>2.5</v>
      </c>
      <c r="K33" s="1605">
        <v>0</v>
      </c>
      <c r="L33" s="1605">
        <v>69.3</v>
      </c>
      <c r="M33" s="1605">
        <f t="shared" si="7"/>
        <v>400.5780346820809</v>
      </c>
      <c r="N33" s="1605">
        <v>31.79</v>
      </c>
      <c r="O33" s="1605">
        <f t="shared" si="8"/>
        <v>110.00000000000001</v>
      </c>
      <c r="P33" s="1602">
        <v>30.3</v>
      </c>
      <c r="Q33" s="1605">
        <f t="shared" si="9"/>
        <v>104.84429065743946</v>
      </c>
      <c r="R33" s="1605">
        <f t="shared" si="40"/>
        <v>43.722943722943725</v>
      </c>
      <c r="S33" s="1602">
        <v>2.5</v>
      </c>
      <c r="T33" s="1602"/>
      <c r="U33" s="1602">
        <v>10</v>
      </c>
      <c r="V33" s="1602">
        <v>72.099999999999994</v>
      </c>
      <c r="W33" s="3469">
        <f t="shared" si="10"/>
        <v>2.3795379537953791</v>
      </c>
      <c r="X33" s="2626">
        <f t="shared" si="41"/>
        <v>31.7544</v>
      </c>
      <c r="Y33" s="2626"/>
      <c r="Z33" s="2626"/>
      <c r="AA33" s="2626">
        <v>27.3</v>
      </c>
      <c r="AB33" s="2626">
        <v>33.372</v>
      </c>
      <c r="AC33" s="2626">
        <f>AB33</f>
        <v>33.372</v>
      </c>
      <c r="AD33" s="3469">
        <f t="shared" si="11"/>
        <v>1.0509409719597913</v>
      </c>
      <c r="AE33" s="2626">
        <v>388.02</v>
      </c>
      <c r="AF33" s="2626">
        <v>389.92</v>
      </c>
      <c r="AG33" s="2626">
        <f>SUM(AC33*1.1)</f>
        <v>36.709200000000003</v>
      </c>
      <c r="AH33" s="2626">
        <f>AG33</f>
        <v>36.709200000000003</v>
      </c>
      <c r="AI33" s="2626">
        <v>639.74</v>
      </c>
      <c r="AJ33" s="2626">
        <v>124.49</v>
      </c>
      <c r="AK33" s="2626">
        <v>41.05</v>
      </c>
      <c r="AL33" s="2626">
        <v>152.78</v>
      </c>
      <c r="AM33" s="2626">
        <v>132.07</v>
      </c>
      <c r="AN33" s="2626">
        <f t="shared" si="43"/>
        <v>132.07</v>
      </c>
      <c r="AO33" s="1602">
        <f>SUM(AL33*1.046)</f>
        <v>159.80788000000001</v>
      </c>
      <c r="AP33" s="1602">
        <f t="shared" si="19"/>
        <v>134.67177899999999</v>
      </c>
      <c r="AQ33" s="2626">
        <v>85.67</v>
      </c>
      <c r="AR33" s="2626">
        <v>104.92</v>
      </c>
      <c r="AS33" s="2626">
        <v>549.05999999999995</v>
      </c>
      <c r="AT33" s="2371">
        <f t="shared" ref="AT33:AT37" si="44">SUM(AS33*1.046)*(1-0.01)</f>
        <v>568.57359239999994</v>
      </c>
      <c r="AU33" s="4100">
        <v>568.83000000000004</v>
      </c>
      <c r="AV33" s="4845" t="s">
        <v>2058</v>
      </c>
      <c r="AW33" s="4846"/>
      <c r="AX33" s="4846"/>
      <c r="AY33" s="2483">
        <v>0</v>
      </c>
      <c r="AZ33" s="2483"/>
      <c r="BA33" s="3490"/>
    </row>
    <row r="34" spans="1:53" ht="18.75" x14ac:dyDescent="0.2">
      <c r="A34" s="3470" t="s">
        <v>541</v>
      </c>
      <c r="B34" s="3471">
        <v>20.9</v>
      </c>
      <c r="C34" s="1731">
        <v>26.9</v>
      </c>
      <c r="D34" s="1731">
        <f t="shared" si="39"/>
        <v>128.70813397129186</v>
      </c>
      <c r="E34" s="1605">
        <v>50.6</v>
      </c>
      <c r="F34" s="1605">
        <f t="shared" si="5"/>
        <v>188.10408921933086</v>
      </c>
      <c r="G34" s="1605">
        <v>29.7</v>
      </c>
      <c r="H34" s="1605">
        <f t="shared" si="6"/>
        <v>58.695652173913039</v>
      </c>
      <c r="I34" s="1602">
        <v>0</v>
      </c>
      <c r="J34" s="1605">
        <v>14.7</v>
      </c>
      <c r="K34" s="1605">
        <v>18.3</v>
      </c>
      <c r="L34" s="1605">
        <v>18.3</v>
      </c>
      <c r="M34" s="1605">
        <f t="shared" si="7"/>
        <v>61.616161616161627</v>
      </c>
      <c r="N34" s="1605">
        <v>0</v>
      </c>
      <c r="O34" s="1605"/>
      <c r="P34" s="1602">
        <v>0</v>
      </c>
      <c r="Q34" s="1605"/>
      <c r="R34" s="1605">
        <f t="shared" si="40"/>
        <v>0</v>
      </c>
      <c r="S34" s="1602">
        <v>0</v>
      </c>
      <c r="T34" s="1602"/>
      <c r="U34" s="1602">
        <v>0</v>
      </c>
      <c r="V34" s="1602">
        <v>24.7</v>
      </c>
      <c r="W34" s="3469"/>
      <c r="X34" s="2626">
        <f t="shared" si="41"/>
        <v>0</v>
      </c>
      <c r="Y34" s="2626"/>
      <c r="Z34" s="2626"/>
      <c r="AA34" s="2626">
        <v>0</v>
      </c>
      <c r="AB34" s="2626"/>
      <c r="AC34" s="2626"/>
      <c r="AD34" s="3469"/>
      <c r="AE34" s="2626">
        <v>9.5</v>
      </c>
      <c r="AF34" s="2626">
        <v>9.5</v>
      </c>
      <c r="AG34" s="2626">
        <v>0</v>
      </c>
      <c r="AH34" s="2626">
        <v>0</v>
      </c>
      <c r="AI34" s="2626">
        <v>60.9</v>
      </c>
      <c r="AJ34" s="2626">
        <v>16.760000000000002</v>
      </c>
      <c r="AK34" s="2626">
        <v>0</v>
      </c>
      <c r="AL34" s="2626">
        <v>15.6</v>
      </c>
      <c r="AM34" s="2626">
        <v>17.78</v>
      </c>
      <c r="AN34" s="2626">
        <f t="shared" si="43"/>
        <v>17.78</v>
      </c>
      <c r="AO34" s="1602">
        <f>SUM(AN34*1.046)</f>
        <v>18.597880000000004</v>
      </c>
      <c r="AP34" s="1602">
        <f t="shared" si="19"/>
        <v>18.130266000000002</v>
      </c>
      <c r="AQ34" s="2626">
        <v>99.06</v>
      </c>
      <c r="AR34" s="2626">
        <v>113.26</v>
      </c>
      <c r="AS34" s="2626">
        <v>141.76</v>
      </c>
      <c r="AT34" s="2371">
        <f t="shared" si="44"/>
        <v>146.7981504</v>
      </c>
      <c r="AU34" s="4100">
        <v>146.87</v>
      </c>
      <c r="AV34" s="4845" t="s">
        <v>2058</v>
      </c>
      <c r="AW34" s="4846"/>
      <c r="AX34" s="4846"/>
      <c r="AY34" s="2483">
        <v>4.6950000000000003</v>
      </c>
      <c r="AZ34" s="2483">
        <v>4.7</v>
      </c>
      <c r="BA34" s="3490"/>
    </row>
    <row r="35" spans="1:53" ht="18.75" x14ac:dyDescent="0.2">
      <c r="A35" s="3470" t="s">
        <v>567</v>
      </c>
      <c r="B35" s="3471"/>
      <c r="C35" s="1731">
        <v>5.0999999999999996</v>
      </c>
      <c r="D35" s="1731"/>
      <c r="E35" s="1605">
        <v>2</v>
      </c>
      <c r="F35" s="1605">
        <f t="shared" si="5"/>
        <v>39.215686274509807</v>
      </c>
      <c r="G35" s="1605">
        <v>3.3</v>
      </c>
      <c r="H35" s="1605">
        <f t="shared" si="6"/>
        <v>165</v>
      </c>
      <c r="I35" s="1602">
        <v>0</v>
      </c>
      <c r="J35" s="1605">
        <v>2.8</v>
      </c>
      <c r="K35" s="1605">
        <v>5.4</v>
      </c>
      <c r="L35" s="1605">
        <v>8</v>
      </c>
      <c r="M35" s="1605">
        <f t="shared" si="7"/>
        <v>242.42424242424244</v>
      </c>
      <c r="N35" s="1605">
        <v>10.1</v>
      </c>
      <c r="O35" s="1605"/>
      <c r="P35" s="1602">
        <v>0</v>
      </c>
      <c r="Q35" s="1605"/>
      <c r="R35" s="1605">
        <f t="shared" si="40"/>
        <v>0</v>
      </c>
      <c r="S35" s="1602">
        <v>5.0999999999999996</v>
      </c>
      <c r="T35" s="1602"/>
      <c r="U35" s="1602">
        <v>6.5</v>
      </c>
      <c r="V35" s="1602">
        <v>8.4</v>
      </c>
      <c r="W35" s="3469"/>
      <c r="X35" s="2626">
        <f t="shared" si="41"/>
        <v>0</v>
      </c>
      <c r="Y35" s="2626"/>
      <c r="Z35" s="2626"/>
      <c r="AA35" s="2626">
        <v>8.8000000000000007</v>
      </c>
      <c r="AB35" s="2626"/>
      <c r="AC35" s="2626"/>
      <c r="AD35" s="3469"/>
      <c r="AE35" s="2626">
        <v>0</v>
      </c>
      <c r="AF35" s="2626">
        <v>5.69</v>
      </c>
      <c r="AG35" s="2626">
        <f>SUM(AA35*1.1)</f>
        <v>9.6800000000000015</v>
      </c>
      <c r="AH35" s="2626">
        <f>AG35</f>
        <v>9.6800000000000015</v>
      </c>
      <c r="AI35" s="2626">
        <v>3.88</v>
      </c>
      <c r="AJ35" s="2626">
        <v>3.88</v>
      </c>
      <c r="AK35" s="2626">
        <v>10.83</v>
      </c>
      <c r="AL35" s="2626">
        <v>5.24</v>
      </c>
      <c r="AM35" s="2626">
        <v>11.15</v>
      </c>
      <c r="AN35" s="2626">
        <f t="shared" si="43"/>
        <v>11.15</v>
      </c>
      <c r="AO35" s="1602">
        <f>SUM(AN35*1.046)</f>
        <v>11.6629</v>
      </c>
      <c r="AP35" s="1602">
        <f t="shared" si="19"/>
        <v>11.369655</v>
      </c>
      <c r="AQ35" s="2626">
        <v>1.36</v>
      </c>
      <c r="AR35" s="2626">
        <v>7.2</v>
      </c>
      <c r="AS35" s="2626">
        <v>8.4600000000000009</v>
      </c>
      <c r="AT35" s="2371">
        <f t="shared" si="44"/>
        <v>8.7606684000000019</v>
      </c>
      <c r="AU35" s="4100">
        <f t="shared" si="30"/>
        <v>11.683816008480001</v>
      </c>
      <c r="AV35" s="4845" t="s">
        <v>2058</v>
      </c>
      <c r="AW35" s="4846"/>
      <c r="AX35" s="4846"/>
      <c r="AY35" s="2483">
        <v>2.72</v>
      </c>
      <c r="AZ35" s="2483">
        <v>5.335</v>
      </c>
      <c r="BA35" s="3490"/>
    </row>
    <row r="36" spans="1:53" ht="18.75" x14ac:dyDescent="0.2">
      <c r="A36" s="3470" t="s">
        <v>568</v>
      </c>
      <c r="B36" s="3471">
        <v>25.7</v>
      </c>
      <c r="C36" s="1731">
        <v>304.89999999999998</v>
      </c>
      <c r="D36" s="1731">
        <f>C36/B36*100</f>
        <v>1186.3813229571983</v>
      </c>
      <c r="E36" s="1605">
        <v>523.9</v>
      </c>
      <c r="F36" s="1605">
        <f t="shared" si="5"/>
        <v>171.8268284683503</v>
      </c>
      <c r="G36" s="1605">
        <v>556</v>
      </c>
      <c r="H36" s="1605">
        <f t="shared" si="6"/>
        <v>106.12712349685054</v>
      </c>
      <c r="I36" s="1602">
        <v>0</v>
      </c>
      <c r="J36" s="1605">
        <v>275.10000000000002</v>
      </c>
      <c r="K36" s="1605">
        <v>473.8</v>
      </c>
      <c r="L36" s="1605">
        <v>672.1</v>
      </c>
      <c r="M36" s="1605">
        <f t="shared" si="7"/>
        <v>120.88129496402877</v>
      </c>
      <c r="N36" s="1605">
        <v>642.4</v>
      </c>
      <c r="O36" s="1605"/>
      <c r="P36" s="1602">
        <v>0</v>
      </c>
      <c r="Q36" s="1605"/>
      <c r="R36" s="1605">
        <f t="shared" si="40"/>
        <v>0</v>
      </c>
      <c r="S36" s="1602">
        <v>533.6</v>
      </c>
      <c r="T36" s="1602"/>
      <c r="U36" s="1602">
        <v>698.7</v>
      </c>
      <c r="V36" s="1602">
        <v>832.05</v>
      </c>
      <c r="W36" s="3469"/>
      <c r="X36" s="2626">
        <f t="shared" si="41"/>
        <v>0</v>
      </c>
      <c r="Y36" s="2626"/>
      <c r="Z36" s="2626"/>
      <c r="AA36" s="2626">
        <v>688.1</v>
      </c>
      <c r="AB36" s="2626">
        <v>713</v>
      </c>
      <c r="AC36" s="2626">
        <v>0</v>
      </c>
      <c r="AD36" s="3469"/>
      <c r="AE36" s="2626">
        <v>328.05</v>
      </c>
      <c r="AF36" s="2626">
        <v>493.45</v>
      </c>
      <c r="AG36" s="2626">
        <f>SUM(AA36*1.1)</f>
        <v>756.91000000000008</v>
      </c>
      <c r="AH36" s="2626">
        <v>0</v>
      </c>
      <c r="AI36" s="2626">
        <v>799.92</v>
      </c>
      <c r="AJ36" s="2626">
        <v>898.34</v>
      </c>
      <c r="AK36" s="2626">
        <v>0</v>
      </c>
      <c r="AL36" s="2626">
        <v>904.69</v>
      </c>
      <c r="AM36" s="2626">
        <v>953.05</v>
      </c>
      <c r="AN36" s="2626">
        <f t="shared" si="43"/>
        <v>953.05</v>
      </c>
      <c r="AO36" s="1602">
        <f>SUM(AN36*1.046)</f>
        <v>996.89030000000002</v>
      </c>
      <c r="AP36" s="1602">
        <f t="shared" si="19"/>
        <v>971.82508499999994</v>
      </c>
      <c r="AQ36" s="2626">
        <v>272.24</v>
      </c>
      <c r="AR36" s="2626">
        <v>402.68</v>
      </c>
      <c r="AS36" s="2626">
        <v>549.41</v>
      </c>
      <c r="AT36" s="2371">
        <f t="shared" si="44"/>
        <v>568.93603140000005</v>
      </c>
      <c r="AU36" s="4100">
        <f t="shared" si="30"/>
        <v>998.67810285936014</v>
      </c>
      <c r="AV36" s="4845" t="s">
        <v>2058</v>
      </c>
      <c r="AW36" s="4846"/>
      <c r="AX36" s="4846"/>
      <c r="AY36" s="2483">
        <v>232.49</v>
      </c>
      <c r="AZ36" s="2483">
        <v>350.15499999999997</v>
      </c>
      <c r="BA36" s="3490"/>
    </row>
    <row r="37" spans="1:53" ht="18.75" customHeight="1" x14ac:dyDescent="0.2">
      <c r="A37" s="3470" t="s">
        <v>542</v>
      </c>
      <c r="B37" s="3471"/>
      <c r="C37" s="1731">
        <v>54</v>
      </c>
      <c r="D37" s="1731"/>
      <c r="E37" s="1605"/>
      <c r="F37" s="1605">
        <f t="shared" si="5"/>
        <v>0</v>
      </c>
      <c r="G37" s="1605">
        <v>9.1999999999999993</v>
      </c>
      <c r="H37" s="1605"/>
      <c r="I37" s="1602">
        <f>E37*1.03</f>
        <v>0</v>
      </c>
      <c r="J37" s="1605"/>
      <c r="K37" s="1605">
        <v>3.4</v>
      </c>
      <c r="L37" s="1605">
        <v>7.4</v>
      </c>
      <c r="M37" s="1605">
        <f t="shared" si="7"/>
        <v>80.43478260869567</v>
      </c>
      <c r="N37" s="1605">
        <v>10.1</v>
      </c>
      <c r="O37" s="1605"/>
      <c r="P37" s="1602">
        <v>0</v>
      </c>
      <c r="Q37" s="1605"/>
      <c r="R37" s="1605">
        <f t="shared" si="40"/>
        <v>0</v>
      </c>
      <c r="S37" s="1602">
        <v>6.1</v>
      </c>
      <c r="T37" s="1602"/>
      <c r="U37" s="1602">
        <v>10</v>
      </c>
      <c r="V37" s="1602">
        <v>8.4</v>
      </c>
      <c r="W37" s="3469"/>
      <c r="X37" s="2626">
        <f t="shared" si="41"/>
        <v>0</v>
      </c>
      <c r="Y37" s="2626"/>
      <c r="Z37" s="2626"/>
      <c r="AA37" s="2626">
        <v>18.100000000000001</v>
      </c>
      <c r="AB37" s="2626">
        <v>6</v>
      </c>
      <c r="AC37" s="2626">
        <f>AB37</f>
        <v>6</v>
      </c>
      <c r="AD37" s="3469"/>
      <c r="AE37" s="2626">
        <v>2.48</v>
      </c>
      <c r="AF37" s="2626">
        <v>13.32</v>
      </c>
      <c r="AG37" s="2626">
        <f>SUM(AA37*1.1)</f>
        <v>19.910000000000004</v>
      </c>
      <c r="AH37" s="2626">
        <f>AF37/3*4*1.062</f>
        <v>18.861120000000003</v>
      </c>
      <c r="AI37" s="2626">
        <v>27.34</v>
      </c>
      <c r="AJ37" s="2626">
        <v>19.64</v>
      </c>
      <c r="AK37" s="2626">
        <v>21.09</v>
      </c>
      <c r="AL37" s="2626">
        <v>9.6</v>
      </c>
      <c r="AM37" s="2626">
        <v>21.73</v>
      </c>
      <c r="AN37" s="2626">
        <f t="shared" si="43"/>
        <v>21.73</v>
      </c>
      <c r="AO37" s="1602">
        <f>SUM(AN37*1.046)</f>
        <v>22.729580000000002</v>
      </c>
      <c r="AP37" s="1602">
        <f t="shared" si="19"/>
        <v>22.158081000000003</v>
      </c>
      <c r="AQ37" s="2626">
        <v>7.2</v>
      </c>
      <c r="AR37" s="2626">
        <v>21.87</v>
      </c>
      <c r="AS37" s="2626">
        <v>28.43</v>
      </c>
      <c r="AT37" s="2371">
        <f t="shared" si="44"/>
        <v>29.440402200000001</v>
      </c>
      <c r="AU37" s="4100">
        <v>29.45</v>
      </c>
      <c r="AV37" s="4845" t="s">
        <v>2058</v>
      </c>
      <c r="AW37" s="4846"/>
      <c r="AX37" s="4846"/>
      <c r="AY37" s="2483">
        <v>34.69</v>
      </c>
      <c r="AZ37" s="2483">
        <v>49.58</v>
      </c>
      <c r="BA37" s="3490"/>
    </row>
    <row r="38" spans="1:53" ht="18.75" customHeight="1" x14ac:dyDescent="0.2">
      <c r="A38" s="3470" t="s">
        <v>886</v>
      </c>
      <c r="B38" s="3471">
        <v>141.6</v>
      </c>
      <c r="C38" s="1731">
        <v>138.1</v>
      </c>
      <c r="D38" s="1731">
        <f>C38/B38*100</f>
        <v>97.528248587570616</v>
      </c>
      <c r="E38" s="1605">
        <v>344.7</v>
      </c>
      <c r="F38" s="1605">
        <f t="shared" si="5"/>
        <v>249.6017378711079</v>
      </c>
      <c r="G38" s="1605">
        <v>361.6</v>
      </c>
      <c r="H38" s="1605">
        <f t="shared" si="6"/>
        <v>104.90281404119526</v>
      </c>
      <c r="I38" s="1602">
        <v>373.9</v>
      </c>
      <c r="J38" s="1605">
        <v>179.1</v>
      </c>
      <c r="K38" s="1605"/>
      <c r="L38" s="1605">
        <v>711.9</v>
      </c>
      <c r="M38" s="1605">
        <f t="shared" si="7"/>
        <v>196.87499999999997</v>
      </c>
      <c r="N38" s="1605">
        <v>411.29</v>
      </c>
      <c r="O38" s="1605">
        <f t="shared" si="8"/>
        <v>110.00000000000001</v>
      </c>
      <c r="P38" s="1602">
        <v>392.2</v>
      </c>
      <c r="Q38" s="1605">
        <f t="shared" si="9"/>
        <v>104.89435677988767</v>
      </c>
      <c r="R38" s="1605">
        <f>P38/L38*100</f>
        <v>55.092007304396681</v>
      </c>
      <c r="S38" s="1602">
        <v>-59.3</v>
      </c>
      <c r="T38" s="1602"/>
      <c r="U38" s="1602">
        <v>-59.3</v>
      </c>
      <c r="V38" s="1602">
        <v>747.6</v>
      </c>
      <c r="W38" s="3469">
        <f t="shared" si="10"/>
        <v>1.906170321264661</v>
      </c>
      <c r="X38" s="2626">
        <f>150.21/2*3.23+150.21/2*3.35</f>
        <v>494.19090000000006</v>
      </c>
      <c r="Y38" s="2626"/>
      <c r="Z38" s="2626"/>
      <c r="AA38" s="2626">
        <v>0</v>
      </c>
      <c r="AB38" s="2626">
        <v>510.06</v>
      </c>
      <c r="AC38" s="2626">
        <f>X38</f>
        <v>494.19090000000006</v>
      </c>
      <c r="AD38" s="3469">
        <f t="shared" si="11"/>
        <v>1</v>
      </c>
      <c r="AE38" s="2626">
        <v>0</v>
      </c>
      <c r="AF38" s="2626">
        <v>0</v>
      </c>
      <c r="AG38" s="2626">
        <f>SUM(AC38*1.1)</f>
        <v>543.60999000000015</v>
      </c>
      <c r="AH38" s="2626">
        <v>318.05</v>
      </c>
      <c r="AI38" s="2626">
        <v>61.43</v>
      </c>
      <c r="AJ38" s="2626">
        <v>0</v>
      </c>
      <c r="AK38" s="2626">
        <v>437.59</v>
      </c>
      <c r="AL38" s="2626">
        <v>0</v>
      </c>
      <c r="AM38" s="2626">
        <v>450.72</v>
      </c>
      <c r="AN38" s="2626">
        <v>0</v>
      </c>
      <c r="AO38" s="1602">
        <v>0</v>
      </c>
      <c r="AP38" s="1602">
        <f t="shared" si="19"/>
        <v>0</v>
      </c>
      <c r="AQ38" s="2626"/>
      <c r="AR38" s="2626"/>
      <c r="AS38" s="2626"/>
      <c r="AT38" s="2371">
        <v>0</v>
      </c>
      <c r="AU38" s="4100">
        <f t="shared" si="30"/>
        <v>0</v>
      </c>
      <c r="AV38" s="4853" t="s">
        <v>2060</v>
      </c>
      <c r="AW38" s="4854"/>
      <c r="AX38" s="4854"/>
      <c r="AY38" s="4877" t="s">
        <v>3957</v>
      </c>
      <c r="AZ38" s="4878"/>
      <c r="BA38" s="4875"/>
    </row>
    <row r="39" spans="1:53" ht="19.5" customHeight="1" x14ac:dyDescent="0.2">
      <c r="A39" s="3470" t="s">
        <v>540</v>
      </c>
      <c r="B39" s="3471"/>
      <c r="C39" s="1731"/>
      <c r="D39" s="1731"/>
      <c r="E39" s="1605"/>
      <c r="F39" s="1605"/>
      <c r="G39" s="1605">
        <v>135.19999999999999</v>
      </c>
      <c r="H39" s="1605"/>
      <c r="I39" s="1602">
        <v>23.7</v>
      </c>
      <c r="J39" s="1605"/>
      <c r="K39" s="1605">
        <v>758.8</v>
      </c>
      <c r="L39" s="1605">
        <v>0</v>
      </c>
      <c r="M39" s="1605">
        <f t="shared" si="7"/>
        <v>0</v>
      </c>
      <c r="N39" s="1605">
        <v>148.69999999999999</v>
      </c>
      <c r="O39" s="1605">
        <f t="shared" si="8"/>
        <v>627.42616033755269</v>
      </c>
      <c r="P39" s="1602">
        <v>138.4</v>
      </c>
      <c r="Q39" s="1605">
        <f t="shared" si="9"/>
        <v>583.96624472573842</v>
      </c>
      <c r="R39" s="1605" t="e">
        <f>P39/L39*100</f>
        <v>#DIV/0!</v>
      </c>
      <c r="S39" s="1602">
        <v>689</v>
      </c>
      <c r="T39" s="1602"/>
      <c r="U39" s="1602">
        <v>691.8</v>
      </c>
      <c r="V39" s="1602">
        <v>142.80000000000001</v>
      </c>
      <c r="W39" s="3469">
        <f t="shared" si="10"/>
        <v>1.0317919075144508</v>
      </c>
      <c r="X39" s="2626">
        <f t="shared" si="41"/>
        <v>145.04320000000001</v>
      </c>
      <c r="Y39" s="2626"/>
      <c r="Z39" s="2626"/>
      <c r="AA39" s="2626">
        <v>217.6</v>
      </c>
      <c r="AB39" s="2626">
        <v>0</v>
      </c>
      <c r="AC39" s="2626">
        <v>135.18</v>
      </c>
      <c r="AD39" s="3469">
        <f t="shared" si="11"/>
        <v>0.93199819088381941</v>
      </c>
      <c r="AE39" s="2626">
        <v>0</v>
      </c>
      <c r="AF39" s="2626">
        <v>177.8</v>
      </c>
      <c r="AG39" s="2626">
        <f>SUM(AA39*1.1)</f>
        <v>239.36</v>
      </c>
      <c r="AH39" s="2626">
        <f>AG39</f>
        <v>239.36</v>
      </c>
      <c r="AI39" s="2626">
        <v>895.92</v>
      </c>
      <c r="AJ39" s="2626">
        <v>444.29</v>
      </c>
      <c r="AK39" s="2626">
        <v>267.69</v>
      </c>
      <c r="AL39" s="2626">
        <v>1306.8699999999999</v>
      </c>
      <c r="AM39" s="2626">
        <v>471.35</v>
      </c>
      <c r="AN39" s="2626">
        <f>AM39</f>
        <v>471.35</v>
      </c>
      <c r="AO39" s="1602">
        <f>SUM(AL39*1.046)</f>
        <v>1366.9860199999998</v>
      </c>
      <c r="AP39" s="1602">
        <f t="shared" si="19"/>
        <v>480.63559500000002</v>
      </c>
      <c r="AQ39" s="2626">
        <v>35.76</v>
      </c>
      <c r="AR39" s="2626">
        <v>41.22</v>
      </c>
      <c r="AS39" s="2626">
        <v>74.55</v>
      </c>
      <c r="AT39" s="2371">
        <f t="shared" ref="AT39" si="45">SUM(AP39*1.046)*(1-0.01)</f>
        <v>497.71738404630003</v>
      </c>
      <c r="AU39" s="4100">
        <f t="shared" si="30"/>
        <v>493.9162937755201</v>
      </c>
      <c r="AV39" s="4845" t="s">
        <v>2058</v>
      </c>
      <c r="AW39" s="4846"/>
      <c r="AX39" s="4846"/>
      <c r="AY39" s="2483">
        <v>46.83</v>
      </c>
      <c r="AZ39" s="2483">
        <v>96.17</v>
      </c>
      <c r="BA39" s="3944"/>
    </row>
    <row r="40" spans="1:53" ht="36.75" customHeight="1" x14ac:dyDescent="0.2">
      <c r="A40" s="3470" t="s">
        <v>544</v>
      </c>
      <c r="B40" s="3471">
        <v>21.1</v>
      </c>
      <c r="C40" s="3471">
        <v>22</v>
      </c>
      <c r="D40" s="1731">
        <f>C40/B40*100</f>
        <v>104.26540284360189</v>
      </c>
      <c r="E40" s="1605">
        <v>23.2</v>
      </c>
      <c r="F40" s="1605">
        <f t="shared" si="5"/>
        <v>105.45454545454544</v>
      </c>
      <c r="G40" s="1605">
        <v>26.6</v>
      </c>
      <c r="H40" s="1605">
        <f t="shared" si="6"/>
        <v>114.65517241379311</v>
      </c>
      <c r="I40" s="1602">
        <f>E40*1.03</f>
        <v>23.896000000000001</v>
      </c>
      <c r="J40" s="1605">
        <v>8.6999999999999993</v>
      </c>
      <c r="K40" s="1605">
        <v>23.5</v>
      </c>
      <c r="L40" s="1605">
        <v>26.9</v>
      </c>
      <c r="M40" s="1605">
        <f t="shared" si="7"/>
        <v>101.12781954887218</v>
      </c>
      <c r="N40" s="1605">
        <v>30.59</v>
      </c>
      <c r="O40" s="1605">
        <f t="shared" si="8"/>
        <v>128.01305657850685</v>
      </c>
      <c r="P40" s="1602">
        <v>27.9</v>
      </c>
      <c r="Q40" s="1605">
        <f t="shared" si="9"/>
        <v>116.75594241714093</v>
      </c>
      <c r="R40" s="1605">
        <f>P40/L40*100</f>
        <v>103.71747211895909</v>
      </c>
      <c r="S40" s="1602">
        <v>10.199999999999999</v>
      </c>
      <c r="T40" s="1602"/>
      <c r="U40" s="1602">
        <v>26.9</v>
      </c>
      <c r="V40" s="1602">
        <v>33.325000000000003</v>
      </c>
      <c r="W40" s="3469">
        <f t="shared" si="10"/>
        <v>1.1944444444444446</v>
      </c>
      <c r="X40" s="2626">
        <f t="shared" si="41"/>
        <v>29.2392</v>
      </c>
      <c r="Y40" s="2626"/>
      <c r="Z40" s="2626"/>
      <c r="AA40" s="2626">
        <v>29.3</v>
      </c>
      <c r="AB40" s="2626">
        <v>30.49</v>
      </c>
      <c r="AC40" s="2626">
        <f>AB40</f>
        <v>30.49</v>
      </c>
      <c r="AD40" s="3469">
        <f t="shared" si="11"/>
        <v>1.0427781881857232</v>
      </c>
      <c r="AE40" s="2626">
        <v>10.45</v>
      </c>
      <c r="AF40" s="2626">
        <v>24.59</v>
      </c>
      <c r="AG40" s="2626">
        <f>SUM(AC40*1.1)</f>
        <v>33.539000000000001</v>
      </c>
      <c r="AH40" s="2626">
        <f>AF40/3*4*1.062</f>
        <v>34.819440000000007</v>
      </c>
      <c r="AI40" s="2626">
        <v>29.75</v>
      </c>
      <c r="AJ40" s="2626">
        <v>31.24</v>
      </c>
      <c r="AK40" s="2626">
        <v>38.94</v>
      </c>
      <c r="AL40" s="2626">
        <v>42.54</v>
      </c>
      <c r="AM40" s="2626">
        <v>40.11</v>
      </c>
      <c r="AN40" s="2626">
        <f>AJ40*1.027*1.046</f>
        <v>33.559320079999992</v>
      </c>
      <c r="AO40" s="1602">
        <f>SUM(AL40*1.046)</f>
        <v>44.496839999999999</v>
      </c>
      <c r="AP40" s="1602">
        <f t="shared" si="19"/>
        <v>34.220438685575992</v>
      </c>
      <c r="AQ40" s="2626">
        <v>27.684999999999999</v>
      </c>
      <c r="AR40" s="2626">
        <v>44.22</v>
      </c>
      <c r="AS40" s="2626">
        <v>46.23</v>
      </c>
      <c r="AT40" s="2371">
        <f t="shared" ref="AT40:AT41" si="46">SUM(AS40*1.046)*(1-0.01)</f>
        <v>47.8730142</v>
      </c>
      <c r="AU40" s="4100">
        <v>52.13</v>
      </c>
      <c r="AV40" s="4843" t="s">
        <v>2057</v>
      </c>
      <c r="AW40" s="4844"/>
      <c r="AX40" s="4844"/>
      <c r="AY40" s="2483">
        <v>6.96</v>
      </c>
      <c r="AZ40" s="2483">
        <v>50.32</v>
      </c>
      <c r="BA40" s="3944"/>
    </row>
    <row r="41" spans="1:53" ht="18.75" x14ac:dyDescent="0.2">
      <c r="A41" s="3470" t="s">
        <v>598</v>
      </c>
      <c r="B41" s="3471"/>
      <c r="C41" s="3471"/>
      <c r="D41" s="1731"/>
      <c r="E41" s="1605">
        <f>9.9+12.2</f>
        <v>22.1</v>
      </c>
      <c r="F41" s="1605"/>
      <c r="G41" s="1605">
        <v>2.9</v>
      </c>
      <c r="H41" s="1605">
        <f t="shared" si="6"/>
        <v>13.122171945701355</v>
      </c>
      <c r="I41" s="1602">
        <v>2.5</v>
      </c>
      <c r="J41" s="1605">
        <v>2.4</v>
      </c>
      <c r="K41" s="1605">
        <v>19.600000000000001</v>
      </c>
      <c r="L41" s="1605">
        <v>205.8</v>
      </c>
      <c r="M41" s="1605">
        <f t="shared" si="7"/>
        <v>7096.5517241379321</v>
      </c>
      <c r="N41" s="1605"/>
      <c r="O41" s="1605">
        <f t="shared" si="8"/>
        <v>0</v>
      </c>
      <c r="P41" s="1602">
        <v>0</v>
      </c>
      <c r="Q41" s="1605">
        <f t="shared" si="9"/>
        <v>0</v>
      </c>
      <c r="R41" s="1605"/>
      <c r="S41" s="1602">
        <v>8.3000000000000007</v>
      </c>
      <c r="T41" s="1602"/>
      <c r="U41" s="1602"/>
      <c r="V41" s="1602">
        <v>0</v>
      </c>
      <c r="W41" s="3469"/>
      <c r="X41" s="2626">
        <f t="shared" si="41"/>
        <v>0</v>
      </c>
      <c r="Y41" s="2626"/>
      <c r="Z41" s="2626"/>
      <c r="AA41" s="2626">
        <v>0</v>
      </c>
      <c r="AB41" s="2626">
        <v>0</v>
      </c>
      <c r="AC41" s="2626">
        <v>0</v>
      </c>
      <c r="AD41" s="3469"/>
      <c r="AE41" s="2626">
        <v>0.35</v>
      </c>
      <c r="AF41" s="2626">
        <v>0.44</v>
      </c>
      <c r="AG41" s="2626">
        <v>0</v>
      </c>
      <c r="AH41" s="2626"/>
      <c r="AI41" s="2626">
        <v>2.63</v>
      </c>
      <c r="AJ41" s="2626">
        <v>0</v>
      </c>
      <c r="AK41" s="2626">
        <v>0</v>
      </c>
      <c r="AL41" s="2626">
        <v>0.48</v>
      </c>
      <c r="AM41" s="2626">
        <v>0</v>
      </c>
      <c r="AN41" s="2626">
        <v>0</v>
      </c>
      <c r="AO41" s="1602">
        <f>SUM(AL41*1.046)</f>
        <v>0.50207999999999997</v>
      </c>
      <c r="AP41" s="1602">
        <f t="shared" si="19"/>
        <v>0</v>
      </c>
      <c r="AQ41" s="2626">
        <v>0.85499999999999998</v>
      </c>
      <c r="AR41" s="2626">
        <v>0.85699999999999998</v>
      </c>
      <c r="AS41" s="2626">
        <v>1</v>
      </c>
      <c r="AT41" s="2371">
        <f t="shared" si="46"/>
        <v>1.0355400000000001</v>
      </c>
      <c r="AU41" s="4100">
        <v>4.1500000000000004</v>
      </c>
      <c r="AV41" s="4845"/>
      <c r="AW41" s="4846"/>
      <c r="AX41" s="4846"/>
      <c r="AY41" s="2483">
        <v>3.41</v>
      </c>
      <c r="AZ41" s="2483">
        <v>4.01</v>
      </c>
      <c r="BA41" s="3944"/>
    </row>
    <row r="42" spans="1:53" ht="37.5" customHeight="1" x14ac:dyDescent="0.2">
      <c r="A42" s="3470" t="s">
        <v>569</v>
      </c>
      <c r="B42" s="3471"/>
      <c r="C42" s="3471"/>
      <c r="D42" s="1731"/>
      <c r="E42" s="1605"/>
      <c r="F42" s="1605"/>
      <c r="G42" s="1605">
        <v>10.4</v>
      </c>
      <c r="H42" s="1605"/>
      <c r="I42" s="1602"/>
      <c r="J42" s="1605"/>
      <c r="K42" s="1605">
        <v>7</v>
      </c>
      <c r="L42" s="1605">
        <v>7</v>
      </c>
      <c r="M42" s="1605">
        <f t="shared" si="7"/>
        <v>67.307692307692307</v>
      </c>
      <c r="N42" s="1605">
        <v>30.8</v>
      </c>
      <c r="O42" s="1605"/>
      <c r="P42" s="1602">
        <v>29.4</v>
      </c>
      <c r="Q42" s="1605"/>
      <c r="R42" s="1605"/>
      <c r="S42" s="1602">
        <v>0</v>
      </c>
      <c r="T42" s="1602"/>
      <c r="U42" s="1602">
        <v>7.7</v>
      </c>
      <c r="V42" s="1602">
        <v>31.5</v>
      </c>
      <c r="W42" s="3469">
        <f t="shared" si="10"/>
        <v>1.0714285714285714</v>
      </c>
      <c r="X42" s="2626">
        <f t="shared" si="41"/>
        <v>30.811199999999999</v>
      </c>
      <c r="Y42" s="2626"/>
      <c r="Z42" s="2626"/>
      <c r="AA42" s="2626">
        <v>3.8</v>
      </c>
      <c r="AB42" s="2626">
        <v>63.4</v>
      </c>
      <c r="AC42" s="2626">
        <f>X42*1.049</f>
        <v>32.320948799999996</v>
      </c>
      <c r="AD42" s="3469">
        <f t="shared" si="11"/>
        <v>1.0489999999999999</v>
      </c>
      <c r="AE42" s="2626">
        <v>14.3</v>
      </c>
      <c r="AF42" s="2626">
        <v>18.79</v>
      </c>
      <c r="AG42" s="2626">
        <f>SUM(AC42*1.1)</f>
        <v>35.553043680000002</v>
      </c>
      <c r="AH42" s="2626">
        <f>AG42</f>
        <v>35.553043680000002</v>
      </c>
      <c r="AI42" s="2626">
        <v>75.69</v>
      </c>
      <c r="AJ42" s="2626">
        <v>47.59</v>
      </c>
      <c r="AK42" s="2626">
        <v>39.76</v>
      </c>
      <c r="AL42" s="2626">
        <v>7.19</v>
      </c>
      <c r="AM42" s="2626">
        <v>50.49</v>
      </c>
      <c r="AN42" s="2626">
        <f>AJ42</f>
        <v>47.59</v>
      </c>
      <c r="AO42" s="1602">
        <f>SUM(AN42*1.046)</f>
        <v>49.779140000000005</v>
      </c>
      <c r="AP42" s="1602">
        <f t="shared" si="19"/>
        <v>48.527523000000002</v>
      </c>
      <c r="AQ42" s="2626">
        <v>20.37</v>
      </c>
      <c r="AR42" s="2626">
        <v>21.065000000000001</v>
      </c>
      <c r="AS42" s="2626">
        <v>21.06</v>
      </c>
      <c r="AT42" s="2371">
        <f t="shared" ref="AT42" si="47">SUM(AP42*1.046)*(1-0.01)</f>
        <v>50.252191167420001</v>
      </c>
      <c r="AU42" s="4100">
        <f t="shared" si="30"/>
        <v>49.868412900768007</v>
      </c>
      <c r="AV42" s="4845" t="s">
        <v>2064</v>
      </c>
      <c r="AW42" s="4846"/>
      <c r="AX42" s="4846"/>
      <c r="AY42" s="2483">
        <v>0</v>
      </c>
      <c r="AZ42" s="2483">
        <v>0</v>
      </c>
      <c r="BA42" s="3944"/>
    </row>
    <row r="43" spans="1:53" ht="18.75" x14ac:dyDescent="0.2">
      <c r="A43" s="3470" t="s">
        <v>545</v>
      </c>
      <c r="B43" s="3471"/>
      <c r="C43" s="3471"/>
      <c r="D43" s="1731"/>
      <c r="E43" s="1605"/>
      <c r="F43" s="1605"/>
      <c r="G43" s="1605">
        <v>60.1</v>
      </c>
      <c r="H43" s="1605"/>
      <c r="I43" s="1602"/>
      <c r="J43" s="1605"/>
      <c r="K43" s="1605"/>
      <c r="L43" s="1605">
        <v>51.4</v>
      </c>
      <c r="M43" s="1605">
        <f t="shared" si="7"/>
        <v>85.52412645590681</v>
      </c>
      <c r="N43" s="1605">
        <v>66.099999999999994</v>
      </c>
      <c r="O43" s="1605"/>
      <c r="P43" s="1602">
        <v>0</v>
      </c>
      <c r="Q43" s="1605"/>
      <c r="R43" s="1605"/>
      <c r="S43" s="1602">
        <v>0</v>
      </c>
      <c r="T43" s="1602"/>
      <c r="U43" s="1602">
        <v>106.8</v>
      </c>
      <c r="V43" s="1602">
        <v>62.2</v>
      </c>
      <c r="W43" s="3469"/>
      <c r="X43" s="2626">
        <f t="shared" si="41"/>
        <v>0</v>
      </c>
      <c r="Y43" s="2626"/>
      <c r="Z43" s="2626"/>
      <c r="AA43" s="2626">
        <v>66.400000000000006</v>
      </c>
      <c r="AB43" s="2626">
        <v>106.8</v>
      </c>
      <c r="AC43" s="2626">
        <f>AB43</f>
        <v>106.8</v>
      </c>
      <c r="AD43" s="3469"/>
      <c r="AE43" s="2626">
        <v>34.950000000000003</v>
      </c>
      <c r="AF43" s="2626">
        <v>52.45</v>
      </c>
      <c r="AG43" s="2626">
        <f>SUM(AC43*1.1)</f>
        <v>117.48</v>
      </c>
      <c r="AH43" s="2626">
        <f>AA43</f>
        <v>66.400000000000006</v>
      </c>
      <c r="AI43" s="2626">
        <v>74.64</v>
      </c>
      <c r="AJ43" s="2626">
        <v>82.71</v>
      </c>
      <c r="AK43" s="2626">
        <v>66.400000000000006</v>
      </c>
      <c r="AL43" s="2626">
        <v>86.34</v>
      </c>
      <c r="AM43" s="2626">
        <v>87.75</v>
      </c>
      <c r="AN43" s="2626">
        <v>0</v>
      </c>
      <c r="AO43" s="1602">
        <v>0</v>
      </c>
      <c r="AP43" s="1602">
        <f t="shared" si="19"/>
        <v>0</v>
      </c>
      <c r="AQ43" s="2626">
        <v>44.86</v>
      </c>
      <c r="AR43" s="2626">
        <v>67.290000000000006</v>
      </c>
      <c r="AS43" s="2626">
        <v>89.74</v>
      </c>
      <c r="AT43" s="2371">
        <f>SUM('Аренда земли'!Y16)</f>
        <v>93.10991940000001</v>
      </c>
      <c r="AU43" s="4100">
        <f t="shared" si="30"/>
        <v>0</v>
      </c>
      <c r="AV43" s="4853" t="s">
        <v>2060</v>
      </c>
      <c r="AW43" s="4854"/>
      <c r="AX43" s="4854"/>
      <c r="AY43" s="2483">
        <v>28.2</v>
      </c>
      <c r="AZ43" s="2483">
        <v>42.3</v>
      </c>
      <c r="BA43" s="3944"/>
    </row>
    <row r="44" spans="1:53" ht="18.75" x14ac:dyDescent="0.2">
      <c r="A44" s="3470" t="s">
        <v>570</v>
      </c>
      <c r="B44" s="3471"/>
      <c r="C44" s="3471"/>
      <c r="D44" s="1731"/>
      <c r="E44" s="1605"/>
      <c r="F44" s="1605"/>
      <c r="G44" s="1605">
        <v>0.8</v>
      </c>
      <c r="H44" s="1605"/>
      <c r="I44" s="1602"/>
      <c r="J44" s="1605"/>
      <c r="K44" s="1605"/>
      <c r="L44" s="1605">
        <v>0</v>
      </c>
      <c r="M44" s="1605">
        <f t="shared" si="7"/>
        <v>0</v>
      </c>
      <c r="N44" s="1605">
        <v>0.9</v>
      </c>
      <c r="O44" s="1605"/>
      <c r="P44" s="1602">
        <f>L44*1.049</f>
        <v>0</v>
      </c>
      <c r="Q44" s="1605"/>
      <c r="R44" s="1605"/>
      <c r="S44" s="1602">
        <v>0</v>
      </c>
      <c r="T44" s="1602"/>
      <c r="U44" s="1602"/>
      <c r="V44" s="1602">
        <v>0</v>
      </c>
      <c r="W44" s="3469"/>
      <c r="X44" s="2626">
        <f t="shared" si="41"/>
        <v>0</v>
      </c>
      <c r="Y44" s="2626"/>
      <c r="Z44" s="2626"/>
      <c r="AA44" s="2626">
        <v>0</v>
      </c>
      <c r="AB44" s="2626"/>
      <c r="AC44" s="2626"/>
      <c r="AD44" s="3469"/>
      <c r="AE44" s="2626">
        <v>0</v>
      </c>
      <c r="AF44" s="2626">
        <v>0</v>
      </c>
      <c r="AG44" s="2626">
        <v>0</v>
      </c>
      <c r="AH44" s="2626">
        <v>0</v>
      </c>
      <c r="AI44" s="2626">
        <v>0</v>
      </c>
      <c r="AJ44" s="2626">
        <v>0</v>
      </c>
      <c r="AK44" s="2626">
        <v>0</v>
      </c>
      <c r="AL44" s="2626">
        <v>0</v>
      </c>
      <c r="AM44" s="2626">
        <v>0</v>
      </c>
      <c r="AN44" s="2626">
        <v>0</v>
      </c>
      <c r="AO44" s="1602"/>
      <c r="AP44" s="1602">
        <f t="shared" si="19"/>
        <v>0</v>
      </c>
      <c r="AQ44" s="2626">
        <v>0</v>
      </c>
      <c r="AR44" s="2626">
        <v>0</v>
      </c>
      <c r="AS44" s="2626">
        <v>0</v>
      </c>
      <c r="AT44" s="2371">
        <v>0</v>
      </c>
      <c r="AU44" s="4100">
        <f t="shared" si="30"/>
        <v>0</v>
      </c>
      <c r="AV44" s="4845"/>
      <c r="AW44" s="4846"/>
      <c r="AX44" s="4846"/>
      <c r="AY44" s="2483">
        <v>0</v>
      </c>
      <c r="AZ44" s="2483">
        <v>0</v>
      </c>
      <c r="BA44" s="3490">
        <v>0</v>
      </c>
    </row>
    <row r="45" spans="1:53" ht="19.5" x14ac:dyDescent="0.2">
      <c r="A45" s="3475" t="s">
        <v>54</v>
      </c>
      <c r="B45" s="1728">
        <f>B9+B12+B14+B15+B16+B18+B24+B25</f>
        <v>7525.8</v>
      </c>
      <c r="C45" s="1729">
        <f>C9+C12+C14+C15+C16+C18+C24+C25</f>
        <v>7792.2999999999993</v>
      </c>
      <c r="D45" s="1731">
        <f>C45/B45*100</f>
        <v>103.54115177124027</v>
      </c>
      <c r="E45" s="1606">
        <f>E9+E12+E14+E15+E16+E18+E24+E25</f>
        <v>10451.099999999999</v>
      </c>
      <c r="F45" s="1605">
        <f t="shared" si="5"/>
        <v>134.12086290312232</v>
      </c>
      <c r="G45" s="1606">
        <f>G9+G12+G14+G15+G16+G18+G24+G25</f>
        <v>10385.700000000001</v>
      </c>
      <c r="H45" s="1605">
        <f t="shared" si="6"/>
        <v>99.374228550104789</v>
      </c>
      <c r="I45" s="1606">
        <f>I9+I12+I14+I15+I16+I18+I24+I25</f>
        <v>10917.308999999999</v>
      </c>
      <c r="J45" s="1606">
        <f>J9+J12+J14+J15+J16+J18+J24+J25</f>
        <v>5439.7</v>
      </c>
      <c r="K45" s="1606">
        <f>K9+K12+K14+K15+K16+K18+K24+K25</f>
        <v>7877.6999999999989</v>
      </c>
      <c r="L45" s="1606">
        <f>L9+L12+L14+L15+L16+L18+L24+L25</f>
        <v>12070.7</v>
      </c>
      <c r="M45" s="1605">
        <f t="shared" si="7"/>
        <v>116.22423139509132</v>
      </c>
      <c r="N45" s="1606">
        <f>N9+N12+N14+N15+N16+N18+N24+N25</f>
        <v>14149.100000000002</v>
      </c>
      <c r="O45" s="1605">
        <f t="shared" si="8"/>
        <v>129.60245056725978</v>
      </c>
      <c r="P45" s="1606">
        <f t="shared" ref="P45:V45" si="48">P9+P12+P14+P15+P16+P18+P24+P25</f>
        <v>11886.2996</v>
      </c>
      <c r="Q45" s="1606">
        <f t="shared" si="48"/>
        <v>2736.7270743128793</v>
      </c>
      <c r="R45" s="1606" t="e">
        <f t="shared" si="48"/>
        <v>#DIV/0!</v>
      </c>
      <c r="S45" s="1606">
        <f t="shared" si="48"/>
        <v>9004.7000000000007</v>
      </c>
      <c r="T45" s="1606">
        <f t="shared" si="48"/>
        <v>0</v>
      </c>
      <c r="U45" s="1606">
        <f t="shared" si="48"/>
        <v>11498.4</v>
      </c>
      <c r="V45" s="1606">
        <f t="shared" si="48"/>
        <v>15828.945</v>
      </c>
      <c r="W45" s="3496">
        <f>V45/P45</f>
        <v>1.33169661986309</v>
      </c>
      <c r="X45" s="1606">
        <f>X9+X12+X14+X15+X16+X18+X24+X25</f>
        <v>12445.238951036179</v>
      </c>
      <c r="Y45" s="1606"/>
      <c r="Z45" s="1606"/>
      <c r="AA45" s="1606">
        <f>AA9+AA12+AA14+AA15+AA16+AA18+AA24+AA25</f>
        <v>9629.5999999999985</v>
      </c>
      <c r="AB45" s="1606">
        <f>AB9+AB12+AB14+AB15+AB16+AB18+AB24+AB25</f>
        <v>14286.099999999999</v>
      </c>
      <c r="AC45" s="1606">
        <f>AC9+AC12+AC14+AC15+AC16+AC18+AC24+AC25</f>
        <v>11756.4147854</v>
      </c>
      <c r="AD45" s="3469">
        <f t="shared" si="11"/>
        <v>0.94465159179777514</v>
      </c>
      <c r="AE45" s="1606">
        <f>AE9+AE12+AE14+AE15+AE16+AE18+AE24+AE25</f>
        <v>5218.2999999999993</v>
      </c>
      <c r="AF45" s="1606">
        <f>AF9+AF12+AF14+AF15+AF16+AF18+AF24+AF25+AF17</f>
        <v>7835.4800000000005</v>
      </c>
      <c r="AG45" s="1606">
        <f t="shared" ref="AG45:AH45" si="49">AG9+AG12+AG14+AG15+AG16+AG18+AG24+AG25</f>
        <v>14551.06760105284</v>
      </c>
      <c r="AH45" s="1606">
        <f t="shared" si="49"/>
        <v>10425.466145415521</v>
      </c>
      <c r="AI45" s="1606">
        <f t="shared" ref="AI45:AP45" si="50">AI9+AI12+AI14+AI15+AI16+AI18+AI24+AI25</f>
        <v>12280.92</v>
      </c>
      <c r="AJ45" s="1606">
        <f t="shared" si="50"/>
        <v>10753.27</v>
      </c>
      <c r="AK45" s="1606">
        <f t="shared" ref="AK45" si="51">AK9+AK12+AK14+AK15+AK16+AK18+AK24+AK25</f>
        <v>11723.556400000001</v>
      </c>
      <c r="AL45" s="1606">
        <f t="shared" ref="AL45" si="52">AL9+AL12+AL14+AL15+AL16+AL18+AL24+AL25</f>
        <v>12824.880000000001</v>
      </c>
      <c r="AM45" s="1606">
        <f t="shared" si="50"/>
        <v>19516.099999999999</v>
      </c>
      <c r="AN45" s="1606">
        <f t="shared" si="50"/>
        <v>15324.481394092623</v>
      </c>
      <c r="AO45" s="1606">
        <f>AO9+AO12+AO14+AO15+AO16+AO18+AO24+AO25</f>
        <v>18316.175135073387</v>
      </c>
      <c r="AP45" s="1606">
        <f t="shared" si="50"/>
        <v>15626.373677556243</v>
      </c>
      <c r="AQ45" s="1606">
        <f t="shared" ref="AQ45:AS45" si="53">AQ9+AQ12+AQ14+AQ15+AQ16+AQ18+AQ24+AQ25</f>
        <v>6429.56</v>
      </c>
      <c r="AR45" s="1606">
        <f t="shared" si="53"/>
        <v>9180.982</v>
      </c>
      <c r="AS45" s="1606">
        <f t="shared" si="53"/>
        <v>12829.410000000002</v>
      </c>
      <c r="AT45" s="2374">
        <f>AT9+AT12+AT14+AT15+AT16+AT18+AT24+AT25</f>
        <v>19385.551702343433</v>
      </c>
      <c r="AU45" s="4103">
        <f>AU9+AU12+AU14+AU15+AU16+AU18+AU24+AU25</f>
        <v>19571.552924692081</v>
      </c>
      <c r="AV45" s="4855"/>
      <c r="AW45" s="4856"/>
      <c r="AX45" s="4856"/>
      <c r="AY45" s="2374">
        <f t="shared" ref="AY45:BA45" si="54">AY9+AY12+AY14+AY15+AY16+AY18+AY24+AY25</f>
        <v>6655.04</v>
      </c>
      <c r="AZ45" s="2374">
        <f t="shared" si="54"/>
        <v>9977.4499999999989</v>
      </c>
      <c r="BA45" s="3489">
        <f t="shared" si="54"/>
        <v>151.79</v>
      </c>
    </row>
    <row r="46" spans="1:53" ht="18.75" x14ac:dyDescent="0.2">
      <c r="A46" s="3470" t="s">
        <v>212</v>
      </c>
      <c r="B46" s="3466"/>
      <c r="C46" s="3466"/>
      <c r="D46" s="3466"/>
      <c r="E46" s="3466"/>
      <c r="F46" s="3466"/>
      <c r="G46" s="3466"/>
      <c r="H46" s="3466"/>
      <c r="I46" s="3466"/>
      <c r="J46" s="3466"/>
      <c r="K46" s="3497">
        <f t="shared" ref="K46:S46" si="55">K45-K36</f>
        <v>7403.8999999999987</v>
      </c>
      <c r="L46" s="2628">
        <f t="shared" si="55"/>
        <v>11398.6</v>
      </c>
      <c r="M46" s="2628">
        <f t="shared" si="55"/>
        <v>-4.6570635689374456</v>
      </c>
      <c r="N46" s="2628">
        <f t="shared" si="55"/>
        <v>13506.700000000003</v>
      </c>
      <c r="O46" s="2628">
        <f t="shared" si="55"/>
        <v>129.60245056725978</v>
      </c>
      <c r="P46" s="2628">
        <f t="shared" si="55"/>
        <v>11886.2996</v>
      </c>
      <c r="Q46" s="2628">
        <f t="shared" si="55"/>
        <v>2736.7270743128793</v>
      </c>
      <c r="R46" s="2628" t="e">
        <f t="shared" si="55"/>
        <v>#DIV/0!</v>
      </c>
      <c r="S46" s="2628">
        <f t="shared" si="55"/>
        <v>8471.1</v>
      </c>
      <c r="T46" s="2628"/>
      <c r="U46" s="2628"/>
      <c r="V46" s="2628">
        <f>V45-V36</f>
        <v>14996.895</v>
      </c>
      <c r="W46" s="2628">
        <f>W45-W36</f>
        <v>1.33169661986309</v>
      </c>
      <c r="X46" s="2628">
        <f>X45-X36</f>
        <v>12445.238951036179</v>
      </c>
      <c r="Y46" s="2628"/>
      <c r="Z46" s="2628"/>
      <c r="AA46" s="2628">
        <f>AA45-AA36</f>
        <v>8941.4999999999982</v>
      </c>
      <c r="AB46" s="2628">
        <f>AB45-AB36</f>
        <v>13573.099999999999</v>
      </c>
      <c r="AC46" s="2628">
        <f>AC45-AC36</f>
        <v>11756.4147854</v>
      </c>
      <c r="AD46" s="3469">
        <f t="shared" si="11"/>
        <v>0.94465159179777514</v>
      </c>
      <c r="AE46" s="2628">
        <f t="shared" ref="AE46:AF46" si="56">AE45-AE36</f>
        <v>4890.2499999999991</v>
      </c>
      <c r="AF46" s="2628">
        <f t="shared" si="56"/>
        <v>7342.0300000000007</v>
      </c>
      <c r="AG46" s="2628">
        <f t="shared" ref="AG46" si="57">AG45-AG36</f>
        <v>13794.157601052841</v>
      </c>
      <c r="AH46" s="2628">
        <f t="shared" ref="AH46:AM46" si="58">AH45-AH36</f>
        <v>10425.466145415521</v>
      </c>
      <c r="AI46" s="2628">
        <f t="shared" si="58"/>
        <v>11481</v>
      </c>
      <c r="AJ46" s="2628">
        <f t="shared" si="58"/>
        <v>9854.93</v>
      </c>
      <c r="AK46" s="2628">
        <f t="shared" ref="AK46" si="59">AK45-AK36</f>
        <v>11723.556400000001</v>
      </c>
      <c r="AL46" s="2628">
        <f t="shared" ref="AL46" si="60">AL45-AL36</f>
        <v>11920.19</v>
      </c>
      <c r="AM46" s="2628">
        <f t="shared" si="58"/>
        <v>18563.05</v>
      </c>
      <c r="AN46" s="2626">
        <f>AN45-AN36</f>
        <v>14371.431394092624</v>
      </c>
      <c r="AO46" s="2626">
        <f>AO45-AO36</f>
        <v>17319.284835073388</v>
      </c>
      <c r="AP46" s="2626">
        <f>AP45-AP36</f>
        <v>14654.548592556243</v>
      </c>
      <c r="AQ46" s="2626">
        <f>SUM(AQ47:AQ50)</f>
        <v>6429.56</v>
      </c>
      <c r="AR46" s="2626">
        <f t="shared" ref="AR46:AS46" si="61">SUM(AR47:AR50)</f>
        <v>9180.98</v>
      </c>
      <c r="AS46" s="2626">
        <f t="shared" si="61"/>
        <v>12829.41</v>
      </c>
      <c r="AT46" s="2483">
        <f>AT45-AT36</f>
        <v>18816.615670943433</v>
      </c>
      <c r="AU46" s="4108">
        <f>SUM(AU45)</f>
        <v>19571.552924692081</v>
      </c>
      <c r="AV46" s="4845"/>
      <c r="AW46" s="4850"/>
      <c r="AX46" s="4850"/>
      <c r="AY46" s="2483">
        <f>SUM(AY47:AY50)</f>
        <v>6655.04</v>
      </c>
      <c r="AZ46" s="2483">
        <f t="shared" ref="AZ46:BA46" si="62">SUM(AZ47:AZ50)</f>
        <v>9977.4500000000007</v>
      </c>
      <c r="BA46" s="3490">
        <f t="shared" si="62"/>
        <v>12829.41</v>
      </c>
    </row>
    <row r="47" spans="1:53" ht="18.75" x14ac:dyDescent="0.2">
      <c r="A47" s="4831" t="s">
        <v>147</v>
      </c>
      <c r="B47" s="4831"/>
      <c r="C47" s="4831"/>
      <c r="D47" s="3466"/>
      <c r="E47" s="3466"/>
      <c r="F47" s="3466"/>
      <c r="G47" s="3466"/>
      <c r="H47" s="3466"/>
      <c r="I47" s="1602">
        <v>973.7</v>
      </c>
      <c r="J47" s="1602"/>
      <c r="K47" s="1602">
        <f>I47/I45*K46</f>
        <v>660.34381091530884</v>
      </c>
      <c r="L47" s="1602">
        <v>1618.4</v>
      </c>
      <c r="M47" s="1602"/>
      <c r="N47" s="1602">
        <f>стоки!N16</f>
        <v>1270.9000000000001</v>
      </c>
      <c r="O47" s="1602"/>
      <c r="P47" s="1602">
        <v>1129.3</v>
      </c>
      <c r="Q47" s="3468"/>
      <c r="R47" s="3468"/>
      <c r="S47" s="3466"/>
      <c r="T47" s="3466"/>
      <c r="U47" s="3466"/>
      <c r="V47" s="1602">
        <v>1692.38</v>
      </c>
      <c r="W47" s="3466"/>
      <c r="X47" s="1602">
        <f>X45*(P47/P45)</f>
        <v>1182.4040130542526</v>
      </c>
      <c r="Y47" s="1602"/>
      <c r="Z47" s="1602"/>
      <c r="AA47" s="1602">
        <v>776.9</v>
      </c>
      <c r="AB47" s="1602">
        <f>AB46*AB51</f>
        <v>1292.15912</v>
      </c>
      <c r="AC47" s="1602">
        <f>AC46*X51</f>
        <v>1119.2106875700802</v>
      </c>
      <c r="AD47" s="3466"/>
      <c r="AE47" s="1602">
        <v>347.27</v>
      </c>
      <c r="AF47" s="1602">
        <v>868.98</v>
      </c>
      <c r="AG47" s="2627">
        <f>SUM(AG45*AG51)</f>
        <v>1264.2984308290504</v>
      </c>
      <c r="AH47" s="2627">
        <f>SUM(AH45*AH51)</f>
        <v>905.83734813770843</v>
      </c>
      <c r="AI47" s="2627">
        <v>861.66</v>
      </c>
      <c r="AJ47" s="2627">
        <v>241.21</v>
      </c>
      <c r="AK47" s="2627">
        <v>333.34</v>
      </c>
      <c r="AL47" s="2627">
        <v>115.84</v>
      </c>
      <c r="AM47" s="2627">
        <v>554.26</v>
      </c>
      <c r="AN47" s="2627">
        <f>AN46*AJ51</f>
        <v>322.3701224435992</v>
      </c>
      <c r="AO47" s="2627">
        <f>AO46*AL51</f>
        <v>156.43545633915491</v>
      </c>
      <c r="AP47" s="2627">
        <f>AP46*AP51</f>
        <v>328.72081385573796</v>
      </c>
      <c r="AQ47" s="2627">
        <v>29.51</v>
      </c>
      <c r="AR47" s="2627">
        <v>77.795000000000002</v>
      </c>
      <c r="AS47" s="2627">
        <v>143.33000000000001</v>
      </c>
      <c r="AT47" s="2482">
        <f>AT46*AT51</f>
        <v>210.21898311117363</v>
      </c>
      <c r="AU47" s="4104">
        <f>AU46*AU51</f>
        <v>218.6531321936173</v>
      </c>
      <c r="AV47" s="4845"/>
      <c r="AW47" s="4850"/>
      <c r="AX47" s="4850"/>
      <c r="AY47" s="2482">
        <v>51.89</v>
      </c>
      <c r="AZ47" s="2482">
        <v>284.06</v>
      </c>
      <c r="BA47" s="3491">
        <v>143.33000000000001</v>
      </c>
    </row>
    <row r="48" spans="1:53" ht="18.75" x14ac:dyDescent="0.2">
      <c r="A48" s="4831" t="s">
        <v>148</v>
      </c>
      <c r="B48" s="4831"/>
      <c r="C48" s="4831"/>
      <c r="D48" s="3466"/>
      <c r="E48" s="3466"/>
      <c r="F48" s="3466"/>
      <c r="G48" s="3466"/>
      <c r="H48" s="3466"/>
      <c r="I48" s="1602">
        <v>7143.8</v>
      </c>
      <c r="J48" s="1602"/>
      <c r="K48" s="1602">
        <f>I48/I45*K46</f>
        <v>4844.7818798570233</v>
      </c>
      <c r="L48" s="1602">
        <v>7419.2</v>
      </c>
      <c r="M48" s="1602"/>
      <c r="N48" s="1602">
        <f>стоки!N26</f>
        <v>8569.6</v>
      </c>
      <c r="O48" s="1602"/>
      <c r="P48" s="1602">
        <v>7339.1</v>
      </c>
      <c r="Q48" s="3468"/>
      <c r="R48" s="3468"/>
      <c r="S48" s="3466"/>
      <c r="T48" s="3466"/>
      <c r="U48" s="3466"/>
      <c r="V48" s="1602">
        <v>9326.93</v>
      </c>
      <c r="W48" s="3466"/>
      <c r="X48" s="1602">
        <f>X45*(P48/P45)</f>
        <v>7684.2126026799478</v>
      </c>
      <c r="Y48" s="1602"/>
      <c r="Z48" s="1602"/>
      <c r="AA48" s="1602">
        <v>5917.5</v>
      </c>
      <c r="AB48" s="1602">
        <f>AB46*W52</f>
        <v>0</v>
      </c>
      <c r="AC48" s="1602">
        <f>AC46*X52</f>
        <v>7258.9036668341378</v>
      </c>
      <c r="AD48" s="3466"/>
      <c r="AE48" s="1602">
        <v>3273.44</v>
      </c>
      <c r="AF48" s="1602">
        <v>4615.83</v>
      </c>
      <c r="AG48" s="2627">
        <f>SUM(AG45*AG52)</f>
        <v>9629.9214370329591</v>
      </c>
      <c r="AH48" s="2627">
        <f>SUM(AH45*AH52)</f>
        <v>6899.5913342835493</v>
      </c>
      <c r="AI48" s="2627">
        <v>8053.57</v>
      </c>
      <c r="AJ48" s="2627">
        <v>7224.93</v>
      </c>
      <c r="AK48" s="2627">
        <v>7896.99</v>
      </c>
      <c r="AL48" s="2627">
        <v>8596.2800000000007</v>
      </c>
      <c r="AM48" s="2627">
        <v>13146.02</v>
      </c>
      <c r="AN48" s="2627">
        <f>AN46*AJ52</f>
        <v>9655.9080002754163</v>
      </c>
      <c r="AO48" s="2627">
        <f>AO46*AL52</f>
        <v>11608.796483245431</v>
      </c>
      <c r="AP48" s="2627">
        <f>AP46*AP52</f>
        <v>9846.1293878808374</v>
      </c>
      <c r="AQ48" s="2627">
        <v>4174.6400000000003</v>
      </c>
      <c r="AR48" s="2627">
        <v>5755.33</v>
      </c>
      <c r="AS48" s="2627">
        <v>8177.6</v>
      </c>
      <c r="AT48" s="2482">
        <f>AT46*AT52</f>
        <v>11993.907460335822</v>
      </c>
      <c r="AU48" s="4104">
        <f>AU46*AU52</f>
        <v>12475.112354890985</v>
      </c>
      <c r="AV48" s="4845"/>
      <c r="AW48" s="4850"/>
      <c r="AX48" s="4850"/>
      <c r="AY48" s="2482">
        <v>4242.59</v>
      </c>
      <c r="AZ48" s="2482">
        <v>6202.57</v>
      </c>
      <c r="BA48" s="3491">
        <v>8177.6</v>
      </c>
    </row>
    <row r="49" spans="1:62" ht="18.75" x14ac:dyDescent="0.2">
      <c r="A49" s="4831" t="s">
        <v>149</v>
      </c>
      <c r="B49" s="4831"/>
      <c r="C49" s="4831"/>
      <c r="D49" s="3466"/>
      <c r="E49" s="3466"/>
      <c r="F49" s="3466"/>
      <c r="G49" s="3466"/>
      <c r="H49" s="3466"/>
      <c r="I49" s="1602">
        <v>608.70000000000005</v>
      </c>
      <c r="J49" s="1602"/>
      <c r="K49" s="1602">
        <f>I49/I45*K46</f>
        <v>412.80813156428934</v>
      </c>
      <c r="L49" s="1602">
        <v>847.9</v>
      </c>
      <c r="M49" s="1602"/>
      <c r="N49" s="1602">
        <f>стоки!N33</f>
        <v>737</v>
      </c>
      <c r="O49" s="1602"/>
      <c r="P49" s="1602">
        <v>697.8</v>
      </c>
      <c r="Q49" s="3468"/>
      <c r="R49" s="3468"/>
      <c r="S49" s="3466"/>
      <c r="T49" s="3466"/>
      <c r="U49" s="3466"/>
      <c r="V49" s="1602">
        <v>981.12</v>
      </c>
      <c r="W49" s="3466"/>
      <c r="X49" s="1602">
        <f>X45*(P49/P45)</f>
        <v>730.61322970801143</v>
      </c>
      <c r="Y49" s="1602"/>
      <c r="Z49" s="1602"/>
      <c r="AA49" s="1602">
        <v>658</v>
      </c>
      <c r="AB49" s="1602">
        <f>AB46*W53</f>
        <v>0</v>
      </c>
      <c r="AC49" s="1602">
        <f>AC46*X53</f>
        <v>690.17495043218662</v>
      </c>
      <c r="AD49" s="3466"/>
      <c r="AE49" s="1602">
        <v>355.56</v>
      </c>
      <c r="AF49" s="1602">
        <v>549.54</v>
      </c>
      <c r="AG49" s="2627">
        <f>SUM(AG45*AG53)</f>
        <v>1070.8049523561785</v>
      </c>
      <c r="AH49" s="2627">
        <f>SUM(AH45*AH53)</f>
        <v>767.20424131112384</v>
      </c>
      <c r="AI49" s="2627">
        <v>847.58</v>
      </c>
      <c r="AJ49" s="2627">
        <v>935.15</v>
      </c>
      <c r="AK49" s="2627">
        <v>1055.1199999999999</v>
      </c>
      <c r="AL49" s="2627">
        <v>1295.18</v>
      </c>
      <c r="AM49" s="2627">
        <v>1756.45</v>
      </c>
      <c r="AN49" s="2627">
        <f>AN46*AJ53</f>
        <v>1249.8006716269299</v>
      </c>
      <c r="AO49" s="2627">
        <f>AO46*AL53</f>
        <v>1749.0683213168738</v>
      </c>
      <c r="AP49" s="2627">
        <f>AP46*AP53</f>
        <v>1274.4217448579798</v>
      </c>
      <c r="AQ49" s="2627">
        <v>911.61500000000001</v>
      </c>
      <c r="AR49" s="2627">
        <v>1295.3</v>
      </c>
      <c r="AS49" s="2627">
        <v>1605.76</v>
      </c>
      <c r="AT49" s="2482">
        <f>AT46*AT53</f>
        <v>2355.133149519278</v>
      </c>
      <c r="AU49" s="4104">
        <f>AU46*AU53</f>
        <v>2449.6229229834853</v>
      </c>
      <c r="AV49" s="4845"/>
      <c r="AW49" s="4850"/>
      <c r="AX49" s="4850"/>
      <c r="AY49" s="2482">
        <v>659.2</v>
      </c>
      <c r="AZ49" s="2482">
        <v>925.96</v>
      </c>
      <c r="BA49" s="3491">
        <v>1605.76</v>
      </c>
    </row>
    <row r="50" spans="1:62" ht="18.75" x14ac:dyDescent="0.2">
      <c r="A50" s="4831" t="s">
        <v>150</v>
      </c>
      <c r="B50" s="4831"/>
      <c r="C50" s="4831"/>
      <c r="D50" s="3466"/>
      <c r="E50" s="3466"/>
      <c r="F50" s="3466"/>
      <c r="G50" s="3466"/>
      <c r="H50" s="3466"/>
      <c r="I50" s="1602">
        <v>2191.1</v>
      </c>
      <c r="J50" s="1602"/>
      <c r="K50" s="1602">
        <f>I50/I45*K46</f>
        <v>1485.9600740438873</v>
      </c>
      <c r="L50" s="1602">
        <v>2185.1999999999998</v>
      </c>
      <c r="M50" s="1602"/>
      <c r="N50" s="1602">
        <f>N45-N47-N48-N49</f>
        <v>3571.6000000000022</v>
      </c>
      <c r="O50" s="1602"/>
      <c r="P50" s="1602">
        <v>2717.2</v>
      </c>
      <c r="Q50" s="3468"/>
      <c r="R50" s="3468"/>
      <c r="S50" s="3466"/>
      <c r="T50" s="3466"/>
      <c r="U50" s="3466"/>
      <c r="V50" s="1602">
        <v>3828.5</v>
      </c>
      <c r="W50" s="3466"/>
      <c r="X50" s="1602">
        <f>X45*(P50/P45)</f>
        <v>2844.973155291787</v>
      </c>
      <c r="Y50" s="1602"/>
      <c r="Z50" s="1602"/>
      <c r="AA50" s="1602">
        <v>2277.1999999999998</v>
      </c>
      <c r="AB50" s="1602">
        <f>AB46*W54</f>
        <v>0</v>
      </c>
      <c r="AC50" s="1602">
        <f>AC46*X54</f>
        <v>2687.5084197683254</v>
      </c>
      <c r="AD50" s="3466"/>
      <c r="AE50" s="1602">
        <v>1242.03</v>
      </c>
      <c r="AF50" s="1602">
        <v>1801.13</v>
      </c>
      <c r="AG50" s="2627">
        <f>SUM(AG45*AG54)</f>
        <v>3705.8313639901057</v>
      </c>
      <c r="AH50" s="2627">
        <f>SUM(AH45*AH54)</f>
        <v>2655.1329761606248</v>
      </c>
      <c r="AI50" s="2627">
        <v>2518.06</v>
      </c>
      <c r="AJ50" s="2627">
        <v>2351.98</v>
      </c>
      <c r="AK50" s="2627">
        <v>2438.5</v>
      </c>
      <c r="AL50" s="2627">
        <v>2817.58</v>
      </c>
      <c r="AM50" s="2627">
        <v>4059.34</v>
      </c>
      <c r="AN50" s="2627">
        <f>AN46*AJ54</f>
        <v>3143.3525997466791</v>
      </c>
      <c r="AO50" s="2627">
        <f>AO46*AL54</f>
        <v>3804.9845741719278</v>
      </c>
      <c r="AP50" s="2627">
        <f>AP46*AP54</f>
        <v>3205.2766459616873</v>
      </c>
      <c r="AQ50" s="2627">
        <v>1313.7950000000001</v>
      </c>
      <c r="AR50" s="2627">
        <v>2052.5549999999998</v>
      </c>
      <c r="AS50" s="2627">
        <v>2902.72</v>
      </c>
      <c r="AT50" s="2482">
        <f>AT46*AT54</f>
        <v>4257.356077977156</v>
      </c>
      <c r="AU50" s="4104">
        <f>AU46*AU54</f>
        <v>4428.1645146239916</v>
      </c>
      <c r="AV50" s="4845"/>
      <c r="AW50" s="4850"/>
      <c r="AX50" s="4850"/>
      <c r="AY50" s="2482">
        <v>1701.36</v>
      </c>
      <c r="AZ50" s="2482">
        <v>2564.86</v>
      </c>
      <c r="BA50" s="3491">
        <v>2902.72</v>
      </c>
    </row>
    <row r="51" spans="1:62" ht="18.75" x14ac:dyDescent="0.2">
      <c r="A51" s="4831" t="s">
        <v>838</v>
      </c>
      <c r="B51" s="4831"/>
      <c r="C51" s="4831"/>
      <c r="D51" s="3466"/>
      <c r="E51" s="3466"/>
      <c r="F51" s="3466"/>
      <c r="G51" s="3466"/>
      <c r="H51" s="3466"/>
      <c r="I51" s="3466"/>
      <c r="J51" s="3466"/>
      <c r="K51" s="3466"/>
      <c r="L51" s="3466"/>
      <c r="M51" s="3466"/>
      <c r="N51" s="3466"/>
      <c r="O51" s="3466"/>
      <c r="P51" s="3466"/>
      <c r="Q51" s="3466"/>
      <c r="R51" s="3466"/>
      <c r="S51" s="3466"/>
      <c r="T51" s="3466"/>
      <c r="U51" s="3466"/>
      <c r="V51" s="3466"/>
      <c r="W51" s="3466"/>
      <c r="X51" s="3496">
        <v>9.5200000000000007E-2</v>
      </c>
      <c r="Y51" s="3466"/>
      <c r="Z51" s="3466"/>
      <c r="AA51" s="3496">
        <f>SUM(AA47/AA46)</f>
        <v>8.688698764189455E-2</v>
      </c>
      <c r="AB51" s="3496">
        <v>9.5200000000000007E-2</v>
      </c>
      <c r="AC51" s="3496">
        <f>SUM(AC47/AC46)</f>
        <v>9.5200000000000007E-2</v>
      </c>
      <c r="AD51" s="3466"/>
      <c r="AE51" s="3496">
        <f t="shared" ref="AE51:AF51" si="63">SUM(AE47/AE46)</f>
        <v>7.1012729410561845E-2</v>
      </c>
      <c r="AF51" s="3496">
        <f t="shared" si="63"/>
        <v>0.11835691218913569</v>
      </c>
      <c r="AG51" s="2629">
        <f>SUM(AA51)</f>
        <v>8.688698764189455E-2</v>
      </c>
      <c r="AH51" s="2629">
        <f>SUM(AG51)</f>
        <v>8.688698764189455E-2</v>
      </c>
      <c r="AI51" s="2629">
        <f>AI47/AI45</f>
        <v>7.0162495969357336E-2</v>
      </c>
      <c r="AJ51" s="2629">
        <f>AJ47/AJ45</f>
        <v>2.2431316241478174E-2</v>
      </c>
      <c r="AK51" s="2629">
        <f>AK47/AK45</f>
        <v>2.8433351504156192E-2</v>
      </c>
      <c r="AL51" s="2629">
        <f>AL47/AL45</f>
        <v>9.0324431885522513E-3</v>
      </c>
      <c r="AM51" s="2629">
        <f>AM47/AM45</f>
        <v>2.8400141421697986E-2</v>
      </c>
      <c r="AN51" s="2629">
        <f>AN47/AN46</f>
        <v>2.2431316241478174E-2</v>
      </c>
      <c r="AO51" s="2629">
        <f>AO47/AO46</f>
        <v>9.0324431885522513E-3</v>
      </c>
      <c r="AP51" s="2629">
        <f>SUM(AN51)</f>
        <v>2.2431316241478174E-2</v>
      </c>
      <c r="AQ51" s="2629">
        <f t="shared" ref="AQ51:AS51" si="64">AQ47/AQ45</f>
        <v>4.5897386446350913E-3</v>
      </c>
      <c r="AR51" s="2629">
        <f t="shared" si="64"/>
        <v>8.4734944475438473E-3</v>
      </c>
      <c r="AS51" s="2629">
        <f t="shared" si="64"/>
        <v>1.1171986864555734E-2</v>
      </c>
      <c r="AT51" s="2485">
        <f>SUM(AS51)</f>
        <v>1.1171986864555734E-2</v>
      </c>
      <c r="AU51" s="4105">
        <f>SUM(AT51)</f>
        <v>1.1171986864555734E-2</v>
      </c>
      <c r="AV51" s="4852"/>
      <c r="AW51" s="4814"/>
      <c r="AX51" s="4814"/>
      <c r="AY51" s="2485">
        <f t="shared" ref="AY51:BA51" si="65">AY47/AY45</f>
        <v>7.7970981391546857E-3</v>
      </c>
      <c r="AZ51" s="2485">
        <f t="shared" si="65"/>
        <v>2.8470200301680293E-2</v>
      </c>
      <c r="BA51" s="3492">
        <f t="shared" si="65"/>
        <v>0.94426510310297129</v>
      </c>
    </row>
    <row r="52" spans="1:62" ht="18.75" x14ac:dyDescent="0.2">
      <c r="A52" s="4831" t="s">
        <v>832</v>
      </c>
      <c r="B52" s="4831"/>
      <c r="C52" s="4831"/>
      <c r="D52" s="3466"/>
      <c r="E52" s="3466"/>
      <c r="F52" s="3466"/>
      <c r="G52" s="3466"/>
      <c r="H52" s="3466"/>
      <c r="I52" s="3466"/>
      <c r="J52" s="3466"/>
      <c r="K52" s="3466"/>
      <c r="L52" s="3466"/>
      <c r="M52" s="3466"/>
      <c r="N52" s="3466"/>
      <c r="O52" s="3466"/>
      <c r="P52" s="3466"/>
      <c r="Q52" s="3466"/>
      <c r="R52" s="3466"/>
      <c r="S52" s="3466"/>
      <c r="T52" s="3466"/>
      <c r="U52" s="3466"/>
      <c r="V52" s="3466"/>
      <c r="W52" s="3466"/>
      <c r="X52" s="3496">
        <f>X48/$X$46</f>
        <v>0.61744194972167787</v>
      </c>
      <c r="Y52" s="3466"/>
      <c r="Z52" s="3466"/>
      <c r="AA52" s="3496">
        <f>AA48/AA46</f>
        <v>0.66180171112229502</v>
      </c>
      <c r="AB52" s="3496">
        <f>AB48/$X$46</f>
        <v>0</v>
      </c>
      <c r="AC52" s="3496">
        <f>AC48/AC46</f>
        <v>0.61744194972167787</v>
      </c>
      <c r="AD52" s="3466"/>
      <c r="AE52" s="3496">
        <f t="shared" ref="AE52:AF52" si="66">AE48/AE46</f>
        <v>0.66938091099637043</v>
      </c>
      <c r="AF52" s="3496">
        <f t="shared" si="66"/>
        <v>0.62868579943149228</v>
      </c>
      <c r="AG52" s="2629">
        <f>SUM(AA52)</f>
        <v>0.66180171112229502</v>
      </c>
      <c r="AH52" s="2629">
        <f>SUM(AG52)</f>
        <v>0.66180171112229502</v>
      </c>
      <c r="AI52" s="2629">
        <f>AI48/AI45</f>
        <v>0.65577904586952762</v>
      </c>
      <c r="AJ52" s="2629">
        <f>AJ48/AJ45</f>
        <v>0.67188213445770451</v>
      </c>
      <c r="AK52" s="2629">
        <f>AK48/AK45</f>
        <v>0.67360020548030963</v>
      </c>
      <c r="AL52" s="2629">
        <f>AL48/AL45</f>
        <v>0.67028151530462665</v>
      </c>
      <c r="AM52" s="2629">
        <f>AM48/AM45</f>
        <v>0.67359872105594876</v>
      </c>
      <c r="AN52" s="2629">
        <f>AN48/AN46</f>
        <v>0.67188213445770451</v>
      </c>
      <c r="AO52" s="2629">
        <f>AO48/AO46</f>
        <v>0.67028151530462665</v>
      </c>
      <c r="AP52" s="2629">
        <f t="shared" ref="AP52:AP54" si="67">SUM(AN52)</f>
        <v>0.67188213445770451</v>
      </c>
      <c r="AQ52" s="2629">
        <f t="shared" ref="AQ52:AS52" si="68">AQ48/AQ45</f>
        <v>0.64928859828666352</v>
      </c>
      <c r="AR52" s="2629">
        <f t="shared" si="68"/>
        <v>0.62687520790259688</v>
      </c>
      <c r="AS52" s="2629">
        <f t="shared" si="68"/>
        <v>0.63741044989598117</v>
      </c>
      <c r="AT52" s="2485">
        <f t="shared" ref="AT52:AU54" si="69">SUM(AS52)</f>
        <v>0.63741044989598117</v>
      </c>
      <c r="AU52" s="4105">
        <f t="shared" si="69"/>
        <v>0.63741044989598117</v>
      </c>
      <c r="AV52" s="4852"/>
      <c r="AW52" s="4814"/>
      <c r="AX52" s="4814"/>
      <c r="AY52" s="2485">
        <f t="shared" ref="AY52:BA52" si="70">AY48/AY45</f>
        <v>0.63750030052411411</v>
      </c>
      <c r="AZ52" s="2485">
        <f t="shared" si="70"/>
        <v>0.62165884068574639</v>
      </c>
      <c r="BA52" s="3492">
        <f t="shared" si="70"/>
        <v>53.874431780749724</v>
      </c>
    </row>
    <row r="53" spans="1:62" ht="18.75" x14ac:dyDescent="0.2">
      <c r="A53" s="4831" t="s">
        <v>833</v>
      </c>
      <c r="B53" s="4831"/>
      <c r="C53" s="4831"/>
      <c r="D53" s="3466"/>
      <c r="E53" s="3466"/>
      <c r="F53" s="3466"/>
      <c r="G53" s="3466"/>
      <c r="H53" s="3466"/>
      <c r="I53" s="3466"/>
      <c r="J53" s="3466"/>
      <c r="K53" s="3466"/>
      <c r="L53" s="3466"/>
      <c r="M53" s="3466"/>
      <c r="N53" s="3466"/>
      <c r="O53" s="3466"/>
      <c r="P53" s="3466"/>
      <c r="Q53" s="3466"/>
      <c r="R53" s="3466"/>
      <c r="S53" s="3466"/>
      <c r="T53" s="3466"/>
      <c r="U53" s="3466"/>
      <c r="V53" s="3466"/>
      <c r="W53" s="3466"/>
      <c r="X53" s="3496">
        <f>X49/$X$46</f>
        <v>5.870624361512812E-2</v>
      </c>
      <c r="Y53" s="3466"/>
      <c r="Z53" s="3466"/>
      <c r="AA53" s="3496">
        <f>AA49/AA46</f>
        <v>7.3589442487278431E-2</v>
      </c>
      <c r="AB53" s="3496">
        <f>AB49/$X$46</f>
        <v>0</v>
      </c>
      <c r="AC53" s="3496">
        <f>AC49/AC46</f>
        <v>5.870624361512812E-2</v>
      </c>
      <c r="AD53" s="3466"/>
      <c r="AE53" s="3496">
        <f t="shared" ref="AE53:AF53" si="71">AE49/AE46</f>
        <v>7.2707939266908661E-2</v>
      </c>
      <c r="AF53" s="3496">
        <f t="shared" si="71"/>
        <v>7.4848509199771707E-2</v>
      </c>
      <c r="AG53" s="2629">
        <f>SUM(AA53)</f>
        <v>7.3589442487278431E-2</v>
      </c>
      <c r="AH53" s="2629">
        <f>SUM(AG53)</f>
        <v>7.3589442487278431E-2</v>
      </c>
      <c r="AI53" s="2629">
        <f>AI49/AI45</f>
        <v>6.9016002058477702E-2</v>
      </c>
      <c r="AJ53" s="2629">
        <f>AJ49/AJ45</f>
        <v>8.6964244364737417E-2</v>
      </c>
      <c r="AK53" s="2629">
        <f>AK49/AK45</f>
        <v>8.9999993517325488E-2</v>
      </c>
      <c r="AL53" s="2629">
        <f>AL49/AL45</f>
        <v>0.10098963888940871</v>
      </c>
      <c r="AM53" s="2629">
        <f>AM49/AM45</f>
        <v>9.0000051239745651E-2</v>
      </c>
      <c r="AN53" s="2629">
        <f>AN49/AN46</f>
        <v>8.6964244364737417E-2</v>
      </c>
      <c r="AO53" s="2629">
        <f>AO49/AO46</f>
        <v>0.10098963888940871</v>
      </c>
      <c r="AP53" s="2629">
        <f t="shared" si="67"/>
        <v>8.6964244364737417E-2</v>
      </c>
      <c r="AQ53" s="2629">
        <f t="shared" ref="AQ53:AS53" si="72">AQ49/AQ45</f>
        <v>0.14178497439949234</v>
      </c>
      <c r="AR53" s="2629">
        <f t="shared" si="72"/>
        <v>0.14108512575234328</v>
      </c>
      <c r="AS53" s="2629">
        <f t="shared" si="72"/>
        <v>0.12516241978391834</v>
      </c>
      <c r="AT53" s="2485">
        <f t="shared" si="69"/>
        <v>0.12516241978391834</v>
      </c>
      <c r="AU53" s="4105">
        <f t="shared" si="69"/>
        <v>0.12516241978391834</v>
      </c>
      <c r="AV53" s="4852"/>
      <c r="AW53" s="4814"/>
      <c r="AX53" s="4814"/>
      <c r="AY53" s="2485">
        <f t="shared" ref="AY53:BA53" si="73">AY49/AY45</f>
        <v>9.9052747992498927E-2</v>
      </c>
      <c r="AZ53" s="2485">
        <f t="shared" si="73"/>
        <v>9.2805275897148085E-2</v>
      </c>
      <c r="BA53" s="3492">
        <f t="shared" si="73"/>
        <v>10.578826009618552</v>
      </c>
    </row>
    <row r="54" spans="1:62" ht="18.75" x14ac:dyDescent="0.2">
      <c r="A54" s="4831" t="s">
        <v>834</v>
      </c>
      <c r="B54" s="4831"/>
      <c r="C54" s="4831"/>
      <c r="D54" s="3466"/>
      <c r="E54" s="3466"/>
      <c r="F54" s="3466"/>
      <c r="G54" s="3466"/>
      <c r="H54" s="3466"/>
      <c r="I54" s="3466"/>
      <c r="J54" s="3466"/>
      <c r="K54" s="3466"/>
      <c r="L54" s="3466"/>
      <c r="M54" s="3466"/>
      <c r="N54" s="3466"/>
      <c r="O54" s="3466"/>
      <c r="P54" s="3466"/>
      <c r="Q54" s="3466"/>
      <c r="R54" s="3466"/>
      <c r="S54" s="3466"/>
      <c r="T54" s="3466"/>
      <c r="U54" s="3466"/>
      <c r="V54" s="3466"/>
      <c r="W54" s="3466"/>
      <c r="X54" s="3496">
        <f>X50/$X$46</f>
        <v>0.22859931950562645</v>
      </c>
      <c r="Y54" s="3466"/>
      <c r="Z54" s="3466"/>
      <c r="AA54" s="3496">
        <f>AA50/AA46</f>
        <v>0.25467762679639883</v>
      </c>
      <c r="AB54" s="3496">
        <f>AB50/$X$46</f>
        <v>0</v>
      </c>
      <c r="AC54" s="3496">
        <f>AC50/AC46</f>
        <v>0.22859931950562645</v>
      </c>
      <c r="AD54" s="3466"/>
      <c r="AE54" s="3496">
        <f t="shared" ref="AE54:AF54" si="74">AE50/AE46</f>
        <v>0.25398088032309191</v>
      </c>
      <c r="AF54" s="3496">
        <f t="shared" si="74"/>
        <v>0.24531771185898177</v>
      </c>
      <c r="AG54" s="2629">
        <f>SUM(AA54)</f>
        <v>0.25467762679639883</v>
      </c>
      <c r="AH54" s="2629">
        <f>SUM(AG54)</f>
        <v>0.25467762679639883</v>
      </c>
      <c r="AI54" s="2629">
        <f>AI50/AI45</f>
        <v>0.20503838474641964</v>
      </c>
      <c r="AJ54" s="2629">
        <f>AJ50/AJ45</f>
        <v>0.21872230493607991</v>
      </c>
      <c r="AK54" s="2629">
        <f>AK50/AK45</f>
        <v>0.20800002292819605</v>
      </c>
      <c r="AL54" s="2629">
        <f>AL50/AL45</f>
        <v>0.21969640261741238</v>
      </c>
      <c r="AM54" s="2629">
        <f>AM50/AM45</f>
        <v>0.20799954909023835</v>
      </c>
      <c r="AN54" s="2629">
        <f>AN50/AN46</f>
        <v>0.21872230493607991</v>
      </c>
      <c r="AO54" s="2629">
        <f>AO50/AO46</f>
        <v>0.21969640261741238</v>
      </c>
      <c r="AP54" s="2629">
        <f t="shared" si="67"/>
        <v>0.21872230493607991</v>
      </c>
      <c r="AQ54" s="2629">
        <f t="shared" ref="AQ54:AS54" si="75">AQ50/AQ45</f>
        <v>0.20433668866920909</v>
      </c>
      <c r="AR54" s="2629">
        <f t="shared" si="75"/>
        <v>0.22356595405589511</v>
      </c>
      <c r="AS54" s="2629">
        <f t="shared" si="75"/>
        <v>0.22625514345554468</v>
      </c>
      <c r="AT54" s="2485">
        <f t="shared" si="69"/>
        <v>0.22625514345554468</v>
      </c>
      <c r="AU54" s="4105">
        <f t="shared" si="69"/>
        <v>0.22625514345554468</v>
      </c>
      <c r="AV54" s="4852"/>
      <c r="AW54" s="4814"/>
      <c r="AX54" s="4814"/>
      <c r="AY54" s="2485">
        <f t="shared" ref="AY54:BA54" si="76">AY50/AY45</f>
        <v>0.25564985334423235</v>
      </c>
      <c r="AZ54" s="2485">
        <f t="shared" si="76"/>
        <v>0.25706568311542533</v>
      </c>
      <c r="BA54" s="3492">
        <f t="shared" si="76"/>
        <v>19.123262402002766</v>
      </c>
    </row>
    <row r="55" spans="1:62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1"/>
      <c r="T55" s="391"/>
      <c r="U55" s="391"/>
      <c r="V55" s="394"/>
      <c r="W55" s="5"/>
      <c r="X55" s="395"/>
      <c r="Y55" s="394"/>
      <c r="Z55" s="394"/>
      <c r="AA55" s="394"/>
      <c r="AB55" s="394"/>
      <c r="AC55" s="394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</row>
    <row r="56" spans="1:62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1"/>
      <c r="T56" s="391"/>
      <c r="U56" s="391"/>
      <c r="V56" s="394"/>
      <c r="W56" s="5"/>
      <c r="X56" s="394"/>
      <c r="Y56" s="394"/>
      <c r="Z56" s="394"/>
      <c r="AA56" s="394"/>
      <c r="AB56" s="394"/>
      <c r="AC56" s="394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</row>
    <row r="57" spans="1:62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1"/>
      <c r="T57" s="391"/>
      <c r="U57" s="391"/>
      <c r="V57" s="394"/>
      <c r="W57" s="5"/>
      <c r="X57" s="394"/>
      <c r="Y57" s="394"/>
      <c r="Z57" s="394"/>
      <c r="AA57" s="394"/>
      <c r="AB57" s="394"/>
      <c r="AC57" s="394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</row>
    <row r="58" spans="1:62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1"/>
      <c r="T58" s="391"/>
      <c r="U58" s="391"/>
      <c r="V58" s="394"/>
      <c r="W58" s="5"/>
      <c r="X58" s="394"/>
      <c r="Y58" s="394"/>
      <c r="Z58" s="394"/>
      <c r="AA58" s="394"/>
      <c r="AB58" s="394"/>
      <c r="AC58" s="394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</row>
    <row r="59" spans="1:62" ht="20.25" x14ac:dyDescent="0.3">
      <c r="A59" s="2476" t="s">
        <v>3545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1"/>
      <c r="T59" s="391"/>
      <c r="U59" s="391"/>
      <c r="V59" s="394"/>
      <c r="W59" s="5"/>
      <c r="X59" s="394"/>
      <c r="Y59" s="394"/>
      <c r="Z59" s="394"/>
      <c r="AA59" s="394"/>
      <c r="AB59" s="394"/>
      <c r="AC59" s="394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</row>
    <row r="60" spans="1:62" ht="20.25" hidden="1" x14ac:dyDescent="0.3">
      <c r="A60" s="4504" t="s">
        <v>601</v>
      </c>
      <c r="B60" s="4504"/>
      <c r="C60" s="4504"/>
      <c r="D60" s="4504"/>
      <c r="E60" s="4504"/>
      <c r="F60" s="4504"/>
      <c r="G60" s="4504"/>
      <c r="H60" s="4504"/>
      <c r="I60" s="4504"/>
      <c r="J60" s="4504"/>
      <c r="K60" s="4504"/>
      <c r="L60" s="4504"/>
      <c r="M60" s="4504"/>
      <c r="N60" s="4504"/>
      <c r="O60" s="4504"/>
      <c r="P60" s="4504"/>
      <c r="Q60" s="4504"/>
      <c r="R60" s="4504"/>
      <c r="S60" s="4504"/>
      <c r="T60" s="4504"/>
      <c r="U60" s="4504"/>
      <c r="V60" s="4504"/>
      <c r="W60" s="4504"/>
      <c r="X60" s="4504"/>
      <c r="Y60" s="4504"/>
      <c r="Z60" s="4504"/>
      <c r="AA60" s="4504"/>
      <c r="AB60" s="4504"/>
      <c r="AC60" s="4504"/>
      <c r="AD60" s="4504"/>
      <c r="AE60" s="4504"/>
      <c r="AF60" s="4504"/>
      <c r="AG60" s="4504"/>
      <c r="AH60" s="4504"/>
      <c r="AI60" s="4504"/>
      <c r="AJ60" s="4504"/>
      <c r="AK60" s="4504"/>
      <c r="AL60" s="4504"/>
      <c r="AM60" s="4504"/>
      <c r="AN60" s="4504"/>
      <c r="AO60" s="4504"/>
      <c r="AP60" s="4504"/>
      <c r="AQ60" s="4504"/>
      <c r="AR60" s="4504"/>
      <c r="AS60" s="4504"/>
      <c r="AT60" s="4504"/>
      <c r="AU60" s="4504"/>
      <c r="AV60" s="4504"/>
      <c r="AW60" s="4504"/>
      <c r="AX60" s="4504"/>
      <c r="AY60" s="4504"/>
      <c r="AZ60" s="4504"/>
      <c r="BA60" s="4504"/>
      <c r="BB60" s="4504"/>
      <c r="BC60" s="4504"/>
      <c r="BD60" s="4504"/>
      <c r="BE60" s="4504"/>
      <c r="BF60" s="4504"/>
      <c r="BG60" s="4504"/>
      <c r="BH60" s="4504"/>
    </row>
    <row r="61" spans="1:62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1"/>
      <c r="T61" s="391"/>
      <c r="U61" s="391"/>
      <c r="V61" s="394"/>
      <c r="W61" s="5"/>
      <c r="X61" s="394"/>
      <c r="Y61" s="394"/>
      <c r="Z61" s="394"/>
      <c r="AA61" s="394"/>
      <c r="AB61" s="394"/>
      <c r="AC61" s="394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</row>
    <row r="62" spans="1:62" ht="18.75" hidden="1" customHeight="1" x14ac:dyDescent="0.2">
      <c r="A62" s="4866" t="s">
        <v>527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1"/>
      <c r="U62" s="391"/>
      <c r="V62" s="4859" t="s">
        <v>587</v>
      </c>
      <c r="W62" s="547"/>
      <c r="X62" s="4861" t="s">
        <v>559</v>
      </c>
      <c r="Y62" s="4862"/>
      <c r="Z62" s="4864" t="s">
        <v>571</v>
      </c>
      <c r="AA62" s="792"/>
      <c r="AB62" s="4864" t="s">
        <v>572</v>
      </c>
      <c r="AC62" s="4864" t="s">
        <v>573</v>
      </c>
      <c r="AD62" s="4857" t="s">
        <v>585</v>
      </c>
      <c r="AE62" s="814"/>
      <c r="AF62" s="814"/>
      <c r="AG62" s="814"/>
      <c r="AH62" s="814"/>
      <c r="AI62" s="2153"/>
      <c r="AJ62" s="2153"/>
      <c r="AK62" s="2153"/>
      <c r="AL62" s="2153"/>
      <c r="AM62" s="2153"/>
      <c r="AN62" s="2153"/>
      <c r="AO62" s="2153"/>
      <c r="AP62" s="2153"/>
      <c r="AQ62" s="2153"/>
      <c r="AR62" s="2153"/>
      <c r="AS62" s="2153"/>
      <c r="AT62" s="2153"/>
      <c r="AU62" s="2153"/>
      <c r="AV62" s="4864" t="s">
        <v>574</v>
      </c>
      <c r="AW62" s="4864" t="s">
        <v>575</v>
      </c>
      <c r="AX62" s="4864" t="s">
        <v>576</v>
      </c>
      <c r="AY62" s="4857" t="s">
        <v>584</v>
      </c>
      <c r="AZ62" s="4857" t="s">
        <v>583</v>
      </c>
      <c r="BA62" s="4864" t="s">
        <v>577</v>
      </c>
      <c r="BB62" s="4864" t="s">
        <v>578</v>
      </c>
      <c r="BC62" s="4864" t="s">
        <v>579</v>
      </c>
      <c r="BD62" s="4857" t="s">
        <v>216</v>
      </c>
      <c r="BE62" s="4857" t="s">
        <v>220</v>
      </c>
      <c r="BF62" s="4864" t="s">
        <v>580</v>
      </c>
      <c r="BG62" s="4864" t="s">
        <v>581</v>
      </c>
      <c r="BH62" s="4864" t="s">
        <v>582</v>
      </c>
      <c r="BI62" s="4857" t="s">
        <v>128</v>
      </c>
      <c r="BJ62" s="4863" t="s">
        <v>586</v>
      </c>
    </row>
    <row r="63" spans="1:62" ht="37.5" hidden="1" x14ac:dyDescent="0.3">
      <c r="A63" s="4867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1"/>
      <c r="U63" s="391"/>
      <c r="V63" s="4860"/>
      <c r="W63" s="547"/>
      <c r="X63" s="540" t="s">
        <v>337</v>
      </c>
      <c r="Y63" s="540" t="s">
        <v>638</v>
      </c>
      <c r="Z63" s="4865"/>
      <c r="AA63" s="792"/>
      <c r="AB63" s="4865"/>
      <c r="AC63" s="4865"/>
      <c r="AD63" s="4858"/>
      <c r="AE63" s="814"/>
      <c r="AF63" s="814"/>
      <c r="AG63" s="814"/>
      <c r="AH63" s="814"/>
      <c r="AI63" s="2095"/>
      <c r="AJ63" s="2095"/>
      <c r="AK63" s="2486"/>
      <c r="AL63" s="2472"/>
      <c r="AM63" s="2095"/>
      <c r="AN63" s="2095"/>
      <c r="AO63" s="2472"/>
      <c r="AP63" s="2729"/>
      <c r="AQ63" s="2587"/>
      <c r="AR63" s="2587"/>
      <c r="AS63" s="2587"/>
      <c r="AT63" s="3329"/>
      <c r="AU63" s="3329"/>
      <c r="AV63" s="4865"/>
      <c r="AW63" s="4865"/>
      <c r="AX63" s="4865"/>
      <c r="AY63" s="4858"/>
      <c r="AZ63" s="4858"/>
      <c r="BA63" s="4865"/>
      <c r="BB63" s="4865"/>
      <c r="BC63" s="4865"/>
      <c r="BD63" s="4858"/>
      <c r="BE63" s="4858"/>
      <c r="BF63" s="4865"/>
      <c r="BG63" s="4865"/>
      <c r="BH63" s="4865"/>
      <c r="BI63" s="4858"/>
      <c r="BJ63" s="4863"/>
    </row>
    <row r="64" spans="1:62" ht="18.75" hidden="1" x14ac:dyDescent="0.3">
      <c r="A64" s="546" t="s">
        <v>604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1"/>
      <c r="U64" s="391"/>
      <c r="V64" s="544">
        <f>SUM(AC47)</f>
        <v>1119.2106875700802</v>
      </c>
      <c r="W64" s="547"/>
      <c r="X64" s="544">
        <f>SUM(V64:W64)</f>
        <v>1119.2106875700802</v>
      </c>
      <c r="Y64" s="550">
        <f>SUM(V64-X64)</f>
        <v>0</v>
      </c>
      <c r="Z64" s="373">
        <f>SUM(Z65+Z66+Z67+Z68+Z69+Z72)</f>
        <v>90.153406861278143</v>
      </c>
      <c r="AA64" s="808"/>
      <c r="AB64" s="373">
        <f t="shared" ref="AB64:AC64" si="77">SUM(AB65+AB66+AB67+AB68+AB69+AB72)</f>
        <v>90.153406861278143</v>
      </c>
      <c r="AC64" s="373">
        <f t="shared" si="77"/>
        <v>90.153406861278143</v>
      </c>
      <c r="AD64" s="552">
        <f>SUM(Z64+AB64+AC64)</f>
        <v>270.46022058383443</v>
      </c>
      <c r="AE64" s="815"/>
      <c r="AF64" s="815"/>
      <c r="AG64" s="815"/>
      <c r="AH64" s="815"/>
      <c r="AI64" s="2154"/>
      <c r="AJ64" s="2154"/>
      <c r="AK64" s="2154"/>
      <c r="AL64" s="2154"/>
      <c r="AM64" s="2154"/>
      <c r="AN64" s="2154"/>
      <c r="AO64" s="2154"/>
      <c r="AP64" s="2154"/>
      <c r="AQ64" s="2623"/>
      <c r="AR64" s="2623"/>
      <c r="AS64" s="2623"/>
      <c r="AT64" s="2154"/>
      <c r="AU64" s="2154"/>
      <c r="AV64" s="373">
        <f t="shared" ref="AV64" si="78">SUM(AV65+AV66+AV67+AV68+AV69+AV72)</f>
        <v>90.185841587003935</v>
      </c>
      <c r="AW64" s="373">
        <f t="shared" ref="AW64" si="79">SUM(AW65+AW66+AW67+AW68+AW69+AW72)</f>
        <v>90.722816490686299</v>
      </c>
      <c r="AX64" s="373">
        <f t="shared" ref="AX64" si="80">SUM(AX65+AX66+AX67+AX68+AX69+AX72)</f>
        <v>91.191318084503138</v>
      </c>
      <c r="AY64" s="552">
        <f>SUM(AV64+AW64+AX64)</f>
        <v>272.09997616219334</v>
      </c>
      <c r="AZ64" s="552">
        <f t="shared" ref="AZ64:AZ95" si="81">SUM(AD64+AY64)</f>
        <v>542.56019674602771</v>
      </c>
      <c r="BA64" s="373">
        <f t="shared" ref="BA64" si="82">SUM(BA65+BA66+BA67+BA68+BA69+BA72)</f>
        <v>96.822579746378238</v>
      </c>
      <c r="BB64" s="373">
        <f t="shared" ref="BB64" si="83">SUM(BB65+BB66+BB67+BB68+BB69+BB72)</f>
        <v>96.682029268233194</v>
      </c>
      <c r="BC64" s="373">
        <f t="shared" ref="BC64" si="84">SUM(BC65+BC66+BC67+BC68+BC69+BC72)</f>
        <v>96.213527674416355</v>
      </c>
      <c r="BD64" s="552">
        <f>SUM(BA64+BB64+BC64)</f>
        <v>289.7181366890278</v>
      </c>
      <c r="BE64" s="552">
        <f>SUM(AZ64+BD64)</f>
        <v>832.27833343505552</v>
      </c>
      <c r="BF64" s="373">
        <f t="shared" ref="BF64" si="85">SUM(BF65+BF66+BF67+BF68+BF69+BF72)</f>
        <v>95.644118045008199</v>
      </c>
      <c r="BG64" s="373">
        <f t="shared" ref="BG64" si="86">SUM(BG65+BG66+BG67+BG68+BG69+BG72)</f>
        <v>95.644118045008199</v>
      </c>
      <c r="BH64" s="373">
        <f t="shared" ref="BH64" si="87">SUM(BH65+BH66+BH67+BH68+BH69+BH72)</f>
        <v>95.644118045008199</v>
      </c>
      <c r="BI64" s="552">
        <f>SUM(BF64+BG64+BH64)</f>
        <v>286.93235413502458</v>
      </c>
      <c r="BJ64" s="549">
        <f t="shared" ref="BJ64:BJ95" si="88">SUM(BH64+BG64+BF64+BC64+BB64+BA64+AX64+AW64+AV64+AC64+AB64+Z64)</f>
        <v>1119.2106875700802</v>
      </c>
    </row>
    <row r="65" spans="1:62" ht="18.75" hidden="1" x14ac:dyDescent="0.3">
      <c r="A65" s="396" t="s">
        <v>71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1"/>
      <c r="U65" s="391"/>
      <c r="V65" s="541">
        <f>SUM(V64*69.75%)</f>
        <v>780.64945458013096</v>
      </c>
      <c r="W65" s="547"/>
      <c r="X65" s="541">
        <f>SUM(V65)</f>
        <v>780.64945458013096</v>
      </c>
      <c r="Y65" s="551">
        <f>SUM(V65-X65)</f>
        <v>0</v>
      </c>
      <c r="Z65" s="376">
        <f>SUM(V65/2)/(1+(106.7%*100-100)/2/100)/6</f>
        <v>62.945448684093776</v>
      </c>
      <c r="AA65" s="809"/>
      <c r="AB65" s="375">
        <f>SUM(Z65)</f>
        <v>62.945448684093776</v>
      </c>
      <c r="AC65" s="376">
        <f>SUM(Z65)</f>
        <v>62.945448684093776</v>
      </c>
      <c r="AD65" s="543">
        <f>SUM(Z65+AB65+AC65)</f>
        <v>188.83634605228133</v>
      </c>
      <c r="AE65" s="816"/>
      <c r="AF65" s="816"/>
      <c r="AG65" s="816"/>
      <c r="AH65" s="816"/>
      <c r="AI65" s="2155"/>
      <c r="AJ65" s="2155"/>
      <c r="AK65" s="2155"/>
      <c r="AL65" s="2155"/>
      <c r="AM65" s="2155"/>
      <c r="AN65" s="2155"/>
      <c r="AO65" s="2155"/>
      <c r="AP65" s="2155"/>
      <c r="AQ65" s="2624"/>
      <c r="AR65" s="2624"/>
      <c r="AS65" s="2624"/>
      <c r="AT65" s="2155"/>
      <c r="AU65" s="2155"/>
      <c r="AV65" s="542">
        <f>SUM(Z65)</f>
        <v>62.945448684093776</v>
      </c>
      <c r="AW65" s="542">
        <f>SUM(Z65)</f>
        <v>62.945448684093776</v>
      </c>
      <c r="AX65" s="542">
        <f>SUM(Z65)</f>
        <v>62.945448684093776</v>
      </c>
      <c r="AY65" s="543">
        <f>SUM(AV65+AW65+AX65)</f>
        <v>188.83634605228133</v>
      </c>
      <c r="AZ65" s="543">
        <f t="shared" si="81"/>
        <v>377.67269210456266</v>
      </c>
      <c r="BA65" s="542">
        <f>SUM(V65-AZ65)/6</f>
        <v>67.162793745928056</v>
      </c>
      <c r="BB65" s="542">
        <f>SUM(BA65)</f>
        <v>67.162793745928056</v>
      </c>
      <c r="BC65" s="542">
        <f>SUM(BA65)</f>
        <v>67.162793745928056</v>
      </c>
      <c r="BD65" s="543">
        <f>SUM(BA65+BB65+BC65)</f>
        <v>201.48838123778415</v>
      </c>
      <c r="BE65" s="543">
        <f>SUM(AZ65+BD65)</f>
        <v>579.16107334234675</v>
      </c>
      <c r="BF65" s="542">
        <f>SUM(BA65)</f>
        <v>67.162793745928056</v>
      </c>
      <c r="BG65" s="542">
        <f>SUM(BA65)</f>
        <v>67.162793745928056</v>
      </c>
      <c r="BH65" s="542">
        <f>SUM(BA65)</f>
        <v>67.162793745928056</v>
      </c>
      <c r="BI65" s="543">
        <f>SUM(BF65+BG65+BH65)</f>
        <v>201.48838123778415</v>
      </c>
      <c r="BJ65" s="549">
        <f t="shared" si="88"/>
        <v>780.64945458013108</v>
      </c>
    </row>
    <row r="66" spans="1:62" ht="18.75" hidden="1" x14ac:dyDescent="0.3">
      <c r="A66" s="396" t="s">
        <v>114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1"/>
      <c r="U66" s="391"/>
      <c r="V66" s="541">
        <f>SUM(V64*21.06%)</f>
        <v>235.70577080225885</v>
      </c>
      <c r="W66" s="547"/>
      <c r="X66" s="541">
        <f t="shared" ref="X66:X73" si="89">SUM(V66)</f>
        <v>235.70577080225885</v>
      </c>
      <c r="Y66" s="551">
        <f t="shared" ref="Y66:Y73" si="90">SUM(V66-X66)</f>
        <v>0</v>
      </c>
      <c r="Z66" s="376">
        <f>SUM(Z65*(V66/V65))</f>
        <v>19.005464505907021</v>
      </c>
      <c r="AA66" s="809"/>
      <c r="AB66" s="376">
        <f>SUM(Z66)</f>
        <v>19.005464505907021</v>
      </c>
      <c r="AC66" s="375">
        <f>SUM(Z66)</f>
        <v>19.005464505907021</v>
      </c>
      <c r="AD66" s="543">
        <f t="shared" ref="AD66:AD113" si="91">SUM(Z66+AB66+AC66)</f>
        <v>57.016393517721063</v>
      </c>
      <c r="AE66" s="816"/>
      <c r="AF66" s="816"/>
      <c r="AG66" s="816"/>
      <c r="AH66" s="816"/>
      <c r="AI66" s="2155"/>
      <c r="AJ66" s="2155"/>
      <c r="AK66" s="2155"/>
      <c r="AL66" s="2155"/>
      <c r="AM66" s="2155"/>
      <c r="AN66" s="2155"/>
      <c r="AO66" s="2155"/>
      <c r="AP66" s="2155"/>
      <c r="AQ66" s="2624"/>
      <c r="AR66" s="2624"/>
      <c r="AS66" s="2624"/>
      <c r="AT66" s="2155"/>
      <c r="AU66" s="2155"/>
      <c r="AV66" s="542">
        <f>SUM(Z66)</f>
        <v>19.005464505907021</v>
      </c>
      <c r="AW66" s="542">
        <f>SUM(Z66)</f>
        <v>19.005464505907021</v>
      </c>
      <c r="AX66" s="542">
        <f>SUM(Z66)</f>
        <v>19.005464505907021</v>
      </c>
      <c r="AY66" s="543">
        <f t="shared" ref="AY66:AY113" si="92">SUM(AV66+AW66+AX66)</f>
        <v>57.016393517721063</v>
      </c>
      <c r="AZ66" s="543">
        <f t="shared" si="81"/>
        <v>114.03278703544213</v>
      </c>
      <c r="BA66" s="542">
        <f>SUM(V66-AZ66)/6</f>
        <v>20.278830627802787</v>
      </c>
      <c r="BB66" s="542">
        <f>SUM(BA66)</f>
        <v>20.278830627802787</v>
      </c>
      <c r="BC66" s="542">
        <f>SUM(BA66)</f>
        <v>20.278830627802787</v>
      </c>
      <c r="BD66" s="543">
        <f t="shared" ref="BD66:BD113" si="93">SUM(BA66+BB66+BC66)</f>
        <v>60.836491883408357</v>
      </c>
      <c r="BE66" s="543">
        <f t="shared" ref="BE66:BE113" si="94">SUM(AZ66+BD66)</f>
        <v>174.86927891885048</v>
      </c>
      <c r="BF66" s="542">
        <f>SUM(BA66)</f>
        <v>20.278830627802787</v>
      </c>
      <c r="BG66" s="542">
        <f>SUM(BA66)</f>
        <v>20.278830627802787</v>
      </c>
      <c r="BH66" s="542">
        <f>SUM(BA66)</f>
        <v>20.278830627802787</v>
      </c>
      <c r="BI66" s="543">
        <f t="shared" ref="BI66:BI113" si="95">SUM(BF66+BG66+BH66)</f>
        <v>60.836491883408357</v>
      </c>
      <c r="BJ66" s="549">
        <f t="shared" si="88"/>
        <v>235.70577080225883</v>
      </c>
    </row>
    <row r="67" spans="1:62" ht="18.75" hidden="1" x14ac:dyDescent="0.3">
      <c r="A67" s="396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1"/>
      <c r="U67" s="391"/>
      <c r="V67" s="541">
        <f>SUM(V64*2.01%)</f>
        <v>22.496134820158606</v>
      </c>
      <c r="W67" s="547"/>
      <c r="X67" s="541">
        <f t="shared" si="89"/>
        <v>22.496134820158606</v>
      </c>
      <c r="Y67" s="551">
        <f t="shared" si="90"/>
        <v>0</v>
      </c>
      <c r="Z67" s="376">
        <f t="shared" ref="Z67:Z68" si="96">SUM(V67/12)</f>
        <v>1.8746779016798838</v>
      </c>
      <c r="AA67" s="809"/>
      <c r="AB67" s="376">
        <f t="shared" ref="AB67:AB71" si="97">SUM(Z67)</f>
        <v>1.8746779016798838</v>
      </c>
      <c r="AC67" s="376">
        <f t="shared" ref="AC67:AC68" si="98">SUM(Z67)</f>
        <v>1.8746779016798838</v>
      </c>
      <c r="AD67" s="543">
        <f t="shared" ref="AD67:AD68" si="99">SUM(Z67+AB67+AC67)</f>
        <v>5.6240337050396514</v>
      </c>
      <c r="AE67" s="816"/>
      <c r="AF67" s="816"/>
      <c r="AG67" s="816"/>
      <c r="AH67" s="816"/>
      <c r="AI67" s="2155"/>
      <c r="AJ67" s="2155"/>
      <c r="AK67" s="2155"/>
      <c r="AL67" s="2155"/>
      <c r="AM67" s="2155"/>
      <c r="AN67" s="2155"/>
      <c r="AO67" s="2155"/>
      <c r="AP67" s="2155"/>
      <c r="AQ67" s="2624"/>
      <c r="AR67" s="2624"/>
      <c r="AS67" s="2624"/>
      <c r="AT67" s="2155"/>
      <c r="AU67" s="2155"/>
      <c r="AV67" s="542">
        <f>SUM(Z67)</f>
        <v>1.8746779016798838</v>
      </c>
      <c r="AW67" s="542">
        <f>SUM(Z67)</f>
        <v>1.8746779016798838</v>
      </c>
      <c r="AX67" s="542">
        <f>SUM(Z67)</f>
        <v>1.8746779016798838</v>
      </c>
      <c r="AY67" s="543">
        <f t="shared" ref="AY67:AY68" si="100">SUM(AV67+AW67+AX67)</f>
        <v>5.6240337050396514</v>
      </c>
      <c r="AZ67" s="543">
        <f t="shared" si="81"/>
        <v>11.248067410079303</v>
      </c>
      <c r="BA67" s="542">
        <f>SUM(Z67)</f>
        <v>1.8746779016798838</v>
      </c>
      <c r="BB67" s="542">
        <f>SUM(Z67)</f>
        <v>1.8746779016798838</v>
      </c>
      <c r="BC67" s="542">
        <f>SUM(Z67)</f>
        <v>1.8746779016798838</v>
      </c>
      <c r="BD67" s="543">
        <f t="shared" ref="BD67:BD68" si="101">SUM(BA67+BB67+BC67)</f>
        <v>5.6240337050396514</v>
      </c>
      <c r="BE67" s="543">
        <f t="shared" si="94"/>
        <v>16.872101115118955</v>
      </c>
      <c r="BF67" s="542">
        <f>SUM(Z67)</f>
        <v>1.8746779016798838</v>
      </c>
      <c r="BG67" s="542">
        <f>SUM(Z67)</f>
        <v>1.8746779016798838</v>
      </c>
      <c r="BH67" s="542">
        <f>SUM(Z67)</f>
        <v>1.8746779016798838</v>
      </c>
      <c r="BI67" s="543">
        <f t="shared" ref="BI67:BI68" si="102">SUM(BF67+BG67+BH67)</f>
        <v>5.6240337050396514</v>
      </c>
      <c r="BJ67" s="549">
        <f t="shared" si="88"/>
        <v>22.496134820158613</v>
      </c>
    </row>
    <row r="68" spans="1:62" ht="18.75" hidden="1" x14ac:dyDescent="0.3">
      <c r="A68" s="396" t="s">
        <v>590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1"/>
      <c r="U68" s="391"/>
      <c r="V68" s="541">
        <f>SUM(V64*2.15%)</f>
        <v>24.063029782756722</v>
      </c>
      <c r="W68" s="547"/>
      <c r="X68" s="541">
        <f t="shared" si="89"/>
        <v>24.063029782756722</v>
      </c>
      <c r="Y68" s="551">
        <f t="shared" si="90"/>
        <v>0</v>
      </c>
      <c r="Z68" s="376">
        <f t="shared" si="96"/>
        <v>2.0052524818963935</v>
      </c>
      <c r="AA68" s="809"/>
      <c r="AB68" s="376">
        <f t="shared" si="97"/>
        <v>2.0052524818963935</v>
      </c>
      <c r="AC68" s="376">
        <f t="shared" si="98"/>
        <v>2.0052524818963935</v>
      </c>
      <c r="AD68" s="543">
        <f t="shared" si="99"/>
        <v>6.0157574456891805</v>
      </c>
      <c r="AE68" s="816"/>
      <c r="AF68" s="816"/>
      <c r="AG68" s="816"/>
      <c r="AH68" s="816"/>
      <c r="AI68" s="2155"/>
      <c r="AJ68" s="2155"/>
      <c r="AK68" s="2155"/>
      <c r="AL68" s="2155"/>
      <c r="AM68" s="2155"/>
      <c r="AN68" s="2155"/>
      <c r="AO68" s="2155"/>
      <c r="AP68" s="2155"/>
      <c r="AQ68" s="2624"/>
      <c r="AR68" s="2624"/>
      <c r="AS68" s="2624"/>
      <c r="AT68" s="2155"/>
      <c r="AU68" s="2155"/>
      <c r="AV68" s="542">
        <f>SUM(Z68)</f>
        <v>2.0052524818963935</v>
      </c>
      <c r="AW68" s="542">
        <f>SUM(Z68)</f>
        <v>2.0052524818963935</v>
      </c>
      <c r="AX68" s="542">
        <f>SUM(Z68)</f>
        <v>2.0052524818963935</v>
      </c>
      <c r="AY68" s="543">
        <f t="shared" si="100"/>
        <v>6.0157574456891805</v>
      </c>
      <c r="AZ68" s="543">
        <f t="shared" si="81"/>
        <v>12.031514891378361</v>
      </c>
      <c r="BA68" s="542">
        <f>SUM(Z68)</f>
        <v>2.0052524818963935</v>
      </c>
      <c r="BB68" s="542">
        <f>SUM(Z68)</f>
        <v>2.0052524818963935</v>
      </c>
      <c r="BC68" s="542">
        <f>SUM(Z68)</f>
        <v>2.0052524818963935</v>
      </c>
      <c r="BD68" s="543">
        <f t="shared" si="101"/>
        <v>6.0157574456891805</v>
      </c>
      <c r="BE68" s="543">
        <f t="shared" si="94"/>
        <v>18.04727233706754</v>
      </c>
      <c r="BF68" s="542">
        <f>SUM(Z68)</f>
        <v>2.0052524818963935</v>
      </c>
      <c r="BG68" s="542">
        <f>SUM(Z68)</f>
        <v>2.0052524818963935</v>
      </c>
      <c r="BH68" s="542">
        <f>SUM(Z68)</f>
        <v>2.0052524818963935</v>
      </c>
      <c r="BI68" s="543">
        <f t="shared" si="102"/>
        <v>6.0157574456891805</v>
      </c>
      <c r="BJ68" s="549">
        <f t="shared" si="88"/>
        <v>24.063029782756715</v>
      </c>
    </row>
    <row r="69" spans="1:62" ht="18.75" hidden="1" x14ac:dyDescent="0.3">
      <c r="A69" s="396" t="s">
        <v>591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1"/>
      <c r="U69" s="391"/>
      <c r="V69" s="541">
        <f>SUM(V70:V71)</f>
        <v>20.25771344501845</v>
      </c>
      <c r="W69" s="547"/>
      <c r="X69" s="541">
        <f t="shared" si="89"/>
        <v>20.25771344501845</v>
      </c>
      <c r="Y69" s="551">
        <f t="shared" si="90"/>
        <v>0</v>
      </c>
      <c r="Z69" s="376">
        <f>SUM(Z70:Z71)</f>
        <v>1.6881427870848709</v>
      </c>
      <c r="AA69" s="809"/>
      <c r="AB69" s="376">
        <f>SUM(AB70:AB71)</f>
        <v>1.6881427870848709</v>
      </c>
      <c r="AC69" s="376">
        <f>SUM(AC70:AC71)</f>
        <v>1.6881427870848709</v>
      </c>
      <c r="AD69" s="543">
        <f t="shared" si="91"/>
        <v>5.0644283612546124</v>
      </c>
      <c r="AE69" s="816"/>
      <c r="AF69" s="816"/>
      <c r="AG69" s="816"/>
      <c r="AH69" s="816"/>
      <c r="AI69" s="2155"/>
      <c r="AJ69" s="2155"/>
      <c r="AK69" s="2155"/>
      <c r="AL69" s="2155"/>
      <c r="AM69" s="2155"/>
      <c r="AN69" s="2155"/>
      <c r="AO69" s="2155"/>
      <c r="AP69" s="2155"/>
      <c r="AQ69" s="2624"/>
      <c r="AR69" s="2624"/>
      <c r="AS69" s="2624"/>
      <c r="AT69" s="2155"/>
      <c r="AU69" s="2155"/>
      <c r="AV69" s="376">
        <f>SUM(AV70:AV71)</f>
        <v>1.6881427870848709</v>
      </c>
      <c r="AW69" s="376">
        <f>SUM(AW70:AW71)</f>
        <v>1.6881427870848709</v>
      </c>
      <c r="AX69" s="376">
        <f>SUM(AX70:AX71)</f>
        <v>1.6881427870848709</v>
      </c>
      <c r="AY69" s="543">
        <f t="shared" si="92"/>
        <v>5.0644283612546124</v>
      </c>
      <c r="AZ69" s="543">
        <f t="shared" si="81"/>
        <v>10.128856722509225</v>
      </c>
      <c r="BA69" s="376">
        <f>SUM(BA70:BA71)</f>
        <v>1.6881427870848709</v>
      </c>
      <c r="BB69" s="376">
        <f>SUM(BB70:BB71)</f>
        <v>1.6881427870848709</v>
      </c>
      <c r="BC69" s="376">
        <f>SUM(BC70:BC71)</f>
        <v>1.6881427870848709</v>
      </c>
      <c r="BD69" s="543">
        <f t="shared" si="93"/>
        <v>5.0644283612546124</v>
      </c>
      <c r="BE69" s="543">
        <f t="shared" si="94"/>
        <v>15.193285083763836</v>
      </c>
      <c r="BF69" s="376">
        <f>SUM(BF70:BF71)</f>
        <v>1.6881427870848709</v>
      </c>
      <c r="BG69" s="376">
        <f>SUM(BG70:BG71)</f>
        <v>1.6881427870848709</v>
      </c>
      <c r="BH69" s="376">
        <f>SUM(BH70:BH71)</f>
        <v>1.6881427870848709</v>
      </c>
      <c r="BI69" s="543">
        <f t="shared" si="95"/>
        <v>5.0644283612546124</v>
      </c>
      <c r="BJ69" s="549">
        <f t="shared" si="88"/>
        <v>20.25771344501845</v>
      </c>
    </row>
    <row r="70" spans="1:62" ht="18.75" hidden="1" x14ac:dyDescent="0.3">
      <c r="A70" s="388" t="s">
        <v>548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1"/>
      <c r="U70" s="391"/>
      <c r="V70" s="541">
        <f>SUM(V64*1.34%)</f>
        <v>14.997423213439074</v>
      </c>
      <c r="W70" s="547"/>
      <c r="X70" s="541">
        <f t="shared" si="89"/>
        <v>14.997423213439074</v>
      </c>
      <c r="Y70" s="551">
        <f t="shared" si="90"/>
        <v>0</v>
      </c>
      <c r="Z70" s="376">
        <f t="shared" ref="Z70:Z71" si="103">SUM(V70/12)</f>
        <v>1.2497852677865895</v>
      </c>
      <c r="AA70" s="809"/>
      <c r="AB70" s="376">
        <f t="shared" si="97"/>
        <v>1.2497852677865895</v>
      </c>
      <c r="AC70" s="376">
        <f t="shared" ref="AC70:AC71" si="104">SUM(Z70)</f>
        <v>1.2497852677865895</v>
      </c>
      <c r="AD70" s="543">
        <f t="shared" si="91"/>
        <v>3.7493558033597685</v>
      </c>
      <c r="AE70" s="816"/>
      <c r="AF70" s="816"/>
      <c r="AG70" s="816"/>
      <c r="AH70" s="816"/>
      <c r="AI70" s="2155"/>
      <c r="AJ70" s="2155"/>
      <c r="AK70" s="2155"/>
      <c r="AL70" s="2155"/>
      <c r="AM70" s="2155"/>
      <c r="AN70" s="2155"/>
      <c r="AO70" s="2155"/>
      <c r="AP70" s="2155"/>
      <c r="AQ70" s="2624"/>
      <c r="AR70" s="2624"/>
      <c r="AS70" s="2624"/>
      <c r="AT70" s="2155"/>
      <c r="AU70" s="2155"/>
      <c r="AV70" s="542">
        <f>SUM(Z70)</f>
        <v>1.2497852677865895</v>
      </c>
      <c r="AW70" s="542">
        <f>SUM(Z70)</f>
        <v>1.2497852677865895</v>
      </c>
      <c r="AX70" s="542">
        <f>SUM(Z70)</f>
        <v>1.2497852677865895</v>
      </c>
      <c r="AY70" s="543">
        <f t="shared" si="92"/>
        <v>3.7493558033597685</v>
      </c>
      <c r="AZ70" s="543">
        <f t="shared" si="81"/>
        <v>7.498711606719537</v>
      </c>
      <c r="BA70" s="542">
        <f>SUM(Z70)</f>
        <v>1.2497852677865895</v>
      </c>
      <c r="BB70" s="542">
        <f>SUM(Z70)</f>
        <v>1.2497852677865895</v>
      </c>
      <c r="BC70" s="542">
        <f>SUM(Z70)</f>
        <v>1.2497852677865895</v>
      </c>
      <c r="BD70" s="543">
        <f t="shared" si="93"/>
        <v>3.7493558033597685</v>
      </c>
      <c r="BE70" s="543">
        <f t="shared" si="94"/>
        <v>11.248067410079305</v>
      </c>
      <c r="BF70" s="542">
        <f>SUM(Z70)</f>
        <v>1.2497852677865895</v>
      </c>
      <c r="BG70" s="542">
        <f>SUM(Z70)</f>
        <v>1.2497852677865895</v>
      </c>
      <c r="BH70" s="542">
        <f>SUM(Z70)</f>
        <v>1.2497852677865895</v>
      </c>
      <c r="BI70" s="543">
        <f t="shared" si="95"/>
        <v>3.7493558033597685</v>
      </c>
      <c r="BJ70" s="549">
        <f t="shared" si="88"/>
        <v>14.99742321343907</v>
      </c>
    </row>
    <row r="71" spans="1:62" ht="18.75" hidden="1" x14ac:dyDescent="0.3">
      <c r="A71" s="388" t="s">
        <v>549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1"/>
      <c r="U71" s="391"/>
      <c r="V71" s="541">
        <f>SUM(V64*0.47%)</f>
        <v>5.2602902315793756</v>
      </c>
      <c r="W71" s="547"/>
      <c r="X71" s="541">
        <f t="shared" si="89"/>
        <v>5.2602902315793756</v>
      </c>
      <c r="Y71" s="551">
        <f t="shared" si="90"/>
        <v>0</v>
      </c>
      <c r="Z71" s="376">
        <f t="shared" si="103"/>
        <v>0.43835751929828132</v>
      </c>
      <c r="AA71" s="809"/>
      <c r="AB71" s="376">
        <f t="shared" si="97"/>
        <v>0.43835751929828132</v>
      </c>
      <c r="AC71" s="376">
        <f t="shared" si="104"/>
        <v>0.43835751929828132</v>
      </c>
      <c r="AD71" s="543">
        <f t="shared" ref="AD71" si="105">SUM(Z71+AB71+AC71)</f>
        <v>1.3150725578948439</v>
      </c>
      <c r="AE71" s="816"/>
      <c r="AF71" s="816"/>
      <c r="AG71" s="816"/>
      <c r="AH71" s="816"/>
      <c r="AI71" s="2155"/>
      <c r="AJ71" s="2155"/>
      <c r="AK71" s="2155"/>
      <c r="AL71" s="2155"/>
      <c r="AM71" s="2155"/>
      <c r="AN71" s="2155"/>
      <c r="AO71" s="2155"/>
      <c r="AP71" s="2155"/>
      <c r="AQ71" s="2624"/>
      <c r="AR71" s="2624"/>
      <c r="AS71" s="2624"/>
      <c r="AT71" s="2155"/>
      <c r="AU71" s="2155"/>
      <c r="AV71" s="542">
        <f>SUM(Z71)</f>
        <v>0.43835751929828132</v>
      </c>
      <c r="AW71" s="542">
        <f>SUM(Z71)</f>
        <v>0.43835751929828132</v>
      </c>
      <c r="AX71" s="542">
        <f>SUM(Z71)</f>
        <v>0.43835751929828132</v>
      </c>
      <c r="AY71" s="543">
        <f t="shared" ref="AY71" si="106">SUM(AV71+AW71+AX71)</f>
        <v>1.3150725578948439</v>
      </c>
      <c r="AZ71" s="543">
        <f t="shared" si="81"/>
        <v>2.6301451157896878</v>
      </c>
      <c r="BA71" s="542">
        <f>SUM(Z71)</f>
        <v>0.43835751929828132</v>
      </c>
      <c r="BB71" s="542">
        <f>SUM(Z71)</f>
        <v>0.43835751929828132</v>
      </c>
      <c r="BC71" s="542">
        <f>SUM(Z71)</f>
        <v>0.43835751929828132</v>
      </c>
      <c r="BD71" s="543">
        <f t="shared" ref="BD71" si="107">SUM(BA71+BB71+BC71)</f>
        <v>1.3150725578948439</v>
      </c>
      <c r="BE71" s="543">
        <f t="shared" si="94"/>
        <v>3.9452176736845317</v>
      </c>
      <c r="BF71" s="542">
        <f>SUM(Z71)</f>
        <v>0.43835751929828132</v>
      </c>
      <c r="BG71" s="542">
        <f>SUM(Z71)</f>
        <v>0.43835751929828132</v>
      </c>
      <c r="BH71" s="542">
        <f>SUM(Z71)</f>
        <v>0.43835751929828132</v>
      </c>
      <c r="BI71" s="543">
        <f t="shared" ref="BI71" si="108">SUM(BF71+BG71+BH71)</f>
        <v>1.3150725578948439</v>
      </c>
      <c r="BJ71" s="549">
        <f t="shared" si="88"/>
        <v>5.2602902315793756</v>
      </c>
    </row>
    <row r="72" spans="1:62" ht="18.75" hidden="1" x14ac:dyDescent="0.3">
      <c r="A72" s="396" t="s">
        <v>594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1"/>
      <c r="U72" s="391"/>
      <c r="V72" s="541">
        <f>SUM(V73:V73)</f>
        <v>36.03858413975658</v>
      </c>
      <c r="W72" s="547"/>
      <c r="X72" s="541">
        <f t="shared" si="89"/>
        <v>36.03858413975658</v>
      </c>
      <c r="Y72" s="551">
        <f t="shared" si="90"/>
        <v>0</v>
      </c>
      <c r="Z72" s="376">
        <f>SUM(Z73:Z73)</f>
        <v>2.6344205006162058</v>
      </c>
      <c r="AA72" s="809"/>
      <c r="AB72" s="376">
        <f>SUM(AB73:AB73)</f>
        <v>2.6344205006162058</v>
      </c>
      <c r="AC72" s="376">
        <f>SUM(AC73:AC73)</f>
        <v>2.6344205006162058</v>
      </c>
      <c r="AD72" s="543">
        <f t="shared" si="91"/>
        <v>7.9032615018486174</v>
      </c>
      <c r="AE72" s="816"/>
      <c r="AF72" s="816"/>
      <c r="AG72" s="816"/>
      <c r="AH72" s="816"/>
      <c r="AI72" s="2155"/>
      <c r="AJ72" s="2155"/>
      <c r="AK72" s="2155"/>
      <c r="AL72" s="2155"/>
      <c r="AM72" s="2155"/>
      <c r="AN72" s="2155"/>
      <c r="AO72" s="2155"/>
      <c r="AP72" s="2155"/>
      <c r="AQ72" s="2624"/>
      <c r="AR72" s="2624"/>
      <c r="AS72" s="2624"/>
      <c r="AT72" s="2155"/>
      <c r="AU72" s="2155"/>
      <c r="AV72" s="376">
        <f>SUM(AV73:AV73)</f>
        <v>2.6668552263419874</v>
      </c>
      <c r="AW72" s="376">
        <f>SUM(AW73:AW73)</f>
        <v>3.2038301300243601</v>
      </c>
      <c r="AX72" s="376">
        <f>SUM(AX73:AX73)</f>
        <v>3.6723317238411952</v>
      </c>
      <c r="AY72" s="543">
        <f t="shared" si="92"/>
        <v>9.5430170802075427</v>
      </c>
      <c r="AZ72" s="543">
        <f t="shared" si="81"/>
        <v>17.446278582056159</v>
      </c>
      <c r="BA72" s="376">
        <f>SUM(BA73:BA73)</f>
        <v>3.8128822019862465</v>
      </c>
      <c r="BB72" s="376">
        <f>SUM(BB73:BB73)</f>
        <v>3.6723317238411952</v>
      </c>
      <c r="BC72" s="376">
        <f>SUM(BC73:BC73)</f>
        <v>3.2038301300243601</v>
      </c>
      <c r="BD72" s="543">
        <f t="shared" si="93"/>
        <v>10.689044055851802</v>
      </c>
      <c r="BE72" s="543">
        <f t="shared" si="94"/>
        <v>28.135322637907962</v>
      </c>
      <c r="BF72" s="376">
        <f>SUM(BF73:BF73)</f>
        <v>2.6344205006162058</v>
      </c>
      <c r="BG72" s="376">
        <f>SUM(BG73:BG73)</f>
        <v>2.6344205006162058</v>
      </c>
      <c r="BH72" s="376">
        <f>SUM(BH73:BH73)</f>
        <v>2.6344205006162058</v>
      </c>
      <c r="BI72" s="543">
        <f t="shared" si="95"/>
        <v>7.9032615018486174</v>
      </c>
      <c r="BJ72" s="549">
        <f t="shared" si="88"/>
        <v>36.038584139756587</v>
      </c>
    </row>
    <row r="73" spans="1:62" ht="18.75" hidden="1" x14ac:dyDescent="0.3">
      <c r="A73" s="388" t="s">
        <v>534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1"/>
      <c r="U73" s="391"/>
      <c r="V73" s="541">
        <f>SUM(V64*3.22%)</f>
        <v>36.03858413975658</v>
      </c>
      <c r="W73" s="547"/>
      <c r="X73" s="541">
        <f t="shared" si="89"/>
        <v>36.03858413975658</v>
      </c>
      <c r="Y73" s="551">
        <f t="shared" si="90"/>
        <v>0</v>
      </c>
      <c r="Z73" s="376">
        <f>SUM(V73*7.31%)</f>
        <v>2.6344205006162058</v>
      </c>
      <c r="AA73" s="809"/>
      <c r="AB73" s="376">
        <f>SUM(V73*7.31%)</f>
        <v>2.6344205006162058</v>
      </c>
      <c r="AC73" s="376">
        <f>SUM(V73*7.31%)</f>
        <v>2.6344205006162058</v>
      </c>
      <c r="AD73" s="543">
        <f t="shared" si="91"/>
        <v>7.9032615018486174</v>
      </c>
      <c r="AE73" s="816"/>
      <c r="AF73" s="816"/>
      <c r="AG73" s="816"/>
      <c r="AH73" s="816"/>
      <c r="AI73" s="2155"/>
      <c r="AJ73" s="2155"/>
      <c r="AK73" s="2155"/>
      <c r="AL73" s="2155"/>
      <c r="AM73" s="2155"/>
      <c r="AN73" s="2155"/>
      <c r="AO73" s="2155"/>
      <c r="AP73" s="2155"/>
      <c r="AQ73" s="2624"/>
      <c r="AR73" s="2624"/>
      <c r="AS73" s="2624"/>
      <c r="AT73" s="2155"/>
      <c r="AU73" s="2155"/>
      <c r="AV73" s="376">
        <f>SUM(V73*7.4%)</f>
        <v>2.6668552263419874</v>
      </c>
      <c r="AW73" s="376">
        <f>SUM(V73*8.89%)</f>
        <v>3.2038301300243601</v>
      </c>
      <c r="AX73" s="376">
        <f>SUM(V73*10.19%)</f>
        <v>3.6723317238411952</v>
      </c>
      <c r="AY73" s="543">
        <f t="shared" si="92"/>
        <v>9.5430170802075427</v>
      </c>
      <c r="AZ73" s="543">
        <f t="shared" si="81"/>
        <v>17.446278582056159</v>
      </c>
      <c r="BA73" s="376">
        <f>SUM(V73*10.58%)</f>
        <v>3.8128822019862465</v>
      </c>
      <c r="BB73" s="376">
        <f>SUM(V73*10.19%)</f>
        <v>3.6723317238411952</v>
      </c>
      <c r="BC73" s="376">
        <f>SUM(V73*8.89%)</f>
        <v>3.2038301300243601</v>
      </c>
      <c r="BD73" s="543">
        <f t="shared" si="93"/>
        <v>10.689044055851802</v>
      </c>
      <c r="BE73" s="543">
        <f t="shared" si="94"/>
        <v>28.135322637907962</v>
      </c>
      <c r="BF73" s="376">
        <f>SUM(V73*7.31%)</f>
        <v>2.6344205006162058</v>
      </c>
      <c r="BG73" s="376">
        <f>SUM(V73*7.31%)</f>
        <v>2.6344205006162058</v>
      </c>
      <c r="BH73" s="376">
        <f>SUM(V73*7.31%)</f>
        <v>2.6344205006162058</v>
      </c>
      <c r="BI73" s="543">
        <f t="shared" si="95"/>
        <v>7.9032615018486174</v>
      </c>
      <c r="BJ73" s="549">
        <f t="shared" si="88"/>
        <v>36.038584139756587</v>
      </c>
    </row>
    <row r="74" spans="1:62" ht="18.75" hidden="1" x14ac:dyDescent="0.3">
      <c r="A74" s="539" t="s">
        <v>605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1"/>
      <c r="U74" s="391"/>
      <c r="V74" s="544">
        <f>SUM(AC48)</f>
        <v>7258.9036668341378</v>
      </c>
      <c r="W74" s="547"/>
      <c r="X74" s="544">
        <f>SUM(V74*стоки!AK65/стоки!AI65)</f>
        <v>7258.9036668341378</v>
      </c>
      <c r="Y74" s="550">
        <f t="shared" ref="Y74:Y99" si="109">SUM(V74-X74)</f>
        <v>0</v>
      </c>
      <c r="Z74" s="373">
        <f>SUM(Z75+Z76+Z77+Z78+Z79+Z80+Z81+Z83+Z82+Z84+Z85+Z86+Z87+Z88+Z89+Z90+Z95)</f>
        <v>625.28484900900469</v>
      </c>
      <c r="AA74" s="808"/>
      <c r="AB74" s="373">
        <f t="shared" ref="AB74:AC74" si="110">SUM(AB75+AB76+AB77+AB78+AB79+AB80+AB81+AB83+AB82+AB84+AB85+AB86+AB87+AB88+AB89+AB90+AB95)</f>
        <v>615.72894793095543</v>
      </c>
      <c r="AC74" s="373">
        <f t="shared" si="110"/>
        <v>611.59052191282149</v>
      </c>
      <c r="AD74" s="552">
        <f t="shared" si="91"/>
        <v>1852.6043188527817</v>
      </c>
      <c r="AE74" s="815"/>
      <c r="AF74" s="815"/>
      <c r="AG74" s="815"/>
      <c r="AH74" s="815"/>
      <c r="AI74" s="2154"/>
      <c r="AJ74" s="2154"/>
      <c r="AK74" s="2154"/>
      <c r="AL74" s="2154"/>
      <c r="AM74" s="2154"/>
      <c r="AN74" s="2154"/>
      <c r="AO74" s="2154"/>
      <c r="AP74" s="2154"/>
      <c r="AQ74" s="2623"/>
      <c r="AR74" s="2623"/>
      <c r="AS74" s="2623"/>
      <c r="AT74" s="2154"/>
      <c r="AU74" s="2154"/>
      <c r="AV74" s="373">
        <f t="shared" ref="AV74" si="111">SUM(AV75+AV76+AV77+AV78+AV79+AV80+AV81+AV83+AV82+AV84+AV85+AV86+AV87+AV88+AV89+AV90+AV95)</f>
        <v>597.30146283878855</v>
      </c>
      <c r="AW74" s="373">
        <f t="shared" ref="AW74" si="112">SUM(AW75+AW76+AW77+AW78+AW79+AW80+AW81+AW83+AW82+AW84+AW85+AW86+AW87+AW88+AW89+AW90+AW95)</f>
        <v>570.53813423573115</v>
      </c>
      <c r="AX74" s="373">
        <f t="shared" ref="AX74" si="113">SUM(AX75+AX76+AX77+AX78+AX79+AX80+AX81+AX83+AX82+AX84+AX85+AX86+AX87+AX88+AX89+AX90+AX95)</f>
        <v>563.68623000650098</v>
      </c>
      <c r="AY74" s="552">
        <f t="shared" si="92"/>
        <v>1731.5258270810205</v>
      </c>
      <c r="AZ74" s="552">
        <f t="shared" si="81"/>
        <v>3584.1301459338019</v>
      </c>
      <c r="BA74" s="373">
        <f t="shared" ref="BA74" si="114">SUM(BA75+BA76+BA77+BA78+BA79+BA80+BA81+BA83+BA82+BA84+BA85+BA86+BA87+BA88+BA89+BA90+BA95)</f>
        <v>588.04619592196752</v>
      </c>
      <c r="BB74" s="373">
        <f t="shared" ref="BB74" si="115">SUM(BB75+BB76+BB77+BB78+BB79+BB80+BB81+BB83+BB82+BB84+BB85+BB86+BB87+BB88+BB89+BB90+BB95)</f>
        <v>587.40356518034264</v>
      </c>
      <c r="BC74" s="373">
        <f t="shared" ref="BC74" si="116">SUM(BC75+BC76+BC77+BC78+BC79+BC80+BC81+BC83+BC82+BC84+BC85+BC86+BC87+BC88+BC89+BC90+BC95)</f>
        <v>601.26757853062486</v>
      </c>
      <c r="BD74" s="552">
        <f t="shared" si="93"/>
        <v>1776.7173396329351</v>
      </c>
      <c r="BE74" s="552">
        <f t="shared" si="94"/>
        <v>5360.8474855667373</v>
      </c>
      <c r="BF74" s="373">
        <f t="shared" ref="BF74" si="117">SUM(BF75+BF76+BF77+BF78+BF79+BF80+BF81+BF83+BF82+BF84+BF85+BF86+BF87+BF88+BF89+BF90+BF95)</f>
        <v>622.00308544719371</v>
      </c>
      <c r="BG74" s="373">
        <f t="shared" ref="BG74" si="118">SUM(BG75+BG76+BG77+BG78+BG79+BG80+BG81+BG83+BG82+BG84+BG85+BG86+BG87+BG88+BG89+BG90+BG95)</f>
        <v>632.13245149013187</v>
      </c>
      <c r="BH74" s="373">
        <f t="shared" ref="BH74" si="119">SUM(BH75+BH76+BH77+BH78+BH79+BH80+BH81+BH83+BH82+BH84+BH85+BH86+BH87+BH88+BH89+BH90+BH95)</f>
        <v>643.92064433007522</v>
      </c>
      <c r="BI74" s="552">
        <f t="shared" si="95"/>
        <v>1898.0561812674007</v>
      </c>
      <c r="BJ74" s="549">
        <f t="shared" si="88"/>
        <v>7258.9036668341387</v>
      </c>
    </row>
    <row r="75" spans="1:62" ht="18.75" hidden="1" x14ac:dyDescent="0.3">
      <c r="A75" s="396" t="s">
        <v>71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1"/>
      <c r="U75" s="391"/>
      <c r="V75" s="541">
        <f>SUM(V74*46.54%)</f>
        <v>3378.2937665446075</v>
      </c>
      <c r="W75" s="547"/>
      <c r="X75" s="541">
        <f>SUM(V75*стоки!AK65/стоки!AI65)</f>
        <v>3378.2937665446075</v>
      </c>
      <c r="Y75" s="551">
        <f t="shared" si="109"/>
        <v>0</v>
      </c>
      <c r="Z75" s="376">
        <f>SUM(V75/2)/(1+(106.7%*100-100)/2/100)/6</f>
        <v>272.39911034870244</v>
      </c>
      <c r="AA75" s="809"/>
      <c r="AB75" s="375">
        <f>SUM(Z75)</f>
        <v>272.39911034870244</v>
      </c>
      <c r="AC75" s="376">
        <f>SUM(Z75)</f>
        <v>272.39911034870244</v>
      </c>
      <c r="AD75" s="543">
        <f>SUM(Z75+AB75+AC75)</f>
        <v>817.19733104610737</v>
      </c>
      <c r="AE75" s="816"/>
      <c r="AF75" s="816"/>
      <c r="AG75" s="816"/>
      <c r="AH75" s="816"/>
      <c r="AI75" s="2155"/>
      <c r="AJ75" s="2155"/>
      <c r="AK75" s="2155"/>
      <c r="AL75" s="2155"/>
      <c r="AM75" s="2155"/>
      <c r="AN75" s="2155"/>
      <c r="AO75" s="2155"/>
      <c r="AP75" s="2155"/>
      <c r="AQ75" s="2624"/>
      <c r="AR75" s="2624"/>
      <c r="AS75" s="2624"/>
      <c r="AT75" s="2155"/>
      <c r="AU75" s="2155"/>
      <c r="AV75" s="542">
        <f t="shared" ref="AV75:AV89" si="120">SUM(Z75)</f>
        <v>272.39911034870244</v>
      </c>
      <c r="AW75" s="542">
        <f t="shared" ref="AW75:AW89" si="121">SUM(Z75)</f>
        <v>272.39911034870244</v>
      </c>
      <c r="AX75" s="542">
        <f t="shared" ref="AX75:AX89" si="122">SUM(Z75)</f>
        <v>272.39911034870244</v>
      </c>
      <c r="AY75" s="543">
        <f>SUM(AV75+AW75+AX75)</f>
        <v>817.19733104610737</v>
      </c>
      <c r="AZ75" s="543">
        <f t="shared" si="81"/>
        <v>1634.3946620922147</v>
      </c>
      <c r="BA75" s="542">
        <f>SUM(V75-AZ75)/6</f>
        <v>290.64985074206544</v>
      </c>
      <c r="BB75" s="542">
        <f>SUM(BA75)</f>
        <v>290.64985074206544</v>
      </c>
      <c r="BC75" s="542">
        <f>SUM(BA75)</f>
        <v>290.64985074206544</v>
      </c>
      <c r="BD75" s="543">
        <f>SUM(BA75+BB75+BC75)</f>
        <v>871.94955222619637</v>
      </c>
      <c r="BE75" s="543">
        <f>SUM(AZ75+BD75)</f>
        <v>2506.3442143184111</v>
      </c>
      <c r="BF75" s="542">
        <f>SUM(BA75)</f>
        <v>290.64985074206544</v>
      </c>
      <c r="BG75" s="542">
        <f>SUM(BA75)</f>
        <v>290.64985074206544</v>
      </c>
      <c r="BH75" s="542">
        <f>SUM(BA75)</f>
        <v>290.64985074206544</v>
      </c>
      <c r="BI75" s="543">
        <f>SUM(BF75+BG75+BH75)</f>
        <v>871.94955222619637</v>
      </c>
      <c r="BJ75" s="549">
        <f t="shared" si="88"/>
        <v>3378.293766544607</v>
      </c>
    </row>
    <row r="76" spans="1:62" ht="18.75" hidden="1" x14ac:dyDescent="0.3">
      <c r="A76" s="396" t="s">
        <v>114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1"/>
      <c r="U76" s="391"/>
      <c r="V76" s="541">
        <f>SUM(V74*13.94%)</f>
        <v>1011.8911711566788</v>
      </c>
      <c r="W76" s="547"/>
      <c r="X76" s="541">
        <f>SUM(V76*стоки!AK65/стоки!AI65)</f>
        <v>1011.8911711566788</v>
      </c>
      <c r="Y76" s="551">
        <f t="shared" si="109"/>
        <v>0</v>
      </c>
      <c r="Z76" s="376">
        <f>SUM(Z75*(V76/V75))</f>
        <v>81.590966872817191</v>
      </c>
      <c r="AA76" s="809"/>
      <c r="AB76" s="376">
        <f>SUM(Z76)</f>
        <v>81.590966872817191</v>
      </c>
      <c r="AC76" s="375">
        <f>SUM(Z76)</f>
        <v>81.590966872817191</v>
      </c>
      <c r="AD76" s="543">
        <f t="shared" ref="AD76" si="123">SUM(Z76+AB76+AC76)</f>
        <v>244.77290061845156</v>
      </c>
      <c r="AE76" s="816"/>
      <c r="AF76" s="816"/>
      <c r="AG76" s="816"/>
      <c r="AH76" s="816"/>
      <c r="AI76" s="2155"/>
      <c r="AJ76" s="2155"/>
      <c r="AK76" s="2155"/>
      <c r="AL76" s="2155"/>
      <c r="AM76" s="2155"/>
      <c r="AN76" s="2155"/>
      <c r="AO76" s="2155"/>
      <c r="AP76" s="2155"/>
      <c r="AQ76" s="2624"/>
      <c r="AR76" s="2624"/>
      <c r="AS76" s="2624"/>
      <c r="AT76" s="2155"/>
      <c r="AU76" s="2155"/>
      <c r="AV76" s="542">
        <f t="shared" si="120"/>
        <v>81.590966872817191</v>
      </c>
      <c r="AW76" s="542">
        <f t="shared" si="121"/>
        <v>81.590966872817191</v>
      </c>
      <c r="AX76" s="542">
        <f t="shared" si="122"/>
        <v>81.590966872817191</v>
      </c>
      <c r="AY76" s="543">
        <f t="shared" ref="AY76" si="124">SUM(AV76+AW76+AX76)</f>
        <v>244.77290061845156</v>
      </c>
      <c r="AZ76" s="543">
        <f t="shared" si="81"/>
        <v>489.54580123690312</v>
      </c>
      <c r="BA76" s="542">
        <f>SUM(V76-AZ76)/6</f>
        <v>87.057561653295934</v>
      </c>
      <c r="BB76" s="542">
        <f>SUM(BA76)</f>
        <v>87.057561653295934</v>
      </c>
      <c r="BC76" s="542">
        <f>SUM(BA76)</f>
        <v>87.057561653295934</v>
      </c>
      <c r="BD76" s="543">
        <f t="shared" ref="BD76" si="125">SUM(BA76+BB76+BC76)</f>
        <v>261.17268495988782</v>
      </c>
      <c r="BE76" s="543">
        <f t="shared" ref="BE76:BE88" si="126">SUM(AZ76+BD76)</f>
        <v>750.71848619679099</v>
      </c>
      <c r="BF76" s="542">
        <f>SUM(BA76)</f>
        <v>87.057561653295934</v>
      </c>
      <c r="BG76" s="542">
        <f>SUM(BA76)</f>
        <v>87.057561653295934</v>
      </c>
      <c r="BH76" s="542">
        <f>SUM(BA76)</f>
        <v>87.057561653295934</v>
      </c>
      <c r="BI76" s="543">
        <f t="shared" ref="BI76" si="127">SUM(BF76+BG76+BH76)</f>
        <v>261.17268495988782</v>
      </c>
      <c r="BJ76" s="549">
        <f t="shared" si="88"/>
        <v>1011.8911711566785</v>
      </c>
    </row>
    <row r="77" spans="1:62" ht="18.75" hidden="1" x14ac:dyDescent="0.3">
      <c r="A77" s="396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1"/>
      <c r="U77" s="391"/>
      <c r="V77" s="541">
        <f>SUM(V74*0.36%)</f>
        <v>26.132053200602897</v>
      </c>
      <c r="W77" s="547"/>
      <c r="X77" s="541">
        <f>SUM(V77*стоки!AK65/стоки!AI65)</f>
        <v>26.132053200602897</v>
      </c>
      <c r="Y77" s="551">
        <f t="shared" si="109"/>
        <v>0</v>
      </c>
      <c r="Z77" s="376">
        <f t="shared" ref="Z77" si="128">SUM(V77/12)</f>
        <v>2.1776711000502416</v>
      </c>
      <c r="AA77" s="809"/>
      <c r="AB77" s="376">
        <f t="shared" ref="AB77:AB89" si="129">SUM(Z77)</f>
        <v>2.1776711000502416</v>
      </c>
      <c r="AC77" s="376">
        <f t="shared" ref="AC77:AC89" si="130">SUM(Z77)</f>
        <v>2.1776711000502416</v>
      </c>
      <c r="AD77" s="543">
        <f t="shared" ref="AD77:AD89" si="131">SUM(Z77+AB77+AC77)</f>
        <v>6.5330133001507242</v>
      </c>
      <c r="AE77" s="816"/>
      <c r="AF77" s="816"/>
      <c r="AG77" s="816"/>
      <c r="AH77" s="816"/>
      <c r="AI77" s="2155"/>
      <c r="AJ77" s="2155"/>
      <c r="AK77" s="2155"/>
      <c r="AL77" s="2155"/>
      <c r="AM77" s="2155"/>
      <c r="AN77" s="2155"/>
      <c r="AO77" s="2155"/>
      <c r="AP77" s="2155"/>
      <c r="AQ77" s="2624"/>
      <c r="AR77" s="2624"/>
      <c r="AS77" s="2624"/>
      <c r="AT77" s="2155"/>
      <c r="AU77" s="2155"/>
      <c r="AV77" s="542">
        <f t="shared" si="120"/>
        <v>2.1776711000502416</v>
      </c>
      <c r="AW77" s="542">
        <f t="shared" si="121"/>
        <v>2.1776711000502416</v>
      </c>
      <c r="AX77" s="542">
        <f t="shared" si="122"/>
        <v>2.1776711000502416</v>
      </c>
      <c r="AY77" s="543">
        <f t="shared" ref="AY77:AY89" si="132">SUM(AV77+AW77+AX77)</f>
        <v>6.5330133001507242</v>
      </c>
      <c r="AZ77" s="543">
        <f t="shared" si="81"/>
        <v>13.066026600301448</v>
      </c>
      <c r="BA77" s="542">
        <f t="shared" ref="BA77:BA89" si="133">SUM(Z77)</f>
        <v>2.1776711000502416</v>
      </c>
      <c r="BB77" s="542">
        <f t="shared" ref="BB77:BB89" si="134">SUM(Z77)</f>
        <v>2.1776711000502416</v>
      </c>
      <c r="BC77" s="542">
        <f t="shared" ref="BC77:BC89" si="135">SUM(Z77)</f>
        <v>2.1776711000502416</v>
      </c>
      <c r="BD77" s="543">
        <f t="shared" ref="BD77:BD89" si="136">SUM(BA77+BB77+BC77)</f>
        <v>6.5330133001507242</v>
      </c>
      <c r="BE77" s="543">
        <f t="shared" si="126"/>
        <v>19.599039900452173</v>
      </c>
      <c r="BF77" s="542">
        <f t="shared" ref="BF77:BF89" si="137">SUM(Z77)</f>
        <v>2.1776711000502416</v>
      </c>
      <c r="BG77" s="542">
        <f t="shared" ref="BG77:BG89" si="138">SUM(Z77)</f>
        <v>2.1776711000502416</v>
      </c>
      <c r="BH77" s="542">
        <f t="shared" ref="BH77:BH89" si="139">SUM(Z77)</f>
        <v>2.1776711000502416</v>
      </c>
      <c r="BI77" s="543">
        <f t="shared" ref="BI77:BI89" si="140">SUM(BF77+BG77+BH77)</f>
        <v>6.5330133001507242</v>
      </c>
      <c r="BJ77" s="549">
        <f t="shared" si="88"/>
        <v>26.132053200602893</v>
      </c>
    </row>
    <row r="78" spans="1:62" ht="18.75" hidden="1" x14ac:dyDescent="0.3">
      <c r="A78" s="396" t="s">
        <v>622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1"/>
      <c r="U78" s="391"/>
      <c r="V78" s="541">
        <f>SUM(V74*9.75%)</f>
        <v>707.74310751632845</v>
      </c>
      <c r="W78" s="547"/>
      <c r="X78" s="541">
        <f>SUM(V78*стоки!AK65/стоки!AI65)</f>
        <v>707.74310751632845</v>
      </c>
      <c r="Y78" s="551">
        <f t="shared" si="109"/>
        <v>0</v>
      </c>
      <c r="Z78" s="376">
        <f t="shared" ref="Z78:Z86" si="141">SUM(V78/12)</f>
        <v>58.978592293027368</v>
      </c>
      <c r="AA78" s="809"/>
      <c r="AB78" s="376">
        <f t="shared" si="129"/>
        <v>58.978592293027368</v>
      </c>
      <c r="AC78" s="376">
        <f t="shared" si="130"/>
        <v>58.978592293027368</v>
      </c>
      <c r="AD78" s="543">
        <f t="shared" si="131"/>
        <v>176.93577687908211</v>
      </c>
      <c r="AE78" s="816"/>
      <c r="AF78" s="816"/>
      <c r="AG78" s="816"/>
      <c r="AH78" s="816"/>
      <c r="AI78" s="2155"/>
      <c r="AJ78" s="2155"/>
      <c r="AK78" s="2155"/>
      <c r="AL78" s="2155"/>
      <c r="AM78" s="2155"/>
      <c r="AN78" s="2155"/>
      <c r="AO78" s="2155"/>
      <c r="AP78" s="2155"/>
      <c r="AQ78" s="2624"/>
      <c r="AR78" s="2624"/>
      <c r="AS78" s="2624"/>
      <c r="AT78" s="2155"/>
      <c r="AU78" s="2155"/>
      <c r="AV78" s="542">
        <f t="shared" si="120"/>
        <v>58.978592293027368</v>
      </c>
      <c r="AW78" s="542">
        <f t="shared" si="121"/>
        <v>58.978592293027368</v>
      </c>
      <c r="AX78" s="542">
        <f t="shared" si="122"/>
        <v>58.978592293027368</v>
      </c>
      <c r="AY78" s="543">
        <f t="shared" si="132"/>
        <v>176.93577687908211</v>
      </c>
      <c r="AZ78" s="543">
        <f t="shared" si="81"/>
        <v>353.87155375816423</v>
      </c>
      <c r="BA78" s="542">
        <f t="shared" si="133"/>
        <v>58.978592293027368</v>
      </c>
      <c r="BB78" s="542">
        <f t="shared" si="134"/>
        <v>58.978592293027368</v>
      </c>
      <c r="BC78" s="542">
        <f t="shared" si="135"/>
        <v>58.978592293027368</v>
      </c>
      <c r="BD78" s="543">
        <f t="shared" si="136"/>
        <v>176.93577687908211</v>
      </c>
      <c r="BE78" s="543">
        <f t="shared" si="126"/>
        <v>530.80733063724631</v>
      </c>
      <c r="BF78" s="542">
        <f t="shared" si="137"/>
        <v>58.978592293027368</v>
      </c>
      <c r="BG78" s="542">
        <f t="shared" si="138"/>
        <v>58.978592293027368</v>
      </c>
      <c r="BH78" s="542">
        <f t="shared" si="139"/>
        <v>58.978592293027368</v>
      </c>
      <c r="BI78" s="543">
        <f t="shared" si="140"/>
        <v>176.93577687908211</v>
      </c>
      <c r="BJ78" s="549">
        <f t="shared" si="88"/>
        <v>707.74310751632856</v>
      </c>
    </row>
    <row r="79" spans="1:62" ht="18.75" hidden="1" x14ac:dyDescent="0.3">
      <c r="A79" s="576" t="s">
        <v>624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1"/>
      <c r="U79" s="391"/>
      <c r="V79" s="541">
        <f>SUM(V74*1.41%)</f>
        <v>102.35054170236134</v>
      </c>
      <c r="W79" s="547"/>
      <c r="X79" s="541">
        <f>SUM(V79*стоки!AK65/стоки!AI65)</f>
        <v>102.35054170236134</v>
      </c>
      <c r="Y79" s="551">
        <f t="shared" ref="Y79" si="142">SUM(V79-X79)</f>
        <v>0</v>
      </c>
      <c r="Z79" s="376">
        <f t="shared" ref="Z79" si="143">SUM(V79/12)</f>
        <v>8.5292118085301123</v>
      </c>
      <c r="AA79" s="809"/>
      <c r="AB79" s="376">
        <f t="shared" ref="AB79" si="144">SUM(Z79)</f>
        <v>8.5292118085301123</v>
      </c>
      <c r="AC79" s="376">
        <f t="shared" ref="AC79" si="145">SUM(Z79)</f>
        <v>8.5292118085301123</v>
      </c>
      <c r="AD79" s="543">
        <f t="shared" ref="AD79" si="146">SUM(Z79+AB79+AC79)</f>
        <v>25.587635425590335</v>
      </c>
      <c r="AE79" s="816"/>
      <c r="AF79" s="816"/>
      <c r="AG79" s="816"/>
      <c r="AH79" s="816"/>
      <c r="AI79" s="2155"/>
      <c r="AJ79" s="2155"/>
      <c r="AK79" s="2155"/>
      <c r="AL79" s="2155"/>
      <c r="AM79" s="2155"/>
      <c r="AN79" s="2155"/>
      <c r="AO79" s="2155"/>
      <c r="AP79" s="2155"/>
      <c r="AQ79" s="2624"/>
      <c r="AR79" s="2624"/>
      <c r="AS79" s="2624"/>
      <c r="AT79" s="2155"/>
      <c r="AU79" s="2155"/>
      <c r="AV79" s="542">
        <f t="shared" si="120"/>
        <v>8.5292118085301123</v>
      </c>
      <c r="AW79" s="542">
        <f t="shared" si="121"/>
        <v>8.5292118085301123</v>
      </c>
      <c r="AX79" s="542">
        <f t="shared" si="122"/>
        <v>8.5292118085301123</v>
      </c>
      <c r="AY79" s="543">
        <f t="shared" ref="AY79" si="147">SUM(AV79+AW79+AX79)</f>
        <v>25.587635425590335</v>
      </c>
      <c r="AZ79" s="543">
        <f t="shared" si="81"/>
        <v>51.17527085118067</v>
      </c>
      <c r="BA79" s="542">
        <f t="shared" si="133"/>
        <v>8.5292118085301123</v>
      </c>
      <c r="BB79" s="542">
        <f t="shared" si="134"/>
        <v>8.5292118085301123</v>
      </c>
      <c r="BC79" s="542">
        <f t="shared" si="135"/>
        <v>8.5292118085301123</v>
      </c>
      <c r="BD79" s="543">
        <f t="shared" ref="BD79" si="148">SUM(BA79+BB79+BC79)</f>
        <v>25.587635425590335</v>
      </c>
      <c r="BE79" s="543">
        <f t="shared" ref="BE79" si="149">SUM(AZ79+BD79)</f>
        <v>76.762906276771005</v>
      </c>
      <c r="BF79" s="542">
        <f t="shared" si="137"/>
        <v>8.5292118085301123</v>
      </c>
      <c r="BG79" s="542">
        <f t="shared" si="138"/>
        <v>8.5292118085301123</v>
      </c>
      <c r="BH79" s="542">
        <f t="shared" si="139"/>
        <v>8.5292118085301123</v>
      </c>
      <c r="BI79" s="543">
        <f t="shared" ref="BI79" si="150">SUM(BF79+BG79+BH79)</f>
        <v>25.587635425590335</v>
      </c>
      <c r="BJ79" s="549">
        <f t="shared" si="88"/>
        <v>102.35054170236133</v>
      </c>
    </row>
    <row r="80" spans="1:62" ht="18.75" hidden="1" x14ac:dyDescent="0.3">
      <c r="A80" s="396" t="s">
        <v>590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1"/>
      <c r="U80" s="391"/>
      <c r="V80" s="541">
        <f>SUM(V74*8.87%)</f>
        <v>643.86475524818798</v>
      </c>
      <c r="W80" s="547"/>
      <c r="X80" s="541">
        <f>SUM(V80*стоки!AK65/стоки!AI65)</f>
        <v>643.86475524818798</v>
      </c>
      <c r="Y80" s="551">
        <f t="shared" si="109"/>
        <v>0</v>
      </c>
      <c r="Z80" s="376">
        <f t="shared" ref="Z80" si="151">SUM(V80/12)</f>
        <v>53.655396270682331</v>
      </c>
      <c r="AA80" s="809"/>
      <c r="AB80" s="376">
        <f t="shared" ref="AB80" si="152">SUM(Z80)</f>
        <v>53.655396270682331</v>
      </c>
      <c r="AC80" s="376">
        <f t="shared" ref="AC80" si="153">SUM(Z80)</f>
        <v>53.655396270682331</v>
      </c>
      <c r="AD80" s="543">
        <f t="shared" si="131"/>
        <v>160.96618881204699</v>
      </c>
      <c r="AE80" s="816"/>
      <c r="AF80" s="816"/>
      <c r="AG80" s="816"/>
      <c r="AH80" s="816"/>
      <c r="AI80" s="2155"/>
      <c r="AJ80" s="2155"/>
      <c r="AK80" s="2155"/>
      <c r="AL80" s="2155"/>
      <c r="AM80" s="2155"/>
      <c r="AN80" s="2155"/>
      <c r="AO80" s="2155"/>
      <c r="AP80" s="2155"/>
      <c r="AQ80" s="2624"/>
      <c r="AR80" s="2624"/>
      <c r="AS80" s="2624"/>
      <c r="AT80" s="2155"/>
      <c r="AU80" s="2155"/>
      <c r="AV80" s="542">
        <f t="shared" si="120"/>
        <v>53.655396270682331</v>
      </c>
      <c r="AW80" s="542">
        <f t="shared" si="121"/>
        <v>53.655396270682331</v>
      </c>
      <c r="AX80" s="542">
        <f t="shared" si="122"/>
        <v>53.655396270682331</v>
      </c>
      <c r="AY80" s="543">
        <f t="shared" si="132"/>
        <v>160.96618881204699</v>
      </c>
      <c r="AZ80" s="543">
        <f t="shared" si="81"/>
        <v>321.93237762409399</v>
      </c>
      <c r="BA80" s="542">
        <f t="shared" si="133"/>
        <v>53.655396270682331</v>
      </c>
      <c r="BB80" s="542">
        <f t="shared" si="134"/>
        <v>53.655396270682331</v>
      </c>
      <c r="BC80" s="542">
        <f t="shared" si="135"/>
        <v>53.655396270682331</v>
      </c>
      <c r="BD80" s="543">
        <f t="shared" si="136"/>
        <v>160.96618881204699</v>
      </c>
      <c r="BE80" s="543">
        <f t="shared" si="126"/>
        <v>482.89856643614098</v>
      </c>
      <c r="BF80" s="542">
        <f t="shared" si="137"/>
        <v>53.655396270682331</v>
      </c>
      <c r="BG80" s="542">
        <f t="shared" si="138"/>
        <v>53.655396270682331</v>
      </c>
      <c r="BH80" s="542">
        <f t="shared" si="139"/>
        <v>53.655396270682331</v>
      </c>
      <c r="BI80" s="543">
        <f t="shared" si="140"/>
        <v>160.96618881204699</v>
      </c>
      <c r="BJ80" s="549">
        <f t="shared" si="88"/>
        <v>643.86475524818798</v>
      </c>
    </row>
    <row r="81" spans="1:62" ht="18.75" hidden="1" x14ac:dyDescent="0.3">
      <c r="A81" s="396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1"/>
      <c r="U81" s="391"/>
      <c r="V81" s="541">
        <f>SUM(V74*0.56%)</f>
        <v>40.649860534271177</v>
      </c>
      <c r="W81" s="547"/>
      <c r="X81" s="541">
        <f>SUM(V81*стоки!AK65/стоки!AI65)</f>
        <v>40.649860534271177</v>
      </c>
      <c r="Y81" s="551">
        <f t="shared" si="109"/>
        <v>0</v>
      </c>
      <c r="Z81" s="376">
        <f t="shared" si="141"/>
        <v>3.3874883778559313</v>
      </c>
      <c r="AA81" s="809"/>
      <c r="AB81" s="376">
        <f t="shared" si="129"/>
        <v>3.3874883778559313</v>
      </c>
      <c r="AC81" s="376">
        <f t="shared" si="130"/>
        <v>3.3874883778559313</v>
      </c>
      <c r="AD81" s="543">
        <f t="shared" si="131"/>
        <v>10.162465133567794</v>
      </c>
      <c r="AE81" s="816"/>
      <c r="AF81" s="816"/>
      <c r="AG81" s="816"/>
      <c r="AH81" s="816"/>
      <c r="AI81" s="2155"/>
      <c r="AJ81" s="2155"/>
      <c r="AK81" s="2155"/>
      <c r="AL81" s="2155"/>
      <c r="AM81" s="2155"/>
      <c r="AN81" s="2155"/>
      <c r="AO81" s="2155"/>
      <c r="AP81" s="2155"/>
      <c r="AQ81" s="2624"/>
      <c r="AR81" s="2624"/>
      <c r="AS81" s="2624"/>
      <c r="AT81" s="2155"/>
      <c r="AU81" s="2155"/>
      <c r="AV81" s="542">
        <f t="shared" si="120"/>
        <v>3.3874883778559313</v>
      </c>
      <c r="AW81" s="542">
        <f t="shared" si="121"/>
        <v>3.3874883778559313</v>
      </c>
      <c r="AX81" s="542">
        <f t="shared" si="122"/>
        <v>3.3874883778559313</v>
      </c>
      <c r="AY81" s="543">
        <f t="shared" si="132"/>
        <v>10.162465133567794</v>
      </c>
      <c r="AZ81" s="543">
        <f t="shared" si="81"/>
        <v>20.324930267135588</v>
      </c>
      <c r="BA81" s="542">
        <f t="shared" si="133"/>
        <v>3.3874883778559313</v>
      </c>
      <c r="BB81" s="542">
        <f t="shared" si="134"/>
        <v>3.3874883778559313</v>
      </c>
      <c r="BC81" s="542">
        <f t="shared" si="135"/>
        <v>3.3874883778559313</v>
      </c>
      <c r="BD81" s="543">
        <f t="shared" si="136"/>
        <v>10.162465133567794</v>
      </c>
      <c r="BE81" s="543">
        <f t="shared" si="126"/>
        <v>30.487395400703384</v>
      </c>
      <c r="BF81" s="542">
        <f t="shared" si="137"/>
        <v>3.3874883778559313</v>
      </c>
      <c r="BG81" s="542">
        <f t="shared" si="138"/>
        <v>3.3874883778559313</v>
      </c>
      <c r="BH81" s="542">
        <f t="shared" si="139"/>
        <v>3.3874883778559313</v>
      </c>
      <c r="BI81" s="543">
        <f t="shared" si="140"/>
        <v>10.162465133567794</v>
      </c>
      <c r="BJ81" s="549">
        <f t="shared" si="88"/>
        <v>40.649860534271177</v>
      </c>
    </row>
    <row r="82" spans="1:62" ht="18.75" hidden="1" x14ac:dyDescent="0.3">
      <c r="A82" s="578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1"/>
      <c r="U82" s="391"/>
      <c r="V82" s="580">
        <f>SUM(X82:Y82)</f>
        <v>0</v>
      </c>
      <c r="W82" s="547"/>
      <c r="X82" s="580">
        <f>SUM(AC34)</f>
        <v>0</v>
      </c>
      <c r="Y82" s="581">
        <f>SUM(X82)</f>
        <v>0</v>
      </c>
      <c r="Z82" s="376">
        <f t="shared" ref="Z82" si="154">SUM(V82/12)</f>
        <v>0</v>
      </c>
      <c r="AA82" s="809"/>
      <c r="AB82" s="376">
        <f t="shared" ref="AB82" si="155">SUM(Z82)</f>
        <v>0</v>
      </c>
      <c r="AC82" s="376">
        <f t="shared" ref="AC82" si="156">SUM(Z82)</f>
        <v>0</v>
      </c>
      <c r="AD82" s="543">
        <f t="shared" si="131"/>
        <v>0</v>
      </c>
      <c r="AE82" s="816"/>
      <c r="AF82" s="816"/>
      <c r="AG82" s="816"/>
      <c r="AH82" s="816"/>
      <c r="AI82" s="2155"/>
      <c r="AJ82" s="2155"/>
      <c r="AK82" s="2155"/>
      <c r="AL82" s="2155"/>
      <c r="AM82" s="2155"/>
      <c r="AN82" s="2155"/>
      <c r="AO82" s="2155"/>
      <c r="AP82" s="2155"/>
      <c r="AQ82" s="2624"/>
      <c r="AR82" s="2624"/>
      <c r="AS82" s="2624"/>
      <c r="AT82" s="2155"/>
      <c r="AU82" s="2155"/>
      <c r="AV82" s="542">
        <f t="shared" si="120"/>
        <v>0</v>
      </c>
      <c r="AW82" s="542">
        <f t="shared" si="121"/>
        <v>0</v>
      </c>
      <c r="AX82" s="542">
        <f t="shared" si="122"/>
        <v>0</v>
      </c>
      <c r="AY82" s="543">
        <f t="shared" ref="AY82" si="157">SUM(AV82+AW82+AX82)</f>
        <v>0</v>
      </c>
      <c r="AZ82" s="543">
        <f t="shared" si="81"/>
        <v>0</v>
      </c>
      <c r="BA82" s="542">
        <f t="shared" si="133"/>
        <v>0</v>
      </c>
      <c r="BB82" s="542">
        <f t="shared" si="134"/>
        <v>0</v>
      </c>
      <c r="BC82" s="542">
        <f t="shared" si="135"/>
        <v>0</v>
      </c>
      <c r="BD82" s="543">
        <f t="shared" ref="BD82" si="158">SUM(BA82+BB82+BC82)</f>
        <v>0</v>
      </c>
      <c r="BE82" s="543">
        <f t="shared" ref="BE82" si="159">SUM(AZ82+BD82)</f>
        <v>0</v>
      </c>
      <c r="BF82" s="542">
        <f t="shared" si="137"/>
        <v>0</v>
      </c>
      <c r="BG82" s="542">
        <f t="shared" si="138"/>
        <v>0</v>
      </c>
      <c r="BH82" s="542">
        <f t="shared" si="139"/>
        <v>0</v>
      </c>
      <c r="BI82" s="543">
        <f t="shared" ref="BI82" si="160">SUM(BF82+BG82+BH82)</f>
        <v>0</v>
      </c>
      <c r="BJ82" s="549">
        <f t="shared" si="88"/>
        <v>0</v>
      </c>
    </row>
    <row r="83" spans="1:62" ht="18.75" hidden="1" x14ac:dyDescent="0.3">
      <c r="A83" s="396" t="s">
        <v>592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1"/>
      <c r="U83" s="391"/>
      <c r="V83" s="541">
        <f>SUM(V74*1.45%)</f>
        <v>105.25410316909499</v>
      </c>
      <c r="W83" s="547"/>
      <c r="X83" s="541">
        <f>SUM(V83*стоки!AK65/стоки!AI65)</f>
        <v>105.25410316909499</v>
      </c>
      <c r="Y83" s="551">
        <f t="shared" si="109"/>
        <v>0</v>
      </c>
      <c r="Z83" s="376">
        <f t="shared" si="141"/>
        <v>8.7711752640912497</v>
      </c>
      <c r="AA83" s="809"/>
      <c r="AB83" s="376">
        <f t="shared" si="129"/>
        <v>8.7711752640912497</v>
      </c>
      <c r="AC83" s="376">
        <f t="shared" si="130"/>
        <v>8.7711752640912497</v>
      </c>
      <c r="AD83" s="543">
        <f t="shared" si="131"/>
        <v>26.313525792273751</v>
      </c>
      <c r="AE83" s="816"/>
      <c r="AF83" s="816"/>
      <c r="AG83" s="816"/>
      <c r="AH83" s="816"/>
      <c r="AI83" s="2155"/>
      <c r="AJ83" s="2155"/>
      <c r="AK83" s="2155"/>
      <c r="AL83" s="2155"/>
      <c r="AM83" s="2155"/>
      <c r="AN83" s="2155"/>
      <c r="AO83" s="2155"/>
      <c r="AP83" s="2155"/>
      <c r="AQ83" s="2624"/>
      <c r="AR83" s="2624"/>
      <c r="AS83" s="2624"/>
      <c r="AT83" s="2155"/>
      <c r="AU83" s="2155"/>
      <c r="AV83" s="542">
        <f t="shared" si="120"/>
        <v>8.7711752640912497</v>
      </c>
      <c r="AW83" s="542">
        <f t="shared" si="121"/>
        <v>8.7711752640912497</v>
      </c>
      <c r="AX83" s="542">
        <f t="shared" si="122"/>
        <v>8.7711752640912497</v>
      </c>
      <c r="AY83" s="543">
        <f t="shared" si="132"/>
        <v>26.313525792273751</v>
      </c>
      <c r="AZ83" s="543">
        <f t="shared" si="81"/>
        <v>52.627051584547502</v>
      </c>
      <c r="BA83" s="542">
        <f t="shared" si="133"/>
        <v>8.7711752640912497</v>
      </c>
      <c r="BB83" s="542">
        <f t="shared" si="134"/>
        <v>8.7711752640912497</v>
      </c>
      <c r="BC83" s="542">
        <f t="shared" si="135"/>
        <v>8.7711752640912497</v>
      </c>
      <c r="BD83" s="543">
        <f t="shared" si="136"/>
        <v>26.313525792273751</v>
      </c>
      <c r="BE83" s="543">
        <f t="shared" si="126"/>
        <v>78.940577376821253</v>
      </c>
      <c r="BF83" s="542">
        <f t="shared" si="137"/>
        <v>8.7711752640912497</v>
      </c>
      <c r="BG83" s="542">
        <f t="shared" si="138"/>
        <v>8.7711752640912497</v>
      </c>
      <c r="BH83" s="542">
        <f t="shared" si="139"/>
        <v>8.7711752640912497</v>
      </c>
      <c r="BI83" s="543">
        <f t="shared" si="140"/>
        <v>26.313525792273751</v>
      </c>
      <c r="BJ83" s="549">
        <f t="shared" si="88"/>
        <v>105.25410316909502</v>
      </c>
    </row>
    <row r="84" spans="1:62" ht="18.75" hidden="1" x14ac:dyDescent="0.3">
      <c r="A84" s="396" t="s">
        <v>95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1"/>
      <c r="U84" s="391"/>
      <c r="V84" s="541">
        <f>SUM(V74*1.28%)</f>
        <v>92.913966935476964</v>
      </c>
      <c r="W84" s="547"/>
      <c r="X84" s="541">
        <f>SUM(V84*стоки!AK65/стоки!AI65)</f>
        <v>92.913966935476964</v>
      </c>
      <c r="Y84" s="551">
        <f t="shared" si="109"/>
        <v>0</v>
      </c>
      <c r="Z84" s="376">
        <f t="shared" si="141"/>
        <v>7.7428305779564139</v>
      </c>
      <c r="AA84" s="809"/>
      <c r="AB84" s="376">
        <f t="shared" si="129"/>
        <v>7.7428305779564139</v>
      </c>
      <c r="AC84" s="376">
        <f t="shared" si="130"/>
        <v>7.7428305779564139</v>
      </c>
      <c r="AD84" s="543">
        <f t="shared" si="131"/>
        <v>23.228491733869241</v>
      </c>
      <c r="AE84" s="816"/>
      <c r="AF84" s="816"/>
      <c r="AG84" s="816"/>
      <c r="AH84" s="816"/>
      <c r="AI84" s="2155"/>
      <c r="AJ84" s="2155"/>
      <c r="AK84" s="2155"/>
      <c r="AL84" s="2155"/>
      <c r="AM84" s="2155"/>
      <c r="AN84" s="2155"/>
      <c r="AO84" s="2155"/>
      <c r="AP84" s="2155"/>
      <c r="AQ84" s="2624"/>
      <c r="AR84" s="2624"/>
      <c r="AS84" s="2624"/>
      <c r="AT84" s="2155"/>
      <c r="AU84" s="2155"/>
      <c r="AV84" s="542">
        <f t="shared" si="120"/>
        <v>7.7428305779564139</v>
      </c>
      <c r="AW84" s="542">
        <f t="shared" si="121"/>
        <v>7.7428305779564139</v>
      </c>
      <c r="AX84" s="542">
        <f t="shared" si="122"/>
        <v>7.7428305779564139</v>
      </c>
      <c r="AY84" s="543">
        <f t="shared" si="132"/>
        <v>23.228491733869241</v>
      </c>
      <c r="AZ84" s="543">
        <f t="shared" si="81"/>
        <v>46.456983467738482</v>
      </c>
      <c r="BA84" s="542">
        <f t="shared" si="133"/>
        <v>7.7428305779564139</v>
      </c>
      <c r="BB84" s="542">
        <f t="shared" si="134"/>
        <v>7.7428305779564139</v>
      </c>
      <c r="BC84" s="542">
        <f t="shared" si="135"/>
        <v>7.7428305779564139</v>
      </c>
      <c r="BD84" s="543">
        <f t="shared" si="136"/>
        <v>23.228491733869241</v>
      </c>
      <c r="BE84" s="543">
        <f t="shared" si="126"/>
        <v>69.685475201607716</v>
      </c>
      <c r="BF84" s="542">
        <f t="shared" si="137"/>
        <v>7.7428305779564139</v>
      </c>
      <c r="BG84" s="542">
        <f t="shared" si="138"/>
        <v>7.7428305779564139</v>
      </c>
      <c r="BH84" s="542">
        <f t="shared" si="139"/>
        <v>7.7428305779564139</v>
      </c>
      <c r="BI84" s="543">
        <f t="shared" si="140"/>
        <v>23.228491733869241</v>
      </c>
      <c r="BJ84" s="549">
        <f t="shared" si="88"/>
        <v>92.91396693547695</v>
      </c>
    </row>
    <row r="85" spans="1:62" ht="18.75" hidden="1" x14ac:dyDescent="0.3">
      <c r="A85" s="396" t="s">
        <v>593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1"/>
      <c r="U85" s="391"/>
      <c r="V85" s="541">
        <f>SUM(V74*0.97%)</f>
        <v>70.411365568291131</v>
      </c>
      <c r="W85" s="547"/>
      <c r="X85" s="541">
        <f>SUM(V85*стоки!AK65/стоки!AI65)</f>
        <v>70.411365568291131</v>
      </c>
      <c r="Y85" s="551">
        <f t="shared" si="109"/>
        <v>0</v>
      </c>
      <c r="Z85" s="376">
        <f t="shared" si="141"/>
        <v>5.8676137973575946</v>
      </c>
      <c r="AA85" s="809"/>
      <c r="AB85" s="376">
        <f t="shared" si="129"/>
        <v>5.8676137973575946</v>
      </c>
      <c r="AC85" s="376">
        <f t="shared" si="130"/>
        <v>5.8676137973575946</v>
      </c>
      <c r="AD85" s="543">
        <f t="shared" si="131"/>
        <v>17.602841392072783</v>
      </c>
      <c r="AE85" s="816"/>
      <c r="AF85" s="816"/>
      <c r="AG85" s="816"/>
      <c r="AH85" s="816"/>
      <c r="AI85" s="2155"/>
      <c r="AJ85" s="2155"/>
      <c r="AK85" s="2155"/>
      <c r="AL85" s="2155"/>
      <c r="AM85" s="2155"/>
      <c r="AN85" s="2155"/>
      <c r="AO85" s="2155"/>
      <c r="AP85" s="2155"/>
      <c r="AQ85" s="2624"/>
      <c r="AR85" s="2624"/>
      <c r="AS85" s="2624"/>
      <c r="AT85" s="2155"/>
      <c r="AU85" s="2155"/>
      <c r="AV85" s="542">
        <f t="shared" si="120"/>
        <v>5.8676137973575946</v>
      </c>
      <c r="AW85" s="542">
        <f t="shared" si="121"/>
        <v>5.8676137973575946</v>
      </c>
      <c r="AX85" s="542">
        <f t="shared" si="122"/>
        <v>5.8676137973575946</v>
      </c>
      <c r="AY85" s="543">
        <f t="shared" si="132"/>
        <v>17.602841392072783</v>
      </c>
      <c r="AZ85" s="543">
        <f t="shared" si="81"/>
        <v>35.205682784145566</v>
      </c>
      <c r="BA85" s="542">
        <f t="shared" si="133"/>
        <v>5.8676137973575946</v>
      </c>
      <c r="BB85" s="542">
        <f t="shared" si="134"/>
        <v>5.8676137973575946</v>
      </c>
      <c r="BC85" s="542">
        <f t="shared" si="135"/>
        <v>5.8676137973575946</v>
      </c>
      <c r="BD85" s="543">
        <f t="shared" si="136"/>
        <v>17.602841392072783</v>
      </c>
      <c r="BE85" s="543">
        <f t="shared" si="126"/>
        <v>52.808524176218349</v>
      </c>
      <c r="BF85" s="542">
        <f t="shared" si="137"/>
        <v>5.8676137973575946</v>
      </c>
      <c r="BG85" s="542">
        <f t="shared" si="138"/>
        <v>5.8676137973575946</v>
      </c>
      <c r="BH85" s="542">
        <f t="shared" si="139"/>
        <v>5.8676137973575946</v>
      </c>
      <c r="BI85" s="543">
        <f t="shared" si="140"/>
        <v>17.602841392072783</v>
      </c>
      <c r="BJ85" s="549">
        <f t="shared" si="88"/>
        <v>70.411365568291117</v>
      </c>
    </row>
    <row r="86" spans="1:62" ht="18.75" hidden="1" x14ac:dyDescent="0.3">
      <c r="A86" s="396" t="s">
        <v>596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1"/>
      <c r="U86" s="391"/>
      <c r="V86" s="541">
        <f>SUM(V74*0.39%)</f>
        <v>28.309724300653141</v>
      </c>
      <c r="W86" s="547"/>
      <c r="X86" s="541">
        <f>SUM(V86*стоки!AK65/стоки!AI65)</f>
        <v>28.309724300653141</v>
      </c>
      <c r="Y86" s="551">
        <f t="shared" si="109"/>
        <v>0</v>
      </c>
      <c r="Z86" s="376">
        <f t="shared" si="141"/>
        <v>2.3591436917210951</v>
      </c>
      <c r="AA86" s="809"/>
      <c r="AB86" s="376">
        <f t="shared" si="129"/>
        <v>2.3591436917210951</v>
      </c>
      <c r="AC86" s="376">
        <f t="shared" si="130"/>
        <v>2.3591436917210951</v>
      </c>
      <c r="AD86" s="543">
        <f t="shared" si="131"/>
        <v>7.0774310751632852</v>
      </c>
      <c r="AE86" s="816"/>
      <c r="AF86" s="816"/>
      <c r="AG86" s="816"/>
      <c r="AH86" s="816"/>
      <c r="AI86" s="2155"/>
      <c r="AJ86" s="2155"/>
      <c r="AK86" s="2155"/>
      <c r="AL86" s="2155"/>
      <c r="AM86" s="2155"/>
      <c r="AN86" s="2155"/>
      <c r="AO86" s="2155"/>
      <c r="AP86" s="2155"/>
      <c r="AQ86" s="2624"/>
      <c r="AR86" s="2624"/>
      <c r="AS86" s="2624"/>
      <c r="AT86" s="2155"/>
      <c r="AU86" s="2155"/>
      <c r="AV86" s="542">
        <f t="shared" si="120"/>
        <v>2.3591436917210951</v>
      </c>
      <c r="AW86" s="542">
        <f t="shared" si="121"/>
        <v>2.3591436917210951</v>
      </c>
      <c r="AX86" s="542">
        <f t="shared" si="122"/>
        <v>2.3591436917210951</v>
      </c>
      <c r="AY86" s="543">
        <f t="shared" si="132"/>
        <v>7.0774310751632852</v>
      </c>
      <c r="AZ86" s="543">
        <f t="shared" si="81"/>
        <v>14.15486215032657</v>
      </c>
      <c r="BA86" s="542">
        <f t="shared" si="133"/>
        <v>2.3591436917210951</v>
      </c>
      <c r="BB86" s="542">
        <f t="shared" si="134"/>
        <v>2.3591436917210951</v>
      </c>
      <c r="BC86" s="542">
        <f t="shared" si="135"/>
        <v>2.3591436917210951</v>
      </c>
      <c r="BD86" s="543">
        <f t="shared" si="136"/>
        <v>7.0774310751632852</v>
      </c>
      <c r="BE86" s="543">
        <f t="shared" si="126"/>
        <v>21.232293225489855</v>
      </c>
      <c r="BF86" s="542">
        <f t="shared" si="137"/>
        <v>2.3591436917210951</v>
      </c>
      <c r="BG86" s="542">
        <f t="shared" si="138"/>
        <v>2.3591436917210951</v>
      </c>
      <c r="BH86" s="542">
        <f t="shared" si="139"/>
        <v>2.3591436917210951</v>
      </c>
      <c r="BI86" s="543">
        <f t="shared" si="140"/>
        <v>7.0774310751632852</v>
      </c>
      <c r="BJ86" s="549">
        <f t="shared" si="88"/>
        <v>28.309724300653134</v>
      </c>
    </row>
    <row r="87" spans="1:62" ht="18.75" hidden="1" x14ac:dyDescent="0.3">
      <c r="A87" s="396" t="s">
        <v>600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1"/>
      <c r="U87" s="391"/>
      <c r="V87" s="548">
        <v>0</v>
      </c>
      <c r="W87" s="553"/>
      <c r="X87" s="541">
        <f>SUM(V87*стоки!AK65/стоки!AI65)</f>
        <v>0</v>
      </c>
      <c r="Y87" s="551">
        <f t="shared" si="109"/>
        <v>0</v>
      </c>
      <c r="Z87" s="377">
        <f t="shared" ref="Z87:Z88" si="161">SUM(V87/12)</f>
        <v>0</v>
      </c>
      <c r="AA87" s="810"/>
      <c r="AB87" s="377">
        <f t="shared" si="129"/>
        <v>0</v>
      </c>
      <c r="AC87" s="377">
        <f t="shared" si="130"/>
        <v>0</v>
      </c>
      <c r="AD87" s="554">
        <f t="shared" si="131"/>
        <v>0</v>
      </c>
      <c r="AE87" s="817"/>
      <c r="AF87" s="817"/>
      <c r="AG87" s="817"/>
      <c r="AH87" s="817"/>
      <c r="AI87" s="2156"/>
      <c r="AJ87" s="2156"/>
      <c r="AK87" s="2156"/>
      <c r="AL87" s="2156"/>
      <c r="AM87" s="2156"/>
      <c r="AN87" s="2156"/>
      <c r="AO87" s="2156"/>
      <c r="AP87" s="2156"/>
      <c r="AQ87" s="2625"/>
      <c r="AR87" s="2625"/>
      <c r="AS87" s="2625"/>
      <c r="AT87" s="2156"/>
      <c r="AU87" s="2156"/>
      <c r="AV87" s="555">
        <f t="shared" si="120"/>
        <v>0</v>
      </c>
      <c r="AW87" s="555">
        <f t="shared" si="121"/>
        <v>0</v>
      </c>
      <c r="AX87" s="555">
        <f t="shared" si="122"/>
        <v>0</v>
      </c>
      <c r="AY87" s="554">
        <f t="shared" si="132"/>
        <v>0</v>
      </c>
      <c r="AZ87" s="554">
        <f t="shared" si="81"/>
        <v>0</v>
      </c>
      <c r="BA87" s="555">
        <f t="shared" si="133"/>
        <v>0</v>
      </c>
      <c r="BB87" s="555">
        <f t="shared" si="134"/>
        <v>0</v>
      </c>
      <c r="BC87" s="555">
        <f t="shared" si="135"/>
        <v>0</v>
      </c>
      <c r="BD87" s="554">
        <f t="shared" si="136"/>
        <v>0</v>
      </c>
      <c r="BE87" s="554">
        <f t="shared" si="126"/>
        <v>0</v>
      </c>
      <c r="BF87" s="555">
        <f t="shared" si="137"/>
        <v>0</v>
      </c>
      <c r="BG87" s="555">
        <f t="shared" si="138"/>
        <v>0</v>
      </c>
      <c r="BH87" s="555">
        <f t="shared" si="139"/>
        <v>0</v>
      </c>
      <c r="BI87" s="554">
        <f t="shared" si="140"/>
        <v>0</v>
      </c>
      <c r="BJ87" s="556">
        <f t="shared" si="88"/>
        <v>0</v>
      </c>
    </row>
    <row r="88" spans="1:62" ht="18.75" hidden="1" x14ac:dyDescent="0.3">
      <c r="A88" s="396" t="s">
        <v>597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1"/>
      <c r="U88" s="391"/>
      <c r="V88" s="548">
        <v>0</v>
      </c>
      <c r="W88" s="553"/>
      <c r="X88" s="541">
        <f>SUM(V88*стоки!AK65/стоки!AI65)</f>
        <v>0</v>
      </c>
      <c r="Y88" s="551">
        <f t="shared" si="109"/>
        <v>0</v>
      </c>
      <c r="Z88" s="377">
        <f t="shared" si="161"/>
        <v>0</v>
      </c>
      <c r="AA88" s="810"/>
      <c r="AB88" s="377">
        <f t="shared" si="129"/>
        <v>0</v>
      </c>
      <c r="AC88" s="377">
        <f t="shared" si="130"/>
        <v>0</v>
      </c>
      <c r="AD88" s="554">
        <f t="shared" si="131"/>
        <v>0</v>
      </c>
      <c r="AE88" s="817"/>
      <c r="AF88" s="817"/>
      <c r="AG88" s="817"/>
      <c r="AH88" s="817"/>
      <c r="AI88" s="2156"/>
      <c r="AJ88" s="2156"/>
      <c r="AK88" s="2156"/>
      <c r="AL88" s="2156"/>
      <c r="AM88" s="2156"/>
      <c r="AN88" s="2156"/>
      <c r="AO88" s="2156"/>
      <c r="AP88" s="2156"/>
      <c r="AQ88" s="2625"/>
      <c r="AR88" s="2625"/>
      <c r="AS88" s="2625"/>
      <c r="AT88" s="2156"/>
      <c r="AU88" s="2156"/>
      <c r="AV88" s="555">
        <f t="shared" si="120"/>
        <v>0</v>
      </c>
      <c r="AW88" s="555">
        <f t="shared" si="121"/>
        <v>0</v>
      </c>
      <c r="AX88" s="555">
        <f t="shared" si="122"/>
        <v>0</v>
      </c>
      <c r="AY88" s="554">
        <f t="shared" si="132"/>
        <v>0</v>
      </c>
      <c r="AZ88" s="554">
        <f t="shared" si="81"/>
        <v>0</v>
      </c>
      <c r="BA88" s="555">
        <f t="shared" si="133"/>
        <v>0</v>
      </c>
      <c r="BB88" s="555">
        <f t="shared" si="134"/>
        <v>0</v>
      </c>
      <c r="BC88" s="555">
        <f t="shared" si="135"/>
        <v>0</v>
      </c>
      <c r="BD88" s="554">
        <f t="shared" si="136"/>
        <v>0</v>
      </c>
      <c r="BE88" s="554">
        <f t="shared" si="126"/>
        <v>0</v>
      </c>
      <c r="BF88" s="555">
        <f t="shared" si="137"/>
        <v>0</v>
      </c>
      <c r="BG88" s="555">
        <f t="shared" si="138"/>
        <v>0</v>
      </c>
      <c r="BH88" s="555">
        <f t="shared" si="139"/>
        <v>0</v>
      </c>
      <c r="BI88" s="554">
        <f t="shared" si="140"/>
        <v>0</v>
      </c>
      <c r="BJ88" s="556">
        <f t="shared" si="88"/>
        <v>0</v>
      </c>
    </row>
    <row r="89" spans="1:62" ht="18.75" hidden="1" x14ac:dyDescent="0.3">
      <c r="A89" s="396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1"/>
      <c r="U89" s="391"/>
      <c r="V89" s="541">
        <f>SUM(V74*0.29%)</f>
        <v>21.050820633818997</v>
      </c>
      <c r="W89" s="547"/>
      <c r="X89" s="541">
        <f>SUM(V89*стоки!AK65/стоки!AI65)</f>
        <v>21.050820633818994</v>
      </c>
      <c r="Y89" s="551">
        <f t="shared" si="109"/>
        <v>3.5527136788005009E-15</v>
      </c>
      <c r="Z89" s="376">
        <f t="shared" ref="Z89" si="162">SUM(V89/12)</f>
        <v>1.7542350528182498</v>
      </c>
      <c r="AA89" s="809"/>
      <c r="AB89" s="376">
        <f t="shared" si="129"/>
        <v>1.7542350528182498</v>
      </c>
      <c r="AC89" s="376">
        <f t="shared" si="130"/>
        <v>1.7542350528182498</v>
      </c>
      <c r="AD89" s="543">
        <f t="shared" si="131"/>
        <v>5.2627051584547493</v>
      </c>
      <c r="AE89" s="816"/>
      <c r="AF89" s="816"/>
      <c r="AG89" s="816"/>
      <c r="AH89" s="816"/>
      <c r="AI89" s="2155"/>
      <c r="AJ89" s="2155"/>
      <c r="AK89" s="2155"/>
      <c r="AL89" s="2155"/>
      <c r="AM89" s="2155"/>
      <c r="AN89" s="2155"/>
      <c r="AO89" s="2155"/>
      <c r="AP89" s="2155"/>
      <c r="AQ89" s="2624"/>
      <c r="AR89" s="2624"/>
      <c r="AS89" s="2624"/>
      <c r="AT89" s="2155"/>
      <c r="AU89" s="2155"/>
      <c r="AV89" s="542">
        <f t="shared" si="120"/>
        <v>1.7542350528182498</v>
      </c>
      <c r="AW89" s="542">
        <f t="shared" si="121"/>
        <v>1.7542350528182498</v>
      </c>
      <c r="AX89" s="542">
        <f t="shared" si="122"/>
        <v>1.7542350528182498</v>
      </c>
      <c r="AY89" s="543">
        <f t="shared" si="132"/>
        <v>5.2627051584547493</v>
      </c>
      <c r="AZ89" s="543">
        <f t="shared" si="81"/>
        <v>10.525410316909499</v>
      </c>
      <c r="BA89" s="542">
        <f t="shared" si="133"/>
        <v>1.7542350528182498</v>
      </c>
      <c r="BB89" s="542">
        <f t="shared" si="134"/>
        <v>1.7542350528182498</v>
      </c>
      <c r="BC89" s="542">
        <f t="shared" si="135"/>
        <v>1.7542350528182498</v>
      </c>
      <c r="BD89" s="543">
        <f t="shared" si="136"/>
        <v>5.2627051584547493</v>
      </c>
      <c r="BE89" s="543">
        <f t="shared" si="94"/>
        <v>15.788115475364247</v>
      </c>
      <c r="BF89" s="542">
        <f t="shared" si="137"/>
        <v>1.7542350528182498</v>
      </c>
      <c r="BG89" s="542">
        <f t="shared" si="138"/>
        <v>1.7542350528182498</v>
      </c>
      <c r="BH89" s="542">
        <f t="shared" si="139"/>
        <v>1.7542350528182498</v>
      </c>
      <c r="BI89" s="543">
        <f t="shared" si="140"/>
        <v>5.2627051584547493</v>
      </c>
      <c r="BJ89" s="549">
        <f t="shared" si="88"/>
        <v>21.05082063381899</v>
      </c>
    </row>
    <row r="90" spans="1:62" ht="18.75" hidden="1" x14ac:dyDescent="0.3">
      <c r="A90" s="396" t="s">
        <v>591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1"/>
      <c r="U90" s="391"/>
      <c r="V90" s="541">
        <f>SUM(V91:V94)</f>
        <v>556.03202087949489</v>
      </c>
      <c r="W90" s="547"/>
      <c r="X90" s="541">
        <f>SUM(X91:X94)</f>
        <v>556.03202087949489</v>
      </c>
      <c r="Y90" s="541">
        <f>SUM(Y91:Y94)</f>
        <v>0</v>
      </c>
      <c r="Z90" s="375">
        <f t="shared" ref="Z90:AC90" si="163">SUM(Z91:Z94)</f>
        <v>80.25709855849864</v>
      </c>
      <c r="AA90" s="811"/>
      <c r="AB90" s="375">
        <f t="shared" si="163"/>
        <v>70.701197480449366</v>
      </c>
      <c r="AC90" s="375">
        <f t="shared" si="163"/>
        <v>66.562771462315453</v>
      </c>
      <c r="AD90" s="543">
        <f t="shared" si="91"/>
        <v>217.52106750126345</v>
      </c>
      <c r="AE90" s="816"/>
      <c r="AF90" s="816"/>
      <c r="AG90" s="816"/>
      <c r="AH90" s="816"/>
      <c r="AI90" s="2155"/>
      <c r="AJ90" s="2155"/>
      <c r="AK90" s="2155"/>
      <c r="AL90" s="2155"/>
      <c r="AM90" s="2155"/>
      <c r="AN90" s="2155"/>
      <c r="AO90" s="2155"/>
      <c r="AP90" s="2155"/>
      <c r="AQ90" s="2624"/>
      <c r="AR90" s="2624"/>
      <c r="AS90" s="2624"/>
      <c r="AT90" s="2155"/>
      <c r="AU90" s="2155"/>
      <c r="AV90" s="375">
        <f t="shared" ref="AV90:AX90" si="164">SUM(AV91:AV94)</f>
        <v>52.125412986369064</v>
      </c>
      <c r="AW90" s="375">
        <f t="shared" si="164"/>
        <v>22.906905396078344</v>
      </c>
      <c r="AX90" s="375">
        <f t="shared" si="164"/>
        <v>13.912898694765433</v>
      </c>
      <c r="AY90" s="543">
        <f t="shared" si="92"/>
        <v>88.945217077212845</v>
      </c>
      <c r="AZ90" s="543">
        <f t="shared" si="81"/>
        <v>306.46628457847629</v>
      </c>
      <c r="BA90" s="375">
        <f t="shared" ref="BA90:BC90" si="165">SUM(BA91:BA94)</f>
        <v>13.912898694765433</v>
      </c>
      <c r="BB90" s="375">
        <f t="shared" si="165"/>
        <v>13.912898694765433</v>
      </c>
      <c r="BC90" s="375">
        <f t="shared" si="165"/>
        <v>29.919014517130307</v>
      </c>
      <c r="BD90" s="543">
        <f t="shared" si="93"/>
        <v>57.74481190666117</v>
      </c>
      <c r="BE90" s="543">
        <f t="shared" si="94"/>
        <v>364.21109648513743</v>
      </c>
      <c r="BF90" s="375">
        <f t="shared" ref="BF90:BH90" si="166">SUM(BF91:BF94)</f>
        <v>53.257999822845946</v>
      </c>
      <c r="BG90" s="375">
        <f t="shared" si="166"/>
        <v>63.387365865784112</v>
      </c>
      <c r="BH90" s="375">
        <f t="shared" si="166"/>
        <v>75.175558705727454</v>
      </c>
      <c r="BI90" s="543">
        <f t="shared" si="95"/>
        <v>191.82092439435752</v>
      </c>
      <c r="BJ90" s="549">
        <f t="shared" si="88"/>
        <v>556.03202087949501</v>
      </c>
    </row>
    <row r="91" spans="1:62" ht="18.75" hidden="1" x14ac:dyDescent="0.3">
      <c r="A91" s="388" t="s">
        <v>636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1"/>
      <c r="U91" s="391"/>
      <c r="V91" s="541">
        <f>SUM(V74*5.36%)</f>
        <v>389.07723654230978</v>
      </c>
      <c r="W91" s="547"/>
      <c r="X91" s="541">
        <f>SUM(V91*стоки!AK65/стоки!AI65)</f>
        <v>389.07723654230978</v>
      </c>
      <c r="Y91" s="551">
        <f t="shared" si="109"/>
        <v>0</v>
      </c>
      <c r="Z91" s="376">
        <f>SUM(V91/2094.54)/(1+(101%*100-100)/2/100)*358.94</f>
        <v>66.344199863733209</v>
      </c>
      <c r="AA91" s="809"/>
      <c r="AB91" s="376">
        <f>SUM(V91/2094.54)/(1+(101%*100-100)/2/100)*307.24</f>
        <v>56.788298785683942</v>
      </c>
      <c r="AC91" s="376">
        <f>SUM(V91/2094.54)/(1+(101%*100-100)/2/100)*284.85</f>
        <v>52.649872767550029</v>
      </c>
      <c r="AD91" s="543">
        <f t="shared" si="91"/>
        <v>175.78237141696718</v>
      </c>
      <c r="AE91" s="816"/>
      <c r="AF91" s="816"/>
      <c r="AG91" s="816"/>
      <c r="AH91" s="816"/>
      <c r="AI91" s="2155"/>
      <c r="AJ91" s="2155"/>
      <c r="AK91" s="2155"/>
      <c r="AL91" s="2155"/>
      <c r="AM91" s="2155"/>
      <c r="AN91" s="2155"/>
      <c r="AO91" s="2155"/>
      <c r="AP91" s="2155"/>
      <c r="AQ91" s="2624"/>
      <c r="AR91" s="2624"/>
      <c r="AS91" s="2624"/>
      <c r="AT91" s="2155"/>
      <c r="AU91" s="2155"/>
      <c r="AV91" s="376">
        <f>SUM(V91/2094.54)/(1+(101%*100-100)/2/100)*206.74</f>
        <v>38.212514291603625</v>
      </c>
      <c r="AW91" s="376">
        <f>SUM(V91/2094.54)/(1+(101%*100-100)/2/100)*48.66</f>
        <v>8.9940067013129159</v>
      </c>
      <c r="AX91" s="376">
        <v>0</v>
      </c>
      <c r="AY91" s="543">
        <f t="shared" si="92"/>
        <v>47.206520992916538</v>
      </c>
      <c r="AZ91" s="543">
        <f t="shared" si="81"/>
        <v>222.9888924098837</v>
      </c>
      <c r="BA91" s="376">
        <v>0</v>
      </c>
      <c r="BB91" s="376">
        <v>0</v>
      </c>
      <c r="BC91" s="376">
        <f>SUM(V91/2094.54)/(1+(101%*100-100)/2/100)*101%*85.74</f>
        <v>16.00611582236488</v>
      </c>
      <c r="BD91" s="543">
        <f t="shared" si="93"/>
        <v>16.00611582236488</v>
      </c>
      <c r="BE91" s="543">
        <f t="shared" si="94"/>
        <v>238.99500823224858</v>
      </c>
      <c r="BF91" s="376">
        <f>SUM(V91/2094.54)/(1+(101%*100-100)/2/100)*101%*210.76</f>
        <v>39.345101128080508</v>
      </c>
      <c r="BG91" s="376">
        <f>SUM(V91/2094.54)/(1+(101%*100-100)/2/100)*101%*265.02</f>
        <v>49.474467171018674</v>
      </c>
      <c r="BH91" s="376">
        <f>SUM(V91-BE91-BF91-BG91)</f>
        <v>61.262660010962023</v>
      </c>
      <c r="BI91" s="543">
        <f t="shared" si="95"/>
        <v>150.08222831006123</v>
      </c>
      <c r="BJ91" s="549">
        <f t="shared" si="88"/>
        <v>389.07723654230978</v>
      </c>
    </row>
    <row r="92" spans="1:62" ht="18.75" hidden="1" x14ac:dyDescent="0.3">
      <c r="A92" s="388" t="s">
        <v>548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1"/>
      <c r="U92" s="391"/>
      <c r="V92" s="541">
        <f>SUM(V74*1.89%)</f>
        <v>137.19327930316521</v>
      </c>
      <c r="W92" s="547"/>
      <c r="X92" s="541">
        <f>SUM(V92*стоки!AK65/стоки!AI65)</f>
        <v>137.19327930316521</v>
      </c>
      <c r="Y92" s="551">
        <f t="shared" si="109"/>
        <v>0</v>
      </c>
      <c r="Z92" s="376">
        <f t="shared" ref="Z92:Z94" si="167">SUM(V92/12)</f>
        <v>11.432773275263768</v>
      </c>
      <c r="AA92" s="809"/>
      <c r="AB92" s="376">
        <f t="shared" ref="AB92:AB94" si="168">SUM(Z92)</f>
        <v>11.432773275263768</v>
      </c>
      <c r="AC92" s="376">
        <f t="shared" ref="AC92:AC94" si="169">SUM(Z92)</f>
        <v>11.432773275263768</v>
      </c>
      <c r="AD92" s="543">
        <f t="shared" ref="AD92:AD94" si="170">SUM(Z92+AB92+AC92)</f>
        <v>34.298319825791303</v>
      </c>
      <c r="AE92" s="816"/>
      <c r="AF92" s="816"/>
      <c r="AG92" s="816"/>
      <c r="AH92" s="816"/>
      <c r="AI92" s="2155"/>
      <c r="AJ92" s="2155"/>
      <c r="AK92" s="2155"/>
      <c r="AL92" s="2155"/>
      <c r="AM92" s="2155"/>
      <c r="AN92" s="2155"/>
      <c r="AO92" s="2155"/>
      <c r="AP92" s="2155"/>
      <c r="AQ92" s="2624"/>
      <c r="AR92" s="2624"/>
      <c r="AS92" s="2624"/>
      <c r="AT92" s="2155"/>
      <c r="AU92" s="2155"/>
      <c r="AV92" s="542">
        <f>SUM(Z92)</f>
        <v>11.432773275263768</v>
      </c>
      <c r="AW92" s="542">
        <f>SUM(Z92)</f>
        <v>11.432773275263768</v>
      </c>
      <c r="AX92" s="542">
        <f>SUM(Z92)</f>
        <v>11.432773275263768</v>
      </c>
      <c r="AY92" s="543">
        <f t="shared" ref="AY92:AY94" si="171">SUM(AV92+AW92+AX92)</f>
        <v>34.298319825791303</v>
      </c>
      <c r="AZ92" s="543">
        <f t="shared" si="81"/>
        <v>68.596639651582606</v>
      </c>
      <c r="BA92" s="542">
        <f>SUM(Z92)</f>
        <v>11.432773275263768</v>
      </c>
      <c r="BB92" s="542">
        <f>SUM(Z92)</f>
        <v>11.432773275263768</v>
      </c>
      <c r="BC92" s="542">
        <f>SUM(Z92)</f>
        <v>11.432773275263768</v>
      </c>
      <c r="BD92" s="543">
        <f t="shared" ref="BD92:BD94" si="172">SUM(BA92+BB92+BC92)</f>
        <v>34.298319825791303</v>
      </c>
      <c r="BE92" s="543">
        <f t="shared" si="94"/>
        <v>102.8949594773739</v>
      </c>
      <c r="BF92" s="542">
        <f>SUM(Z92)</f>
        <v>11.432773275263768</v>
      </c>
      <c r="BG92" s="542">
        <f>SUM(Z92)</f>
        <v>11.432773275263768</v>
      </c>
      <c r="BH92" s="542">
        <f>SUM(Z92)</f>
        <v>11.432773275263768</v>
      </c>
      <c r="BI92" s="543">
        <f t="shared" ref="BI92:BI94" si="173">SUM(BF92+BG92+BH92)</f>
        <v>34.298319825791303</v>
      </c>
      <c r="BJ92" s="549">
        <f t="shared" si="88"/>
        <v>137.19327930316521</v>
      </c>
    </row>
    <row r="93" spans="1:62" ht="18.75" hidden="1" x14ac:dyDescent="0.3">
      <c r="A93" s="388" t="s">
        <v>547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1"/>
      <c r="U93" s="391"/>
      <c r="V93" s="541">
        <f>SUM(V74*0.01%)</f>
        <v>0.72589036668341378</v>
      </c>
      <c r="W93" s="547"/>
      <c r="X93" s="541">
        <f>SUM(V93*стоки!AK65/стоки!AI65)</f>
        <v>0.72589036668341378</v>
      </c>
      <c r="Y93" s="551">
        <f t="shared" si="109"/>
        <v>0</v>
      </c>
      <c r="Z93" s="376">
        <f t="shared" si="167"/>
        <v>6.0490863890284484E-2</v>
      </c>
      <c r="AA93" s="809"/>
      <c r="AB93" s="376">
        <f t="shared" si="168"/>
        <v>6.0490863890284484E-2</v>
      </c>
      <c r="AC93" s="376">
        <f t="shared" si="169"/>
        <v>6.0490863890284484E-2</v>
      </c>
      <c r="AD93" s="543">
        <f t="shared" si="170"/>
        <v>0.18147259167085344</v>
      </c>
      <c r="AE93" s="816"/>
      <c r="AF93" s="816"/>
      <c r="AG93" s="816"/>
      <c r="AH93" s="816"/>
      <c r="AI93" s="2155"/>
      <c r="AJ93" s="2155"/>
      <c r="AK93" s="2155"/>
      <c r="AL93" s="2155"/>
      <c r="AM93" s="2155"/>
      <c r="AN93" s="2155"/>
      <c r="AO93" s="2155"/>
      <c r="AP93" s="2155"/>
      <c r="AQ93" s="2624"/>
      <c r="AR93" s="2624"/>
      <c r="AS93" s="2624"/>
      <c r="AT93" s="2155"/>
      <c r="AU93" s="2155"/>
      <c r="AV93" s="542">
        <f>SUM(Z93)</f>
        <v>6.0490863890284484E-2</v>
      </c>
      <c r="AW93" s="542">
        <f>SUM(Z93)</f>
        <v>6.0490863890284484E-2</v>
      </c>
      <c r="AX93" s="542">
        <f>SUM(Z93)</f>
        <v>6.0490863890284484E-2</v>
      </c>
      <c r="AY93" s="543">
        <f t="shared" si="171"/>
        <v>0.18147259167085344</v>
      </c>
      <c r="AZ93" s="543">
        <f t="shared" si="81"/>
        <v>0.36294518334170689</v>
      </c>
      <c r="BA93" s="542">
        <f>SUM(Z93)</f>
        <v>6.0490863890284484E-2</v>
      </c>
      <c r="BB93" s="542">
        <f>SUM(Z93)</f>
        <v>6.0490863890284484E-2</v>
      </c>
      <c r="BC93" s="542">
        <f>SUM(Z93)</f>
        <v>6.0490863890284484E-2</v>
      </c>
      <c r="BD93" s="543">
        <f t="shared" si="172"/>
        <v>0.18147259167085344</v>
      </c>
      <c r="BE93" s="543">
        <f t="shared" si="94"/>
        <v>0.54441777501256028</v>
      </c>
      <c r="BF93" s="542">
        <f>SUM(Z93)</f>
        <v>6.0490863890284484E-2</v>
      </c>
      <c r="BG93" s="542">
        <f>SUM(Z93)</f>
        <v>6.0490863890284484E-2</v>
      </c>
      <c r="BH93" s="542">
        <f>SUM(Z93)</f>
        <v>6.0490863890284484E-2</v>
      </c>
      <c r="BI93" s="543">
        <f t="shared" si="173"/>
        <v>0.18147259167085344</v>
      </c>
      <c r="BJ93" s="549">
        <f t="shared" si="88"/>
        <v>0.72589036668341367</v>
      </c>
    </row>
    <row r="94" spans="1:62" ht="18.75" hidden="1" x14ac:dyDescent="0.3">
      <c r="A94" s="388" t="s">
        <v>549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1"/>
      <c r="U94" s="391"/>
      <c r="V94" s="541">
        <f>SUM(V74*0.4%)</f>
        <v>29.035614667336553</v>
      </c>
      <c r="W94" s="547"/>
      <c r="X94" s="541">
        <f>SUM(V94*стоки!AK65/стоки!AI65)</f>
        <v>29.035614667336553</v>
      </c>
      <c r="Y94" s="551">
        <f t="shared" si="109"/>
        <v>0</v>
      </c>
      <c r="Z94" s="376">
        <f t="shared" si="167"/>
        <v>2.4196345556113794</v>
      </c>
      <c r="AA94" s="809"/>
      <c r="AB94" s="376">
        <f t="shared" si="168"/>
        <v>2.4196345556113794</v>
      </c>
      <c r="AC94" s="376">
        <f t="shared" si="169"/>
        <v>2.4196345556113794</v>
      </c>
      <c r="AD94" s="543">
        <f t="shared" si="170"/>
        <v>7.2589036668341382</v>
      </c>
      <c r="AE94" s="816"/>
      <c r="AF94" s="816"/>
      <c r="AG94" s="816"/>
      <c r="AH94" s="816"/>
      <c r="AI94" s="2155"/>
      <c r="AJ94" s="2155"/>
      <c r="AK94" s="2155"/>
      <c r="AL94" s="2155"/>
      <c r="AM94" s="2155"/>
      <c r="AN94" s="2155"/>
      <c r="AO94" s="2155"/>
      <c r="AP94" s="2155"/>
      <c r="AQ94" s="2624"/>
      <c r="AR94" s="2624"/>
      <c r="AS94" s="2624"/>
      <c r="AT94" s="2155"/>
      <c r="AU94" s="2155"/>
      <c r="AV94" s="542">
        <f>SUM(Z94)</f>
        <v>2.4196345556113794</v>
      </c>
      <c r="AW94" s="542">
        <f>SUM(Z94)</f>
        <v>2.4196345556113794</v>
      </c>
      <c r="AX94" s="542">
        <f>SUM(Z94)</f>
        <v>2.4196345556113794</v>
      </c>
      <c r="AY94" s="543">
        <f t="shared" si="171"/>
        <v>7.2589036668341382</v>
      </c>
      <c r="AZ94" s="543">
        <f t="shared" si="81"/>
        <v>14.517807333668276</v>
      </c>
      <c r="BA94" s="542">
        <f>SUM(Z94)</f>
        <v>2.4196345556113794</v>
      </c>
      <c r="BB94" s="542">
        <f>SUM(Z94)</f>
        <v>2.4196345556113794</v>
      </c>
      <c r="BC94" s="542">
        <f>SUM(Z94)</f>
        <v>2.4196345556113794</v>
      </c>
      <c r="BD94" s="543">
        <f t="shared" si="172"/>
        <v>7.2589036668341382</v>
      </c>
      <c r="BE94" s="543">
        <f t="shared" si="94"/>
        <v>21.776711000502416</v>
      </c>
      <c r="BF94" s="542">
        <f>SUM(Z94)</f>
        <v>2.4196345556113794</v>
      </c>
      <c r="BG94" s="542">
        <f>SUM(Z94)</f>
        <v>2.4196345556113794</v>
      </c>
      <c r="BH94" s="542">
        <f>SUM(Z94)</f>
        <v>2.4196345556113794</v>
      </c>
      <c r="BI94" s="543">
        <f t="shared" si="173"/>
        <v>7.2589036668341382</v>
      </c>
      <c r="BJ94" s="549">
        <f t="shared" si="88"/>
        <v>29.03561466733656</v>
      </c>
    </row>
    <row r="95" spans="1:62" ht="18.75" hidden="1" x14ac:dyDescent="0.3">
      <c r="A95" s="396" t="s">
        <v>594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1"/>
      <c r="U95" s="391"/>
      <c r="V95" s="541">
        <f>SUM(V96:V99)</f>
        <v>474.0064094442692</v>
      </c>
      <c r="W95" s="547"/>
      <c r="X95" s="541">
        <f>SUM(V95*стоки!AK65/стоки!AI65)</f>
        <v>474.0064094442692</v>
      </c>
      <c r="Y95" s="551">
        <f t="shared" ref="Y95" si="174">SUM(V95-X95)</f>
        <v>0</v>
      </c>
      <c r="Z95" s="375">
        <f t="shared" ref="Z95:AC95" si="175">SUM(Z96:Z99)</f>
        <v>37.814314994895753</v>
      </c>
      <c r="AA95" s="811"/>
      <c r="AB95" s="375">
        <f t="shared" si="175"/>
        <v>37.814314994895753</v>
      </c>
      <c r="AC95" s="375">
        <f t="shared" si="175"/>
        <v>37.814314994895753</v>
      </c>
      <c r="AD95" s="543">
        <f t="shared" si="91"/>
        <v>113.44294498468726</v>
      </c>
      <c r="AE95" s="816"/>
      <c r="AF95" s="816"/>
      <c r="AG95" s="816"/>
      <c r="AH95" s="816"/>
      <c r="AI95" s="2155"/>
      <c r="AJ95" s="2155"/>
      <c r="AK95" s="2155"/>
      <c r="AL95" s="2155"/>
      <c r="AM95" s="2155"/>
      <c r="AN95" s="2155"/>
      <c r="AO95" s="2155"/>
      <c r="AP95" s="2155"/>
      <c r="AQ95" s="2624"/>
      <c r="AR95" s="2624"/>
      <c r="AS95" s="2624"/>
      <c r="AT95" s="2155"/>
      <c r="AU95" s="2155"/>
      <c r="AV95" s="375">
        <f t="shared" ref="AV95:AX95" si="176">SUM(AV96:AV99)</f>
        <v>37.96261439680918</v>
      </c>
      <c r="AW95" s="375">
        <f t="shared" si="176"/>
        <v>40.41779338404249</v>
      </c>
      <c r="AX95" s="375">
        <f t="shared" si="176"/>
        <v>42.559895856125237</v>
      </c>
      <c r="AY95" s="543">
        <f t="shared" si="92"/>
        <v>120.94030363697691</v>
      </c>
      <c r="AZ95" s="543">
        <f t="shared" si="81"/>
        <v>234.38324862166417</v>
      </c>
      <c r="BA95" s="375">
        <f t="shared" ref="BA95:BC95" si="177">SUM(BA96:BA99)</f>
        <v>43.202526597750065</v>
      </c>
      <c r="BB95" s="375">
        <f t="shared" si="177"/>
        <v>42.559895856125237</v>
      </c>
      <c r="BC95" s="375">
        <f t="shared" si="177"/>
        <v>40.41779338404249</v>
      </c>
      <c r="BD95" s="543">
        <f t="shared" si="93"/>
        <v>126.18021583791779</v>
      </c>
      <c r="BE95" s="543">
        <f t="shared" si="94"/>
        <v>360.56346445958195</v>
      </c>
      <c r="BF95" s="375">
        <f t="shared" ref="BF95:BH95" si="178">SUM(BF96:BF99)</f>
        <v>37.814314994895753</v>
      </c>
      <c r="BG95" s="375">
        <f t="shared" si="178"/>
        <v>37.814314994895753</v>
      </c>
      <c r="BH95" s="375">
        <f t="shared" si="178"/>
        <v>37.814314994895753</v>
      </c>
      <c r="BI95" s="543">
        <f t="shared" si="95"/>
        <v>113.44294498468726</v>
      </c>
      <c r="BJ95" s="549">
        <f t="shared" si="88"/>
        <v>474.00640944426931</v>
      </c>
    </row>
    <row r="96" spans="1:62" ht="18.75" hidden="1" x14ac:dyDescent="0.3">
      <c r="A96" s="388" t="s">
        <v>534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1"/>
      <c r="U96" s="391"/>
      <c r="V96" s="541">
        <f>SUM(V74*2.27%)</f>
        <v>164.77711323713493</v>
      </c>
      <c r="W96" s="547"/>
      <c r="X96" s="541">
        <f>SUM(V96*стоки!AK65/стоки!AI65)</f>
        <v>164.77711323713493</v>
      </c>
      <c r="Y96" s="551">
        <f t="shared" si="109"/>
        <v>0</v>
      </c>
      <c r="Z96" s="376">
        <f>SUM(V96*7.31%)</f>
        <v>12.045206977634562</v>
      </c>
      <c r="AA96" s="809"/>
      <c r="AB96" s="376">
        <f>SUM(V96*7.31%)</f>
        <v>12.045206977634562</v>
      </c>
      <c r="AC96" s="376">
        <f>SUM(V96*7.31%)</f>
        <v>12.045206977634562</v>
      </c>
      <c r="AD96" s="543">
        <f t="shared" ref="AD96:AD99" si="179">SUM(Z96+AB96+AC96)</f>
        <v>36.135620932903684</v>
      </c>
      <c r="AE96" s="816"/>
      <c r="AF96" s="816"/>
      <c r="AG96" s="816"/>
      <c r="AH96" s="816"/>
      <c r="AI96" s="2155"/>
      <c r="AJ96" s="2155"/>
      <c r="AK96" s="2155"/>
      <c r="AL96" s="2155"/>
      <c r="AM96" s="2155"/>
      <c r="AN96" s="2155"/>
      <c r="AO96" s="2155"/>
      <c r="AP96" s="2155"/>
      <c r="AQ96" s="2624"/>
      <c r="AR96" s="2624"/>
      <c r="AS96" s="2624"/>
      <c r="AT96" s="2155"/>
      <c r="AU96" s="2155"/>
      <c r="AV96" s="376">
        <f>SUM(V96*7.4%)</f>
        <v>12.193506379547987</v>
      </c>
      <c r="AW96" s="376">
        <f>SUM(V96*8.89%)</f>
        <v>14.648685366781296</v>
      </c>
      <c r="AX96" s="376">
        <f>SUM(V96*10.19%)</f>
        <v>16.790787838864048</v>
      </c>
      <c r="AY96" s="543">
        <f t="shared" ref="AY96:AY99" si="180">SUM(AV96+AW96+AX96)</f>
        <v>43.632979585193333</v>
      </c>
      <c r="AZ96" s="543">
        <f t="shared" ref="AZ96:AZ124" si="181">SUM(AD96+AY96)</f>
        <v>79.768600518097017</v>
      </c>
      <c r="BA96" s="376">
        <f>SUM(V96*10.58%)</f>
        <v>17.433418580488876</v>
      </c>
      <c r="BB96" s="376">
        <f>SUM(V96*10.19%)</f>
        <v>16.790787838864048</v>
      </c>
      <c r="BC96" s="376">
        <f>SUM(V96*8.89%)</f>
        <v>14.648685366781296</v>
      </c>
      <c r="BD96" s="543">
        <f t="shared" ref="BD96:BD99" si="182">SUM(BA96+BB96+BC96)</f>
        <v>48.872891786134218</v>
      </c>
      <c r="BE96" s="543">
        <f t="shared" si="94"/>
        <v>128.64149230423124</v>
      </c>
      <c r="BF96" s="376">
        <f>SUM(V96*7.31%)</f>
        <v>12.045206977634562</v>
      </c>
      <c r="BG96" s="376">
        <f>SUM(V96*7.31%)</f>
        <v>12.045206977634562</v>
      </c>
      <c r="BH96" s="376">
        <f>SUM(V96*7.31%)</f>
        <v>12.045206977634562</v>
      </c>
      <c r="BI96" s="543">
        <f t="shared" ref="BI96:BI99" si="183">SUM(BF96+BG96+BH96)</f>
        <v>36.135620932903684</v>
      </c>
      <c r="BJ96" s="549">
        <f t="shared" ref="BJ96:BJ124" si="184">SUM(BH96+BG96+BF96+BC96+BB96+BA96+AX96+AW96+AV96+AC96+AB96+Z96)</f>
        <v>164.77711323713493</v>
      </c>
    </row>
    <row r="97" spans="1:62" ht="18.75" hidden="1" x14ac:dyDescent="0.3">
      <c r="A97" s="388" t="s">
        <v>628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1"/>
      <c r="U97" s="391"/>
      <c r="V97" s="541">
        <f>SUM(V74*4.18%)</f>
        <v>303.42217327366694</v>
      </c>
      <c r="W97" s="547"/>
      <c r="X97" s="541">
        <f>SUM(V97*стоки!AK65/стоки!AI65)</f>
        <v>303.42217327366689</v>
      </c>
      <c r="Y97" s="551">
        <f t="shared" si="109"/>
        <v>5.6843418860808015E-14</v>
      </c>
      <c r="Z97" s="376">
        <f t="shared" ref="Z97:Z99" si="185">SUM(V97/12)</f>
        <v>25.285181106138911</v>
      </c>
      <c r="AA97" s="809"/>
      <c r="AB97" s="376">
        <f t="shared" ref="AB97:AB99" si="186">SUM(Z97)</f>
        <v>25.285181106138911</v>
      </c>
      <c r="AC97" s="376">
        <f t="shared" ref="AC97:AC99" si="187">SUM(Z97)</f>
        <v>25.285181106138911</v>
      </c>
      <c r="AD97" s="543">
        <f t="shared" si="179"/>
        <v>75.855543318416736</v>
      </c>
      <c r="AE97" s="816"/>
      <c r="AF97" s="816"/>
      <c r="AG97" s="816"/>
      <c r="AH97" s="816"/>
      <c r="AI97" s="2155"/>
      <c r="AJ97" s="2155"/>
      <c r="AK97" s="2155"/>
      <c r="AL97" s="2155"/>
      <c r="AM97" s="2155"/>
      <c r="AN97" s="2155"/>
      <c r="AO97" s="2155"/>
      <c r="AP97" s="2155"/>
      <c r="AQ97" s="2624"/>
      <c r="AR97" s="2624"/>
      <c r="AS97" s="2624"/>
      <c r="AT97" s="2155"/>
      <c r="AU97" s="2155"/>
      <c r="AV97" s="542">
        <f>SUM(Z97)</f>
        <v>25.285181106138911</v>
      </c>
      <c r="AW97" s="542">
        <f>SUM(Z97)</f>
        <v>25.285181106138911</v>
      </c>
      <c r="AX97" s="542">
        <f>SUM(Z97)</f>
        <v>25.285181106138911</v>
      </c>
      <c r="AY97" s="543">
        <f t="shared" si="180"/>
        <v>75.855543318416736</v>
      </c>
      <c r="AZ97" s="543">
        <f t="shared" si="181"/>
        <v>151.71108663683347</v>
      </c>
      <c r="BA97" s="542">
        <f>SUM(Z97)</f>
        <v>25.285181106138911</v>
      </c>
      <c r="BB97" s="542">
        <f>SUM(Z97)</f>
        <v>25.285181106138911</v>
      </c>
      <c r="BC97" s="542">
        <f>SUM(Z97)</f>
        <v>25.285181106138911</v>
      </c>
      <c r="BD97" s="543">
        <f t="shared" si="182"/>
        <v>75.855543318416736</v>
      </c>
      <c r="BE97" s="543">
        <f t="shared" si="94"/>
        <v>227.56662995525022</v>
      </c>
      <c r="BF97" s="542">
        <f>SUM(Z97)</f>
        <v>25.285181106138911</v>
      </c>
      <c r="BG97" s="542">
        <f>SUM(Z97)</f>
        <v>25.285181106138911</v>
      </c>
      <c r="BH97" s="542">
        <f>SUM(Z97)</f>
        <v>25.285181106138911</v>
      </c>
      <c r="BI97" s="543">
        <f t="shared" si="183"/>
        <v>75.855543318416736</v>
      </c>
      <c r="BJ97" s="549">
        <f t="shared" si="184"/>
        <v>303.42217327366694</v>
      </c>
    </row>
    <row r="98" spans="1:62" ht="18.75" hidden="1" x14ac:dyDescent="0.3">
      <c r="A98" s="388" t="s">
        <v>543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1"/>
      <c r="U98" s="391"/>
      <c r="V98" s="541">
        <f>SUM(V74*0.07%)</f>
        <v>5.0812325667838971</v>
      </c>
      <c r="W98" s="547"/>
      <c r="X98" s="541">
        <f>SUM(V98*стоки!AK65/стоки!AI65)</f>
        <v>5.0812325667838971</v>
      </c>
      <c r="Y98" s="551">
        <f t="shared" si="109"/>
        <v>0</v>
      </c>
      <c r="Z98" s="376">
        <f t="shared" si="185"/>
        <v>0.42343604723199141</v>
      </c>
      <c r="AA98" s="809"/>
      <c r="AB98" s="376">
        <f t="shared" si="186"/>
        <v>0.42343604723199141</v>
      </c>
      <c r="AC98" s="376">
        <f t="shared" si="187"/>
        <v>0.42343604723199141</v>
      </c>
      <c r="AD98" s="543">
        <f t="shared" si="179"/>
        <v>1.2703081416959743</v>
      </c>
      <c r="AE98" s="816"/>
      <c r="AF98" s="816"/>
      <c r="AG98" s="816"/>
      <c r="AH98" s="816"/>
      <c r="AI98" s="2155"/>
      <c r="AJ98" s="2155"/>
      <c r="AK98" s="2155"/>
      <c r="AL98" s="2155"/>
      <c r="AM98" s="2155"/>
      <c r="AN98" s="2155"/>
      <c r="AO98" s="2155"/>
      <c r="AP98" s="2155"/>
      <c r="AQ98" s="2624"/>
      <c r="AR98" s="2624"/>
      <c r="AS98" s="2624"/>
      <c r="AT98" s="2155"/>
      <c r="AU98" s="2155"/>
      <c r="AV98" s="542">
        <f>SUM(Z98)</f>
        <v>0.42343604723199141</v>
      </c>
      <c r="AW98" s="542">
        <f>SUM(Z98)</f>
        <v>0.42343604723199141</v>
      </c>
      <c r="AX98" s="542">
        <f>SUM(Z98)</f>
        <v>0.42343604723199141</v>
      </c>
      <c r="AY98" s="543">
        <f t="shared" si="180"/>
        <v>1.2703081416959743</v>
      </c>
      <c r="AZ98" s="543">
        <f t="shared" si="181"/>
        <v>2.5406162833919486</v>
      </c>
      <c r="BA98" s="542">
        <f>SUM(Z98)</f>
        <v>0.42343604723199141</v>
      </c>
      <c r="BB98" s="542">
        <f>SUM(Z98)</f>
        <v>0.42343604723199141</v>
      </c>
      <c r="BC98" s="542">
        <f>SUM(Z98)</f>
        <v>0.42343604723199141</v>
      </c>
      <c r="BD98" s="543">
        <f t="shared" si="182"/>
        <v>1.2703081416959743</v>
      </c>
      <c r="BE98" s="543">
        <f t="shared" si="94"/>
        <v>3.8109244250879231</v>
      </c>
      <c r="BF98" s="542">
        <f>SUM(Z98)</f>
        <v>0.42343604723199141</v>
      </c>
      <c r="BG98" s="542">
        <f>SUM(Z98)</f>
        <v>0.42343604723199141</v>
      </c>
      <c r="BH98" s="542">
        <f>SUM(Z98)</f>
        <v>0.42343604723199141</v>
      </c>
      <c r="BI98" s="543">
        <f t="shared" si="183"/>
        <v>1.2703081416959743</v>
      </c>
      <c r="BJ98" s="549">
        <f t="shared" si="184"/>
        <v>5.0812325667838971</v>
      </c>
    </row>
    <row r="99" spans="1:62" ht="18.75" hidden="1" x14ac:dyDescent="0.3">
      <c r="A99" s="388" t="s">
        <v>598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1"/>
      <c r="U99" s="391"/>
      <c r="V99" s="541">
        <f>SUM(V74*0.01%)</f>
        <v>0.72589036668341378</v>
      </c>
      <c r="W99" s="547"/>
      <c r="X99" s="541">
        <f>SUM(V99*стоки!AK65/стоки!AI65)</f>
        <v>0.72589036668341378</v>
      </c>
      <c r="Y99" s="551">
        <f t="shared" si="109"/>
        <v>0</v>
      </c>
      <c r="Z99" s="376">
        <f t="shared" si="185"/>
        <v>6.0490863890284484E-2</v>
      </c>
      <c r="AA99" s="809"/>
      <c r="AB99" s="376">
        <f t="shared" si="186"/>
        <v>6.0490863890284484E-2</v>
      </c>
      <c r="AC99" s="376">
        <f t="shared" si="187"/>
        <v>6.0490863890284484E-2</v>
      </c>
      <c r="AD99" s="543">
        <f t="shared" si="179"/>
        <v>0.18147259167085344</v>
      </c>
      <c r="AE99" s="816"/>
      <c r="AF99" s="816"/>
      <c r="AG99" s="816"/>
      <c r="AH99" s="816"/>
      <c r="AI99" s="2155"/>
      <c r="AJ99" s="2155"/>
      <c r="AK99" s="2155"/>
      <c r="AL99" s="2155"/>
      <c r="AM99" s="2155"/>
      <c r="AN99" s="2155"/>
      <c r="AO99" s="2155"/>
      <c r="AP99" s="2155"/>
      <c r="AQ99" s="2624"/>
      <c r="AR99" s="2624"/>
      <c r="AS99" s="2624"/>
      <c r="AT99" s="2155"/>
      <c r="AU99" s="2155"/>
      <c r="AV99" s="542">
        <f>SUM(Z99)</f>
        <v>6.0490863890284484E-2</v>
      </c>
      <c r="AW99" s="542">
        <f>SUM(Z99)</f>
        <v>6.0490863890284484E-2</v>
      </c>
      <c r="AX99" s="542">
        <f>SUM(Z99)</f>
        <v>6.0490863890284484E-2</v>
      </c>
      <c r="AY99" s="543">
        <f t="shared" si="180"/>
        <v>0.18147259167085344</v>
      </c>
      <c r="AZ99" s="543">
        <f t="shared" si="181"/>
        <v>0.36294518334170689</v>
      </c>
      <c r="BA99" s="542">
        <f>SUM(Z99)</f>
        <v>6.0490863890284484E-2</v>
      </c>
      <c r="BB99" s="542">
        <f>SUM(Z99)</f>
        <v>6.0490863890284484E-2</v>
      </c>
      <c r="BC99" s="542">
        <f>SUM(Z99)</f>
        <v>6.0490863890284484E-2</v>
      </c>
      <c r="BD99" s="543">
        <f t="shared" si="182"/>
        <v>0.18147259167085344</v>
      </c>
      <c r="BE99" s="543">
        <f t="shared" si="94"/>
        <v>0.54441777501256028</v>
      </c>
      <c r="BF99" s="542">
        <f>SUM(Z99)</f>
        <v>6.0490863890284484E-2</v>
      </c>
      <c r="BG99" s="542">
        <f>SUM(Z99)</f>
        <v>6.0490863890284484E-2</v>
      </c>
      <c r="BH99" s="542">
        <f>SUM(Z99)</f>
        <v>6.0490863890284484E-2</v>
      </c>
      <c r="BI99" s="543">
        <f t="shared" si="183"/>
        <v>0.18147259167085344</v>
      </c>
      <c r="BJ99" s="549">
        <f t="shared" si="184"/>
        <v>0.72589036668341367</v>
      </c>
    </row>
    <row r="100" spans="1:62" ht="18.75" hidden="1" x14ac:dyDescent="0.3">
      <c r="A100" s="539" t="s">
        <v>606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1"/>
      <c r="U100" s="391"/>
      <c r="V100" s="544">
        <f>SUM(AC49)</f>
        <v>690.17495043218662</v>
      </c>
      <c r="W100" s="547"/>
      <c r="X100" s="544">
        <f>SUM(V100*стоки!AK65/стоки!AI65)</f>
        <v>690.17495043218662</v>
      </c>
      <c r="Y100" s="550">
        <f>SUM(V100-X100)</f>
        <v>0</v>
      </c>
      <c r="Z100" s="373">
        <f>SUM(Z101+Z102+Z104+Z105+Z106+Z107+Z108+Z109+Z111)</f>
        <v>57.514004056890194</v>
      </c>
      <c r="AA100" s="808"/>
      <c r="AB100" s="373">
        <f t="shared" ref="AB100:AC100" si="188">SUM(AB101+AB102+AB104+AB105+AB106+AB107+AB108+AB109+AB111)</f>
        <v>57.514004056890194</v>
      </c>
      <c r="AC100" s="373">
        <f t="shared" si="188"/>
        <v>57.514004056890194</v>
      </c>
      <c r="AD100" s="552">
        <f t="shared" si="91"/>
        <v>172.54201217067057</v>
      </c>
      <c r="AE100" s="815"/>
      <c r="AF100" s="815"/>
      <c r="AG100" s="815"/>
      <c r="AH100" s="815"/>
      <c r="AI100" s="2154"/>
      <c r="AJ100" s="2154"/>
      <c r="AK100" s="2154"/>
      <c r="AL100" s="2154"/>
      <c r="AM100" s="2154"/>
      <c r="AN100" s="2154"/>
      <c r="AO100" s="2154"/>
      <c r="AP100" s="2154"/>
      <c r="AQ100" s="2623"/>
      <c r="AR100" s="2623"/>
      <c r="AS100" s="2623"/>
      <c r="AT100" s="2154"/>
      <c r="AU100" s="2154"/>
      <c r="AV100" s="373">
        <f t="shared" ref="AV100" si="189">SUM(AV101+AV102+AV104+AV105+AV106+AV107+AV108+AV109+AV111)</f>
        <v>57.514004056890194</v>
      </c>
      <c r="AW100" s="373">
        <f t="shared" ref="AW100" si="190">SUM(AW101+AW102+AW104+AW105+AW106+AW107+AW108+AW109+AW111)</f>
        <v>57.514004056890194</v>
      </c>
      <c r="AX100" s="373">
        <f t="shared" ref="AX100" si="191">SUM(AX101+AX102+AX104+AX105+AX106+AX107+AX108+AX109+AX111)</f>
        <v>57.514004056890194</v>
      </c>
      <c r="AY100" s="552">
        <f t="shared" si="92"/>
        <v>172.54201217067057</v>
      </c>
      <c r="AZ100" s="552">
        <f t="shared" si="181"/>
        <v>345.08402434134115</v>
      </c>
      <c r="BA100" s="373">
        <f t="shared" ref="BA100" si="192">SUM(BA101+BA102+BA104+BA105+BA106+BA107+BA108+BA109+BA111)</f>
        <v>57.514004056890194</v>
      </c>
      <c r="BB100" s="373">
        <f t="shared" ref="BB100" si="193">SUM(BB101+BB102+BB104+BB105+BB106+BB107+BB108+BB109+BB111)</f>
        <v>57.514004056890194</v>
      </c>
      <c r="BC100" s="373">
        <f t="shared" ref="BC100" si="194">SUM(BC101+BC102+BC104+BC105+BC106+BC107+BC108+BC109+BC111)</f>
        <v>57.514004056890194</v>
      </c>
      <c r="BD100" s="552">
        <f t="shared" si="93"/>
        <v>172.54201217067057</v>
      </c>
      <c r="BE100" s="552">
        <f t="shared" si="94"/>
        <v>517.62603651201175</v>
      </c>
      <c r="BF100" s="373">
        <f t="shared" ref="BF100" si="195">SUM(BF101+BF102+BF104+BF105+BF106+BF107+BF108+BF109+BF111)</f>
        <v>57.514004056890194</v>
      </c>
      <c r="BG100" s="373">
        <f t="shared" ref="BG100" si="196">SUM(BG101+BG102+BG104+BG105+BG106+BG107+BG108+BG109+BG111)</f>
        <v>57.514004056890194</v>
      </c>
      <c r="BH100" s="373">
        <f t="shared" ref="BH100" si="197">SUM(BH101+BH102+BH104+BH105+BH106+BH107+BH108+BH109+BH111)</f>
        <v>57.514004056890194</v>
      </c>
      <c r="BI100" s="552">
        <f t="shared" si="95"/>
        <v>172.54201217067057</v>
      </c>
      <c r="BJ100" s="549">
        <f t="shared" si="184"/>
        <v>690.16804868268218</v>
      </c>
    </row>
    <row r="101" spans="1:62" ht="18.75" hidden="1" x14ac:dyDescent="0.3">
      <c r="A101" s="396" t="s">
        <v>71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1"/>
      <c r="U101" s="391"/>
      <c r="V101" s="541">
        <f>SUM(V100*0%)</f>
        <v>0</v>
      </c>
      <c r="W101" s="547"/>
      <c r="X101" s="541">
        <f>SUM(V101*стоки!AK65/стоки!AI65)</f>
        <v>0</v>
      </c>
      <c r="Y101" s="551">
        <f t="shared" ref="Y101:Y109" si="198">SUM(V101-X101)</f>
        <v>0</v>
      </c>
      <c r="Z101" s="376">
        <f>SUM(V101/2)/(1+(106.7%*100-100)/2/100)/6</f>
        <v>0</v>
      </c>
      <c r="AA101" s="809"/>
      <c r="AB101" s="375">
        <f>SUM(Z101)</f>
        <v>0</v>
      </c>
      <c r="AC101" s="376">
        <f>SUM(Z101)</f>
        <v>0</v>
      </c>
      <c r="AD101" s="543">
        <f>SUM(Z101+AB101+AC101)</f>
        <v>0</v>
      </c>
      <c r="AE101" s="816"/>
      <c r="AF101" s="816"/>
      <c r="AG101" s="816"/>
      <c r="AH101" s="816"/>
      <c r="AI101" s="2155"/>
      <c r="AJ101" s="2155"/>
      <c r="AK101" s="2155"/>
      <c r="AL101" s="2155"/>
      <c r="AM101" s="2155"/>
      <c r="AN101" s="2155"/>
      <c r="AO101" s="2155"/>
      <c r="AP101" s="2155"/>
      <c r="AQ101" s="2624"/>
      <c r="AR101" s="2624"/>
      <c r="AS101" s="2624"/>
      <c r="AT101" s="2155"/>
      <c r="AU101" s="2155"/>
      <c r="AV101" s="542">
        <f t="shared" ref="AV101:AV108" si="199">SUM(Z101)</f>
        <v>0</v>
      </c>
      <c r="AW101" s="542">
        <f t="shared" ref="AW101:AW108" si="200">SUM(Z101)</f>
        <v>0</v>
      </c>
      <c r="AX101" s="542">
        <f t="shared" ref="AX101:AX108" si="201">SUM(Z101)</f>
        <v>0</v>
      </c>
      <c r="AY101" s="543">
        <f>SUM(AV101+AW101+AX101)</f>
        <v>0</v>
      </c>
      <c r="AZ101" s="543">
        <f t="shared" si="181"/>
        <v>0</v>
      </c>
      <c r="BA101" s="542">
        <f>SUM(V101-AZ101)/6</f>
        <v>0</v>
      </c>
      <c r="BB101" s="542">
        <f>SUM(BA101)</f>
        <v>0</v>
      </c>
      <c r="BC101" s="542">
        <f>SUM(BA101)</f>
        <v>0</v>
      </c>
      <c r="BD101" s="543">
        <f>SUM(BA101+BB101+BC101)</f>
        <v>0</v>
      </c>
      <c r="BE101" s="543">
        <f>SUM(AZ101+BD101)</f>
        <v>0</v>
      </c>
      <c r="BF101" s="542">
        <f>SUM(BA101)</f>
        <v>0</v>
      </c>
      <c r="BG101" s="542">
        <f>SUM(BA101)</f>
        <v>0</v>
      </c>
      <c r="BH101" s="542">
        <f>SUM(BA101)</f>
        <v>0</v>
      </c>
      <c r="BI101" s="543">
        <f>SUM(BF101+BG101+BH101)</f>
        <v>0</v>
      </c>
      <c r="BJ101" s="549">
        <f t="shared" si="184"/>
        <v>0</v>
      </c>
    </row>
    <row r="102" spans="1:62" ht="18.75" hidden="1" x14ac:dyDescent="0.3">
      <c r="A102" s="396" t="s">
        <v>114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1"/>
      <c r="U102" s="391"/>
      <c r="V102" s="541">
        <f>SUM(V100*0%)</f>
        <v>0</v>
      </c>
      <c r="W102" s="547"/>
      <c r="X102" s="541">
        <f>SUM(V102*стоки!AK65/стоки!AI65)</f>
        <v>0</v>
      </c>
      <c r="Y102" s="551">
        <f t="shared" si="198"/>
        <v>0</v>
      </c>
      <c r="Z102" s="376">
        <v>0</v>
      </c>
      <c r="AA102" s="809"/>
      <c r="AB102" s="376">
        <f>SUM(Z102)</f>
        <v>0</v>
      </c>
      <c r="AC102" s="375">
        <f>SUM(Z102)</f>
        <v>0</v>
      </c>
      <c r="AD102" s="543">
        <f t="shared" ref="AD102" si="202">SUM(Z102+AB102+AC102)</f>
        <v>0</v>
      </c>
      <c r="AE102" s="816"/>
      <c r="AF102" s="816"/>
      <c r="AG102" s="816"/>
      <c r="AH102" s="816"/>
      <c r="AI102" s="2155"/>
      <c r="AJ102" s="2155"/>
      <c r="AK102" s="2155"/>
      <c r="AL102" s="2155"/>
      <c r="AM102" s="2155"/>
      <c r="AN102" s="2155"/>
      <c r="AO102" s="2155"/>
      <c r="AP102" s="2155"/>
      <c r="AQ102" s="2624"/>
      <c r="AR102" s="2624"/>
      <c r="AS102" s="2624"/>
      <c r="AT102" s="2155"/>
      <c r="AU102" s="2155"/>
      <c r="AV102" s="542">
        <f t="shared" si="199"/>
        <v>0</v>
      </c>
      <c r="AW102" s="542">
        <f t="shared" si="200"/>
        <v>0</v>
      </c>
      <c r="AX102" s="542">
        <f t="shared" si="201"/>
        <v>0</v>
      </c>
      <c r="AY102" s="543">
        <f t="shared" ref="AY102" si="203">SUM(AV102+AW102+AX102)</f>
        <v>0</v>
      </c>
      <c r="AZ102" s="543">
        <f t="shared" si="181"/>
        <v>0</v>
      </c>
      <c r="BA102" s="542">
        <f>SUM(V102-AZ102)/6</f>
        <v>0</v>
      </c>
      <c r="BB102" s="542">
        <f>SUM(BA102)</f>
        <v>0</v>
      </c>
      <c r="BC102" s="542">
        <f>SUM(BA102)</f>
        <v>0</v>
      </c>
      <c r="BD102" s="543">
        <f t="shared" ref="BD102" si="204">SUM(BA102+BB102+BC102)</f>
        <v>0</v>
      </c>
      <c r="BE102" s="543">
        <f t="shared" ref="BE102:BE108" si="205">SUM(AZ102+BD102)</f>
        <v>0</v>
      </c>
      <c r="BF102" s="542">
        <f>SUM(BA102)</f>
        <v>0</v>
      </c>
      <c r="BG102" s="542">
        <f>SUM(BA102)</f>
        <v>0</v>
      </c>
      <c r="BH102" s="542">
        <f>SUM(BA102)</f>
        <v>0</v>
      </c>
      <c r="BI102" s="543">
        <f t="shared" ref="BI102" si="206">SUM(BF102+BG102+BH102)</f>
        <v>0</v>
      </c>
      <c r="BJ102" s="549">
        <f t="shared" si="184"/>
        <v>0</v>
      </c>
    </row>
    <row r="103" spans="1:62" ht="18.75" hidden="1" x14ac:dyDescent="0.3">
      <c r="A103" s="578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1"/>
      <c r="U103" s="391"/>
      <c r="V103" s="580">
        <v>0</v>
      </c>
      <c r="W103" s="547"/>
      <c r="X103" s="580">
        <v>0</v>
      </c>
      <c r="Y103" s="581">
        <v>0</v>
      </c>
      <c r="Z103" s="376">
        <v>0</v>
      </c>
      <c r="AA103" s="809"/>
      <c r="AB103" s="376">
        <f>SUM(Z103)</f>
        <v>0</v>
      </c>
      <c r="AC103" s="375">
        <f>SUM(Z103)</f>
        <v>0</v>
      </c>
      <c r="AD103" s="543">
        <f t="shared" ref="AD103" si="207">SUM(Z103+AB103+AC103)</f>
        <v>0</v>
      </c>
      <c r="AE103" s="816"/>
      <c r="AF103" s="816"/>
      <c r="AG103" s="816"/>
      <c r="AH103" s="816"/>
      <c r="AI103" s="2155"/>
      <c r="AJ103" s="2155"/>
      <c r="AK103" s="2155"/>
      <c r="AL103" s="2155"/>
      <c r="AM103" s="2155"/>
      <c r="AN103" s="2155"/>
      <c r="AO103" s="2155"/>
      <c r="AP103" s="2155"/>
      <c r="AQ103" s="2624"/>
      <c r="AR103" s="2624"/>
      <c r="AS103" s="2624"/>
      <c r="AT103" s="2155"/>
      <c r="AU103" s="2155"/>
      <c r="AV103" s="542">
        <f t="shared" si="199"/>
        <v>0</v>
      </c>
      <c r="AW103" s="542">
        <f t="shared" si="200"/>
        <v>0</v>
      </c>
      <c r="AX103" s="542">
        <f t="shared" si="201"/>
        <v>0</v>
      </c>
      <c r="AY103" s="543">
        <f t="shared" ref="AY103" si="208">SUM(AV103+AW103+AX103)</f>
        <v>0</v>
      </c>
      <c r="AZ103" s="543">
        <f t="shared" si="181"/>
        <v>0</v>
      </c>
      <c r="BA103" s="542">
        <f>SUM(V103-AZ103)/6</f>
        <v>0</v>
      </c>
      <c r="BB103" s="542">
        <f>SUM(BA103)</f>
        <v>0</v>
      </c>
      <c r="BC103" s="542">
        <f>SUM(BA103)</f>
        <v>0</v>
      </c>
      <c r="BD103" s="543">
        <f t="shared" ref="BD103" si="209">SUM(BA103+BB103+BC103)</f>
        <v>0</v>
      </c>
      <c r="BE103" s="543">
        <f t="shared" ref="BE103" si="210">SUM(AZ103+BD103)</f>
        <v>0</v>
      </c>
      <c r="BF103" s="542">
        <f>SUM(BA103)</f>
        <v>0</v>
      </c>
      <c r="BG103" s="542">
        <f>SUM(BA103)</f>
        <v>0</v>
      </c>
      <c r="BH103" s="542">
        <f>SUM(BA103)</f>
        <v>0</v>
      </c>
      <c r="BI103" s="543">
        <f t="shared" ref="BI103" si="211">SUM(BF103+BG103+BH103)</f>
        <v>0</v>
      </c>
      <c r="BJ103" s="549">
        <f t="shared" si="184"/>
        <v>0</v>
      </c>
    </row>
    <row r="104" spans="1:62" ht="18.75" hidden="1" x14ac:dyDescent="0.3">
      <c r="A104" s="396" t="s">
        <v>588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1"/>
      <c r="U104" s="391"/>
      <c r="V104" s="541">
        <f>SUM(V100*88.63%)</f>
        <v>611.70205856804694</v>
      </c>
      <c r="W104" s="547"/>
      <c r="X104" s="541">
        <f>SUM(V104*стоки!AK65/стоки!AI65)</f>
        <v>611.70205856804705</v>
      </c>
      <c r="Y104" s="551">
        <f t="shared" si="198"/>
        <v>-1.1368683772161603E-13</v>
      </c>
      <c r="Z104" s="376">
        <f t="shared" ref="Z104:Z108" si="212">SUM(V104/12)</f>
        <v>50.975171547337247</v>
      </c>
      <c r="AA104" s="809"/>
      <c r="AB104" s="376">
        <f t="shared" ref="AB104:AB108" si="213">SUM(Z104)</f>
        <v>50.975171547337247</v>
      </c>
      <c r="AC104" s="376">
        <f t="shared" ref="AC104:AC108" si="214">SUM(Z104)</f>
        <v>50.975171547337247</v>
      </c>
      <c r="AD104" s="543">
        <f t="shared" ref="AD104:AD108" si="215">SUM(Z104+AB104+AC104)</f>
        <v>152.92551464201173</v>
      </c>
      <c r="AE104" s="816"/>
      <c r="AF104" s="816"/>
      <c r="AG104" s="816"/>
      <c r="AH104" s="816"/>
      <c r="AI104" s="2155"/>
      <c r="AJ104" s="2155"/>
      <c r="AK104" s="2155"/>
      <c r="AL104" s="2155"/>
      <c r="AM104" s="2155"/>
      <c r="AN104" s="2155"/>
      <c r="AO104" s="2155"/>
      <c r="AP104" s="2155"/>
      <c r="AQ104" s="2624"/>
      <c r="AR104" s="2624"/>
      <c r="AS104" s="2624"/>
      <c r="AT104" s="2155"/>
      <c r="AU104" s="2155"/>
      <c r="AV104" s="542">
        <f t="shared" si="199"/>
        <v>50.975171547337247</v>
      </c>
      <c r="AW104" s="542">
        <f t="shared" si="200"/>
        <v>50.975171547337247</v>
      </c>
      <c r="AX104" s="542">
        <f t="shared" si="201"/>
        <v>50.975171547337247</v>
      </c>
      <c r="AY104" s="543">
        <f t="shared" ref="AY104:AY108" si="216">SUM(AV104+AW104+AX104)</f>
        <v>152.92551464201173</v>
      </c>
      <c r="AZ104" s="543">
        <f t="shared" si="181"/>
        <v>305.85102928402347</v>
      </c>
      <c r="BA104" s="542">
        <f>SUM(Z104)</f>
        <v>50.975171547337247</v>
      </c>
      <c r="BB104" s="542">
        <f>SUM(Z104)</f>
        <v>50.975171547337247</v>
      </c>
      <c r="BC104" s="542">
        <f>SUM(Z104)</f>
        <v>50.975171547337247</v>
      </c>
      <c r="BD104" s="543">
        <f t="shared" ref="BD104:BD108" si="217">SUM(BA104+BB104+BC104)</f>
        <v>152.92551464201173</v>
      </c>
      <c r="BE104" s="543">
        <f t="shared" si="205"/>
        <v>458.77654392603517</v>
      </c>
      <c r="BF104" s="542">
        <f>SUM(Z104)</f>
        <v>50.975171547337247</v>
      </c>
      <c r="BG104" s="542">
        <f>SUM(Z104)</f>
        <v>50.975171547337247</v>
      </c>
      <c r="BH104" s="542">
        <f>SUM(Z104)</f>
        <v>50.975171547337247</v>
      </c>
      <c r="BI104" s="543">
        <f t="shared" ref="BI104:BI108" si="218">SUM(BF104+BG104+BH104)</f>
        <v>152.92551464201173</v>
      </c>
      <c r="BJ104" s="549">
        <f t="shared" si="184"/>
        <v>611.70205856804694</v>
      </c>
    </row>
    <row r="105" spans="1:62" ht="18.75" hidden="1" x14ac:dyDescent="0.3">
      <c r="A105" s="396" t="s">
        <v>590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1"/>
      <c r="U105" s="391"/>
      <c r="V105" s="541">
        <f>SUM(V100*6.9%)</f>
        <v>47.622071579820883</v>
      </c>
      <c r="W105" s="547"/>
      <c r="X105" s="541">
        <f>SUM(V105*стоки!AK65/стоки!AI65)</f>
        <v>47.622071579820883</v>
      </c>
      <c r="Y105" s="551">
        <f t="shared" si="198"/>
        <v>0</v>
      </c>
      <c r="Z105" s="376">
        <f t="shared" si="212"/>
        <v>3.9685059649850736</v>
      </c>
      <c r="AA105" s="809"/>
      <c r="AB105" s="376">
        <f t="shared" si="213"/>
        <v>3.9685059649850736</v>
      </c>
      <c r="AC105" s="376">
        <f t="shared" si="214"/>
        <v>3.9685059649850736</v>
      </c>
      <c r="AD105" s="543">
        <f t="shared" si="215"/>
        <v>11.905517894955221</v>
      </c>
      <c r="AE105" s="816"/>
      <c r="AF105" s="816"/>
      <c r="AG105" s="816"/>
      <c r="AH105" s="816"/>
      <c r="AI105" s="2155"/>
      <c r="AJ105" s="2155"/>
      <c r="AK105" s="2155"/>
      <c r="AL105" s="2155"/>
      <c r="AM105" s="2155"/>
      <c r="AN105" s="2155"/>
      <c r="AO105" s="2155"/>
      <c r="AP105" s="2155"/>
      <c r="AQ105" s="2624"/>
      <c r="AR105" s="2624"/>
      <c r="AS105" s="2624"/>
      <c r="AT105" s="2155"/>
      <c r="AU105" s="2155"/>
      <c r="AV105" s="542">
        <f t="shared" si="199"/>
        <v>3.9685059649850736</v>
      </c>
      <c r="AW105" s="542">
        <f t="shared" si="200"/>
        <v>3.9685059649850736</v>
      </c>
      <c r="AX105" s="542">
        <f t="shared" si="201"/>
        <v>3.9685059649850736</v>
      </c>
      <c r="AY105" s="543">
        <f t="shared" si="216"/>
        <v>11.905517894955221</v>
      </c>
      <c r="AZ105" s="543">
        <f t="shared" si="181"/>
        <v>23.811035789910441</v>
      </c>
      <c r="BA105" s="542">
        <f>SUM(Z105)</f>
        <v>3.9685059649850736</v>
      </c>
      <c r="BB105" s="542">
        <f>SUM(Z105)</f>
        <v>3.9685059649850736</v>
      </c>
      <c r="BC105" s="542">
        <f>SUM(Z105)</f>
        <v>3.9685059649850736</v>
      </c>
      <c r="BD105" s="543">
        <f t="shared" si="217"/>
        <v>11.905517894955221</v>
      </c>
      <c r="BE105" s="543">
        <f t="shared" si="205"/>
        <v>35.716553684865659</v>
      </c>
      <c r="BF105" s="542">
        <f>SUM(Z105)</f>
        <v>3.9685059649850736</v>
      </c>
      <c r="BG105" s="542">
        <f>SUM(Z105)</f>
        <v>3.9685059649850736</v>
      </c>
      <c r="BH105" s="542">
        <f>SUM(Z105)</f>
        <v>3.9685059649850736</v>
      </c>
      <c r="BI105" s="543">
        <f t="shared" si="218"/>
        <v>11.905517894955221</v>
      </c>
      <c r="BJ105" s="549">
        <f t="shared" si="184"/>
        <v>47.622071579820869</v>
      </c>
    </row>
    <row r="106" spans="1:62" ht="18.75" hidden="1" x14ac:dyDescent="0.3">
      <c r="A106" s="396" t="s">
        <v>589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1"/>
      <c r="U106" s="391"/>
      <c r="V106" s="541">
        <f>SUM(V100*2.28%)</f>
        <v>15.735988869853854</v>
      </c>
      <c r="W106" s="547"/>
      <c r="X106" s="541">
        <f>SUM(V106*стоки!AK65/стоки!AI65)</f>
        <v>15.735988869853854</v>
      </c>
      <c r="Y106" s="551">
        <f t="shared" si="198"/>
        <v>0</v>
      </c>
      <c r="Z106" s="376">
        <f t="shared" si="212"/>
        <v>1.3113324058211544</v>
      </c>
      <c r="AA106" s="809"/>
      <c r="AB106" s="376">
        <f t="shared" si="213"/>
        <v>1.3113324058211544</v>
      </c>
      <c r="AC106" s="376">
        <f t="shared" si="214"/>
        <v>1.3113324058211544</v>
      </c>
      <c r="AD106" s="543">
        <f t="shared" si="215"/>
        <v>3.933997217463463</v>
      </c>
      <c r="AE106" s="816"/>
      <c r="AF106" s="816"/>
      <c r="AG106" s="816"/>
      <c r="AH106" s="816"/>
      <c r="AI106" s="2155"/>
      <c r="AJ106" s="2155"/>
      <c r="AK106" s="2155"/>
      <c r="AL106" s="2155"/>
      <c r="AM106" s="2155"/>
      <c r="AN106" s="2155"/>
      <c r="AO106" s="2155"/>
      <c r="AP106" s="2155"/>
      <c r="AQ106" s="2624"/>
      <c r="AR106" s="2624"/>
      <c r="AS106" s="2624"/>
      <c r="AT106" s="2155"/>
      <c r="AU106" s="2155"/>
      <c r="AV106" s="542">
        <f t="shared" si="199"/>
        <v>1.3113324058211544</v>
      </c>
      <c r="AW106" s="542">
        <f t="shared" si="200"/>
        <v>1.3113324058211544</v>
      </c>
      <c r="AX106" s="542">
        <f t="shared" si="201"/>
        <v>1.3113324058211544</v>
      </c>
      <c r="AY106" s="543">
        <f t="shared" si="216"/>
        <v>3.933997217463463</v>
      </c>
      <c r="AZ106" s="543">
        <f t="shared" si="181"/>
        <v>7.867994434926926</v>
      </c>
      <c r="BA106" s="542">
        <f>SUM(Z106)</f>
        <v>1.3113324058211544</v>
      </c>
      <c r="BB106" s="542">
        <f>SUM(Z106)</f>
        <v>1.3113324058211544</v>
      </c>
      <c r="BC106" s="542">
        <f>SUM(Z106)</f>
        <v>1.3113324058211544</v>
      </c>
      <c r="BD106" s="543">
        <f t="shared" si="217"/>
        <v>3.933997217463463</v>
      </c>
      <c r="BE106" s="543">
        <f t="shared" si="205"/>
        <v>11.801991652390388</v>
      </c>
      <c r="BF106" s="542">
        <f>SUM(Z106)</f>
        <v>1.3113324058211544</v>
      </c>
      <c r="BG106" s="542">
        <f>SUM(Z106)</f>
        <v>1.3113324058211544</v>
      </c>
      <c r="BH106" s="542">
        <f>SUM(Z106)</f>
        <v>1.3113324058211544</v>
      </c>
      <c r="BI106" s="543">
        <f t="shared" si="218"/>
        <v>3.933997217463463</v>
      </c>
      <c r="BJ106" s="549">
        <f t="shared" si="184"/>
        <v>15.735988869853854</v>
      </c>
    </row>
    <row r="107" spans="1:62" ht="18.75" hidden="1" x14ac:dyDescent="0.3">
      <c r="A107" s="396" t="s">
        <v>599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1"/>
      <c r="U107" s="391"/>
      <c r="V107" s="541">
        <f>SUM(V100*1.11%)</f>
        <v>7.6609419497972722</v>
      </c>
      <c r="W107" s="547"/>
      <c r="X107" s="541">
        <f>SUM(V107*стоки!AK65/стоки!AI65)</f>
        <v>7.6609419497972722</v>
      </c>
      <c r="Y107" s="551">
        <f t="shared" si="198"/>
        <v>0</v>
      </c>
      <c r="Z107" s="376">
        <f t="shared" si="212"/>
        <v>0.63841182914977268</v>
      </c>
      <c r="AA107" s="809"/>
      <c r="AB107" s="376">
        <f t="shared" si="213"/>
        <v>0.63841182914977268</v>
      </c>
      <c r="AC107" s="376">
        <f t="shared" si="214"/>
        <v>0.63841182914977268</v>
      </c>
      <c r="AD107" s="543">
        <f t="shared" si="215"/>
        <v>1.915235487449318</v>
      </c>
      <c r="AE107" s="816"/>
      <c r="AF107" s="816"/>
      <c r="AG107" s="816"/>
      <c r="AH107" s="816"/>
      <c r="AI107" s="2155"/>
      <c r="AJ107" s="2155"/>
      <c r="AK107" s="2155"/>
      <c r="AL107" s="2155"/>
      <c r="AM107" s="2155"/>
      <c r="AN107" s="2155"/>
      <c r="AO107" s="2155"/>
      <c r="AP107" s="2155"/>
      <c r="AQ107" s="2624"/>
      <c r="AR107" s="2624"/>
      <c r="AS107" s="2624"/>
      <c r="AT107" s="2155"/>
      <c r="AU107" s="2155"/>
      <c r="AV107" s="542">
        <f t="shared" si="199"/>
        <v>0.63841182914977268</v>
      </c>
      <c r="AW107" s="542">
        <f t="shared" si="200"/>
        <v>0.63841182914977268</v>
      </c>
      <c r="AX107" s="542">
        <f t="shared" si="201"/>
        <v>0.63841182914977268</v>
      </c>
      <c r="AY107" s="543">
        <f t="shared" si="216"/>
        <v>1.915235487449318</v>
      </c>
      <c r="AZ107" s="543">
        <f t="shared" si="181"/>
        <v>3.8304709748986361</v>
      </c>
      <c r="BA107" s="542">
        <f>SUM(Z107)</f>
        <v>0.63841182914977268</v>
      </c>
      <c r="BB107" s="542">
        <f>SUM(Z107)</f>
        <v>0.63841182914977268</v>
      </c>
      <c r="BC107" s="542">
        <f>SUM(Z107)</f>
        <v>0.63841182914977268</v>
      </c>
      <c r="BD107" s="543">
        <f t="shared" si="217"/>
        <v>1.915235487449318</v>
      </c>
      <c r="BE107" s="543">
        <f t="shared" si="205"/>
        <v>5.7457064623479539</v>
      </c>
      <c r="BF107" s="542">
        <f>SUM(Z107)</f>
        <v>0.63841182914977268</v>
      </c>
      <c r="BG107" s="542">
        <f>SUM(Z107)</f>
        <v>0.63841182914977268</v>
      </c>
      <c r="BH107" s="542">
        <f>SUM(Z107)</f>
        <v>0.63841182914977268</v>
      </c>
      <c r="BI107" s="543">
        <f t="shared" si="218"/>
        <v>1.915235487449318</v>
      </c>
      <c r="BJ107" s="549">
        <f t="shared" si="184"/>
        <v>7.6609419497972704</v>
      </c>
    </row>
    <row r="108" spans="1:62" ht="18.75" hidden="1" x14ac:dyDescent="0.3">
      <c r="A108" s="396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1"/>
      <c r="U108" s="391"/>
      <c r="V108" s="541">
        <f>SUM(V100*0.76%)</f>
        <v>5.2453296232846185</v>
      </c>
      <c r="W108" s="547"/>
      <c r="X108" s="541">
        <f>SUM(V108*стоки!AK65/стоки!AI65)</f>
        <v>5.2453296232846185</v>
      </c>
      <c r="Y108" s="551">
        <f t="shared" si="198"/>
        <v>0</v>
      </c>
      <c r="Z108" s="376">
        <f t="shared" si="212"/>
        <v>0.43711080194038487</v>
      </c>
      <c r="AA108" s="809"/>
      <c r="AB108" s="376">
        <f t="shared" si="213"/>
        <v>0.43711080194038487</v>
      </c>
      <c r="AC108" s="376">
        <f t="shared" si="214"/>
        <v>0.43711080194038487</v>
      </c>
      <c r="AD108" s="543">
        <f t="shared" si="215"/>
        <v>1.3113324058211546</v>
      </c>
      <c r="AE108" s="816"/>
      <c r="AF108" s="816"/>
      <c r="AG108" s="816"/>
      <c r="AH108" s="816"/>
      <c r="AI108" s="2155"/>
      <c r="AJ108" s="2155"/>
      <c r="AK108" s="2155"/>
      <c r="AL108" s="2155"/>
      <c r="AM108" s="2155"/>
      <c r="AN108" s="2155"/>
      <c r="AO108" s="2155"/>
      <c r="AP108" s="2155"/>
      <c r="AQ108" s="2624"/>
      <c r="AR108" s="2624"/>
      <c r="AS108" s="2624"/>
      <c r="AT108" s="2155"/>
      <c r="AU108" s="2155"/>
      <c r="AV108" s="542">
        <f t="shared" si="199"/>
        <v>0.43711080194038487</v>
      </c>
      <c r="AW108" s="542">
        <f t="shared" si="200"/>
        <v>0.43711080194038487</v>
      </c>
      <c r="AX108" s="542">
        <f t="shared" si="201"/>
        <v>0.43711080194038487</v>
      </c>
      <c r="AY108" s="543">
        <f t="shared" si="216"/>
        <v>1.3113324058211546</v>
      </c>
      <c r="AZ108" s="543">
        <f t="shared" si="181"/>
        <v>2.6226648116423092</v>
      </c>
      <c r="BA108" s="542">
        <f>SUM(Z108)</f>
        <v>0.43711080194038487</v>
      </c>
      <c r="BB108" s="542">
        <f>SUM(Z108)</f>
        <v>0.43711080194038487</v>
      </c>
      <c r="BC108" s="542">
        <f>SUM(Z108)</f>
        <v>0.43711080194038487</v>
      </c>
      <c r="BD108" s="543">
        <f t="shared" si="217"/>
        <v>1.3113324058211546</v>
      </c>
      <c r="BE108" s="543">
        <f t="shared" si="205"/>
        <v>3.9339972174634639</v>
      </c>
      <c r="BF108" s="542">
        <f>SUM(Z108)</f>
        <v>0.43711080194038487</v>
      </c>
      <c r="BG108" s="542">
        <f>SUM(Z108)</f>
        <v>0.43711080194038487</v>
      </c>
      <c r="BH108" s="542">
        <f>SUM(Z108)</f>
        <v>0.43711080194038487</v>
      </c>
      <c r="BI108" s="543">
        <f t="shared" si="218"/>
        <v>1.3113324058211546</v>
      </c>
      <c r="BJ108" s="549">
        <f t="shared" si="184"/>
        <v>5.2453296232846185</v>
      </c>
    </row>
    <row r="109" spans="1:62" ht="18.75" hidden="1" x14ac:dyDescent="0.3">
      <c r="A109" s="396" t="s">
        <v>591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1"/>
      <c r="U109" s="391"/>
      <c r="V109" s="541">
        <f>SUM(V110)</f>
        <v>2.0705248512965597</v>
      </c>
      <c r="W109" s="547"/>
      <c r="X109" s="541">
        <f>SUM(V109*стоки!AK65/стоки!AI65)</f>
        <v>2.0705248512965597</v>
      </c>
      <c r="Y109" s="551">
        <f t="shared" si="198"/>
        <v>0</v>
      </c>
      <c r="Z109" s="375">
        <f t="shared" ref="Z109:AX109" si="219">SUM(Z110)</f>
        <v>0.17254373760804664</v>
      </c>
      <c r="AA109" s="811"/>
      <c r="AB109" s="375">
        <f t="shared" si="219"/>
        <v>0.17254373760804664</v>
      </c>
      <c r="AC109" s="375">
        <f t="shared" si="219"/>
        <v>0.17254373760804664</v>
      </c>
      <c r="AD109" s="543">
        <f t="shared" si="91"/>
        <v>0.51763121282413993</v>
      </c>
      <c r="AE109" s="816"/>
      <c r="AF109" s="816"/>
      <c r="AG109" s="816"/>
      <c r="AH109" s="816"/>
      <c r="AI109" s="2155"/>
      <c r="AJ109" s="2155"/>
      <c r="AK109" s="2155"/>
      <c r="AL109" s="2155"/>
      <c r="AM109" s="2155"/>
      <c r="AN109" s="2155"/>
      <c r="AO109" s="2155"/>
      <c r="AP109" s="2155"/>
      <c r="AQ109" s="2624"/>
      <c r="AR109" s="2624"/>
      <c r="AS109" s="2624"/>
      <c r="AT109" s="2155"/>
      <c r="AU109" s="2155"/>
      <c r="AV109" s="375">
        <f t="shared" si="219"/>
        <v>0.17254373760804664</v>
      </c>
      <c r="AW109" s="375">
        <f t="shared" si="219"/>
        <v>0.17254373760804664</v>
      </c>
      <c r="AX109" s="375">
        <f t="shared" si="219"/>
        <v>0.17254373760804664</v>
      </c>
      <c r="AY109" s="543">
        <f t="shared" si="92"/>
        <v>0.51763121282413993</v>
      </c>
      <c r="AZ109" s="543">
        <f t="shared" si="181"/>
        <v>1.0352624256482799</v>
      </c>
      <c r="BA109" s="375">
        <f t="shared" ref="BA109:BC109" si="220">SUM(BA110)</f>
        <v>0.17254373760804664</v>
      </c>
      <c r="BB109" s="375">
        <f t="shared" si="220"/>
        <v>0.17254373760804664</v>
      </c>
      <c r="BC109" s="375">
        <f t="shared" si="220"/>
        <v>0.17254373760804664</v>
      </c>
      <c r="BD109" s="543">
        <f t="shared" si="93"/>
        <v>0.51763121282413993</v>
      </c>
      <c r="BE109" s="543">
        <f t="shared" si="94"/>
        <v>1.5528936384724199</v>
      </c>
      <c r="BF109" s="375">
        <f t="shared" ref="BF109:BH109" si="221">SUM(BF110)</f>
        <v>0.17254373760804664</v>
      </c>
      <c r="BG109" s="375">
        <f t="shared" si="221"/>
        <v>0.17254373760804664</v>
      </c>
      <c r="BH109" s="375">
        <f t="shared" si="221"/>
        <v>0.17254373760804664</v>
      </c>
      <c r="BI109" s="543">
        <f t="shared" si="95"/>
        <v>0.51763121282413993</v>
      </c>
      <c r="BJ109" s="549">
        <f t="shared" si="184"/>
        <v>2.0705248512965602</v>
      </c>
    </row>
    <row r="110" spans="1:62" ht="18.75" hidden="1" x14ac:dyDescent="0.3">
      <c r="A110" s="388" t="s">
        <v>548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1"/>
      <c r="U110" s="391"/>
      <c r="V110" s="541">
        <f>SUM(V100*0.3%)</f>
        <v>2.0705248512965597</v>
      </c>
      <c r="W110" s="547"/>
      <c r="X110" s="541">
        <f>SUM(V110*стоки!AK65/стоки!AI65)</f>
        <v>2.0705248512965597</v>
      </c>
      <c r="Y110" s="551">
        <f t="shared" ref="Y110:Y111" si="222">SUM(V110-X110)</f>
        <v>0</v>
      </c>
      <c r="Z110" s="376">
        <f t="shared" ref="Z110" si="223">SUM(V110/12)</f>
        <v>0.17254373760804664</v>
      </c>
      <c r="AA110" s="809"/>
      <c r="AB110" s="376">
        <f t="shared" ref="AB110" si="224">SUM(Z110)</f>
        <v>0.17254373760804664</v>
      </c>
      <c r="AC110" s="376">
        <f t="shared" ref="AC110" si="225">SUM(Z110)</f>
        <v>0.17254373760804664</v>
      </c>
      <c r="AD110" s="543">
        <f t="shared" ref="AD110" si="226">SUM(Z110+AB110+AC110)</f>
        <v>0.51763121282413993</v>
      </c>
      <c r="AE110" s="816"/>
      <c r="AF110" s="816"/>
      <c r="AG110" s="816"/>
      <c r="AH110" s="816"/>
      <c r="AI110" s="2155"/>
      <c r="AJ110" s="2155"/>
      <c r="AK110" s="2155"/>
      <c r="AL110" s="2155"/>
      <c r="AM110" s="2155"/>
      <c r="AN110" s="2155"/>
      <c r="AO110" s="2155"/>
      <c r="AP110" s="2155"/>
      <c r="AQ110" s="2624"/>
      <c r="AR110" s="2624"/>
      <c r="AS110" s="2624"/>
      <c r="AT110" s="2155"/>
      <c r="AU110" s="2155"/>
      <c r="AV110" s="376">
        <f>SUM(Z110)</f>
        <v>0.17254373760804664</v>
      </c>
      <c r="AW110" s="376">
        <f>SUM(Z110)</f>
        <v>0.17254373760804664</v>
      </c>
      <c r="AX110" s="376">
        <f>SUM(Z110)</f>
        <v>0.17254373760804664</v>
      </c>
      <c r="AY110" s="543">
        <f t="shared" ref="AY110" si="227">SUM(AV110+AW110+AX110)</f>
        <v>0.51763121282413993</v>
      </c>
      <c r="AZ110" s="543">
        <f t="shared" si="181"/>
        <v>1.0352624256482799</v>
      </c>
      <c r="BA110" s="376">
        <f>SUM(Z110)</f>
        <v>0.17254373760804664</v>
      </c>
      <c r="BB110" s="376">
        <f>SUM(Z110)</f>
        <v>0.17254373760804664</v>
      </c>
      <c r="BC110" s="376">
        <f>SUM(Z110)</f>
        <v>0.17254373760804664</v>
      </c>
      <c r="BD110" s="543">
        <f t="shared" ref="BD110" si="228">SUM(BA110+BB110+BC110)</f>
        <v>0.51763121282413993</v>
      </c>
      <c r="BE110" s="543">
        <f t="shared" si="94"/>
        <v>1.5528936384724199</v>
      </c>
      <c r="BF110" s="376">
        <f>SUM(Z110)</f>
        <v>0.17254373760804664</v>
      </c>
      <c r="BG110" s="376">
        <f>SUM(Z110)</f>
        <v>0.17254373760804664</v>
      </c>
      <c r="BH110" s="376">
        <f>SUM(Z110)</f>
        <v>0.17254373760804664</v>
      </c>
      <c r="BI110" s="543">
        <f t="shared" ref="BI110" si="229">SUM(BF110+BG110+BH110)</f>
        <v>0.51763121282413993</v>
      </c>
      <c r="BJ110" s="549">
        <f t="shared" si="184"/>
        <v>2.0705248512965602</v>
      </c>
    </row>
    <row r="111" spans="1:62" ht="18.75" hidden="1" x14ac:dyDescent="0.3">
      <c r="A111" s="396" t="s">
        <v>594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1"/>
      <c r="U111" s="391"/>
      <c r="V111" s="541">
        <f>SUM(V112:V112)</f>
        <v>0.13113324058211545</v>
      </c>
      <c r="W111" s="547"/>
      <c r="X111" s="541">
        <f>SUM(V111*стоки!AK65/стоки!AI65)</f>
        <v>0.13113324058211545</v>
      </c>
      <c r="Y111" s="551">
        <f t="shared" si="222"/>
        <v>0</v>
      </c>
      <c r="Z111" s="375">
        <f>SUM(Z112)</f>
        <v>1.0927770048509622E-2</v>
      </c>
      <c r="AA111" s="811"/>
      <c r="AB111" s="375">
        <f>SUM(AB112)</f>
        <v>1.0927770048509622E-2</v>
      </c>
      <c r="AC111" s="375">
        <f>SUM(AC112)</f>
        <v>1.0927770048509622E-2</v>
      </c>
      <c r="AD111" s="543">
        <f t="shared" si="91"/>
        <v>3.2783310145528863E-2</v>
      </c>
      <c r="AE111" s="816"/>
      <c r="AF111" s="816"/>
      <c r="AG111" s="816"/>
      <c r="AH111" s="816"/>
      <c r="AI111" s="2155"/>
      <c r="AJ111" s="2155"/>
      <c r="AK111" s="2155"/>
      <c r="AL111" s="2155"/>
      <c r="AM111" s="2155"/>
      <c r="AN111" s="2155"/>
      <c r="AO111" s="2155"/>
      <c r="AP111" s="2155"/>
      <c r="AQ111" s="2624"/>
      <c r="AR111" s="2624"/>
      <c r="AS111" s="2624"/>
      <c r="AT111" s="2155"/>
      <c r="AU111" s="2155"/>
      <c r="AV111" s="375">
        <f t="shared" ref="AV111:AX111" si="230">SUM(AV112)</f>
        <v>1.0927770048509622E-2</v>
      </c>
      <c r="AW111" s="375">
        <f t="shared" si="230"/>
        <v>1.0927770048509622E-2</v>
      </c>
      <c r="AX111" s="375">
        <f t="shared" si="230"/>
        <v>1.0927770048509622E-2</v>
      </c>
      <c r="AY111" s="543">
        <f t="shared" si="92"/>
        <v>3.2783310145528863E-2</v>
      </c>
      <c r="AZ111" s="543">
        <f t="shared" si="181"/>
        <v>6.5566620291057726E-2</v>
      </c>
      <c r="BA111" s="375">
        <f t="shared" ref="BA111" si="231">SUM(BA112)</f>
        <v>1.0927770048509622E-2</v>
      </c>
      <c r="BB111" s="375">
        <f t="shared" ref="BB111" si="232">SUM(BB112)</f>
        <v>1.0927770048509622E-2</v>
      </c>
      <c r="BC111" s="375">
        <f t="shared" ref="BC111" si="233">SUM(BC112)</f>
        <v>1.0927770048509622E-2</v>
      </c>
      <c r="BD111" s="543">
        <f t="shared" si="93"/>
        <v>3.2783310145528863E-2</v>
      </c>
      <c r="BE111" s="543">
        <f t="shared" si="94"/>
        <v>9.8349930436586588E-2</v>
      </c>
      <c r="BF111" s="375">
        <f t="shared" ref="BF111" si="234">SUM(BF112)</f>
        <v>1.0927770048509622E-2</v>
      </c>
      <c r="BG111" s="375">
        <f t="shared" ref="BG111" si="235">SUM(BG112)</f>
        <v>1.0927770048509622E-2</v>
      </c>
      <c r="BH111" s="375">
        <f t="shared" ref="BH111" si="236">SUM(BH112)</f>
        <v>1.0927770048509622E-2</v>
      </c>
      <c r="BI111" s="543">
        <f t="shared" si="95"/>
        <v>3.2783310145528863E-2</v>
      </c>
      <c r="BJ111" s="549">
        <f t="shared" si="184"/>
        <v>0.13113324058211542</v>
      </c>
    </row>
    <row r="112" spans="1:62" ht="18.75" hidden="1" x14ac:dyDescent="0.3">
      <c r="A112" s="388" t="s">
        <v>598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1"/>
      <c r="U112" s="391"/>
      <c r="V112" s="541">
        <f>SUM(V100*0.019%)</f>
        <v>0.13113324058211545</v>
      </c>
      <c r="W112" s="547"/>
      <c r="X112" s="541">
        <f>SUM(V112*стоки!AK65/стоки!AI65)</f>
        <v>0.13113324058211545</v>
      </c>
      <c r="Y112" s="551">
        <f t="shared" ref="Y112" si="237">SUM(V112-X112)</f>
        <v>0</v>
      </c>
      <c r="Z112" s="376">
        <f t="shared" ref="Z112" si="238">SUM(V112/12)</f>
        <v>1.0927770048509622E-2</v>
      </c>
      <c r="AA112" s="809"/>
      <c r="AB112" s="376">
        <f t="shared" ref="AB112" si="239">SUM(Z112)</f>
        <v>1.0927770048509622E-2</v>
      </c>
      <c r="AC112" s="376">
        <f t="shared" ref="AC112" si="240">SUM(Z112)</f>
        <v>1.0927770048509622E-2</v>
      </c>
      <c r="AD112" s="543">
        <f t="shared" ref="AD112" si="241">SUM(Z112+AB112+AC112)</f>
        <v>3.2783310145528863E-2</v>
      </c>
      <c r="AE112" s="816"/>
      <c r="AF112" s="816"/>
      <c r="AG112" s="816"/>
      <c r="AH112" s="816"/>
      <c r="AI112" s="2155"/>
      <c r="AJ112" s="2155"/>
      <c r="AK112" s="2155"/>
      <c r="AL112" s="2155"/>
      <c r="AM112" s="2155"/>
      <c r="AN112" s="2155"/>
      <c r="AO112" s="2155"/>
      <c r="AP112" s="2155"/>
      <c r="AQ112" s="2624"/>
      <c r="AR112" s="2624"/>
      <c r="AS112" s="2624"/>
      <c r="AT112" s="2155"/>
      <c r="AU112" s="2155"/>
      <c r="AV112" s="542">
        <f>SUM(Z112)</f>
        <v>1.0927770048509622E-2</v>
      </c>
      <c r="AW112" s="542">
        <f>SUM(Z112)</f>
        <v>1.0927770048509622E-2</v>
      </c>
      <c r="AX112" s="542">
        <f>SUM(Z112)</f>
        <v>1.0927770048509622E-2</v>
      </c>
      <c r="AY112" s="543">
        <f t="shared" ref="AY112" si="242">SUM(AV112+AW112+AX112)</f>
        <v>3.2783310145528863E-2</v>
      </c>
      <c r="AZ112" s="543">
        <f t="shared" si="181"/>
        <v>6.5566620291057726E-2</v>
      </c>
      <c r="BA112" s="542">
        <f>SUM(Z112)</f>
        <v>1.0927770048509622E-2</v>
      </c>
      <c r="BB112" s="542">
        <f>SUM(Z112)</f>
        <v>1.0927770048509622E-2</v>
      </c>
      <c r="BC112" s="542">
        <f>SUM(Z112)</f>
        <v>1.0927770048509622E-2</v>
      </c>
      <c r="BD112" s="543">
        <f t="shared" ref="BD112" si="243">SUM(BA112+BB112+BC112)</f>
        <v>3.2783310145528863E-2</v>
      </c>
      <c r="BE112" s="543">
        <f t="shared" si="94"/>
        <v>9.8349930436586588E-2</v>
      </c>
      <c r="BF112" s="542">
        <f>SUM(Z112)</f>
        <v>1.0927770048509622E-2</v>
      </c>
      <c r="BG112" s="542">
        <f>SUM(Z112)</f>
        <v>1.0927770048509622E-2</v>
      </c>
      <c r="BH112" s="542">
        <f>SUM(Z112)</f>
        <v>1.0927770048509622E-2</v>
      </c>
      <c r="BI112" s="543">
        <f t="shared" ref="BI112" si="244">SUM(BF112+BG112+BH112)</f>
        <v>3.2783310145528863E-2</v>
      </c>
      <c r="BJ112" s="549">
        <f t="shared" si="184"/>
        <v>0.13113324058211542</v>
      </c>
    </row>
    <row r="113" spans="1:62" ht="18.75" hidden="1" customHeight="1" x14ac:dyDescent="0.3">
      <c r="A113" s="538" t="s">
        <v>607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1"/>
      <c r="U113" s="391"/>
      <c r="V113" s="544">
        <f>SUM(AC50)</f>
        <v>2687.5084197683254</v>
      </c>
      <c r="W113" s="547"/>
      <c r="X113" s="544">
        <f t="shared" ref="X113:X122" si="245">SUM(V113)</f>
        <v>2687.5084197683254</v>
      </c>
      <c r="Y113" s="550">
        <f>SUM(V113-X113)</f>
        <v>0</v>
      </c>
      <c r="Z113" s="373">
        <f>SUM(Z114+Z115+Z116+Z117+Z118+Z120)</f>
        <v>216.83777765156583</v>
      </c>
      <c r="AA113" s="808"/>
      <c r="AB113" s="373">
        <f t="shared" ref="AB113:AC113" si="246">SUM(AB114+AB115+AB116+AB117+AB118+AB120)</f>
        <v>216.83777765156583</v>
      </c>
      <c r="AC113" s="373">
        <f t="shared" si="246"/>
        <v>216.83777765156583</v>
      </c>
      <c r="AD113" s="552">
        <f t="shared" si="91"/>
        <v>650.51333295469749</v>
      </c>
      <c r="AE113" s="815"/>
      <c r="AF113" s="815"/>
      <c r="AG113" s="815"/>
      <c r="AH113" s="815"/>
      <c r="AI113" s="2154"/>
      <c r="AJ113" s="2154"/>
      <c r="AK113" s="2154"/>
      <c r="AL113" s="2154"/>
      <c r="AM113" s="2154"/>
      <c r="AN113" s="2154"/>
      <c r="AO113" s="2154"/>
      <c r="AP113" s="2154"/>
      <c r="AQ113" s="2623"/>
      <c r="AR113" s="2623"/>
      <c r="AS113" s="2623"/>
      <c r="AT113" s="2154"/>
      <c r="AU113" s="2154"/>
      <c r="AV113" s="373">
        <f t="shared" ref="AV113" si="247">SUM(AV114+AV115+AV116+AV117+AV118+AV120)</f>
        <v>216.88276654251274</v>
      </c>
      <c r="AW113" s="373">
        <f t="shared" ref="AW113" si="248">SUM(AW114+AW115+AW116+AW117+AW118+AW120)</f>
        <v>217.62758262596734</v>
      </c>
      <c r="AX113" s="373">
        <f t="shared" ref="AX113" si="249">SUM(AX114+AX115+AX116+AX117+AX118+AX120)</f>
        <v>218.27742216186732</v>
      </c>
      <c r="AY113" s="552">
        <f t="shared" si="92"/>
        <v>652.78777133034737</v>
      </c>
      <c r="AZ113" s="552">
        <f t="shared" si="181"/>
        <v>1303.3011042850449</v>
      </c>
      <c r="BA113" s="373">
        <f t="shared" ref="BA113" si="250">SUM(BA114+BA115+BA116+BA117+BA118+BA120)</f>
        <v>231.69180797565591</v>
      </c>
      <c r="BB113" s="373">
        <f t="shared" ref="BB113" si="251">SUM(BB114+BB115+BB116+BB117+BB118+BB120)</f>
        <v>231.4968561148859</v>
      </c>
      <c r="BC113" s="373">
        <f t="shared" ref="BC113" si="252">SUM(BC114+BC115+BC116+BC117+BC118+BC120)</f>
        <v>230.84701657898592</v>
      </c>
      <c r="BD113" s="552">
        <f t="shared" si="93"/>
        <v>694.03568066952766</v>
      </c>
      <c r="BE113" s="552">
        <f t="shared" si="94"/>
        <v>1997.3367849545725</v>
      </c>
      <c r="BF113" s="373">
        <f t="shared" ref="BF113" si="253">SUM(BF114+BF115+BF116+BF117+BF118+BF120)</f>
        <v>230.05721160458441</v>
      </c>
      <c r="BG113" s="373">
        <f t="shared" ref="BG113" si="254">SUM(BG114+BG115+BG116+BG117+BG118+BG120)</f>
        <v>230.05721160458441</v>
      </c>
      <c r="BH113" s="373">
        <f t="shared" ref="BH113" si="255">SUM(BH114+BH115+BH116+BH117+BH118+BH120)</f>
        <v>230.05721160458441</v>
      </c>
      <c r="BI113" s="552">
        <f t="shared" si="95"/>
        <v>690.17163481375326</v>
      </c>
      <c r="BJ113" s="549">
        <f t="shared" si="184"/>
        <v>2687.5084197683259</v>
      </c>
    </row>
    <row r="114" spans="1:62" ht="18.75" hidden="1" x14ac:dyDescent="0.3">
      <c r="A114" s="396" t="s">
        <v>71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1"/>
      <c r="U114" s="391"/>
      <c r="V114" s="541">
        <f>SUM(V113*70.01%)</f>
        <v>1881.5246446798049</v>
      </c>
      <c r="W114" s="547"/>
      <c r="X114" s="541">
        <f t="shared" si="245"/>
        <v>1881.5246446798049</v>
      </c>
      <c r="Y114" s="551">
        <f t="shared" ref="Y114:Y117" si="256">SUM(V114-X114)</f>
        <v>0</v>
      </c>
      <c r="Z114" s="376">
        <f>SUM(V114/2)/(1+(106.7%*100-100)/2/100)/6</f>
        <v>151.71138886307088</v>
      </c>
      <c r="AA114" s="809"/>
      <c r="AB114" s="375">
        <f>SUM(Z114)</f>
        <v>151.71138886307088</v>
      </c>
      <c r="AC114" s="376">
        <f>SUM(Z114)</f>
        <v>151.71138886307088</v>
      </c>
      <c r="AD114" s="543">
        <f>SUM(Z114+AB114+AC114)</f>
        <v>455.13416658921267</v>
      </c>
      <c r="AE114" s="816"/>
      <c r="AF114" s="816"/>
      <c r="AG114" s="816"/>
      <c r="AH114" s="816"/>
      <c r="AI114" s="2155"/>
      <c r="AJ114" s="2155"/>
      <c r="AK114" s="2155"/>
      <c r="AL114" s="2155"/>
      <c r="AM114" s="2155"/>
      <c r="AN114" s="2155"/>
      <c r="AO114" s="2155"/>
      <c r="AP114" s="2155"/>
      <c r="AQ114" s="2624"/>
      <c r="AR114" s="2624"/>
      <c r="AS114" s="2624"/>
      <c r="AT114" s="2155"/>
      <c r="AU114" s="2155"/>
      <c r="AV114" s="542">
        <f>SUM(Z114)</f>
        <v>151.71138886307088</v>
      </c>
      <c r="AW114" s="542">
        <f>SUM(Z114)</f>
        <v>151.71138886307088</v>
      </c>
      <c r="AX114" s="542">
        <f>SUM(Z114)</f>
        <v>151.71138886307088</v>
      </c>
      <c r="AY114" s="543">
        <f>SUM(AV114+AW114+AX114)</f>
        <v>455.13416658921267</v>
      </c>
      <c r="AZ114" s="543">
        <f t="shared" si="181"/>
        <v>910.26833317842534</v>
      </c>
      <c r="BA114" s="542">
        <f>SUM(V114-AZ114)/6</f>
        <v>161.87605191689659</v>
      </c>
      <c r="BB114" s="542">
        <f>SUM(BA114)</f>
        <v>161.87605191689659</v>
      </c>
      <c r="BC114" s="542">
        <f>SUM(BA114)</f>
        <v>161.87605191689659</v>
      </c>
      <c r="BD114" s="543">
        <f>SUM(BA114+BB114+BC114)</f>
        <v>485.62815575068976</v>
      </c>
      <c r="BE114" s="543">
        <f>SUM(AZ114+BD114)</f>
        <v>1395.8964889291151</v>
      </c>
      <c r="BF114" s="542">
        <f>SUM(BA114)</f>
        <v>161.87605191689659</v>
      </c>
      <c r="BG114" s="542">
        <f>SUM(BA114)</f>
        <v>161.87605191689659</v>
      </c>
      <c r="BH114" s="542">
        <f>SUM(BA114)</f>
        <v>161.87605191689659</v>
      </c>
      <c r="BI114" s="543">
        <f>SUM(BF114+BG114+BH114)</f>
        <v>485.62815575068976</v>
      </c>
      <c r="BJ114" s="549">
        <f t="shared" si="184"/>
        <v>1881.5246446798046</v>
      </c>
    </row>
    <row r="115" spans="1:62" ht="18.75" hidden="1" x14ac:dyDescent="0.3">
      <c r="A115" s="396" t="s">
        <v>114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1"/>
      <c r="U115" s="391"/>
      <c r="V115" s="541">
        <f>SUM(V113*21.04%)</f>
        <v>565.45177151925566</v>
      </c>
      <c r="W115" s="547"/>
      <c r="X115" s="541">
        <f t="shared" si="245"/>
        <v>565.45177151925566</v>
      </c>
      <c r="Y115" s="551">
        <f t="shared" si="256"/>
        <v>0</v>
      </c>
      <c r="Z115" s="376">
        <f>SUM(Z114*(V115/V114))</f>
        <v>45.593595510341537</v>
      </c>
      <c r="AA115" s="809"/>
      <c r="AB115" s="376">
        <f>SUM(Z115)</f>
        <v>45.593595510341537</v>
      </c>
      <c r="AC115" s="375">
        <f>SUM(Z115)</f>
        <v>45.593595510341537</v>
      </c>
      <c r="AD115" s="543">
        <f t="shared" ref="AD115" si="257">SUM(Z115+AB115+AC115)</f>
        <v>136.7807865310246</v>
      </c>
      <c r="AE115" s="816"/>
      <c r="AF115" s="816"/>
      <c r="AG115" s="816"/>
      <c r="AH115" s="816"/>
      <c r="AI115" s="2155"/>
      <c r="AJ115" s="2155"/>
      <c r="AK115" s="2155"/>
      <c r="AL115" s="2155"/>
      <c r="AM115" s="2155"/>
      <c r="AN115" s="2155"/>
      <c r="AO115" s="2155"/>
      <c r="AP115" s="2155"/>
      <c r="AQ115" s="2624"/>
      <c r="AR115" s="2624"/>
      <c r="AS115" s="2624"/>
      <c r="AT115" s="2155"/>
      <c r="AU115" s="2155"/>
      <c r="AV115" s="542">
        <f>SUM(Z115)</f>
        <v>45.593595510341537</v>
      </c>
      <c r="AW115" s="542">
        <f>SUM(Z115)</f>
        <v>45.593595510341537</v>
      </c>
      <c r="AX115" s="542">
        <f>SUM(Z115)</f>
        <v>45.593595510341537</v>
      </c>
      <c r="AY115" s="543">
        <f t="shared" ref="AY115" si="258">SUM(AV115+AW115+AX115)</f>
        <v>136.7807865310246</v>
      </c>
      <c r="AZ115" s="543">
        <f t="shared" si="181"/>
        <v>273.56157306204921</v>
      </c>
      <c r="BA115" s="542">
        <f>SUM(V115-AZ115)/6</f>
        <v>48.648366409534411</v>
      </c>
      <c r="BB115" s="542">
        <f>SUM(BA115)</f>
        <v>48.648366409534411</v>
      </c>
      <c r="BC115" s="542">
        <f>SUM(BA115)</f>
        <v>48.648366409534411</v>
      </c>
      <c r="BD115" s="543">
        <f t="shared" ref="BD115" si="259">SUM(BA115+BB115+BC115)</f>
        <v>145.94509922860323</v>
      </c>
      <c r="BE115" s="543">
        <f t="shared" ref="BE115:BE124" si="260">SUM(AZ115+BD115)</f>
        <v>419.50667229065243</v>
      </c>
      <c r="BF115" s="542">
        <f>SUM(BA115)</f>
        <v>48.648366409534411</v>
      </c>
      <c r="BG115" s="542">
        <f>SUM(BA115)</f>
        <v>48.648366409534411</v>
      </c>
      <c r="BH115" s="542">
        <f>SUM(BA115)</f>
        <v>48.648366409534411</v>
      </c>
      <c r="BI115" s="543">
        <f t="shared" ref="BI115" si="261">SUM(BF115+BG115+BH115)</f>
        <v>145.94509922860323</v>
      </c>
      <c r="BJ115" s="549">
        <f t="shared" si="184"/>
        <v>565.45177151925554</v>
      </c>
    </row>
    <row r="116" spans="1:62" ht="18.75" hidden="1" x14ac:dyDescent="0.3">
      <c r="A116" s="396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1"/>
      <c r="U116" s="391"/>
      <c r="V116" s="541">
        <f>SUM(V113*0.18%)</f>
        <v>4.8375151555829854</v>
      </c>
      <c r="W116" s="547"/>
      <c r="X116" s="541">
        <f t="shared" si="245"/>
        <v>4.8375151555829854</v>
      </c>
      <c r="Y116" s="551">
        <f t="shared" si="256"/>
        <v>0</v>
      </c>
      <c r="Z116" s="376">
        <f t="shared" ref="Z116:Z117" si="262">SUM(V116/12)</f>
        <v>0.40312626296524878</v>
      </c>
      <c r="AA116" s="809"/>
      <c r="AB116" s="376">
        <f t="shared" ref="AB116:AB117" si="263">SUM(Z116)</f>
        <v>0.40312626296524878</v>
      </c>
      <c r="AC116" s="376">
        <f t="shared" ref="AC116:AC117" si="264">SUM(Z116)</f>
        <v>0.40312626296524878</v>
      </c>
      <c r="AD116" s="543">
        <f t="shared" ref="AD116:AD117" si="265">SUM(Z116+AB116+AC116)</f>
        <v>1.2093787888957463</v>
      </c>
      <c r="AE116" s="816"/>
      <c r="AF116" s="816"/>
      <c r="AG116" s="816"/>
      <c r="AH116" s="816"/>
      <c r="AI116" s="2155"/>
      <c r="AJ116" s="2155"/>
      <c r="AK116" s="2155"/>
      <c r="AL116" s="2155"/>
      <c r="AM116" s="2155"/>
      <c r="AN116" s="2155"/>
      <c r="AO116" s="2155"/>
      <c r="AP116" s="2155"/>
      <c r="AQ116" s="2624"/>
      <c r="AR116" s="2624"/>
      <c r="AS116" s="2624"/>
      <c r="AT116" s="2155"/>
      <c r="AU116" s="2155"/>
      <c r="AV116" s="542">
        <f>SUM(Z116)</f>
        <v>0.40312626296524878</v>
      </c>
      <c r="AW116" s="542">
        <f>SUM(Z116)</f>
        <v>0.40312626296524878</v>
      </c>
      <c r="AX116" s="542">
        <f>SUM(Z116)</f>
        <v>0.40312626296524878</v>
      </c>
      <c r="AY116" s="543">
        <f t="shared" ref="AY116:AY117" si="266">SUM(AV116+AW116+AX116)</f>
        <v>1.2093787888957463</v>
      </c>
      <c r="AZ116" s="543">
        <f t="shared" si="181"/>
        <v>2.4187575777914927</v>
      </c>
      <c r="BA116" s="542">
        <f>SUM(Z116)</f>
        <v>0.40312626296524878</v>
      </c>
      <c r="BB116" s="542">
        <f>SUM(Z116)</f>
        <v>0.40312626296524878</v>
      </c>
      <c r="BC116" s="542">
        <f>SUM(Z116)</f>
        <v>0.40312626296524878</v>
      </c>
      <c r="BD116" s="543">
        <f t="shared" ref="BD116:BD117" si="267">SUM(BA116+BB116+BC116)</f>
        <v>1.2093787888957463</v>
      </c>
      <c r="BE116" s="543">
        <f t="shared" si="260"/>
        <v>3.6281363666872393</v>
      </c>
      <c r="BF116" s="542">
        <f>SUM(Z116)</f>
        <v>0.40312626296524878</v>
      </c>
      <c r="BG116" s="542">
        <f>SUM(Z116)</f>
        <v>0.40312626296524878</v>
      </c>
      <c r="BH116" s="542">
        <f>SUM(Z116)</f>
        <v>0.40312626296524878</v>
      </c>
      <c r="BI116" s="543">
        <f t="shared" ref="BI116:BI117" si="268">SUM(BF116+BG116+BH116)</f>
        <v>1.2093787888957463</v>
      </c>
      <c r="BJ116" s="549">
        <f t="shared" si="184"/>
        <v>4.8375151555829872</v>
      </c>
    </row>
    <row r="117" spans="1:62" ht="18.75" hidden="1" x14ac:dyDescent="0.3">
      <c r="A117" s="396" t="s">
        <v>590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1"/>
      <c r="U117" s="391"/>
      <c r="V117" s="541">
        <f>SUM(V113*6.19%)</f>
        <v>166.35677118365936</v>
      </c>
      <c r="W117" s="547"/>
      <c r="X117" s="541">
        <f t="shared" si="245"/>
        <v>166.35677118365936</v>
      </c>
      <c r="Y117" s="551">
        <f t="shared" si="256"/>
        <v>0</v>
      </c>
      <c r="Z117" s="376">
        <f t="shared" si="262"/>
        <v>13.863064265304947</v>
      </c>
      <c r="AA117" s="809"/>
      <c r="AB117" s="376">
        <f t="shared" si="263"/>
        <v>13.863064265304947</v>
      </c>
      <c r="AC117" s="376">
        <f t="shared" si="264"/>
        <v>13.863064265304947</v>
      </c>
      <c r="AD117" s="543">
        <f t="shared" si="265"/>
        <v>41.58919279591484</v>
      </c>
      <c r="AE117" s="816"/>
      <c r="AF117" s="816"/>
      <c r="AG117" s="816"/>
      <c r="AH117" s="816"/>
      <c r="AI117" s="2155"/>
      <c r="AJ117" s="2155"/>
      <c r="AK117" s="2155"/>
      <c r="AL117" s="2155"/>
      <c r="AM117" s="2155"/>
      <c r="AN117" s="2155"/>
      <c r="AO117" s="2155"/>
      <c r="AP117" s="2155"/>
      <c r="AQ117" s="2624"/>
      <c r="AR117" s="2624"/>
      <c r="AS117" s="2624"/>
      <c r="AT117" s="2155"/>
      <c r="AU117" s="2155"/>
      <c r="AV117" s="542">
        <f>SUM(Z117)</f>
        <v>13.863064265304947</v>
      </c>
      <c r="AW117" s="542">
        <f>SUM(Z117)</f>
        <v>13.863064265304947</v>
      </c>
      <c r="AX117" s="542">
        <f>SUM(Z117)</f>
        <v>13.863064265304947</v>
      </c>
      <c r="AY117" s="543">
        <f t="shared" si="266"/>
        <v>41.58919279591484</v>
      </c>
      <c r="AZ117" s="543">
        <f t="shared" si="181"/>
        <v>83.178385591829681</v>
      </c>
      <c r="BA117" s="542">
        <f>SUM(Z117)</f>
        <v>13.863064265304947</v>
      </c>
      <c r="BB117" s="542">
        <f>SUM(Z117)</f>
        <v>13.863064265304947</v>
      </c>
      <c r="BC117" s="542">
        <f>SUM(Z117)</f>
        <v>13.863064265304947</v>
      </c>
      <c r="BD117" s="543">
        <f t="shared" si="267"/>
        <v>41.58919279591484</v>
      </c>
      <c r="BE117" s="543">
        <f t="shared" si="260"/>
        <v>124.76757838774452</v>
      </c>
      <c r="BF117" s="542">
        <f>SUM(Z117)</f>
        <v>13.863064265304947</v>
      </c>
      <c r="BG117" s="542">
        <f>SUM(Z117)</f>
        <v>13.863064265304947</v>
      </c>
      <c r="BH117" s="542">
        <f>SUM(Z117)</f>
        <v>13.863064265304947</v>
      </c>
      <c r="BI117" s="543">
        <f t="shared" si="268"/>
        <v>41.58919279591484</v>
      </c>
      <c r="BJ117" s="549">
        <f t="shared" si="184"/>
        <v>166.35677118365936</v>
      </c>
    </row>
    <row r="118" spans="1:62" ht="18.75" hidden="1" x14ac:dyDescent="0.3">
      <c r="A118" s="396" t="s">
        <v>591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1"/>
      <c r="U118" s="391"/>
      <c r="V118" s="541">
        <f>SUM(V119)</f>
        <v>18.812558938378277</v>
      </c>
      <c r="W118" s="547"/>
      <c r="X118" s="541">
        <f t="shared" si="245"/>
        <v>18.812558938378277</v>
      </c>
      <c r="Y118" s="541">
        <f t="shared" ref="Y118:AX118" si="269">SUM(Y119)</f>
        <v>0</v>
      </c>
      <c r="Z118" s="375">
        <f t="shared" si="269"/>
        <v>1.5677132448648565</v>
      </c>
      <c r="AA118" s="811"/>
      <c r="AB118" s="375">
        <f t="shared" si="269"/>
        <v>1.5677132448648565</v>
      </c>
      <c r="AC118" s="375">
        <f t="shared" si="269"/>
        <v>1.5677132448648565</v>
      </c>
      <c r="AD118" s="543">
        <f t="shared" ref="AD118:AD124" si="270">SUM(Z118+AB118+AC118)</f>
        <v>4.7031397345945694</v>
      </c>
      <c r="AE118" s="816"/>
      <c r="AF118" s="816"/>
      <c r="AG118" s="816"/>
      <c r="AH118" s="816"/>
      <c r="AI118" s="2155"/>
      <c r="AJ118" s="2155"/>
      <c r="AK118" s="2155"/>
      <c r="AL118" s="2155"/>
      <c r="AM118" s="2155"/>
      <c r="AN118" s="2155"/>
      <c r="AO118" s="2155"/>
      <c r="AP118" s="2155"/>
      <c r="AQ118" s="2624"/>
      <c r="AR118" s="2624"/>
      <c r="AS118" s="2624"/>
      <c r="AT118" s="2155"/>
      <c r="AU118" s="2155"/>
      <c r="AV118" s="375">
        <f t="shared" si="269"/>
        <v>1.5677132448648565</v>
      </c>
      <c r="AW118" s="375">
        <f t="shared" si="269"/>
        <v>1.5677132448648565</v>
      </c>
      <c r="AX118" s="375">
        <f t="shared" si="269"/>
        <v>1.5677132448648565</v>
      </c>
      <c r="AY118" s="543">
        <f t="shared" ref="AY118:AY124" si="271">SUM(AV118+AW118+AX118)</f>
        <v>4.7031397345945694</v>
      </c>
      <c r="AZ118" s="543">
        <f t="shared" si="181"/>
        <v>9.4062794691891387</v>
      </c>
      <c r="BA118" s="375">
        <f t="shared" ref="BA118:BC118" si="272">SUM(BA119)</f>
        <v>1.5677132448648565</v>
      </c>
      <c r="BB118" s="375">
        <f t="shared" si="272"/>
        <v>1.5677132448648565</v>
      </c>
      <c r="BC118" s="375">
        <f t="shared" si="272"/>
        <v>1.5677132448648565</v>
      </c>
      <c r="BD118" s="543">
        <f t="shared" ref="BD118:BD124" si="273">SUM(BA118+BB118+BC118)</f>
        <v>4.7031397345945694</v>
      </c>
      <c r="BE118" s="543">
        <f t="shared" si="260"/>
        <v>14.109419203783709</v>
      </c>
      <c r="BF118" s="375">
        <f t="shared" ref="BF118:BH118" si="274">SUM(BF119)</f>
        <v>1.5677132448648565</v>
      </c>
      <c r="BG118" s="375">
        <f t="shared" si="274"/>
        <v>1.5677132448648565</v>
      </c>
      <c r="BH118" s="375">
        <f t="shared" si="274"/>
        <v>1.5677132448648565</v>
      </c>
      <c r="BI118" s="543">
        <f t="shared" ref="BI118:BI124" si="275">SUM(BF118+BG118+BH118)</f>
        <v>4.7031397345945694</v>
      </c>
      <c r="BJ118" s="549">
        <f t="shared" si="184"/>
        <v>18.812558938378277</v>
      </c>
    </row>
    <row r="119" spans="1:62" ht="18.75" hidden="1" x14ac:dyDescent="0.3">
      <c r="A119" s="388" t="s">
        <v>548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1"/>
      <c r="U119" s="391"/>
      <c r="V119" s="541">
        <f>SUM(V113*0.7%)</f>
        <v>18.812558938378277</v>
      </c>
      <c r="W119" s="547"/>
      <c r="X119" s="541">
        <f t="shared" si="245"/>
        <v>18.812558938378277</v>
      </c>
      <c r="Y119" s="551">
        <f t="shared" ref="Y119" si="276">SUM(V119-X119)</f>
        <v>0</v>
      </c>
      <c r="Z119" s="376">
        <f t="shared" ref="Z119" si="277">SUM(V119/12)</f>
        <v>1.5677132448648565</v>
      </c>
      <c r="AA119" s="809"/>
      <c r="AB119" s="376">
        <f t="shared" ref="AB119" si="278">SUM(Z119)</f>
        <v>1.5677132448648565</v>
      </c>
      <c r="AC119" s="376">
        <f t="shared" ref="AC119" si="279">SUM(Z119)</f>
        <v>1.5677132448648565</v>
      </c>
      <c r="AD119" s="543">
        <f t="shared" si="270"/>
        <v>4.7031397345945694</v>
      </c>
      <c r="AE119" s="816"/>
      <c r="AF119" s="816"/>
      <c r="AG119" s="816"/>
      <c r="AH119" s="816"/>
      <c r="AI119" s="2155"/>
      <c r="AJ119" s="2155"/>
      <c r="AK119" s="2155"/>
      <c r="AL119" s="2155"/>
      <c r="AM119" s="2155"/>
      <c r="AN119" s="2155"/>
      <c r="AO119" s="2155"/>
      <c r="AP119" s="2155"/>
      <c r="AQ119" s="2624"/>
      <c r="AR119" s="2624"/>
      <c r="AS119" s="2624"/>
      <c r="AT119" s="2155"/>
      <c r="AU119" s="2155"/>
      <c r="AV119" s="376">
        <f>SUM(Z119)</f>
        <v>1.5677132448648565</v>
      </c>
      <c r="AW119" s="376">
        <f>SUM(Z119)</f>
        <v>1.5677132448648565</v>
      </c>
      <c r="AX119" s="376">
        <f>SUM(Z119)</f>
        <v>1.5677132448648565</v>
      </c>
      <c r="AY119" s="543">
        <f t="shared" si="271"/>
        <v>4.7031397345945694</v>
      </c>
      <c r="AZ119" s="543">
        <f t="shared" si="181"/>
        <v>9.4062794691891387</v>
      </c>
      <c r="BA119" s="376">
        <f>SUM(Z119)</f>
        <v>1.5677132448648565</v>
      </c>
      <c r="BB119" s="376">
        <f>SUM(Z119)</f>
        <v>1.5677132448648565</v>
      </c>
      <c r="BC119" s="376">
        <f>SUM(Z119)</f>
        <v>1.5677132448648565</v>
      </c>
      <c r="BD119" s="543">
        <f t="shared" si="273"/>
        <v>4.7031397345945694</v>
      </c>
      <c r="BE119" s="543">
        <f t="shared" si="260"/>
        <v>14.109419203783709</v>
      </c>
      <c r="BF119" s="376">
        <f>SUM(Z119)</f>
        <v>1.5677132448648565</v>
      </c>
      <c r="BG119" s="376">
        <f>SUM(Z119)</f>
        <v>1.5677132448648565</v>
      </c>
      <c r="BH119" s="376">
        <f>SUM(Z119)</f>
        <v>1.5677132448648565</v>
      </c>
      <c r="BI119" s="543">
        <f t="shared" si="275"/>
        <v>4.7031397345945694</v>
      </c>
      <c r="BJ119" s="549">
        <f t="shared" si="184"/>
        <v>18.812558938378277</v>
      </c>
    </row>
    <row r="120" spans="1:62" ht="18.75" hidden="1" x14ac:dyDescent="0.3">
      <c r="A120" s="396" t="s">
        <v>594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1"/>
      <c r="U120" s="391"/>
      <c r="V120" s="541">
        <f>SUM(V121:V122)</f>
        <v>50.525158291644523</v>
      </c>
      <c r="W120" s="547"/>
      <c r="X120" s="541">
        <f t="shared" si="245"/>
        <v>50.525158291644523</v>
      </c>
      <c r="Y120" s="541">
        <f>SUM(Y121:Y122)</f>
        <v>0</v>
      </c>
      <c r="Z120" s="375">
        <f>SUM(Z121:Z122)</f>
        <v>3.6988895050183404</v>
      </c>
      <c r="AA120" s="811"/>
      <c r="AB120" s="375">
        <f>SUM(AB121:AB122)</f>
        <v>3.6988895050183404</v>
      </c>
      <c r="AC120" s="375">
        <f>SUM(AC121:AC122)</f>
        <v>3.6988895050183404</v>
      </c>
      <c r="AD120" s="543">
        <f t="shared" si="270"/>
        <v>11.096668515055022</v>
      </c>
      <c r="AE120" s="816"/>
      <c r="AF120" s="816"/>
      <c r="AG120" s="816"/>
      <c r="AH120" s="816"/>
      <c r="AI120" s="2155"/>
      <c r="AJ120" s="2155"/>
      <c r="AK120" s="2155"/>
      <c r="AL120" s="2155"/>
      <c r="AM120" s="2155"/>
      <c r="AN120" s="2155"/>
      <c r="AO120" s="2155"/>
      <c r="AP120" s="2155"/>
      <c r="AQ120" s="2624"/>
      <c r="AR120" s="2624"/>
      <c r="AS120" s="2624"/>
      <c r="AT120" s="2155"/>
      <c r="AU120" s="2155"/>
      <c r="AV120" s="375">
        <f>SUM(AV121:AV122)</f>
        <v>3.7438783959652628</v>
      </c>
      <c r="AW120" s="375">
        <f>SUM(AW121:AW122)</f>
        <v>4.4886944794198564</v>
      </c>
      <c r="AX120" s="375">
        <f>SUM(AX121:AX122)</f>
        <v>5.138534015319836</v>
      </c>
      <c r="AY120" s="543">
        <f t="shared" si="271"/>
        <v>13.371106890704956</v>
      </c>
      <c r="AZ120" s="543">
        <f t="shared" si="181"/>
        <v>24.46777540575998</v>
      </c>
      <c r="BA120" s="375">
        <f>SUM(BA121:BA122)</f>
        <v>5.3334858760898314</v>
      </c>
      <c r="BB120" s="375">
        <f>SUM(BB121:BB122)</f>
        <v>5.138534015319836</v>
      </c>
      <c r="BC120" s="375">
        <f>SUM(BC121:BC122)</f>
        <v>4.4886944794198564</v>
      </c>
      <c r="BD120" s="543">
        <f t="shared" si="273"/>
        <v>14.960714370829525</v>
      </c>
      <c r="BE120" s="543">
        <f t="shared" si="260"/>
        <v>39.428489776589501</v>
      </c>
      <c r="BF120" s="375">
        <f>SUM(BF121:BF122)</f>
        <v>3.6988895050183404</v>
      </c>
      <c r="BG120" s="375">
        <f>SUM(BG121:BG122)</f>
        <v>3.6988895050183404</v>
      </c>
      <c r="BH120" s="375">
        <f>SUM(BH121:BH122)</f>
        <v>3.6988895050183404</v>
      </c>
      <c r="BI120" s="543">
        <f t="shared" si="275"/>
        <v>11.096668515055022</v>
      </c>
      <c r="BJ120" s="549">
        <f t="shared" si="184"/>
        <v>50.525158291644523</v>
      </c>
    </row>
    <row r="121" spans="1:62" ht="18.75" hidden="1" x14ac:dyDescent="0.3">
      <c r="A121" s="388" t="s">
        <v>534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1"/>
      <c r="U121" s="391"/>
      <c r="V121" s="541">
        <f>SUM(V113*1.86%)</f>
        <v>49.987656607690859</v>
      </c>
      <c r="W121" s="547"/>
      <c r="X121" s="541">
        <f t="shared" si="245"/>
        <v>49.987656607690859</v>
      </c>
      <c r="Y121" s="551">
        <f t="shared" ref="Y121:Y122" si="280">SUM(V121-X121)</f>
        <v>0</v>
      </c>
      <c r="Z121" s="376">
        <f>SUM(V121*7.31%)</f>
        <v>3.6540976980222015</v>
      </c>
      <c r="AA121" s="809"/>
      <c r="AB121" s="376">
        <f>SUM(V121*7.31%)</f>
        <v>3.6540976980222015</v>
      </c>
      <c r="AC121" s="376">
        <f>SUM(V121*7.31%)</f>
        <v>3.6540976980222015</v>
      </c>
      <c r="AD121" s="543">
        <f t="shared" ref="AD121:AD122" si="281">SUM(Z121+AB121+AC121)</f>
        <v>10.962293094066604</v>
      </c>
      <c r="AE121" s="816"/>
      <c r="AF121" s="816"/>
      <c r="AG121" s="816"/>
      <c r="AH121" s="816"/>
      <c r="AI121" s="2155"/>
      <c r="AJ121" s="2155"/>
      <c r="AK121" s="2155"/>
      <c r="AL121" s="2155"/>
      <c r="AM121" s="2155"/>
      <c r="AN121" s="2155"/>
      <c r="AO121" s="2155"/>
      <c r="AP121" s="2155"/>
      <c r="AQ121" s="2624"/>
      <c r="AR121" s="2624"/>
      <c r="AS121" s="2624"/>
      <c r="AT121" s="2155"/>
      <c r="AU121" s="2155"/>
      <c r="AV121" s="376">
        <f>SUM(V121*7.4%)</f>
        <v>3.699086588969124</v>
      </c>
      <c r="AW121" s="376">
        <f>SUM(V121*8.89%)</f>
        <v>4.4439026724237181</v>
      </c>
      <c r="AX121" s="376">
        <f>SUM(V121*10.19%)</f>
        <v>5.0937422083236976</v>
      </c>
      <c r="AY121" s="543">
        <f t="shared" ref="AY121:AY122" si="282">SUM(AV121+AW121+AX121)</f>
        <v>13.236731469716538</v>
      </c>
      <c r="AZ121" s="543">
        <f t="shared" si="181"/>
        <v>24.199024563783141</v>
      </c>
      <c r="BA121" s="376">
        <f>SUM(V121*10.58%)</f>
        <v>5.288694069093693</v>
      </c>
      <c r="BB121" s="376">
        <f>SUM(V121*10.19%)</f>
        <v>5.0937422083236976</v>
      </c>
      <c r="BC121" s="376">
        <f>SUM(V121*8.89%)</f>
        <v>4.4439026724237181</v>
      </c>
      <c r="BD121" s="543">
        <f t="shared" ref="BD121:BD122" si="283">SUM(BA121+BB121+BC121)</f>
        <v>14.826338949841109</v>
      </c>
      <c r="BE121" s="543">
        <f t="shared" si="260"/>
        <v>39.025363513624249</v>
      </c>
      <c r="BF121" s="376">
        <f>SUM(V121*7.31%)</f>
        <v>3.6540976980222015</v>
      </c>
      <c r="BG121" s="376">
        <f>SUM(V121*7.31%)</f>
        <v>3.6540976980222015</v>
      </c>
      <c r="BH121" s="376">
        <f>SUM(V121*7.31%)</f>
        <v>3.6540976980222015</v>
      </c>
      <c r="BI121" s="543">
        <f t="shared" ref="BI121:BI122" si="284">SUM(BF121+BG121+BH121)</f>
        <v>10.962293094066604</v>
      </c>
      <c r="BJ121" s="549">
        <f t="shared" si="184"/>
        <v>49.987656607690852</v>
      </c>
    </row>
    <row r="122" spans="1:62" ht="18.75" hidden="1" x14ac:dyDescent="0.3">
      <c r="A122" s="558" t="s">
        <v>598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1"/>
      <c r="U122" s="391"/>
      <c r="V122" s="541">
        <f>SUM(V113*0.02%)</f>
        <v>0.53750168395366515</v>
      </c>
      <c r="W122" s="547"/>
      <c r="X122" s="541">
        <f t="shared" si="245"/>
        <v>0.53750168395366515</v>
      </c>
      <c r="Y122" s="559">
        <f t="shared" si="280"/>
        <v>0</v>
      </c>
      <c r="Z122" s="382">
        <f t="shared" ref="Z122" si="285">SUM(V122/12)</f>
        <v>4.4791806996138765E-2</v>
      </c>
      <c r="AA122" s="812"/>
      <c r="AB122" s="382">
        <f t="shared" ref="AB122" si="286">SUM(Z122)</f>
        <v>4.4791806996138765E-2</v>
      </c>
      <c r="AC122" s="382">
        <f t="shared" ref="AC122" si="287">SUM(Z122)</f>
        <v>4.4791806996138765E-2</v>
      </c>
      <c r="AD122" s="560">
        <f t="shared" si="281"/>
        <v>0.13437542098841629</v>
      </c>
      <c r="AE122" s="818"/>
      <c r="AF122" s="818"/>
      <c r="AG122" s="818"/>
      <c r="AH122" s="818"/>
      <c r="AI122" s="2157"/>
      <c r="AJ122" s="2157"/>
      <c r="AK122" s="2157"/>
      <c r="AL122" s="2157"/>
      <c r="AM122" s="2157"/>
      <c r="AN122" s="2157"/>
      <c r="AO122" s="2157"/>
      <c r="AP122" s="2157"/>
      <c r="AQ122" s="2157"/>
      <c r="AR122" s="2157"/>
      <c r="AS122" s="2157"/>
      <c r="AT122" s="2157"/>
      <c r="AU122" s="2157"/>
      <c r="AV122" s="561">
        <f t="shared" ref="AV122" si="288">SUM(Z122)</f>
        <v>4.4791806996138765E-2</v>
      </c>
      <c r="AW122" s="561">
        <f t="shared" ref="AW122" si="289">SUM(Z122)</f>
        <v>4.4791806996138765E-2</v>
      </c>
      <c r="AX122" s="561">
        <f t="shared" ref="AX122" si="290">SUM(Z122)</f>
        <v>4.4791806996138765E-2</v>
      </c>
      <c r="AY122" s="560">
        <f t="shared" si="282"/>
        <v>0.13437542098841629</v>
      </c>
      <c r="AZ122" s="560">
        <f t="shared" si="181"/>
        <v>0.26875084197683258</v>
      </c>
      <c r="BA122" s="561">
        <f t="shared" ref="BA122" si="291">SUM(Z122)</f>
        <v>4.4791806996138765E-2</v>
      </c>
      <c r="BB122" s="561">
        <f t="shared" ref="BB122" si="292">SUM(Z122)</f>
        <v>4.4791806996138765E-2</v>
      </c>
      <c r="BC122" s="561">
        <f t="shared" ref="BC122" si="293">SUM(Z122)</f>
        <v>4.4791806996138765E-2</v>
      </c>
      <c r="BD122" s="560">
        <f t="shared" si="283"/>
        <v>0.13437542098841629</v>
      </c>
      <c r="BE122" s="560">
        <f t="shared" si="260"/>
        <v>0.40312626296524889</v>
      </c>
      <c r="BF122" s="561">
        <f t="shared" ref="BF122" si="294">SUM(Z122)</f>
        <v>4.4791806996138765E-2</v>
      </c>
      <c r="BG122" s="561">
        <f t="shared" ref="BG122" si="295">SUM(Z122)</f>
        <v>4.4791806996138765E-2</v>
      </c>
      <c r="BH122" s="561">
        <f t="shared" ref="BH122" si="296">SUM(Z122)</f>
        <v>4.4791806996138765E-2</v>
      </c>
      <c r="BI122" s="560">
        <f t="shared" si="284"/>
        <v>0.13437542098841629</v>
      </c>
      <c r="BJ122" s="549">
        <f t="shared" si="184"/>
        <v>0.53750168395366515</v>
      </c>
    </row>
    <row r="123" spans="1:62" ht="19.5" hidden="1" x14ac:dyDescent="0.3">
      <c r="A123" s="397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1"/>
      <c r="U123" s="391"/>
      <c r="V123" s="544">
        <f>SUM(V64+V74+V100+V113)</f>
        <v>11755.79772460473</v>
      </c>
      <c r="W123" s="562"/>
      <c r="X123" s="544">
        <f>SUM(X64+X74+X100+X113)</f>
        <v>11755.79772460473</v>
      </c>
      <c r="Y123" s="544">
        <f>SUM(Y64+Y74+Y100+Y113)</f>
        <v>0</v>
      </c>
      <c r="Z123" s="373">
        <f>SUM(Z64+Z74+Z100+Z113)</f>
        <v>989.79003757873875</v>
      </c>
      <c r="AA123" s="808"/>
      <c r="AB123" s="373">
        <f>SUM(AB64+AB74+AB100+AB113)</f>
        <v>980.2341365006896</v>
      </c>
      <c r="AC123" s="373">
        <f>SUM(AC64+AC74+AC100+AC113)</f>
        <v>976.09571048255566</v>
      </c>
      <c r="AD123" s="552">
        <f t="shared" si="270"/>
        <v>2946.1198845619838</v>
      </c>
      <c r="AE123" s="815"/>
      <c r="AF123" s="815"/>
      <c r="AG123" s="815"/>
      <c r="AH123" s="815"/>
      <c r="AI123" s="2154"/>
      <c r="AJ123" s="2154"/>
      <c r="AK123" s="2154"/>
      <c r="AL123" s="2154"/>
      <c r="AM123" s="2154"/>
      <c r="AN123" s="2154"/>
      <c r="AO123" s="2154"/>
      <c r="AP123" s="2154"/>
      <c r="AQ123" s="2623"/>
      <c r="AR123" s="2623"/>
      <c r="AS123" s="2623"/>
      <c r="AT123" s="2154"/>
      <c r="AU123" s="2154"/>
      <c r="AV123" s="373">
        <f>SUM(AV64+AV74+AV100+AV113)</f>
        <v>961.88407502519533</v>
      </c>
      <c r="AW123" s="373">
        <f>SUM(AW64+AW74+AW100+AW113)</f>
        <v>936.40253740927494</v>
      </c>
      <c r="AX123" s="373">
        <f>SUM(AX64+AX74+AX100+AX113)</f>
        <v>930.66897430976155</v>
      </c>
      <c r="AY123" s="552">
        <f t="shared" si="271"/>
        <v>2828.9555867442318</v>
      </c>
      <c r="AZ123" s="552">
        <f t="shared" si="181"/>
        <v>5775.0754713062161</v>
      </c>
      <c r="BA123" s="373">
        <f>SUM(BA64+BA74+BA100+BA113)</f>
        <v>974.07458770089181</v>
      </c>
      <c r="BB123" s="373">
        <f>SUM(BB64+BB74+BB100+BB113)</f>
        <v>973.09645462035189</v>
      </c>
      <c r="BC123" s="373">
        <f>SUM(BC64+BC74+BC100+BC113)</f>
        <v>985.84212684091722</v>
      </c>
      <c r="BD123" s="552">
        <f t="shared" si="273"/>
        <v>2933.0131691621609</v>
      </c>
      <c r="BE123" s="552">
        <f t="shared" si="260"/>
        <v>8708.088640468377</v>
      </c>
      <c r="BF123" s="373">
        <f>SUM(BF64+BF74+BF100+BF113)</f>
        <v>1005.2184191536765</v>
      </c>
      <c r="BG123" s="373">
        <f>SUM(BG64+BG74+BG100+BG113)</f>
        <v>1015.3477851966146</v>
      </c>
      <c r="BH123" s="373">
        <f>SUM(BH64+BH74+BH100+BH113)</f>
        <v>1027.1359780365581</v>
      </c>
      <c r="BI123" s="552">
        <f t="shared" si="275"/>
        <v>3047.702182386849</v>
      </c>
      <c r="BJ123" s="549">
        <f t="shared" si="184"/>
        <v>11755.790822855226</v>
      </c>
    </row>
    <row r="124" spans="1:62" ht="19.5" hidden="1" x14ac:dyDescent="0.3">
      <c r="A124" s="397" t="s">
        <v>595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1"/>
      <c r="U124" s="391"/>
      <c r="V124" s="563">
        <f>SUM(V123-V87-V88)</f>
        <v>11755.79772460473</v>
      </c>
      <c r="W124" s="562"/>
      <c r="X124" s="563">
        <f>SUM(X123-X87-X88)</f>
        <v>11755.79772460473</v>
      </c>
      <c r="Y124" s="563">
        <f>SUM(Y123-Y87-Y88)</f>
        <v>0</v>
      </c>
      <c r="Z124" s="564">
        <f>SUM(Z123-Z87-Z88)</f>
        <v>989.79003757873875</v>
      </c>
      <c r="AA124" s="813"/>
      <c r="AB124" s="564">
        <f>SUM(AB123-AB87-AB88)</f>
        <v>980.2341365006896</v>
      </c>
      <c r="AC124" s="564">
        <f>SUM(AC123-AC87-AC88)</f>
        <v>976.09571048255566</v>
      </c>
      <c r="AD124" s="552">
        <f t="shared" si="270"/>
        <v>2946.1198845619838</v>
      </c>
      <c r="AE124" s="815"/>
      <c r="AF124" s="815"/>
      <c r="AG124" s="815"/>
      <c r="AH124" s="815"/>
      <c r="AI124" s="2154"/>
      <c r="AJ124" s="2154"/>
      <c r="AK124" s="2154"/>
      <c r="AL124" s="2154"/>
      <c r="AM124" s="2154"/>
      <c r="AN124" s="2154"/>
      <c r="AO124" s="2154"/>
      <c r="AP124" s="2154"/>
      <c r="AQ124" s="2623"/>
      <c r="AR124" s="2623"/>
      <c r="AS124" s="2623"/>
      <c r="AT124" s="2154"/>
      <c r="AU124" s="2154"/>
      <c r="AV124" s="564">
        <f>SUM(AV123-AV87-AV88)</f>
        <v>961.88407502519533</v>
      </c>
      <c r="AW124" s="564">
        <f>SUM(AW123-AW87-AW88)</f>
        <v>936.40253740927494</v>
      </c>
      <c r="AX124" s="564">
        <f>SUM(AX123-AX87-AX88)</f>
        <v>930.66897430976155</v>
      </c>
      <c r="AY124" s="552">
        <f t="shared" si="271"/>
        <v>2828.9555867442318</v>
      </c>
      <c r="AZ124" s="552">
        <f t="shared" si="181"/>
        <v>5775.0754713062161</v>
      </c>
      <c r="BA124" s="564">
        <f>SUM(BA123-BA87-BA88)</f>
        <v>974.07458770089181</v>
      </c>
      <c r="BB124" s="564">
        <f>SUM(BB123-BB87-BB88)</f>
        <v>973.09645462035189</v>
      </c>
      <c r="BC124" s="564">
        <f>SUM(BC123-BC87-BC88)</f>
        <v>985.84212684091722</v>
      </c>
      <c r="BD124" s="552">
        <f t="shared" si="273"/>
        <v>2933.0131691621609</v>
      </c>
      <c r="BE124" s="552">
        <f t="shared" si="260"/>
        <v>8708.088640468377</v>
      </c>
      <c r="BF124" s="564">
        <f>SUM(BF123-BF87-BF88)</f>
        <v>1005.2184191536765</v>
      </c>
      <c r="BG124" s="564">
        <f>SUM(BG123-BG87-BG88)</f>
        <v>1015.3477851966146</v>
      </c>
      <c r="BH124" s="564">
        <f>SUM(BH123-BH87-BH88)</f>
        <v>1027.1359780365581</v>
      </c>
      <c r="BI124" s="552">
        <f t="shared" si="275"/>
        <v>3047.702182386849</v>
      </c>
      <c r="BJ124" s="549">
        <f t="shared" si="184"/>
        <v>11755.790822855226</v>
      </c>
    </row>
    <row r="125" spans="1:62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1"/>
      <c r="T125" s="391"/>
      <c r="U125" s="391"/>
      <c r="V125" s="394"/>
      <c r="W125" s="5"/>
      <c r="X125" s="394"/>
      <c r="Y125" s="394"/>
      <c r="Z125" s="394"/>
      <c r="AA125" s="394"/>
      <c r="AB125" s="394"/>
      <c r="AC125" s="394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</row>
    <row r="126" spans="1:62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1"/>
      <c r="T126" s="391"/>
      <c r="U126" s="391"/>
      <c r="V126" s="394"/>
      <c r="W126" s="5"/>
      <c r="X126" s="394"/>
      <c r="Y126" s="394"/>
      <c r="Z126" s="394"/>
      <c r="AA126" s="394"/>
      <c r="AB126" s="394"/>
      <c r="AC126" s="394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</row>
    <row r="127" spans="1:62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1"/>
      <c r="T127" s="391"/>
      <c r="U127" s="391"/>
      <c r="V127" s="394"/>
      <c r="W127" s="5"/>
      <c r="X127" s="577"/>
      <c r="Y127" s="577"/>
      <c r="Z127" s="577"/>
      <c r="AA127" s="577"/>
      <c r="AB127" s="394"/>
      <c r="AC127" s="394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</row>
    <row r="128" spans="1:62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1"/>
      <c r="T128" s="391"/>
      <c r="U128" s="391"/>
      <c r="V128" s="394"/>
      <c r="W128" s="5"/>
      <c r="X128" s="394"/>
      <c r="Y128" s="394"/>
      <c r="Z128" s="394"/>
      <c r="AA128" s="394"/>
      <c r="AB128" s="394"/>
      <c r="AC128" s="394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</row>
    <row r="129" spans="1:48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1"/>
      <c r="T129" s="391"/>
      <c r="U129" s="391"/>
      <c r="V129" s="394"/>
      <c r="W129" s="5"/>
      <c r="X129" s="394"/>
      <c r="Y129" s="394"/>
      <c r="Z129" s="394"/>
      <c r="AA129" s="394"/>
      <c r="AB129" s="394"/>
      <c r="AC129" s="394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</row>
    <row r="130" spans="1:48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1"/>
      <c r="T130" s="391"/>
      <c r="U130" s="391"/>
      <c r="V130" s="394"/>
      <c r="W130" s="5"/>
      <c r="X130" s="394"/>
      <c r="Y130" s="394"/>
      <c r="Z130" s="394"/>
      <c r="AA130" s="394"/>
      <c r="AB130" s="394"/>
      <c r="AC130" s="394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</row>
    <row r="131" spans="1:48" ht="18.75" hidden="1" x14ac:dyDescent="0.3">
      <c r="A131" s="4879" t="s">
        <v>633</v>
      </c>
      <c r="B131" s="4880"/>
      <c r="C131" s="4880"/>
      <c r="D131" s="4880"/>
      <c r="E131" s="4880"/>
      <c r="F131" s="4880"/>
      <c r="G131" s="4880"/>
      <c r="H131" s="4880"/>
      <c r="I131" s="4880"/>
      <c r="J131" s="4880"/>
      <c r="K131" s="4880"/>
      <c r="L131" s="4880"/>
      <c r="M131" s="4880"/>
      <c r="N131" s="4880"/>
      <c r="O131" s="4880"/>
      <c r="P131" s="4880"/>
      <c r="Q131" s="4880"/>
      <c r="R131" s="4880"/>
      <c r="S131" s="4880"/>
      <c r="T131" s="4880"/>
      <c r="U131" s="4880"/>
      <c r="V131" s="4880"/>
      <c r="W131" s="4880"/>
      <c r="X131" s="4880"/>
      <c r="Y131" s="4880"/>
      <c r="Z131" s="4881"/>
      <c r="AA131" s="820"/>
      <c r="AB131" s="394"/>
      <c r="AC131" s="394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</row>
    <row r="132" spans="1:48" ht="18.75" hidden="1" x14ac:dyDescent="0.3">
      <c r="A132" s="570" t="s">
        <v>608</v>
      </c>
      <c r="B132" s="570"/>
      <c r="C132" s="570"/>
      <c r="D132" s="570"/>
      <c r="E132" s="570"/>
      <c r="F132" s="570"/>
      <c r="G132" s="570"/>
      <c r="H132" s="570"/>
      <c r="I132" s="570"/>
      <c r="J132" s="570"/>
      <c r="K132" s="570"/>
      <c r="L132" s="570"/>
      <c r="M132" s="570"/>
      <c r="N132" s="570"/>
      <c r="O132" s="570"/>
      <c r="P132" s="570"/>
      <c r="Q132" s="570"/>
      <c r="R132" s="570"/>
      <c r="S132" s="570"/>
      <c r="T132" s="570"/>
      <c r="U132" s="570"/>
      <c r="V132" s="571" t="s">
        <v>609</v>
      </c>
      <c r="W132" s="571"/>
      <c r="X132" s="571" t="s">
        <v>612</v>
      </c>
      <c r="Y132" s="571" t="s">
        <v>282</v>
      </c>
      <c r="Z132" s="571" t="s">
        <v>44</v>
      </c>
      <c r="AA132" s="821"/>
      <c r="AB132" s="394"/>
      <c r="AC132" s="394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</row>
    <row r="133" spans="1:48" ht="18.75" hidden="1" x14ac:dyDescent="0.3">
      <c r="A133" s="569" t="s">
        <v>610</v>
      </c>
      <c r="B133" s="569"/>
      <c r="C133" s="569"/>
      <c r="D133" s="569"/>
      <c r="E133" s="569"/>
      <c r="F133" s="569"/>
      <c r="G133" s="569"/>
      <c r="H133" s="569"/>
      <c r="I133" s="569"/>
      <c r="J133" s="569"/>
      <c r="K133" s="569"/>
      <c r="L133" s="569"/>
      <c r="M133" s="569"/>
      <c r="N133" s="569"/>
      <c r="O133" s="569"/>
      <c r="P133" s="569"/>
      <c r="Q133" s="569"/>
      <c r="R133" s="569"/>
      <c r="S133" s="569"/>
      <c r="T133" s="569"/>
      <c r="U133" s="569"/>
      <c r="V133" s="569">
        <v>544342.37</v>
      </c>
      <c r="W133" s="569"/>
      <c r="X133" s="569"/>
      <c r="Y133" s="569">
        <f>SUM(V133:X133)</f>
        <v>544342.37</v>
      </c>
      <c r="Z133" s="572">
        <f>SUM(Y133/Y140)</f>
        <v>0.6974668420563781</v>
      </c>
      <c r="AA133" s="822"/>
      <c r="AB133" s="394"/>
      <c r="AC133" s="394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</row>
    <row r="134" spans="1:48" ht="18.75" hidden="1" x14ac:dyDescent="0.3">
      <c r="A134" s="569" t="s">
        <v>611</v>
      </c>
      <c r="B134" s="569"/>
      <c r="C134" s="569"/>
      <c r="D134" s="569"/>
      <c r="E134" s="569"/>
      <c r="F134" s="569"/>
      <c r="G134" s="569"/>
      <c r="H134" s="569"/>
      <c r="I134" s="569"/>
      <c r="J134" s="569"/>
      <c r="K134" s="569"/>
      <c r="L134" s="569"/>
      <c r="M134" s="569"/>
      <c r="N134" s="569"/>
      <c r="O134" s="569"/>
      <c r="P134" s="569"/>
      <c r="Q134" s="569"/>
      <c r="R134" s="569"/>
      <c r="S134" s="569"/>
      <c r="T134" s="569"/>
      <c r="U134" s="569"/>
      <c r="V134" s="569">
        <v>164391.41</v>
      </c>
      <c r="W134" s="569"/>
      <c r="X134" s="569"/>
      <c r="Y134" s="569">
        <f t="shared" ref="Y134:Y139" si="297">SUM(V134:X134)</f>
        <v>164391.41</v>
      </c>
      <c r="Z134" s="572">
        <f>SUM(Y134/Y140)</f>
        <v>0.21063500457238943</v>
      </c>
      <c r="AA134" s="822"/>
      <c r="AB134" s="394"/>
      <c r="AC134" s="394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</row>
    <row r="135" spans="1:48" ht="18.75" hidden="1" x14ac:dyDescent="0.3">
      <c r="A135" s="569" t="s">
        <v>613</v>
      </c>
      <c r="B135" s="569"/>
      <c r="C135" s="569"/>
      <c r="D135" s="569"/>
      <c r="E135" s="569"/>
      <c r="F135" s="569"/>
      <c r="G135" s="569"/>
      <c r="H135" s="569"/>
      <c r="I135" s="569"/>
      <c r="J135" s="569"/>
      <c r="K135" s="569"/>
      <c r="L135" s="569"/>
      <c r="M135" s="569"/>
      <c r="N135" s="56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9">
        <v>3667.86</v>
      </c>
      <c r="Y135" s="569">
        <f t="shared" si="297"/>
        <v>3667.86</v>
      </c>
      <c r="Z135" s="572">
        <f>SUM(Y135/Y140)</f>
        <v>4.6996355093668479E-3</v>
      </c>
      <c r="AA135" s="822"/>
      <c r="AB135" s="394"/>
      <c r="AC135" s="394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</row>
    <row r="136" spans="1:48" ht="18.75" hidden="1" x14ac:dyDescent="0.3">
      <c r="A136" s="569" t="s">
        <v>590</v>
      </c>
      <c r="B136" s="569"/>
      <c r="C136" s="569"/>
      <c r="D136" s="569"/>
      <c r="E136" s="569"/>
      <c r="F136" s="569"/>
      <c r="G136" s="569"/>
      <c r="H136" s="569"/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>
        <v>16761.7</v>
      </c>
      <c r="Y136" s="569">
        <f t="shared" si="297"/>
        <v>16761.7</v>
      </c>
      <c r="Z136" s="572">
        <f>SUM(Y136/Y140)</f>
        <v>2.1476795874802827E-2</v>
      </c>
      <c r="AA136" s="822"/>
      <c r="AB136" s="394"/>
      <c r="AC136" s="394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</row>
    <row r="137" spans="1:48" ht="18.75" hidden="1" x14ac:dyDescent="0.3">
      <c r="A137" s="569" t="s">
        <v>614</v>
      </c>
      <c r="B137" s="569"/>
      <c r="C137" s="569"/>
      <c r="D137" s="569"/>
      <c r="E137" s="569"/>
      <c r="F137" s="569"/>
      <c r="G137" s="569"/>
      <c r="H137" s="569"/>
      <c r="I137" s="569"/>
      <c r="J137" s="569"/>
      <c r="K137" s="569"/>
      <c r="L137" s="569"/>
      <c r="M137" s="569"/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>
        <v>25135.3</v>
      </c>
      <c r="Y137" s="569">
        <f t="shared" si="297"/>
        <v>25135.3</v>
      </c>
      <c r="Z137" s="572">
        <f>SUM(Y137/Y140)</f>
        <v>3.2205904374373207E-2</v>
      </c>
      <c r="AA137" s="822"/>
      <c r="AB137" s="394"/>
      <c r="AC137" s="394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</row>
    <row r="138" spans="1:48" ht="18.75" hidden="1" x14ac:dyDescent="0.3">
      <c r="A138" s="569" t="s">
        <v>34</v>
      </c>
      <c r="B138" s="569"/>
      <c r="C138" s="569"/>
      <c r="D138" s="569"/>
      <c r="E138" s="569"/>
      <c r="F138" s="569"/>
      <c r="G138" s="569"/>
      <c r="H138" s="569"/>
      <c r="I138" s="569"/>
      <c r="J138" s="569"/>
      <c r="K138" s="569"/>
      <c r="L138" s="569"/>
      <c r="M138" s="569"/>
      <c r="N138" s="56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9">
        <v>10460.129999999999</v>
      </c>
      <c r="Y138" s="569">
        <f t="shared" si="297"/>
        <v>10460.129999999999</v>
      </c>
      <c r="Z138" s="572">
        <f>SUM(Y138/Y140)</f>
        <v>1.3402583081304478E-2</v>
      </c>
      <c r="AA138" s="822"/>
      <c r="AB138" s="394"/>
      <c r="AC138" s="394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</row>
    <row r="139" spans="1:48" ht="18.75" hidden="1" x14ac:dyDescent="0.3">
      <c r="A139" s="569" t="s">
        <v>52</v>
      </c>
      <c r="B139" s="569"/>
      <c r="C139" s="569"/>
      <c r="D139" s="569"/>
      <c r="E139" s="56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>
        <v>15697.5</v>
      </c>
      <c r="Y139" s="569">
        <f t="shared" si="297"/>
        <v>15697.5</v>
      </c>
      <c r="Z139" s="572">
        <f>SUM(Y139/Y140)</f>
        <v>2.0113234531385082E-2</v>
      </c>
      <c r="AA139" s="822"/>
      <c r="AB139" s="394"/>
      <c r="AC139" s="394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</row>
    <row r="140" spans="1:48" ht="18.75" hidden="1" x14ac:dyDescent="0.3">
      <c r="A140" s="570" t="s">
        <v>616</v>
      </c>
      <c r="B140" s="570"/>
      <c r="C140" s="570"/>
      <c r="D140" s="570"/>
      <c r="E140" s="570"/>
      <c r="F140" s="570"/>
      <c r="G140" s="570"/>
      <c r="H140" s="570"/>
      <c r="I140" s="570"/>
      <c r="J140" s="570"/>
      <c r="K140" s="570"/>
      <c r="L140" s="570"/>
      <c r="M140" s="570"/>
      <c r="N140" s="570"/>
      <c r="O140" s="570"/>
      <c r="P140" s="570"/>
      <c r="Q140" s="570"/>
      <c r="R140" s="570"/>
      <c r="S140" s="570"/>
      <c r="T140" s="570"/>
      <c r="U140" s="570"/>
      <c r="V140" s="570">
        <f>SUM(V133:V139)</f>
        <v>708733.78</v>
      </c>
      <c r="W140" s="570"/>
      <c r="X140" s="570">
        <f>SUM(X133:X139)</f>
        <v>71722.489999999991</v>
      </c>
      <c r="Y140" s="570">
        <f>SUM(Y133:Y139)</f>
        <v>780456.27</v>
      </c>
      <c r="Z140" s="573">
        <f>SUM(Z133:Z139)</f>
        <v>1</v>
      </c>
      <c r="AA140" s="823"/>
      <c r="AB140" s="394"/>
      <c r="AC140" s="394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</row>
    <row r="141" spans="1:48" ht="18.75" hidden="1" x14ac:dyDescent="0.3">
      <c r="A141" s="570" t="s">
        <v>617</v>
      </c>
      <c r="B141" s="570"/>
      <c r="C141" s="570"/>
      <c r="D141" s="570"/>
      <c r="E141" s="570"/>
      <c r="F141" s="570"/>
      <c r="G141" s="570"/>
      <c r="H141" s="570"/>
      <c r="I141" s="570"/>
      <c r="J141" s="570"/>
      <c r="K141" s="570"/>
      <c r="L141" s="570"/>
      <c r="M141" s="570"/>
      <c r="N141" s="570"/>
      <c r="O141" s="570"/>
      <c r="P141" s="570"/>
      <c r="Q141" s="570"/>
      <c r="R141" s="570"/>
      <c r="S141" s="570"/>
      <c r="T141" s="570"/>
      <c r="U141" s="570"/>
      <c r="V141" s="574" t="s">
        <v>619</v>
      </c>
      <c r="W141" s="574"/>
      <c r="X141" s="574" t="s">
        <v>618</v>
      </c>
      <c r="Y141" s="574" t="s">
        <v>282</v>
      </c>
      <c r="Z141" s="574" t="s">
        <v>44</v>
      </c>
      <c r="AA141" s="821"/>
      <c r="AB141" s="394"/>
      <c r="AC141" s="394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</row>
    <row r="142" spans="1:48" ht="18.75" hidden="1" x14ac:dyDescent="0.3">
      <c r="A142" s="569" t="s">
        <v>610</v>
      </c>
      <c r="B142" s="569"/>
      <c r="C142" s="569"/>
      <c r="D142" s="569"/>
      <c r="E142" s="569"/>
      <c r="F142" s="569"/>
      <c r="G142" s="569"/>
      <c r="H142" s="569"/>
      <c r="I142" s="569"/>
      <c r="J142" s="569"/>
      <c r="K142" s="569"/>
      <c r="L142" s="569"/>
      <c r="M142" s="569"/>
      <c r="N142" s="569"/>
      <c r="O142" s="569"/>
      <c r="P142" s="569"/>
      <c r="Q142" s="569"/>
      <c r="R142" s="569"/>
      <c r="S142" s="569"/>
      <c r="T142" s="569"/>
      <c r="U142" s="569"/>
      <c r="V142" s="569">
        <v>2420280.5099999998</v>
      </c>
      <c r="W142" s="569"/>
      <c r="X142" s="569"/>
      <c r="Y142" s="569">
        <f>SUM(V142:X142)</f>
        <v>2420280.5099999998</v>
      </c>
      <c r="Z142" s="572">
        <f>SUM(Y142/Y164)</f>
        <v>0.46536359043589531</v>
      </c>
      <c r="AA142" s="822"/>
      <c r="AB142" s="394"/>
      <c r="AC142" s="394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</row>
    <row r="143" spans="1:48" ht="18.75" hidden="1" x14ac:dyDescent="0.3">
      <c r="A143" s="569" t="s">
        <v>611</v>
      </c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569"/>
      <c r="R143" s="569"/>
      <c r="S143" s="569"/>
      <c r="T143" s="569"/>
      <c r="U143" s="569"/>
      <c r="V143" s="569">
        <v>724985.49</v>
      </c>
      <c r="W143" s="569"/>
      <c r="X143" s="569"/>
      <c r="Y143" s="569">
        <f t="shared" ref="Y143:Y163" si="298">SUM(V143:X143)</f>
        <v>724985.49</v>
      </c>
      <c r="Z143" s="572">
        <f>SUM(Y143/Y164)</f>
        <v>0.1393978298161509</v>
      </c>
      <c r="AA143" s="822"/>
      <c r="AB143" s="394"/>
      <c r="AC143" s="394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1:48" ht="18.75" hidden="1" x14ac:dyDescent="0.3">
      <c r="A144" s="569" t="s">
        <v>592</v>
      </c>
      <c r="B144" s="569"/>
      <c r="C144" s="569"/>
      <c r="D144" s="569"/>
      <c r="E144" s="569"/>
      <c r="F144" s="569"/>
      <c r="G144" s="569"/>
      <c r="H144" s="569"/>
      <c r="I144" s="569"/>
      <c r="J144" s="569"/>
      <c r="K144" s="569"/>
      <c r="L144" s="569"/>
      <c r="M144" s="569"/>
      <c r="N144" s="569"/>
      <c r="O144" s="569"/>
      <c r="P144" s="569"/>
      <c r="Q144" s="569"/>
      <c r="R144" s="569"/>
      <c r="S144" s="569"/>
      <c r="T144" s="569"/>
      <c r="U144" s="569"/>
      <c r="V144" s="569"/>
      <c r="W144" s="569"/>
      <c r="X144" s="569">
        <v>75600</v>
      </c>
      <c r="Y144" s="569">
        <f t="shared" si="298"/>
        <v>75600</v>
      </c>
      <c r="Z144" s="572">
        <f>SUM(Y144/Y164)</f>
        <v>1.4536119797516235E-2</v>
      </c>
      <c r="AA144" s="822"/>
      <c r="AB144" s="394"/>
      <c r="AC144" s="394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5" spans="1:48" ht="18.75" hidden="1" x14ac:dyDescent="0.3">
      <c r="A145" s="569" t="s">
        <v>620</v>
      </c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  <c r="M145" s="569"/>
      <c r="N145" s="569"/>
      <c r="O145" s="569"/>
      <c r="P145" s="569"/>
      <c r="Q145" s="569"/>
      <c r="R145" s="569"/>
      <c r="S145" s="569"/>
      <c r="T145" s="569"/>
      <c r="U145" s="569"/>
      <c r="V145" s="569"/>
      <c r="W145" s="569"/>
      <c r="X145" s="569">
        <v>300</v>
      </c>
      <c r="Y145" s="569">
        <f t="shared" si="298"/>
        <v>300</v>
      </c>
      <c r="Z145" s="572">
        <f>SUM(Y145/Y164)</f>
        <v>5.768301506950887E-5</v>
      </c>
      <c r="AA145" s="822"/>
      <c r="AB145" s="394"/>
      <c r="AC145" s="394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</row>
    <row r="146" spans="1:48" ht="18.75" hidden="1" x14ac:dyDescent="0.3">
      <c r="A146" s="569" t="s">
        <v>32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69"/>
      <c r="P146" s="569"/>
      <c r="Q146" s="569"/>
      <c r="R146" s="569"/>
      <c r="S146" s="569"/>
      <c r="T146" s="569"/>
      <c r="U146" s="569"/>
      <c r="V146" s="569"/>
      <c r="W146" s="569"/>
      <c r="X146" s="569">
        <v>15305</v>
      </c>
      <c r="Y146" s="569">
        <f t="shared" si="298"/>
        <v>15305</v>
      </c>
      <c r="Z146" s="572">
        <f>SUM(Y146/Y164)</f>
        <v>2.9427951521294442E-3</v>
      </c>
      <c r="AA146" s="822"/>
      <c r="AB146" s="394"/>
      <c r="AC146" s="394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</row>
    <row r="147" spans="1:48" ht="18.75" hidden="1" x14ac:dyDescent="0.3">
      <c r="A147" s="569" t="s">
        <v>75</v>
      </c>
      <c r="B147" s="569"/>
      <c r="C147" s="569"/>
      <c r="D147" s="569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569"/>
      <c r="T147" s="569"/>
      <c r="U147" s="569"/>
      <c r="V147" s="569"/>
      <c r="W147" s="569"/>
      <c r="X147" s="569">
        <v>129</v>
      </c>
      <c r="Y147" s="569">
        <f t="shared" si="298"/>
        <v>129</v>
      </c>
      <c r="Z147" s="575">
        <f>SUM(Y147/Y164)</f>
        <v>2.4803696479888814E-5</v>
      </c>
      <c r="AA147" s="824"/>
      <c r="AB147" s="394"/>
      <c r="AC147" s="394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</row>
    <row r="148" spans="1:48" ht="18.75" hidden="1" x14ac:dyDescent="0.3">
      <c r="A148" s="569" t="s">
        <v>634</v>
      </c>
      <c r="B148" s="569"/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  <c r="O148" s="569"/>
      <c r="P148" s="569"/>
      <c r="Q148" s="569"/>
      <c r="R148" s="569"/>
      <c r="S148" s="569"/>
      <c r="T148" s="569"/>
      <c r="U148" s="569"/>
      <c r="V148" s="569"/>
      <c r="W148" s="569"/>
      <c r="X148" s="569">
        <v>3814.4</v>
      </c>
      <c r="Y148" s="569">
        <f t="shared" si="298"/>
        <v>3814.4</v>
      </c>
      <c r="Z148" s="572">
        <f>SUM(Y148/Y164)</f>
        <v>7.3342030893711551E-4</v>
      </c>
      <c r="AA148" s="822"/>
      <c r="AB148" s="394"/>
      <c r="AC148" s="394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</row>
    <row r="149" spans="1:48" ht="18.75" hidden="1" x14ac:dyDescent="0.3">
      <c r="A149" s="569" t="s">
        <v>621</v>
      </c>
      <c r="B149" s="569"/>
      <c r="C149" s="569"/>
      <c r="D149" s="569"/>
      <c r="E149" s="569"/>
      <c r="F149" s="569"/>
      <c r="G149" s="569"/>
      <c r="H149" s="569"/>
      <c r="I149" s="569"/>
      <c r="J149" s="569"/>
      <c r="K149" s="569"/>
      <c r="L149" s="569"/>
      <c r="M149" s="569"/>
      <c r="N149" s="569"/>
      <c r="O149" s="569"/>
      <c r="P149" s="569"/>
      <c r="Q149" s="569"/>
      <c r="R149" s="569"/>
      <c r="S149" s="569"/>
      <c r="T149" s="569"/>
      <c r="U149" s="569"/>
      <c r="V149" s="569"/>
      <c r="W149" s="569"/>
      <c r="X149" s="569">
        <v>642468.41</v>
      </c>
      <c r="Y149" s="569">
        <v>0</v>
      </c>
      <c r="Z149" s="572">
        <f>SUM(Y149/Y164)</f>
        <v>0</v>
      </c>
      <c r="AA149" s="822"/>
      <c r="AB149" s="394"/>
      <c r="AC149" s="394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</row>
    <row r="150" spans="1:48" ht="18.75" hidden="1" x14ac:dyDescent="0.3">
      <c r="A150" s="569" t="s">
        <v>622</v>
      </c>
      <c r="B150" s="569"/>
      <c r="C150" s="569"/>
      <c r="D150" s="569"/>
      <c r="E150" s="569"/>
      <c r="F150" s="569"/>
      <c r="G150" s="569"/>
      <c r="H150" s="569"/>
      <c r="I150" s="569"/>
      <c r="J150" s="569"/>
      <c r="K150" s="569"/>
      <c r="L150" s="569"/>
      <c r="M150" s="569"/>
      <c r="N150" s="56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9">
        <v>507107.49</v>
      </c>
      <c r="Y150" s="569">
        <f t="shared" si="298"/>
        <v>507107.49</v>
      </c>
      <c r="Z150" s="572">
        <f>SUM(Y150/Y164)</f>
        <v>9.75049632917694E-2</v>
      </c>
      <c r="AA150" s="822"/>
      <c r="AB150" s="394"/>
      <c r="AC150" s="394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</row>
    <row r="151" spans="1:48" ht="18.75" hidden="1" x14ac:dyDescent="0.3">
      <c r="A151" s="569" t="s">
        <v>42</v>
      </c>
      <c r="B151" s="569"/>
      <c r="C151" s="569"/>
      <c r="D151" s="569"/>
      <c r="E151" s="569"/>
      <c r="F151" s="569"/>
      <c r="G151" s="569"/>
      <c r="H151" s="569"/>
      <c r="I151" s="569"/>
      <c r="J151" s="569"/>
      <c r="K151" s="569"/>
      <c r="L151" s="569"/>
      <c r="M151" s="569"/>
      <c r="N151" s="569"/>
      <c r="O151" s="569"/>
      <c r="P151" s="569"/>
      <c r="Q151" s="569"/>
      <c r="R151" s="569"/>
      <c r="S151" s="569"/>
      <c r="T151" s="569"/>
      <c r="U151" s="569"/>
      <c r="V151" s="569"/>
      <c r="W151" s="569"/>
      <c r="X151" s="569">
        <v>29333.21</v>
      </c>
      <c r="Y151" s="569">
        <f t="shared" si="298"/>
        <v>29333.21</v>
      </c>
      <c r="Z151" s="572">
        <f>SUM(Y151/Y164)</f>
        <v>5.6400933148902273E-3</v>
      </c>
      <c r="AA151" s="822"/>
      <c r="AB151" s="394"/>
      <c r="AC151" s="394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</row>
    <row r="152" spans="1:48" ht="18.75" hidden="1" x14ac:dyDescent="0.3">
      <c r="A152" s="569" t="s">
        <v>593</v>
      </c>
      <c r="B152" s="569"/>
      <c r="C152" s="569"/>
      <c r="D152" s="569"/>
      <c r="E152" s="569"/>
      <c r="F152" s="569"/>
      <c r="G152" s="569"/>
      <c r="H152" s="569"/>
      <c r="I152" s="569"/>
      <c r="J152" s="569"/>
      <c r="K152" s="569"/>
      <c r="L152" s="569"/>
      <c r="M152" s="569"/>
      <c r="N152" s="569"/>
      <c r="O152" s="569"/>
      <c r="P152" s="569"/>
      <c r="Q152" s="569"/>
      <c r="R152" s="569"/>
      <c r="S152" s="569"/>
      <c r="T152" s="569"/>
      <c r="U152" s="569"/>
      <c r="V152" s="569"/>
      <c r="W152" s="569"/>
      <c r="X152" s="569">
        <v>50424.09</v>
      </c>
      <c r="Y152" s="569">
        <f t="shared" si="298"/>
        <v>50424.09</v>
      </c>
      <c r="Z152" s="572">
        <f>SUM(Y152/Y164)</f>
        <v>9.6953784777875709E-3</v>
      </c>
      <c r="AA152" s="822"/>
      <c r="AB152" s="394"/>
      <c r="AC152" s="394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</row>
    <row r="153" spans="1:48" ht="18.75" hidden="1" x14ac:dyDescent="0.3">
      <c r="A153" s="569" t="s">
        <v>623</v>
      </c>
      <c r="B153" s="569"/>
      <c r="C153" s="569"/>
      <c r="D153" s="569"/>
      <c r="E153" s="569"/>
      <c r="F153" s="569"/>
      <c r="G153" s="569"/>
      <c r="H153" s="569"/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>
        <v>278861.53999999998</v>
      </c>
      <c r="Y153" s="569">
        <f t="shared" si="298"/>
        <v>278861.53999999998</v>
      </c>
      <c r="Z153" s="572">
        <f>SUM(Y153/Y164)</f>
        <v>5.3618581380421498E-2</v>
      </c>
      <c r="AA153" s="822"/>
      <c r="AB153" s="394"/>
      <c r="AC153" s="394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</row>
    <row r="154" spans="1:48" ht="18.75" hidden="1" x14ac:dyDescent="0.3">
      <c r="A154" s="569" t="s">
        <v>624</v>
      </c>
      <c r="B154" s="569"/>
      <c r="C154" s="569"/>
      <c r="D154" s="569"/>
      <c r="E154" s="569"/>
      <c r="F154" s="569"/>
      <c r="G154" s="569"/>
      <c r="H154" s="569"/>
      <c r="I154" s="569"/>
      <c r="J154" s="569"/>
      <c r="K154" s="569"/>
      <c r="L154" s="569"/>
      <c r="M154" s="569"/>
      <c r="N154" s="569"/>
      <c r="O154" s="569"/>
      <c r="P154" s="569"/>
      <c r="Q154" s="569"/>
      <c r="R154" s="569"/>
      <c r="S154" s="569"/>
      <c r="T154" s="569"/>
      <c r="U154" s="569"/>
      <c r="V154" s="569"/>
      <c r="W154" s="569"/>
      <c r="X154" s="569">
        <v>73375.820000000007</v>
      </c>
      <c r="Y154" s="569">
        <f t="shared" si="298"/>
        <v>73375.820000000007</v>
      </c>
      <c r="Z154" s="572">
        <f>SUM(Y154/Y164)</f>
        <v>1.4108461769325236E-2</v>
      </c>
      <c r="AA154" s="822"/>
      <c r="AB154" s="394"/>
      <c r="AC154" s="394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</row>
    <row r="155" spans="1:48" ht="18.75" hidden="1" x14ac:dyDescent="0.3">
      <c r="A155" s="569" t="s">
        <v>627</v>
      </c>
      <c r="B155" s="569"/>
      <c r="C155" s="569"/>
      <c r="D155" s="569"/>
      <c r="E155" s="569"/>
      <c r="F155" s="569"/>
      <c r="G155" s="569"/>
      <c r="H155" s="569"/>
      <c r="I155" s="569"/>
      <c r="J155" s="569"/>
      <c r="K155" s="569"/>
      <c r="L155" s="569"/>
      <c r="M155" s="569"/>
      <c r="N155" s="56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9">
        <v>217500.95</v>
      </c>
      <c r="Y155" s="569">
        <f t="shared" si="298"/>
        <v>217500.95</v>
      </c>
      <c r="Z155" s="572">
        <f>SUM(Y155/Y164)</f>
        <v>4.1820368588274988E-2</v>
      </c>
      <c r="AA155" s="822"/>
      <c r="AB155" s="394"/>
      <c r="AC155" s="394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</row>
    <row r="156" spans="1:48" ht="18.75" hidden="1" x14ac:dyDescent="0.3">
      <c r="A156" s="569" t="s">
        <v>597</v>
      </c>
      <c r="B156" s="569"/>
      <c r="C156" s="569"/>
      <c r="D156" s="569"/>
      <c r="E156" s="569"/>
      <c r="F156" s="569"/>
      <c r="G156" s="569"/>
      <c r="H156" s="569"/>
      <c r="I156" s="569"/>
      <c r="J156" s="569"/>
      <c r="K156" s="569"/>
      <c r="L156" s="569"/>
      <c r="M156" s="569"/>
      <c r="N156" s="569"/>
      <c r="O156" s="569"/>
      <c r="P156" s="569"/>
      <c r="Q156" s="569"/>
      <c r="R156" s="569"/>
      <c r="S156" s="569"/>
      <c r="T156" s="569"/>
      <c r="U156" s="569"/>
      <c r="V156" s="569"/>
      <c r="W156" s="569"/>
      <c r="X156" s="569">
        <v>45758.37</v>
      </c>
      <c r="Y156" s="569">
        <v>0</v>
      </c>
      <c r="Z156" s="572">
        <f>SUM(Y156/Y164)</f>
        <v>0</v>
      </c>
      <c r="AA156" s="822"/>
      <c r="AB156" s="394"/>
      <c r="AC156" s="394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</row>
    <row r="157" spans="1:48" ht="18.75" hidden="1" x14ac:dyDescent="0.3">
      <c r="A157" s="569" t="s">
        <v>613</v>
      </c>
      <c r="B157" s="569"/>
      <c r="C157" s="569"/>
      <c r="D157" s="569"/>
      <c r="E157" s="569"/>
      <c r="F157" s="569"/>
      <c r="G157" s="569"/>
      <c r="H157" s="569"/>
      <c r="I157" s="569"/>
      <c r="J157" s="569"/>
      <c r="K157" s="569"/>
      <c r="L157" s="569"/>
      <c r="M157" s="569"/>
      <c r="N157" s="569"/>
      <c r="O157" s="569"/>
      <c r="P157" s="569"/>
      <c r="Q157" s="569"/>
      <c r="R157" s="569"/>
      <c r="S157" s="569"/>
      <c r="T157" s="569"/>
      <c r="U157" s="569"/>
      <c r="V157" s="569"/>
      <c r="W157" s="569"/>
      <c r="X157" s="569">
        <v>20840.04</v>
      </c>
      <c r="Y157" s="569">
        <f t="shared" si="298"/>
        <v>20840.04</v>
      </c>
      <c r="Z157" s="572">
        <f>SUM(Y157/Y164)</f>
        <v>4.0070544712305593E-3</v>
      </c>
      <c r="AA157" s="822"/>
      <c r="AB157" s="394"/>
      <c r="AC157" s="394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</row>
    <row r="158" spans="1:48" ht="18.75" hidden="1" x14ac:dyDescent="0.3">
      <c r="A158" s="569" t="s">
        <v>590</v>
      </c>
      <c r="B158" s="569"/>
      <c r="C158" s="569"/>
      <c r="D158" s="569"/>
      <c r="E158" s="569"/>
      <c r="F158" s="569"/>
      <c r="G158" s="569"/>
      <c r="H158" s="569"/>
      <c r="I158" s="569"/>
      <c r="J158" s="569"/>
      <c r="K158" s="569"/>
      <c r="L158" s="569"/>
      <c r="M158" s="569"/>
      <c r="N158" s="569"/>
      <c r="O158" s="569"/>
      <c r="P158" s="569"/>
      <c r="Q158" s="569"/>
      <c r="R158" s="569"/>
      <c r="S158" s="569"/>
      <c r="T158" s="569"/>
      <c r="U158" s="569"/>
      <c r="V158" s="569"/>
      <c r="W158" s="569"/>
      <c r="X158" s="569">
        <v>461471.7</v>
      </c>
      <c r="Y158" s="569">
        <f t="shared" si="298"/>
        <v>461471.7</v>
      </c>
      <c r="Z158" s="572">
        <f>SUM(Y158/Y164)</f>
        <v>8.8730263417506255E-2</v>
      </c>
      <c r="AA158" s="822"/>
      <c r="AB158" s="394"/>
      <c r="AC158" s="394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</row>
    <row r="159" spans="1:48" ht="18.75" hidden="1" x14ac:dyDescent="0.3">
      <c r="A159" s="569" t="s">
        <v>614</v>
      </c>
      <c r="B159" s="569"/>
      <c r="C159" s="569"/>
      <c r="D159" s="569"/>
      <c r="E159" s="569"/>
      <c r="F159" s="569"/>
      <c r="G159" s="569"/>
      <c r="H159" s="569"/>
      <c r="I159" s="569"/>
      <c r="J159" s="569"/>
      <c r="K159" s="569"/>
      <c r="L159" s="569"/>
      <c r="M159" s="569"/>
      <c r="N159" s="56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9">
        <v>117843.4</v>
      </c>
      <c r="Y159" s="569">
        <f t="shared" si="298"/>
        <v>117843.4</v>
      </c>
      <c r="Z159" s="572">
        <f>SUM(Y159/Y164)</f>
        <v>2.2658542060140539E-2</v>
      </c>
      <c r="AA159" s="822"/>
      <c r="AB159" s="394"/>
      <c r="AC159" s="394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</row>
    <row r="160" spans="1:48" ht="18.75" hidden="1" x14ac:dyDescent="0.3">
      <c r="A160" s="569" t="s">
        <v>34</v>
      </c>
      <c r="B160" s="569"/>
      <c r="C160" s="569"/>
      <c r="D160" s="569"/>
      <c r="E160" s="569"/>
      <c r="F160" s="569"/>
      <c r="G160" s="569"/>
      <c r="H160" s="569"/>
      <c r="I160" s="569"/>
      <c r="J160" s="569"/>
      <c r="K160" s="569"/>
      <c r="L160" s="569"/>
      <c r="M160" s="569"/>
      <c r="N160" s="569"/>
      <c r="O160" s="569"/>
      <c r="P160" s="569"/>
      <c r="Q160" s="569"/>
      <c r="R160" s="569"/>
      <c r="S160" s="569"/>
      <c r="T160" s="569"/>
      <c r="U160" s="569"/>
      <c r="V160" s="569"/>
      <c r="W160" s="569"/>
      <c r="X160" s="569">
        <v>98309.37</v>
      </c>
      <c r="Y160" s="569">
        <f t="shared" si="298"/>
        <v>98309.37</v>
      </c>
      <c r="Z160" s="572">
        <f>SUM(Y160/Y164)</f>
        <v>1.8902602903946408E-2</v>
      </c>
      <c r="AA160" s="822"/>
      <c r="AB160" s="394"/>
      <c r="AC160" s="394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</row>
    <row r="161" spans="1:48" ht="18.75" hidden="1" x14ac:dyDescent="0.3">
      <c r="A161" s="569" t="s">
        <v>629</v>
      </c>
      <c r="B161" s="569"/>
      <c r="C161" s="569"/>
      <c r="D161" s="569"/>
      <c r="E161" s="569"/>
      <c r="F161" s="569"/>
      <c r="G161" s="569"/>
      <c r="H161" s="569"/>
      <c r="I161" s="569"/>
      <c r="J161" s="569"/>
      <c r="K161" s="569"/>
      <c r="L161" s="569"/>
      <c r="M161" s="569"/>
      <c r="N161" s="56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9">
        <v>20291.66</v>
      </c>
      <c r="Y161" s="569">
        <f t="shared" si="298"/>
        <v>20291.66</v>
      </c>
      <c r="Z161" s="572">
        <f>SUM(Y161/Y164)</f>
        <v>3.9016137652178344E-3</v>
      </c>
      <c r="AA161" s="822"/>
      <c r="AB161" s="394"/>
      <c r="AC161" s="394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</row>
    <row r="162" spans="1:48" ht="18.75" hidden="1" x14ac:dyDescent="0.3">
      <c r="A162" s="569" t="s">
        <v>52</v>
      </c>
      <c r="B162" s="569"/>
      <c r="C162" s="569"/>
      <c r="D162" s="569"/>
      <c r="E162" s="569"/>
      <c r="F162" s="569"/>
      <c r="G162" s="569"/>
      <c r="H162" s="569"/>
      <c r="I162" s="569"/>
      <c r="J162" s="569"/>
      <c r="K162" s="569"/>
      <c r="L162" s="569"/>
      <c r="M162" s="569"/>
      <c r="N162" s="56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9">
        <v>18635.04</v>
      </c>
      <c r="Y162" s="569">
        <f t="shared" si="298"/>
        <v>18635.04</v>
      </c>
      <c r="Z162" s="572">
        <f>SUM(Y162/Y164)</f>
        <v>3.5830843104696689E-3</v>
      </c>
      <c r="AA162" s="822"/>
      <c r="AB162" s="394"/>
      <c r="AC162" s="394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</row>
    <row r="163" spans="1:48" ht="18.75" hidden="1" x14ac:dyDescent="0.3">
      <c r="A163" s="569" t="s">
        <v>95</v>
      </c>
      <c r="B163" s="569"/>
      <c r="C163" s="569"/>
      <c r="D163" s="569"/>
      <c r="E163" s="569"/>
      <c r="F163" s="569"/>
      <c r="G163" s="569"/>
      <c r="H163" s="569"/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9">
        <v>66429</v>
      </c>
      <c r="Y163" s="569">
        <f t="shared" si="298"/>
        <v>66429</v>
      </c>
      <c r="Z163" s="572">
        <f>SUM(Y163/Y164)</f>
        <v>1.277275002684135E-2</v>
      </c>
      <c r="AA163" s="822"/>
      <c r="AB163" s="394"/>
      <c r="AC163" s="394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</row>
    <row r="164" spans="1:48" ht="18.75" hidden="1" x14ac:dyDescent="0.3">
      <c r="A164" s="570" t="s">
        <v>616</v>
      </c>
      <c r="B164" s="570"/>
      <c r="C164" s="570"/>
      <c r="D164" s="570"/>
      <c r="E164" s="570"/>
      <c r="F164" s="570"/>
      <c r="G164" s="570"/>
      <c r="H164" s="570"/>
      <c r="I164" s="570"/>
      <c r="J164" s="570"/>
      <c r="K164" s="570"/>
      <c r="L164" s="570"/>
      <c r="M164" s="570"/>
      <c r="N164" s="570"/>
      <c r="O164" s="570"/>
      <c r="P164" s="570"/>
      <c r="Q164" s="570"/>
      <c r="R164" s="570"/>
      <c r="S164" s="570"/>
      <c r="T164" s="570"/>
      <c r="U164" s="570"/>
      <c r="V164" s="570">
        <f t="shared" ref="V164:X164" si="299">SUM(V142:V163)</f>
        <v>3145266</v>
      </c>
      <c r="W164" s="570">
        <f t="shared" si="299"/>
        <v>0</v>
      </c>
      <c r="X164" s="570">
        <f t="shared" si="299"/>
        <v>2743798.4900000007</v>
      </c>
      <c r="Y164" s="570">
        <f>SUM(Y142:Y163)</f>
        <v>5200837.71</v>
      </c>
      <c r="Z164" s="573">
        <f>SUM(Z142:Z163)</f>
        <v>0.99999999999999967</v>
      </c>
      <c r="AA164" s="823"/>
      <c r="AB164" s="394"/>
      <c r="AC164" s="394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</row>
    <row r="165" spans="1:48" ht="18.75" hidden="1" x14ac:dyDescent="0.3">
      <c r="A165" s="570" t="s">
        <v>625</v>
      </c>
      <c r="B165" s="570"/>
      <c r="C165" s="570"/>
      <c r="D165" s="570"/>
      <c r="E165" s="570"/>
      <c r="F165" s="570"/>
      <c r="G165" s="570"/>
      <c r="H165" s="570"/>
      <c r="I165" s="570"/>
      <c r="J165" s="570"/>
      <c r="K165" s="570"/>
      <c r="L165" s="570"/>
      <c r="M165" s="570"/>
      <c r="N165" s="570"/>
      <c r="O165" s="570"/>
      <c r="P165" s="570"/>
      <c r="Q165" s="570"/>
      <c r="R165" s="570"/>
      <c r="S165" s="570"/>
      <c r="T165" s="570"/>
      <c r="U165" s="570"/>
      <c r="V165" s="574" t="s">
        <v>635</v>
      </c>
      <c r="W165" s="574"/>
      <c r="X165" s="574" t="s">
        <v>630</v>
      </c>
      <c r="Y165" s="574" t="s">
        <v>282</v>
      </c>
      <c r="Z165" s="574" t="s">
        <v>44</v>
      </c>
      <c r="AA165" s="821"/>
      <c r="AB165" s="394"/>
      <c r="AC165" s="394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</row>
    <row r="166" spans="1:48" ht="18.75" hidden="1" x14ac:dyDescent="0.3">
      <c r="A166" s="569" t="s">
        <v>610</v>
      </c>
      <c r="B166" s="569"/>
      <c r="C166" s="569"/>
      <c r="D166" s="569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9"/>
      <c r="Y166" s="569">
        <f>SUM(V166:X166)</f>
        <v>0</v>
      </c>
      <c r="Z166" s="572">
        <f>SUM(Y166/Y175)</f>
        <v>0</v>
      </c>
      <c r="AA166" s="822"/>
      <c r="AB166" s="394"/>
      <c r="AC166" s="394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</row>
    <row r="167" spans="1:48" ht="18.75" hidden="1" x14ac:dyDescent="0.3">
      <c r="A167" s="569" t="s">
        <v>611</v>
      </c>
      <c r="B167" s="569"/>
      <c r="C167" s="569"/>
      <c r="D167" s="569"/>
      <c r="E167" s="569"/>
      <c r="F167" s="569"/>
      <c r="G167" s="569"/>
      <c r="H167" s="569"/>
      <c r="I167" s="569"/>
      <c r="J167" s="569"/>
      <c r="K167" s="569"/>
      <c r="L167" s="569"/>
      <c r="M167" s="569"/>
      <c r="N167" s="569"/>
      <c r="O167" s="569"/>
      <c r="P167" s="569"/>
      <c r="Q167" s="569"/>
      <c r="R167" s="569"/>
      <c r="S167" s="569"/>
      <c r="T167" s="569"/>
      <c r="U167" s="569"/>
      <c r="V167" s="569"/>
      <c r="W167" s="569"/>
      <c r="X167" s="569"/>
      <c r="Y167" s="569">
        <f t="shared" ref="Y167:Y172" si="300">SUM(V167:X167)</f>
        <v>0</v>
      </c>
      <c r="Z167" s="572">
        <f>SUM(Y167/Y175)</f>
        <v>0</v>
      </c>
      <c r="AA167" s="822"/>
      <c r="AB167" s="394"/>
      <c r="AC167" s="394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</row>
    <row r="168" spans="1:48" ht="18.75" hidden="1" x14ac:dyDescent="0.3">
      <c r="A168" s="569" t="s">
        <v>32</v>
      </c>
      <c r="B168" s="569"/>
      <c r="C168" s="569"/>
      <c r="D168" s="569"/>
      <c r="E168" s="569"/>
      <c r="F168" s="569"/>
      <c r="G168" s="569"/>
      <c r="H168" s="569"/>
      <c r="I168" s="569"/>
      <c r="J168" s="569"/>
      <c r="K168" s="569"/>
      <c r="L168" s="569"/>
      <c r="M168" s="569"/>
      <c r="N168" s="569"/>
      <c r="O168" s="569"/>
      <c r="P168" s="569"/>
      <c r="Q168" s="569"/>
      <c r="R168" s="569"/>
      <c r="S168" s="569"/>
      <c r="T168" s="569"/>
      <c r="U168" s="569"/>
      <c r="V168" s="569"/>
      <c r="W168" s="569"/>
      <c r="X168" s="569">
        <v>5084.76</v>
      </c>
      <c r="Y168" s="569">
        <f t="shared" si="300"/>
        <v>5084.76</v>
      </c>
      <c r="Z168" s="572">
        <f>SUM(Y168/Y175)</f>
        <v>7.5773820222306302E-3</v>
      </c>
      <c r="AA168" s="822"/>
      <c r="AB168" s="394"/>
      <c r="AC168" s="394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</row>
    <row r="169" spans="1:48" ht="18.75" hidden="1" x14ac:dyDescent="0.3">
      <c r="A169" s="569" t="s">
        <v>75</v>
      </c>
      <c r="B169" s="569"/>
      <c r="C169" s="569"/>
      <c r="D169" s="569"/>
      <c r="E169" s="569"/>
      <c r="F169" s="569"/>
      <c r="G169" s="569"/>
      <c r="H169" s="569"/>
      <c r="I169" s="569"/>
      <c r="J169" s="569"/>
      <c r="K169" s="569"/>
      <c r="L169" s="569"/>
      <c r="M169" s="569"/>
      <c r="N169" s="569"/>
      <c r="O169" s="569"/>
      <c r="P169" s="569"/>
      <c r="Q169" s="569"/>
      <c r="R169" s="569"/>
      <c r="S169" s="569"/>
      <c r="T169" s="569"/>
      <c r="U169" s="569"/>
      <c r="V169" s="569"/>
      <c r="W169" s="569"/>
      <c r="X169" s="569">
        <v>150</v>
      </c>
      <c r="Y169" s="569">
        <f t="shared" si="300"/>
        <v>150</v>
      </c>
      <c r="Z169" s="572">
        <f>SUM(Y169/Y175)</f>
        <v>2.2353214376580105E-4</v>
      </c>
      <c r="AA169" s="822"/>
      <c r="AB169" s="394"/>
      <c r="AC169" s="394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</row>
    <row r="170" spans="1:48" ht="18.75" hidden="1" x14ac:dyDescent="0.3">
      <c r="A170" s="569" t="s">
        <v>637</v>
      </c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  <c r="Q170" s="569"/>
      <c r="R170" s="569"/>
      <c r="S170" s="569"/>
      <c r="T170" s="569"/>
      <c r="U170" s="569"/>
      <c r="V170" s="569"/>
      <c r="W170" s="569"/>
      <c r="X170" s="569">
        <v>15308.21</v>
      </c>
      <c r="Y170" s="569">
        <f t="shared" si="300"/>
        <v>15308.21</v>
      </c>
      <c r="Z170" s="572">
        <f>SUM(Y170/Y175)</f>
        <v>2.2812513323447154E-2</v>
      </c>
      <c r="AA170" s="822"/>
      <c r="AB170" s="394"/>
      <c r="AC170" s="394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</row>
    <row r="171" spans="1:48" ht="18.75" hidden="1" x14ac:dyDescent="0.3">
      <c r="A171" s="569" t="s">
        <v>615</v>
      </c>
      <c r="B171" s="569"/>
      <c r="C171" s="569"/>
      <c r="D171" s="569"/>
      <c r="E171" s="569"/>
      <c r="F171" s="569"/>
      <c r="G171" s="569"/>
      <c r="H171" s="569"/>
      <c r="I171" s="569"/>
      <c r="J171" s="569"/>
      <c r="K171" s="569"/>
      <c r="L171" s="569"/>
      <c r="M171" s="569"/>
      <c r="N171" s="569"/>
      <c r="O171" s="569"/>
      <c r="P171" s="569"/>
      <c r="Q171" s="569"/>
      <c r="R171" s="569"/>
      <c r="S171" s="569"/>
      <c r="T171" s="569"/>
      <c r="U171" s="569"/>
      <c r="V171" s="569"/>
      <c r="W171" s="569"/>
      <c r="X171" s="569">
        <v>594746.84</v>
      </c>
      <c r="Y171" s="569">
        <f t="shared" si="300"/>
        <v>594746.84</v>
      </c>
      <c r="Z171" s="572">
        <f>SUM(Y171/Y175)</f>
        <v>0.88630024095423909</v>
      </c>
      <c r="AA171" s="822"/>
      <c r="AB171" s="394"/>
      <c r="AC171" s="394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</row>
    <row r="172" spans="1:48" ht="18.75" hidden="1" x14ac:dyDescent="0.3">
      <c r="A172" s="569" t="s">
        <v>626</v>
      </c>
      <c r="B172" s="569"/>
      <c r="C172" s="569"/>
      <c r="D172" s="569"/>
      <c r="E172" s="569"/>
      <c r="F172" s="569"/>
      <c r="G172" s="569"/>
      <c r="H172" s="569"/>
      <c r="I172" s="569"/>
      <c r="J172" s="569"/>
      <c r="K172" s="569"/>
      <c r="L172" s="569"/>
      <c r="M172" s="569"/>
      <c r="N172" s="569"/>
      <c r="O172" s="569"/>
      <c r="P172" s="569"/>
      <c r="Q172" s="569"/>
      <c r="R172" s="569"/>
      <c r="S172" s="569"/>
      <c r="T172" s="569"/>
      <c r="U172" s="569"/>
      <c r="V172" s="569"/>
      <c r="W172" s="569"/>
      <c r="X172" s="569">
        <v>7460</v>
      </c>
      <c r="Y172" s="569">
        <f t="shared" si="300"/>
        <v>7460</v>
      </c>
      <c r="Z172" s="572">
        <f>SUM(Y172/Y175)</f>
        <v>1.1116998616619172E-2</v>
      </c>
      <c r="AA172" s="822"/>
      <c r="AB172" s="394"/>
      <c r="AC172" s="394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</row>
    <row r="173" spans="1:48" ht="18.75" hidden="1" x14ac:dyDescent="0.3">
      <c r="A173" s="569" t="s">
        <v>590</v>
      </c>
      <c r="B173" s="569"/>
      <c r="C173" s="569"/>
      <c r="D173" s="569"/>
      <c r="E173" s="569"/>
      <c r="F173" s="569"/>
      <c r="G173" s="569"/>
      <c r="H173" s="569"/>
      <c r="I173" s="569"/>
      <c r="J173" s="569"/>
      <c r="K173" s="569"/>
      <c r="L173" s="569"/>
      <c r="M173" s="569"/>
      <c r="N173" s="569"/>
      <c r="O173" s="569"/>
      <c r="P173" s="569"/>
      <c r="Q173" s="569"/>
      <c r="R173" s="569"/>
      <c r="S173" s="569"/>
      <c r="T173" s="569"/>
      <c r="U173" s="569"/>
      <c r="V173" s="569"/>
      <c r="W173" s="569"/>
      <c r="X173" s="569">
        <v>46310.07</v>
      </c>
      <c r="Y173" s="569">
        <f t="shared" ref="Y173:Y174" si="301">SUM(V173:X173)</f>
        <v>46310.07</v>
      </c>
      <c r="Z173" s="572">
        <f>SUM(Y173/Y175)</f>
        <v>6.9011928166962069E-2</v>
      </c>
      <c r="AA173" s="822"/>
      <c r="AB173" s="394"/>
      <c r="AC173" s="394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</row>
    <row r="174" spans="1:48" ht="18.75" hidden="1" x14ac:dyDescent="0.3">
      <c r="A174" s="569" t="s">
        <v>34</v>
      </c>
      <c r="B174" s="569"/>
      <c r="C174" s="569"/>
      <c r="D174" s="569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569"/>
      <c r="T174" s="569"/>
      <c r="U174" s="569"/>
      <c r="V174" s="569"/>
      <c r="W174" s="569"/>
      <c r="X174" s="569">
        <v>1984.55</v>
      </c>
      <c r="Y174" s="569">
        <f t="shared" si="301"/>
        <v>1984.55</v>
      </c>
      <c r="Z174" s="572">
        <f>SUM(Y174/Y175)</f>
        <v>2.9574047727361362E-3</v>
      </c>
      <c r="AA174" s="822"/>
      <c r="AB174" s="394"/>
      <c r="AC174" s="394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</row>
    <row r="175" spans="1:48" ht="18.75" hidden="1" x14ac:dyDescent="0.3">
      <c r="A175" s="570" t="s">
        <v>616</v>
      </c>
      <c r="B175" s="570"/>
      <c r="C175" s="570"/>
      <c r="D175" s="570"/>
      <c r="E175" s="570"/>
      <c r="F175" s="570"/>
      <c r="G175" s="570"/>
      <c r="H175" s="570"/>
      <c r="I175" s="570"/>
      <c r="J175" s="570"/>
      <c r="K175" s="570"/>
      <c r="L175" s="570"/>
      <c r="M175" s="570"/>
      <c r="N175" s="570"/>
      <c r="O175" s="570"/>
      <c r="P175" s="570"/>
      <c r="Q175" s="570"/>
      <c r="R175" s="570"/>
      <c r="S175" s="570"/>
      <c r="T175" s="570"/>
      <c r="U175" s="570"/>
      <c r="V175" s="570">
        <f t="shared" ref="V175:X175" si="302">SUM(V166:V174)</f>
        <v>0</v>
      </c>
      <c r="W175" s="570">
        <f t="shared" si="302"/>
        <v>0</v>
      </c>
      <c r="X175" s="570">
        <f t="shared" si="302"/>
        <v>671044.42999999993</v>
      </c>
      <c r="Y175" s="570">
        <f>SUM(Y166:Y174)</f>
        <v>671044.42999999993</v>
      </c>
      <c r="Z175" s="573">
        <f>SUM(Z166:Z174)</f>
        <v>1.0000000000000002</v>
      </c>
      <c r="AA175" s="823"/>
      <c r="AB175" s="394"/>
      <c r="AC175" s="394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</row>
    <row r="176" spans="1:48" ht="18.75" hidden="1" x14ac:dyDescent="0.3">
      <c r="A176" s="570" t="s">
        <v>631</v>
      </c>
      <c r="B176" s="570"/>
      <c r="C176" s="570"/>
      <c r="D176" s="570"/>
      <c r="E176" s="570"/>
      <c r="F176" s="570"/>
      <c r="G176" s="570"/>
      <c r="H176" s="570"/>
      <c r="I176" s="570"/>
      <c r="J176" s="570"/>
      <c r="K176" s="570"/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4" t="s">
        <v>632</v>
      </c>
      <c r="W176" s="574"/>
      <c r="X176" s="574" t="s">
        <v>150</v>
      </c>
      <c r="Y176" s="574" t="s">
        <v>282</v>
      </c>
      <c r="Z176" s="574" t="s">
        <v>44</v>
      </c>
      <c r="AA176" s="821"/>
      <c r="AB176" s="394"/>
      <c r="AC176" s="394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</row>
    <row r="177" spans="1:48" ht="18.75" hidden="1" x14ac:dyDescent="0.3">
      <c r="A177" s="569" t="s">
        <v>610</v>
      </c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>
        <v>1594083.26</v>
      </c>
      <c r="W177" s="569"/>
      <c r="X177" s="569"/>
      <c r="Y177" s="569">
        <f>SUM(V177:X177)</f>
        <v>1594083.26</v>
      </c>
      <c r="Z177" s="572">
        <f>SUM(Y177/Y184)</f>
        <v>0.70013013790776046</v>
      </c>
      <c r="AA177" s="822"/>
      <c r="AB177" s="394"/>
      <c r="AC177" s="394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</row>
    <row r="178" spans="1:48" ht="18.75" hidden="1" x14ac:dyDescent="0.3">
      <c r="A178" s="569" t="s">
        <v>611</v>
      </c>
      <c r="B178" s="569"/>
      <c r="C178" s="569"/>
      <c r="D178" s="569"/>
      <c r="E178" s="569"/>
      <c r="F178" s="569"/>
      <c r="G178" s="569"/>
      <c r="H178" s="569"/>
      <c r="I178" s="569"/>
      <c r="J178" s="569"/>
      <c r="K178" s="569"/>
      <c r="L178" s="569"/>
      <c r="M178" s="569"/>
      <c r="N178" s="569"/>
      <c r="O178" s="569"/>
      <c r="P178" s="569"/>
      <c r="Q178" s="569"/>
      <c r="R178" s="569"/>
      <c r="S178" s="569"/>
      <c r="T178" s="569"/>
      <c r="U178" s="569"/>
      <c r="V178" s="569">
        <v>479160.57</v>
      </c>
      <c r="W178" s="569"/>
      <c r="X178" s="569"/>
      <c r="Y178" s="569">
        <f t="shared" ref="Y178:Y179" si="303">SUM(V178:X178)</f>
        <v>479160.57</v>
      </c>
      <c r="Z178" s="572">
        <f>SUM(Y178/Y184)</f>
        <v>0.21044995852604406</v>
      </c>
      <c r="AA178" s="822"/>
      <c r="AB178" s="394"/>
      <c r="AC178" s="394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</row>
    <row r="179" spans="1:48" ht="18.75" hidden="1" x14ac:dyDescent="0.3">
      <c r="A179" s="569" t="s">
        <v>75</v>
      </c>
      <c r="B179" s="569"/>
      <c r="C179" s="569"/>
      <c r="D179" s="569"/>
      <c r="E179" s="569"/>
      <c r="F179" s="569"/>
      <c r="G179" s="569"/>
      <c r="H179" s="569"/>
      <c r="I179" s="569"/>
      <c r="J179" s="569"/>
      <c r="K179" s="569"/>
      <c r="L179" s="569"/>
      <c r="M179" s="569"/>
      <c r="N179" s="569"/>
      <c r="O179" s="569"/>
      <c r="P179" s="569"/>
      <c r="Q179" s="569"/>
      <c r="R179" s="569"/>
      <c r="S179" s="569"/>
      <c r="T179" s="569"/>
      <c r="U179" s="569"/>
      <c r="V179" s="569"/>
      <c r="W179" s="569"/>
      <c r="X179" s="569">
        <v>60</v>
      </c>
      <c r="Y179" s="569">
        <f t="shared" si="303"/>
        <v>60</v>
      </c>
      <c r="Z179" s="575">
        <f>SUM(Y179/Y184)</f>
        <v>2.6352330100038579E-5</v>
      </c>
      <c r="AA179" s="824"/>
      <c r="AB179" s="394"/>
      <c r="AC179" s="394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</row>
    <row r="180" spans="1:48" ht="18.75" hidden="1" x14ac:dyDescent="0.3">
      <c r="A180" s="569" t="s">
        <v>590</v>
      </c>
      <c r="B180" s="569"/>
      <c r="C180" s="569"/>
      <c r="D180" s="569"/>
      <c r="E180" s="569"/>
      <c r="F180" s="569"/>
      <c r="G180" s="569"/>
      <c r="H180" s="569"/>
      <c r="I180" s="569"/>
      <c r="J180" s="569"/>
      <c r="K180" s="569"/>
      <c r="L180" s="569"/>
      <c r="M180" s="569"/>
      <c r="N180" s="569"/>
      <c r="O180" s="569"/>
      <c r="P180" s="569"/>
      <c r="Q180" s="569"/>
      <c r="R180" s="569"/>
      <c r="S180" s="569"/>
      <c r="T180" s="569"/>
      <c r="U180" s="569"/>
      <c r="V180" s="569"/>
      <c r="W180" s="569"/>
      <c r="X180" s="569">
        <v>140992.44</v>
      </c>
      <c r="Y180" s="569">
        <f t="shared" ref="Y180:Y183" si="304">SUM(V180:X180)</f>
        <v>140992.44</v>
      </c>
      <c r="Z180" s="572">
        <f>SUM(Y180/Y184)</f>
        <v>6.1924655341498061E-2</v>
      </c>
      <c r="AA180" s="822"/>
      <c r="AB180" s="394"/>
      <c r="AC180" s="394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</row>
    <row r="181" spans="1:48" ht="18.75" hidden="1" x14ac:dyDescent="0.3">
      <c r="A181" s="569" t="s">
        <v>614</v>
      </c>
      <c r="B181" s="569"/>
      <c r="C181" s="569"/>
      <c r="D181" s="569"/>
      <c r="E181" s="569"/>
      <c r="F181" s="569"/>
      <c r="G181" s="569"/>
      <c r="H181" s="569"/>
      <c r="I181" s="569"/>
      <c r="J181" s="569"/>
      <c r="K181" s="569"/>
      <c r="L181" s="569"/>
      <c r="M181" s="569"/>
      <c r="N181" s="569"/>
      <c r="O181" s="569"/>
      <c r="P181" s="569"/>
      <c r="Q181" s="569"/>
      <c r="R181" s="569"/>
      <c r="S181" s="569"/>
      <c r="T181" s="569"/>
      <c r="U181" s="569"/>
      <c r="V181" s="569"/>
      <c r="W181" s="569"/>
      <c r="X181" s="569">
        <v>42438</v>
      </c>
      <c r="Y181" s="569">
        <f t="shared" si="304"/>
        <v>42438</v>
      </c>
      <c r="Z181" s="572">
        <f>SUM(Y181/Y184)</f>
        <v>1.8639003079757289E-2</v>
      </c>
      <c r="AA181" s="822"/>
      <c r="AB181" s="394"/>
      <c r="AC181" s="394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</row>
    <row r="182" spans="1:48" ht="18.75" hidden="1" x14ac:dyDescent="0.3">
      <c r="A182" s="569" t="s">
        <v>34</v>
      </c>
      <c r="B182" s="569"/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>
        <v>15905.29</v>
      </c>
      <c r="Y182" s="569">
        <f t="shared" si="304"/>
        <v>15905.29</v>
      </c>
      <c r="Z182" s="572">
        <f>SUM(Y182/Y184)</f>
        <v>6.9856908736140441E-3</v>
      </c>
      <c r="AA182" s="822"/>
      <c r="AB182" s="394"/>
      <c r="AC182" s="394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</row>
    <row r="183" spans="1:48" ht="18.75" hidden="1" x14ac:dyDescent="0.3">
      <c r="A183" s="569" t="s">
        <v>52</v>
      </c>
      <c r="B183" s="569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>
        <v>4198.95</v>
      </c>
      <c r="Y183" s="569">
        <f t="shared" si="304"/>
        <v>4198.95</v>
      </c>
      <c r="Z183" s="572">
        <f>SUM(Y183/Y184)</f>
        <v>1.84420194122595E-3</v>
      </c>
      <c r="AA183" s="822"/>
      <c r="AB183" s="394"/>
      <c r="AC183" s="394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</row>
    <row r="184" spans="1:48" ht="18.75" hidden="1" x14ac:dyDescent="0.3">
      <c r="A184" s="570" t="s">
        <v>616</v>
      </c>
      <c r="B184" s="570"/>
      <c r="C184" s="570"/>
      <c r="D184" s="570"/>
      <c r="E184" s="570"/>
      <c r="F184" s="570"/>
      <c r="G184" s="570"/>
      <c r="H184" s="570"/>
      <c r="I184" s="570"/>
      <c r="J184" s="570"/>
      <c r="K184" s="570"/>
      <c r="L184" s="570"/>
      <c r="M184" s="570"/>
      <c r="N184" s="570"/>
      <c r="O184" s="570"/>
      <c r="P184" s="570"/>
      <c r="Q184" s="570"/>
      <c r="R184" s="570"/>
      <c r="S184" s="570"/>
      <c r="T184" s="570"/>
      <c r="U184" s="570"/>
      <c r="V184" s="570">
        <f t="shared" ref="V184:X184" si="305">SUM(V177:V183)</f>
        <v>2073243.83</v>
      </c>
      <c r="W184" s="570">
        <f t="shared" si="305"/>
        <v>0</v>
      </c>
      <c r="X184" s="570">
        <f t="shared" si="305"/>
        <v>203594.68000000002</v>
      </c>
      <c r="Y184" s="570">
        <f>SUM(Y177:Y183)</f>
        <v>2276838.5100000002</v>
      </c>
      <c r="Z184" s="573">
        <f>SUM(Z177:Z183)</f>
        <v>0.99999999999999989</v>
      </c>
      <c r="AA184" s="823"/>
      <c r="AB184" s="394"/>
      <c r="AC184" s="394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</row>
    <row r="185" spans="1:48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1"/>
      <c r="T185" s="391"/>
      <c r="U185" s="391"/>
      <c r="V185" s="394"/>
      <c r="W185" s="5"/>
      <c r="X185" s="394"/>
      <c r="Y185" s="394"/>
      <c r="Z185" s="394"/>
      <c r="AA185" s="394"/>
      <c r="AB185" s="394"/>
      <c r="AC185" s="394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</row>
    <row r="186" spans="1:48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1"/>
      <c r="T186" s="391"/>
      <c r="U186" s="391"/>
      <c r="V186" s="394"/>
      <c r="W186" s="5"/>
      <c r="X186" s="394"/>
      <c r="Y186" s="394"/>
      <c r="Z186" s="394"/>
      <c r="AA186" s="394"/>
      <c r="AB186" s="394"/>
      <c r="AC186" s="394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</row>
    <row r="187" spans="1:48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1"/>
      <c r="T187" s="391"/>
      <c r="U187" s="391"/>
      <c r="V187" s="394"/>
      <c r="W187" s="5"/>
      <c r="X187" s="394"/>
      <c r="Y187" s="394"/>
      <c r="Z187" s="394"/>
      <c r="AA187" s="394"/>
      <c r="AB187" s="394"/>
      <c r="AC187" s="394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</row>
    <row r="188" spans="1:48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1"/>
      <c r="T188" s="391"/>
      <c r="U188" s="391"/>
      <c r="V188" s="394"/>
      <c r="W188" s="5"/>
      <c r="X188" s="394"/>
      <c r="Y188" s="394"/>
      <c r="Z188" s="394"/>
      <c r="AA188" s="394"/>
      <c r="AB188" s="394"/>
      <c r="AC188" s="394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</row>
    <row r="189" spans="1:48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1"/>
      <c r="T189" s="391"/>
      <c r="U189" s="391"/>
      <c r="V189" s="394"/>
      <c r="W189" s="5"/>
      <c r="X189" s="394"/>
      <c r="Y189" s="394"/>
      <c r="Z189" s="394"/>
      <c r="AA189" s="394"/>
      <c r="AB189" s="394"/>
      <c r="AC189" s="394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</row>
    <row r="190" spans="1:48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1"/>
      <c r="T190" s="391"/>
      <c r="U190" s="391"/>
      <c r="V190" s="394"/>
      <c r="W190" s="5"/>
      <c r="X190" s="394"/>
      <c r="Y190" s="394"/>
      <c r="Z190" s="394"/>
      <c r="AA190" s="394"/>
      <c r="AB190" s="394"/>
      <c r="AC190" s="394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</row>
    <row r="191" spans="1:48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1"/>
      <c r="T191" s="391"/>
      <c r="U191" s="391"/>
      <c r="V191" s="394"/>
      <c r="W191" s="5"/>
      <c r="X191" s="394"/>
      <c r="Y191" s="394"/>
      <c r="Z191" s="394"/>
      <c r="AA191" s="394"/>
      <c r="AB191" s="394"/>
      <c r="AC191" s="394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</row>
    <row r="192" spans="1:48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1"/>
      <c r="T192" s="391"/>
      <c r="U192" s="391"/>
      <c r="V192" s="394"/>
      <c r="W192" s="5"/>
      <c r="X192" s="394"/>
      <c r="Y192" s="394"/>
      <c r="Z192" s="394"/>
      <c r="AA192" s="394"/>
      <c r="AB192" s="394"/>
      <c r="AC192" s="394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</row>
    <row r="193" spans="1:48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1"/>
      <c r="T193" s="391"/>
      <c r="U193" s="391"/>
      <c r="V193" s="394"/>
      <c r="W193" s="5"/>
      <c r="X193" s="394"/>
      <c r="Y193" s="394"/>
      <c r="Z193" s="394"/>
      <c r="AA193" s="394"/>
      <c r="AB193" s="394"/>
      <c r="AC193" s="394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</row>
    <row r="194" spans="1:48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1"/>
      <c r="T194" s="391"/>
      <c r="U194" s="391"/>
      <c r="V194" s="394"/>
      <c r="W194" s="5"/>
      <c r="X194" s="394"/>
      <c r="Y194" s="394"/>
      <c r="Z194" s="394"/>
      <c r="AA194" s="394"/>
      <c r="AB194" s="394"/>
      <c r="AC194" s="394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</row>
    <row r="195" spans="1:48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1"/>
      <c r="T195" s="391"/>
      <c r="U195" s="391"/>
      <c r="V195" s="394"/>
      <c r="W195" s="5"/>
      <c r="X195" s="394"/>
      <c r="Y195" s="394"/>
      <c r="Z195" s="394"/>
      <c r="AA195" s="394"/>
      <c r="AB195" s="394"/>
      <c r="AC195" s="394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</row>
    <row r="196" spans="1:48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1"/>
      <c r="T196" s="391"/>
      <c r="U196" s="391"/>
      <c r="V196" s="394"/>
      <c r="W196" s="5"/>
      <c r="X196" s="394"/>
      <c r="Y196" s="394"/>
      <c r="Z196" s="394"/>
      <c r="AA196" s="394"/>
      <c r="AB196" s="394"/>
      <c r="AC196" s="394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</row>
    <row r="197" spans="1:48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1"/>
      <c r="T197" s="391"/>
      <c r="U197" s="391"/>
      <c r="V197" s="394"/>
      <c r="W197" s="5"/>
      <c r="X197" s="394"/>
      <c r="Y197" s="394"/>
      <c r="Z197" s="394"/>
      <c r="AA197" s="394"/>
      <c r="AB197" s="394"/>
      <c r="AC197" s="394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</row>
    <row r="198" spans="1:48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1"/>
      <c r="T198" s="391"/>
      <c r="U198" s="391"/>
      <c r="V198" s="394"/>
      <c r="W198" s="5"/>
      <c r="X198" s="394"/>
      <c r="Y198" s="394"/>
      <c r="Z198" s="394"/>
      <c r="AA198" s="394"/>
      <c r="AB198" s="394"/>
      <c r="AC198" s="394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</row>
    <row r="199" spans="1:48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1"/>
      <c r="T199" s="391"/>
      <c r="U199" s="391"/>
      <c r="V199" s="394"/>
      <c r="W199" s="5"/>
      <c r="X199" s="394"/>
      <c r="Y199" s="394"/>
      <c r="Z199" s="394"/>
      <c r="AA199" s="394"/>
      <c r="AB199" s="394"/>
      <c r="AC199" s="394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</row>
    <row r="200" spans="1:48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1"/>
      <c r="T200" s="391"/>
      <c r="U200" s="391"/>
      <c r="V200" s="394"/>
      <c r="W200" s="5"/>
      <c r="X200" s="394"/>
      <c r="Y200" s="394"/>
      <c r="Z200" s="394"/>
      <c r="AA200" s="394"/>
      <c r="AB200" s="394"/>
      <c r="AC200" s="394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</row>
    <row r="201" spans="1:48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1"/>
      <c r="T201" s="391"/>
      <c r="U201" s="391"/>
      <c r="V201" s="394"/>
      <c r="W201" s="5"/>
      <c r="X201" s="394"/>
      <c r="Y201" s="394"/>
      <c r="Z201" s="394"/>
      <c r="AA201" s="394"/>
      <c r="AB201" s="394"/>
      <c r="AC201" s="394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</row>
    <row r="202" spans="1:48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1"/>
      <c r="T202" s="391"/>
      <c r="U202" s="391"/>
      <c r="V202" s="394"/>
      <c r="W202" s="5"/>
      <c r="X202" s="394"/>
      <c r="Y202" s="394"/>
      <c r="Z202" s="394"/>
      <c r="AA202" s="394"/>
      <c r="AB202" s="394"/>
      <c r="AC202" s="394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</row>
    <row r="203" spans="1:48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1"/>
      <c r="T203" s="391"/>
      <c r="U203" s="391"/>
      <c r="V203" s="394"/>
      <c r="W203" s="5"/>
      <c r="X203" s="394"/>
      <c r="Y203" s="394"/>
      <c r="Z203" s="394"/>
      <c r="AA203" s="394"/>
      <c r="AB203" s="394"/>
      <c r="AC203" s="394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</row>
    <row r="204" spans="1:48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1"/>
      <c r="T204" s="391"/>
      <c r="U204" s="391"/>
      <c r="V204" s="394"/>
      <c r="W204" s="5"/>
      <c r="X204" s="394"/>
      <c r="Y204" s="394"/>
      <c r="Z204" s="394"/>
      <c r="AA204" s="394"/>
      <c r="AB204" s="394"/>
      <c r="AC204" s="394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</row>
    <row r="205" spans="1:48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1"/>
      <c r="T205" s="391"/>
      <c r="U205" s="391"/>
      <c r="V205" s="394"/>
      <c r="W205" s="5"/>
      <c r="X205" s="394"/>
      <c r="Y205" s="394"/>
      <c r="Z205" s="394"/>
      <c r="AA205" s="394"/>
      <c r="AB205" s="394"/>
      <c r="AC205" s="394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</row>
    <row r="206" spans="1:48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1"/>
      <c r="T206" s="391"/>
      <c r="U206" s="391"/>
      <c r="V206" s="394"/>
      <c r="W206" s="5"/>
      <c r="X206" s="394"/>
      <c r="Y206" s="394"/>
      <c r="Z206" s="394"/>
      <c r="AA206" s="394"/>
      <c r="AB206" s="394"/>
      <c r="AC206" s="394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</row>
    <row r="207" spans="1:48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1"/>
      <c r="T207" s="391"/>
      <c r="U207" s="391"/>
      <c r="V207" s="394"/>
      <c r="W207" s="5"/>
      <c r="X207" s="394"/>
      <c r="Y207" s="394"/>
      <c r="Z207" s="394"/>
      <c r="AA207" s="394"/>
      <c r="AB207" s="394"/>
      <c r="AC207" s="394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</row>
    <row r="208" spans="1:48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1"/>
      <c r="T208" s="391"/>
      <c r="U208" s="391"/>
      <c r="V208" s="394"/>
      <c r="W208" s="5"/>
      <c r="X208" s="394"/>
      <c r="Y208" s="394"/>
      <c r="Z208" s="394"/>
      <c r="AA208" s="394"/>
      <c r="AB208" s="394"/>
      <c r="AC208" s="394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</row>
    <row r="209" spans="1:48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1"/>
      <c r="T209" s="391"/>
      <c r="U209" s="391"/>
      <c r="V209" s="394"/>
      <c r="W209" s="5"/>
      <c r="X209" s="394"/>
      <c r="Y209" s="394"/>
      <c r="Z209" s="394"/>
      <c r="AA209" s="394"/>
      <c r="AB209" s="394"/>
      <c r="AC209" s="394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</row>
    <row r="210" spans="1:48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1"/>
      <c r="T210" s="391"/>
      <c r="U210" s="391"/>
      <c r="V210" s="394"/>
      <c r="W210" s="5"/>
      <c r="X210" s="394"/>
      <c r="Y210" s="394"/>
      <c r="Z210" s="394"/>
      <c r="AA210" s="394"/>
      <c r="AB210" s="394"/>
      <c r="AC210" s="394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</row>
    <row r="211" spans="1:48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1"/>
      <c r="T211" s="391"/>
      <c r="U211" s="391"/>
      <c r="V211" s="394"/>
      <c r="W211" s="5"/>
      <c r="X211" s="394"/>
      <c r="Y211" s="394"/>
      <c r="Z211" s="394"/>
      <c r="AA211" s="394"/>
      <c r="AB211" s="394"/>
      <c r="AC211" s="394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</row>
    <row r="212" spans="1:48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1"/>
      <c r="T212" s="391"/>
      <c r="U212" s="391"/>
      <c r="V212" s="394"/>
      <c r="W212" s="5"/>
      <c r="X212" s="394"/>
      <c r="Y212" s="394"/>
      <c r="Z212" s="394"/>
      <c r="AA212" s="394"/>
      <c r="AB212" s="394"/>
      <c r="AC212" s="394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</row>
    <row r="213" spans="1:48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1"/>
      <c r="T213" s="391"/>
      <c r="U213" s="391"/>
      <c r="V213" s="394"/>
      <c r="W213" s="5"/>
      <c r="X213" s="394"/>
      <c r="Y213" s="394"/>
      <c r="Z213" s="394"/>
      <c r="AA213" s="394"/>
      <c r="AB213" s="394"/>
      <c r="AC213" s="394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</row>
    <row r="214" spans="1:48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1"/>
      <c r="T214" s="391"/>
      <c r="U214" s="391"/>
      <c r="V214" s="394"/>
      <c r="W214" s="5"/>
      <c r="X214" s="394"/>
      <c r="Y214" s="394"/>
      <c r="Z214" s="394"/>
      <c r="AA214" s="394"/>
      <c r="AB214" s="394"/>
      <c r="AC214" s="394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</row>
    <row r="215" spans="1:48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1"/>
      <c r="T215" s="391"/>
      <c r="U215" s="391"/>
      <c r="V215" s="394"/>
      <c r="W215" s="5"/>
      <c r="X215" s="394"/>
      <c r="Y215" s="394"/>
      <c r="Z215" s="394"/>
      <c r="AA215" s="394"/>
      <c r="AB215" s="394"/>
      <c r="AC215" s="394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</row>
    <row r="216" spans="1:48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1"/>
      <c r="T216" s="391"/>
      <c r="U216" s="391"/>
      <c r="V216" s="394"/>
      <c r="W216" s="5"/>
      <c r="X216" s="394"/>
      <c r="Y216" s="394"/>
      <c r="Z216" s="394"/>
      <c r="AA216" s="394"/>
      <c r="AB216" s="394"/>
      <c r="AC216" s="394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</row>
    <row r="217" spans="1:48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1"/>
      <c r="T217" s="391"/>
      <c r="U217" s="391"/>
      <c r="V217" s="394"/>
      <c r="W217" s="5"/>
      <c r="X217" s="394"/>
      <c r="Y217" s="394"/>
      <c r="Z217" s="394"/>
      <c r="AA217" s="394"/>
      <c r="AB217" s="394"/>
      <c r="AC217" s="394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</row>
    <row r="218" spans="1:48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1"/>
      <c r="T218" s="391"/>
      <c r="U218" s="391"/>
      <c r="V218" s="394"/>
      <c r="W218" s="5"/>
      <c r="X218" s="394"/>
      <c r="Y218" s="394"/>
      <c r="Z218" s="394"/>
      <c r="AA218" s="394"/>
      <c r="AB218" s="394"/>
      <c r="AC218" s="394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</row>
    <row r="219" spans="1:48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1"/>
      <c r="T219" s="391"/>
      <c r="U219" s="391"/>
      <c r="V219" s="394"/>
      <c r="W219" s="5"/>
      <c r="X219" s="394"/>
      <c r="Y219" s="394"/>
      <c r="Z219" s="394"/>
      <c r="AA219" s="394"/>
      <c r="AB219" s="394"/>
      <c r="AC219" s="394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</row>
    <row r="220" spans="1:48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1"/>
      <c r="T220" s="391"/>
      <c r="U220" s="391"/>
      <c r="V220" s="394"/>
      <c r="W220" s="5"/>
      <c r="X220" s="394"/>
      <c r="Y220" s="394"/>
      <c r="Z220" s="394"/>
      <c r="AA220" s="394"/>
      <c r="AB220" s="394"/>
      <c r="AC220" s="394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</row>
    <row r="221" spans="1:48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1"/>
      <c r="T221" s="391"/>
      <c r="U221" s="391"/>
      <c r="V221" s="394"/>
      <c r="W221" s="5"/>
      <c r="X221" s="394"/>
      <c r="Y221" s="394"/>
      <c r="Z221" s="394"/>
      <c r="AA221" s="394"/>
      <c r="AB221" s="394"/>
      <c r="AC221" s="394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</row>
    <row r="222" spans="1:48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1"/>
      <c r="T222" s="391"/>
      <c r="U222" s="391"/>
      <c r="V222" s="394"/>
      <c r="W222" s="5"/>
      <c r="X222" s="394"/>
      <c r="Y222" s="394"/>
      <c r="Z222" s="394"/>
      <c r="AA222" s="394"/>
      <c r="AB222" s="394"/>
      <c r="AC222" s="394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</row>
    <row r="223" spans="1:48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1"/>
      <c r="T223" s="391"/>
      <c r="U223" s="391"/>
      <c r="V223" s="394"/>
      <c r="W223" s="5"/>
      <c r="X223" s="394"/>
      <c r="Y223" s="394"/>
      <c r="Z223" s="394"/>
      <c r="AA223" s="394"/>
      <c r="AB223" s="394"/>
      <c r="AC223" s="394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</row>
    <row r="224" spans="1:48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1"/>
      <c r="T224" s="391"/>
      <c r="U224" s="391"/>
      <c r="V224" s="394"/>
      <c r="W224" s="5"/>
      <c r="X224" s="394"/>
      <c r="Y224" s="394"/>
      <c r="Z224" s="394"/>
      <c r="AA224" s="394"/>
      <c r="AB224" s="394"/>
      <c r="AC224" s="394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</row>
    <row r="225" spans="1:48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1"/>
      <c r="T225" s="391"/>
      <c r="U225" s="391"/>
      <c r="V225" s="394"/>
      <c r="W225" s="5"/>
      <c r="X225" s="394"/>
      <c r="Y225" s="394"/>
      <c r="Z225" s="394"/>
      <c r="AA225" s="394"/>
      <c r="AB225" s="394"/>
      <c r="AC225" s="394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</row>
    <row r="226" spans="1:48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1"/>
      <c r="T226" s="391"/>
      <c r="U226" s="391"/>
      <c r="V226" s="394"/>
      <c r="W226" s="5"/>
      <c r="X226" s="394"/>
      <c r="Y226" s="394"/>
      <c r="Z226" s="394"/>
      <c r="AA226" s="394"/>
      <c r="AB226" s="394"/>
      <c r="AC226" s="394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</row>
    <row r="227" spans="1:48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1"/>
      <c r="T227" s="391"/>
      <c r="U227" s="391"/>
      <c r="V227" s="394"/>
      <c r="W227" s="5"/>
      <c r="X227" s="394"/>
      <c r="Y227" s="394"/>
      <c r="Z227" s="394"/>
      <c r="AA227" s="394"/>
      <c r="AB227" s="394"/>
      <c r="AC227" s="394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</row>
    <row r="228" spans="1:48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1"/>
      <c r="T228" s="391"/>
      <c r="U228" s="391"/>
      <c r="V228" s="394"/>
      <c r="W228" s="5"/>
      <c r="X228" s="394"/>
      <c r="Y228" s="394"/>
      <c r="Z228" s="394"/>
      <c r="AA228" s="394"/>
      <c r="AB228" s="394"/>
      <c r="AC228" s="394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</row>
    <row r="229" spans="1:48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1"/>
      <c r="T229" s="391"/>
      <c r="U229" s="391"/>
      <c r="V229" s="394"/>
      <c r="W229" s="5"/>
      <c r="X229" s="394"/>
      <c r="Y229" s="394"/>
      <c r="Z229" s="394"/>
      <c r="AA229" s="394"/>
      <c r="AB229" s="394"/>
      <c r="AC229" s="394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</row>
    <row r="230" spans="1:48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1"/>
      <c r="T230" s="391"/>
      <c r="U230" s="391"/>
      <c r="V230" s="394"/>
      <c r="W230" s="5"/>
      <c r="X230" s="394"/>
      <c r="Y230" s="394"/>
      <c r="Z230" s="394"/>
      <c r="AA230" s="394"/>
      <c r="AB230" s="394"/>
      <c r="AC230" s="394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</row>
    <row r="231" spans="1:48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1"/>
      <c r="T231" s="391"/>
      <c r="U231" s="391"/>
      <c r="V231" s="394"/>
      <c r="W231" s="5"/>
      <c r="X231" s="394"/>
      <c r="Y231" s="394"/>
      <c r="Z231" s="394"/>
      <c r="AA231" s="394"/>
      <c r="AB231" s="394"/>
      <c r="AC231" s="394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</row>
    <row r="232" spans="1:48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1"/>
      <c r="T232" s="391"/>
      <c r="U232" s="391"/>
      <c r="V232" s="394"/>
      <c r="W232" s="5"/>
      <c r="X232" s="394"/>
      <c r="Y232" s="394"/>
      <c r="Z232" s="394"/>
      <c r="AA232" s="394"/>
      <c r="AB232" s="394"/>
      <c r="AC232" s="394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</row>
    <row r="233" spans="1:48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1"/>
      <c r="T233" s="391"/>
      <c r="U233" s="391"/>
      <c r="V233" s="394"/>
      <c r="W233" s="5"/>
      <c r="X233" s="394"/>
      <c r="Y233" s="394"/>
      <c r="Z233" s="394"/>
      <c r="AA233" s="394"/>
      <c r="AB233" s="394"/>
      <c r="AC233" s="394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</row>
    <row r="234" spans="1:48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1"/>
      <c r="T234" s="391"/>
      <c r="U234" s="391"/>
      <c r="V234" s="394"/>
      <c r="W234" s="5"/>
      <c r="X234" s="394"/>
      <c r="Y234" s="394"/>
      <c r="Z234" s="394"/>
      <c r="AA234" s="394"/>
      <c r="AB234" s="394"/>
      <c r="AC234" s="394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</row>
    <row r="235" spans="1:48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1"/>
      <c r="T235" s="391"/>
      <c r="U235" s="391"/>
      <c r="V235" s="394"/>
      <c r="W235" s="5"/>
      <c r="X235" s="394"/>
      <c r="Y235" s="394"/>
      <c r="Z235" s="394"/>
      <c r="AA235" s="394"/>
      <c r="AB235" s="394"/>
      <c r="AC235" s="394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</row>
    <row r="236" spans="1:48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1"/>
      <c r="T236" s="391"/>
      <c r="U236" s="391"/>
      <c r="V236" s="394"/>
      <c r="W236" s="5"/>
      <c r="X236" s="394"/>
      <c r="Y236" s="394"/>
      <c r="Z236" s="394"/>
      <c r="AA236" s="394"/>
      <c r="AB236" s="394"/>
      <c r="AC236" s="394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</row>
    <row r="237" spans="1:48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1"/>
      <c r="T237" s="391"/>
      <c r="U237" s="391"/>
      <c r="V237" s="394"/>
      <c r="W237" s="5"/>
      <c r="X237" s="394"/>
      <c r="Y237" s="394"/>
      <c r="Z237" s="394"/>
      <c r="AA237" s="394"/>
      <c r="AB237" s="394"/>
      <c r="AC237" s="394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</row>
    <row r="238" spans="1:48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1"/>
      <c r="T238" s="391"/>
      <c r="U238" s="391"/>
      <c r="V238" s="394"/>
      <c r="W238" s="5"/>
      <c r="X238" s="394"/>
      <c r="Y238" s="394"/>
      <c r="Z238" s="394"/>
      <c r="AA238" s="394"/>
      <c r="AB238" s="394"/>
      <c r="AC238" s="394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</row>
    <row r="239" spans="1:48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1"/>
      <c r="T239" s="391"/>
      <c r="U239" s="391"/>
      <c r="V239" s="394"/>
      <c r="W239" s="5"/>
      <c r="X239" s="394"/>
      <c r="Y239" s="394"/>
      <c r="Z239" s="394"/>
      <c r="AA239" s="394"/>
      <c r="AB239" s="394"/>
      <c r="AC239" s="394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</row>
    <row r="240" spans="1:48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1"/>
      <c r="T240" s="391"/>
      <c r="U240" s="391"/>
      <c r="V240" s="394"/>
      <c r="W240" s="5"/>
      <c r="X240" s="394"/>
      <c r="Y240" s="394"/>
      <c r="Z240" s="394"/>
      <c r="AA240" s="394"/>
      <c r="AB240" s="394"/>
      <c r="AC240" s="394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</row>
    <row r="241" spans="1:48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1"/>
      <c r="T241" s="391"/>
      <c r="U241" s="391"/>
      <c r="V241" s="394"/>
      <c r="W241" s="5"/>
      <c r="X241" s="394"/>
      <c r="Y241" s="394"/>
      <c r="Z241" s="394"/>
      <c r="AA241" s="394"/>
      <c r="AB241" s="394"/>
      <c r="AC241" s="394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</row>
    <row r="242" spans="1:48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1"/>
      <c r="T242" s="391"/>
      <c r="U242" s="391"/>
      <c r="V242" s="394"/>
      <c r="W242" s="5"/>
      <c r="X242" s="394"/>
      <c r="Y242" s="394"/>
      <c r="Z242" s="394"/>
      <c r="AA242" s="394"/>
      <c r="AB242" s="394"/>
      <c r="AC242" s="394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</row>
    <row r="243" spans="1:48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1"/>
      <c r="T243" s="391"/>
      <c r="U243" s="391"/>
      <c r="V243" s="394"/>
      <c r="W243" s="5"/>
      <c r="X243" s="394"/>
      <c r="Y243" s="394"/>
      <c r="Z243" s="394"/>
      <c r="AA243" s="394"/>
      <c r="AB243" s="394"/>
      <c r="AC243" s="394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</row>
    <row r="244" spans="1:48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1"/>
      <c r="T244" s="391"/>
      <c r="U244" s="391"/>
      <c r="V244" s="394"/>
      <c r="W244" s="5"/>
      <c r="X244" s="394"/>
      <c r="Y244" s="394"/>
      <c r="Z244" s="394"/>
      <c r="AA244" s="394"/>
      <c r="AB244" s="394"/>
      <c r="AC244" s="394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</row>
    <row r="245" spans="1:48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1"/>
      <c r="T245" s="391"/>
      <c r="U245" s="391"/>
      <c r="V245" s="394"/>
      <c r="W245" s="5"/>
      <c r="X245" s="394"/>
      <c r="Y245" s="394"/>
      <c r="Z245" s="394"/>
      <c r="AA245" s="394"/>
      <c r="AB245" s="394"/>
      <c r="AC245" s="394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</row>
    <row r="246" spans="1:48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1"/>
      <c r="T246" s="391"/>
      <c r="U246" s="391"/>
      <c r="V246" s="394"/>
      <c r="W246" s="5"/>
      <c r="X246" s="394"/>
      <c r="Y246" s="394"/>
      <c r="Z246" s="394"/>
      <c r="AA246" s="394"/>
      <c r="AB246" s="394"/>
      <c r="AC246" s="394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</row>
    <row r="247" spans="1:48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1"/>
      <c r="T247" s="391"/>
      <c r="U247" s="391"/>
      <c r="V247" s="394"/>
      <c r="W247" s="5"/>
      <c r="X247" s="394"/>
      <c r="Y247" s="394"/>
      <c r="Z247" s="394"/>
      <c r="AA247" s="394"/>
      <c r="AB247" s="394"/>
      <c r="AC247" s="394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</row>
    <row r="248" spans="1:48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1"/>
      <c r="T248" s="391"/>
      <c r="U248" s="391"/>
      <c r="V248" s="394"/>
      <c r="W248" s="5"/>
      <c r="X248" s="394"/>
      <c r="Y248" s="394"/>
      <c r="Z248" s="394"/>
      <c r="AA248" s="394"/>
      <c r="AB248" s="394"/>
      <c r="AC248" s="394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</row>
    <row r="249" spans="1:48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1"/>
      <c r="T249" s="391"/>
      <c r="U249" s="391"/>
      <c r="V249" s="394"/>
      <c r="W249" s="5"/>
      <c r="X249" s="394"/>
      <c r="Y249" s="394"/>
      <c r="Z249" s="394"/>
      <c r="AA249" s="394"/>
      <c r="AB249" s="394"/>
      <c r="AC249" s="394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</row>
    <row r="250" spans="1:48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1"/>
      <c r="T250" s="391"/>
      <c r="U250" s="391"/>
      <c r="V250" s="394"/>
      <c r="W250" s="5"/>
      <c r="X250" s="394"/>
      <c r="Y250" s="394"/>
      <c r="Z250" s="394"/>
      <c r="AA250" s="394"/>
      <c r="AB250" s="394"/>
      <c r="AC250" s="394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</row>
    <row r="251" spans="1:48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1"/>
      <c r="T251" s="391"/>
      <c r="U251" s="391"/>
      <c r="V251" s="394"/>
      <c r="W251" s="5"/>
      <c r="X251" s="394"/>
      <c r="Y251" s="394"/>
      <c r="Z251" s="394"/>
      <c r="AA251" s="394"/>
      <c r="AB251" s="394"/>
      <c r="AC251" s="394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</row>
    <row r="252" spans="1:48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1"/>
      <c r="T252" s="391"/>
      <c r="U252" s="391"/>
      <c r="V252" s="394"/>
      <c r="W252" s="5"/>
      <c r="X252" s="394"/>
      <c r="Y252" s="394"/>
      <c r="Z252" s="394"/>
      <c r="AA252" s="394"/>
      <c r="AB252" s="394"/>
      <c r="AC252" s="394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</row>
    <row r="253" spans="1:48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1"/>
      <c r="T253" s="391"/>
      <c r="U253" s="391"/>
      <c r="V253" s="394"/>
      <c r="W253" s="5"/>
      <c r="X253" s="394"/>
      <c r="Y253" s="394"/>
      <c r="Z253" s="394"/>
      <c r="AA253" s="394"/>
      <c r="AB253" s="394"/>
      <c r="AC253" s="394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</row>
    <row r="254" spans="1:48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1"/>
      <c r="T254" s="391"/>
      <c r="U254" s="391"/>
      <c r="V254" s="394"/>
      <c r="W254" s="5"/>
      <c r="X254" s="394"/>
      <c r="Y254" s="394"/>
      <c r="Z254" s="394"/>
      <c r="AA254" s="394"/>
      <c r="AB254" s="394"/>
      <c r="AC254" s="394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</row>
    <row r="255" spans="1:48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1"/>
      <c r="T255" s="391"/>
      <c r="U255" s="391"/>
      <c r="V255" s="394"/>
      <c r="W255" s="5"/>
      <c r="X255" s="394"/>
      <c r="Y255" s="394"/>
      <c r="Z255" s="394"/>
      <c r="AA255" s="394"/>
      <c r="AB255" s="394"/>
      <c r="AC255" s="394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</row>
    <row r="256" spans="1:48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1"/>
      <c r="T256" s="391"/>
      <c r="U256" s="391"/>
      <c r="V256" s="394"/>
      <c r="W256" s="5"/>
      <c r="X256" s="394"/>
      <c r="Y256" s="394"/>
      <c r="Z256" s="394"/>
      <c r="AA256" s="394"/>
      <c r="AB256" s="394"/>
      <c r="AC256" s="394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</row>
    <row r="257" spans="1:48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1"/>
      <c r="T257" s="391"/>
      <c r="U257" s="391"/>
      <c r="V257" s="394"/>
      <c r="W257" s="5"/>
      <c r="X257" s="394"/>
      <c r="Y257" s="394"/>
      <c r="Z257" s="394"/>
      <c r="AA257" s="394"/>
      <c r="AB257" s="394"/>
      <c r="AC257" s="394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</row>
    <row r="258" spans="1:48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1"/>
      <c r="T258" s="391"/>
      <c r="U258" s="391"/>
      <c r="V258" s="394"/>
      <c r="W258" s="5"/>
      <c r="X258" s="394"/>
      <c r="Y258" s="394"/>
      <c r="Z258" s="394"/>
      <c r="AA258" s="394"/>
      <c r="AB258" s="394"/>
      <c r="AC258" s="394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</row>
    <row r="259" spans="1:48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1"/>
      <c r="T259" s="391"/>
      <c r="U259" s="391"/>
      <c r="V259" s="394"/>
      <c r="W259" s="5"/>
      <c r="X259" s="394"/>
      <c r="Y259" s="394"/>
      <c r="Z259" s="394"/>
      <c r="AA259" s="394"/>
      <c r="AB259" s="394"/>
      <c r="AC259" s="394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</row>
    <row r="260" spans="1:48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1"/>
      <c r="T260" s="391"/>
      <c r="U260" s="391"/>
      <c r="V260" s="394"/>
      <c r="W260" s="5"/>
      <c r="X260" s="394"/>
      <c r="Y260" s="394"/>
      <c r="Z260" s="394"/>
      <c r="AA260" s="394"/>
      <c r="AB260" s="394"/>
      <c r="AC260" s="394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</row>
    <row r="261" spans="1:48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1"/>
      <c r="T261" s="391"/>
      <c r="U261" s="391"/>
      <c r="V261" s="394"/>
      <c r="W261" s="5"/>
      <c r="X261" s="394"/>
      <c r="Y261" s="394"/>
      <c r="Z261" s="394"/>
      <c r="AA261" s="394"/>
      <c r="AB261" s="394"/>
      <c r="AC261" s="394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</row>
    <row r="262" spans="1:48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1"/>
      <c r="T262" s="391"/>
      <c r="U262" s="391"/>
      <c r="V262" s="394"/>
      <c r="W262" s="5"/>
      <c r="X262" s="394"/>
      <c r="Y262" s="394"/>
      <c r="Z262" s="394"/>
      <c r="AA262" s="394"/>
      <c r="AB262" s="394"/>
      <c r="AC262" s="394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</row>
    <row r="263" spans="1:48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1"/>
      <c r="T263" s="391"/>
      <c r="U263" s="391"/>
      <c r="V263" s="394"/>
      <c r="W263" s="5"/>
      <c r="X263" s="394"/>
      <c r="Y263" s="394"/>
      <c r="Z263" s="394"/>
      <c r="AA263" s="394"/>
      <c r="AB263" s="394"/>
      <c r="AC263" s="394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</row>
    <row r="264" spans="1:48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1"/>
      <c r="T264" s="391"/>
      <c r="U264" s="391"/>
      <c r="V264" s="394"/>
      <c r="W264" s="5"/>
      <c r="X264" s="394"/>
      <c r="Y264" s="394"/>
      <c r="Z264" s="394"/>
      <c r="AA264" s="394"/>
      <c r="AB264" s="394"/>
      <c r="AC264" s="394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</row>
    <row r="265" spans="1:48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1"/>
      <c r="T265" s="391"/>
      <c r="U265" s="391"/>
      <c r="V265" s="394"/>
      <c r="W265" s="5"/>
      <c r="X265" s="394"/>
      <c r="Y265" s="394"/>
      <c r="Z265" s="394"/>
      <c r="AA265" s="394"/>
      <c r="AB265" s="394"/>
      <c r="AC265" s="394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</row>
    <row r="266" spans="1:48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1"/>
      <c r="T266" s="391"/>
      <c r="U266" s="391"/>
      <c r="V266" s="394"/>
      <c r="W266" s="5"/>
      <c r="X266" s="394"/>
      <c r="Y266" s="394"/>
      <c r="Z266" s="394"/>
      <c r="AA266" s="394"/>
      <c r="AB266" s="394"/>
      <c r="AC266" s="394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</row>
    <row r="267" spans="1:48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1"/>
      <c r="T267" s="391"/>
      <c r="U267" s="391"/>
      <c r="V267" s="394"/>
      <c r="W267" s="5"/>
      <c r="X267" s="394"/>
      <c r="Y267" s="394"/>
      <c r="Z267" s="394"/>
      <c r="AA267" s="394"/>
      <c r="AB267" s="394"/>
      <c r="AC267" s="394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</row>
    <row r="268" spans="1:48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1"/>
      <c r="T268" s="391"/>
      <c r="U268" s="391"/>
      <c r="V268" s="394"/>
      <c r="W268" s="5"/>
      <c r="X268" s="394"/>
      <c r="Y268" s="394"/>
      <c r="Z268" s="394"/>
      <c r="AA268" s="394"/>
      <c r="AB268" s="394"/>
      <c r="AC268" s="394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</row>
    <row r="269" spans="1:48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1"/>
      <c r="T269" s="391"/>
      <c r="U269" s="391"/>
      <c r="V269" s="394"/>
      <c r="W269" s="5"/>
      <c r="X269" s="394"/>
      <c r="Y269" s="394"/>
      <c r="Z269" s="394"/>
      <c r="AA269" s="394"/>
      <c r="AB269" s="394"/>
      <c r="AC269" s="394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</row>
    <row r="270" spans="1:48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1"/>
      <c r="T270" s="391"/>
      <c r="U270" s="391"/>
      <c r="V270" s="394"/>
      <c r="W270" s="5"/>
      <c r="X270" s="394"/>
      <c r="Y270" s="394"/>
      <c r="Z270" s="394"/>
      <c r="AA270" s="394"/>
      <c r="AB270" s="394"/>
      <c r="AC270" s="394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</row>
    <row r="271" spans="1:48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1"/>
      <c r="T271" s="391"/>
      <c r="U271" s="391"/>
      <c r="V271" s="394"/>
      <c r="W271" s="5"/>
      <c r="X271" s="394"/>
      <c r="Y271" s="394"/>
      <c r="Z271" s="394"/>
      <c r="AA271" s="394"/>
      <c r="AB271" s="394"/>
      <c r="AC271" s="394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</row>
    <row r="272" spans="1:48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1"/>
      <c r="T272" s="391"/>
      <c r="U272" s="391"/>
      <c r="V272" s="394"/>
      <c r="W272" s="5"/>
      <c r="X272" s="394"/>
      <c r="Y272" s="394"/>
      <c r="Z272" s="394"/>
      <c r="AA272" s="394"/>
      <c r="AB272" s="394"/>
      <c r="AC272" s="394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</row>
    <row r="273" spans="1:48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1"/>
      <c r="T273" s="391"/>
      <c r="U273" s="391"/>
      <c r="V273" s="394"/>
      <c r="W273" s="5"/>
      <c r="X273" s="394"/>
      <c r="Y273" s="394"/>
      <c r="Z273" s="394"/>
      <c r="AA273" s="394"/>
      <c r="AB273" s="394"/>
      <c r="AC273" s="394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</row>
    <row r="274" spans="1:48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1"/>
      <c r="T274" s="391"/>
      <c r="U274" s="391"/>
      <c r="V274" s="394"/>
      <c r="W274" s="5"/>
      <c r="X274" s="394"/>
      <c r="Y274" s="394"/>
      <c r="Z274" s="394"/>
      <c r="AA274" s="394"/>
      <c r="AB274" s="394"/>
      <c r="AC274" s="394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</row>
    <row r="275" spans="1:48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1"/>
      <c r="T275" s="391"/>
      <c r="U275" s="391"/>
      <c r="V275" s="394"/>
      <c r="W275" s="5"/>
      <c r="X275" s="394"/>
      <c r="Y275" s="394"/>
      <c r="Z275" s="394"/>
      <c r="AA275" s="394"/>
      <c r="AB275" s="394"/>
      <c r="AC275" s="394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</row>
    <row r="276" spans="1:48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1"/>
      <c r="T276" s="391"/>
      <c r="U276" s="391"/>
      <c r="V276" s="394"/>
      <c r="W276" s="5"/>
      <c r="X276" s="394"/>
      <c r="Y276" s="394"/>
      <c r="Z276" s="394"/>
      <c r="AA276" s="394"/>
      <c r="AB276" s="394"/>
      <c r="AC276" s="394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</row>
    <row r="277" spans="1:48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1"/>
      <c r="T277" s="391"/>
      <c r="U277" s="391"/>
      <c r="V277" s="394"/>
      <c r="W277" s="5"/>
      <c r="X277" s="394"/>
      <c r="Y277" s="394"/>
      <c r="Z277" s="394"/>
      <c r="AA277" s="394"/>
      <c r="AB277" s="394"/>
      <c r="AC277" s="394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</row>
    <row r="278" spans="1:48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1"/>
      <c r="T278" s="391"/>
      <c r="U278" s="391"/>
      <c r="V278" s="394"/>
      <c r="W278" s="5"/>
      <c r="X278" s="394"/>
      <c r="Y278" s="394"/>
      <c r="Z278" s="394"/>
      <c r="AA278" s="394"/>
      <c r="AB278" s="394"/>
      <c r="AC278" s="394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</row>
    <row r="279" spans="1:48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1"/>
      <c r="T279" s="391"/>
      <c r="U279" s="391"/>
      <c r="V279" s="394"/>
      <c r="W279" s="5"/>
      <c r="X279" s="394"/>
      <c r="Y279" s="394"/>
      <c r="Z279" s="394"/>
      <c r="AA279" s="394"/>
      <c r="AB279" s="394"/>
      <c r="AC279" s="394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</row>
    <row r="280" spans="1:48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1"/>
      <c r="T280" s="391"/>
      <c r="U280" s="391"/>
      <c r="V280" s="394"/>
      <c r="W280" s="5"/>
      <c r="X280" s="394"/>
      <c r="Y280" s="394"/>
      <c r="Z280" s="394"/>
      <c r="AA280" s="394"/>
      <c r="AB280" s="394"/>
      <c r="AC280" s="394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</row>
    <row r="281" spans="1:48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1"/>
      <c r="T281" s="391"/>
      <c r="U281" s="391"/>
      <c r="V281" s="394"/>
      <c r="W281" s="5"/>
      <c r="X281" s="394"/>
      <c r="Y281" s="394"/>
      <c r="Z281" s="394"/>
      <c r="AA281" s="394"/>
      <c r="AB281" s="394"/>
      <c r="AC281" s="394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</row>
    <row r="282" spans="1:48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1"/>
      <c r="T282" s="391"/>
      <c r="U282" s="391"/>
      <c r="V282" s="394"/>
      <c r="W282" s="5"/>
      <c r="X282" s="394"/>
      <c r="Y282" s="394"/>
      <c r="Z282" s="394"/>
      <c r="AA282" s="394"/>
      <c r="AB282" s="394"/>
      <c r="AC282" s="394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</row>
    <row r="283" spans="1:48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1"/>
      <c r="T283" s="391"/>
      <c r="U283" s="391"/>
      <c r="V283" s="394"/>
      <c r="W283" s="5"/>
      <c r="X283" s="394"/>
      <c r="Y283" s="394"/>
      <c r="Z283" s="394"/>
      <c r="AA283" s="394"/>
      <c r="AB283" s="394"/>
      <c r="AC283" s="394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</row>
    <row r="284" spans="1:48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1"/>
      <c r="T284" s="391"/>
      <c r="U284" s="391"/>
      <c r="V284" s="394"/>
      <c r="W284" s="5"/>
      <c r="X284" s="394"/>
      <c r="Y284" s="394"/>
      <c r="Z284" s="394"/>
      <c r="AA284" s="394"/>
      <c r="AB284" s="394"/>
      <c r="AC284" s="394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</row>
    <row r="285" spans="1:48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1"/>
      <c r="T285" s="391"/>
      <c r="U285" s="391"/>
      <c r="V285" s="394"/>
      <c r="W285" s="5"/>
      <c r="X285" s="394"/>
      <c r="Y285" s="394"/>
      <c r="Z285" s="394"/>
      <c r="AA285" s="394"/>
      <c r="AB285" s="394"/>
      <c r="AC285" s="394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</row>
    <row r="286" spans="1:48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1"/>
      <c r="T286" s="391"/>
      <c r="U286" s="391"/>
      <c r="V286" s="394"/>
      <c r="W286" s="5"/>
      <c r="X286" s="394"/>
      <c r="Y286" s="394"/>
      <c r="Z286" s="394"/>
      <c r="AA286" s="394"/>
      <c r="AB286" s="394"/>
      <c r="AC286" s="394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</row>
    <row r="287" spans="1:48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1"/>
      <c r="T287" s="391"/>
      <c r="U287" s="391"/>
      <c r="V287" s="394"/>
      <c r="W287" s="5"/>
      <c r="X287" s="394"/>
      <c r="Y287" s="394"/>
      <c r="Z287" s="394"/>
      <c r="AA287" s="394"/>
      <c r="AB287" s="394"/>
      <c r="AC287" s="394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</row>
    <row r="288" spans="1:48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1"/>
      <c r="T288" s="391"/>
      <c r="U288" s="391"/>
      <c r="V288" s="394"/>
      <c r="W288" s="5"/>
      <c r="X288" s="394"/>
      <c r="Y288" s="394"/>
      <c r="Z288" s="394"/>
      <c r="AA288" s="394"/>
      <c r="AB288" s="394"/>
      <c r="AC288" s="394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</row>
    <row r="289" spans="1:48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1"/>
      <c r="T289" s="391"/>
      <c r="U289" s="391"/>
      <c r="V289" s="394"/>
      <c r="W289" s="5"/>
      <c r="X289" s="394"/>
      <c r="Y289" s="394"/>
      <c r="Z289" s="394"/>
      <c r="AA289" s="394"/>
      <c r="AB289" s="394"/>
      <c r="AC289" s="394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</row>
    <row r="290" spans="1:48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1"/>
      <c r="T290" s="391"/>
      <c r="U290" s="391"/>
      <c r="V290" s="394"/>
      <c r="W290" s="5"/>
      <c r="X290" s="394"/>
      <c r="Y290" s="394"/>
      <c r="Z290" s="394"/>
      <c r="AA290" s="394"/>
      <c r="AB290" s="394"/>
      <c r="AC290" s="394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</row>
    <row r="291" spans="1:48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1"/>
      <c r="T291" s="391"/>
      <c r="U291" s="391"/>
      <c r="V291" s="394"/>
      <c r="W291" s="5"/>
      <c r="X291" s="394"/>
      <c r="Y291" s="394"/>
      <c r="Z291" s="394"/>
      <c r="AA291" s="394"/>
      <c r="AB291" s="394"/>
      <c r="AC291" s="394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</row>
    <row r="292" spans="1:48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1"/>
      <c r="T292" s="391"/>
      <c r="U292" s="391"/>
      <c r="V292" s="394"/>
      <c r="W292" s="5"/>
      <c r="X292" s="394"/>
      <c r="Y292" s="394"/>
      <c r="Z292" s="394"/>
      <c r="AA292" s="394"/>
      <c r="AB292" s="394"/>
      <c r="AC292" s="394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</row>
    <row r="293" spans="1:48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1"/>
      <c r="T293" s="391"/>
      <c r="U293" s="391"/>
      <c r="V293" s="394"/>
      <c r="W293" s="5"/>
      <c r="X293" s="394"/>
      <c r="Y293" s="394"/>
      <c r="Z293" s="394"/>
      <c r="AA293" s="394"/>
      <c r="AB293" s="394"/>
      <c r="AC293" s="394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</row>
    <row r="294" spans="1:48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1"/>
      <c r="T294" s="391"/>
      <c r="U294" s="391"/>
      <c r="V294" s="394"/>
      <c r="W294" s="5"/>
      <c r="X294" s="394"/>
      <c r="Y294" s="394"/>
      <c r="Z294" s="394"/>
      <c r="AA294" s="394"/>
      <c r="AB294" s="394"/>
      <c r="AC294" s="394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</row>
    <row r="295" spans="1:48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1"/>
      <c r="T295" s="391"/>
      <c r="U295" s="391"/>
      <c r="V295" s="394"/>
      <c r="W295" s="5"/>
      <c r="X295" s="394"/>
      <c r="Y295" s="394"/>
      <c r="Z295" s="394"/>
      <c r="AA295" s="394"/>
      <c r="AB295" s="394"/>
      <c r="AC295" s="394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</row>
    <row r="296" spans="1:48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1"/>
      <c r="T296" s="391"/>
      <c r="U296" s="391"/>
      <c r="V296" s="394"/>
      <c r="W296" s="5"/>
      <c r="X296" s="394"/>
      <c r="Y296" s="394"/>
      <c r="Z296" s="394"/>
      <c r="AA296" s="394"/>
      <c r="AB296" s="394"/>
      <c r="AC296" s="394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</row>
    <row r="297" spans="1:48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1"/>
      <c r="T297" s="391"/>
      <c r="U297" s="391"/>
      <c r="V297" s="394"/>
      <c r="W297" s="5"/>
      <c r="X297" s="394"/>
      <c r="Y297" s="394"/>
      <c r="Z297" s="394"/>
      <c r="AA297" s="394"/>
      <c r="AB297" s="394"/>
      <c r="AC297" s="394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</row>
    <row r="298" spans="1:48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1"/>
      <c r="T298" s="391"/>
      <c r="U298" s="391"/>
      <c r="V298" s="394"/>
      <c r="W298" s="5"/>
      <c r="X298" s="394"/>
      <c r="Y298" s="394"/>
      <c r="Z298" s="394"/>
      <c r="AA298" s="394"/>
      <c r="AB298" s="394"/>
      <c r="AC298" s="394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</row>
    <row r="299" spans="1:48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1"/>
      <c r="T299" s="391"/>
      <c r="U299" s="391"/>
      <c r="V299" s="394"/>
      <c r="W299" s="5"/>
      <c r="X299" s="394"/>
      <c r="Y299" s="394"/>
      <c r="Z299" s="394"/>
      <c r="AA299" s="394"/>
      <c r="AB299" s="394"/>
      <c r="AC299" s="394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</row>
    <row r="300" spans="1:48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1"/>
      <c r="T300" s="391"/>
      <c r="U300" s="391"/>
      <c r="V300" s="394"/>
      <c r="W300" s="5"/>
      <c r="X300" s="394"/>
      <c r="Y300" s="394"/>
      <c r="Z300" s="394"/>
      <c r="AA300" s="394"/>
      <c r="AB300" s="394"/>
      <c r="AC300" s="394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</row>
    <row r="301" spans="1:48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1"/>
      <c r="T301" s="391"/>
      <c r="U301" s="391"/>
      <c r="V301" s="394"/>
      <c r="W301" s="5"/>
      <c r="X301" s="394"/>
      <c r="Y301" s="394"/>
      <c r="Z301" s="394"/>
      <c r="AA301" s="394"/>
      <c r="AB301" s="394"/>
      <c r="AC301" s="394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</row>
    <row r="302" spans="1:48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1"/>
      <c r="T302" s="391"/>
      <c r="U302" s="391"/>
      <c r="V302" s="394"/>
      <c r="W302" s="5"/>
      <c r="X302" s="394"/>
      <c r="Y302" s="394"/>
      <c r="Z302" s="394"/>
      <c r="AA302" s="394"/>
      <c r="AB302" s="394"/>
      <c r="AC302" s="394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</row>
    <row r="303" spans="1:48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1"/>
      <c r="T303" s="391"/>
      <c r="U303" s="391"/>
      <c r="V303" s="394"/>
      <c r="W303" s="5"/>
      <c r="X303" s="394"/>
      <c r="Y303" s="394"/>
      <c r="Z303" s="394"/>
      <c r="AA303" s="394"/>
      <c r="AB303" s="394"/>
      <c r="AC303" s="394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</row>
    <row r="304" spans="1:48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1"/>
      <c r="T304" s="391"/>
      <c r="U304" s="391"/>
      <c r="V304" s="394"/>
      <c r="W304" s="5"/>
      <c r="X304" s="394"/>
      <c r="Y304" s="394"/>
      <c r="Z304" s="394"/>
      <c r="AA304" s="394"/>
      <c r="AB304" s="394"/>
      <c r="AC304" s="394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</row>
    <row r="305" spans="1:48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1"/>
      <c r="T305" s="391"/>
      <c r="U305" s="391"/>
      <c r="V305" s="394"/>
      <c r="W305" s="5"/>
      <c r="X305" s="394"/>
      <c r="Y305" s="394"/>
      <c r="Z305" s="394"/>
      <c r="AA305" s="394"/>
      <c r="AB305" s="394"/>
      <c r="AC305" s="394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</row>
    <row r="306" spans="1:48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1"/>
      <c r="T306" s="391"/>
      <c r="U306" s="391"/>
      <c r="V306" s="394"/>
      <c r="W306" s="5"/>
      <c r="X306" s="394"/>
      <c r="Y306" s="394"/>
      <c r="Z306" s="394"/>
      <c r="AA306" s="394"/>
      <c r="AB306" s="394"/>
      <c r="AC306" s="394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</row>
    <row r="307" spans="1:48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1"/>
      <c r="T307" s="391"/>
      <c r="U307" s="391"/>
      <c r="V307" s="394"/>
      <c r="W307" s="5"/>
      <c r="X307" s="394"/>
      <c r="Y307" s="394"/>
      <c r="Z307" s="394"/>
      <c r="AA307" s="394"/>
      <c r="AB307" s="394"/>
      <c r="AC307" s="394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</row>
    <row r="308" spans="1:48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1"/>
      <c r="T308" s="391"/>
      <c r="U308" s="391"/>
      <c r="V308" s="394"/>
      <c r="W308" s="5"/>
      <c r="X308" s="394"/>
      <c r="Y308" s="394"/>
      <c r="Z308" s="394"/>
      <c r="AA308" s="394"/>
      <c r="AB308" s="394"/>
      <c r="AC308" s="394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</row>
    <row r="309" spans="1:48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1"/>
      <c r="T309" s="391"/>
      <c r="U309" s="391"/>
      <c r="V309" s="394"/>
      <c r="W309" s="5"/>
      <c r="X309" s="394"/>
      <c r="Y309" s="394"/>
      <c r="Z309" s="394"/>
      <c r="AA309" s="394"/>
      <c r="AB309" s="394"/>
      <c r="AC309" s="394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</row>
    <row r="310" spans="1:48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1"/>
      <c r="T310" s="391"/>
      <c r="U310" s="391"/>
      <c r="V310" s="394"/>
      <c r="W310" s="5"/>
      <c r="X310" s="394"/>
      <c r="Y310" s="394"/>
      <c r="Z310" s="394"/>
      <c r="AA310" s="394"/>
      <c r="AB310" s="394"/>
      <c r="AC310" s="394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</row>
    <row r="311" spans="1:48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1"/>
      <c r="T311" s="391"/>
      <c r="U311" s="391"/>
      <c r="V311" s="394"/>
      <c r="W311" s="5"/>
      <c r="X311" s="394"/>
      <c r="Y311" s="394"/>
      <c r="Z311" s="394"/>
      <c r="AA311" s="394"/>
      <c r="AB311" s="394"/>
      <c r="AC311" s="394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</row>
    <row r="312" spans="1:48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1"/>
      <c r="T312" s="391"/>
      <c r="U312" s="391"/>
      <c r="V312" s="394"/>
      <c r="W312" s="5"/>
      <c r="X312" s="394"/>
      <c r="Y312" s="394"/>
      <c r="Z312" s="394"/>
      <c r="AA312" s="394"/>
      <c r="AB312" s="394"/>
      <c r="AC312" s="394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</row>
    <row r="313" spans="1:48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1"/>
      <c r="T313" s="391"/>
      <c r="U313" s="391"/>
      <c r="V313" s="394"/>
      <c r="W313" s="5"/>
      <c r="X313" s="394"/>
      <c r="Y313" s="394"/>
      <c r="Z313" s="394"/>
      <c r="AA313" s="394"/>
      <c r="AB313" s="394"/>
      <c r="AC313" s="394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</row>
    <row r="314" spans="1:48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1"/>
      <c r="T314" s="391"/>
      <c r="U314" s="391"/>
      <c r="V314" s="394"/>
      <c r="W314" s="5"/>
      <c r="X314" s="394"/>
      <c r="Y314" s="394"/>
      <c r="Z314" s="394"/>
      <c r="AA314" s="394"/>
      <c r="AB314" s="394"/>
      <c r="AC314" s="394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</row>
    <row r="315" spans="1:48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1"/>
      <c r="T315" s="391"/>
      <c r="U315" s="391"/>
      <c r="V315" s="394"/>
      <c r="W315" s="5"/>
      <c r="X315" s="394"/>
      <c r="Y315" s="394"/>
      <c r="Z315" s="394"/>
      <c r="AA315" s="394"/>
      <c r="AB315" s="394"/>
      <c r="AC315" s="394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</row>
    <row r="316" spans="1:48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1"/>
      <c r="T316" s="391"/>
      <c r="U316" s="391"/>
      <c r="V316" s="394"/>
      <c r="W316" s="5"/>
      <c r="X316" s="394"/>
      <c r="Y316" s="394"/>
      <c r="Z316" s="394"/>
      <c r="AA316" s="394"/>
      <c r="AB316" s="394"/>
      <c r="AC316" s="394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</row>
    <row r="317" spans="1:48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1"/>
      <c r="T317" s="391"/>
      <c r="U317" s="391"/>
      <c r="V317" s="394"/>
      <c r="W317" s="5"/>
      <c r="X317" s="394"/>
      <c r="Y317" s="394"/>
      <c r="Z317" s="394"/>
      <c r="AA317" s="394"/>
      <c r="AB317" s="394"/>
      <c r="AC317" s="394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</row>
  </sheetData>
  <mergeCells count="143">
    <mergeCell ref="AY38:BA38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N5:U5"/>
    <mergeCell ref="K6:K8"/>
    <mergeCell ref="E5:F5"/>
    <mergeCell ref="X6:X8"/>
    <mergeCell ref="G5:H5"/>
    <mergeCell ref="T6:T8"/>
    <mergeCell ref="O6:O8"/>
    <mergeCell ref="A5:A8"/>
    <mergeCell ref="N6:N8"/>
    <mergeCell ref="AT5:AU5"/>
    <mergeCell ref="AT6:AT8"/>
    <mergeCell ref="AU6:AU8"/>
    <mergeCell ref="P6:P8"/>
    <mergeCell ref="Q6:Q8"/>
    <mergeCell ref="S6:S8"/>
    <mergeCell ref="AD6:AD8"/>
    <mergeCell ref="Y6:Y8"/>
    <mergeCell ref="Z6:Z8"/>
    <mergeCell ref="AB6:AB8"/>
    <mergeCell ref="AC6:AC8"/>
    <mergeCell ref="U6:U8"/>
    <mergeCell ref="R6:R8"/>
    <mergeCell ref="V6:V8"/>
    <mergeCell ref="AQ5:AQ8"/>
    <mergeCell ref="AR5:AR8"/>
    <mergeCell ref="AS5:AS8"/>
    <mergeCell ref="AP6:AP8"/>
    <mergeCell ref="AH6:AH8"/>
    <mergeCell ref="AI6:AI8"/>
    <mergeCell ref="AA6:AA8"/>
    <mergeCell ref="AV10:AX10"/>
    <mergeCell ref="AV11:AX11"/>
    <mergeCell ref="AG5:AI5"/>
    <mergeCell ref="AJ6:AJ8"/>
    <mergeCell ref="AM5:AN5"/>
    <mergeCell ref="AM6:AM8"/>
    <mergeCell ref="AN6:AN8"/>
    <mergeCell ref="AL6:AL8"/>
    <mergeCell ref="AO6:AO8"/>
    <mergeCell ref="AK5:AL5"/>
    <mergeCell ref="AK6:AK8"/>
    <mergeCell ref="AO5:AP5"/>
    <mergeCell ref="A60:BH60"/>
    <mergeCell ref="A62:A63"/>
    <mergeCell ref="Z62:Z63"/>
    <mergeCell ref="AB62:AB63"/>
    <mergeCell ref="AC62:AC63"/>
    <mergeCell ref="AD62:AD63"/>
    <mergeCell ref="AV62:AV63"/>
    <mergeCell ref="AW62:AW63"/>
    <mergeCell ref="AX62:AX63"/>
    <mergeCell ref="AY62:AY63"/>
    <mergeCell ref="AZ62:AZ63"/>
    <mergeCell ref="BA62:BA63"/>
    <mergeCell ref="BB62:BB63"/>
    <mergeCell ref="BH62:BH63"/>
    <mergeCell ref="BI62:BI63"/>
    <mergeCell ref="V62:V63"/>
    <mergeCell ref="X62:Y62"/>
    <mergeCell ref="BJ62:BJ63"/>
    <mergeCell ref="BC62:BC63"/>
    <mergeCell ref="BD62:BD63"/>
    <mergeCell ref="BE62:BE63"/>
    <mergeCell ref="BF62:BF63"/>
    <mergeCell ref="BG62:BG63"/>
    <mergeCell ref="AV44:AX44"/>
    <mergeCell ref="AV50:AX50"/>
    <mergeCell ref="AV45:AX45"/>
    <mergeCell ref="AV46:AX46"/>
    <mergeCell ref="AV47:AX47"/>
    <mergeCell ref="AV48:AX48"/>
    <mergeCell ref="AV49:AX49"/>
    <mergeCell ref="AV38:AX38"/>
    <mergeCell ref="AV39:AX39"/>
    <mergeCell ref="AV40:AX40"/>
    <mergeCell ref="AV41:AX41"/>
    <mergeCell ref="AV51:AX51"/>
    <mergeCell ref="AV52:AX52"/>
    <mergeCell ref="AV53:AX53"/>
    <mergeCell ref="AV54:AX54"/>
    <mergeCell ref="A51:C51"/>
    <mergeCell ref="A52:C52"/>
    <mergeCell ref="A53:C53"/>
    <mergeCell ref="A54:C54"/>
    <mergeCell ref="AV24:AX24"/>
    <mergeCell ref="AV25:AX25"/>
    <mergeCell ref="AV26:AX26"/>
    <mergeCell ref="AV27:AX27"/>
    <mergeCell ref="AV42:AX42"/>
    <mergeCell ref="AV33:AX33"/>
    <mergeCell ref="AV34:AX34"/>
    <mergeCell ref="AV35:AX35"/>
    <mergeCell ref="AV36:AX36"/>
    <mergeCell ref="AV37:AX37"/>
    <mergeCell ref="AV28:AX28"/>
    <mergeCell ref="AV29:AX29"/>
    <mergeCell ref="AV30:AX30"/>
    <mergeCell ref="AV31:AX31"/>
    <mergeCell ref="AV32:AX32"/>
    <mergeCell ref="AV43:AX43"/>
    <mergeCell ref="AY5:AY8"/>
    <mergeCell ref="AZ5:AZ8"/>
    <mergeCell ref="BA5:BA8"/>
    <mergeCell ref="A1:BA1"/>
    <mergeCell ref="A2:BA2"/>
    <mergeCell ref="AV19:AX19"/>
    <mergeCell ref="AV20:AX20"/>
    <mergeCell ref="AV21:AX21"/>
    <mergeCell ref="AV22:AX22"/>
    <mergeCell ref="AV13:AX13"/>
    <mergeCell ref="AV14:AX14"/>
    <mergeCell ref="AV15:AX15"/>
    <mergeCell ref="AV16:AX16"/>
    <mergeCell ref="AV18:AX18"/>
    <mergeCell ref="AV17:AX17"/>
    <mergeCell ref="AV5:AX8"/>
    <mergeCell ref="AV9:AX9"/>
    <mergeCell ref="AV12:AX12"/>
    <mergeCell ref="W6:W8"/>
    <mergeCell ref="V5:AA5"/>
    <mergeCell ref="AB5:AF5"/>
    <mergeCell ref="AE6:AE8"/>
    <mergeCell ref="AF6:AF8"/>
    <mergeCell ref="AG6:AG8"/>
  </mergeCells>
  <phoneticPr fontId="9" type="noConversion"/>
  <printOptions horizontalCentered="1" verticalCentered="1"/>
  <pageMargins left="0.39370078740157483" right="0.39370078740157483" top="0.19685039370078741" bottom="0.19685039370078741" header="0" footer="0"/>
  <pageSetup paperSize="9" scale="4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0"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1499</v>
      </c>
    </row>
    <row r="2" spans="1:64" ht="26.25" x14ac:dyDescent="0.4">
      <c r="A2" s="4702" t="s">
        <v>350</v>
      </c>
      <c r="B2" s="4702"/>
      <c r="C2" s="4702"/>
      <c r="D2" s="4702"/>
      <c r="E2" s="4702"/>
      <c r="F2" s="4702"/>
      <c r="G2" s="4702"/>
      <c r="H2" s="4702"/>
      <c r="I2" s="4702"/>
      <c r="J2" s="4702"/>
      <c r="K2" s="4702"/>
      <c r="L2" s="4702"/>
      <c r="M2" s="4702"/>
      <c r="N2" s="4702"/>
      <c r="O2" s="4702"/>
      <c r="P2" s="4702"/>
      <c r="Q2" s="4702"/>
      <c r="R2" s="4702"/>
      <c r="S2" s="4702"/>
      <c r="T2" s="4702"/>
      <c r="U2" s="4702"/>
      <c r="V2" s="4702"/>
      <c r="W2" s="4702"/>
      <c r="X2" s="4702"/>
      <c r="Y2" s="4702"/>
      <c r="Z2" s="4702"/>
      <c r="AA2" s="4702"/>
      <c r="AB2" s="4702"/>
      <c r="AC2" s="4702"/>
      <c r="AD2" s="4702"/>
      <c r="AE2" s="4702"/>
      <c r="AF2" s="4702"/>
      <c r="AG2" s="4702"/>
      <c r="AH2" s="4702"/>
      <c r="AI2" s="4702"/>
      <c r="AJ2" s="4702"/>
      <c r="AK2" s="4702"/>
      <c r="AL2" s="4915"/>
      <c r="AM2" s="4915"/>
      <c r="AN2" s="4915"/>
      <c r="AO2" s="4915"/>
      <c r="AP2" s="4915"/>
      <c r="AQ2" s="4915"/>
      <c r="AR2" s="4915"/>
      <c r="AS2" s="4915"/>
      <c r="AT2" s="4915"/>
      <c r="AU2" s="4915"/>
      <c r="AV2" s="4915"/>
      <c r="AW2" s="4915"/>
      <c r="AX2" s="4915"/>
      <c r="AY2" s="4915"/>
      <c r="AZ2" s="4915"/>
      <c r="BA2" s="4915"/>
      <c r="BB2" s="4915"/>
      <c r="BC2" s="4915"/>
      <c r="BD2" s="4915"/>
      <c r="BE2" s="4915"/>
      <c r="BF2" s="4915"/>
      <c r="BG2" s="4915"/>
      <c r="BH2" s="4915"/>
      <c r="BI2" s="4915"/>
      <c r="BJ2" s="4915"/>
      <c r="BK2" s="4915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4887"/>
      <c r="B4" s="280"/>
      <c r="C4" s="280"/>
      <c r="D4" s="280"/>
      <c r="E4" s="298"/>
      <c r="F4" s="4890" t="s">
        <v>218</v>
      </c>
      <c r="G4" s="4891"/>
      <c r="H4" s="4891"/>
      <c r="I4" s="4891"/>
      <c r="J4" s="4892"/>
      <c r="K4" s="4896" t="s">
        <v>219</v>
      </c>
      <c r="L4" s="4891"/>
      <c r="M4" s="4891"/>
      <c r="N4" s="4891"/>
      <c r="O4" s="4897"/>
      <c r="P4" s="4890" t="s">
        <v>242</v>
      </c>
      <c r="Q4" s="4891"/>
      <c r="R4" s="4891"/>
      <c r="S4" s="4891"/>
      <c r="T4" s="4891"/>
      <c r="U4" s="4891"/>
      <c r="V4" s="4891"/>
      <c r="W4" s="4892"/>
      <c r="X4" s="4932" t="s">
        <v>155</v>
      </c>
      <c r="Y4" s="4933"/>
      <c r="Z4" s="4933"/>
      <c r="AA4" s="4933"/>
      <c r="AB4" s="4933"/>
      <c r="AC4" s="4933"/>
      <c r="AD4" s="4933"/>
      <c r="AE4" s="4933"/>
      <c r="AF4" s="4933"/>
      <c r="AG4" s="4933"/>
      <c r="AH4" s="4933"/>
      <c r="AI4" s="4933"/>
      <c r="AJ4" s="4933"/>
      <c r="AK4" s="4933"/>
      <c r="AL4" s="4933"/>
      <c r="AM4" s="4933"/>
      <c r="AN4" s="4933"/>
      <c r="AO4" s="4933"/>
      <c r="AP4" s="4929" t="s">
        <v>365</v>
      </c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273"/>
      <c r="BJ4" s="273"/>
      <c r="BK4" s="273"/>
      <c r="BL4" s="274"/>
    </row>
    <row r="5" spans="1:64" hidden="1" x14ac:dyDescent="0.2">
      <c r="A5" s="4888"/>
      <c r="B5" s="4900" t="s">
        <v>58</v>
      </c>
      <c r="C5" s="4900"/>
      <c r="D5" s="4900"/>
      <c r="E5" s="4901"/>
      <c r="F5" s="4893"/>
      <c r="G5" s="4894"/>
      <c r="H5" s="4894"/>
      <c r="I5" s="4894"/>
      <c r="J5" s="4895"/>
      <c r="K5" s="4898"/>
      <c r="L5" s="4894"/>
      <c r="M5" s="4894"/>
      <c r="N5" s="4894"/>
      <c r="O5" s="4899"/>
      <c r="P5" s="4893" t="s">
        <v>220</v>
      </c>
      <c r="Q5" s="4894"/>
      <c r="R5" s="4894"/>
      <c r="S5" s="4894"/>
      <c r="T5" s="4894" t="s">
        <v>243</v>
      </c>
      <c r="U5" s="4894"/>
      <c r="V5" s="4894"/>
      <c r="W5" s="4895"/>
      <c r="X5" s="4902" t="s">
        <v>160</v>
      </c>
      <c r="Y5" s="4903"/>
      <c r="Z5" s="4903"/>
      <c r="AA5" s="4903"/>
      <c r="AB5" s="4903"/>
      <c r="AC5" s="644"/>
      <c r="AD5" s="644"/>
      <c r="AE5" s="644"/>
      <c r="AF5" s="644"/>
      <c r="AG5" s="4903" t="s">
        <v>238</v>
      </c>
      <c r="AH5" s="4903"/>
      <c r="AI5" s="4903"/>
      <c r="AJ5" s="4903"/>
      <c r="AK5" s="4903"/>
      <c r="AL5" s="4927" t="s">
        <v>220</v>
      </c>
      <c r="AM5" s="4927"/>
      <c r="AN5" s="4927"/>
      <c r="AO5" s="4927"/>
      <c r="AP5" s="4930"/>
      <c r="AQ5" s="650"/>
      <c r="AR5" s="650"/>
      <c r="AS5" s="650"/>
      <c r="AT5" s="650"/>
      <c r="AU5" s="650"/>
      <c r="AV5" s="650"/>
      <c r="AW5" s="650"/>
      <c r="AX5" s="650"/>
      <c r="AY5" s="650"/>
      <c r="AZ5" s="650"/>
      <c r="BA5" s="650"/>
      <c r="BB5" s="650"/>
      <c r="BC5" s="650"/>
      <c r="BD5" s="650"/>
      <c r="BE5" s="650"/>
      <c r="BF5" s="650"/>
      <c r="BG5" s="650"/>
      <c r="BH5" s="650"/>
      <c r="BI5" s="4927" t="s">
        <v>363</v>
      </c>
      <c r="BJ5" s="4927"/>
      <c r="BK5" s="4927"/>
      <c r="BL5" s="4928"/>
    </row>
    <row r="6" spans="1:64" ht="57.75" hidden="1" customHeight="1" thickBot="1" x14ac:dyDescent="0.25">
      <c r="A6" s="4889"/>
      <c r="B6" s="263" t="s">
        <v>97</v>
      </c>
      <c r="C6" s="263" t="s">
        <v>118</v>
      </c>
      <c r="D6" s="263" t="s">
        <v>98</v>
      </c>
      <c r="E6" s="264" t="s">
        <v>99</v>
      </c>
      <c r="F6" s="262" t="s">
        <v>97</v>
      </c>
      <c r="G6" s="263" t="s">
        <v>118</v>
      </c>
      <c r="H6" s="263" t="s">
        <v>98</v>
      </c>
      <c r="I6" s="263" t="s">
        <v>65</v>
      </c>
      <c r="J6" s="261" t="s">
        <v>99</v>
      </c>
      <c r="K6" s="303" t="s">
        <v>97</v>
      </c>
      <c r="L6" s="263" t="s">
        <v>118</v>
      </c>
      <c r="M6" s="263" t="s">
        <v>98</v>
      </c>
      <c r="N6" s="263" t="s">
        <v>109</v>
      </c>
      <c r="O6" s="264" t="s">
        <v>99</v>
      </c>
      <c r="P6" s="262" t="s">
        <v>97</v>
      </c>
      <c r="Q6" s="263" t="s">
        <v>118</v>
      </c>
      <c r="R6" s="263" t="s">
        <v>98</v>
      </c>
      <c r="S6" s="263" t="s">
        <v>99</v>
      </c>
      <c r="T6" s="263" t="s">
        <v>97</v>
      </c>
      <c r="U6" s="263" t="s">
        <v>118</v>
      </c>
      <c r="V6" s="263" t="s">
        <v>98</v>
      </c>
      <c r="W6" s="261" t="s">
        <v>99</v>
      </c>
      <c r="X6" s="262" t="s">
        <v>97</v>
      </c>
      <c r="Y6" s="263" t="s">
        <v>118</v>
      </c>
      <c r="Z6" s="263" t="s">
        <v>98</v>
      </c>
      <c r="AA6" s="263" t="s">
        <v>159</v>
      </c>
      <c r="AB6" s="263" t="s">
        <v>99</v>
      </c>
      <c r="AC6" s="263"/>
      <c r="AD6" s="263"/>
      <c r="AE6" s="263"/>
      <c r="AF6" s="263"/>
      <c r="AG6" s="263" t="s">
        <v>97</v>
      </c>
      <c r="AH6" s="263" t="s">
        <v>124</v>
      </c>
      <c r="AI6" s="263" t="s">
        <v>98</v>
      </c>
      <c r="AJ6" s="263" t="s">
        <v>116</v>
      </c>
      <c r="AK6" s="263" t="s">
        <v>99</v>
      </c>
      <c r="AL6" s="263" t="s">
        <v>97</v>
      </c>
      <c r="AM6" s="263" t="s">
        <v>118</v>
      </c>
      <c r="AN6" s="263" t="s">
        <v>98</v>
      </c>
      <c r="AO6" s="263" t="s">
        <v>99</v>
      </c>
      <c r="AP6" s="4931"/>
      <c r="AQ6" s="584"/>
      <c r="AR6" s="584"/>
      <c r="AS6" s="584"/>
      <c r="AT6" s="584"/>
      <c r="AU6" s="584"/>
      <c r="AV6" s="584"/>
      <c r="AW6" s="584"/>
      <c r="AX6" s="584"/>
      <c r="AY6" s="584"/>
      <c r="AZ6" s="584"/>
      <c r="BA6" s="584"/>
      <c r="BB6" s="584"/>
      <c r="BC6" s="584"/>
      <c r="BD6" s="584"/>
      <c r="BE6" s="584"/>
      <c r="BF6" s="584"/>
      <c r="BG6" s="584"/>
      <c r="BH6" s="584"/>
      <c r="BI6" s="263" t="s">
        <v>97</v>
      </c>
      <c r="BJ6" s="263" t="s">
        <v>118</v>
      </c>
      <c r="BK6" s="263" t="s">
        <v>98</v>
      </c>
      <c r="BL6" s="261" t="s">
        <v>99</v>
      </c>
    </row>
    <row r="7" spans="1:64" hidden="1" x14ac:dyDescent="0.2">
      <c r="A7" s="292" t="s">
        <v>100</v>
      </c>
      <c r="B7" s="145">
        <v>12.19</v>
      </c>
      <c r="C7" s="278">
        <f>B7/C16*1000</f>
        <v>1.3791308873276085</v>
      </c>
      <c r="D7" s="293">
        <f t="shared" ref="D7:D12" si="0">E7/B7*1000</f>
        <v>40804.91714520099</v>
      </c>
      <c r="E7" s="267">
        <v>497.41194000000002</v>
      </c>
      <c r="F7" s="311">
        <v>8.9149999999999991</v>
      </c>
      <c r="G7" s="278">
        <f>F7/G16*1000</f>
        <v>1.0058784370804137</v>
      </c>
      <c r="H7" s="293">
        <f>J7/F7*1000</f>
        <v>52361.18900729109</v>
      </c>
      <c r="I7" s="276">
        <f>H7/D7*100</f>
        <v>128.32078256884591</v>
      </c>
      <c r="J7" s="297">
        <v>466.8</v>
      </c>
      <c r="K7" s="304">
        <v>7.5220000000000002</v>
      </c>
      <c r="L7" s="278">
        <f>K7/L16*1000</f>
        <v>0.89837451778953537</v>
      </c>
      <c r="M7" s="293">
        <v>65249</v>
      </c>
      <c r="N7" s="276">
        <f>M7/H7*100</f>
        <v>124.61328941730932</v>
      </c>
      <c r="O7" s="267">
        <f>K7*M7/1000</f>
        <v>490.802978</v>
      </c>
      <c r="P7" s="311">
        <v>6.18</v>
      </c>
      <c r="Q7" s="278" t="e">
        <f>P7/Q16*1000</f>
        <v>#REF!</v>
      </c>
      <c r="R7" s="293">
        <v>71300</v>
      </c>
      <c r="S7" s="278">
        <f>P7*R7/1000</f>
        <v>440.63400000000001</v>
      </c>
      <c r="T7" s="278">
        <v>7.98</v>
      </c>
      <c r="U7" s="294">
        <f>T7/$T$16*1000</f>
        <v>0.87046632124352341</v>
      </c>
      <c r="V7" s="275">
        <v>71.441000000000003</v>
      </c>
      <c r="W7" s="297">
        <f>T7*V7</f>
        <v>570.09918000000005</v>
      </c>
      <c r="X7" s="152">
        <v>50</v>
      </c>
      <c r="Y7" s="20">
        <f>X7/Y16*1000</f>
        <v>7.508522172665975</v>
      </c>
      <c r="Z7" s="145">
        <v>75500</v>
      </c>
      <c r="AA7" s="276">
        <f>Z7/R7*100</f>
        <v>105.89060308555401</v>
      </c>
      <c r="AB7" s="145">
        <f>X7*Z7/1000</f>
        <v>3775</v>
      </c>
      <c r="AC7" s="145"/>
      <c r="AD7" s="145"/>
      <c r="AE7" s="145"/>
      <c r="AF7" s="145"/>
      <c r="AG7" s="278" t="e">
        <f>AH16*AH7/1000</f>
        <v>#REF!</v>
      </c>
      <c r="AH7" s="278">
        <v>6.08</v>
      </c>
      <c r="AI7" s="145">
        <f>R7*1.069</f>
        <v>76219.7</v>
      </c>
      <c r="AJ7" s="295">
        <f>AI7/R7*100</f>
        <v>106.89999999999999</v>
      </c>
      <c r="AK7" s="20" t="e">
        <f>AG7*AI7/1000</f>
        <v>#REF!</v>
      </c>
      <c r="AL7" s="278">
        <v>3.1</v>
      </c>
      <c r="AM7" s="278">
        <f>AL7/AM16*1000</f>
        <v>0.52321558169758142</v>
      </c>
      <c r="AN7" s="277">
        <f>AO7/AL7*1000</f>
        <v>72000</v>
      </c>
      <c r="AO7" s="278">
        <v>223.2</v>
      </c>
      <c r="AP7" s="296">
        <f>(BJ7+U7+L7+G7)/4</f>
        <v>0.81842936278323364</v>
      </c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78">
        <v>3.91</v>
      </c>
      <c r="BJ7" s="294">
        <f>BI7/BJ16*1000</f>
        <v>0.4989981750194622</v>
      </c>
      <c r="BK7" s="277">
        <f>BL7/BI7*1000</f>
        <v>71994.88491048594</v>
      </c>
      <c r="BL7" s="297">
        <v>281.5</v>
      </c>
    </row>
    <row r="8" spans="1:64" hidden="1" x14ac:dyDescent="0.2">
      <c r="A8" s="251" t="s">
        <v>101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299">
        <v>1702.42668</v>
      </c>
      <c r="F8" s="266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2">
        <v>1787</v>
      </c>
      <c r="K8" s="305">
        <v>36</v>
      </c>
      <c r="L8" s="23">
        <f>K8/L16*1000</f>
        <v>4.2995855677244448</v>
      </c>
      <c r="M8" s="19">
        <v>52781</v>
      </c>
      <c r="N8" s="6"/>
      <c r="O8" s="299">
        <f>K8*M8/1000</f>
        <v>1900.116</v>
      </c>
      <c r="P8" s="244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6">
        <f t="shared" ref="U8:U13" si="1">T8/$T$16*1000</f>
        <v>5.6853013362421594</v>
      </c>
      <c r="V8" s="57">
        <v>52.529000000000003</v>
      </c>
      <c r="W8" s="281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595"/>
      <c r="AD8" s="595"/>
      <c r="AE8" s="595"/>
      <c r="AF8" s="595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69">
        <f>(BJ8+U8+L8+G8)/4</f>
        <v>5.3903583785855904</v>
      </c>
      <c r="AQ8" s="651"/>
      <c r="AR8" s="651"/>
      <c r="AS8" s="651"/>
      <c r="AT8" s="651"/>
      <c r="AU8" s="651"/>
      <c r="AV8" s="651"/>
      <c r="AW8" s="651"/>
      <c r="AX8" s="651"/>
      <c r="AY8" s="651"/>
      <c r="AZ8" s="651"/>
      <c r="BA8" s="651"/>
      <c r="BB8" s="651"/>
      <c r="BC8" s="651"/>
      <c r="BD8" s="651"/>
      <c r="BE8" s="651"/>
      <c r="BF8" s="651"/>
      <c r="BG8" s="651"/>
      <c r="BH8" s="651"/>
      <c r="BI8" s="23">
        <v>50.97</v>
      </c>
      <c r="BJ8" s="272">
        <f>BI8/BJ16*1000</f>
        <v>6.5048432175810706</v>
      </c>
      <c r="BK8" s="135">
        <f>BL8/BI8*1000</f>
        <v>48828.72277810477</v>
      </c>
      <c r="BL8" s="281">
        <v>2488.8000000000002</v>
      </c>
    </row>
    <row r="9" spans="1:64" hidden="1" x14ac:dyDescent="0.2">
      <c r="A9" s="251" t="s">
        <v>106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299">
        <v>3221.8826899999999</v>
      </c>
      <c r="F9" s="266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1">
        <v>1393.6</v>
      </c>
      <c r="K9" s="306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299">
        <v>959.8</v>
      </c>
      <c r="P9" s="266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6">
        <f t="shared" si="1"/>
        <v>49.316607581128991</v>
      </c>
      <c r="V9" s="57">
        <v>6.774</v>
      </c>
      <c r="W9" s="281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595"/>
      <c r="AD9" s="595"/>
      <c r="AE9" s="595"/>
      <c r="AF9" s="595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69">
        <f>(BJ9+U9+L9+G9)/4</f>
        <v>30.576811943690544</v>
      </c>
      <c r="AQ9" s="651"/>
      <c r="AR9" s="651"/>
      <c r="AS9" s="651"/>
      <c r="AT9" s="651"/>
      <c r="AU9" s="651"/>
      <c r="AV9" s="651"/>
      <c r="AW9" s="651"/>
      <c r="AX9" s="651"/>
      <c r="AY9" s="651"/>
      <c r="AZ9" s="651"/>
      <c r="BA9" s="651"/>
      <c r="BB9" s="651"/>
      <c r="BC9" s="651"/>
      <c r="BD9" s="651"/>
      <c r="BE9" s="651"/>
      <c r="BF9" s="651"/>
      <c r="BG9" s="651"/>
      <c r="BH9" s="651"/>
      <c r="BI9" s="15">
        <v>152</v>
      </c>
      <c r="BJ9" s="146">
        <f>BI9/BJ16*1000</f>
        <v>19.398394527610808</v>
      </c>
      <c r="BK9" s="135">
        <f>BL9/BI9*1000</f>
        <v>6569.0789473684208</v>
      </c>
      <c r="BL9" s="281">
        <v>998.5</v>
      </c>
    </row>
    <row r="10" spans="1:64" hidden="1" x14ac:dyDescent="0.2">
      <c r="A10" s="251" t="s">
        <v>102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299">
        <v>284.79372000000001</v>
      </c>
      <c r="F10" s="266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1">
        <v>340.5</v>
      </c>
      <c r="K10" s="306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299">
        <f>K10*M10/1000</f>
        <v>184.49838</v>
      </c>
      <c r="P10" s="266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6">
        <f t="shared" si="1"/>
        <v>3.4033269702754292</v>
      </c>
      <c r="V10" s="57">
        <v>34.554000000000002</v>
      </c>
      <c r="W10" s="281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595"/>
      <c r="AD10" s="595"/>
      <c r="AE10" s="595"/>
      <c r="AF10" s="595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69">
        <f>(BJ10+U10+L10+G10)/4</f>
        <v>1.8378304705924196</v>
      </c>
      <c r="AQ10" s="651"/>
      <c r="AR10" s="651"/>
      <c r="AS10" s="651"/>
      <c r="AT10" s="651"/>
      <c r="AU10" s="651"/>
      <c r="AV10" s="651"/>
      <c r="AW10" s="651"/>
      <c r="AX10" s="651"/>
      <c r="AY10" s="651"/>
      <c r="AZ10" s="651"/>
      <c r="BA10" s="651"/>
      <c r="BB10" s="651"/>
      <c r="BC10" s="651"/>
      <c r="BD10" s="651"/>
      <c r="BE10" s="651"/>
      <c r="BF10" s="651"/>
      <c r="BG10" s="651"/>
      <c r="BH10" s="651"/>
      <c r="BI10" s="15">
        <v>13.47</v>
      </c>
      <c r="BJ10" s="146">
        <f>BI10/BJ16*1000</f>
        <v>1.719055093992879</v>
      </c>
      <c r="BK10" s="135">
        <f>BL10/BI10*1000</f>
        <v>23786.191536748327</v>
      </c>
      <c r="BL10" s="281">
        <v>320.39999999999998</v>
      </c>
    </row>
    <row r="11" spans="1:64" hidden="1" x14ac:dyDescent="0.2">
      <c r="A11" s="251" t="s">
        <v>103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299">
        <v>135.47566</v>
      </c>
      <c r="F11" s="266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1">
        <v>236.2</v>
      </c>
      <c r="K11" s="306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299">
        <f>K11*M11/1000</f>
        <v>128.99974</v>
      </c>
      <c r="P11" s="266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6">
        <f t="shared" si="1"/>
        <v>2.449959094627761</v>
      </c>
      <c r="V11" s="57">
        <v>20.271999999999998</v>
      </c>
      <c r="W11" s="281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595"/>
      <c r="AD11" s="595"/>
      <c r="AE11" s="595"/>
      <c r="AF11" s="595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69">
        <f>(BJ11+U11+L11+G11)/4</f>
        <v>1.4416154920312136</v>
      </c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651"/>
      <c r="BB11" s="651"/>
      <c r="BC11" s="651"/>
      <c r="BD11" s="651"/>
      <c r="BE11" s="651"/>
      <c r="BF11" s="651"/>
      <c r="BG11" s="651"/>
      <c r="BH11" s="651"/>
      <c r="BI11" s="15">
        <v>9.32</v>
      </c>
      <c r="BJ11" s="146">
        <f>BI11/BJ16*1000</f>
        <v>1.1894278749824523</v>
      </c>
      <c r="BK11" s="135">
        <f>BL11/BI11*1000</f>
        <v>19978.540772532189</v>
      </c>
      <c r="BL11" s="281">
        <v>186.2</v>
      </c>
    </row>
    <row r="12" spans="1:64" hidden="1" x14ac:dyDescent="0.2">
      <c r="A12" s="251" t="s">
        <v>104</v>
      </c>
      <c r="B12" s="4">
        <v>0.05</v>
      </c>
      <c r="C12" s="4"/>
      <c r="D12" s="19">
        <f t="shared" si="0"/>
        <v>44000</v>
      </c>
      <c r="E12" s="299">
        <v>2.2000000000000002</v>
      </c>
      <c r="F12" s="266"/>
      <c r="G12" s="15"/>
      <c r="H12" s="15"/>
      <c r="I12" s="15"/>
      <c r="J12" s="281"/>
      <c r="K12" s="306"/>
      <c r="L12" s="15"/>
      <c r="M12" s="15"/>
      <c r="N12" s="15"/>
      <c r="O12" s="299"/>
      <c r="P12" s="266"/>
      <c r="Q12" s="15"/>
      <c r="R12" s="15"/>
      <c r="S12" s="15"/>
      <c r="T12" s="15"/>
      <c r="U12" s="146"/>
      <c r="V12" s="57"/>
      <c r="W12" s="281"/>
      <c r="X12" s="251"/>
      <c r="Y12" s="3"/>
      <c r="Z12" s="3"/>
      <c r="AA12" s="3"/>
      <c r="AB12" s="4"/>
      <c r="AC12" s="595"/>
      <c r="AD12" s="595"/>
      <c r="AE12" s="595"/>
      <c r="AF12" s="595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  <c r="BE12" s="579"/>
      <c r="BF12" s="579"/>
      <c r="BG12" s="579"/>
      <c r="BH12" s="579"/>
      <c r="BI12" s="15"/>
      <c r="BJ12" s="15"/>
      <c r="BK12" s="135"/>
      <c r="BL12" s="281"/>
    </row>
    <row r="13" spans="1:64" hidden="1" x14ac:dyDescent="0.2">
      <c r="A13" s="251" t="s">
        <v>221</v>
      </c>
      <c r="B13" s="4"/>
      <c r="C13" s="4"/>
      <c r="D13" s="19"/>
      <c r="E13" s="299"/>
      <c r="F13" s="266"/>
      <c r="G13" s="15"/>
      <c r="H13" s="15"/>
      <c r="I13" s="15"/>
      <c r="J13" s="281"/>
      <c r="K13" s="306"/>
      <c r="L13" s="15"/>
      <c r="M13" s="15"/>
      <c r="N13" s="15"/>
      <c r="O13" s="299"/>
      <c r="P13" s="266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6">
        <f t="shared" si="1"/>
        <v>0.109080992637033</v>
      </c>
      <c r="V13" s="57">
        <v>44.253</v>
      </c>
      <c r="W13" s="281">
        <f t="shared" si="2"/>
        <v>44.253</v>
      </c>
      <c r="X13" s="251"/>
      <c r="Y13" s="3"/>
      <c r="Z13" s="3"/>
      <c r="AA13" s="3"/>
      <c r="AB13" s="4"/>
      <c r="AC13" s="595"/>
      <c r="AD13" s="595"/>
      <c r="AE13" s="595"/>
      <c r="AF13" s="595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579"/>
      <c r="AR13" s="579"/>
      <c r="AS13" s="579"/>
      <c r="AT13" s="579"/>
      <c r="AU13" s="579"/>
      <c r="AV13" s="579"/>
      <c r="AW13" s="579"/>
      <c r="AX13" s="579"/>
      <c r="AY13" s="579"/>
      <c r="AZ13" s="579"/>
      <c r="BA13" s="579"/>
      <c r="BB13" s="579"/>
      <c r="BC13" s="579"/>
      <c r="BD13" s="579"/>
      <c r="BE13" s="579"/>
      <c r="BF13" s="579"/>
      <c r="BG13" s="579"/>
      <c r="BH13" s="579"/>
      <c r="BI13" s="15">
        <v>0</v>
      </c>
      <c r="BJ13" s="15">
        <f>BI13/BJ16*1000</f>
        <v>0</v>
      </c>
      <c r="BK13" s="135">
        <v>0</v>
      </c>
      <c r="BL13" s="281"/>
    </row>
    <row r="14" spans="1:64" hidden="1" x14ac:dyDescent="0.2">
      <c r="A14" s="251" t="s">
        <v>105</v>
      </c>
      <c r="B14" s="4"/>
      <c r="C14" s="4"/>
      <c r="D14" s="4"/>
      <c r="E14" s="299">
        <v>45.360750000000003</v>
      </c>
      <c r="F14" s="266"/>
      <c r="G14" s="15"/>
      <c r="H14" s="15"/>
      <c r="I14" s="15"/>
      <c r="J14" s="281">
        <v>85</v>
      </c>
      <c r="K14" s="306"/>
      <c r="L14" s="15"/>
      <c r="M14" s="15"/>
      <c r="N14" s="15"/>
      <c r="O14" s="299">
        <v>132.6</v>
      </c>
      <c r="P14" s="266"/>
      <c r="Q14" s="15"/>
      <c r="R14" s="15"/>
      <c r="S14" s="15"/>
      <c r="T14" s="15"/>
      <c r="U14" s="15"/>
      <c r="V14" s="15"/>
      <c r="W14" s="281">
        <v>115.3</v>
      </c>
      <c r="X14" s="251"/>
      <c r="Y14" s="3"/>
      <c r="Z14" s="3"/>
      <c r="AA14" s="3"/>
      <c r="AB14" s="4">
        <v>110.4</v>
      </c>
      <c r="AC14" s="595"/>
      <c r="AD14" s="595"/>
      <c r="AE14" s="595"/>
      <c r="AF14" s="595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  <c r="BE14" s="579"/>
      <c r="BF14" s="579"/>
      <c r="BG14" s="579"/>
      <c r="BH14" s="579"/>
      <c r="BI14" s="15"/>
      <c r="BJ14" s="15"/>
      <c r="BK14" s="135"/>
      <c r="BL14" s="281">
        <v>133</v>
      </c>
    </row>
    <row r="15" spans="1:64" hidden="1" x14ac:dyDescent="0.2">
      <c r="A15" s="252" t="s">
        <v>87</v>
      </c>
      <c r="B15" s="9"/>
      <c r="C15" s="9"/>
      <c r="D15" s="9"/>
      <c r="E15" s="300">
        <f>SUM(E7:E14)</f>
        <v>5889.5514399999993</v>
      </c>
      <c r="F15" s="313"/>
      <c r="G15" s="13"/>
      <c r="H15" s="13"/>
      <c r="I15" s="13"/>
      <c r="J15" s="282">
        <f>SUM(J7:J14)</f>
        <v>4309.1000000000004</v>
      </c>
      <c r="K15" s="307"/>
      <c r="L15" s="13"/>
      <c r="M15" s="13"/>
      <c r="N15" s="13"/>
      <c r="O15" s="300">
        <f>SUM(O7:O14)</f>
        <v>3796.817098</v>
      </c>
      <c r="P15" s="313"/>
      <c r="Q15" s="13"/>
      <c r="R15" s="13"/>
      <c r="S15" s="13">
        <f>SUM(S7:S14)</f>
        <v>5611.8730000000005</v>
      </c>
      <c r="T15" s="13"/>
      <c r="U15" s="13"/>
      <c r="V15" s="13"/>
      <c r="W15" s="282">
        <f>SUM(W7:W14)</f>
        <v>8063.4507200000007</v>
      </c>
      <c r="X15" s="252"/>
      <c r="Y15" s="8"/>
      <c r="Z15" s="8"/>
      <c r="AA15" s="8"/>
      <c r="AB15" s="9">
        <f>SUM(AB7:AB14)</f>
        <v>6597.94</v>
      </c>
      <c r="AC15" s="644"/>
      <c r="AD15" s="644"/>
      <c r="AE15" s="644"/>
      <c r="AF15" s="644"/>
      <c r="AG15" s="4"/>
      <c r="AH15" s="4"/>
      <c r="AI15" s="4"/>
      <c r="AJ15" s="7"/>
      <c r="AK15" s="10" t="e">
        <f>SUM(AK7:AK14)</f>
        <v>#REF!</v>
      </c>
      <c r="AL15" s="13"/>
      <c r="AM15" s="13"/>
      <c r="AN15" s="134"/>
      <c r="AO15" s="13">
        <f>SUM(AO7:AO14)</f>
        <v>3669.9999999999995</v>
      </c>
      <c r="AP15" s="25"/>
      <c r="AQ15" s="579"/>
      <c r="AR15" s="579"/>
      <c r="AS15" s="579"/>
      <c r="AT15" s="579"/>
      <c r="AU15" s="579"/>
      <c r="AV15" s="579"/>
      <c r="AW15" s="579"/>
      <c r="AX15" s="579"/>
      <c r="AY15" s="579"/>
      <c r="AZ15" s="579"/>
      <c r="BA15" s="579"/>
      <c r="BB15" s="579"/>
      <c r="BC15" s="579"/>
      <c r="BD15" s="579"/>
      <c r="BE15" s="579"/>
      <c r="BF15" s="579"/>
      <c r="BG15" s="579"/>
      <c r="BH15" s="579"/>
      <c r="BI15" s="13"/>
      <c r="BJ15" s="13"/>
      <c r="BK15" s="134"/>
      <c r="BL15" s="282">
        <f>SUM(BL7:BL14)</f>
        <v>4408.4000000000005</v>
      </c>
    </row>
    <row r="16" spans="1:64" ht="25.5" hidden="1" x14ac:dyDescent="0.2">
      <c r="A16" s="283" t="s">
        <v>125</v>
      </c>
      <c r="B16" s="22"/>
      <c r="C16" s="22">
        <f>объемы!C10</f>
        <v>8838.9000000000015</v>
      </c>
      <c r="D16" s="22"/>
      <c r="E16" s="243"/>
      <c r="F16" s="314"/>
      <c r="G16" s="18">
        <f>объемы!E10</f>
        <v>8862.9</v>
      </c>
      <c r="H16" s="58"/>
      <c r="I16" s="58"/>
      <c r="J16" s="245"/>
      <c r="K16" s="308"/>
      <c r="L16" s="59">
        <f>объемы!G10</f>
        <v>8372.9</v>
      </c>
      <c r="M16" s="58"/>
      <c r="N16" s="58"/>
      <c r="O16" s="243"/>
      <c r="P16" s="314"/>
      <c r="Q16" s="58" t="e">
        <f>объемы!#REF!</f>
        <v>#REF!</v>
      </c>
      <c r="R16" s="58"/>
      <c r="S16" s="58"/>
      <c r="T16" s="58">
        <v>9167.5</v>
      </c>
      <c r="U16" s="58"/>
      <c r="V16" s="58"/>
      <c r="W16" s="245"/>
      <c r="X16" s="253"/>
      <c r="Y16" s="22">
        <f>объемы!M10</f>
        <v>6659.1</v>
      </c>
      <c r="Z16" s="22"/>
      <c r="AA16" s="60"/>
      <c r="AB16" s="22"/>
      <c r="AC16" s="648"/>
      <c r="AD16" s="648"/>
      <c r="AE16" s="648"/>
      <c r="AF16" s="648"/>
      <c r="AG16" s="2"/>
      <c r="AH16" s="22" t="e">
        <f>объемы!#REF!</f>
        <v>#REF!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  <c r="BE16" s="579"/>
      <c r="BF16" s="579"/>
      <c r="BG16" s="579"/>
      <c r="BH16" s="579"/>
      <c r="BI16" s="58"/>
      <c r="BJ16" s="58">
        <v>7835.7</v>
      </c>
      <c r="BK16" s="133"/>
      <c r="BL16" s="245"/>
    </row>
    <row r="17" spans="1:64" hidden="1" x14ac:dyDescent="0.2">
      <c r="A17" s="252"/>
      <c r="B17" s="9"/>
      <c r="C17" s="9"/>
      <c r="D17" s="9"/>
      <c r="E17" s="300"/>
      <c r="F17" s="313"/>
      <c r="G17" s="13"/>
      <c r="H17" s="13"/>
      <c r="I17" s="13"/>
      <c r="J17" s="282"/>
      <c r="K17" s="307"/>
      <c r="L17" s="13"/>
      <c r="M17" s="13"/>
      <c r="N17" s="13"/>
      <c r="O17" s="300"/>
      <c r="P17" s="313"/>
      <c r="Q17" s="13"/>
      <c r="R17" s="13"/>
      <c r="S17" s="13"/>
      <c r="T17" s="13"/>
      <c r="U17" s="13"/>
      <c r="V17" s="13"/>
      <c r="W17" s="282"/>
      <c r="X17" s="252"/>
      <c r="Y17" s="8"/>
      <c r="Z17" s="8"/>
      <c r="AA17" s="8"/>
      <c r="AB17" s="9"/>
      <c r="AC17" s="644"/>
      <c r="AD17" s="644"/>
      <c r="AE17" s="644"/>
      <c r="AF17" s="644"/>
      <c r="AG17" s="4"/>
      <c r="AH17" s="4"/>
      <c r="AI17" s="4"/>
      <c r="AJ17" s="7"/>
      <c r="AK17" s="10"/>
      <c r="AL17" s="164"/>
      <c r="AM17" s="164"/>
      <c r="AN17" s="170"/>
      <c r="AO17" s="164"/>
      <c r="AP17" s="25"/>
      <c r="AQ17" s="579"/>
      <c r="AR17" s="579"/>
      <c r="AS17" s="579"/>
      <c r="AT17" s="579"/>
      <c r="AU17" s="579"/>
      <c r="AV17" s="579"/>
      <c r="AW17" s="579"/>
      <c r="AX17" s="579"/>
      <c r="AY17" s="579"/>
      <c r="AZ17" s="579"/>
      <c r="BA17" s="579"/>
      <c r="BB17" s="579"/>
      <c r="BC17" s="579"/>
      <c r="BD17" s="579"/>
      <c r="BE17" s="579"/>
      <c r="BF17" s="579"/>
      <c r="BG17" s="579"/>
      <c r="BH17" s="579"/>
      <c r="BI17" s="164"/>
      <c r="BJ17" s="164"/>
      <c r="BK17" s="170"/>
      <c r="BL17" s="284"/>
    </row>
    <row r="18" spans="1:64" hidden="1" x14ac:dyDescent="0.2">
      <c r="A18" s="251" t="s">
        <v>100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5">
        <v>88.7</v>
      </c>
      <c r="K18" s="309"/>
      <c r="L18" s="24"/>
      <c r="M18" s="24"/>
      <c r="N18" s="24"/>
      <c r="O18" s="317"/>
      <c r="P18" s="318"/>
      <c r="Q18" s="24"/>
      <c r="R18" s="24"/>
      <c r="S18" s="24"/>
      <c r="T18" s="24"/>
      <c r="U18" s="24"/>
      <c r="V18" s="24"/>
      <c r="W18" s="315"/>
      <c r="X18" s="251"/>
      <c r="Y18" s="3"/>
      <c r="Z18" s="3"/>
      <c r="AA18" s="3"/>
      <c r="AB18" s="4"/>
      <c r="AC18" s="595"/>
      <c r="AD18" s="595"/>
      <c r="AE18" s="595"/>
      <c r="AF18" s="595"/>
      <c r="AG18" s="4"/>
      <c r="AH18" s="4"/>
      <c r="AI18" s="4"/>
      <c r="AJ18" s="7"/>
      <c r="AK18" s="4"/>
      <c r="AL18" s="165"/>
      <c r="AM18" s="165"/>
      <c r="AN18" s="171"/>
      <c r="AO18" s="165"/>
      <c r="AP18" s="25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165"/>
      <c r="BJ18" s="165"/>
      <c r="BK18" s="171"/>
      <c r="BL18" s="285"/>
    </row>
    <row r="19" spans="1:64" hidden="1" x14ac:dyDescent="0.2">
      <c r="A19" s="251" t="s">
        <v>101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5">
        <v>387.5</v>
      </c>
      <c r="K19" s="309">
        <v>8.76</v>
      </c>
      <c r="L19" s="24">
        <f>K19/L23*1000</f>
        <v>2.1401348578129578</v>
      </c>
      <c r="M19" s="24">
        <v>52540</v>
      </c>
      <c r="N19" s="24"/>
      <c r="O19" s="317">
        <f>K19*M19/1000</f>
        <v>460.25039999999996</v>
      </c>
      <c r="P19" s="318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5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593"/>
      <c r="AD19" s="593"/>
      <c r="AE19" s="593"/>
      <c r="AF19" s="593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69">
        <f>(BJ19+U19+L19+G19)/4</f>
        <v>2.1283056727349026</v>
      </c>
      <c r="AQ19" s="651"/>
      <c r="AR19" s="651"/>
      <c r="AS19" s="651"/>
      <c r="AT19" s="651"/>
      <c r="AU19" s="651"/>
      <c r="AV19" s="651"/>
      <c r="AW19" s="651"/>
      <c r="AX19" s="651"/>
      <c r="AY19" s="651"/>
      <c r="AZ19" s="651"/>
      <c r="BA19" s="651"/>
      <c r="BB19" s="651"/>
      <c r="BC19" s="651"/>
      <c r="BD19" s="651"/>
      <c r="BE19" s="651"/>
      <c r="BF19" s="651"/>
      <c r="BG19" s="651"/>
      <c r="BH19" s="651"/>
      <c r="BI19" s="24">
        <v>9.75</v>
      </c>
      <c r="BJ19" s="24">
        <f>BI19/BJ23*1000</f>
        <v>2.5649794801641588</v>
      </c>
      <c r="BK19" s="135">
        <v>47190</v>
      </c>
      <c r="BL19" s="315">
        <v>460.1</v>
      </c>
    </row>
    <row r="20" spans="1:64" hidden="1" x14ac:dyDescent="0.2">
      <c r="A20" s="286" t="s">
        <v>108</v>
      </c>
      <c r="B20" s="3"/>
      <c r="C20" s="3"/>
      <c r="D20" s="3"/>
      <c r="E20" s="79"/>
      <c r="F20" s="44"/>
      <c r="G20" s="4"/>
      <c r="H20" s="4"/>
      <c r="I20" s="3"/>
      <c r="J20" s="315"/>
      <c r="K20" s="309"/>
      <c r="L20" s="24"/>
      <c r="M20" s="24"/>
      <c r="N20" s="24"/>
      <c r="O20" s="317"/>
      <c r="P20" s="318"/>
      <c r="Q20" s="24"/>
      <c r="R20" s="24"/>
      <c r="S20" s="24"/>
      <c r="T20" s="24">
        <v>0.17</v>
      </c>
      <c r="U20" s="24"/>
      <c r="V20" s="24"/>
      <c r="W20" s="315">
        <v>2.2000000000000002</v>
      </c>
      <c r="X20" s="251"/>
      <c r="Y20" s="3"/>
      <c r="Z20" s="3"/>
      <c r="AA20" s="3"/>
      <c r="AB20" s="4"/>
      <c r="AC20" s="595"/>
      <c r="AD20" s="595"/>
      <c r="AE20" s="595"/>
      <c r="AF20" s="595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24"/>
      <c r="BJ20" s="24"/>
      <c r="BK20" s="24"/>
      <c r="BL20" s="315"/>
    </row>
    <row r="21" spans="1:64" hidden="1" x14ac:dyDescent="0.2">
      <c r="A21" s="287" t="s">
        <v>105</v>
      </c>
      <c r="B21" s="3"/>
      <c r="C21" s="3"/>
      <c r="D21" s="3"/>
      <c r="E21" s="79"/>
      <c r="F21" s="251"/>
      <c r="G21" s="3"/>
      <c r="H21" s="3"/>
      <c r="I21" s="3"/>
      <c r="J21" s="315">
        <v>2.9</v>
      </c>
      <c r="K21" s="309"/>
      <c r="L21" s="24"/>
      <c r="M21" s="24"/>
      <c r="N21" s="24"/>
      <c r="O21" s="317">
        <v>7.2</v>
      </c>
      <c r="P21" s="318"/>
      <c r="Q21" s="24"/>
      <c r="R21" s="24"/>
      <c r="S21" s="24"/>
      <c r="T21" s="24"/>
      <c r="U21" s="24"/>
      <c r="V21" s="24"/>
      <c r="W21" s="315"/>
      <c r="X21" s="251"/>
      <c r="Y21" s="3"/>
      <c r="Z21" s="3"/>
      <c r="AA21" s="3"/>
      <c r="AB21" s="4">
        <v>8.3000000000000007</v>
      </c>
      <c r="AC21" s="595"/>
      <c r="AD21" s="595"/>
      <c r="AE21" s="595"/>
      <c r="AF21" s="595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24"/>
      <c r="BJ21" s="24"/>
      <c r="BK21" s="24"/>
      <c r="BL21" s="315">
        <v>0.9</v>
      </c>
    </row>
    <row r="22" spans="1:64" hidden="1" x14ac:dyDescent="0.2">
      <c r="A22" s="252" t="s">
        <v>91</v>
      </c>
      <c r="B22" s="8"/>
      <c r="C22" s="8"/>
      <c r="D22" s="8"/>
      <c r="E22" s="301">
        <f>стоки!C19</f>
        <v>481.5</v>
      </c>
      <c r="F22" s="252"/>
      <c r="G22" s="8"/>
      <c r="H22" s="8"/>
      <c r="I22" s="8"/>
      <c r="J22" s="282">
        <f>SUM(J18:J21)</f>
        <v>479.09999999999997</v>
      </c>
      <c r="K22" s="307"/>
      <c r="L22" s="13"/>
      <c r="M22" s="13"/>
      <c r="N22" s="13"/>
      <c r="O22" s="300">
        <f>SUM(O18:O21)</f>
        <v>467.45039999999995</v>
      </c>
      <c r="P22" s="313"/>
      <c r="Q22" s="13"/>
      <c r="R22" s="13"/>
      <c r="S22" s="13"/>
      <c r="T22" s="13"/>
      <c r="U22" s="13"/>
      <c r="V22" s="13"/>
      <c r="W22" s="282">
        <f>W19+W20+W21</f>
        <v>320.7</v>
      </c>
      <c r="X22" s="252"/>
      <c r="Y22" s="8"/>
      <c r="Z22" s="8"/>
      <c r="AA22" s="8"/>
      <c r="AB22" s="10">
        <f>SUM(AB18:AB21)</f>
        <v>591.21199999999999</v>
      </c>
      <c r="AC22" s="645"/>
      <c r="AD22" s="645"/>
      <c r="AE22" s="645"/>
      <c r="AF22" s="645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13"/>
      <c r="BJ22" s="13"/>
      <c r="BK22" s="13"/>
      <c r="BL22" s="288">
        <f>SUM(BL19:BL21)</f>
        <v>461</v>
      </c>
    </row>
    <row r="23" spans="1:64" ht="26.25" hidden="1" thickBot="1" x14ac:dyDescent="0.25">
      <c r="A23" s="289" t="s">
        <v>126</v>
      </c>
      <c r="B23" s="290"/>
      <c r="C23" s="255">
        <f>объемы!C22</f>
        <v>4585.8</v>
      </c>
      <c r="D23" s="255"/>
      <c r="E23" s="302"/>
      <c r="F23" s="254"/>
      <c r="G23" s="255">
        <f>объемы!E22</f>
        <v>4415.2</v>
      </c>
      <c r="H23" s="255"/>
      <c r="I23" s="255"/>
      <c r="J23" s="316"/>
      <c r="K23" s="310"/>
      <c r="L23" s="255">
        <f>объемы!G22</f>
        <v>4093.2000000000003</v>
      </c>
      <c r="M23" s="255"/>
      <c r="N23" s="255"/>
      <c r="O23" s="302"/>
      <c r="P23" s="254"/>
      <c r="Q23" s="255" t="e">
        <f>объемы!#REF!</f>
        <v>#REF!</v>
      </c>
      <c r="R23" s="255"/>
      <c r="S23" s="255"/>
      <c r="T23" s="255">
        <v>4006.6</v>
      </c>
      <c r="U23" s="255"/>
      <c r="V23" s="255"/>
      <c r="W23" s="316"/>
      <c r="X23" s="254"/>
      <c r="Y23" s="255">
        <f>объемы!M22</f>
        <v>3695</v>
      </c>
      <c r="Z23" s="255"/>
      <c r="AA23" s="255"/>
      <c r="AB23" s="255"/>
      <c r="AC23" s="255"/>
      <c r="AD23" s="255"/>
      <c r="AE23" s="255"/>
      <c r="AF23" s="255"/>
      <c r="AG23" s="255"/>
      <c r="AH23" s="255" t="e">
        <f>объемы!#REF!</f>
        <v>#REF!</v>
      </c>
      <c r="AI23" s="255"/>
      <c r="AJ23" s="255"/>
      <c r="AK23" s="255"/>
      <c r="AL23" s="255"/>
      <c r="AM23" s="255">
        <v>2894.1</v>
      </c>
      <c r="AN23" s="255"/>
      <c r="AO23" s="255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55"/>
      <c r="BJ23" s="255">
        <f>3801.2</f>
        <v>3801.2</v>
      </c>
      <c r="BK23" s="255"/>
      <c r="BL23" s="316"/>
    </row>
    <row r="24" spans="1:64" hidden="1" x14ac:dyDescent="0.2"/>
    <row r="25" spans="1:64" ht="13.5" thickBot="1" x14ac:dyDescent="0.25">
      <c r="AH25" t="s">
        <v>241</v>
      </c>
    </row>
    <row r="26" spans="1:64" ht="21" thickBot="1" x14ac:dyDescent="0.25">
      <c r="A26" s="4924" t="s">
        <v>527</v>
      </c>
      <c r="B26" s="404"/>
      <c r="C26" s="404"/>
      <c r="D26" s="404"/>
      <c r="E26" s="404"/>
      <c r="F26" s="4934" t="s">
        <v>229</v>
      </c>
      <c r="G26" s="4935"/>
      <c r="H26" s="4935"/>
      <c r="I26" s="4935"/>
      <c r="J26" s="4935"/>
      <c r="K26" s="4935"/>
      <c r="L26" s="4935"/>
      <c r="M26" s="4935"/>
      <c r="N26" s="4935"/>
      <c r="O26" s="4935"/>
      <c r="P26" s="4935"/>
      <c r="Q26" s="4935"/>
      <c r="R26" s="4935"/>
      <c r="S26" s="4935"/>
      <c r="T26" s="4935"/>
      <c r="U26" s="4935"/>
      <c r="V26" s="4935"/>
      <c r="W26" s="4935"/>
      <c r="X26" s="4935"/>
      <c r="Y26" s="4935"/>
      <c r="Z26" s="4935"/>
      <c r="AA26" s="4935"/>
      <c r="AB26" s="4935"/>
      <c r="AC26" s="4935"/>
      <c r="AD26" s="4935"/>
      <c r="AE26" s="4935"/>
      <c r="AF26" s="4935"/>
      <c r="AG26" s="4938" t="s">
        <v>364</v>
      </c>
      <c r="AH26" s="4939"/>
      <c r="AI26" s="4939"/>
      <c r="AJ26" s="4939"/>
      <c r="AK26" s="4939"/>
      <c r="AL26" s="4939"/>
      <c r="AM26" s="4939"/>
      <c r="AN26" s="4939"/>
      <c r="AO26" s="4939"/>
      <c r="AP26" s="4939"/>
      <c r="AQ26" s="4939"/>
      <c r="AR26" s="4939"/>
      <c r="AS26" s="4939"/>
      <c r="AT26" s="4939"/>
      <c r="AU26" s="4939"/>
      <c r="AV26" s="4939"/>
      <c r="AW26" s="4939"/>
      <c r="AX26" s="4939"/>
      <c r="AY26" s="4937" t="s">
        <v>818</v>
      </c>
      <c r="AZ26" s="4937"/>
      <c r="BA26" s="4937"/>
      <c r="BB26" s="4937"/>
      <c r="BC26" s="4937"/>
      <c r="BD26" s="4937"/>
      <c r="BE26" s="4937"/>
      <c r="BF26" s="4937"/>
      <c r="BG26" s="4937"/>
      <c r="BH26" s="4937"/>
      <c r="BI26" s="4916" t="s">
        <v>237</v>
      </c>
      <c r="BJ26" s="4917"/>
      <c r="BK26" s="4918"/>
      <c r="BL26" s="28"/>
    </row>
    <row r="27" spans="1:64" ht="16.5" thickBot="1" x14ac:dyDescent="0.25">
      <c r="A27" s="4925"/>
      <c r="B27" s="405"/>
      <c r="C27" s="405"/>
      <c r="D27" s="405"/>
      <c r="E27" s="405"/>
      <c r="F27" s="4922" t="s">
        <v>160</v>
      </c>
      <c r="G27" s="4923"/>
      <c r="H27" s="4923"/>
      <c r="I27" s="4923"/>
      <c r="J27" s="4923"/>
      <c r="K27" s="4914" t="s">
        <v>120</v>
      </c>
      <c r="L27" s="4886"/>
      <c r="M27" s="4886"/>
      <c r="N27" s="4886"/>
      <c r="O27" s="4886"/>
      <c r="P27" s="4885" t="s">
        <v>376</v>
      </c>
      <c r="Q27" s="4886"/>
      <c r="R27" s="4886"/>
      <c r="S27" s="4886"/>
      <c r="T27" s="4885" t="s">
        <v>378</v>
      </c>
      <c r="U27" s="4886"/>
      <c r="V27" s="4886"/>
      <c r="W27" s="4886"/>
      <c r="X27" s="4886"/>
      <c r="Y27" s="4886"/>
      <c r="Z27" s="673"/>
      <c r="AA27" s="673"/>
      <c r="AB27" s="673"/>
      <c r="AC27" s="4885" t="s">
        <v>817</v>
      </c>
      <c r="AD27" s="4936"/>
      <c r="AE27" s="4936"/>
      <c r="AF27" s="4936"/>
      <c r="AG27" s="4913" t="s">
        <v>379</v>
      </c>
      <c r="AH27" s="4886"/>
      <c r="AI27" s="4886"/>
      <c r="AJ27" s="4886"/>
      <c r="AK27" s="4886"/>
      <c r="AL27" s="4914" t="s">
        <v>120</v>
      </c>
      <c r="AM27" s="4886"/>
      <c r="AN27" s="4886"/>
      <c r="AO27" s="4886"/>
      <c r="AP27" s="4886"/>
      <c r="AQ27" s="4885" t="s">
        <v>376</v>
      </c>
      <c r="AR27" s="4886"/>
      <c r="AS27" s="4886"/>
      <c r="AT27" s="4886"/>
      <c r="AU27" s="4885" t="s">
        <v>378</v>
      </c>
      <c r="AV27" s="4886"/>
      <c r="AW27" s="4886"/>
      <c r="AX27" s="4886"/>
      <c r="AY27" s="4913" t="s">
        <v>379</v>
      </c>
      <c r="AZ27" s="4886"/>
      <c r="BA27" s="4886"/>
      <c r="BB27" s="4886"/>
      <c r="BC27" s="4886"/>
      <c r="BD27" s="4914" t="s">
        <v>120</v>
      </c>
      <c r="BE27" s="4886"/>
      <c r="BF27" s="4886"/>
      <c r="BG27" s="4886"/>
      <c r="BH27" s="4886"/>
      <c r="BI27" s="4907"/>
      <c r="BJ27" s="4908"/>
      <c r="BK27" s="4909"/>
      <c r="BL27" s="28"/>
    </row>
    <row r="28" spans="1:64" ht="63.75" thickBot="1" x14ac:dyDescent="0.25">
      <c r="A28" s="4926"/>
      <c r="B28" s="406"/>
      <c r="C28" s="406"/>
      <c r="D28" s="406"/>
      <c r="E28" s="406"/>
      <c r="F28" s="674" t="s">
        <v>97</v>
      </c>
      <c r="G28" s="674" t="s">
        <v>118</v>
      </c>
      <c r="H28" s="674" t="s">
        <v>98</v>
      </c>
      <c r="I28" s="674" t="s">
        <v>159</v>
      </c>
      <c r="J28" s="674" t="s">
        <v>99</v>
      </c>
      <c r="K28" s="675" t="s">
        <v>97</v>
      </c>
      <c r="L28" s="675" t="s">
        <v>124</v>
      </c>
      <c r="M28" s="675" t="s">
        <v>98</v>
      </c>
      <c r="N28" s="675" t="s">
        <v>116</v>
      </c>
      <c r="O28" s="675" t="s">
        <v>99</v>
      </c>
      <c r="P28" s="676" t="s">
        <v>97</v>
      </c>
      <c r="Q28" s="676" t="s">
        <v>124</v>
      </c>
      <c r="R28" s="676" t="s">
        <v>98</v>
      </c>
      <c r="S28" s="676" t="s">
        <v>99</v>
      </c>
      <c r="T28" s="676" t="s">
        <v>97</v>
      </c>
      <c r="U28" s="676" t="s">
        <v>124</v>
      </c>
      <c r="V28" s="676" t="s">
        <v>98</v>
      </c>
      <c r="W28" s="676" t="s">
        <v>99</v>
      </c>
      <c r="X28" s="676" t="s">
        <v>116</v>
      </c>
      <c r="Y28" s="676" t="s">
        <v>99</v>
      </c>
      <c r="Z28" s="677"/>
      <c r="AA28" s="677"/>
      <c r="AB28" s="677"/>
      <c r="AC28" s="676" t="s">
        <v>97</v>
      </c>
      <c r="AD28" s="676" t="s">
        <v>124</v>
      </c>
      <c r="AE28" s="676" t="s">
        <v>98</v>
      </c>
      <c r="AF28" s="676" t="s">
        <v>99</v>
      </c>
      <c r="AG28" s="678" t="s">
        <v>97</v>
      </c>
      <c r="AH28" s="678" t="s">
        <v>118</v>
      </c>
      <c r="AI28" s="678" t="s">
        <v>98</v>
      </c>
      <c r="AJ28" s="678" t="s">
        <v>821</v>
      </c>
      <c r="AK28" s="678" t="s">
        <v>99</v>
      </c>
      <c r="AL28" s="675" t="s">
        <v>97</v>
      </c>
      <c r="AM28" s="675" t="s">
        <v>124</v>
      </c>
      <c r="AN28" s="675" t="s">
        <v>98</v>
      </c>
      <c r="AO28" s="675" t="s">
        <v>821</v>
      </c>
      <c r="AP28" s="675" t="s">
        <v>99</v>
      </c>
      <c r="AQ28" s="676" t="s">
        <v>97</v>
      </c>
      <c r="AR28" s="676" t="s">
        <v>124</v>
      </c>
      <c r="AS28" s="676" t="s">
        <v>98</v>
      </c>
      <c r="AT28" s="676" t="s">
        <v>99</v>
      </c>
      <c r="AU28" s="676" t="s">
        <v>97</v>
      </c>
      <c r="AV28" s="676" t="s">
        <v>124</v>
      </c>
      <c r="AW28" s="676" t="s">
        <v>98</v>
      </c>
      <c r="AX28" s="676" t="s">
        <v>99</v>
      </c>
      <c r="AY28" s="678" t="s">
        <v>97</v>
      </c>
      <c r="AZ28" s="678" t="s">
        <v>124</v>
      </c>
      <c r="BA28" s="678" t="s">
        <v>98</v>
      </c>
      <c r="BB28" s="678" t="s">
        <v>821</v>
      </c>
      <c r="BC28" s="678" t="s">
        <v>99</v>
      </c>
      <c r="BD28" s="675" t="s">
        <v>97</v>
      </c>
      <c r="BE28" s="675" t="s">
        <v>124</v>
      </c>
      <c r="BF28" s="675" t="s">
        <v>98</v>
      </c>
      <c r="BG28" s="675" t="s">
        <v>821</v>
      </c>
      <c r="BH28" s="675" t="s">
        <v>99</v>
      </c>
      <c r="BI28" s="4919"/>
      <c r="BJ28" s="4920"/>
      <c r="BK28" s="4921"/>
      <c r="BL28" s="319"/>
    </row>
    <row r="29" spans="1:64" ht="36.75" customHeight="1" x14ac:dyDescent="0.2">
      <c r="A29" s="652" t="s">
        <v>100</v>
      </c>
      <c r="B29" s="407"/>
      <c r="C29" s="407"/>
      <c r="D29" s="407"/>
      <c r="E29" s="407"/>
      <c r="F29" s="658">
        <v>5.6</v>
      </c>
      <c r="G29" s="659">
        <f>F29/G40*1000</f>
        <v>1.1258544431041415</v>
      </c>
      <c r="H29" s="660">
        <v>83160</v>
      </c>
      <c r="I29" s="661" t="e">
        <f>H29/#REF!*100</f>
        <v>#REF!</v>
      </c>
      <c r="J29" s="662">
        <f>F29*H29/1000</f>
        <v>465.69599999999997</v>
      </c>
      <c r="K29" s="408" t="e">
        <f>L40*L29/1000</f>
        <v>#REF!</v>
      </c>
      <c r="L29" s="409">
        <f>AP7+AP8</f>
        <v>6.2087877413688242</v>
      </c>
      <c r="M29" s="410">
        <f>AN7*1.021</f>
        <v>73512</v>
      </c>
      <c r="N29" s="411" t="e">
        <f>M29/#REF!*100</f>
        <v>#REF!</v>
      </c>
      <c r="O29" s="412" t="e">
        <f>K29*M29/1000</f>
        <v>#REF!</v>
      </c>
      <c r="P29" s="413">
        <v>1.34</v>
      </c>
      <c r="Q29" s="414">
        <f>P29/Q40*1000</f>
        <v>0.38357764257597332</v>
      </c>
      <c r="R29" s="415">
        <v>72500</v>
      </c>
      <c r="S29" s="416">
        <f>R29*P29/1000</f>
        <v>97.15</v>
      </c>
      <c r="T29" s="413">
        <v>2.74</v>
      </c>
      <c r="U29" s="414">
        <f>SUM(T29/U40*1000)</f>
        <v>0.53121364870104693</v>
      </c>
      <c r="V29" s="415">
        <v>72760</v>
      </c>
      <c r="W29" s="416">
        <f>V29*T29/1000</f>
        <v>199.36240000000004</v>
      </c>
      <c r="X29" s="417" t="e">
        <f>W29/#REF!*100</f>
        <v>#REF!</v>
      </c>
      <c r="Y29" s="416">
        <f>U29*W29/1000</f>
        <v>0.10590402791779761</v>
      </c>
      <c r="Z29" s="407"/>
      <c r="AA29" s="407"/>
      <c r="AB29" s="407"/>
      <c r="AC29" s="413">
        <v>3.03</v>
      </c>
      <c r="AD29" s="414">
        <f>SUM(AC29/AD40*1000)</f>
        <v>0.43734934541937898</v>
      </c>
      <c r="AE29" s="415">
        <v>72706.600000000006</v>
      </c>
      <c r="AF29" s="416">
        <f>AE29*AC29/1000</f>
        <v>220.30099799999999</v>
      </c>
      <c r="AG29" s="418">
        <v>39.299999999999997</v>
      </c>
      <c r="AH29" s="419">
        <f>AG29/AH40*1000</f>
        <v>6.8301499852274103</v>
      </c>
      <c r="AI29" s="420">
        <f>AK29/AG29*1000</f>
        <v>74870.229007633592</v>
      </c>
      <c r="AJ29" s="421">
        <f>AI29/BK7</f>
        <v>1.0399381720065624</v>
      </c>
      <c r="AK29" s="422">
        <v>2942.4</v>
      </c>
      <c r="AL29" s="423">
        <f>AM40*AM29/1000</f>
        <v>34.52949005697117</v>
      </c>
      <c r="AM29" s="409">
        <f>AP8+AP7</f>
        <v>6.2087877413688242</v>
      </c>
      <c r="AN29" s="410">
        <f>M53</f>
        <v>77526</v>
      </c>
      <c r="AO29" s="424">
        <f>AN29/BK7</f>
        <v>1.0768265008880993</v>
      </c>
      <c r="AP29" s="412">
        <f>AL29*AN29/1000</f>
        <v>2676.9332461567469</v>
      </c>
      <c r="AQ29" s="413">
        <v>0.61499999999999999</v>
      </c>
      <c r="AR29" s="414">
        <f>AQ29/AR40*1000</f>
        <v>0.18261233627987492</v>
      </c>
      <c r="AS29" s="415">
        <v>73000</v>
      </c>
      <c r="AT29" s="416">
        <f t="shared" ref="AT29:AT35" si="3">AS29*AQ29/1000</f>
        <v>44.895000000000003</v>
      </c>
      <c r="AU29" s="413"/>
      <c r="AV29" s="414" t="e">
        <f>SUM(AU29/AV40*1000)</f>
        <v>#DIV/0!</v>
      </c>
      <c r="AW29" s="415"/>
      <c r="AX29" s="416">
        <f>AW29*AU29/1000</f>
        <v>0</v>
      </c>
      <c r="AY29" s="418">
        <v>3.03</v>
      </c>
      <c r="AZ29" s="419">
        <f>AY29/AZ40*1000</f>
        <v>0.52623014110783073</v>
      </c>
      <c r="BA29" s="420">
        <f>SUM(AN29*1.1)</f>
        <v>85278.6</v>
      </c>
      <c r="BB29" s="421">
        <f>BA29/AN29</f>
        <v>1.1000000000000001</v>
      </c>
      <c r="BC29" s="422">
        <f>SUM(AY29*BA29)/1000</f>
        <v>258.394158</v>
      </c>
      <c r="BD29" s="423">
        <f t="shared" ref="BD29:BD35" si="4">BE29*$BE$40/1000</f>
        <v>2.4729118387436664</v>
      </c>
      <c r="BE29" s="409">
        <f>AD29</f>
        <v>0.43734934541937898</v>
      </c>
      <c r="BF29" s="410">
        <f>M62</f>
        <v>79862</v>
      </c>
      <c r="BG29" s="424">
        <f>BF29/AN29</f>
        <v>1.0301318267419963</v>
      </c>
      <c r="BH29" s="412">
        <f>BD29*BF29/1000</f>
        <v>197.4916852657467</v>
      </c>
      <c r="BI29" s="4904" t="s">
        <v>889</v>
      </c>
      <c r="BJ29" s="4905"/>
      <c r="BK29" s="4906"/>
      <c r="BL29" s="320"/>
    </row>
    <row r="30" spans="1:64" ht="36.75" customHeight="1" x14ac:dyDescent="0.2">
      <c r="A30" s="653" t="s">
        <v>101</v>
      </c>
      <c r="B30" s="407"/>
      <c r="C30" s="407"/>
      <c r="D30" s="407"/>
      <c r="E30" s="407"/>
      <c r="F30" s="663">
        <v>36.299999999999997</v>
      </c>
      <c r="G30" s="664"/>
      <c r="H30" s="665">
        <v>64900</v>
      </c>
      <c r="I30" s="666"/>
      <c r="J30" s="667">
        <f>F30*H30/1000</f>
        <v>2355.87</v>
      </c>
      <c r="K30" s="399"/>
      <c r="L30" s="425"/>
      <c r="M30" s="400"/>
      <c r="N30" s="426"/>
      <c r="O30" s="427"/>
      <c r="P30" s="428">
        <v>20.079999999999998</v>
      </c>
      <c r="Q30" s="429">
        <f>SUM(P30/Q40*1000)</f>
        <v>5.7479395991981663</v>
      </c>
      <c r="R30" s="402">
        <v>50390</v>
      </c>
      <c r="S30" s="430">
        <f>R30*P30/1000</f>
        <v>1011.8312</v>
      </c>
      <c r="T30" s="428">
        <v>32.03</v>
      </c>
      <c r="U30" s="429">
        <f>SUM(T30/U40*1000)</f>
        <v>6.2097712291585889</v>
      </c>
      <c r="V30" s="402">
        <v>51390</v>
      </c>
      <c r="W30" s="430">
        <f>V30*T30/1000</f>
        <v>1646.0217</v>
      </c>
      <c r="X30" s="431"/>
      <c r="Y30" s="430"/>
      <c r="Z30" s="407"/>
      <c r="AA30" s="407"/>
      <c r="AB30" s="407"/>
      <c r="AC30" s="428">
        <v>36.33</v>
      </c>
      <c r="AD30" s="429">
        <f>SUM(AC30/AD40*1000)</f>
        <v>5.2438619534937425</v>
      </c>
      <c r="AE30" s="402">
        <v>51794.06</v>
      </c>
      <c r="AF30" s="430">
        <f>AE30*AC30/1000</f>
        <v>1881.6781997999999</v>
      </c>
      <c r="AG30" s="432">
        <v>0</v>
      </c>
      <c r="AH30" s="433"/>
      <c r="AI30" s="434">
        <v>0</v>
      </c>
      <c r="AJ30" s="435"/>
      <c r="AK30" s="436">
        <v>0</v>
      </c>
      <c r="AL30" s="403"/>
      <c r="AM30" s="425"/>
      <c r="AN30" s="400"/>
      <c r="AO30" s="437">
        <f>AN30/BK8</f>
        <v>0</v>
      </c>
      <c r="AP30" s="427"/>
      <c r="AQ30" s="428">
        <v>11.95</v>
      </c>
      <c r="AR30" s="429">
        <f>SUM(AQ30/AR40*1000)</f>
        <v>3.5483210057634231</v>
      </c>
      <c r="AS30" s="402">
        <v>52763.7</v>
      </c>
      <c r="AT30" s="430">
        <f t="shared" si="3"/>
        <v>630.52621499999998</v>
      </c>
      <c r="AU30" s="428"/>
      <c r="AV30" s="429" t="e">
        <f>SUM(AU30/AV40*1000)</f>
        <v>#DIV/0!</v>
      </c>
      <c r="AW30" s="402"/>
      <c r="AX30" s="430">
        <f>AW30*AU30/1000</f>
        <v>0</v>
      </c>
      <c r="AY30" s="432">
        <v>36.33</v>
      </c>
      <c r="AZ30" s="433">
        <f>AY30/AZ40*1000</f>
        <v>6.30955149387706</v>
      </c>
      <c r="BA30" s="420">
        <f>SUM(BA42)</f>
        <v>56285.032518000007</v>
      </c>
      <c r="BB30" s="421" t="e">
        <f t="shared" ref="BB30:BB33" si="5">BA30/AN30</f>
        <v>#DIV/0!</v>
      </c>
      <c r="BC30" s="422">
        <f t="shared" ref="BC30:BC33" si="6">SUM(AY30*BA30)/1000</f>
        <v>2044.8352313789401</v>
      </c>
      <c r="BD30" s="423">
        <f t="shared" si="4"/>
        <v>29.650457789292879</v>
      </c>
      <c r="BE30" s="409">
        <f t="shared" ref="BE30:BE33" si="7">AD30</f>
        <v>5.2438619534937425</v>
      </c>
      <c r="BF30" s="400">
        <f>M61</f>
        <v>43766.393750000003</v>
      </c>
      <c r="BG30" s="424" t="e">
        <f t="shared" ref="BG30:BG33" si="8">BF30/AN30</f>
        <v>#DIV/0!</v>
      </c>
      <c r="BH30" s="412">
        <f t="shared" ref="BH30:BH35" si="9">BD30*BF30/1000</f>
        <v>1297.6936104739466</v>
      </c>
      <c r="BI30" s="4907"/>
      <c r="BJ30" s="4908"/>
      <c r="BK30" s="4909"/>
      <c r="BL30" s="320"/>
    </row>
    <row r="31" spans="1:64" ht="36.75" customHeight="1" x14ac:dyDescent="0.2">
      <c r="A31" s="653" t="s">
        <v>106</v>
      </c>
      <c r="B31" s="407"/>
      <c r="C31" s="407"/>
      <c r="D31" s="407"/>
      <c r="E31" s="407"/>
      <c r="F31" s="663">
        <v>314.7</v>
      </c>
      <c r="G31" s="664">
        <f>F31/G40*1000</f>
        <v>63.268998793727384</v>
      </c>
      <c r="H31" s="665">
        <v>6949</v>
      </c>
      <c r="I31" s="666" t="e">
        <f>H31/#REF!*100</f>
        <v>#REF!</v>
      </c>
      <c r="J31" s="667">
        <f>F31*H31/1000</f>
        <v>2186.8502999999996</v>
      </c>
      <c r="K31" s="438" t="e">
        <f>L40*L31/1000</f>
        <v>#REF!</v>
      </c>
      <c r="L31" s="439">
        <v>30.728000000000002</v>
      </c>
      <c r="M31" s="400">
        <f>AN9*1.021</f>
        <v>6720.2337158285518</v>
      </c>
      <c r="N31" s="426" t="e">
        <f>M31/#REF!*100</f>
        <v>#REF!</v>
      </c>
      <c r="O31" s="427" t="e">
        <f>K31*M31/1000</f>
        <v>#REF!</v>
      </c>
      <c r="P31" s="428">
        <v>135.9</v>
      </c>
      <c r="Q31" s="429">
        <f>SUM(P31/Q40*1000)</f>
        <v>38.901643004533412</v>
      </c>
      <c r="R31" s="402">
        <v>4730</v>
      </c>
      <c r="S31" s="430">
        <f>R31*P31/1000</f>
        <v>642.80700000000002</v>
      </c>
      <c r="T31" s="428">
        <v>235.8</v>
      </c>
      <c r="U31" s="429">
        <f>SUM(T31/U40*1000)</f>
        <v>45.715393563396667</v>
      </c>
      <c r="V31" s="402">
        <v>4550</v>
      </c>
      <c r="W31" s="430">
        <f>V31*T31/1000</f>
        <v>1072.8900000000001</v>
      </c>
      <c r="X31" s="431" t="e">
        <f>W31/#REF!*100</f>
        <v>#REF!</v>
      </c>
      <c r="Y31" s="430">
        <f>U31*W31/1000</f>
        <v>49.04758860023265</v>
      </c>
      <c r="Z31" s="407"/>
      <c r="AA31" s="407"/>
      <c r="AB31" s="407"/>
      <c r="AC31" s="428">
        <v>255.75</v>
      </c>
      <c r="AD31" s="429">
        <f>SUM(AC31/AD40*1000)</f>
        <v>36.91488286831887</v>
      </c>
      <c r="AE31" s="402">
        <v>4532.9799999999996</v>
      </c>
      <c r="AF31" s="430">
        <f>AE31*AC31/1000</f>
        <v>1159.3096349999998</v>
      </c>
      <c r="AG31" s="432">
        <v>199.3</v>
      </c>
      <c r="AH31" s="433">
        <f>AG31/AH40*1000</f>
        <v>34.637376388188883</v>
      </c>
      <c r="AI31" s="434">
        <f>AK31/AG31*1000</f>
        <v>5302.0572002007029</v>
      </c>
      <c r="AJ31" s="440">
        <f>AI31/BK9</f>
        <v>0.80712337949975654</v>
      </c>
      <c r="AK31" s="436">
        <v>1056.7</v>
      </c>
      <c r="AL31" s="441">
        <f>AM40*AM31/1000</f>
        <v>170.04957617552117</v>
      </c>
      <c r="AM31" s="439">
        <f>AP9</f>
        <v>30.576811943690544</v>
      </c>
      <c r="AN31" s="400">
        <f>M56</f>
        <v>4544.99892</v>
      </c>
      <c r="AO31" s="437">
        <f>AN31/BK9</f>
        <v>0.69187765231847775</v>
      </c>
      <c r="AP31" s="427">
        <f>AL31*AN31/1000</f>
        <v>772.87514006420145</v>
      </c>
      <c r="AQ31" s="428">
        <v>99.2</v>
      </c>
      <c r="AR31" s="429">
        <f>SUM(AQ31/AR40*1000)</f>
        <v>29.455518307257876</v>
      </c>
      <c r="AS31" s="402">
        <v>10766.24</v>
      </c>
      <c r="AT31" s="430">
        <f t="shared" si="3"/>
        <v>1068.0110079999999</v>
      </c>
      <c r="AU31" s="428"/>
      <c r="AV31" s="429" t="e">
        <f>SUM(AU31/AV40*1000)</f>
        <v>#DIV/0!</v>
      </c>
      <c r="AW31" s="402"/>
      <c r="AX31" s="430">
        <f>AW31*AU31/1000</f>
        <v>0</v>
      </c>
      <c r="AY31" s="432">
        <v>255.75</v>
      </c>
      <c r="AZ31" s="433">
        <f>AY31/AZ40*1000</f>
        <v>44.416950029151067</v>
      </c>
      <c r="BA31" s="420">
        <v>17200</v>
      </c>
      <c r="BB31" s="421">
        <f t="shared" si="5"/>
        <v>3.7843793371022407</v>
      </c>
      <c r="BC31" s="422">
        <f t="shared" si="6"/>
        <v>4398.8999999999996</v>
      </c>
      <c r="BD31" s="423">
        <f t="shared" si="4"/>
        <v>208.72844975534414</v>
      </c>
      <c r="BE31" s="409">
        <f t="shared" si="7"/>
        <v>36.91488286831887</v>
      </c>
      <c r="BF31" s="400">
        <f>M65</f>
        <v>16644.07</v>
      </c>
      <c r="BG31" s="424">
        <f t="shared" si="8"/>
        <v>3.6620624763536798</v>
      </c>
      <c r="BH31" s="412">
        <f t="shared" si="9"/>
        <v>3474.0909287194308</v>
      </c>
      <c r="BI31" s="4907"/>
      <c r="BJ31" s="4908"/>
      <c r="BK31" s="4909"/>
      <c r="BL31" s="320"/>
    </row>
    <row r="32" spans="1:64" ht="36.75" customHeight="1" x14ac:dyDescent="0.2">
      <c r="A32" s="653" t="s">
        <v>102</v>
      </c>
      <c r="B32" s="407"/>
      <c r="C32" s="407"/>
      <c r="D32" s="407"/>
      <c r="E32" s="407"/>
      <c r="F32" s="663">
        <v>21.7</v>
      </c>
      <c r="G32" s="664">
        <f>F32/G40*1000</f>
        <v>4.3626859670285478</v>
      </c>
      <c r="H32" s="665">
        <v>36346</v>
      </c>
      <c r="I32" s="666" t="e">
        <f>H32/#REF!*100</f>
        <v>#REF!</v>
      </c>
      <c r="J32" s="667">
        <f>F32*H32/1000</f>
        <v>788.70819999999992</v>
      </c>
      <c r="K32" s="438" t="e">
        <f>L32*L40/1000</f>
        <v>#REF!</v>
      </c>
      <c r="L32" s="439">
        <v>1.746</v>
      </c>
      <c r="M32" s="400">
        <f>AN10*1.021</f>
        <v>33239.788029925192</v>
      </c>
      <c r="N32" s="426" t="e">
        <f>M32/#REF!*100</f>
        <v>#REF!</v>
      </c>
      <c r="O32" s="427" t="e">
        <f>K32*M32/1000</f>
        <v>#REF!</v>
      </c>
      <c r="P32" s="428">
        <v>8.52</v>
      </c>
      <c r="Q32" s="429">
        <f>SUM(P32/Q40*1000)</f>
        <v>2.4388668020502178</v>
      </c>
      <c r="R32" s="402">
        <v>19830</v>
      </c>
      <c r="S32" s="430">
        <f>R32*P32/1000</f>
        <v>168.95160000000001</v>
      </c>
      <c r="T32" s="428">
        <v>14.53</v>
      </c>
      <c r="U32" s="429">
        <f>SUM(T32/U40*1000)</f>
        <v>2.8169833268708802</v>
      </c>
      <c r="V32" s="402">
        <v>20380</v>
      </c>
      <c r="W32" s="430">
        <f>V32*T32/1000</f>
        <v>296.12139999999994</v>
      </c>
      <c r="X32" s="431" t="e">
        <f>W32/#REF!*100</f>
        <v>#REF!</v>
      </c>
      <c r="Y32" s="430">
        <f>U32*W32/1000</f>
        <v>0.83416904652966251</v>
      </c>
      <c r="Z32" s="407"/>
      <c r="AA32" s="407"/>
      <c r="AB32" s="407"/>
      <c r="AC32" s="428">
        <v>16.03</v>
      </c>
      <c r="AD32" s="429">
        <f>SUM(AC32/AD40*1000)</f>
        <v>2.3137656789018632</v>
      </c>
      <c r="AE32" s="402">
        <v>20247.09</v>
      </c>
      <c r="AF32" s="430">
        <f>AE32*AC32/1000</f>
        <v>324.56085270000005</v>
      </c>
      <c r="AG32" s="432">
        <v>14.8</v>
      </c>
      <c r="AH32" s="433">
        <f>AG32/AH40*1000</f>
        <v>2.5721684422739362</v>
      </c>
      <c r="AI32" s="434">
        <f>AK32/AG32*1000</f>
        <v>34141.891891891886</v>
      </c>
      <c r="AJ32" s="442">
        <f>AI32/BK10</f>
        <v>1.4353660542565037</v>
      </c>
      <c r="AK32" s="436">
        <v>505.3</v>
      </c>
      <c r="AL32" s="441">
        <f>AM32*AM40/1000</f>
        <v>10.220892000847977</v>
      </c>
      <c r="AM32" s="439">
        <f>AP10</f>
        <v>1.8378304705924196</v>
      </c>
      <c r="AN32" s="400">
        <f>M55</f>
        <v>25193.815380000004</v>
      </c>
      <c r="AO32" s="437">
        <f>AN32/BK10</f>
        <v>1.0591781934101125</v>
      </c>
      <c r="AP32" s="427">
        <f>AL32*AN32/1000</f>
        <v>257.50326608828277</v>
      </c>
      <c r="AQ32" s="428">
        <v>3.51</v>
      </c>
      <c r="AR32" s="429">
        <f>SUM(AQ32/AR40*1000)</f>
        <v>1.0422265046217252</v>
      </c>
      <c r="AS32" s="402">
        <v>20196.64</v>
      </c>
      <c r="AT32" s="430">
        <f t="shared" si="3"/>
        <v>70.890206399999997</v>
      </c>
      <c r="AU32" s="428"/>
      <c r="AV32" s="429" t="e">
        <f>SUM(AU32/AV40*1000)</f>
        <v>#DIV/0!</v>
      </c>
      <c r="AW32" s="402"/>
      <c r="AX32" s="430">
        <f>AW32*AU32/1000</f>
        <v>0</v>
      </c>
      <c r="AY32" s="432">
        <v>16.03</v>
      </c>
      <c r="AZ32" s="433">
        <f>AY32/AZ40*1000</f>
        <v>2.7839832217684917</v>
      </c>
      <c r="BA32" s="420">
        <f>SUM(AN32*1.1)</f>
        <v>27713.196918000005</v>
      </c>
      <c r="BB32" s="421">
        <f t="shared" si="5"/>
        <v>1.1000000000000001</v>
      </c>
      <c r="BC32" s="422">
        <f t="shared" si="6"/>
        <v>444.24254659554015</v>
      </c>
      <c r="BD32" s="423">
        <f t="shared" si="4"/>
        <v>13.082764612231347</v>
      </c>
      <c r="BE32" s="409">
        <f t="shared" si="7"/>
        <v>2.3137656789018632</v>
      </c>
      <c r="BF32" s="400">
        <f>M64</f>
        <v>28813.56</v>
      </c>
      <c r="BG32" s="424">
        <f t="shared" si="8"/>
        <v>1.1436759206735123</v>
      </c>
      <c r="BH32" s="412">
        <f t="shared" si="9"/>
        <v>376.96102312040466</v>
      </c>
      <c r="BI32" s="4907"/>
      <c r="BJ32" s="4908"/>
      <c r="BK32" s="4909"/>
      <c r="BL32" s="320"/>
    </row>
    <row r="33" spans="1:66" ht="36.75" customHeight="1" x14ac:dyDescent="0.2">
      <c r="A33" s="653" t="s">
        <v>103</v>
      </c>
      <c r="B33" s="407"/>
      <c r="C33" s="407"/>
      <c r="D33" s="407"/>
      <c r="E33" s="407"/>
      <c r="F33" s="663">
        <v>15.6</v>
      </c>
      <c r="G33" s="664">
        <f>F33/G40*1000</f>
        <v>3.1363088057901085</v>
      </c>
      <c r="H33" s="665">
        <v>20952</v>
      </c>
      <c r="I33" s="666" t="e">
        <f>H33/#REF!*100</f>
        <v>#REF!</v>
      </c>
      <c r="J33" s="667">
        <f>F33*H33/1000</f>
        <v>326.85120000000001</v>
      </c>
      <c r="K33" s="438" t="e">
        <f>L40*L33/1000</f>
        <v>#REF!</v>
      </c>
      <c r="L33" s="439">
        <v>1.506</v>
      </c>
      <c r="M33" s="400">
        <f>AN11*1.021</f>
        <v>20298.424001867847</v>
      </c>
      <c r="N33" s="426" t="e">
        <f>M33/#REF!*100</f>
        <v>#REF!</v>
      </c>
      <c r="O33" s="427" t="e">
        <f>K33*M33/1000</f>
        <v>#REF!</v>
      </c>
      <c r="P33" s="428">
        <v>12.34</v>
      </c>
      <c r="Q33" s="429">
        <f>SUM(P33/Q40*1000)</f>
        <v>3.5323493353638136</v>
      </c>
      <c r="R33" s="402">
        <v>16360</v>
      </c>
      <c r="S33" s="430">
        <f>R33*P33/1000</f>
        <v>201.88239999999999</v>
      </c>
      <c r="T33" s="428">
        <v>16.59</v>
      </c>
      <c r="U33" s="429">
        <f>SUM(T33/U40*1000)</f>
        <v>3.2163629313687476</v>
      </c>
      <c r="V33" s="402">
        <v>16560</v>
      </c>
      <c r="W33" s="430">
        <f>V33*T33/1000</f>
        <v>274.73040000000003</v>
      </c>
      <c r="X33" s="431" t="e">
        <f>W33/#REF!*100</f>
        <v>#REF!</v>
      </c>
      <c r="Y33" s="430">
        <f>U33*W33/1000</f>
        <v>0.88363267468010875</v>
      </c>
      <c r="Z33" s="407"/>
      <c r="AA33" s="407"/>
      <c r="AB33" s="407"/>
      <c r="AC33" s="428">
        <v>20.84</v>
      </c>
      <c r="AD33" s="429">
        <f>SUM(AC33/AD40*1000)</f>
        <v>3.0080397222903827</v>
      </c>
      <c r="AE33" s="402">
        <v>13955.84</v>
      </c>
      <c r="AF33" s="430">
        <f>AE33*AC33/1000</f>
        <v>290.8397056</v>
      </c>
      <c r="AG33" s="432">
        <v>10.6</v>
      </c>
      <c r="AH33" s="433">
        <f>AG33/AH40*1000</f>
        <v>1.8422287491961975</v>
      </c>
      <c r="AI33" s="434">
        <f>AK33/AG33*1000</f>
        <v>25518.867924528302</v>
      </c>
      <c r="AJ33" s="442">
        <f>AI33/BK11</f>
        <v>1.2773139047078612</v>
      </c>
      <c r="AK33" s="436">
        <v>270.5</v>
      </c>
      <c r="AL33" s="441">
        <f>AM40*AM33/1000</f>
        <v>8.0173859812274717</v>
      </c>
      <c r="AM33" s="439">
        <f>AP11</f>
        <v>1.4416154920312136</v>
      </c>
      <c r="AN33" s="400">
        <f>M54</f>
        <v>17586.72</v>
      </c>
      <c r="AO33" s="437">
        <f>AN33/BK11</f>
        <v>0.8802805069817401</v>
      </c>
      <c r="AP33" s="427">
        <f>AL33*AN33/1000</f>
        <v>140.99952238377278</v>
      </c>
      <c r="AQ33" s="428">
        <v>7.6</v>
      </c>
      <c r="AR33" s="429">
        <f>SUM(AQ33/AR40*1000)</f>
        <v>2.2566727735399179</v>
      </c>
      <c r="AS33" s="402">
        <v>18606.32</v>
      </c>
      <c r="AT33" s="430">
        <f t="shared" si="3"/>
        <v>141.40803199999999</v>
      </c>
      <c r="AU33" s="428"/>
      <c r="AV33" s="429" t="e">
        <f>SUM(AU33/AV40*1000)</f>
        <v>#DIV/0!</v>
      </c>
      <c r="AW33" s="402"/>
      <c r="AX33" s="430">
        <f>AW33*AU33/1000</f>
        <v>0</v>
      </c>
      <c r="AY33" s="432">
        <v>20.84</v>
      </c>
      <c r="AZ33" s="433">
        <f>AY33/AZ40*1000</f>
        <v>3.6193518616129352</v>
      </c>
      <c r="BA33" s="420">
        <f>SUM(AN33*1.1)</f>
        <v>19345.392000000003</v>
      </c>
      <c r="BB33" s="421">
        <f t="shared" si="5"/>
        <v>1.1000000000000001</v>
      </c>
      <c r="BC33" s="422">
        <f t="shared" si="6"/>
        <v>403.15796928000009</v>
      </c>
      <c r="BD33" s="423">
        <f t="shared" si="4"/>
        <v>17.008410138421791</v>
      </c>
      <c r="BE33" s="409">
        <f t="shared" si="7"/>
        <v>3.0080397222903827</v>
      </c>
      <c r="BF33" s="400">
        <f>M63</f>
        <v>14833.89608</v>
      </c>
      <c r="BG33" s="424">
        <f t="shared" si="8"/>
        <v>0.84347144208812097</v>
      </c>
      <c r="BH33" s="412">
        <f t="shared" si="9"/>
        <v>252.30098847936728</v>
      </c>
      <c r="BI33" s="4907"/>
      <c r="BJ33" s="4908"/>
      <c r="BK33" s="4909"/>
      <c r="BL33" s="320"/>
    </row>
    <row r="34" spans="1:66" ht="36.75" customHeight="1" x14ac:dyDescent="0.2">
      <c r="A34" s="1213" t="s">
        <v>890</v>
      </c>
      <c r="B34" s="407"/>
      <c r="C34" s="407"/>
      <c r="D34" s="407"/>
      <c r="E34" s="407"/>
      <c r="F34" s="1214"/>
      <c r="G34" s="1215"/>
      <c r="H34" s="1216"/>
      <c r="I34" s="1217"/>
      <c r="J34" s="1218"/>
      <c r="K34" s="1219"/>
      <c r="L34" s="1220"/>
      <c r="M34" s="1221"/>
      <c r="N34" s="1222"/>
      <c r="O34" s="1223"/>
      <c r="P34" s="1224"/>
      <c r="Q34" s="1225"/>
      <c r="R34" s="1226"/>
      <c r="S34" s="1227"/>
      <c r="T34" s="1224"/>
      <c r="U34" s="1225"/>
      <c r="V34" s="1226"/>
      <c r="W34" s="1227"/>
      <c r="X34" s="1228"/>
      <c r="Y34" s="1227"/>
      <c r="Z34" s="407"/>
      <c r="AA34" s="407"/>
      <c r="AB34" s="407"/>
      <c r="AC34" s="1224"/>
      <c r="AD34" s="1225"/>
      <c r="AE34" s="1226"/>
      <c r="AF34" s="1227"/>
      <c r="AG34" s="1229"/>
      <c r="AH34" s="1230"/>
      <c r="AI34" s="1231"/>
      <c r="AJ34" s="1232"/>
      <c r="AK34" s="1233"/>
      <c r="AL34" s="1234"/>
      <c r="AM34" s="1220"/>
      <c r="AN34" s="1221"/>
      <c r="AO34" s="1235"/>
      <c r="AP34" s="1223"/>
      <c r="AQ34" s="1224">
        <v>0.185</v>
      </c>
      <c r="AR34" s="1225">
        <v>5.4899999999999997E-2</v>
      </c>
      <c r="AS34" s="1226">
        <v>283530</v>
      </c>
      <c r="AT34" s="1227">
        <f t="shared" si="3"/>
        <v>52.453050000000005</v>
      </c>
      <c r="AU34" s="1224"/>
      <c r="AV34" s="1225"/>
      <c r="AW34" s="1226"/>
      <c r="AX34" s="1227"/>
      <c r="AY34" s="1229"/>
      <c r="AZ34" s="1230"/>
      <c r="BA34" s="420"/>
      <c r="BB34" s="421"/>
      <c r="BC34" s="422"/>
      <c r="BD34" s="423">
        <f t="shared" si="4"/>
        <v>0.31042200329999997</v>
      </c>
      <c r="BE34" s="409">
        <f>AR34</f>
        <v>5.4899999999999997E-2</v>
      </c>
      <c r="BF34" s="1221">
        <f>AS34*1.088</f>
        <v>308480.64000000001</v>
      </c>
      <c r="BG34" s="424"/>
      <c r="BH34" s="412">
        <f t="shared" si="9"/>
        <v>95.759178248066107</v>
      </c>
      <c r="BI34" s="4907"/>
      <c r="BJ34" s="4908"/>
      <c r="BK34" s="4909"/>
      <c r="BL34" s="320"/>
    </row>
    <row r="35" spans="1:66" ht="36.75" customHeight="1" x14ac:dyDescent="0.2">
      <c r="A35" s="1213" t="s">
        <v>891</v>
      </c>
      <c r="B35" s="407"/>
      <c r="C35" s="407"/>
      <c r="D35" s="407"/>
      <c r="E35" s="407"/>
      <c r="F35" s="1214"/>
      <c r="G35" s="1215"/>
      <c r="H35" s="1216"/>
      <c r="I35" s="1217"/>
      <c r="J35" s="1218"/>
      <c r="K35" s="1219"/>
      <c r="L35" s="1220"/>
      <c r="M35" s="1221"/>
      <c r="N35" s="1222"/>
      <c r="O35" s="1223"/>
      <c r="P35" s="1224"/>
      <c r="Q35" s="1225"/>
      <c r="R35" s="1226"/>
      <c r="S35" s="1227"/>
      <c r="T35" s="1224"/>
      <c r="U35" s="1225"/>
      <c r="V35" s="1226"/>
      <c r="W35" s="1227"/>
      <c r="X35" s="1228"/>
      <c r="Y35" s="1227"/>
      <c r="Z35" s="407"/>
      <c r="AA35" s="407"/>
      <c r="AB35" s="407"/>
      <c r="AC35" s="1224"/>
      <c r="AD35" s="1225"/>
      <c r="AE35" s="1226"/>
      <c r="AF35" s="1227"/>
      <c r="AG35" s="1229"/>
      <c r="AH35" s="1230"/>
      <c r="AI35" s="1231"/>
      <c r="AJ35" s="1232"/>
      <c r="AK35" s="1233"/>
      <c r="AL35" s="1234"/>
      <c r="AM35" s="1220"/>
      <c r="AN35" s="1221"/>
      <c r="AO35" s="1235"/>
      <c r="AP35" s="1223"/>
      <c r="AQ35" s="1224">
        <v>39</v>
      </c>
      <c r="AR35" s="1225">
        <v>11.580299999999999</v>
      </c>
      <c r="AS35" s="1226">
        <v>14901.63</v>
      </c>
      <c r="AT35" s="1227">
        <f t="shared" si="3"/>
        <v>581.16356999999994</v>
      </c>
      <c r="AU35" s="1224"/>
      <c r="AV35" s="1225"/>
      <c r="AW35" s="1226"/>
      <c r="AX35" s="1227"/>
      <c r="AY35" s="1229"/>
      <c r="AZ35" s="1230"/>
      <c r="BA35" s="420"/>
      <c r="BB35" s="421"/>
      <c r="BC35" s="422"/>
      <c r="BD35" s="423">
        <f t="shared" si="4"/>
        <v>65.47868715509999</v>
      </c>
      <c r="BE35" s="409">
        <f>AR35</f>
        <v>11.580299999999999</v>
      </c>
      <c r="BF35" s="1221">
        <f>AS35*1.088</f>
        <v>16212.97344</v>
      </c>
      <c r="BG35" s="424"/>
      <c r="BH35" s="412">
        <f t="shared" si="9"/>
        <v>1061.6042157317054</v>
      </c>
      <c r="BI35" s="4907"/>
      <c r="BJ35" s="4908"/>
      <c r="BK35" s="4909"/>
      <c r="BL35" s="320"/>
    </row>
    <row r="36" spans="1:66" ht="36.75" customHeight="1" x14ac:dyDescent="0.2">
      <c r="A36" s="653" t="s">
        <v>104</v>
      </c>
      <c r="B36" s="407"/>
      <c r="C36" s="407"/>
      <c r="D36" s="407"/>
      <c r="E36" s="407"/>
      <c r="F36" s="668"/>
      <c r="G36" s="669"/>
      <c r="H36" s="669"/>
      <c r="I36" s="669"/>
      <c r="J36" s="670"/>
      <c r="K36" s="399"/>
      <c r="L36" s="399"/>
      <c r="M36" s="400"/>
      <c r="N36" s="426"/>
      <c r="O36" s="427"/>
      <c r="P36" s="401"/>
      <c r="Q36" s="401"/>
      <c r="R36" s="402"/>
      <c r="S36" s="430"/>
      <c r="T36" s="401"/>
      <c r="U36" s="401"/>
      <c r="V36" s="402"/>
      <c r="W36" s="430"/>
      <c r="X36" s="431"/>
      <c r="Y36" s="430"/>
      <c r="Z36" s="407"/>
      <c r="AA36" s="407"/>
      <c r="AB36" s="407"/>
      <c r="AC36" s="401"/>
      <c r="AD36" s="401"/>
      <c r="AE36" s="402"/>
      <c r="AF36" s="430"/>
      <c r="AG36" s="443"/>
      <c r="AH36" s="444"/>
      <c r="AI36" s="444"/>
      <c r="AJ36" s="444"/>
      <c r="AK36" s="445"/>
      <c r="AL36" s="403"/>
      <c r="AM36" s="399"/>
      <c r="AN36" s="400"/>
      <c r="AO36" s="426"/>
      <c r="AP36" s="427"/>
      <c r="AQ36" s="401"/>
      <c r="AR36" s="401"/>
      <c r="AS36" s="402"/>
      <c r="AT36" s="430"/>
      <c r="AU36" s="401"/>
      <c r="AV36" s="401"/>
      <c r="AW36" s="402"/>
      <c r="AX36" s="430"/>
      <c r="AY36" s="443"/>
      <c r="AZ36" s="444"/>
      <c r="BA36" s="444"/>
      <c r="BB36" s="444"/>
      <c r="BC36" s="445"/>
      <c r="BD36" s="403"/>
      <c r="BE36" s="399"/>
      <c r="BF36" s="400"/>
      <c r="BG36" s="426"/>
      <c r="BH36" s="427"/>
      <c r="BI36" s="4907"/>
      <c r="BJ36" s="4908"/>
      <c r="BK36" s="4909"/>
      <c r="BL36" s="320"/>
    </row>
    <row r="37" spans="1:66" ht="36.75" customHeight="1" x14ac:dyDescent="0.2">
      <c r="A37" s="653" t="s">
        <v>221</v>
      </c>
      <c r="B37" s="407"/>
      <c r="C37" s="407"/>
      <c r="D37" s="407"/>
      <c r="E37" s="407"/>
      <c r="F37" s="668"/>
      <c r="G37" s="669"/>
      <c r="H37" s="669"/>
      <c r="I37" s="669"/>
      <c r="J37" s="670"/>
      <c r="K37" s="399"/>
      <c r="L37" s="399"/>
      <c r="M37" s="400"/>
      <c r="N37" s="426"/>
      <c r="O37" s="427"/>
      <c r="P37" s="401"/>
      <c r="Q37" s="401"/>
      <c r="R37" s="402"/>
      <c r="S37" s="430"/>
      <c r="T37" s="401"/>
      <c r="U37" s="401"/>
      <c r="V37" s="402"/>
      <c r="W37" s="430"/>
      <c r="X37" s="431"/>
      <c r="Y37" s="430"/>
      <c r="Z37" s="407"/>
      <c r="AA37" s="407"/>
      <c r="AB37" s="407"/>
      <c r="AC37" s="401"/>
      <c r="AD37" s="401"/>
      <c r="AE37" s="402"/>
      <c r="AF37" s="430"/>
      <c r="AG37" s="443"/>
      <c r="AH37" s="444"/>
      <c r="AI37" s="444"/>
      <c r="AJ37" s="444"/>
      <c r="AK37" s="445"/>
      <c r="AL37" s="403"/>
      <c r="AM37" s="399"/>
      <c r="AN37" s="400"/>
      <c r="AO37" s="426"/>
      <c r="AP37" s="427"/>
      <c r="AQ37" s="401"/>
      <c r="AR37" s="401"/>
      <c r="AS37" s="402"/>
      <c r="AT37" s="430"/>
      <c r="AU37" s="401"/>
      <c r="AV37" s="401"/>
      <c r="AW37" s="402"/>
      <c r="AX37" s="430"/>
      <c r="AY37" s="443"/>
      <c r="AZ37" s="444"/>
      <c r="BA37" s="444"/>
      <c r="BB37" s="444"/>
      <c r="BC37" s="445"/>
      <c r="BD37" s="403"/>
      <c r="BE37" s="399"/>
      <c r="BF37" s="400"/>
      <c r="BG37" s="426"/>
      <c r="BH37" s="427"/>
      <c r="BI37" s="4907"/>
      <c r="BJ37" s="4908"/>
      <c r="BK37" s="4909"/>
      <c r="BL37" s="320"/>
    </row>
    <row r="38" spans="1:66" ht="36.75" customHeight="1" thickBot="1" x14ac:dyDescent="0.25">
      <c r="A38" s="679" t="s">
        <v>105</v>
      </c>
      <c r="B38" s="407"/>
      <c r="C38" s="407"/>
      <c r="D38" s="407"/>
      <c r="E38" s="407"/>
      <c r="F38" s="680"/>
      <c r="G38" s="681"/>
      <c r="H38" s="681"/>
      <c r="I38" s="681"/>
      <c r="J38" s="682">
        <v>110.4</v>
      </c>
      <c r="K38" s="683"/>
      <c r="L38" s="683"/>
      <c r="M38" s="684"/>
      <c r="N38" s="685"/>
      <c r="O38" s="686">
        <v>110.4</v>
      </c>
      <c r="P38" s="687"/>
      <c r="Q38" s="687"/>
      <c r="R38" s="688"/>
      <c r="S38" s="689">
        <v>63.405999999999999</v>
      </c>
      <c r="T38" s="687"/>
      <c r="U38" s="687"/>
      <c r="V38" s="688"/>
      <c r="W38" s="689">
        <v>120.18</v>
      </c>
      <c r="X38" s="690"/>
      <c r="Y38" s="689">
        <v>110.4</v>
      </c>
      <c r="Z38" s="407"/>
      <c r="AA38" s="407"/>
      <c r="AB38" s="407"/>
      <c r="AC38" s="687"/>
      <c r="AD38" s="687"/>
      <c r="AE38" s="688"/>
      <c r="AF38" s="689">
        <v>210.65</v>
      </c>
      <c r="AG38" s="691"/>
      <c r="AH38" s="692"/>
      <c r="AI38" s="692"/>
      <c r="AJ38" s="692"/>
      <c r="AK38" s="693">
        <v>120</v>
      </c>
      <c r="AL38" s="694"/>
      <c r="AM38" s="683"/>
      <c r="AN38" s="684"/>
      <c r="AO38" s="685"/>
      <c r="AP38" s="686">
        <f>AK38</f>
        <v>120</v>
      </c>
      <c r="AQ38" s="687"/>
      <c r="AR38" s="687"/>
      <c r="AS38" s="688"/>
      <c r="AT38" s="689">
        <v>50.73</v>
      </c>
      <c r="AU38" s="687"/>
      <c r="AV38" s="687"/>
      <c r="AW38" s="688"/>
      <c r="AX38" s="689"/>
      <c r="AY38" s="691"/>
      <c r="AZ38" s="692"/>
      <c r="BA38" s="692"/>
      <c r="BB38" s="692"/>
      <c r="BC38" s="693">
        <f>SUM(AF38*1.1)</f>
        <v>231.71500000000003</v>
      </c>
      <c r="BD38" s="694"/>
      <c r="BE38" s="683"/>
      <c r="BF38" s="684"/>
      <c r="BG38" s="685"/>
      <c r="BH38" s="686">
        <f>AF38*1.062*1.026</f>
        <v>229.52676780000002</v>
      </c>
      <c r="BI38" s="4907"/>
      <c r="BJ38" s="4908"/>
      <c r="BK38" s="4909"/>
      <c r="BL38" s="320"/>
    </row>
    <row r="39" spans="1:66" ht="36.75" customHeight="1" thickBot="1" x14ac:dyDescent="0.25">
      <c r="A39" s="698" t="s">
        <v>87</v>
      </c>
      <c r="B39" s="699"/>
      <c r="C39" s="699"/>
      <c r="D39" s="699"/>
      <c r="E39" s="699"/>
      <c r="F39" s="700"/>
      <c r="G39" s="701"/>
      <c r="H39" s="701"/>
      <c r="I39" s="701"/>
      <c r="J39" s="702">
        <f>SUM(J29:J38)</f>
        <v>6234.3756999999987</v>
      </c>
      <c r="K39" s="703"/>
      <c r="L39" s="703"/>
      <c r="M39" s="704"/>
      <c r="N39" s="705"/>
      <c r="O39" s="706" t="e">
        <f>SUM(O29:O38)</f>
        <v>#REF!</v>
      </c>
      <c r="P39" s="707"/>
      <c r="Q39" s="707"/>
      <c r="R39" s="708"/>
      <c r="S39" s="709">
        <f>SUM(S29:S38)</f>
        <v>2186.0282000000002</v>
      </c>
      <c r="T39" s="707"/>
      <c r="U39" s="707"/>
      <c r="V39" s="708"/>
      <c r="W39" s="709">
        <f>SUM(W29:W38)</f>
        <v>3609.3058999999998</v>
      </c>
      <c r="X39" s="710"/>
      <c r="Y39" s="709">
        <f>SUM(Y29:Y38)</f>
        <v>161.27129434936023</v>
      </c>
      <c r="Z39" s="699"/>
      <c r="AA39" s="699"/>
      <c r="AB39" s="699"/>
      <c r="AC39" s="707"/>
      <c r="AD39" s="707"/>
      <c r="AE39" s="708"/>
      <c r="AF39" s="709">
        <f>SUM(AF29:AF38)</f>
        <v>4087.3393910999998</v>
      </c>
      <c r="AG39" s="711"/>
      <c r="AH39" s="712"/>
      <c r="AI39" s="712"/>
      <c r="AJ39" s="712"/>
      <c r="AK39" s="713">
        <f>SUM(AK29:AK38)</f>
        <v>4894.9000000000005</v>
      </c>
      <c r="AL39" s="714"/>
      <c r="AM39" s="703"/>
      <c r="AN39" s="704"/>
      <c r="AO39" s="705"/>
      <c r="AP39" s="706">
        <f>SUM(AP29:AP38)</f>
        <v>3968.311174693004</v>
      </c>
      <c r="AQ39" s="707"/>
      <c r="AR39" s="707"/>
      <c r="AS39" s="708"/>
      <c r="AT39" s="709">
        <f>SUM(AT29:AT38)</f>
        <v>2640.0770813999998</v>
      </c>
      <c r="AU39" s="707"/>
      <c r="AV39" s="707"/>
      <c r="AW39" s="708"/>
      <c r="AX39" s="709">
        <f>SUM(AX29:AX38)</f>
        <v>0</v>
      </c>
      <c r="AY39" s="711"/>
      <c r="AZ39" s="712"/>
      <c r="BA39" s="712"/>
      <c r="BB39" s="712"/>
      <c r="BC39" s="713">
        <f>SUM(BC29:BC38)</f>
        <v>7781.2449052544798</v>
      </c>
      <c r="BD39" s="714"/>
      <c r="BE39" s="703"/>
      <c r="BF39" s="704"/>
      <c r="BG39" s="705"/>
      <c r="BH39" s="706">
        <f>SUM(BH29:BH38)</f>
        <v>6985.4283978386675</v>
      </c>
      <c r="BI39" s="4919"/>
      <c r="BJ39" s="4920"/>
      <c r="BK39" s="4921"/>
      <c r="BL39" s="321"/>
      <c r="BM39">
        <f>AP39*1.088</f>
        <v>4317.522558065989</v>
      </c>
      <c r="BN39" s="155">
        <f>BH39-BM39</f>
        <v>2667.9058397726785</v>
      </c>
    </row>
    <row r="40" spans="1:66" ht="36.75" customHeight="1" thickBot="1" x14ac:dyDescent="0.25">
      <c r="A40" s="698" t="s">
        <v>125</v>
      </c>
      <c r="B40" s="699"/>
      <c r="C40" s="699"/>
      <c r="D40" s="699"/>
      <c r="E40" s="699"/>
      <c r="F40" s="700"/>
      <c r="G40" s="740">
        <f>объемы!E44-объемы!E51</f>
        <v>4974</v>
      </c>
      <c r="H40" s="702"/>
      <c r="I40" s="701"/>
      <c r="J40" s="702"/>
      <c r="K40" s="703"/>
      <c r="L40" s="741" t="e">
        <f>объемы!G39-объемы!G51</f>
        <v>#REF!</v>
      </c>
      <c r="M40" s="704"/>
      <c r="N40" s="705"/>
      <c r="O40" s="706"/>
      <c r="P40" s="707"/>
      <c r="Q40" s="742">
        <f>[48]объемы!H37</f>
        <v>3493.4257142857145</v>
      </c>
      <c r="R40" s="708"/>
      <c r="S40" s="709"/>
      <c r="T40" s="707"/>
      <c r="U40" s="742">
        <v>5158</v>
      </c>
      <c r="V40" s="708"/>
      <c r="W40" s="709"/>
      <c r="X40" s="710"/>
      <c r="Y40" s="709"/>
      <c r="Z40" s="699"/>
      <c r="AA40" s="699"/>
      <c r="AB40" s="699"/>
      <c r="AC40" s="707"/>
      <c r="AD40" s="742">
        <f>SUM(объемы!K40)</f>
        <v>6928.1</v>
      </c>
      <c r="AE40" s="708"/>
      <c r="AF40" s="709"/>
      <c r="AG40" s="711"/>
      <c r="AH40" s="743">
        <f>SUM(объемы!L40)</f>
        <v>5753.9</v>
      </c>
      <c r="AI40" s="744"/>
      <c r="AJ40" s="712"/>
      <c r="AK40" s="713"/>
      <c r="AL40" s="714"/>
      <c r="AM40" s="741">
        <f>SUM(объемы!M40)</f>
        <v>5561.39</v>
      </c>
      <c r="AN40" s="704"/>
      <c r="AO40" s="705"/>
      <c r="AP40" s="706"/>
      <c r="AQ40" s="707"/>
      <c r="AR40" s="742">
        <f>SUM(объемы!P40)</f>
        <v>3367.79</v>
      </c>
      <c r="AS40" s="708"/>
      <c r="AT40" s="709"/>
      <c r="AU40" s="707"/>
      <c r="AV40" s="742">
        <f>SUM(объемы!S40)</f>
        <v>0</v>
      </c>
      <c r="AW40" s="708"/>
      <c r="AX40" s="709"/>
      <c r="AY40" s="711"/>
      <c r="AZ40" s="743">
        <f>SUM(объемы!T40)</f>
        <v>5757.9369999999999</v>
      </c>
      <c r="BA40" s="744"/>
      <c r="BB40" s="712"/>
      <c r="BC40" s="713"/>
      <c r="BD40" s="714"/>
      <c r="BE40" s="741">
        <f>SUM(объемы!AA40)</f>
        <v>5654.317</v>
      </c>
      <c r="BF40" s="704"/>
      <c r="BG40" s="705"/>
      <c r="BH40" s="706"/>
      <c r="BI40" s="4904"/>
      <c r="BJ40" s="4905"/>
      <c r="BK40" s="4906"/>
      <c r="BL40" s="322"/>
    </row>
    <row r="41" spans="1:66" ht="36.75" customHeight="1" x14ac:dyDescent="0.2">
      <c r="A41" s="652" t="s">
        <v>100</v>
      </c>
      <c r="B41" s="407"/>
      <c r="C41" s="407"/>
      <c r="D41" s="407"/>
      <c r="E41" s="407"/>
      <c r="F41" s="732"/>
      <c r="G41" s="733"/>
      <c r="H41" s="733"/>
      <c r="I41" s="733"/>
      <c r="J41" s="734"/>
      <c r="K41" s="695"/>
      <c r="L41" s="695"/>
      <c r="M41" s="410"/>
      <c r="N41" s="411"/>
      <c r="O41" s="412"/>
      <c r="P41" s="696">
        <v>1</v>
      </c>
      <c r="Q41" s="696"/>
      <c r="R41" s="415">
        <v>47970</v>
      </c>
      <c r="S41" s="416">
        <f>R41*P41/1000</f>
        <v>47.97</v>
      </c>
      <c r="T41" s="696">
        <v>1</v>
      </c>
      <c r="U41" s="414">
        <f>SUM(T41/U46*1000)</f>
        <v>0.3841425937307929</v>
      </c>
      <c r="V41" s="415">
        <v>47970</v>
      </c>
      <c r="W41" s="416">
        <f>V41*T41/1000</f>
        <v>47.97</v>
      </c>
      <c r="X41" s="417"/>
      <c r="Y41" s="416"/>
      <c r="Z41" s="407"/>
      <c r="AA41" s="407"/>
      <c r="AB41" s="407"/>
      <c r="AC41" s="696">
        <v>1</v>
      </c>
      <c r="AD41" s="414">
        <f>SUM(AC41/AD46*1000)</f>
        <v>0.22761414849547051</v>
      </c>
      <c r="AE41" s="415">
        <v>47970</v>
      </c>
      <c r="AF41" s="416">
        <f>AE41*AC41/1000</f>
        <v>47.97</v>
      </c>
      <c r="AG41" s="735"/>
      <c r="AH41" s="736"/>
      <c r="AI41" s="736"/>
      <c r="AJ41" s="736"/>
      <c r="AK41" s="737"/>
      <c r="AL41" s="697"/>
      <c r="AM41" s="695"/>
      <c r="AN41" s="410"/>
      <c r="AO41" s="411"/>
      <c r="AP41" s="412"/>
      <c r="AQ41" s="696"/>
      <c r="AR41" s="414">
        <f>SUM(AQ41/AR46*1000)</f>
        <v>0</v>
      </c>
      <c r="AS41" s="415"/>
      <c r="AT41" s="416">
        <f>AS41*AQ41/1000</f>
        <v>0</v>
      </c>
      <c r="AU41" s="696"/>
      <c r="AV41" s="414">
        <f>SUM(AU41/AV46*1000)</f>
        <v>0</v>
      </c>
      <c r="AW41" s="415"/>
      <c r="AX41" s="416">
        <f>AW41*AU41/1000</f>
        <v>0</v>
      </c>
      <c r="AY41" s="418">
        <v>1</v>
      </c>
      <c r="AZ41" s="738">
        <f>SUM(AY41/AZ46)*1000</f>
        <v>0.28793550244745175</v>
      </c>
      <c r="BA41" s="420">
        <f>SUM(BA29)</f>
        <v>85278.6</v>
      </c>
      <c r="BB41" s="421" t="e">
        <f t="shared" ref="BB41:BB43" si="10">BA41/AN41</f>
        <v>#DIV/0!</v>
      </c>
      <c r="BC41" s="739">
        <f>AY41*BA41/1000</f>
        <v>85.278600000000012</v>
      </c>
      <c r="BD41" s="697">
        <f>BE46*BE41/1000</f>
        <v>0.78413074156689599</v>
      </c>
      <c r="BE41" s="409">
        <f>AD41</f>
        <v>0.22761414849547051</v>
      </c>
      <c r="BF41" s="410">
        <f>BF29</f>
        <v>79862</v>
      </c>
      <c r="BG41" s="424" t="e">
        <f t="shared" ref="BG41:BG43" si="11">BF41/AN41</f>
        <v>#DIV/0!</v>
      </c>
      <c r="BH41" s="412">
        <f>BD41*BF41/1000</f>
        <v>62.622249283015449</v>
      </c>
      <c r="BI41" s="4907"/>
      <c r="BJ41" s="4908"/>
      <c r="BK41" s="4909"/>
      <c r="BL41" s="320"/>
    </row>
    <row r="42" spans="1:66" ht="36.75" customHeight="1" x14ac:dyDescent="0.2">
      <c r="A42" s="653" t="s">
        <v>101</v>
      </c>
      <c r="B42" s="407"/>
      <c r="C42" s="407"/>
      <c r="D42" s="407"/>
      <c r="E42" s="407"/>
      <c r="F42" s="663">
        <v>9.08</v>
      </c>
      <c r="G42" s="671">
        <v>2.2599999999999998</v>
      </c>
      <c r="H42" s="665">
        <v>64910</v>
      </c>
      <c r="I42" s="666"/>
      <c r="J42" s="672">
        <f>F42*H42/1000</f>
        <v>589.38280000000009</v>
      </c>
      <c r="K42" s="447">
        <f>F42</f>
        <v>9.08</v>
      </c>
      <c r="L42" s="448">
        <f>AP19</f>
        <v>2.1283056727349026</v>
      </c>
      <c r="M42" s="400">
        <f>AN19*1.021</f>
        <v>52971.882352941167</v>
      </c>
      <c r="N42" s="426" t="e">
        <f>M42/#REF!*100</f>
        <v>#REF!</v>
      </c>
      <c r="O42" s="427">
        <f>K42*M42/1000</f>
        <v>480.98469176470581</v>
      </c>
      <c r="P42" s="449">
        <v>2.6</v>
      </c>
      <c r="Q42" s="446">
        <v>0</v>
      </c>
      <c r="R42" s="402">
        <v>49880</v>
      </c>
      <c r="S42" s="430">
        <f>R42*P42/1000</f>
        <v>129.68799999999999</v>
      </c>
      <c r="T42" s="449">
        <v>4.3499999999999996</v>
      </c>
      <c r="U42" s="446">
        <f>SUM(T42/U46*1000)</f>
        <v>1.6710202827289491</v>
      </c>
      <c r="V42" s="402">
        <v>51050</v>
      </c>
      <c r="W42" s="430">
        <f>V42*T42/1000</f>
        <v>222.06749999999997</v>
      </c>
      <c r="X42" s="431" t="e">
        <f>W42/#REF!*100</f>
        <v>#REF!</v>
      </c>
      <c r="Y42" s="430">
        <f>U42*W42/1000</f>
        <v>0.37107929663491085</v>
      </c>
      <c r="Z42" s="407"/>
      <c r="AA42" s="407"/>
      <c r="AB42" s="407"/>
      <c r="AC42" s="428">
        <v>6.65</v>
      </c>
      <c r="AD42" s="446">
        <f>SUM(AC42/AD46*1000)</f>
        <v>1.513634087494879</v>
      </c>
      <c r="AE42" s="402">
        <v>47870</v>
      </c>
      <c r="AF42" s="430">
        <f>AE42*AC42/1000</f>
        <v>318.33550000000002</v>
      </c>
      <c r="AG42" s="432">
        <v>9.08</v>
      </c>
      <c r="AH42" s="450">
        <v>2.2599999999999998</v>
      </c>
      <c r="AI42" s="434">
        <v>56150</v>
      </c>
      <c r="AJ42" s="442">
        <f>AI42/BK19</f>
        <v>1.1898707353252809</v>
      </c>
      <c r="AK42" s="451">
        <f>AG42*AI42/1000</f>
        <v>509.84199999999998</v>
      </c>
      <c r="AL42" s="441">
        <f>AM42*AM46/1000</f>
        <v>7.7570356854168985</v>
      </c>
      <c r="AM42" s="448">
        <f>AP19</f>
        <v>2.1283056727349026</v>
      </c>
      <c r="AN42" s="400">
        <f>BK19*1.021*1.062</f>
        <v>51168.211380000001</v>
      </c>
      <c r="AO42" s="437">
        <f>AN42/BK19</f>
        <v>1.0843020000000001</v>
      </c>
      <c r="AP42" s="427">
        <f>AL42*AN42/1000</f>
        <v>396.9136416336151</v>
      </c>
      <c r="AQ42" s="449"/>
      <c r="AR42" s="446">
        <f>SUM(AQ42/AR46*1000)</f>
        <v>0</v>
      </c>
      <c r="AS42" s="402"/>
      <c r="AT42" s="430">
        <f>AS42*AQ42/1000</f>
        <v>0</v>
      </c>
      <c r="AU42" s="449"/>
      <c r="AV42" s="446">
        <f>SUM(AU42/AV46*1000)</f>
        <v>0</v>
      </c>
      <c r="AW42" s="402"/>
      <c r="AX42" s="430">
        <f>AW42*AU42/1000</f>
        <v>0</v>
      </c>
      <c r="AY42" s="432">
        <v>6.65</v>
      </c>
      <c r="AZ42" s="450">
        <f>SUM(AY42/AZ46)*1000</f>
        <v>1.9147710912755544</v>
      </c>
      <c r="BA42" s="420">
        <f>SUM(AN42*1.1)</f>
        <v>56285.032518000007</v>
      </c>
      <c r="BB42" s="421">
        <f t="shared" si="10"/>
        <v>1.1000000000000001</v>
      </c>
      <c r="BC42" s="451">
        <f>AY42*BA42/1000</f>
        <v>374.29546624470009</v>
      </c>
      <c r="BD42" s="441">
        <f>BE42*BE46/1000</f>
        <v>5.2144694314198583</v>
      </c>
      <c r="BE42" s="409">
        <f>AD42</f>
        <v>1.513634087494879</v>
      </c>
      <c r="BF42" s="400">
        <f>BF30</f>
        <v>43766.393750000003</v>
      </c>
      <c r="BG42" s="424">
        <f t="shared" si="11"/>
        <v>0.85534343627862031</v>
      </c>
      <c r="BH42" s="427">
        <f>BD42*BF42/1000</f>
        <v>228.21852233286015</v>
      </c>
      <c r="BI42" s="4907"/>
      <c r="BJ42" s="4908"/>
      <c r="BK42" s="4909"/>
      <c r="BL42" s="320"/>
    </row>
    <row r="43" spans="1:66" ht="36.75" customHeight="1" x14ac:dyDescent="0.2">
      <c r="A43" s="654" t="s">
        <v>822</v>
      </c>
      <c r="B43" s="407"/>
      <c r="C43" s="407"/>
      <c r="D43" s="407"/>
      <c r="E43" s="407"/>
      <c r="F43" s="668"/>
      <c r="G43" s="669"/>
      <c r="H43" s="669"/>
      <c r="I43" s="669"/>
      <c r="J43" s="670"/>
      <c r="K43" s="399"/>
      <c r="L43" s="399"/>
      <c r="M43" s="400"/>
      <c r="N43" s="400"/>
      <c r="O43" s="427"/>
      <c r="P43" s="401">
        <v>0.03</v>
      </c>
      <c r="Q43" s="401"/>
      <c r="R43" s="402">
        <v>45760</v>
      </c>
      <c r="S43" s="430">
        <f>R43*P43/1000</f>
        <v>1.3728</v>
      </c>
      <c r="T43" s="401">
        <v>2.5000000000000001E-2</v>
      </c>
      <c r="U43" s="446">
        <f>SUM(T43/U46*1000)</f>
        <v>9.6035648432698222E-3</v>
      </c>
      <c r="V43" s="402">
        <v>45760</v>
      </c>
      <c r="W43" s="430">
        <f>V43*T43/1000</f>
        <v>1.1439999999999999</v>
      </c>
      <c r="X43" s="402"/>
      <c r="Y43" s="430"/>
      <c r="Z43" s="407"/>
      <c r="AA43" s="407"/>
      <c r="AB43" s="407"/>
      <c r="AC43" s="401">
        <v>2.5000000000000001E-2</v>
      </c>
      <c r="AD43" s="446">
        <f>SUM(AC43/AD46*1000)</f>
        <v>5.6903537123867629E-3</v>
      </c>
      <c r="AE43" s="402">
        <v>45760</v>
      </c>
      <c r="AF43" s="430">
        <f>AE43*AC43/1000</f>
        <v>1.1439999999999999</v>
      </c>
      <c r="AG43" s="443"/>
      <c r="AH43" s="444"/>
      <c r="AI43" s="444"/>
      <c r="AJ43" s="444"/>
      <c r="AK43" s="445"/>
      <c r="AL43" s="403"/>
      <c r="AM43" s="399"/>
      <c r="AN43" s="400"/>
      <c r="AO43" s="400"/>
      <c r="AP43" s="427"/>
      <c r="AQ43" s="401"/>
      <c r="AR43" s="446">
        <f>SUM(AQ43/AR46*1000)</f>
        <v>0</v>
      </c>
      <c r="AS43" s="402"/>
      <c r="AT43" s="430">
        <f>AS43*AQ43/1000</f>
        <v>0</v>
      </c>
      <c r="AU43" s="401"/>
      <c r="AV43" s="446">
        <f>SUM(AU43/AV46*1000)</f>
        <v>0</v>
      </c>
      <c r="AW43" s="402"/>
      <c r="AX43" s="430">
        <f>AW43*AU43/1000</f>
        <v>0</v>
      </c>
      <c r="AY43" s="443">
        <v>2.5000000000000001E-2</v>
      </c>
      <c r="AZ43" s="450">
        <f>SUM(AY43/AZ46)*1000</f>
        <v>7.1983875611862942E-3</v>
      </c>
      <c r="BA43" s="420">
        <f>SUM(BA33)</f>
        <v>19345.392000000003</v>
      </c>
      <c r="BB43" s="421" t="e">
        <f t="shared" si="10"/>
        <v>#DIV/0!</v>
      </c>
      <c r="BC43" s="451">
        <f>AY43*BA43/1000</f>
        <v>0.48363480000000009</v>
      </c>
      <c r="BD43" s="403">
        <f>BE43*BE46/1000</f>
        <v>1.9603268539172398E-2</v>
      </c>
      <c r="BE43" s="409">
        <f>AD43</f>
        <v>5.6903537123867629E-3</v>
      </c>
      <c r="BF43" s="400">
        <f>M63</f>
        <v>14833.89608</v>
      </c>
      <c r="BG43" s="424" t="e">
        <f t="shared" si="11"/>
        <v>#DIV/0!</v>
      </c>
      <c r="BH43" s="427">
        <f>BD43*BF43/1000</f>
        <v>0.29079284833841679</v>
      </c>
      <c r="BI43" s="4907"/>
      <c r="BJ43" s="4908"/>
      <c r="BK43" s="4909"/>
      <c r="BL43" s="320"/>
    </row>
    <row r="44" spans="1:66" ht="36.75" customHeight="1" thickBot="1" x14ac:dyDescent="0.25">
      <c r="A44" s="655" t="s">
        <v>105</v>
      </c>
      <c r="B44" s="407"/>
      <c r="C44" s="407"/>
      <c r="D44" s="407"/>
      <c r="E44" s="407"/>
      <c r="F44" s="680"/>
      <c r="G44" s="681"/>
      <c r="H44" s="681"/>
      <c r="I44" s="681"/>
      <c r="J44" s="682">
        <v>9.1</v>
      </c>
      <c r="K44" s="683"/>
      <c r="L44" s="683"/>
      <c r="M44" s="684"/>
      <c r="N44" s="684"/>
      <c r="O44" s="686">
        <v>8.3000000000000007</v>
      </c>
      <c r="P44" s="687"/>
      <c r="Q44" s="687"/>
      <c r="R44" s="688"/>
      <c r="S44" s="689">
        <v>0.23</v>
      </c>
      <c r="T44" s="687"/>
      <c r="U44" s="687"/>
      <c r="V44" s="688"/>
      <c r="W44" s="689">
        <v>0.23</v>
      </c>
      <c r="X44" s="688"/>
      <c r="Y44" s="689">
        <v>8.3000000000000007</v>
      </c>
      <c r="Z44" s="407"/>
      <c r="AA44" s="407"/>
      <c r="AB44" s="407"/>
      <c r="AC44" s="687"/>
      <c r="AD44" s="687"/>
      <c r="AE44" s="688"/>
      <c r="AF44" s="689">
        <v>1.25</v>
      </c>
      <c r="AG44" s="691"/>
      <c r="AH44" s="692"/>
      <c r="AI44" s="692"/>
      <c r="AJ44" s="692"/>
      <c r="AK44" s="693">
        <v>9.1</v>
      </c>
      <c r="AL44" s="694"/>
      <c r="AM44" s="683"/>
      <c r="AN44" s="684"/>
      <c r="AO44" s="684"/>
      <c r="AP44" s="686">
        <f>AK44</f>
        <v>9.1</v>
      </c>
      <c r="AQ44" s="687"/>
      <c r="AR44" s="687"/>
      <c r="AS44" s="688"/>
      <c r="AT44" s="689"/>
      <c r="AU44" s="687"/>
      <c r="AV44" s="687"/>
      <c r="AW44" s="688"/>
      <c r="AX44" s="689"/>
      <c r="AY44" s="691"/>
      <c r="AZ44" s="692"/>
      <c r="BA44" s="692"/>
      <c r="BB44" s="692"/>
      <c r="BC44" s="693">
        <f>SUM(AP44*1.1)</f>
        <v>10.01</v>
      </c>
      <c r="BD44" s="694"/>
      <c r="BE44" s="683"/>
      <c r="BF44" s="684"/>
      <c r="BG44" s="684"/>
      <c r="BH44" s="686">
        <f>AF44</f>
        <v>1.25</v>
      </c>
      <c r="BI44" s="4907"/>
      <c r="BJ44" s="4908"/>
      <c r="BK44" s="4909"/>
      <c r="BL44" s="320"/>
    </row>
    <row r="45" spans="1:66" ht="36.75" customHeight="1" thickBot="1" x14ac:dyDescent="0.25">
      <c r="A45" s="698" t="s">
        <v>91</v>
      </c>
      <c r="B45" s="699"/>
      <c r="C45" s="699"/>
      <c r="D45" s="699"/>
      <c r="E45" s="699"/>
      <c r="F45" s="700"/>
      <c r="G45" s="701"/>
      <c r="H45" s="701"/>
      <c r="I45" s="701"/>
      <c r="J45" s="730">
        <f>SUM(J41:J44)</f>
        <v>598.48280000000011</v>
      </c>
      <c r="K45" s="703"/>
      <c r="L45" s="703"/>
      <c r="M45" s="704"/>
      <c r="N45" s="704"/>
      <c r="O45" s="706">
        <f>SUM(O42:O44)</f>
        <v>489.28469176470583</v>
      </c>
      <c r="P45" s="707"/>
      <c r="Q45" s="707"/>
      <c r="R45" s="708"/>
      <c r="S45" s="709">
        <f>SUM(S41:S44)</f>
        <v>179.26079999999999</v>
      </c>
      <c r="T45" s="707"/>
      <c r="U45" s="707"/>
      <c r="V45" s="708"/>
      <c r="W45" s="709">
        <f>SUM(W41:W44)</f>
        <v>271.41149999999999</v>
      </c>
      <c r="X45" s="708"/>
      <c r="Y45" s="709">
        <f>SUM(Y42:Y44)</f>
        <v>8.6710792966349111</v>
      </c>
      <c r="Z45" s="699"/>
      <c r="AA45" s="699"/>
      <c r="AB45" s="699"/>
      <c r="AC45" s="707"/>
      <c r="AD45" s="707"/>
      <c r="AE45" s="708"/>
      <c r="AF45" s="709">
        <f>SUM(AF41:AF44)</f>
        <v>368.69950000000006</v>
      </c>
      <c r="AG45" s="711"/>
      <c r="AH45" s="712"/>
      <c r="AI45" s="712"/>
      <c r="AJ45" s="712"/>
      <c r="AK45" s="731">
        <f>SUM(AK41:AK44)</f>
        <v>518.94200000000001</v>
      </c>
      <c r="AL45" s="714"/>
      <c r="AM45" s="703"/>
      <c r="AN45" s="704"/>
      <c r="AO45" s="704"/>
      <c r="AP45" s="706">
        <f>SUM(AP42:AP44)</f>
        <v>406.01364163361512</v>
      </c>
      <c r="AQ45" s="707"/>
      <c r="AR45" s="707"/>
      <c r="AS45" s="708"/>
      <c r="AT45" s="709">
        <f>SUM(AT41:AT44)</f>
        <v>0</v>
      </c>
      <c r="AU45" s="707"/>
      <c r="AV45" s="707"/>
      <c r="AW45" s="708"/>
      <c r="AX45" s="709">
        <f>SUM(AX41:AX44)</f>
        <v>0</v>
      </c>
      <c r="AY45" s="711"/>
      <c r="AZ45" s="712"/>
      <c r="BA45" s="712"/>
      <c r="BB45" s="712"/>
      <c r="BC45" s="731">
        <f>SUM(BC41:BC44)</f>
        <v>470.06770104470013</v>
      </c>
      <c r="BD45" s="714"/>
      <c r="BE45" s="703"/>
      <c r="BF45" s="704"/>
      <c r="BG45" s="704"/>
      <c r="BH45" s="706">
        <f>SUM(BH42:BH44)</f>
        <v>229.75931518119856</v>
      </c>
      <c r="BI45" s="4907"/>
      <c r="BJ45" s="4908"/>
      <c r="BK45" s="4909"/>
      <c r="BL45" s="321"/>
    </row>
    <row r="46" spans="1:66" ht="36.75" customHeight="1" thickBot="1" x14ac:dyDescent="0.25">
      <c r="A46" s="715" t="s">
        <v>126</v>
      </c>
      <c r="B46" s="407"/>
      <c r="C46" s="407"/>
      <c r="D46" s="407"/>
      <c r="E46" s="407"/>
      <c r="F46" s="716"/>
      <c r="G46" s="717">
        <f>объемы!E63</f>
        <v>3600</v>
      </c>
      <c r="H46" s="718"/>
      <c r="I46" s="718"/>
      <c r="J46" s="718"/>
      <c r="K46" s="719"/>
      <c r="L46" s="720" t="e">
        <f>объемы!G63</f>
        <v>#REF!</v>
      </c>
      <c r="M46" s="720"/>
      <c r="N46" s="720"/>
      <c r="O46" s="721"/>
      <c r="P46" s="722"/>
      <c r="Q46" s="723">
        <f>[48]объемы!H50</f>
        <v>1773.7999999999997</v>
      </c>
      <c r="R46" s="723"/>
      <c r="S46" s="724"/>
      <c r="T46" s="722"/>
      <c r="U46" s="723">
        <v>2603.1999999999998</v>
      </c>
      <c r="V46" s="723"/>
      <c r="W46" s="724"/>
      <c r="X46" s="723"/>
      <c r="Y46" s="724"/>
      <c r="Z46" s="407"/>
      <c r="AA46" s="407"/>
      <c r="AB46" s="407"/>
      <c r="AC46" s="722"/>
      <c r="AD46" s="723">
        <f>объемы!K62</f>
        <v>4393.3999999999996</v>
      </c>
      <c r="AE46" s="723"/>
      <c r="AF46" s="724"/>
      <c r="AG46" s="725"/>
      <c r="AH46" s="726">
        <f>объемы!L63</f>
        <v>3672.7</v>
      </c>
      <c r="AI46" s="727"/>
      <c r="AJ46" s="727"/>
      <c r="AK46" s="728"/>
      <c r="AL46" s="729"/>
      <c r="AM46" s="720">
        <f>объемы!M63</f>
        <v>3644.7</v>
      </c>
      <c r="AN46" s="720"/>
      <c r="AO46" s="720"/>
      <c r="AP46" s="721"/>
      <c r="AQ46" s="722"/>
      <c r="AR46" s="723">
        <f>SUM(объемы!P63)</f>
        <v>1670.74</v>
      </c>
      <c r="AS46" s="723"/>
      <c r="AT46" s="724"/>
      <c r="AU46" s="722"/>
      <c r="AV46" s="723">
        <f>SUM(объемы!S63)</f>
        <v>23.38</v>
      </c>
      <c r="AW46" s="723"/>
      <c r="AX46" s="724"/>
      <c r="AY46" s="725"/>
      <c r="AZ46" s="726">
        <f>SUM(объемы!T63)</f>
        <v>3473</v>
      </c>
      <c r="BA46" s="727"/>
      <c r="BB46" s="727"/>
      <c r="BC46" s="728"/>
      <c r="BD46" s="729"/>
      <c r="BE46" s="720">
        <f>SUM(объемы!AA63)</f>
        <v>3445</v>
      </c>
      <c r="BF46" s="720"/>
      <c r="BG46" s="720"/>
      <c r="BH46" s="721"/>
      <c r="BI46" s="4910"/>
      <c r="BJ46" s="4911"/>
      <c r="BK46" s="4912"/>
      <c r="BL46" s="322"/>
    </row>
    <row r="47" spans="1:66" x14ac:dyDescent="0.2">
      <c r="P47" s="172"/>
      <c r="Q47" s="172"/>
      <c r="R47" s="172"/>
    </row>
    <row r="49" spans="1:60" ht="18" x14ac:dyDescent="0.25">
      <c r="A49" s="4884" t="s">
        <v>414</v>
      </c>
      <c r="B49" s="4884"/>
      <c r="C49" s="4884"/>
      <c r="D49" s="4884"/>
      <c r="E49" s="4884"/>
      <c r="F49" s="4884"/>
      <c r="G49" s="4884"/>
      <c r="H49" s="4884"/>
      <c r="I49" s="4884"/>
      <c r="J49" s="4884"/>
      <c r="K49" s="4884"/>
      <c r="L49" s="4884"/>
      <c r="M49" s="4884"/>
    </row>
    <row r="51" spans="1:60" ht="63.75" x14ac:dyDescent="0.2">
      <c r="A51" s="25"/>
      <c r="B51" s="25"/>
      <c r="C51" s="25"/>
      <c r="D51" s="25"/>
      <c r="E51" s="25"/>
      <c r="F51" s="168" t="s">
        <v>406</v>
      </c>
      <c r="G51" s="168" t="s">
        <v>407</v>
      </c>
      <c r="H51" s="168" t="s">
        <v>408</v>
      </c>
      <c r="I51" s="168"/>
      <c r="J51" s="168" t="s">
        <v>409</v>
      </c>
      <c r="K51" s="327" t="s">
        <v>411</v>
      </c>
      <c r="L51" s="327" t="s">
        <v>412</v>
      </c>
      <c r="M51" s="327" t="s">
        <v>413</v>
      </c>
      <c r="BH51">
        <f>BH45*0.25</f>
        <v>57.43982879529964</v>
      </c>
    </row>
    <row r="52" spans="1:60" x14ac:dyDescent="0.2">
      <c r="A52" s="25" t="s">
        <v>402</v>
      </c>
      <c r="B52" s="25"/>
      <c r="C52" s="25"/>
      <c r="D52" s="25"/>
      <c r="E52" s="25"/>
      <c r="F52" s="154">
        <v>40000</v>
      </c>
      <c r="G52" s="154">
        <f>81375/14000</f>
        <v>5.8125</v>
      </c>
      <c r="H52" s="147">
        <v>1.0620000000000001</v>
      </c>
      <c r="I52" s="147"/>
      <c r="J52" s="147">
        <v>1.1000000000000001</v>
      </c>
      <c r="K52" s="154">
        <f>F52*H52</f>
        <v>42480</v>
      </c>
      <c r="L52" s="154">
        <f>G52*J52</f>
        <v>6.3937500000000007</v>
      </c>
      <c r="M52" s="154">
        <f>K52+L52</f>
        <v>42486.393750000003</v>
      </c>
    </row>
    <row r="53" spans="1:60" x14ac:dyDescent="0.2">
      <c r="A53" s="25" t="s">
        <v>403</v>
      </c>
      <c r="B53" s="25"/>
      <c r="C53" s="25"/>
      <c r="D53" s="25"/>
      <c r="E53" s="25"/>
      <c r="F53" s="154">
        <v>73000</v>
      </c>
      <c r="G53" s="154">
        <v>0</v>
      </c>
      <c r="H53" s="147">
        <v>1.0620000000000001</v>
      </c>
      <c r="I53" s="147"/>
      <c r="J53" s="147">
        <v>1.1000000000000001</v>
      </c>
      <c r="K53" s="154">
        <f>F53*H53</f>
        <v>77526</v>
      </c>
      <c r="L53" s="154">
        <f>G53*J53</f>
        <v>0</v>
      </c>
      <c r="M53" s="154">
        <f>K53+L53</f>
        <v>77526</v>
      </c>
    </row>
    <row r="54" spans="1:60" x14ac:dyDescent="0.2">
      <c r="A54" s="25" t="s">
        <v>404</v>
      </c>
      <c r="B54" s="25"/>
      <c r="C54" s="25"/>
      <c r="D54" s="25"/>
      <c r="E54" s="25"/>
      <c r="F54" s="154">
        <v>16560</v>
      </c>
      <c r="G54" s="154">
        <v>0</v>
      </c>
      <c r="H54" s="147">
        <v>1.0620000000000001</v>
      </c>
      <c r="I54" s="147"/>
      <c r="J54" s="147">
        <v>1.1000000000000001</v>
      </c>
      <c r="K54" s="154">
        <f>F54*H54</f>
        <v>17586.72</v>
      </c>
      <c r="L54" s="154">
        <f>G54*J54</f>
        <v>0</v>
      </c>
      <c r="M54" s="154">
        <f>K54+L54</f>
        <v>17586.72</v>
      </c>
    </row>
    <row r="55" spans="1:60" x14ac:dyDescent="0.2">
      <c r="A55" s="25" t="s">
        <v>405</v>
      </c>
      <c r="B55" s="25"/>
      <c r="C55" s="25"/>
      <c r="D55" s="25"/>
      <c r="E55" s="25"/>
      <c r="F55" s="154">
        <v>23722.99</v>
      </c>
      <c r="G55" s="154">
        <v>0</v>
      </c>
      <c r="H55" s="147">
        <v>1.0620000000000001</v>
      </c>
      <c r="I55" s="147"/>
      <c r="J55" s="147">
        <v>1.1000000000000001</v>
      </c>
      <c r="K55" s="154">
        <f>F55*H55</f>
        <v>25193.815380000004</v>
      </c>
      <c r="L55" s="154">
        <f>G55*J55</f>
        <v>0</v>
      </c>
      <c r="M55" s="154">
        <f>K55+L55</f>
        <v>25193.815380000004</v>
      </c>
    </row>
    <row r="56" spans="1:60" x14ac:dyDescent="0.2">
      <c r="A56" s="25" t="s">
        <v>410</v>
      </c>
      <c r="B56" s="25"/>
      <c r="C56" s="25"/>
      <c r="D56" s="25"/>
      <c r="E56" s="25"/>
      <c r="F56" s="154">
        <f>4279.66</f>
        <v>4279.66</v>
      </c>
      <c r="G56" s="154">
        <v>0</v>
      </c>
      <c r="H56" s="147">
        <v>1.0620000000000001</v>
      </c>
      <c r="I56" s="147"/>
      <c r="J56" s="147">
        <v>1.1000000000000001</v>
      </c>
      <c r="K56" s="154">
        <f>F56*H56</f>
        <v>4544.99892</v>
      </c>
      <c r="L56" s="154">
        <f>G56*J56</f>
        <v>0</v>
      </c>
      <c r="M56" s="154">
        <f>K56+L56</f>
        <v>4544.99892</v>
      </c>
    </row>
    <row r="58" spans="1:60" ht="18" x14ac:dyDescent="0.25">
      <c r="A58" s="4884" t="s">
        <v>869</v>
      </c>
      <c r="B58" s="4884"/>
      <c r="C58" s="4884"/>
      <c r="D58" s="4884"/>
      <c r="E58" s="4884"/>
      <c r="F58" s="4884"/>
      <c r="G58" s="4884"/>
      <c r="H58" s="4884"/>
      <c r="I58" s="4884"/>
      <c r="J58" s="4884"/>
      <c r="K58" s="4884"/>
      <c r="L58" s="4884"/>
      <c r="M58" s="4884"/>
    </row>
    <row r="60" spans="1:60" ht="63.75" x14ac:dyDescent="0.2">
      <c r="A60" s="25"/>
      <c r="B60" s="25"/>
      <c r="C60" s="25"/>
      <c r="D60" s="25"/>
      <c r="E60" s="25"/>
      <c r="F60" s="951" t="s">
        <v>866</v>
      </c>
      <c r="G60" s="951" t="s">
        <v>407</v>
      </c>
      <c r="H60" s="951" t="s">
        <v>867</v>
      </c>
      <c r="I60" s="951"/>
      <c r="J60" s="951" t="s">
        <v>868</v>
      </c>
      <c r="K60" s="327" t="s">
        <v>411</v>
      </c>
      <c r="L60" s="327" t="s">
        <v>412</v>
      </c>
      <c r="M60" s="327" t="s">
        <v>413</v>
      </c>
      <c r="O60" s="4882" t="s">
        <v>1488</v>
      </c>
      <c r="P60" s="4883"/>
      <c r="Q60" s="4883"/>
    </row>
    <row r="61" spans="1:60" x14ac:dyDescent="0.2">
      <c r="A61" s="25" t="s">
        <v>402</v>
      </c>
      <c r="B61" s="25"/>
      <c r="C61" s="25"/>
      <c r="D61" s="25"/>
      <c r="E61" s="25"/>
      <c r="F61" s="154">
        <v>40000</v>
      </c>
      <c r="G61" s="154">
        <f>81375/14000</f>
        <v>5.8125</v>
      </c>
      <c r="H61" s="147">
        <v>1.0940000000000001</v>
      </c>
      <c r="I61" s="147"/>
      <c r="J61" s="147">
        <v>1.1000000000000001</v>
      </c>
      <c r="K61" s="154">
        <f>F61*H61</f>
        <v>43760</v>
      </c>
      <c r="L61" s="154">
        <f>G61*J61</f>
        <v>6.3937500000000007</v>
      </c>
      <c r="M61" s="154">
        <f>K61+L61</f>
        <v>43766.393750000003</v>
      </c>
      <c r="O61" s="1364">
        <v>31190</v>
      </c>
      <c r="P61" s="1364">
        <v>35000</v>
      </c>
      <c r="Q61" s="1364"/>
    </row>
    <row r="62" spans="1:60" x14ac:dyDescent="0.2">
      <c r="A62" s="25" t="s">
        <v>403</v>
      </c>
      <c r="B62" s="25"/>
      <c r="C62" s="25"/>
      <c r="D62" s="25"/>
      <c r="E62" s="25"/>
      <c r="F62" s="154">
        <v>73000</v>
      </c>
      <c r="G62" s="154">
        <v>0</v>
      </c>
      <c r="H62" s="147">
        <f>H61</f>
        <v>1.0940000000000001</v>
      </c>
      <c r="I62" s="147"/>
      <c r="J62" s="147">
        <v>1.1000000000000001</v>
      </c>
      <c r="K62" s="154">
        <f>F62*H62</f>
        <v>79862</v>
      </c>
      <c r="L62" s="154">
        <f>G62*J62</f>
        <v>0</v>
      </c>
      <c r="M62" s="154">
        <f>K62+L62</f>
        <v>79862</v>
      </c>
      <c r="O62" s="1364"/>
      <c r="P62" s="1364"/>
      <c r="Q62" s="1364">
        <v>73000</v>
      </c>
    </row>
    <row r="63" spans="1:60" x14ac:dyDescent="0.2">
      <c r="A63" s="25" t="s">
        <v>404</v>
      </c>
      <c r="B63" s="25"/>
      <c r="C63" s="25"/>
      <c r="D63" s="25"/>
      <c r="E63" s="25"/>
      <c r="F63" s="154">
        <v>13559.32</v>
      </c>
      <c r="G63" s="154">
        <v>0</v>
      </c>
      <c r="H63" s="147">
        <f t="shared" ref="H63:H65" si="12">H62</f>
        <v>1.0940000000000001</v>
      </c>
      <c r="I63" s="147"/>
      <c r="J63" s="147">
        <v>1.1000000000000001</v>
      </c>
      <c r="K63" s="154">
        <f>F63*H63</f>
        <v>14833.89608</v>
      </c>
      <c r="L63" s="154">
        <f>G63*J63</f>
        <v>0</v>
      </c>
      <c r="M63" s="154">
        <f>K63+L63</f>
        <v>14833.89608</v>
      </c>
      <c r="O63" s="1364">
        <v>12838</v>
      </c>
      <c r="P63" s="1364">
        <v>22000</v>
      </c>
      <c r="Q63" s="1364">
        <v>13600</v>
      </c>
    </row>
    <row r="64" spans="1:60" ht="38.25" x14ac:dyDescent="0.2">
      <c r="A64" s="25" t="s">
        <v>405</v>
      </c>
      <c r="B64" s="25"/>
      <c r="C64" s="25"/>
      <c r="D64" s="25"/>
      <c r="E64" s="25"/>
      <c r="F64" s="154">
        <f>24000/1.18</f>
        <v>20338.983050847459</v>
      </c>
      <c r="G64" s="154">
        <v>0</v>
      </c>
      <c r="H64" s="1401" t="s">
        <v>1511</v>
      </c>
      <c r="I64" s="147"/>
      <c r="J64" s="147">
        <v>1.1000000000000001</v>
      </c>
      <c r="K64" s="154">
        <f>28813.56</f>
        <v>28813.56</v>
      </c>
      <c r="L64" s="154">
        <f>G64*J64</f>
        <v>0</v>
      </c>
      <c r="M64" s="154">
        <f>K64+L64</f>
        <v>28813.56</v>
      </c>
      <c r="O64" s="1364"/>
      <c r="P64" s="1364"/>
      <c r="Q64" s="1364"/>
    </row>
    <row r="65" spans="1:17" ht="38.25" x14ac:dyDescent="0.2">
      <c r="A65" s="25" t="s">
        <v>410</v>
      </c>
      <c r="B65" s="25"/>
      <c r="C65" s="25"/>
      <c r="D65" s="25"/>
      <c r="E65" s="25"/>
      <c r="F65" s="154">
        <f>17200/1.18</f>
        <v>14576.271186440679</v>
      </c>
      <c r="G65" s="154">
        <v>0</v>
      </c>
      <c r="H65" s="1401" t="str">
        <f t="shared" si="12"/>
        <v>цена производителя</v>
      </c>
      <c r="I65" s="147"/>
      <c r="J65" s="147">
        <v>1.1000000000000001</v>
      </c>
      <c r="K65" s="154">
        <f>16644.07</f>
        <v>16644.07</v>
      </c>
      <c r="L65" s="154">
        <f>G65*J65</f>
        <v>0</v>
      </c>
      <c r="M65" s="154">
        <f>K65+L65</f>
        <v>16644.07</v>
      </c>
      <c r="O65" s="1364">
        <v>7500</v>
      </c>
      <c r="P65" s="1364"/>
      <c r="Q65" s="1364">
        <v>8000</v>
      </c>
    </row>
    <row r="66" spans="1:17" x14ac:dyDescent="0.2">
      <c r="O66" t="s">
        <v>1489</v>
      </c>
      <c r="P66" t="s">
        <v>1490</v>
      </c>
      <c r="Q66" t="s">
        <v>1491</v>
      </c>
    </row>
  </sheetData>
  <mergeCells count="35">
    <mergeCell ref="BD27:BH27"/>
    <mergeCell ref="AY26:BH26"/>
    <mergeCell ref="AQ27:AT27"/>
    <mergeCell ref="AU27:AX27"/>
    <mergeCell ref="AG26:AX26"/>
    <mergeCell ref="AY27:BC27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A4:A6"/>
    <mergeCell ref="F4:J5"/>
    <mergeCell ref="K4:O5"/>
    <mergeCell ref="B5:E5"/>
    <mergeCell ref="X5:AB5"/>
    <mergeCell ref="P4:W4"/>
    <mergeCell ref="T5:W5"/>
    <mergeCell ref="P5:S5"/>
    <mergeCell ref="O60:Q60"/>
    <mergeCell ref="A58:M58"/>
    <mergeCell ref="A49:M49"/>
    <mergeCell ref="P27:S27"/>
    <mergeCell ref="T27:Y27"/>
  </mergeCells>
  <phoneticPr fontId="9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1"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4474"/>
      <c r="CA1" s="4474"/>
      <c r="CB1" s="4474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4474"/>
      <c r="CA2" s="4474"/>
      <c r="CB2" s="4474"/>
    </row>
    <row r="3" spans="1:80" ht="18.75" hidden="1" customHeight="1" x14ac:dyDescent="0.3">
      <c r="A3" s="4955" t="s">
        <v>236</v>
      </c>
      <c r="B3" s="4955"/>
      <c r="C3" s="4955"/>
      <c r="D3" s="4955"/>
      <c r="E3" s="4955"/>
      <c r="F3" s="4955"/>
      <c r="G3" s="4955"/>
      <c r="H3" s="4955"/>
      <c r="I3" s="4955"/>
      <c r="J3" s="4955"/>
      <c r="K3" s="4955"/>
      <c r="L3" s="4955"/>
      <c r="M3" s="4955"/>
      <c r="N3" s="4955"/>
      <c r="O3" s="4955"/>
      <c r="P3" s="4955"/>
      <c r="Q3" s="4955"/>
      <c r="R3" s="4955"/>
      <c r="S3" s="4955"/>
      <c r="T3" s="4955"/>
      <c r="U3" s="4955"/>
      <c r="V3" s="4955"/>
      <c r="W3" s="4955"/>
      <c r="X3" s="4955"/>
      <c r="Y3" s="4955"/>
      <c r="Z3" s="4955"/>
      <c r="AA3" s="4955"/>
      <c r="AB3" s="4955"/>
      <c r="AC3" s="4955"/>
      <c r="AD3" s="4955"/>
      <c r="AE3" s="4955"/>
      <c r="AF3" s="4955"/>
      <c r="AG3" s="4955"/>
      <c r="AH3" s="4955"/>
      <c r="AI3" s="4955"/>
      <c r="AJ3" s="4955"/>
      <c r="AK3" s="4955"/>
      <c r="AL3" s="4955"/>
      <c r="BZ3" s="4474"/>
      <c r="CA3" s="4474"/>
      <c r="CB3" s="4474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4474"/>
      <c r="CA4" s="4474"/>
      <c r="CB4" s="4474"/>
    </row>
    <row r="5" spans="1:80" ht="15.75" hidden="1" customHeight="1" x14ac:dyDescent="0.25">
      <c r="A5" s="4956"/>
      <c r="B5" s="90"/>
      <c r="C5" s="90"/>
      <c r="D5" s="90"/>
      <c r="E5" s="90"/>
      <c r="F5" s="90"/>
      <c r="G5" s="90"/>
      <c r="H5" s="4957" t="s">
        <v>58</v>
      </c>
      <c r="I5" s="4957"/>
      <c r="J5" s="4957"/>
      <c r="K5" s="4957" t="s">
        <v>66</v>
      </c>
      <c r="L5" s="4957"/>
      <c r="M5" s="4957"/>
      <c r="N5" s="4957"/>
      <c r="O5" s="4957" t="s">
        <v>92</v>
      </c>
      <c r="P5" s="4957"/>
      <c r="Q5" s="4957"/>
      <c r="R5" s="4958" t="s">
        <v>205</v>
      </c>
      <c r="S5" s="4959"/>
      <c r="T5" s="4959"/>
      <c r="U5" s="4960"/>
      <c r="V5" s="4900" t="s">
        <v>155</v>
      </c>
      <c r="W5" s="4900"/>
      <c r="X5" s="4900"/>
      <c r="Y5" s="4900"/>
      <c r="Z5" s="4900"/>
      <c r="AA5" s="4900"/>
      <c r="AB5" s="4900"/>
      <c r="AC5" s="4900"/>
      <c r="AD5" s="4900"/>
      <c r="AE5" s="4964"/>
      <c r="AF5" s="4964"/>
      <c r="AG5" s="4964"/>
      <c r="AH5" s="4900"/>
      <c r="AI5" s="4900"/>
      <c r="AJ5" s="4900"/>
      <c r="AK5" s="4900"/>
      <c r="AL5" s="4900"/>
      <c r="AM5" s="4900"/>
      <c r="AN5" s="4900"/>
      <c r="AO5" s="4900"/>
      <c r="BZ5" s="4474"/>
      <c r="CA5" s="4474"/>
      <c r="CB5" s="4474"/>
    </row>
    <row r="6" spans="1:80" ht="12.75" hidden="1" customHeight="1" x14ac:dyDescent="0.2">
      <c r="A6" s="4956"/>
      <c r="B6" s="1391"/>
      <c r="C6" s="91" t="s">
        <v>127</v>
      </c>
      <c r="D6" s="91"/>
      <c r="E6" s="1391"/>
      <c r="F6" s="91" t="s">
        <v>128</v>
      </c>
      <c r="G6" s="91"/>
      <c r="H6" s="4957"/>
      <c r="I6" s="4957"/>
      <c r="J6" s="4957"/>
      <c r="K6" s="4957"/>
      <c r="L6" s="4957"/>
      <c r="M6" s="4957"/>
      <c r="N6" s="4957"/>
      <c r="O6" s="4957"/>
      <c r="P6" s="4957"/>
      <c r="Q6" s="4957"/>
      <c r="R6" s="4961"/>
      <c r="S6" s="4962"/>
      <c r="T6" s="4962"/>
      <c r="U6" s="4963"/>
      <c r="V6" s="4965" t="s">
        <v>119</v>
      </c>
      <c r="W6" s="4965"/>
      <c r="X6" s="4965"/>
      <c r="Y6" s="4965"/>
      <c r="Z6" s="4965" t="s">
        <v>120</v>
      </c>
      <c r="AA6" s="4965"/>
      <c r="AB6" s="4965"/>
      <c r="AC6" s="4965"/>
      <c r="AD6" s="4957" t="s">
        <v>231</v>
      </c>
      <c r="AE6" s="4966"/>
      <c r="AF6" s="4966"/>
      <c r="AG6" s="4966"/>
      <c r="AH6" s="4957"/>
      <c r="AI6" s="4957"/>
      <c r="AJ6" s="4967" t="s">
        <v>235</v>
      </c>
      <c r="AK6" s="4967"/>
      <c r="AL6" s="4967"/>
      <c r="AM6" s="4967" t="s">
        <v>363</v>
      </c>
      <c r="AN6" s="4967"/>
      <c r="AO6" s="4967"/>
      <c r="BZ6" s="4474"/>
      <c r="CA6" s="4474"/>
      <c r="CB6" s="4474"/>
    </row>
    <row r="7" spans="1:80" ht="12.75" hidden="1" customHeight="1" x14ac:dyDescent="0.2">
      <c r="A7" s="4956"/>
      <c r="B7" s="1391" t="s">
        <v>129</v>
      </c>
      <c r="C7" s="1391" t="s">
        <v>130</v>
      </c>
      <c r="D7" s="1391" t="s">
        <v>45</v>
      </c>
      <c r="E7" s="1391" t="s">
        <v>129</v>
      </c>
      <c r="F7" s="1391" t="s">
        <v>130</v>
      </c>
      <c r="G7" s="1391" t="s">
        <v>45</v>
      </c>
      <c r="H7" s="4967" t="s">
        <v>144</v>
      </c>
      <c r="I7" s="4967" t="s">
        <v>131</v>
      </c>
      <c r="J7" s="4967" t="s">
        <v>99</v>
      </c>
      <c r="K7" s="4967" t="s">
        <v>222</v>
      </c>
      <c r="L7" s="4968" t="s">
        <v>145</v>
      </c>
      <c r="M7" s="4970" t="s">
        <v>99</v>
      </c>
      <c r="N7" s="4971"/>
      <c r="O7" s="4967" t="s">
        <v>144</v>
      </c>
      <c r="P7" s="4967" t="s">
        <v>131</v>
      </c>
      <c r="Q7" s="4967" t="s">
        <v>99</v>
      </c>
      <c r="R7" s="4967" t="s">
        <v>144</v>
      </c>
      <c r="S7" s="4967" t="s">
        <v>131</v>
      </c>
      <c r="T7" s="4967" t="s">
        <v>99</v>
      </c>
      <c r="U7" s="1387"/>
      <c r="V7" s="4967" t="s">
        <v>112</v>
      </c>
      <c r="W7" s="4967"/>
      <c r="X7" s="4967" t="s">
        <v>145</v>
      </c>
      <c r="Y7" s="4967" t="s">
        <v>99</v>
      </c>
      <c r="Z7" s="4967" t="s">
        <v>112</v>
      </c>
      <c r="AA7" s="4967"/>
      <c r="AB7" s="4967" t="s">
        <v>145</v>
      </c>
      <c r="AC7" s="4967" t="s">
        <v>99</v>
      </c>
      <c r="AD7" s="4967" t="s">
        <v>144</v>
      </c>
      <c r="AE7" s="745"/>
      <c r="AF7" s="745"/>
      <c r="AG7" s="745"/>
      <c r="AH7" s="4967" t="s">
        <v>131</v>
      </c>
      <c r="AI7" s="4967" t="s">
        <v>99</v>
      </c>
      <c r="AJ7" s="4967" t="s">
        <v>144</v>
      </c>
      <c r="AK7" s="4967" t="s">
        <v>131</v>
      </c>
      <c r="AL7" s="4967" t="s">
        <v>99</v>
      </c>
      <c r="AM7" s="4967" t="s">
        <v>144</v>
      </c>
      <c r="AN7" s="4967" t="s">
        <v>131</v>
      </c>
      <c r="AO7" s="4967" t="s">
        <v>99</v>
      </c>
      <c r="BZ7" s="4474"/>
      <c r="CA7" s="4474"/>
      <c r="CB7" s="4474"/>
    </row>
    <row r="8" spans="1:80" ht="32.25" hidden="1" customHeight="1" x14ac:dyDescent="0.2">
      <c r="A8" s="4956"/>
      <c r="B8" s="1391"/>
      <c r="C8" s="1391"/>
      <c r="D8" s="1391"/>
      <c r="E8" s="1391"/>
      <c r="F8" s="1391"/>
      <c r="G8" s="1391"/>
      <c r="H8" s="4967"/>
      <c r="I8" s="4967"/>
      <c r="J8" s="4967"/>
      <c r="K8" s="4967"/>
      <c r="L8" s="4969"/>
      <c r="M8" s="4972"/>
      <c r="N8" s="4973"/>
      <c r="O8" s="4967"/>
      <c r="P8" s="4967"/>
      <c r="Q8" s="4967"/>
      <c r="R8" s="4967"/>
      <c r="S8" s="4967"/>
      <c r="T8" s="4967"/>
      <c r="U8" s="1387"/>
      <c r="V8" s="23" t="s">
        <v>223</v>
      </c>
      <c r="W8" s="1387" t="s">
        <v>159</v>
      </c>
      <c r="X8" s="4967"/>
      <c r="Y8" s="4967"/>
      <c r="Z8" s="1387" t="s">
        <v>223</v>
      </c>
      <c r="AA8" s="1387" t="s">
        <v>159</v>
      </c>
      <c r="AB8" s="4967"/>
      <c r="AC8" s="4967"/>
      <c r="AD8" s="4967"/>
      <c r="AE8" s="745"/>
      <c r="AF8" s="745"/>
      <c r="AG8" s="745"/>
      <c r="AH8" s="4967"/>
      <c r="AI8" s="4967"/>
      <c r="AJ8" s="4967"/>
      <c r="AK8" s="4967"/>
      <c r="AL8" s="4967"/>
      <c r="AM8" s="4967"/>
      <c r="AN8" s="4967"/>
      <c r="AO8" s="4967"/>
      <c r="BZ8" s="4474"/>
      <c r="CA8" s="4474"/>
      <c r="CB8" s="4474"/>
    </row>
    <row r="9" spans="1:80" ht="12.75" hidden="1" customHeight="1" x14ac:dyDescent="0.2">
      <c r="A9" s="81" t="s">
        <v>132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6"/>
      <c r="AF9" s="746"/>
      <c r="AG9" s="746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  <c r="BZ9" s="4474"/>
      <c r="CA9" s="4474"/>
      <c r="CB9" s="4474"/>
    </row>
    <row r="10" spans="1:80" ht="12.75" hidden="1" customHeight="1" x14ac:dyDescent="0.2">
      <c r="A10" s="81" t="s">
        <v>158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6"/>
      <c r="AF10" s="746"/>
      <c r="AG10" s="746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  <c r="BZ10" s="4474"/>
      <c r="CA10" s="4474"/>
      <c r="CB10" s="4474"/>
    </row>
    <row r="11" spans="1:80" ht="12.75" hidden="1" customHeight="1" x14ac:dyDescent="0.2">
      <c r="A11" s="81" t="s">
        <v>133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7"/>
      <c r="AF11" s="747"/>
      <c r="AG11" s="747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  <c r="BZ11" s="4474"/>
      <c r="CA11" s="4474"/>
      <c r="CB11" s="4474"/>
    </row>
    <row r="12" spans="1:80" ht="12.75" hidden="1" customHeight="1" x14ac:dyDescent="0.2">
      <c r="A12" s="81" t="s">
        <v>158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6"/>
      <c r="AF12" s="746"/>
      <c r="AG12" s="746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  <c r="BZ12" s="4474"/>
      <c r="CA12" s="4474"/>
      <c r="CB12" s="4474"/>
    </row>
    <row r="13" spans="1:80" ht="13.5" hidden="1" customHeight="1" x14ac:dyDescent="0.25">
      <c r="A13" s="142" t="s">
        <v>134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8"/>
      <c r="AF13" s="748"/>
      <c r="AG13" s="748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4474"/>
      <c r="CA13" s="4474"/>
      <c r="CB13" s="4474"/>
    </row>
    <row r="14" spans="1:80" ht="12.75" hidden="1" customHeight="1" x14ac:dyDescent="0.2">
      <c r="A14" s="81" t="s">
        <v>135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6"/>
      <c r="AF14" s="746"/>
      <c r="AG14" s="746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  <c r="BZ14" s="4474"/>
      <c r="CA14" s="4474"/>
      <c r="CB14" s="4474"/>
    </row>
    <row r="15" spans="1:80" ht="12.75" hidden="1" customHeight="1" x14ac:dyDescent="0.2">
      <c r="A15" s="81" t="s">
        <v>136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6"/>
      <c r="AF15" s="746"/>
      <c r="AG15" s="746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  <c r="BZ15" s="4474"/>
      <c r="CA15" s="4474"/>
      <c r="CB15" s="4474"/>
    </row>
    <row r="16" spans="1:80" ht="12.75" hidden="1" customHeight="1" x14ac:dyDescent="0.2">
      <c r="A16" s="81" t="s">
        <v>158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6"/>
      <c r="AF16" s="746"/>
      <c r="AG16" s="746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  <c r="BZ16" s="4474"/>
      <c r="CA16" s="4474"/>
      <c r="CB16" s="4474"/>
    </row>
    <row r="17" spans="1:80" ht="13.5" hidden="1" customHeight="1" x14ac:dyDescent="0.25">
      <c r="A17" s="142" t="s">
        <v>137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386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8"/>
      <c r="AF17" s="748"/>
      <c r="AG17" s="748"/>
      <c r="AH17" s="133">
        <f>SUM(AH14:AH16)</f>
        <v>1910.364</v>
      </c>
      <c r="AI17" s="133">
        <f>SUM(AI14:AI16)</f>
        <v>7334.5</v>
      </c>
      <c r="AJ17" s="1391"/>
      <c r="AK17" s="133">
        <f>AK14+AK15+AK16</f>
        <v>578.36399999999992</v>
      </c>
      <c r="AL17" s="133">
        <f>AL14+AL15+AL16</f>
        <v>2424.3000000000002</v>
      </c>
      <c r="AM17" s="1391"/>
      <c r="AN17" s="133">
        <f>AN14+AN15+AN16</f>
        <v>2653.2000000000003</v>
      </c>
      <c r="AO17" s="133">
        <f>AO14+AO15+AO16</f>
        <v>0</v>
      </c>
      <c r="BZ17" s="4474"/>
      <c r="CA17" s="4474"/>
      <c r="CB17" s="4474"/>
    </row>
    <row r="18" spans="1:80" ht="12.75" hidden="1" customHeight="1" x14ac:dyDescent="0.2">
      <c r="A18" s="81"/>
      <c r="B18" s="57"/>
      <c r="C18" s="19"/>
      <c r="D18" s="1391"/>
      <c r="E18" s="57"/>
      <c r="F18" s="19"/>
      <c r="G18" s="1391"/>
      <c r="H18" s="57"/>
      <c r="I18" s="19"/>
      <c r="J18" s="1391"/>
      <c r="K18" s="76"/>
      <c r="L18" s="77"/>
      <c r="M18" s="78"/>
      <c r="N18" s="79"/>
      <c r="O18" s="57"/>
      <c r="P18" s="19"/>
      <c r="Q18" s="1391"/>
      <c r="R18" s="1391"/>
      <c r="S18" s="1391"/>
      <c r="T18" s="1391"/>
      <c r="U18" s="1391"/>
      <c r="V18" s="2"/>
      <c r="W18" s="2"/>
      <c r="X18" s="2"/>
      <c r="Y18" s="2"/>
      <c r="Z18" s="2"/>
      <c r="AA18" s="2"/>
      <c r="AB18" s="2"/>
      <c r="AC18" s="2"/>
      <c r="AD18" s="57"/>
      <c r="AE18" s="747"/>
      <c r="AF18" s="747"/>
      <c r="AG18" s="747"/>
      <c r="AH18" s="1391"/>
      <c r="AI18" s="1391"/>
      <c r="AJ18" s="62"/>
      <c r="AK18" s="1391"/>
      <c r="AL18" s="62"/>
      <c r="AM18" s="62"/>
      <c r="AN18" s="1391"/>
      <c r="AO18" s="62"/>
      <c r="BZ18" s="4474"/>
      <c r="CA18" s="4474"/>
      <c r="CB18" s="4474"/>
    </row>
    <row r="19" spans="1:80" ht="12.75" hidden="1" customHeight="1" x14ac:dyDescent="0.2">
      <c r="A19" s="81" t="s">
        <v>138</v>
      </c>
      <c r="B19" s="62"/>
      <c r="C19" s="62"/>
      <c r="D19" s="62"/>
      <c r="E19" s="62"/>
      <c r="F19" s="62"/>
      <c r="G19" s="62"/>
      <c r="H19" s="62"/>
      <c r="I19" s="1391">
        <v>8838.9</v>
      </c>
      <c r="J19" s="62"/>
      <c r="K19" s="80"/>
      <c r="L19" s="19">
        <v>8862.9</v>
      </c>
      <c r="M19" s="78"/>
      <c r="N19" s="79"/>
      <c r="O19" s="62"/>
      <c r="P19" s="11">
        <f>объемы!G10</f>
        <v>8372.9</v>
      </c>
      <c r="Q19" s="62"/>
      <c r="R19" s="62"/>
      <c r="S19" s="1391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1"/>
      <c r="AE19" s="749"/>
      <c r="AF19" s="749"/>
      <c r="AG19" s="749"/>
      <c r="AH19" s="1391">
        <f>3309.7+2615.3</f>
        <v>5925</v>
      </c>
      <c r="AI19" s="62"/>
      <c r="AJ19" s="1391"/>
      <c r="AK19" s="93">
        <f>645.46+642.86+630.6</f>
        <v>1918.92</v>
      </c>
      <c r="AL19" s="1391"/>
      <c r="AM19" s="1391"/>
      <c r="AN19" s="93">
        <v>7835.7</v>
      </c>
      <c r="AO19" s="1391"/>
      <c r="BZ19" s="4474"/>
      <c r="CA19" s="4474"/>
      <c r="CB19" s="4474"/>
    </row>
    <row r="20" spans="1:80" ht="25.5" hidden="1" customHeight="1" x14ac:dyDescent="0.2">
      <c r="A20" s="81" t="s">
        <v>139</v>
      </c>
      <c r="B20" s="57"/>
      <c r="C20" s="19"/>
      <c r="D20" s="1391"/>
      <c r="E20" s="57"/>
      <c r="F20" s="19"/>
      <c r="G20" s="1391"/>
      <c r="H20" s="57"/>
      <c r="I20" s="93">
        <f>(I9/I19)/1000</f>
        <v>0.1666905384154137</v>
      </c>
      <c r="J20" s="1390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391"/>
      <c r="R20" s="1391"/>
      <c r="S20" s="93">
        <f>S9/S19</f>
        <v>0.15158469453569126</v>
      </c>
      <c r="T20" s="1391"/>
      <c r="U20" s="1391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7"/>
      <c r="AF20" s="747"/>
      <c r="AG20" s="747"/>
      <c r="AH20" s="93">
        <f>AH9/AH19</f>
        <v>0.14554379746835441</v>
      </c>
      <c r="AI20" s="1391"/>
      <c r="AJ20" s="1391"/>
      <c r="AK20" s="93">
        <f>AK9/AK19</f>
        <v>0.12606153461321992</v>
      </c>
      <c r="AL20" s="1391"/>
      <c r="AM20" s="1391"/>
      <c r="AN20" s="93">
        <f>AN9/AN19</f>
        <v>0.14533481373712623</v>
      </c>
      <c r="AO20" s="1391"/>
      <c r="AP20" s="323">
        <f>(L20+P20+S20+AN20)/4</f>
        <v>0.15880621825734828</v>
      </c>
      <c r="BZ20" s="4474"/>
      <c r="CA20" s="4474"/>
      <c r="CB20" s="4474"/>
    </row>
    <row r="21" spans="1:80" ht="12.75" hidden="1" customHeight="1" x14ac:dyDescent="0.2">
      <c r="A21" s="81" t="s">
        <v>152</v>
      </c>
      <c r="B21" s="57"/>
      <c r="C21" s="19"/>
      <c r="D21" s="1391"/>
      <c r="E21" s="57"/>
      <c r="F21" s="19"/>
      <c r="G21" s="1391"/>
      <c r="H21" s="57"/>
      <c r="I21" s="93">
        <f>I19</f>
        <v>8838.9</v>
      </c>
      <c r="J21" s="1390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391"/>
      <c r="R21" s="1391"/>
      <c r="S21" s="1390">
        <f>S19</f>
        <v>6666.9</v>
      </c>
      <c r="T21" s="1391"/>
      <c r="U21" s="1391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7"/>
      <c r="AF21" s="747"/>
      <c r="AG21" s="747"/>
      <c r="AH21" s="1390">
        <f>3021.8+2363</f>
        <v>5384.8</v>
      </c>
      <c r="AI21" s="1391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4474"/>
      <c r="CA21" s="4474"/>
      <c r="CB21" s="4474"/>
    </row>
    <row r="22" spans="1:80" ht="25.5" hidden="1" customHeight="1" x14ac:dyDescent="0.2">
      <c r="A22" s="81" t="s">
        <v>140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50"/>
      <c r="AF22" s="750"/>
      <c r="AG22" s="750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  <c r="BZ22" s="4474"/>
      <c r="CA22" s="4474"/>
      <c r="CB22" s="4474"/>
    </row>
    <row r="23" spans="1:80" ht="12.75" hidden="1" customHeight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51"/>
      <c r="AF23" s="751"/>
      <c r="AG23" s="751"/>
      <c r="AH23" s="86"/>
      <c r="AI23" s="86"/>
      <c r="AJ23" s="1391"/>
      <c r="AK23" s="1391"/>
      <c r="AL23" s="1391"/>
      <c r="AM23" s="1391"/>
      <c r="AN23" s="1391"/>
      <c r="AO23" s="1391"/>
      <c r="BZ23" s="4474"/>
      <c r="CA23" s="4474"/>
      <c r="CB23" s="4474"/>
    </row>
    <row r="24" spans="1:80" ht="12.75" hidden="1" customHeight="1" x14ac:dyDescent="0.2">
      <c r="A24" s="81" t="s">
        <v>141</v>
      </c>
      <c r="B24" s="84"/>
      <c r="C24" s="85"/>
      <c r="D24" s="86"/>
      <c r="E24" s="84"/>
      <c r="F24" s="85"/>
      <c r="G24" s="86"/>
      <c r="H24" s="84"/>
      <c r="I24" s="1390">
        <v>4585.8</v>
      </c>
      <c r="J24" s="1390"/>
      <c r="K24" s="1390"/>
      <c r="L24" s="1390">
        <v>4415.2</v>
      </c>
      <c r="M24" s="97"/>
      <c r="N24" s="98"/>
      <c r="O24" s="101"/>
      <c r="P24" s="1390">
        <f>объемы!G22</f>
        <v>4093.2000000000003</v>
      </c>
      <c r="Q24" s="1391"/>
      <c r="R24" s="1391"/>
      <c r="S24" s="1391">
        <f>объемы!L22</f>
        <v>2958.3</v>
      </c>
      <c r="T24" s="1391"/>
      <c r="U24" s="1391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7"/>
      <c r="AE24" s="747"/>
      <c r="AF24" s="747"/>
      <c r="AG24" s="747"/>
      <c r="AH24" s="1391">
        <v>3930.9</v>
      </c>
      <c r="AI24" s="1391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4474"/>
      <c r="CA24" s="4474"/>
      <c r="CB24" s="4474"/>
    </row>
    <row r="25" spans="1:80" ht="25.5" hidden="1" customHeight="1" x14ac:dyDescent="0.2">
      <c r="A25" s="81" t="s">
        <v>142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50"/>
      <c r="AF25" s="750"/>
      <c r="AG25" s="750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  <c r="BZ25" s="4474"/>
      <c r="CA25" s="4474"/>
      <c r="CB25" s="4474"/>
    </row>
    <row r="26" spans="1:80" ht="25.5" hidden="1" customHeight="1" x14ac:dyDescent="0.2">
      <c r="A26" s="81" t="s">
        <v>143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50"/>
      <c r="AF26" s="750"/>
      <c r="AG26" s="750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  <c r="BZ26" s="4474"/>
      <c r="CA26" s="4474"/>
      <c r="CB26" s="4474"/>
    </row>
    <row r="27" spans="1:80" ht="12.75" hidden="1" customHeight="1" x14ac:dyDescent="0.2">
      <c r="BZ27" s="4474"/>
      <c r="CA27" s="4474"/>
      <c r="CB27" s="4474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4474"/>
      <c r="CA28" s="4474"/>
      <c r="CB28" s="4474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4474"/>
      <c r="CA29" s="4474"/>
      <c r="CB29" s="4474"/>
    </row>
    <row r="30" spans="1:80" ht="12.75" hidden="1" customHeight="1" x14ac:dyDescent="0.2">
      <c r="A30" t="s">
        <v>206</v>
      </c>
      <c r="R30">
        <v>4.1559999999999997</v>
      </c>
      <c r="S30">
        <v>203.5</v>
      </c>
      <c r="T30">
        <v>879.9</v>
      </c>
      <c r="BZ30" s="4474"/>
      <c r="CA30" s="4474"/>
      <c r="CB30" s="4474"/>
    </row>
    <row r="31" spans="1:80" ht="12.75" hidden="1" customHeight="1" x14ac:dyDescent="0.2">
      <c r="A31" t="s">
        <v>207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4474"/>
      <c r="CA31" s="4474"/>
      <c r="CB31" s="4474"/>
    </row>
    <row r="32" spans="1:80" ht="12.75" hidden="1" customHeight="1" x14ac:dyDescent="0.2">
      <c r="A32" t="s">
        <v>208</v>
      </c>
      <c r="R32">
        <f>T32/S32</f>
        <v>3.0743776563448693</v>
      </c>
      <c r="S32">
        <v>988.2</v>
      </c>
      <c r="T32">
        <v>3038.1</v>
      </c>
      <c r="BZ32" s="4474"/>
      <c r="CA32" s="4474"/>
      <c r="CB32" s="4474"/>
    </row>
    <row r="33" spans="1:97" ht="12.75" hidden="1" customHeight="1" x14ac:dyDescent="0.2">
      <c r="A33" t="s">
        <v>209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4474"/>
      <c r="CA33" s="4474"/>
      <c r="CB33" s="4474"/>
    </row>
    <row r="34" spans="1:97" ht="12.75" hidden="1" customHeight="1" x14ac:dyDescent="0.2">
      <c r="BZ34" s="4474"/>
      <c r="CA34" s="4474"/>
      <c r="CB34" s="4474"/>
    </row>
    <row r="35" spans="1:97" ht="12.75" hidden="1" customHeight="1" x14ac:dyDescent="0.2">
      <c r="A35" t="s">
        <v>215</v>
      </c>
      <c r="R35">
        <v>4.2</v>
      </c>
      <c r="S35">
        <v>705.5</v>
      </c>
      <c r="T35">
        <v>2961.4</v>
      </c>
      <c r="BZ35" s="4474"/>
      <c r="CA35" s="4474"/>
      <c r="CB35" s="4474"/>
    </row>
    <row r="36" spans="1:97" ht="12.75" hidden="1" customHeight="1" x14ac:dyDescent="0.2">
      <c r="A36" t="s">
        <v>216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4474"/>
      <c r="CA36" s="4474"/>
      <c r="CB36" s="4474"/>
    </row>
    <row r="37" spans="1:97" ht="12.75" hidden="1" customHeight="1" x14ac:dyDescent="0.2">
      <c r="A37" t="s">
        <v>217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4474"/>
      <c r="CA37" s="4474"/>
      <c r="CB37" s="4474"/>
    </row>
    <row r="38" spans="1:97" ht="2.25" hidden="1" customHeight="1" x14ac:dyDescent="0.2">
      <c r="A38" t="s">
        <v>216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4474"/>
      <c r="CA38" s="4474"/>
      <c r="CB38" s="4474"/>
    </row>
    <row r="39" spans="1:97" ht="12.75" hidden="1" customHeight="1" x14ac:dyDescent="0.2">
      <c r="BZ39" s="4474"/>
      <c r="CA39" s="4474"/>
      <c r="CB39" s="4474"/>
    </row>
    <row r="40" spans="1:97" ht="34.5" customHeight="1" x14ac:dyDescent="0.2">
      <c r="BD40" t="s">
        <v>241</v>
      </c>
      <c r="BP40" t="s">
        <v>241</v>
      </c>
      <c r="BZ40" s="4474"/>
      <c r="CA40" s="4474"/>
      <c r="CB40" s="4474"/>
      <c r="CR40" t="s">
        <v>1495</v>
      </c>
    </row>
    <row r="41" spans="1:97" ht="20.25" x14ac:dyDescent="0.3">
      <c r="A41" s="4982" t="s">
        <v>823</v>
      </c>
      <c r="B41" s="4982"/>
      <c r="C41" s="4982"/>
      <c r="D41" s="4982"/>
      <c r="E41" s="4982"/>
      <c r="F41" s="4982"/>
      <c r="G41" s="4982"/>
      <c r="H41" s="4982"/>
      <c r="I41" s="4982"/>
      <c r="J41" s="4982"/>
      <c r="K41" s="4982"/>
      <c r="L41" s="4982"/>
      <c r="M41" s="4982"/>
      <c r="N41" s="4982"/>
      <c r="O41" s="4982"/>
      <c r="P41" s="4982"/>
      <c r="Q41" s="4982"/>
      <c r="R41" s="4982"/>
      <c r="S41" s="4982"/>
      <c r="T41" s="4982"/>
      <c r="U41" s="4982"/>
      <c r="V41" s="4982"/>
      <c r="W41" s="4982"/>
      <c r="X41" s="4982"/>
      <c r="Y41" s="4982"/>
      <c r="Z41" s="4982"/>
      <c r="AA41" s="4982"/>
      <c r="AB41" s="4982"/>
      <c r="AC41" s="4982"/>
      <c r="AD41" s="4982"/>
      <c r="AE41" s="4982"/>
      <c r="AF41" s="4982"/>
      <c r="AG41" s="4982"/>
      <c r="AH41" s="4982"/>
      <c r="AI41" s="4982"/>
      <c r="AJ41" s="4982"/>
      <c r="AK41" s="4982"/>
      <c r="AL41" s="4982"/>
      <c r="AM41" s="4982"/>
      <c r="AN41" s="4982"/>
      <c r="AO41" s="4982"/>
      <c r="AP41" s="4982"/>
      <c r="AQ41" s="4982"/>
      <c r="AR41" s="4982"/>
      <c r="AS41" s="4982"/>
      <c r="AT41" s="4982"/>
      <c r="AU41" s="4982"/>
      <c r="AV41" s="4982"/>
      <c r="AW41" s="4982"/>
      <c r="AX41" s="4982"/>
      <c r="AY41" s="4982"/>
      <c r="AZ41" s="4982"/>
      <c r="BA41" s="4982"/>
      <c r="BB41" s="4982"/>
      <c r="BC41" s="4982"/>
      <c r="BD41" s="4982"/>
      <c r="BE41" s="4982"/>
      <c r="BF41" s="4982"/>
      <c r="BG41" s="4982"/>
      <c r="BH41" s="4982"/>
      <c r="BI41" s="4982"/>
      <c r="BJ41" s="4982"/>
      <c r="BK41" s="4982"/>
      <c r="BL41" s="4982"/>
      <c r="BM41" s="4982"/>
      <c r="BN41" s="4982"/>
      <c r="BO41" s="4982"/>
      <c r="BP41" s="4982"/>
      <c r="BQ41" s="4982"/>
      <c r="BR41" s="4982"/>
      <c r="BS41" s="4982"/>
      <c r="BT41" s="4982"/>
      <c r="BU41" s="4982"/>
      <c r="BV41" s="4982"/>
      <c r="BW41" s="4982"/>
      <c r="BX41" s="4982"/>
      <c r="BY41" s="4982"/>
      <c r="BZ41" s="4982"/>
      <c r="CA41" s="4982"/>
      <c r="CB41" s="4982"/>
      <c r="CC41" s="4982"/>
      <c r="CD41" s="4982"/>
      <c r="CE41" s="4982"/>
      <c r="CF41" s="4982"/>
      <c r="CG41" s="4982"/>
      <c r="CH41" s="4982"/>
      <c r="CI41" s="4982"/>
      <c r="CJ41" s="4982"/>
      <c r="CK41" s="4982"/>
      <c r="CL41" s="4982"/>
      <c r="CM41" s="4982"/>
      <c r="CN41" s="4982"/>
      <c r="CO41" s="4982"/>
      <c r="CP41" s="4982"/>
      <c r="CQ41" s="4982"/>
      <c r="CR41" s="4982"/>
      <c r="CS41" s="4982"/>
    </row>
    <row r="44" spans="1:97" ht="20.25" x14ac:dyDescent="0.2">
      <c r="A44" s="4977" t="s">
        <v>527</v>
      </c>
      <c r="B44" s="1623"/>
      <c r="C44" s="1623"/>
      <c r="D44" s="1623"/>
      <c r="E44" s="1623"/>
      <c r="F44" s="1623"/>
      <c r="G44" s="1623"/>
      <c r="H44" s="1623"/>
      <c r="I44" s="1623"/>
      <c r="J44" s="1623"/>
      <c r="K44" s="4952" t="s">
        <v>287</v>
      </c>
      <c r="L44" s="4952"/>
      <c r="M44" s="4952"/>
      <c r="N44" s="4952"/>
      <c r="O44" s="4952"/>
      <c r="P44" s="4952"/>
      <c r="Q44" s="4952"/>
      <c r="R44" s="4952"/>
      <c r="S44" s="4952"/>
      <c r="T44" s="4952"/>
      <c r="U44" s="4952"/>
      <c r="V44" s="4952"/>
      <c r="W44" s="4952"/>
      <c r="X44" s="4952"/>
      <c r="Y44" s="4952"/>
      <c r="Z44" s="4952"/>
      <c r="AA44" s="4952"/>
      <c r="AB44" s="4952"/>
      <c r="AC44" s="4952"/>
      <c r="AD44" s="4952"/>
      <c r="AE44" s="4975"/>
      <c r="AF44" s="4975"/>
      <c r="AG44" s="4975"/>
      <c r="AH44" s="4952" t="s">
        <v>826</v>
      </c>
      <c r="AI44" s="4952"/>
      <c r="AJ44" s="4952"/>
      <c r="AK44" s="4952"/>
      <c r="AL44" s="4952"/>
      <c r="AM44" s="4952"/>
      <c r="AN44" s="4952"/>
      <c r="AO44" s="4952"/>
      <c r="AP44" s="4952"/>
      <c r="AQ44" s="4952"/>
      <c r="AR44" s="4976"/>
      <c r="AS44" s="4976"/>
      <c r="AT44" s="4976"/>
      <c r="AU44" s="4976"/>
      <c r="AV44" s="4976"/>
      <c r="AW44" s="4976"/>
      <c r="AX44" s="4945" t="s">
        <v>1823</v>
      </c>
      <c r="AY44" s="4946"/>
      <c r="AZ44" s="4946"/>
      <c r="BA44" s="4946"/>
      <c r="BB44" s="4946"/>
      <c r="BC44" s="4946"/>
      <c r="BD44" s="4946"/>
      <c r="BE44" s="4946"/>
      <c r="BF44" s="4946"/>
      <c r="BG44" s="4946"/>
      <c r="BH44" s="4946"/>
      <c r="BI44" s="4946"/>
      <c r="BJ44" s="4946"/>
      <c r="BK44" s="4946"/>
      <c r="BL44" s="4946"/>
      <c r="BM44" s="4947"/>
      <c r="BN44" s="4952" t="s">
        <v>895</v>
      </c>
      <c r="BO44" s="4952"/>
      <c r="BP44" s="4952"/>
      <c r="BQ44" s="4952"/>
      <c r="BR44" s="4952"/>
      <c r="BS44" s="4952"/>
      <c r="BT44" s="4952"/>
      <c r="BU44" s="4952"/>
      <c r="BV44" s="4952"/>
      <c r="BW44" s="4952"/>
      <c r="BX44" s="4952"/>
      <c r="BY44" s="4952"/>
      <c r="BZ44" s="4952"/>
      <c r="CA44" s="4952"/>
      <c r="CB44" s="4952"/>
      <c r="CC44" s="4952"/>
      <c r="CD44" s="4952"/>
      <c r="CE44" s="4952"/>
      <c r="CF44" s="4952"/>
      <c r="CG44" s="4952"/>
      <c r="CH44" s="4952"/>
      <c r="CI44" s="4952"/>
      <c r="CJ44" s="4952"/>
      <c r="CK44" s="4945" t="s">
        <v>896</v>
      </c>
      <c r="CL44" s="4946"/>
      <c r="CM44" s="4946"/>
      <c r="CN44" s="4946"/>
      <c r="CO44" s="4946"/>
      <c r="CP44" s="4946"/>
      <c r="CQ44" s="4946"/>
      <c r="CR44" s="4946"/>
      <c r="CS44" s="4947"/>
    </row>
    <row r="45" spans="1:97" ht="51.75" customHeight="1" x14ac:dyDescent="0.2">
      <c r="A45" s="4977"/>
      <c r="B45" s="1623"/>
      <c r="C45" s="1623"/>
      <c r="D45" s="1623"/>
      <c r="E45" s="1623"/>
      <c r="F45" s="1623"/>
      <c r="G45" s="1623"/>
      <c r="H45" s="1623"/>
      <c r="I45" s="1623"/>
      <c r="J45" s="1623"/>
      <c r="K45" s="4974" t="s">
        <v>122</v>
      </c>
      <c r="L45" s="4974"/>
      <c r="M45" s="4974"/>
      <c r="N45" s="4974"/>
      <c r="O45" s="4974" t="s">
        <v>123</v>
      </c>
      <c r="P45" s="4974"/>
      <c r="Q45" s="4974"/>
      <c r="R45" s="4974"/>
      <c r="S45" s="4977" t="s">
        <v>353</v>
      </c>
      <c r="T45" s="4977"/>
      <c r="U45" s="4977"/>
      <c r="V45" s="4977"/>
      <c r="W45" s="1624"/>
      <c r="X45" s="4974" t="s">
        <v>375</v>
      </c>
      <c r="Y45" s="4974"/>
      <c r="Z45" s="4974"/>
      <c r="AA45" s="4974"/>
      <c r="AB45" s="4974" t="s">
        <v>127</v>
      </c>
      <c r="AC45" s="4974"/>
      <c r="AD45" s="4974"/>
      <c r="AE45" s="4974" t="s">
        <v>824</v>
      </c>
      <c r="AF45" s="4974"/>
      <c r="AG45" s="4974"/>
      <c r="AH45" s="4954" t="s">
        <v>122</v>
      </c>
      <c r="AI45" s="4954"/>
      <c r="AJ45" s="4954"/>
      <c r="AK45" s="4954"/>
      <c r="AL45" s="4974" t="s">
        <v>123</v>
      </c>
      <c r="AM45" s="4974"/>
      <c r="AN45" s="4974"/>
      <c r="AO45" s="4974" t="s">
        <v>353</v>
      </c>
      <c r="AP45" s="4974"/>
      <c r="AQ45" s="4974"/>
      <c r="AR45" s="4954" t="s">
        <v>375</v>
      </c>
      <c r="AS45" s="4954"/>
      <c r="AT45" s="4954"/>
      <c r="AU45" s="4954" t="s">
        <v>127</v>
      </c>
      <c r="AV45" s="4954"/>
      <c r="AW45" s="4954"/>
      <c r="AX45" s="4954" t="s">
        <v>122</v>
      </c>
      <c r="AY45" s="4954"/>
      <c r="AZ45" s="4954"/>
      <c r="BA45" s="4954"/>
      <c r="BB45" s="4954" t="s">
        <v>1793</v>
      </c>
      <c r="BC45" s="4954"/>
      <c r="BD45" s="4954"/>
      <c r="BE45" s="4974" t="s">
        <v>353</v>
      </c>
      <c r="BF45" s="4974"/>
      <c r="BG45" s="4974"/>
      <c r="BH45" s="4948" t="s">
        <v>60</v>
      </c>
      <c r="BI45" s="4949"/>
      <c r="BJ45" s="4950"/>
      <c r="BK45" s="4948" t="s">
        <v>1678</v>
      </c>
      <c r="BL45" s="4949"/>
      <c r="BM45" s="4950"/>
      <c r="BN45" s="4954" t="s">
        <v>1794</v>
      </c>
      <c r="BO45" s="4954"/>
      <c r="BP45" s="4954"/>
      <c r="BQ45" s="4974" t="s">
        <v>353</v>
      </c>
      <c r="BR45" s="4974"/>
      <c r="BS45" s="4974"/>
      <c r="BT45" s="4954" t="s">
        <v>123</v>
      </c>
      <c r="BU45" s="4954"/>
      <c r="BV45" s="4954"/>
      <c r="BW45" s="4974" t="s">
        <v>353</v>
      </c>
      <c r="BX45" s="4974"/>
      <c r="BY45" s="4974"/>
      <c r="BZ45" s="4953" t="s">
        <v>1514</v>
      </c>
      <c r="CA45" s="4953"/>
      <c r="CB45" s="4953"/>
      <c r="CC45" s="2101"/>
      <c r="CD45" s="2101"/>
      <c r="CE45" s="4953" t="s">
        <v>1824</v>
      </c>
      <c r="CF45" s="4953"/>
      <c r="CG45" s="4953"/>
      <c r="CH45" s="4953" t="s">
        <v>1825</v>
      </c>
      <c r="CI45" s="4953"/>
      <c r="CJ45" s="4953"/>
      <c r="CK45" s="4940" t="s">
        <v>1794</v>
      </c>
      <c r="CL45" s="4941"/>
      <c r="CM45" s="4942"/>
      <c r="CN45" s="4940" t="s">
        <v>119</v>
      </c>
      <c r="CO45" s="4941"/>
      <c r="CP45" s="4942"/>
      <c r="CQ45" s="4940" t="s">
        <v>1682</v>
      </c>
      <c r="CR45" s="4941"/>
      <c r="CS45" s="4942"/>
    </row>
    <row r="46" spans="1:97" ht="28.5" customHeight="1" x14ac:dyDescent="0.2">
      <c r="A46" s="4977"/>
      <c r="B46" s="1623"/>
      <c r="C46" s="1623"/>
      <c r="D46" s="1623"/>
      <c r="E46" s="1623"/>
      <c r="F46" s="1623"/>
      <c r="G46" s="1623"/>
      <c r="H46" s="1623"/>
      <c r="I46" s="1623"/>
      <c r="J46" s="1623"/>
      <c r="K46" s="1625" t="s">
        <v>112</v>
      </c>
      <c r="L46" s="4951" t="s">
        <v>825</v>
      </c>
      <c r="M46" s="4951" t="s">
        <v>99</v>
      </c>
      <c r="N46" s="4951" t="s">
        <v>99</v>
      </c>
      <c r="O46" s="1625" t="s">
        <v>112</v>
      </c>
      <c r="P46" s="4951" t="s">
        <v>825</v>
      </c>
      <c r="Q46" s="4951" t="s">
        <v>99</v>
      </c>
      <c r="R46" s="4951" t="s">
        <v>234</v>
      </c>
      <c r="S46" s="4977"/>
      <c r="T46" s="4977"/>
      <c r="U46" s="4977"/>
      <c r="V46" s="4977"/>
      <c r="W46" s="1625"/>
      <c r="X46" s="1625" t="s">
        <v>112</v>
      </c>
      <c r="Y46" s="4951" t="s">
        <v>825</v>
      </c>
      <c r="Z46" s="4951" t="s">
        <v>99</v>
      </c>
      <c r="AA46" s="4951" t="s">
        <v>99</v>
      </c>
      <c r="AB46" s="1625" t="s">
        <v>112</v>
      </c>
      <c r="AC46" s="4951" t="s">
        <v>825</v>
      </c>
      <c r="AD46" s="4951" t="s">
        <v>99</v>
      </c>
      <c r="AE46" s="1625" t="s">
        <v>112</v>
      </c>
      <c r="AF46" s="4951" t="s">
        <v>825</v>
      </c>
      <c r="AG46" s="4951" t="s">
        <v>99</v>
      </c>
      <c r="AH46" s="1625" t="s">
        <v>112</v>
      </c>
      <c r="AI46" s="4951" t="s">
        <v>825</v>
      </c>
      <c r="AJ46" s="4951" t="s">
        <v>99</v>
      </c>
      <c r="AK46" s="4951" t="s">
        <v>380</v>
      </c>
      <c r="AL46" s="1625" t="s">
        <v>112</v>
      </c>
      <c r="AM46" s="4951" t="s">
        <v>825</v>
      </c>
      <c r="AN46" s="4951" t="s">
        <v>99</v>
      </c>
      <c r="AO46" s="4951" t="s">
        <v>830</v>
      </c>
      <c r="AP46" s="4951"/>
      <c r="AQ46" s="4951"/>
      <c r="AR46" s="1625" t="s">
        <v>112</v>
      </c>
      <c r="AS46" s="4951" t="s">
        <v>825</v>
      </c>
      <c r="AT46" s="4951" t="s">
        <v>99</v>
      </c>
      <c r="AU46" s="1625" t="s">
        <v>112</v>
      </c>
      <c r="AV46" s="4951" t="s">
        <v>825</v>
      </c>
      <c r="AW46" s="4951" t="s">
        <v>99</v>
      </c>
      <c r="AX46" s="1625" t="s">
        <v>112</v>
      </c>
      <c r="AY46" s="4951" t="s">
        <v>825</v>
      </c>
      <c r="AZ46" s="4951" t="s">
        <v>99</v>
      </c>
      <c r="BA46" s="4951" t="s">
        <v>380</v>
      </c>
      <c r="BB46" s="1625" t="s">
        <v>112</v>
      </c>
      <c r="BC46" s="4951" t="s">
        <v>825</v>
      </c>
      <c r="BD46" s="4951" t="s">
        <v>99</v>
      </c>
      <c r="BE46" s="4951" t="s">
        <v>830</v>
      </c>
      <c r="BF46" s="4951"/>
      <c r="BG46" s="4951"/>
      <c r="BH46" s="1893" t="s">
        <v>112</v>
      </c>
      <c r="BI46" s="4951" t="s">
        <v>825</v>
      </c>
      <c r="BJ46" s="4951" t="s">
        <v>99</v>
      </c>
      <c r="BK46" s="1893" t="s">
        <v>112</v>
      </c>
      <c r="BL46" s="4951" t="s">
        <v>825</v>
      </c>
      <c r="BM46" s="4951" t="s">
        <v>99</v>
      </c>
      <c r="BN46" s="2085" t="s">
        <v>112</v>
      </c>
      <c r="BO46" s="4951" t="s">
        <v>825</v>
      </c>
      <c r="BP46" s="4951" t="s">
        <v>99</v>
      </c>
      <c r="BQ46" s="4951" t="s">
        <v>830</v>
      </c>
      <c r="BR46" s="4951"/>
      <c r="BS46" s="4951"/>
      <c r="BT46" s="2085" t="s">
        <v>112</v>
      </c>
      <c r="BU46" s="4951" t="s">
        <v>825</v>
      </c>
      <c r="BV46" s="4951" t="s">
        <v>99</v>
      </c>
      <c r="BW46" s="4951" t="s">
        <v>830</v>
      </c>
      <c r="BX46" s="4951"/>
      <c r="BY46" s="4951"/>
      <c r="BZ46" s="2085" t="s">
        <v>112</v>
      </c>
      <c r="CA46" s="4951" t="s">
        <v>825</v>
      </c>
      <c r="CB46" s="4951" t="s">
        <v>99</v>
      </c>
      <c r="CC46" s="2101"/>
      <c r="CD46" s="2101"/>
      <c r="CE46" s="2085" t="s">
        <v>112</v>
      </c>
      <c r="CF46" s="4951" t="s">
        <v>825</v>
      </c>
      <c r="CG46" s="4951" t="s">
        <v>99</v>
      </c>
      <c r="CH46" s="2085" t="s">
        <v>112</v>
      </c>
      <c r="CI46" s="4951" t="s">
        <v>825</v>
      </c>
      <c r="CJ46" s="4951" t="s">
        <v>99</v>
      </c>
      <c r="CK46" s="2065" t="s">
        <v>112</v>
      </c>
      <c r="CL46" s="4943" t="s">
        <v>825</v>
      </c>
      <c r="CM46" s="4943" t="s">
        <v>99</v>
      </c>
      <c r="CN46" s="2065" t="s">
        <v>112</v>
      </c>
      <c r="CO46" s="4943" t="s">
        <v>825</v>
      </c>
      <c r="CP46" s="4943" t="s">
        <v>99</v>
      </c>
      <c r="CQ46" s="2065" t="s">
        <v>112</v>
      </c>
      <c r="CR46" s="4943" t="s">
        <v>825</v>
      </c>
      <c r="CS46" s="4943" t="s">
        <v>99</v>
      </c>
    </row>
    <row r="47" spans="1:97" ht="37.5" x14ac:dyDescent="0.2">
      <c r="A47" s="4977"/>
      <c r="B47" s="1623"/>
      <c r="C47" s="1623"/>
      <c r="D47" s="1623"/>
      <c r="E47" s="1623"/>
      <c r="F47" s="1623"/>
      <c r="G47" s="1623"/>
      <c r="H47" s="1623"/>
      <c r="I47" s="1623"/>
      <c r="J47" s="1623"/>
      <c r="K47" s="1625" t="s">
        <v>223</v>
      </c>
      <c r="L47" s="4951"/>
      <c r="M47" s="4951"/>
      <c r="N47" s="4951"/>
      <c r="O47" s="1625" t="s">
        <v>223</v>
      </c>
      <c r="P47" s="4951"/>
      <c r="Q47" s="4951"/>
      <c r="R47" s="4951"/>
      <c r="S47" s="1625" t="s">
        <v>112</v>
      </c>
      <c r="T47" s="1625" t="s">
        <v>361</v>
      </c>
      <c r="U47" s="1625"/>
      <c r="V47" s="1625" t="s">
        <v>99</v>
      </c>
      <c r="W47" s="1625"/>
      <c r="X47" s="1625" t="s">
        <v>223</v>
      </c>
      <c r="Y47" s="4951"/>
      <c r="Z47" s="4951"/>
      <c r="AA47" s="4951"/>
      <c r="AB47" s="1625" t="s">
        <v>223</v>
      </c>
      <c r="AC47" s="4951"/>
      <c r="AD47" s="4951"/>
      <c r="AE47" s="1625" t="s">
        <v>223</v>
      </c>
      <c r="AF47" s="4951"/>
      <c r="AG47" s="4951"/>
      <c r="AH47" s="1625" t="s">
        <v>223</v>
      </c>
      <c r="AI47" s="4951"/>
      <c r="AJ47" s="4951"/>
      <c r="AK47" s="4951"/>
      <c r="AL47" s="1625" t="s">
        <v>223</v>
      </c>
      <c r="AM47" s="4951"/>
      <c r="AN47" s="4951"/>
      <c r="AO47" s="1625" t="s">
        <v>112</v>
      </c>
      <c r="AP47" s="1625" t="s">
        <v>361</v>
      </c>
      <c r="AQ47" s="1625" t="s">
        <v>99</v>
      </c>
      <c r="AR47" s="1625" t="s">
        <v>223</v>
      </c>
      <c r="AS47" s="4951"/>
      <c r="AT47" s="4951"/>
      <c r="AU47" s="1625" t="s">
        <v>223</v>
      </c>
      <c r="AV47" s="4951"/>
      <c r="AW47" s="4951"/>
      <c r="AX47" s="1625" t="s">
        <v>223</v>
      </c>
      <c r="AY47" s="4951"/>
      <c r="AZ47" s="4951"/>
      <c r="BA47" s="4951"/>
      <c r="BB47" s="1625" t="s">
        <v>223</v>
      </c>
      <c r="BC47" s="4951"/>
      <c r="BD47" s="4951"/>
      <c r="BE47" s="1625" t="s">
        <v>112</v>
      </c>
      <c r="BF47" s="1625" t="s">
        <v>361</v>
      </c>
      <c r="BG47" s="1625" t="s">
        <v>99</v>
      </c>
      <c r="BH47" s="1893" t="s">
        <v>223</v>
      </c>
      <c r="BI47" s="4951"/>
      <c r="BJ47" s="4951"/>
      <c r="BK47" s="1893" t="s">
        <v>223</v>
      </c>
      <c r="BL47" s="4951"/>
      <c r="BM47" s="4951"/>
      <c r="BN47" s="2085" t="s">
        <v>223</v>
      </c>
      <c r="BO47" s="4951"/>
      <c r="BP47" s="4951"/>
      <c r="BQ47" s="2085" t="s">
        <v>112</v>
      </c>
      <c r="BR47" s="2085" t="s">
        <v>361</v>
      </c>
      <c r="BS47" s="2085" t="s">
        <v>99</v>
      </c>
      <c r="BT47" s="2085" t="s">
        <v>223</v>
      </c>
      <c r="BU47" s="4951"/>
      <c r="BV47" s="4951"/>
      <c r="BW47" s="2085" t="s">
        <v>112</v>
      </c>
      <c r="BX47" s="2085" t="s">
        <v>361</v>
      </c>
      <c r="BY47" s="2085" t="s">
        <v>99</v>
      </c>
      <c r="BZ47" s="2085" t="s">
        <v>223</v>
      </c>
      <c r="CA47" s="4951"/>
      <c r="CB47" s="4951"/>
      <c r="CC47" s="2102" t="s">
        <v>156</v>
      </c>
      <c r="CD47" s="2102" t="s">
        <v>157</v>
      </c>
      <c r="CE47" s="2085" t="s">
        <v>223</v>
      </c>
      <c r="CF47" s="4951"/>
      <c r="CG47" s="4951"/>
      <c r="CH47" s="2085" t="s">
        <v>223</v>
      </c>
      <c r="CI47" s="4951"/>
      <c r="CJ47" s="4951"/>
      <c r="CK47" s="2065" t="s">
        <v>223</v>
      </c>
      <c r="CL47" s="4944"/>
      <c r="CM47" s="4944"/>
      <c r="CN47" s="2065" t="s">
        <v>223</v>
      </c>
      <c r="CO47" s="4944"/>
      <c r="CP47" s="4944"/>
      <c r="CQ47" s="2065" t="s">
        <v>223</v>
      </c>
      <c r="CR47" s="4944"/>
      <c r="CS47" s="4944"/>
    </row>
    <row r="48" spans="1:97" ht="30" customHeight="1" x14ac:dyDescent="0.2">
      <c r="A48" s="1626" t="s">
        <v>132</v>
      </c>
      <c r="B48" s="1623"/>
      <c r="C48" s="1623"/>
      <c r="D48" s="1623"/>
      <c r="E48" s="1623"/>
      <c r="F48" s="1623"/>
      <c r="G48" s="1623"/>
      <c r="H48" s="1623"/>
      <c r="I48" s="1623"/>
      <c r="J48" s="1623"/>
      <c r="K48" s="1627">
        <v>5.75</v>
      </c>
      <c r="L48" s="1628">
        <v>1091.2</v>
      </c>
      <c r="M48" s="1583">
        <f>L48*K48</f>
        <v>6274.4000000000005</v>
      </c>
      <c r="N48" s="1628">
        <f>K48*M48</f>
        <v>36077.800000000003</v>
      </c>
      <c r="O48" s="1627">
        <v>5.5810000000000004</v>
      </c>
      <c r="P48" s="1584" t="e">
        <f>Q56*Q57</f>
        <v>#REF!</v>
      </c>
      <c r="Q48" s="1584" t="e">
        <f>O48*P48</f>
        <v>#REF!</v>
      </c>
      <c r="R48" s="1629"/>
      <c r="S48" s="1627">
        <f>O48-K48</f>
        <v>-0.16899999999999959</v>
      </c>
      <c r="T48" s="1624" t="e">
        <f>P48-L48</f>
        <v>#REF!</v>
      </c>
      <c r="U48" s="1629"/>
      <c r="V48" s="1624" t="e">
        <f>Q48-M48</f>
        <v>#REF!</v>
      </c>
      <c r="W48" s="1629"/>
      <c r="X48" s="1627">
        <v>4.9657999999999998</v>
      </c>
      <c r="Y48" s="1628">
        <v>505.33199999999999</v>
      </c>
      <c r="Z48" s="1583">
        <v>2509.4</v>
      </c>
      <c r="AA48" s="1628">
        <f>X48*Z48</f>
        <v>12461.178519999999</v>
      </c>
      <c r="AB48" s="1627">
        <f t="shared" ref="AB48:AB55" si="3">AD48/AC48</f>
        <v>4.9915147295592019</v>
      </c>
      <c r="AC48" s="1628">
        <v>689.43</v>
      </c>
      <c r="AD48" s="1583">
        <v>3441.3</v>
      </c>
      <c r="AE48" s="1624">
        <f>SUM(AG48/AF48)</f>
        <v>5.007427152968611</v>
      </c>
      <c r="AF48" s="1584">
        <v>910.84699999999998</v>
      </c>
      <c r="AG48" s="1584">
        <v>4561</v>
      </c>
      <c r="AH48" s="1627">
        <v>5.5810000000000004</v>
      </c>
      <c r="AI48" s="1628">
        <v>846.8</v>
      </c>
      <c r="AJ48" s="1584">
        <f>4962.29</f>
        <v>4962.29</v>
      </c>
      <c r="AK48" s="1628"/>
      <c r="AL48" s="1627">
        <f>K74*1.028</f>
        <v>5.2037132396875592</v>
      </c>
      <c r="AM48" s="1584">
        <f>AN56*AN57</f>
        <v>883.18331415423415</v>
      </c>
      <c r="AN48" s="1584">
        <f>AL48*AM48</f>
        <v>4595.8327049355248</v>
      </c>
      <c r="AO48" s="1627">
        <f t="shared" ref="AO48:AQ54" si="4">AL48-AH48</f>
        <v>-0.37728676031244124</v>
      </c>
      <c r="AP48" s="1624">
        <f t="shared" si="4"/>
        <v>36.383314154234199</v>
      </c>
      <c r="AQ48" s="1624">
        <f t="shared" si="4"/>
        <v>-366.45729506447515</v>
      </c>
      <c r="AR48" s="1627">
        <f>SUM(AT48/AS48)</f>
        <v>4.9360225547603553</v>
      </c>
      <c r="AS48" s="1628">
        <v>414.99</v>
      </c>
      <c r="AT48" s="1584">
        <v>2048.4</v>
      </c>
      <c r="AU48" s="1627">
        <f>SUM(AW48/AV48)</f>
        <v>5.0309675458654715</v>
      </c>
      <c r="AV48" s="1628">
        <v>546.21699999999998</v>
      </c>
      <c r="AW48" s="1584">
        <v>2748</v>
      </c>
      <c r="AX48" s="1627">
        <f>SUM(AL48*1.1)</f>
        <v>5.7240845636563158</v>
      </c>
      <c r="AY48" s="1624">
        <v>910.85</v>
      </c>
      <c r="AZ48" s="1584">
        <f>SUM(AX48*AY48)</f>
        <v>5213.7824248063553</v>
      </c>
      <c r="BA48" s="1630">
        <f t="shared" ref="BA48:BA63" si="5">SUM(AZ48/AN48)</f>
        <v>1.1344587062986879</v>
      </c>
      <c r="BB48" s="1641">
        <f>(AU65+AU65*1.06)/2</f>
        <v>5.4911565455279785</v>
      </c>
      <c r="BC48" s="1642">
        <f>BD56*BD57</f>
        <v>703.79138799999998</v>
      </c>
      <c r="BD48" s="1582">
        <f>BC48*BB48</f>
        <v>3864.6286869024211</v>
      </c>
      <c r="BE48" s="1641">
        <f t="shared" ref="BE48:BG54" si="6">BB48-AX48</f>
        <v>-0.2329280181283373</v>
      </c>
      <c r="BF48" s="1643">
        <f t="shared" si="6"/>
        <v>-207.05861200000004</v>
      </c>
      <c r="BG48" s="1643">
        <f t="shared" si="6"/>
        <v>-1349.1537379039341</v>
      </c>
      <c r="BH48" s="1643">
        <v>2.4449999999999998</v>
      </c>
      <c r="BI48" s="1642">
        <v>789.24</v>
      </c>
      <c r="BJ48" s="1582">
        <v>1929.89</v>
      </c>
      <c r="BK48" s="1643">
        <v>2.4449999999999998</v>
      </c>
      <c r="BL48" s="1642">
        <f>BM56*BM57</f>
        <v>698.0777195516813</v>
      </c>
      <c r="BM48" s="1582">
        <f>BL48*BK48</f>
        <v>1706.8000243038607</v>
      </c>
      <c r="BN48" s="1641">
        <f>BB48*1.066</f>
        <v>5.8535728775328257</v>
      </c>
      <c r="BO48" s="1642">
        <f>BP56*BP57</f>
        <v>689.4896</v>
      </c>
      <c r="BP48" s="1582">
        <f>BO48*BN48</f>
        <v>4035.9776219009568</v>
      </c>
      <c r="BQ48" s="1641">
        <f>BN48-BB48</f>
        <v>0.36241633200484724</v>
      </c>
      <c r="BR48" s="1643">
        <f t="shared" ref="BR48" si="7">BO48-BE48</f>
        <v>689.72252801812829</v>
      </c>
      <c r="BS48" s="1643">
        <f t="shared" ref="BS48" si="8">BP48-BF48</f>
        <v>4243.0362339009571</v>
      </c>
      <c r="BT48" s="1641">
        <f>BN48*1.067</f>
        <v>6.2457622603275249</v>
      </c>
      <c r="BU48" s="1642">
        <f>BV56*BV57</f>
        <v>689.4896</v>
      </c>
      <c r="BV48" s="1582">
        <f>BU48*BT48</f>
        <v>4306.3881225683208</v>
      </c>
      <c r="BW48" s="1641">
        <f t="shared" ref="BW48" si="9">BT48-BP48</f>
        <v>-4029.7318596406294</v>
      </c>
      <c r="BX48" s="1643">
        <f t="shared" ref="BX48" si="10">BU48-BQ48</f>
        <v>689.12718366799515</v>
      </c>
      <c r="BY48" s="1643">
        <f t="shared" ref="BY48" si="11">BV48-BR48</f>
        <v>3616.6655945501925</v>
      </c>
      <c r="BZ48" s="1643">
        <f>(5.453783+5.453783*1.07)/2</f>
        <v>5.6446654049999996</v>
      </c>
      <c r="CA48" s="1642">
        <f>CB56*CB57</f>
        <v>690.76496745870816</v>
      </c>
      <c r="CB48" s="1616">
        <f>CA48*BZ48</f>
        <v>3899.1371148001203</v>
      </c>
      <c r="CC48" s="2103">
        <f>CB48*CC57</f>
        <v>3884.8940660556532</v>
      </c>
      <c r="CD48" s="2103">
        <f>CD57*CB48</f>
        <v>14.243048744466778</v>
      </c>
      <c r="CE48" s="1643">
        <v>5.51</v>
      </c>
      <c r="CF48" s="1642">
        <v>881.62</v>
      </c>
      <c r="CG48" s="1616">
        <v>4858.1899999999996</v>
      </c>
      <c r="CH48" s="1643">
        <f>CE48</f>
        <v>5.51</v>
      </c>
      <c r="CI48" s="1642">
        <f>CJ56*CJ57</f>
        <v>738.73216498132001</v>
      </c>
      <c r="CJ48" s="1616">
        <f t="shared" ref="CJ48" si="12">CI48*CH48</f>
        <v>4070.4142290470731</v>
      </c>
      <c r="CK48" s="1641">
        <f>BT48</f>
        <v>6.2457622603275249</v>
      </c>
      <c r="CL48" s="1641">
        <f t="shared" ref="CL48:CM50" si="13">BU48</f>
        <v>689.4896</v>
      </c>
      <c r="CM48" s="1641">
        <f t="shared" si="13"/>
        <v>4306.3881225683208</v>
      </c>
      <c r="CN48" s="1641">
        <v>6.0389999999999997</v>
      </c>
      <c r="CO48" s="1642">
        <f>CP56*CP57</f>
        <v>690.68</v>
      </c>
      <c r="CP48" s="1582">
        <f>CO48*CN48</f>
        <v>4171.0165199999992</v>
      </c>
      <c r="CQ48" s="1641">
        <f>BZ48*1.07</f>
        <v>6.0397919833499998</v>
      </c>
      <c r="CR48" s="1642">
        <f>CS56*CS57</f>
        <v>660.45886182086053</v>
      </c>
      <c r="CS48" s="1582">
        <f>CR48*CQ48</f>
        <v>3989.0341389580985</v>
      </c>
    </row>
    <row r="49" spans="1:97" ht="30" customHeight="1" x14ac:dyDescent="0.2">
      <c r="A49" s="1626"/>
      <c r="B49" s="1623"/>
      <c r="C49" s="1623"/>
      <c r="D49" s="1623"/>
      <c r="E49" s="1623"/>
      <c r="F49" s="1623"/>
      <c r="G49" s="1623"/>
      <c r="H49" s="1623"/>
      <c r="I49" s="1623"/>
      <c r="J49" s="1623"/>
      <c r="K49" s="1627"/>
      <c r="L49" s="1628"/>
      <c r="M49" s="1583"/>
      <c r="N49" s="1628"/>
      <c r="O49" s="1627"/>
      <c r="P49" s="1584"/>
      <c r="Q49" s="1584"/>
      <c r="R49" s="1629"/>
      <c r="S49" s="1627"/>
      <c r="T49" s="1624"/>
      <c r="U49" s="1629"/>
      <c r="V49" s="1624"/>
      <c r="W49" s="1629"/>
      <c r="X49" s="1627"/>
      <c r="Y49" s="1628"/>
      <c r="Z49" s="1583"/>
      <c r="AA49" s="1628"/>
      <c r="AB49" s="1627"/>
      <c r="AC49" s="1628"/>
      <c r="AD49" s="1583"/>
      <c r="AE49" s="1624"/>
      <c r="AF49" s="1584"/>
      <c r="AG49" s="1584"/>
      <c r="AH49" s="1627"/>
      <c r="AI49" s="1628"/>
      <c r="AJ49" s="1584"/>
      <c r="AK49" s="1628"/>
      <c r="AL49" s="1627"/>
      <c r="AM49" s="1584"/>
      <c r="AN49" s="1584"/>
      <c r="AO49" s="1627"/>
      <c r="AP49" s="1624"/>
      <c r="AQ49" s="1624"/>
      <c r="AR49" s="1627"/>
      <c r="AS49" s="1628"/>
      <c r="AT49" s="1584">
        <v>132.9</v>
      </c>
      <c r="AU49" s="1627"/>
      <c r="AV49" s="1628"/>
      <c r="AW49" s="1584">
        <v>205.8</v>
      </c>
      <c r="AX49" s="1627"/>
      <c r="AY49" s="1624"/>
      <c r="AZ49" s="1584"/>
      <c r="BA49" s="1630"/>
      <c r="BB49" s="1641"/>
      <c r="BC49" s="1642"/>
      <c r="BD49" s="1582"/>
      <c r="BE49" s="1641"/>
      <c r="BF49" s="1643"/>
      <c r="BG49" s="1643"/>
      <c r="BH49" s="1643"/>
      <c r="BI49" s="1642"/>
      <c r="BJ49" s="1582"/>
      <c r="BK49" s="1643"/>
      <c r="BL49" s="1642"/>
      <c r="BM49" s="1582"/>
      <c r="BN49" s="1641"/>
      <c r="BO49" s="1642"/>
      <c r="BP49" s="1582"/>
      <c r="BQ49" s="1641"/>
      <c r="BR49" s="1643"/>
      <c r="BS49" s="1643"/>
      <c r="BT49" s="1641"/>
      <c r="BU49" s="1642"/>
      <c r="BV49" s="1582"/>
      <c r="BW49" s="1641"/>
      <c r="BX49" s="1643"/>
      <c r="BY49" s="1643"/>
      <c r="BZ49" s="1643"/>
      <c r="CA49" s="1642"/>
      <c r="CB49" s="1616"/>
      <c r="CC49" s="2101"/>
      <c r="CD49" s="2101"/>
      <c r="CE49" s="1643"/>
      <c r="CF49" s="1642"/>
      <c r="CG49" s="1616"/>
      <c r="CH49" s="1643"/>
      <c r="CI49" s="1642"/>
      <c r="CJ49" s="1616"/>
      <c r="CK49" s="1641"/>
      <c r="CL49" s="1641"/>
      <c r="CM49" s="1641"/>
      <c r="CN49" s="1641"/>
      <c r="CO49" s="1642"/>
      <c r="CP49" s="1582"/>
      <c r="CQ49" s="1641"/>
      <c r="CR49" s="1642"/>
      <c r="CS49" s="1582"/>
    </row>
    <row r="50" spans="1:97" ht="30" customHeight="1" x14ac:dyDescent="0.2">
      <c r="A50" s="1626" t="s">
        <v>133</v>
      </c>
      <c r="B50" s="1623"/>
      <c r="C50" s="1623"/>
      <c r="D50" s="1623"/>
      <c r="E50" s="1623"/>
      <c r="F50" s="1623"/>
      <c r="G50" s="1623"/>
      <c r="H50" s="1623"/>
      <c r="I50" s="1623"/>
      <c r="J50" s="1623"/>
      <c r="K50" s="1627">
        <v>4.55</v>
      </c>
      <c r="L50" s="1628">
        <v>1754.8</v>
      </c>
      <c r="M50" s="1583">
        <f>L50*K50</f>
        <v>7984.3399999999992</v>
      </c>
      <c r="N50" s="1628">
        <f>K50*M50</f>
        <v>36328.746999999996</v>
      </c>
      <c r="O50" s="1627">
        <v>4.5730000000000004</v>
      </c>
      <c r="P50" s="1584" t="e">
        <f>Q58*Q59</f>
        <v>#REF!</v>
      </c>
      <c r="Q50" s="1584" t="e">
        <f>O50*P50</f>
        <v>#REF!</v>
      </c>
      <c r="R50" s="1629"/>
      <c r="S50" s="1627">
        <f>O50-K50</f>
        <v>2.3000000000000576E-2</v>
      </c>
      <c r="T50" s="1624" t="e">
        <f>P50-L50</f>
        <v>#REF!</v>
      </c>
      <c r="U50" s="1629"/>
      <c r="V50" s="1624" t="e">
        <f t="shared" ref="V50:V63" si="14">Q50-M50</f>
        <v>#REF!</v>
      </c>
      <c r="W50" s="1629"/>
      <c r="X50" s="1627">
        <v>3.9638</v>
      </c>
      <c r="Y50" s="1628">
        <v>820.02</v>
      </c>
      <c r="Z50" s="1583">
        <v>3250.4</v>
      </c>
      <c r="AA50" s="1628">
        <f>X50*Z50</f>
        <v>12883.935520000001</v>
      </c>
      <c r="AB50" s="1627">
        <f t="shared" si="3"/>
        <v>4.0118462507876496</v>
      </c>
      <c r="AC50" s="1628">
        <v>1190.25</v>
      </c>
      <c r="AD50" s="1583">
        <v>4775.1000000000004</v>
      </c>
      <c r="AE50" s="1624">
        <f>SUM(AG50/AF50)</f>
        <v>4.0205962981621663</v>
      </c>
      <c r="AF50" s="1584">
        <v>1528.43</v>
      </c>
      <c r="AG50" s="1584">
        <v>6145.2</v>
      </c>
      <c r="AH50" s="1627">
        <v>4.5730000000000004</v>
      </c>
      <c r="AI50" s="1628">
        <v>1387.6</v>
      </c>
      <c r="AJ50" s="1584">
        <v>6662.8</v>
      </c>
      <c r="AK50" s="1628"/>
      <c r="AL50" s="1627">
        <f>K76*1.028</f>
        <v>4.2335618399373365</v>
      </c>
      <c r="AM50" s="1584">
        <f>AN58*AN59</f>
        <v>1209.6401285612453</v>
      </c>
      <c r="AN50" s="1584">
        <f>AL50*AM50</f>
        <v>5121.0862883337822</v>
      </c>
      <c r="AO50" s="1627">
        <f t="shared" si="4"/>
        <v>-0.33943816006266392</v>
      </c>
      <c r="AP50" s="1624">
        <f t="shared" si="4"/>
        <v>-177.95987143875459</v>
      </c>
      <c r="AQ50" s="1624">
        <f t="shared" si="4"/>
        <v>-1541.7137116662179</v>
      </c>
      <c r="AR50" s="1627">
        <f>SUM(AT50/AS50)</f>
        <v>3.819503849443969</v>
      </c>
      <c r="AS50" s="1628">
        <v>678.02</v>
      </c>
      <c r="AT50" s="1584">
        <v>2589.6999999999998</v>
      </c>
      <c r="AU50" s="1627">
        <f>SUM(AW50/AV50)</f>
        <v>3.9526209082140822</v>
      </c>
      <c r="AV50" s="1628">
        <v>1016.06</v>
      </c>
      <c r="AW50" s="1584">
        <v>4016.1</v>
      </c>
      <c r="AX50" s="1627">
        <f>SUM(AL50*1.1)</f>
        <v>4.6569180239310706</v>
      </c>
      <c r="AY50" s="1624">
        <v>1528.43</v>
      </c>
      <c r="AZ50" s="1584">
        <f>SUM(AX50*AY50)</f>
        <v>7117.7732153169663</v>
      </c>
      <c r="BA50" s="1630">
        <f t="shared" si="5"/>
        <v>1.3898951930436685</v>
      </c>
      <c r="BB50" s="1641">
        <f>(AU67+AU67*1.06)/2</f>
        <v>4.3462075494024379</v>
      </c>
      <c r="BC50" s="1642">
        <f>BD58*BD59</f>
        <v>1237.0113330000001</v>
      </c>
      <c r="BD50" s="1582">
        <f>BC50*BB50</f>
        <v>5376.3079941809738</v>
      </c>
      <c r="BE50" s="1641">
        <f t="shared" si="6"/>
        <v>-0.31071047452863265</v>
      </c>
      <c r="BF50" s="1643">
        <f t="shared" si="6"/>
        <v>-291.41866699999991</v>
      </c>
      <c r="BG50" s="1643">
        <f t="shared" si="6"/>
        <v>-1741.4652211359926</v>
      </c>
      <c r="BH50" s="1643">
        <v>5.62</v>
      </c>
      <c r="BI50" s="1642">
        <v>1516.64</v>
      </c>
      <c r="BJ50" s="1582">
        <v>8522.8700000000008</v>
      </c>
      <c r="BK50" s="1643">
        <v>5.62</v>
      </c>
      <c r="BL50" s="1642">
        <f>BM58*BM59</f>
        <v>1075.5106849315068</v>
      </c>
      <c r="BM50" s="1582">
        <f>BL50*BK50</f>
        <v>6044.3700493150682</v>
      </c>
      <c r="BN50" s="1641">
        <f>BB50*1.066</f>
        <v>4.6330572476629994</v>
      </c>
      <c r="BO50" s="1642">
        <f>BP58*BP59</f>
        <v>1174.3243599999998</v>
      </c>
      <c r="BP50" s="1582">
        <f>BO50*BN50</f>
        <v>5440.7119872052126</v>
      </c>
      <c r="BQ50" s="1641">
        <f>BN50-BB50</f>
        <v>0.2868496982605615</v>
      </c>
      <c r="BR50" s="1643">
        <f t="shared" ref="BR50:BR52" si="15">BO50-BE50</f>
        <v>1174.6350704745284</v>
      </c>
      <c r="BS50" s="1643">
        <f t="shared" ref="BS50:BS52" si="16">BP50-BF50</f>
        <v>5732.1306542052125</v>
      </c>
      <c r="BT50" s="1641">
        <f>BN50*1.067</f>
        <v>4.9434720832564203</v>
      </c>
      <c r="BU50" s="1642">
        <f>BV58*BV59</f>
        <v>1174.3243599999998</v>
      </c>
      <c r="BV50" s="1582">
        <f>BU50*BT50</f>
        <v>5805.2396903479621</v>
      </c>
      <c r="BW50" s="1641">
        <f t="shared" ref="BW50:BW52" si="17">BT50-BP50</f>
        <v>-5435.7685151219566</v>
      </c>
      <c r="BX50" s="1643">
        <f t="shared" ref="BX50:BX52" si="18">BU50-BQ50</f>
        <v>1174.0375103017393</v>
      </c>
      <c r="BY50" s="1643">
        <f t="shared" ref="BY50:BY52" si="19">BV50-BR50</f>
        <v>4630.6046198734339</v>
      </c>
      <c r="BZ50" s="1643">
        <f>(4.166+4.166*1.07)/2</f>
        <v>4.3118100000000004</v>
      </c>
      <c r="CA50" s="1642">
        <f>CB58*CB59</f>
        <v>1136.4657534246574</v>
      </c>
      <c r="CB50" s="1616">
        <f>CA50*BZ50</f>
        <v>4900.2244002739726</v>
      </c>
      <c r="CC50" s="2101"/>
      <c r="CD50" s="2101"/>
      <c r="CE50" s="1643">
        <v>4.2089999999999996</v>
      </c>
      <c r="CF50" s="1642">
        <v>1543.17</v>
      </c>
      <c r="CG50" s="1616">
        <v>6495.81</v>
      </c>
      <c r="CH50" s="1643">
        <f>CE50</f>
        <v>4.2089999999999996</v>
      </c>
      <c r="CI50" s="1642">
        <f>CJ58*CJ59</f>
        <v>1101.7479452054793</v>
      </c>
      <c r="CJ50" s="1616">
        <f t="shared" ref="CJ50" si="20">CI50*CH50</f>
        <v>4637.2571013698616</v>
      </c>
      <c r="CK50" s="1641">
        <f t="shared" ref="CK50" si="21">BT50</f>
        <v>4.9434720832564203</v>
      </c>
      <c r="CL50" s="1641">
        <f t="shared" si="13"/>
        <v>1174.3243599999998</v>
      </c>
      <c r="CM50" s="1641">
        <f t="shared" si="13"/>
        <v>5805.2396903479621</v>
      </c>
      <c r="CN50" s="1641">
        <v>4.617</v>
      </c>
      <c r="CO50" s="1642">
        <f>CP58*CP59</f>
        <v>1121.67</v>
      </c>
      <c r="CP50" s="1582">
        <f>CO50*CN50</f>
        <v>5178.7503900000002</v>
      </c>
      <c r="CQ50" s="1641">
        <f>BZ50*1.07</f>
        <v>4.6136367000000007</v>
      </c>
      <c r="CR50" s="1642">
        <f>CS58*CS59</f>
        <v>1091.3868493150685</v>
      </c>
      <c r="CS50" s="1582">
        <f>CR50*CQ50</f>
        <v>5035.2624218973706</v>
      </c>
    </row>
    <row r="51" spans="1:97" ht="30" customHeight="1" x14ac:dyDescent="0.2">
      <c r="A51" s="1631" t="s">
        <v>134</v>
      </c>
      <c r="B51" s="1623"/>
      <c r="C51" s="1623"/>
      <c r="D51" s="1623"/>
      <c r="E51" s="1623"/>
      <c r="F51" s="1623"/>
      <c r="G51" s="1623"/>
      <c r="H51" s="1623"/>
      <c r="I51" s="1623"/>
      <c r="J51" s="1623"/>
      <c r="K51" s="1632">
        <f>M51/L51</f>
        <v>5.0100983836964161</v>
      </c>
      <c r="L51" s="1615">
        <f>L48+L50</f>
        <v>2846</v>
      </c>
      <c r="M51" s="1615">
        <f>SUM(M48:M50)</f>
        <v>14258.74</v>
      </c>
      <c r="N51" s="1633">
        <f>SUM(N48:N50)</f>
        <v>72406.546999999991</v>
      </c>
      <c r="O51" s="1632" t="e">
        <f>Q51/P51</f>
        <v>#REF!</v>
      </c>
      <c r="P51" s="1615" t="e">
        <f>P48+P50</f>
        <v>#REF!</v>
      </c>
      <c r="Q51" s="1615" t="e">
        <f>Q48+Q50</f>
        <v>#REF!</v>
      </c>
      <c r="R51" s="1634"/>
      <c r="S51" s="1632" t="e">
        <f t="shared" ref="S51:T54" si="22">O51-K51</f>
        <v>#REF!</v>
      </c>
      <c r="T51" s="1624" t="e">
        <f t="shared" si="22"/>
        <v>#REF!</v>
      </c>
      <c r="U51" s="1634"/>
      <c r="V51" s="1624" t="e">
        <f t="shared" si="14"/>
        <v>#REF!</v>
      </c>
      <c r="W51" s="1634"/>
      <c r="X51" s="1632">
        <f>Z51/Y51</f>
        <v>4.3458643439629627</v>
      </c>
      <c r="Y51" s="1615">
        <f>Y48+Y50</f>
        <v>1325.3519999999999</v>
      </c>
      <c r="Z51" s="1615">
        <f>SUM(Z48:Z50)</f>
        <v>5759.8</v>
      </c>
      <c r="AA51" s="1633">
        <f>SUM(AA48:AA50)</f>
        <v>25345.11404</v>
      </c>
      <c r="AB51" s="1632">
        <f t="shared" si="3"/>
        <v>4.3711695607763037</v>
      </c>
      <c r="AC51" s="1615">
        <f>AC48+AC50</f>
        <v>1879.6799999999998</v>
      </c>
      <c r="AD51" s="1615">
        <f>SUM(AD48:AD50)</f>
        <v>8216.4000000000015</v>
      </c>
      <c r="AE51" s="1632">
        <f>AG51/AF51</f>
        <v>4.389087422215681</v>
      </c>
      <c r="AF51" s="1615">
        <f>AF48+AF50</f>
        <v>2439.277</v>
      </c>
      <c r="AG51" s="1615">
        <f>AG48+AG50</f>
        <v>10706.2</v>
      </c>
      <c r="AH51" s="1632">
        <f>AJ51/AI51</f>
        <v>5.202779269602579</v>
      </c>
      <c r="AI51" s="1615">
        <f>AI48+AI50</f>
        <v>2234.3999999999996</v>
      </c>
      <c r="AJ51" s="1615">
        <f>SUM(AJ48:AJ50)</f>
        <v>11625.09</v>
      </c>
      <c r="AK51" s="1633"/>
      <c r="AL51" s="1632">
        <f>AN51/AM51</f>
        <v>4.6429712105391054</v>
      </c>
      <c r="AM51" s="1615">
        <f>AM48+AM50</f>
        <v>2092.8234427154794</v>
      </c>
      <c r="AN51" s="1615">
        <f>AN48+AN50</f>
        <v>9716.918993269308</v>
      </c>
      <c r="AO51" s="1632">
        <f t="shared" si="4"/>
        <v>-0.55980805906347353</v>
      </c>
      <c r="AP51" s="1624">
        <f t="shared" si="4"/>
        <v>-141.57655728452028</v>
      </c>
      <c r="AQ51" s="1624">
        <f t="shared" si="4"/>
        <v>-1908.1710067306922</v>
      </c>
      <c r="AR51" s="1632">
        <f>AT51/AS51</f>
        <v>4.3650103841684889</v>
      </c>
      <c r="AS51" s="1615">
        <f>AS48+AS50</f>
        <v>1093.01</v>
      </c>
      <c r="AT51" s="1615">
        <f>SUM(AT48:AT50)</f>
        <v>4771</v>
      </c>
      <c r="AU51" s="1632">
        <f>AW51/AV51</f>
        <v>4.4613727271156138</v>
      </c>
      <c r="AV51" s="1615">
        <f>AV48+AV50</f>
        <v>1562.277</v>
      </c>
      <c r="AW51" s="1615">
        <f>SUM(AW48:AW50)</f>
        <v>6969.9</v>
      </c>
      <c r="AX51" s="1632">
        <f>AZ51/AY51</f>
        <v>5.0554080056915653</v>
      </c>
      <c r="AY51" s="1615">
        <f>AY48+AY50</f>
        <v>2439.2800000000002</v>
      </c>
      <c r="AZ51" s="1615">
        <f>SUM(AZ48:AZ50)</f>
        <v>12331.555640123323</v>
      </c>
      <c r="BA51" s="1630">
        <f t="shared" si="5"/>
        <v>1.2690808319658848</v>
      </c>
      <c r="BB51" s="1586">
        <f>BD51/BC51</f>
        <v>4.7613992813870309</v>
      </c>
      <c r="BC51" s="1644">
        <f>BC48+BC50</f>
        <v>1940.802721</v>
      </c>
      <c r="BD51" s="1644">
        <f>SUM(BD48:BD50)</f>
        <v>9240.9366810833944</v>
      </c>
      <c r="BE51" s="1586">
        <f t="shared" si="6"/>
        <v>-0.2940087243045344</v>
      </c>
      <c r="BF51" s="1645">
        <f t="shared" si="6"/>
        <v>-498.47727900000018</v>
      </c>
      <c r="BG51" s="1645">
        <f t="shared" si="6"/>
        <v>-3090.6189590399281</v>
      </c>
      <c r="BH51" s="1645"/>
      <c r="BI51" s="1644">
        <f>BI48+BI50</f>
        <v>2305.88</v>
      </c>
      <c r="BJ51" s="1644">
        <f>SUM(BJ48:BJ50)</f>
        <v>10452.76</v>
      </c>
      <c r="BK51" s="1645"/>
      <c r="BL51" s="1644">
        <f>BL48+BL50</f>
        <v>1773.5884044831882</v>
      </c>
      <c r="BM51" s="1644">
        <f>SUM(BM48:BM50)</f>
        <v>7751.1700736189287</v>
      </c>
      <c r="BN51" s="1586">
        <f>BP51/BO51</f>
        <v>5.0845684239354929</v>
      </c>
      <c r="BO51" s="1644">
        <f>BO48+BO50</f>
        <v>1863.81396</v>
      </c>
      <c r="BP51" s="1644">
        <f>SUM(BP48:BP50)</f>
        <v>9476.6896091061699</v>
      </c>
      <c r="BQ51" s="1586">
        <f t="shared" ref="BQ51:BQ52" si="23">BN51-BD51</f>
        <v>-9235.8521126594587</v>
      </c>
      <c r="BR51" s="1645">
        <f t="shared" si="15"/>
        <v>1864.1079687243046</v>
      </c>
      <c r="BS51" s="1645">
        <f t="shared" si="16"/>
        <v>9975.1668881061705</v>
      </c>
      <c r="BT51" s="1586">
        <f>BV51/BU51</f>
        <v>5.4252345083391704</v>
      </c>
      <c r="BU51" s="1644">
        <f>BU48+BU50</f>
        <v>1863.81396</v>
      </c>
      <c r="BV51" s="1644">
        <f>SUM(BV48:BV50)</f>
        <v>10111.627812916282</v>
      </c>
      <c r="BW51" s="1586">
        <f t="shared" si="17"/>
        <v>-9471.2643745978312</v>
      </c>
      <c r="BX51" s="1645">
        <f t="shared" si="18"/>
        <v>11099.666072659458</v>
      </c>
      <c r="BY51" s="1645">
        <f t="shared" si="19"/>
        <v>8247.5198441919783</v>
      </c>
      <c r="BZ51" s="1586">
        <f>CB51/CA51</f>
        <v>4.8156816840404737</v>
      </c>
      <c r="CA51" s="1644">
        <f>CA48+CA50</f>
        <v>1827.2307208833654</v>
      </c>
      <c r="CB51" s="1644">
        <f>SUM(CB48:CB50)</f>
        <v>8799.3615150740934</v>
      </c>
      <c r="CC51" s="2101"/>
      <c r="CD51" s="2101"/>
      <c r="CE51" s="1586">
        <f t="shared" ref="CE51" si="24">CG51/CF51</f>
        <v>4.6824673476878411</v>
      </c>
      <c r="CF51" s="1644">
        <f t="shared" ref="CF51" si="25">CF48+CF50</f>
        <v>2424.79</v>
      </c>
      <c r="CG51" s="1644">
        <f t="shared" ref="CG51" si="26">SUM(CG48:CG50)</f>
        <v>11354</v>
      </c>
      <c r="CH51" s="1586">
        <f t="shared" ref="CH51" si="27">CJ51/CI51</f>
        <v>4.7311955626258584</v>
      </c>
      <c r="CI51" s="1644">
        <f t="shared" ref="CI51" si="28">CI48+CI50</f>
        <v>1840.4801101867993</v>
      </c>
      <c r="CJ51" s="1644">
        <f t="shared" ref="CJ51" si="29">SUM(CJ48:CJ50)</f>
        <v>8707.6713304169352</v>
      </c>
      <c r="CK51" s="1586">
        <f>CM51/CL51</f>
        <v>5.4252345083391704</v>
      </c>
      <c r="CL51" s="1644">
        <f>CL48+CL50</f>
        <v>1863.81396</v>
      </c>
      <c r="CM51" s="1644">
        <f>SUM(CM48:CM50)</f>
        <v>10111.627812916282</v>
      </c>
      <c r="CN51" s="1586">
        <f>CP51/CO51</f>
        <v>5.1589190332993073</v>
      </c>
      <c r="CO51" s="1644">
        <f>CO48+CO50</f>
        <v>1812.35</v>
      </c>
      <c r="CP51" s="1644">
        <f>SUM(CP48:CP50)</f>
        <v>9349.7669099999985</v>
      </c>
      <c r="CQ51" s="1586">
        <f>CS51/CR51</f>
        <v>5.1513078483401085</v>
      </c>
      <c r="CR51" s="1644">
        <f>CR48+CR50</f>
        <v>1751.8457111359289</v>
      </c>
      <c r="CS51" s="1644">
        <f>SUM(CS48:CS50)</f>
        <v>9024.2965608554696</v>
      </c>
    </row>
    <row r="52" spans="1:97" ht="30" customHeight="1" x14ac:dyDescent="0.2">
      <c r="A52" s="1626" t="s">
        <v>135</v>
      </c>
      <c r="B52" s="1623"/>
      <c r="C52" s="1623"/>
      <c r="D52" s="1623"/>
      <c r="E52" s="1623"/>
      <c r="F52" s="1623"/>
      <c r="G52" s="1623"/>
      <c r="H52" s="1623"/>
      <c r="I52" s="1623"/>
      <c r="J52" s="1623"/>
      <c r="K52" s="1627">
        <v>5.75</v>
      </c>
      <c r="L52" s="1628">
        <v>397.8</v>
      </c>
      <c r="M52" s="1583">
        <v>2285.4</v>
      </c>
      <c r="N52" s="1628">
        <f>K52*M52</f>
        <v>13141.050000000001</v>
      </c>
      <c r="O52" s="1627">
        <v>5.63</v>
      </c>
      <c r="P52" s="1629">
        <f>Q60*Q62</f>
        <v>363.59730000000002</v>
      </c>
      <c r="Q52" s="1584">
        <f>O52*P52</f>
        <v>2047.0527990000001</v>
      </c>
      <c r="R52" s="1628"/>
      <c r="S52" s="1627">
        <f t="shared" si="22"/>
        <v>-0.12000000000000011</v>
      </c>
      <c r="T52" s="1624">
        <f t="shared" si="22"/>
        <v>-34.202699999999993</v>
      </c>
      <c r="U52" s="1628"/>
      <c r="V52" s="1624">
        <f t="shared" si="14"/>
        <v>-238.34720100000004</v>
      </c>
      <c r="W52" s="1628"/>
      <c r="X52" s="1627">
        <v>4.9886999999999997</v>
      </c>
      <c r="Y52" s="1628">
        <v>162.167</v>
      </c>
      <c r="Z52" s="1583">
        <v>809</v>
      </c>
      <c r="AA52" s="1628">
        <f>X52*Z52</f>
        <v>4035.8582999999999</v>
      </c>
      <c r="AB52" s="1627">
        <f t="shared" si="3"/>
        <v>5.0153983485829059</v>
      </c>
      <c r="AC52" s="1628">
        <v>224.05</v>
      </c>
      <c r="AD52" s="1583">
        <v>1123.7</v>
      </c>
      <c r="AE52" s="1624">
        <f>SUM(AG52/AF52)</f>
        <v>5.0316393763454892</v>
      </c>
      <c r="AF52" s="1624">
        <v>306.58</v>
      </c>
      <c r="AG52" s="1584">
        <v>1542.6</v>
      </c>
      <c r="AH52" s="1627">
        <v>5.91</v>
      </c>
      <c r="AI52" s="1628">
        <v>397.8</v>
      </c>
      <c r="AJ52" s="1583">
        <v>2285.4</v>
      </c>
      <c r="AK52" s="1628"/>
      <c r="AL52" s="1627">
        <f>K78*1.028</f>
        <v>5.2277943861803733</v>
      </c>
      <c r="AM52" s="1629">
        <f>AN60*AN62</f>
        <v>360.82530000000003</v>
      </c>
      <c r="AN52" s="1584">
        <f>AL52*AM52</f>
        <v>1886.3204777318492</v>
      </c>
      <c r="AO52" s="1627">
        <f t="shared" si="4"/>
        <v>-0.68220561381962685</v>
      </c>
      <c r="AP52" s="1624">
        <f t="shared" si="4"/>
        <v>-36.974699999999984</v>
      </c>
      <c r="AQ52" s="1624">
        <f t="shared" si="4"/>
        <v>-399.07952226815087</v>
      </c>
      <c r="AR52" s="1627">
        <f t="shared" ref="AR52:AR54" si="30">SUM(AT52/AS52)</f>
        <v>4.9758749575263339</v>
      </c>
      <c r="AS52" s="1628">
        <v>147.15</v>
      </c>
      <c r="AT52" s="1583">
        <v>732.2</v>
      </c>
      <c r="AU52" s="1627">
        <f t="shared" ref="AU52:AU54" si="31">SUM(AW52/AV52)</f>
        <v>5.0682433840383414</v>
      </c>
      <c r="AV52" s="1628">
        <v>191.96</v>
      </c>
      <c r="AW52" s="1583">
        <v>972.9</v>
      </c>
      <c r="AX52" s="1627">
        <f t="shared" ref="AX52:AX54" si="32">SUM(AL52*1.1)</f>
        <v>5.7505738247984111</v>
      </c>
      <c r="AY52" s="1624">
        <v>306.58</v>
      </c>
      <c r="AZ52" s="1584">
        <f t="shared" ref="AZ52:AZ54" si="33">SUM(AX52*AY52)</f>
        <v>1763.0109232066968</v>
      </c>
      <c r="BA52" s="1630">
        <f t="shared" si="5"/>
        <v>0.93462958390112882</v>
      </c>
      <c r="BB52" s="1641">
        <f>(AU71+AU71*1.06)/2</f>
        <v>5.5327159116268669</v>
      </c>
      <c r="BC52" s="1642">
        <f>BD60*BD62</f>
        <v>290.97012000000001</v>
      </c>
      <c r="BD52" s="1582">
        <f>BC52*BB52</f>
        <v>1609.8550127319788</v>
      </c>
      <c r="BE52" s="1641">
        <f t="shared" si="6"/>
        <v>-0.21785791317154413</v>
      </c>
      <c r="BF52" s="1643">
        <f t="shared" si="6"/>
        <v>-15.609879999999976</v>
      </c>
      <c r="BG52" s="1643">
        <f t="shared" si="6"/>
        <v>-153.15591047471798</v>
      </c>
      <c r="BH52" s="1643">
        <v>2.4750000000000001</v>
      </c>
      <c r="BI52" s="1642">
        <v>282.02999999999997</v>
      </c>
      <c r="BJ52" s="1582">
        <v>698.03</v>
      </c>
      <c r="BK52" s="1643">
        <v>2.4750000000000001</v>
      </c>
      <c r="BL52" s="1642">
        <f>BM60*BM62</f>
        <v>257.16516000000001</v>
      </c>
      <c r="BM52" s="1582">
        <f>BL52*BK52</f>
        <v>636.48377100000005</v>
      </c>
      <c r="BN52" s="1641">
        <f>BB52*1.066</f>
        <v>5.8978751617942402</v>
      </c>
      <c r="BO52" s="1642">
        <f>BP60*BP62</f>
        <v>290.97012000000001</v>
      </c>
      <c r="BP52" s="1582">
        <f>BO52*BN52</f>
        <v>1716.1054435722895</v>
      </c>
      <c r="BQ52" s="1641">
        <f t="shared" si="23"/>
        <v>-1603.9571375701846</v>
      </c>
      <c r="BR52" s="1643">
        <f t="shared" si="15"/>
        <v>291.18797791317155</v>
      </c>
      <c r="BS52" s="1643">
        <f t="shared" si="16"/>
        <v>1731.7153235722894</v>
      </c>
      <c r="BT52" s="1641">
        <f>BN52*1.067</f>
        <v>6.2930327976344538</v>
      </c>
      <c r="BU52" s="1642">
        <f>BV60*BV62</f>
        <v>290.97012000000001</v>
      </c>
      <c r="BV52" s="1582">
        <f>BU52*BT52</f>
        <v>1831.0845082916328</v>
      </c>
      <c r="BW52" s="1641">
        <f t="shared" si="17"/>
        <v>-1709.8124107746551</v>
      </c>
      <c r="BX52" s="1643">
        <f t="shared" si="18"/>
        <v>1894.9272575701846</v>
      </c>
      <c r="BY52" s="1643">
        <f t="shared" si="19"/>
        <v>1539.8965303784612</v>
      </c>
      <c r="BZ52" s="1643">
        <f>(5.46718+5.46718*1.07)/2</f>
        <v>5.6585312999999999</v>
      </c>
      <c r="CA52" s="1642">
        <f>CB60*CB62</f>
        <v>276.84300000000002</v>
      </c>
      <c r="CB52" s="1616">
        <f>CA52*BZ52</f>
        <v>1566.5247806859002</v>
      </c>
      <c r="CC52" s="2101"/>
      <c r="CD52" s="2101"/>
      <c r="CE52" s="1643">
        <v>5.9420000000000002</v>
      </c>
      <c r="CF52" s="1642">
        <v>351.62</v>
      </c>
      <c r="CG52" s="1616">
        <v>2089.2600000000002</v>
      </c>
      <c r="CH52" s="1643">
        <f>CE52</f>
        <v>5.9420000000000002</v>
      </c>
      <c r="CI52" s="1642">
        <f>CJ60*CJ62</f>
        <v>268.57488000000001</v>
      </c>
      <c r="CJ52" s="1616">
        <f t="shared" ref="CJ52" si="34">CI52*CH52</f>
        <v>1595.8719369600001</v>
      </c>
      <c r="CK52" s="1641">
        <f>BT52</f>
        <v>6.2930327976344538</v>
      </c>
      <c r="CL52" s="1641">
        <f t="shared" ref="CL52:CM54" si="35">BU52</f>
        <v>290.97012000000001</v>
      </c>
      <c r="CM52" s="1641">
        <f t="shared" si="35"/>
        <v>1831.0845082916328</v>
      </c>
      <c r="CN52" s="1641">
        <v>6.056</v>
      </c>
      <c r="CO52" s="1642">
        <f>CP60*CP62</f>
        <v>273.25200000000001</v>
      </c>
      <c r="CP52" s="1582">
        <f>CO52*CN52</f>
        <v>1654.814112</v>
      </c>
      <c r="CQ52" s="1641">
        <f>BZ52*1.07</f>
        <v>6.0546284909999999</v>
      </c>
      <c r="CR52" s="1642">
        <f>CS60*CS62</f>
        <v>272.91012000000001</v>
      </c>
      <c r="CS52" s="1582">
        <f>CR52*CQ52</f>
        <v>1652.3693880342289</v>
      </c>
    </row>
    <row r="53" spans="1:97" ht="30" customHeight="1" x14ac:dyDescent="0.2">
      <c r="A53" s="1626"/>
      <c r="B53" s="1623"/>
      <c r="C53" s="1623"/>
      <c r="D53" s="1623"/>
      <c r="E53" s="1623"/>
      <c r="F53" s="1623"/>
      <c r="G53" s="1623"/>
      <c r="H53" s="1623"/>
      <c r="I53" s="1623"/>
      <c r="J53" s="1623"/>
      <c r="K53" s="1627"/>
      <c r="L53" s="1628"/>
      <c r="M53" s="1583"/>
      <c r="N53" s="1628"/>
      <c r="O53" s="1627"/>
      <c r="P53" s="1629"/>
      <c r="Q53" s="1584"/>
      <c r="R53" s="1628"/>
      <c r="S53" s="1627"/>
      <c r="T53" s="1624"/>
      <c r="U53" s="1628"/>
      <c r="V53" s="1624"/>
      <c r="W53" s="1628"/>
      <c r="X53" s="1627"/>
      <c r="Y53" s="1628"/>
      <c r="Z53" s="1583"/>
      <c r="AA53" s="1628"/>
      <c r="AB53" s="1627"/>
      <c r="AC53" s="1628"/>
      <c r="AD53" s="1583"/>
      <c r="AE53" s="1624"/>
      <c r="AF53" s="1624"/>
      <c r="AG53" s="1584"/>
      <c r="AH53" s="1627"/>
      <c r="AI53" s="1628"/>
      <c r="AJ53" s="1583"/>
      <c r="AK53" s="1628"/>
      <c r="AL53" s="1627"/>
      <c r="AM53" s="1629"/>
      <c r="AN53" s="1584"/>
      <c r="AO53" s="1627"/>
      <c r="AP53" s="1624"/>
      <c r="AQ53" s="1624"/>
      <c r="AR53" s="1627"/>
      <c r="AS53" s="1628"/>
      <c r="AT53" s="1583">
        <v>132.9</v>
      </c>
      <c r="AU53" s="1627"/>
      <c r="AV53" s="1628"/>
      <c r="AW53" s="1583">
        <v>205.9</v>
      </c>
      <c r="AX53" s="1627"/>
      <c r="AY53" s="1624"/>
      <c r="AZ53" s="1584"/>
      <c r="BA53" s="1630"/>
      <c r="BB53" s="1641"/>
      <c r="BC53" s="1642"/>
      <c r="BD53" s="1582"/>
      <c r="BE53" s="1641"/>
      <c r="BF53" s="1643"/>
      <c r="BG53" s="1643"/>
      <c r="BH53" s="1643"/>
      <c r="BI53" s="1642"/>
      <c r="BJ53" s="1582"/>
      <c r="BK53" s="1643"/>
      <c r="BL53" s="1642"/>
      <c r="BM53" s="1582"/>
      <c r="BN53" s="1641"/>
      <c r="BO53" s="1642"/>
      <c r="BP53" s="1582"/>
      <c r="BQ53" s="1641"/>
      <c r="BR53" s="1643"/>
      <c r="BS53" s="1643"/>
      <c r="BT53" s="1641"/>
      <c r="BU53" s="1642"/>
      <c r="BV53" s="1582"/>
      <c r="BW53" s="1641"/>
      <c r="BX53" s="1643"/>
      <c r="BY53" s="1643"/>
      <c r="BZ53" s="1641"/>
      <c r="CA53" s="1642"/>
      <c r="CB53" s="1616"/>
      <c r="CC53" s="2101"/>
      <c r="CD53" s="2101"/>
      <c r="CE53" s="1641"/>
      <c r="CF53" s="1642"/>
      <c r="CG53" s="1616"/>
      <c r="CH53" s="1641"/>
      <c r="CI53" s="1642"/>
      <c r="CJ53" s="1616"/>
      <c r="CK53" s="1641"/>
      <c r="CL53" s="1641"/>
      <c r="CM53" s="1641"/>
      <c r="CN53" s="1641"/>
      <c r="CO53" s="1642"/>
      <c r="CP53" s="1582"/>
      <c r="CQ53" s="1641"/>
      <c r="CR53" s="1642"/>
      <c r="CS53" s="1582"/>
    </row>
    <row r="54" spans="1:97" ht="30" customHeight="1" x14ac:dyDescent="0.2">
      <c r="A54" s="1626" t="s">
        <v>136</v>
      </c>
      <c r="B54" s="1623"/>
      <c r="C54" s="1623"/>
      <c r="D54" s="1623"/>
      <c r="E54" s="1623"/>
      <c r="F54" s="1623"/>
      <c r="G54" s="1623"/>
      <c r="H54" s="1623"/>
      <c r="I54" s="1623"/>
      <c r="J54" s="1623"/>
      <c r="K54" s="1627">
        <v>4.2300000000000004</v>
      </c>
      <c r="L54" s="1628">
        <v>2282.1999999999998</v>
      </c>
      <c r="M54" s="1583">
        <v>9664.7999999999993</v>
      </c>
      <c r="N54" s="1628">
        <f>K54*M54</f>
        <v>40882.103999999999</v>
      </c>
      <c r="O54" s="1627">
        <v>4.3</v>
      </c>
      <c r="P54" s="1629">
        <f>Q60*Q63</f>
        <v>1439.1333261085247</v>
      </c>
      <c r="Q54" s="1584">
        <f>O54*P54</f>
        <v>6188.2733022666562</v>
      </c>
      <c r="R54" s="1628"/>
      <c r="S54" s="1627">
        <f t="shared" si="22"/>
        <v>6.9999999999999396E-2</v>
      </c>
      <c r="T54" s="1624">
        <f t="shared" si="22"/>
        <v>-843.06667389147515</v>
      </c>
      <c r="U54" s="1628"/>
      <c r="V54" s="1624">
        <f t="shared" si="14"/>
        <v>-3476.5266977333431</v>
      </c>
      <c r="W54" s="1628"/>
      <c r="X54" s="1627">
        <v>3.7764000000000002</v>
      </c>
      <c r="Y54" s="1628">
        <v>940.27</v>
      </c>
      <c r="Z54" s="1583">
        <v>3550.8</v>
      </c>
      <c r="AA54" s="1628">
        <f>X54*Z54</f>
        <v>13409.241120000001</v>
      </c>
      <c r="AB54" s="1627">
        <f t="shared" si="3"/>
        <v>3.8226634015509302</v>
      </c>
      <c r="AC54" s="1628">
        <v>1372.08</v>
      </c>
      <c r="AD54" s="1583">
        <v>5245</v>
      </c>
      <c r="AE54" s="1624">
        <f>SUM(AG54/AF54)</f>
        <v>3.8318886233811065</v>
      </c>
      <c r="AF54" s="1624">
        <v>1853.89</v>
      </c>
      <c r="AG54" s="1584">
        <v>7103.9</v>
      </c>
      <c r="AH54" s="1627">
        <v>4.5199999999999996</v>
      </c>
      <c r="AI54" s="1628">
        <v>2282.1999999999998</v>
      </c>
      <c r="AJ54" s="1583">
        <v>9664.7999999999993</v>
      </c>
      <c r="AK54" s="1628"/>
      <c r="AL54" s="1627">
        <f>K79*1.028</f>
        <v>4.0333424422778537</v>
      </c>
      <c r="AM54" s="1629">
        <f>AN60*AN63</f>
        <v>1428.1616341295885</v>
      </c>
      <c r="AN54" s="1584">
        <f>AL54*AM54</f>
        <v>5760.2649333677646</v>
      </c>
      <c r="AO54" s="1627">
        <f t="shared" si="4"/>
        <v>-0.48665755772214592</v>
      </c>
      <c r="AP54" s="1624">
        <f t="shared" si="4"/>
        <v>-854.03836587041133</v>
      </c>
      <c r="AQ54" s="1624">
        <f t="shared" si="4"/>
        <v>-3904.5350666322347</v>
      </c>
      <c r="AR54" s="1627">
        <f t="shared" si="30"/>
        <v>3.6631900547829748</v>
      </c>
      <c r="AS54" s="1628">
        <v>949.2</v>
      </c>
      <c r="AT54" s="1583">
        <v>3477.1</v>
      </c>
      <c r="AU54" s="1627">
        <f t="shared" si="31"/>
        <v>3.7705916930708683</v>
      </c>
      <c r="AV54" s="1628">
        <v>1394.98</v>
      </c>
      <c r="AW54" s="1583">
        <v>5259.9</v>
      </c>
      <c r="AX54" s="1627">
        <f t="shared" si="32"/>
        <v>4.4366766865056393</v>
      </c>
      <c r="AY54" s="1624">
        <v>1853.89</v>
      </c>
      <c r="AZ54" s="1584">
        <f t="shared" si="33"/>
        <v>8225.1105423459394</v>
      </c>
      <c r="BA54" s="1630">
        <f t="shared" si="5"/>
        <v>1.4279049032449784</v>
      </c>
      <c r="BB54" s="1641">
        <f>(AU73+AU73*1.06)/2</f>
        <v>4.1192606218313967</v>
      </c>
      <c r="BC54" s="1642">
        <f>BD60*BD63</f>
        <v>1454.8506</v>
      </c>
      <c r="BD54" s="1582">
        <f>BC54*BB54</f>
        <v>5992.9087872277805</v>
      </c>
      <c r="BE54" s="1641">
        <f t="shared" si="6"/>
        <v>-0.31741606467424255</v>
      </c>
      <c r="BF54" s="1643">
        <f t="shared" si="6"/>
        <v>-399.03940000000011</v>
      </c>
      <c r="BG54" s="1643">
        <f t="shared" si="6"/>
        <v>-2232.2017551181589</v>
      </c>
      <c r="BH54" s="1643">
        <v>5.0460000000000003</v>
      </c>
      <c r="BI54" s="1642">
        <v>1842.45</v>
      </c>
      <c r="BJ54" s="1582">
        <v>9297.2000000000007</v>
      </c>
      <c r="BK54" s="1643">
        <v>5.0460000000000003</v>
      </c>
      <c r="BL54" s="1642">
        <f>BM60*BM63</f>
        <v>1285.8258000000001</v>
      </c>
      <c r="BM54" s="1582">
        <f>BL54*BK54</f>
        <v>6488.2769868000005</v>
      </c>
      <c r="BN54" s="1641">
        <f>BB54*1.066</f>
        <v>4.3911318228722696</v>
      </c>
      <c r="BO54" s="1642">
        <f>BP60*BP63</f>
        <v>1454.8506</v>
      </c>
      <c r="BP54" s="1582">
        <f>BO54*BN54</f>
        <v>6388.4407671848148</v>
      </c>
      <c r="BQ54" s="1641">
        <f t="shared" ref="BQ54" si="36">BN54-BD54</f>
        <v>-5988.5176554049085</v>
      </c>
      <c r="BR54" s="1643">
        <f t="shared" ref="BR54" si="37">BO54-BE54</f>
        <v>1455.1680160646742</v>
      </c>
      <c r="BS54" s="1643">
        <f t="shared" ref="BS54" si="38">BP54-BF54</f>
        <v>6787.4801671848145</v>
      </c>
      <c r="BT54" s="1641">
        <f>BN54*1.067</f>
        <v>4.6853376550047114</v>
      </c>
      <c r="BU54" s="1642">
        <f>BV60*BV63</f>
        <v>1454.8506</v>
      </c>
      <c r="BV54" s="1582">
        <f>BU54*BT54</f>
        <v>6816.4662985861978</v>
      </c>
      <c r="BW54" s="1641">
        <f t="shared" ref="BW54" si="39">BT54-BP54</f>
        <v>-6383.7554295298105</v>
      </c>
      <c r="BX54" s="1643">
        <f t="shared" ref="BX54" si="40">BU54-BQ54</f>
        <v>7443.3682554049083</v>
      </c>
      <c r="BY54" s="1643">
        <f t="shared" ref="BY54" si="41">BV54-BR54</f>
        <v>5361.298282521524</v>
      </c>
      <c r="BZ54" s="1643">
        <f>(4.167+4.167*1.07)/2</f>
        <v>4.3128449999999994</v>
      </c>
      <c r="CA54" s="1642">
        <f>CB60*CB63</f>
        <v>1384.2149999999999</v>
      </c>
      <c r="CB54" s="1616">
        <f>CA54*BZ54</f>
        <v>5969.9047416749991</v>
      </c>
      <c r="CC54" s="2101"/>
      <c r="CD54" s="2101"/>
      <c r="CE54" s="1643">
        <v>4.5279999999999996</v>
      </c>
      <c r="CF54" s="1642">
        <v>2009.07</v>
      </c>
      <c r="CG54" s="1616">
        <v>9097.44</v>
      </c>
      <c r="CH54" s="1643">
        <f>CE54</f>
        <v>4.5279999999999996</v>
      </c>
      <c r="CI54" s="1642">
        <f>CJ60*CJ63</f>
        <v>1342.8743999999999</v>
      </c>
      <c r="CJ54" s="1616">
        <f t="shared" ref="CJ54" si="42">CI54*CH54</f>
        <v>6080.535283199999</v>
      </c>
      <c r="CK54" s="1641">
        <f t="shared" ref="CK54" si="43">BT54</f>
        <v>4.6853376550047114</v>
      </c>
      <c r="CL54" s="1641">
        <f t="shared" si="35"/>
        <v>1454.8506</v>
      </c>
      <c r="CM54" s="1641">
        <f t="shared" si="35"/>
        <v>6816.4662985861978</v>
      </c>
      <c r="CN54" s="1641">
        <v>4.6150000000000002</v>
      </c>
      <c r="CO54" s="1642">
        <f>CP60*CP63</f>
        <v>1366.26</v>
      </c>
      <c r="CP54" s="1582">
        <f>CO54*CN54</f>
        <v>6305.2899000000007</v>
      </c>
      <c r="CQ54" s="1641">
        <f>BZ54*1.07</f>
        <v>4.6147441499999999</v>
      </c>
      <c r="CR54" s="1642">
        <f>CS60*CS63</f>
        <v>1364.5505999999998</v>
      </c>
      <c r="CS54" s="1582">
        <f>CR54*CQ54</f>
        <v>6297.0518987289888</v>
      </c>
    </row>
    <row r="55" spans="1:97" ht="30" customHeight="1" x14ac:dyDescent="0.2">
      <c r="A55" s="1631" t="s">
        <v>137</v>
      </c>
      <c r="B55" s="1623"/>
      <c r="C55" s="1623"/>
      <c r="D55" s="1623"/>
      <c r="E55" s="1623"/>
      <c r="F55" s="1623"/>
      <c r="G55" s="1623"/>
      <c r="H55" s="1623"/>
      <c r="I55" s="1623"/>
      <c r="J55" s="1623"/>
      <c r="K55" s="1632">
        <f>M55/L55</f>
        <v>4.4590298507462682</v>
      </c>
      <c r="L55" s="1615">
        <f>SUM(L52:L54)</f>
        <v>2680</v>
      </c>
      <c r="M55" s="1615">
        <f>SUM(M52:M54)</f>
        <v>11950.199999999999</v>
      </c>
      <c r="N55" s="1615">
        <f>SUM(N52:N54)</f>
        <v>54023.154000000002</v>
      </c>
      <c r="O55" s="1632">
        <f>Q55/P55</f>
        <v>4.5682510642446301</v>
      </c>
      <c r="P55" s="1615">
        <f>SUM(P52:P54)</f>
        <v>1802.7306261085246</v>
      </c>
      <c r="Q55" s="1615">
        <f>SUM(Q52:Q54)</f>
        <v>8235.3261012666553</v>
      </c>
      <c r="R55" s="1633"/>
      <c r="S55" s="1632">
        <f>O55-K55</f>
        <v>0.10922121349836189</v>
      </c>
      <c r="T55" s="1635">
        <f>P55-L55</f>
        <v>-877.26937389147542</v>
      </c>
      <c r="U55" s="1635">
        <f>P55-L55</f>
        <v>-877.26937389147542</v>
      </c>
      <c r="V55" s="1635">
        <f t="shared" si="14"/>
        <v>-3714.8738987333436</v>
      </c>
      <c r="W55" s="1633"/>
      <c r="X55" s="1632">
        <f>Z55/Y55</f>
        <v>3.9546931026444145</v>
      </c>
      <c r="Y55" s="1615">
        <f>SUM(Y52:Y54)</f>
        <v>1102.4369999999999</v>
      </c>
      <c r="Z55" s="1615">
        <f>SUM(Z52:Z54)</f>
        <v>4359.8</v>
      </c>
      <c r="AA55" s="1615">
        <f>SUM(AA52:AA54)</f>
        <v>17445.099419999999</v>
      </c>
      <c r="AB55" s="1632">
        <f t="shared" si="3"/>
        <v>3.9900885266237713</v>
      </c>
      <c r="AC55" s="1615">
        <f>SUM(AC52:AC54)</f>
        <v>1596.1299999999999</v>
      </c>
      <c r="AD55" s="1615">
        <f>SUM(AD52:AD54)</f>
        <v>6368.7</v>
      </c>
      <c r="AE55" s="1632">
        <f>AG55/AF55</f>
        <v>4.0021384235837569</v>
      </c>
      <c r="AF55" s="1615">
        <f>SUM(AF52:AF54)</f>
        <v>2160.4700000000003</v>
      </c>
      <c r="AG55" s="1615">
        <f>SUM(AG52:AG54)</f>
        <v>8646.5</v>
      </c>
      <c r="AH55" s="1632">
        <f>AJ55/AI55</f>
        <v>4.4590298507462682</v>
      </c>
      <c r="AI55" s="1615">
        <f>SUM(AI52:AI54)</f>
        <v>2680</v>
      </c>
      <c r="AJ55" s="1615">
        <f>SUM(AJ52:AJ54)</f>
        <v>11950.199999999999</v>
      </c>
      <c r="AK55" s="1615"/>
      <c r="AL55" s="1632">
        <f>AN55/AM55</f>
        <v>4.2742544762183936</v>
      </c>
      <c r="AM55" s="1615">
        <f>SUM(AM52:AM54)</f>
        <v>1788.9869341295885</v>
      </c>
      <c r="AN55" s="1615">
        <f>SUM(AN52:AN54)</f>
        <v>7646.5854110996133</v>
      </c>
      <c r="AO55" s="1632">
        <f>AL55-AH55</f>
        <v>-0.18477537452787463</v>
      </c>
      <c r="AP55" s="1635">
        <f>AM55-AI55</f>
        <v>-891.01306587041154</v>
      </c>
      <c r="AQ55" s="1635">
        <f>AN55-AJ55</f>
        <v>-4303.6145889003856</v>
      </c>
      <c r="AR55" s="1632">
        <f>AT55/AS55</f>
        <v>3.9605965248323978</v>
      </c>
      <c r="AS55" s="1615">
        <f>SUM(AS52:AS54)</f>
        <v>1096.3500000000001</v>
      </c>
      <c r="AT55" s="1615">
        <f>SUM(AT52:AT54)</f>
        <v>4342.2</v>
      </c>
      <c r="AU55" s="1632">
        <f>AW55/AV55</f>
        <v>4.0573052541368924</v>
      </c>
      <c r="AV55" s="1615">
        <f>SUM(AV52:AV54)</f>
        <v>1586.94</v>
      </c>
      <c r="AW55" s="1615">
        <f>SUM(AW52:AW54)</f>
        <v>6438.7</v>
      </c>
      <c r="AX55" s="1632">
        <f>AZ55/AY55</f>
        <v>4.6231243505129136</v>
      </c>
      <c r="AY55" s="1615">
        <f>SUM(AY52:AY54)</f>
        <v>2160.4700000000003</v>
      </c>
      <c r="AZ55" s="1615">
        <f>SUM(AZ52:AZ54)</f>
        <v>9988.1214655526364</v>
      </c>
      <c r="BA55" s="1630">
        <f t="shared" si="5"/>
        <v>1.3062198260486442</v>
      </c>
      <c r="BB55" s="1586">
        <f>BD55/BC55</f>
        <v>4.3548365034639751</v>
      </c>
      <c r="BC55" s="1644">
        <f>SUM(BC52:BC54)</f>
        <v>1745.8207199999999</v>
      </c>
      <c r="BD55" s="1644">
        <f>SUM(BD52:BD54)</f>
        <v>7602.7637999597591</v>
      </c>
      <c r="BE55" s="1586">
        <f>BB55-AX55</f>
        <v>-0.26828784704893849</v>
      </c>
      <c r="BF55" s="1646">
        <f>BC55-AY55</f>
        <v>-414.64928000000032</v>
      </c>
      <c r="BG55" s="1646">
        <f>BD55-AZ55</f>
        <v>-2385.3576655928773</v>
      </c>
      <c r="BH55" s="1646"/>
      <c r="BI55" s="1644">
        <f>SUM(BI52:BI54)</f>
        <v>2124.48</v>
      </c>
      <c r="BJ55" s="1644">
        <f>SUM(BJ52:BJ54)</f>
        <v>9995.2300000000014</v>
      </c>
      <c r="BK55" s="1646"/>
      <c r="BL55" s="1644">
        <f>SUM(BL52:BL54)</f>
        <v>1542.9909600000001</v>
      </c>
      <c r="BM55" s="1644">
        <f>SUM(BM52:BM54)</f>
        <v>7124.7607578000006</v>
      </c>
      <c r="BN55" s="1586">
        <f>BP55/BO55</f>
        <v>4.6422557126925978</v>
      </c>
      <c r="BO55" s="1644">
        <f>SUM(BO52:BO54)</f>
        <v>1745.8207199999999</v>
      </c>
      <c r="BP55" s="1644">
        <f>SUM(BP52:BP54)</f>
        <v>8104.5462107571038</v>
      </c>
      <c r="BQ55" s="1586">
        <f>BN55-BD55</f>
        <v>-7598.1215442470666</v>
      </c>
      <c r="BR55" s="1646">
        <f>BO55-BE55</f>
        <v>1746.0890078470488</v>
      </c>
      <c r="BS55" s="1646">
        <f>BP55-BF55</f>
        <v>8519.1954907571035</v>
      </c>
      <c r="BT55" s="1586">
        <f>BV55/BU55</f>
        <v>4.9532868454430021</v>
      </c>
      <c r="BU55" s="1644">
        <f>SUM(BU52:BU54)</f>
        <v>1745.8207199999999</v>
      </c>
      <c r="BV55" s="1644">
        <f>SUM(BV52:BV54)</f>
        <v>8647.5508068778308</v>
      </c>
      <c r="BW55" s="1586">
        <f>BT55-BP55</f>
        <v>-8099.5929239116613</v>
      </c>
      <c r="BX55" s="1646">
        <f>BU55-BQ55</f>
        <v>9343.9422642470672</v>
      </c>
      <c r="BY55" s="1646">
        <f>BV55-BR55</f>
        <v>6901.4617990307815</v>
      </c>
      <c r="BZ55" s="1586">
        <f>CB55/CA55</f>
        <v>4.5371260499999995</v>
      </c>
      <c r="CA55" s="1644">
        <f>SUM(CA52:CA54)</f>
        <v>1661.058</v>
      </c>
      <c r="CB55" s="1644">
        <f>SUM(CB52:CB54)</f>
        <v>7536.4295223608988</v>
      </c>
      <c r="CC55" s="2101"/>
      <c r="CD55" s="2101"/>
      <c r="CE55" s="1586">
        <f t="shared" ref="CE55" si="44">CG55/CF55</f>
        <v>4.7387416390970438</v>
      </c>
      <c r="CF55" s="1644">
        <f t="shared" ref="CF55:CG55" si="45">SUM(CF52:CF54)</f>
        <v>2360.69</v>
      </c>
      <c r="CG55" s="1644">
        <f t="shared" si="45"/>
        <v>11186.7</v>
      </c>
      <c r="CH55" s="1586">
        <f t="shared" ref="CH55" si="46">CJ55/CI55</f>
        <v>4.7636666666666665</v>
      </c>
      <c r="CI55" s="1644">
        <f t="shared" ref="CI55:CJ55" si="47">SUM(CI52:CI54)</f>
        <v>1611.4492799999998</v>
      </c>
      <c r="CJ55" s="1644">
        <f t="shared" si="47"/>
        <v>7676.4072201599993</v>
      </c>
      <c r="CK55" s="1586">
        <f>CM55/CL55</f>
        <v>4.9532868454430021</v>
      </c>
      <c r="CL55" s="1644">
        <f>SUM(CL52:CL54)</f>
        <v>1745.8207199999999</v>
      </c>
      <c r="CM55" s="1644">
        <f>SUM(CM52:CM54)</f>
        <v>8647.5508068778308</v>
      </c>
      <c r="CN55" s="1586">
        <f>CP55/CO55</f>
        <v>4.8551666666666673</v>
      </c>
      <c r="CO55" s="1644">
        <f>SUM(CO52:CO54)</f>
        <v>1639.5119999999999</v>
      </c>
      <c r="CP55" s="1644">
        <f>SUM(CP52:CP54)</f>
        <v>7960.1040120000007</v>
      </c>
      <c r="CQ55" s="1586">
        <f>CS55/CR55</f>
        <v>4.8547248734999995</v>
      </c>
      <c r="CR55" s="1644">
        <f>SUM(CR52:CR54)</f>
        <v>1637.4607199999998</v>
      </c>
      <c r="CS55" s="1644">
        <f>SUM(CS52:CS54)</f>
        <v>7949.4212867632177</v>
      </c>
    </row>
    <row r="56" spans="1:97" ht="40.5" customHeight="1" x14ac:dyDescent="0.2">
      <c r="A56" s="1636" t="s">
        <v>138</v>
      </c>
      <c r="B56" s="1623"/>
      <c r="C56" s="1623"/>
      <c r="D56" s="1623"/>
      <c r="E56" s="1623"/>
      <c r="F56" s="1623"/>
      <c r="G56" s="1623"/>
      <c r="H56" s="1623"/>
      <c r="I56" s="1623"/>
      <c r="J56" s="1623"/>
      <c r="K56" s="1583"/>
      <c r="L56" s="1583"/>
      <c r="M56" s="1584">
        <f>объемы!E39</f>
        <v>5875</v>
      </c>
      <c r="N56" s="1583"/>
      <c r="O56" s="1583"/>
      <c r="P56" s="1583"/>
      <c r="Q56" s="1584" t="e">
        <f>объемы!G39</f>
        <v>#REF!</v>
      </c>
      <c r="R56" s="1583"/>
      <c r="S56" s="1627"/>
      <c r="T56" s="1624"/>
      <c r="U56" s="1583"/>
      <c r="V56" s="1624" t="e">
        <f t="shared" si="14"/>
        <v>#REF!</v>
      </c>
      <c r="W56" s="1583"/>
      <c r="X56" s="1637"/>
      <c r="Y56" s="1637"/>
      <c r="Z56" s="1584">
        <v>3493.3</v>
      </c>
      <c r="AA56" s="1583"/>
      <c r="AB56" s="1583"/>
      <c r="AC56" s="1583"/>
      <c r="AD56" s="1584">
        <v>5158</v>
      </c>
      <c r="AE56" s="1583"/>
      <c r="AF56" s="1583"/>
      <c r="AG56" s="1584">
        <f>SUM(объемы!K39)</f>
        <v>6977.9000000000005</v>
      </c>
      <c r="AH56" s="1583"/>
      <c r="AI56" s="1583"/>
      <c r="AJ56" s="1584">
        <f>SUM(объемы!L39)</f>
        <v>5800.03</v>
      </c>
      <c r="AK56" s="1583"/>
      <c r="AL56" s="1583"/>
      <c r="AM56" s="1583"/>
      <c r="AN56" s="1584">
        <f>SUM(объемы!M39)</f>
        <v>5561.39</v>
      </c>
      <c r="AO56" s="1583"/>
      <c r="AP56" s="1627"/>
      <c r="AQ56" s="1624">
        <f t="shared" ref="AQ56:AQ63" si="48">AN56-AJ56</f>
        <v>-238.63999999999942</v>
      </c>
      <c r="AR56" s="1583"/>
      <c r="AS56" s="1583"/>
      <c r="AT56" s="1584">
        <f>SUM(объемы!P39)</f>
        <v>3367.79</v>
      </c>
      <c r="AU56" s="1583"/>
      <c r="AV56" s="1583"/>
      <c r="AW56" s="1584">
        <f>объемы!R39+объемы!S39</f>
        <v>6716.13</v>
      </c>
      <c r="AX56" s="1583"/>
      <c r="AY56" s="1583"/>
      <c r="AZ56" s="1584">
        <f>SUM(объемы!T39)</f>
        <v>5779.357</v>
      </c>
      <c r="BA56" s="1630">
        <f t="shared" si="5"/>
        <v>1.0391928996168223</v>
      </c>
      <c r="BB56" s="1583"/>
      <c r="BC56" s="1583"/>
      <c r="BD56" s="1584">
        <f>SUM(объемы!AA39:AB39)</f>
        <v>5675.7370000000001</v>
      </c>
      <c r="BE56" s="1583"/>
      <c r="BF56" s="1627"/>
      <c r="BG56" s="1624">
        <f t="shared" ref="BG56:BG63" si="49">BD56-AZ56</f>
        <v>-103.61999999999989</v>
      </c>
      <c r="BH56" s="1894"/>
      <c r="BI56" s="1894"/>
      <c r="BJ56" s="1584">
        <f>объемы!W39+объемы!X39</f>
        <v>6332.0300000000007</v>
      </c>
      <c r="BK56" s="1894"/>
      <c r="BL56" s="1894"/>
      <c r="BM56" s="1584">
        <f>объемы!Y39+объемы!Z39</f>
        <v>5629.6590286425908</v>
      </c>
      <c r="BN56" s="1583"/>
      <c r="BO56" s="1583"/>
      <c r="BP56" s="1584">
        <f>объемы!AE39+объемы!AF39</f>
        <v>5560.4</v>
      </c>
      <c r="BQ56" s="1583"/>
      <c r="BR56" s="1627"/>
      <c r="BS56" s="2086">
        <f t="shared" ref="BS56:BS63" si="50">BP56-BF56</f>
        <v>5560.4</v>
      </c>
      <c r="BT56" s="1583"/>
      <c r="BU56" s="1583"/>
      <c r="BV56" s="1584">
        <f>BP56</f>
        <v>5560.4</v>
      </c>
      <c r="BW56" s="1583"/>
      <c r="BX56" s="1627"/>
      <c r="BY56" s="2086">
        <f t="shared" ref="BY56:BY63" si="51">BV56-BR56</f>
        <v>5560.4</v>
      </c>
      <c r="BZ56" s="1583"/>
      <c r="CA56" s="1583"/>
      <c r="CB56" s="1584">
        <f>объемы!AJ39+объемы!AK39</f>
        <v>5570.6852214411947</v>
      </c>
      <c r="CC56" s="2104">
        <f>объемы!AJ39</f>
        <v>5550.3362214411945</v>
      </c>
      <c r="CD56" s="2104">
        <f>объемы!AK39</f>
        <v>20.349</v>
      </c>
      <c r="CE56" s="1583"/>
      <c r="CF56" s="1583"/>
      <c r="CG56" s="1584">
        <f>объемы!AN39+объемы!AO39</f>
        <v>6767.77</v>
      </c>
      <c r="CH56" s="1583"/>
      <c r="CI56" s="1583"/>
      <c r="CJ56" s="1584">
        <f>объемы!AP39+объемы!AQ39</f>
        <v>5957.5174595267745</v>
      </c>
      <c r="CK56" s="1583"/>
      <c r="CL56" s="1583"/>
      <c r="CM56" s="1584">
        <f>BV56</f>
        <v>5560.4</v>
      </c>
      <c r="CN56" s="1583"/>
      <c r="CO56" s="1583"/>
      <c r="CP56" s="1584">
        <v>5570</v>
      </c>
      <c r="CQ56" s="1583"/>
      <c r="CR56" s="1583"/>
      <c r="CS56" s="1584">
        <f>объемы!AR39+объемы!AS39</f>
        <v>5326.2811437166174</v>
      </c>
    </row>
    <row r="57" spans="1:97" ht="45" customHeight="1" x14ac:dyDescent="0.2">
      <c r="A57" s="1638" t="s">
        <v>139</v>
      </c>
      <c r="B57" s="1623"/>
      <c r="C57" s="1623"/>
      <c r="D57" s="1623"/>
      <c r="E57" s="1623"/>
      <c r="F57" s="1623"/>
      <c r="G57" s="1623"/>
      <c r="H57" s="1623"/>
      <c r="I57" s="1623"/>
      <c r="J57" s="1623"/>
      <c r="K57" s="1583"/>
      <c r="L57" s="1583"/>
      <c r="M57" s="1627">
        <f>L48/M56</f>
        <v>0.18573617021276598</v>
      </c>
      <c r="N57" s="1583"/>
      <c r="O57" s="1583"/>
      <c r="P57" s="1583"/>
      <c r="Q57" s="1627">
        <f>AH20</f>
        <v>0.14554379746835441</v>
      </c>
      <c r="R57" s="1583"/>
      <c r="S57" s="1627"/>
      <c r="T57" s="1624"/>
      <c r="U57" s="1583"/>
      <c r="V57" s="1627">
        <f t="shared" si="14"/>
        <v>-4.0192372744411564E-2</v>
      </c>
      <c r="W57" s="1583"/>
      <c r="X57" s="1637"/>
      <c r="Y57" s="1637"/>
      <c r="Z57" s="1627">
        <f>Y48/Z56</f>
        <v>0.14465748718976326</v>
      </c>
      <c r="AA57" s="1583"/>
      <c r="AB57" s="1583"/>
      <c r="AC57" s="1583"/>
      <c r="AD57" s="1627">
        <f>AC48/AD56</f>
        <v>0.13366227219852655</v>
      </c>
      <c r="AE57" s="1583"/>
      <c r="AF57" s="1583"/>
      <c r="AG57" s="1627">
        <f>AF48/AG56</f>
        <v>0.1305331116811648</v>
      </c>
      <c r="AH57" s="1583"/>
      <c r="AI57" s="1583"/>
      <c r="AJ57" s="1627">
        <f>AI48/AJ56</f>
        <v>0.14599924483149224</v>
      </c>
      <c r="AK57" s="1583"/>
      <c r="AL57" s="1583"/>
      <c r="AM57" s="1583"/>
      <c r="AN57" s="1627">
        <f>AP20</f>
        <v>0.15880621825734828</v>
      </c>
      <c r="AO57" s="1583"/>
      <c r="AP57" s="1627"/>
      <c r="AQ57" s="1627">
        <f t="shared" si="48"/>
        <v>1.2806973425856044E-2</v>
      </c>
      <c r="AR57" s="1583"/>
      <c r="AS57" s="1583"/>
      <c r="AT57" s="1627">
        <f>AS48/AT56</f>
        <v>0.12322324135412244</v>
      </c>
      <c r="AU57" s="1583"/>
      <c r="AV57" s="1583"/>
      <c r="AW57" s="1627">
        <f>AV48/AW56</f>
        <v>8.1329128530865241E-2</v>
      </c>
      <c r="AX57" s="1583"/>
      <c r="AY57" s="1583"/>
      <c r="AZ57" s="1627">
        <f>AY48/AZ56</f>
        <v>0.15760403795785588</v>
      </c>
      <c r="BA57" s="1630">
        <f t="shared" si="5"/>
        <v>0.99242989152008998</v>
      </c>
      <c r="BB57" s="1585"/>
      <c r="BC57" s="1585"/>
      <c r="BD57" s="1641">
        <v>0.124</v>
      </c>
      <c r="BE57" s="1585"/>
      <c r="BF57" s="1641"/>
      <c r="BG57" s="1641">
        <f t="shared" si="49"/>
        <v>-3.3604037957855881E-2</v>
      </c>
      <c r="BH57" s="1641"/>
      <c r="BI57" s="1641"/>
      <c r="BJ57" s="1641">
        <v>0.125</v>
      </c>
      <c r="BK57" s="1641"/>
      <c r="BL57" s="1641"/>
      <c r="BM57" s="1641">
        <v>0.124</v>
      </c>
      <c r="BN57" s="1585"/>
      <c r="BO57" s="1585"/>
      <c r="BP57" s="1641">
        <v>0.124</v>
      </c>
      <c r="BQ57" s="1585"/>
      <c r="BR57" s="1641"/>
      <c r="BS57" s="1641">
        <f t="shared" si="50"/>
        <v>0.124</v>
      </c>
      <c r="BT57" s="1585"/>
      <c r="BU57" s="1585"/>
      <c r="BV57" s="1641">
        <v>0.124</v>
      </c>
      <c r="BW57" s="1585"/>
      <c r="BX57" s="1641"/>
      <c r="BY57" s="1641">
        <f t="shared" si="51"/>
        <v>0.124</v>
      </c>
      <c r="BZ57" s="1585"/>
      <c r="CA57" s="1585"/>
      <c r="CB57" s="1641">
        <v>0.124</v>
      </c>
      <c r="CC57" s="2105">
        <f>CC56/(CC56+CD56)</f>
        <v>0.99634712801188652</v>
      </c>
      <c r="CD57" s="2105">
        <f>CD56/(CC56+CD56)</f>
        <v>3.6528719881134299E-3</v>
      </c>
      <c r="CE57" s="1585"/>
      <c r="CF57" s="1585"/>
      <c r="CG57" s="1641">
        <f>CF48/CG56</f>
        <v>0.13026742930093663</v>
      </c>
      <c r="CH57" s="1585"/>
      <c r="CI57" s="1585"/>
      <c r="CJ57" s="1641">
        <v>0.124</v>
      </c>
      <c r="CK57" s="1585"/>
      <c r="CL57" s="1585"/>
      <c r="CM57" s="1641">
        <v>0.124</v>
      </c>
      <c r="CN57" s="1585"/>
      <c r="CO57" s="1585"/>
      <c r="CP57" s="1641">
        <v>0.124</v>
      </c>
      <c r="CQ57" s="1585"/>
      <c r="CR57" s="1585"/>
      <c r="CS57" s="1641">
        <v>0.124</v>
      </c>
    </row>
    <row r="58" spans="1:97" ht="45.75" customHeight="1" x14ac:dyDescent="0.2">
      <c r="A58" s="1638" t="s">
        <v>865</v>
      </c>
      <c r="B58" s="1623"/>
      <c r="C58" s="1623"/>
      <c r="D58" s="1623"/>
      <c r="E58" s="1623"/>
      <c r="F58" s="1623"/>
      <c r="G58" s="1623"/>
      <c r="H58" s="1623"/>
      <c r="I58" s="1623"/>
      <c r="J58" s="1623"/>
      <c r="K58" s="1583"/>
      <c r="L58" s="1583"/>
      <c r="M58" s="1584">
        <f>объемы!E44</f>
        <v>4999</v>
      </c>
      <c r="N58" s="1583"/>
      <c r="O58" s="1583"/>
      <c r="P58" s="1583"/>
      <c r="Q58" s="1584" t="e">
        <f>объемы!G44</f>
        <v>#REF!</v>
      </c>
      <c r="R58" s="1583"/>
      <c r="S58" s="1627"/>
      <c r="T58" s="1624"/>
      <c r="U58" s="1583"/>
      <c r="V58" s="1624" t="e">
        <f t="shared" si="14"/>
        <v>#REF!</v>
      </c>
      <c r="W58" s="1583"/>
      <c r="X58" s="1637"/>
      <c r="Y58" s="1637"/>
      <c r="Z58" s="1584">
        <v>3054.18</v>
      </c>
      <c r="AA58" s="1583"/>
      <c r="AB58" s="1583"/>
      <c r="AC58" s="1583"/>
      <c r="AD58" s="1584">
        <v>4509.2</v>
      </c>
      <c r="AE58" s="1583"/>
      <c r="AF58" s="1583"/>
      <c r="AG58" s="1584">
        <f>SUM(объемы!K44)</f>
        <v>6136.9000000000005</v>
      </c>
      <c r="AH58" s="1583"/>
      <c r="AI58" s="1583"/>
      <c r="AJ58" s="1584">
        <f>SUM(объемы!L44)</f>
        <v>5046.03</v>
      </c>
      <c r="AK58" s="1583"/>
      <c r="AL58" s="1583"/>
      <c r="AM58" s="1583"/>
      <c r="AN58" s="1584">
        <f>SUM(объемы!M44)</f>
        <v>5004.2700000000004</v>
      </c>
      <c r="AO58" s="1583"/>
      <c r="AP58" s="1627"/>
      <c r="AQ58" s="1624">
        <f t="shared" si="48"/>
        <v>-41.759999999999309</v>
      </c>
      <c r="AR58" s="1583"/>
      <c r="AS58" s="1583"/>
      <c r="AT58" s="1584">
        <f>SUM(объемы!P44)</f>
        <v>2888.49</v>
      </c>
      <c r="AU58" s="1583"/>
      <c r="AV58" s="1583"/>
      <c r="AW58" s="1584">
        <f>объемы!R39</f>
        <v>6697.91</v>
      </c>
      <c r="AX58" s="1583"/>
      <c r="AY58" s="1583"/>
      <c r="AZ58" s="1584">
        <f>SUM(объемы!T44)</f>
        <v>5007.9369999999999</v>
      </c>
      <c r="BA58" s="1630">
        <f t="shared" si="5"/>
        <v>1.0007327742108238</v>
      </c>
      <c r="BB58" s="1585"/>
      <c r="BC58" s="1585"/>
      <c r="BD58" s="1582">
        <f>объемы!AA44</f>
        <v>4967.9170000000004</v>
      </c>
      <c r="BE58" s="1585"/>
      <c r="BF58" s="1641"/>
      <c r="BG58" s="1643">
        <f t="shared" si="49"/>
        <v>-40.019999999999527</v>
      </c>
      <c r="BH58" s="1643"/>
      <c r="BI58" s="1643"/>
      <c r="BJ58" s="1582">
        <f>объемы!W44</f>
        <v>5144.2300000000005</v>
      </c>
      <c r="BK58" s="1643"/>
      <c r="BL58" s="1643"/>
      <c r="BM58" s="1582">
        <f>объемы!Y44+объемы!Z44</f>
        <v>4444.2590286425902</v>
      </c>
      <c r="BN58" s="1585"/>
      <c r="BO58" s="1585"/>
      <c r="BP58" s="1582">
        <f>объемы!AE44</f>
        <v>4852.58</v>
      </c>
      <c r="BQ58" s="1585"/>
      <c r="BR58" s="1641"/>
      <c r="BS58" s="1643">
        <f t="shared" si="50"/>
        <v>4852.58</v>
      </c>
      <c r="BT58" s="1585"/>
      <c r="BU58" s="1585"/>
      <c r="BV58" s="1582">
        <f>BP58</f>
        <v>4852.58</v>
      </c>
      <c r="BW58" s="1585"/>
      <c r="BX58" s="1641"/>
      <c r="BY58" s="1643">
        <f t="shared" si="51"/>
        <v>4852.58</v>
      </c>
      <c r="BZ58" s="1585"/>
      <c r="CA58" s="1585"/>
      <c r="CB58" s="1582">
        <f>объемы!AJ44</f>
        <v>4696.1394769613944</v>
      </c>
      <c r="CC58" s="2101"/>
      <c r="CD58" s="2101"/>
      <c r="CE58" s="1585"/>
      <c r="CF58" s="1585"/>
      <c r="CG58" s="1582">
        <f>объемы!AN44+объемы!AO44</f>
        <v>5364.7000000000007</v>
      </c>
      <c r="CH58" s="1585"/>
      <c r="CI58" s="1585"/>
      <c r="CJ58" s="1582">
        <f>объемы!AP44</f>
        <v>4552.6774595267743</v>
      </c>
      <c r="CK58" s="1585"/>
      <c r="CL58" s="1585"/>
      <c r="CM58" s="1582">
        <f>BV58</f>
        <v>4852.58</v>
      </c>
      <c r="CN58" s="1585"/>
      <c r="CO58" s="1585"/>
      <c r="CP58" s="1582">
        <v>4635</v>
      </c>
      <c r="CQ58" s="1585"/>
      <c r="CR58" s="1585"/>
      <c r="CS58" s="1582">
        <f>объемы!AR44+объемы!AS44</f>
        <v>4509.8630136986303</v>
      </c>
    </row>
    <row r="59" spans="1:97" ht="40.5" customHeight="1" x14ac:dyDescent="0.2">
      <c r="A59" s="1638" t="s">
        <v>140</v>
      </c>
      <c r="B59" s="1623"/>
      <c r="C59" s="1623"/>
      <c r="D59" s="1623"/>
      <c r="E59" s="1623"/>
      <c r="F59" s="1623"/>
      <c r="G59" s="1623"/>
      <c r="H59" s="1623"/>
      <c r="I59" s="1623"/>
      <c r="J59" s="1623"/>
      <c r="K59" s="1583"/>
      <c r="L59" s="1583"/>
      <c r="M59" s="1627">
        <f>L50/M58</f>
        <v>0.35103020604120821</v>
      </c>
      <c r="N59" s="1583"/>
      <c r="O59" s="1583"/>
      <c r="P59" s="1583"/>
      <c r="Q59" s="1627">
        <f>AH22</f>
        <v>0.26482803446738967</v>
      </c>
      <c r="R59" s="1583"/>
      <c r="S59" s="1627"/>
      <c r="T59" s="1624"/>
      <c r="U59" s="1583"/>
      <c r="V59" s="1627">
        <f t="shared" si="14"/>
        <v>-8.6202171573818542E-2</v>
      </c>
      <c r="W59" s="1583"/>
      <c r="X59" s="1637"/>
      <c r="Y59" s="1637"/>
      <c r="Z59" s="1627">
        <f>Y50/Z58</f>
        <v>0.26849105160796027</v>
      </c>
      <c r="AA59" s="1583"/>
      <c r="AB59" s="1583"/>
      <c r="AC59" s="1583"/>
      <c r="AD59" s="1627">
        <f>AC50/AD58</f>
        <v>0.26396034773352256</v>
      </c>
      <c r="AE59" s="1583"/>
      <c r="AF59" s="1583"/>
      <c r="AG59" s="1627">
        <f>AF50/AG58</f>
        <v>0.24905571216738093</v>
      </c>
      <c r="AH59" s="1583"/>
      <c r="AI59" s="1583"/>
      <c r="AJ59" s="1627">
        <f>AI50/AJ58</f>
        <v>0.27498845627156399</v>
      </c>
      <c r="AK59" s="1583"/>
      <c r="AL59" s="1583"/>
      <c r="AM59" s="1583"/>
      <c r="AN59" s="1627">
        <f>AP22</f>
        <v>0.24172159546971789</v>
      </c>
      <c r="AO59" s="1583"/>
      <c r="AP59" s="1627"/>
      <c r="AQ59" s="1627">
        <f t="shared" si="48"/>
        <v>-3.3266860801846099E-2</v>
      </c>
      <c r="AR59" s="1583"/>
      <c r="AS59" s="1583"/>
      <c r="AT59" s="1627">
        <f>AS50/AT58</f>
        <v>0.23473164179207823</v>
      </c>
      <c r="AU59" s="1583"/>
      <c r="AV59" s="1583"/>
      <c r="AW59" s="1627">
        <f>AV50/AW58</f>
        <v>0.15169806700896249</v>
      </c>
      <c r="AX59" s="1583"/>
      <c r="AY59" s="1583"/>
      <c r="AZ59" s="1627">
        <f>AY50/AZ58</f>
        <v>0.30520152310222753</v>
      </c>
      <c r="BA59" s="1630">
        <f t="shared" si="5"/>
        <v>1.2626158722358021</v>
      </c>
      <c r="BB59" s="1585"/>
      <c r="BC59" s="1585"/>
      <c r="BD59" s="1641">
        <v>0.249</v>
      </c>
      <c r="BE59" s="1585"/>
      <c r="BF59" s="1641"/>
      <c r="BG59" s="1641">
        <f t="shared" si="49"/>
        <v>-5.6201523102227535E-2</v>
      </c>
      <c r="BH59" s="1641"/>
      <c r="BI59" s="1641"/>
      <c r="BJ59" s="1641">
        <v>0.29499999999999998</v>
      </c>
      <c r="BK59" s="1641"/>
      <c r="BL59" s="1641"/>
      <c r="BM59" s="1641">
        <v>0.24199999999999999</v>
      </c>
      <c r="BN59" s="1585"/>
      <c r="BO59" s="1585"/>
      <c r="BP59" s="1641">
        <v>0.24199999999999999</v>
      </c>
      <c r="BQ59" s="1585"/>
      <c r="BR59" s="1641"/>
      <c r="BS59" s="1641">
        <f t="shared" si="50"/>
        <v>0.24199999999999999</v>
      </c>
      <c r="BT59" s="1585"/>
      <c r="BU59" s="1585"/>
      <c r="BV59" s="1641">
        <v>0.24199999999999999</v>
      </c>
      <c r="BW59" s="1585"/>
      <c r="BX59" s="1641"/>
      <c r="BY59" s="1641">
        <f t="shared" si="51"/>
        <v>0.24199999999999999</v>
      </c>
      <c r="BZ59" s="1585"/>
      <c r="CA59" s="1585"/>
      <c r="CB59" s="1641">
        <v>0.24199999999999999</v>
      </c>
      <c r="CC59" s="2101"/>
      <c r="CD59" s="2101"/>
      <c r="CE59" s="1585"/>
      <c r="CF59" s="1585"/>
      <c r="CG59" s="1641">
        <f>CF50/CG58</f>
        <v>0.28765261804015135</v>
      </c>
      <c r="CH59" s="1585"/>
      <c r="CI59" s="1585"/>
      <c r="CJ59" s="1641">
        <v>0.24199999999999999</v>
      </c>
      <c r="CK59" s="1585"/>
      <c r="CL59" s="1585"/>
      <c r="CM59" s="1641">
        <v>0.24199999999999999</v>
      </c>
      <c r="CN59" s="1585"/>
      <c r="CO59" s="1585"/>
      <c r="CP59" s="1641">
        <v>0.24199999999999999</v>
      </c>
      <c r="CQ59" s="1585"/>
      <c r="CR59" s="1585"/>
      <c r="CS59" s="1641">
        <v>0.24199999999999999</v>
      </c>
    </row>
    <row r="60" spans="1:97" ht="48" customHeight="1" x14ac:dyDescent="0.2">
      <c r="A60" s="1639" t="s">
        <v>141</v>
      </c>
      <c r="B60" s="1623"/>
      <c r="C60" s="1623"/>
      <c r="D60" s="1623"/>
      <c r="E60" s="1623"/>
      <c r="F60" s="1623"/>
      <c r="G60" s="1623"/>
      <c r="H60" s="1623"/>
      <c r="I60" s="1623"/>
      <c r="J60" s="1623"/>
      <c r="K60" s="1583"/>
      <c r="L60" s="1583"/>
      <c r="M60" s="1584">
        <f>объемы!E63</f>
        <v>3600</v>
      </c>
      <c r="N60" s="1583"/>
      <c r="O60" s="1583"/>
      <c r="P60" s="1583"/>
      <c r="Q60" s="1584">
        <f>объемы!G62</f>
        <v>3672.7</v>
      </c>
      <c r="R60" s="1583"/>
      <c r="S60" s="1627"/>
      <c r="T60" s="1624"/>
      <c r="U60" s="1583"/>
      <c r="V60" s="1624">
        <f t="shared" si="14"/>
        <v>72.699999999999818</v>
      </c>
      <c r="W60" s="1583"/>
      <c r="X60" s="1637"/>
      <c r="Y60" s="1637"/>
      <c r="Z60" s="1584">
        <v>1773.8</v>
      </c>
      <c r="AA60" s="1583"/>
      <c r="AB60" s="1583"/>
      <c r="AC60" s="1583"/>
      <c r="AD60" s="1584">
        <v>2603.1999999999998</v>
      </c>
      <c r="AE60" s="1583"/>
      <c r="AF60" s="1583"/>
      <c r="AG60" s="1584">
        <f>объемы!K62</f>
        <v>4393.3999999999996</v>
      </c>
      <c r="AH60" s="1583"/>
      <c r="AI60" s="1583"/>
      <c r="AJ60" s="1584">
        <f>объемы!L63</f>
        <v>3672.7</v>
      </c>
      <c r="AK60" s="1583"/>
      <c r="AL60" s="1583"/>
      <c r="AM60" s="1583"/>
      <c r="AN60" s="1584">
        <f>объемы!M62</f>
        <v>3644.7</v>
      </c>
      <c r="AO60" s="1583"/>
      <c r="AP60" s="1627"/>
      <c r="AQ60" s="1624">
        <f t="shared" si="48"/>
        <v>-28</v>
      </c>
      <c r="AR60" s="1583"/>
      <c r="AS60" s="1583"/>
      <c r="AT60" s="1584">
        <f>объемы!P62</f>
        <v>2027.43</v>
      </c>
      <c r="AU60" s="1583"/>
      <c r="AV60" s="1583"/>
      <c r="AW60" s="1584">
        <f>объемы!R62</f>
        <v>3840.95</v>
      </c>
      <c r="AX60" s="1583"/>
      <c r="AY60" s="1583"/>
      <c r="AZ60" s="1584">
        <f>SUM(объемы!T63)</f>
        <v>3473</v>
      </c>
      <c r="BA60" s="1630">
        <f t="shared" si="5"/>
        <v>0.95289049853211516</v>
      </c>
      <c r="BB60" s="1583"/>
      <c r="BC60" s="1583"/>
      <c r="BD60" s="1584">
        <f>SUM(объемы!AA63:AB63)</f>
        <v>3463.93</v>
      </c>
      <c r="BE60" s="1583"/>
      <c r="BF60" s="1627"/>
      <c r="BG60" s="1624">
        <f t="shared" si="49"/>
        <v>-9.0700000000001637</v>
      </c>
      <c r="BH60" s="1894"/>
      <c r="BI60" s="1894"/>
      <c r="BJ60" s="1584">
        <v>3061.49</v>
      </c>
      <c r="BK60" s="1894"/>
      <c r="BL60" s="1894"/>
      <c r="BM60" s="1584">
        <f>объемы!Y62</f>
        <v>3061.4900000000002</v>
      </c>
      <c r="BN60" s="1583"/>
      <c r="BO60" s="1583"/>
      <c r="BP60" s="1584">
        <f>объемы!AE63+объемы!AF63</f>
        <v>3463.93</v>
      </c>
      <c r="BQ60" s="1583"/>
      <c r="BR60" s="1627"/>
      <c r="BS60" s="2086">
        <f t="shared" si="50"/>
        <v>3463.93</v>
      </c>
      <c r="BT60" s="1583"/>
      <c r="BU60" s="1583"/>
      <c r="BV60" s="1584">
        <f>BP60</f>
        <v>3463.93</v>
      </c>
      <c r="BW60" s="1583"/>
      <c r="BX60" s="1627"/>
      <c r="BY60" s="2086">
        <f t="shared" si="51"/>
        <v>3463.93</v>
      </c>
      <c r="BZ60" s="1583"/>
      <c r="CA60" s="1583"/>
      <c r="CB60" s="1584">
        <f>объемы!AJ62+объемы!AK62</f>
        <v>3295.75</v>
      </c>
      <c r="CC60" s="2101"/>
      <c r="CD60" s="2101"/>
      <c r="CE60" s="1583"/>
      <c r="CF60" s="1583"/>
      <c r="CG60" s="1584">
        <v>3197.32</v>
      </c>
      <c r="CH60" s="1583">
        <f>объемы!AN62</f>
        <v>4359.4799999999996</v>
      </c>
      <c r="CI60" s="1583"/>
      <c r="CJ60" s="1584">
        <f>объемы!AP62+объемы!AQ62</f>
        <v>3197.3199999999997</v>
      </c>
      <c r="CK60" s="1583"/>
      <c r="CL60" s="1583"/>
      <c r="CM60" s="1584">
        <f>BV60</f>
        <v>3463.93</v>
      </c>
      <c r="CN60" s="1583"/>
      <c r="CO60" s="1583"/>
      <c r="CP60" s="1584">
        <v>3253</v>
      </c>
      <c r="CQ60" s="1583"/>
      <c r="CR60" s="1583"/>
      <c r="CS60" s="1584">
        <f>объемы!AR62</f>
        <v>3248.93</v>
      </c>
    </row>
    <row r="61" spans="1:97" ht="48" customHeight="1" x14ac:dyDescent="0.2">
      <c r="A61" s="1639" t="s">
        <v>1826</v>
      </c>
      <c r="B61" s="1623"/>
      <c r="C61" s="1623"/>
      <c r="D61" s="1623"/>
      <c r="E61" s="1623"/>
      <c r="F61" s="1623"/>
      <c r="G61" s="1623"/>
      <c r="H61" s="1623"/>
      <c r="I61" s="1623"/>
      <c r="J61" s="1623"/>
      <c r="K61" s="1583"/>
      <c r="L61" s="1583"/>
      <c r="M61" s="1584"/>
      <c r="N61" s="1583"/>
      <c r="O61" s="1583"/>
      <c r="P61" s="1583"/>
      <c r="Q61" s="1584"/>
      <c r="R61" s="1583"/>
      <c r="S61" s="1627"/>
      <c r="T61" s="2086"/>
      <c r="U61" s="1583"/>
      <c r="V61" s="2086"/>
      <c r="W61" s="1583"/>
      <c r="X61" s="1637"/>
      <c r="Y61" s="1637"/>
      <c r="Z61" s="1584"/>
      <c r="AA61" s="1583"/>
      <c r="AB61" s="1583"/>
      <c r="AC61" s="1583"/>
      <c r="AD61" s="1584"/>
      <c r="AE61" s="1583"/>
      <c r="AF61" s="1583"/>
      <c r="AG61" s="1584"/>
      <c r="AH61" s="1583"/>
      <c r="AI61" s="1583"/>
      <c r="AJ61" s="1584"/>
      <c r="AK61" s="1583"/>
      <c r="AL61" s="1583"/>
      <c r="AM61" s="1583"/>
      <c r="AN61" s="1584"/>
      <c r="AO61" s="1583"/>
      <c r="AP61" s="1627"/>
      <c r="AQ61" s="2086"/>
      <c r="AR61" s="1583"/>
      <c r="AS61" s="1583"/>
      <c r="AT61" s="1584"/>
      <c r="AU61" s="1583"/>
      <c r="AV61" s="1583"/>
      <c r="AW61" s="1584"/>
      <c r="AX61" s="1583"/>
      <c r="AY61" s="1583"/>
      <c r="AZ61" s="1584"/>
      <c r="BA61" s="1630"/>
      <c r="BB61" s="1583"/>
      <c r="BC61" s="1583"/>
      <c r="BD61" s="1584"/>
      <c r="BE61" s="1583"/>
      <c r="BF61" s="1627"/>
      <c r="BG61" s="2086"/>
      <c r="BH61" s="2086"/>
      <c r="BI61" s="2086"/>
      <c r="BJ61" s="1584"/>
      <c r="BK61" s="2086"/>
      <c r="BL61" s="2086"/>
      <c r="BM61" s="1584"/>
      <c r="BN61" s="1583"/>
      <c r="BO61" s="1583"/>
      <c r="BP61" s="1584"/>
      <c r="BQ61" s="1583"/>
      <c r="BR61" s="1627"/>
      <c r="BS61" s="2086"/>
      <c r="BT61" s="1583"/>
      <c r="BU61" s="1583"/>
      <c r="BV61" s="1584"/>
      <c r="BW61" s="1583"/>
      <c r="BX61" s="1627"/>
      <c r="BY61" s="2086"/>
      <c r="BZ61" s="1583"/>
      <c r="CA61" s="1583"/>
      <c r="CB61" s="1584"/>
      <c r="CC61" s="2101"/>
      <c r="CD61" s="2101"/>
      <c r="CE61" s="1583"/>
      <c r="CF61" s="1583"/>
      <c r="CG61" s="1584"/>
      <c r="CH61" s="1583"/>
      <c r="CI61" s="1583"/>
      <c r="CJ61" s="1584">
        <f>объемы!AP63</f>
        <v>3178.1</v>
      </c>
      <c r="CK61" s="1583"/>
      <c r="CL61" s="1583"/>
      <c r="CM61" s="1584"/>
      <c r="CN61" s="1583"/>
      <c r="CO61" s="1583"/>
      <c r="CP61" s="1584"/>
      <c r="CQ61" s="1583"/>
      <c r="CR61" s="1583"/>
      <c r="CS61" s="1584"/>
    </row>
    <row r="62" spans="1:97" ht="56.25" customHeight="1" x14ac:dyDescent="0.2">
      <c r="A62" s="1638" t="s">
        <v>142</v>
      </c>
      <c r="B62" s="1623"/>
      <c r="C62" s="1623"/>
      <c r="D62" s="1623"/>
      <c r="E62" s="1623"/>
      <c r="F62" s="1623"/>
      <c r="G62" s="1623"/>
      <c r="H62" s="1623"/>
      <c r="I62" s="1623"/>
      <c r="J62" s="1623"/>
      <c r="K62" s="1583"/>
      <c r="L62" s="1583"/>
      <c r="M62" s="1627">
        <f>L52/M60</f>
        <v>0.1105</v>
      </c>
      <c r="N62" s="1583"/>
      <c r="O62" s="1583"/>
      <c r="P62" s="1583"/>
      <c r="Q62" s="1627">
        <f>AB25</f>
        <v>9.9000000000000005E-2</v>
      </c>
      <c r="R62" s="1583"/>
      <c r="S62" s="1627"/>
      <c r="T62" s="1624"/>
      <c r="U62" s="1583"/>
      <c r="V62" s="1627">
        <f t="shared" si="14"/>
        <v>-1.1499999999999996E-2</v>
      </c>
      <c r="W62" s="1583"/>
      <c r="X62" s="1637"/>
      <c r="Y62" s="1637"/>
      <c r="Z62" s="1627">
        <f>Y52/Z60</f>
        <v>9.1423497575825907E-2</v>
      </c>
      <c r="AA62" s="1583"/>
      <c r="AB62" s="1583"/>
      <c r="AC62" s="1583"/>
      <c r="AD62" s="1627">
        <f>AC52/AD60</f>
        <v>8.6067148125384157E-2</v>
      </c>
      <c r="AE62" s="1583"/>
      <c r="AF62" s="1583"/>
      <c r="AG62" s="1640">
        <f>AF52/AG60</f>
        <v>6.9781945645741347E-2</v>
      </c>
      <c r="AH62" s="1583"/>
      <c r="AI62" s="1583"/>
      <c r="AJ62" s="1627">
        <f>AI52/AJ60</f>
        <v>0.1083126854902388</v>
      </c>
      <c r="AK62" s="1583"/>
      <c r="AL62" s="1583"/>
      <c r="AM62" s="1583"/>
      <c r="AN62" s="1627">
        <f>Q62</f>
        <v>9.9000000000000005E-2</v>
      </c>
      <c r="AO62" s="1583"/>
      <c r="AP62" s="1627"/>
      <c r="AQ62" s="1627">
        <f t="shared" si="48"/>
        <v>-9.3126854902387951E-3</v>
      </c>
      <c r="AR62" s="1583"/>
      <c r="AS62" s="1583"/>
      <c r="AT62" s="1627">
        <f>AS52/AT60</f>
        <v>7.2579571181249164E-2</v>
      </c>
      <c r="AU62" s="1583"/>
      <c r="AV62" s="1583"/>
      <c r="AW62" s="1627">
        <f>AV52/AW60</f>
        <v>4.9977219177547223E-2</v>
      </c>
      <c r="AX62" s="1583"/>
      <c r="AY62" s="1583"/>
      <c r="AZ62" s="1627">
        <f>AY52/AZ60</f>
        <v>8.8275266340339761E-2</v>
      </c>
      <c r="BA62" s="1630">
        <f t="shared" si="5"/>
        <v>0.89166935697312888</v>
      </c>
      <c r="BB62" s="1585"/>
      <c r="BC62" s="1585"/>
      <c r="BD62" s="1641">
        <v>8.4000000000000005E-2</v>
      </c>
      <c r="BE62" s="1585"/>
      <c r="BF62" s="1641"/>
      <c r="BG62" s="1641">
        <f t="shared" si="49"/>
        <v>-4.2752663403397562E-3</v>
      </c>
      <c r="BH62" s="1641"/>
      <c r="BI62" s="1641"/>
      <c r="BJ62" s="1641">
        <v>9.1999999999999998E-2</v>
      </c>
      <c r="BK62" s="1641"/>
      <c r="BL62" s="1641"/>
      <c r="BM62" s="1641">
        <v>8.4000000000000005E-2</v>
      </c>
      <c r="BN62" s="1585"/>
      <c r="BO62" s="1585"/>
      <c r="BP62" s="1641">
        <v>8.4000000000000005E-2</v>
      </c>
      <c r="BQ62" s="1585"/>
      <c r="BR62" s="1641"/>
      <c r="BS62" s="1641">
        <f t="shared" si="50"/>
        <v>8.4000000000000005E-2</v>
      </c>
      <c r="BT62" s="1585"/>
      <c r="BU62" s="1585"/>
      <c r="BV62" s="1641">
        <v>8.4000000000000005E-2</v>
      </c>
      <c r="BW62" s="1585"/>
      <c r="BX62" s="1641"/>
      <c r="BY62" s="1641">
        <f t="shared" si="51"/>
        <v>8.4000000000000005E-2</v>
      </c>
      <c r="BZ62" s="1585"/>
      <c r="CA62" s="1585"/>
      <c r="CB62" s="1641">
        <v>8.4000000000000005E-2</v>
      </c>
      <c r="CC62" s="2101"/>
      <c r="CD62" s="2101"/>
      <c r="CE62" s="1585"/>
      <c r="CF62" s="1585"/>
      <c r="CG62" s="1641">
        <f>CF52/CG60</f>
        <v>0.10997335268287189</v>
      </c>
      <c r="CH62" s="1641">
        <f>CF52/CH87</f>
        <v>0.1106384317674082</v>
      </c>
      <c r="CI62" s="1585"/>
      <c r="CJ62" s="1641">
        <v>8.4000000000000005E-2</v>
      </c>
      <c r="CK62" s="1585"/>
      <c r="CL62" s="1585"/>
      <c r="CM62" s="1641">
        <v>8.4000000000000005E-2</v>
      </c>
      <c r="CN62" s="1585"/>
      <c r="CO62" s="1585"/>
      <c r="CP62" s="1641">
        <v>8.4000000000000005E-2</v>
      </c>
      <c r="CQ62" s="1585"/>
      <c r="CR62" s="1585"/>
      <c r="CS62" s="1641">
        <v>8.4000000000000005E-2</v>
      </c>
    </row>
    <row r="63" spans="1:97" ht="58.5" customHeight="1" x14ac:dyDescent="0.2">
      <c r="A63" s="1638" t="s">
        <v>143</v>
      </c>
      <c r="B63" s="1623"/>
      <c r="C63" s="1623"/>
      <c r="D63" s="1623"/>
      <c r="E63" s="1623"/>
      <c r="F63" s="1623"/>
      <c r="G63" s="1623"/>
      <c r="H63" s="1623"/>
      <c r="I63" s="1623"/>
      <c r="J63" s="1623"/>
      <c r="K63" s="1583"/>
      <c r="L63" s="1583"/>
      <c r="M63" s="1627">
        <f>L54/M60</f>
        <v>0.63394444444444442</v>
      </c>
      <c r="N63" s="1583"/>
      <c r="O63" s="1583"/>
      <c r="P63" s="1583"/>
      <c r="Q63" s="1627">
        <f>AH26</f>
        <v>0.39184614210486146</v>
      </c>
      <c r="R63" s="1583"/>
      <c r="S63" s="1627"/>
      <c r="T63" s="1624"/>
      <c r="U63" s="1583"/>
      <c r="V63" s="1627">
        <f t="shared" si="14"/>
        <v>-0.24209830233958296</v>
      </c>
      <c r="W63" s="1583"/>
      <c r="X63" s="1637"/>
      <c r="Y63" s="1637"/>
      <c r="Z63" s="1627">
        <f>Y54/Z60</f>
        <v>0.5300879467809223</v>
      </c>
      <c r="AA63" s="1583"/>
      <c r="AB63" s="1583"/>
      <c r="AC63" s="1583"/>
      <c r="AD63" s="1627">
        <f>AC54/AD60</f>
        <v>0.52707437000614632</v>
      </c>
      <c r="AE63" s="1583"/>
      <c r="AF63" s="1583"/>
      <c r="AG63" s="1640">
        <f>AF54/AG60</f>
        <v>0.42197159375426785</v>
      </c>
      <c r="AH63" s="1583"/>
      <c r="AI63" s="1583"/>
      <c r="AJ63" s="1627">
        <f>AI54/AJ60</f>
        <v>0.6213957034334413</v>
      </c>
      <c r="AK63" s="1583"/>
      <c r="AL63" s="1583"/>
      <c r="AM63" s="1583"/>
      <c r="AN63" s="1627">
        <f>Q63</f>
        <v>0.39184614210486146</v>
      </c>
      <c r="AO63" s="1583"/>
      <c r="AP63" s="1627"/>
      <c r="AQ63" s="1627">
        <f t="shared" si="48"/>
        <v>-0.22954956132857984</v>
      </c>
      <c r="AR63" s="1583"/>
      <c r="AS63" s="1583"/>
      <c r="AT63" s="1627">
        <f>AS54/AT60</f>
        <v>0.46817892602950534</v>
      </c>
      <c r="AU63" s="1583"/>
      <c r="AV63" s="1583"/>
      <c r="AW63" s="1627">
        <f>AV54/AW60</f>
        <v>0.36318619091630977</v>
      </c>
      <c r="AX63" s="1583"/>
      <c r="AY63" s="1583"/>
      <c r="AZ63" s="1627">
        <f>AY54/AZ60</f>
        <v>0.53380074863230642</v>
      </c>
      <c r="BA63" s="1630">
        <f t="shared" si="5"/>
        <v>1.3622712878195358</v>
      </c>
      <c r="BB63" s="1585"/>
      <c r="BC63" s="1585"/>
      <c r="BD63" s="1641">
        <v>0.42</v>
      </c>
      <c r="BE63" s="1585"/>
      <c r="BF63" s="1641"/>
      <c r="BG63" s="1641">
        <f t="shared" si="49"/>
        <v>-0.11380074863230644</v>
      </c>
      <c r="BH63" s="1641"/>
      <c r="BI63" s="1641"/>
      <c r="BJ63" s="1641">
        <v>0.60199999999999998</v>
      </c>
      <c r="BK63" s="1641"/>
      <c r="BL63" s="1641"/>
      <c r="BM63" s="1641">
        <v>0.42</v>
      </c>
      <c r="BN63" s="1585"/>
      <c r="BO63" s="1585"/>
      <c r="BP63" s="1641">
        <v>0.42</v>
      </c>
      <c r="BQ63" s="1585"/>
      <c r="BR63" s="1641"/>
      <c r="BS63" s="1641">
        <f t="shared" si="50"/>
        <v>0.42</v>
      </c>
      <c r="BT63" s="1585"/>
      <c r="BU63" s="1585"/>
      <c r="BV63" s="1641">
        <v>0.42</v>
      </c>
      <c r="BW63" s="1585"/>
      <c r="BX63" s="1641"/>
      <c r="BY63" s="1641">
        <f t="shared" si="51"/>
        <v>0.42</v>
      </c>
      <c r="BZ63" s="1585"/>
      <c r="CA63" s="1585"/>
      <c r="CB63" s="1643">
        <v>0.42</v>
      </c>
      <c r="CC63" s="2101"/>
      <c r="CD63" s="2101"/>
      <c r="CE63" s="1585"/>
      <c r="CF63" s="1585"/>
      <c r="CG63" s="1643">
        <f>CF54/CG60</f>
        <v>0.62836062702513351</v>
      </c>
      <c r="CH63" s="1643">
        <f>CF54/CH60</f>
        <v>0.46085083542073829</v>
      </c>
      <c r="CI63" s="1585"/>
      <c r="CJ63" s="1643">
        <v>0.42</v>
      </c>
      <c r="CK63" s="1585"/>
      <c r="CL63" s="1585"/>
      <c r="CM63" s="1641">
        <v>0.42</v>
      </c>
      <c r="CN63" s="1585"/>
      <c r="CO63" s="1585"/>
      <c r="CP63" s="1641">
        <v>0.42</v>
      </c>
      <c r="CQ63" s="1585"/>
      <c r="CR63" s="1585"/>
      <c r="CS63" s="1641">
        <v>0.42</v>
      </c>
    </row>
    <row r="65" spans="1:49" ht="16.5" hidden="1" customHeight="1" x14ac:dyDescent="0.25">
      <c r="A65" s="524" t="s">
        <v>427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5">
        <f>AW48-AT48</f>
        <v>699.59999999999991</v>
      </c>
    </row>
    <row r="66" spans="1:49" ht="16.5" hidden="1" customHeight="1" x14ac:dyDescent="0.25">
      <c r="A66" s="524" t="s">
        <v>428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5">
        <f>AW49-AT49</f>
        <v>72.900000000000006</v>
      </c>
    </row>
    <row r="67" spans="1:49" ht="16.5" hidden="1" customHeight="1" x14ac:dyDescent="0.25">
      <c r="A67" s="525" t="s">
        <v>429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/>
      <c r="M67" s="524" t="s">
        <v>433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29"/>
      <c r="Y67" s="29"/>
      <c r="Z67" s="29"/>
      <c r="AA67" s="279"/>
      <c r="AB67" s="279"/>
      <c r="AU67">
        <f t="shared" si="52"/>
        <v>4.2196189800023669</v>
      </c>
      <c r="AV67" s="129">
        <f t="shared" si="53"/>
        <v>338.03999999999996</v>
      </c>
      <c r="AW67" s="155">
        <f>AW50-AT50</f>
        <v>1426.4</v>
      </c>
    </row>
    <row r="68" spans="1:49" ht="16.5" hidden="1" customHeight="1" x14ac:dyDescent="0.25">
      <c r="A68" s="525" t="s">
        <v>430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AN59</f>
        <v>0.24172159546971789</v>
      </c>
      <c r="M68" s="524" t="s">
        <v>433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4981"/>
      <c r="Y68" s="4981"/>
      <c r="Z68" s="4981"/>
      <c r="AA68" s="279"/>
      <c r="AB68" s="279"/>
      <c r="AU68">
        <f>AW68/AV68</f>
        <v>4.6858185212256567</v>
      </c>
      <c r="AV68" s="129">
        <f>SUM(AV65:AV67)</f>
        <v>469.26699999999994</v>
      </c>
      <c r="AW68" s="155">
        <f>SUM(AW65:AW67)</f>
        <v>2198.9</v>
      </c>
    </row>
    <row r="69" spans="1:49" ht="16.5" hidden="1" customHeight="1" x14ac:dyDescent="0.25">
      <c r="A69" s="525" t="s">
        <v>431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9.9000000000000005E-2</v>
      </c>
      <c r="M69" s="524" t="s">
        <v>434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ht="16.5" hidden="1" customHeight="1" x14ac:dyDescent="0.25">
      <c r="A70" s="525" t="s">
        <v>432</v>
      </c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6">
        <f>AN63</f>
        <v>0.39184614210486146</v>
      </c>
      <c r="M70" s="524" t="s">
        <v>434</v>
      </c>
      <c r="N70" s="524"/>
      <c r="O70" s="524"/>
      <c r="P70" s="524"/>
      <c r="Q70" s="524"/>
      <c r="R70" s="524"/>
      <c r="S70" s="524"/>
      <c r="T70" s="524"/>
      <c r="U70" s="5"/>
      <c r="V70" s="29"/>
      <c r="W70" s="29"/>
      <c r="X70" s="29"/>
      <c r="Y70" s="527"/>
      <c r="Z70" s="527"/>
      <c r="AA70" s="279"/>
      <c r="AB70" s="279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4978" t="s">
        <v>560</v>
      </c>
      <c r="B72" s="4979"/>
      <c r="C72" s="4979"/>
      <c r="D72" s="4979"/>
      <c r="E72" s="4979"/>
      <c r="F72" s="4979"/>
      <c r="G72" s="4979"/>
      <c r="H72" s="4979"/>
      <c r="I72" s="4979"/>
      <c r="J72" s="4979"/>
      <c r="K72" s="4979"/>
      <c r="L72" s="4979"/>
      <c r="M72" s="4980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27"/>
      <c r="Z72" s="527"/>
      <c r="AA72" s="279"/>
      <c r="AB72" s="279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388" t="s">
        <v>527</v>
      </c>
      <c r="B73" s="1389"/>
      <c r="C73" s="1389"/>
      <c r="D73" s="1389"/>
      <c r="E73" s="1389"/>
      <c r="F73" s="1389"/>
      <c r="G73" s="1389"/>
      <c r="H73" s="1389"/>
      <c r="I73" s="1389"/>
      <c r="J73" s="1389"/>
      <c r="K73" s="1389" t="s">
        <v>330</v>
      </c>
      <c r="L73" s="1389" t="s">
        <v>346</v>
      </c>
      <c r="M73" s="524" t="s">
        <v>561</v>
      </c>
      <c r="N73" s="5"/>
      <c r="O73" s="1389" t="s">
        <v>563</v>
      </c>
      <c r="P73" s="524" t="s">
        <v>564</v>
      </c>
      <c r="Q73" s="5"/>
      <c r="R73" s="5"/>
      <c r="S73" s="5"/>
      <c r="T73" s="5"/>
      <c r="U73" s="5"/>
      <c r="V73" s="29"/>
      <c r="W73" s="29"/>
      <c r="X73" s="529"/>
      <c r="Y73" s="530"/>
      <c r="Z73" s="530"/>
      <c r="AA73" s="279"/>
      <c r="AB73" s="279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35" t="s">
        <v>132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>
        <f>SUM(M74/L74)</f>
        <v>5.0619778596182483</v>
      </c>
      <c r="L74" s="533">
        <f>SUM(AC48-Y48)</f>
        <v>184.09799999999996</v>
      </c>
      <c r="M74" s="533">
        <f>SUM(AD48-Z48)</f>
        <v>931.90000000000009</v>
      </c>
      <c r="N74" s="5"/>
      <c r="O74" s="537">
        <f>SUM(AD56-Z56)</f>
        <v>1664.6999999999998</v>
      </c>
      <c r="P74" s="526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35" t="s">
        <v>565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/>
      <c r="L75" s="533"/>
      <c r="M75" s="533"/>
      <c r="N75" s="5"/>
      <c r="O75" s="537">
        <f>SUM(AD58-Z58)</f>
        <v>1455.02</v>
      </c>
      <c r="P75" s="526"/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hidden="1" customHeight="1" x14ac:dyDescent="0.25">
      <c r="A76" s="524" t="s">
        <v>133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4.1182508170596659</v>
      </c>
      <c r="L76" s="533">
        <f>SUM(AC50-Y50)</f>
        <v>370.23</v>
      </c>
      <c r="M76" s="533">
        <f>SUM(AD50-Z50)</f>
        <v>1524.7000000000003</v>
      </c>
      <c r="N76" s="5"/>
      <c r="O76" s="533"/>
      <c r="P76" s="526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27"/>
      <c r="Z76" s="527"/>
      <c r="AA76" s="279"/>
      <c r="AB76" s="279"/>
    </row>
    <row r="77" spans="1:49" ht="16.5" hidden="1" customHeight="1" x14ac:dyDescent="0.25">
      <c r="A77" s="524" t="s">
        <v>54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>SUM(M77/L77)</f>
        <v>4.4316722229438179</v>
      </c>
      <c r="L77" s="533">
        <f>SUM(L74:L76)</f>
        <v>554.32799999999997</v>
      </c>
      <c r="M77" s="533">
        <f>SUM(M74:M76)</f>
        <v>2456.6000000000004</v>
      </c>
      <c r="N77" s="5"/>
      <c r="O77" s="524"/>
      <c r="P77" s="524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79"/>
      <c r="AB77" s="279"/>
    </row>
    <row r="78" spans="1:49" ht="16.5" hidden="1" customHeight="1" x14ac:dyDescent="0.25">
      <c r="A78" s="524" t="s">
        <v>135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ref="K78:K80" si="56">SUM(M78/L78)</f>
        <v>5.0854030993972499</v>
      </c>
      <c r="L78" s="533">
        <f>SUM(AC52-Y52)</f>
        <v>61.88300000000001</v>
      </c>
      <c r="M78" s="533">
        <f>SUM(AD52-Z52)</f>
        <v>314.70000000000005</v>
      </c>
      <c r="N78" s="5"/>
      <c r="O78" s="536">
        <f>SUM(AD60-Z60)</f>
        <v>829.39999999999986</v>
      </c>
      <c r="P78" s="526">
        <f>SUM(L78/O78)</f>
        <v>7.4611767542802049E-2</v>
      </c>
      <c r="Q78" s="5"/>
      <c r="R78" s="5"/>
      <c r="S78" s="5"/>
      <c r="T78" s="5"/>
      <c r="U78" s="5"/>
      <c r="V78" s="29"/>
      <c r="W78" s="29"/>
      <c r="X78" s="529"/>
      <c r="Y78" s="530"/>
      <c r="Z78" s="530"/>
      <c r="AA78" s="279"/>
      <c r="AB78" s="279"/>
    </row>
    <row r="79" spans="1:49" ht="16.5" hidden="1" customHeight="1" x14ac:dyDescent="0.25">
      <c r="A79" s="524" t="s">
        <v>562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56"/>
        <v>3.9234848660290407</v>
      </c>
      <c r="L79" s="533">
        <f>SUM(AC54-Y54)</f>
        <v>431.80999999999995</v>
      </c>
      <c r="M79" s="533">
        <f>SUM(AD54-Z54)</f>
        <v>1694.1999999999998</v>
      </c>
      <c r="N79" s="5"/>
      <c r="O79" s="536">
        <f>SUM(O78)</f>
        <v>829.39999999999986</v>
      </c>
      <c r="P79" s="526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398"/>
      <c r="AA79" s="279"/>
      <c r="AB79" s="279"/>
    </row>
    <row r="80" spans="1:49" ht="16.5" hidden="1" customHeight="1" x14ac:dyDescent="0.25">
      <c r="A80" s="524" t="s">
        <v>54</v>
      </c>
      <c r="B80" s="524"/>
      <c r="C80" s="524"/>
      <c r="D80" s="524"/>
      <c r="E80" s="524"/>
      <c r="F80" s="524"/>
      <c r="G80" s="524"/>
      <c r="H80" s="524"/>
      <c r="I80" s="524"/>
      <c r="J80" s="524"/>
      <c r="K80" s="534">
        <f t="shared" si="56"/>
        <v>4.0691279803440601</v>
      </c>
      <c r="L80" s="533">
        <f>SUM(L78:L79)</f>
        <v>493.69299999999998</v>
      </c>
      <c r="M80" s="533">
        <f>SUM(M78:M79)</f>
        <v>2008.8999999999999</v>
      </c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27"/>
      <c r="AA80" s="279"/>
      <c r="AB80" s="279"/>
    </row>
    <row r="81" spans="1:86" ht="16.5" hidden="1" x14ac:dyDescent="0.25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"/>
      <c r="O81" s="524"/>
      <c r="P81" s="524"/>
      <c r="Q81" s="5"/>
      <c r="R81" s="5"/>
      <c r="S81" s="5"/>
      <c r="T81" s="5"/>
      <c r="U81" s="5"/>
      <c r="V81" s="29"/>
      <c r="W81" s="29"/>
      <c r="X81" s="29"/>
      <c r="Y81" s="29"/>
      <c r="Z81" s="531"/>
      <c r="AA81" s="279"/>
      <c r="AB81" s="279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объемы!AN63</f>
        <v>3178.1</v>
      </c>
    </row>
  </sheetData>
  <mergeCells count="126"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2"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4955" t="s">
        <v>236</v>
      </c>
      <c r="B3" s="4955"/>
      <c r="C3" s="4955"/>
      <c r="D3" s="4955"/>
      <c r="E3" s="4955"/>
      <c r="F3" s="4955"/>
      <c r="G3" s="4955"/>
      <c r="H3" s="4955"/>
      <c r="I3" s="4955"/>
      <c r="J3" s="4955"/>
      <c r="K3" s="4955"/>
      <c r="L3" s="4955"/>
      <c r="M3" s="4955"/>
      <c r="N3" s="4955"/>
      <c r="O3" s="4955"/>
      <c r="P3" s="4955"/>
      <c r="Q3" s="4955"/>
      <c r="R3" s="4955"/>
      <c r="S3" s="4955"/>
      <c r="T3" s="4955"/>
      <c r="U3" s="4955"/>
      <c r="V3" s="4955"/>
      <c r="W3" s="4955"/>
      <c r="X3" s="4955"/>
      <c r="Y3" s="4955"/>
      <c r="Z3" s="4955"/>
      <c r="AA3" s="4955"/>
      <c r="AB3" s="4955"/>
      <c r="AC3" s="4955"/>
      <c r="AD3" s="4955"/>
      <c r="AE3" s="4955"/>
      <c r="AF3" s="4955"/>
      <c r="AG3" s="4955"/>
      <c r="AH3" s="4955"/>
      <c r="AI3" s="4955"/>
      <c r="AJ3" s="4955"/>
      <c r="AK3" s="4955"/>
      <c r="AL3" s="4955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4956"/>
      <c r="B5" s="90"/>
      <c r="C5" s="90"/>
      <c r="D5" s="90"/>
      <c r="E5" s="90"/>
      <c r="F5" s="90"/>
      <c r="G5" s="90"/>
      <c r="H5" s="4957" t="s">
        <v>58</v>
      </c>
      <c r="I5" s="4957"/>
      <c r="J5" s="4957"/>
      <c r="K5" s="4957" t="s">
        <v>66</v>
      </c>
      <c r="L5" s="4957"/>
      <c r="M5" s="4957"/>
      <c r="N5" s="4957"/>
      <c r="O5" s="4957" t="s">
        <v>92</v>
      </c>
      <c r="P5" s="4957"/>
      <c r="Q5" s="4957"/>
      <c r="R5" s="4958" t="s">
        <v>205</v>
      </c>
      <c r="S5" s="4959"/>
      <c r="T5" s="4959"/>
      <c r="U5" s="4960"/>
      <c r="V5" s="4900" t="s">
        <v>155</v>
      </c>
      <c r="W5" s="4900"/>
      <c r="X5" s="4900"/>
      <c r="Y5" s="4900"/>
      <c r="Z5" s="4900"/>
      <c r="AA5" s="4900"/>
      <c r="AB5" s="4900"/>
      <c r="AC5" s="4900"/>
      <c r="AD5" s="4900"/>
      <c r="AE5" s="4964"/>
      <c r="AF5" s="4964"/>
      <c r="AG5" s="4964"/>
      <c r="AH5" s="4900"/>
      <c r="AI5" s="4900"/>
      <c r="AJ5" s="4900"/>
      <c r="AK5" s="4900"/>
      <c r="AL5" s="4900"/>
      <c r="AM5" s="4900"/>
      <c r="AN5" s="4900"/>
      <c r="AO5" s="4900"/>
    </row>
    <row r="6" spans="1:41" ht="12.75" hidden="1" customHeight="1" x14ac:dyDescent="0.2">
      <c r="A6" s="4956"/>
      <c r="B6" s="15"/>
      <c r="C6" s="91" t="s">
        <v>127</v>
      </c>
      <c r="D6" s="91"/>
      <c r="E6" s="15"/>
      <c r="F6" s="91" t="s">
        <v>128</v>
      </c>
      <c r="G6" s="91"/>
      <c r="H6" s="4957"/>
      <c r="I6" s="4957"/>
      <c r="J6" s="4957"/>
      <c r="K6" s="4957"/>
      <c r="L6" s="4957"/>
      <c r="M6" s="4957"/>
      <c r="N6" s="4957"/>
      <c r="O6" s="4957"/>
      <c r="P6" s="4957"/>
      <c r="Q6" s="4957"/>
      <c r="R6" s="4961"/>
      <c r="S6" s="4962"/>
      <c r="T6" s="4962"/>
      <c r="U6" s="4963"/>
      <c r="V6" s="4965" t="s">
        <v>119</v>
      </c>
      <c r="W6" s="4965"/>
      <c r="X6" s="4965"/>
      <c r="Y6" s="4965"/>
      <c r="Z6" s="4965" t="s">
        <v>120</v>
      </c>
      <c r="AA6" s="4965"/>
      <c r="AB6" s="4965"/>
      <c r="AC6" s="4965"/>
      <c r="AD6" s="4957" t="s">
        <v>231</v>
      </c>
      <c r="AE6" s="4966"/>
      <c r="AF6" s="4966"/>
      <c r="AG6" s="4966"/>
      <c r="AH6" s="4957"/>
      <c r="AI6" s="4957"/>
      <c r="AJ6" s="4967" t="s">
        <v>235</v>
      </c>
      <c r="AK6" s="4967"/>
      <c r="AL6" s="4967"/>
      <c r="AM6" s="4967" t="s">
        <v>363</v>
      </c>
      <c r="AN6" s="4967"/>
      <c r="AO6" s="4967"/>
    </row>
    <row r="7" spans="1:41" ht="12.75" hidden="1" customHeight="1" x14ac:dyDescent="0.2">
      <c r="A7" s="4956"/>
      <c r="B7" s="15" t="s">
        <v>129</v>
      </c>
      <c r="C7" s="15" t="s">
        <v>130</v>
      </c>
      <c r="D7" s="15" t="s">
        <v>45</v>
      </c>
      <c r="E7" s="15" t="s">
        <v>129</v>
      </c>
      <c r="F7" s="15" t="s">
        <v>130</v>
      </c>
      <c r="G7" s="15" t="s">
        <v>45</v>
      </c>
      <c r="H7" s="4967" t="s">
        <v>144</v>
      </c>
      <c r="I7" s="4967" t="s">
        <v>131</v>
      </c>
      <c r="J7" s="4967" t="s">
        <v>99</v>
      </c>
      <c r="K7" s="4967" t="s">
        <v>222</v>
      </c>
      <c r="L7" s="4968" t="s">
        <v>145</v>
      </c>
      <c r="M7" s="4970" t="s">
        <v>99</v>
      </c>
      <c r="N7" s="4971"/>
      <c r="O7" s="4967" t="s">
        <v>144</v>
      </c>
      <c r="P7" s="4967" t="s">
        <v>131</v>
      </c>
      <c r="Q7" s="4967" t="s">
        <v>99</v>
      </c>
      <c r="R7" s="4967" t="s">
        <v>144</v>
      </c>
      <c r="S7" s="4967" t="s">
        <v>131</v>
      </c>
      <c r="T7" s="4967" t="s">
        <v>99</v>
      </c>
      <c r="U7" s="92"/>
      <c r="V7" s="4967" t="s">
        <v>112</v>
      </c>
      <c r="W7" s="4967"/>
      <c r="X7" s="4967" t="s">
        <v>145</v>
      </c>
      <c r="Y7" s="4967" t="s">
        <v>99</v>
      </c>
      <c r="Z7" s="4967" t="s">
        <v>112</v>
      </c>
      <c r="AA7" s="4967"/>
      <c r="AB7" s="4967" t="s">
        <v>145</v>
      </c>
      <c r="AC7" s="4967" t="s">
        <v>99</v>
      </c>
      <c r="AD7" s="4967" t="s">
        <v>144</v>
      </c>
      <c r="AE7" s="745"/>
      <c r="AF7" s="745"/>
      <c r="AG7" s="745"/>
      <c r="AH7" s="4967" t="s">
        <v>131</v>
      </c>
      <c r="AI7" s="4967" t="s">
        <v>99</v>
      </c>
      <c r="AJ7" s="4967" t="s">
        <v>144</v>
      </c>
      <c r="AK7" s="4967" t="s">
        <v>131</v>
      </c>
      <c r="AL7" s="4967" t="s">
        <v>99</v>
      </c>
      <c r="AM7" s="4967" t="s">
        <v>144</v>
      </c>
      <c r="AN7" s="4967" t="s">
        <v>131</v>
      </c>
      <c r="AO7" s="4967" t="s">
        <v>99</v>
      </c>
    </row>
    <row r="8" spans="1:41" ht="32.25" hidden="1" customHeight="1" x14ac:dyDescent="0.2">
      <c r="A8" s="4956"/>
      <c r="B8" s="15"/>
      <c r="C8" s="15"/>
      <c r="D8" s="15"/>
      <c r="E8" s="15"/>
      <c r="F8" s="15"/>
      <c r="G8" s="15"/>
      <c r="H8" s="4967"/>
      <c r="I8" s="4967"/>
      <c r="J8" s="4967"/>
      <c r="K8" s="4967"/>
      <c r="L8" s="4969"/>
      <c r="M8" s="4972"/>
      <c r="N8" s="4973"/>
      <c r="O8" s="4967"/>
      <c r="P8" s="4967"/>
      <c r="Q8" s="4967"/>
      <c r="R8" s="4967"/>
      <c r="S8" s="4967"/>
      <c r="T8" s="4967"/>
      <c r="U8" s="92"/>
      <c r="V8" s="23" t="s">
        <v>223</v>
      </c>
      <c r="W8" s="92" t="s">
        <v>159</v>
      </c>
      <c r="X8" s="4967"/>
      <c r="Y8" s="4967"/>
      <c r="Z8" s="92" t="s">
        <v>223</v>
      </c>
      <c r="AA8" s="92" t="s">
        <v>159</v>
      </c>
      <c r="AB8" s="4967"/>
      <c r="AC8" s="4967"/>
      <c r="AD8" s="4967"/>
      <c r="AE8" s="745"/>
      <c r="AF8" s="745"/>
      <c r="AG8" s="745"/>
      <c r="AH8" s="4967"/>
      <c r="AI8" s="4967"/>
      <c r="AJ8" s="4967"/>
      <c r="AK8" s="4967"/>
      <c r="AL8" s="4967"/>
      <c r="AM8" s="4967"/>
      <c r="AN8" s="4967"/>
      <c r="AO8" s="4967"/>
    </row>
    <row r="9" spans="1:41" hidden="1" x14ac:dyDescent="0.2">
      <c r="A9" s="81" t="s">
        <v>132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6"/>
      <c r="AF9" s="746"/>
      <c r="AG9" s="746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</row>
    <row r="10" spans="1:41" hidden="1" x14ac:dyDescent="0.2">
      <c r="A10" s="81" t="s">
        <v>158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6"/>
      <c r="AF10" s="746"/>
      <c r="AG10" s="746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</row>
    <row r="11" spans="1:41" hidden="1" x14ac:dyDescent="0.2">
      <c r="A11" s="81" t="s">
        <v>133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7"/>
      <c r="AF11" s="747"/>
      <c r="AG11" s="747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</row>
    <row r="12" spans="1:41" hidden="1" x14ac:dyDescent="0.2">
      <c r="A12" s="81" t="s">
        <v>158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6"/>
      <c r="AF12" s="746"/>
      <c r="AG12" s="746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</row>
    <row r="13" spans="1:41" ht="13.5" hidden="1" x14ac:dyDescent="0.25">
      <c r="A13" s="142" t="s">
        <v>134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8"/>
      <c r="AF13" s="748"/>
      <c r="AG13" s="748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135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6"/>
      <c r="AF14" s="746"/>
      <c r="AG14" s="746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</row>
    <row r="15" spans="1:41" hidden="1" x14ac:dyDescent="0.2">
      <c r="A15" s="81" t="s">
        <v>136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6"/>
      <c r="AF15" s="746"/>
      <c r="AG15" s="746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</row>
    <row r="16" spans="1:41" hidden="1" x14ac:dyDescent="0.2">
      <c r="A16" s="81" t="s">
        <v>158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6"/>
      <c r="AF16" s="746"/>
      <c r="AG16" s="746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</row>
    <row r="17" spans="1:42" ht="13.5" hidden="1" x14ac:dyDescent="0.25">
      <c r="A17" s="142" t="s">
        <v>137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8"/>
      <c r="AF17" s="748"/>
      <c r="AG17" s="748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747"/>
      <c r="AF18" s="747"/>
      <c r="AG18" s="747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138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объемы!G10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1"/>
      <c r="AE19" s="749"/>
      <c r="AF19" s="749"/>
      <c r="AG19" s="749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139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7"/>
      <c r="AF20" s="747"/>
      <c r="AG20" s="747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3">
        <f>(L20+P20+S20+AN20)/4</f>
        <v>0.15880621825734828</v>
      </c>
    </row>
    <row r="21" spans="1:42" hidden="1" x14ac:dyDescent="0.2">
      <c r="A21" s="81" t="s">
        <v>152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7"/>
      <c r="AF21" s="747"/>
      <c r="AG21" s="747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140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50"/>
      <c r="AF22" s="750"/>
      <c r="AG22" s="750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</row>
    <row r="23" spans="1:42" hidden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51"/>
      <c r="AF23" s="751"/>
      <c r="AG23" s="751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141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объемы!G22</f>
        <v>4093.2000000000003</v>
      </c>
      <c r="Q24" s="15"/>
      <c r="R24" s="15"/>
      <c r="S24" s="15">
        <f>объемы!L22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7"/>
      <c r="AE24" s="747"/>
      <c r="AF24" s="747"/>
      <c r="AG24" s="747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142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50"/>
      <c r="AF25" s="750"/>
      <c r="AG25" s="750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</row>
    <row r="26" spans="1:42" ht="25.5" hidden="1" x14ac:dyDescent="0.2">
      <c r="A26" s="81" t="s">
        <v>143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50"/>
      <c r="AF26" s="750"/>
      <c r="AG26" s="750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206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207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208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209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215</v>
      </c>
      <c r="R35">
        <v>4.2</v>
      </c>
      <c r="S35">
        <v>705.5</v>
      </c>
      <c r="T35">
        <v>2961.4</v>
      </c>
    </row>
    <row r="36" spans="1:59" hidden="1" x14ac:dyDescent="0.2">
      <c r="A36" t="s">
        <v>216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217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216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1500</v>
      </c>
    </row>
    <row r="41" spans="1:59" ht="20.25" x14ac:dyDescent="0.3">
      <c r="A41" s="4982" t="s">
        <v>823</v>
      </c>
      <c r="B41" s="4982"/>
      <c r="C41" s="4982"/>
      <c r="D41" s="4982"/>
      <c r="E41" s="4982"/>
      <c r="F41" s="4982"/>
      <c r="G41" s="4982"/>
      <c r="H41" s="4982"/>
      <c r="I41" s="4982"/>
      <c r="J41" s="4982"/>
      <c r="K41" s="4982"/>
      <c r="L41" s="4982"/>
      <c r="M41" s="4982"/>
      <c r="N41" s="4982"/>
      <c r="O41" s="4982"/>
      <c r="P41" s="4982"/>
      <c r="Q41" s="4982"/>
      <c r="R41" s="4982"/>
      <c r="S41" s="4982"/>
      <c r="T41" s="4982"/>
      <c r="U41" s="4982"/>
      <c r="V41" s="4982"/>
      <c r="W41" s="4982"/>
      <c r="X41" s="4982"/>
      <c r="Y41" s="4982"/>
      <c r="Z41" s="4982"/>
      <c r="AA41" s="4982"/>
      <c r="AB41" s="4982"/>
      <c r="AC41" s="4982"/>
      <c r="AD41" s="4982"/>
      <c r="AE41" s="4982"/>
      <c r="AF41" s="4982"/>
      <c r="AG41" s="4982"/>
      <c r="AH41" s="4982"/>
      <c r="AI41" s="4982"/>
      <c r="AJ41" s="4982"/>
      <c r="AK41" s="4982"/>
      <c r="AL41" s="4982"/>
      <c r="AM41" s="5003"/>
      <c r="AN41" s="5003"/>
      <c r="AO41" s="5003"/>
      <c r="AP41" s="5003"/>
      <c r="AQ41" s="5003"/>
      <c r="AR41" s="4242"/>
      <c r="AS41" s="4242"/>
      <c r="AT41" s="4242"/>
      <c r="AU41" s="4242"/>
      <c r="AV41" s="4242"/>
      <c r="AW41" s="4242"/>
      <c r="AX41" s="4242"/>
      <c r="AY41" s="4242"/>
      <c r="AZ41" s="4242"/>
      <c r="BA41" s="4242"/>
      <c r="BB41" s="4242"/>
      <c r="BC41" s="4242"/>
      <c r="BD41" s="4242"/>
      <c r="BE41" s="4242"/>
      <c r="BF41" s="4242"/>
      <c r="BG41" s="4242"/>
    </row>
    <row r="43" spans="1:59" ht="13.5" thickBot="1" x14ac:dyDescent="0.25"/>
    <row r="44" spans="1:59" ht="20.25" x14ac:dyDescent="0.2">
      <c r="A44" s="5004" t="s">
        <v>527</v>
      </c>
      <c r="B44" s="599"/>
      <c r="C44" s="362"/>
      <c r="D44" s="362"/>
      <c r="E44" s="362"/>
      <c r="F44" s="362"/>
      <c r="G44" s="362"/>
      <c r="H44" s="362"/>
      <c r="I44" s="362"/>
      <c r="J44" s="607"/>
      <c r="K44" s="4983" t="s">
        <v>287</v>
      </c>
      <c r="L44" s="4984"/>
      <c r="M44" s="4984"/>
      <c r="N44" s="4984"/>
      <c r="O44" s="4984"/>
      <c r="P44" s="4984"/>
      <c r="Q44" s="4984"/>
      <c r="R44" s="4984"/>
      <c r="S44" s="4984"/>
      <c r="T44" s="4984"/>
      <c r="U44" s="4984"/>
      <c r="V44" s="4984"/>
      <c r="W44" s="4984"/>
      <c r="X44" s="4984"/>
      <c r="Y44" s="4984"/>
      <c r="Z44" s="4984"/>
      <c r="AA44" s="4984"/>
      <c r="AB44" s="4984"/>
      <c r="AC44" s="4984"/>
      <c r="AD44" s="4984"/>
      <c r="AE44" s="4997"/>
      <c r="AF44" s="4997"/>
      <c r="AG44" s="4998"/>
      <c r="AH44" s="4983" t="s">
        <v>826</v>
      </c>
      <c r="AI44" s="4984"/>
      <c r="AJ44" s="4984"/>
      <c r="AK44" s="4984"/>
      <c r="AL44" s="4984"/>
      <c r="AM44" s="4984"/>
      <c r="AN44" s="4984"/>
      <c r="AO44" s="4984"/>
      <c r="AP44" s="4984"/>
      <c r="AQ44" s="4984"/>
      <c r="AR44" s="4985"/>
      <c r="AS44" s="4985"/>
      <c r="AT44" s="4985"/>
      <c r="AU44" s="4985"/>
      <c r="AV44" s="4985"/>
      <c r="AW44" s="4986"/>
      <c r="AX44" s="5007" t="s">
        <v>827</v>
      </c>
      <c r="AY44" s="5008"/>
      <c r="AZ44" s="5008"/>
      <c r="BA44" s="5008"/>
      <c r="BB44" s="5008"/>
      <c r="BC44" s="5008"/>
      <c r="BD44" s="5008"/>
      <c r="BE44" s="5008"/>
      <c r="BF44" s="5008"/>
      <c r="BG44" s="5009"/>
    </row>
    <row r="45" spans="1:59" ht="20.25" x14ac:dyDescent="0.2">
      <c r="A45" s="5005"/>
      <c r="B45" s="599"/>
      <c r="C45" s="362"/>
      <c r="D45" s="362"/>
      <c r="E45" s="362"/>
      <c r="F45" s="362"/>
      <c r="G45" s="362"/>
      <c r="H45" s="362"/>
      <c r="I45" s="362"/>
      <c r="J45" s="607"/>
      <c r="K45" s="5002" t="s">
        <v>122</v>
      </c>
      <c r="L45" s="4993"/>
      <c r="M45" s="4993"/>
      <c r="N45" s="4993"/>
      <c r="O45" s="4993" t="s">
        <v>123</v>
      </c>
      <c r="P45" s="4993"/>
      <c r="Q45" s="4993"/>
      <c r="R45" s="4993"/>
      <c r="S45" s="5006" t="s">
        <v>353</v>
      </c>
      <c r="T45" s="5006"/>
      <c r="U45" s="5006"/>
      <c r="V45" s="5006"/>
      <c r="W45" s="758"/>
      <c r="X45" s="4993" t="s">
        <v>375</v>
      </c>
      <c r="Y45" s="4993"/>
      <c r="Z45" s="4993"/>
      <c r="AA45" s="4993"/>
      <c r="AB45" s="4993" t="s">
        <v>127</v>
      </c>
      <c r="AC45" s="4993"/>
      <c r="AD45" s="4993"/>
      <c r="AE45" s="4999" t="s">
        <v>824</v>
      </c>
      <c r="AF45" s="5000"/>
      <c r="AG45" s="5001"/>
      <c r="AH45" s="4994" t="s">
        <v>122</v>
      </c>
      <c r="AI45" s="4990"/>
      <c r="AJ45" s="4990"/>
      <c r="AK45" s="4990"/>
      <c r="AL45" s="4993" t="s">
        <v>123</v>
      </c>
      <c r="AM45" s="4993"/>
      <c r="AN45" s="4993"/>
      <c r="AO45" s="4992" t="s">
        <v>353</v>
      </c>
      <c r="AP45" s="4992"/>
      <c r="AQ45" s="4992"/>
      <c r="AR45" s="4987" t="s">
        <v>375</v>
      </c>
      <c r="AS45" s="4987"/>
      <c r="AT45" s="4987"/>
      <c r="AU45" s="4989" t="s">
        <v>127</v>
      </c>
      <c r="AV45" s="4990"/>
      <c r="AW45" s="4990"/>
      <c r="AX45" s="4994" t="s">
        <v>122</v>
      </c>
      <c r="AY45" s="4990"/>
      <c r="AZ45" s="4990"/>
      <c r="BA45" s="5010"/>
      <c r="BB45" s="5011" t="s">
        <v>123</v>
      </c>
      <c r="BC45" s="5011"/>
      <c r="BD45" s="5011"/>
      <c r="BE45" s="4993" t="s">
        <v>353</v>
      </c>
      <c r="BF45" s="4993"/>
      <c r="BG45" s="5012"/>
    </row>
    <row r="46" spans="1:59" ht="18" customHeight="1" x14ac:dyDescent="0.2">
      <c r="A46" s="5005"/>
      <c r="B46" s="599"/>
      <c r="C46" s="362"/>
      <c r="D46" s="362"/>
      <c r="E46" s="362"/>
      <c r="F46" s="362"/>
      <c r="G46" s="362"/>
      <c r="H46" s="362"/>
      <c r="I46" s="362"/>
      <c r="J46" s="607"/>
      <c r="K46" s="759" t="s">
        <v>112</v>
      </c>
      <c r="L46" s="4991" t="s">
        <v>825</v>
      </c>
      <c r="M46" s="4991" t="s">
        <v>99</v>
      </c>
      <c r="N46" s="4991" t="s">
        <v>99</v>
      </c>
      <c r="O46" s="753" t="s">
        <v>112</v>
      </c>
      <c r="P46" s="4991" t="s">
        <v>825</v>
      </c>
      <c r="Q46" s="4991" t="s">
        <v>99</v>
      </c>
      <c r="R46" s="4991" t="s">
        <v>234</v>
      </c>
      <c r="S46" s="5006"/>
      <c r="T46" s="5006"/>
      <c r="U46" s="5006"/>
      <c r="V46" s="5006"/>
      <c r="W46" s="753"/>
      <c r="X46" s="753" t="s">
        <v>112</v>
      </c>
      <c r="Y46" s="4991" t="s">
        <v>825</v>
      </c>
      <c r="Z46" s="4991" t="s">
        <v>99</v>
      </c>
      <c r="AA46" s="4991" t="s">
        <v>99</v>
      </c>
      <c r="AB46" s="753" t="s">
        <v>112</v>
      </c>
      <c r="AC46" s="4991" t="s">
        <v>825</v>
      </c>
      <c r="AD46" s="4991" t="s">
        <v>99</v>
      </c>
      <c r="AE46" s="796" t="s">
        <v>112</v>
      </c>
      <c r="AF46" s="4995" t="s">
        <v>825</v>
      </c>
      <c r="AG46" s="4996" t="s">
        <v>99</v>
      </c>
      <c r="AH46" s="759" t="s">
        <v>112</v>
      </c>
      <c r="AI46" s="4991" t="s">
        <v>825</v>
      </c>
      <c r="AJ46" s="4991" t="s">
        <v>99</v>
      </c>
      <c r="AK46" s="4991" t="s">
        <v>380</v>
      </c>
      <c r="AL46" s="753" t="s">
        <v>112</v>
      </c>
      <c r="AM46" s="4991" t="s">
        <v>825</v>
      </c>
      <c r="AN46" s="4991" t="s">
        <v>99</v>
      </c>
      <c r="AO46" s="4988" t="s">
        <v>830</v>
      </c>
      <c r="AP46" s="4988"/>
      <c r="AQ46" s="4988"/>
      <c r="AR46" s="785" t="s">
        <v>112</v>
      </c>
      <c r="AS46" s="4988" t="s">
        <v>825</v>
      </c>
      <c r="AT46" s="4988" t="s">
        <v>99</v>
      </c>
      <c r="AU46" s="784" t="s">
        <v>112</v>
      </c>
      <c r="AV46" s="4991" t="s">
        <v>825</v>
      </c>
      <c r="AW46" s="4991" t="s">
        <v>99</v>
      </c>
      <c r="AX46" s="759" t="s">
        <v>112</v>
      </c>
      <c r="AY46" s="4991" t="s">
        <v>825</v>
      </c>
      <c r="AZ46" s="4991" t="s">
        <v>99</v>
      </c>
      <c r="BA46" s="4991" t="s">
        <v>380</v>
      </c>
      <c r="BB46" s="760" t="s">
        <v>112</v>
      </c>
      <c r="BC46" s="4991" t="s">
        <v>825</v>
      </c>
      <c r="BD46" s="4991" t="s">
        <v>99</v>
      </c>
      <c r="BE46" s="4991" t="s">
        <v>830</v>
      </c>
      <c r="BF46" s="4991"/>
      <c r="BG46" s="5013"/>
    </row>
    <row r="47" spans="1:59" ht="56.25" x14ac:dyDescent="0.2">
      <c r="A47" s="5005"/>
      <c r="B47" s="599"/>
      <c r="C47" s="362"/>
      <c r="D47" s="362"/>
      <c r="E47" s="362"/>
      <c r="F47" s="362"/>
      <c r="G47" s="362"/>
      <c r="H47" s="362"/>
      <c r="I47" s="362"/>
      <c r="J47" s="607"/>
      <c r="K47" s="759" t="s">
        <v>223</v>
      </c>
      <c r="L47" s="4991"/>
      <c r="M47" s="4991"/>
      <c r="N47" s="4991"/>
      <c r="O47" s="753" t="s">
        <v>223</v>
      </c>
      <c r="P47" s="4991"/>
      <c r="Q47" s="4991"/>
      <c r="R47" s="4991"/>
      <c r="S47" s="753" t="s">
        <v>112</v>
      </c>
      <c r="T47" s="753" t="s">
        <v>361</v>
      </c>
      <c r="U47" s="753"/>
      <c r="V47" s="753" t="s">
        <v>99</v>
      </c>
      <c r="W47" s="753"/>
      <c r="X47" s="753" t="s">
        <v>223</v>
      </c>
      <c r="Y47" s="4991"/>
      <c r="Z47" s="4991"/>
      <c r="AA47" s="4991"/>
      <c r="AB47" s="753" t="s">
        <v>223</v>
      </c>
      <c r="AC47" s="4991"/>
      <c r="AD47" s="4991"/>
      <c r="AE47" s="796" t="s">
        <v>223</v>
      </c>
      <c r="AF47" s="4995"/>
      <c r="AG47" s="4996"/>
      <c r="AH47" s="759" t="s">
        <v>223</v>
      </c>
      <c r="AI47" s="4991"/>
      <c r="AJ47" s="4991"/>
      <c r="AK47" s="4991"/>
      <c r="AL47" s="753" t="s">
        <v>223</v>
      </c>
      <c r="AM47" s="4991"/>
      <c r="AN47" s="4991"/>
      <c r="AO47" s="785" t="s">
        <v>112</v>
      </c>
      <c r="AP47" s="785" t="s">
        <v>361</v>
      </c>
      <c r="AQ47" s="785" t="s">
        <v>99</v>
      </c>
      <c r="AR47" s="785" t="s">
        <v>223</v>
      </c>
      <c r="AS47" s="4988"/>
      <c r="AT47" s="4988"/>
      <c r="AU47" s="784" t="s">
        <v>223</v>
      </c>
      <c r="AV47" s="4991"/>
      <c r="AW47" s="4991"/>
      <c r="AX47" s="759" t="s">
        <v>223</v>
      </c>
      <c r="AY47" s="4991"/>
      <c r="AZ47" s="4991"/>
      <c r="BA47" s="4991"/>
      <c r="BB47" s="760" t="s">
        <v>223</v>
      </c>
      <c r="BC47" s="4991"/>
      <c r="BD47" s="4991"/>
      <c r="BE47" s="760" t="s">
        <v>112</v>
      </c>
      <c r="BF47" s="760" t="s">
        <v>361</v>
      </c>
      <c r="BG47" s="779" t="s">
        <v>99</v>
      </c>
    </row>
    <row r="48" spans="1:59" ht="30" customHeight="1" x14ac:dyDescent="0.2">
      <c r="A48" s="773" t="s">
        <v>132</v>
      </c>
      <c r="B48" s="599"/>
      <c r="C48" s="362"/>
      <c r="D48" s="362"/>
      <c r="E48" s="362"/>
      <c r="F48" s="362"/>
      <c r="G48" s="362"/>
      <c r="H48" s="362"/>
      <c r="I48" s="362"/>
      <c r="J48" s="607"/>
      <c r="K48" s="761">
        <v>5.75</v>
      </c>
      <c r="L48" s="762">
        <v>1091.2</v>
      </c>
      <c r="M48" s="754">
        <f>L48*K48</f>
        <v>6274.4000000000005</v>
      </c>
      <c r="N48" s="762">
        <f>K48*M48</f>
        <v>36077.800000000003</v>
      </c>
      <c r="O48" s="755">
        <v>5.5810000000000004</v>
      </c>
      <c r="P48" s="646" t="e">
        <f>Q56*Q57</f>
        <v>#REF!</v>
      </c>
      <c r="Q48" s="646" t="e">
        <f>O48*P48</f>
        <v>#REF!</v>
      </c>
      <c r="R48" s="763"/>
      <c r="S48" s="755">
        <f>O48-K48</f>
        <v>-0.16899999999999959</v>
      </c>
      <c r="T48" s="758" t="e">
        <f>P48-L48</f>
        <v>#REF!</v>
      </c>
      <c r="U48" s="763"/>
      <c r="V48" s="758" t="e">
        <f>Q48-M48</f>
        <v>#REF!</v>
      </c>
      <c r="W48" s="763"/>
      <c r="X48" s="755">
        <v>4.9657999999999998</v>
      </c>
      <c r="Y48" s="762">
        <v>505.33199999999999</v>
      </c>
      <c r="Z48" s="754">
        <v>2509.4</v>
      </c>
      <c r="AA48" s="762">
        <f>X48*Z48</f>
        <v>12461.178519999999</v>
      </c>
      <c r="AB48" s="755">
        <f t="shared" ref="AB48:AB55" si="3">AD48/AC48</f>
        <v>4.9915147295592019</v>
      </c>
      <c r="AC48" s="762">
        <v>689.43</v>
      </c>
      <c r="AD48" s="754">
        <v>3441.3</v>
      </c>
      <c r="AE48" s="797">
        <f>SUM(AG48/AF48)</f>
        <v>5.007427152968611</v>
      </c>
      <c r="AF48" s="798">
        <v>910.84699999999998</v>
      </c>
      <c r="AG48" s="383">
        <v>4561</v>
      </c>
      <c r="AH48" s="761">
        <v>5.5810000000000004</v>
      </c>
      <c r="AI48" s="762">
        <v>846.8</v>
      </c>
      <c r="AJ48" s="646">
        <f>4962.29</f>
        <v>4962.29</v>
      </c>
      <c r="AK48" s="762"/>
      <c r="AL48" s="755">
        <f>K73*1.028</f>
        <v>5.2037132396875592</v>
      </c>
      <c r="AM48" s="646">
        <f>AN56*AN57</f>
        <v>883.18331415423415</v>
      </c>
      <c r="AN48" s="646">
        <f>AL48*AM48</f>
        <v>4595.8327049355248</v>
      </c>
      <c r="AO48" s="786">
        <f t="shared" ref="AO48:AQ50" si="4">AL48-AH48</f>
        <v>-0.37728676031244124</v>
      </c>
      <c r="AP48" s="787">
        <f t="shared" si="4"/>
        <v>36.383314154234199</v>
      </c>
      <c r="AQ48" s="787">
        <f t="shared" si="4"/>
        <v>-366.45729506447515</v>
      </c>
      <c r="AR48" s="786">
        <f>SUM(AT48/AS48)</f>
        <v>4.9360225547603553</v>
      </c>
      <c r="AS48" s="788">
        <v>414.99</v>
      </c>
      <c r="AT48" s="789">
        <v>2048.4</v>
      </c>
      <c r="AU48" s="786">
        <f>SUM(AW48/AV48)</f>
        <v>5.0309675458654715</v>
      </c>
      <c r="AV48" s="1261">
        <v>546.21699999999998</v>
      </c>
      <c r="AW48" s="1262">
        <v>2748</v>
      </c>
      <c r="AX48" s="804">
        <f>SUM(AL48*1.1)</f>
        <v>5.7240845636563158</v>
      </c>
      <c r="AY48" s="797">
        <v>910.85</v>
      </c>
      <c r="AZ48" s="798">
        <f>SUM(AX48*AY48)</f>
        <v>5213.7824248063553</v>
      </c>
      <c r="BA48" s="805">
        <f t="shared" ref="BA48:BA62" si="5">SUM(AZ48/AN48)</f>
        <v>1.1344587062986879</v>
      </c>
      <c r="BB48" s="786">
        <f>(AU64+AU64*1.06)/2</f>
        <v>5.4911565455279785</v>
      </c>
      <c r="BC48" s="788">
        <f>BD56*BD57</f>
        <v>703.79138799999998</v>
      </c>
      <c r="BD48" s="789">
        <f>BC48*BB48</f>
        <v>3864.6286869024211</v>
      </c>
      <c r="BE48" s="755">
        <f t="shared" ref="BE48:BE54" si="6">BB48-AX48</f>
        <v>-0.2329280181283373</v>
      </c>
      <c r="BF48" s="758">
        <f t="shared" ref="BF48:BF54" si="7">BC48-AY48</f>
        <v>-207.05861200000004</v>
      </c>
      <c r="BG48" s="780">
        <f t="shared" ref="BG48:BG54" si="8">BD48-AZ48</f>
        <v>-1349.1537379039341</v>
      </c>
    </row>
    <row r="49" spans="1:61" ht="30" customHeight="1" x14ac:dyDescent="0.2">
      <c r="A49" s="1194"/>
      <c r="B49" s="1195"/>
      <c r="C49" s="1196"/>
      <c r="D49" s="1196"/>
      <c r="E49" s="1196"/>
      <c r="F49" s="1196"/>
      <c r="G49" s="1196"/>
      <c r="H49" s="1196"/>
      <c r="I49" s="1196"/>
      <c r="J49" s="1197"/>
      <c r="K49" s="1198"/>
      <c r="L49" s="1199"/>
      <c r="M49" s="1200"/>
      <c r="N49" s="1199"/>
      <c r="O49" s="1201"/>
      <c r="P49" s="1202"/>
      <c r="Q49" s="1202"/>
      <c r="R49" s="1203"/>
      <c r="S49" s="1201"/>
      <c r="T49" s="1204"/>
      <c r="U49" s="1203"/>
      <c r="V49" s="1204"/>
      <c r="W49" s="1203"/>
      <c r="X49" s="1201"/>
      <c r="Y49" s="1199"/>
      <c r="Z49" s="1200"/>
      <c r="AA49" s="1199"/>
      <c r="AB49" s="1201"/>
      <c r="AC49" s="1199"/>
      <c r="AD49" s="1200"/>
      <c r="AE49" s="1205"/>
      <c r="AF49" s="1206"/>
      <c r="AG49" s="1207"/>
      <c r="AH49" s="1198"/>
      <c r="AI49" s="1199"/>
      <c r="AJ49" s="1202"/>
      <c r="AK49" s="1199"/>
      <c r="AL49" s="1201"/>
      <c r="AM49" s="1202"/>
      <c r="AN49" s="1202"/>
      <c r="AO49" s="1201"/>
      <c r="AP49" s="1204"/>
      <c r="AQ49" s="1204"/>
      <c r="AR49" s="1201"/>
      <c r="AS49" s="1199"/>
      <c r="AT49" s="1202">
        <v>132.9</v>
      </c>
      <c r="AU49" s="1201"/>
      <c r="AV49" s="1261"/>
      <c r="AW49" s="1262">
        <v>205.8</v>
      </c>
      <c r="AX49" s="1208"/>
      <c r="AY49" s="1205"/>
      <c r="AZ49" s="1206"/>
      <c r="BA49" s="1209"/>
      <c r="BB49" s="1201"/>
      <c r="BC49" s="1199"/>
      <c r="BD49" s="1202"/>
      <c r="BE49" s="1201"/>
      <c r="BF49" s="1204"/>
      <c r="BG49" s="1210"/>
    </row>
    <row r="50" spans="1:61" ht="30" customHeight="1" x14ac:dyDescent="0.2">
      <c r="A50" s="773" t="s">
        <v>133</v>
      </c>
      <c r="B50" s="599"/>
      <c r="C50" s="362"/>
      <c r="D50" s="362"/>
      <c r="E50" s="362"/>
      <c r="F50" s="362"/>
      <c r="G50" s="362"/>
      <c r="H50" s="362"/>
      <c r="I50" s="362"/>
      <c r="J50" s="607"/>
      <c r="K50" s="761">
        <v>4.55</v>
      </c>
      <c r="L50" s="762">
        <v>1754.8</v>
      </c>
      <c r="M50" s="754">
        <f>L50*K50</f>
        <v>7984.3399999999992</v>
      </c>
      <c r="N50" s="762">
        <f>K50*M50</f>
        <v>36328.746999999996</v>
      </c>
      <c r="O50" s="755">
        <v>4.5730000000000004</v>
      </c>
      <c r="P50" s="646" t="e">
        <f>Q58*Q59</f>
        <v>#REF!</v>
      </c>
      <c r="Q50" s="646" t="e">
        <f>O50*P50</f>
        <v>#REF!</v>
      </c>
      <c r="R50" s="763"/>
      <c r="S50" s="755">
        <f>O50-K50</f>
        <v>2.3000000000000576E-2</v>
      </c>
      <c r="T50" s="758" t="e">
        <f>P50-L50</f>
        <v>#REF!</v>
      </c>
      <c r="U50" s="763"/>
      <c r="V50" s="758" t="e">
        <f t="shared" ref="V50:V62" si="9">Q50-M50</f>
        <v>#REF!</v>
      </c>
      <c r="W50" s="763"/>
      <c r="X50" s="755">
        <v>3.9638</v>
      </c>
      <c r="Y50" s="762">
        <v>820.02</v>
      </c>
      <c r="Z50" s="754">
        <v>3250.4</v>
      </c>
      <c r="AA50" s="762">
        <f>X50*Z50</f>
        <v>12883.935520000001</v>
      </c>
      <c r="AB50" s="755">
        <f t="shared" si="3"/>
        <v>4.0118462507876496</v>
      </c>
      <c r="AC50" s="762">
        <v>1190.25</v>
      </c>
      <c r="AD50" s="754">
        <v>4775.1000000000004</v>
      </c>
      <c r="AE50" s="797">
        <f>SUM(AG50/AF50)</f>
        <v>4.0205962981621663</v>
      </c>
      <c r="AF50" s="798">
        <v>1528.43</v>
      </c>
      <c r="AG50" s="383">
        <v>6145.2</v>
      </c>
      <c r="AH50" s="761">
        <v>4.5730000000000004</v>
      </c>
      <c r="AI50" s="762">
        <v>1387.6</v>
      </c>
      <c r="AJ50" s="646">
        <v>6662.8</v>
      </c>
      <c r="AK50" s="762"/>
      <c r="AL50" s="755">
        <f>K75*1.028</f>
        <v>4.2335618399373365</v>
      </c>
      <c r="AM50" s="646">
        <f>AN58*AN59</f>
        <v>1209.6401285612453</v>
      </c>
      <c r="AN50" s="646">
        <f>AL50*AM50</f>
        <v>5121.0862883337822</v>
      </c>
      <c r="AO50" s="786">
        <f t="shared" si="4"/>
        <v>-0.33943816006266392</v>
      </c>
      <c r="AP50" s="787">
        <f t="shared" si="4"/>
        <v>-177.95987143875459</v>
      </c>
      <c r="AQ50" s="787">
        <f t="shared" si="4"/>
        <v>-1541.7137116662179</v>
      </c>
      <c r="AR50" s="786">
        <f>SUM(AT50/AS50)</f>
        <v>3.819503849443969</v>
      </c>
      <c r="AS50" s="788">
        <v>678.02</v>
      </c>
      <c r="AT50" s="789">
        <v>2589.6999999999998</v>
      </c>
      <c r="AU50" s="786">
        <f>SUM(AW50/AV50)</f>
        <v>3.9526209082140822</v>
      </c>
      <c r="AV50" s="1261">
        <v>1016.06</v>
      </c>
      <c r="AW50" s="1262">
        <v>4016.1</v>
      </c>
      <c r="AX50" s="804">
        <f>SUM(AL50*1.1)</f>
        <v>4.6569180239310706</v>
      </c>
      <c r="AY50" s="797">
        <v>1528.43</v>
      </c>
      <c r="AZ50" s="798">
        <f>SUM(AX50*AY50)</f>
        <v>7117.7732153169663</v>
      </c>
      <c r="BA50" s="805">
        <f t="shared" si="5"/>
        <v>1.3898951930436685</v>
      </c>
      <c r="BB50" s="786">
        <f>(AU66+AU66*1.06)/2</f>
        <v>4.3462075494024379</v>
      </c>
      <c r="BC50" s="788">
        <f>BD58*BD59</f>
        <v>1237.0113330000001</v>
      </c>
      <c r="BD50" s="789">
        <f>BC50*BB50</f>
        <v>5376.3079941809738</v>
      </c>
      <c r="BE50" s="755">
        <f t="shared" si="6"/>
        <v>-0.31071047452863265</v>
      </c>
      <c r="BF50" s="758">
        <f t="shared" si="7"/>
        <v>-291.41866699999991</v>
      </c>
      <c r="BG50" s="780">
        <f t="shared" si="8"/>
        <v>-1741.4652211359926</v>
      </c>
    </row>
    <row r="51" spans="1:61" ht="30" customHeight="1" x14ac:dyDescent="0.2">
      <c r="A51" s="774" t="s">
        <v>134</v>
      </c>
      <c r="B51" s="599"/>
      <c r="C51" s="362"/>
      <c r="D51" s="362"/>
      <c r="E51" s="362"/>
      <c r="F51" s="362"/>
      <c r="G51" s="362"/>
      <c r="H51" s="362"/>
      <c r="I51" s="362"/>
      <c r="J51" s="607"/>
      <c r="K51" s="764">
        <f>M51/L51</f>
        <v>5.0100983836964161</v>
      </c>
      <c r="L51" s="647">
        <f>L48+L50</f>
        <v>2846</v>
      </c>
      <c r="M51" s="647">
        <f>SUM(M48:M50)</f>
        <v>14258.74</v>
      </c>
      <c r="N51" s="765">
        <f>SUM(N48:N50)</f>
        <v>72406.546999999991</v>
      </c>
      <c r="O51" s="766" t="e">
        <f>Q51/P51</f>
        <v>#REF!</v>
      </c>
      <c r="P51" s="647" t="e">
        <f>P48+P50</f>
        <v>#REF!</v>
      </c>
      <c r="Q51" s="647" t="e">
        <f>Q48+Q50</f>
        <v>#REF!</v>
      </c>
      <c r="R51" s="767"/>
      <c r="S51" s="766" t="e">
        <f t="shared" ref="S51:T54" si="10">O51-K51</f>
        <v>#REF!</v>
      </c>
      <c r="T51" s="758" t="e">
        <f t="shared" si="10"/>
        <v>#REF!</v>
      </c>
      <c r="U51" s="767"/>
      <c r="V51" s="758" t="e">
        <f t="shared" si="9"/>
        <v>#REF!</v>
      </c>
      <c r="W51" s="767"/>
      <c r="X51" s="766">
        <f>Z51/Y51</f>
        <v>4.3458643439629627</v>
      </c>
      <c r="Y51" s="647">
        <f>Y48+Y50</f>
        <v>1325.3519999999999</v>
      </c>
      <c r="Z51" s="647">
        <f>SUM(Z48:Z50)</f>
        <v>5759.8</v>
      </c>
      <c r="AA51" s="765">
        <f>SUM(AA48:AA50)</f>
        <v>25345.11404</v>
      </c>
      <c r="AB51" s="766">
        <f t="shared" si="3"/>
        <v>4.3711695607763037</v>
      </c>
      <c r="AC51" s="647">
        <f>AC48+AC50</f>
        <v>1879.6799999999998</v>
      </c>
      <c r="AD51" s="647">
        <f>SUM(AD48:AD50)</f>
        <v>8216.4000000000015</v>
      </c>
      <c r="AE51" s="799">
        <f>AG51/AF51</f>
        <v>4.389087422215681</v>
      </c>
      <c r="AF51" s="800">
        <f>AF48+AF50</f>
        <v>2439.277</v>
      </c>
      <c r="AG51" s="384">
        <f>AG48+AG50</f>
        <v>10706.2</v>
      </c>
      <c r="AH51" s="764">
        <f>AJ51/AI51</f>
        <v>5.202779269602579</v>
      </c>
      <c r="AI51" s="647">
        <f>AI48+AI50</f>
        <v>2234.3999999999996</v>
      </c>
      <c r="AJ51" s="647">
        <f>SUM(AJ48:AJ50)</f>
        <v>11625.09</v>
      </c>
      <c r="AK51" s="765"/>
      <c r="AL51" s="766">
        <f>AN51/AM51</f>
        <v>4.6429712105391054</v>
      </c>
      <c r="AM51" s="647">
        <f>AM48+AM50</f>
        <v>2092.8234427154794</v>
      </c>
      <c r="AN51" s="647">
        <f>AN48+AN50</f>
        <v>9716.918993269308</v>
      </c>
      <c r="AO51" s="790">
        <f t="shared" ref="AO51:AQ54" si="11">AL51-AH51</f>
        <v>-0.55980805906347353</v>
      </c>
      <c r="AP51" s="787">
        <f t="shared" si="11"/>
        <v>-141.57655728452028</v>
      </c>
      <c r="AQ51" s="787">
        <f t="shared" si="11"/>
        <v>-1908.1710067306922</v>
      </c>
      <c r="AR51" s="790">
        <f>AT51/AS51</f>
        <v>4.3650103841684889</v>
      </c>
      <c r="AS51" s="791">
        <f>AS48+AS50</f>
        <v>1093.01</v>
      </c>
      <c r="AT51" s="791">
        <f>SUM(AT48:AT50)</f>
        <v>4771</v>
      </c>
      <c r="AU51" s="790">
        <f>AW51/AV51</f>
        <v>4.4613727271156138</v>
      </c>
      <c r="AV51" s="791">
        <f>AV48+AV50</f>
        <v>1562.277</v>
      </c>
      <c r="AW51" s="791">
        <f>SUM(AW48:AW50)</f>
        <v>6969.9</v>
      </c>
      <c r="AX51" s="806">
        <f>AZ51/AY51</f>
        <v>5.0554080056915653</v>
      </c>
      <c r="AY51" s="800">
        <f>AY48+AY50</f>
        <v>2439.2800000000002</v>
      </c>
      <c r="AZ51" s="800">
        <f>SUM(AZ48:AZ50)</f>
        <v>12331.555640123323</v>
      </c>
      <c r="BA51" s="805">
        <f t="shared" si="5"/>
        <v>1.2690808319658848</v>
      </c>
      <c r="BB51" s="790">
        <f>BD51/BC51</f>
        <v>4.7613992813870309</v>
      </c>
      <c r="BC51" s="791">
        <f>BC48+BC50</f>
        <v>1940.802721</v>
      </c>
      <c r="BD51" s="791">
        <f>SUM(BD48:BD50)</f>
        <v>9240.9366810833944</v>
      </c>
      <c r="BE51" s="766">
        <f t="shared" si="6"/>
        <v>-0.2940087243045344</v>
      </c>
      <c r="BF51" s="758">
        <f t="shared" si="7"/>
        <v>-498.47727900000018</v>
      </c>
      <c r="BG51" s="780">
        <f t="shared" si="8"/>
        <v>-3090.6189590399281</v>
      </c>
    </row>
    <row r="52" spans="1:61" ht="30" customHeight="1" x14ac:dyDescent="0.2">
      <c r="A52" s="773" t="s">
        <v>135</v>
      </c>
      <c r="B52" s="599"/>
      <c r="C52" s="362"/>
      <c r="D52" s="362"/>
      <c r="E52" s="362"/>
      <c r="F52" s="362"/>
      <c r="G52" s="362"/>
      <c r="H52" s="362"/>
      <c r="I52" s="362"/>
      <c r="J52" s="607"/>
      <c r="K52" s="761">
        <v>5.75</v>
      </c>
      <c r="L52" s="762">
        <v>397.8</v>
      </c>
      <c r="M52" s="754">
        <v>2285.4</v>
      </c>
      <c r="N52" s="762">
        <f>K52*M52</f>
        <v>13141.050000000001</v>
      </c>
      <c r="O52" s="755">
        <v>5.63</v>
      </c>
      <c r="P52" s="763">
        <f>Q60*Q61</f>
        <v>363.59730000000002</v>
      </c>
      <c r="Q52" s="646">
        <f>O52*P52</f>
        <v>2047.0527990000001</v>
      </c>
      <c r="R52" s="762"/>
      <c r="S52" s="755">
        <f t="shared" si="10"/>
        <v>-0.12000000000000011</v>
      </c>
      <c r="T52" s="758">
        <f t="shared" si="10"/>
        <v>-34.202699999999993</v>
      </c>
      <c r="U52" s="762"/>
      <c r="V52" s="758">
        <f t="shared" si="9"/>
        <v>-238.34720100000004</v>
      </c>
      <c r="W52" s="762"/>
      <c r="X52" s="755">
        <v>4.9886999999999997</v>
      </c>
      <c r="Y52" s="762">
        <v>162.167</v>
      </c>
      <c r="Z52" s="754">
        <v>809</v>
      </c>
      <c r="AA52" s="762">
        <f>X52*Z52</f>
        <v>4035.8582999999999</v>
      </c>
      <c r="AB52" s="755">
        <f t="shared" si="3"/>
        <v>5.0153983485829059</v>
      </c>
      <c r="AC52" s="762">
        <v>224.05</v>
      </c>
      <c r="AD52" s="754">
        <v>1123.7</v>
      </c>
      <c r="AE52" s="797">
        <f>SUM(AG52/AF52)</f>
        <v>5.0316393763454892</v>
      </c>
      <c r="AF52" s="797">
        <v>306.58</v>
      </c>
      <c r="AG52" s="383">
        <v>1542.6</v>
      </c>
      <c r="AH52" s="761">
        <v>5.91</v>
      </c>
      <c r="AI52" s="762">
        <v>397.8</v>
      </c>
      <c r="AJ52" s="754">
        <v>2285.4</v>
      </c>
      <c r="AK52" s="762"/>
      <c r="AL52" s="755">
        <f>K77*1.028</f>
        <v>5.2277943861803733</v>
      </c>
      <c r="AM52" s="763">
        <f>AN60*AN61</f>
        <v>360.82530000000003</v>
      </c>
      <c r="AN52" s="646">
        <f>AL52*AM52</f>
        <v>1886.3204777318492</v>
      </c>
      <c r="AO52" s="786">
        <f t="shared" si="11"/>
        <v>-0.68220561381962685</v>
      </c>
      <c r="AP52" s="787">
        <f t="shared" si="11"/>
        <v>-36.974699999999984</v>
      </c>
      <c r="AQ52" s="787">
        <f t="shared" si="11"/>
        <v>-399.07952226815087</v>
      </c>
      <c r="AR52" s="786">
        <f t="shared" ref="AR52:AR54" si="12">SUM(AT52/AS52)</f>
        <v>4.9758749575263339</v>
      </c>
      <c r="AS52" s="788">
        <v>147.15</v>
      </c>
      <c r="AT52" s="792">
        <v>732.2</v>
      </c>
      <c r="AU52" s="786">
        <f t="shared" ref="AU52:AU54" si="13">SUM(AW52/AV52)</f>
        <v>5.0682433840383414</v>
      </c>
      <c r="AV52" s="1261">
        <v>191.96</v>
      </c>
      <c r="AW52" s="1263">
        <v>972.9</v>
      </c>
      <c r="AX52" s="804">
        <f t="shared" ref="AX52:AX54" si="14">SUM(AL52*1.1)</f>
        <v>5.7505738247984111</v>
      </c>
      <c r="AY52" s="797">
        <v>306.58</v>
      </c>
      <c r="AZ52" s="798">
        <f t="shared" ref="AZ52:AZ54" si="15">SUM(AX52*AY52)</f>
        <v>1763.0109232066968</v>
      </c>
      <c r="BA52" s="805">
        <f t="shared" si="5"/>
        <v>0.93462958390112882</v>
      </c>
      <c r="BB52" s="786">
        <f>(AU70+AU70*1.06)/2</f>
        <v>5.5327159116268669</v>
      </c>
      <c r="BC52" s="788">
        <f>BD60*BD61</f>
        <v>290.97012000000001</v>
      </c>
      <c r="BD52" s="789">
        <f>BC52*BB52</f>
        <v>1609.8550127319788</v>
      </c>
      <c r="BE52" s="755">
        <f t="shared" si="6"/>
        <v>-0.21785791317154413</v>
      </c>
      <c r="BF52" s="758">
        <f t="shared" si="7"/>
        <v>-15.609879999999976</v>
      </c>
      <c r="BG52" s="780">
        <f t="shared" si="8"/>
        <v>-153.15591047471798</v>
      </c>
    </row>
    <row r="53" spans="1:61" ht="30" customHeight="1" x14ac:dyDescent="0.2">
      <c r="A53" s="1194"/>
      <c r="B53" s="1195"/>
      <c r="C53" s="1196"/>
      <c r="D53" s="1196"/>
      <c r="E53" s="1196"/>
      <c r="F53" s="1196"/>
      <c r="G53" s="1196"/>
      <c r="H53" s="1196"/>
      <c r="I53" s="1196"/>
      <c r="J53" s="1197"/>
      <c r="K53" s="1198"/>
      <c r="L53" s="1199"/>
      <c r="M53" s="1200"/>
      <c r="N53" s="1199"/>
      <c r="O53" s="1201"/>
      <c r="P53" s="1203"/>
      <c r="Q53" s="1202"/>
      <c r="R53" s="1199"/>
      <c r="S53" s="1201"/>
      <c r="T53" s="1204"/>
      <c r="U53" s="1199"/>
      <c r="V53" s="1204"/>
      <c r="W53" s="1199"/>
      <c r="X53" s="1201"/>
      <c r="Y53" s="1199"/>
      <c r="Z53" s="1200"/>
      <c r="AA53" s="1199"/>
      <c r="AB53" s="1201"/>
      <c r="AC53" s="1199"/>
      <c r="AD53" s="1200"/>
      <c r="AE53" s="1205"/>
      <c r="AF53" s="1205"/>
      <c r="AG53" s="1207"/>
      <c r="AH53" s="1198"/>
      <c r="AI53" s="1199"/>
      <c r="AJ53" s="1200"/>
      <c r="AK53" s="1199"/>
      <c r="AL53" s="1201"/>
      <c r="AM53" s="1203"/>
      <c r="AN53" s="1202"/>
      <c r="AO53" s="1201"/>
      <c r="AP53" s="1204"/>
      <c r="AQ53" s="1204"/>
      <c r="AR53" s="1201"/>
      <c r="AS53" s="1199"/>
      <c r="AT53" s="1200">
        <v>132.9</v>
      </c>
      <c r="AU53" s="1201"/>
      <c r="AV53" s="1261"/>
      <c r="AW53" s="1263">
        <v>205.9</v>
      </c>
      <c r="AX53" s="1208"/>
      <c r="AY53" s="1205"/>
      <c r="AZ53" s="1206"/>
      <c r="BA53" s="1209"/>
      <c r="BB53" s="1201"/>
      <c r="BC53" s="1199"/>
      <c r="BD53" s="1202"/>
      <c r="BE53" s="1201"/>
      <c r="BF53" s="1204"/>
      <c r="BG53" s="1210"/>
    </row>
    <row r="54" spans="1:61" ht="30" customHeight="1" x14ac:dyDescent="0.2">
      <c r="A54" s="773" t="s">
        <v>136</v>
      </c>
      <c r="B54" s="599"/>
      <c r="C54" s="362"/>
      <c r="D54" s="362"/>
      <c r="E54" s="362"/>
      <c r="F54" s="362"/>
      <c r="G54" s="362"/>
      <c r="H54" s="362"/>
      <c r="I54" s="362"/>
      <c r="J54" s="607"/>
      <c r="K54" s="761">
        <v>4.2300000000000004</v>
      </c>
      <c r="L54" s="762">
        <v>2282.1999999999998</v>
      </c>
      <c r="M54" s="754">
        <v>9664.7999999999993</v>
      </c>
      <c r="N54" s="762">
        <f>K54*M54</f>
        <v>40882.103999999999</v>
      </c>
      <c r="O54" s="755">
        <v>4.3</v>
      </c>
      <c r="P54" s="763">
        <f>Q60*Q62</f>
        <v>1439.1333261085247</v>
      </c>
      <c r="Q54" s="646">
        <f>O54*P54</f>
        <v>6188.2733022666562</v>
      </c>
      <c r="R54" s="762"/>
      <c r="S54" s="755">
        <f t="shared" si="10"/>
        <v>6.9999999999999396E-2</v>
      </c>
      <c r="T54" s="758">
        <f t="shared" si="10"/>
        <v>-843.06667389147515</v>
      </c>
      <c r="U54" s="762"/>
      <c r="V54" s="758">
        <f t="shared" si="9"/>
        <v>-3476.5266977333431</v>
      </c>
      <c r="W54" s="762"/>
      <c r="X54" s="755">
        <v>3.7764000000000002</v>
      </c>
      <c r="Y54" s="762">
        <v>940.27</v>
      </c>
      <c r="Z54" s="754">
        <v>3550.8</v>
      </c>
      <c r="AA54" s="762">
        <f>X54*Z54</f>
        <v>13409.241120000001</v>
      </c>
      <c r="AB54" s="755">
        <f t="shared" si="3"/>
        <v>3.8226634015509302</v>
      </c>
      <c r="AC54" s="762">
        <v>1372.08</v>
      </c>
      <c r="AD54" s="754">
        <v>5245</v>
      </c>
      <c r="AE54" s="797">
        <f>SUM(AG54/AF54)</f>
        <v>3.8318886233811065</v>
      </c>
      <c r="AF54" s="797">
        <v>1853.89</v>
      </c>
      <c r="AG54" s="383">
        <v>7103.9</v>
      </c>
      <c r="AH54" s="761">
        <v>4.5199999999999996</v>
      </c>
      <c r="AI54" s="762">
        <v>2282.1999999999998</v>
      </c>
      <c r="AJ54" s="754">
        <v>9664.7999999999993</v>
      </c>
      <c r="AK54" s="762"/>
      <c r="AL54" s="755">
        <f>K78*1.028</f>
        <v>4.0333424422778537</v>
      </c>
      <c r="AM54" s="763">
        <f>AN60*AN62</f>
        <v>1428.1616341295885</v>
      </c>
      <c r="AN54" s="646">
        <f>AL54*AM54</f>
        <v>5760.2649333677646</v>
      </c>
      <c r="AO54" s="786">
        <f t="shared" si="11"/>
        <v>-0.48665755772214592</v>
      </c>
      <c r="AP54" s="787">
        <f t="shared" si="11"/>
        <v>-854.03836587041133</v>
      </c>
      <c r="AQ54" s="787">
        <f t="shared" si="11"/>
        <v>-3904.5350666322347</v>
      </c>
      <c r="AR54" s="786">
        <f t="shared" si="12"/>
        <v>3.6631900547829748</v>
      </c>
      <c r="AS54" s="788">
        <v>949.2</v>
      </c>
      <c r="AT54" s="792">
        <v>3477.1</v>
      </c>
      <c r="AU54" s="786">
        <f t="shared" si="13"/>
        <v>3.7705916930708683</v>
      </c>
      <c r="AV54" s="1261">
        <v>1394.98</v>
      </c>
      <c r="AW54" s="1263">
        <v>5259.9</v>
      </c>
      <c r="AX54" s="804">
        <f t="shared" si="14"/>
        <v>4.4366766865056393</v>
      </c>
      <c r="AY54" s="797">
        <v>1853.89</v>
      </c>
      <c r="AZ54" s="798">
        <f t="shared" si="15"/>
        <v>8225.1105423459394</v>
      </c>
      <c r="BA54" s="805">
        <f t="shared" si="5"/>
        <v>1.4279049032449784</v>
      </c>
      <c r="BB54" s="786">
        <f>(AU72+AU72*1.06)/2</f>
        <v>4.1192606218313967</v>
      </c>
      <c r="BC54" s="788">
        <f>BD60*BD62</f>
        <v>1454.8506</v>
      </c>
      <c r="BD54" s="789">
        <f>BC54*BB54</f>
        <v>5992.9087872277805</v>
      </c>
      <c r="BE54" s="755">
        <f t="shared" si="6"/>
        <v>-0.31741606467424255</v>
      </c>
      <c r="BF54" s="758">
        <f t="shared" si="7"/>
        <v>-399.03940000000011</v>
      </c>
      <c r="BG54" s="780">
        <f t="shared" si="8"/>
        <v>-2232.2017551181589</v>
      </c>
    </row>
    <row r="55" spans="1:61" ht="30" customHeight="1" x14ac:dyDescent="0.2">
      <c r="A55" s="774" t="s">
        <v>137</v>
      </c>
      <c r="B55" s="599"/>
      <c r="C55" s="362"/>
      <c r="D55" s="362"/>
      <c r="E55" s="362"/>
      <c r="F55" s="362"/>
      <c r="G55" s="362"/>
      <c r="H55" s="362"/>
      <c r="I55" s="362"/>
      <c r="J55" s="607"/>
      <c r="K55" s="764">
        <f>M55/L55</f>
        <v>4.4590298507462682</v>
      </c>
      <c r="L55" s="647">
        <f>SUM(L52:L54)</f>
        <v>2680</v>
      </c>
      <c r="M55" s="647">
        <f>SUM(M52:M54)</f>
        <v>11950.199999999999</v>
      </c>
      <c r="N55" s="647">
        <f>SUM(N52:N54)</f>
        <v>54023.154000000002</v>
      </c>
      <c r="O55" s="766">
        <f>Q55/P55</f>
        <v>4.5682510642446301</v>
      </c>
      <c r="P55" s="647">
        <f>SUM(P52:P54)</f>
        <v>1802.7306261085246</v>
      </c>
      <c r="Q55" s="647">
        <f>SUM(Q52:Q54)</f>
        <v>8235.3261012666553</v>
      </c>
      <c r="R55" s="765"/>
      <c r="S55" s="766">
        <f>O55-K55</f>
        <v>0.10922121349836189</v>
      </c>
      <c r="T55" s="752">
        <f>P55-L55</f>
        <v>-877.26937389147542</v>
      </c>
      <c r="U55" s="752">
        <f>P55-L55</f>
        <v>-877.26937389147542</v>
      </c>
      <c r="V55" s="752">
        <f t="shared" si="9"/>
        <v>-3714.8738987333436</v>
      </c>
      <c r="W55" s="765"/>
      <c r="X55" s="766">
        <f>Z55/Y55</f>
        <v>3.9546931026444145</v>
      </c>
      <c r="Y55" s="647">
        <f>SUM(Y52:Y54)</f>
        <v>1102.4369999999999</v>
      </c>
      <c r="Z55" s="647">
        <f>SUM(Z52:Z54)</f>
        <v>4359.8</v>
      </c>
      <c r="AA55" s="647">
        <f>SUM(AA52:AA54)</f>
        <v>17445.099419999999</v>
      </c>
      <c r="AB55" s="766">
        <f t="shared" si="3"/>
        <v>3.9900885266237713</v>
      </c>
      <c r="AC55" s="647">
        <f>SUM(AC52:AC54)</f>
        <v>1596.1299999999999</v>
      </c>
      <c r="AD55" s="647">
        <f>SUM(AD52:AD54)</f>
        <v>6368.7</v>
      </c>
      <c r="AE55" s="799">
        <f>AG55/AF55</f>
        <v>4.0021384235837569</v>
      </c>
      <c r="AF55" s="800">
        <f>SUM(AF52:AF54)</f>
        <v>2160.4700000000003</v>
      </c>
      <c r="AG55" s="384">
        <f>SUM(AG52:AG54)</f>
        <v>8646.5</v>
      </c>
      <c r="AH55" s="764">
        <f>AJ55/AI55</f>
        <v>4.4590298507462682</v>
      </c>
      <c r="AI55" s="647">
        <f>SUM(AI52:AI54)</f>
        <v>2680</v>
      </c>
      <c r="AJ55" s="647">
        <f>SUM(AJ52:AJ54)</f>
        <v>11950.199999999999</v>
      </c>
      <c r="AK55" s="647"/>
      <c r="AL55" s="766">
        <f>AN55/AM55</f>
        <v>4.2742544762183936</v>
      </c>
      <c r="AM55" s="647">
        <f>SUM(AM52:AM54)</f>
        <v>1788.9869341295885</v>
      </c>
      <c r="AN55" s="647">
        <f>SUM(AN52:AN54)</f>
        <v>7646.5854110996133</v>
      </c>
      <c r="AO55" s="790">
        <f>AL55-AH55</f>
        <v>-0.18477537452787463</v>
      </c>
      <c r="AP55" s="793">
        <f>AM55-AI55</f>
        <v>-891.01306587041154</v>
      </c>
      <c r="AQ55" s="793">
        <f>AN55-AJ55</f>
        <v>-4303.6145889003856</v>
      </c>
      <c r="AR55" s="790">
        <f>AT55/AS55</f>
        <v>3.9605965248323978</v>
      </c>
      <c r="AS55" s="791">
        <f>SUM(AS52:AS54)</f>
        <v>1096.3500000000001</v>
      </c>
      <c r="AT55" s="791">
        <f>SUM(AT52:AT54)</f>
        <v>4342.2</v>
      </c>
      <c r="AU55" s="790">
        <f>AW55/AV55</f>
        <v>4.0573052541368924</v>
      </c>
      <c r="AV55" s="791">
        <f>SUM(AV52:AV54)</f>
        <v>1586.94</v>
      </c>
      <c r="AW55" s="791">
        <f>SUM(AW52:AW54)</f>
        <v>6438.7</v>
      </c>
      <c r="AX55" s="806">
        <f>AZ55/AY55</f>
        <v>4.6231243505129136</v>
      </c>
      <c r="AY55" s="800">
        <f>SUM(AY52:AY54)</f>
        <v>2160.4700000000003</v>
      </c>
      <c r="AZ55" s="800">
        <f>SUM(AZ52:AZ54)</f>
        <v>9988.1214655526364</v>
      </c>
      <c r="BA55" s="805">
        <f t="shared" si="5"/>
        <v>1.3062198260486442</v>
      </c>
      <c r="BB55" s="790">
        <f>BD55/BC55</f>
        <v>4.3548365034639751</v>
      </c>
      <c r="BC55" s="791">
        <f>SUM(BC52:BC54)</f>
        <v>1745.8207199999999</v>
      </c>
      <c r="BD55" s="791">
        <f>SUM(BD52:BD54)</f>
        <v>7602.7637999597591</v>
      </c>
      <c r="BE55" s="766">
        <f>BB55-AX55</f>
        <v>-0.26828784704893849</v>
      </c>
      <c r="BF55" s="757">
        <f>BC55-AY55</f>
        <v>-414.64928000000032</v>
      </c>
      <c r="BG55" s="372">
        <f>BD55-AZ55</f>
        <v>-2385.3576655928773</v>
      </c>
    </row>
    <row r="56" spans="1:61" ht="40.5" customHeight="1" x14ac:dyDescent="0.2">
      <c r="A56" s="775" t="s">
        <v>138</v>
      </c>
      <c r="B56" s="599"/>
      <c r="C56" s="362"/>
      <c r="D56" s="362"/>
      <c r="E56" s="362"/>
      <c r="F56" s="362"/>
      <c r="G56" s="362"/>
      <c r="H56" s="362"/>
      <c r="I56" s="362"/>
      <c r="J56" s="607"/>
      <c r="K56" s="609"/>
      <c r="L56" s="754"/>
      <c r="M56" s="646">
        <f>объемы!E39</f>
        <v>5875</v>
      </c>
      <c r="N56" s="754"/>
      <c r="O56" s="754"/>
      <c r="P56" s="754"/>
      <c r="Q56" s="646" t="e">
        <f>объемы!G39</f>
        <v>#REF!</v>
      </c>
      <c r="R56" s="754"/>
      <c r="S56" s="755"/>
      <c r="T56" s="758"/>
      <c r="U56" s="754"/>
      <c r="V56" s="758" t="e">
        <f t="shared" si="9"/>
        <v>#REF!</v>
      </c>
      <c r="W56" s="754"/>
      <c r="X56" s="768"/>
      <c r="Y56" s="768"/>
      <c r="Z56" s="646">
        <v>3493.3</v>
      </c>
      <c r="AA56" s="754"/>
      <c r="AB56" s="754"/>
      <c r="AC56" s="754"/>
      <c r="AD56" s="646">
        <v>5158</v>
      </c>
      <c r="AE56" s="801"/>
      <c r="AF56" s="801"/>
      <c r="AG56" s="383">
        <f>SUM(объемы!K39)</f>
        <v>6977.9000000000005</v>
      </c>
      <c r="AH56" s="609"/>
      <c r="AI56" s="754"/>
      <c r="AJ56" s="646">
        <f>SUM(объемы!L39)</f>
        <v>5800.03</v>
      </c>
      <c r="AK56" s="754"/>
      <c r="AL56" s="754"/>
      <c r="AM56" s="754"/>
      <c r="AN56" s="646">
        <f>SUM(объемы!M39)</f>
        <v>5561.39</v>
      </c>
      <c r="AO56" s="792"/>
      <c r="AP56" s="786"/>
      <c r="AQ56" s="787">
        <f t="shared" ref="AQ56:AQ62" si="16">AN56-AJ56</f>
        <v>-238.63999999999942</v>
      </c>
      <c r="AR56" s="792"/>
      <c r="AS56" s="792"/>
      <c r="AT56" s="789">
        <f>SUM(объемы!P39)</f>
        <v>3367.79</v>
      </c>
      <c r="AU56" s="792"/>
      <c r="AV56" s="792"/>
      <c r="AW56" s="789">
        <f>объемы!R39+объемы!S39</f>
        <v>6716.13</v>
      </c>
      <c r="AX56" s="485"/>
      <c r="AY56" s="801"/>
      <c r="AZ56" s="798">
        <f>SUM(объемы!T39)</f>
        <v>5779.357</v>
      </c>
      <c r="BA56" s="805">
        <f t="shared" si="5"/>
        <v>1.0391928996168223</v>
      </c>
      <c r="BB56" s="792"/>
      <c r="BC56" s="792"/>
      <c r="BD56" s="789">
        <f>SUM(объемы!AA39:AB39)</f>
        <v>5675.7370000000001</v>
      </c>
      <c r="BE56" s="754"/>
      <c r="BF56" s="755"/>
      <c r="BG56" s="780">
        <f t="shared" ref="BG56:BG62" si="17">BD56-AZ56</f>
        <v>-103.61999999999989</v>
      </c>
    </row>
    <row r="57" spans="1:61" ht="45" customHeight="1" x14ac:dyDescent="0.2">
      <c r="A57" s="776" t="s">
        <v>139</v>
      </c>
      <c r="B57" s="599"/>
      <c r="C57" s="362"/>
      <c r="D57" s="362"/>
      <c r="E57" s="362"/>
      <c r="F57" s="362"/>
      <c r="G57" s="362"/>
      <c r="H57" s="362"/>
      <c r="I57" s="362"/>
      <c r="J57" s="607"/>
      <c r="K57" s="609"/>
      <c r="L57" s="754"/>
      <c r="M57" s="755">
        <f>L48/M56</f>
        <v>0.18573617021276598</v>
      </c>
      <c r="N57" s="754"/>
      <c r="O57" s="754"/>
      <c r="P57" s="754"/>
      <c r="Q57" s="755">
        <f>AH20</f>
        <v>0.14554379746835441</v>
      </c>
      <c r="R57" s="754"/>
      <c r="S57" s="755"/>
      <c r="T57" s="758"/>
      <c r="U57" s="754"/>
      <c r="V57" s="755">
        <f t="shared" si="9"/>
        <v>-4.0192372744411564E-2</v>
      </c>
      <c r="W57" s="754"/>
      <c r="X57" s="768"/>
      <c r="Y57" s="768"/>
      <c r="Z57" s="755">
        <f>Y48/Z56</f>
        <v>0.14465748718976326</v>
      </c>
      <c r="AA57" s="754"/>
      <c r="AB57" s="754"/>
      <c r="AC57" s="754"/>
      <c r="AD57" s="755">
        <f>AC48/AD56</f>
        <v>0.13366227219852655</v>
      </c>
      <c r="AE57" s="801"/>
      <c r="AF57" s="801"/>
      <c r="AG57" s="756">
        <f>AF48/AG56</f>
        <v>0.1305331116811648</v>
      </c>
      <c r="AH57" s="609"/>
      <c r="AI57" s="754"/>
      <c r="AJ57" s="755">
        <f>AI48/AJ56</f>
        <v>0.14599924483149224</v>
      </c>
      <c r="AK57" s="754"/>
      <c r="AL57" s="754"/>
      <c r="AM57" s="754"/>
      <c r="AN57" s="755">
        <f>AP20</f>
        <v>0.15880621825734828</v>
      </c>
      <c r="AO57" s="792"/>
      <c r="AP57" s="786"/>
      <c r="AQ57" s="786">
        <f t="shared" si="16"/>
        <v>1.2806973425856044E-2</v>
      </c>
      <c r="AR57" s="792"/>
      <c r="AS57" s="792"/>
      <c r="AT57" s="786">
        <f>AS48/AT56</f>
        <v>0.12322324135412244</v>
      </c>
      <c r="AU57" s="792"/>
      <c r="AV57" s="792"/>
      <c r="AW57" s="786">
        <f>AV48/AW56</f>
        <v>8.1329128530865241E-2</v>
      </c>
      <c r="AX57" s="485"/>
      <c r="AY57" s="801"/>
      <c r="AZ57" s="756">
        <f>AY48/AZ56</f>
        <v>0.15760403795785588</v>
      </c>
      <c r="BA57" s="805">
        <f t="shared" si="5"/>
        <v>0.99242989152008998</v>
      </c>
      <c r="BB57" s="792"/>
      <c r="BC57" s="792"/>
      <c r="BD57" s="1211">
        <v>0.124</v>
      </c>
      <c r="BE57" s="754"/>
      <c r="BF57" s="755"/>
      <c r="BG57" s="769">
        <f t="shared" si="17"/>
        <v>-3.3604037957855881E-2</v>
      </c>
    </row>
    <row r="58" spans="1:61" ht="45.75" customHeight="1" x14ac:dyDescent="0.2">
      <c r="A58" s="776" t="s">
        <v>865</v>
      </c>
      <c r="B58" s="599"/>
      <c r="C58" s="362"/>
      <c r="D58" s="362"/>
      <c r="E58" s="362"/>
      <c r="F58" s="362"/>
      <c r="G58" s="362"/>
      <c r="H58" s="362"/>
      <c r="I58" s="362"/>
      <c r="J58" s="607"/>
      <c r="K58" s="609"/>
      <c r="L58" s="754"/>
      <c r="M58" s="646">
        <f>объемы!E44</f>
        <v>4999</v>
      </c>
      <c r="N58" s="754"/>
      <c r="O58" s="754"/>
      <c r="P58" s="754"/>
      <c r="Q58" s="646" t="e">
        <f>объемы!G44</f>
        <v>#REF!</v>
      </c>
      <c r="R58" s="754"/>
      <c r="S58" s="755"/>
      <c r="T58" s="758"/>
      <c r="U58" s="754"/>
      <c r="V58" s="758" t="e">
        <f t="shared" si="9"/>
        <v>#REF!</v>
      </c>
      <c r="W58" s="754"/>
      <c r="X58" s="768"/>
      <c r="Y58" s="768"/>
      <c r="Z58" s="646">
        <v>3054.18</v>
      </c>
      <c r="AA58" s="754"/>
      <c r="AB58" s="754"/>
      <c r="AC58" s="754"/>
      <c r="AD58" s="646">
        <v>4509.2</v>
      </c>
      <c r="AE58" s="801"/>
      <c r="AF58" s="801"/>
      <c r="AG58" s="383">
        <f>SUM(объемы!K44)</f>
        <v>6136.9000000000005</v>
      </c>
      <c r="AH58" s="609"/>
      <c r="AI58" s="754"/>
      <c r="AJ58" s="646">
        <f>SUM(объемы!L44)</f>
        <v>5046.03</v>
      </c>
      <c r="AK58" s="754"/>
      <c r="AL58" s="754"/>
      <c r="AM58" s="754"/>
      <c r="AN58" s="646">
        <f>SUM(объемы!M44)</f>
        <v>5004.2700000000004</v>
      </c>
      <c r="AO58" s="792"/>
      <c r="AP58" s="786"/>
      <c r="AQ58" s="787">
        <f t="shared" si="16"/>
        <v>-41.759999999999309</v>
      </c>
      <c r="AR58" s="792"/>
      <c r="AS58" s="792"/>
      <c r="AT58" s="789">
        <f>SUM(объемы!P44)</f>
        <v>2888.49</v>
      </c>
      <c r="AU58" s="792"/>
      <c r="AV58" s="792"/>
      <c r="AW58" s="789">
        <f>объемы!R39</f>
        <v>6697.91</v>
      </c>
      <c r="AX58" s="485"/>
      <c r="AY58" s="801"/>
      <c r="AZ58" s="798">
        <f>SUM(объемы!T44)</f>
        <v>5007.9369999999999</v>
      </c>
      <c r="BA58" s="805">
        <f t="shared" si="5"/>
        <v>1.0007327742108238</v>
      </c>
      <c r="BB58" s="792"/>
      <c r="BC58" s="792"/>
      <c r="BD58" s="789">
        <f>объемы!AA44</f>
        <v>4967.9170000000004</v>
      </c>
      <c r="BE58" s="754"/>
      <c r="BF58" s="755"/>
      <c r="BG58" s="780">
        <f t="shared" si="17"/>
        <v>-40.019999999999527</v>
      </c>
    </row>
    <row r="59" spans="1:61" ht="40.5" customHeight="1" x14ac:dyDescent="0.2">
      <c r="A59" s="776" t="s">
        <v>140</v>
      </c>
      <c r="B59" s="599"/>
      <c r="C59" s="362"/>
      <c r="D59" s="362"/>
      <c r="E59" s="362"/>
      <c r="F59" s="362"/>
      <c r="G59" s="362"/>
      <c r="H59" s="362"/>
      <c r="I59" s="362"/>
      <c r="J59" s="607"/>
      <c r="K59" s="609"/>
      <c r="L59" s="754"/>
      <c r="M59" s="755">
        <f>L50/M58</f>
        <v>0.35103020604120821</v>
      </c>
      <c r="N59" s="754"/>
      <c r="O59" s="754"/>
      <c r="P59" s="754"/>
      <c r="Q59" s="755">
        <f>AH22</f>
        <v>0.26482803446738967</v>
      </c>
      <c r="R59" s="754"/>
      <c r="S59" s="755"/>
      <c r="T59" s="758"/>
      <c r="U59" s="754"/>
      <c r="V59" s="755">
        <f t="shared" si="9"/>
        <v>-8.6202171573818542E-2</v>
      </c>
      <c r="W59" s="754"/>
      <c r="X59" s="768"/>
      <c r="Y59" s="768"/>
      <c r="Z59" s="755">
        <f>Y50/Z58</f>
        <v>0.26849105160796027</v>
      </c>
      <c r="AA59" s="754"/>
      <c r="AB59" s="754"/>
      <c r="AC59" s="754"/>
      <c r="AD59" s="755">
        <f>AC50/AD58</f>
        <v>0.26396034773352256</v>
      </c>
      <c r="AE59" s="801"/>
      <c r="AF59" s="801"/>
      <c r="AG59" s="756">
        <f>AF50/AG58</f>
        <v>0.24905571216738093</v>
      </c>
      <c r="AH59" s="609"/>
      <c r="AI59" s="754"/>
      <c r="AJ59" s="755">
        <f>AI50/AJ58</f>
        <v>0.27498845627156399</v>
      </c>
      <c r="AK59" s="754"/>
      <c r="AL59" s="754"/>
      <c r="AM59" s="754"/>
      <c r="AN59" s="755">
        <f>AP22</f>
        <v>0.24172159546971789</v>
      </c>
      <c r="AO59" s="792"/>
      <c r="AP59" s="786"/>
      <c r="AQ59" s="786">
        <f t="shared" si="16"/>
        <v>-3.3266860801846099E-2</v>
      </c>
      <c r="AR59" s="792"/>
      <c r="AS59" s="792"/>
      <c r="AT59" s="786">
        <f>AS50/AT58</f>
        <v>0.23473164179207823</v>
      </c>
      <c r="AU59" s="792"/>
      <c r="AV59" s="792"/>
      <c r="AW59" s="786">
        <f>AV50/AW58</f>
        <v>0.15169806700896249</v>
      </c>
      <c r="AX59" s="485"/>
      <c r="AY59" s="801"/>
      <c r="AZ59" s="756">
        <f>AY50/AZ58</f>
        <v>0.30520152310222753</v>
      </c>
      <c r="BA59" s="805">
        <f t="shared" si="5"/>
        <v>1.2626158722358021</v>
      </c>
      <c r="BB59" s="792"/>
      <c r="BC59" s="792"/>
      <c r="BD59" s="1211">
        <v>0.249</v>
      </c>
      <c r="BE59" s="754"/>
      <c r="BF59" s="755"/>
      <c r="BG59" s="769">
        <f t="shared" si="17"/>
        <v>-5.6201523102227535E-2</v>
      </c>
    </row>
    <row r="60" spans="1:61" ht="48" customHeight="1" x14ac:dyDescent="0.2">
      <c r="A60" s="777" t="s">
        <v>141</v>
      </c>
      <c r="B60" s="599"/>
      <c r="C60" s="362"/>
      <c r="D60" s="362"/>
      <c r="E60" s="362"/>
      <c r="F60" s="362"/>
      <c r="G60" s="362"/>
      <c r="H60" s="362"/>
      <c r="I60" s="362"/>
      <c r="J60" s="607"/>
      <c r="K60" s="609"/>
      <c r="L60" s="754"/>
      <c r="M60" s="646">
        <f>объемы!E63</f>
        <v>3600</v>
      </c>
      <c r="N60" s="754"/>
      <c r="O60" s="754"/>
      <c r="P60" s="754"/>
      <c r="Q60" s="646">
        <f>объемы!G62</f>
        <v>3672.7</v>
      </c>
      <c r="R60" s="754"/>
      <c r="S60" s="755"/>
      <c r="T60" s="758"/>
      <c r="U60" s="754"/>
      <c r="V60" s="758">
        <f t="shared" si="9"/>
        <v>72.699999999999818</v>
      </c>
      <c r="W60" s="754"/>
      <c r="X60" s="768"/>
      <c r="Y60" s="768"/>
      <c r="Z60" s="646">
        <v>1773.8</v>
      </c>
      <c r="AA60" s="754"/>
      <c r="AB60" s="754"/>
      <c r="AC60" s="754"/>
      <c r="AD60" s="646">
        <v>2603.1999999999998</v>
      </c>
      <c r="AE60" s="801"/>
      <c r="AF60" s="801"/>
      <c r="AG60" s="383">
        <f>объемы!K62</f>
        <v>4393.3999999999996</v>
      </c>
      <c r="AH60" s="609"/>
      <c r="AI60" s="754"/>
      <c r="AJ60" s="646">
        <f>объемы!L63</f>
        <v>3672.7</v>
      </c>
      <c r="AK60" s="754"/>
      <c r="AL60" s="754"/>
      <c r="AM60" s="754"/>
      <c r="AN60" s="646">
        <f>объемы!M62</f>
        <v>3644.7</v>
      </c>
      <c r="AO60" s="792"/>
      <c r="AP60" s="786"/>
      <c r="AQ60" s="787">
        <f t="shared" si="16"/>
        <v>-28</v>
      </c>
      <c r="AR60" s="792"/>
      <c r="AS60" s="792"/>
      <c r="AT60" s="789">
        <f>объемы!P62</f>
        <v>2027.43</v>
      </c>
      <c r="AU60" s="792"/>
      <c r="AV60" s="792"/>
      <c r="AW60" s="789">
        <f>объемы!R62</f>
        <v>3840.95</v>
      </c>
      <c r="AX60" s="485"/>
      <c r="AY60" s="801"/>
      <c r="AZ60" s="798">
        <f>SUM(объемы!T63)</f>
        <v>3473</v>
      </c>
      <c r="BA60" s="805">
        <f t="shared" si="5"/>
        <v>0.95289049853211516</v>
      </c>
      <c r="BB60" s="792"/>
      <c r="BC60" s="792"/>
      <c r="BD60" s="789">
        <f>SUM(объемы!AA63:AB63)</f>
        <v>3463.93</v>
      </c>
      <c r="BE60" s="754"/>
      <c r="BF60" s="755"/>
      <c r="BG60" s="780">
        <f t="shared" si="17"/>
        <v>-9.0700000000001637</v>
      </c>
    </row>
    <row r="61" spans="1:61" ht="56.25" customHeight="1" x14ac:dyDescent="0.2">
      <c r="A61" s="776" t="s">
        <v>142</v>
      </c>
      <c r="B61" s="599"/>
      <c r="C61" s="362"/>
      <c r="D61" s="362"/>
      <c r="E61" s="362"/>
      <c r="F61" s="362"/>
      <c r="G61" s="362"/>
      <c r="H61" s="362"/>
      <c r="I61" s="362"/>
      <c r="J61" s="607"/>
      <c r="K61" s="609"/>
      <c r="L61" s="754"/>
      <c r="M61" s="755">
        <f>L52/M60</f>
        <v>0.1105</v>
      </c>
      <c r="N61" s="754"/>
      <c r="O61" s="754"/>
      <c r="P61" s="754"/>
      <c r="Q61" s="755">
        <f>AB25</f>
        <v>9.9000000000000005E-2</v>
      </c>
      <c r="R61" s="754"/>
      <c r="S61" s="755"/>
      <c r="T61" s="758"/>
      <c r="U61" s="754"/>
      <c r="V61" s="755">
        <f t="shared" si="9"/>
        <v>-1.1499999999999996E-2</v>
      </c>
      <c r="W61" s="754"/>
      <c r="X61" s="768"/>
      <c r="Y61" s="768"/>
      <c r="Z61" s="755">
        <f>Y52/Z60</f>
        <v>9.1423497575825907E-2</v>
      </c>
      <c r="AA61" s="754"/>
      <c r="AB61" s="754"/>
      <c r="AC61" s="754"/>
      <c r="AD61" s="755">
        <f>AC52/AD60</f>
        <v>8.6067148125384157E-2</v>
      </c>
      <c r="AE61" s="801"/>
      <c r="AF61" s="801"/>
      <c r="AG61" s="1342">
        <f>AF52/AG60</f>
        <v>6.9781945645741347E-2</v>
      </c>
      <c r="AH61" s="609"/>
      <c r="AI61" s="754"/>
      <c r="AJ61" s="755">
        <f>AI52/AJ60</f>
        <v>0.1083126854902388</v>
      </c>
      <c r="AK61" s="754"/>
      <c r="AL61" s="754"/>
      <c r="AM61" s="754"/>
      <c r="AN61" s="755">
        <f>Q61</f>
        <v>9.9000000000000005E-2</v>
      </c>
      <c r="AO61" s="792"/>
      <c r="AP61" s="786"/>
      <c r="AQ61" s="786">
        <f t="shared" si="16"/>
        <v>-9.3126854902387951E-3</v>
      </c>
      <c r="AR61" s="792"/>
      <c r="AS61" s="792"/>
      <c r="AT61" s="786">
        <f>AS52/AT60</f>
        <v>7.2579571181249164E-2</v>
      </c>
      <c r="AU61" s="792"/>
      <c r="AV61" s="792"/>
      <c r="AW61" s="786">
        <f>AV52/AW60</f>
        <v>4.9977219177547223E-2</v>
      </c>
      <c r="AX61" s="485"/>
      <c r="AY61" s="801"/>
      <c r="AZ61" s="756">
        <f>AY52/AZ60</f>
        <v>8.8275266340339761E-2</v>
      </c>
      <c r="BA61" s="805">
        <f t="shared" si="5"/>
        <v>0.89166935697312888</v>
      </c>
      <c r="BB61" s="792"/>
      <c r="BC61" s="792"/>
      <c r="BD61" s="1211">
        <v>8.4000000000000005E-2</v>
      </c>
      <c r="BE61" s="754"/>
      <c r="BF61" s="755"/>
      <c r="BG61" s="769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778" t="s">
        <v>143</v>
      </c>
      <c r="B62" s="599"/>
      <c r="C62" s="362"/>
      <c r="D62" s="362"/>
      <c r="E62" s="362"/>
      <c r="F62" s="362"/>
      <c r="G62" s="362"/>
      <c r="H62" s="362"/>
      <c r="I62" s="362"/>
      <c r="J62" s="607"/>
      <c r="K62" s="502"/>
      <c r="L62" s="370"/>
      <c r="M62" s="770">
        <f>L54/M60</f>
        <v>0.63394444444444442</v>
      </c>
      <c r="N62" s="370"/>
      <c r="O62" s="370"/>
      <c r="P62" s="370"/>
      <c r="Q62" s="770">
        <f>AH26</f>
        <v>0.39184614210486146</v>
      </c>
      <c r="R62" s="370"/>
      <c r="S62" s="770"/>
      <c r="T62" s="545"/>
      <c r="U62" s="370"/>
      <c r="V62" s="770">
        <f t="shared" si="9"/>
        <v>-0.24209830233958296</v>
      </c>
      <c r="W62" s="370"/>
      <c r="X62" s="771"/>
      <c r="Y62" s="771"/>
      <c r="Z62" s="770">
        <f>Y54/Z60</f>
        <v>0.5300879467809223</v>
      </c>
      <c r="AA62" s="370"/>
      <c r="AB62" s="370"/>
      <c r="AC62" s="370"/>
      <c r="AD62" s="770">
        <f>AC54/AD60</f>
        <v>0.52707437000614632</v>
      </c>
      <c r="AE62" s="802"/>
      <c r="AF62" s="802"/>
      <c r="AG62" s="1343">
        <f>AF54/AG60</f>
        <v>0.42197159375426785</v>
      </c>
      <c r="AH62" s="502"/>
      <c r="AI62" s="370"/>
      <c r="AJ62" s="770">
        <f>AI54/AJ60</f>
        <v>0.6213957034334413</v>
      </c>
      <c r="AK62" s="370"/>
      <c r="AL62" s="370"/>
      <c r="AM62" s="370"/>
      <c r="AN62" s="770">
        <f>Q62</f>
        <v>0.39184614210486146</v>
      </c>
      <c r="AO62" s="794"/>
      <c r="AP62" s="795"/>
      <c r="AQ62" s="795">
        <f t="shared" si="16"/>
        <v>-0.22954956132857984</v>
      </c>
      <c r="AR62" s="794"/>
      <c r="AS62" s="794"/>
      <c r="AT62" s="795">
        <f>AS54/AT60</f>
        <v>0.46817892602950534</v>
      </c>
      <c r="AU62" s="794"/>
      <c r="AV62" s="794"/>
      <c r="AW62" s="795">
        <f>AV54/AW60</f>
        <v>0.36318619091630977</v>
      </c>
      <c r="AX62" s="505"/>
      <c r="AY62" s="802"/>
      <c r="AZ62" s="803">
        <f>AY54/AZ60</f>
        <v>0.53380074863230642</v>
      </c>
      <c r="BA62" s="807">
        <f t="shared" si="5"/>
        <v>1.3622712878195358</v>
      </c>
      <c r="BB62" s="794"/>
      <c r="BC62" s="794"/>
      <c r="BD62" s="1212">
        <v>0.42</v>
      </c>
      <c r="BE62" s="370"/>
      <c r="BF62" s="770"/>
      <c r="BG62" s="772">
        <f t="shared" si="17"/>
        <v>-0.11380074863230644</v>
      </c>
    </row>
    <row r="64" spans="1:61" ht="16.5" x14ac:dyDescent="0.25">
      <c r="A64" s="524" t="s">
        <v>427</v>
      </c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5">
        <f>AW48-AT48</f>
        <v>699.59999999999991</v>
      </c>
    </row>
    <row r="65" spans="1:49" ht="16.5" x14ac:dyDescent="0.25">
      <c r="A65" s="524" t="s">
        <v>428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5">
        <f>AW49-AT49</f>
        <v>72.900000000000006</v>
      </c>
    </row>
    <row r="66" spans="1:49" ht="16.5" x14ac:dyDescent="0.25">
      <c r="A66" s="525" t="s">
        <v>429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6"/>
      <c r="M66" s="524" t="s">
        <v>433</v>
      </c>
      <c r="N66" s="524"/>
      <c r="O66" s="524"/>
      <c r="P66" s="524"/>
      <c r="Q66" s="524"/>
      <c r="R66" s="524"/>
      <c r="S66" s="524"/>
      <c r="T66" s="524"/>
      <c r="U66" s="5"/>
      <c r="V66" s="29"/>
      <c r="W66" s="29"/>
      <c r="X66" s="29"/>
      <c r="Y66" s="29"/>
      <c r="Z66" s="29"/>
      <c r="AA66" s="279"/>
      <c r="AB66" s="279"/>
      <c r="AU66">
        <f t="shared" si="18"/>
        <v>4.2196189800023669</v>
      </c>
      <c r="AV66" s="129">
        <f t="shared" si="19"/>
        <v>338.03999999999996</v>
      </c>
      <c r="AW66" s="155">
        <f>AW50-AT50</f>
        <v>1426.4</v>
      </c>
    </row>
    <row r="67" spans="1:49" ht="16.5" x14ac:dyDescent="0.25">
      <c r="A67" s="525" t="s">
        <v>430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>
        <f>AN59</f>
        <v>0.24172159546971789</v>
      </c>
      <c r="M67" s="524" t="s">
        <v>433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4981"/>
      <c r="Y67" s="4981"/>
      <c r="Z67" s="4981"/>
      <c r="AA67" s="279"/>
      <c r="AB67" s="279"/>
      <c r="AU67">
        <f>AW67/AV67</f>
        <v>4.6858185212256567</v>
      </c>
      <c r="AV67" s="129">
        <f>SUM(AV64:AV66)</f>
        <v>469.26699999999994</v>
      </c>
      <c r="AW67" s="155">
        <f>SUM(AW64:AW66)</f>
        <v>2198.9</v>
      </c>
    </row>
    <row r="68" spans="1:49" ht="16.5" x14ac:dyDescent="0.25">
      <c r="A68" s="525" t="s">
        <v>431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AN61</f>
        <v>9.9000000000000005E-2</v>
      </c>
      <c r="M68" s="524" t="s">
        <v>434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29"/>
      <c r="Y68" s="527"/>
      <c r="Z68" s="527"/>
      <c r="AA68" s="279"/>
      <c r="AB68" s="279"/>
    </row>
    <row r="69" spans="1:49" ht="16.5" x14ac:dyDescent="0.25">
      <c r="A69" s="525" t="s">
        <v>432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0.39184614210486146</v>
      </c>
      <c r="M69" s="524" t="s">
        <v>434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27"/>
      <c r="Z70" s="527"/>
      <c r="AA70" s="279"/>
      <c r="AB70" s="279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4978" t="s">
        <v>560</v>
      </c>
      <c r="B71" s="4979"/>
      <c r="C71" s="4979"/>
      <c r="D71" s="4979"/>
      <c r="E71" s="4979"/>
      <c r="F71" s="4979"/>
      <c r="G71" s="4979"/>
      <c r="H71" s="4979"/>
      <c r="I71" s="4979"/>
      <c r="J71" s="4979"/>
      <c r="K71" s="4979"/>
      <c r="L71" s="4979"/>
      <c r="M71" s="4980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28" t="s">
        <v>527</v>
      </c>
      <c r="B72" s="532"/>
      <c r="C72" s="532"/>
      <c r="D72" s="532"/>
      <c r="E72" s="532"/>
      <c r="F72" s="532"/>
      <c r="G72" s="532"/>
      <c r="H72" s="532"/>
      <c r="I72" s="532"/>
      <c r="J72" s="532"/>
      <c r="K72" s="532" t="s">
        <v>330</v>
      </c>
      <c r="L72" s="532" t="s">
        <v>346</v>
      </c>
      <c r="M72" s="524" t="s">
        <v>561</v>
      </c>
      <c r="N72" s="5"/>
      <c r="O72" s="532" t="s">
        <v>563</v>
      </c>
      <c r="P72" s="524" t="s">
        <v>564</v>
      </c>
      <c r="Q72" s="5"/>
      <c r="R72" s="5"/>
      <c r="S72" s="5"/>
      <c r="T72" s="5"/>
      <c r="U72" s="5"/>
      <c r="V72" s="29"/>
      <c r="W72" s="29"/>
      <c r="X72" s="529"/>
      <c r="Y72" s="530"/>
      <c r="Z72" s="530"/>
      <c r="AA72" s="279"/>
      <c r="AB72" s="279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35" t="s">
        <v>132</v>
      </c>
      <c r="B73" s="524"/>
      <c r="C73" s="524"/>
      <c r="D73" s="524"/>
      <c r="E73" s="524"/>
      <c r="F73" s="524"/>
      <c r="G73" s="524"/>
      <c r="H73" s="524"/>
      <c r="I73" s="524"/>
      <c r="J73" s="524"/>
      <c r="K73" s="534">
        <f>SUM(M73/L73)</f>
        <v>5.0619778596182483</v>
      </c>
      <c r="L73" s="533">
        <f>SUM(AC48-Y48)</f>
        <v>184.09799999999996</v>
      </c>
      <c r="M73" s="533">
        <f>SUM(AD48-Z48)</f>
        <v>931.90000000000009</v>
      </c>
      <c r="N73" s="5"/>
      <c r="O73" s="537">
        <f>SUM(AD56-Z56)</f>
        <v>1664.6999999999998</v>
      </c>
      <c r="P73" s="526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27"/>
      <c r="Z73" s="527"/>
      <c r="AA73" s="279"/>
      <c r="AB73" s="279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35" t="s">
        <v>565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/>
      <c r="L74" s="533"/>
      <c r="M74" s="533"/>
      <c r="N74" s="5"/>
      <c r="O74" s="537">
        <f>SUM(AD58-Z58)</f>
        <v>1455.02</v>
      </c>
      <c r="P74" s="526"/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</row>
    <row r="75" spans="1:49" ht="16.5" x14ac:dyDescent="0.25">
      <c r="A75" s="524" t="s">
        <v>133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>
        <f>SUM(M75/L75)</f>
        <v>4.1182508170596659</v>
      </c>
      <c r="L75" s="533">
        <f>SUM(AC50-Y50)</f>
        <v>370.23</v>
      </c>
      <c r="M75" s="533">
        <f>SUM(AD50-Z50)</f>
        <v>1524.7000000000003</v>
      </c>
      <c r="N75" s="5"/>
      <c r="O75" s="533"/>
      <c r="P75" s="526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x14ac:dyDescent="0.25">
      <c r="A76" s="524" t="s">
        <v>54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4.4316722229438179</v>
      </c>
      <c r="L76" s="533">
        <f>SUM(L73:L75)</f>
        <v>554.32799999999997</v>
      </c>
      <c r="M76" s="533">
        <f>SUM(M73:M75)</f>
        <v>2456.6000000000004</v>
      </c>
      <c r="N76" s="5"/>
      <c r="O76" s="524"/>
      <c r="P76" s="524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79"/>
      <c r="AB76" s="279"/>
    </row>
    <row r="77" spans="1:49" ht="16.5" x14ac:dyDescent="0.25">
      <c r="A77" s="524" t="s">
        <v>135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 t="shared" ref="K77:K79" si="23">SUM(M77/L77)</f>
        <v>5.0854030993972499</v>
      </c>
      <c r="L77" s="533">
        <f>SUM(AC52-Y52)</f>
        <v>61.88300000000001</v>
      </c>
      <c r="M77" s="533">
        <f>SUM(AD52-Z52)</f>
        <v>314.70000000000005</v>
      </c>
      <c r="N77" s="5"/>
      <c r="O77" s="536">
        <f>SUM(AD60-Z60)</f>
        <v>829.39999999999986</v>
      </c>
      <c r="P77" s="526">
        <f>SUM(L77/O77)</f>
        <v>7.4611767542802049E-2</v>
      </c>
      <c r="Q77" s="5"/>
      <c r="R77" s="5"/>
      <c r="S77" s="5"/>
      <c r="T77" s="5"/>
      <c r="U77" s="5"/>
      <c r="V77" s="29"/>
      <c r="W77" s="29"/>
      <c r="X77" s="529"/>
      <c r="Y77" s="530"/>
      <c r="Z77" s="530"/>
      <c r="AA77" s="279"/>
      <c r="AB77" s="279"/>
    </row>
    <row r="78" spans="1:49" ht="16.5" x14ac:dyDescent="0.25">
      <c r="A78" s="524" t="s">
        <v>562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si="23"/>
        <v>3.9234848660290407</v>
      </c>
      <c r="L78" s="533">
        <f>SUM(AC54-Y54)</f>
        <v>431.80999999999995</v>
      </c>
      <c r="M78" s="533">
        <f>SUM(AD54-Z54)</f>
        <v>1694.1999999999998</v>
      </c>
      <c r="N78" s="5"/>
      <c r="O78" s="536">
        <f>SUM(O77)</f>
        <v>829.39999999999986</v>
      </c>
      <c r="P78" s="526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398"/>
      <c r="AA78" s="279"/>
      <c r="AB78" s="279"/>
    </row>
    <row r="79" spans="1:49" ht="16.5" x14ac:dyDescent="0.25">
      <c r="A79" s="524" t="s">
        <v>54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23"/>
        <v>4.0691279803440601</v>
      </c>
      <c r="L79" s="533">
        <f>SUM(L77:L78)</f>
        <v>493.69299999999998</v>
      </c>
      <c r="M79" s="533">
        <f>SUM(M77:M78)</f>
        <v>2008.8999999999999</v>
      </c>
      <c r="N79" s="5"/>
      <c r="O79" s="524"/>
      <c r="P79" s="524"/>
      <c r="Q79" s="5"/>
      <c r="R79" s="5"/>
      <c r="S79" s="5"/>
      <c r="T79" s="5"/>
      <c r="U79" s="5"/>
      <c r="V79" s="29"/>
      <c r="W79" s="29"/>
      <c r="X79" s="29"/>
      <c r="Y79" s="29"/>
      <c r="Z79" s="527"/>
      <c r="AA79" s="279"/>
      <c r="AB79" s="279"/>
    </row>
    <row r="80" spans="1:49" ht="16.5" x14ac:dyDescent="0.25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31"/>
      <c r="AA80" s="279"/>
      <c r="AB80" s="279"/>
    </row>
  </sheetData>
  <mergeCells count="89"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</mergeCells>
  <phoneticPr fontId="9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3">
    <tabColor rgb="FFFFFF00"/>
    <pageSetUpPr fitToPage="1"/>
  </sheetPr>
  <dimension ref="A1:AM55"/>
  <sheetViews>
    <sheetView workbookViewId="0">
      <pane xSplit="1" ySplit="5" topLeftCell="AE27" activePane="bottomRight" state="frozen"/>
      <selection pane="topRight" activeCell="B1" sqref="B1"/>
      <selection pane="bottomLeft" activeCell="A7" sqref="A7"/>
      <selection pane="bottomRight" activeCell="AJ21" sqref="AJ21"/>
    </sheetView>
  </sheetViews>
  <sheetFormatPr defaultRowHeight="12.75" x14ac:dyDescent="0.2"/>
  <cols>
    <col min="1" max="1" width="32" style="2106" customWidth="1"/>
    <col min="2" max="2" width="12.7109375" style="1875" customWidth="1"/>
    <col min="3" max="19" width="8.7109375" style="5" hidden="1" customWidth="1"/>
    <col min="20" max="30" width="8.7109375" style="5" customWidth="1"/>
    <col min="31" max="31" width="12.42578125" style="5" customWidth="1"/>
    <col min="32" max="32" width="9.7109375" style="5" customWidth="1"/>
    <col min="33" max="33" width="9.85546875" style="5" customWidth="1"/>
    <col min="34" max="34" width="8.7109375" style="5" customWidth="1"/>
    <col min="35" max="35" width="12.7109375" style="5" customWidth="1"/>
    <col min="36" max="36" width="13.28515625" style="5" customWidth="1"/>
    <col min="37" max="39" width="9.7109375" style="5" customWidth="1"/>
    <col min="40" max="16384" width="9.140625" style="5"/>
  </cols>
  <sheetData>
    <row r="1" spans="1:39" ht="15.75" x14ac:dyDescent="0.25">
      <c r="A1" s="5014" t="s">
        <v>3891</v>
      </c>
      <c r="B1" s="5014"/>
      <c r="C1" s="5014"/>
      <c r="D1" s="5014"/>
      <c r="E1" s="5014"/>
      <c r="F1" s="5014"/>
      <c r="G1" s="5014"/>
      <c r="H1" s="5014"/>
      <c r="I1" s="5014"/>
      <c r="J1" s="5014"/>
      <c r="K1" s="5014"/>
      <c r="L1" s="5014"/>
      <c r="M1" s="5014"/>
      <c r="N1" s="5014"/>
      <c r="O1" s="5014"/>
      <c r="P1" s="5014"/>
      <c r="Q1" s="5014"/>
      <c r="R1" s="5014"/>
      <c r="S1" s="5014"/>
      <c r="T1" s="5014"/>
      <c r="U1" s="5014"/>
      <c r="V1" s="5014"/>
      <c r="W1" s="5014"/>
      <c r="X1" s="5014"/>
      <c r="Y1" s="5014"/>
      <c r="Z1" s="5014"/>
      <c r="AA1" s="5014"/>
      <c r="AB1" s="5014"/>
      <c r="AC1" s="5014"/>
      <c r="AD1" s="5014"/>
      <c r="AE1" s="5014"/>
      <c r="AF1" s="5014"/>
      <c r="AG1" s="5014"/>
      <c r="AH1" s="5014"/>
      <c r="AI1" s="4242"/>
      <c r="AJ1" s="4242"/>
      <c r="AK1" s="4242"/>
      <c r="AL1" s="4242"/>
      <c r="AM1" s="4242"/>
    </row>
    <row r="3" spans="1:39" ht="24" customHeight="1" x14ac:dyDescent="0.2">
      <c r="A3" s="4476" t="s">
        <v>527</v>
      </c>
      <c r="B3" s="4487" t="s">
        <v>325</v>
      </c>
      <c r="C3" s="4476" t="s">
        <v>1840</v>
      </c>
      <c r="D3" s="4476"/>
      <c r="E3" s="4476"/>
      <c r="F3" s="4476"/>
      <c r="G3" s="4476"/>
      <c r="H3" s="4476"/>
      <c r="I3" s="4476"/>
      <c r="J3" s="4476"/>
      <c r="K3" s="4476"/>
      <c r="L3" s="4476"/>
      <c r="M3" s="4739"/>
      <c r="N3" s="4487" t="s">
        <v>1800</v>
      </c>
      <c r="O3" s="4487"/>
      <c r="P3" s="4487"/>
      <c r="Q3" s="4487"/>
      <c r="R3" s="4487"/>
      <c r="S3" s="4487"/>
      <c r="T3" s="4487"/>
      <c r="U3" s="4487"/>
      <c r="V3" s="4487"/>
      <c r="W3" s="4487"/>
      <c r="X3" s="4487"/>
      <c r="Y3" s="4487"/>
      <c r="Z3" s="4487" t="s">
        <v>3520</v>
      </c>
      <c r="AA3" s="5017"/>
      <c r="AB3" s="5017"/>
      <c r="AC3" s="5017"/>
      <c r="AD3" s="5017"/>
      <c r="AE3" s="2723" t="s">
        <v>1821</v>
      </c>
      <c r="AF3" s="4476" t="s">
        <v>3648</v>
      </c>
      <c r="AG3" s="4476" t="s">
        <v>3649</v>
      </c>
      <c r="AH3" s="4476" t="s">
        <v>3656</v>
      </c>
      <c r="AI3" s="5018" t="s">
        <v>3888</v>
      </c>
      <c r="AJ3" s="4875"/>
      <c r="AK3" s="4476" t="s">
        <v>3943</v>
      </c>
      <c r="AL3" s="4476" t="s">
        <v>3944</v>
      </c>
      <c r="AM3" s="4476" t="s">
        <v>3947</v>
      </c>
    </row>
    <row r="4" spans="1:39" x14ac:dyDescent="0.2">
      <c r="A4" s="4476"/>
      <c r="B4" s="4487"/>
      <c r="C4" s="4486" t="s">
        <v>818</v>
      </c>
      <c r="D4" s="4486"/>
      <c r="E4" s="4486"/>
      <c r="F4" s="4486" t="s">
        <v>895</v>
      </c>
      <c r="G4" s="4486"/>
      <c r="H4" s="4486"/>
      <c r="I4" s="4486"/>
      <c r="J4" s="4486"/>
      <c r="K4" s="4486" t="s">
        <v>896</v>
      </c>
      <c r="L4" s="4486"/>
      <c r="M4" s="4842"/>
      <c r="N4" s="2680" t="s">
        <v>1802</v>
      </c>
      <c r="O4" s="2680" t="s">
        <v>1808</v>
      </c>
      <c r="P4" s="2680" t="s">
        <v>1809</v>
      </c>
      <c r="Q4" s="2680" t="s">
        <v>1810</v>
      </c>
      <c r="R4" s="2680" t="s">
        <v>1811</v>
      </c>
      <c r="S4" s="2680" t="s">
        <v>1812</v>
      </c>
      <c r="T4" s="2680" t="s">
        <v>1802</v>
      </c>
      <c r="U4" s="2680" t="s">
        <v>1808</v>
      </c>
      <c r="V4" s="2680" t="s">
        <v>1809</v>
      </c>
      <c r="W4" s="2680" t="s">
        <v>1810</v>
      </c>
      <c r="X4" s="2680" t="s">
        <v>1811</v>
      </c>
      <c r="Y4" s="2680" t="s">
        <v>1812</v>
      </c>
      <c r="Z4" s="2680" t="s">
        <v>1808</v>
      </c>
      <c r="AA4" s="2680" t="s">
        <v>1809</v>
      </c>
      <c r="AB4" s="2680" t="s">
        <v>1810</v>
      </c>
      <c r="AC4" s="2680" t="s">
        <v>1811</v>
      </c>
      <c r="AD4" s="2680" t="s">
        <v>1812</v>
      </c>
      <c r="AE4" s="2723" t="s">
        <v>1808</v>
      </c>
      <c r="AF4" s="4739"/>
      <c r="AG4" s="4739"/>
      <c r="AH4" s="4739"/>
      <c r="AI4" s="5015" t="s">
        <v>272</v>
      </c>
      <c r="AJ4" s="5015" t="s">
        <v>3693</v>
      </c>
      <c r="AK4" s="4739"/>
      <c r="AL4" s="4739"/>
      <c r="AM4" s="4739"/>
    </row>
    <row r="5" spans="1:39" s="1875" customFormat="1" ht="25.5" x14ac:dyDescent="0.2">
      <c r="A5" s="4476"/>
      <c r="B5" s="4487"/>
      <c r="C5" s="2679" t="s">
        <v>1588</v>
      </c>
      <c r="D5" s="2679" t="s">
        <v>1838</v>
      </c>
      <c r="E5" s="2679" t="s">
        <v>1825</v>
      </c>
      <c r="F5" s="2679" t="s">
        <v>1588</v>
      </c>
      <c r="G5" s="2679" t="s">
        <v>1839</v>
      </c>
      <c r="H5" s="2679" t="s">
        <v>1838</v>
      </c>
      <c r="I5" s="2679" t="s">
        <v>1907</v>
      </c>
      <c r="J5" s="2679" t="s">
        <v>1825</v>
      </c>
      <c r="K5" s="2679" t="s">
        <v>1588</v>
      </c>
      <c r="L5" s="2679" t="s">
        <v>1839</v>
      </c>
      <c r="M5" s="2679" t="s">
        <v>60</v>
      </c>
      <c r="N5" s="4476" t="s">
        <v>119</v>
      </c>
      <c r="O5" s="4476"/>
      <c r="P5" s="4476"/>
      <c r="Q5" s="4476"/>
      <c r="R5" s="4476"/>
      <c r="S5" s="4476"/>
      <c r="T5" s="4476" t="s">
        <v>1524</v>
      </c>
      <c r="U5" s="4476"/>
      <c r="V5" s="4476"/>
      <c r="W5" s="4476"/>
      <c r="X5" s="4476"/>
      <c r="Y5" s="4476"/>
      <c r="Z5" s="4487" t="s">
        <v>119</v>
      </c>
      <c r="AA5" s="5017"/>
      <c r="AB5" s="5017"/>
      <c r="AC5" s="5017"/>
      <c r="AD5" s="5017"/>
      <c r="AE5" s="2721" t="s">
        <v>3693</v>
      </c>
      <c r="AF5" s="4739"/>
      <c r="AG5" s="4739"/>
      <c r="AH5" s="4739"/>
      <c r="AI5" s="5016"/>
      <c r="AJ5" s="5016"/>
      <c r="AK5" s="4739"/>
      <c r="AL5" s="4739"/>
      <c r="AM5" s="4739"/>
    </row>
    <row r="6" spans="1:39" x14ac:dyDescent="0.2">
      <c r="A6" s="3312" t="s">
        <v>1827</v>
      </c>
      <c r="B6" s="3232"/>
      <c r="C6" s="2602"/>
      <c r="D6" s="2602"/>
      <c r="E6" s="2602"/>
      <c r="F6" s="2602"/>
      <c r="G6" s="2602"/>
      <c r="H6" s="2602"/>
      <c r="I6" s="2602"/>
      <c r="J6" s="2602"/>
      <c r="K6" s="2602"/>
      <c r="L6" s="2602"/>
      <c r="M6" s="2602"/>
      <c r="N6" s="2602"/>
      <c r="O6" s="2602"/>
      <c r="P6" s="2602"/>
      <c r="Q6" s="2602"/>
      <c r="R6" s="2602"/>
      <c r="S6" s="2602"/>
      <c r="T6" s="2602"/>
      <c r="U6" s="2602"/>
      <c r="V6" s="2602"/>
      <c r="W6" s="2602"/>
      <c r="X6" s="2602"/>
      <c r="Y6" s="2602"/>
      <c r="Z6" s="2602"/>
      <c r="AA6" s="2602"/>
      <c r="AB6" s="2602"/>
      <c r="AC6" s="2602"/>
      <c r="AD6" s="2602"/>
      <c r="AE6" s="2602"/>
      <c r="AF6" s="2602"/>
      <c r="AG6" s="2602"/>
      <c r="AH6" s="2602"/>
      <c r="AI6" s="2461"/>
      <c r="AJ6" s="4055"/>
      <c r="AK6" s="2461"/>
      <c r="AL6" s="2461"/>
      <c r="AM6" s="3318"/>
    </row>
    <row r="7" spans="1:39" s="1926" customFormat="1" x14ac:dyDescent="0.2">
      <c r="A7" s="3314" t="s">
        <v>132</v>
      </c>
      <c r="B7" s="2652"/>
      <c r="C7" s="2611"/>
      <c r="D7" s="2611"/>
      <c r="E7" s="2611"/>
      <c r="F7" s="2611"/>
      <c r="G7" s="2611"/>
      <c r="H7" s="2611"/>
      <c r="I7" s="2611"/>
      <c r="J7" s="2611"/>
      <c r="K7" s="2611"/>
      <c r="L7" s="2611"/>
      <c r="M7" s="2611"/>
      <c r="N7" s="2611"/>
      <c r="O7" s="2611"/>
      <c r="P7" s="2611"/>
      <c r="Q7" s="2611"/>
      <c r="R7" s="2611"/>
      <c r="S7" s="2611"/>
      <c r="T7" s="2611"/>
      <c r="U7" s="2611"/>
      <c r="V7" s="2611"/>
      <c r="W7" s="2611"/>
      <c r="X7" s="2611"/>
      <c r="Y7" s="2611"/>
      <c r="Z7" s="2611"/>
      <c r="AA7" s="2611"/>
      <c r="AB7" s="2611"/>
      <c r="AC7" s="2611"/>
      <c r="AD7" s="2611"/>
      <c r="AE7" s="2611"/>
      <c r="AF7" s="2611"/>
      <c r="AG7" s="2611"/>
      <c r="AH7" s="2611"/>
      <c r="AI7" s="3234"/>
      <c r="AJ7" s="4056"/>
      <c r="AK7" s="3955"/>
      <c r="AL7" s="3336"/>
      <c r="AM7" s="3309"/>
    </row>
    <row r="8" spans="1:39" x14ac:dyDescent="0.2">
      <c r="A8" s="3312" t="s">
        <v>1828</v>
      </c>
      <c r="B8" s="3232" t="s">
        <v>937</v>
      </c>
      <c r="C8" s="2610">
        <v>5675.74</v>
      </c>
      <c r="D8" s="2610">
        <v>6332.03</v>
      </c>
      <c r="E8" s="2610">
        <v>5629.66</v>
      </c>
      <c r="F8" s="2610">
        <v>5560.4</v>
      </c>
      <c r="G8" s="2610">
        <v>5570.69</v>
      </c>
      <c r="H8" s="2610">
        <v>6767.77</v>
      </c>
      <c r="I8" s="2610">
        <v>6767.77</v>
      </c>
      <c r="J8" s="2610">
        <v>5957.32</v>
      </c>
      <c r="K8" s="2610">
        <v>5560.4</v>
      </c>
      <c r="L8" s="2610">
        <v>5326.28</v>
      </c>
      <c r="M8" s="2610">
        <f>SUM(M10:M11)</f>
        <v>7137.71</v>
      </c>
      <c r="N8" s="2610">
        <v>6150</v>
      </c>
      <c r="O8" s="2610">
        <v>6150</v>
      </c>
      <c r="P8" s="2610">
        <v>6150</v>
      </c>
      <c r="Q8" s="2610">
        <v>6150</v>
      </c>
      <c r="R8" s="2610">
        <v>6150</v>
      </c>
      <c r="S8" s="2610"/>
      <c r="T8" s="2610">
        <f>T10+T11</f>
        <v>6255.1516796622664</v>
      </c>
      <c r="U8" s="2610">
        <f t="shared" ref="U8:AI8" si="0">U10+U11</f>
        <v>6255.1516796622664</v>
      </c>
      <c r="V8" s="2610">
        <f t="shared" si="0"/>
        <v>6255.1516796622664</v>
      </c>
      <c r="W8" s="2610">
        <f t="shared" si="0"/>
        <v>6255.1516796622664</v>
      </c>
      <c r="X8" s="2610">
        <f t="shared" si="0"/>
        <v>6255.1516796622664</v>
      </c>
      <c r="Y8" s="2610">
        <f t="shared" si="0"/>
        <v>6255.1516796622664</v>
      </c>
      <c r="Z8" s="2610">
        <f t="shared" si="0"/>
        <v>6255.1516796622664</v>
      </c>
      <c r="AA8" s="2610">
        <f t="shared" si="0"/>
        <v>6255.1516796622664</v>
      </c>
      <c r="AB8" s="2610">
        <f t="shared" si="0"/>
        <v>6255.1516796622664</v>
      </c>
      <c r="AC8" s="2610">
        <f t="shared" si="0"/>
        <v>6255.1516796622664</v>
      </c>
      <c r="AD8" s="2610">
        <f t="shared" si="0"/>
        <v>6255.1516796622664</v>
      </c>
      <c r="AE8" s="2622">
        <f t="shared" ref="AE8" si="1">AE10+AE11</f>
        <v>5935.5559999999996</v>
      </c>
      <c r="AF8" s="2610">
        <f t="shared" si="0"/>
        <v>3480.95</v>
      </c>
      <c r="AG8" s="2610">
        <f t="shared" si="0"/>
        <v>5263.65</v>
      </c>
      <c r="AH8" s="2610">
        <f t="shared" si="0"/>
        <v>6959.11</v>
      </c>
      <c r="AI8" s="3233">
        <f t="shared" si="0"/>
        <v>5935.5559999999996</v>
      </c>
      <c r="AJ8" s="4057">
        <f t="shared" ref="AJ8" si="2">AJ10+AJ11</f>
        <v>5989.6898000000001</v>
      </c>
      <c r="AK8" s="3335">
        <f t="shared" ref="AK8:AM8" si="3">AK10+AK11</f>
        <v>3251.7139999999999</v>
      </c>
      <c r="AL8" s="3335">
        <f t="shared" si="3"/>
        <v>4711.6249999999991</v>
      </c>
      <c r="AM8" s="3307">
        <f t="shared" si="3"/>
        <v>0</v>
      </c>
    </row>
    <row r="9" spans="1:39" x14ac:dyDescent="0.2">
      <c r="A9" s="3312" t="s">
        <v>50</v>
      </c>
      <c r="B9" s="3232"/>
      <c r="C9" s="2610"/>
      <c r="D9" s="2610"/>
      <c r="E9" s="2610"/>
      <c r="F9" s="2610"/>
      <c r="G9" s="2610"/>
      <c r="H9" s="2610"/>
      <c r="I9" s="2610"/>
      <c r="J9" s="2610"/>
      <c r="K9" s="2610"/>
      <c r="L9" s="2610"/>
      <c r="M9" s="2610"/>
      <c r="N9" s="2610"/>
      <c r="O9" s="2610"/>
      <c r="P9" s="2610"/>
      <c r="Q9" s="2610"/>
      <c r="R9" s="2610"/>
      <c r="S9" s="2610"/>
      <c r="T9" s="2610"/>
      <c r="U9" s="2610"/>
      <c r="V9" s="2610"/>
      <c r="W9" s="2610"/>
      <c r="X9" s="2610"/>
      <c r="Y9" s="2610"/>
      <c r="Z9" s="2610"/>
      <c r="AA9" s="2610"/>
      <c r="AB9" s="2610"/>
      <c r="AC9" s="2610"/>
      <c r="AD9" s="2610"/>
      <c r="AE9" s="2622"/>
      <c r="AF9" s="2610"/>
      <c r="AG9" s="2610"/>
      <c r="AH9" s="2610"/>
      <c r="AI9" s="3233"/>
      <c r="AJ9" s="4057"/>
      <c r="AK9" s="3335"/>
      <c r="AL9" s="3335"/>
      <c r="AM9" s="3307"/>
    </row>
    <row r="10" spans="1:39" s="1873" customFormat="1" x14ac:dyDescent="0.2">
      <c r="A10" s="3316" t="s">
        <v>1829</v>
      </c>
      <c r="B10" s="3232" t="s">
        <v>937</v>
      </c>
      <c r="C10" s="2610"/>
      <c r="D10" s="2610"/>
      <c r="E10" s="2610"/>
      <c r="F10" s="2610"/>
      <c r="G10" s="2610"/>
      <c r="H10" s="2610"/>
      <c r="I10" s="2610"/>
      <c r="J10" s="2610">
        <f>объемы!AP39</f>
        <v>5955.747459526774</v>
      </c>
      <c r="K10" s="2610"/>
      <c r="L10" s="2610"/>
      <c r="M10" s="2610">
        <v>7136.38</v>
      </c>
      <c r="N10" s="2610"/>
      <c r="O10" s="2610"/>
      <c r="P10" s="2610"/>
      <c r="Q10" s="2610"/>
      <c r="R10" s="2610"/>
      <c r="S10" s="2610"/>
      <c r="T10" s="2610">
        <f>объемы!AZ39</f>
        <v>6253.3816796622659</v>
      </c>
      <c r="U10" s="2610">
        <f>T10</f>
        <v>6253.3816796622659</v>
      </c>
      <c r="V10" s="2610">
        <f t="shared" ref="V10:Y10" si="4">U10</f>
        <v>6253.3816796622659</v>
      </c>
      <c r="W10" s="2610">
        <f t="shared" si="4"/>
        <v>6253.3816796622659</v>
      </c>
      <c r="X10" s="2610">
        <f t="shared" si="4"/>
        <v>6253.3816796622659</v>
      </c>
      <c r="Y10" s="2610">
        <f t="shared" si="4"/>
        <v>6253.3816796622659</v>
      </c>
      <c r="Z10" s="2610">
        <f>SUM(объемы!BB39)</f>
        <v>6253.3816796622659</v>
      </c>
      <c r="AA10" s="2610">
        <f>SUM(Z10)</f>
        <v>6253.3816796622659</v>
      </c>
      <c r="AB10" s="2610">
        <f>SUM(Z10)</f>
        <v>6253.3816796622659</v>
      </c>
      <c r="AC10" s="2610">
        <f>SUM(Z10)</f>
        <v>6253.3816796622659</v>
      </c>
      <c r="AD10" s="2610">
        <f>SUM(Z10)</f>
        <v>6253.3816796622659</v>
      </c>
      <c r="AE10" s="2622">
        <f>SUM(объемы!BD39)</f>
        <v>5933.7859999999991</v>
      </c>
      <c r="AF10" s="2610">
        <v>3480.39</v>
      </c>
      <c r="AG10" s="2610">
        <v>5262.82</v>
      </c>
      <c r="AH10" s="2610">
        <v>6957.98</v>
      </c>
      <c r="AI10" s="3233">
        <f>SUM(объемы!BL39)</f>
        <v>5933.7859999999991</v>
      </c>
      <c r="AJ10" s="4057">
        <f>SUM(объемы!BN39)</f>
        <v>5987.92</v>
      </c>
      <c r="AK10" s="3335">
        <f>SUM(объемы!BQ40)</f>
        <v>3251.1729999999998</v>
      </c>
      <c r="AL10" s="3335">
        <f>SUM(объемы!BS40)</f>
        <v>4710.8989999999994</v>
      </c>
      <c r="AM10" s="3307">
        <f>SUM(объемы!BU40)</f>
        <v>0</v>
      </c>
    </row>
    <row r="11" spans="1:39" s="1873" customFormat="1" x14ac:dyDescent="0.2">
      <c r="A11" s="3316" t="s">
        <v>1830</v>
      </c>
      <c r="B11" s="3232" t="s">
        <v>937</v>
      </c>
      <c r="C11" s="2610"/>
      <c r="D11" s="2610"/>
      <c r="E11" s="2610"/>
      <c r="F11" s="2610"/>
      <c r="G11" s="2610"/>
      <c r="H11" s="2610"/>
      <c r="I11" s="2610"/>
      <c r="J11" s="2610">
        <f>объемы!AQ41</f>
        <v>1.77</v>
      </c>
      <c r="K11" s="2610"/>
      <c r="L11" s="2610"/>
      <c r="M11" s="2610">
        <v>1.33</v>
      </c>
      <c r="N11" s="2610"/>
      <c r="O11" s="2610"/>
      <c r="P11" s="2610"/>
      <c r="Q11" s="2610"/>
      <c r="R11" s="2610"/>
      <c r="S11" s="2610"/>
      <c r="T11" s="2610">
        <f>объемы!BA39</f>
        <v>1.77</v>
      </c>
      <c r="U11" s="2610">
        <f>T11</f>
        <v>1.77</v>
      </c>
      <c r="V11" s="2610">
        <f t="shared" ref="V11:Y12" si="5">U11</f>
        <v>1.77</v>
      </c>
      <c r="W11" s="2610">
        <f t="shared" si="5"/>
        <v>1.77</v>
      </c>
      <c r="X11" s="2610">
        <f t="shared" si="5"/>
        <v>1.77</v>
      </c>
      <c r="Y11" s="2610">
        <f t="shared" si="5"/>
        <v>1.77</v>
      </c>
      <c r="Z11" s="2610">
        <f>SUM(объемы!BC39)</f>
        <v>1.77</v>
      </c>
      <c r="AA11" s="2610">
        <f>SUM(Z11)</f>
        <v>1.77</v>
      </c>
      <c r="AB11" s="2610">
        <f>SUM(Z11)</f>
        <v>1.77</v>
      </c>
      <c r="AC11" s="2610">
        <f>SUM(Z11)</f>
        <v>1.77</v>
      </c>
      <c r="AD11" s="2610">
        <f>SUM(Z11)</f>
        <v>1.77</v>
      </c>
      <c r="AE11" s="2622">
        <f>SUM(объемы!BE39)</f>
        <v>1.77</v>
      </c>
      <c r="AF11" s="2610">
        <v>0.56000000000000005</v>
      </c>
      <c r="AG11" s="2610">
        <v>0.83</v>
      </c>
      <c r="AH11" s="2610">
        <v>1.1299999999999999</v>
      </c>
      <c r="AI11" s="3233">
        <f>SUM(объемы!BM39)</f>
        <v>1.77</v>
      </c>
      <c r="AJ11" s="4057">
        <f>SUM(объемы!BO39)</f>
        <v>1.7698</v>
      </c>
      <c r="AK11" s="3335">
        <f>SUM(объемы!BR41)</f>
        <v>0.54100000000000004</v>
      </c>
      <c r="AL11" s="3335">
        <f>SUM(объемы!BT41)</f>
        <v>0.72599999999999998</v>
      </c>
      <c r="AM11" s="3307">
        <f>SUM(объемы!BV41)</f>
        <v>0</v>
      </c>
    </row>
    <row r="12" spans="1:39" ht="51" x14ac:dyDescent="0.2">
      <c r="A12" s="3312" t="s">
        <v>1831</v>
      </c>
      <c r="B12" s="3232" t="s">
        <v>1835</v>
      </c>
      <c r="C12" s="2622">
        <v>0.124</v>
      </c>
      <c r="D12" s="2622">
        <v>0.125</v>
      </c>
      <c r="E12" s="2622">
        <v>0.124</v>
      </c>
      <c r="F12" s="2622">
        <v>0.124</v>
      </c>
      <c r="G12" s="2622">
        <v>0.124</v>
      </c>
      <c r="H12" s="2622">
        <f>H13/H8</f>
        <v>0.13026447411776701</v>
      </c>
      <c r="I12" s="2622">
        <v>130</v>
      </c>
      <c r="J12" s="2622">
        <v>0.124</v>
      </c>
      <c r="K12" s="2622">
        <v>0.124</v>
      </c>
      <c r="L12" s="2622">
        <v>0.124</v>
      </c>
      <c r="M12" s="2622">
        <f>M13/M8</f>
        <v>0.12388945474108642</v>
      </c>
      <c r="N12" s="2622">
        <f>N13/N8</f>
        <v>0.125</v>
      </c>
      <c r="O12" s="2622">
        <f t="shared" ref="O12:R12" si="6">O13/O8</f>
        <v>0.125</v>
      </c>
      <c r="P12" s="2622">
        <f t="shared" si="6"/>
        <v>0.125</v>
      </c>
      <c r="Q12" s="2622">
        <f t="shared" si="6"/>
        <v>0.125</v>
      </c>
      <c r="R12" s="2622">
        <f t="shared" si="6"/>
        <v>0.125</v>
      </c>
      <c r="S12" s="2622"/>
      <c r="T12" s="2622">
        <v>0.13</v>
      </c>
      <c r="U12" s="2622">
        <f>T12</f>
        <v>0.13</v>
      </c>
      <c r="V12" s="2622">
        <f t="shared" si="5"/>
        <v>0.13</v>
      </c>
      <c r="W12" s="2622">
        <f t="shared" si="5"/>
        <v>0.13</v>
      </c>
      <c r="X12" s="2622">
        <f t="shared" si="5"/>
        <v>0.13</v>
      </c>
      <c r="Y12" s="2622">
        <f t="shared" si="5"/>
        <v>0.13</v>
      </c>
      <c r="Z12" s="2622">
        <f t="shared" ref="Z12" si="7">Y12</f>
        <v>0.13</v>
      </c>
      <c r="AA12" s="2622">
        <f t="shared" ref="AA12" si="8">Z12</f>
        <v>0.13</v>
      </c>
      <c r="AB12" s="2622">
        <f t="shared" ref="AB12" si="9">AA12</f>
        <v>0.13</v>
      </c>
      <c r="AC12" s="2622">
        <f t="shared" ref="AC12" si="10">AB12</f>
        <v>0.13</v>
      </c>
      <c r="AD12" s="2622">
        <f t="shared" ref="AD12:AE12" si="11">AC12</f>
        <v>0.13</v>
      </c>
      <c r="AE12" s="2622">
        <f t="shared" si="11"/>
        <v>0.13</v>
      </c>
      <c r="AF12" s="2622">
        <f>AF13/AF8</f>
        <v>0.11493845071029461</v>
      </c>
      <c r="AG12" s="2622">
        <f t="shared" ref="AG12:AH12" si="12">AG13/AG8</f>
        <v>0.126382453240622</v>
      </c>
      <c r="AH12" s="2622">
        <f t="shared" si="12"/>
        <v>0.13579178946733131</v>
      </c>
      <c r="AI12" s="2425">
        <f>SUM(AE12)</f>
        <v>0.13</v>
      </c>
      <c r="AJ12" s="4058">
        <f>SUM(AE12)</f>
        <v>0.13</v>
      </c>
      <c r="AK12" s="2425">
        <f>AK13/AK8</f>
        <v>0.16411375662189231</v>
      </c>
      <c r="AL12" s="2425">
        <f t="shared" ref="AL12:AM12" si="13">AL13/AL8</f>
        <v>0.14786660653171679</v>
      </c>
      <c r="AM12" s="3308" t="e">
        <f t="shared" si="13"/>
        <v>#DIV/0!</v>
      </c>
    </row>
    <row r="13" spans="1:39" ht="25.5" x14ac:dyDescent="0.2">
      <c r="A13" s="3312" t="s">
        <v>1832</v>
      </c>
      <c r="B13" s="3232" t="s">
        <v>1836</v>
      </c>
      <c r="C13" s="2610">
        <v>703.8</v>
      </c>
      <c r="D13" s="2610">
        <v>789.2</v>
      </c>
      <c r="E13" s="2610">
        <v>698.1</v>
      </c>
      <c r="F13" s="2610">
        <v>689.5</v>
      </c>
      <c r="G13" s="2610">
        <v>690.8</v>
      </c>
      <c r="H13" s="2610">
        <v>881.6</v>
      </c>
      <c r="I13" s="2610">
        <v>881.62</v>
      </c>
      <c r="J13" s="2610">
        <f>J8*J12</f>
        <v>738.70767999999998</v>
      </c>
      <c r="K13" s="2610">
        <v>689.49</v>
      </c>
      <c r="L13" s="2610">
        <v>660.5</v>
      </c>
      <c r="M13" s="2622">
        <v>884.28700000000003</v>
      </c>
      <c r="N13" s="2610">
        <v>768.75</v>
      </c>
      <c r="O13" s="2610">
        <v>768.75</v>
      </c>
      <c r="P13" s="2610">
        <v>768.75</v>
      </c>
      <c r="Q13" s="2610">
        <v>768.75</v>
      </c>
      <c r="R13" s="2610">
        <v>768.75</v>
      </c>
      <c r="S13" s="2610"/>
      <c r="T13" s="2610">
        <f>T8*T12</f>
        <v>813.16971835609468</v>
      </c>
      <c r="U13" s="2610">
        <f t="shared" ref="U13:AD13" si="14">U8*U12</f>
        <v>813.16971835609468</v>
      </c>
      <c r="V13" s="2610">
        <f t="shared" si="14"/>
        <v>813.16971835609468</v>
      </c>
      <c r="W13" s="2610">
        <f t="shared" si="14"/>
        <v>813.16971835609468</v>
      </c>
      <c r="X13" s="2610">
        <f t="shared" si="14"/>
        <v>813.16971835609468</v>
      </c>
      <c r="Y13" s="2610">
        <f t="shared" si="14"/>
        <v>813.16971835609468</v>
      </c>
      <c r="Z13" s="2610">
        <f t="shared" si="14"/>
        <v>813.16971835609468</v>
      </c>
      <c r="AA13" s="2610">
        <f t="shared" si="14"/>
        <v>813.16971835609468</v>
      </c>
      <c r="AB13" s="2610">
        <f t="shared" si="14"/>
        <v>813.16971835609468</v>
      </c>
      <c r="AC13" s="2610">
        <f t="shared" si="14"/>
        <v>813.16971835609468</v>
      </c>
      <c r="AD13" s="2610">
        <f t="shared" si="14"/>
        <v>813.16971835609468</v>
      </c>
      <c r="AE13" s="2622">
        <f t="shared" ref="AE13" si="15">AE8*AE12</f>
        <v>771.62227999999993</v>
      </c>
      <c r="AF13" s="2610">
        <f>SUM(AF15:AF16)</f>
        <v>400.09500000000003</v>
      </c>
      <c r="AG13" s="2610">
        <f t="shared" ref="AG13" si="16">SUM(AG15:AG16)</f>
        <v>665.23299999999995</v>
      </c>
      <c r="AH13" s="2610">
        <v>944.99</v>
      </c>
      <c r="AI13" s="2425">
        <f t="shared" ref="AI13:AJ13" si="17">AI8*AI12</f>
        <v>771.62227999999993</v>
      </c>
      <c r="AJ13" s="4058">
        <f t="shared" si="17"/>
        <v>778.659674</v>
      </c>
      <c r="AK13" s="3335">
        <f>SUM(AK15:AK16)</f>
        <v>533.65099999999995</v>
      </c>
      <c r="AL13" s="3335">
        <f t="shared" ref="AL13" si="18">SUM(AL15:AL16)</f>
        <v>696.69200000000001</v>
      </c>
      <c r="AM13" s="3307">
        <v>944.99</v>
      </c>
    </row>
    <row r="14" spans="1:39" x14ac:dyDescent="0.2">
      <c r="A14" s="3312" t="s">
        <v>50</v>
      </c>
      <c r="B14" s="3232"/>
      <c r="C14" s="2610"/>
      <c r="D14" s="2610"/>
      <c r="E14" s="2610"/>
      <c r="F14" s="2610"/>
      <c r="G14" s="2610"/>
      <c r="H14" s="2610"/>
      <c r="I14" s="2610"/>
      <c r="J14" s="2610"/>
      <c r="K14" s="2610"/>
      <c r="L14" s="2610"/>
      <c r="M14" s="2610"/>
      <c r="N14" s="2610"/>
      <c r="O14" s="2610"/>
      <c r="P14" s="2610"/>
      <c r="Q14" s="2610"/>
      <c r="R14" s="2610"/>
      <c r="S14" s="2610"/>
      <c r="T14" s="2610"/>
      <c r="U14" s="2610"/>
      <c r="V14" s="2610"/>
      <c r="W14" s="2610"/>
      <c r="X14" s="2610"/>
      <c r="Y14" s="2610"/>
      <c r="Z14" s="2610"/>
      <c r="AA14" s="2610"/>
      <c r="AB14" s="2610"/>
      <c r="AC14" s="2610"/>
      <c r="AD14" s="2610"/>
      <c r="AE14" s="2622"/>
      <c r="AF14" s="2610"/>
      <c r="AG14" s="2610"/>
      <c r="AH14" s="2610"/>
      <c r="AI14" s="3233"/>
      <c r="AJ14" s="4057"/>
      <c r="AK14" s="3335"/>
      <c r="AL14" s="3335"/>
      <c r="AM14" s="3307"/>
    </row>
    <row r="15" spans="1:39" x14ac:dyDescent="0.2">
      <c r="A15" s="3316" t="s">
        <v>1829</v>
      </c>
      <c r="B15" s="3232" t="s">
        <v>1836</v>
      </c>
      <c r="C15" s="2610"/>
      <c r="D15" s="2610"/>
      <c r="E15" s="2610"/>
      <c r="F15" s="2610"/>
      <c r="G15" s="2610"/>
      <c r="H15" s="2610"/>
      <c r="I15" s="2610"/>
      <c r="J15" s="2610">
        <f>J12*J10</f>
        <v>738.51268498131992</v>
      </c>
      <c r="K15" s="2610"/>
      <c r="L15" s="2610"/>
      <c r="M15" s="2622">
        <v>884.12199999999996</v>
      </c>
      <c r="N15" s="2610"/>
      <c r="O15" s="2610"/>
      <c r="P15" s="2610"/>
      <c r="Q15" s="2610"/>
      <c r="R15" s="2610"/>
      <c r="S15" s="2610"/>
      <c r="T15" s="2610">
        <f>T10*T12</f>
        <v>812.93961835609457</v>
      </c>
      <c r="U15" s="2610">
        <f t="shared" ref="U15:Y15" si="19">U10*U12</f>
        <v>812.93961835609457</v>
      </c>
      <c r="V15" s="2610">
        <f t="shared" si="19"/>
        <v>812.93961835609457</v>
      </c>
      <c r="W15" s="2610">
        <f t="shared" si="19"/>
        <v>812.93961835609457</v>
      </c>
      <c r="X15" s="2610">
        <f t="shared" si="19"/>
        <v>812.93961835609457</v>
      </c>
      <c r="Y15" s="2610">
        <f t="shared" si="19"/>
        <v>812.93961835609457</v>
      </c>
      <c r="Z15" s="2610">
        <f t="shared" ref="Z15:AD15" si="20">Z10*Z12</f>
        <v>812.93961835609457</v>
      </c>
      <c r="AA15" s="2610">
        <f t="shared" si="20"/>
        <v>812.93961835609457</v>
      </c>
      <c r="AB15" s="2610">
        <f t="shared" si="20"/>
        <v>812.93961835609457</v>
      </c>
      <c r="AC15" s="2610">
        <f t="shared" si="20"/>
        <v>812.93961835609457</v>
      </c>
      <c r="AD15" s="2610">
        <f t="shared" si="20"/>
        <v>812.93961835609457</v>
      </c>
      <c r="AE15" s="2622">
        <f t="shared" ref="AE15" si="21">AE10*AE12</f>
        <v>771.39217999999994</v>
      </c>
      <c r="AF15" s="2610">
        <v>400.02600000000001</v>
      </c>
      <c r="AG15" s="2610">
        <v>665.13</v>
      </c>
      <c r="AH15" s="2610">
        <v>944.85</v>
      </c>
      <c r="AI15" s="3233">
        <f t="shared" ref="AI15:AJ15" si="22">AI10*AI12</f>
        <v>771.39217999999994</v>
      </c>
      <c r="AJ15" s="4057">
        <f t="shared" si="22"/>
        <v>778.42960000000005</v>
      </c>
      <c r="AK15" s="3335">
        <f>533.584</f>
        <v>533.58399999999995</v>
      </c>
      <c r="AL15" s="3335">
        <f>696.602</f>
        <v>696.60199999999998</v>
      </c>
      <c r="AM15" s="3307"/>
    </row>
    <row r="16" spans="1:39" x14ac:dyDescent="0.2">
      <c r="A16" s="3316" t="s">
        <v>1830</v>
      </c>
      <c r="B16" s="3232" t="s">
        <v>1836</v>
      </c>
      <c r="C16" s="2610"/>
      <c r="D16" s="2610"/>
      <c r="E16" s="2610"/>
      <c r="F16" s="2610"/>
      <c r="G16" s="2610"/>
      <c r="H16" s="2610"/>
      <c r="I16" s="2610"/>
      <c r="J16" s="2610">
        <f>J12*J11</f>
        <v>0.21948000000000001</v>
      </c>
      <c r="K16" s="2610"/>
      <c r="L16" s="2610"/>
      <c r="M16" s="2622">
        <v>0.16500000000000001</v>
      </c>
      <c r="N16" s="2610"/>
      <c r="O16" s="2610"/>
      <c r="P16" s="2610"/>
      <c r="Q16" s="2610"/>
      <c r="R16" s="2610"/>
      <c r="S16" s="2610"/>
      <c r="T16" s="2610">
        <f>T11*T12</f>
        <v>0.2301</v>
      </c>
      <c r="U16" s="2610">
        <f t="shared" ref="U16:Y16" si="23">U11*U12</f>
        <v>0.2301</v>
      </c>
      <c r="V16" s="2610">
        <f t="shared" si="23"/>
        <v>0.2301</v>
      </c>
      <c r="W16" s="2610">
        <f t="shared" si="23"/>
        <v>0.2301</v>
      </c>
      <c r="X16" s="2610">
        <f t="shared" si="23"/>
        <v>0.2301</v>
      </c>
      <c r="Y16" s="2610">
        <f t="shared" si="23"/>
        <v>0.2301</v>
      </c>
      <c r="Z16" s="2610">
        <f t="shared" ref="Z16:AD16" si="24">Z11*Z12</f>
        <v>0.2301</v>
      </c>
      <c r="AA16" s="2610">
        <f t="shared" si="24"/>
        <v>0.2301</v>
      </c>
      <c r="AB16" s="2610">
        <f t="shared" si="24"/>
        <v>0.2301</v>
      </c>
      <c r="AC16" s="2610">
        <f t="shared" si="24"/>
        <v>0.2301</v>
      </c>
      <c r="AD16" s="2610">
        <f t="shared" si="24"/>
        <v>0.2301</v>
      </c>
      <c r="AE16" s="2622">
        <f t="shared" ref="AE16" si="25">AE11*AE12</f>
        <v>0.2301</v>
      </c>
      <c r="AF16" s="2610">
        <v>6.9000000000000006E-2</v>
      </c>
      <c r="AG16" s="2610">
        <v>0.10299999999999999</v>
      </c>
      <c r="AH16" s="2610">
        <v>0.14000000000000001</v>
      </c>
      <c r="AI16" s="2425">
        <f t="shared" ref="AI16:AJ16" si="26">AI11*AI12</f>
        <v>0.2301</v>
      </c>
      <c r="AJ16" s="4058">
        <f t="shared" si="26"/>
        <v>0.230074</v>
      </c>
      <c r="AK16" s="2425">
        <v>6.7000000000000004E-2</v>
      </c>
      <c r="AL16" s="3335">
        <v>0.09</v>
      </c>
      <c r="AM16" s="3307"/>
    </row>
    <row r="17" spans="1:39" s="371" customFormat="1" x14ac:dyDescent="0.2">
      <c r="A17" s="3313" t="s">
        <v>1833</v>
      </c>
      <c r="B17" s="3232" t="s">
        <v>1837</v>
      </c>
      <c r="C17" s="2610">
        <v>5.4909999999999997</v>
      </c>
      <c r="D17" s="2610">
        <v>2.4500000000000002</v>
      </c>
      <c r="E17" s="2610">
        <v>2.4500000000000002</v>
      </c>
      <c r="F17" s="2610">
        <v>5.8540000000000001</v>
      </c>
      <c r="G17" s="2610">
        <v>5.64</v>
      </c>
      <c r="H17" s="2610">
        <v>4.6825000000000001</v>
      </c>
      <c r="I17" s="2610">
        <f>I18/I13</f>
        <v>4.7111680769492521</v>
      </c>
      <c r="J17" s="2610">
        <f>I17</f>
        <v>4.7111680769492521</v>
      </c>
      <c r="K17" s="2610">
        <v>6.2460000000000004</v>
      </c>
      <c r="L17" s="2610">
        <v>6.04</v>
      </c>
      <c r="M17" s="2610">
        <f>M18/M13</f>
        <v>3.5149108830051783</v>
      </c>
      <c r="N17" s="2610">
        <v>5.3609999999999998</v>
      </c>
      <c r="O17" s="2610">
        <v>5.7359999999999998</v>
      </c>
      <c r="P17" s="2610">
        <v>6.1379999999999999</v>
      </c>
      <c r="Q17" s="2610">
        <v>6.5670000000000002</v>
      </c>
      <c r="R17" s="2610">
        <v>7.0270000000000001</v>
      </c>
      <c r="S17" s="2610"/>
      <c r="T17" s="2610">
        <f>5*1.059</f>
        <v>5.2949999999999999</v>
      </c>
      <c r="U17" s="2610">
        <f>T17*1.042</f>
        <v>5.5173899999999998</v>
      </c>
      <c r="V17" s="2610">
        <f>U17*1.04</f>
        <v>5.7380855999999998</v>
      </c>
      <c r="W17" s="2610">
        <f>V17*1.04</f>
        <v>5.9676090239999997</v>
      </c>
      <c r="X17" s="2610">
        <f>W17*1.039</f>
        <v>6.2003457759359994</v>
      </c>
      <c r="Y17" s="2610">
        <f>X17*1.039</f>
        <v>6.4421592611975029</v>
      </c>
      <c r="Z17" s="2610">
        <f>SUM(U17)</f>
        <v>5.5173899999999998</v>
      </c>
      <c r="AA17" s="2610">
        <f t="shared" ref="AA17:AD17" si="27">SUM(V17)</f>
        <v>5.7380855999999998</v>
      </c>
      <c r="AB17" s="2610">
        <f t="shared" si="27"/>
        <v>5.9676090239999997</v>
      </c>
      <c r="AC17" s="2610">
        <f t="shared" si="27"/>
        <v>6.2003457759359994</v>
      </c>
      <c r="AD17" s="2610">
        <f t="shared" si="27"/>
        <v>6.4421592611975029</v>
      </c>
      <c r="AE17" s="2622">
        <f>SUM(3.51*1.054*1.048)</f>
        <v>3.8771179199999999</v>
      </c>
      <c r="AF17" s="2610">
        <f t="shared" ref="AF17:AG17" si="28">AF18/AF13</f>
        <v>5.8307901873305079</v>
      </c>
      <c r="AG17" s="2610">
        <f t="shared" si="28"/>
        <v>5.9017186459481117</v>
      </c>
      <c r="AH17" s="2607">
        <v>5.9759596500000001</v>
      </c>
      <c r="AI17" s="3233">
        <f>SUM(AE17*1.046)</f>
        <v>4.0554653443199999</v>
      </c>
      <c r="AJ17" s="4059">
        <f>SUM(AH17*1.032*1.04)</f>
        <v>6.4138779731520001</v>
      </c>
      <c r="AK17" s="3335">
        <f t="shared" ref="AK17:AL17" si="29">AK18/AK13</f>
        <v>5.8503661381689529</v>
      </c>
      <c r="AL17" s="3335">
        <f t="shared" si="29"/>
        <v>5.9429001624821298</v>
      </c>
      <c r="AM17" s="3307">
        <v>5.976</v>
      </c>
    </row>
    <row r="18" spans="1:39" s="1926" customFormat="1" ht="25.5" x14ac:dyDescent="0.2">
      <c r="A18" s="3314" t="s">
        <v>1834</v>
      </c>
      <c r="B18" s="2652" t="s">
        <v>902</v>
      </c>
      <c r="C18" s="2611">
        <v>3864.63</v>
      </c>
      <c r="D18" s="2611">
        <v>1929.89</v>
      </c>
      <c r="E18" s="2611">
        <v>1706.8</v>
      </c>
      <c r="F18" s="2611">
        <v>4035.98</v>
      </c>
      <c r="G18" s="2611">
        <v>3899.14</v>
      </c>
      <c r="H18" s="2611">
        <v>4128.2</v>
      </c>
      <c r="I18" s="2611">
        <v>4153.46</v>
      </c>
      <c r="J18" s="2611">
        <f>J13*J17</f>
        <v>3480.1760402132436</v>
      </c>
      <c r="K18" s="2611">
        <v>4306.3879999999999</v>
      </c>
      <c r="L18" s="2611">
        <v>3989.03</v>
      </c>
      <c r="M18" s="2611">
        <v>3108.19</v>
      </c>
      <c r="N18" s="2611">
        <v>4121.26</v>
      </c>
      <c r="O18" s="2611">
        <v>4409.75</v>
      </c>
      <c r="P18" s="2611">
        <v>4718.4399999999996</v>
      </c>
      <c r="Q18" s="2611">
        <v>5048.7299999999996</v>
      </c>
      <c r="R18" s="2611">
        <v>5402.14</v>
      </c>
      <c r="S18" s="2611"/>
      <c r="T18" s="2611">
        <f>T13*T17</f>
        <v>4305.7336586955216</v>
      </c>
      <c r="U18" s="2611">
        <f t="shared" ref="U18:AD18" si="30">U13*U17</f>
        <v>4486.5744723607331</v>
      </c>
      <c r="V18" s="2611">
        <f t="shared" si="30"/>
        <v>4666.0374512551625</v>
      </c>
      <c r="W18" s="2611">
        <f t="shared" si="30"/>
        <v>4852.6789493053684</v>
      </c>
      <c r="X18" s="2611">
        <f t="shared" si="30"/>
        <v>5041.9334283282778</v>
      </c>
      <c r="Y18" s="2611">
        <f t="shared" si="30"/>
        <v>5238.5688320330801</v>
      </c>
      <c r="Z18" s="2611">
        <f t="shared" si="30"/>
        <v>4486.5744723607331</v>
      </c>
      <c r="AA18" s="2611">
        <f t="shared" si="30"/>
        <v>4666.0374512551625</v>
      </c>
      <c r="AB18" s="2611">
        <f t="shared" si="30"/>
        <v>4852.6789493053684</v>
      </c>
      <c r="AC18" s="2611">
        <f t="shared" si="30"/>
        <v>5041.9334283282778</v>
      </c>
      <c r="AD18" s="2611">
        <f t="shared" si="30"/>
        <v>5238.5688320330801</v>
      </c>
      <c r="AE18" s="2611">
        <f t="shared" ref="AE18" si="31">AE13*AE17</f>
        <v>2991.6705692592573</v>
      </c>
      <c r="AF18" s="2611">
        <f>SUM(AF20:AF21)</f>
        <v>2332.87</v>
      </c>
      <c r="AG18" s="2611">
        <f t="shared" ref="AG18:AH18" si="32">SUM(AG20:AG21)</f>
        <v>3926.018</v>
      </c>
      <c r="AH18" s="2611">
        <f t="shared" si="32"/>
        <v>5647.22</v>
      </c>
      <c r="AI18" s="3234">
        <f t="shared" ref="AI18" si="33">SUM(AI20:AI21)</f>
        <v>3129.2874154451833</v>
      </c>
      <c r="AJ18" s="4056">
        <f t="shared" ref="AJ18" si="34">SUM(AJ20:AJ21)</f>
        <v>4994.2281316503177</v>
      </c>
      <c r="AK18" s="3336">
        <f>SUM(AK20:AK21)</f>
        <v>3122.0537399999998</v>
      </c>
      <c r="AL18" s="3336">
        <f t="shared" ref="AL18:AM18" si="35">SUM(AL20:AL21)</f>
        <v>4140.3710000000001</v>
      </c>
      <c r="AM18" s="3309">
        <f t="shared" si="35"/>
        <v>5647.22</v>
      </c>
    </row>
    <row r="19" spans="1:39" x14ac:dyDescent="0.2">
      <c r="A19" s="3312" t="s">
        <v>50</v>
      </c>
      <c r="B19" s="3232"/>
      <c r="C19" s="2610"/>
      <c r="D19" s="2610"/>
      <c r="E19" s="2610"/>
      <c r="F19" s="2610"/>
      <c r="G19" s="2610"/>
      <c r="H19" s="2610"/>
      <c r="I19" s="2610"/>
      <c r="J19" s="2610"/>
      <c r="K19" s="2610"/>
      <c r="L19" s="2610"/>
      <c r="M19" s="2610"/>
      <c r="N19" s="2610"/>
      <c r="O19" s="2610"/>
      <c r="P19" s="2610"/>
      <c r="Q19" s="2610"/>
      <c r="R19" s="2610"/>
      <c r="S19" s="2610"/>
      <c r="T19" s="2610"/>
      <c r="U19" s="2610"/>
      <c r="V19" s="2610"/>
      <c r="W19" s="2610"/>
      <c r="X19" s="2610"/>
      <c r="Y19" s="2610"/>
      <c r="Z19" s="2610"/>
      <c r="AA19" s="2610"/>
      <c r="AB19" s="2610"/>
      <c r="AC19" s="2610"/>
      <c r="AD19" s="2610"/>
      <c r="AE19" s="2610"/>
      <c r="AF19" s="2610"/>
      <c r="AG19" s="2610"/>
      <c r="AH19" s="2610"/>
      <c r="AI19" s="3233"/>
      <c r="AJ19" s="4057"/>
      <c r="AK19" s="3335"/>
      <c r="AL19" s="3335"/>
      <c r="AM19" s="3307"/>
    </row>
    <row r="20" spans="1:39" x14ac:dyDescent="0.2">
      <c r="A20" s="3316" t="s">
        <v>1829</v>
      </c>
      <c r="B20" s="3232" t="s">
        <v>902</v>
      </c>
      <c r="C20" s="2610"/>
      <c r="D20" s="2610"/>
      <c r="E20" s="2610"/>
      <c r="F20" s="2610"/>
      <c r="G20" s="2610"/>
      <c r="H20" s="2610"/>
      <c r="I20" s="2610"/>
      <c r="J20" s="2610">
        <f>J17*J15</f>
        <v>3479.257385906074</v>
      </c>
      <c r="K20" s="2610"/>
      <c r="L20" s="2610"/>
      <c r="M20" s="2610">
        <f>SUM(M18-M21)</f>
        <v>3107.06</v>
      </c>
      <c r="N20" s="2610"/>
      <c r="O20" s="2610"/>
      <c r="P20" s="2610"/>
      <c r="Q20" s="2610"/>
      <c r="R20" s="2610"/>
      <c r="S20" s="2610"/>
      <c r="T20" s="2610">
        <f>T15*T17</f>
        <v>4304.5152791955206</v>
      </c>
      <c r="U20" s="2610">
        <f t="shared" ref="U20:AD20" si="36">U15*U17</f>
        <v>4485.3049209217324</v>
      </c>
      <c r="V20" s="2610">
        <f t="shared" si="36"/>
        <v>4664.7171177586015</v>
      </c>
      <c r="W20" s="2610">
        <f t="shared" si="36"/>
        <v>4851.3058024689453</v>
      </c>
      <c r="X20" s="2610">
        <f t="shared" si="36"/>
        <v>5040.5067287652346</v>
      </c>
      <c r="Y20" s="2610">
        <f t="shared" si="36"/>
        <v>5237.0864911870785</v>
      </c>
      <c r="Z20" s="2610">
        <f t="shared" si="36"/>
        <v>4485.3049209217324</v>
      </c>
      <c r="AA20" s="2610">
        <f t="shared" si="36"/>
        <v>4664.7171177586015</v>
      </c>
      <c r="AB20" s="2610">
        <f t="shared" si="36"/>
        <v>4851.3058024689453</v>
      </c>
      <c r="AC20" s="2610">
        <f t="shared" si="36"/>
        <v>5040.5067287652346</v>
      </c>
      <c r="AD20" s="2610">
        <f t="shared" si="36"/>
        <v>5237.0864911870785</v>
      </c>
      <c r="AE20" s="2610">
        <f t="shared" ref="AE20" si="37">AE15*AE17</f>
        <v>2990.7784444258655</v>
      </c>
      <c r="AF20" s="2610">
        <v>2332.46</v>
      </c>
      <c r="AG20" s="2610">
        <v>3925.4119999999998</v>
      </c>
      <c r="AH20" s="2610">
        <v>5646.39</v>
      </c>
      <c r="AI20" s="3233">
        <f t="shared" ref="AI20:AJ20" si="38">AI15*AI17</f>
        <v>3128.3542528694552</v>
      </c>
      <c r="AJ20" s="4057">
        <f t="shared" si="38"/>
        <v>4992.752465089523</v>
      </c>
      <c r="AK20" s="3335">
        <v>3121.66212</v>
      </c>
      <c r="AL20" s="3335">
        <v>4139.8310000000001</v>
      </c>
      <c r="AM20" s="3307">
        <v>5646.39</v>
      </c>
    </row>
    <row r="21" spans="1:39" x14ac:dyDescent="0.2">
      <c r="A21" s="3316" t="s">
        <v>1830</v>
      </c>
      <c r="B21" s="3232" t="s">
        <v>902</v>
      </c>
      <c r="C21" s="2610"/>
      <c r="D21" s="2610"/>
      <c r="E21" s="2610"/>
      <c r="F21" s="2610"/>
      <c r="G21" s="2610"/>
      <c r="H21" s="2610"/>
      <c r="I21" s="2610"/>
      <c r="J21" s="2610">
        <f>J17*J16</f>
        <v>1.034007169528822</v>
      </c>
      <c r="K21" s="2610"/>
      <c r="L21" s="2610"/>
      <c r="M21" s="2610">
        <v>1.1299999999999999</v>
      </c>
      <c r="N21" s="2610"/>
      <c r="O21" s="2610"/>
      <c r="P21" s="2610"/>
      <c r="Q21" s="2610"/>
      <c r="R21" s="2610"/>
      <c r="S21" s="2610"/>
      <c r="T21" s="2610">
        <f>T16*T17</f>
        <v>1.2183794999999999</v>
      </c>
      <c r="U21" s="2610">
        <f t="shared" ref="U21:AD21" si="39">U16*U17</f>
        <v>1.269551439</v>
      </c>
      <c r="V21" s="2610">
        <f t="shared" si="39"/>
        <v>1.32033349656</v>
      </c>
      <c r="W21" s="2610">
        <f t="shared" si="39"/>
        <v>1.3731468364224</v>
      </c>
      <c r="X21" s="2610">
        <f t="shared" si="39"/>
        <v>1.4266995630428734</v>
      </c>
      <c r="Y21" s="2610">
        <f t="shared" si="39"/>
        <v>1.4823408460015455</v>
      </c>
      <c r="Z21" s="2610">
        <f t="shared" si="39"/>
        <v>1.269551439</v>
      </c>
      <c r="AA21" s="2610">
        <f t="shared" si="39"/>
        <v>1.32033349656</v>
      </c>
      <c r="AB21" s="2610">
        <f t="shared" si="39"/>
        <v>1.3731468364224</v>
      </c>
      <c r="AC21" s="2610">
        <f t="shared" si="39"/>
        <v>1.4266995630428734</v>
      </c>
      <c r="AD21" s="2610">
        <f t="shared" si="39"/>
        <v>1.4823408460015455</v>
      </c>
      <c r="AE21" s="2610">
        <f t="shared" ref="AE21" si="40">AE16*AE17</f>
        <v>0.89212483339199999</v>
      </c>
      <c r="AF21" s="2610">
        <v>0.41</v>
      </c>
      <c r="AG21" s="2610">
        <v>0.60599999999999998</v>
      </c>
      <c r="AH21" s="2610">
        <v>0.83</v>
      </c>
      <c r="AI21" s="3233">
        <f t="shared" ref="AI21:AJ21" si="41">AI16*AI17</f>
        <v>0.93316257572803196</v>
      </c>
      <c r="AJ21" s="4057">
        <f t="shared" si="41"/>
        <v>1.4756665607949733</v>
      </c>
      <c r="AK21" s="3335">
        <v>0.39162000000000002</v>
      </c>
      <c r="AL21" s="3335">
        <v>0.54</v>
      </c>
      <c r="AM21" s="3307">
        <v>0.83</v>
      </c>
    </row>
    <row r="22" spans="1:39" x14ac:dyDescent="0.2">
      <c r="A22" s="3315" t="s">
        <v>1937</v>
      </c>
      <c r="B22" s="3232"/>
      <c r="C22" s="2610"/>
      <c r="D22" s="2610"/>
      <c r="E22" s="2610"/>
      <c r="F22" s="2610"/>
      <c r="G22" s="2610"/>
      <c r="H22" s="2610"/>
      <c r="I22" s="2610"/>
      <c r="J22" s="2610"/>
      <c r="K22" s="2610"/>
      <c r="L22" s="2610"/>
      <c r="M22" s="2610"/>
      <c r="N22" s="2610"/>
      <c r="O22" s="2610"/>
      <c r="P22" s="2610"/>
      <c r="Q22" s="2610"/>
      <c r="R22" s="2610"/>
      <c r="S22" s="2610"/>
      <c r="T22" s="2610"/>
      <c r="U22" s="2610"/>
      <c r="V22" s="2610"/>
      <c r="W22" s="2610"/>
      <c r="X22" s="2610"/>
      <c r="Y22" s="2610"/>
      <c r="Z22" s="2610"/>
      <c r="AA22" s="2610"/>
      <c r="AB22" s="2610"/>
      <c r="AC22" s="2610"/>
      <c r="AD22" s="2610"/>
      <c r="AE22" s="2610"/>
      <c r="AF22" s="2610"/>
      <c r="AG22" s="2610"/>
      <c r="AH22" s="2610"/>
      <c r="AI22" s="3233"/>
      <c r="AJ22" s="4057"/>
      <c r="AK22" s="3335"/>
      <c r="AL22" s="3335"/>
      <c r="AM22" s="3307"/>
    </row>
    <row r="23" spans="1:39" x14ac:dyDescent="0.2">
      <c r="A23" s="3312" t="s">
        <v>1828</v>
      </c>
      <c r="B23" s="3232" t="s">
        <v>937</v>
      </c>
      <c r="C23" s="2610"/>
      <c r="D23" s="2610"/>
      <c r="E23" s="2610"/>
      <c r="F23" s="2610"/>
      <c r="G23" s="2610"/>
      <c r="H23" s="2610"/>
      <c r="I23" s="2610"/>
      <c r="J23" s="2610"/>
      <c r="K23" s="2610"/>
      <c r="L23" s="2610"/>
      <c r="M23" s="2610">
        <v>0</v>
      </c>
      <c r="N23" s="2610">
        <v>1900</v>
      </c>
      <c r="O23" s="2610">
        <v>1900</v>
      </c>
      <c r="P23" s="2610">
        <v>1900</v>
      </c>
      <c r="Q23" s="2610">
        <v>1900</v>
      </c>
      <c r="R23" s="2610">
        <v>1900</v>
      </c>
      <c r="S23" s="2610"/>
      <c r="T23" s="2610">
        <v>1900</v>
      </c>
      <c r="U23" s="2610">
        <f>T23</f>
        <v>1900</v>
      </c>
      <c r="V23" s="2610">
        <f t="shared" ref="V23:Y23" si="42">U23</f>
        <v>1900</v>
      </c>
      <c r="W23" s="2610">
        <f t="shared" si="42"/>
        <v>1900</v>
      </c>
      <c r="X23" s="2610">
        <f t="shared" si="42"/>
        <v>1900</v>
      </c>
      <c r="Y23" s="2610">
        <f t="shared" si="42"/>
        <v>1900</v>
      </c>
      <c r="Z23" s="2610">
        <f>SUM(Y23)</f>
        <v>1900</v>
      </c>
      <c r="AA23" s="2610">
        <f>SUM(Z23)</f>
        <v>1900</v>
      </c>
      <c r="AB23" s="2610">
        <f t="shared" ref="AB23:AD23" si="43">SUM(AA23)</f>
        <v>1900</v>
      </c>
      <c r="AC23" s="2610">
        <f t="shared" si="43"/>
        <v>1900</v>
      </c>
      <c r="AD23" s="2610">
        <f t="shared" si="43"/>
        <v>1900</v>
      </c>
      <c r="AE23" s="2610">
        <f>SUM(AD23)</f>
        <v>1900</v>
      </c>
      <c r="AF23" s="2610">
        <v>950</v>
      </c>
      <c r="AG23" s="2610">
        <v>1425</v>
      </c>
      <c r="AH23" s="2610">
        <v>1900</v>
      </c>
      <c r="AI23" s="3233">
        <v>1900</v>
      </c>
      <c r="AJ23" s="4057">
        <f>SUM(AL23/9*12)</f>
        <v>486.14266666666668</v>
      </c>
      <c r="AK23" s="3335">
        <v>253.15299999999999</v>
      </c>
      <c r="AL23" s="3335">
        <v>364.60700000000003</v>
      </c>
      <c r="AM23" s="3989"/>
    </row>
    <row r="24" spans="1:39" ht="51" x14ac:dyDescent="0.2">
      <c r="A24" s="3312" t="s">
        <v>1831</v>
      </c>
      <c r="B24" s="3232" t="s">
        <v>1835</v>
      </c>
      <c r="C24" s="2610"/>
      <c r="D24" s="2610"/>
      <c r="E24" s="2610"/>
      <c r="F24" s="2610"/>
      <c r="G24" s="2610"/>
      <c r="H24" s="2610"/>
      <c r="I24" s="2610"/>
      <c r="J24" s="2610"/>
      <c r="K24" s="2610"/>
      <c r="L24" s="2610"/>
      <c r="M24" s="2610"/>
      <c r="N24" s="2622">
        <v>0.125</v>
      </c>
      <c r="O24" s="2622">
        <v>0.125</v>
      </c>
      <c r="P24" s="2622">
        <v>0.125</v>
      </c>
      <c r="Q24" s="2622">
        <v>0.125</v>
      </c>
      <c r="R24" s="2622">
        <v>0.125</v>
      </c>
      <c r="S24" s="2622"/>
      <c r="T24" s="2622">
        <v>0.13</v>
      </c>
      <c r="U24" s="2622">
        <f>T24</f>
        <v>0.13</v>
      </c>
      <c r="V24" s="2622">
        <f t="shared" ref="V24:Y24" si="44">U24</f>
        <v>0.13</v>
      </c>
      <c r="W24" s="2622">
        <f t="shared" si="44"/>
        <v>0.13</v>
      </c>
      <c r="X24" s="2622">
        <f t="shared" si="44"/>
        <v>0.13</v>
      </c>
      <c r="Y24" s="2622">
        <f t="shared" si="44"/>
        <v>0.13</v>
      </c>
      <c r="Z24" s="2622">
        <f>SUM(Y24)</f>
        <v>0.13</v>
      </c>
      <c r="AA24" s="2622">
        <f>SUM(Z24)</f>
        <v>0.13</v>
      </c>
      <c r="AB24" s="2622">
        <f>SUM(AA24)</f>
        <v>0.13</v>
      </c>
      <c r="AC24" s="2622">
        <f>SUM(AB24)</f>
        <v>0.13</v>
      </c>
      <c r="AD24" s="2622">
        <f>SUM(AC24)</f>
        <v>0.13</v>
      </c>
      <c r="AE24" s="2622">
        <f>SUM(AD24)</f>
        <v>0.13</v>
      </c>
      <c r="AF24" s="2622">
        <f>SUM(AF25/AF23)</f>
        <v>1.3705263157894736E-2</v>
      </c>
      <c r="AG24" s="2622">
        <f t="shared" ref="AG24:AH24" si="45">SUM(AG25/AG23)</f>
        <v>2.1702456140350875E-2</v>
      </c>
      <c r="AH24" s="2622">
        <f t="shared" si="45"/>
        <v>3.0052631578947369E-2</v>
      </c>
      <c r="AI24" s="2425">
        <f>SUM(AE24)</f>
        <v>0.13</v>
      </c>
      <c r="AJ24" s="4058">
        <f>SUM(AE24)</f>
        <v>0.13</v>
      </c>
      <c r="AK24" s="2425">
        <f>SUM(AK25/AK23)</f>
        <v>0.17933818678822688</v>
      </c>
      <c r="AL24" s="2425">
        <f t="shared" ref="AL24:AM24" si="46">SUM(AL25/AL23)</f>
        <v>0.18742371923742548</v>
      </c>
      <c r="AM24" s="3990" t="e">
        <f t="shared" si="46"/>
        <v>#DIV/0!</v>
      </c>
    </row>
    <row r="25" spans="1:39" ht="25.5" x14ac:dyDescent="0.2">
      <c r="A25" s="3312" t="s">
        <v>1832</v>
      </c>
      <c r="B25" s="3232" t="s">
        <v>1836</v>
      </c>
      <c r="C25" s="2610"/>
      <c r="D25" s="2610"/>
      <c r="E25" s="2610"/>
      <c r="F25" s="2610"/>
      <c r="G25" s="2610"/>
      <c r="H25" s="2610"/>
      <c r="I25" s="2610"/>
      <c r="J25" s="2610"/>
      <c r="K25" s="2610"/>
      <c r="L25" s="2610"/>
      <c r="M25" s="2622">
        <v>12.576000000000001</v>
      </c>
      <c r="N25" s="2610">
        <v>237.5</v>
      </c>
      <c r="O25" s="2610">
        <v>237.5</v>
      </c>
      <c r="P25" s="2610">
        <v>237.5</v>
      </c>
      <c r="Q25" s="2610">
        <v>237.5</v>
      </c>
      <c r="R25" s="2610">
        <v>237.5</v>
      </c>
      <c r="S25" s="2610"/>
      <c r="T25" s="2610">
        <f>T23*T24</f>
        <v>247</v>
      </c>
      <c r="U25" s="2610">
        <f t="shared" ref="U25:AD25" si="47">U23*U24</f>
        <v>247</v>
      </c>
      <c r="V25" s="2610">
        <f t="shared" si="47"/>
        <v>247</v>
      </c>
      <c r="W25" s="2610">
        <f t="shared" si="47"/>
        <v>247</v>
      </c>
      <c r="X25" s="2610">
        <f t="shared" si="47"/>
        <v>247</v>
      </c>
      <c r="Y25" s="2610">
        <f t="shared" si="47"/>
        <v>247</v>
      </c>
      <c r="Z25" s="2610">
        <f t="shared" si="47"/>
        <v>247</v>
      </c>
      <c r="AA25" s="2610">
        <f t="shared" si="47"/>
        <v>247</v>
      </c>
      <c r="AB25" s="2610">
        <f t="shared" si="47"/>
        <v>247</v>
      </c>
      <c r="AC25" s="2610">
        <f t="shared" si="47"/>
        <v>247</v>
      </c>
      <c r="AD25" s="2610">
        <f t="shared" si="47"/>
        <v>247</v>
      </c>
      <c r="AE25" s="2610">
        <f t="shared" ref="AE25" si="48">AE23*AE24</f>
        <v>247</v>
      </c>
      <c r="AF25" s="2610">
        <v>13.02</v>
      </c>
      <c r="AG25" s="2610">
        <v>30.925999999999998</v>
      </c>
      <c r="AH25" s="2610">
        <v>57.1</v>
      </c>
      <c r="AI25" s="3233">
        <f t="shared" ref="AI25:AJ25" si="49">AI23*AI24</f>
        <v>247</v>
      </c>
      <c r="AJ25" s="4057">
        <f t="shared" si="49"/>
        <v>63.198546666666672</v>
      </c>
      <c r="AK25" s="3335">
        <v>45.4</v>
      </c>
      <c r="AL25" s="3335">
        <v>68.335999999999999</v>
      </c>
      <c r="AM25" s="3307"/>
    </row>
    <row r="26" spans="1:39" x14ac:dyDescent="0.2">
      <c r="A26" s="3313" t="s">
        <v>1833</v>
      </c>
      <c r="B26" s="3232" t="s">
        <v>1837</v>
      </c>
      <c r="C26" s="2610"/>
      <c r="D26" s="2610"/>
      <c r="E26" s="2610"/>
      <c r="F26" s="2610"/>
      <c r="G26" s="2610"/>
      <c r="H26" s="2610"/>
      <c r="I26" s="2610"/>
      <c r="J26" s="2610"/>
      <c r="K26" s="2610"/>
      <c r="L26" s="2610"/>
      <c r="M26" s="2610">
        <f>SUM(M27/M25)</f>
        <v>5.6544211195928753</v>
      </c>
      <c r="N26" s="2610">
        <v>6.3339999999999996</v>
      </c>
      <c r="O26" s="2610"/>
      <c r="P26" s="2610"/>
      <c r="Q26" s="2610"/>
      <c r="R26" s="2610"/>
      <c r="S26" s="2610"/>
      <c r="T26" s="2610">
        <f>T17</f>
        <v>5.2949999999999999</v>
      </c>
      <c r="U26" s="2610">
        <f t="shared" ref="U26:AD26" si="50">U17</f>
        <v>5.5173899999999998</v>
      </c>
      <c r="V26" s="2610">
        <f t="shared" si="50"/>
        <v>5.7380855999999998</v>
      </c>
      <c r="W26" s="2610">
        <f t="shared" si="50"/>
        <v>5.9676090239999997</v>
      </c>
      <c r="X26" s="2610">
        <f t="shared" si="50"/>
        <v>6.2003457759359994</v>
      </c>
      <c r="Y26" s="2610">
        <f t="shared" si="50"/>
        <v>6.4421592611975029</v>
      </c>
      <c r="Z26" s="2610">
        <f t="shared" si="50"/>
        <v>5.5173899999999998</v>
      </c>
      <c r="AA26" s="2610">
        <f t="shared" si="50"/>
        <v>5.7380855999999998</v>
      </c>
      <c r="AB26" s="2610">
        <f t="shared" si="50"/>
        <v>5.9676090239999997</v>
      </c>
      <c r="AC26" s="2610">
        <f t="shared" si="50"/>
        <v>6.2003457759359994</v>
      </c>
      <c r="AD26" s="2610">
        <f t="shared" si="50"/>
        <v>6.4421592611975029</v>
      </c>
      <c r="AE26" s="2610">
        <f>M26*1.054*1.048</f>
        <v>6.2458283333333338</v>
      </c>
      <c r="AF26" s="2610">
        <f>SUM(AF27/AF25)</f>
        <v>5.8358141321044545</v>
      </c>
      <c r="AG26" s="2610">
        <f>SUM(AG27/AG25)</f>
        <v>5.9416025350837485</v>
      </c>
      <c r="AH26" s="2607">
        <v>6.0377144999999999</v>
      </c>
      <c r="AI26" s="3233">
        <f>SUM(AE26*1.046)</f>
        <v>6.5331364366666671</v>
      </c>
      <c r="AJ26" s="4059">
        <f>SUM(AH26*1.032*1.04)</f>
        <v>6.4801582185600006</v>
      </c>
      <c r="AK26" s="3335">
        <f>SUM(AK27/AK25)</f>
        <v>5.8389072687224672</v>
      </c>
      <c r="AL26" s="3335">
        <f>SUM(AL27/AL25)</f>
        <v>5.9794251931631939</v>
      </c>
      <c r="AM26" s="3307">
        <v>6.0380000000000003</v>
      </c>
    </row>
    <row r="27" spans="1:39" ht="25.5" x14ac:dyDescent="0.2">
      <c r="A27" s="3314" t="s">
        <v>1938</v>
      </c>
      <c r="B27" s="2652" t="s">
        <v>902</v>
      </c>
      <c r="C27" s="2610"/>
      <c r="D27" s="2610"/>
      <c r="E27" s="2610"/>
      <c r="F27" s="2610"/>
      <c r="G27" s="2610"/>
      <c r="H27" s="2610"/>
      <c r="I27" s="2610"/>
      <c r="J27" s="2610"/>
      <c r="K27" s="2610"/>
      <c r="L27" s="2610"/>
      <c r="M27" s="2610">
        <v>71.11</v>
      </c>
      <c r="N27" s="2610">
        <v>1504.28</v>
      </c>
      <c r="O27" s="2610">
        <v>1609.58</v>
      </c>
      <c r="P27" s="2610">
        <v>1722.25</v>
      </c>
      <c r="Q27" s="2610">
        <v>1872.81</v>
      </c>
      <c r="R27" s="2610">
        <v>1971.81</v>
      </c>
      <c r="S27" s="2610"/>
      <c r="T27" s="2610">
        <f>T25*T26</f>
        <v>1307.865</v>
      </c>
      <c r="U27" s="2610">
        <f t="shared" ref="U27:AD27" si="51">U25*U26</f>
        <v>1362.7953299999999</v>
      </c>
      <c r="V27" s="2610">
        <f t="shared" si="51"/>
        <v>1417.3071431999999</v>
      </c>
      <c r="W27" s="2610">
        <f t="shared" si="51"/>
        <v>1473.9994289279998</v>
      </c>
      <c r="X27" s="2610">
        <f t="shared" si="51"/>
        <v>1531.4854066561918</v>
      </c>
      <c r="Y27" s="2610">
        <f t="shared" si="51"/>
        <v>1591.2133375157832</v>
      </c>
      <c r="Z27" s="2610">
        <f t="shared" si="51"/>
        <v>1362.7953299999999</v>
      </c>
      <c r="AA27" s="2610">
        <f t="shared" si="51"/>
        <v>1417.3071431999999</v>
      </c>
      <c r="AB27" s="2610">
        <f t="shared" si="51"/>
        <v>1473.9994289279998</v>
      </c>
      <c r="AC27" s="2610">
        <f t="shared" si="51"/>
        <v>1531.4854066561918</v>
      </c>
      <c r="AD27" s="2610">
        <f t="shared" si="51"/>
        <v>1591.2133375157832</v>
      </c>
      <c r="AE27" s="2610">
        <f t="shared" ref="AE27" si="52">AE25*AE26</f>
        <v>1542.7195983333334</v>
      </c>
      <c r="AF27" s="2610">
        <v>75.982299999999995</v>
      </c>
      <c r="AG27" s="2610">
        <v>183.75</v>
      </c>
      <c r="AH27" s="2610">
        <v>344.77</v>
      </c>
      <c r="AI27" s="3233">
        <f t="shared" ref="AI27:AJ27" si="53">AI25*AI26</f>
        <v>1613.6846998566668</v>
      </c>
      <c r="AJ27" s="4057">
        <f t="shared" si="53"/>
        <v>409.53658158304779</v>
      </c>
      <c r="AK27" s="3335">
        <v>265.08638999999999</v>
      </c>
      <c r="AL27" s="3335">
        <v>408.61</v>
      </c>
      <c r="AM27" s="3307"/>
    </row>
    <row r="28" spans="1:39" s="1926" customFormat="1" ht="38.25" x14ac:dyDescent="0.2">
      <c r="A28" s="3315" t="s">
        <v>1939</v>
      </c>
      <c r="B28" s="2652" t="s">
        <v>902</v>
      </c>
      <c r="C28" s="2611"/>
      <c r="D28" s="2611"/>
      <c r="E28" s="2611"/>
      <c r="F28" s="2611"/>
      <c r="G28" s="2611"/>
      <c r="H28" s="2611"/>
      <c r="I28" s="2611"/>
      <c r="J28" s="2611"/>
      <c r="K28" s="2611"/>
      <c r="L28" s="2611"/>
      <c r="M28" s="2611">
        <f>M18+M27</f>
        <v>3179.3</v>
      </c>
      <c r="N28" s="2611"/>
      <c r="O28" s="2611"/>
      <c r="P28" s="2611"/>
      <c r="Q28" s="2611"/>
      <c r="R28" s="2611"/>
      <c r="S28" s="2611"/>
      <c r="T28" s="2611">
        <f>T18+T27</f>
        <v>5613.5986586955214</v>
      </c>
      <c r="U28" s="2611">
        <f t="shared" ref="U28:AH28" si="54">U18+U27</f>
        <v>5849.369802360733</v>
      </c>
      <c r="V28" s="2611">
        <f t="shared" si="54"/>
        <v>6083.3445944551622</v>
      </c>
      <c r="W28" s="2611">
        <f t="shared" si="54"/>
        <v>6326.6783782333678</v>
      </c>
      <c r="X28" s="2611">
        <f t="shared" si="54"/>
        <v>6573.4188349844699</v>
      </c>
      <c r="Y28" s="2611">
        <f t="shared" si="54"/>
        <v>6829.7821695488637</v>
      </c>
      <c r="Z28" s="2611">
        <f t="shared" si="54"/>
        <v>5849.369802360733</v>
      </c>
      <c r="AA28" s="2611">
        <f t="shared" si="54"/>
        <v>6083.3445944551622</v>
      </c>
      <c r="AB28" s="2611">
        <f t="shared" si="54"/>
        <v>6326.6783782333678</v>
      </c>
      <c r="AC28" s="2611">
        <f t="shared" si="54"/>
        <v>6573.4188349844699</v>
      </c>
      <c r="AD28" s="2611">
        <f t="shared" si="54"/>
        <v>6829.7821695488637</v>
      </c>
      <c r="AE28" s="2611">
        <f t="shared" ref="AE28" si="55">AE18+AE27</f>
        <v>4534.3901675925908</v>
      </c>
      <c r="AF28" s="2611">
        <f t="shared" si="54"/>
        <v>2408.8523</v>
      </c>
      <c r="AG28" s="2611">
        <f t="shared" si="54"/>
        <v>4109.768</v>
      </c>
      <c r="AH28" s="2611">
        <f t="shared" si="54"/>
        <v>5991.99</v>
      </c>
      <c r="AI28" s="3234">
        <f t="shared" ref="AI28:AM28" si="56">AI18+AI27</f>
        <v>4742.97211530185</v>
      </c>
      <c r="AJ28" s="4056">
        <f t="shared" ref="AJ28" si="57">AJ18+AJ27</f>
        <v>5403.7647132333659</v>
      </c>
      <c r="AK28" s="3336">
        <f t="shared" si="56"/>
        <v>3387.1401299999998</v>
      </c>
      <c r="AL28" s="3336">
        <f t="shared" si="56"/>
        <v>4548.9809999999998</v>
      </c>
      <c r="AM28" s="3309">
        <f t="shared" si="56"/>
        <v>5647.22</v>
      </c>
    </row>
    <row r="29" spans="1:39" x14ac:dyDescent="0.2">
      <c r="A29" s="3312" t="s">
        <v>50</v>
      </c>
      <c r="B29" s="3232"/>
      <c r="C29" s="2610"/>
      <c r="D29" s="2610"/>
      <c r="E29" s="2610"/>
      <c r="F29" s="2610"/>
      <c r="G29" s="2610"/>
      <c r="H29" s="2610"/>
      <c r="I29" s="2610"/>
      <c r="J29" s="2610"/>
      <c r="K29" s="2610"/>
      <c r="L29" s="2610"/>
      <c r="M29" s="2610"/>
      <c r="N29" s="2610"/>
      <c r="O29" s="2610"/>
      <c r="P29" s="2610"/>
      <c r="Q29" s="2610"/>
      <c r="R29" s="2610"/>
      <c r="S29" s="2610"/>
      <c r="T29" s="2610"/>
      <c r="U29" s="2610"/>
      <c r="V29" s="2610"/>
      <c r="W29" s="2610"/>
      <c r="X29" s="2610"/>
      <c r="Y29" s="2610"/>
      <c r="Z29" s="2610"/>
      <c r="AA29" s="2610"/>
      <c r="AB29" s="2610"/>
      <c r="AC29" s="2610"/>
      <c r="AD29" s="2610"/>
      <c r="AE29" s="2610"/>
      <c r="AF29" s="2610"/>
      <c r="AG29" s="2610"/>
      <c r="AH29" s="2610"/>
      <c r="AI29" s="3233"/>
      <c r="AJ29" s="4057"/>
      <c r="AK29" s="3335"/>
      <c r="AL29" s="3953"/>
      <c r="AM29" s="3307"/>
    </row>
    <row r="30" spans="1:39" x14ac:dyDescent="0.2">
      <c r="A30" s="3316" t="s">
        <v>1829</v>
      </c>
      <c r="B30" s="3232" t="s">
        <v>902</v>
      </c>
      <c r="C30" s="2610"/>
      <c r="D30" s="2610"/>
      <c r="E30" s="2610"/>
      <c r="F30" s="2610"/>
      <c r="G30" s="2610"/>
      <c r="H30" s="2610"/>
      <c r="I30" s="2610"/>
      <c r="J30" s="2610"/>
      <c r="K30" s="2610"/>
      <c r="L30" s="2610"/>
      <c r="M30" s="2610">
        <f>M27+M20</f>
        <v>3178.17</v>
      </c>
      <c r="N30" s="2610"/>
      <c r="O30" s="2610"/>
      <c r="P30" s="2610"/>
      <c r="Q30" s="2610"/>
      <c r="R30" s="2610"/>
      <c r="S30" s="2610"/>
      <c r="T30" s="2610">
        <f>T27+T20</f>
        <v>5612.3802791955204</v>
      </c>
      <c r="U30" s="2610">
        <f t="shared" ref="U30:Y30" si="58">U27+U20</f>
        <v>5848.1002509217324</v>
      </c>
      <c r="V30" s="2610">
        <f t="shared" si="58"/>
        <v>6082.0242609586012</v>
      </c>
      <c r="W30" s="2610">
        <f t="shared" si="58"/>
        <v>6325.3052313969456</v>
      </c>
      <c r="X30" s="2610">
        <f t="shared" si="58"/>
        <v>6571.9921354214266</v>
      </c>
      <c r="Y30" s="2610">
        <f t="shared" si="58"/>
        <v>6828.2998287028622</v>
      </c>
      <c r="Z30" s="2610">
        <f t="shared" ref="Z30:AD30" si="59">Z27+Z20</f>
        <v>5848.1002509217324</v>
      </c>
      <c r="AA30" s="2610">
        <f t="shared" si="59"/>
        <v>6082.0242609586012</v>
      </c>
      <c r="AB30" s="2610">
        <f t="shared" si="59"/>
        <v>6325.3052313969456</v>
      </c>
      <c r="AC30" s="2610">
        <f t="shared" si="59"/>
        <v>6571.9921354214266</v>
      </c>
      <c r="AD30" s="2610">
        <f t="shared" si="59"/>
        <v>6828.2998287028622</v>
      </c>
      <c r="AE30" s="2610">
        <f t="shared" ref="AE30" si="60">AE27+AE20</f>
        <v>4533.4980427591991</v>
      </c>
      <c r="AF30" s="2610">
        <f t="shared" ref="AF30:AH30" si="61">AF27+AF20</f>
        <v>2408.4423000000002</v>
      </c>
      <c r="AG30" s="2610">
        <f t="shared" si="61"/>
        <v>4109.1620000000003</v>
      </c>
      <c r="AH30" s="2610">
        <f t="shared" si="61"/>
        <v>5991.16</v>
      </c>
      <c r="AI30" s="3233">
        <f t="shared" ref="AI30:AM30" si="62">AI27+AI20</f>
        <v>4742.0389527261223</v>
      </c>
      <c r="AJ30" s="4057">
        <f t="shared" ref="AJ30" si="63">AJ27+AJ20</f>
        <v>5402.2890466725712</v>
      </c>
      <c r="AK30" s="3335">
        <f t="shared" si="62"/>
        <v>3386.7485099999999</v>
      </c>
      <c r="AL30" s="3335">
        <f t="shared" si="62"/>
        <v>4548.4409999999998</v>
      </c>
      <c r="AM30" s="3307">
        <f t="shared" si="62"/>
        <v>5646.39</v>
      </c>
    </row>
    <row r="31" spans="1:39" x14ac:dyDescent="0.2">
      <c r="A31" s="3316" t="s">
        <v>1830</v>
      </c>
      <c r="B31" s="3232" t="s">
        <v>902</v>
      </c>
      <c r="C31" s="2610"/>
      <c r="D31" s="2610"/>
      <c r="E31" s="2610"/>
      <c r="F31" s="2610"/>
      <c r="G31" s="2610"/>
      <c r="H31" s="2610"/>
      <c r="I31" s="2610"/>
      <c r="J31" s="2610"/>
      <c r="K31" s="2610"/>
      <c r="L31" s="2610"/>
      <c r="M31" s="2610">
        <f>M21</f>
        <v>1.1299999999999999</v>
      </c>
      <c r="N31" s="2610"/>
      <c r="O31" s="2610"/>
      <c r="P31" s="2610"/>
      <c r="Q31" s="2610"/>
      <c r="R31" s="2610"/>
      <c r="S31" s="2610"/>
      <c r="T31" s="2610">
        <f>T21</f>
        <v>1.2183794999999999</v>
      </c>
      <c r="U31" s="2610">
        <f t="shared" ref="U31:Y31" si="64">U21</f>
        <v>1.269551439</v>
      </c>
      <c r="V31" s="2610">
        <f t="shared" si="64"/>
        <v>1.32033349656</v>
      </c>
      <c r="W31" s="2610">
        <f t="shared" si="64"/>
        <v>1.3731468364224</v>
      </c>
      <c r="X31" s="2610">
        <f t="shared" si="64"/>
        <v>1.4266995630428734</v>
      </c>
      <c r="Y31" s="2610">
        <f t="shared" si="64"/>
        <v>1.4823408460015455</v>
      </c>
      <c r="Z31" s="2610">
        <f t="shared" ref="Z31:AD31" si="65">Z21</f>
        <v>1.269551439</v>
      </c>
      <c r="AA31" s="2610">
        <f t="shared" si="65"/>
        <v>1.32033349656</v>
      </c>
      <c r="AB31" s="2610">
        <f t="shared" si="65"/>
        <v>1.3731468364224</v>
      </c>
      <c r="AC31" s="2610">
        <f t="shared" si="65"/>
        <v>1.4266995630428734</v>
      </c>
      <c r="AD31" s="2610">
        <f t="shared" si="65"/>
        <v>1.4823408460015455</v>
      </c>
      <c r="AE31" s="2610">
        <f t="shared" ref="AE31" si="66">AE21</f>
        <v>0.89212483339199999</v>
      </c>
      <c r="AF31" s="2610">
        <f t="shared" ref="AF31:AH31" si="67">AF21</f>
        <v>0.41</v>
      </c>
      <c r="AG31" s="2610">
        <f t="shared" si="67"/>
        <v>0.60599999999999998</v>
      </c>
      <c r="AH31" s="2610">
        <f t="shared" si="67"/>
        <v>0.83</v>
      </c>
      <c r="AI31" s="3233">
        <f t="shared" ref="AI31:AM31" si="68">AI21</f>
        <v>0.93316257572803196</v>
      </c>
      <c r="AJ31" s="4057">
        <f t="shared" ref="AJ31" si="69">AJ21</f>
        <v>1.4756665607949733</v>
      </c>
      <c r="AK31" s="3335">
        <f t="shared" si="68"/>
        <v>0.39162000000000002</v>
      </c>
      <c r="AL31" s="3335">
        <f t="shared" si="68"/>
        <v>0.54</v>
      </c>
      <c r="AM31" s="3307">
        <f t="shared" si="68"/>
        <v>0.83</v>
      </c>
    </row>
    <row r="32" spans="1:39" s="1928" customFormat="1" x14ac:dyDescent="0.2">
      <c r="A32" s="3314" t="s">
        <v>133</v>
      </c>
      <c r="B32" s="2652"/>
      <c r="C32" s="2611"/>
      <c r="D32" s="2611"/>
      <c r="E32" s="2611"/>
      <c r="F32" s="2611"/>
      <c r="G32" s="2611"/>
      <c r="H32" s="2611"/>
      <c r="I32" s="2611"/>
      <c r="J32" s="2611"/>
      <c r="K32" s="2611"/>
      <c r="L32" s="2611"/>
      <c r="M32" s="2611"/>
      <c r="N32" s="2611"/>
      <c r="O32" s="2611"/>
      <c r="P32" s="2611"/>
      <c r="Q32" s="2611"/>
      <c r="R32" s="2611"/>
      <c r="S32" s="2611"/>
      <c r="T32" s="2611"/>
      <c r="U32" s="2611"/>
      <c r="V32" s="2611"/>
      <c r="W32" s="2611"/>
      <c r="X32" s="2611"/>
      <c r="Y32" s="2611"/>
      <c r="Z32" s="2611"/>
      <c r="AA32" s="2611"/>
      <c r="AB32" s="2611"/>
      <c r="AC32" s="2611"/>
      <c r="AD32" s="2611"/>
      <c r="AE32" s="2611"/>
      <c r="AF32" s="2611"/>
      <c r="AG32" s="2611"/>
      <c r="AH32" s="2611"/>
      <c r="AI32" s="3234"/>
      <c r="AJ32" s="4056"/>
      <c r="AK32" s="3336"/>
      <c r="AL32" s="3336"/>
      <c r="AM32" s="3309"/>
    </row>
    <row r="33" spans="1:39" x14ac:dyDescent="0.2">
      <c r="A33" s="3312" t="s">
        <v>1841</v>
      </c>
      <c r="B33" s="3232" t="s">
        <v>937</v>
      </c>
      <c r="C33" s="2610">
        <v>4967.92</v>
      </c>
      <c r="D33" s="2610">
        <v>5144.2299999999996</v>
      </c>
      <c r="E33" s="2610">
        <v>444.26</v>
      </c>
      <c r="F33" s="2610">
        <v>4852.58</v>
      </c>
      <c r="G33" s="2610">
        <v>4696.1400000000003</v>
      </c>
      <c r="H33" s="2610">
        <v>5364.7</v>
      </c>
      <c r="I33" s="2610">
        <v>5364.7</v>
      </c>
      <c r="J33" s="2610">
        <v>4552.68</v>
      </c>
      <c r="K33" s="2610">
        <v>4852.58</v>
      </c>
      <c r="L33" s="2610">
        <v>4509.96</v>
      </c>
      <c r="M33" s="2610">
        <f>SUM(M35:M36)</f>
        <v>5823.44</v>
      </c>
      <c r="N33" s="2610">
        <v>5150</v>
      </c>
      <c r="O33" s="2610">
        <v>5150</v>
      </c>
      <c r="P33" s="2610">
        <v>5150</v>
      </c>
      <c r="Q33" s="2610">
        <v>5150</v>
      </c>
      <c r="R33" s="2610">
        <v>5150</v>
      </c>
      <c r="S33" s="2610"/>
      <c r="T33" s="2610">
        <f>объемы!AZ44</f>
        <v>5059.084346328933</v>
      </c>
      <c r="U33" s="2610">
        <f>T33</f>
        <v>5059.084346328933</v>
      </c>
      <c r="V33" s="2610">
        <f t="shared" ref="V33:Y37" si="70">U33</f>
        <v>5059.084346328933</v>
      </c>
      <c r="W33" s="2610">
        <f t="shared" si="70"/>
        <v>5059.084346328933</v>
      </c>
      <c r="X33" s="2610">
        <f t="shared" si="70"/>
        <v>5059.084346328933</v>
      </c>
      <c r="Y33" s="2610">
        <f t="shared" si="70"/>
        <v>5059.084346328933</v>
      </c>
      <c r="Z33" s="2610">
        <f>SUM(объемы!BB44)</f>
        <v>5059.084346328933</v>
      </c>
      <c r="AA33" s="2610">
        <f>SUM(Z33)</f>
        <v>5059.084346328933</v>
      </c>
      <c r="AB33" s="2610">
        <f>SUM(AA33)</f>
        <v>5059.084346328933</v>
      </c>
      <c r="AC33" s="2610">
        <f t="shared" ref="AC33:AD33" si="71">SUM(AB33)</f>
        <v>5059.084346328933</v>
      </c>
      <c r="AD33" s="2610">
        <f t="shared" si="71"/>
        <v>5059.084346328933</v>
      </c>
      <c r="AE33" s="2610">
        <f>SUM(объемы!BD44)</f>
        <v>4800.4329999999991</v>
      </c>
      <c r="AF33" s="2610">
        <f>SUM(AF35:AF36)</f>
        <v>2986.3040000000001</v>
      </c>
      <c r="AG33" s="2610">
        <f t="shared" ref="AG33:AH33" si="72">SUM(AG35:AG36)</f>
        <v>4273.22</v>
      </c>
      <c r="AH33" s="2610">
        <f t="shared" si="72"/>
        <v>5511.8455000000004</v>
      </c>
      <c r="AI33" s="3233">
        <f>SUM(объемы!BL44)</f>
        <v>4800.4329999999991</v>
      </c>
      <c r="AJ33" s="4057">
        <f>SUM(объемы!BN44)</f>
        <v>4844.2269999999999</v>
      </c>
      <c r="AK33" s="3335">
        <f>SUM(AK35:AK36)</f>
        <v>2471.0309999999999</v>
      </c>
      <c r="AL33" s="3335">
        <f t="shared" ref="AL33:AM33" si="73">SUM(AL35:AL36)</f>
        <v>3723.6019999999999</v>
      </c>
      <c r="AM33" s="3307">
        <f t="shared" si="73"/>
        <v>1.7698</v>
      </c>
    </row>
    <row r="34" spans="1:39" x14ac:dyDescent="0.2">
      <c r="A34" s="3312" t="s">
        <v>50</v>
      </c>
      <c r="B34" s="3232"/>
      <c r="C34" s="2610"/>
      <c r="D34" s="2610"/>
      <c r="E34" s="2610"/>
      <c r="F34" s="2610"/>
      <c r="G34" s="2610"/>
      <c r="H34" s="2610"/>
      <c r="I34" s="2610"/>
      <c r="J34" s="2610"/>
      <c r="K34" s="2610"/>
      <c r="L34" s="2610"/>
      <c r="M34" s="2610"/>
      <c r="N34" s="2610"/>
      <c r="O34" s="2610"/>
      <c r="P34" s="2610"/>
      <c r="Q34" s="2610"/>
      <c r="R34" s="2610"/>
      <c r="S34" s="2610"/>
      <c r="T34" s="2610"/>
      <c r="U34" s="2610"/>
      <c r="V34" s="2610"/>
      <c r="W34" s="2610"/>
      <c r="X34" s="2610"/>
      <c r="Y34" s="2610"/>
      <c r="Z34" s="2610"/>
      <c r="AA34" s="2610"/>
      <c r="AB34" s="2610"/>
      <c r="AC34" s="2610"/>
      <c r="AD34" s="2610"/>
      <c r="AE34" s="2610"/>
      <c r="AF34" s="2610"/>
      <c r="AG34" s="2610"/>
      <c r="AH34" s="2610"/>
      <c r="AI34" s="3233"/>
      <c r="AJ34" s="4057"/>
      <c r="AK34" s="3335"/>
      <c r="AL34" s="3335"/>
      <c r="AM34" s="3307"/>
    </row>
    <row r="35" spans="1:39" x14ac:dyDescent="0.2">
      <c r="A35" s="3316" t="s">
        <v>1829</v>
      </c>
      <c r="B35" s="3232" t="s">
        <v>937</v>
      </c>
      <c r="C35" s="2610"/>
      <c r="D35" s="2610"/>
      <c r="E35" s="2610"/>
      <c r="F35" s="2610"/>
      <c r="G35" s="2610"/>
      <c r="H35" s="2610"/>
      <c r="I35" s="2610"/>
      <c r="J35" s="2610"/>
      <c r="K35" s="2610"/>
      <c r="L35" s="2610"/>
      <c r="M35" s="2610">
        <v>5823.44</v>
      </c>
      <c r="N35" s="2610"/>
      <c r="O35" s="2610"/>
      <c r="P35" s="2610"/>
      <c r="Q35" s="2610"/>
      <c r="R35" s="2610"/>
      <c r="S35" s="2610"/>
      <c r="T35" s="2610">
        <f>объемы!AZ44</f>
        <v>5059.084346328933</v>
      </c>
      <c r="U35" s="2610">
        <f>T35</f>
        <v>5059.084346328933</v>
      </c>
      <c r="V35" s="2610">
        <f t="shared" si="70"/>
        <v>5059.084346328933</v>
      </c>
      <c r="W35" s="2610">
        <f t="shared" si="70"/>
        <v>5059.084346328933</v>
      </c>
      <c r="X35" s="2610">
        <f t="shared" si="70"/>
        <v>5059.084346328933</v>
      </c>
      <c r="Y35" s="2610">
        <f t="shared" si="70"/>
        <v>5059.084346328933</v>
      </c>
      <c r="Z35" s="2610">
        <f>SUM(Z33)</f>
        <v>5059.084346328933</v>
      </c>
      <c r="AA35" s="2610">
        <f t="shared" ref="AA35:AD35" si="74">SUM(AA33)</f>
        <v>5059.084346328933</v>
      </c>
      <c r="AB35" s="2610">
        <f t="shared" si="74"/>
        <v>5059.084346328933</v>
      </c>
      <c r="AC35" s="2610">
        <f t="shared" si="74"/>
        <v>5059.084346328933</v>
      </c>
      <c r="AD35" s="2610">
        <f t="shared" si="74"/>
        <v>5059.084346328933</v>
      </c>
      <c r="AE35" s="2610">
        <f>SUM(AE33)</f>
        <v>4800.4329999999991</v>
      </c>
      <c r="AF35" s="2610">
        <f>SUM(объемы!BF44)</f>
        <v>2986.3040000000001</v>
      </c>
      <c r="AG35" s="2610">
        <f>SUM(объемы!BH44)</f>
        <v>4273.22</v>
      </c>
      <c r="AH35" s="2610">
        <f>SUM(объемы!BJ44)</f>
        <v>5511.8455000000004</v>
      </c>
      <c r="AI35" s="3233">
        <f>SUM(AI33)</f>
        <v>4800.4329999999991</v>
      </c>
      <c r="AJ35" s="4057">
        <f>SUM(AJ33)</f>
        <v>4844.2269999999999</v>
      </c>
      <c r="AK35" s="3335">
        <f>SUM(объемы!BQ44)</f>
        <v>2471.0309999999999</v>
      </c>
      <c r="AL35" s="3335">
        <f>SUM(объемы!BS44)</f>
        <v>3723.6019999999999</v>
      </c>
      <c r="AM35" s="3307">
        <f>SUM(объемы!BO44)</f>
        <v>1.7698</v>
      </c>
    </row>
    <row r="36" spans="1:39" x14ac:dyDescent="0.2">
      <c r="A36" s="3316" t="s">
        <v>1830</v>
      </c>
      <c r="B36" s="3232" t="s">
        <v>937</v>
      </c>
      <c r="C36" s="2610"/>
      <c r="D36" s="2610"/>
      <c r="E36" s="2610"/>
      <c r="F36" s="2610"/>
      <c r="G36" s="2610"/>
      <c r="H36" s="2610"/>
      <c r="I36" s="2610"/>
      <c r="J36" s="2610"/>
      <c r="K36" s="2610"/>
      <c r="L36" s="2610"/>
      <c r="M36" s="2610">
        <v>0</v>
      </c>
      <c r="N36" s="2610"/>
      <c r="O36" s="2610"/>
      <c r="P36" s="2610"/>
      <c r="Q36" s="2610"/>
      <c r="R36" s="2610"/>
      <c r="S36" s="2610"/>
      <c r="T36" s="2610">
        <v>0</v>
      </c>
      <c r="U36" s="2610">
        <f>T36</f>
        <v>0</v>
      </c>
      <c r="V36" s="2610">
        <f t="shared" si="70"/>
        <v>0</v>
      </c>
      <c r="W36" s="2610">
        <f t="shared" si="70"/>
        <v>0</v>
      </c>
      <c r="X36" s="2610">
        <f t="shared" si="70"/>
        <v>0</v>
      </c>
      <c r="Y36" s="2610">
        <f t="shared" si="70"/>
        <v>0</v>
      </c>
      <c r="Z36" s="2610">
        <v>0</v>
      </c>
      <c r="AA36" s="2610">
        <v>0</v>
      </c>
      <c r="AB36" s="2610">
        <v>0</v>
      </c>
      <c r="AC36" s="2610">
        <v>0</v>
      </c>
      <c r="AD36" s="2610">
        <v>0</v>
      </c>
      <c r="AE36" s="2610">
        <v>0</v>
      </c>
      <c r="AF36" s="2610">
        <v>0</v>
      </c>
      <c r="AG36" s="2610">
        <v>0</v>
      </c>
      <c r="AH36" s="2610">
        <v>0</v>
      </c>
      <c r="AI36" s="3233">
        <v>0</v>
      </c>
      <c r="AJ36" s="4057">
        <v>0</v>
      </c>
      <c r="AK36" s="3335">
        <v>0</v>
      </c>
      <c r="AL36" s="3335">
        <v>0</v>
      </c>
      <c r="AM36" s="3307">
        <v>0</v>
      </c>
    </row>
    <row r="37" spans="1:39" ht="51" x14ac:dyDescent="0.2">
      <c r="A37" s="3312" t="s">
        <v>1842</v>
      </c>
      <c r="B37" s="3232" t="s">
        <v>1835</v>
      </c>
      <c r="C37" s="2622">
        <v>0.249</v>
      </c>
      <c r="D37" s="2622">
        <v>0.29499999999999998</v>
      </c>
      <c r="E37" s="2622">
        <v>0.24199999999999999</v>
      </c>
      <c r="F37" s="2622">
        <v>0.24199999999999999</v>
      </c>
      <c r="G37" s="2622">
        <v>0.24199999999999999</v>
      </c>
      <c r="H37" s="2622">
        <v>0.28799999999999998</v>
      </c>
      <c r="I37" s="2622">
        <v>0.28799999999999998</v>
      </c>
      <c r="J37" s="2622">
        <v>0.24199999999999999</v>
      </c>
      <c r="K37" s="2622">
        <v>0.24199999999999999</v>
      </c>
      <c r="L37" s="2622">
        <v>0.24199999999999999</v>
      </c>
      <c r="M37" s="2622">
        <f>SUM(M38/M33)</f>
        <v>0.23637145742035634</v>
      </c>
      <c r="N37" s="2622">
        <f>N38/N33</f>
        <v>0.27300000000000002</v>
      </c>
      <c r="O37" s="2622">
        <f t="shared" ref="O37:R37" si="75">O38/O33</f>
        <v>0.27300000000000002</v>
      </c>
      <c r="P37" s="2622">
        <f t="shared" si="75"/>
        <v>0.27300000000000002</v>
      </c>
      <c r="Q37" s="2622">
        <f t="shared" si="75"/>
        <v>0.27300000000000002</v>
      </c>
      <c r="R37" s="2622">
        <f t="shared" si="75"/>
        <v>0.27300000000000002</v>
      </c>
      <c r="S37" s="2610"/>
      <c r="T37" s="2622">
        <f>I37</f>
        <v>0.28799999999999998</v>
      </c>
      <c r="U37" s="2622">
        <f>T37</f>
        <v>0.28799999999999998</v>
      </c>
      <c r="V37" s="2622">
        <f t="shared" si="70"/>
        <v>0.28799999999999998</v>
      </c>
      <c r="W37" s="2622">
        <f t="shared" si="70"/>
        <v>0.28799999999999998</v>
      </c>
      <c r="X37" s="2622">
        <f t="shared" si="70"/>
        <v>0.28799999999999998</v>
      </c>
      <c r="Y37" s="2622">
        <f t="shared" si="70"/>
        <v>0.28799999999999998</v>
      </c>
      <c r="Z37" s="2622">
        <f>SUM(Y37)</f>
        <v>0.28799999999999998</v>
      </c>
      <c r="AA37" s="2622">
        <f>SUM(Z37)</f>
        <v>0.28799999999999998</v>
      </c>
      <c r="AB37" s="2622">
        <f t="shared" ref="AB37:AD37" si="76">SUM(AA37)</f>
        <v>0.28799999999999998</v>
      </c>
      <c r="AC37" s="2622">
        <f t="shared" si="76"/>
        <v>0.28799999999999998</v>
      </c>
      <c r="AD37" s="2622">
        <f t="shared" si="76"/>
        <v>0.28799999999999998</v>
      </c>
      <c r="AE37" s="2622">
        <f>SUM(AD37)</f>
        <v>0.28799999999999998</v>
      </c>
      <c r="AF37" s="2622">
        <f t="shared" ref="AF37:AH37" si="77">SUM(AF38/AF33)</f>
        <v>0.23123399359207905</v>
      </c>
      <c r="AG37" s="2622">
        <f t="shared" si="77"/>
        <v>0.25754021557514006</v>
      </c>
      <c r="AH37" s="2622">
        <f t="shared" si="77"/>
        <v>0.27766761604620449</v>
      </c>
      <c r="AI37" s="2425">
        <f>SUM(AE37)</f>
        <v>0.28799999999999998</v>
      </c>
      <c r="AJ37" s="4058">
        <f>SUM(AE37)</f>
        <v>0.28799999999999998</v>
      </c>
      <c r="AK37" s="2425">
        <f t="shared" ref="AK37:AM37" si="78">SUM(AK38/AK33)</f>
        <v>0.31444324251698991</v>
      </c>
      <c r="AL37" s="2425">
        <f t="shared" si="78"/>
        <v>0.29401369963814605</v>
      </c>
      <c r="AM37" s="3308">
        <f t="shared" si="78"/>
        <v>0</v>
      </c>
    </row>
    <row r="38" spans="1:39" ht="25.5" x14ac:dyDescent="0.2">
      <c r="A38" s="3312" t="s">
        <v>3518</v>
      </c>
      <c r="B38" s="3232" t="s">
        <v>1836</v>
      </c>
      <c r="C38" s="2610">
        <v>1237</v>
      </c>
      <c r="D38" s="2610">
        <v>1516.6</v>
      </c>
      <c r="E38" s="2610">
        <v>1075.5</v>
      </c>
      <c r="F38" s="2610">
        <v>1174.3</v>
      </c>
      <c r="G38" s="2610">
        <v>1136.5</v>
      </c>
      <c r="H38" s="2610">
        <v>1543.2</v>
      </c>
      <c r="I38" s="2610">
        <v>1543.17</v>
      </c>
      <c r="J38" s="2610">
        <f>J33*J37</f>
        <v>1101.74856</v>
      </c>
      <c r="K38" s="2610">
        <v>1174.3240000000001</v>
      </c>
      <c r="L38" s="2610">
        <v>1091.4000000000001</v>
      </c>
      <c r="M38" s="2622">
        <f>SUM(M40:M41)</f>
        <v>1376.4949999999999</v>
      </c>
      <c r="N38" s="2610">
        <v>1405.95</v>
      </c>
      <c r="O38" s="2610">
        <v>1405.95</v>
      </c>
      <c r="P38" s="2610">
        <v>1405.95</v>
      </c>
      <c r="Q38" s="2610">
        <v>1405.95</v>
      </c>
      <c r="R38" s="2610">
        <v>1405.95</v>
      </c>
      <c r="S38" s="2610"/>
      <c r="T38" s="2610">
        <f>T33*T37</f>
        <v>1457.0162917427326</v>
      </c>
      <c r="U38" s="2610">
        <f t="shared" ref="U38" si="79">U33*U37</f>
        <v>1457.0162917427326</v>
      </c>
      <c r="V38" s="2610">
        <f t="shared" ref="V38" si="80">V33*V37</f>
        <v>1457.0162917427326</v>
      </c>
      <c r="W38" s="2610">
        <f t="shared" ref="W38" si="81">W33*W37</f>
        <v>1457.0162917427326</v>
      </c>
      <c r="X38" s="2610">
        <f t="shared" ref="X38" si="82">X33*X37</f>
        <v>1457.0162917427326</v>
      </c>
      <c r="Y38" s="2610">
        <f t="shared" ref="Y38:AD38" si="83">Y33*Y37</f>
        <v>1457.0162917427326</v>
      </c>
      <c r="Z38" s="2610">
        <f t="shared" si="83"/>
        <v>1457.0162917427326</v>
      </c>
      <c r="AA38" s="2610">
        <f t="shared" si="83"/>
        <v>1457.0162917427326</v>
      </c>
      <c r="AB38" s="2610">
        <f t="shared" si="83"/>
        <v>1457.0162917427326</v>
      </c>
      <c r="AC38" s="2610">
        <f t="shared" si="83"/>
        <v>1457.0162917427326</v>
      </c>
      <c r="AD38" s="2610">
        <f t="shared" si="83"/>
        <v>1457.0162917427326</v>
      </c>
      <c r="AE38" s="2610">
        <f t="shared" ref="AE38" si="84">AE33*AE37</f>
        <v>1382.5247039999997</v>
      </c>
      <c r="AF38" s="2622">
        <f t="shared" ref="AF38:AH38" si="85">SUM(AF40:AF41)</f>
        <v>690.53500000000008</v>
      </c>
      <c r="AG38" s="2622">
        <f t="shared" si="85"/>
        <v>1100.5260000000001</v>
      </c>
      <c r="AH38" s="2622">
        <f t="shared" si="85"/>
        <v>1530.461</v>
      </c>
      <c r="AI38" s="3233">
        <f t="shared" ref="AI38:AJ38" si="86">AI33*AI37</f>
        <v>1382.5247039999997</v>
      </c>
      <c r="AJ38" s="4057">
        <f t="shared" si="86"/>
        <v>1395.1373759999999</v>
      </c>
      <c r="AK38" s="2425">
        <f t="shared" ref="AK38:AM38" si="87">SUM(AK40:AK41)</f>
        <v>776.99900000000002</v>
      </c>
      <c r="AL38" s="2425">
        <f t="shared" si="87"/>
        <v>1094.79</v>
      </c>
      <c r="AM38" s="3308">
        <f t="shared" si="87"/>
        <v>0</v>
      </c>
    </row>
    <row r="39" spans="1:39" x14ac:dyDescent="0.2">
      <c r="A39" s="3312" t="s">
        <v>50</v>
      </c>
      <c r="B39" s="3232"/>
      <c r="C39" s="2610"/>
      <c r="D39" s="2610"/>
      <c r="E39" s="2610"/>
      <c r="F39" s="2610"/>
      <c r="G39" s="2610"/>
      <c r="H39" s="2610"/>
      <c r="I39" s="2610"/>
      <c r="J39" s="2610"/>
      <c r="K39" s="2610"/>
      <c r="L39" s="2610"/>
      <c r="M39" s="2610"/>
      <c r="N39" s="2610"/>
      <c r="O39" s="2610"/>
      <c r="P39" s="2610"/>
      <c r="Q39" s="2610"/>
      <c r="R39" s="2610"/>
      <c r="S39" s="2610"/>
      <c r="T39" s="2610"/>
      <c r="U39" s="2610"/>
      <c r="V39" s="2610"/>
      <c r="W39" s="2610"/>
      <c r="X39" s="2610"/>
      <c r="Y39" s="2610"/>
      <c r="Z39" s="2610"/>
      <c r="AA39" s="2610"/>
      <c r="AB39" s="2610"/>
      <c r="AC39" s="2610"/>
      <c r="AD39" s="2610"/>
      <c r="AE39" s="2610"/>
      <c r="AF39" s="2610"/>
      <c r="AG39" s="2610"/>
      <c r="AH39" s="2610"/>
      <c r="AI39" s="3233"/>
      <c r="AJ39" s="4057"/>
      <c r="AK39" s="3335"/>
      <c r="AL39" s="3335"/>
      <c r="AM39" s="3307"/>
    </row>
    <row r="40" spans="1:39" x14ac:dyDescent="0.2">
      <c r="A40" s="3316" t="s">
        <v>1829</v>
      </c>
      <c r="B40" s="3232" t="s">
        <v>1836</v>
      </c>
      <c r="C40" s="2610"/>
      <c r="D40" s="2610"/>
      <c r="E40" s="2610"/>
      <c r="F40" s="2610"/>
      <c r="G40" s="2610"/>
      <c r="H40" s="2610"/>
      <c r="I40" s="2610"/>
      <c r="J40" s="2610">
        <f>J38</f>
        <v>1101.74856</v>
      </c>
      <c r="K40" s="2610"/>
      <c r="L40" s="2610"/>
      <c r="M40" s="2622">
        <v>1376.4949999999999</v>
      </c>
      <c r="N40" s="2610"/>
      <c r="O40" s="2610"/>
      <c r="P40" s="2610"/>
      <c r="Q40" s="2610"/>
      <c r="R40" s="2610"/>
      <c r="S40" s="2610"/>
      <c r="T40" s="2610">
        <f>T35*T37</f>
        <v>1457.0162917427326</v>
      </c>
      <c r="U40" s="2610">
        <f t="shared" ref="U40:Y40" si="88">U35*U37</f>
        <v>1457.0162917427326</v>
      </c>
      <c r="V40" s="2610">
        <f t="shared" si="88"/>
        <v>1457.0162917427326</v>
      </c>
      <c r="W40" s="2610">
        <f t="shared" si="88"/>
        <v>1457.0162917427326</v>
      </c>
      <c r="X40" s="2610">
        <f t="shared" si="88"/>
        <v>1457.0162917427326</v>
      </c>
      <c r="Y40" s="2610">
        <f t="shared" si="88"/>
        <v>1457.0162917427326</v>
      </c>
      <c r="Z40" s="2610">
        <f t="shared" ref="Z40:AD40" si="89">Z35*Z37</f>
        <v>1457.0162917427326</v>
      </c>
      <c r="AA40" s="2610">
        <f t="shared" si="89"/>
        <v>1457.0162917427326</v>
      </c>
      <c r="AB40" s="2610">
        <f t="shared" si="89"/>
        <v>1457.0162917427326</v>
      </c>
      <c r="AC40" s="2610">
        <f t="shared" si="89"/>
        <v>1457.0162917427326</v>
      </c>
      <c r="AD40" s="2610">
        <f t="shared" si="89"/>
        <v>1457.0162917427326</v>
      </c>
      <c r="AE40" s="2610">
        <f t="shared" ref="AE40" si="90">AE35*AE37</f>
        <v>1382.5247039999997</v>
      </c>
      <c r="AF40" s="2610">
        <f>45.493+608.931+36.111</f>
        <v>690.53500000000008</v>
      </c>
      <c r="AG40" s="2610">
        <f>67.53+979.237+53.759</f>
        <v>1100.5260000000001</v>
      </c>
      <c r="AH40" s="2610">
        <v>1530.461</v>
      </c>
      <c r="AI40" s="3233">
        <f t="shared" ref="AI40:AJ40" si="91">AI35*AI37</f>
        <v>1382.5247039999997</v>
      </c>
      <c r="AJ40" s="4057">
        <f t="shared" si="91"/>
        <v>1395.1373759999999</v>
      </c>
      <c r="AK40" s="3335">
        <f>822.399-AK25</f>
        <v>776.99900000000002</v>
      </c>
      <c r="AL40" s="3335">
        <f>1163.126-AL25</f>
        <v>1094.79</v>
      </c>
      <c r="AM40" s="3307"/>
    </row>
    <row r="41" spans="1:39" x14ac:dyDescent="0.2">
      <c r="A41" s="3316" t="s">
        <v>1830</v>
      </c>
      <c r="B41" s="3232" t="s">
        <v>1836</v>
      </c>
      <c r="C41" s="2610"/>
      <c r="D41" s="2610"/>
      <c r="E41" s="2610"/>
      <c r="F41" s="2610"/>
      <c r="G41" s="2610"/>
      <c r="H41" s="2610"/>
      <c r="I41" s="2610"/>
      <c r="J41" s="2610">
        <v>0</v>
      </c>
      <c r="K41" s="2610"/>
      <c r="L41" s="2610"/>
      <c r="M41" s="2610">
        <v>0</v>
      </c>
      <c r="N41" s="2610"/>
      <c r="O41" s="2610"/>
      <c r="P41" s="2610"/>
      <c r="Q41" s="2610"/>
      <c r="R41" s="2610"/>
      <c r="S41" s="2610"/>
      <c r="T41" s="2610">
        <f>T36*T37</f>
        <v>0</v>
      </c>
      <c r="U41" s="2610">
        <f t="shared" ref="U41:Y41" si="92">U36*U37</f>
        <v>0</v>
      </c>
      <c r="V41" s="2610">
        <f t="shared" si="92"/>
        <v>0</v>
      </c>
      <c r="W41" s="2610">
        <f t="shared" si="92"/>
        <v>0</v>
      </c>
      <c r="X41" s="2610">
        <f t="shared" si="92"/>
        <v>0</v>
      </c>
      <c r="Y41" s="2610">
        <f t="shared" si="92"/>
        <v>0</v>
      </c>
      <c r="Z41" s="2610">
        <f t="shared" ref="Z41:AD41" si="93">Z36*Z37</f>
        <v>0</v>
      </c>
      <c r="AA41" s="2610">
        <f t="shared" si="93"/>
        <v>0</v>
      </c>
      <c r="AB41" s="2610">
        <f t="shared" si="93"/>
        <v>0</v>
      </c>
      <c r="AC41" s="2610">
        <f t="shared" si="93"/>
        <v>0</v>
      </c>
      <c r="AD41" s="2610">
        <f t="shared" si="93"/>
        <v>0</v>
      </c>
      <c r="AE41" s="2610">
        <f t="shared" ref="AE41" si="94">AE36*AE37</f>
        <v>0</v>
      </c>
      <c r="AF41" s="2610">
        <v>0</v>
      </c>
      <c r="AG41" s="2610">
        <v>0</v>
      </c>
      <c r="AH41" s="2610">
        <v>0</v>
      </c>
      <c r="AI41" s="3233">
        <f t="shared" ref="AI41:AJ41" si="95">AI36*AI37</f>
        <v>0</v>
      </c>
      <c r="AJ41" s="4057">
        <f t="shared" si="95"/>
        <v>0</v>
      </c>
      <c r="AK41" s="3335">
        <v>0</v>
      </c>
      <c r="AL41" s="3335">
        <v>0</v>
      </c>
      <c r="AM41" s="3307">
        <v>0</v>
      </c>
    </row>
    <row r="42" spans="1:39" x14ac:dyDescent="0.2">
      <c r="A42" s="3312" t="s">
        <v>1833</v>
      </c>
      <c r="B42" s="3232" t="s">
        <v>1837</v>
      </c>
      <c r="C42" s="2610">
        <v>4.3460000000000001</v>
      </c>
      <c r="D42" s="2610">
        <v>5.62</v>
      </c>
      <c r="E42" s="2610">
        <v>5.62</v>
      </c>
      <c r="F42" s="2610">
        <v>4.633</v>
      </c>
      <c r="G42" s="2610">
        <v>4.3099999999999996</v>
      </c>
      <c r="H42" s="2610">
        <v>4.6825000000000001</v>
      </c>
      <c r="I42" s="2610">
        <f>I43/I38</f>
        <v>4.7099995463882784</v>
      </c>
      <c r="J42" s="2610">
        <f>I42</f>
        <v>4.7099995463882784</v>
      </c>
      <c r="K42" s="2610">
        <v>4.9429999999999996</v>
      </c>
      <c r="L42" s="2610">
        <v>4.6139999999999999</v>
      </c>
      <c r="M42" s="2610">
        <f>SUM(M43/M38)</f>
        <v>5.6919640100399933</v>
      </c>
      <c r="N42" s="2610">
        <v>5.3609999999999998</v>
      </c>
      <c r="O42" s="2610">
        <v>5.7359999999999998</v>
      </c>
      <c r="P42" s="2610">
        <v>6.1379999999999999</v>
      </c>
      <c r="Q42" s="2610">
        <v>6.5670000000000002</v>
      </c>
      <c r="R42" s="2610">
        <v>7.0270000000000001</v>
      </c>
      <c r="S42" s="2610"/>
      <c r="T42" s="2610">
        <f>T26</f>
        <v>5.2949999999999999</v>
      </c>
      <c r="U42" s="2610">
        <f>T42*1.042</f>
        <v>5.5173899999999998</v>
      </c>
      <c r="V42" s="2610">
        <f>U42*1.04</f>
        <v>5.7380855999999998</v>
      </c>
      <c r="W42" s="2610">
        <f>V42*1.04</f>
        <v>5.9676090239999997</v>
      </c>
      <c r="X42" s="2610">
        <f>W42*1.039</f>
        <v>6.2003457759359994</v>
      </c>
      <c r="Y42" s="2610">
        <f>X42*1.039</f>
        <v>6.4421592611975029</v>
      </c>
      <c r="Z42" s="2610">
        <f>SUM(U42)</f>
        <v>5.5173899999999998</v>
      </c>
      <c r="AA42" s="2610">
        <f>SUM(V42)</f>
        <v>5.7380855999999998</v>
      </c>
      <c r="AB42" s="2610">
        <f>SUM(W42)</f>
        <v>5.9676090239999997</v>
      </c>
      <c r="AC42" s="2610">
        <f>SUM(X42)</f>
        <v>6.2003457759359994</v>
      </c>
      <c r="AD42" s="2610">
        <f>SUM(Y42)</f>
        <v>6.4421592611975029</v>
      </c>
      <c r="AE42" s="2610">
        <f>5.69*1.054*1.048</f>
        <v>6.2851284800000009</v>
      </c>
      <c r="AF42" s="2610">
        <f>SUM(AF43/AF38)</f>
        <v>4.5956063052560694</v>
      </c>
      <c r="AG42" s="2610">
        <f t="shared" ref="AG42:AH42" si="96">SUM(AG43/AG38)</f>
        <v>4.6378904269412988</v>
      </c>
      <c r="AH42" s="2610">
        <f t="shared" si="96"/>
        <v>4.6980354285408117</v>
      </c>
      <c r="AI42" s="3233">
        <f>SUM(AE42*1.046)</f>
        <v>6.5742443900800014</v>
      </c>
      <c r="AJ42" s="4059">
        <f>SUM(AH42*1.032*1.04)</f>
        <v>5.0423074647442823</v>
      </c>
      <c r="AK42" s="3335">
        <f>SUM(AK43/AK38)</f>
        <v>4.5685145926828739</v>
      </c>
      <c r="AL42" s="3335">
        <f t="shared" ref="AL42:AM42" si="97">SUM(AL43/AL38)</f>
        <v>4.6564948528941628</v>
      </c>
      <c r="AM42" s="3307" t="e">
        <f t="shared" si="97"/>
        <v>#DIV/0!</v>
      </c>
    </row>
    <row r="43" spans="1:39" ht="25.5" x14ac:dyDescent="0.2">
      <c r="A43" s="3312" t="s">
        <v>1843</v>
      </c>
      <c r="B43" s="3232" t="s">
        <v>902</v>
      </c>
      <c r="C43" s="2610">
        <v>5376.31</v>
      </c>
      <c r="D43" s="2610">
        <v>8522.8700000000008</v>
      </c>
      <c r="E43" s="2610">
        <v>6044.37</v>
      </c>
      <c r="F43" s="2610">
        <v>5440.71</v>
      </c>
      <c r="G43" s="2610">
        <v>4900.22</v>
      </c>
      <c r="H43" s="2610">
        <v>7225.88</v>
      </c>
      <c r="I43" s="2610">
        <v>7268.33</v>
      </c>
      <c r="J43" s="2610">
        <f>J42*J38</f>
        <v>5189.2352178339388</v>
      </c>
      <c r="K43" s="2610">
        <v>5805.24</v>
      </c>
      <c r="L43" s="2610">
        <v>5035.26</v>
      </c>
      <c r="M43" s="2610">
        <f>SUM(M45:M46)</f>
        <v>7834.96</v>
      </c>
      <c r="N43" s="2610">
        <v>7537.29</v>
      </c>
      <c r="O43" s="2610">
        <v>8064.9</v>
      </c>
      <c r="P43" s="2610">
        <v>8629.44</v>
      </c>
      <c r="Q43" s="2610">
        <v>9233.5</v>
      </c>
      <c r="R43" s="2610">
        <v>9879.85</v>
      </c>
      <c r="S43" s="2610"/>
      <c r="T43" s="2610">
        <f>T38*T42</f>
        <v>7714.901264777769</v>
      </c>
      <c r="U43" s="2610">
        <f t="shared" ref="U43" si="98">U38*U42</f>
        <v>8038.9271178984354</v>
      </c>
      <c r="V43" s="2610">
        <f t="shared" ref="V43" si="99">V38*V42</f>
        <v>8360.4842026143724</v>
      </c>
      <c r="W43" s="2610">
        <f t="shared" ref="W43" si="100">W38*W42</f>
        <v>8694.9035707189469</v>
      </c>
      <c r="X43" s="2610">
        <f t="shared" ref="X43" si="101">X38*X42</f>
        <v>9034.0048099769865</v>
      </c>
      <c r="Y43" s="2610">
        <f t="shared" ref="Y43:AD43" si="102">Y38*Y42</f>
        <v>9386.3309975660886</v>
      </c>
      <c r="Z43" s="2610">
        <f t="shared" si="102"/>
        <v>8038.9271178984354</v>
      </c>
      <c r="AA43" s="2610">
        <f t="shared" si="102"/>
        <v>8360.4842026143724</v>
      </c>
      <c r="AB43" s="2610">
        <f t="shared" si="102"/>
        <v>8694.9035707189469</v>
      </c>
      <c r="AC43" s="2610">
        <f t="shared" si="102"/>
        <v>9034.0048099769865</v>
      </c>
      <c r="AD43" s="2610">
        <f t="shared" si="102"/>
        <v>9386.3309975660886</v>
      </c>
      <c r="AE43" s="2610">
        <f t="shared" ref="AE43" si="103">AE38*AE42</f>
        <v>8689.34539141397</v>
      </c>
      <c r="AF43" s="2610">
        <f>SUM(AF45:AF46)</f>
        <v>3173.4270000000001</v>
      </c>
      <c r="AG43" s="2610">
        <f t="shared" ref="AG43:AH43" si="104">SUM(AG45:AG46)</f>
        <v>5104.1189999999997</v>
      </c>
      <c r="AH43" s="2610">
        <f t="shared" si="104"/>
        <v>7190.16</v>
      </c>
      <c r="AI43" s="3233">
        <f t="shared" ref="AI43" si="105">SUM(AI45:AI46)</f>
        <v>9089.0552794190116</v>
      </c>
      <c r="AJ43" s="4057">
        <f t="shared" ref="AJ43" si="106">SUM(AJ45:AJ46)</f>
        <v>7034.7116053485497</v>
      </c>
      <c r="AK43" s="3335">
        <f>SUM(AK45:AK46)</f>
        <v>3549.7312700000002</v>
      </c>
      <c r="AL43" s="3335">
        <f t="shared" ref="AL43:AM43" si="107">SUM(AL45:AL46)</f>
        <v>5097.884</v>
      </c>
      <c r="AM43" s="3307">
        <f t="shared" si="107"/>
        <v>0</v>
      </c>
    </row>
    <row r="44" spans="1:39" x14ac:dyDescent="0.2">
      <c r="A44" s="3312" t="s">
        <v>50</v>
      </c>
      <c r="B44" s="3232"/>
      <c r="C44" s="2610"/>
      <c r="D44" s="2610"/>
      <c r="E44" s="2610"/>
      <c r="F44" s="2610"/>
      <c r="G44" s="2610"/>
      <c r="H44" s="2610"/>
      <c r="I44" s="2610"/>
      <c r="J44" s="2610"/>
      <c r="K44" s="2610"/>
      <c r="L44" s="2610"/>
      <c r="M44" s="2610"/>
      <c r="N44" s="2610"/>
      <c r="O44" s="2610"/>
      <c r="P44" s="2610"/>
      <c r="Q44" s="2610"/>
      <c r="R44" s="2610"/>
      <c r="S44" s="2610"/>
      <c r="T44" s="2610"/>
      <c r="U44" s="2610"/>
      <c r="V44" s="2610"/>
      <c r="W44" s="2610"/>
      <c r="X44" s="2610"/>
      <c r="Y44" s="2610"/>
      <c r="Z44" s="2610"/>
      <c r="AA44" s="2610"/>
      <c r="AB44" s="2610"/>
      <c r="AC44" s="2610"/>
      <c r="AD44" s="2610"/>
      <c r="AE44" s="2610"/>
      <c r="AF44" s="2610"/>
      <c r="AG44" s="2610"/>
      <c r="AH44" s="2610"/>
      <c r="AI44" s="3233"/>
      <c r="AJ44" s="4057"/>
      <c r="AK44" s="3335"/>
      <c r="AL44" s="3335"/>
      <c r="AM44" s="3307"/>
    </row>
    <row r="45" spans="1:39" x14ac:dyDescent="0.2">
      <c r="A45" s="3316" t="s">
        <v>1829</v>
      </c>
      <c r="B45" s="3232" t="s">
        <v>902</v>
      </c>
      <c r="C45" s="2610"/>
      <c r="D45" s="2610"/>
      <c r="E45" s="2610"/>
      <c r="F45" s="2610"/>
      <c r="G45" s="2610"/>
      <c r="H45" s="2610"/>
      <c r="I45" s="2610"/>
      <c r="J45" s="2610">
        <f>J43</f>
        <v>5189.2352178339388</v>
      </c>
      <c r="K45" s="2610"/>
      <c r="L45" s="2610"/>
      <c r="M45" s="2610">
        <v>7834.96</v>
      </c>
      <c r="N45" s="2610"/>
      <c r="O45" s="2610"/>
      <c r="P45" s="2610"/>
      <c r="Q45" s="2610"/>
      <c r="R45" s="2610"/>
      <c r="S45" s="2610"/>
      <c r="T45" s="2610">
        <f>T40*T42</f>
        <v>7714.901264777769</v>
      </c>
      <c r="U45" s="2610">
        <f t="shared" ref="U45:Y45" si="108">U40*U42</f>
        <v>8038.9271178984354</v>
      </c>
      <c r="V45" s="2610">
        <f t="shared" si="108"/>
        <v>8360.4842026143724</v>
      </c>
      <c r="W45" s="2610">
        <f t="shared" si="108"/>
        <v>8694.9035707189469</v>
      </c>
      <c r="X45" s="2610">
        <f t="shared" si="108"/>
        <v>9034.0048099769865</v>
      </c>
      <c r="Y45" s="2610">
        <f t="shared" si="108"/>
        <v>9386.3309975660886</v>
      </c>
      <c r="Z45" s="2610">
        <f t="shared" ref="Z45:AD45" si="109">Z40*Z42</f>
        <v>8038.9271178984354</v>
      </c>
      <c r="AA45" s="2610">
        <f t="shared" si="109"/>
        <v>8360.4842026143724</v>
      </c>
      <c r="AB45" s="2610">
        <f t="shared" si="109"/>
        <v>8694.9035707189469</v>
      </c>
      <c r="AC45" s="2610">
        <f t="shared" si="109"/>
        <v>9034.0048099769865</v>
      </c>
      <c r="AD45" s="2610">
        <f t="shared" si="109"/>
        <v>9386.3309975660886</v>
      </c>
      <c r="AE45" s="2610">
        <f t="shared" ref="AE45" si="110">AE40*AE42</f>
        <v>8689.34539141397</v>
      </c>
      <c r="AF45" s="2610">
        <v>3173.4270000000001</v>
      </c>
      <c r="AG45" s="2610">
        <v>5104.1189999999997</v>
      </c>
      <c r="AH45" s="2610">
        <v>7190.16</v>
      </c>
      <c r="AI45" s="3233">
        <f t="shared" ref="AI45:AJ45" si="111">AI40*AI42</f>
        <v>9089.0552794190116</v>
      </c>
      <c r="AJ45" s="4057">
        <f t="shared" si="111"/>
        <v>7034.7116053485497</v>
      </c>
      <c r="AK45" s="3335">
        <f>3814.81766-AK27</f>
        <v>3549.7312700000002</v>
      </c>
      <c r="AL45" s="3335">
        <f>5506.494-AL27</f>
        <v>5097.884</v>
      </c>
      <c r="AM45" s="3307"/>
    </row>
    <row r="46" spans="1:39" x14ac:dyDescent="0.2">
      <c r="A46" s="3316" t="s">
        <v>1830</v>
      </c>
      <c r="B46" s="3232" t="s">
        <v>902</v>
      </c>
      <c r="C46" s="2610"/>
      <c r="D46" s="2610"/>
      <c r="E46" s="2610"/>
      <c r="F46" s="2610"/>
      <c r="G46" s="2610"/>
      <c r="H46" s="2610"/>
      <c r="I46" s="2610"/>
      <c r="J46" s="2610"/>
      <c r="K46" s="2610"/>
      <c r="L46" s="2610"/>
      <c r="M46" s="2610">
        <v>0</v>
      </c>
      <c r="N46" s="2610"/>
      <c r="O46" s="2610"/>
      <c r="P46" s="2610"/>
      <c r="Q46" s="2610"/>
      <c r="R46" s="2610"/>
      <c r="S46" s="2610"/>
      <c r="T46" s="2610">
        <f>T41*T42</f>
        <v>0</v>
      </c>
      <c r="U46" s="2610">
        <f t="shared" ref="U46:Y46" si="112">U41*U42</f>
        <v>0</v>
      </c>
      <c r="V46" s="2610">
        <f t="shared" si="112"/>
        <v>0</v>
      </c>
      <c r="W46" s="2610">
        <f t="shared" si="112"/>
        <v>0</v>
      </c>
      <c r="X46" s="2610">
        <f t="shared" si="112"/>
        <v>0</v>
      </c>
      <c r="Y46" s="2610">
        <f t="shared" si="112"/>
        <v>0</v>
      </c>
      <c r="Z46" s="2610">
        <f t="shared" ref="Z46:AD46" si="113">Z41*Z42</f>
        <v>0</v>
      </c>
      <c r="AA46" s="2610">
        <f t="shared" si="113"/>
        <v>0</v>
      </c>
      <c r="AB46" s="2610">
        <f t="shared" si="113"/>
        <v>0</v>
      </c>
      <c r="AC46" s="2610">
        <f t="shared" si="113"/>
        <v>0</v>
      </c>
      <c r="AD46" s="2610">
        <f t="shared" si="113"/>
        <v>0</v>
      </c>
      <c r="AE46" s="2610">
        <f t="shared" ref="AE46" si="114">AE41*AE42</f>
        <v>0</v>
      </c>
      <c r="AF46" s="2610">
        <v>0</v>
      </c>
      <c r="AG46" s="2610">
        <v>0</v>
      </c>
      <c r="AH46" s="2610">
        <v>0</v>
      </c>
      <c r="AI46" s="3233">
        <f t="shared" ref="AI46:AJ46" si="115">AI41*AI42</f>
        <v>0</v>
      </c>
      <c r="AJ46" s="4057">
        <f t="shared" si="115"/>
        <v>0</v>
      </c>
      <c r="AK46" s="3335">
        <v>0</v>
      </c>
      <c r="AL46" s="3335">
        <v>0</v>
      </c>
      <c r="AM46" s="3307">
        <v>0</v>
      </c>
    </row>
    <row r="47" spans="1:39" ht="25.5" x14ac:dyDescent="0.2">
      <c r="A47" s="3314" t="s">
        <v>3519</v>
      </c>
      <c r="B47" s="2652" t="s">
        <v>902</v>
      </c>
      <c r="C47" s="2611">
        <f t="shared" ref="C47:S47" si="116">C18+C43</f>
        <v>9240.94</v>
      </c>
      <c r="D47" s="2611">
        <f t="shared" si="116"/>
        <v>10452.76</v>
      </c>
      <c r="E47" s="2611">
        <f t="shared" si="116"/>
        <v>7751.17</v>
      </c>
      <c r="F47" s="2611">
        <f t="shared" si="116"/>
        <v>9476.69</v>
      </c>
      <c r="G47" s="2611">
        <f t="shared" si="116"/>
        <v>8799.36</v>
      </c>
      <c r="H47" s="2611">
        <f t="shared" si="116"/>
        <v>11354.08</v>
      </c>
      <c r="I47" s="2611">
        <f t="shared" si="116"/>
        <v>11421.79</v>
      </c>
      <c r="J47" s="2611">
        <f t="shared" si="116"/>
        <v>8669.4112580471829</v>
      </c>
      <c r="K47" s="2611">
        <f t="shared" si="116"/>
        <v>10111.628000000001</v>
      </c>
      <c r="L47" s="2611">
        <f t="shared" si="116"/>
        <v>9024.2900000000009</v>
      </c>
      <c r="M47" s="2611">
        <f>M28+M43</f>
        <v>11014.26</v>
      </c>
      <c r="N47" s="2611">
        <f t="shared" si="116"/>
        <v>11658.55</v>
      </c>
      <c r="O47" s="2611">
        <f t="shared" si="116"/>
        <v>12474.65</v>
      </c>
      <c r="P47" s="2611">
        <f t="shared" si="116"/>
        <v>13347.880000000001</v>
      </c>
      <c r="Q47" s="2611">
        <f t="shared" si="116"/>
        <v>14282.23</v>
      </c>
      <c r="R47" s="2611">
        <f t="shared" si="116"/>
        <v>15281.990000000002</v>
      </c>
      <c r="S47" s="2611">
        <f t="shared" si="116"/>
        <v>0</v>
      </c>
      <c r="T47" s="2611">
        <f>T28+T43</f>
        <v>13328.49992347329</v>
      </c>
      <c r="U47" s="2611">
        <f t="shared" ref="U47:AH47" si="117">U28+U43</f>
        <v>13888.296920259168</v>
      </c>
      <c r="V47" s="2611">
        <f t="shared" si="117"/>
        <v>14443.828797069535</v>
      </c>
      <c r="W47" s="2611">
        <f t="shared" si="117"/>
        <v>15021.581948952315</v>
      </c>
      <c r="X47" s="2611">
        <f t="shared" si="117"/>
        <v>15607.423644961456</v>
      </c>
      <c r="Y47" s="2611">
        <f t="shared" si="117"/>
        <v>16216.113167114952</v>
      </c>
      <c r="Z47" s="2611">
        <f t="shared" si="117"/>
        <v>13888.296920259168</v>
      </c>
      <c r="AA47" s="2611">
        <f t="shared" si="117"/>
        <v>14443.828797069535</v>
      </c>
      <c r="AB47" s="2611">
        <f t="shared" si="117"/>
        <v>15021.581948952315</v>
      </c>
      <c r="AC47" s="2611">
        <f t="shared" si="117"/>
        <v>15607.423644961456</v>
      </c>
      <c r="AD47" s="2611">
        <f t="shared" si="117"/>
        <v>16216.113167114952</v>
      </c>
      <c r="AE47" s="2611">
        <f t="shared" ref="AE47" si="118">AE28+AE43</f>
        <v>13223.73555900656</v>
      </c>
      <c r="AF47" s="2611">
        <f>AF28+AF43</f>
        <v>5582.2793000000001</v>
      </c>
      <c r="AG47" s="2611">
        <f t="shared" si="117"/>
        <v>9213.8869999999988</v>
      </c>
      <c r="AH47" s="2611">
        <f t="shared" si="117"/>
        <v>13182.15</v>
      </c>
      <c r="AI47" s="3234">
        <f t="shared" ref="AI47" si="119">AI28+AI43</f>
        <v>13832.027394720863</v>
      </c>
      <c r="AJ47" s="4056">
        <f t="shared" ref="AJ47" si="120">AJ28+AJ43</f>
        <v>12438.476318581916</v>
      </c>
      <c r="AK47" s="3336">
        <f>AK28+AK43</f>
        <v>6936.8714</v>
      </c>
      <c r="AL47" s="3336">
        <f t="shared" ref="AL47:AM47" si="121">AL28+AL43</f>
        <v>9646.8649999999998</v>
      </c>
      <c r="AM47" s="3309">
        <f t="shared" si="121"/>
        <v>5647.22</v>
      </c>
    </row>
    <row r="48" spans="1:39" x14ac:dyDescent="0.2">
      <c r="A48" s="3312" t="s">
        <v>50</v>
      </c>
      <c r="B48" s="3232"/>
      <c r="C48" s="2610"/>
      <c r="D48" s="2610"/>
      <c r="E48" s="2610"/>
      <c r="F48" s="2610"/>
      <c r="G48" s="2610"/>
      <c r="H48" s="2610"/>
      <c r="I48" s="2610"/>
      <c r="J48" s="2610"/>
      <c r="K48" s="2610"/>
      <c r="L48" s="2610"/>
      <c r="M48" s="2610"/>
      <c r="N48" s="2610"/>
      <c r="O48" s="2610"/>
      <c r="P48" s="2610"/>
      <c r="Q48" s="2610"/>
      <c r="R48" s="2610"/>
      <c r="S48" s="2610"/>
      <c r="T48" s="2610"/>
      <c r="U48" s="2610"/>
      <c r="V48" s="2610"/>
      <c r="W48" s="2610"/>
      <c r="X48" s="2610"/>
      <c r="Y48" s="2610"/>
      <c r="Z48" s="2610"/>
      <c r="AA48" s="2610"/>
      <c r="AB48" s="2610"/>
      <c r="AC48" s="2610"/>
      <c r="AD48" s="2610"/>
      <c r="AE48" s="2610"/>
      <c r="AF48" s="2610"/>
      <c r="AG48" s="2610"/>
      <c r="AH48" s="2610"/>
      <c r="AI48" s="3233"/>
      <c r="AJ48" s="4057"/>
      <c r="AK48" s="3335"/>
      <c r="AL48" s="3335"/>
      <c r="AM48" s="3307"/>
    </row>
    <row r="49" spans="1:39" x14ac:dyDescent="0.2">
      <c r="A49" s="3316" t="s">
        <v>1829</v>
      </c>
      <c r="B49" s="3232" t="s">
        <v>902</v>
      </c>
      <c r="C49" s="2610"/>
      <c r="D49" s="2610"/>
      <c r="E49" s="2610"/>
      <c r="F49" s="2610"/>
      <c r="G49" s="2610"/>
      <c r="H49" s="2610"/>
      <c r="I49" s="2610"/>
      <c r="J49" s="2610">
        <f>J20+J45</f>
        <v>8668.4926037400128</v>
      </c>
      <c r="K49" s="2610"/>
      <c r="L49" s="2610"/>
      <c r="M49" s="2610">
        <f>M30+M45</f>
        <v>11013.130000000001</v>
      </c>
      <c r="N49" s="2610">
        <f t="shared" ref="N49:S49" si="122">N30+N45</f>
        <v>0</v>
      </c>
      <c r="O49" s="2610">
        <f t="shared" si="122"/>
        <v>0</v>
      </c>
      <c r="P49" s="2610">
        <f t="shared" si="122"/>
        <v>0</v>
      </c>
      <c r="Q49" s="2610">
        <f t="shared" si="122"/>
        <v>0</v>
      </c>
      <c r="R49" s="2610">
        <f t="shared" si="122"/>
        <v>0</v>
      </c>
      <c r="S49" s="2610">
        <f t="shared" si="122"/>
        <v>0</v>
      </c>
      <c r="T49" s="2610">
        <f>T30+T45</f>
        <v>13327.281543973289</v>
      </c>
      <c r="U49" s="2610">
        <f t="shared" ref="U49:Y49" si="123">U30+U45</f>
        <v>13887.027368820167</v>
      </c>
      <c r="V49" s="2610">
        <f t="shared" si="123"/>
        <v>14442.508463572973</v>
      </c>
      <c r="W49" s="2610">
        <f t="shared" si="123"/>
        <v>15020.208802115892</v>
      </c>
      <c r="X49" s="2610">
        <f t="shared" si="123"/>
        <v>15605.996945398412</v>
      </c>
      <c r="Y49" s="2610">
        <f t="shared" si="123"/>
        <v>16214.630826268951</v>
      </c>
      <c r="Z49" s="2610">
        <f t="shared" ref="Z49:AH49" si="124">Z30+Z45</f>
        <v>13887.027368820167</v>
      </c>
      <c r="AA49" s="2610">
        <f t="shared" si="124"/>
        <v>14442.508463572973</v>
      </c>
      <c r="AB49" s="2610">
        <f t="shared" si="124"/>
        <v>15020.208802115892</v>
      </c>
      <c r="AC49" s="2610">
        <f t="shared" si="124"/>
        <v>15605.996945398412</v>
      </c>
      <c r="AD49" s="2610">
        <f t="shared" si="124"/>
        <v>16214.630826268951</v>
      </c>
      <c r="AE49" s="2610">
        <f t="shared" ref="AE49" si="125">AE30+AE45</f>
        <v>13222.84343417317</v>
      </c>
      <c r="AF49" s="2610">
        <f t="shared" si="124"/>
        <v>5581.8693000000003</v>
      </c>
      <c r="AG49" s="2610">
        <f t="shared" si="124"/>
        <v>9213.280999999999</v>
      </c>
      <c r="AH49" s="2610">
        <f t="shared" si="124"/>
        <v>13181.32</v>
      </c>
      <c r="AI49" s="3233">
        <f t="shared" ref="AI49:AM49" si="126">AI30+AI45</f>
        <v>13831.094232145133</v>
      </c>
      <c r="AJ49" s="4057">
        <f t="shared" ref="AJ49" si="127">AJ30+AJ45</f>
        <v>12437.000652021121</v>
      </c>
      <c r="AK49" s="3335">
        <f t="shared" si="126"/>
        <v>6936.4797799999997</v>
      </c>
      <c r="AL49" s="3335">
        <f t="shared" si="126"/>
        <v>9646.3250000000007</v>
      </c>
      <c r="AM49" s="3307">
        <f t="shared" si="126"/>
        <v>5646.39</v>
      </c>
    </row>
    <row r="50" spans="1:39" x14ac:dyDescent="0.2">
      <c r="A50" s="3316" t="s">
        <v>1830</v>
      </c>
      <c r="B50" s="3232" t="s">
        <v>902</v>
      </c>
      <c r="C50" s="2610"/>
      <c r="D50" s="2610"/>
      <c r="E50" s="2610"/>
      <c r="F50" s="2610"/>
      <c r="G50" s="2610"/>
      <c r="H50" s="2610"/>
      <c r="I50" s="2610"/>
      <c r="J50" s="2610">
        <f>J21</f>
        <v>1.034007169528822</v>
      </c>
      <c r="K50" s="2610"/>
      <c r="L50" s="2610"/>
      <c r="M50" s="2610">
        <f>M31+M46</f>
        <v>1.1299999999999999</v>
      </c>
      <c r="N50" s="2610">
        <f t="shared" ref="N50:S50" si="128">N31+N46</f>
        <v>0</v>
      </c>
      <c r="O50" s="2610">
        <f t="shared" si="128"/>
        <v>0</v>
      </c>
      <c r="P50" s="2610">
        <f t="shared" si="128"/>
        <v>0</v>
      </c>
      <c r="Q50" s="2610">
        <f t="shared" si="128"/>
        <v>0</v>
      </c>
      <c r="R50" s="2610">
        <f t="shared" si="128"/>
        <v>0</v>
      </c>
      <c r="S50" s="2610">
        <f t="shared" si="128"/>
        <v>0</v>
      </c>
      <c r="T50" s="2610">
        <f>T31+T46</f>
        <v>1.2183794999999999</v>
      </c>
      <c r="U50" s="2610">
        <f t="shared" ref="U50:Y50" si="129">U31+U46</f>
        <v>1.269551439</v>
      </c>
      <c r="V50" s="2610">
        <f t="shared" si="129"/>
        <v>1.32033349656</v>
      </c>
      <c r="W50" s="2610">
        <f t="shared" si="129"/>
        <v>1.3731468364224</v>
      </c>
      <c r="X50" s="2610">
        <f t="shared" si="129"/>
        <v>1.4266995630428734</v>
      </c>
      <c r="Y50" s="2610">
        <f t="shared" si="129"/>
        <v>1.4823408460015455</v>
      </c>
      <c r="Z50" s="2610">
        <f t="shared" ref="Z50:AH50" si="130">Z31+Z46</f>
        <v>1.269551439</v>
      </c>
      <c r="AA50" s="2610">
        <f t="shared" si="130"/>
        <v>1.32033349656</v>
      </c>
      <c r="AB50" s="2610">
        <f t="shared" si="130"/>
        <v>1.3731468364224</v>
      </c>
      <c r="AC50" s="2610">
        <f t="shared" si="130"/>
        <v>1.4266995630428734</v>
      </c>
      <c r="AD50" s="2610">
        <f t="shared" si="130"/>
        <v>1.4823408460015455</v>
      </c>
      <c r="AE50" s="2610">
        <f t="shared" ref="AE50" si="131">AE31+AE46</f>
        <v>0.89212483339199999</v>
      </c>
      <c r="AF50" s="2610">
        <f t="shared" si="130"/>
        <v>0.41</v>
      </c>
      <c r="AG50" s="2610">
        <f t="shared" si="130"/>
        <v>0.60599999999999998</v>
      </c>
      <c r="AH50" s="2610">
        <f t="shared" si="130"/>
        <v>0.83</v>
      </c>
      <c r="AI50" s="3233">
        <f t="shared" ref="AI50:AM50" si="132">AI31+AI46</f>
        <v>0.93316257572803196</v>
      </c>
      <c r="AJ50" s="4057">
        <f t="shared" ref="AJ50" si="133">AJ31+AJ46</f>
        <v>1.4756665607949733</v>
      </c>
      <c r="AK50" s="3335">
        <f t="shared" si="132"/>
        <v>0.39162000000000002</v>
      </c>
      <c r="AL50" s="3335">
        <f t="shared" si="132"/>
        <v>0.54</v>
      </c>
      <c r="AM50" s="3307">
        <f t="shared" si="132"/>
        <v>0.83</v>
      </c>
    </row>
    <row r="51" spans="1:39" ht="25.5" x14ac:dyDescent="0.2">
      <c r="A51" s="3312" t="s">
        <v>3663</v>
      </c>
      <c r="B51" s="3232" t="s">
        <v>1836</v>
      </c>
      <c r="C51" s="2622">
        <f t="shared" ref="C51:M51" si="134">SUM(C13+C25+C38)</f>
        <v>1940.8</v>
      </c>
      <c r="D51" s="2622">
        <f t="shared" si="134"/>
        <v>2305.8000000000002</v>
      </c>
      <c r="E51" s="2622">
        <f t="shared" si="134"/>
        <v>1773.6</v>
      </c>
      <c r="F51" s="2622">
        <f t="shared" si="134"/>
        <v>1863.8</v>
      </c>
      <c r="G51" s="2622">
        <f t="shared" si="134"/>
        <v>1827.3</v>
      </c>
      <c r="H51" s="2622">
        <f t="shared" si="134"/>
        <v>2424.8000000000002</v>
      </c>
      <c r="I51" s="2622">
        <f t="shared" si="134"/>
        <v>2424.79</v>
      </c>
      <c r="J51" s="2622">
        <f t="shared" si="134"/>
        <v>1840.45624</v>
      </c>
      <c r="K51" s="2622">
        <f t="shared" si="134"/>
        <v>1863.8140000000001</v>
      </c>
      <c r="L51" s="2622">
        <f t="shared" si="134"/>
        <v>1751.9</v>
      </c>
      <c r="M51" s="2622">
        <f t="shared" si="134"/>
        <v>2273.3580000000002</v>
      </c>
      <c r="N51" s="2622">
        <f t="shared" ref="N51:S51" si="135">SUM(N13+N25+N38)</f>
        <v>2412.1999999999998</v>
      </c>
      <c r="O51" s="2622">
        <f t="shared" si="135"/>
        <v>2412.1999999999998</v>
      </c>
      <c r="P51" s="2622">
        <f t="shared" si="135"/>
        <v>2412.1999999999998</v>
      </c>
      <c r="Q51" s="2622">
        <f t="shared" si="135"/>
        <v>2412.1999999999998</v>
      </c>
      <c r="R51" s="2622">
        <f t="shared" si="135"/>
        <v>2412.1999999999998</v>
      </c>
      <c r="S51" s="2622">
        <f t="shared" si="135"/>
        <v>0</v>
      </c>
      <c r="T51" s="2622">
        <f t="shared" ref="T51:Y51" si="136">SUM(T13+T25+T38)</f>
        <v>2517.186010098827</v>
      </c>
      <c r="U51" s="2622">
        <f t="shared" si="136"/>
        <v>2517.186010098827</v>
      </c>
      <c r="V51" s="2622">
        <f t="shared" si="136"/>
        <v>2517.186010098827</v>
      </c>
      <c r="W51" s="2622">
        <f t="shared" si="136"/>
        <v>2517.186010098827</v>
      </c>
      <c r="X51" s="2622">
        <f t="shared" si="136"/>
        <v>2517.186010098827</v>
      </c>
      <c r="Y51" s="2622">
        <f t="shared" si="136"/>
        <v>2517.186010098827</v>
      </c>
      <c r="Z51" s="2622">
        <f t="shared" ref="Z51:AD51" si="137">SUM(Z13+Z25+Z38)</f>
        <v>2517.186010098827</v>
      </c>
      <c r="AA51" s="2622">
        <f t="shared" si="137"/>
        <v>2517.186010098827</v>
      </c>
      <c r="AB51" s="2622">
        <f t="shared" si="137"/>
        <v>2517.186010098827</v>
      </c>
      <c r="AC51" s="2622">
        <f t="shared" si="137"/>
        <v>2517.186010098827</v>
      </c>
      <c r="AD51" s="2622">
        <f t="shared" si="137"/>
        <v>2517.186010098827</v>
      </c>
      <c r="AE51" s="2622">
        <f t="shared" ref="AE51" si="138">SUM(AE13+AE25+AE38)</f>
        <v>2401.1469839999995</v>
      </c>
      <c r="AF51" s="2622">
        <f t="shared" ref="AF51:AM51" si="139">SUM(AF13+AF25+AF38)</f>
        <v>1103.6500000000001</v>
      </c>
      <c r="AG51" s="2622">
        <f t="shared" si="139"/>
        <v>1796.6849999999999</v>
      </c>
      <c r="AH51" s="2622">
        <f t="shared" si="139"/>
        <v>2532.5509999999999</v>
      </c>
      <c r="AI51" s="2425">
        <f t="shared" si="139"/>
        <v>2401.1469839999995</v>
      </c>
      <c r="AJ51" s="4058">
        <f t="shared" ref="AJ51" si="140">SUM(AJ13+AJ25+AJ38)</f>
        <v>2236.9955966666666</v>
      </c>
      <c r="AK51" s="2425">
        <f t="shared" si="139"/>
        <v>1356.05</v>
      </c>
      <c r="AL51" s="2425">
        <f t="shared" si="139"/>
        <v>1859.818</v>
      </c>
      <c r="AM51" s="3308">
        <f t="shared" si="139"/>
        <v>944.99</v>
      </c>
    </row>
    <row r="52" spans="1:39" x14ac:dyDescent="0.2">
      <c r="A52" s="3312" t="s">
        <v>3664</v>
      </c>
      <c r="B52" s="3232" t="s">
        <v>1837</v>
      </c>
      <c r="C52" s="3311">
        <f t="shared" ref="C52" si="141">SUM(C47/C51)</f>
        <v>4.7614076669414676</v>
      </c>
      <c r="D52" s="3311">
        <f t="shared" ref="D52" si="142">SUM(D47/D51)</f>
        <v>4.5332465955416774</v>
      </c>
      <c r="E52" s="3311">
        <f t="shared" ref="E52" si="143">SUM(E47/E51)</f>
        <v>4.3703033378439331</v>
      </c>
      <c r="F52" s="3311">
        <f t="shared" ref="F52" si="144">SUM(F47/F51)</f>
        <v>5.0846067174589553</v>
      </c>
      <c r="G52" s="3311">
        <f t="shared" ref="G52" si="145">SUM(G47/G51)</f>
        <v>4.8154982761451324</v>
      </c>
      <c r="H52" s="3311">
        <f t="shared" ref="H52" si="146">SUM(H47/H51)</f>
        <v>4.6824810293632462</v>
      </c>
      <c r="I52" s="3311">
        <f t="shared" ref="I52" si="147">SUM(I47/I51)</f>
        <v>4.7104244078868689</v>
      </c>
      <c r="J52" s="3311">
        <f t="shared" ref="J52" si="148">SUM(J47/J51)</f>
        <v>4.7104685618861453</v>
      </c>
      <c r="K52" s="3311">
        <f t="shared" ref="K52" si="149">SUM(K47/K51)</f>
        <v>5.4252344922830282</v>
      </c>
      <c r="L52" s="3311">
        <f t="shared" ref="L52" si="150">SUM(L47/L51)</f>
        <v>5.1511444717164228</v>
      </c>
      <c r="M52" s="3311">
        <f t="shared" ref="M52" si="151">SUM(M47/M51)</f>
        <v>4.8449298350721701</v>
      </c>
      <c r="N52" s="3311">
        <f t="shared" ref="N52" si="152">SUM(N47/N51)</f>
        <v>4.8331606002819001</v>
      </c>
      <c r="O52" s="3311">
        <f t="shared" ref="O52" si="153">SUM(O47/O51)</f>
        <v>5.1714824641406185</v>
      </c>
      <c r="P52" s="3311">
        <f t="shared" ref="P52" si="154">SUM(P47/P51)</f>
        <v>5.5334881021474178</v>
      </c>
      <c r="Q52" s="3311">
        <f t="shared" ref="Q52" si="155">SUM(Q47/Q51)</f>
        <v>5.9208316060028192</v>
      </c>
      <c r="R52" s="3311">
        <f t="shared" ref="R52" si="156">SUM(R47/R51)</f>
        <v>6.335291435204379</v>
      </c>
      <c r="S52" s="3311" t="e">
        <f t="shared" ref="S52" si="157">SUM(S47/S51)</f>
        <v>#DIV/0!</v>
      </c>
      <c r="T52" s="3311">
        <f t="shared" ref="T52" si="158">SUM(T47/T51)</f>
        <v>5.2949999999999999</v>
      </c>
      <c r="U52" s="3311">
        <f t="shared" ref="U52" si="159">SUM(U47/U51)</f>
        <v>5.5173900000000007</v>
      </c>
      <c r="V52" s="3311">
        <f t="shared" ref="V52" si="160">SUM(V47/V51)</f>
        <v>5.7380856000000007</v>
      </c>
      <c r="W52" s="3311">
        <f t="shared" ref="W52" si="161">SUM(W47/W51)</f>
        <v>5.9676090239999997</v>
      </c>
      <c r="X52" s="3311">
        <f t="shared" ref="X52" si="162">SUM(X47/X51)</f>
        <v>6.2003457759360003</v>
      </c>
      <c r="Y52" s="3311">
        <f t="shared" ref="Y52" si="163">SUM(Y47/Y51)</f>
        <v>6.4421592611975038</v>
      </c>
      <c r="Z52" s="3311">
        <f t="shared" ref="Z52:AD52" si="164">SUM(Z47/Z51)</f>
        <v>5.5173900000000007</v>
      </c>
      <c r="AA52" s="3311">
        <f t="shared" si="164"/>
        <v>5.7380856000000007</v>
      </c>
      <c r="AB52" s="3311">
        <f t="shared" si="164"/>
        <v>5.9676090239999997</v>
      </c>
      <c r="AC52" s="3311">
        <f t="shared" si="164"/>
        <v>6.2003457759360003</v>
      </c>
      <c r="AD52" s="3311">
        <f t="shared" si="164"/>
        <v>6.4421592611975038</v>
      </c>
      <c r="AE52" s="3311">
        <f t="shared" ref="AE52" si="165">SUM(AE47/AE51)</f>
        <v>5.5072578426571503</v>
      </c>
      <c r="AF52" s="3311">
        <f t="shared" ref="AF52:AM52" si="166">SUM(AF47/AF51)</f>
        <v>5.0580159470846731</v>
      </c>
      <c r="AG52" s="3311">
        <f t="shared" si="166"/>
        <v>5.1282706762732468</v>
      </c>
      <c r="AH52" s="3311">
        <f t="shared" si="166"/>
        <v>5.2050876764179677</v>
      </c>
      <c r="AI52" s="3319">
        <f t="shared" si="166"/>
        <v>5.7605917034193794</v>
      </c>
      <c r="AJ52" s="4060">
        <f t="shared" ref="AJ52" si="167">SUM(AJ47/AJ51)</f>
        <v>5.5603490400769733</v>
      </c>
      <c r="AK52" s="3319">
        <f t="shared" si="166"/>
        <v>5.1154982485896543</v>
      </c>
      <c r="AL52" s="3319">
        <f t="shared" si="166"/>
        <v>5.1869941037241274</v>
      </c>
      <c r="AM52" s="3310">
        <f t="shared" si="166"/>
        <v>5.9759574175388099</v>
      </c>
    </row>
    <row r="55" spans="1:39" ht="20.25" x14ac:dyDescent="0.3">
      <c r="A55" s="3320" t="s">
        <v>3890</v>
      </c>
      <c r="B55" s="3321"/>
      <c r="C55" s="2476"/>
      <c r="D55" s="2476"/>
      <c r="E55" s="2476"/>
      <c r="F55" s="2476"/>
      <c r="G55" s="2476"/>
      <c r="H55" s="2476"/>
      <c r="I55" s="2476"/>
      <c r="J55" s="2476"/>
      <c r="K55" s="2476"/>
      <c r="L55" s="2476"/>
      <c r="M55" s="2476"/>
      <c r="N55" s="2476"/>
      <c r="O55" s="2476"/>
      <c r="P55" s="2476"/>
      <c r="Q55" s="2476"/>
      <c r="R55" s="2476"/>
      <c r="S55" s="2476"/>
      <c r="T55" s="2476"/>
      <c r="U55" s="2476"/>
      <c r="V55" s="2476"/>
    </row>
  </sheetData>
  <mergeCells count="21">
    <mergeCell ref="Z3:AD3"/>
    <mergeCell ref="AF3:AF5"/>
    <mergeCell ref="AG3:AG5"/>
    <mergeCell ref="AH3:AH5"/>
    <mergeCell ref="AI3:AJ3"/>
    <mergeCell ref="A1:AM1"/>
    <mergeCell ref="AI4:AI5"/>
    <mergeCell ref="AJ4:AJ5"/>
    <mergeCell ref="AK3:AK5"/>
    <mergeCell ref="AL3:AL5"/>
    <mergeCell ref="AM3:AM5"/>
    <mergeCell ref="Z5:AD5"/>
    <mergeCell ref="A3:A5"/>
    <mergeCell ref="B3:B5"/>
    <mergeCell ref="N3:Y3"/>
    <mergeCell ref="N5:S5"/>
    <mergeCell ref="T5:Y5"/>
    <mergeCell ref="C4:E4"/>
    <mergeCell ref="F4:J4"/>
    <mergeCell ref="C3:M3"/>
    <mergeCell ref="K4:M4"/>
  </mergeCells>
  <printOptions horizontalCentered="1"/>
  <pageMargins left="0" right="0" top="0.35433070866141736" bottom="0.35433070866141736" header="0.31496062992125984" footer="0.31496062992125984"/>
  <pageSetup paperSize="9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895</v>
      </c>
    </row>
    <row r="5" spans="1:3" x14ac:dyDescent="0.2">
      <c r="A5" s="5" t="s">
        <v>255</v>
      </c>
      <c r="B5" s="5">
        <f>B6+B7</f>
        <v>2447773.2599999998</v>
      </c>
    </row>
    <row r="6" spans="1:3" x14ac:dyDescent="0.2">
      <c r="A6" s="5" t="s">
        <v>2165</v>
      </c>
      <c r="B6" s="5">
        <v>1459695.6410000001</v>
      </c>
    </row>
    <row r="7" spans="1:3" x14ac:dyDescent="0.2">
      <c r="A7" s="5" t="s">
        <v>2166</v>
      </c>
      <c r="B7" s="5">
        <v>988077.61899999995</v>
      </c>
    </row>
    <row r="9" spans="1:3" x14ac:dyDescent="0.2">
      <c r="A9" s="5" t="s">
        <v>2167</v>
      </c>
      <c r="B9" s="5">
        <f>B10+B11</f>
        <v>1208022.352</v>
      </c>
    </row>
    <row r="10" spans="1:3" x14ac:dyDescent="0.2">
      <c r="A10" s="5" t="s">
        <v>2165</v>
      </c>
      <c r="B10" s="5">
        <v>1205166.5970000001</v>
      </c>
    </row>
    <row r="11" spans="1:3" x14ac:dyDescent="0.2">
      <c r="A11" s="5" t="s">
        <v>2166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2165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2166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34">
    <tabColor rgb="FFFFFF00"/>
    <pageSetUpPr fitToPage="1"/>
  </sheetPr>
  <dimension ref="A2:AL50"/>
  <sheetViews>
    <sheetView workbookViewId="0">
      <pane xSplit="2" ySplit="6" topLeftCell="AD19" activePane="bottomRight" state="frozen"/>
      <selection pane="topRight" activeCell="C1" sqref="C1"/>
      <selection pane="bottomLeft" activeCell="A7" sqref="A7"/>
      <selection pane="bottomRight" activeCell="AI46" sqref="AI46"/>
    </sheetView>
  </sheetViews>
  <sheetFormatPr defaultRowHeight="12.75" x14ac:dyDescent="0.2"/>
  <cols>
    <col min="1" max="1" width="32" style="2106" customWidth="1"/>
    <col min="2" max="2" width="12.7109375" style="1875" customWidth="1"/>
    <col min="3" max="18" width="8.7109375" style="5" hidden="1" customWidth="1"/>
    <col min="19" max="29" width="8.7109375" style="5" customWidth="1"/>
    <col min="30" max="30" width="12.7109375" style="5" customWidth="1"/>
    <col min="31" max="32" width="9.7109375" style="5" customWidth="1"/>
    <col min="33" max="33" width="9.140625" style="5"/>
    <col min="34" max="35" width="12.7109375" style="5" customWidth="1"/>
    <col min="36" max="38" width="9.7109375" style="5" customWidth="1"/>
    <col min="39" max="16384" width="9.140625" style="5"/>
  </cols>
  <sheetData>
    <row r="2" spans="1:38" ht="15.75" x14ac:dyDescent="0.25">
      <c r="A2" s="5014" t="s">
        <v>3892</v>
      </c>
      <c r="B2" s="5014"/>
      <c r="C2" s="5014"/>
      <c r="D2" s="5014"/>
      <c r="E2" s="5014"/>
      <c r="F2" s="5014"/>
      <c r="G2" s="5014"/>
      <c r="H2" s="5014"/>
      <c r="I2" s="5014"/>
      <c r="J2" s="5014"/>
      <c r="K2" s="5014"/>
      <c r="L2" s="5014"/>
      <c r="M2" s="5014"/>
      <c r="N2" s="5014"/>
      <c r="O2" s="5014"/>
      <c r="P2" s="5014"/>
      <c r="Q2" s="5014"/>
      <c r="R2" s="5014"/>
      <c r="S2" s="5014"/>
      <c r="T2" s="5014"/>
      <c r="U2" s="5014"/>
      <c r="V2" s="5014"/>
      <c r="W2" s="5014"/>
      <c r="X2" s="5014"/>
      <c r="Y2" s="5014"/>
      <c r="Z2" s="5014"/>
      <c r="AA2" s="5014"/>
      <c r="AB2" s="5014"/>
      <c r="AC2" s="5014"/>
      <c r="AD2" s="5014"/>
      <c r="AE2" s="4242"/>
      <c r="AF2" s="4242"/>
      <c r="AG2" s="4242"/>
      <c r="AH2" s="4242"/>
      <c r="AI2" s="4242"/>
      <c r="AJ2" s="4242"/>
      <c r="AK2" s="4242"/>
      <c r="AL2" s="4242"/>
    </row>
    <row r="4" spans="1:38" ht="24" customHeight="1" x14ac:dyDescent="0.2">
      <c r="A4" s="4476" t="s">
        <v>527</v>
      </c>
      <c r="B4" s="4487" t="s">
        <v>325</v>
      </c>
      <c r="C4" s="5019" t="s">
        <v>1840</v>
      </c>
      <c r="D4" s="5019"/>
      <c r="E4" s="5019"/>
      <c r="F4" s="5019"/>
      <c r="G4" s="5019"/>
      <c r="H4" s="5019"/>
      <c r="I4" s="5019"/>
      <c r="J4" s="5019"/>
      <c r="K4" s="5019"/>
      <c r="L4" s="5019"/>
      <c r="M4" s="5020"/>
      <c r="N4" s="4487" t="s">
        <v>1800</v>
      </c>
      <c r="O4" s="4487"/>
      <c r="P4" s="4487"/>
      <c r="Q4" s="4487"/>
      <c r="R4" s="4487"/>
      <c r="S4" s="4487"/>
      <c r="T4" s="4487"/>
      <c r="U4" s="4487"/>
      <c r="V4" s="4487"/>
      <c r="W4" s="4487"/>
      <c r="X4" s="4487"/>
      <c r="Y4" s="4487" t="s">
        <v>3520</v>
      </c>
      <c r="Z4" s="5017"/>
      <c r="AA4" s="5017"/>
      <c r="AB4" s="5017"/>
      <c r="AC4" s="5017"/>
      <c r="AD4" s="2723" t="s">
        <v>1821</v>
      </c>
      <c r="AE4" s="4476" t="s">
        <v>3648</v>
      </c>
      <c r="AF4" s="4476" t="s">
        <v>3649</v>
      </c>
      <c r="AG4" s="4476" t="s">
        <v>3656</v>
      </c>
      <c r="AH4" s="5018" t="s">
        <v>3888</v>
      </c>
      <c r="AI4" s="4875"/>
      <c r="AJ4" s="4476" t="s">
        <v>3943</v>
      </c>
      <c r="AK4" s="4476" t="s">
        <v>3944</v>
      </c>
      <c r="AL4" s="4476" t="s">
        <v>3947</v>
      </c>
    </row>
    <row r="5" spans="1:38" x14ac:dyDescent="0.2">
      <c r="A5" s="4476"/>
      <c r="B5" s="4487"/>
      <c r="C5" s="4486" t="s">
        <v>818</v>
      </c>
      <c r="D5" s="4486"/>
      <c r="E5" s="4486"/>
      <c r="F5" s="4486" t="s">
        <v>895</v>
      </c>
      <c r="G5" s="4486"/>
      <c r="H5" s="4486"/>
      <c r="I5" s="4486"/>
      <c r="J5" s="4486"/>
      <c r="K5" s="4486" t="s">
        <v>896</v>
      </c>
      <c r="L5" s="4486"/>
      <c r="M5" s="4842"/>
      <c r="N5" s="2583" t="s">
        <v>1802</v>
      </c>
      <c r="O5" s="2583" t="s">
        <v>1808</v>
      </c>
      <c r="P5" s="2583" t="s">
        <v>1809</v>
      </c>
      <c r="Q5" s="2583" t="s">
        <v>1810</v>
      </c>
      <c r="R5" s="2583" t="s">
        <v>1811</v>
      </c>
      <c r="S5" s="2583" t="s">
        <v>1802</v>
      </c>
      <c r="T5" s="2583" t="s">
        <v>1808</v>
      </c>
      <c r="U5" s="2583" t="s">
        <v>1809</v>
      </c>
      <c r="V5" s="2583" t="s">
        <v>1810</v>
      </c>
      <c r="W5" s="2583" t="s">
        <v>1811</v>
      </c>
      <c r="X5" s="2583" t="s">
        <v>1812</v>
      </c>
      <c r="Y5" s="2583" t="s">
        <v>1808</v>
      </c>
      <c r="Z5" s="2583" t="s">
        <v>1809</v>
      </c>
      <c r="AA5" s="2583" t="s">
        <v>1810</v>
      </c>
      <c r="AB5" s="2583" t="s">
        <v>1811</v>
      </c>
      <c r="AC5" s="2583" t="s">
        <v>1812</v>
      </c>
      <c r="AD5" s="2723" t="s">
        <v>1808</v>
      </c>
      <c r="AE5" s="4739"/>
      <c r="AF5" s="4739"/>
      <c r="AG5" s="4739"/>
      <c r="AH5" s="5015" t="s">
        <v>272</v>
      </c>
      <c r="AI5" s="5015" t="s">
        <v>3693</v>
      </c>
      <c r="AJ5" s="4739"/>
      <c r="AK5" s="4739"/>
      <c r="AL5" s="4739"/>
    </row>
    <row r="6" spans="1:38" s="1875" customFormat="1" ht="26.25" customHeight="1" x14ac:dyDescent="0.2">
      <c r="A6" s="4476"/>
      <c r="B6" s="4487"/>
      <c r="C6" s="2582" t="s">
        <v>1588</v>
      </c>
      <c r="D6" s="2582" t="s">
        <v>1838</v>
      </c>
      <c r="E6" s="2582" t="s">
        <v>1825</v>
      </c>
      <c r="F6" s="2582" t="s">
        <v>1588</v>
      </c>
      <c r="G6" s="2582" t="s">
        <v>1839</v>
      </c>
      <c r="H6" s="2582" t="s">
        <v>1838</v>
      </c>
      <c r="I6" s="2582" t="s">
        <v>1907</v>
      </c>
      <c r="J6" s="2582" t="s">
        <v>1825</v>
      </c>
      <c r="K6" s="2582" t="s">
        <v>1588</v>
      </c>
      <c r="L6" s="2582" t="s">
        <v>1839</v>
      </c>
      <c r="M6" s="2582" t="s">
        <v>60</v>
      </c>
      <c r="N6" s="4476" t="s">
        <v>119</v>
      </c>
      <c r="O6" s="4476"/>
      <c r="P6" s="4476"/>
      <c r="Q6" s="4476"/>
      <c r="R6" s="4476"/>
      <c r="S6" s="4476" t="s">
        <v>1524</v>
      </c>
      <c r="T6" s="4476"/>
      <c r="U6" s="4476"/>
      <c r="V6" s="4476"/>
      <c r="W6" s="4476"/>
      <c r="X6" s="4476"/>
      <c r="Y6" s="4476" t="s">
        <v>119</v>
      </c>
      <c r="Z6" s="4739"/>
      <c r="AA6" s="4739"/>
      <c r="AB6" s="4739"/>
      <c r="AC6" s="4739"/>
      <c r="AD6" s="2721" t="s">
        <v>3693</v>
      </c>
      <c r="AE6" s="4739"/>
      <c r="AF6" s="4739"/>
      <c r="AG6" s="4739"/>
      <c r="AH6" s="5016"/>
      <c r="AI6" s="5016"/>
      <c r="AJ6" s="4739"/>
      <c r="AK6" s="4739"/>
      <c r="AL6" s="4739"/>
    </row>
    <row r="7" spans="1:38" x14ac:dyDescent="0.2">
      <c r="A7" s="3312" t="s">
        <v>1827</v>
      </c>
      <c r="B7" s="3232"/>
      <c r="C7" s="2602"/>
      <c r="D7" s="2602"/>
      <c r="E7" s="2602"/>
      <c r="F7" s="2602"/>
      <c r="G7" s="2602"/>
      <c r="H7" s="2602"/>
      <c r="I7" s="2602"/>
      <c r="J7" s="2602"/>
      <c r="K7" s="2602"/>
      <c r="L7" s="2602"/>
      <c r="M7" s="2602"/>
      <c r="N7" s="2602"/>
      <c r="O7" s="2602"/>
      <c r="P7" s="2602"/>
      <c r="Q7" s="2602"/>
      <c r="R7" s="2602"/>
      <c r="S7" s="2602"/>
      <c r="T7" s="2602"/>
      <c r="U7" s="2602"/>
      <c r="V7" s="2602"/>
      <c r="W7" s="2602"/>
      <c r="X7" s="2602"/>
      <c r="Y7" s="2602"/>
      <c r="Z7" s="2602"/>
      <c r="AA7" s="2602"/>
      <c r="AB7" s="2602"/>
      <c r="AC7" s="2602"/>
      <c r="AD7" s="2602"/>
      <c r="AE7" s="3324"/>
      <c r="AF7" s="3324"/>
      <c r="AG7" s="3324"/>
      <c r="AH7" s="2461"/>
      <c r="AI7" s="4061"/>
      <c r="AJ7" s="3965"/>
      <c r="AK7" s="3965"/>
      <c r="AL7" s="3991"/>
    </row>
    <row r="8" spans="1:38" s="1926" customFormat="1" x14ac:dyDescent="0.2">
      <c r="A8" s="3314" t="s">
        <v>1908</v>
      </c>
      <c r="B8" s="2652"/>
      <c r="C8" s="2611"/>
      <c r="D8" s="2611"/>
      <c r="E8" s="2611"/>
      <c r="F8" s="2611"/>
      <c r="G8" s="2611"/>
      <c r="H8" s="2611"/>
      <c r="I8" s="2611"/>
      <c r="J8" s="2611"/>
      <c r="K8" s="2611"/>
      <c r="L8" s="2611"/>
      <c r="M8" s="2611"/>
      <c r="N8" s="2611"/>
      <c r="O8" s="2611"/>
      <c r="P8" s="2611"/>
      <c r="Q8" s="2611"/>
      <c r="R8" s="2611"/>
      <c r="S8" s="2611"/>
      <c r="T8" s="2611"/>
      <c r="U8" s="2611"/>
      <c r="V8" s="2611"/>
      <c r="W8" s="2611"/>
      <c r="X8" s="2611"/>
      <c r="Y8" s="2611"/>
      <c r="Z8" s="2611"/>
      <c r="AA8" s="2611"/>
      <c r="AB8" s="2611"/>
      <c r="AC8" s="2611"/>
      <c r="AD8" s="2611"/>
      <c r="AE8" s="2611"/>
      <c r="AF8" s="2611"/>
      <c r="AG8" s="2611"/>
      <c r="AH8" s="3234"/>
      <c r="AI8" s="4062"/>
      <c r="AJ8" s="3336"/>
      <c r="AK8" s="3336"/>
      <c r="AL8" s="3309"/>
    </row>
    <row r="9" spans="1:38" x14ac:dyDescent="0.2">
      <c r="A9" s="3312" t="s">
        <v>1909</v>
      </c>
      <c r="B9" s="3232" t="s">
        <v>937</v>
      </c>
      <c r="C9" s="2610">
        <v>3463.93</v>
      </c>
      <c r="D9" s="2610">
        <v>3061.49</v>
      </c>
      <c r="E9" s="2610">
        <v>3061.19</v>
      </c>
      <c r="F9" s="2610">
        <f>C9</f>
        <v>3463.93</v>
      </c>
      <c r="G9" s="2610">
        <v>3295.75</v>
      </c>
      <c r="H9" s="2610">
        <v>3197.32</v>
      </c>
      <c r="I9" s="2610">
        <v>3196.36</v>
      </c>
      <c r="J9" s="2610">
        <f>'ЭЭ стоки'!J11+'ЭЭ стоки'!J12</f>
        <v>3197.3199999999997</v>
      </c>
      <c r="K9" s="2610">
        <f>F9</f>
        <v>3463.93</v>
      </c>
      <c r="L9" s="2610">
        <v>3248.93</v>
      </c>
      <c r="M9" s="2610">
        <f>SUM(M11:M12)</f>
        <v>3150.37</v>
      </c>
      <c r="N9" s="2610">
        <v>3248.93</v>
      </c>
      <c r="O9" s="2610">
        <v>3253</v>
      </c>
      <c r="P9" s="2610">
        <f t="shared" ref="P9:R9" si="0">O9</f>
        <v>3253</v>
      </c>
      <c r="Q9" s="2610">
        <f t="shared" si="0"/>
        <v>3253</v>
      </c>
      <c r="R9" s="2610">
        <f t="shared" si="0"/>
        <v>3253</v>
      </c>
      <c r="S9" s="2610">
        <f>S11+S12</f>
        <v>3020.0036431580988</v>
      </c>
      <c r="T9" s="2610">
        <f t="shared" ref="T9:AC9" si="1">T11+T12</f>
        <v>3020.0036431580988</v>
      </c>
      <c r="U9" s="2610">
        <f t="shared" si="1"/>
        <v>3020.0036431580988</v>
      </c>
      <c r="V9" s="2610">
        <f t="shared" si="1"/>
        <v>3020.0036431580988</v>
      </c>
      <c r="W9" s="2610">
        <f t="shared" si="1"/>
        <v>3020.0036431580988</v>
      </c>
      <c r="X9" s="2610">
        <f t="shared" si="1"/>
        <v>3020.0036431580988</v>
      </c>
      <c r="Y9" s="2610">
        <f t="shared" si="1"/>
        <v>3020.0036431580988</v>
      </c>
      <c r="Z9" s="2610">
        <f t="shared" si="1"/>
        <v>3020.0036431580988</v>
      </c>
      <c r="AA9" s="2610">
        <f t="shared" si="1"/>
        <v>3020.0036431580988</v>
      </c>
      <c r="AB9" s="2610">
        <f t="shared" si="1"/>
        <v>3020.0036431580988</v>
      </c>
      <c r="AC9" s="2610">
        <f t="shared" si="1"/>
        <v>3020.0036431580988</v>
      </c>
      <c r="AD9" s="2610">
        <f t="shared" ref="AD9" si="2">AD11+AD12</f>
        <v>2844.4076666666665</v>
      </c>
      <c r="AE9" s="2610">
        <f t="shared" ref="AE9:AG9" si="3">SUM(AE11:AE12)</f>
        <v>1547.3829999999998</v>
      </c>
      <c r="AF9" s="2610">
        <f t="shared" si="3"/>
        <v>2322.4540000000002</v>
      </c>
      <c r="AG9" s="2610">
        <f t="shared" si="3"/>
        <v>3120.433</v>
      </c>
      <c r="AH9" s="3233">
        <f t="shared" ref="AH9" si="4">AH11+AH12</f>
        <v>2844.4046666666663</v>
      </c>
      <c r="AI9" s="4063">
        <f t="shared" ref="AI9" si="5">AI11+AI12</f>
        <v>2844.4049999999997</v>
      </c>
      <c r="AJ9" s="3335">
        <f t="shared" ref="AJ9:AL9" si="6">SUM(AJ11:AJ12)</f>
        <v>1567.3310000000001</v>
      </c>
      <c r="AK9" s="3335">
        <f t="shared" si="6"/>
        <v>2286.9459999999999</v>
      </c>
      <c r="AL9" s="3307">
        <f t="shared" si="6"/>
        <v>0</v>
      </c>
    </row>
    <row r="10" spans="1:38" x14ac:dyDescent="0.2">
      <c r="A10" s="3312" t="s">
        <v>50</v>
      </c>
      <c r="B10" s="3232"/>
      <c r="C10" s="2610"/>
      <c r="D10" s="2610"/>
      <c r="E10" s="2610"/>
      <c r="F10" s="2610"/>
      <c r="G10" s="2610"/>
      <c r="H10" s="2610"/>
      <c r="I10" s="2610"/>
      <c r="J10" s="2610"/>
      <c r="K10" s="2610"/>
      <c r="L10" s="2610"/>
      <c r="M10" s="2610"/>
      <c r="N10" s="2610"/>
      <c r="O10" s="2610"/>
      <c r="P10" s="2610"/>
      <c r="Q10" s="2610"/>
      <c r="R10" s="2610"/>
      <c r="S10" s="2610"/>
      <c r="T10" s="2610"/>
      <c r="U10" s="2610"/>
      <c r="V10" s="2610"/>
      <c r="W10" s="2610"/>
      <c r="X10" s="2610"/>
      <c r="Y10" s="2610"/>
      <c r="Z10" s="2610"/>
      <c r="AA10" s="2610"/>
      <c r="AB10" s="2610"/>
      <c r="AC10" s="2610"/>
      <c r="AD10" s="2610"/>
      <c r="AE10" s="2610"/>
      <c r="AF10" s="2610"/>
      <c r="AG10" s="2610"/>
      <c r="AH10" s="3233"/>
      <c r="AI10" s="4063"/>
      <c r="AJ10" s="3335"/>
      <c r="AK10" s="3335"/>
      <c r="AL10" s="3307"/>
    </row>
    <row r="11" spans="1:38" s="1873" customFormat="1" x14ac:dyDescent="0.2">
      <c r="A11" s="3316" t="s">
        <v>1910</v>
      </c>
      <c r="B11" s="3232" t="s">
        <v>937</v>
      </c>
      <c r="C11" s="2610"/>
      <c r="D11" s="2610"/>
      <c r="E11" s="2610"/>
      <c r="F11" s="2610"/>
      <c r="G11" s="2610"/>
      <c r="H11" s="2610"/>
      <c r="I11" s="2610"/>
      <c r="J11" s="2610">
        <f>объемы!AP64+объемы!AP65</f>
        <v>3178.1</v>
      </c>
      <c r="K11" s="2610"/>
      <c r="L11" s="2610"/>
      <c r="M11" s="2610">
        <v>3132.12</v>
      </c>
      <c r="N11" s="2610"/>
      <c r="O11" s="2610"/>
      <c r="P11" s="2610"/>
      <c r="Q11" s="2610"/>
      <c r="R11" s="2610"/>
      <c r="S11" s="2610">
        <f>объемы!AZ63</f>
        <v>3002.3369764914323</v>
      </c>
      <c r="T11" s="2610">
        <f>S11</f>
        <v>3002.3369764914323</v>
      </c>
      <c r="U11" s="2610">
        <f t="shared" ref="U11:X13" si="7">T11</f>
        <v>3002.3369764914323</v>
      </c>
      <c r="V11" s="2610">
        <f t="shared" si="7"/>
        <v>3002.3369764914323</v>
      </c>
      <c r="W11" s="2610">
        <f t="shared" si="7"/>
        <v>3002.3369764914323</v>
      </c>
      <c r="X11" s="2610">
        <f t="shared" si="7"/>
        <v>3002.3369764914323</v>
      </c>
      <c r="Y11" s="2610">
        <f>SUM(объемы!BB63)</f>
        <v>3002.3369764914323</v>
      </c>
      <c r="Z11" s="2610">
        <f>SUM(Y11)</f>
        <v>3002.3369764914323</v>
      </c>
      <c r="AA11" s="2610">
        <f>SUM(Y11)</f>
        <v>3002.3369764914323</v>
      </c>
      <c r="AB11" s="2610">
        <f>SUM(Y11)</f>
        <v>3002.3369764914323</v>
      </c>
      <c r="AC11" s="2610">
        <f>SUM(Y11)</f>
        <v>3002.3369764914323</v>
      </c>
      <c r="AD11" s="2610">
        <f>SUM(объемы!BD63)+0.003</f>
        <v>2826.741</v>
      </c>
      <c r="AE11" s="2610">
        <f>SUM(объемы!BF63)</f>
        <v>1538.6509999999998</v>
      </c>
      <c r="AF11" s="2610">
        <f>SUM(объемы!BH63)</f>
        <v>2309.123</v>
      </c>
      <c r="AG11" s="2610">
        <f>SUM(объемы!BJ63)</f>
        <v>3105.598</v>
      </c>
      <c r="AH11" s="3233">
        <f>SUM(объемы!BL63)</f>
        <v>2826.7379999999998</v>
      </c>
      <c r="AI11" s="4063">
        <f>SUM(объемы!BN63)</f>
        <v>2826.7379999999998</v>
      </c>
      <c r="AJ11" s="3335">
        <f>SUM(объемы!BQ63)</f>
        <v>1559.5720000000001</v>
      </c>
      <c r="AK11" s="3335">
        <f>SUM(объемы!BS63)</f>
        <v>2275.0949999999998</v>
      </c>
      <c r="AL11" s="3307">
        <f>SUM(объемы!BU63)</f>
        <v>0</v>
      </c>
    </row>
    <row r="12" spans="1:38" s="1873" customFormat="1" x14ac:dyDescent="0.2">
      <c r="A12" s="3316" t="s">
        <v>1911</v>
      </c>
      <c r="B12" s="3232" t="s">
        <v>937</v>
      </c>
      <c r="C12" s="2610"/>
      <c r="D12" s="2610"/>
      <c r="E12" s="2610"/>
      <c r="F12" s="2610"/>
      <c r="G12" s="2610"/>
      <c r="H12" s="2610"/>
      <c r="I12" s="2610"/>
      <c r="J12" s="2610">
        <f>объемы!AQ63</f>
        <v>19.22</v>
      </c>
      <c r="K12" s="2610"/>
      <c r="L12" s="2610"/>
      <c r="M12" s="2610">
        <v>18.25</v>
      </c>
      <c r="N12" s="2610"/>
      <c r="O12" s="2610"/>
      <c r="P12" s="2610"/>
      <c r="Q12" s="2610"/>
      <c r="R12" s="2610"/>
      <c r="S12" s="2610">
        <f>объемы!BA63</f>
        <v>17.666666666666668</v>
      </c>
      <c r="T12" s="2610">
        <f>S12</f>
        <v>17.666666666666668</v>
      </c>
      <c r="U12" s="2610">
        <f t="shared" si="7"/>
        <v>17.666666666666668</v>
      </c>
      <c r="V12" s="2610">
        <f t="shared" si="7"/>
        <v>17.666666666666668</v>
      </c>
      <c r="W12" s="2610">
        <f t="shared" si="7"/>
        <v>17.666666666666668</v>
      </c>
      <c r="X12" s="2610">
        <f t="shared" si="7"/>
        <v>17.666666666666668</v>
      </c>
      <c r="Y12" s="2610">
        <f>SUM(объемы!BC63)</f>
        <v>17.666666666666668</v>
      </c>
      <c r="Z12" s="2610">
        <f>SUM(Y12)</f>
        <v>17.666666666666668</v>
      </c>
      <c r="AA12" s="2610">
        <f>SUM(Y12)</f>
        <v>17.666666666666668</v>
      </c>
      <c r="AB12" s="2610">
        <f>SUM(Y12)</f>
        <v>17.666666666666668</v>
      </c>
      <c r="AC12" s="2610">
        <f>SUM(Y12)</f>
        <v>17.666666666666668</v>
      </c>
      <c r="AD12" s="2610">
        <f>SUM(объемы!BE63)</f>
        <v>17.666666666666668</v>
      </c>
      <c r="AE12" s="2610">
        <f>SUM(объемы!BG63)</f>
        <v>8.7319999999999993</v>
      </c>
      <c r="AF12" s="2610">
        <f>SUM(объемы!BI63)</f>
        <v>13.331</v>
      </c>
      <c r="AG12" s="2610">
        <f>SUM(объемы!BK63)</f>
        <v>14.835000000000001</v>
      </c>
      <c r="AH12" s="3233">
        <f>SUM(объемы!BM63)</f>
        <v>17.666666666666668</v>
      </c>
      <c r="AI12" s="4063">
        <f>SUM(объемы!BO63)</f>
        <v>17.667000000000002</v>
      </c>
      <c r="AJ12" s="3335">
        <f>SUM(объемы!BR63)</f>
        <v>7.7590000000000003</v>
      </c>
      <c r="AK12" s="3335">
        <f>SUM(объемы!BT63)</f>
        <v>11.851000000000001</v>
      </c>
      <c r="AL12" s="3307">
        <f>SUM(объемы!BV63)</f>
        <v>0</v>
      </c>
    </row>
    <row r="13" spans="1:38" ht="63.75" x14ac:dyDescent="0.2">
      <c r="A13" s="3312" t="s">
        <v>1912</v>
      </c>
      <c r="B13" s="3232" t="s">
        <v>1835</v>
      </c>
      <c r="C13" s="2622">
        <v>8.4000000000000005E-2</v>
      </c>
      <c r="D13" s="2622">
        <v>9.1999999999999998E-2</v>
      </c>
      <c r="E13" s="2622">
        <f>C13</f>
        <v>8.4000000000000005E-2</v>
      </c>
      <c r="F13" s="2622">
        <f>C13</f>
        <v>8.4000000000000005E-2</v>
      </c>
      <c r="G13" s="2622">
        <f>F13</f>
        <v>8.4000000000000005E-2</v>
      </c>
      <c r="H13" s="2622">
        <v>0.11</v>
      </c>
      <c r="I13" s="2622">
        <v>0.11</v>
      </c>
      <c r="J13" s="2622">
        <f>G13</f>
        <v>8.4000000000000005E-2</v>
      </c>
      <c r="K13" s="2622">
        <f>F13</f>
        <v>8.4000000000000005E-2</v>
      </c>
      <c r="L13" s="2622">
        <f>K13</f>
        <v>8.4000000000000005E-2</v>
      </c>
      <c r="M13" s="2622">
        <f>SUM(M14/M9)</f>
        <v>9.9908899589572026E-2</v>
      </c>
      <c r="N13" s="2622">
        <v>0.09</v>
      </c>
      <c r="O13" s="2622">
        <f>N13</f>
        <v>0.09</v>
      </c>
      <c r="P13" s="2622">
        <f t="shared" ref="P13:R13" si="8">O13</f>
        <v>0.09</v>
      </c>
      <c r="Q13" s="2622">
        <f t="shared" si="8"/>
        <v>0.09</v>
      </c>
      <c r="R13" s="2622">
        <f t="shared" si="8"/>
        <v>0.09</v>
      </c>
      <c r="S13" s="2622">
        <f>I13</f>
        <v>0.11</v>
      </c>
      <c r="T13" s="2622">
        <f>S13</f>
        <v>0.11</v>
      </c>
      <c r="U13" s="2622">
        <f t="shared" si="7"/>
        <v>0.11</v>
      </c>
      <c r="V13" s="2622">
        <f t="shared" si="7"/>
        <v>0.11</v>
      </c>
      <c r="W13" s="2622">
        <f t="shared" si="7"/>
        <v>0.11</v>
      </c>
      <c r="X13" s="2622">
        <f t="shared" si="7"/>
        <v>0.11</v>
      </c>
      <c r="Y13" s="2622">
        <f>SUM(S13)</f>
        <v>0.11</v>
      </c>
      <c r="Z13" s="2622">
        <f t="shared" ref="Z13:AC13" si="9">SUM(T13)</f>
        <v>0.11</v>
      </c>
      <c r="AA13" s="2622">
        <f t="shared" si="9"/>
        <v>0.11</v>
      </c>
      <c r="AB13" s="2622">
        <f t="shared" si="9"/>
        <v>0.11</v>
      </c>
      <c r="AC13" s="2622">
        <f t="shared" si="9"/>
        <v>0.11</v>
      </c>
      <c r="AD13" s="2622">
        <f>SUM(X13)</f>
        <v>0.11</v>
      </c>
      <c r="AE13" s="2622">
        <f t="shared" ref="AE13:AG13" si="10">SUM(AE14/AE9)</f>
        <v>8.8950182340118769E-2</v>
      </c>
      <c r="AF13" s="2622">
        <f t="shared" si="10"/>
        <v>8.5245176007791759E-2</v>
      </c>
      <c r="AG13" s="2622">
        <f t="shared" si="10"/>
        <v>8.7678857389343084E-2</v>
      </c>
      <c r="AH13" s="2425">
        <f>SUM(AB13)</f>
        <v>0.11</v>
      </c>
      <c r="AI13" s="4064">
        <f>SUM(AD13)</f>
        <v>0.11</v>
      </c>
      <c r="AJ13" s="2425">
        <f t="shared" ref="AJ13:AL13" si="11">SUM(AJ14/AJ9)</f>
        <v>9.0364447586374533E-2</v>
      </c>
      <c r="AK13" s="2425">
        <f t="shared" si="11"/>
        <v>8.9421438022585592E-2</v>
      </c>
      <c r="AL13" s="3308" t="e">
        <f t="shared" si="11"/>
        <v>#DIV/0!</v>
      </c>
    </row>
    <row r="14" spans="1:38" ht="25.5" x14ac:dyDescent="0.2">
      <c r="A14" s="3312" t="s">
        <v>3522</v>
      </c>
      <c r="B14" s="3232" t="s">
        <v>1836</v>
      </c>
      <c r="C14" s="2610">
        <v>291</v>
      </c>
      <c r="D14" s="2610">
        <v>282</v>
      </c>
      <c r="E14" s="2610">
        <v>257.2</v>
      </c>
      <c r="F14" s="2610">
        <v>291</v>
      </c>
      <c r="G14" s="2610">
        <v>276.8</v>
      </c>
      <c r="H14" s="2610">
        <v>351.61599999999999</v>
      </c>
      <c r="I14" s="2610">
        <v>351.62</v>
      </c>
      <c r="J14" s="2610">
        <f>J16+J17</f>
        <v>266.96039999999999</v>
      </c>
      <c r="K14" s="2610">
        <v>291</v>
      </c>
      <c r="L14" s="2610">
        <v>272.89999999999998</v>
      </c>
      <c r="M14" s="2610">
        <f>M16+M17</f>
        <v>314.75</v>
      </c>
      <c r="N14" s="2610">
        <v>292.39999999999998</v>
      </c>
      <c r="O14" s="2610">
        <v>292.77</v>
      </c>
      <c r="P14" s="2610">
        <v>292.77</v>
      </c>
      <c r="Q14" s="2610">
        <v>292.77</v>
      </c>
      <c r="R14" s="2610">
        <v>292.77</v>
      </c>
      <c r="S14" s="2610">
        <f>S16</f>
        <v>330.25706741405753</v>
      </c>
      <c r="T14" s="2610">
        <f t="shared" ref="T14:AC14" si="12">T16</f>
        <v>330.25706741405753</v>
      </c>
      <c r="U14" s="2610">
        <f t="shared" si="12"/>
        <v>330.25706741405753</v>
      </c>
      <c r="V14" s="2610">
        <f t="shared" si="12"/>
        <v>330.25706741405753</v>
      </c>
      <c r="W14" s="2610">
        <f t="shared" si="12"/>
        <v>330.25706741405753</v>
      </c>
      <c r="X14" s="2610">
        <f t="shared" si="12"/>
        <v>330.25706741405753</v>
      </c>
      <c r="Y14" s="2610">
        <f t="shared" si="12"/>
        <v>330.25706741405753</v>
      </c>
      <c r="Z14" s="2610">
        <f t="shared" si="12"/>
        <v>330.25706741405753</v>
      </c>
      <c r="AA14" s="2610">
        <f t="shared" si="12"/>
        <v>330.25706741405753</v>
      </c>
      <c r="AB14" s="2610">
        <f t="shared" si="12"/>
        <v>330.25706741405753</v>
      </c>
      <c r="AC14" s="2610">
        <f t="shared" si="12"/>
        <v>330.25706741405753</v>
      </c>
      <c r="AD14" s="2610">
        <f t="shared" ref="AD14" si="13">AD16</f>
        <v>310.94150999999999</v>
      </c>
      <c r="AE14" s="2610">
        <f t="shared" ref="AE14:AG14" si="14">AE16+AE17</f>
        <v>137.63999999999999</v>
      </c>
      <c r="AF14" s="2610">
        <f t="shared" si="14"/>
        <v>197.97800000000001</v>
      </c>
      <c r="AG14" s="2610">
        <f t="shared" si="14"/>
        <v>273.596</v>
      </c>
      <c r="AH14" s="3233">
        <f t="shared" ref="AH14" si="15">AH16</f>
        <v>310.94117999999997</v>
      </c>
      <c r="AI14" s="4063">
        <f>AI16+AI17</f>
        <v>312.88454999999999</v>
      </c>
      <c r="AJ14" s="3335">
        <f t="shared" ref="AJ14:AL14" si="16">AJ16+AJ17</f>
        <v>141.631</v>
      </c>
      <c r="AK14" s="3335">
        <f t="shared" si="16"/>
        <v>204.50200000000001</v>
      </c>
      <c r="AL14" s="3307">
        <f t="shared" si="16"/>
        <v>0</v>
      </c>
    </row>
    <row r="15" spans="1:38" x14ac:dyDescent="0.2">
      <c r="A15" s="3312" t="s">
        <v>50</v>
      </c>
      <c r="B15" s="3232"/>
      <c r="C15" s="2610"/>
      <c r="D15" s="2610"/>
      <c r="E15" s="2610"/>
      <c r="F15" s="2610"/>
      <c r="G15" s="2610"/>
      <c r="H15" s="2610"/>
      <c r="I15" s="2610"/>
      <c r="J15" s="2610"/>
      <c r="K15" s="2610"/>
      <c r="L15" s="2610"/>
      <c r="M15" s="2610"/>
      <c r="N15" s="2610"/>
      <c r="O15" s="2610"/>
      <c r="P15" s="2610"/>
      <c r="Q15" s="2610"/>
      <c r="R15" s="2610"/>
      <c r="S15" s="2610"/>
      <c r="T15" s="2610"/>
      <c r="U15" s="2610"/>
      <c r="V15" s="2610"/>
      <c r="W15" s="2610"/>
      <c r="X15" s="2610"/>
      <c r="Y15" s="2610"/>
      <c r="Z15" s="2610"/>
      <c r="AA15" s="2610"/>
      <c r="AB15" s="2610"/>
      <c r="AC15" s="2610"/>
      <c r="AD15" s="2610"/>
      <c r="AE15" s="2610"/>
      <c r="AF15" s="2610"/>
      <c r="AG15" s="2610"/>
      <c r="AH15" s="3233"/>
      <c r="AI15" s="4063"/>
      <c r="AJ15" s="3335"/>
      <c r="AK15" s="3335"/>
      <c r="AL15" s="3307"/>
    </row>
    <row r="16" spans="1:38" x14ac:dyDescent="0.2">
      <c r="A16" s="3316" t="str">
        <f>A11</f>
        <v>канализованный жил. фонд</v>
      </c>
      <c r="B16" s="3232" t="s">
        <v>1836</v>
      </c>
      <c r="C16" s="2610"/>
      <c r="D16" s="2610"/>
      <c r="E16" s="2610"/>
      <c r="F16" s="2610"/>
      <c r="G16" s="2610"/>
      <c r="H16" s="2610"/>
      <c r="I16" s="2610"/>
      <c r="J16" s="2610">
        <f>J11*J13</f>
        <v>266.96039999999999</v>
      </c>
      <c r="K16" s="2610"/>
      <c r="L16" s="2610"/>
      <c r="M16" s="2610">
        <v>314.75</v>
      </c>
      <c r="N16" s="2610"/>
      <c r="O16" s="2610"/>
      <c r="P16" s="2610"/>
      <c r="Q16" s="2610"/>
      <c r="R16" s="2610"/>
      <c r="S16" s="2610">
        <f>S11*S13</f>
        <v>330.25706741405753</v>
      </c>
      <c r="T16" s="2610">
        <f t="shared" ref="T16:AC16" si="17">T11*T13</f>
        <v>330.25706741405753</v>
      </c>
      <c r="U16" s="2610">
        <f t="shared" si="17"/>
        <v>330.25706741405753</v>
      </c>
      <c r="V16" s="2610">
        <f t="shared" si="17"/>
        <v>330.25706741405753</v>
      </c>
      <c r="W16" s="2610">
        <f t="shared" si="17"/>
        <v>330.25706741405753</v>
      </c>
      <c r="X16" s="2610">
        <f t="shared" si="17"/>
        <v>330.25706741405753</v>
      </c>
      <c r="Y16" s="2610">
        <f t="shared" si="17"/>
        <v>330.25706741405753</v>
      </c>
      <c r="Z16" s="2610">
        <f t="shared" si="17"/>
        <v>330.25706741405753</v>
      </c>
      <c r="AA16" s="2610">
        <f t="shared" si="17"/>
        <v>330.25706741405753</v>
      </c>
      <c r="AB16" s="2610">
        <f t="shared" si="17"/>
        <v>330.25706741405753</v>
      </c>
      <c r="AC16" s="2610">
        <f t="shared" si="17"/>
        <v>330.25706741405753</v>
      </c>
      <c r="AD16" s="2610">
        <f t="shared" ref="AD16" si="18">AD11*AD13</f>
        <v>310.94150999999999</v>
      </c>
      <c r="AE16" s="2610">
        <v>137.63999999999999</v>
      </c>
      <c r="AF16" s="2610">
        <v>197.97800000000001</v>
      </c>
      <c r="AG16" s="2610">
        <v>273.596</v>
      </c>
      <c r="AH16" s="3233">
        <f t="shared" ref="AH16" si="19">AH11*AH13</f>
        <v>310.94117999999997</v>
      </c>
      <c r="AI16" s="4063">
        <f t="shared" ref="AI16" si="20">AI11*AI13</f>
        <v>310.94117999999997</v>
      </c>
      <c r="AJ16" s="3335">
        <v>141.631</v>
      </c>
      <c r="AK16" s="3335">
        <v>204.50200000000001</v>
      </c>
      <c r="AL16" s="3307"/>
    </row>
    <row r="17" spans="1:38" x14ac:dyDescent="0.2">
      <c r="A17" s="3316" t="str">
        <f>A12</f>
        <v>не канализованный жил. фонд</v>
      </c>
      <c r="B17" s="3232" t="s">
        <v>1836</v>
      </c>
      <c r="C17" s="2610"/>
      <c r="D17" s="2610"/>
      <c r="E17" s="2610"/>
      <c r="F17" s="2610"/>
      <c r="G17" s="2610"/>
      <c r="H17" s="2610"/>
      <c r="I17" s="2610"/>
      <c r="J17" s="2610">
        <v>0</v>
      </c>
      <c r="K17" s="2610"/>
      <c r="L17" s="2610"/>
      <c r="M17" s="2610">
        <v>0</v>
      </c>
      <c r="N17" s="2610"/>
      <c r="O17" s="2610"/>
      <c r="P17" s="2610"/>
      <c r="Q17" s="2610"/>
      <c r="R17" s="2610"/>
      <c r="S17" s="2610">
        <v>0</v>
      </c>
      <c r="T17" s="2610">
        <v>0</v>
      </c>
      <c r="U17" s="2610">
        <v>0</v>
      </c>
      <c r="V17" s="2610">
        <v>0</v>
      </c>
      <c r="W17" s="2610">
        <v>0</v>
      </c>
      <c r="X17" s="2610">
        <v>0</v>
      </c>
      <c r="Y17" s="2610">
        <v>0</v>
      </c>
      <c r="Z17" s="2610">
        <v>0</v>
      </c>
      <c r="AA17" s="2610">
        <v>0</v>
      </c>
      <c r="AB17" s="2610">
        <v>0</v>
      </c>
      <c r="AC17" s="2610">
        <v>0</v>
      </c>
      <c r="AD17" s="2610">
        <v>0</v>
      </c>
      <c r="AE17" s="2610">
        <v>0</v>
      </c>
      <c r="AF17" s="2610">
        <v>0</v>
      </c>
      <c r="AG17" s="2610">
        <v>0</v>
      </c>
      <c r="AH17" s="3233">
        <v>0</v>
      </c>
      <c r="AI17" s="4063">
        <f>AI12*AI13</f>
        <v>1.9433700000000003</v>
      </c>
      <c r="AJ17" s="3335">
        <v>0</v>
      </c>
      <c r="AK17" s="3335">
        <v>0</v>
      </c>
      <c r="AL17" s="3307">
        <v>0</v>
      </c>
    </row>
    <row r="18" spans="1:38" x14ac:dyDescent="0.2">
      <c r="A18" s="3312" t="s">
        <v>1833</v>
      </c>
      <c r="B18" s="3232" t="s">
        <v>1837</v>
      </c>
      <c r="C18" s="2610">
        <v>5.5330000000000004</v>
      </c>
      <c r="D18" s="2610">
        <v>2.48</v>
      </c>
      <c r="E18" s="2610">
        <v>2.48</v>
      </c>
      <c r="F18" s="2610">
        <v>5.8979999999999997</v>
      </c>
      <c r="G18" s="2610">
        <v>5.66</v>
      </c>
      <c r="H18" s="2610">
        <v>4.7386999999999997</v>
      </c>
      <c r="I18" s="2610">
        <v>4.7</v>
      </c>
      <c r="J18" s="2610">
        <f>I18</f>
        <v>4.7</v>
      </c>
      <c r="K18" s="2610">
        <v>6.2930000000000001</v>
      </c>
      <c r="L18" s="2610">
        <v>6.0549999999999997</v>
      </c>
      <c r="M18" s="2610">
        <f>SUM(M19/M14)</f>
        <v>3.4271644162033361</v>
      </c>
      <c r="N18" s="2610">
        <v>5.4249999999999998</v>
      </c>
      <c r="O18" s="2610">
        <v>5.8049999999999997</v>
      </c>
      <c r="P18" s="2610">
        <v>6.2110000000000003</v>
      </c>
      <c r="Q18" s="2610">
        <v>6.6459999999999999</v>
      </c>
      <c r="R18" s="2610">
        <v>7.1120000000000001</v>
      </c>
      <c r="S18" s="2610">
        <f>S33</f>
        <v>5.1824177099999993</v>
      </c>
      <c r="T18" s="2610">
        <f>S18*1.042</f>
        <v>5.4000792538199995</v>
      </c>
      <c r="U18" s="2610">
        <f>T18*1.04</f>
        <v>5.6160824239727996</v>
      </c>
      <c r="V18" s="2610">
        <f>U18*1.04</f>
        <v>5.8407257209317116</v>
      </c>
      <c r="W18" s="2610">
        <f>V18*1.039</f>
        <v>6.0685140240480475</v>
      </c>
      <c r="X18" s="2610">
        <f>W18*1.039</f>
        <v>6.3051860709859211</v>
      </c>
      <c r="Y18" s="2610">
        <f>SUM(T18)</f>
        <v>5.4000792538199995</v>
      </c>
      <c r="Z18" s="2610">
        <f>SUM(U18)</f>
        <v>5.6160824239727996</v>
      </c>
      <c r="AA18" s="2610">
        <f>SUM(V18)</f>
        <v>5.8407257209317116</v>
      </c>
      <c r="AB18" s="2610">
        <f>SUM(W18)</f>
        <v>6.0685140240480475</v>
      </c>
      <c r="AC18" s="2610">
        <f>SUM(X18)</f>
        <v>6.3051860709859211</v>
      </c>
      <c r="AD18" s="2610">
        <f>4.7*1.054*1.048</f>
        <v>5.1915824000000006</v>
      </c>
      <c r="AE18" s="2610">
        <f t="shared" ref="AE18:AG18" si="21">SUM(AE19/AE14)</f>
        <v>5.8536326649229879</v>
      </c>
      <c r="AF18" s="2610">
        <f t="shared" si="21"/>
        <v>5.9032922850013634</v>
      </c>
      <c r="AG18" s="4053">
        <f t="shared" si="21"/>
        <v>5.9778651734674479</v>
      </c>
      <c r="AH18" s="3233">
        <f>SUM(AD18*1.046)</f>
        <v>5.4303951904000005</v>
      </c>
      <c r="AI18" s="4063">
        <f>SUM(AG18*1.032*1.04)</f>
        <v>6.4159231333791436</v>
      </c>
      <c r="AJ18" s="3335">
        <f t="shared" ref="AJ18:AK18" si="22">SUM(AJ19/AJ14)</f>
        <v>5.869830686784673</v>
      </c>
      <c r="AK18" s="3335">
        <f t="shared" si="22"/>
        <v>5.9891834798681671</v>
      </c>
      <c r="AL18" s="3307">
        <v>5.98</v>
      </c>
    </row>
    <row r="19" spans="1:38" s="1926" customFormat="1" ht="25.5" x14ac:dyDescent="0.2">
      <c r="A19" s="3314" t="s">
        <v>1913</v>
      </c>
      <c r="B19" s="2652" t="s">
        <v>902</v>
      </c>
      <c r="C19" s="2611">
        <v>1609.86</v>
      </c>
      <c r="D19" s="2611">
        <v>698.03</v>
      </c>
      <c r="E19" s="2611">
        <v>636.48</v>
      </c>
      <c r="F19" s="2611">
        <v>1716.11</v>
      </c>
      <c r="G19" s="2611">
        <v>1566.52</v>
      </c>
      <c r="H19" s="2611">
        <v>1666.2</v>
      </c>
      <c r="I19" s="2611">
        <v>1653.79</v>
      </c>
      <c r="J19" s="2611">
        <f>J18*J14</f>
        <v>1254.71388</v>
      </c>
      <c r="K19" s="2611">
        <v>1831.09</v>
      </c>
      <c r="L19" s="2611">
        <v>1652.37</v>
      </c>
      <c r="M19" s="2611">
        <v>1078.7</v>
      </c>
      <c r="N19" s="2611">
        <v>1586.39</v>
      </c>
      <c r="O19" s="2611">
        <v>1699.56</v>
      </c>
      <c r="P19" s="2611">
        <v>1818.53</v>
      </c>
      <c r="Q19" s="2611">
        <v>1945.83</v>
      </c>
      <c r="R19" s="2611">
        <v>2082.04</v>
      </c>
      <c r="S19" s="2611">
        <f>S14*S18</f>
        <v>1711.5300750192755</v>
      </c>
      <c r="T19" s="2611">
        <f t="shared" ref="T19:AC19" si="23">T14*T18</f>
        <v>1783.4143381700851</v>
      </c>
      <c r="U19" s="2611">
        <f t="shared" si="23"/>
        <v>1854.7509116968886</v>
      </c>
      <c r="V19" s="2611">
        <f t="shared" si="23"/>
        <v>1928.940948164764</v>
      </c>
      <c r="W19" s="2611">
        <f t="shared" si="23"/>
        <v>2004.1696451431897</v>
      </c>
      <c r="X19" s="2611">
        <f t="shared" si="23"/>
        <v>2082.332261303774</v>
      </c>
      <c r="Y19" s="2611">
        <f t="shared" si="23"/>
        <v>1783.4143381700851</v>
      </c>
      <c r="Z19" s="2611">
        <f t="shared" si="23"/>
        <v>1854.7509116968886</v>
      </c>
      <c r="AA19" s="2611">
        <f t="shared" si="23"/>
        <v>1928.940948164764</v>
      </c>
      <c r="AB19" s="2611">
        <f t="shared" si="23"/>
        <v>2004.1696451431897</v>
      </c>
      <c r="AC19" s="2611">
        <f t="shared" si="23"/>
        <v>2082.332261303774</v>
      </c>
      <c r="AD19" s="2611">
        <f t="shared" ref="AD19" si="24">AD14*AD18</f>
        <v>1614.2784707454241</v>
      </c>
      <c r="AE19" s="2611">
        <f>SUM(AE21:AE22)</f>
        <v>805.69399999999996</v>
      </c>
      <c r="AF19" s="2611">
        <f t="shared" ref="AF19:AG19" si="25">SUM(AF21:AF22)</f>
        <v>1168.722</v>
      </c>
      <c r="AG19" s="2611">
        <f t="shared" si="25"/>
        <v>1635.52</v>
      </c>
      <c r="AH19" s="3234">
        <f t="shared" ref="AH19" si="26">AH14*AH18</f>
        <v>1688.5334883693006</v>
      </c>
      <c r="AI19" s="4065">
        <f t="shared" ref="AI19" si="27">AI14*AI18</f>
        <v>2007.4432224219233</v>
      </c>
      <c r="AJ19" s="3336">
        <f>SUM(AJ21:AJ22)</f>
        <v>831.34999000000005</v>
      </c>
      <c r="AK19" s="3336">
        <f t="shared" ref="AK19:AL19" si="28">SUM(AK21:AK22)</f>
        <v>1224.8</v>
      </c>
      <c r="AL19" s="3309">
        <f t="shared" si="28"/>
        <v>0</v>
      </c>
    </row>
    <row r="20" spans="1:38" x14ac:dyDescent="0.2">
      <c r="A20" s="3312" t="s">
        <v>50</v>
      </c>
      <c r="B20" s="3232"/>
      <c r="C20" s="2610"/>
      <c r="D20" s="2610"/>
      <c r="E20" s="2610"/>
      <c r="F20" s="2610"/>
      <c r="G20" s="2610"/>
      <c r="H20" s="2610"/>
      <c r="I20" s="2610"/>
      <c r="J20" s="2610"/>
      <c r="K20" s="2610"/>
      <c r="L20" s="2610"/>
      <c r="M20" s="2610"/>
      <c r="N20" s="2610"/>
      <c r="O20" s="2610"/>
      <c r="P20" s="2610"/>
      <c r="Q20" s="2610"/>
      <c r="R20" s="2610"/>
      <c r="S20" s="2610"/>
      <c r="T20" s="2610"/>
      <c r="U20" s="2610"/>
      <c r="V20" s="2610"/>
      <c r="W20" s="2610"/>
      <c r="X20" s="2610"/>
      <c r="Y20" s="2610"/>
      <c r="Z20" s="2610"/>
      <c r="AA20" s="2610"/>
      <c r="AB20" s="2610"/>
      <c r="AC20" s="2610"/>
      <c r="AD20" s="2610"/>
      <c r="AE20" s="2610"/>
      <c r="AF20" s="2610"/>
      <c r="AG20" s="2610"/>
      <c r="AH20" s="3233"/>
      <c r="AI20" s="4063"/>
      <c r="AJ20" s="3335"/>
      <c r="AK20" s="3335"/>
      <c r="AL20" s="3307"/>
    </row>
    <row r="21" spans="1:38" x14ac:dyDescent="0.2">
      <c r="A21" s="3316" t="str">
        <f>A16</f>
        <v>канализованный жил. фонд</v>
      </c>
      <c r="B21" s="3232" t="s">
        <v>902</v>
      </c>
      <c r="C21" s="2610"/>
      <c r="D21" s="2610"/>
      <c r="E21" s="2610"/>
      <c r="F21" s="2610"/>
      <c r="G21" s="2610"/>
      <c r="H21" s="2610"/>
      <c r="I21" s="2610"/>
      <c r="J21" s="2610">
        <f>J16*J18</f>
        <v>1254.71388</v>
      </c>
      <c r="K21" s="2610"/>
      <c r="L21" s="2610"/>
      <c r="M21" s="2610">
        <f>SUM(M19)</f>
        <v>1078.7</v>
      </c>
      <c r="N21" s="2610"/>
      <c r="O21" s="2610"/>
      <c r="P21" s="2610"/>
      <c r="Q21" s="2610"/>
      <c r="R21" s="2610"/>
      <c r="S21" s="2610">
        <f>S16*S18</f>
        <v>1711.5300750192755</v>
      </c>
      <c r="T21" s="2610">
        <f t="shared" ref="T21:X21" si="29">T16*T18</f>
        <v>1783.4143381700851</v>
      </c>
      <c r="U21" s="2610">
        <f t="shared" si="29"/>
        <v>1854.7509116968886</v>
      </c>
      <c r="V21" s="2610">
        <f t="shared" si="29"/>
        <v>1928.940948164764</v>
      </c>
      <c r="W21" s="2610">
        <f t="shared" si="29"/>
        <v>2004.1696451431897</v>
      </c>
      <c r="X21" s="2610">
        <f t="shared" si="29"/>
        <v>2082.332261303774</v>
      </c>
      <c r="Y21" s="2610">
        <f t="shared" ref="Y21:AC21" si="30">Y16*Y18</f>
        <v>1783.4143381700851</v>
      </c>
      <c r="Z21" s="2610">
        <f t="shared" si="30"/>
        <v>1854.7509116968886</v>
      </c>
      <c r="AA21" s="2610">
        <f t="shared" si="30"/>
        <v>1928.940948164764</v>
      </c>
      <c r="AB21" s="2610">
        <f t="shared" si="30"/>
        <v>2004.1696451431897</v>
      </c>
      <c r="AC21" s="2610">
        <f t="shared" si="30"/>
        <v>2082.332261303774</v>
      </c>
      <c r="AD21" s="2610">
        <f t="shared" ref="AD21" si="31">AD16*AD18</f>
        <v>1614.2784707454241</v>
      </c>
      <c r="AE21" s="2610">
        <v>805.69399999999996</v>
      </c>
      <c r="AF21" s="2610">
        <v>1168.722</v>
      </c>
      <c r="AG21" s="2610">
        <v>1635.52</v>
      </c>
      <c r="AH21" s="3233">
        <f t="shared" ref="AH21" si="32">AH16*AH18</f>
        <v>1688.5334883693006</v>
      </c>
      <c r="AI21" s="4063">
        <f t="shared" ref="AI21" si="33">AI16*AI18</f>
        <v>1994.9747098822081</v>
      </c>
      <c r="AJ21" s="3335">
        <v>831.34999000000005</v>
      </c>
      <c r="AK21" s="3335">
        <v>1224.8</v>
      </c>
      <c r="AL21" s="3307"/>
    </row>
    <row r="22" spans="1:38" x14ac:dyDescent="0.2">
      <c r="A22" s="3316" t="str">
        <f>A17</f>
        <v>не канализованный жил. фонд</v>
      </c>
      <c r="B22" s="3232" t="s">
        <v>902</v>
      </c>
      <c r="C22" s="2610"/>
      <c r="D22" s="2610"/>
      <c r="E22" s="2610"/>
      <c r="F22" s="2610"/>
      <c r="G22" s="2610"/>
      <c r="H22" s="2610"/>
      <c r="I22" s="2610"/>
      <c r="J22" s="2610">
        <f>J17*J18</f>
        <v>0</v>
      </c>
      <c r="K22" s="2610"/>
      <c r="L22" s="2610"/>
      <c r="M22" s="2610">
        <v>0</v>
      </c>
      <c r="N22" s="2610"/>
      <c r="O22" s="2610"/>
      <c r="P22" s="2610"/>
      <c r="Q22" s="2610"/>
      <c r="R22" s="2610"/>
      <c r="S22" s="2610">
        <f>S17*S18</f>
        <v>0</v>
      </c>
      <c r="T22" s="2610">
        <f t="shared" ref="T22:X22" si="34">T17*T18</f>
        <v>0</v>
      </c>
      <c r="U22" s="2610">
        <f t="shared" si="34"/>
        <v>0</v>
      </c>
      <c r="V22" s="2610">
        <f t="shared" si="34"/>
        <v>0</v>
      </c>
      <c r="W22" s="2610">
        <f t="shared" si="34"/>
        <v>0</v>
      </c>
      <c r="X22" s="2610">
        <f t="shared" si="34"/>
        <v>0</v>
      </c>
      <c r="Y22" s="2610">
        <f t="shared" ref="Y22:AC22" si="35">Y17*Y18</f>
        <v>0</v>
      </c>
      <c r="Z22" s="2610">
        <f t="shared" si="35"/>
        <v>0</v>
      </c>
      <c r="AA22" s="2610">
        <f t="shared" si="35"/>
        <v>0</v>
      </c>
      <c r="AB22" s="2610">
        <f t="shared" si="35"/>
        <v>0</v>
      </c>
      <c r="AC22" s="2610">
        <f t="shared" si="35"/>
        <v>0</v>
      </c>
      <c r="AD22" s="2610">
        <f t="shared" ref="AD22" si="36">AD17*AD18</f>
        <v>0</v>
      </c>
      <c r="AE22" s="2610">
        <v>0</v>
      </c>
      <c r="AF22" s="2610">
        <v>0</v>
      </c>
      <c r="AG22" s="2610">
        <v>0</v>
      </c>
      <c r="AH22" s="3233">
        <f t="shared" ref="AH22" si="37">AH17*AH18</f>
        <v>0</v>
      </c>
      <c r="AI22" s="4063">
        <f t="shared" ref="AI22" si="38">AI17*AI18</f>
        <v>12.468512539715029</v>
      </c>
      <c r="AJ22" s="3335">
        <v>0</v>
      </c>
      <c r="AK22" s="3335">
        <v>0</v>
      </c>
      <c r="AL22" s="3307">
        <v>0</v>
      </c>
    </row>
    <row r="23" spans="1:38" s="1928" customFormat="1" x14ac:dyDescent="0.2">
      <c r="A23" s="3314" t="s">
        <v>1914</v>
      </c>
      <c r="B23" s="2652"/>
      <c r="C23" s="2611"/>
      <c r="D23" s="2611"/>
      <c r="E23" s="2611"/>
      <c r="F23" s="2611"/>
      <c r="G23" s="2611"/>
      <c r="H23" s="2611"/>
      <c r="I23" s="2611"/>
      <c r="J23" s="2611"/>
      <c r="K23" s="2611"/>
      <c r="L23" s="2611"/>
      <c r="M23" s="2611"/>
      <c r="N23" s="2611"/>
      <c r="O23" s="2611"/>
      <c r="P23" s="2611"/>
      <c r="Q23" s="2611"/>
      <c r="R23" s="2611"/>
      <c r="S23" s="2611"/>
      <c r="T23" s="2611"/>
      <c r="U23" s="2611"/>
      <c r="V23" s="2611"/>
      <c r="W23" s="2611"/>
      <c r="X23" s="2611"/>
      <c r="Y23" s="2611"/>
      <c r="Z23" s="2611"/>
      <c r="AA23" s="2611"/>
      <c r="AB23" s="2611"/>
      <c r="AC23" s="2611"/>
      <c r="AD23" s="2611"/>
      <c r="AE23" s="2611"/>
      <c r="AF23" s="2611"/>
      <c r="AG23" s="2611"/>
      <c r="AH23" s="3234"/>
      <c r="AI23" s="4065"/>
      <c r="AJ23" s="3336"/>
      <c r="AK23" s="3336"/>
      <c r="AL23" s="3309"/>
    </row>
    <row r="24" spans="1:38" x14ac:dyDescent="0.2">
      <c r="A24" s="3312" t="s">
        <v>1916</v>
      </c>
      <c r="B24" s="3232" t="s">
        <v>937</v>
      </c>
      <c r="C24" s="2610">
        <v>3463.93</v>
      </c>
      <c r="D24" s="2610">
        <f>D9</f>
        <v>3061.49</v>
      </c>
      <c r="E24" s="2610">
        <f>E9</f>
        <v>3061.19</v>
      </c>
      <c r="F24" s="2610">
        <f>C24</f>
        <v>3463.93</v>
      </c>
      <c r="G24" s="2610">
        <f>G9</f>
        <v>3295.75</v>
      </c>
      <c r="H24" s="2610">
        <f>H9</f>
        <v>3197.32</v>
      </c>
      <c r="I24" s="2610">
        <f>G24</f>
        <v>3295.75</v>
      </c>
      <c r="J24" s="2610">
        <f>J26+J27</f>
        <v>3197.3199999999997</v>
      </c>
      <c r="K24" s="2610">
        <f>F24</f>
        <v>3463.93</v>
      </c>
      <c r="L24" s="2610">
        <f>L9</f>
        <v>3248.93</v>
      </c>
      <c r="M24" s="2610">
        <f>SUM(M26:M27)</f>
        <v>3150.37</v>
      </c>
      <c r="N24" s="2610">
        <f t="shared" ref="N24:R24" si="39">N9</f>
        <v>3248.93</v>
      </c>
      <c r="O24" s="2610">
        <f t="shared" si="39"/>
        <v>3253</v>
      </c>
      <c r="P24" s="2610">
        <f t="shared" si="39"/>
        <v>3253</v>
      </c>
      <c r="Q24" s="2610">
        <f t="shared" si="39"/>
        <v>3253</v>
      </c>
      <c r="R24" s="2610">
        <f t="shared" si="39"/>
        <v>3253</v>
      </c>
      <c r="S24" s="2610">
        <f>S26+S27</f>
        <v>3020.0036431580988</v>
      </c>
      <c r="T24" s="2610">
        <f t="shared" ref="T24:AC24" si="40">T26+T27</f>
        <v>3020.0036431580988</v>
      </c>
      <c r="U24" s="2610">
        <f t="shared" si="40"/>
        <v>3020.0036431580988</v>
      </c>
      <c r="V24" s="2610">
        <f t="shared" si="40"/>
        <v>3020.0036431580988</v>
      </c>
      <c r="W24" s="2610">
        <f t="shared" si="40"/>
        <v>3020.0036431580988</v>
      </c>
      <c r="X24" s="2610">
        <f t="shared" si="40"/>
        <v>3020.0036431580988</v>
      </c>
      <c r="Y24" s="2610">
        <f t="shared" si="40"/>
        <v>3020.0036431580988</v>
      </c>
      <c r="Z24" s="2610">
        <f t="shared" si="40"/>
        <v>3020.0036431580988</v>
      </c>
      <c r="AA24" s="2610">
        <f t="shared" si="40"/>
        <v>3020.0036431580988</v>
      </c>
      <c r="AB24" s="2610">
        <f t="shared" si="40"/>
        <v>3020.0036431580988</v>
      </c>
      <c r="AC24" s="2610">
        <f t="shared" si="40"/>
        <v>3020.0036431580988</v>
      </c>
      <c r="AD24" s="2610">
        <f t="shared" ref="AD24" si="41">AD26+AD27</f>
        <v>3020.0036431580988</v>
      </c>
      <c r="AE24" s="2610">
        <f t="shared" ref="AE24:AG24" si="42">SUM(AE26:AE27)</f>
        <v>1547.3829999999998</v>
      </c>
      <c r="AF24" s="2610">
        <f t="shared" si="42"/>
        <v>2322.4540000000002</v>
      </c>
      <c r="AG24" s="2610">
        <f t="shared" si="42"/>
        <v>3120.433</v>
      </c>
      <c r="AH24" s="3233">
        <f t="shared" ref="AH24" si="43">AH26+AH27</f>
        <v>3020.0036431580988</v>
      </c>
      <c r="AI24" s="4063">
        <f t="shared" ref="AI24" si="44">AI26+AI27</f>
        <v>2844.4049999999997</v>
      </c>
      <c r="AJ24" s="3335">
        <f t="shared" ref="AJ24:AL24" si="45">SUM(AJ26:AJ27)</f>
        <v>1567.3310000000001</v>
      </c>
      <c r="AK24" s="3335">
        <f t="shared" si="45"/>
        <v>2286.9459999999999</v>
      </c>
      <c r="AL24" s="3307">
        <f t="shared" si="45"/>
        <v>0</v>
      </c>
    </row>
    <row r="25" spans="1:38" x14ac:dyDescent="0.2">
      <c r="A25" s="3312" t="s">
        <v>50</v>
      </c>
      <c r="B25" s="3232"/>
      <c r="C25" s="2610"/>
      <c r="D25" s="2610"/>
      <c r="E25" s="2610"/>
      <c r="F25" s="2610"/>
      <c r="G25" s="2610"/>
      <c r="H25" s="2610"/>
      <c r="I25" s="2610"/>
      <c r="J25" s="2610"/>
      <c r="K25" s="2610"/>
      <c r="L25" s="2610"/>
      <c r="M25" s="2610"/>
      <c r="N25" s="2610"/>
      <c r="O25" s="2610"/>
      <c r="P25" s="2610"/>
      <c r="Q25" s="2610"/>
      <c r="R25" s="2610"/>
      <c r="S25" s="2610"/>
      <c r="T25" s="2610"/>
      <c r="U25" s="2610"/>
      <c r="V25" s="2610"/>
      <c r="W25" s="2610"/>
      <c r="X25" s="2610"/>
      <c r="Y25" s="2610"/>
      <c r="Z25" s="2610"/>
      <c r="AA25" s="2610"/>
      <c r="AB25" s="2610"/>
      <c r="AC25" s="2610"/>
      <c r="AD25" s="2610"/>
      <c r="AE25" s="2610"/>
      <c r="AF25" s="2610"/>
      <c r="AG25" s="2610"/>
      <c r="AH25" s="3233"/>
      <c r="AI25" s="4063"/>
      <c r="AJ25" s="3335"/>
      <c r="AK25" s="3335"/>
      <c r="AL25" s="3307"/>
    </row>
    <row r="26" spans="1:38" x14ac:dyDescent="0.2">
      <c r="A26" s="3316" t="str">
        <f>A21</f>
        <v>канализованный жил. фонд</v>
      </c>
      <c r="B26" s="3232" t="s">
        <v>937</v>
      </c>
      <c r="C26" s="2610"/>
      <c r="D26" s="2610"/>
      <c r="E26" s="2610"/>
      <c r="F26" s="2610"/>
      <c r="G26" s="2610"/>
      <c r="H26" s="2610"/>
      <c r="I26" s="2610"/>
      <c r="J26" s="2610">
        <f>J11</f>
        <v>3178.1</v>
      </c>
      <c r="K26" s="2610"/>
      <c r="L26" s="2610"/>
      <c r="M26" s="2610">
        <f>M11</f>
        <v>3132.12</v>
      </c>
      <c r="N26" s="2610"/>
      <c r="O26" s="2610"/>
      <c r="P26" s="2610"/>
      <c r="Q26" s="2610"/>
      <c r="R26" s="2610"/>
      <c r="S26" s="2610">
        <f>S11</f>
        <v>3002.3369764914323</v>
      </c>
      <c r="T26" s="2610">
        <f>S26</f>
        <v>3002.3369764914323</v>
      </c>
      <c r="U26" s="2610">
        <f t="shared" ref="U26:X28" si="46">T26</f>
        <v>3002.3369764914323</v>
      </c>
      <c r="V26" s="2610">
        <f t="shared" si="46"/>
        <v>3002.3369764914323</v>
      </c>
      <c r="W26" s="2610">
        <f t="shared" si="46"/>
        <v>3002.3369764914323</v>
      </c>
      <c r="X26" s="2610">
        <f t="shared" si="46"/>
        <v>3002.3369764914323</v>
      </c>
      <c r="Y26" s="2610">
        <f>SUM(Y11)</f>
        <v>3002.3369764914323</v>
      </c>
      <c r="Z26" s="2610">
        <f t="shared" ref="Z26:AC27" si="47">SUM(Z11)</f>
        <v>3002.3369764914323</v>
      </c>
      <c r="AA26" s="2610">
        <f t="shared" si="47"/>
        <v>3002.3369764914323</v>
      </c>
      <c r="AB26" s="2610">
        <f t="shared" si="47"/>
        <v>3002.3369764914323</v>
      </c>
      <c r="AC26" s="2610">
        <f t="shared" si="47"/>
        <v>3002.3369764914323</v>
      </c>
      <c r="AD26" s="2610">
        <f>SUM(Y26)</f>
        <v>3002.3369764914323</v>
      </c>
      <c r="AE26" s="2610">
        <f t="shared" ref="AE26:AG26" si="48">AE11</f>
        <v>1538.6509999999998</v>
      </c>
      <c r="AF26" s="2610">
        <f t="shared" si="48"/>
        <v>2309.123</v>
      </c>
      <c r="AG26" s="2610">
        <f t="shared" si="48"/>
        <v>3105.598</v>
      </c>
      <c r="AH26" s="3233">
        <f>SUM(AC26)</f>
        <v>3002.3369764914323</v>
      </c>
      <c r="AI26" s="4063">
        <f>SUM(AI11)</f>
        <v>2826.7379999999998</v>
      </c>
      <c r="AJ26" s="3335">
        <f t="shared" ref="AJ26:AL26" si="49">AJ11</f>
        <v>1559.5720000000001</v>
      </c>
      <c r="AK26" s="3335">
        <f t="shared" si="49"/>
        <v>2275.0949999999998</v>
      </c>
      <c r="AL26" s="3307">
        <f t="shared" si="49"/>
        <v>0</v>
      </c>
    </row>
    <row r="27" spans="1:38" x14ac:dyDescent="0.2">
      <c r="A27" s="3316" t="str">
        <f>A22</f>
        <v>не канализованный жил. фонд</v>
      </c>
      <c r="B27" s="3232" t="s">
        <v>937</v>
      </c>
      <c r="C27" s="2610"/>
      <c r="D27" s="2610"/>
      <c r="E27" s="2610"/>
      <c r="F27" s="2610"/>
      <c r="G27" s="2610"/>
      <c r="H27" s="2610"/>
      <c r="I27" s="2610"/>
      <c r="J27" s="2610">
        <f>J12</f>
        <v>19.22</v>
      </c>
      <c r="K27" s="2610"/>
      <c r="L27" s="2610"/>
      <c r="M27" s="2610">
        <f>M12</f>
        <v>18.25</v>
      </c>
      <c r="N27" s="2610"/>
      <c r="O27" s="2610"/>
      <c r="P27" s="2610"/>
      <c r="Q27" s="2610"/>
      <c r="R27" s="2610"/>
      <c r="S27" s="2610">
        <f>S12</f>
        <v>17.666666666666668</v>
      </c>
      <c r="T27" s="2610">
        <f>S27</f>
        <v>17.666666666666668</v>
      </c>
      <c r="U27" s="2610">
        <f t="shared" si="46"/>
        <v>17.666666666666668</v>
      </c>
      <c r="V27" s="2610">
        <f t="shared" si="46"/>
        <v>17.666666666666668</v>
      </c>
      <c r="W27" s="2610">
        <f t="shared" si="46"/>
        <v>17.666666666666668</v>
      </c>
      <c r="X27" s="2610">
        <f t="shared" si="46"/>
        <v>17.666666666666668</v>
      </c>
      <c r="Y27" s="2610">
        <f>SUM(Y12)</f>
        <v>17.666666666666668</v>
      </c>
      <c r="Z27" s="2610">
        <f t="shared" si="47"/>
        <v>17.666666666666668</v>
      </c>
      <c r="AA27" s="2610">
        <f t="shared" si="47"/>
        <v>17.666666666666668</v>
      </c>
      <c r="AB27" s="2610">
        <f t="shared" si="47"/>
        <v>17.666666666666668</v>
      </c>
      <c r="AC27" s="2610">
        <f t="shared" si="47"/>
        <v>17.666666666666668</v>
      </c>
      <c r="AD27" s="2610">
        <f>SUM(Y27)</f>
        <v>17.666666666666668</v>
      </c>
      <c r="AE27" s="2610">
        <f t="shared" ref="AE27:AG27" si="50">AE12</f>
        <v>8.7319999999999993</v>
      </c>
      <c r="AF27" s="2610">
        <f t="shared" si="50"/>
        <v>13.331</v>
      </c>
      <c r="AG27" s="2610">
        <f t="shared" si="50"/>
        <v>14.835000000000001</v>
      </c>
      <c r="AH27" s="3233">
        <f>SUM(AC27)</f>
        <v>17.666666666666668</v>
      </c>
      <c r="AI27" s="4063">
        <f>SUM(AI12)</f>
        <v>17.667000000000002</v>
      </c>
      <c r="AJ27" s="3335">
        <f t="shared" ref="AJ27:AL27" si="51">AJ12</f>
        <v>7.7590000000000003</v>
      </c>
      <c r="AK27" s="3335">
        <f t="shared" si="51"/>
        <v>11.851000000000001</v>
      </c>
      <c r="AL27" s="3307">
        <f t="shared" si="51"/>
        <v>0</v>
      </c>
    </row>
    <row r="28" spans="1:38" ht="54" customHeight="1" x14ac:dyDescent="0.2">
      <c r="A28" s="3312" t="s">
        <v>1915</v>
      </c>
      <c r="B28" s="3232" t="s">
        <v>1835</v>
      </c>
      <c r="C28" s="2622">
        <v>0.42</v>
      </c>
      <c r="D28" s="2622">
        <v>0.60199999999999998</v>
      </c>
      <c r="E28" s="2622">
        <f>C28</f>
        <v>0.42</v>
      </c>
      <c r="F28" s="2622">
        <f>C28</f>
        <v>0.42</v>
      </c>
      <c r="G28" s="2622">
        <v>0.42</v>
      </c>
      <c r="H28" s="2622">
        <v>0.628</v>
      </c>
      <c r="I28" s="2622">
        <v>0.629</v>
      </c>
      <c r="J28" s="2622">
        <f>G28</f>
        <v>0.42</v>
      </c>
      <c r="K28" s="2622">
        <f>F28</f>
        <v>0.42</v>
      </c>
      <c r="L28" s="2622">
        <f>K28</f>
        <v>0.42</v>
      </c>
      <c r="M28" s="2622">
        <f>SUM(M29/M24)</f>
        <v>0.63927570412364265</v>
      </c>
      <c r="N28" s="2622">
        <v>0.6</v>
      </c>
      <c r="O28" s="2622">
        <v>0.6</v>
      </c>
      <c r="P28" s="2622">
        <v>0.6</v>
      </c>
      <c r="Q28" s="2622">
        <v>0.6</v>
      </c>
      <c r="R28" s="2622">
        <v>0.6</v>
      </c>
      <c r="S28" s="2622">
        <f>A50</f>
        <v>0.46085083542073829</v>
      </c>
      <c r="T28" s="2622">
        <f>S28</f>
        <v>0.46085083542073829</v>
      </c>
      <c r="U28" s="2622">
        <f t="shared" si="46"/>
        <v>0.46085083542073829</v>
      </c>
      <c r="V28" s="2622">
        <f t="shared" si="46"/>
        <v>0.46085083542073829</v>
      </c>
      <c r="W28" s="2622">
        <f t="shared" si="46"/>
        <v>0.46085083542073829</v>
      </c>
      <c r="X28" s="2622">
        <f t="shared" si="46"/>
        <v>0.46085083542073829</v>
      </c>
      <c r="Y28" s="2622">
        <f t="shared" ref="Y28:AD28" si="52">SUM(X28)</f>
        <v>0.46085083542073829</v>
      </c>
      <c r="Z28" s="2622">
        <f t="shared" si="52"/>
        <v>0.46085083542073829</v>
      </c>
      <c r="AA28" s="2622">
        <f t="shared" si="52"/>
        <v>0.46085083542073829</v>
      </c>
      <c r="AB28" s="2622">
        <f t="shared" si="52"/>
        <v>0.46085083542073829</v>
      </c>
      <c r="AC28" s="2622">
        <f t="shared" si="52"/>
        <v>0.46085083542073829</v>
      </c>
      <c r="AD28" s="2622">
        <f t="shared" si="52"/>
        <v>0.46085083542073829</v>
      </c>
      <c r="AE28" s="2622">
        <f t="shared" ref="AE28:AG28" si="53">SUM(AE29/AE24)</f>
        <v>0.6198006569802047</v>
      </c>
      <c r="AF28" s="2622">
        <f t="shared" si="53"/>
        <v>0.62165795318228034</v>
      </c>
      <c r="AG28" s="2622">
        <f t="shared" si="53"/>
        <v>0.61480217649281366</v>
      </c>
      <c r="AH28" s="2425">
        <v>0.61499999999999999</v>
      </c>
      <c r="AI28" s="4064">
        <f>SUM(AD28)</f>
        <v>0.46085083542073829</v>
      </c>
      <c r="AJ28" s="2425">
        <f t="shared" ref="AJ28:AL28" si="54">SUM(AJ29/AJ24)</f>
        <v>0.60339775069848034</v>
      </c>
      <c r="AK28" s="2425">
        <f t="shared" si="54"/>
        <v>0.61550688122937758</v>
      </c>
      <c r="AL28" s="3308" t="e">
        <f t="shared" si="54"/>
        <v>#DIV/0!</v>
      </c>
    </row>
    <row r="29" spans="1:38" ht="25.5" x14ac:dyDescent="0.2">
      <c r="A29" s="3312" t="s">
        <v>3521</v>
      </c>
      <c r="B29" s="3232" t="s">
        <v>1836</v>
      </c>
      <c r="C29" s="2610">
        <v>1454.9</v>
      </c>
      <c r="D29" s="2610">
        <v>1842.5</v>
      </c>
      <c r="E29" s="2610">
        <v>1285.8</v>
      </c>
      <c r="F29" s="2610">
        <v>1454.9</v>
      </c>
      <c r="G29" s="2610">
        <v>1384.2</v>
      </c>
      <c r="H29" s="2610">
        <v>2009.0730000000001</v>
      </c>
      <c r="I29" s="2610">
        <v>2009.07</v>
      </c>
      <c r="J29" s="2610">
        <f>J31+J32</f>
        <v>1342.8743999999999</v>
      </c>
      <c r="K29" s="2610">
        <v>1454.9</v>
      </c>
      <c r="L29" s="2610">
        <v>1364.6</v>
      </c>
      <c r="M29" s="2610">
        <f>SUM(M31:M32)</f>
        <v>2013.9549999999999</v>
      </c>
      <c r="N29" s="2610">
        <v>1949.36</v>
      </c>
      <c r="O29" s="2610">
        <v>1951.8</v>
      </c>
      <c r="P29" s="2610">
        <v>1951.8</v>
      </c>
      <c r="Q29" s="2610">
        <v>1951.8</v>
      </c>
      <c r="R29" s="2610">
        <v>1951.8</v>
      </c>
      <c r="S29" s="2610">
        <f>S24*S28</f>
        <v>1391.771201923083</v>
      </c>
      <c r="T29" s="2610">
        <f t="shared" ref="T29:AC29" si="55">T24*T28</f>
        <v>1391.771201923083</v>
      </c>
      <c r="U29" s="2610">
        <f t="shared" si="55"/>
        <v>1391.771201923083</v>
      </c>
      <c r="V29" s="2610">
        <f t="shared" si="55"/>
        <v>1391.771201923083</v>
      </c>
      <c r="W29" s="2610">
        <f t="shared" si="55"/>
        <v>1391.771201923083</v>
      </c>
      <c r="X29" s="2610">
        <f t="shared" si="55"/>
        <v>1391.771201923083</v>
      </c>
      <c r="Y29" s="2610">
        <f t="shared" si="55"/>
        <v>1391.771201923083</v>
      </c>
      <c r="Z29" s="2610">
        <f t="shared" si="55"/>
        <v>1391.771201923083</v>
      </c>
      <c r="AA29" s="2610">
        <f t="shared" si="55"/>
        <v>1391.771201923083</v>
      </c>
      <c r="AB29" s="2610">
        <f t="shared" si="55"/>
        <v>1391.771201923083</v>
      </c>
      <c r="AC29" s="2610">
        <f t="shared" si="55"/>
        <v>1391.771201923083</v>
      </c>
      <c r="AD29" s="2610">
        <f t="shared" ref="AD29" si="56">AD24*AD28</f>
        <v>1391.771201923083</v>
      </c>
      <c r="AE29" s="2610">
        <f t="shared" ref="AE29:AG29" si="57">SUM(AE31:AE32)</f>
        <v>959.06899999999996</v>
      </c>
      <c r="AF29" s="2610">
        <f t="shared" si="57"/>
        <v>1443.7719999999999</v>
      </c>
      <c r="AG29" s="2610">
        <f t="shared" si="57"/>
        <v>1918.4490000000001</v>
      </c>
      <c r="AH29" s="3233">
        <f>AH24*AH28</f>
        <v>1857.3022405422307</v>
      </c>
      <c r="AI29" s="4063">
        <f>AI24*AI28</f>
        <v>1310.846420524925</v>
      </c>
      <c r="AJ29" s="3335">
        <f t="shared" ref="AJ29:AL29" si="58">SUM(AJ31:AJ32)</f>
        <v>945.72400000000005</v>
      </c>
      <c r="AK29" s="3335">
        <f t="shared" si="58"/>
        <v>1407.6310000000001</v>
      </c>
      <c r="AL29" s="3307">
        <f t="shared" si="58"/>
        <v>0</v>
      </c>
    </row>
    <row r="30" spans="1:38" x14ac:dyDescent="0.2">
      <c r="A30" s="3312" t="s">
        <v>50</v>
      </c>
      <c r="B30" s="3232"/>
      <c r="C30" s="2610"/>
      <c r="D30" s="2610"/>
      <c r="E30" s="2610"/>
      <c r="F30" s="2610"/>
      <c r="G30" s="2610"/>
      <c r="H30" s="2610"/>
      <c r="I30" s="2610"/>
      <c r="J30" s="2610"/>
      <c r="K30" s="2610"/>
      <c r="L30" s="2610"/>
      <c r="M30" s="2610"/>
      <c r="N30" s="2610"/>
      <c r="O30" s="2610"/>
      <c r="P30" s="2610"/>
      <c r="Q30" s="2610"/>
      <c r="R30" s="2610"/>
      <c r="S30" s="2610"/>
      <c r="T30" s="2610"/>
      <c r="U30" s="2610"/>
      <c r="V30" s="2610"/>
      <c r="W30" s="2610"/>
      <c r="X30" s="2610"/>
      <c r="Y30" s="2610"/>
      <c r="Z30" s="2610"/>
      <c r="AA30" s="2610"/>
      <c r="AB30" s="2610"/>
      <c r="AC30" s="2610"/>
      <c r="AD30" s="2610"/>
      <c r="AE30" s="2610"/>
      <c r="AF30" s="2610"/>
      <c r="AG30" s="2610"/>
      <c r="AH30" s="3233"/>
      <c r="AI30" s="4063"/>
      <c r="AJ30" s="3335"/>
      <c r="AK30" s="3335"/>
      <c r="AL30" s="3307"/>
    </row>
    <row r="31" spans="1:38" x14ac:dyDescent="0.2">
      <c r="A31" s="3316" t="str">
        <f>A26</f>
        <v>канализованный жил. фонд</v>
      </c>
      <c r="B31" s="3232" t="s">
        <v>1836</v>
      </c>
      <c r="C31" s="2610"/>
      <c r="D31" s="2610"/>
      <c r="E31" s="2610"/>
      <c r="F31" s="2610"/>
      <c r="G31" s="2610"/>
      <c r="H31" s="2610"/>
      <c r="I31" s="2610"/>
      <c r="J31" s="2610">
        <f>J26*J28</f>
        <v>1334.8019999999999</v>
      </c>
      <c r="K31" s="2610"/>
      <c r="L31" s="2610"/>
      <c r="M31" s="2610">
        <v>2006.2909999999999</v>
      </c>
      <c r="N31" s="2610"/>
      <c r="O31" s="2610"/>
      <c r="P31" s="2610"/>
      <c r="Q31" s="2610"/>
      <c r="R31" s="2610"/>
      <c r="S31" s="2610">
        <f>S26*S28</f>
        <v>1383.62950383065</v>
      </c>
      <c r="T31" s="2610">
        <f t="shared" ref="T31:X31" si="59">T26*T28</f>
        <v>1383.62950383065</v>
      </c>
      <c r="U31" s="2610">
        <f t="shared" si="59"/>
        <v>1383.62950383065</v>
      </c>
      <c r="V31" s="2610">
        <f t="shared" si="59"/>
        <v>1383.62950383065</v>
      </c>
      <c r="W31" s="2610">
        <f t="shared" si="59"/>
        <v>1383.62950383065</v>
      </c>
      <c r="X31" s="2610">
        <f t="shared" si="59"/>
        <v>1383.62950383065</v>
      </c>
      <c r="Y31" s="2610">
        <f t="shared" ref="Y31:AC31" si="60">Y26*Y28</f>
        <v>1383.62950383065</v>
      </c>
      <c r="Z31" s="2610">
        <f t="shared" si="60"/>
        <v>1383.62950383065</v>
      </c>
      <c r="AA31" s="2610">
        <f t="shared" si="60"/>
        <v>1383.62950383065</v>
      </c>
      <c r="AB31" s="2610">
        <f t="shared" si="60"/>
        <v>1383.62950383065</v>
      </c>
      <c r="AC31" s="2610">
        <f t="shared" si="60"/>
        <v>1383.62950383065</v>
      </c>
      <c r="AD31" s="2610">
        <f t="shared" ref="AD31" si="61">AD26*AD28</f>
        <v>1383.62950383065</v>
      </c>
      <c r="AE31" s="2610">
        <v>955.40099999999995</v>
      </c>
      <c r="AF31" s="2610">
        <v>1438.173</v>
      </c>
      <c r="AG31" s="2610">
        <v>1912.2180000000001</v>
      </c>
      <c r="AH31" s="3233">
        <f t="shared" ref="AH31" si="62">AH26*AH28</f>
        <v>1846.4372405422309</v>
      </c>
      <c r="AI31" s="4063">
        <f t="shared" ref="AI31" si="63">AI26*AI28</f>
        <v>1302.7045688155467</v>
      </c>
      <c r="AJ31" s="3335">
        <v>942.46500000000003</v>
      </c>
      <c r="AK31" s="3335">
        <v>1402.654</v>
      </c>
      <c r="AL31" s="3307"/>
    </row>
    <row r="32" spans="1:38" x14ac:dyDescent="0.2">
      <c r="A32" s="3316" t="str">
        <f>A27</f>
        <v>не канализованный жил. фонд</v>
      </c>
      <c r="B32" s="3232" t="s">
        <v>1836</v>
      </c>
      <c r="C32" s="2610"/>
      <c r="D32" s="2610"/>
      <c r="E32" s="2610"/>
      <c r="F32" s="2610"/>
      <c r="G32" s="2610"/>
      <c r="H32" s="2610"/>
      <c r="I32" s="2610"/>
      <c r="J32" s="2610">
        <f>J27*J28</f>
        <v>8.0724</v>
      </c>
      <c r="K32" s="2610"/>
      <c r="L32" s="2610"/>
      <c r="M32" s="2610">
        <v>7.6639999999999997</v>
      </c>
      <c r="N32" s="2610"/>
      <c r="O32" s="2610"/>
      <c r="P32" s="2610"/>
      <c r="Q32" s="2610"/>
      <c r="R32" s="2610"/>
      <c r="S32" s="2610">
        <f>S27*S28</f>
        <v>8.1416980924330442</v>
      </c>
      <c r="T32" s="2610">
        <f t="shared" ref="T32:X32" si="64">T27*T28</f>
        <v>8.1416980924330442</v>
      </c>
      <c r="U32" s="2610">
        <f t="shared" si="64"/>
        <v>8.1416980924330442</v>
      </c>
      <c r="V32" s="2610">
        <f t="shared" si="64"/>
        <v>8.1416980924330442</v>
      </c>
      <c r="W32" s="2610">
        <f t="shared" si="64"/>
        <v>8.1416980924330442</v>
      </c>
      <c r="X32" s="2610">
        <f t="shared" si="64"/>
        <v>8.1416980924330442</v>
      </c>
      <c r="Y32" s="2610">
        <f t="shared" ref="Y32:AC32" si="65">Y27*Y28</f>
        <v>8.1416980924330442</v>
      </c>
      <c r="Z32" s="2610">
        <f t="shared" si="65"/>
        <v>8.1416980924330442</v>
      </c>
      <c r="AA32" s="2610">
        <f t="shared" si="65"/>
        <v>8.1416980924330442</v>
      </c>
      <c r="AB32" s="2610">
        <f t="shared" si="65"/>
        <v>8.1416980924330442</v>
      </c>
      <c r="AC32" s="2610">
        <f t="shared" si="65"/>
        <v>8.1416980924330442</v>
      </c>
      <c r="AD32" s="2610">
        <f t="shared" ref="AD32" si="66">AD27*AD28</f>
        <v>8.1416980924330442</v>
      </c>
      <c r="AE32" s="2610">
        <v>3.6680000000000001</v>
      </c>
      <c r="AF32" s="2610">
        <v>5.5990000000000002</v>
      </c>
      <c r="AG32" s="2610">
        <v>6.2309999999999999</v>
      </c>
      <c r="AH32" s="3233">
        <f t="shared" ref="AH32" si="67">AH27*AH28</f>
        <v>10.865</v>
      </c>
      <c r="AI32" s="4063">
        <f t="shared" ref="AI32" si="68">AI27*AI28</f>
        <v>8.1418517093781837</v>
      </c>
      <c r="AJ32" s="3335">
        <v>3.2589999999999999</v>
      </c>
      <c r="AK32" s="3335">
        <v>4.9770000000000003</v>
      </c>
      <c r="AL32" s="3307"/>
    </row>
    <row r="33" spans="1:38" x14ac:dyDescent="0.2">
      <c r="A33" s="3312" t="s">
        <v>1833</v>
      </c>
      <c r="B33" s="3232" t="s">
        <v>1837</v>
      </c>
      <c r="C33" s="2610">
        <v>4.1189999999999998</v>
      </c>
      <c r="D33" s="2610">
        <v>5.05</v>
      </c>
      <c r="E33" s="2610">
        <v>5.05</v>
      </c>
      <c r="F33" s="2610">
        <v>4.391</v>
      </c>
      <c r="G33" s="2610">
        <v>4.3099999999999996</v>
      </c>
      <c r="H33" s="2610">
        <v>4.7386999999999997</v>
      </c>
      <c r="I33" s="2610">
        <v>4.71</v>
      </c>
      <c r="J33" s="2610">
        <f>I33</f>
        <v>4.71</v>
      </c>
      <c r="K33" s="2610">
        <v>4.6849999999999996</v>
      </c>
      <c r="L33" s="2610">
        <v>4.6150000000000002</v>
      </c>
      <c r="M33" s="2610"/>
      <c r="N33" s="2610">
        <v>5.4249999999999998</v>
      </c>
      <c r="O33" s="2610">
        <v>5.8049999999999997</v>
      </c>
      <c r="P33" s="2610">
        <v>6.2110000000000003</v>
      </c>
      <c r="Q33" s="2610">
        <v>6.46</v>
      </c>
      <c r="R33" s="2610">
        <v>7.1120000000000001</v>
      </c>
      <c r="S33" s="2610">
        <f>J33*1.039*1.059</f>
        <v>5.1824177099999993</v>
      </c>
      <c r="T33" s="2610">
        <f>S33*1.042</f>
        <v>5.4000792538199995</v>
      </c>
      <c r="U33" s="2610">
        <f>T33*1.04</f>
        <v>5.6160824239727996</v>
      </c>
      <c r="V33" s="2610">
        <f>U33*1.04</f>
        <v>5.8407257209317116</v>
      </c>
      <c r="W33" s="2610">
        <f>V33*1.039</f>
        <v>6.0685140240480475</v>
      </c>
      <c r="X33" s="2610">
        <f>W33*1.039</f>
        <v>6.3051860709859211</v>
      </c>
      <c r="Y33" s="2610">
        <f>SUM(T33)</f>
        <v>5.4000792538199995</v>
      </c>
      <c r="Z33" s="2610">
        <f>SUM(U33)</f>
        <v>5.6160824239727996</v>
      </c>
      <c r="AA33" s="2610">
        <f>SUM(V33)</f>
        <v>5.8407257209317116</v>
      </c>
      <c r="AB33" s="2610">
        <f>SUM(W33)</f>
        <v>6.0685140240480475</v>
      </c>
      <c r="AC33" s="2610">
        <f>SUM(X33)</f>
        <v>6.3051860709859211</v>
      </c>
      <c r="AD33" s="2610">
        <f>4.71*1.054*1.048</f>
        <v>5.2026283200000005</v>
      </c>
      <c r="AE33" s="2610">
        <f>SUM(AE34/AE29)</f>
        <v>4.4361380568030029</v>
      </c>
      <c r="AF33" s="2610">
        <f>SUM(AF34/AF29)</f>
        <v>4.4802956491745238</v>
      </c>
      <c r="AG33" s="2622">
        <f>SUM(AG34/AG29)</f>
        <v>4.5395108235871797</v>
      </c>
      <c r="AH33" s="3233">
        <f>SUM(AG33*1.046)</f>
        <v>4.7483283214721901</v>
      </c>
      <c r="AI33" s="4063">
        <f>SUM(AG33*1.032*1.04)</f>
        <v>4.8721661767396487</v>
      </c>
      <c r="AJ33" s="3335">
        <f>SUM(AJ34/AJ29)</f>
        <v>4.4041898270531368</v>
      </c>
      <c r="AK33" s="3335">
        <f>SUM(AK34/AK29)</f>
        <v>4.4956625706594977</v>
      </c>
      <c r="AL33" s="3307" t="e">
        <f>SUM(AL34/AL29)</f>
        <v>#DIV/0!</v>
      </c>
    </row>
    <row r="34" spans="1:38" s="1926" customFormat="1" ht="25.5" x14ac:dyDescent="0.2">
      <c r="A34" s="3314" t="s">
        <v>1917</v>
      </c>
      <c r="B34" s="2652" t="s">
        <v>902</v>
      </c>
      <c r="C34" s="2611">
        <v>5992.91</v>
      </c>
      <c r="D34" s="2611">
        <v>9297.2000000000007</v>
      </c>
      <c r="E34" s="2611">
        <v>6488.28</v>
      </c>
      <c r="F34" s="2611">
        <v>6388.45</v>
      </c>
      <c r="G34" s="2611">
        <v>5969.9</v>
      </c>
      <c r="H34" s="2611">
        <v>9520.39</v>
      </c>
      <c r="I34" s="2611">
        <v>9460.06</v>
      </c>
      <c r="J34" s="2611">
        <f>J36+J37</f>
        <v>6324.9384239999999</v>
      </c>
      <c r="K34" s="2611">
        <v>6816.47</v>
      </c>
      <c r="L34" s="2611">
        <v>6297.05</v>
      </c>
      <c r="M34" s="2611">
        <f>SUM(M36:M37)</f>
        <v>9749.31</v>
      </c>
      <c r="N34" s="2611">
        <v>10575.93</v>
      </c>
      <c r="O34" s="2611">
        <v>11330.42</v>
      </c>
      <c r="P34" s="2611">
        <v>12123.55</v>
      </c>
      <c r="Q34" s="2611">
        <v>12972.19</v>
      </c>
      <c r="R34" s="2611">
        <v>13880.25</v>
      </c>
      <c r="S34" s="2611">
        <f>S29*S33</f>
        <v>7212.7397251141701</v>
      </c>
      <c r="T34" s="2611">
        <f t="shared" ref="T34:AC34" si="69">T29*T33</f>
        <v>7515.6747935689664</v>
      </c>
      <c r="U34" s="2611">
        <f t="shared" si="69"/>
        <v>7816.3017853117244</v>
      </c>
      <c r="V34" s="2611">
        <f t="shared" si="69"/>
        <v>8128.9538567241934</v>
      </c>
      <c r="W34" s="2611">
        <f t="shared" si="69"/>
        <v>8445.9830571364364</v>
      </c>
      <c r="X34" s="2611">
        <f t="shared" si="69"/>
        <v>8775.3763963647561</v>
      </c>
      <c r="Y34" s="2611">
        <f t="shared" si="69"/>
        <v>7515.6747935689664</v>
      </c>
      <c r="Z34" s="2611">
        <f t="shared" si="69"/>
        <v>7816.3017853117244</v>
      </c>
      <c r="AA34" s="2611">
        <f t="shared" si="69"/>
        <v>8128.9538567241934</v>
      </c>
      <c r="AB34" s="2611">
        <f t="shared" si="69"/>
        <v>8445.9830571364364</v>
      </c>
      <c r="AC34" s="2611">
        <f t="shared" si="69"/>
        <v>8775.3763963647561</v>
      </c>
      <c r="AD34" s="2611">
        <f t="shared" ref="AD34" si="70">AD29*AD33</f>
        <v>7240.8682700854706</v>
      </c>
      <c r="AE34" s="2611">
        <f>SUM(AE36:AE37)</f>
        <v>4254.5624899999993</v>
      </c>
      <c r="AF34" s="2611">
        <f t="shared" ref="AF34:AG34" si="71">SUM(AF36:AF37)</f>
        <v>6468.5254100000002</v>
      </c>
      <c r="AG34" s="2611">
        <f t="shared" si="71"/>
        <v>8708.8200000000015</v>
      </c>
      <c r="AH34" s="3234">
        <f t="shared" ref="AH34" si="72">AH29*AH33</f>
        <v>8819.0808303004287</v>
      </c>
      <c r="AI34" s="4065">
        <f t="shared" ref="AI34" si="73">AI29*AI33</f>
        <v>6386.6615929817772</v>
      </c>
      <c r="AJ34" s="3336">
        <f>SUM(AJ36:AJ37)</f>
        <v>4165.1480200000005</v>
      </c>
      <c r="AK34" s="3336">
        <f>SUM(AK36:AK37)</f>
        <v>6328.2339999999995</v>
      </c>
      <c r="AL34" s="3309">
        <f t="shared" ref="AL34" si="74">SUM(AL36:AL37)</f>
        <v>0</v>
      </c>
    </row>
    <row r="35" spans="1:38" x14ac:dyDescent="0.2">
      <c r="A35" s="3312" t="s">
        <v>50</v>
      </c>
      <c r="B35" s="3232"/>
      <c r="C35" s="2610"/>
      <c r="D35" s="2610"/>
      <c r="E35" s="2610"/>
      <c r="F35" s="2610"/>
      <c r="G35" s="2610"/>
      <c r="H35" s="2610"/>
      <c r="I35" s="2610"/>
      <c r="J35" s="2610"/>
      <c r="K35" s="2610"/>
      <c r="L35" s="2610"/>
      <c r="M35" s="2610"/>
      <c r="N35" s="2610"/>
      <c r="O35" s="2610"/>
      <c r="P35" s="2610"/>
      <c r="Q35" s="2610"/>
      <c r="R35" s="2610"/>
      <c r="S35" s="2610"/>
      <c r="T35" s="2610"/>
      <c r="U35" s="2610"/>
      <c r="V35" s="2610"/>
      <c r="W35" s="2610"/>
      <c r="X35" s="2610"/>
      <c r="Y35" s="2610"/>
      <c r="Z35" s="2610"/>
      <c r="AA35" s="2610"/>
      <c r="AB35" s="2610"/>
      <c r="AC35" s="2610"/>
      <c r="AD35" s="2610"/>
      <c r="AE35" s="2610"/>
      <c r="AF35" s="2610"/>
      <c r="AG35" s="2610"/>
      <c r="AH35" s="3233"/>
      <c r="AI35" s="4063"/>
      <c r="AJ35" s="3335"/>
      <c r="AK35" s="3335"/>
      <c r="AL35" s="3307"/>
    </row>
    <row r="36" spans="1:38" x14ac:dyDescent="0.2">
      <c r="A36" s="3316" t="str">
        <f>A31</f>
        <v>канализованный жил. фонд</v>
      </c>
      <c r="B36" s="3232" t="s">
        <v>902</v>
      </c>
      <c r="C36" s="2610"/>
      <c r="D36" s="2610"/>
      <c r="E36" s="2610"/>
      <c r="F36" s="2610"/>
      <c r="G36" s="2610"/>
      <c r="H36" s="2610"/>
      <c r="I36" s="2610"/>
      <c r="J36" s="2610">
        <f>J31*J33</f>
        <v>6286.9174199999998</v>
      </c>
      <c r="K36" s="2610"/>
      <c r="L36" s="2610"/>
      <c r="M36" s="2610">
        <v>9692.84</v>
      </c>
      <c r="N36" s="2610"/>
      <c r="O36" s="2610"/>
      <c r="P36" s="2610"/>
      <c r="Q36" s="2610"/>
      <c r="R36" s="2610"/>
      <c r="S36" s="2610">
        <f>S31*S33</f>
        <v>7170.5460447304722</v>
      </c>
      <c r="T36" s="2610">
        <f t="shared" ref="T36:X36" si="75">T31*T33</f>
        <v>7471.7089786091528</v>
      </c>
      <c r="U36" s="2610">
        <f t="shared" si="75"/>
        <v>7770.5773377535188</v>
      </c>
      <c r="V36" s="2610">
        <f t="shared" si="75"/>
        <v>8081.4004312636598</v>
      </c>
      <c r="W36" s="2610">
        <f t="shared" si="75"/>
        <v>8396.5750480829411</v>
      </c>
      <c r="X36" s="2610">
        <f t="shared" si="75"/>
        <v>8724.041474958176</v>
      </c>
      <c r="Y36" s="2610">
        <f t="shared" ref="Y36:AC36" si="76">Y31*Y33</f>
        <v>7471.7089786091528</v>
      </c>
      <c r="Z36" s="2610">
        <f t="shared" si="76"/>
        <v>7770.5773377535188</v>
      </c>
      <c r="AA36" s="2610">
        <f t="shared" si="76"/>
        <v>8081.4004312636598</v>
      </c>
      <c r="AB36" s="2610">
        <f t="shared" si="76"/>
        <v>8396.5750480829411</v>
      </c>
      <c r="AC36" s="2610">
        <f t="shared" si="76"/>
        <v>8724.041474958176</v>
      </c>
      <c r="AD36" s="2610">
        <f t="shared" ref="AD36" si="77">AD31*AD33</f>
        <v>7198.5100410168889</v>
      </c>
      <c r="AE36" s="2610">
        <v>4238.3711599999997</v>
      </c>
      <c r="AF36" s="2610">
        <v>6443.4756100000004</v>
      </c>
      <c r="AG36" s="2610">
        <v>8680.7800000000007</v>
      </c>
      <c r="AH36" s="3233">
        <f t="shared" ref="AH36" si="78">AH31*AH33</f>
        <v>8767.4902430876336</v>
      </c>
      <c r="AI36" s="4063">
        <f t="shared" ref="AI36" si="79">AI31*AI33</f>
        <v>6346.9931384673146</v>
      </c>
      <c r="AJ36" s="3335">
        <v>4150.8618100000003</v>
      </c>
      <c r="AK36" s="3335">
        <v>6305.8639999999996</v>
      </c>
      <c r="AL36" s="3307"/>
    </row>
    <row r="37" spans="1:38" x14ac:dyDescent="0.2">
      <c r="A37" s="3316" t="str">
        <f>A32</f>
        <v>не канализованный жил. фонд</v>
      </c>
      <c r="B37" s="3232" t="s">
        <v>902</v>
      </c>
      <c r="C37" s="2610"/>
      <c r="D37" s="2610"/>
      <c r="E37" s="2610"/>
      <c r="F37" s="2610"/>
      <c r="G37" s="2610"/>
      <c r="H37" s="2610"/>
      <c r="I37" s="2610"/>
      <c r="J37" s="2610">
        <f>J32*J33</f>
        <v>38.021003999999998</v>
      </c>
      <c r="K37" s="2610"/>
      <c r="L37" s="2610"/>
      <c r="M37" s="2610">
        <v>56.47</v>
      </c>
      <c r="N37" s="2610"/>
      <c r="O37" s="2610"/>
      <c r="P37" s="2610"/>
      <c r="Q37" s="2610"/>
      <c r="R37" s="2610"/>
      <c r="S37" s="2610">
        <f>S32*S33</f>
        <v>42.193680383698222</v>
      </c>
      <c r="T37" s="2610">
        <f t="shared" ref="T37:X37" si="80">T32*T33</f>
        <v>43.965814959813549</v>
      </c>
      <c r="U37" s="2610">
        <f t="shared" si="80"/>
        <v>45.724447558206087</v>
      </c>
      <c r="V37" s="2610">
        <f t="shared" si="80"/>
        <v>47.553425460534335</v>
      </c>
      <c r="W37" s="2610">
        <f t="shared" si="80"/>
        <v>49.408009053495164</v>
      </c>
      <c r="X37" s="2610">
        <f t="shared" si="80"/>
        <v>51.334921406581472</v>
      </c>
      <c r="Y37" s="2610">
        <f t="shared" ref="Y37:AC37" si="81">Y32*Y33</f>
        <v>43.965814959813549</v>
      </c>
      <c r="Z37" s="2610">
        <f t="shared" si="81"/>
        <v>45.724447558206087</v>
      </c>
      <c r="AA37" s="2610">
        <f t="shared" si="81"/>
        <v>47.553425460534335</v>
      </c>
      <c r="AB37" s="2610">
        <f t="shared" si="81"/>
        <v>49.408009053495164</v>
      </c>
      <c r="AC37" s="2610">
        <f t="shared" si="81"/>
        <v>51.334921406581472</v>
      </c>
      <c r="AD37" s="2610">
        <f t="shared" ref="AD37" si="82">AD32*AD33</f>
        <v>42.358229068582141</v>
      </c>
      <c r="AE37" s="2610">
        <v>16.191330000000001</v>
      </c>
      <c r="AF37" s="2610">
        <v>25.049800000000001</v>
      </c>
      <c r="AG37" s="2610">
        <v>28.04</v>
      </c>
      <c r="AH37" s="3233">
        <f t="shared" ref="AH37" si="83">AH32*AH33</f>
        <v>51.590587212795349</v>
      </c>
      <c r="AI37" s="4063">
        <f t="shared" ref="AI37" si="84">AI32*AI33</f>
        <v>39.668454514462276</v>
      </c>
      <c r="AJ37" s="3335">
        <v>14.286210000000001</v>
      </c>
      <c r="AK37" s="3335">
        <v>22.37</v>
      </c>
      <c r="AL37" s="3307"/>
    </row>
    <row r="38" spans="1:38" x14ac:dyDescent="0.2">
      <c r="A38" s="3314" t="s">
        <v>3665</v>
      </c>
      <c r="B38" s="2652" t="s">
        <v>902</v>
      </c>
      <c r="C38" s="2611">
        <f>C19+C34</f>
        <v>7602.7699999999995</v>
      </c>
      <c r="D38" s="2611">
        <f t="shared" ref="D38:E38" si="85">D19+D34</f>
        <v>9995.2300000000014</v>
      </c>
      <c r="E38" s="2611">
        <f t="shared" si="85"/>
        <v>7124.76</v>
      </c>
      <c r="F38" s="2611">
        <f t="shared" ref="F38:AC38" si="86">F19+F34</f>
        <v>8104.5599999999995</v>
      </c>
      <c r="G38" s="2611">
        <f t="shared" si="86"/>
        <v>7536.42</v>
      </c>
      <c r="H38" s="2611">
        <f t="shared" si="86"/>
        <v>11186.59</v>
      </c>
      <c r="I38" s="2611">
        <f t="shared" si="86"/>
        <v>11113.849999999999</v>
      </c>
      <c r="J38" s="2611">
        <f t="shared" si="86"/>
        <v>7579.6523040000002</v>
      </c>
      <c r="K38" s="2611">
        <f t="shared" ref="K38" si="87">K19+K34</f>
        <v>8647.56</v>
      </c>
      <c r="L38" s="2611">
        <f t="shared" si="86"/>
        <v>7949.42</v>
      </c>
      <c r="M38" s="2611">
        <f t="shared" si="86"/>
        <v>10828.01</v>
      </c>
      <c r="N38" s="2611">
        <f t="shared" si="86"/>
        <v>12162.32</v>
      </c>
      <c r="O38" s="2611">
        <f t="shared" si="86"/>
        <v>13029.98</v>
      </c>
      <c r="P38" s="2611">
        <f t="shared" si="86"/>
        <v>13942.08</v>
      </c>
      <c r="Q38" s="2611">
        <f t="shared" si="86"/>
        <v>14918.02</v>
      </c>
      <c r="R38" s="2611">
        <f t="shared" si="86"/>
        <v>15962.29</v>
      </c>
      <c r="S38" s="2611">
        <f t="shared" si="86"/>
        <v>8924.2698001334466</v>
      </c>
      <c r="T38" s="2611">
        <f t="shared" si="86"/>
        <v>9299.0891317390524</v>
      </c>
      <c r="U38" s="2611">
        <f t="shared" si="86"/>
        <v>9671.0526970086139</v>
      </c>
      <c r="V38" s="2611">
        <f t="shared" si="86"/>
        <v>10057.894804888958</v>
      </c>
      <c r="W38" s="2611">
        <f t="shared" si="86"/>
        <v>10450.152702279625</v>
      </c>
      <c r="X38" s="2611">
        <f t="shared" si="86"/>
        <v>10857.708657668531</v>
      </c>
      <c r="Y38" s="2611">
        <f t="shared" si="86"/>
        <v>9299.0891317390524</v>
      </c>
      <c r="Z38" s="2611">
        <f t="shared" si="86"/>
        <v>9671.0526970086139</v>
      </c>
      <c r="AA38" s="2611">
        <f t="shared" si="86"/>
        <v>10057.894804888958</v>
      </c>
      <c r="AB38" s="2611">
        <f t="shared" si="86"/>
        <v>10450.152702279625</v>
      </c>
      <c r="AC38" s="2611">
        <f t="shared" si="86"/>
        <v>10857.708657668531</v>
      </c>
      <c r="AD38" s="2611">
        <f t="shared" ref="AD38" si="88">AD19+AD34</f>
        <v>8855.1467408308945</v>
      </c>
      <c r="AE38" s="2611">
        <f>SUM(AE40:AE41)</f>
        <v>5060.2564899999998</v>
      </c>
      <c r="AF38" s="2611">
        <f t="shared" ref="AF38:AG38" si="89">SUM(AF40:AF41)</f>
        <v>7637.2474099999999</v>
      </c>
      <c r="AG38" s="2611">
        <f t="shared" si="89"/>
        <v>10344.340000000002</v>
      </c>
      <c r="AH38" s="3234">
        <f t="shared" ref="AH38" si="90">AH19+AH34</f>
        <v>10507.61431866973</v>
      </c>
      <c r="AI38" s="4065">
        <f t="shared" ref="AI38" si="91">AI19+AI34</f>
        <v>8394.1048154036998</v>
      </c>
      <c r="AJ38" s="3336">
        <f>SUM(AJ40:AJ41)</f>
        <v>4996.4980100000002</v>
      </c>
      <c r="AK38" s="3336">
        <f t="shared" ref="AK38:AL38" si="92">SUM(AK40:AK41)</f>
        <v>7553.0339999999997</v>
      </c>
      <c r="AL38" s="3309">
        <f t="shared" si="92"/>
        <v>0</v>
      </c>
    </row>
    <row r="39" spans="1:38" x14ac:dyDescent="0.2">
      <c r="A39" s="3312" t="s">
        <v>50</v>
      </c>
      <c r="B39" s="3232"/>
      <c r="C39" s="2610"/>
      <c r="D39" s="2610"/>
      <c r="E39" s="2610"/>
      <c r="F39" s="2610"/>
      <c r="G39" s="2610"/>
      <c r="H39" s="2610"/>
      <c r="I39" s="2610"/>
      <c r="J39" s="2610"/>
      <c r="K39" s="2610"/>
      <c r="L39" s="2610"/>
      <c r="M39" s="2610"/>
      <c r="N39" s="2610"/>
      <c r="O39" s="2610"/>
      <c r="P39" s="2610"/>
      <c r="Q39" s="2610"/>
      <c r="R39" s="2610"/>
      <c r="S39" s="2610"/>
      <c r="T39" s="2610"/>
      <c r="U39" s="2610"/>
      <c r="V39" s="2610"/>
      <c r="W39" s="2610"/>
      <c r="X39" s="2610"/>
      <c r="Y39" s="2610"/>
      <c r="Z39" s="2610"/>
      <c r="AA39" s="2610"/>
      <c r="AB39" s="2610"/>
      <c r="AC39" s="2610"/>
      <c r="AD39" s="2610"/>
      <c r="AE39" s="2610"/>
      <c r="AF39" s="2610"/>
      <c r="AG39" s="2610"/>
      <c r="AH39" s="3233"/>
      <c r="AI39" s="4063"/>
      <c r="AJ39" s="3335"/>
      <c r="AK39" s="3335"/>
      <c r="AL39" s="3307"/>
    </row>
    <row r="40" spans="1:38" x14ac:dyDescent="0.2">
      <c r="A40" s="3316" t="str">
        <f>A36</f>
        <v>канализованный жил. фонд</v>
      </c>
      <c r="B40" s="3232" t="s">
        <v>902</v>
      </c>
      <c r="C40" s="2610"/>
      <c r="D40" s="2610"/>
      <c r="E40" s="2610"/>
      <c r="F40" s="2610"/>
      <c r="G40" s="2610"/>
      <c r="H40" s="2610"/>
      <c r="I40" s="2610"/>
      <c r="J40" s="2610">
        <f>J21+J36</f>
        <v>7541.6313</v>
      </c>
      <c r="K40" s="2610"/>
      <c r="L40" s="2610"/>
      <c r="M40" s="2610">
        <f>M21+M36</f>
        <v>10771.54</v>
      </c>
      <c r="N40" s="2610"/>
      <c r="O40" s="2610"/>
      <c r="P40" s="2610"/>
      <c r="Q40" s="2610"/>
      <c r="R40" s="2610"/>
      <c r="S40" s="2610">
        <f>S21+S36</f>
        <v>8882.0761197497486</v>
      </c>
      <c r="T40" s="2610">
        <f t="shared" ref="T40:X41" si="93">T21+T36</f>
        <v>9255.1233167792379</v>
      </c>
      <c r="U40" s="2610">
        <f t="shared" si="93"/>
        <v>9625.3282494504074</v>
      </c>
      <c r="V40" s="2610">
        <f t="shared" si="93"/>
        <v>10010.341379428424</v>
      </c>
      <c r="W40" s="2610">
        <f t="shared" si="93"/>
        <v>10400.74469322613</v>
      </c>
      <c r="X40" s="2610">
        <f t="shared" si="93"/>
        <v>10806.37373626195</v>
      </c>
      <c r="Y40" s="2610">
        <f t="shared" ref="Y40:AC40" si="94">Y21+Y36</f>
        <v>9255.1233167792379</v>
      </c>
      <c r="Z40" s="2610">
        <f t="shared" si="94"/>
        <v>9625.3282494504074</v>
      </c>
      <c r="AA40" s="2610">
        <f t="shared" si="94"/>
        <v>10010.341379428424</v>
      </c>
      <c r="AB40" s="2610">
        <f t="shared" si="94"/>
        <v>10400.74469322613</v>
      </c>
      <c r="AC40" s="2610">
        <f t="shared" si="94"/>
        <v>10806.37373626195</v>
      </c>
      <c r="AD40" s="2610">
        <f t="shared" ref="AD40" si="95">AD21+AD36</f>
        <v>8812.7885117623136</v>
      </c>
      <c r="AE40" s="2610">
        <f t="shared" ref="AE40:AH41" si="96">AE21+AE36</f>
        <v>5044.0651600000001</v>
      </c>
      <c r="AF40" s="2610">
        <f t="shared" si="96"/>
        <v>7612.1976100000002</v>
      </c>
      <c r="AG40" s="2610">
        <f t="shared" si="96"/>
        <v>10316.300000000001</v>
      </c>
      <c r="AH40" s="3233">
        <f t="shared" si="96"/>
        <v>10456.023731456935</v>
      </c>
      <c r="AI40" s="4063">
        <f t="shared" ref="AI40" si="97">AI21+AI36</f>
        <v>8341.9678483495227</v>
      </c>
      <c r="AJ40" s="3335">
        <f t="shared" ref="AJ40:AL40" si="98">AJ21+AJ36</f>
        <v>4982.2118</v>
      </c>
      <c r="AK40" s="3335">
        <f t="shared" si="98"/>
        <v>7530.6639999999998</v>
      </c>
      <c r="AL40" s="3307">
        <f t="shared" si="98"/>
        <v>0</v>
      </c>
    </row>
    <row r="41" spans="1:38" x14ac:dyDescent="0.2">
      <c r="A41" s="3316" t="str">
        <f>A37</f>
        <v>не канализованный жил. фонд</v>
      </c>
      <c r="B41" s="3232" t="s">
        <v>902</v>
      </c>
      <c r="C41" s="2610"/>
      <c r="D41" s="2610"/>
      <c r="E41" s="2610"/>
      <c r="F41" s="2610"/>
      <c r="G41" s="2610"/>
      <c r="H41" s="2610"/>
      <c r="I41" s="2610"/>
      <c r="J41" s="2610">
        <f>J22+J37</f>
        <v>38.021003999999998</v>
      </c>
      <c r="K41" s="2610"/>
      <c r="L41" s="2610"/>
      <c r="M41" s="2610">
        <f>M22+M37</f>
        <v>56.47</v>
      </c>
      <c r="N41" s="2610"/>
      <c r="O41" s="2610"/>
      <c r="P41" s="2610"/>
      <c r="Q41" s="2610"/>
      <c r="R41" s="2610"/>
      <c r="S41" s="2610">
        <f>S22+S37</f>
        <v>42.193680383698222</v>
      </c>
      <c r="T41" s="2610">
        <f t="shared" si="93"/>
        <v>43.965814959813549</v>
      </c>
      <c r="U41" s="2610">
        <f t="shared" si="93"/>
        <v>45.724447558206087</v>
      </c>
      <c r="V41" s="2610">
        <f t="shared" si="93"/>
        <v>47.553425460534335</v>
      </c>
      <c r="W41" s="2610">
        <f t="shared" si="93"/>
        <v>49.408009053495164</v>
      </c>
      <c r="X41" s="2610">
        <f t="shared" si="93"/>
        <v>51.334921406581472</v>
      </c>
      <c r="Y41" s="2610">
        <f t="shared" ref="Y41:AC41" si="99">Y22+Y37</f>
        <v>43.965814959813549</v>
      </c>
      <c r="Z41" s="2610">
        <f t="shared" si="99"/>
        <v>45.724447558206087</v>
      </c>
      <c r="AA41" s="2610">
        <f t="shared" si="99"/>
        <v>47.553425460534335</v>
      </c>
      <c r="AB41" s="2610">
        <f t="shared" si="99"/>
        <v>49.408009053495164</v>
      </c>
      <c r="AC41" s="2610">
        <f t="shared" si="99"/>
        <v>51.334921406581472</v>
      </c>
      <c r="AD41" s="2610">
        <f t="shared" ref="AD41" si="100">AD22+AD37</f>
        <v>42.358229068582141</v>
      </c>
      <c r="AE41" s="2610">
        <f t="shared" ref="AE41:AG41" si="101">AE22+AE37</f>
        <v>16.191330000000001</v>
      </c>
      <c r="AF41" s="2610">
        <f t="shared" si="101"/>
        <v>25.049800000000001</v>
      </c>
      <c r="AG41" s="2610">
        <f t="shared" si="101"/>
        <v>28.04</v>
      </c>
      <c r="AH41" s="3233">
        <f t="shared" si="96"/>
        <v>51.590587212795349</v>
      </c>
      <c r="AI41" s="4063">
        <f t="shared" ref="AI41" si="102">AI22+AI37</f>
        <v>52.136967054177305</v>
      </c>
      <c r="AJ41" s="3335">
        <f t="shared" ref="AJ41:AL41" si="103">AJ22+AJ37</f>
        <v>14.286210000000001</v>
      </c>
      <c r="AK41" s="3335">
        <f t="shared" si="103"/>
        <v>22.37</v>
      </c>
      <c r="AL41" s="3307">
        <f t="shared" si="103"/>
        <v>0</v>
      </c>
    </row>
    <row r="42" spans="1:38" ht="25.5" x14ac:dyDescent="0.2">
      <c r="A42" s="3312" t="s">
        <v>3893</v>
      </c>
      <c r="B42" s="3232"/>
      <c r="C42" s="2610"/>
      <c r="D42" s="2610"/>
      <c r="E42" s="2610"/>
      <c r="F42" s="2610"/>
      <c r="G42" s="2610"/>
      <c r="H42" s="2610"/>
      <c r="I42" s="2610"/>
      <c r="J42" s="2610"/>
      <c r="K42" s="2610"/>
      <c r="L42" s="2610"/>
      <c r="M42" s="2610">
        <f t="shared" ref="M42" si="104">SUM(M14+M29)</f>
        <v>2328.7049999999999</v>
      </c>
      <c r="N42" s="2610"/>
      <c r="O42" s="2610"/>
      <c r="P42" s="2610"/>
      <c r="Q42" s="2610"/>
      <c r="R42" s="2610"/>
      <c r="S42" s="2610">
        <f t="shared" ref="S42:AF42" si="105">SUM(S14+S29)</f>
        <v>1722.0282693371405</v>
      </c>
      <c r="T42" s="2610">
        <f t="shared" si="105"/>
        <v>1722.0282693371405</v>
      </c>
      <c r="U42" s="2610">
        <f t="shared" si="105"/>
        <v>1722.0282693371405</v>
      </c>
      <c r="V42" s="2610">
        <f t="shared" si="105"/>
        <v>1722.0282693371405</v>
      </c>
      <c r="W42" s="2610">
        <f t="shared" si="105"/>
        <v>1722.0282693371405</v>
      </c>
      <c r="X42" s="2610">
        <f t="shared" si="105"/>
        <v>1722.0282693371405</v>
      </c>
      <c r="Y42" s="2610">
        <f t="shared" si="105"/>
        <v>1722.0282693371405</v>
      </c>
      <c r="Z42" s="2610">
        <f t="shared" si="105"/>
        <v>1722.0282693371405</v>
      </c>
      <c r="AA42" s="2610">
        <f t="shared" si="105"/>
        <v>1722.0282693371405</v>
      </c>
      <c r="AB42" s="2610">
        <f t="shared" si="105"/>
        <v>1722.0282693371405</v>
      </c>
      <c r="AC42" s="2610">
        <f t="shared" si="105"/>
        <v>1722.0282693371405</v>
      </c>
      <c r="AD42" s="2610">
        <f t="shared" si="105"/>
        <v>1702.7127119230831</v>
      </c>
      <c r="AE42" s="2610">
        <f t="shared" si="105"/>
        <v>1096.7089999999998</v>
      </c>
      <c r="AF42" s="2610">
        <f t="shared" si="105"/>
        <v>1641.75</v>
      </c>
      <c r="AG42" s="2610">
        <f>SUM(AG14+AG29)</f>
        <v>2192.0450000000001</v>
      </c>
      <c r="AH42" s="3233">
        <f t="shared" ref="AH42:AK42" si="106">SUM(AH14+AH29)</f>
        <v>2168.2434205422305</v>
      </c>
      <c r="AI42" s="4063">
        <f t="shared" ref="AI42" si="107">SUM(AI14+AI29)</f>
        <v>1623.7309705249249</v>
      </c>
      <c r="AJ42" s="3335">
        <f t="shared" si="106"/>
        <v>1087.355</v>
      </c>
      <c r="AK42" s="3335">
        <f t="shared" si="106"/>
        <v>1612.133</v>
      </c>
      <c r="AL42" s="3307">
        <f>SUM(AL14+AL29)</f>
        <v>0</v>
      </c>
    </row>
    <row r="43" spans="1:38" x14ac:dyDescent="0.2">
      <c r="A43" s="3312" t="s">
        <v>3664</v>
      </c>
      <c r="B43" s="3232"/>
      <c r="C43" s="3232"/>
      <c r="D43" s="3232"/>
      <c r="E43" s="3232"/>
      <c r="F43" s="3232"/>
      <c r="G43" s="3232"/>
      <c r="H43" s="3232"/>
      <c r="I43" s="3232"/>
      <c r="J43" s="3232"/>
      <c r="K43" s="3232"/>
      <c r="L43" s="3232"/>
      <c r="M43" s="3323">
        <f t="shared" ref="M43" si="108">SUM(M38/M42)</f>
        <v>4.6497989225771406</v>
      </c>
      <c r="N43" s="3232"/>
      <c r="O43" s="3232"/>
      <c r="P43" s="3232"/>
      <c r="Q43" s="3232"/>
      <c r="R43" s="3232"/>
      <c r="S43" s="3323">
        <f t="shared" ref="S43:AH43" si="109">SUM(S38/S42)</f>
        <v>5.1824177100000002</v>
      </c>
      <c r="T43" s="3323">
        <f t="shared" si="109"/>
        <v>5.4000792538200004</v>
      </c>
      <c r="U43" s="3323">
        <f t="shared" si="109"/>
        <v>5.6160824239728004</v>
      </c>
      <c r="V43" s="3323">
        <f t="shared" si="109"/>
        <v>5.8407257209317116</v>
      </c>
      <c r="W43" s="3323">
        <f t="shared" si="109"/>
        <v>6.0685140240480475</v>
      </c>
      <c r="X43" s="3323">
        <f t="shared" si="109"/>
        <v>6.3051860709859211</v>
      </c>
      <c r="Y43" s="3323">
        <f t="shared" si="109"/>
        <v>5.4000792538200004</v>
      </c>
      <c r="Z43" s="3323">
        <f t="shared" si="109"/>
        <v>5.6160824239728004</v>
      </c>
      <c r="AA43" s="3323">
        <f t="shared" si="109"/>
        <v>5.8407257209317116</v>
      </c>
      <c r="AB43" s="3323">
        <f t="shared" si="109"/>
        <v>6.0685140240480475</v>
      </c>
      <c r="AC43" s="3323">
        <f t="shared" si="109"/>
        <v>6.3051860709859211</v>
      </c>
      <c r="AD43" s="3323">
        <f t="shared" si="109"/>
        <v>5.2006111652444806</v>
      </c>
      <c r="AE43" s="3323">
        <f t="shared" si="109"/>
        <v>4.6140375341134252</v>
      </c>
      <c r="AF43" s="3323">
        <f t="shared" si="109"/>
        <v>4.6518942652657227</v>
      </c>
      <c r="AG43" s="3323">
        <f>SUM(AG38/AG42)</f>
        <v>4.7190363336519106</v>
      </c>
      <c r="AH43" s="3325">
        <f t="shared" si="109"/>
        <v>4.8461414521631543</v>
      </c>
      <c r="AI43" s="4066">
        <f t="shared" ref="AI43" si="110">SUM(AI38/AI42)</f>
        <v>5.1696401483861747</v>
      </c>
      <c r="AJ43" s="3325">
        <f t="shared" ref="AJ43:AK43" si="111">SUM(AJ38/AJ42)</f>
        <v>4.5950936078833502</v>
      </c>
      <c r="AK43" s="3325">
        <f t="shared" si="111"/>
        <v>4.6851184114462017</v>
      </c>
      <c r="AL43" s="3322" t="e">
        <f>SUM(AL38/AL42)</f>
        <v>#DIV/0!</v>
      </c>
    </row>
    <row r="44" spans="1:38" x14ac:dyDescent="0.2">
      <c r="B44" s="2426"/>
      <c r="C44" s="2426"/>
      <c r="D44" s="2426"/>
      <c r="E44" s="2426"/>
      <c r="F44" s="2426"/>
      <c r="G44" s="2426"/>
      <c r="H44" s="2426"/>
      <c r="I44" s="2426"/>
      <c r="J44" s="2426"/>
      <c r="K44" s="2426"/>
      <c r="L44" s="2426"/>
      <c r="M44" s="2426"/>
      <c r="N44" s="2426"/>
      <c r="O44" s="2426"/>
      <c r="P44" s="2426"/>
      <c r="Q44" s="2426"/>
      <c r="R44" s="2426"/>
      <c r="S44" s="2426"/>
      <c r="T44" s="2426"/>
      <c r="U44" s="2426"/>
      <c r="V44" s="2426"/>
      <c r="W44" s="2426"/>
      <c r="X44" s="2426"/>
      <c r="Y44" s="2426"/>
      <c r="Z44" s="2426"/>
      <c r="AA44" s="2426"/>
      <c r="AB44" s="2426"/>
      <c r="AC44" s="2426"/>
      <c r="AD44" s="2720"/>
    </row>
    <row r="45" spans="1:38" x14ac:dyDescent="0.2">
      <c r="B45" s="2426"/>
      <c r="C45" s="2426"/>
      <c r="D45" s="2426"/>
      <c r="E45" s="2426"/>
      <c r="F45" s="2426"/>
      <c r="G45" s="2426"/>
      <c r="H45" s="2426"/>
      <c r="I45" s="2426"/>
      <c r="J45" s="2426"/>
      <c r="K45" s="2426"/>
      <c r="L45" s="2426"/>
      <c r="M45" s="2426"/>
      <c r="N45" s="2426"/>
      <c r="O45" s="2426"/>
      <c r="P45" s="2426"/>
      <c r="Q45" s="2426"/>
      <c r="R45" s="2426"/>
      <c r="S45" s="2426"/>
      <c r="T45" s="2426"/>
      <c r="U45" s="2426"/>
      <c r="V45" s="2426"/>
      <c r="W45" s="2426"/>
      <c r="X45" s="2426"/>
      <c r="Y45" s="2426"/>
      <c r="Z45" s="2426"/>
      <c r="AA45" s="2426"/>
      <c r="AB45" s="2426"/>
      <c r="AC45" s="2426"/>
      <c r="AD45" s="2720"/>
    </row>
    <row r="46" spans="1:38" x14ac:dyDescent="0.2">
      <c r="B46" s="2426"/>
      <c r="C46" s="2426"/>
      <c r="D46" s="2426"/>
      <c r="E46" s="2426"/>
      <c r="F46" s="2426"/>
      <c r="G46" s="2426"/>
      <c r="H46" s="2426"/>
      <c r="I46" s="2426"/>
      <c r="J46" s="2426"/>
      <c r="K46" s="2426"/>
      <c r="L46" s="2426"/>
      <c r="M46" s="2426"/>
      <c r="N46" s="2426"/>
      <c r="O46" s="2426"/>
      <c r="P46" s="2426"/>
      <c r="Q46" s="2426"/>
      <c r="R46" s="2426"/>
      <c r="S46" s="2426"/>
      <c r="T46" s="2426"/>
      <c r="U46" s="2426"/>
      <c r="V46" s="2426"/>
      <c r="W46" s="2426"/>
      <c r="X46" s="2426"/>
      <c r="Y46" s="2426"/>
      <c r="Z46" s="2426"/>
      <c r="AA46" s="2426"/>
      <c r="AB46" s="2426"/>
      <c r="AC46" s="2426"/>
      <c r="AD46" s="2720"/>
    </row>
    <row r="47" spans="1:38" ht="20.25" x14ac:dyDescent="0.3">
      <c r="A47" s="3320" t="s">
        <v>3894</v>
      </c>
      <c r="B47" s="3321"/>
      <c r="C47" s="2476"/>
      <c r="D47" s="2476"/>
      <c r="E47" s="2476"/>
      <c r="F47" s="2476"/>
      <c r="G47" s="2476"/>
      <c r="H47" s="2476"/>
      <c r="I47" s="2476"/>
      <c r="J47" s="2476"/>
      <c r="K47" s="2476"/>
      <c r="L47" s="2476"/>
      <c r="M47" s="2476"/>
      <c r="N47" s="2476"/>
      <c r="O47" s="2476"/>
      <c r="P47" s="2476"/>
      <c r="Q47" s="2476"/>
      <c r="R47" s="2476"/>
      <c r="S47" s="2476"/>
      <c r="T47" s="2476"/>
      <c r="U47" s="2476"/>
    </row>
    <row r="48" spans="1:38" x14ac:dyDescent="0.2">
      <c r="A48" s="2276">
        <f>I29</f>
        <v>2009.07</v>
      </c>
    </row>
    <row r="49" spans="1:1" x14ac:dyDescent="0.2">
      <c r="A49" s="2106">
        <f>объемы!AN62</f>
        <v>4359.4799999999996</v>
      </c>
    </row>
    <row r="50" spans="1:1" x14ac:dyDescent="0.2">
      <c r="A50" s="2106">
        <f>A48/A49</f>
        <v>0.46085083542073829</v>
      </c>
    </row>
  </sheetData>
  <mergeCells count="21">
    <mergeCell ref="C4:M4"/>
    <mergeCell ref="K5:M5"/>
    <mergeCell ref="Y4:AC4"/>
    <mergeCell ref="Y6:AC6"/>
    <mergeCell ref="AH4:AI4"/>
    <mergeCell ref="A2:AL2"/>
    <mergeCell ref="AH5:AH6"/>
    <mergeCell ref="AI5:AI6"/>
    <mergeCell ref="AJ4:AJ6"/>
    <mergeCell ref="AK4:AK6"/>
    <mergeCell ref="AL4:AL6"/>
    <mergeCell ref="AE4:AE6"/>
    <mergeCell ref="AF4:AF6"/>
    <mergeCell ref="AG4:AG6"/>
    <mergeCell ref="A4:A6"/>
    <mergeCell ref="B4:B6"/>
    <mergeCell ref="N4:X4"/>
    <mergeCell ref="C5:E5"/>
    <mergeCell ref="F5:J5"/>
    <mergeCell ref="N6:R6"/>
    <mergeCell ref="S6:X6"/>
  </mergeCells>
  <printOptions horizontalCentered="1"/>
  <pageMargins left="0" right="0" top="0.74803149606299213" bottom="0.74803149606299213" header="0.31496062992125984" footer="0.31496062992125984"/>
  <pageSetup paperSize="9" scale="62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35">
    <tabColor rgb="FFFFFF00"/>
    <pageSetUpPr fitToPage="1"/>
  </sheetPr>
  <dimension ref="A1:BR93"/>
  <sheetViews>
    <sheetView zoomScaleNormal="100" workbookViewId="0">
      <pane xSplit="20" ySplit="6" topLeftCell="AZ7" activePane="bottomRight" state="frozen"/>
      <selection pane="topRight" activeCell="U1" sqref="U1"/>
      <selection pane="bottomLeft" activeCell="A21" sqref="A21"/>
      <selection pane="bottomRight" activeCell="BE19" sqref="BE19"/>
    </sheetView>
  </sheetViews>
  <sheetFormatPr defaultRowHeight="12.75" x14ac:dyDescent="0.2"/>
  <cols>
    <col min="1" max="1" width="30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hidden="1" customWidth="1"/>
    <col min="22" max="22" width="11" hidden="1" customWidth="1"/>
    <col min="23" max="23" width="12.85546875" hidden="1" customWidth="1"/>
    <col min="24" max="24" width="13.42578125" hidden="1" customWidth="1"/>
    <col min="25" max="26" width="12.42578125" hidden="1" customWidth="1"/>
    <col min="27" max="27" width="14.85546875" hidden="1" customWidth="1"/>
    <col min="28" max="28" width="12.42578125" hidden="1" customWidth="1"/>
    <col min="29" max="29" width="13.5703125" hidden="1" customWidth="1"/>
    <col min="30" max="30" width="12.42578125" hidden="1" customWidth="1"/>
    <col min="31" max="31" width="13.5703125" hidden="1" customWidth="1"/>
    <col min="32" max="32" width="3" hidden="1" customWidth="1"/>
    <col min="33" max="33" width="12.42578125" hidden="1" customWidth="1"/>
    <col min="34" max="34" width="12.42578125" customWidth="1"/>
    <col min="35" max="38" width="12.42578125" hidden="1" customWidth="1"/>
    <col min="39" max="39" width="12.42578125" customWidth="1"/>
    <col min="40" max="44" width="12.42578125" hidden="1" customWidth="1"/>
    <col min="45" max="46" width="13" customWidth="1"/>
    <col min="47" max="48" width="9.7109375" customWidth="1"/>
    <col min="49" max="49" width="6.7109375" customWidth="1"/>
    <col min="50" max="51" width="9.7109375" customWidth="1"/>
    <col min="52" max="52" width="6.7109375" customWidth="1"/>
    <col min="53" max="54" width="9.7109375" customWidth="1"/>
    <col min="55" max="55" width="6.7109375" customWidth="1"/>
    <col min="56" max="57" width="12.7109375" customWidth="1"/>
    <col min="58" max="58" width="12.85546875" hidden="1" customWidth="1"/>
    <col min="59" max="59" width="11" hidden="1" customWidth="1"/>
    <col min="60" max="60" width="0.42578125" hidden="1" customWidth="1"/>
    <col min="61" max="62" width="9.7109375" customWidth="1"/>
    <col min="63" max="63" width="6.7109375" customWidth="1"/>
    <col min="64" max="65" width="9.7109375" customWidth="1"/>
    <col min="66" max="66" width="6.7109375" customWidth="1"/>
    <col min="67" max="68" width="9.7109375" customWidth="1"/>
    <col min="69" max="69" width="6.7109375" customWidth="1"/>
  </cols>
  <sheetData>
    <row r="1" spans="1:69" x14ac:dyDescent="0.2">
      <c r="A1" s="4701" t="s">
        <v>1501</v>
      </c>
      <c r="B1" s="4701"/>
      <c r="C1" s="4701"/>
      <c r="D1" s="4701"/>
      <c r="E1" s="4701"/>
      <c r="F1" s="4701"/>
      <c r="G1" s="4701"/>
      <c r="H1" s="4701"/>
      <c r="I1" s="4701"/>
      <c r="J1" s="4701"/>
      <c r="K1" s="4701"/>
      <c r="L1" s="4701"/>
      <c r="M1" s="4701"/>
      <c r="N1" s="4701"/>
      <c r="O1" s="4701"/>
      <c r="P1" s="4701"/>
      <c r="Q1" s="4701"/>
      <c r="R1" s="4701"/>
      <c r="S1" s="4701"/>
      <c r="T1" s="4701"/>
      <c r="U1" s="4701"/>
      <c r="V1" s="4701"/>
      <c r="W1" s="4701"/>
      <c r="X1" s="4701"/>
      <c r="Y1" s="4701"/>
      <c r="Z1" s="4701"/>
      <c r="AA1" s="4701"/>
      <c r="AB1" s="4701"/>
      <c r="AC1" s="4701"/>
      <c r="AD1" s="4701"/>
      <c r="AE1" s="4701"/>
      <c r="AF1" s="4701"/>
      <c r="AG1" s="4701"/>
      <c r="AH1" s="4701"/>
      <c r="AI1" s="4701"/>
      <c r="AJ1" s="4701"/>
      <c r="AK1" s="4701"/>
      <c r="AL1" s="4701"/>
      <c r="AM1" s="4701"/>
      <c r="AN1" s="4701"/>
      <c r="AO1" s="4701"/>
      <c r="AP1" s="4701"/>
      <c r="AQ1" s="4701"/>
      <c r="AR1" s="4701"/>
      <c r="AS1" s="4701"/>
      <c r="AT1" s="4701"/>
      <c r="AU1" s="4701"/>
      <c r="AV1" s="4701"/>
      <c r="AW1" s="4701"/>
      <c r="AX1" s="4701"/>
      <c r="AY1" s="4701"/>
      <c r="AZ1" s="4701"/>
      <c r="BA1" s="4701"/>
      <c r="BB1" s="4701"/>
      <c r="BC1" s="4701"/>
      <c r="BD1" s="4701"/>
      <c r="BE1" s="4701"/>
      <c r="BF1" s="4242"/>
      <c r="BG1" s="4242"/>
      <c r="BH1" s="4242"/>
      <c r="BI1" s="4242"/>
      <c r="BJ1" s="4242"/>
      <c r="BK1" s="4242"/>
      <c r="BL1" s="4242"/>
      <c r="BM1" s="4242"/>
      <c r="BN1" s="4242"/>
      <c r="BO1" s="4242"/>
      <c r="BP1" s="4242"/>
      <c r="BQ1" s="4242"/>
    </row>
    <row r="2" spans="1:69" ht="15.75" customHeight="1" x14ac:dyDescent="0.3">
      <c r="A2" s="5030" t="s">
        <v>3895</v>
      </c>
      <c r="B2" s="5031"/>
      <c r="C2" s="5031"/>
      <c r="D2" s="5031"/>
      <c r="E2" s="5031"/>
      <c r="F2" s="5031"/>
      <c r="G2" s="5031"/>
      <c r="H2" s="5031"/>
      <c r="I2" s="5031"/>
      <c r="J2" s="5031"/>
      <c r="K2" s="5031"/>
      <c r="L2" s="5031"/>
      <c r="M2" s="5031"/>
      <c r="N2" s="5031"/>
      <c r="O2" s="5031"/>
      <c r="P2" s="5031"/>
      <c r="Q2" s="5031"/>
      <c r="R2" s="5031"/>
      <c r="S2" s="5031"/>
      <c r="T2" s="5031"/>
      <c r="U2" s="5031"/>
      <c r="V2" s="5031"/>
      <c r="W2" s="5031"/>
      <c r="X2" s="5031"/>
      <c r="Y2" s="5031"/>
      <c r="Z2" s="5031"/>
      <c r="AA2" s="5031"/>
      <c r="AB2" s="5031"/>
      <c r="AC2" s="5031"/>
      <c r="AD2" s="5031"/>
      <c r="AE2" s="5031"/>
      <c r="AF2" s="5031"/>
      <c r="AG2" s="5031"/>
      <c r="AH2" s="5031"/>
      <c r="AI2" s="5031"/>
      <c r="AJ2" s="5031"/>
      <c r="AK2" s="5031"/>
      <c r="AL2" s="5031"/>
      <c r="AM2" s="5031"/>
      <c r="AN2" s="5031"/>
      <c r="AO2" s="5031"/>
      <c r="AP2" s="5031"/>
      <c r="AQ2" s="5031"/>
      <c r="AR2" s="5031"/>
      <c r="AS2" s="5031"/>
      <c r="AT2" s="5031"/>
      <c r="AU2" s="5031"/>
      <c r="AV2" s="5031"/>
      <c r="AW2" s="5031"/>
      <c r="AX2" s="5031"/>
      <c r="AY2" s="5031"/>
      <c r="AZ2" s="5031"/>
      <c r="BA2" s="5031"/>
      <c r="BB2" s="5031"/>
      <c r="BC2" s="5031"/>
      <c r="BD2" s="5031"/>
      <c r="BE2" s="5031"/>
      <c r="BF2" s="4242"/>
      <c r="BG2" s="4242"/>
      <c r="BH2" s="4242"/>
      <c r="BI2" s="4242"/>
      <c r="BJ2" s="4242"/>
      <c r="BK2" s="4242"/>
      <c r="BL2" s="4242"/>
      <c r="BM2" s="4242"/>
      <c r="BN2" s="4242"/>
      <c r="BO2" s="4242"/>
      <c r="BP2" s="4242"/>
      <c r="BQ2" s="4242"/>
    </row>
    <row r="4" spans="1:69" ht="36.75" customHeight="1" x14ac:dyDescent="0.2">
      <c r="A4" s="4487" t="s">
        <v>527</v>
      </c>
      <c r="B4" s="2683"/>
      <c r="C4" s="2683"/>
      <c r="D4" s="2683"/>
      <c r="E4" s="5043" t="s">
        <v>229</v>
      </c>
      <c r="F4" s="5044"/>
      <c r="G4" s="5044"/>
      <c r="H4" s="5044"/>
      <c r="I4" s="5044"/>
      <c r="J4" s="5044"/>
      <c r="K4" s="5044"/>
      <c r="L4" s="5045"/>
      <c r="M4" s="5021" t="s">
        <v>364</v>
      </c>
      <c r="N4" s="5022"/>
      <c r="O4" s="5022"/>
      <c r="P4" s="5022"/>
      <c r="Q4" s="5022"/>
      <c r="R4" s="5022"/>
      <c r="S4" s="5023"/>
      <c r="T4" s="5043" t="s">
        <v>818</v>
      </c>
      <c r="U4" s="5044"/>
      <c r="V4" s="5044"/>
      <c r="W4" s="5044"/>
      <c r="X4" s="5044"/>
      <c r="Y4" s="5045"/>
      <c r="Z4" s="2110" t="s">
        <v>1537</v>
      </c>
      <c r="AA4" s="5021" t="s">
        <v>895</v>
      </c>
      <c r="AB4" s="5022"/>
      <c r="AC4" s="5023"/>
      <c r="AD4" s="2684" t="s">
        <v>896</v>
      </c>
      <c r="AE4" s="5033" t="s">
        <v>896</v>
      </c>
      <c r="AF4" s="5033"/>
      <c r="AG4" s="5034"/>
      <c r="AH4" s="5021" t="s">
        <v>3515</v>
      </c>
      <c r="AI4" s="5022"/>
      <c r="AJ4" s="5022"/>
      <c r="AK4" s="5022"/>
      <c r="AL4" s="5022"/>
      <c r="AM4" s="5023"/>
      <c r="AN4" s="2682" t="s">
        <v>1808</v>
      </c>
      <c r="AO4" s="2682" t="s">
        <v>1809</v>
      </c>
      <c r="AP4" s="2682" t="s">
        <v>1810</v>
      </c>
      <c r="AQ4" s="2682" t="s">
        <v>1811</v>
      </c>
      <c r="AR4" s="2682" t="s">
        <v>1812</v>
      </c>
      <c r="AS4" s="5021" t="s">
        <v>3694</v>
      </c>
      <c r="AT4" s="4742"/>
      <c r="AU4" s="4781" t="s">
        <v>3648</v>
      </c>
      <c r="AV4" s="4737"/>
      <c r="AW4" s="4737"/>
      <c r="AX4" s="4781" t="s">
        <v>3649</v>
      </c>
      <c r="AY4" s="4737"/>
      <c r="AZ4" s="4737"/>
      <c r="BA4" s="4781" t="s">
        <v>3651</v>
      </c>
      <c r="BB4" s="4737"/>
      <c r="BC4" s="4737"/>
      <c r="BD4" s="4781" t="s">
        <v>3888</v>
      </c>
      <c r="BE4" s="4739"/>
      <c r="BF4" s="4482" t="s">
        <v>237</v>
      </c>
      <c r="BG4" s="4482"/>
      <c r="BI4" s="4781" t="s">
        <v>3943</v>
      </c>
      <c r="BJ4" s="4737"/>
      <c r="BK4" s="4737"/>
      <c r="BL4" s="4781" t="s">
        <v>3944</v>
      </c>
      <c r="BM4" s="4737"/>
      <c r="BN4" s="4737"/>
      <c r="BO4" s="4781" t="s">
        <v>3946</v>
      </c>
      <c r="BP4" s="4737"/>
      <c r="BQ4" s="4737"/>
    </row>
    <row r="5" spans="1:69" ht="12.75" customHeight="1" x14ac:dyDescent="0.2">
      <c r="A5" s="4487"/>
      <c r="B5" s="2683"/>
      <c r="C5" s="2683"/>
      <c r="D5" s="2683"/>
      <c r="E5" s="4476" t="s">
        <v>556</v>
      </c>
      <c r="F5" s="2679" t="s">
        <v>161</v>
      </c>
      <c r="G5" s="4476" t="s">
        <v>238</v>
      </c>
      <c r="H5" s="4476" t="s">
        <v>557</v>
      </c>
      <c r="I5" s="4476" t="s">
        <v>372</v>
      </c>
      <c r="J5" s="2679" t="s">
        <v>240</v>
      </c>
      <c r="K5" s="2679"/>
      <c r="L5" s="4476" t="s">
        <v>60</v>
      </c>
      <c r="M5" s="4476" t="s">
        <v>556</v>
      </c>
      <c r="N5" s="4476" t="s">
        <v>161</v>
      </c>
      <c r="O5" s="4476" t="s">
        <v>238</v>
      </c>
      <c r="P5" s="4476" t="s">
        <v>821</v>
      </c>
      <c r="Q5" s="4476" t="s">
        <v>557</v>
      </c>
      <c r="R5" s="4476" t="s">
        <v>372</v>
      </c>
      <c r="S5" s="4476" t="s">
        <v>60</v>
      </c>
      <c r="T5" s="4476" t="s">
        <v>556</v>
      </c>
      <c r="U5" s="5015" t="s">
        <v>1588</v>
      </c>
      <c r="V5" s="1979"/>
      <c r="W5" s="5015" t="s">
        <v>60</v>
      </c>
      <c r="X5" s="5015" t="s">
        <v>1678</v>
      </c>
      <c r="Y5" s="1979" t="s">
        <v>239</v>
      </c>
      <c r="Z5" s="1979" t="s">
        <v>119</v>
      </c>
      <c r="AA5" s="5015" t="s">
        <v>1682</v>
      </c>
      <c r="AB5" s="5015" t="s">
        <v>60</v>
      </c>
      <c r="AC5" s="5015" t="s">
        <v>1678</v>
      </c>
      <c r="AD5" s="1979" t="s">
        <v>119</v>
      </c>
      <c r="AE5" s="5015" t="s">
        <v>1682</v>
      </c>
      <c r="AF5" s="2685"/>
      <c r="AG5" s="5015" t="s">
        <v>60</v>
      </c>
      <c r="AH5" s="5024" t="s">
        <v>119</v>
      </c>
      <c r="AI5" s="5025"/>
      <c r="AJ5" s="5025"/>
      <c r="AK5" s="5025"/>
      <c r="AL5" s="5026"/>
      <c r="AM5" s="5024" t="s">
        <v>1524</v>
      </c>
      <c r="AN5" s="5025"/>
      <c r="AO5" s="5025"/>
      <c r="AP5" s="5025"/>
      <c r="AQ5" s="5025"/>
      <c r="AR5" s="5026"/>
      <c r="AS5" s="5015" t="s">
        <v>3516</v>
      </c>
      <c r="AT5" s="5015" t="s">
        <v>3695</v>
      </c>
      <c r="AU5" s="4476" t="s">
        <v>290</v>
      </c>
      <c r="AV5" s="4476" t="s">
        <v>3659</v>
      </c>
      <c r="AW5" s="4476"/>
      <c r="AX5" s="4476" t="s">
        <v>290</v>
      </c>
      <c r="AY5" s="4476" t="s">
        <v>3659</v>
      </c>
      <c r="AZ5" s="4476"/>
      <c r="BA5" s="4476" t="s">
        <v>290</v>
      </c>
      <c r="BB5" s="4476" t="s">
        <v>3659</v>
      </c>
      <c r="BC5" s="4476"/>
      <c r="BD5" s="5015" t="s">
        <v>3516</v>
      </c>
      <c r="BE5" s="5015" t="s">
        <v>3695</v>
      </c>
      <c r="BF5" s="5042"/>
      <c r="BG5" s="5042"/>
      <c r="BI5" s="4476" t="s">
        <v>290</v>
      </c>
      <c r="BJ5" s="4476" t="s">
        <v>3659</v>
      </c>
      <c r="BK5" s="4476"/>
      <c r="BL5" s="4476" t="s">
        <v>290</v>
      </c>
      <c r="BM5" s="4476" t="s">
        <v>3659</v>
      </c>
      <c r="BN5" s="4476"/>
      <c r="BO5" s="4476" t="s">
        <v>290</v>
      </c>
      <c r="BP5" s="4476" t="s">
        <v>3659</v>
      </c>
      <c r="BQ5" s="4476"/>
    </row>
    <row r="6" spans="1:69" ht="49.5" customHeight="1" x14ac:dyDescent="0.2">
      <c r="A6" s="4487"/>
      <c r="B6" s="2683"/>
      <c r="C6" s="2683"/>
      <c r="D6" s="2683"/>
      <c r="E6" s="4476"/>
      <c r="F6" s="2679"/>
      <c r="G6" s="4476"/>
      <c r="H6" s="4476"/>
      <c r="I6" s="4476"/>
      <c r="J6" s="2679"/>
      <c r="K6" s="2679"/>
      <c r="L6" s="4476"/>
      <c r="M6" s="4476"/>
      <c r="N6" s="4476"/>
      <c r="O6" s="4476"/>
      <c r="P6" s="4476"/>
      <c r="Q6" s="4476"/>
      <c r="R6" s="4476"/>
      <c r="S6" s="4476"/>
      <c r="T6" s="4476"/>
      <c r="U6" s="5032"/>
      <c r="V6" s="1979" t="s">
        <v>820</v>
      </c>
      <c r="W6" s="5032"/>
      <c r="X6" s="5032"/>
      <c r="Y6" s="1979" t="s">
        <v>239</v>
      </c>
      <c r="Z6" s="1979" t="s">
        <v>119</v>
      </c>
      <c r="AA6" s="5032"/>
      <c r="AB6" s="5032"/>
      <c r="AC6" s="5032"/>
      <c r="AD6" s="1979" t="s">
        <v>119</v>
      </c>
      <c r="AE6" s="4830"/>
      <c r="AF6" s="2686"/>
      <c r="AG6" s="4824"/>
      <c r="AH6" s="5027"/>
      <c r="AI6" s="5028"/>
      <c r="AJ6" s="5028"/>
      <c r="AK6" s="5028"/>
      <c r="AL6" s="5029"/>
      <c r="AM6" s="5027"/>
      <c r="AN6" s="5028"/>
      <c r="AO6" s="5028"/>
      <c r="AP6" s="5028"/>
      <c r="AQ6" s="5028"/>
      <c r="AR6" s="5029"/>
      <c r="AS6" s="4830"/>
      <c r="AT6" s="4830"/>
      <c r="AU6" s="4476"/>
      <c r="AV6" s="2679" t="s">
        <v>1695</v>
      </c>
      <c r="AW6" s="2679" t="s">
        <v>3660</v>
      </c>
      <c r="AX6" s="4476"/>
      <c r="AY6" s="2679" t="s">
        <v>1695</v>
      </c>
      <c r="AZ6" s="2679" t="s">
        <v>3660</v>
      </c>
      <c r="BA6" s="4476"/>
      <c r="BB6" s="2679" t="s">
        <v>1695</v>
      </c>
      <c r="BC6" s="2679" t="s">
        <v>3660</v>
      </c>
      <c r="BD6" s="4830"/>
      <c r="BE6" s="4830"/>
      <c r="BF6" s="4483"/>
      <c r="BG6" s="4483"/>
      <c r="BI6" s="4476"/>
      <c r="BJ6" s="3913" t="s">
        <v>1695</v>
      </c>
      <c r="BK6" s="3913" t="s">
        <v>3660</v>
      </c>
      <c r="BL6" s="4476"/>
      <c r="BM6" s="3913" t="s">
        <v>1695</v>
      </c>
      <c r="BN6" s="3913" t="s">
        <v>3660</v>
      </c>
      <c r="BO6" s="4476"/>
      <c r="BP6" s="3913" t="s">
        <v>1695</v>
      </c>
      <c r="BQ6" s="3913" t="s">
        <v>3660</v>
      </c>
    </row>
    <row r="7" spans="1:69" ht="24.95" customHeight="1" x14ac:dyDescent="0.2">
      <c r="A7" s="1732" t="s">
        <v>83</v>
      </c>
      <c r="B7" s="1732"/>
      <c r="C7" s="1732"/>
      <c r="D7" s="1732"/>
      <c r="E7" s="2610">
        <v>3847.4</v>
      </c>
      <c r="F7" s="3341" t="e">
        <f>E7/#REF!*100</f>
        <v>#REF!</v>
      </c>
      <c r="G7" s="2610" t="e">
        <f>#REF!</f>
        <v>#REF!</v>
      </c>
      <c r="H7" s="2610">
        <v>1903.22</v>
      </c>
      <c r="I7" s="2610">
        <v>2781.7</v>
      </c>
      <c r="J7" s="2610">
        <v>3772</v>
      </c>
      <c r="K7" s="2610"/>
      <c r="L7" s="2610">
        <v>3695.7</v>
      </c>
      <c r="M7" s="2610">
        <v>3759.1</v>
      </c>
      <c r="N7" s="3341"/>
      <c r="O7" s="2610">
        <f>M7</f>
        <v>3759.1</v>
      </c>
      <c r="P7" s="2168" t="e">
        <f>O7/G7</f>
        <v>#REF!</v>
      </c>
      <c r="Q7" s="2610">
        <v>1827.75</v>
      </c>
      <c r="R7" s="2610">
        <v>2733.41</v>
      </c>
      <c r="S7" s="2610">
        <v>3621.84</v>
      </c>
      <c r="T7" s="2610">
        <v>3759.1</v>
      </c>
      <c r="U7" s="2610">
        <v>3644.55</v>
      </c>
      <c r="V7" s="3342">
        <f>SUM(U7/O7)</f>
        <v>0.96952728046606906</v>
      </c>
      <c r="W7" s="3342">
        <v>3566.58</v>
      </c>
      <c r="X7" s="3342">
        <v>3566.58</v>
      </c>
      <c r="Y7" s="3342"/>
      <c r="Z7" s="3342">
        <v>3621.84</v>
      </c>
      <c r="AA7" s="3342">
        <f>Z7</f>
        <v>3621.84</v>
      </c>
      <c r="AB7" s="3342">
        <v>3595.11</v>
      </c>
      <c r="AC7" s="3342">
        <f>AB7</f>
        <v>3595.11</v>
      </c>
      <c r="AD7" s="3342">
        <v>3566.58</v>
      </c>
      <c r="AE7" s="3342">
        <f>AD7</f>
        <v>3566.58</v>
      </c>
      <c r="AF7" s="2168">
        <f t="shared" ref="AF7:AF17" si="0">AA7/U7</f>
        <v>0.99376877803844099</v>
      </c>
      <c r="AG7" s="3343">
        <v>2969.39</v>
      </c>
      <c r="AH7" s="3344">
        <v>3595.11</v>
      </c>
      <c r="AI7" s="3344">
        <f>AH7</f>
        <v>3595.11</v>
      </c>
      <c r="AJ7" s="3344">
        <f t="shared" ref="AJ7:AL7" si="1">AI7</f>
        <v>3595.11</v>
      </c>
      <c r="AK7" s="3344">
        <f t="shared" si="1"/>
        <v>3595.11</v>
      </c>
      <c r="AL7" s="3344">
        <f t="shared" si="1"/>
        <v>3595.11</v>
      </c>
      <c r="AM7" s="3344">
        <v>3595.11</v>
      </c>
      <c r="AN7" s="3344">
        <f>AM7</f>
        <v>3595.11</v>
      </c>
      <c r="AO7" s="3344">
        <f t="shared" ref="AO7:AR7" si="2">AN7</f>
        <v>3595.11</v>
      </c>
      <c r="AP7" s="3344">
        <f t="shared" si="2"/>
        <v>3595.11</v>
      </c>
      <c r="AQ7" s="3344">
        <f t="shared" si="2"/>
        <v>3595.11</v>
      </c>
      <c r="AR7" s="3344">
        <f t="shared" si="2"/>
        <v>3595.11</v>
      </c>
      <c r="AS7" s="3344">
        <f>SUM(AM7)</f>
        <v>3595.11</v>
      </c>
      <c r="AT7" s="3344">
        <f>SUM(AN7)</f>
        <v>3595.11</v>
      </c>
      <c r="AU7" s="3344">
        <f>SUM(AV7:AW7)</f>
        <v>1155.57</v>
      </c>
      <c r="AV7" s="3344">
        <v>1155.57</v>
      </c>
      <c r="AW7" s="3344">
        <v>0</v>
      </c>
      <c r="AX7" s="3344">
        <f>SUM(AY7:AZ7)</f>
        <v>1731.27</v>
      </c>
      <c r="AY7" s="3344">
        <v>1731.27</v>
      </c>
      <c r="AZ7" s="3344"/>
      <c r="BA7" s="3344">
        <f>SUM(BB7:BC7)</f>
        <v>2385.85</v>
      </c>
      <c r="BB7" s="3344">
        <v>2385.85</v>
      </c>
      <c r="BC7" s="3342"/>
      <c r="BD7" s="2695">
        <v>2385.85</v>
      </c>
      <c r="BE7" s="4077">
        <f>SUM(BD7/BD13*BE13)</f>
        <v>1251.653402217785</v>
      </c>
      <c r="BF7" s="5041"/>
      <c r="BG7" s="5041"/>
      <c r="BI7" s="3969">
        <f>SUM(BJ7:BK7)</f>
        <v>1443.085</v>
      </c>
      <c r="BJ7" s="3969">
        <v>1443.085</v>
      </c>
      <c r="BK7" s="3969">
        <v>0</v>
      </c>
      <c r="BL7" s="3969">
        <f>SUM(BM7:BN7)</f>
        <v>2164.8000000000002</v>
      </c>
      <c r="BM7" s="3969">
        <v>2164.8000000000002</v>
      </c>
      <c r="BN7" s="3969"/>
      <c r="BO7" s="3992">
        <f>SUM(BP7:BQ7)</f>
        <v>0</v>
      </c>
      <c r="BP7" s="3992"/>
      <c r="BQ7" s="3353"/>
    </row>
    <row r="8" spans="1:69" ht="24.95" customHeight="1" x14ac:dyDescent="0.2">
      <c r="A8" s="1732" t="s">
        <v>84</v>
      </c>
      <c r="B8" s="1732"/>
      <c r="C8" s="1732"/>
      <c r="D8" s="1732"/>
      <c r="E8" s="2610">
        <v>575.29999999999995</v>
      </c>
      <c r="F8" s="3341" t="e">
        <f>E8/#REF!*100</f>
        <v>#REF!</v>
      </c>
      <c r="G8" s="2610">
        <f>E8</f>
        <v>575.29999999999995</v>
      </c>
      <c r="H8" s="2610">
        <v>445.93</v>
      </c>
      <c r="I8" s="2610">
        <v>753.9</v>
      </c>
      <c r="J8" s="2610">
        <v>564</v>
      </c>
      <c r="K8" s="2610"/>
      <c r="L8" s="2610">
        <v>1043.5999999999999</v>
      </c>
      <c r="M8" s="2610">
        <v>721.2</v>
      </c>
      <c r="N8" s="3341"/>
      <c r="O8" s="2610">
        <f>M8</f>
        <v>721.2</v>
      </c>
      <c r="P8" s="2168">
        <f t="shared" ref="P8:P19" si="3">O8/G8</f>
        <v>1.2536068138362595</v>
      </c>
      <c r="Q8" s="2610">
        <v>725.7</v>
      </c>
      <c r="R8" s="2610">
        <v>1151.78</v>
      </c>
      <c r="S8" s="2610">
        <v>1561.14</v>
      </c>
      <c r="T8" s="2610">
        <v>721.2</v>
      </c>
      <c r="U8" s="2610">
        <v>1535.71</v>
      </c>
      <c r="V8" s="3342">
        <f t="shared" ref="V8:V17" si="4">SUM(U8/O8)</f>
        <v>2.1293815862451471</v>
      </c>
      <c r="W8" s="3342">
        <v>1344.19</v>
      </c>
      <c r="X8" s="3342">
        <v>1344.19</v>
      </c>
      <c r="Y8" s="3342"/>
      <c r="Z8" s="3342">
        <v>1561.17</v>
      </c>
      <c r="AA8" s="3342">
        <f t="shared" ref="AA8:AA10" si="5">Z8</f>
        <v>1561.17</v>
      </c>
      <c r="AB8" s="3342">
        <v>2802.12</v>
      </c>
      <c r="AC8" s="3342">
        <f t="shared" ref="AC8:AC10" si="6">AB8</f>
        <v>2802.12</v>
      </c>
      <c r="AD8" s="3342">
        <v>1344.19</v>
      </c>
      <c r="AE8" s="3342">
        <f t="shared" ref="AE8:AE10" si="7">AD8</f>
        <v>1344.19</v>
      </c>
      <c r="AF8" s="2168">
        <f t="shared" si="0"/>
        <v>1.0165786509171655</v>
      </c>
      <c r="AG8" s="3345">
        <v>3021.59</v>
      </c>
      <c r="AH8" s="3342">
        <v>2802.12</v>
      </c>
      <c r="AI8" s="3344">
        <f t="shared" ref="AI8:AL11" si="8">AH8</f>
        <v>2802.12</v>
      </c>
      <c r="AJ8" s="3344">
        <f t="shared" si="8"/>
        <v>2802.12</v>
      </c>
      <c r="AK8" s="3344">
        <f t="shared" si="8"/>
        <v>2802.12</v>
      </c>
      <c r="AL8" s="3344">
        <f t="shared" si="8"/>
        <v>2802.12</v>
      </c>
      <c r="AM8" s="3342">
        <v>2802.12</v>
      </c>
      <c r="AN8" s="3344">
        <f t="shared" ref="AN8:AR10" si="9">AM8</f>
        <v>2802.12</v>
      </c>
      <c r="AO8" s="3344">
        <f t="shared" si="9"/>
        <v>2802.12</v>
      </c>
      <c r="AP8" s="3344">
        <f t="shared" si="9"/>
        <v>2802.12</v>
      </c>
      <c r="AQ8" s="3344">
        <f t="shared" si="9"/>
        <v>2802.12</v>
      </c>
      <c r="AR8" s="3344">
        <f t="shared" si="9"/>
        <v>2802.12</v>
      </c>
      <c r="AS8" s="3344">
        <f>SUM(AG8)</f>
        <v>3021.59</v>
      </c>
      <c r="AT8" s="3344">
        <f>SUM(AS8)</f>
        <v>3021.59</v>
      </c>
      <c r="AU8" s="3344">
        <f t="shared" ref="AU8:AU11" si="10">SUM(AV8:AW8)</f>
        <v>3307.34</v>
      </c>
      <c r="AV8" s="3344">
        <v>3307.34</v>
      </c>
      <c r="AW8" s="3344">
        <v>0</v>
      </c>
      <c r="AX8" s="3344">
        <f t="shared" ref="AX8:AX11" si="11">SUM(AY8:AZ8)</f>
        <v>4757.53</v>
      </c>
      <c r="AY8" s="3344">
        <v>4757.53</v>
      </c>
      <c r="AZ8" s="3344"/>
      <c r="BA8" s="3344">
        <f t="shared" ref="BA8:BA11" si="12">SUM(BB8:BC8)</f>
        <v>5705.59</v>
      </c>
      <c r="BB8" s="3344">
        <v>5705.59</v>
      </c>
      <c r="BC8" s="3342"/>
      <c r="BD8" s="2695">
        <v>5705.59</v>
      </c>
      <c r="BE8" s="4077">
        <f>SUM(BD8/BD13*BE13)</f>
        <v>2993.239782534431</v>
      </c>
      <c r="BF8" s="5041"/>
      <c r="BG8" s="5041"/>
      <c r="BI8" s="3969">
        <f t="shared" ref="BI8:BI11" si="13">SUM(BJ8:BK8)</f>
        <v>2500.84</v>
      </c>
      <c r="BJ8" s="3969">
        <v>2500.84</v>
      </c>
      <c r="BK8" s="3969">
        <v>0</v>
      </c>
      <c r="BL8" s="3969">
        <f t="shared" ref="BL8:BL11" si="14">SUM(BM8:BN8)</f>
        <v>3748.76</v>
      </c>
      <c r="BM8" s="3969">
        <v>3748.76</v>
      </c>
      <c r="BN8" s="3969"/>
      <c r="BO8" s="3992">
        <f t="shared" ref="BO8:BO11" si="15">SUM(BP8:BQ8)</f>
        <v>0</v>
      </c>
      <c r="BP8" s="3992"/>
      <c r="BQ8" s="3353"/>
    </row>
    <row r="9" spans="1:69" ht="24.95" customHeight="1" x14ac:dyDescent="0.2">
      <c r="A9" s="1732" t="s">
        <v>85</v>
      </c>
      <c r="B9" s="1732"/>
      <c r="C9" s="1732"/>
      <c r="D9" s="1732"/>
      <c r="E9" s="2610">
        <v>298.89999999999998</v>
      </c>
      <c r="F9" s="3341" t="e">
        <f>E9/#REF!*100</f>
        <v>#REF!</v>
      </c>
      <c r="G9" s="2610" t="e">
        <f>#REF!</f>
        <v>#REF!</v>
      </c>
      <c r="H9" s="2610">
        <v>100.67</v>
      </c>
      <c r="I9" s="2610">
        <v>58.6</v>
      </c>
      <c r="J9" s="2610">
        <v>293</v>
      </c>
      <c r="K9" s="2610"/>
      <c r="L9" s="2610">
        <v>72.099999999999994</v>
      </c>
      <c r="M9" s="2610">
        <v>273</v>
      </c>
      <c r="N9" s="3341"/>
      <c r="O9" s="2610">
        <f>M9</f>
        <v>273</v>
      </c>
      <c r="P9" s="2168" t="e">
        <f t="shared" si="3"/>
        <v>#REF!</v>
      </c>
      <c r="Q9" s="2610">
        <v>26.95</v>
      </c>
      <c r="R9" s="2610">
        <v>40.42</v>
      </c>
      <c r="S9" s="2610">
        <v>53.89</v>
      </c>
      <c r="T9" s="2610">
        <v>273</v>
      </c>
      <c r="U9" s="2610">
        <v>53.89</v>
      </c>
      <c r="V9" s="3342">
        <f t="shared" si="4"/>
        <v>0.19739926739926741</v>
      </c>
      <c r="W9" s="3342">
        <v>53.89</v>
      </c>
      <c r="X9" s="3342">
        <v>53.89</v>
      </c>
      <c r="Y9" s="3342"/>
      <c r="Z9" s="3342">
        <v>53.89</v>
      </c>
      <c r="AA9" s="3342">
        <f t="shared" si="5"/>
        <v>53.89</v>
      </c>
      <c r="AB9" s="3342">
        <v>53.88</v>
      </c>
      <c r="AC9" s="3342">
        <f t="shared" si="6"/>
        <v>53.88</v>
      </c>
      <c r="AD9" s="3342">
        <v>53.89</v>
      </c>
      <c r="AE9" s="3342">
        <f t="shared" si="7"/>
        <v>53.89</v>
      </c>
      <c r="AF9" s="2168">
        <f t="shared" si="0"/>
        <v>1</v>
      </c>
      <c r="AG9" s="3345">
        <v>51.45</v>
      </c>
      <c r="AH9" s="3342">
        <v>53.88</v>
      </c>
      <c r="AI9" s="3344">
        <f t="shared" si="8"/>
        <v>53.88</v>
      </c>
      <c r="AJ9" s="3344">
        <f t="shared" si="8"/>
        <v>53.88</v>
      </c>
      <c r="AK9" s="3344">
        <f t="shared" si="8"/>
        <v>53.88</v>
      </c>
      <c r="AL9" s="3344">
        <f t="shared" si="8"/>
        <v>53.88</v>
      </c>
      <c r="AM9" s="3342">
        <v>53.88</v>
      </c>
      <c r="AN9" s="3344">
        <f t="shared" si="9"/>
        <v>53.88</v>
      </c>
      <c r="AO9" s="3344">
        <f t="shared" si="9"/>
        <v>53.88</v>
      </c>
      <c r="AP9" s="3344">
        <f t="shared" si="9"/>
        <v>53.88</v>
      </c>
      <c r="AQ9" s="3344">
        <f t="shared" si="9"/>
        <v>53.88</v>
      </c>
      <c r="AR9" s="3344">
        <f t="shared" si="9"/>
        <v>53.88</v>
      </c>
      <c r="AS9" s="3344">
        <f>SUM(AM9)</f>
        <v>53.88</v>
      </c>
      <c r="AT9" s="3344">
        <f>SUM(AN9)</f>
        <v>53.88</v>
      </c>
      <c r="AU9" s="3344">
        <f t="shared" si="10"/>
        <v>22.59</v>
      </c>
      <c r="AV9" s="3344">
        <v>22.59</v>
      </c>
      <c r="AW9" s="3344">
        <v>0</v>
      </c>
      <c r="AX9" s="3344">
        <f t="shared" si="11"/>
        <v>34.06</v>
      </c>
      <c r="AY9" s="3344">
        <v>34.06</v>
      </c>
      <c r="AZ9" s="3344"/>
      <c r="BA9" s="3344">
        <f t="shared" si="12"/>
        <v>41.95</v>
      </c>
      <c r="BB9" s="3344">
        <v>41.95</v>
      </c>
      <c r="BC9" s="3342"/>
      <c r="BD9" s="2695">
        <v>41.95</v>
      </c>
      <c r="BE9" s="4077">
        <f>SUM(BD9/BD13*BE13)</f>
        <v>22.007611636538794</v>
      </c>
      <c r="BF9" s="5041"/>
      <c r="BG9" s="5041"/>
      <c r="BI9" s="3969">
        <f t="shared" si="13"/>
        <v>23.655000000000001</v>
      </c>
      <c r="BJ9" s="3969">
        <v>23.655000000000001</v>
      </c>
      <c r="BK9" s="3969">
        <v>0</v>
      </c>
      <c r="BL9" s="3969">
        <f t="shared" si="14"/>
        <v>55.16</v>
      </c>
      <c r="BM9" s="3969">
        <v>55.16</v>
      </c>
      <c r="BN9" s="3969"/>
      <c r="BO9" s="3992">
        <f t="shared" si="15"/>
        <v>0</v>
      </c>
      <c r="BP9" s="3992"/>
      <c r="BQ9" s="3353"/>
    </row>
    <row r="10" spans="1:69" ht="24.95" customHeight="1" x14ac:dyDescent="0.2">
      <c r="A10" s="1732" t="s">
        <v>86</v>
      </c>
      <c r="B10" s="1732"/>
      <c r="C10" s="1732"/>
      <c r="D10" s="1732"/>
      <c r="E10" s="2610">
        <v>2715.2</v>
      </c>
      <c r="F10" s="3341" t="e">
        <f>E10/#REF!*100</f>
        <v>#REF!</v>
      </c>
      <c r="G10" s="2610" t="e">
        <f>#REF!</f>
        <v>#REF!</v>
      </c>
      <c r="H10" s="2610">
        <v>1397.95</v>
      </c>
      <c r="I10" s="2610">
        <v>2094.3000000000002</v>
      </c>
      <c r="J10" s="2610">
        <v>2662</v>
      </c>
      <c r="K10" s="2610"/>
      <c r="L10" s="2610">
        <v>2798.4</v>
      </c>
      <c r="M10" s="2610">
        <v>2797</v>
      </c>
      <c r="N10" s="3341"/>
      <c r="O10" s="2610">
        <f>M10</f>
        <v>2797</v>
      </c>
      <c r="P10" s="2168" t="e">
        <f t="shared" si="3"/>
        <v>#REF!</v>
      </c>
      <c r="Q10" s="2610">
        <v>1412.82</v>
      </c>
      <c r="R10" s="2610">
        <v>2176.46</v>
      </c>
      <c r="S10" s="2610">
        <v>3059.78</v>
      </c>
      <c r="T10" s="2610">
        <v>2797</v>
      </c>
      <c r="U10" s="2610">
        <v>2901.95</v>
      </c>
      <c r="V10" s="3342">
        <f t="shared" si="4"/>
        <v>1.0375223453700393</v>
      </c>
      <c r="W10" s="3342">
        <v>3533.24</v>
      </c>
      <c r="X10" s="3342">
        <v>3533.24</v>
      </c>
      <c r="Y10" s="3342"/>
      <c r="Z10" s="3342">
        <v>3059.78</v>
      </c>
      <c r="AA10" s="3342">
        <f t="shared" si="5"/>
        <v>3059.78</v>
      </c>
      <c r="AB10" s="3342">
        <v>3533.27</v>
      </c>
      <c r="AC10" s="3342">
        <f t="shared" si="6"/>
        <v>3533.27</v>
      </c>
      <c r="AD10" s="3342">
        <v>3533.24</v>
      </c>
      <c r="AE10" s="3342">
        <f t="shared" si="7"/>
        <v>3533.24</v>
      </c>
      <c r="AF10" s="2168">
        <f t="shared" si="0"/>
        <v>1.0543875669808234</v>
      </c>
      <c r="AG10" s="3345">
        <v>3544.43</v>
      </c>
      <c r="AH10" s="3342">
        <v>3533.27</v>
      </c>
      <c r="AI10" s="3344">
        <f t="shared" si="8"/>
        <v>3533.27</v>
      </c>
      <c r="AJ10" s="3344">
        <f t="shared" si="8"/>
        <v>3533.27</v>
      </c>
      <c r="AK10" s="3344">
        <f t="shared" si="8"/>
        <v>3533.27</v>
      </c>
      <c r="AL10" s="3344">
        <f t="shared" si="8"/>
        <v>3533.27</v>
      </c>
      <c r="AM10" s="3342">
        <v>3533.27</v>
      </c>
      <c r="AN10" s="3344">
        <f t="shared" si="9"/>
        <v>3533.27</v>
      </c>
      <c r="AO10" s="3344">
        <f t="shared" si="9"/>
        <v>3533.27</v>
      </c>
      <c r="AP10" s="3344">
        <f t="shared" si="9"/>
        <v>3533.27</v>
      </c>
      <c r="AQ10" s="3344">
        <f t="shared" si="9"/>
        <v>3533.27</v>
      </c>
      <c r="AR10" s="3344">
        <f t="shared" si="9"/>
        <v>3533.27</v>
      </c>
      <c r="AS10" s="3344">
        <f>SUM(AG10)</f>
        <v>3544.43</v>
      </c>
      <c r="AT10" s="3344">
        <f>SUM(AS10)</f>
        <v>3544.43</v>
      </c>
      <c r="AU10" s="3344">
        <f t="shared" si="10"/>
        <v>1776.75</v>
      </c>
      <c r="AV10" s="3344">
        <v>1776.75</v>
      </c>
      <c r="AW10" s="3344">
        <v>0</v>
      </c>
      <c r="AX10" s="3344">
        <f t="shared" si="11"/>
        <v>2670.81</v>
      </c>
      <c r="AY10" s="3344">
        <v>2670.81</v>
      </c>
      <c r="AZ10" s="3344"/>
      <c r="BA10" s="3344">
        <f t="shared" si="12"/>
        <v>3575.59</v>
      </c>
      <c r="BB10" s="3344">
        <v>3575.59</v>
      </c>
      <c r="BC10" s="3342"/>
      <c r="BD10" s="2695">
        <v>3575.59</v>
      </c>
      <c r="BE10" s="4077">
        <f>SUM(BD10/BD13*BE13)</f>
        <v>1875.8092036112455</v>
      </c>
      <c r="BF10" s="5041"/>
      <c r="BG10" s="5041"/>
      <c r="BI10" s="3969">
        <f t="shared" si="13"/>
        <v>1827.8309999999999</v>
      </c>
      <c r="BJ10" s="3969">
        <v>1827.8309999999999</v>
      </c>
      <c r="BK10" s="3969">
        <v>0</v>
      </c>
      <c r="BL10" s="3969">
        <f t="shared" si="14"/>
        <v>2745.6750000000002</v>
      </c>
      <c r="BM10" s="3969">
        <v>2745.6750000000002</v>
      </c>
      <c r="BN10" s="3969"/>
      <c r="BO10" s="3992">
        <f t="shared" si="15"/>
        <v>0</v>
      </c>
      <c r="BP10" s="3992"/>
      <c r="BQ10" s="3353"/>
    </row>
    <row r="11" spans="1:69" ht="51" customHeight="1" x14ac:dyDescent="0.2">
      <c r="A11" s="1732" t="s">
        <v>1937</v>
      </c>
      <c r="B11" s="1732"/>
      <c r="C11" s="1732"/>
      <c r="D11" s="1732"/>
      <c r="E11" s="2610"/>
      <c r="F11" s="3341"/>
      <c r="G11" s="2610"/>
      <c r="H11" s="2610"/>
      <c r="I11" s="2610"/>
      <c r="J11" s="2610"/>
      <c r="K11" s="2610"/>
      <c r="L11" s="2610"/>
      <c r="M11" s="2610"/>
      <c r="N11" s="3341"/>
      <c r="O11" s="2610"/>
      <c r="P11" s="2168"/>
      <c r="Q11" s="2610"/>
      <c r="R11" s="2610"/>
      <c r="S11" s="2610"/>
      <c r="T11" s="2610"/>
      <c r="U11" s="2610">
        <v>0</v>
      </c>
      <c r="V11" s="3342"/>
      <c r="W11" s="3342">
        <v>0</v>
      </c>
      <c r="X11" s="3342">
        <v>0</v>
      </c>
      <c r="Y11" s="3342"/>
      <c r="Z11" s="3342"/>
      <c r="AA11" s="3342">
        <v>0</v>
      </c>
      <c r="AB11" s="3342">
        <v>0</v>
      </c>
      <c r="AC11" s="3342">
        <v>0</v>
      </c>
      <c r="AD11" s="3342"/>
      <c r="AE11" s="3342">
        <v>0</v>
      </c>
      <c r="AF11" s="2168"/>
      <c r="AG11" s="3345">
        <v>330.7</v>
      </c>
      <c r="AH11" s="3342">
        <v>2766.9</v>
      </c>
      <c r="AI11" s="3344">
        <f t="shared" si="8"/>
        <v>2766.9</v>
      </c>
      <c r="AJ11" s="3344">
        <f t="shared" si="8"/>
        <v>2766.9</v>
      </c>
      <c r="AK11" s="3344">
        <f t="shared" si="8"/>
        <v>2766.9</v>
      </c>
      <c r="AL11" s="3344">
        <f t="shared" si="8"/>
        <v>2766.9</v>
      </c>
      <c r="AM11" s="3342">
        <v>0</v>
      </c>
      <c r="AN11" s="3346">
        <f>AM11</f>
        <v>0</v>
      </c>
      <c r="AO11" s="3346">
        <f t="shared" ref="AO11:AR11" si="16">AN11</f>
        <v>0</v>
      </c>
      <c r="AP11" s="3346">
        <f t="shared" si="16"/>
        <v>0</v>
      </c>
      <c r="AQ11" s="3346">
        <f t="shared" si="16"/>
        <v>0</v>
      </c>
      <c r="AR11" s="3346">
        <f t="shared" si="16"/>
        <v>0</v>
      </c>
      <c r="AS11" s="3347"/>
      <c r="AT11" s="3347"/>
      <c r="AU11" s="3344">
        <f t="shared" si="10"/>
        <v>1984.2</v>
      </c>
      <c r="AV11" s="3347">
        <v>1984.2</v>
      </c>
      <c r="AW11" s="3347">
        <v>0</v>
      </c>
      <c r="AX11" s="3344">
        <f t="shared" si="11"/>
        <v>2976.3</v>
      </c>
      <c r="AY11" s="3347">
        <v>2976.3</v>
      </c>
      <c r="AZ11" s="3347"/>
      <c r="BA11" s="3344">
        <f t="shared" si="12"/>
        <v>3968.43</v>
      </c>
      <c r="BB11" s="3347">
        <v>3968.43</v>
      </c>
      <c r="BC11" s="3346"/>
      <c r="BD11" s="2696"/>
      <c r="BE11" s="4078"/>
      <c r="BF11" s="5041" t="s">
        <v>2168</v>
      </c>
      <c r="BG11" s="5041"/>
      <c r="BI11" s="3969">
        <f t="shared" si="13"/>
        <v>1984.2058999999999</v>
      </c>
      <c r="BJ11" s="3970">
        <v>1984.2058999999999</v>
      </c>
      <c r="BK11" s="3970">
        <v>0</v>
      </c>
      <c r="BL11" s="3969">
        <f t="shared" si="14"/>
        <v>2976.3049999999998</v>
      </c>
      <c r="BM11" s="3970">
        <v>2976.3049999999998</v>
      </c>
      <c r="BN11" s="3970"/>
      <c r="BO11" s="3992">
        <f t="shared" si="15"/>
        <v>0</v>
      </c>
      <c r="BP11" s="3993"/>
      <c r="BQ11" s="3354"/>
    </row>
    <row r="12" spans="1:69" ht="10.5" hidden="1" customHeight="1" x14ac:dyDescent="0.2">
      <c r="A12" s="1732" t="s">
        <v>3476</v>
      </c>
      <c r="B12" s="1732"/>
      <c r="C12" s="1732"/>
      <c r="D12" s="1732"/>
      <c r="E12" s="2610"/>
      <c r="F12" s="3341"/>
      <c r="G12" s="2610"/>
      <c r="H12" s="2610"/>
      <c r="I12" s="2610"/>
      <c r="J12" s="2610"/>
      <c r="K12" s="2610"/>
      <c r="L12" s="2610"/>
      <c r="M12" s="2610"/>
      <c r="N12" s="3341"/>
      <c r="O12" s="2610"/>
      <c r="P12" s="2168"/>
      <c r="Q12" s="2610"/>
      <c r="R12" s="2610"/>
      <c r="S12" s="2610"/>
      <c r="T12" s="2610"/>
      <c r="U12" s="2610"/>
      <c r="V12" s="3342"/>
      <c r="W12" s="3342"/>
      <c r="X12" s="3342"/>
      <c r="Y12" s="3342"/>
      <c r="Z12" s="3342"/>
      <c r="AA12" s="3342"/>
      <c r="AB12" s="3342"/>
      <c r="AC12" s="3342">
        <v>0</v>
      </c>
      <c r="AD12" s="3342"/>
      <c r="AE12" s="3342"/>
      <c r="AF12" s="2168"/>
      <c r="AG12" s="3345"/>
      <c r="AH12" s="3342"/>
      <c r="AI12" s="3344"/>
      <c r="AJ12" s="3344"/>
      <c r="AK12" s="3344"/>
      <c r="AL12" s="3344"/>
      <c r="AM12" s="3342"/>
      <c r="AN12" s="3346"/>
      <c r="AO12" s="3346"/>
      <c r="AP12" s="3346"/>
      <c r="AQ12" s="3346"/>
      <c r="AR12" s="3346"/>
      <c r="AS12" s="3347"/>
      <c r="AT12" s="3347"/>
      <c r="AU12" s="3347"/>
      <c r="AV12" s="3347"/>
      <c r="AW12" s="3347"/>
      <c r="AX12" s="3347"/>
      <c r="AY12" s="3347"/>
      <c r="AZ12" s="3347"/>
      <c r="BA12" s="3347"/>
      <c r="BB12" s="3347"/>
      <c r="BC12" s="3346"/>
      <c r="BD12" s="2696"/>
      <c r="BE12" s="4078"/>
      <c r="BF12" s="3240"/>
      <c r="BG12" s="3240"/>
      <c r="BI12" s="3945"/>
      <c r="BJ12" s="3945"/>
      <c r="BK12" s="3945"/>
      <c r="BL12" s="3970"/>
      <c r="BM12" s="3970"/>
      <c r="BN12" s="3970"/>
      <c r="BO12" s="3993"/>
      <c r="BP12" s="3993"/>
      <c r="BQ12" s="3354"/>
    </row>
    <row r="13" spans="1:69" ht="24.95" customHeight="1" x14ac:dyDescent="0.2">
      <c r="A13" s="2604" t="s">
        <v>87</v>
      </c>
      <c r="B13" s="1732"/>
      <c r="C13" s="1732"/>
      <c r="D13" s="1732"/>
      <c r="E13" s="2611">
        <f>SUM(E7:E10)</f>
        <v>7436.7999999999993</v>
      </c>
      <c r="F13" s="3341" t="e">
        <f>E13/#REF!*100</f>
        <v>#REF!</v>
      </c>
      <c r="G13" s="2611" t="e">
        <f>SUM(G7:G10)</f>
        <v>#REF!</v>
      </c>
      <c r="H13" s="2611">
        <f>SUM(H7:H10)</f>
        <v>3847.7700000000004</v>
      </c>
      <c r="I13" s="2611">
        <f>SUM(I7:I10)</f>
        <v>5688.5</v>
      </c>
      <c r="J13" s="2611">
        <f>SUM(J7:J10)</f>
        <v>7291</v>
      </c>
      <c r="K13" s="2610"/>
      <c r="L13" s="2611">
        <f>SUM(L7:L10)</f>
        <v>7609.7999999999993</v>
      </c>
      <c r="M13" s="2611">
        <f>SUM(M7:M10)</f>
        <v>7550.3</v>
      </c>
      <c r="N13" s="3341"/>
      <c r="O13" s="2611">
        <f>SUM(O7:O10)</f>
        <v>7550.3</v>
      </c>
      <c r="P13" s="2611" t="e">
        <f t="shared" ref="P13:T13" si="17">SUM(P7:P10)</f>
        <v>#REF!</v>
      </c>
      <c r="Q13" s="2611">
        <f t="shared" si="17"/>
        <v>3993.2199999999993</v>
      </c>
      <c r="R13" s="2611">
        <f t="shared" si="17"/>
        <v>6102.07</v>
      </c>
      <c r="S13" s="2611">
        <f t="shared" si="17"/>
        <v>8296.6500000000015</v>
      </c>
      <c r="T13" s="2611">
        <f t="shared" si="17"/>
        <v>7550.3</v>
      </c>
      <c r="U13" s="2611">
        <f>SUM(U7:U11)</f>
        <v>8136.1</v>
      </c>
      <c r="V13" s="2611">
        <f t="shared" ref="V13" si="18">SUM(V7:V10)</f>
        <v>4.3338304794805236</v>
      </c>
      <c r="W13" s="3348">
        <f>SUM(W7:W11)</f>
        <v>8497.9000000000015</v>
      </c>
      <c r="X13" s="3348">
        <f>SUM(X7:X11)</f>
        <v>8497.9000000000015</v>
      </c>
      <c r="Y13" s="3349">
        <v>6404.4</v>
      </c>
      <c r="Z13" s="2611">
        <f>SUM(Z7:Z10)</f>
        <v>8296.68</v>
      </c>
      <c r="AA13" s="2611">
        <f>SUM(AA7:AA10)</f>
        <v>8296.68</v>
      </c>
      <c r="AB13" s="2611">
        <f>SUM(AB7:AB11)</f>
        <v>9984.3799999999992</v>
      </c>
      <c r="AC13" s="2611">
        <f>SUM(AC7:AC12)</f>
        <v>9984.3799999999992</v>
      </c>
      <c r="AD13" s="2611">
        <f t="shared" ref="AD13:AF13" si="19">SUM(AD7:AD10)</f>
        <v>8497.9000000000015</v>
      </c>
      <c r="AE13" s="2611">
        <f t="shared" si="19"/>
        <v>8497.9000000000015</v>
      </c>
      <c r="AF13" s="2611">
        <f t="shared" si="19"/>
        <v>4.0647349959364298</v>
      </c>
      <c r="AG13" s="2611">
        <f>SUM(AG7:AG11)</f>
        <v>9917.56</v>
      </c>
      <c r="AH13" s="2611">
        <f>SUM(AH7:AH11)</f>
        <v>12751.279999999999</v>
      </c>
      <c r="AI13" s="2611">
        <f t="shared" ref="AI13:AL13" si="20">SUM(AI7:AI11)</f>
        <v>12751.279999999999</v>
      </c>
      <c r="AJ13" s="2611">
        <f t="shared" si="20"/>
        <v>12751.279999999999</v>
      </c>
      <c r="AK13" s="2611">
        <f t="shared" si="20"/>
        <v>12751.279999999999</v>
      </c>
      <c r="AL13" s="2611">
        <f t="shared" si="20"/>
        <v>12751.279999999999</v>
      </c>
      <c r="AM13" s="2611">
        <f>SUM(AM7:AM11)</f>
        <v>9984.3799999999992</v>
      </c>
      <c r="AN13" s="2611">
        <f t="shared" ref="AN13:AR13" si="21">SUM(AN7:AN11)</f>
        <v>9984.3799999999992</v>
      </c>
      <c r="AO13" s="2611">
        <f t="shared" si="21"/>
        <v>9984.3799999999992</v>
      </c>
      <c r="AP13" s="2611">
        <f t="shared" si="21"/>
        <v>9984.3799999999992</v>
      </c>
      <c r="AQ13" s="2611">
        <f t="shared" si="21"/>
        <v>9984.3799999999992</v>
      </c>
      <c r="AR13" s="2611">
        <f t="shared" si="21"/>
        <v>9984.3799999999992</v>
      </c>
      <c r="AS13" s="2611">
        <f t="shared" ref="AS13:BC13" si="22">SUM(AS7:AS11)</f>
        <v>10215.01</v>
      </c>
      <c r="AT13" s="2611">
        <f t="shared" ref="AT13" si="23">SUM(AT7:AT11)</f>
        <v>10215.01</v>
      </c>
      <c r="AU13" s="2611">
        <f t="shared" si="22"/>
        <v>8246.4500000000007</v>
      </c>
      <c r="AV13" s="2611">
        <f t="shared" si="22"/>
        <v>8246.4500000000007</v>
      </c>
      <c r="AW13" s="2611">
        <f t="shared" si="22"/>
        <v>0</v>
      </c>
      <c r="AX13" s="2611">
        <f t="shared" si="22"/>
        <v>12169.970000000001</v>
      </c>
      <c r="AY13" s="2611">
        <f t="shared" si="22"/>
        <v>12169.970000000001</v>
      </c>
      <c r="AZ13" s="2611">
        <f t="shared" si="22"/>
        <v>0</v>
      </c>
      <c r="BA13" s="2611">
        <f t="shared" si="22"/>
        <v>15677.41</v>
      </c>
      <c r="BB13" s="2611">
        <f t="shared" si="22"/>
        <v>15677.41</v>
      </c>
      <c r="BC13" s="2611">
        <f t="shared" si="22"/>
        <v>0</v>
      </c>
      <c r="BD13" s="3244">
        <f t="shared" ref="BD13" si="24">SUM(BD7:BD11)</f>
        <v>11708.98</v>
      </c>
      <c r="BE13" s="4065">
        <v>6142.71</v>
      </c>
      <c r="BF13" s="5040"/>
      <c r="BG13" s="5040"/>
      <c r="BI13" s="3336">
        <f t="shared" ref="BI13:BQ13" si="25">SUM(BI7:BI11)</f>
        <v>7779.6169</v>
      </c>
      <c r="BJ13" s="3336">
        <f t="shared" si="25"/>
        <v>7779.6169</v>
      </c>
      <c r="BK13" s="3336">
        <f t="shared" si="25"/>
        <v>0</v>
      </c>
      <c r="BL13" s="3336">
        <f t="shared" si="25"/>
        <v>11690.7</v>
      </c>
      <c r="BM13" s="3336">
        <f t="shared" si="25"/>
        <v>11690.7</v>
      </c>
      <c r="BN13" s="3336">
        <f t="shared" si="25"/>
        <v>0</v>
      </c>
      <c r="BO13" s="3309">
        <f t="shared" si="25"/>
        <v>0</v>
      </c>
      <c r="BP13" s="3309">
        <f t="shared" si="25"/>
        <v>0</v>
      </c>
      <c r="BQ13" s="3309">
        <f t="shared" si="25"/>
        <v>0</v>
      </c>
    </row>
    <row r="14" spans="1:69" ht="24.95" customHeight="1" x14ac:dyDescent="0.2">
      <c r="A14" s="1732" t="s">
        <v>88</v>
      </c>
      <c r="B14" s="1732"/>
      <c r="C14" s="1732"/>
      <c r="D14" s="1732"/>
      <c r="E14" s="2610">
        <v>267.89999999999998</v>
      </c>
      <c r="F14" s="3341" t="e">
        <f>E14/#REF!*100</f>
        <v>#REF!</v>
      </c>
      <c r="G14" s="2610" t="e">
        <f>#REF!</f>
        <v>#REF!</v>
      </c>
      <c r="H14" s="2610">
        <v>136.63</v>
      </c>
      <c r="I14" s="2610">
        <v>205.2</v>
      </c>
      <c r="J14" s="2610">
        <v>267.60000000000002</v>
      </c>
      <c r="K14" s="2610"/>
      <c r="L14" s="2610">
        <v>275.8</v>
      </c>
      <c r="M14" s="2610">
        <v>273.60000000000002</v>
      </c>
      <c r="N14" s="3341"/>
      <c r="O14" s="2610">
        <f>M14</f>
        <v>273.60000000000002</v>
      </c>
      <c r="P14" s="2168" t="e">
        <f t="shared" si="3"/>
        <v>#REF!</v>
      </c>
      <c r="Q14" s="2610">
        <v>189.68</v>
      </c>
      <c r="R14" s="2610">
        <v>307.45999999999998</v>
      </c>
      <c r="S14" s="2610">
        <v>425.24</v>
      </c>
      <c r="T14" s="2610">
        <v>273.60000000000002</v>
      </c>
      <c r="U14" s="2610">
        <f>T14</f>
        <v>273.60000000000002</v>
      </c>
      <c r="V14" s="2168">
        <f t="shared" si="4"/>
        <v>1</v>
      </c>
      <c r="W14" s="3345">
        <v>498.59</v>
      </c>
      <c r="X14" s="3345">
        <v>498.59</v>
      </c>
      <c r="Y14" s="3345"/>
      <c r="Z14" s="3345">
        <v>425.24</v>
      </c>
      <c r="AA14" s="3345">
        <f>S14</f>
        <v>425.24</v>
      </c>
      <c r="AB14" s="3345">
        <v>498.89</v>
      </c>
      <c r="AC14" s="3345">
        <f>AB14</f>
        <v>498.89</v>
      </c>
      <c r="AD14" s="3345">
        <v>498.59</v>
      </c>
      <c r="AE14" s="3345">
        <f>AD14</f>
        <v>498.59</v>
      </c>
      <c r="AF14" s="2168">
        <f t="shared" si="0"/>
        <v>1.5542397660818712</v>
      </c>
      <c r="AG14" s="3345">
        <v>341.3</v>
      </c>
      <c r="AH14" s="3342">
        <v>498.89</v>
      </c>
      <c r="AI14" s="3342">
        <f>AH14</f>
        <v>498.89</v>
      </c>
      <c r="AJ14" s="3342">
        <f t="shared" ref="AJ14:AL14" si="26">AI14</f>
        <v>498.89</v>
      </c>
      <c r="AK14" s="3342">
        <f t="shared" si="26"/>
        <v>498.89</v>
      </c>
      <c r="AL14" s="3342">
        <f t="shared" si="26"/>
        <v>498.89</v>
      </c>
      <c r="AM14" s="3344">
        <v>498.89</v>
      </c>
      <c r="AN14" s="2610">
        <f>AM14</f>
        <v>498.89</v>
      </c>
      <c r="AO14" s="2610">
        <f t="shared" ref="AO14:AR14" si="27">AN14</f>
        <v>498.89</v>
      </c>
      <c r="AP14" s="2610">
        <f t="shared" si="27"/>
        <v>498.89</v>
      </c>
      <c r="AQ14" s="2610">
        <f t="shared" si="27"/>
        <v>498.89</v>
      </c>
      <c r="AR14" s="2610">
        <f t="shared" si="27"/>
        <v>498.89</v>
      </c>
      <c r="AS14" s="2610">
        <f>SUM(AM14)</f>
        <v>498.89</v>
      </c>
      <c r="AT14" s="2610">
        <f>SUM(AN14)</f>
        <v>498.89</v>
      </c>
      <c r="AU14" s="3344">
        <f t="shared" ref="AU14:AU17" si="28">SUM(AV14:AW14)</f>
        <v>175.79</v>
      </c>
      <c r="AV14" s="2610">
        <v>175.79</v>
      </c>
      <c r="AW14" s="2610">
        <v>0</v>
      </c>
      <c r="AX14" s="3344">
        <f t="shared" ref="AX14:AX17" si="29">SUM(AY14:AZ14)</f>
        <v>261.02</v>
      </c>
      <c r="AY14" s="2610">
        <v>261.02</v>
      </c>
      <c r="AZ14" s="2610"/>
      <c r="BA14" s="3344">
        <f t="shared" ref="BA14:BA17" si="30">SUM(BB14:BC14)</f>
        <v>350.43</v>
      </c>
      <c r="BB14" s="2610">
        <v>350.43</v>
      </c>
      <c r="BC14" s="2610"/>
      <c r="BD14" s="3243">
        <v>350.43</v>
      </c>
      <c r="BE14" s="4063">
        <f>SUM(BD14/BD18)*BE18</f>
        <v>349.61328975374232</v>
      </c>
      <c r="BF14" s="5041"/>
      <c r="BG14" s="5041"/>
      <c r="BI14" s="3969">
        <f t="shared" ref="BI14:BI17" si="31">SUM(BJ14:BK14)</f>
        <v>183.71</v>
      </c>
      <c r="BJ14" s="3335">
        <v>183.71</v>
      </c>
      <c r="BK14" s="3335">
        <v>0</v>
      </c>
      <c r="BL14" s="3969">
        <f t="shared" ref="BL14:BL17" si="32">SUM(BM14:BN14)</f>
        <v>276.27</v>
      </c>
      <c r="BM14" s="3335">
        <v>276.27</v>
      </c>
      <c r="BN14" s="3335"/>
      <c r="BO14" s="3992">
        <f t="shared" ref="BO14:BO17" si="33">SUM(BP14:BQ14)</f>
        <v>0</v>
      </c>
      <c r="BP14" s="3307"/>
      <c r="BQ14" s="3307"/>
    </row>
    <row r="15" spans="1:69" ht="24.95" customHeight="1" x14ac:dyDescent="0.2">
      <c r="A15" s="1732" t="s">
        <v>89</v>
      </c>
      <c r="B15" s="1732"/>
      <c r="C15" s="1732"/>
      <c r="D15" s="1732"/>
      <c r="E15" s="2610">
        <v>1281</v>
      </c>
      <c r="F15" s="3350" t="e">
        <f>E15/#REF!*100</f>
        <v>#REF!</v>
      </c>
      <c r="G15" s="2610" t="e">
        <f>#REF!</f>
        <v>#REF!</v>
      </c>
      <c r="H15" s="2610">
        <v>412.35</v>
      </c>
      <c r="I15" s="2610">
        <v>632.5</v>
      </c>
      <c r="J15" s="2610">
        <v>1281</v>
      </c>
      <c r="K15" s="2610"/>
      <c r="L15" s="2610">
        <v>833.9</v>
      </c>
      <c r="M15" s="2610">
        <v>960.9</v>
      </c>
      <c r="N15" s="3350"/>
      <c r="O15" s="2610">
        <f>M15</f>
        <v>960.9</v>
      </c>
      <c r="P15" s="2168" t="e">
        <f t="shared" si="3"/>
        <v>#REF!</v>
      </c>
      <c r="Q15" s="2610">
        <v>407.8</v>
      </c>
      <c r="R15" s="2610">
        <v>588.73</v>
      </c>
      <c r="S15" s="2610">
        <v>717.01</v>
      </c>
      <c r="T15" s="2610">
        <v>960.9</v>
      </c>
      <c r="U15" s="2610">
        <f t="shared" ref="U15:U17" si="34">T15</f>
        <v>960.9</v>
      </c>
      <c r="V15" s="2168">
        <f t="shared" si="4"/>
        <v>1</v>
      </c>
      <c r="W15" s="3345">
        <v>588.47</v>
      </c>
      <c r="X15" s="3345">
        <v>588.47</v>
      </c>
      <c r="Y15" s="3345"/>
      <c r="Z15" s="3345">
        <v>717.01</v>
      </c>
      <c r="AA15" s="3345">
        <f t="shared" ref="AA15:AA17" si="35">S15</f>
        <v>717.01</v>
      </c>
      <c r="AB15" s="3345">
        <v>513.41</v>
      </c>
      <c r="AC15" s="3345">
        <f t="shared" ref="AC15:AC17" si="36">AB15</f>
        <v>513.41</v>
      </c>
      <c r="AD15" s="3345">
        <v>588.47</v>
      </c>
      <c r="AE15" s="3345">
        <f t="shared" ref="AE15:AE17" si="37">AD15</f>
        <v>588.47</v>
      </c>
      <c r="AF15" s="2168">
        <f t="shared" si="0"/>
        <v>0.74618586741596415</v>
      </c>
      <c r="AG15" s="3345">
        <v>453.95</v>
      </c>
      <c r="AH15" s="3342">
        <v>513.41</v>
      </c>
      <c r="AI15" s="3342">
        <f t="shared" ref="AI15:AL17" si="38">AH15</f>
        <v>513.41</v>
      </c>
      <c r="AJ15" s="3342">
        <f t="shared" si="38"/>
        <v>513.41</v>
      </c>
      <c r="AK15" s="3342">
        <f t="shared" si="38"/>
        <v>513.41</v>
      </c>
      <c r="AL15" s="3342">
        <f t="shared" si="38"/>
        <v>513.41</v>
      </c>
      <c r="AM15" s="3344">
        <v>513.41</v>
      </c>
      <c r="AN15" s="2610">
        <f t="shared" ref="AN15:AR17" si="39">AM15</f>
        <v>513.41</v>
      </c>
      <c r="AO15" s="2610">
        <f t="shared" si="39"/>
        <v>513.41</v>
      </c>
      <c r="AP15" s="2610">
        <f t="shared" si="39"/>
        <v>513.41</v>
      </c>
      <c r="AQ15" s="2610">
        <f t="shared" si="39"/>
        <v>513.41</v>
      </c>
      <c r="AR15" s="2610">
        <f t="shared" si="39"/>
        <v>513.41</v>
      </c>
      <c r="AS15" s="2610">
        <f>SUM(AM15)</f>
        <v>513.41</v>
      </c>
      <c r="AT15" s="2610">
        <f>SUM(AN15)</f>
        <v>513.41</v>
      </c>
      <c r="AU15" s="3344">
        <f t="shared" si="28"/>
        <v>253</v>
      </c>
      <c r="AV15" s="2610">
        <v>253</v>
      </c>
      <c r="AW15" s="2610">
        <v>0</v>
      </c>
      <c r="AX15" s="3344">
        <f t="shared" si="29"/>
        <v>369.04</v>
      </c>
      <c r="AY15" s="2610">
        <v>369.04</v>
      </c>
      <c r="AZ15" s="2610"/>
      <c r="BA15" s="3344">
        <f t="shared" si="30"/>
        <v>475.83</v>
      </c>
      <c r="BB15" s="2610">
        <v>475.83</v>
      </c>
      <c r="BC15" s="2610"/>
      <c r="BD15" s="3243">
        <v>475.83</v>
      </c>
      <c r="BE15" s="4063">
        <f>SUM(BD15/BD18)*BE18</f>
        <v>474.72103319785174</v>
      </c>
      <c r="BF15" s="5041"/>
      <c r="BG15" s="5041"/>
      <c r="BI15" s="3969">
        <f t="shared" si="31"/>
        <v>231.73</v>
      </c>
      <c r="BJ15" s="3335">
        <v>231.73</v>
      </c>
      <c r="BK15" s="3335">
        <v>0</v>
      </c>
      <c r="BL15" s="3969">
        <f t="shared" si="32"/>
        <v>338.74</v>
      </c>
      <c r="BM15" s="3335">
        <v>338.74</v>
      </c>
      <c r="BN15" s="3335"/>
      <c r="BO15" s="3992">
        <f t="shared" si="33"/>
        <v>0</v>
      </c>
      <c r="BP15" s="3307"/>
      <c r="BQ15" s="3307"/>
    </row>
    <row r="16" spans="1:69" ht="24.95" customHeight="1" x14ac:dyDescent="0.2">
      <c r="A16" s="1732" t="s">
        <v>819</v>
      </c>
      <c r="B16" s="1732"/>
      <c r="C16" s="1732"/>
      <c r="D16" s="1732"/>
      <c r="E16" s="2610">
        <v>26.4</v>
      </c>
      <c r="F16" s="3341" t="e">
        <f>E16/#REF!*100</f>
        <v>#REF!</v>
      </c>
      <c r="G16" s="2610" t="e">
        <f>#REF!</f>
        <v>#REF!</v>
      </c>
      <c r="H16" s="2610">
        <v>0</v>
      </c>
      <c r="I16" s="2610">
        <v>18.899999999999999</v>
      </c>
      <c r="J16" s="2610">
        <v>26.4</v>
      </c>
      <c r="K16" s="2610"/>
      <c r="L16" s="2610">
        <v>25.2</v>
      </c>
      <c r="M16" s="2610">
        <v>25.2</v>
      </c>
      <c r="N16" s="3341"/>
      <c r="O16" s="2610">
        <f>M16</f>
        <v>25.2</v>
      </c>
      <c r="P16" s="2168" t="e">
        <f t="shared" si="3"/>
        <v>#REF!</v>
      </c>
      <c r="Q16" s="2610">
        <v>12.72</v>
      </c>
      <c r="R16" s="2610">
        <v>19.11</v>
      </c>
      <c r="S16" s="2610">
        <v>25.5</v>
      </c>
      <c r="T16" s="2610">
        <v>25.2</v>
      </c>
      <c r="U16" s="2610">
        <f t="shared" si="34"/>
        <v>25.2</v>
      </c>
      <c r="V16" s="2168">
        <f t="shared" si="4"/>
        <v>1</v>
      </c>
      <c r="W16" s="3345">
        <v>36.94</v>
      </c>
      <c r="X16" s="3345">
        <v>36.94</v>
      </c>
      <c r="Y16" s="3345"/>
      <c r="Z16" s="3345">
        <v>25.5</v>
      </c>
      <c r="AA16" s="3345">
        <f t="shared" si="35"/>
        <v>25.5</v>
      </c>
      <c r="AB16" s="3345">
        <v>68.540000000000006</v>
      </c>
      <c r="AC16" s="3345">
        <f t="shared" si="36"/>
        <v>68.540000000000006</v>
      </c>
      <c r="AD16" s="3345">
        <v>36.94</v>
      </c>
      <c r="AE16" s="3345">
        <f t="shared" si="37"/>
        <v>36.94</v>
      </c>
      <c r="AF16" s="2168">
        <f t="shared" si="0"/>
        <v>1.0119047619047619</v>
      </c>
      <c r="AG16" s="3345">
        <v>95.24</v>
      </c>
      <c r="AH16" s="3342">
        <v>68.540000000000006</v>
      </c>
      <c r="AI16" s="3342">
        <f t="shared" si="38"/>
        <v>68.540000000000006</v>
      </c>
      <c r="AJ16" s="3342">
        <f t="shared" si="38"/>
        <v>68.540000000000006</v>
      </c>
      <c r="AK16" s="3342">
        <f t="shared" si="38"/>
        <v>68.540000000000006</v>
      </c>
      <c r="AL16" s="3342">
        <f t="shared" si="38"/>
        <v>68.540000000000006</v>
      </c>
      <c r="AM16" s="3344">
        <v>68.540000000000006</v>
      </c>
      <c r="AN16" s="2610">
        <f t="shared" si="39"/>
        <v>68.540000000000006</v>
      </c>
      <c r="AO16" s="2610">
        <f t="shared" si="39"/>
        <v>68.540000000000006</v>
      </c>
      <c r="AP16" s="2610">
        <f t="shared" si="39"/>
        <v>68.540000000000006</v>
      </c>
      <c r="AQ16" s="2610">
        <f t="shared" si="39"/>
        <v>68.540000000000006</v>
      </c>
      <c r="AR16" s="2610">
        <f t="shared" si="39"/>
        <v>68.540000000000006</v>
      </c>
      <c r="AS16" s="2610">
        <f>SUM(AG16)</f>
        <v>95.24</v>
      </c>
      <c r="AT16" s="2610">
        <f>SUM(AS16)</f>
        <v>95.24</v>
      </c>
      <c r="AU16" s="3344">
        <f t="shared" si="28"/>
        <v>152.58000000000001</v>
      </c>
      <c r="AV16" s="2610">
        <v>152.58000000000001</v>
      </c>
      <c r="AW16" s="2610">
        <v>0</v>
      </c>
      <c r="AX16" s="3344">
        <f t="shared" si="29"/>
        <v>231.78</v>
      </c>
      <c r="AY16" s="2610">
        <v>231.78</v>
      </c>
      <c r="AZ16" s="2610"/>
      <c r="BA16" s="3344">
        <f t="shared" si="30"/>
        <v>311.02</v>
      </c>
      <c r="BB16" s="2610">
        <v>311.02</v>
      </c>
      <c r="BC16" s="2610"/>
      <c r="BD16" s="3243">
        <v>311.02</v>
      </c>
      <c r="BE16" s="4063">
        <f>SUM(BD16/BD18)*BE18</f>
        <v>310.2951384847442</v>
      </c>
      <c r="BF16" s="5041"/>
      <c r="BG16" s="5041"/>
      <c r="BI16" s="3969">
        <f t="shared" si="31"/>
        <v>158.41</v>
      </c>
      <c r="BJ16" s="3335">
        <v>158.41</v>
      </c>
      <c r="BK16" s="3335">
        <v>0</v>
      </c>
      <c r="BL16" s="3969">
        <f t="shared" si="32"/>
        <v>237.61</v>
      </c>
      <c r="BM16" s="3335">
        <v>237.61</v>
      </c>
      <c r="BN16" s="3335"/>
      <c r="BO16" s="3992">
        <f t="shared" si="33"/>
        <v>0</v>
      </c>
      <c r="BP16" s="3307"/>
      <c r="BQ16" s="3307"/>
    </row>
    <row r="17" spans="1:70" ht="24.95" customHeight="1" x14ac:dyDescent="0.2">
      <c r="A17" s="1732" t="s">
        <v>86</v>
      </c>
      <c r="B17" s="1732"/>
      <c r="C17" s="1732"/>
      <c r="D17" s="1732"/>
      <c r="E17" s="2610">
        <v>3595</v>
      </c>
      <c r="F17" s="3341" t="e">
        <f>E17/#REF!*100</f>
        <v>#REF!</v>
      </c>
      <c r="G17" s="2610" t="e">
        <f>#REF!</f>
        <v>#REF!</v>
      </c>
      <c r="H17" s="2610">
        <v>1755.33</v>
      </c>
      <c r="I17" s="2610">
        <v>2673.6</v>
      </c>
      <c r="J17" s="2610">
        <v>3595</v>
      </c>
      <c r="K17" s="2610"/>
      <c r="L17" s="2610">
        <v>3567.6</v>
      </c>
      <c r="M17" s="2610">
        <v>3562.4</v>
      </c>
      <c r="N17" s="3341"/>
      <c r="O17" s="2610">
        <f>M17</f>
        <v>3562.4</v>
      </c>
      <c r="P17" s="2168" t="e">
        <f t="shared" si="3"/>
        <v>#REF!</v>
      </c>
      <c r="Q17" s="2610">
        <v>1790.52</v>
      </c>
      <c r="R17" s="2610">
        <v>2713.05</v>
      </c>
      <c r="S17" s="2610">
        <v>4015.93</v>
      </c>
      <c r="T17" s="2610">
        <v>3562.4</v>
      </c>
      <c r="U17" s="2610">
        <f t="shared" si="34"/>
        <v>3562.4</v>
      </c>
      <c r="V17" s="2168">
        <f t="shared" si="4"/>
        <v>1</v>
      </c>
      <c r="W17" s="3345">
        <v>3912.88</v>
      </c>
      <c r="X17" s="3345">
        <v>3912.88</v>
      </c>
      <c r="Y17" s="3345"/>
      <c r="Z17" s="3345">
        <v>4015.93</v>
      </c>
      <c r="AA17" s="3345">
        <f t="shared" si="35"/>
        <v>4015.93</v>
      </c>
      <c r="AB17" s="3345">
        <v>3925.45</v>
      </c>
      <c r="AC17" s="3345">
        <f t="shared" si="36"/>
        <v>3925.45</v>
      </c>
      <c r="AD17" s="3345">
        <v>3912.88</v>
      </c>
      <c r="AE17" s="3345">
        <f t="shared" si="37"/>
        <v>3912.88</v>
      </c>
      <c r="AF17" s="2168">
        <f t="shared" si="0"/>
        <v>1.1273102402874466</v>
      </c>
      <c r="AG17" s="3345">
        <v>3937.42</v>
      </c>
      <c r="AH17" s="3342">
        <v>3925.45</v>
      </c>
      <c r="AI17" s="3342">
        <f t="shared" si="38"/>
        <v>3925.45</v>
      </c>
      <c r="AJ17" s="3342">
        <f t="shared" si="38"/>
        <v>3925.45</v>
      </c>
      <c r="AK17" s="3342">
        <f t="shared" si="38"/>
        <v>3925.45</v>
      </c>
      <c r="AL17" s="3342">
        <f t="shared" si="38"/>
        <v>3925.45</v>
      </c>
      <c r="AM17" s="3342">
        <v>3925.45</v>
      </c>
      <c r="AN17" s="2610">
        <f t="shared" si="39"/>
        <v>3925.45</v>
      </c>
      <c r="AO17" s="2610">
        <f t="shared" si="39"/>
        <v>3925.45</v>
      </c>
      <c r="AP17" s="2610">
        <f t="shared" si="39"/>
        <v>3925.45</v>
      </c>
      <c r="AQ17" s="2610">
        <f t="shared" si="39"/>
        <v>3925.45</v>
      </c>
      <c r="AR17" s="2610">
        <f t="shared" si="39"/>
        <v>3925.45</v>
      </c>
      <c r="AS17" s="2610">
        <f>SUM(AG17)</f>
        <v>3937.42</v>
      </c>
      <c r="AT17" s="2610">
        <f>SUM(AS17)</f>
        <v>3937.42</v>
      </c>
      <c r="AU17" s="3344">
        <f t="shared" si="28"/>
        <v>1973.89</v>
      </c>
      <c r="AV17" s="2610">
        <v>1973.89</v>
      </c>
      <c r="AW17" s="2610">
        <v>0</v>
      </c>
      <c r="AX17" s="3344">
        <f t="shared" si="29"/>
        <v>2982.19</v>
      </c>
      <c r="AY17" s="2610">
        <v>2982.19</v>
      </c>
      <c r="AZ17" s="2610"/>
      <c r="BA17" s="3344">
        <f t="shared" si="30"/>
        <v>4007.33</v>
      </c>
      <c r="BB17" s="2610">
        <v>4007.33</v>
      </c>
      <c r="BC17" s="2610"/>
      <c r="BD17" s="3243">
        <v>4007.33</v>
      </c>
      <c r="BE17" s="4063">
        <f>SUM(BD17/BD18)*BE18</f>
        <v>3997.9905385636621</v>
      </c>
      <c r="BF17" s="5041"/>
      <c r="BG17" s="5041"/>
      <c r="BI17" s="3969">
        <f t="shared" si="31"/>
        <v>2057.556</v>
      </c>
      <c r="BJ17" s="3335">
        <v>2057.556</v>
      </c>
      <c r="BK17" s="3335">
        <v>0</v>
      </c>
      <c r="BL17" s="3969">
        <f t="shared" si="32"/>
        <v>3093.25</v>
      </c>
      <c r="BM17" s="3335">
        <v>3093.25</v>
      </c>
      <c r="BN17" s="3335"/>
      <c r="BO17" s="3992">
        <f t="shared" si="33"/>
        <v>0</v>
      </c>
      <c r="BP17" s="3307"/>
      <c r="BQ17" s="3307"/>
    </row>
    <row r="18" spans="1:70" ht="24.95" customHeight="1" x14ac:dyDescent="0.2">
      <c r="A18" s="2604" t="s">
        <v>91</v>
      </c>
      <c r="B18" s="1732"/>
      <c r="C18" s="1732"/>
      <c r="D18" s="1732"/>
      <c r="E18" s="2611">
        <f>SUM(E14:E17)</f>
        <v>5170.3</v>
      </c>
      <c r="F18" s="3341" t="e">
        <f>E18/#REF!*100</f>
        <v>#REF!</v>
      </c>
      <c r="G18" s="2611" t="e">
        <f>SUM(G14:G17)</f>
        <v>#REF!</v>
      </c>
      <c r="H18" s="2611">
        <f>SUM(H14:H17)</f>
        <v>2304.31</v>
      </c>
      <c r="I18" s="2611">
        <f>SUM(I14:I17)</f>
        <v>3530.2</v>
      </c>
      <c r="J18" s="2611">
        <f>SUM(J14:J17)</f>
        <v>5170</v>
      </c>
      <c r="K18" s="2610"/>
      <c r="L18" s="2611">
        <f>SUM(L14:L17)</f>
        <v>4702.5</v>
      </c>
      <c r="M18" s="2611">
        <f>SUM(M14:M17)</f>
        <v>4822.1000000000004</v>
      </c>
      <c r="N18" s="3341"/>
      <c r="O18" s="2611">
        <f>SUM(O14:O17)</f>
        <v>4822.1000000000004</v>
      </c>
      <c r="P18" s="3351" t="e">
        <f t="shared" si="3"/>
        <v>#REF!</v>
      </c>
      <c r="Q18" s="2611">
        <f t="shared" ref="Q18:X18" si="40">SUM(Q14:Q17)</f>
        <v>2400.7200000000003</v>
      </c>
      <c r="R18" s="2611">
        <f t="shared" si="40"/>
        <v>3628.3500000000004</v>
      </c>
      <c r="S18" s="2611">
        <f t="shared" si="40"/>
        <v>5183.68</v>
      </c>
      <c r="T18" s="2611">
        <f t="shared" si="40"/>
        <v>4822.1000000000004</v>
      </c>
      <c r="U18" s="2611">
        <f t="shared" si="40"/>
        <v>4822.1000000000004</v>
      </c>
      <c r="V18" s="2611">
        <f t="shared" si="40"/>
        <v>4</v>
      </c>
      <c r="W18" s="3348">
        <f t="shared" si="40"/>
        <v>5036.88</v>
      </c>
      <c r="X18" s="3348">
        <f t="shared" si="40"/>
        <v>5036.88</v>
      </c>
      <c r="Y18" s="3349">
        <v>3759.56</v>
      </c>
      <c r="Z18" s="2611">
        <f t="shared" ref="Z18:BD18" si="41">SUM(Z14:Z17)</f>
        <v>5183.68</v>
      </c>
      <c r="AA18" s="2611">
        <f t="shared" si="41"/>
        <v>5183.68</v>
      </c>
      <c r="AB18" s="2611">
        <f t="shared" si="41"/>
        <v>5006.29</v>
      </c>
      <c r="AC18" s="2611">
        <f t="shared" si="41"/>
        <v>5006.29</v>
      </c>
      <c r="AD18" s="2611">
        <f t="shared" si="41"/>
        <v>5036.88</v>
      </c>
      <c r="AE18" s="2611">
        <f t="shared" si="41"/>
        <v>5036.88</v>
      </c>
      <c r="AF18" s="2611">
        <f t="shared" si="41"/>
        <v>4.4396406356900435</v>
      </c>
      <c r="AG18" s="2611">
        <f t="shared" si="41"/>
        <v>4827.91</v>
      </c>
      <c r="AH18" s="2611">
        <f t="shared" si="41"/>
        <v>5006.29</v>
      </c>
      <c r="AI18" s="2611">
        <f t="shared" si="41"/>
        <v>5006.29</v>
      </c>
      <c r="AJ18" s="2611">
        <f t="shared" si="41"/>
        <v>5006.29</v>
      </c>
      <c r="AK18" s="2611">
        <f t="shared" si="41"/>
        <v>5006.29</v>
      </c>
      <c r="AL18" s="2611">
        <f t="shared" si="41"/>
        <v>5006.29</v>
      </c>
      <c r="AM18" s="2611">
        <f t="shared" si="41"/>
        <v>5006.29</v>
      </c>
      <c r="AN18" s="2611">
        <f t="shared" si="41"/>
        <v>5006.29</v>
      </c>
      <c r="AO18" s="2611">
        <f t="shared" si="41"/>
        <v>5006.29</v>
      </c>
      <c r="AP18" s="2611">
        <f t="shared" si="41"/>
        <v>5006.29</v>
      </c>
      <c r="AQ18" s="2611">
        <f t="shared" si="41"/>
        <v>5006.29</v>
      </c>
      <c r="AR18" s="2611">
        <f t="shared" si="41"/>
        <v>5006.29</v>
      </c>
      <c r="AS18" s="2611">
        <f t="shared" si="41"/>
        <v>5044.96</v>
      </c>
      <c r="AT18" s="2611">
        <f t="shared" si="41"/>
        <v>5044.96</v>
      </c>
      <c r="AU18" s="2611">
        <f t="shared" si="41"/>
        <v>2555.2600000000002</v>
      </c>
      <c r="AV18" s="2611">
        <f t="shared" si="41"/>
        <v>2555.2600000000002</v>
      </c>
      <c r="AW18" s="2611">
        <f t="shared" si="41"/>
        <v>0</v>
      </c>
      <c r="AX18" s="2611">
        <f t="shared" si="41"/>
        <v>3844.0299999999997</v>
      </c>
      <c r="AY18" s="2611">
        <f t="shared" si="41"/>
        <v>3844.0299999999997</v>
      </c>
      <c r="AZ18" s="2611">
        <f t="shared" si="41"/>
        <v>0</v>
      </c>
      <c r="BA18" s="2611">
        <f t="shared" si="41"/>
        <v>5144.6099999999997</v>
      </c>
      <c r="BB18" s="2611">
        <f t="shared" si="41"/>
        <v>5144.6099999999997</v>
      </c>
      <c r="BC18" s="2611">
        <f t="shared" si="41"/>
        <v>0</v>
      </c>
      <c r="BD18" s="3244">
        <f t="shared" si="41"/>
        <v>5144.6099999999997</v>
      </c>
      <c r="BE18" s="4065">
        <v>5132.62</v>
      </c>
      <c r="BF18" s="5040"/>
      <c r="BG18" s="5040"/>
      <c r="BI18" s="3336">
        <f t="shared" ref="BI18:BQ18" si="42">SUM(BI14:BI17)</f>
        <v>2631.4059999999999</v>
      </c>
      <c r="BJ18" s="3336">
        <f t="shared" si="42"/>
        <v>2631.4059999999999</v>
      </c>
      <c r="BK18" s="3336">
        <f t="shared" si="42"/>
        <v>0</v>
      </c>
      <c r="BL18" s="3336">
        <f t="shared" si="42"/>
        <v>3945.87</v>
      </c>
      <c r="BM18" s="3336">
        <f t="shared" si="42"/>
        <v>3945.87</v>
      </c>
      <c r="BN18" s="3336">
        <f t="shared" si="42"/>
        <v>0</v>
      </c>
      <c r="BO18" s="3309">
        <f t="shared" si="42"/>
        <v>0</v>
      </c>
      <c r="BP18" s="3309">
        <f t="shared" si="42"/>
        <v>0</v>
      </c>
      <c r="BQ18" s="3309">
        <f t="shared" si="42"/>
        <v>0</v>
      </c>
    </row>
    <row r="19" spans="1:70" s="5" customFormat="1" ht="27" customHeight="1" x14ac:dyDescent="0.2">
      <c r="A19" s="2604" t="s">
        <v>616</v>
      </c>
      <c r="B19" s="2604"/>
      <c r="C19" s="2604"/>
      <c r="D19" s="2604"/>
      <c r="E19" s="2600">
        <f>SUM(E18,E13)</f>
        <v>12607.099999999999</v>
      </c>
      <c r="F19" s="1743" t="e">
        <f>E19/#REF!*100</f>
        <v>#REF!</v>
      </c>
      <c r="G19" s="2600" t="e">
        <f t="shared" ref="G19:O19" si="43">SUM(G18,G13)</f>
        <v>#REF!</v>
      </c>
      <c r="H19" s="2600">
        <f t="shared" si="43"/>
        <v>6152.08</v>
      </c>
      <c r="I19" s="2600">
        <f t="shared" si="43"/>
        <v>9218.7000000000007</v>
      </c>
      <c r="J19" s="2600">
        <f t="shared" si="43"/>
        <v>12461</v>
      </c>
      <c r="K19" s="2600">
        <f t="shared" si="43"/>
        <v>0</v>
      </c>
      <c r="L19" s="2600">
        <f t="shared" si="43"/>
        <v>12312.3</v>
      </c>
      <c r="M19" s="2600">
        <f t="shared" si="43"/>
        <v>12372.400000000001</v>
      </c>
      <c r="N19" s="2600">
        <f t="shared" si="43"/>
        <v>0</v>
      </c>
      <c r="O19" s="2600">
        <f t="shared" si="43"/>
        <v>12372.400000000001</v>
      </c>
      <c r="P19" s="3351" t="e">
        <f t="shared" si="3"/>
        <v>#REF!</v>
      </c>
      <c r="Q19" s="2600">
        <f t="shared" ref="Q19:BE19" si="44">SUM(Q18,Q13)</f>
        <v>6393.94</v>
      </c>
      <c r="R19" s="2600">
        <f t="shared" si="44"/>
        <v>9730.42</v>
      </c>
      <c r="S19" s="2600">
        <f t="shared" si="44"/>
        <v>13480.330000000002</v>
      </c>
      <c r="T19" s="2600">
        <f t="shared" si="44"/>
        <v>12372.400000000001</v>
      </c>
      <c r="U19" s="2600">
        <f t="shared" si="44"/>
        <v>12958.2</v>
      </c>
      <c r="V19" s="2600">
        <f t="shared" si="44"/>
        <v>8.3338304794805236</v>
      </c>
      <c r="W19" s="3352">
        <f t="shared" si="44"/>
        <v>13534.780000000002</v>
      </c>
      <c r="X19" s="3352">
        <f t="shared" si="44"/>
        <v>13534.780000000002</v>
      </c>
      <c r="Y19" s="2600">
        <f t="shared" si="44"/>
        <v>10163.959999999999</v>
      </c>
      <c r="Z19" s="2600">
        <f t="shared" si="44"/>
        <v>13480.36</v>
      </c>
      <c r="AA19" s="2600">
        <f t="shared" si="44"/>
        <v>13480.36</v>
      </c>
      <c r="AB19" s="2600">
        <f t="shared" si="44"/>
        <v>14990.669999999998</v>
      </c>
      <c r="AC19" s="2600">
        <f t="shared" si="44"/>
        <v>14990.669999999998</v>
      </c>
      <c r="AD19" s="2600">
        <f t="shared" si="44"/>
        <v>13534.780000000002</v>
      </c>
      <c r="AE19" s="2600">
        <f t="shared" si="44"/>
        <v>13534.780000000002</v>
      </c>
      <c r="AF19" s="2600">
        <f t="shared" si="44"/>
        <v>8.5043756316264734</v>
      </c>
      <c r="AG19" s="2600">
        <f t="shared" si="44"/>
        <v>14745.47</v>
      </c>
      <c r="AH19" s="2600">
        <f t="shared" si="44"/>
        <v>17757.57</v>
      </c>
      <c r="AI19" s="2600">
        <f t="shared" si="44"/>
        <v>17757.57</v>
      </c>
      <c r="AJ19" s="2600">
        <f t="shared" si="44"/>
        <v>17757.57</v>
      </c>
      <c r="AK19" s="2600">
        <f t="shared" si="44"/>
        <v>17757.57</v>
      </c>
      <c r="AL19" s="2600">
        <f t="shared" si="44"/>
        <v>17757.57</v>
      </c>
      <c r="AM19" s="2600">
        <f t="shared" si="44"/>
        <v>14990.669999999998</v>
      </c>
      <c r="AN19" s="2600">
        <f t="shared" si="44"/>
        <v>14990.669999999998</v>
      </c>
      <c r="AO19" s="2600">
        <f t="shared" si="44"/>
        <v>14990.669999999998</v>
      </c>
      <c r="AP19" s="2600">
        <f t="shared" si="44"/>
        <v>14990.669999999998</v>
      </c>
      <c r="AQ19" s="2600">
        <f t="shared" si="44"/>
        <v>14990.669999999998</v>
      </c>
      <c r="AR19" s="2600">
        <f t="shared" si="44"/>
        <v>14990.669999999998</v>
      </c>
      <c r="AS19" s="2600">
        <f t="shared" si="44"/>
        <v>15259.970000000001</v>
      </c>
      <c r="AT19" s="2600">
        <f t="shared" si="44"/>
        <v>15259.970000000001</v>
      </c>
      <c r="AU19" s="2600">
        <f t="shared" si="44"/>
        <v>10801.710000000001</v>
      </c>
      <c r="AV19" s="2600">
        <f t="shared" si="44"/>
        <v>10801.710000000001</v>
      </c>
      <c r="AW19" s="2600">
        <f t="shared" si="44"/>
        <v>0</v>
      </c>
      <c r="AX19" s="2600">
        <f t="shared" si="44"/>
        <v>16014</v>
      </c>
      <c r="AY19" s="2600">
        <f t="shared" si="44"/>
        <v>16014</v>
      </c>
      <c r="AZ19" s="2600">
        <f t="shared" si="44"/>
        <v>0</v>
      </c>
      <c r="BA19" s="2600">
        <f t="shared" si="44"/>
        <v>20822.02</v>
      </c>
      <c r="BB19" s="2600">
        <f t="shared" si="44"/>
        <v>20822.02</v>
      </c>
      <c r="BC19" s="2600">
        <f t="shared" si="44"/>
        <v>0</v>
      </c>
      <c r="BD19" s="2424">
        <f t="shared" si="44"/>
        <v>16853.59</v>
      </c>
      <c r="BE19" s="4079">
        <f t="shared" si="44"/>
        <v>11275.33</v>
      </c>
      <c r="BF19" s="5040"/>
      <c r="BG19" s="5040"/>
      <c r="BI19" s="2424">
        <f t="shared" ref="BI19:BQ19" si="45">SUM(BI18,BI13)</f>
        <v>10411.0229</v>
      </c>
      <c r="BJ19" s="2424">
        <f t="shared" si="45"/>
        <v>10411.0229</v>
      </c>
      <c r="BK19" s="2424">
        <f t="shared" si="45"/>
        <v>0</v>
      </c>
      <c r="BL19" s="2424">
        <f t="shared" si="45"/>
        <v>15636.57</v>
      </c>
      <c r="BM19" s="2424">
        <f t="shared" si="45"/>
        <v>15636.57</v>
      </c>
      <c r="BN19" s="2424">
        <f t="shared" si="45"/>
        <v>0</v>
      </c>
      <c r="BO19" s="3340">
        <f t="shared" si="45"/>
        <v>0</v>
      </c>
      <c r="BP19" s="3340">
        <f t="shared" si="45"/>
        <v>0</v>
      </c>
      <c r="BQ19" s="3340">
        <f t="shared" si="45"/>
        <v>0</v>
      </c>
    </row>
    <row r="20" spans="1:70" s="5" customFormat="1" x14ac:dyDescent="0.2"/>
    <row r="21" spans="1:70" s="5" customFormat="1" x14ac:dyDescent="0.2"/>
    <row r="22" spans="1:70" s="5" customFormat="1" x14ac:dyDescent="0.2"/>
    <row r="23" spans="1:70" s="5" customFormat="1" ht="18.75" x14ac:dyDescent="0.3">
      <c r="A23" s="3236" t="s">
        <v>3896</v>
      </c>
      <c r="B23" s="3237"/>
      <c r="C23" s="3237"/>
      <c r="D23" s="3237"/>
      <c r="E23" s="3237"/>
      <c r="F23" s="3237"/>
      <c r="G23" s="3237"/>
      <c r="H23" s="3237"/>
      <c r="I23" s="3237"/>
      <c r="J23" s="3237"/>
      <c r="K23" s="3237"/>
      <c r="L23" s="3237"/>
      <c r="M23" s="3237"/>
      <c r="N23" s="3237"/>
      <c r="O23" s="3237"/>
      <c r="P23" s="3237"/>
      <c r="Q23" s="3237"/>
      <c r="R23" s="3237"/>
      <c r="S23" s="3237"/>
      <c r="T23" s="3237"/>
      <c r="U23" s="3237"/>
      <c r="V23" s="3237"/>
      <c r="W23" s="3237"/>
      <c r="X23" s="3237"/>
      <c r="Y23" s="3237"/>
      <c r="Z23" s="3237"/>
      <c r="AA23" s="3237"/>
      <c r="AB23" s="3237"/>
      <c r="AC23" s="3237"/>
      <c r="AD23" s="3237"/>
      <c r="AE23" s="3237"/>
      <c r="AF23" s="3237"/>
      <c r="AG23" s="3237"/>
      <c r="AH23" s="3237"/>
      <c r="AI23" s="3237"/>
      <c r="AJ23" s="3237"/>
      <c r="AK23" s="3237"/>
      <c r="AL23" s="3237"/>
      <c r="AM23" s="3237"/>
      <c r="AN23" s="3237"/>
      <c r="AO23" s="3237"/>
      <c r="AP23" s="3237"/>
      <c r="AQ23" s="3237"/>
      <c r="AR23" s="3237"/>
      <c r="AS23" s="3237"/>
      <c r="AT23" s="3237"/>
      <c r="AU23" s="3237"/>
      <c r="AV23" s="3237"/>
      <c r="AW23" s="3237"/>
      <c r="AX23" s="3237"/>
      <c r="AY23" s="3237"/>
      <c r="AZ23" s="3237"/>
      <c r="BA23" s="3237"/>
      <c r="BB23" s="3237"/>
      <c r="BC23" s="3237"/>
      <c r="BD23" s="3237"/>
      <c r="BE23" s="3237"/>
      <c r="BF23" s="3237"/>
      <c r="BG23" s="3237"/>
    </row>
    <row r="24" spans="1:70" s="5" customFormat="1" x14ac:dyDescent="0.2">
      <c r="G24" s="4474"/>
      <c r="H24" s="4474"/>
      <c r="I24" s="4474"/>
      <c r="J24" s="4474"/>
      <c r="K24" s="4474"/>
      <c r="L24" s="4474"/>
      <c r="M24" s="4474"/>
      <c r="N24" s="4474"/>
      <c r="O24" s="4474"/>
      <c r="P24" s="4474"/>
      <c r="Q24" s="4474"/>
      <c r="R24" s="4474"/>
      <c r="S24" s="4474"/>
    </row>
    <row r="25" spans="1:70" s="1875" customFormat="1" ht="15" hidden="1" x14ac:dyDescent="0.2">
      <c r="A25" s="5039" t="s">
        <v>988</v>
      </c>
      <c r="B25" s="1600"/>
      <c r="C25" s="1600"/>
      <c r="D25" s="1600"/>
      <c r="E25" s="1600"/>
      <c r="F25" s="1600"/>
      <c r="G25" s="5039" t="s">
        <v>989</v>
      </c>
      <c r="H25" s="1600"/>
      <c r="I25" s="1600"/>
      <c r="J25" s="1600"/>
      <c r="K25" s="1600"/>
      <c r="L25" s="1877" t="s">
        <v>347</v>
      </c>
      <c r="M25" s="1600"/>
      <c r="N25" s="1600"/>
      <c r="O25" s="1877" t="s">
        <v>337</v>
      </c>
      <c r="P25" s="1600"/>
      <c r="Q25" s="1600"/>
      <c r="R25" s="1600"/>
      <c r="S25" s="1877" t="s">
        <v>1461</v>
      </c>
      <c r="U25" s="1821"/>
      <c r="Y25" s="1889">
        <f>S13-O13</f>
        <v>746.35000000000127</v>
      </c>
      <c r="Z25" s="1821"/>
      <c r="AA25" s="1821"/>
      <c r="AB25" s="1821"/>
      <c r="AC25" s="1821"/>
      <c r="AD25" s="1821"/>
      <c r="AE25" s="1821"/>
      <c r="AG25" s="2398"/>
      <c r="AS25" s="2398"/>
      <c r="AT25" s="2720"/>
      <c r="AU25" s="2595"/>
      <c r="AV25" s="2595"/>
      <c r="AW25" s="2595"/>
      <c r="AX25" s="2595"/>
      <c r="AY25" s="2595"/>
      <c r="AZ25" s="2595"/>
      <c r="BA25" s="2595"/>
      <c r="BB25" s="2595"/>
      <c r="BC25" s="2595"/>
      <c r="BD25" s="3235"/>
      <c r="BE25" s="3235"/>
      <c r="BG25" s="5038"/>
      <c r="BH25" s="5038"/>
      <c r="BI25" s="1882"/>
      <c r="BJ25" s="1882"/>
      <c r="BK25" s="1882"/>
    </row>
    <row r="26" spans="1:70" s="5" customFormat="1" ht="15" hidden="1" x14ac:dyDescent="0.2">
      <c r="A26" s="5039"/>
      <c r="B26" s="1675"/>
      <c r="C26" s="1675"/>
      <c r="D26" s="1675"/>
      <c r="E26" s="1675"/>
      <c r="F26" s="1675"/>
      <c r="G26" s="5039"/>
      <c r="H26" s="1876"/>
      <c r="I26" s="1876"/>
      <c r="J26" s="1876"/>
      <c r="K26" s="1876"/>
      <c r="L26" s="1877" t="s">
        <v>990</v>
      </c>
      <c r="M26" s="1876"/>
      <c r="N26" s="1876"/>
      <c r="O26" s="1877" t="s">
        <v>990</v>
      </c>
      <c r="P26" s="1876"/>
      <c r="Q26" s="1876"/>
      <c r="R26" s="1876"/>
      <c r="S26" s="1877" t="s">
        <v>990</v>
      </c>
      <c r="U26" s="1674"/>
      <c r="V26" s="1674"/>
      <c r="W26" s="1674"/>
      <c r="X26" s="1674"/>
      <c r="Y26" s="1890">
        <f>S18-O18</f>
        <v>361.57999999999993</v>
      </c>
      <c r="Z26" s="1674"/>
      <c r="BG26" s="5038"/>
      <c r="BH26" s="5038"/>
      <c r="BI26" s="1882"/>
      <c r="BJ26" s="1882"/>
      <c r="BK26" s="1882"/>
    </row>
    <row r="27" spans="1:70" s="5" customFormat="1" ht="25.5" hidden="1" x14ac:dyDescent="0.25">
      <c r="A27" s="1881" t="s">
        <v>1452</v>
      </c>
      <c r="B27" s="1675"/>
      <c r="C27" s="1675"/>
      <c r="D27" s="1675"/>
      <c r="E27" s="1675"/>
      <c r="F27" s="1675"/>
      <c r="G27" s="1879" t="s">
        <v>991</v>
      </c>
      <c r="H27" s="1876"/>
      <c r="I27" s="1876"/>
      <c r="J27" s="1876"/>
      <c r="K27" s="1876"/>
      <c r="L27" s="1880">
        <v>94861.048999999999</v>
      </c>
      <c r="M27" s="1876"/>
      <c r="N27" s="1876"/>
      <c r="O27" s="1880">
        <v>71225.517999999996</v>
      </c>
      <c r="P27" s="1876"/>
      <c r="Q27" s="1876"/>
      <c r="R27" s="1876"/>
      <c r="S27" s="1880">
        <v>3130.4870000000001</v>
      </c>
      <c r="U27" s="1674"/>
      <c r="V27" s="1674"/>
      <c r="W27" s="1674"/>
      <c r="X27" s="1674"/>
      <c r="Y27" s="1674"/>
      <c r="Z27" s="1674"/>
      <c r="BG27" s="1883"/>
      <c r="BH27" s="1884"/>
      <c r="BI27" s="1885"/>
      <c r="BJ27" s="1885"/>
      <c r="BK27" s="1885"/>
      <c r="BO27" s="1821"/>
      <c r="BP27" s="1875"/>
      <c r="BQ27" s="1821"/>
      <c r="BR27" s="1821"/>
    </row>
    <row r="28" spans="1:70" s="5" customFormat="1" ht="15" hidden="1" x14ac:dyDescent="0.25">
      <c r="A28" s="1878" t="s">
        <v>1458</v>
      </c>
      <c r="B28" s="1675"/>
      <c r="C28" s="1675"/>
      <c r="D28" s="1675"/>
      <c r="E28" s="1675"/>
      <c r="F28" s="1675"/>
      <c r="G28" s="1879" t="s">
        <v>991</v>
      </c>
      <c r="H28" s="1876"/>
      <c r="I28" s="1876"/>
      <c r="J28" s="1876"/>
      <c r="K28" s="1876"/>
      <c r="L28" s="1880">
        <f>L27-L30-L31</f>
        <v>644.92696999998589</v>
      </c>
      <c r="M28" s="1880">
        <f t="shared" ref="M28:O28" si="46">M27-M30-M31</f>
        <v>0</v>
      </c>
      <c r="N28" s="1880">
        <f t="shared" si="46"/>
        <v>0</v>
      </c>
      <c r="O28" s="1880">
        <f t="shared" si="46"/>
        <v>-3911.8511299999955</v>
      </c>
      <c r="P28" s="1876"/>
      <c r="Q28" s="1876"/>
      <c r="R28" s="1876"/>
      <c r="S28" s="1880">
        <v>99.817999999999998</v>
      </c>
      <c r="U28" s="1674"/>
      <c r="V28" s="1674"/>
      <c r="W28" s="1674"/>
      <c r="X28" s="1674"/>
      <c r="Y28" s="1674"/>
      <c r="Z28" s="1674"/>
      <c r="BG28" s="1883"/>
      <c r="BH28" s="1884"/>
      <c r="BI28" s="1885"/>
      <c r="BJ28" s="1885"/>
      <c r="BK28" s="1885"/>
      <c r="BO28" s="1674"/>
      <c r="BP28" s="1674"/>
      <c r="BQ28" s="1674"/>
    </row>
    <row r="29" spans="1:70" s="5" customFormat="1" ht="15" hidden="1" x14ac:dyDescent="0.25">
      <c r="A29" s="1878" t="s">
        <v>1659</v>
      </c>
      <c r="B29" s="1675"/>
      <c r="C29" s="1675"/>
      <c r="D29" s="1675"/>
      <c r="E29" s="1675"/>
      <c r="F29" s="1675"/>
      <c r="G29" s="1879" t="s">
        <v>991</v>
      </c>
      <c r="H29" s="1876"/>
      <c r="I29" s="1876"/>
      <c r="J29" s="1876"/>
      <c r="K29" s="1876"/>
      <c r="L29" s="1880">
        <v>0</v>
      </c>
      <c r="M29" s="1876"/>
      <c r="N29" s="1876"/>
      <c r="O29" s="1880">
        <v>0</v>
      </c>
      <c r="P29" s="1876"/>
      <c r="Q29" s="1876"/>
      <c r="R29" s="1876"/>
      <c r="S29" s="1880"/>
      <c r="U29" s="1674"/>
      <c r="V29" s="1674"/>
      <c r="W29" s="1674"/>
      <c r="X29" s="1674"/>
      <c r="Y29" s="1674"/>
      <c r="Z29" s="1674"/>
      <c r="BG29" s="1883"/>
      <c r="BH29" s="1884"/>
      <c r="BI29" s="1885"/>
      <c r="BJ29" s="1885"/>
      <c r="BK29" s="1885"/>
      <c r="BO29" s="1674"/>
      <c r="BP29" s="1674"/>
      <c r="BQ29" s="1674"/>
    </row>
    <row r="30" spans="1:70" s="5" customFormat="1" ht="25.5" hidden="1" x14ac:dyDescent="0.25">
      <c r="A30" s="1881" t="s">
        <v>1460</v>
      </c>
      <c r="B30" s="1675"/>
      <c r="C30" s="1675"/>
      <c r="D30" s="1675"/>
      <c r="E30" s="1675"/>
      <c r="F30" s="1675"/>
      <c r="G30" s="1879" t="s">
        <v>991</v>
      </c>
      <c r="H30" s="1876"/>
      <c r="I30" s="1876"/>
      <c r="J30" s="1876"/>
      <c r="K30" s="1876"/>
      <c r="L30" s="1880">
        <v>8850.2302899999995</v>
      </c>
      <c r="M30" s="1876"/>
      <c r="N30" s="1876"/>
      <c r="O30" s="1880">
        <v>5124.2388899999996</v>
      </c>
      <c r="P30" s="1876"/>
      <c r="Q30" s="1876"/>
      <c r="R30" s="1876"/>
      <c r="S30" s="1880">
        <f>'ОХР '!ED54/3*4</f>
        <v>0</v>
      </c>
      <c r="U30" s="1674"/>
      <c r="V30" s="1674"/>
      <c r="W30" s="1674"/>
      <c r="X30" s="1674"/>
      <c r="Y30" s="1674"/>
      <c r="Z30" s="1674"/>
      <c r="BG30" s="1883"/>
      <c r="BH30" s="1884"/>
      <c r="BI30" s="1885"/>
      <c r="BJ30" s="1885"/>
      <c r="BK30" s="1885"/>
      <c r="BO30" s="1674"/>
      <c r="BP30" s="1674"/>
      <c r="BQ30" s="1674"/>
    </row>
    <row r="31" spans="1:70" s="5" customFormat="1" ht="22.5" hidden="1" customHeight="1" x14ac:dyDescent="0.25">
      <c r="A31" s="1878" t="s">
        <v>992</v>
      </c>
      <c r="B31" s="1675"/>
      <c r="C31" s="1675"/>
      <c r="D31" s="1675"/>
      <c r="E31" s="1675"/>
      <c r="F31" s="1675"/>
      <c r="G31" s="1879" t="s">
        <v>991</v>
      </c>
      <c r="H31" s="1876"/>
      <c r="I31" s="1876"/>
      <c r="J31" s="1876"/>
      <c r="K31" s="1876"/>
      <c r="L31" s="1880">
        <v>85365.891740000006</v>
      </c>
      <c r="M31" s="1876"/>
      <c r="N31" s="1876"/>
      <c r="O31" s="1880">
        <v>70013.130239999999</v>
      </c>
      <c r="P31" s="1876"/>
      <c r="Q31" s="1876"/>
      <c r="R31" s="1876"/>
      <c r="S31" s="1880">
        <f>S27+S28-S30</f>
        <v>3230.3050000000003</v>
      </c>
      <c r="U31" s="1674"/>
      <c r="V31" s="1674"/>
      <c r="W31" s="1674"/>
      <c r="X31" s="1674"/>
      <c r="Y31" s="1674"/>
      <c r="Z31" s="1674"/>
      <c r="BG31" s="1883"/>
      <c r="BH31" s="1884"/>
      <c r="BI31" s="1885"/>
      <c r="BJ31" s="1885"/>
      <c r="BK31" s="1885"/>
      <c r="BO31" s="1674"/>
      <c r="BP31" s="1674"/>
      <c r="BQ31" s="1674"/>
    </row>
    <row r="32" spans="1:70" s="5" customFormat="1" hidden="1" x14ac:dyDescent="0.2">
      <c r="A32" s="1873"/>
      <c r="G32" s="1674"/>
      <c r="H32" s="1674"/>
      <c r="I32" s="1674"/>
      <c r="J32" s="1674"/>
      <c r="K32" s="1674"/>
      <c r="L32" s="1674">
        <f>(L31+L27)/2*2.2%</f>
        <v>1982.49634814</v>
      </c>
      <c r="M32" s="1674">
        <f t="shared" ref="M32:O32" si="47">(M31+M27)/2*2.2%</f>
        <v>0</v>
      </c>
      <c r="N32" s="1674">
        <f t="shared" si="47"/>
        <v>0</v>
      </c>
      <c r="O32" s="1674">
        <f t="shared" si="47"/>
        <v>1553.6251306400002</v>
      </c>
      <c r="P32" s="1674"/>
      <c r="Q32" s="1674"/>
      <c r="R32" s="1674"/>
      <c r="S32" s="1674"/>
      <c r="U32" s="1674"/>
      <c r="V32" s="1674"/>
      <c r="W32" s="1674"/>
      <c r="X32" s="1674"/>
      <c r="Y32" s="1674"/>
      <c r="Z32" s="1674"/>
      <c r="BG32" s="29"/>
      <c r="BH32" s="29"/>
      <c r="BI32" s="29"/>
      <c r="BJ32" s="29"/>
      <c r="BK32" s="29"/>
      <c r="BO32" s="1674"/>
      <c r="BP32" s="1674"/>
      <c r="BQ32" s="1674"/>
    </row>
    <row r="33" spans="1:69" s="5" customFormat="1" hidden="1" x14ac:dyDescent="0.2">
      <c r="G33" s="1674"/>
      <c r="H33" s="1674"/>
      <c r="I33" s="1674"/>
      <c r="J33" s="1674"/>
      <c r="K33" s="1674"/>
      <c r="L33" s="1674"/>
      <c r="M33" s="1674"/>
      <c r="N33" s="1674"/>
      <c r="O33" s="1674"/>
      <c r="P33" s="1674"/>
      <c r="Q33" s="1674"/>
      <c r="R33" s="1674"/>
      <c r="S33" s="1674"/>
      <c r="BG33" s="29"/>
      <c r="BH33" s="29"/>
      <c r="BI33" s="29"/>
      <c r="BJ33" s="29"/>
      <c r="BK33" s="29"/>
      <c r="BO33" s="1674"/>
      <c r="BP33" s="1674"/>
      <c r="BQ33" s="1674"/>
    </row>
    <row r="34" spans="1:69" s="5" customFormat="1" hidden="1" x14ac:dyDescent="0.2">
      <c r="G34" s="1674"/>
      <c r="H34" s="1674"/>
      <c r="I34" s="1674"/>
      <c r="J34" s="1674"/>
      <c r="K34" s="1674"/>
      <c r="L34" s="1674"/>
      <c r="M34" s="1674"/>
      <c r="N34" s="1674"/>
      <c r="O34" s="1674"/>
      <c r="P34" s="1674"/>
      <c r="Q34" s="1674"/>
      <c r="R34" s="1674"/>
      <c r="S34" s="1674"/>
      <c r="BG34" s="29"/>
      <c r="BH34" s="29"/>
      <c r="BI34" s="29"/>
      <c r="BJ34" s="29"/>
      <c r="BK34" s="29"/>
      <c r="BO34" s="1674"/>
      <c r="BP34" s="1674"/>
      <c r="BQ34" s="1674"/>
    </row>
    <row r="35" spans="1:69" s="5" customFormat="1" hidden="1" x14ac:dyDescent="0.2">
      <c r="G35" s="1674"/>
      <c r="H35" s="1674"/>
      <c r="I35" s="1674"/>
      <c r="J35" s="1674"/>
      <c r="K35" s="1674"/>
      <c r="L35" s="1674"/>
      <c r="M35" s="1674"/>
      <c r="N35" s="1674"/>
      <c r="O35" s="1674">
        <f>O27-O31</f>
        <v>1212.3877599999978</v>
      </c>
      <c r="P35" s="1674"/>
      <c r="Q35" s="1674"/>
      <c r="R35" s="1674"/>
      <c r="S35" s="1674"/>
    </row>
    <row r="36" spans="1:69" s="5" customFormat="1" hidden="1" x14ac:dyDescent="0.2">
      <c r="G36" s="1674"/>
      <c r="H36" s="1674"/>
      <c r="I36" s="1674"/>
      <c r="J36" s="1674"/>
      <c r="K36" s="1674"/>
      <c r="L36" s="1674"/>
      <c r="M36" s="1674"/>
      <c r="N36" s="1674"/>
      <c r="O36" s="1674"/>
      <c r="P36" s="1674"/>
      <c r="Q36" s="1674"/>
      <c r="R36" s="1674"/>
      <c r="S36" s="1674"/>
    </row>
    <row r="37" spans="1:69" s="5" customFormat="1" hidden="1" x14ac:dyDescent="0.2"/>
    <row r="38" spans="1:69" s="5" customFormat="1" hidden="1" x14ac:dyDescent="0.2">
      <c r="A38" s="5" t="s">
        <v>1658</v>
      </c>
      <c r="G38" s="1674">
        <v>17901488.870000001</v>
      </c>
      <c r="H38" s="1674"/>
      <c r="I38" s="1674"/>
      <c r="J38" s="1674"/>
      <c r="K38" s="1674"/>
      <c r="L38" s="1674">
        <v>1113993.2</v>
      </c>
      <c r="M38" s="1674"/>
      <c r="N38" s="1674"/>
      <c r="O38" s="1674">
        <v>1820778.51</v>
      </c>
      <c r="P38" s="1674"/>
      <c r="Q38" s="1674"/>
      <c r="R38" s="1674"/>
      <c r="S38" s="1674">
        <f>G38+L38-O38</f>
        <v>17194703.559999999</v>
      </c>
    </row>
    <row r="39" spans="1:69" s="5" customFormat="1" hidden="1" x14ac:dyDescent="0.2">
      <c r="A39" s="5" t="s">
        <v>1660</v>
      </c>
      <c r="G39" s="1674">
        <v>63169982.32</v>
      </c>
      <c r="H39" s="1674"/>
      <c r="I39" s="1674"/>
      <c r="J39" s="1674"/>
      <c r="K39" s="1674"/>
      <c r="L39" s="1674">
        <f>-(104348582.04-102079895.1)</f>
        <v>-2268686.9400000125</v>
      </c>
      <c r="M39" s="1674"/>
      <c r="N39" s="1674"/>
      <c r="O39" s="1674">
        <v>4219837.3600000003</v>
      </c>
      <c r="P39" s="1674"/>
      <c r="Q39" s="1674"/>
      <c r="R39" s="1674"/>
      <c r="S39" s="1674">
        <f>G39+L39-O39</f>
        <v>56681458.019999988</v>
      </c>
    </row>
    <row r="40" spans="1:69" s="5" customFormat="1" hidden="1" x14ac:dyDescent="0.2">
      <c r="A40" s="5" t="s">
        <v>1661</v>
      </c>
      <c r="G40" s="1674">
        <v>13362305.09</v>
      </c>
      <c r="H40" s="1674"/>
      <c r="I40" s="1674"/>
      <c r="J40" s="1674"/>
      <c r="K40" s="1674"/>
      <c r="L40" s="1674">
        <v>564290.65</v>
      </c>
      <c r="M40" s="1674"/>
      <c r="N40" s="1674"/>
      <c r="O40" s="1674">
        <v>2091200</v>
      </c>
      <c r="P40" s="1674"/>
      <c r="Q40" s="1674"/>
      <c r="R40" s="1674"/>
      <c r="S40" s="1674">
        <f>G40+L40-O40</f>
        <v>11835395.74</v>
      </c>
    </row>
    <row r="41" spans="1:69" s="5" customFormat="1" hidden="1" x14ac:dyDescent="0.2">
      <c r="A41" s="5" t="s">
        <v>1662</v>
      </c>
      <c r="G41" s="1674">
        <v>427273.6</v>
      </c>
      <c r="H41" s="1674"/>
      <c r="I41" s="1674"/>
      <c r="J41" s="1674"/>
      <c r="K41" s="1674"/>
      <c r="L41" s="1674">
        <v>0</v>
      </c>
      <c r="M41" s="1674"/>
      <c r="N41" s="1674"/>
      <c r="O41" s="1674">
        <v>132713.32</v>
      </c>
      <c r="P41" s="1674"/>
      <c r="Q41" s="1674"/>
      <c r="R41" s="1674"/>
      <c r="S41" s="1674">
        <f>G41+L41-O41</f>
        <v>294560.27999999997</v>
      </c>
    </row>
    <row r="42" spans="1:69" s="5" customFormat="1" hidden="1" x14ac:dyDescent="0.2">
      <c r="G42" s="1674">
        <f>SUM(G38:G41)</f>
        <v>94861049.879999995</v>
      </c>
      <c r="O42" s="1674">
        <f>SUM(O38:O41)</f>
        <v>8264529.1900000004</v>
      </c>
      <c r="P42" s="1674">
        <f t="shared" ref="P42:S42" si="48">SUM(P38:P41)</f>
        <v>0</v>
      </c>
      <c r="Q42" s="1674">
        <f t="shared" si="48"/>
        <v>0</v>
      </c>
      <c r="R42" s="1674">
        <f t="shared" si="48"/>
        <v>0</v>
      </c>
      <c r="S42" s="1674">
        <f t="shared" si="48"/>
        <v>86006117.599999979</v>
      </c>
      <c r="U42" s="1674">
        <f>(G42+S42)/2*2.2%</f>
        <v>1989538.8422799997</v>
      </c>
    </row>
    <row r="43" spans="1:69" s="5" customFormat="1" hidden="1" x14ac:dyDescent="0.2">
      <c r="O43" s="1674">
        <v>8296680</v>
      </c>
    </row>
    <row r="44" spans="1:69" s="5" customFormat="1" hidden="1" x14ac:dyDescent="0.2">
      <c r="O44" s="1674">
        <f>O42-O43</f>
        <v>-32150.80999999959</v>
      </c>
    </row>
    <row r="45" spans="1:69" s="5" customFormat="1" hidden="1" x14ac:dyDescent="0.2"/>
    <row r="46" spans="1:69" s="5" customFormat="1" hidden="1" x14ac:dyDescent="0.2"/>
    <row r="47" spans="1:69" hidden="1" x14ac:dyDescent="0.2"/>
    <row r="48" spans="1:69" hidden="1" x14ac:dyDescent="0.2"/>
    <row r="49" spans="1:46" hidden="1" x14ac:dyDescent="0.2"/>
    <row r="50" spans="1:46" hidden="1" x14ac:dyDescent="0.2"/>
    <row r="51" spans="1:46" hidden="1" x14ac:dyDescent="0.2"/>
    <row r="52" spans="1:46" hidden="1" x14ac:dyDescent="0.2"/>
    <row r="53" spans="1:46" hidden="1" x14ac:dyDescent="0.2"/>
    <row r="54" spans="1:46" hidden="1" x14ac:dyDescent="0.2"/>
    <row r="55" spans="1:46" hidden="1" x14ac:dyDescent="0.2"/>
    <row r="56" spans="1:46" hidden="1" x14ac:dyDescent="0.2"/>
    <row r="57" spans="1:46" hidden="1" x14ac:dyDescent="0.2"/>
    <row r="58" spans="1:46" hidden="1" x14ac:dyDescent="0.2"/>
    <row r="59" spans="1:46" hidden="1" x14ac:dyDescent="0.2"/>
    <row r="60" spans="1:46" hidden="1" x14ac:dyDescent="0.2"/>
    <row r="61" spans="1:46" s="5" customFormat="1" ht="20.25" customHeight="1" x14ac:dyDescent="0.2">
      <c r="A61" s="5037" t="s">
        <v>1940</v>
      </c>
      <c r="B61" s="5037"/>
      <c r="C61" s="5037"/>
      <c r="D61" s="5037"/>
      <c r="E61" s="5037"/>
      <c r="F61" s="5037"/>
      <c r="G61" s="5037"/>
      <c r="H61" s="5037"/>
      <c r="I61" s="5037"/>
      <c r="J61" s="5037"/>
      <c r="K61" s="5037"/>
      <c r="L61" s="5037"/>
      <c r="M61" s="5037"/>
      <c r="N61" s="5037"/>
      <c r="O61" s="5037"/>
      <c r="P61" s="5037"/>
      <c r="Q61" s="5037"/>
      <c r="R61" s="5037"/>
      <c r="S61" s="5037"/>
      <c r="T61" s="5037"/>
      <c r="U61" s="5037"/>
      <c r="V61" s="5037"/>
      <c r="W61" s="5037"/>
      <c r="X61" s="5037"/>
      <c r="Y61" s="5037"/>
      <c r="Z61" s="5037"/>
      <c r="AA61" s="5037"/>
      <c r="AB61" s="5037"/>
      <c r="AC61" s="5037"/>
      <c r="AT61" s="1674"/>
    </row>
    <row r="62" spans="1:46" s="5" customFormat="1" ht="25.5" x14ac:dyDescent="0.2">
      <c r="A62" s="2189" t="s">
        <v>1949</v>
      </c>
      <c r="B62" s="2230"/>
      <c r="C62" s="2230"/>
      <c r="D62" s="2230"/>
      <c r="E62" s="2230"/>
      <c r="F62" s="2230"/>
      <c r="G62" s="2230"/>
      <c r="H62" s="2230"/>
      <c r="I62" s="2230"/>
      <c r="J62" s="2230"/>
      <c r="K62" s="2230"/>
      <c r="L62" s="2230"/>
      <c r="M62" s="2230"/>
      <c r="N62" s="2230"/>
      <c r="O62" s="2230"/>
      <c r="P62" s="2230"/>
      <c r="Q62" s="2230"/>
      <c r="R62" s="2230"/>
      <c r="S62" s="2230"/>
      <c r="T62" s="2230"/>
      <c r="U62" s="1751">
        <v>132562246.41</v>
      </c>
      <c r="V62" s="2230"/>
      <c r="W62" s="5036" t="s">
        <v>1941</v>
      </c>
      <c r="X62" s="2227" t="s">
        <v>1942</v>
      </c>
      <c r="Y62" s="2230"/>
      <c r="Z62" s="2230"/>
      <c r="AA62" s="5035" t="s">
        <v>1943</v>
      </c>
      <c r="AB62" s="5035"/>
      <c r="AC62" s="1751">
        <v>59463871.259999998</v>
      </c>
    </row>
    <row r="63" spans="1:46" s="5" customFormat="1" ht="38.25" x14ac:dyDescent="0.2">
      <c r="A63" s="2189" t="s">
        <v>1948</v>
      </c>
      <c r="B63" s="2230"/>
      <c r="C63" s="2230"/>
      <c r="D63" s="2230"/>
      <c r="E63" s="2230"/>
      <c r="F63" s="2230"/>
      <c r="G63" s="2230"/>
      <c r="H63" s="2230"/>
      <c r="I63" s="2230"/>
      <c r="J63" s="2230"/>
      <c r="K63" s="2230"/>
      <c r="L63" s="2230"/>
      <c r="M63" s="2230"/>
      <c r="N63" s="2230"/>
      <c r="O63" s="2230"/>
      <c r="P63" s="2230"/>
      <c r="Q63" s="2230"/>
      <c r="R63" s="2230"/>
      <c r="S63" s="2230"/>
      <c r="T63" s="2230"/>
      <c r="U63" s="1857">
        <v>50</v>
      </c>
      <c r="V63" s="2230"/>
      <c r="W63" s="5036"/>
      <c r="X63" s="2227" t="s">
        <v>1944</v>
      </c>
      <c r="Y63" s="2230"/>
      <c r="Z63" s="2230"/>
      <c r="AA63" s="5035" t="s">
        <v>1945</v>
      </c>
      <c r="AB63" s="5035"/>
      <c r="AC63" s="1751">
        <v>71948220.920000002</v>
      </c>
    </row>
    <row r="64" spans="1:46" s="5" customFormat="1" ht="38.25" x14ac:dyDescent="0.2">
      <c r="A64" s="2189" t="s">
        <v>1950</v>
      </c>
      <c r="B64" s="2230"/>
      <c r="C64" s="2230"/>
      <c r="D64" s="2230"/>
      <c r="E64" s="2230"/>
      <c r="F64" s="2230"/>
      <c r="G64" s="2230"/>
      <c r="H64" s="2230"/>
      <c r="I64" s="2230"/>
      <c r="J64" s="2230"/>
      <c r="K64" s="2230"/>
      <c r="L64" s="2230"/>
      <c r="M64" s="2230"/>
      <c r="N64" s="2230"/>
      <c r="O64" s="2230"/>
      <c r="P64" s="2230"/>
      <c r="Q64" s="2230"/>
      <c r="R64" s="2230"/>
      <c r="S64" s="2230"/>
      <c r="T64" s="2230"/>
      <c r="U64" s="1751">
        <f>U62/U63</f>
        <v>2651244.9282</v>
      </c>
      <c r="V64" s="2230"/>
      <c r="W64" s="5036"/>
      <c r="X64" s="2227" t="s">
        <v>1946</v>
      </c>
      <c r="Y64" s="2230"/>
      <c r="Z64" s="2230"/>
      <c r="AA64" s="5035" t="s">
        <v>1947</v>
      </c>
      <c r="AB64" s="5035"/>
      <c r="AC64" s="1751">
        <v>1150154.23</v>
      </c>
    </row>
    <row r="65" spans="1:29" s="5" customFormat="1" x14ac:dyDescent="0.2">
      <c r="A65" s="2189"/>
      <c r="B65" s="2230"/>
      <c r="C65" s="2230"/>
      <c r="D65" s="2230"/>
      <c r="E65" s="2230"/>
      <c r="F65" s="2230"/>
      <c r="G65" s="2230"/>
      <c r="H65" s="2230"/>
      <c r="I65" s="2230"/>
      <c r="J65" s="2230"/>
      <c r="K65" s="2230"/>
      <c r="L65" s="2230"/>
      <c r="M65" s="2230"/>
      <c r="N65" s="2230"/>
      <c r="O65" s="2230"/>
      <c r="P65" s="2230"/>
      <c r="Q65" s="2230"/>
      <c r="R65" s="2230"/>
      <c r="S65" s="2230"/>
      <c r="T65" s="2230"/>
      <c r="U65" s="1757"/>
      <c r="V65" s="2230"/>
      <c r="W65" s="2230"/>
      <c r="X65" s="2230"/>
      <c r="Y65" s="2230"/>
      <c r="Z65" s="2230"/>
      <c r="AA65" s="2230"/>
      <c r="AB65" s="2230"/>
      <c r="AC65" s="1751">
        <f>SUM(AC62:AC64)</f>
        <v>132562246.41000001</v>
      </c>
    </row>
    <row r="66" spans="1:29" s="5" customFormat="1" x14ac:dyDescent="0.2">
      <c r="A66" s="371"/>
    </row>
    <row r="67" spans="1:29" s="5" customFormat="1" x14ac:dyDescent="0.2">
      <c r="A67" s="371"/>
    </row>
    <row r="68" spans="1:29" s="5" customFormat="1" x14ac:dyDescent="0.2">
      <c r="A68" s="1926" t="s">
        <v>1998</v>
      </c>
    </row>
    <row r="69" spans="1:29" s="5" customFormat="1" x14ac:dyDescent="0.2">
      <c r="A69" s="5" t="s">
        <v>1937</v>
      </c>
      <c r="U69" s="1674"/>
    </row>
    <row r="70" spans="1:29" s="5" customFormat="1" x14ac:dyDescent="0.2">
      <c r="A70" s="1675" t="s">
        <v>1999</v>
      </c>
      <c r="B70" s="1675"/>
      <c r="C70" s="1675"/>
      <c r="D70" s="1675"/>
      <c r="E70" s="1675"/>
      <c r="F70" s="1675"/>
      <c r="G70" s="1675"/>
      <c r="H70" s="1675"/>
      <c r="I70" s="1675"/>
      <c r="J70" s="1675"/>
      <c r="K70" s="1675"/>
      <c r="L70" s="1675"/>
      <c r="M70" s="1675"/>
      <c r="N70" s="1675"/>
      <c r="O70" s="1675"/>
      <c r="P70" s="1675"/>
      <c r="Q70" s="1675"/>
      <c r="R70" s="1675"/>
      <c r="S70" s="1675"/>
      <c r="T70" s="1675"/>
      <c r="U70" s="1876">
        <f>U62</f>
        <v>132562246.41</v>
      </c>
    </row>
    <row r="71" spans="1:29" s="5" customFormat="1" x14ac:dyDescent="0.2">
      <c r="A71" s="1675" t="s">
        <v>2000</v>
      </c>
      <c r="B71" s="1675"/>
      <c r="C71" s="1675"/>
      <c r="D71" s="1675"/>
      <c r="E71" s="1675"/>
      <c r="F71" s="1675"/>
      <c r="G71" s="1675"/>
      <c r="H71" s="1675"/>
      <c r="I71" s="1675"/>
      <c r="J71" s="1675"/>
      <c r="K71" s="1675"/>
      <c r="L71" s="1675"/>
      <c r="M71" s="1675"/>
      <c r="N71" s="1675"/>
      <c r="O71" s="1675"/>
      <c r="P71" s="1675"/>
      <c r="Q71" s="1675"/>
      <c r="R71" s="1675"/>
      <c r="S71" s="1675"/>
      <c r="T71" s="1675"/>
      <c r="U71" s="1876">
        <f>U70</f>
        <v>132562246.41</v>
      </c>
    </row>
    <row r="72" spans="1:29" s="5" customFormat="1" x14ac:dyDescent="0.2">
      <c r="A72" s="1608" t="s">
        <v>2001</v>
      </c>
      <c r="B72" s="1675"/>
      <c r="C72" s="1675"/>
      <c r="D72" s="1675"/>
      <c r="E72" s="1675"/>
      <c r="F72" s="1675"/>
      <c r="G72" s="1675"/>
      <c r="H72" s="1675"/>
      <c r="I72" s="1675"/>
      <c r="J72" s="1675"/>
      <c r="K72" s="1675"/>
      <c r="L72" s="1675"/>
      <c r="M72" s="1675"/>
      <c r="N72" s="1675"/>
      <c r="O72" s="1675"/>
      <c r="P72" s="1675"/>
      <c r="Q72" s="1675"/>
      <c r="R72" s="1675"/>
      <c r="S72" s="1675"/>
      <c r="T72" s="1675"/>
      <c r="U72" s="1876">
        <f>U64</f>
        <v>2651244.9282</v>
      </c>
    </row>
    <row r="73" spans="1:29" s="5" customFormat="1" x14ac:dyDescent="0.2">
      <c r="A73" s="1608" t="s">
        <v>2002</v>
      </c>
      <c r="B73" s="1675"/>
      <c r="C73" s="1675"/>
      <c r="D73" s="1675"/>
      <c r="E73" s="1675"/>
      <c r="F73" s="1675"/>
      <c r="G73" s="1675"/>
      <c r="H73" s="1675"/>
      <c r="I73" s="1675"/>
      <c r="J73" s="1675"/>
      <c r="K73" s="1675"/>
      <c r="L73" s="1675"/>
      <c r="M73" s="1675"/>
      <c r="N73" s="1675"/>
      <c r="O73" s="1675"/>
      <c r="P73" s="1675"/>
      <c r="Q73" s="1675"/>
      <c r="R73" s="1675"/>
      <c r="S73" s="1675"/>
      <c r="T73" s="1675"/>
      <c r="U73" s="1876">
        <f>U71-U72</f>
        <v>129911001.48179999</v>
      </c>
    </row>
    <row r="74" spans="1:29" s="5" customFormat="1" x14ac:dyDescent="0.2">
      <c r="A74" s="1608" t="s">
        <v>2003</v>
      </c>
      <c r="B74" s="1675"/>
      <c r="C74" s="1675"/>
      <c r="D74" s="1675"/>
      <c r="E74" s="1675"/>
      <c r="F74" s="1675"/>
      <c r="G74" s="1675"/>
      <c r="H74" s="1675"/>
      <c r="I74" s="1675"/>
      <c r="J74" s="1675"/>
      <c r="K74" s="1675"/>
      <c r="L74" s="1675"/>
      <c r="M74" s="1675"/>
      <c r="N74" s="1675"/>
      <c r="O74" s="1675"/>
      <c r="P74" s="1675"/>
      <c r="Q74" s="1675"/>
      <c r="R74" s="1675"/>
      <c r="S74" s="1675"/>
      <c r="T74" s="1675"/>
      <c r="U74" s="1876">
        <f>U64</f>
        <v>2651244.9282</v>
      </c>
    </row>
    <row r="75" spans="1:29" s="5" customFormat="1" x14ac:dyDescent="0.2">
      <c r="A75" s="1608" t="s">
        <v>2004</v>
      </c>
      <c r="B75" s="1675"/>
      <c r="C75" s="1675"/>
      <c r="D75" s="1675"/>
      <c r="E75" s="1675"/>
      <c r="F75" s="1675"/>
      <c r="G75" s="1675"/>
      <c r="H75" s="1675"/>
      <c r="I75" s="1675"/>
      <c r="J75" s="1675"/>
      <c r="K75" s="1675"/>
      <c r="L75" s="1675"/>
      <c r="M75" s="1675"/>
      <c r="N75" s="1675"/>
      <c r="O75" s="1675"/>
      <c r="P75" s="1675"/>
      <c r="Q75" s="1675"/>
      <c r="R75" s="1675"/>
      <c r="S75" s="1675"/>
      <c r="T75" s="1675"/>
      <c r="U75" s="1876">
        <f>U73-U74</f>
        <v>127259756.55359998</v>
      </c>
    </row>
    <row r="76" spans="1:29" s="5" customFormat="1" x14ac:dyDescent="0.2">
      <c r="A76" s="1608" t="s">
        <v>2005</v>
      </c>
      <c r="B76" s="1675"/>
      <c r="C76" s="1675"/>
      <c r="D76" s="1675"/>
      <c r="E76" s="1675"/>
      <c r="F76" s="1675"/>
      <c r="G76" s="1675"/>
      <c r="H76" s="1675"/>
      <c r="I76" s="1675"/>
      <c r="J76" s="1675"/>
      <c r="K76" s="1675"/>
      <c r="L76" s="1675"/>
      <c r="M76" s="1675"/>
      <c r="N76" s="1675"/>
      <c r="O76" s="1675"/>
      <c r="P76" s="1675"/>
      <c r="Q76" s="1675"/>
      <c r="R76" s="1675"/>
      <c r="S76" s="1675"/>
      <c r="T76" s="1675"/>
      <c r="U76" s="1876">
        <f>U64</f>
        <v>2651244.9282</v>
      </c>
    </row>
    <row r="77" spans="1:29" s="5" customFormat="1" x14ac:dyDescent="0.2">
      <c r="A77" s="1608" t="s">
        <v>2006</v>
      </c>
      <c r="B77" s="1675"/>
      <c r="C77" s="1675"/>
      <c r="D77" s="1675"/>
      <c r="E77" s="1675"/>
      <c r="F77" s="1675"/>
      <c r="G77" s="1675"/>
      <c r="H77" s="1675"/>
      <c r="I77" s="1675"/>
      <c r="J77" s="1675"/>
      <c r="K77" s="1675"/>
      <c r="L77" s="1675"/>
      <c r="M77" s="1675"/>
      <c r="N77" s="1675"/>
      <c r="O77" s="1675"/>
      <c r="P77" s="1675"/>
      <c r="Q77" s="1675"/>
      <c r="R77" s="1675"/>
      <c r="S77" s="1675"/>
      <c r="T77" s="1675"/>
      <c r="U77" s="1876">
        <f>U75-U76</f>
        <v>124608511.62539998</v>
      </c>
    </row>
    <row r="78" spans="1:29" s="5" customFormat="1" x14ac:dyDescent="0.2">
      <c r="A78" s="1608" t="s">
        <v>2007</v>
      </c>
      <c r="B78" s="1675"/>
      <c r="C78" s="1675"/>
      <c r="D78" s="1675"/>
      <c r="E78" s="1675"/>
      <c r="F78" s="1675"/>
      <c r="G78" s="1675"/>
      <c r="H78" s="1675"/>
      <c r="I78" s="1675"/>
      <c r="J78" s="1675"/>
      <c r="K78" s="1675"/>
      <c r="L78" s="1675"/>
      <c r="M78" s="1675"/>
      <c r="N78" s="1675"/>
      <c r="O78" s="1675"/>
      <c r="P78" s="1675"/>
      <c r="Q78" s="1675"/>
      <c r="R78" s="1675"/>
      <c r="S78" s="1675"/>
      <c r="T78" s="1675"/>
      <c r="U78" s="1876">
        <f>U64</f>
        <v>2651244.9282</v>
      </c>
    </row>
    <row r="79" spans="1:29" s="5" customFormat="1" x14ac:dyDescent="0.2">
      <c r="A79" s="1608" t="s">
        <v>2008</v>
      </c>
      <c r="B79" s="1675"/>
      <c r="C79" s="1675"/>
      <c r="D79" s="1675"/>
      <c r="E79" s="1675"/>
      <c r="F79" s="1675"/>
      <c r="G79" s="1675"/>
      <c r="H79" s="1675"/>
      <c r="I79" s="1675"/>
      <c r="J79" s="1675"/>
      <c r="K79" s="1675"/>
      <c r="L79" s="1675"/>
      <c r="M79" s="1675"/>
      <c r="N79" s="1675"/>
      <c r="O79" s="1675"/>
      <c r="P79" s="1675"/>
      <c r="Q79" s="1675"/>
      <c r="R79" s="1675"/>
      <c r="S79" s="1675"/>
      <c r="T79" s="1675"/>
      <c r="U79" s="1876">
        <f>U77-U78</f>
        <v>121957266.69719997</v>
      </c>
    </row>
    <row r="80" spans="1:29" s="5" customFormat="1" x14ac:dyDescent="0.2">
      <c r="A80" s="1608" t="s">
        <v>2009</v>
      </c>
      <c r="B80" s="1675"/>
      <c r="C80" s="1675"/>
      <c r="D80" s="1675"/>
      <c r="E80" s="1675"/>
      <c r="F80" s="1675"/>
      <c r="G80" s="1675"/>
      <c r="H80" s="1675"/>
      <c r="I80" s="1675"/>
      <c r="J80" s="1675"/>
      <c r="K80" s="1675"/>
      <c r="L80" s="1675"/>
      <c r="M80" s="1675"/>
      <c r="N80" s="1675"/>
      <c r="O80" s="1675"/>
      <c r="P80" s="1675"/>
      <c r="Q80" s="1675"/>
      <c r="R80" s="1675"/>
      <c r="S80" s="1675"/>
      <c r="T80" s="1675"/>
      <c r="U80" s="1876">
        <f>U64</f>
        <v>2651244.9282</v>
      </c>
    </row>
    <row r="81" spans="1:57" s="5" customFormat="1" x14ac:dyDescent="0.2">
      <c r="A81" s="1608" t="s">
        <v>2010</v>
      </c>
      <c r="B81" s="1675"/>
      <c r="C81" s="1675"/>
      <c r="D81" s="1675"/>
      <c r="E81" s="1675"/>
      <c r="F81" s="1675"/>
      <c r="G81" s="1675"/>
      <c r="H81" s="1675"/>
      <c r="I81" s="1675"/>
      <c r="J81" s="1675"/>
      <c r="K81" s="1675"/>
      <c r="L81" s="1675"/>
      <c r="M81" s="1675"/>
      <c r="N81" s="1675"/>
      <c r="O81" s="1675"/>
      <c r="P81" s="1675"/>
      <c r="Q81" s="1675"/>
      <c r="R81" s="1675"/>
      <c r="S81" s="1675"/>
      <c r="T81" s="1675"/>
      <c r="U81" s="1876">
        <f>U79-U80</f>
        <v>119306021.76899996</v>
      </c>
    </row>
    <row r="82" spans="1:57" s="5" customFormat="1" x14ac:dyDescent="0.2">
      <c r="A82" s="1608" t="s">
        <v>2011</v>
      </c>
      <c r="B82" s="1675"/>
      <c r="C82" s="1675"/>
      <c r="D82" s="1675"/>
      <c r="E82" s="1675"/>
      <c r="F82" s="1675"/>
      <c r="G82" s="1675"/>
      <c r="H82" s="1675"/>
      <c r="I82" s="1675"/>
      <c r="J82" s="1675"/>
      <c r="K82" s="1675"/>
      <c r="L82" s="1675"/>
      <c r="M82" s="1675"/>
      <c r="N82" s="1675"/>
      <c r="O82" s="1675"/>
      <c r="P82" s="1675"/>
      <c r="Q82" s="1675"/>
      <c r="R82" s="1675"/>
      <c r="S82" s="1675"/>
      <c r="T82" s="1675"/>
      <c r="U82" s="1876">
        <f>U64</f>
        <v>2651244.9282</v>
      </c>
    </row>
    <row r="83" spans="1:57" s="5" customFormat="1" x14ac:dyDescent="0.2">
      <c r="A83" s="1608" t="s">
        <v>2012</v>
      </c>
      <c r="B83" s="1675"/>
      <c r="C83" s="1675"/>
      <c r="D83" s="1675"/>
      <c r="E83" s="1675"/>
      <c r="F83" s="1675"/>
      <c r="G83" s="1675"/>
      <c r="H83" s="1675"/>
      <c r="I83" s="1675"/>
      <c r="J83" s="1675"/>
      <c r="K83" s="1675"/>
      <c r="L83" s="1675"/>
      <c r="M83" s="1675"/>
      <c r="N83" s="1675"/>
      <c r="O83" s="1675"/>
      <c r="P83" s="1675"/>
      <c r="Q83" s="1675"/>
      <c r="R83" s="1675"/>
      <c r="S83" s="1675"/>
      <c r="T83" s="1675"/>
      <c r="U83" s="1876">
        <f>U81-U82</f>
        <v>116654776.84079996</v>
      </c>
    </row>
    <row r="84" spans="1:57" s="1875" customFormat="1" x14ac:dyDescent="0.2">
      <c r="A84" s="1600"/>
      <c r="B84" s="1600"/>
      <c r="C84" s="1600"/>
      <c r="D84" s="1600"/>
      <c r="E84" s="1600"/>
      <c r="F84" s="1600"/>
      <c r="G84" s="1600"/>
      <c r="H84" s="1600"/>
      <c r="I84" s="1600"/>
      <c r="J84" s="1600"/>
      <c r="K84" s="1600"/>
      <c r="L84" s="1600"/>
      <c r="M84" s="1600"/>
      <c r="N84" s="1600"/>
      <c r="O84" s="1600"/>
      <c r="P84" s="1600"/>
      <c r="Q84" s="1600"/>
      <c r="R84" s="1600"/>
      <c r="S84" s="1600"/>
      <c r="T84" s="1600"/>
      <c r="U84" s="1600" t="s">
        <v>1802</v>
      </c>
      <c r="V84" s="1600" t="s">
        <v>1808</v>
      </c>
      <c r="W84" s="1600" t="s">
        <v>1808</v>
      </c>
      <c r="X84" s="1600" t="s">
        <v>1809</v>
      </c>
      <c r="Y84" s="1600" t="s">
        <v>1810</v>
      </c>
      <c r="Z84" s="1600" t="s">
        <v>1811</v>
      </c>
      <c r="AA84" s="1600" t="s">
        <v>1810</v>
      </c>
      <c r="AB84" s="1600" t="s">
        <v>1811</v>
      </c>
      <c r="AC84" s="1600" t="s">
        <v>1812</v>
      </c>
      <c r="AG84" s="2398"/>
      <c r="AS84" s="2398"/>
      <c r="AT84" s="2720"/>
      <c r="AU84" s="2595"/>
      <c r="AV84" s="2595"/>
      <c r="AW84" s="2595"/>
      <c r="AX84" s="2595"/>
      <c r="AY84" s="2595"/>
      <c r="AZ84" s="2595"/>
      <c r="BA84" s="2595"/>
      <c r="BB84" s="2595"/>
      <c r="BC84" s="2595"/>
      <c r="BD84" s="3235"/>
      <c r="BE84" s="3235"/>
    </row>
    <row r="85" spans="1:57" x14ac:dyDescent="0.2">
      <c r="A85" s="1608" t="s">
        <v>2013</v>
      </c>
      <c r="B85" s="2101"/>
      <c r="C85" s="2101"/>
      <c r="D85" s="2101"/>
      <c r="E85" s="2101"/>
      <c r="F85" s="2101"/>
      <c r="G85" s="2101"/>
      <c r="H85" s="2101"/>
      <c r="I85" s="2101"/>
      <c r="J85" s="2101"/>
      <c r="K85" s="2101"/>
      <c r="L85" s="2101"/>
      <c r="M85" s="2101"/>
      <c r="N85" s="2101"/>
      <c r="O85" s="2101"/>
      <c r="P85" s="2101"/>
      <c r="Q85" s="2101"/>
      <c r="R85" s="2101"/>
      <c r="S85" s="2101"/>
      <c r="T85" s="2101"/>
      <c r="U85" s="1876">
        <f>(U71+U73)/2</f>
        <v>131236623.94589999</v>
      </c>
      <c r="V85" s="1876"/>
      <c r="W85" s="1876">
        <f>(U73+U75)/2</f>
        <v>128585379.01769999</v>
      </c>
      <c r="X85" s="1876">
        <f>(U75+U77)/2</f>
        <v>125934134.08949998</v>
      </c>
      <c r="Y85" s="1876"/>
      <c r="Z85" s="1876"/>
      <c r="AA85" s="1876">
        <f>(U77+U79)/2</f>
        <v>123282889.16129997</v>
      </c>
      <c r="AB85" s="1876">
        <f>(U79+U81)/2</f>
        <v>120631644.23309997</v>
      </c>
      <c r="AC85" s="1876">
        <f>(U81+U83)/2</f>
        <v>117980399.30489996</v>
      </c>
      <c r="AD85" s="1674"/>
      <c r="AE85" s="1674"/>
    </row>
    <row r="86" spans="1:57" s="5" customFormat="1" x14ac:dyDescent="0.2">
      <c r="A86" s="1675" t="s">
        <v>995</v>
      </c>
      <c r="B86" s="1675"/>
      <c r="C86" s="1675"/>
      <c r="D86" s="1675"/>
      <c r="E86" s="1675"/>
      <c r="F86" s="1675"/>
      <c r="G86" s="1675"/>
      <c r="H86" s="1675"/>
      <c r="I86" s="1675"/>
      <c r="J86" s="1675"/>
      <c r="K86" s="1675"/>
      <c r="L86" s="1675"/>
      <c r="M86" s="1675"/>
      <c r="N86" s="1675"/>
      <c r="O86" s="1675"/>
      <c r="P86" s="1675"/>
      <c r="Q86" s="1675"/>
      <c r="R86" s="1675"/>
      <c r="S86" s="1675"/>
      <c r="T86" s="1675"/>
      <c r="U86" s="1876">
        <v>2.2000000000000002</v>
      </c>
      <c r="V86" s="1876"/>
      <c r="W86" s="1876">
        <v>2.2000000000000002</v>
      </c>
      <c r="X86" s="1876">
        <v>2.2000000000000002</v>
      </c>
      <c r="Y86" s="1876"/>
      <c r="Z86" s="1876"/>
      <c r="AA86" s="1876">
        <v>2.2000000000000002</v>
      </c>
      <c r="AB86" s="1876">
        <v>2.2000000000000002</v>
      </c>
      <c r="AC86" s="1876">
        <v>2.2000000000000002</v>
      </c>
      <c r="AD86" s="1674"/>
      <c r="AE86" s="1674"/>
    </row>
    <row r="87" spans="1:57" s="5" customFormat="1" x14ac:dyDescent="0.2">
      <c r="A87" s="1675" t="s">
        <v>526</v>
      </c>
      <c r="B87" s="1675"/>
      <c r="C87" s="1675"/>
      <c r="D87" s="1675"/>
      <c r="E87" s="1675"/>
      <c r="F87" s="1675"/>
      <c r="G87" s="1675"/>
      <c r="H87" s="1675"/>
      <c r="I87" s="1675"/>
      <c r="J87" s="1675"/>
      <c r="K87" s="1675"/>
      <c r="L87" s="1675"/>
      <c r="M87" s="1675"/>
      <c r="N87" s="1675"/>
      <c r="O87" s="1675"/>
      <c r="P87" s="1675"/>
      <c r="Q87" s="1675"/>
      <c r="R87" s="1675"/>
      <c r="S87" s="1675"/>
      <c r="T87" s="1675"/>
      <c r="U87" s="1876">
        <f>U85*U86/100</f>
        <v>2887205.7268098001</v>
      </c>
      <c r="V87" s="1876">
        <f t="shared" ref="V87:AD87" si="49">V85*V86/100</f>
        <v>0</v>
      </c>
      <c r="W87" s="1876">
        <f t="shared" si="49"/>
        <v>2828878.3383893995</v>
      </c>
      <c r="X87" s="1876">
        <f t="shared" si="49"/>
        <v>2770550.9499689997</v>
      </c>
      <c r="Y87" s="1876">
        <f t="shared" si="49"/>
        <v>0</v>
      </c>
      <c r="Z87" s="1876">
        <f t="shared" si="49"/>
        <v>0</v>
      </c>
      <c r="AA87" s="1876">
        <f t="shared" si="49"/>
        <v>2712223.5615485995</v>
      </c>
      <c r="AB87" s="1876">
        <f t="shared" si="49"/>
        <v>2653896.1731281998</v>
      </c>
      <c r="AC87" s="1876">
        <f t="shared" si="49"/>
        <v>2595568.7847077991</v>
      </c>
      <c r="AD87" s="1876">
        <f t="shared" si="49"/>
        <v>0</v>
      </c>
      <c r="AE87" s="1674"/>
    </row>
    <row r="88" spans="1:57" s="5" customFormat="1" x14ac:dyDescent="0.2">
      <c r="U88" s="1674"/>
      <c r="V88" s="1674"/>
      <c r="W88" s="1674"/>
      <c r="X88" s="1674"/>
      <c r="Y88" s="1674"/>
      <c r="Z88" s="1674"/>
      <c r="AA88" s="1674"/>
      <c r="AB88" s="1674"/>
      <c r="AC88" s="1674"/>
      <c r="AD88" s="1674"/>
      <c r="AE88" s="1674"/>
    </row>
    <row r="89" spans="1:57" s="5" customFormat="1" x14ac:dyDescent="0.2">
      <c r="U89" s="1674"/>
      <c r="V89" s="1674"/>
      <c r="W89" s="1674"/>
      <c r="X89" s="1674"/>
      <c r="Y89" s="1674"/>
      <c r="Z89" s="1674"/>
      <c r="AA89" s="1674"/>
      <c r="AB89" s="1674"/>
      <c r="AC89" s="1674"/>
      <c r="AD89" s="1674"/>
      <c r="AE89" s="1674"/>
    </row>
    <row r="90" spans="1:57" s="5" customFormat="1" x14ac:dyDescent="0.2">
      <c r="U90" s="1674"/>
      <c r="V90" s="1674"/>
      <c r="W90" s="1674"/>
      <c r="X90" s="1674"/>
      <c r="Y90" s="1674"/>
      <c r="Z90" s="1674"/>
      <c r="AA90" s="1674"/>
      <c r="AB90" s="1674"/>
      <c r="AC90" s="1674"/>
      <c r="AD90" s="1674"/>
      <c r="AE90" s="1674"/>
    </row>
    <row r="91" spans="1:57" s="5" customFormat="1" x14ac:dyDescent="0.2">
      <c r="U91" s="1674"/>
      <c r="V91" s="1674"/>
      <c r="W91" s="1674"/>
      <c r="X91" s="1674"/>
      <c r="Y91" s="1674"/>
      <c r="Z91" s="1674"/>
      <c r="AA91" s="1674"/>
      <c r="AB91" s="1674"/>
      <c r="AC91" s="1674"/>
      <c r="AD91" s="1674"/>
      <c r="AE91" s="1674"/>
    </row>
    <row r="92" spans="1:57" s="5" customFormat="1" x14ac:dyDescent="0.2">
      <c r="U92" s="1674"/>
      <c r="V92" s="1674"/>
      <c r="W92" s="1674"/>
      <c r="X92" s="1674"/>
      <c r="Y92" s="1674"/>
      <c r="Z92" s="1674"/>
      <c r="AA92" s="1674"/>
      <c r="AB92" s="1674"/>
      <c r="AC92" s="1674"/>
      <c r="AD92" s="1674"/>
      <c r="AE92" s="1674"/>
    </row>
    <row r="93" spans="1:57" s="5" customFormat="1" x14ac:dyDescent="0.2">
      <c r="U93" s="1674"/>
      <c r="V93" s="1674"/>
      <c r="W93" s="1674"/>
      <c r="X93" s="1674"/>
      <c r="Y93" s="1674"/>
      <c r="Z93" s="1674"/>
      <c r="AA93" s="1674"/>
      <c r="AB93" s="1674"/>
      <c r="AC93" s="1674"/>
      <c r="AD93" s="1674"/>
      <c r="AE93" s="1674"/>
    </row>
  </sheetData>
  <mergeCells count="79">
    <mergeCell ref="BF9:BG9"/>
    <mergeCell ref="AA4:AC4"/>
    <mergeCell ref="T4:Y4"/>
    <mergeCell ref="AU4:AW4"/>
    <mergeCell ref="BA4:BC4"/>
    <mergeCell ref="BA5:BA6"/>
    <mergeCell ref="BB5:BC5"/>
    <mergeCell ref="AT5:AT6"/>
    <mergeCell ref="AS4:AT4"/>
    <mergeCell ref="AV5:AW5"/>
    <mergeCell ref="AX4:AZ4"/>
    <mergeCell ref="AX5:AX6"/>
    <mergeCell ref="AY5:AZ5"/>
    <mergeCell ref="AU5:AU6"/>
    <mergeCell ref="AC5:AC6"/>
    <mergeCell ref="AB5:AB6"/>
    <mergeCell ref="L5:L6"/>
    <mergeCell ref="M4:S4"/>
    <mergeCell ref="S5:S6"/>
    <mergeCell ref="X5:X6"/>
    <mergeCell ref="E4:L4"/>
    <mergeCell ref="W5:W6"/>
    <mergeCell ref="M5:M6"/>
    <mergeCell ref="N5:N6"/>
    <mergeCell ref="O5:O6"/>
    <mergeCell ref="P5:P6"/>
    <mergeCell ref="Q5:Q6"/>
    <mergeCell ref="R5:R6"/>
    <mergeCell ref="BF14:BG14"/>
    <mergeCell ref="BF15:BG15"/>
    <mergeCell ref="BF16:BG16"/>
    <mergeCell ref="BF17:BG17"/>
    <mergeCell ref="BF11:BG11"/>
    <mergeCell ref="G24:S24"/>
    <mergeCell ref="BG25:BG26"/>
    <mergeCell ref="A4:A6"/>
    <mergeCell ref="E5:E6"/>
    <mergeCell ref="G5:G6"/>
    <mergeCell ref="I5:I6"/>
    <mergeCell ref="H5:H6"/>
    <mergeCell ref="BF19:BG19"/>
    <mergeCell ref="BF8:BG8"/>
    <mergeCell ref="T5:T6"/>
    <mergeCell ref="BF4:BG6"/>
    <mergeCell ref="BF7:BG7"/>
    <mergeCell ref="U5:U6"/>
    <mergeCell ref="BF18:BG18"/>
    <mergeCell ref="BF10:BG10"/>
    <mergeCell ref="BF13:BG13"/>
    <mergeCell ref="AA63:AB63"/>
    <mergeCell ref="AA64:AB64"/>
    <mergeCell ref="W62:W64"/>
    <mergeCell ref="A61:AC61"/>
    <mergeCell ref="BH25:BH26"/>
    <mergeCell ref="G25:G26"/>
    <mergeCell ref="AA62:AB62"/>
    <mergeCell ref="A25:A26"/>
    <mergeCell ref="BL5:BL6"/>
    <mergeCell ref="BO5:BO6"/>
    <mergeCell ref="A1:BQ1"/>
    <mergeCell ref="A2:BQ2"/>
    <mergeCell ref="BI4:BK4"/>
    <mergeCell ref="BL4:BN4"/>
    <mergeCell ref="BO4:BQ4"/>
    <mergeCell ref="BP5:BQ5"/>
    <mergeCell ref="AA5:AA6"/>
    <mergeCell ref="BD4:BE4"/>
    <mergeCell ref="BD5:BD6"/>
    <mergeCell ref="BE5:BE6"/>
    <mergeCell ref="AE4:AG4"/>
    <mergeCell ref="AE5:AE6"/>
    <mergeCell ref="BM5:BN5"/>
    <mergeCell ref="AH5:AL6"/>
    <mergeCell ref="AG5:AG6"/>
    <mergeCell ref="AH4:AM4"/>
    <mergeCell ref="AS5:AS6"/>
    <mergeCell ref="BI5:BI6"/>
    <mergeCell ref="BJ5:BK5"/>
    <mergeCell ref="AM5:AR6"/>
  </mergeCells>
  <phoneticPr fontId="9" type="noConversion"/>
  <printOptions horizontalCentered="1"/>
  <pageMargins left="0.31496062992125984" right="0.31496062992125984" top="1.02" bottom="0.35433070866141736" header="0" footer="0"/>
  <pageSetup paperSize="9" scale="5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36"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3">
        <f>F10+F11+F12+F13</f>
        <v>148.32999999999998</v>
      </c>
      <c r="G9" s="232">
        <f>H9/F9/12*1000</f>
        <v>10790.411020472371</v>
      </c>
      <c r="H9" s="234">
        <f>H10+H11+H12+H13</f>
        <v>19206.5</v>
      </c>
      <c r="I9" s="235" t="e">
        <f>G9/#REF!</f>
        <v>#REF!</v>
      </c>
    </row>
    <row r="10" spans="6:9" ht="20.25" x14ac:dyDescent="0.3">
      <c r="F10" s="239">
        <v>23.5</v>
      </c>
      <c r="G10" s="236">
        <f>H10/F10/12*1000</f>
        <v>10395.035460992907</v>
      </c>
      <c r="H10" s="238">
        <v>2931.4</v>
      </c>
      <c r="I10" s="235" t="e">
        <f>G10/#REF!</f>
        <v>#REF!</v>
      </c>
    </row>
    <row r="11" spans="6:9" ht="20.25" x14ac:dyDescent="0.3">
      <c r="F11" s="239">
        <v>73.5</v>
      </c>
      <c r="G11" s="236">
        <f>H11/F11/12*1000</f>
        <v>9934.4671201814072</v>
      </c>
      <c r="H11" s="238">
        <v>8762.2000000000007</v>
      </c>
      <c r="I11" s="235" t="e">
        <f>G11/#REF!</f>
        <v>#REF!</v>
      </c>
    </row>
    <row r="12" spans="6:9" ht="20.25" x14ac:dyDescent="0.3">
      <c r="F12" s="239">
        <v>29.33</v>
      </c>
      <c r="G12" s="236">
        <f>H12/F12/12*1000</f>
        <v>12505.398340720538</v>
      </c>
      <c r="H12" s="238">
        <v>4401.3999999999996</v>
      </c>
      <c r="I12" s="235" t="e">
        <f>G12/#REF!</f>
        <v>#REF!</v>
      </c>
    </row>
    <row r="13" spans="6:9" ht="20.25" x14ac:dyDescent="0.3">
      <c r="F13" s="239">
        <v>22</v>
      </c>
      <c r="G13" s="236">
        <f>H13/F13/12*1000</f>
        <v>11785.98484848485</v>
      </c>
      <c r="H13" s="238">
        <v>3111.5</v>
      </c>
      <c r="I13" s="235" t="e">
        <f>G13/#REF!</f>
        <v>#REF!</v>
      </c>
    </row>
    <row r="14" spans="6:9" ht="20.25" x14ac:dyDescent="0.3">
      <c r="F14" s="237"/>
      <c r="G14" s="236"/>
      <c r="H14" s="238"/>
      <c r="I14" s="235"/>
    </row>
    <row r="15" spans="6:9" ht="20.25" x14ac:dyDescent="0.3">
      <c r="F15" s="241">
        <f>F16+F17+F18+F19</f>
        <v>95</v>
      </c>
      <c r="G15" s="240">
        <f>H15/F15/12*1000</f>
        <v>11418.333333333334</v>
      </c>
      <c r="H15" s="242">
        <f>H16+H17+H18+H19</f>
        <v>13016.900000000001</v>
      </c>
      <c r="I15" s="235" t="e">
        <f>G15/#REF!</f>
        <v>#REF!</v>
      </c>
    </row>
    <row r="16" spans="6:9" ht="20.25" x14ac:dyDescent="0.3">
      <c r="F16" s="237">
        <v>25</v>
      </c>
      <c r="G16" s="236">
        <f>H16/F16/12*1000</f>
        <v>10917.666666666668</v>
      </c>
      <c r="H16" s="238">
        <v>3275.3</v>
      </c>
      <c r="I16" s="235" t="e">
        <f>G16/#REF!</f>
        <v>#REF!</v>
      </c>
    </row>
    <row r="17" spans="6:9" ht="20.25" x14ac:dyDescent="0.3">
      <c r="F17" s="237">
        <v>49</v>
      </c>
      <c r="G17" s="236">
        <f>H17/F17/12*1000</f>
        <v>11832.653061224491</v>
      </c>
      <c r="H17" s="238">
        <v>6957.6</v>
      </c>
      <c r="I17" s="235" t="e">
        <f>G17/#REF!</f>
        <v>#REF!</v>
      </c>
    </row>
    <row r="18" spans="6:9" ht="20.25" x14ac:dyDescent="0.3">
      <c r="F18" s="237">
        <v>4</v>
      </c>
      <c r="G18" s="236">
        <f>H18/F18/12*1000</f>
        <v>11164.583333333332</v>
      </c>
      <c r="H18" s="238">
        <v>535.9</v>
      </c>
      <c r="I18" s="235" t="e">
        <f>G18/AF1</f>
        <v>#DIV/0!</v>
      </c>
    </row>
    <row r="19" spans="6:9" ht="21" thickBot="1" x14ac:dyDescent="0.35">
      <c r="F19" s="259">
        <v>17</v>
      </c>
      <c r="G19" s="256">
        <f>H19/F19/12*1000</f>
        <v>11020.098039215687</v>
      </c>
      <c r="H19" s="257">
        <v>2248.1</v>
      </c>
      <c r="I19" s="258" t="e">
        <f>G19/AF2</f>
        <v>#DIV/0!</v>
      </c>
    </row>
  </sheetData>
  <phoneticPr fontId="9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37">
    <tabColor rgb="FFFFFF00"/>
    <pageSetUpPr fitToPage="1"/>
  </sheetPr>
  <dimension ref="A2:T94"/>
  <sheetViews>
    <sheetView topLeftCell="A25" workbookViewId="0">
      <selection activeCell="Q22" sqref="Q22"/>
    </sheetView>
  </sheetViews>
  <sheetFormatPr defaultColWidth="11.28515625" defaultRowHeight="12.75" x14ac:dyDescent="0.2"/>
  <cols>
    <col min="1" max="1" width="28.7109375" style="5" customWidth="1"/>
    <col min="2" max="5" width="9.7109375" style="5" hidden="1" customWidth="1"/>
    <col min="6" max="7" width="8.7109375" style="5" hidden="1" customWidth="1"/>
    <col min="8" max="8" width="12.5703125" style="5" customWidth="1"/>
    <col min="9" max="9" width="9" style="5" customWidth="1"/>
    <col min="10" max="10" width="13.7109375" style="5" customWidth="1"/>
    <col min="11" max="11" width="42.7109375" style="5" hidden="1" customWidth="1"/>
    <col min="12" max="12" width="12.85546875" style="5" customWidth="1"/>
    <col min="13" max="14" width="10.140625" style="5" customWidth="1"/>
    <col min="15" max="15" width="8.85546875" style="5" customWidth="1"/>
    <col min="16" max="16" width="13.42578125" style="5" customWidth="1"/>
    <col min="17" max="17" width="12.85546875" style="5" customWidth="1"/>
    <col min="18" max="18" width="12.140625" style="5" customWidth="1"/>
    <col min="19" max="16384" width="11.28515625" style="5"/>
  </cols>
  <sheetData>
    <row r="2" spans="1:20" ht="14.25" x14ac:dyDescent="0.2">
      <c r="A2" s="5046" t="s">
        <v>3935</v>
      </c>
      <c r="B2" s="5046"/>
      <c r="C2" s="5046"/>
      <c r="D2" s="5046"/>
      <c r="E2" s="5046"/>
      <c r="F2" s="5046"/>
      <c r="G2" s="5046"/>
      <c r="H2" s="5046"/>
      <c r="I2" s="5046"/>
      <c r="J2" s="5046"/>
      <c r="K2" s="5046"/>
      <c r="L2" s="5046"/>
      <c r="M2" s="4242"/>
      <c r="N2" s="4242"/>
      <c r="O2" s="4242"/>
      <c r="P2" s="4242"/>
      <c r="Q2" s="4242"/>
      <c r="R2" s="4242"/>
      <c r="S2" s="4242"/>
      <c r="T2" s="4242"/>
    </row>
    <row r="4" spans="1:20" x14ac:dyDescent="0.2">
      <c r="A4" s="4482" t="s">
        <v>1846</v>
      </c>
      <c r="B4" s="2142" t="s">
        <v>364</v>
      </c>
      <c r="C4" s="4486" t="s">
        <v>818</v>
      </c>
      <c r="D4" s="4486"/>
      <c r="E4" s="2078" t="s">
        <v>895</v>
      </c>
      <c r="F4" s="5052" t="s">
        <v>896</v>
      </c>
      <c r="G4" s="4876"/>
      <c r="H4" s="4486" t="s">
        <v>1850</v>
      </c>
      <c r="I4" s="5052"/>
      <c r="J4" s="5049" t="s">
        <v>3694</v>
      </c>
      <c r="K4" s="5050"/>
      <c r="L4" s="5051"/>
      <c r="M4" s="5015" t="s">
        <v>3643</v>
      </c>
      <c r="N4" s="5015" t="s">
        <v>3644</v>
      </c>
      <c r="O4" s="5015" t="s">
        <v>3658</v>
      </c>
      <c r="P4" s="5047" t="s">
        <v>3888</v>
      </c>
      <c r="Q4" s="5048"/>
      <c r="R4" s="5015" t="s">
        <v>3940</v>
      </c>
      <c r="S4" s="5015" t="s">
        <v>3941</v>
      </c>
      <c r="T4" s="5015" t="s">
        <v>3948</v>
      </c>
    </row>
    <row r="5" spans="1:20" s="371" customFormat="1" ht="51" x14ac:dyDescent="0.2">
      <c r="A5" s="5042"/>
      <c r="B5" s="5015" t="s">
        <v>60</v>
      </c>
      <c r="C5" s="5015" t="s">
        <v>1588</v>
      </c>
      <c r="D5" s="5015" t="s">
        <v>60</v>
      </c>
      <c r="E5" s="5015" t="s">
        <v>60</v>
      </c>
      <c r="F5" s="5015" t="s">
        <v>1588</v>
      </c>
      <c r="G5" s="5015" t="s">
        <v>60</v>
      </c>
      <c r="H5" s="5015" t="s">
        <v>1851</v>
      </c>
      <c r="I5" s="5015" t="s">
        <v>1852</v>
      </c>
      <c r="J5" s="2730" t="s">
        <v>3516</v>
      </c>
      <c r="K5" s="2733"/>
      <c r="L5" s="2730" t="s">
        <v>3695</v>
      </c>
      <c r="M5" s="4829"/>
      <c r="N5" s="4829"/>
      <c r="O5" s="4829"/>
      <c r="P5" s="3238" t="s">
        <v>3516</v>
      </c>
      <c r="Q5" s="3238" t="s">
        <v>3695</v>
      </c>
      <c r="R5" s="4829"/>
      <c r="S5" s="4829"/>
      <c r="T5" s="4829"/>
    </row>
    <row r="6" spans="1:20" s="371" customFormat="1" ht="9" customHeight="1" x14ac:dyDescent="0.2">
      <c r="A6" s="4483"/>
      <c r="B6" s="5032"/>
      <c r="C6" s="5032"/>
      <c r="D6" s="5032"/>
      <c r="E6" s="5032"/>
      <c r="F6" s="5032"/>
      <c r="G6" s="5032"/>
      <c r="H6" s="5032"/>
      <c r="I6" s="5032"/>
      <c r="J6" s="2731"/>
      <c r="K6" s="2722"/>
      <c r="L6" s="2731"/>
      <c r="M6" s="4830"/>
      <c r="N6" s="4830"/>
      <c r="O6" s="4830"/>
      <c r="P6" s="3239"/>
      <c r="Q6" s="3239"/>
      <c r="R6" s="4830"/>
      <c r="S6" s="4830"/>
      <c r="T6" s="4830"/>
    </row>
    <row r="7" spans="1:20" s="2187" customFormat="1" x14ac:dyDescent="0.2">
      <c r="A7" s="3368" t="s">
        <v>1853</v>
      </c>
      <c r="B7" s="2611">
        <v>6697.91</v>
      </c>
      <c r="C7" s="2611">
        <f>[49]объемы!$Y$38</f>
        <v>5538.9802784767589</v>
      </c>
      <c r="D7" s="2611">
        <f>объемы!W39</f>
        <v>6329.630000000001</v>
      </c>
      <c r="E7" s="2611">
        <f>объемы!AN39</f>
        <v>6766</v>
      </c>
      <c r="F7" s="2611">
        <v>4509.8599999999997</v>
      </c>
      <c r="G7" s="2611">
        <f>SUM(объемы!AV39)</f>
        <v>7136.38</v>
      </c>
      <c r="H7" s="3348">
        <f>объемы!AX39</f>
        <v>6145</v>
      </c>
      <c r="I7" s="3369">
        <f>объемы!AZ39</f>
        <v>6253.3816796622659</v>
      </c>
      <c r="J7" s="2611">
        <f>SUM(объемы!BB39)</f>
        <v>6253.3816796622659</v>
      </c>
      <c r="K7" s="2604"/>
      <c r="L7" s="2600">
        <f>SUM(I7)</f>
        <v>6253.3816796622659</v>
      </c>
      <c r="M7" s="2611">
        <f>SUM(объемы!BF39)</f>
        <v>3480.3870000000002</v>
      </c>
      <c r="N7" s="2611">
        <f>SUM(объемы!BH39)</f>
        <v>5262.8230000000003</v>
      </c>
      <c r="O7" s="2611">
        <f>SUM(объемы!BJ39)</f>
        <v>6957.982</v>
      </c>
      <c r="P7" s="3244">
        <f>SUM(объемы!BL39)</f>
        <v>5933.7859999999991</v>
      </c>
      <c r="Q7" s="4065">
        <f>SUM(объемы!BN39)</f>
        <v>5987.92</v>
      </c>
      <c r="R7" s="3336">
        <f>SUM(объемы!BQ39)</f>
        <v>3251.1729999999998</v>
      </c>
      <c r="S7" s="3336">
        <f>SUM(объемы!BS39)</f>
        <v>4710.8989999999994</v>
      </c>
      <c r="T7" s="3309">
        <f>SUM(объемы!BU39)</f>
        <v>0</v>
      </c>
    </row>
    <row r="8" spans="1:20" x14ac:dyDescent="0.2">
      <c r="A8" s="2601" t="s">
        <v>100</v>
      </c>
      <c r="B8" s="2601"/>
      <c r="C8" s="2601"/>
      <c r="D8" s="2601"/>
      <c r="E8" s="2601"/>
      <c r="F8" s="2601"/>
      <c r="G8" s="2601"/>
      <c r="H8" s="2601"/>
      <c r="I8" s="3370"/>
      <c r="J8" s="2601"/>
      <c r="K8" s="2601"/>
      <c r="L8" s="2601"/>
      <c r="M8" s="2601"/>
      <c r="N8" s="2601"/>
      <c r="O8" s="2601"/>
      <c r="P8" s="2477"/>
      <c r="Q8" s="4111"/>
      <c r="R8" s="3971"/>
      <c r="S8" s="2477"/>
      <c r="T8" s="3361"/>
    </row>
    <row r="9" spans="1:20" x14ac:dyDescent="0.2">
      <c r="A9" s="3371" t="s">
        <v>1847</v>
      </c>
      <c r="B9" s="2601">
        <v>2.1</v>
      </c>
      <c r="C9" s="2601">
        <v>2.4700000000000002</v>
      </c>
      <c r="D9" s="2601">
        <v>9.81</v>
      </c>
      <c r="E9" s="2601">
        <v>8.15</v>
      </c>
      <c r="F9" s="2601"/>
      <c r="G9" s="2601">
        <v>10.220000000000001</v>
      </c>
      <c r="H9" s="2601">
        <v>7.4</v>
      </c>
      <c r="I9" s="3355">
        <f>$I$7*I10/1000</f>
        <v>7.530516587388246</v>
      </c>
      <c r="J9" s="2601">
        <v>10.220000000000001</v>
      </c>
      <c r="K9" s="2601"/>
      <c r="L9" s="2602">
        <f>SUM(I9)</f>
        <v>7.530516587388246</v>
      </c>
      <c r="M9" s="2601">
        <v>1.5</v>
      </c>
      <c r="N9" s="2601">
        <v>6</v>
      </c>
      <c r="O9" s="2601">
        <v>8.94</v>
      </c>
      <c r="P9" s="2477">
        <v>8.94</v>
      </c>
      <c r="Q9" s="4110">
        <f>SUM(I9)</f>
        <v>7.530516587388246</v>
      </c>
      <c r="R9" s="2477">
        <v>3.04</v>
      </c>
      <c r="S9" s="2477">
        <v>9.1</v>
      </c>
      <c r="T9" s="3361"/>
    </row>
    <row r="10" spans="1:20" x14ac:dyDescent="0.2">
      <c r="A10" s="3371" t="s">
        <v>1848</v>
      </c>
      <c r="B10" s="2671">
        <f>B9/B7*1000</f>
        <v>0.31353063866191094</v>
      </c>
      <c r="C10" s="3372">
        <v>0.43730000000000002</v>
      </c>
      <c r="D10" s="2671">
        <f>D9/D7*1000</f>
        <v>1.5498536249354224</v>
      </c>
      <c r="E10" s="2671">
        <f t="shared" ref="E10:H10" si="0">E9/E7*1000</f>
        <v>1.2045521726278452</v>
      </c>
      <c r="F10" s="2671"/>
      <c r="G10" s="2671">
        <f t="shared" si="0"/>
        <v>1.4320986270349954</v>
      </c>
      <c r="H10" s="2671">
        <f t="shared" si="0"/>
        <v>1.2042310821806348</v>
      </c>
      <c r="I10" s="3359">
        <f>H10</f>
        <v>1.2042310821806348</v>
      </c>
      <c r="J10" s="2671">
        <f t="shared" ref="J10" si="1">J9/J7*1000</f>
        <v>1.6343157228413354</v>
      </c>
      <c r="K10" s="2601" t="s">
        <v>1896</v>
      </c>
      <c r="L10" s="2602">
        <f>SUM(I10)</f>
        <v>1.2042310821806348</v>
      </c>
      <c r="M10" s="2671">
        <f>SUM(M9/M7)*1000</f>
        <v>0.43098655408148573</v>
      </c>
      <c r="N10" s="2671">
        <f t="shared" ref="N10:O10" si="2">SUM(N9/N7)*1000</f>
        <v>1.1400725428158993</v>
      </c>
      <c r="O10" s="2671">
        <f t="shared" si="2"/>
        <v>1.2848552928133472</v>
      </c>
      <c r="P10" s="2478">
        <f t="shared" ref="P10" si="3">SUM(P9/P7)*1000</f>
        <v>1.5066266292717669</v>
      </c>
      <c r="Q10" s="4110">
        <f>SUM(I10)</f>
        <v>1.2042310821806348</v>
      </c>
      <c r="R10" s="2478">
        <f>SUM(R9/R7)*1000</f>
        <v>0.93504713529547645</v>
      </c>
      <c r="S10" s="2478">
        <f t="shared" ref="S10:T10" si="4">SUM(S9/S7)*1000</f>
        <v>1.9316907452271852</v>
      </c>
      <c r="T10" s="3365" t="e">
        <f t="shared" si="4"/>
        <v>#DIV/0!</v>
      </c>
    </row>
    <row r="11" spans="1:20" x14ac:dyDescent="0.2">
      <c r="A11" s="3371" t="s">
        <v>129</v>
      </c>
      <c r="B11" s="2601">
        <v>730000</v>
      </c>
      <c r="C11" s="2601">
        <v>79862</v>
      </c>
      <c r="D11" s="2601">
        <v>30814.48</v>
      </c>
      <c r="E11" s="2601">
        <v>26512.880000000001</v>
      </c>
      <c r="F11" s="2601"/>
      <c r="G11" s="2601">
        <f>SUM(G12/G9)*1000</f>
        <v>26499.999999999996</v>
      </c>
      <c r="H11" s="2601">
        <v>28369</v>
      </c>
      <c r="I11" s="3355">
        <f>43000/1.2</f>
        <v>35833.333333333336</v>
      </c>
      <c r="J11" s="2671">
        <f>SUM(I11*1.06)</f>
        <v>37983.333333333336</v>
      </c>
      <c r="K11" s="3312" t="s">
        <v>2052</v>
      </c>
      <c r="L11" s="3312">
        <f>SUM(I11*1.03)*(1-0.01)</f>
        <v>36539.25</v>
      </c>
      <c r="M11" s="2601">
        <f>SUM(M12/M9)*1000</f>
        <v>31599.999999999996</v>
      </c>
      <c r="N11" s="2601">
        <f>SUM(N12/N9)*1000</f>
        <v>31599.999999999996</v>
      </c>
      <c r="O11" s="2601">
        <f t="shared" ref="O11:P11" si="5">SUM(O12/O9)*1000</f>
        <v>31600.000000000004</v>
      </c>
      <c r="P11" s="2477">
        <f t="shared" si="5"/>
        <v>33053.600000000006</v>
      </c>
      <c r="Q11" s="4109">
        <f>SUM(I11*(1+0.032)*0.99*(1+0.036)*0.99)</f>
        <v>37548.885527999999</v>
      </c>
      <c r="R11" s="2478">
        <f>SUM(R12/R9)*1000</f>
        <v>35709.01315789474</v>
      </c>
      <c r="S11" s="2478">
        <f>SUM(S12/S9)*1000</f>
        <v>33407.334065934068</v>
      </c>
      <c r="T11" s="3361" t="e">
        <f t="shared" ref="T11" si="6">SUM(T12/T9)*1000</f>
        <v>#DIV/0!</v>
      </c>
    </row>
    <row r="12" spans="1:20" x14ac:dyDescent="0.2">
      <c r="A12" s="3371" t="s">
        <v>1849</v>
      </c>
      <c r="B12" s="2601">
        <v>152.94</v>
      </c>
      <c r="C12" s="2601">
        <v>197.49</v>
      </c>
      <c r="D12" s="2601">
        <v>302.29000000000002</v>
      </c>
      <c r="E12" s="2601">
        <v>216.08</v>
      </c>
      <c r="F12" s="3373">
        <v>215.58</v>
      </c>
      <c r="G12" s="2601">
        <v>270.83</v>
      </c>
      <c r="H12" s="2601">
        <v>209.98</v>
      </c>
      <c r="I12" s="3355">
        <f>I9*I11/1000</f>
        <v>269.84351104807882</v>
      </c>
      <c r="J12" s="2602">
        <f>J9*J11/1000</f>
        <v>388.18966666666677</v>
      </c>
      <c r="K12" s="2601"/>
      <c r="L12" s="3355">
        <f>L9*L11/1000</f>
        <v>275.159428215726</v>
      </c>
      <c r="M12" s="2601">
        <v>47.4</v>
      </c>
      <c r="N12" s="2601">
        <v>189.6</v>
      </c>
      <c r="O12" s="2601">
        <v>282.50400000000002</v>
      </c>
      <c r="P12" s="2479">
        <f>SUM(O12*1.046)</f>
        <v>295.49918400000001</v>
      </c>
      <c r="Q12" s="4110">
        <f>Q9*Q11/1000</f>
        <v>282.76250530654647</v>
      </c>
      <c r="R12" s="2477">
        <v>108.55540000000001</v>
      </c>
      <c r="S12" s="2478">
        <v>304.00673999999998</v>
      </c>
      <c r="T12" s="3361"/>
    </row>
    <row r="13" spans="1:20" x14ac:dyDescent="0.2">
      <c r="A13" s="2601" t="s">
        <v>101</v>
      </c>
      <c r="B13" s="2601"/>
      <c r="C13" s="2601"/>
      <c r="D13" s="2601"/>
      <c r="E13" s="2601"/>
      <c r="F13" s="2601"/>
      <c r="G13" s="2601"/>
      <c r="H13" s="2601"/>
      <c r="I13" s="3370"/>
      <c r="J13" s="2601"/>
      <c r="K13" s="2601"/>
      <c r="L13" s="2601"/>
      <c r="M13" s="2601"/>
      <c r="N13" s="2601"/>
      <c r="O13" s="2601"/>
      <c r="P13" s="2477"/>
      <c r="Q13" s="4111"/>
      <c r="R13" s="3971"/>
      <c r="S13" s="2477"/>
      <c r="T13" s="3361"/>
    </row>
    <row r="14" spans="1:20" x14ac:dyDescent="0.2">
      <c r="A14" s="3371" t="s">
        <v>1847</v>
      </c>
      <c r="B14" s="2601">
        <v>38.28</v>
      </c>
      <c r="C14" s="2601">
        <v>29.65</v>
      </c>
      <c r="D14" s="2601">
        <v>39.58</v>
      </c>
      <c r="E14" s="2601">
        <v>51.7</v>
      </c>
      <c r="F14" s="2601"/>
      <c r="G14" s="2601">
        <v>43.55</v>
      </c>
      <c r="H14" s="2601">
        <v>46.95</v>
      </c>
      <c r="I14" s="3355">
        <f>$I$7*I15/1000</f>
        <v>39.103209331514236</v>
      </c>
      <c r="J14" s="2601">
        <v>43.55</v>
      </c>
      <c r="K14" s="2601"/>
      <c r="L14" s="2602">
        <f>SUM(I14)</f>
        <v>39.103209331514236</v>
      </c>
      <c r="M14" s="2601">
        <v>18.25</v>
      </c>
      <c r="N14" s="2601">
        <v>34.25</v>
      </c>
      <c r="O14" s="2601">
        <v>41</v>
      </c>
      <c r="P14" s="2477">
        <v>41</v>
      </c>
      <c r="Q14" s="4110">
        <f>SUM(I14)</f>
        <v>39.103209331514236</v>
      </c>
      <c r="R14" s="2477">
        <v>28.7</v>
      </c>
      <c r="S14" s="2477">
        <v>43</v>
      </c>
      <c r="T14" s="3361"/>
    </row>
    <row r="15" spans="1:20" x14ac:dyDescent="0.2">
      <c r="A15" s="3371" t="s">
        <v>1848</v>
      </c>
      <c r="B15" s="2671">
        <f>B14/B7*1000</f>
        <v>5.7152156418942628</v>
      </c>
      <c r="C15" s="2671">
        <v>5.2439</v>
      </c>
      <c r="D15" s="2671">
        <f>D14/D7*1000</f>
        <v>6.2531301197700326</v>
      </c>
      <c r="E15" s="3358">
        <f t="shared" ref="E15:H15" si="7">E14/E7*1000</f>
        <v>7.6411469110257171</v>
      </c>
      <c r="F15" s="3358"/>
      <c r="G15" s="3358">
        <f t="shared" si="7"/>
        <v>6.1025337776295538</v>
      </c>
      <c r="H15" s="3358">
        <f t="shared" si="7"/>
        <v>7.6403580146460541</v>
      </c>
      <c r="I15" s="3359">
        <f>D15</f>
        <v>6.2531301197700326</v>
      </c>
      <c r="J15" s="3358">
        <f t="shared" ref="J15" si="8">J14/J7*1000</f>
        <v>6.9642318717945351</v>
      </c>
      <c r="K15" s="2601" t="s">
        <v>1905</v>
      </c>
      <c r="L15" s="2602">
        <f>SUM(I15)</f>
        <v>6.2531301197700326</v>
      </c>
      <c r="M15" s="3358">
        <f>SUM(M14/M7)*1000</f>
        <v>5.2436697413247435</v>
      </c>
      <c r="N15" s="3358">
        <f t="shared" ref="N15:O15" si="9">SUM(N14/N7)*1000</f>
        <v>6.5079140985740915</v>
      </c>
      <c r="O15" s="3358">
        <f t="shared" si="9"/>
        <v>5.8925130878464476</v>
      </c>
      <c r="P15" s="2479">
        <f t="shared" ref="P15" si="10">SUM(P14/P7)*1000</f>
        <v>6.9095852125438979</v>
      </c>
      <c r="Q15" s="4110">
        <f>SUM(I15)</f>
        <v>6.2531301197700326</v>
      </c>
      <c r="R15" s="2479">
        <f>SUM(R14/R7)*1000</f>
        <v>8.8275831522961106</v>
      </c>
      <c r="S15" s="2479">
        <f t="shared" ref="S15:T15" si="11">SUM(S14/S7)*1000</f>
        <v>9.1277694554691156</v>
      </c>
      <c r="T15" s="3364" t="e">
        <f t="shared" si="11"/>
        <v>#DIV/0!</v>
      </c>
    </row>
    <row r="16" spans="1:20" x14ac:dyDescent="0.2">
      <c r="A16" s="3371" t="s">
        <v>129</v>
      </c>
      <c r="B16" s="2601">
        <v>52680</v>
      </c>
      <c r="C16" s="2601">
        <v>43766.39</v>
      </c>
      <c r="D16" s="2601">
        <v>64136.69</v>
      </c>
      <c r="E16" s="2601">
        <v>73909.279999999999</v>
      </c>
      <c r="F16" s="2601"/>
      <c r="G16" s="2671">
        <f>SUM(G17/G14)*1000</f>
        <v>88608.564867967856</v>
      </c>
      <c r="H16" s="2601">
        <v>79083</v>
      </c>
      <c r="I16" s="3355">
        <f>124410/1.2</f>
        <v>103675</v>
      </c>
      <c r="J16" s="2671">
        <f>SUM(I16*1.06)</f>
        <v>109895.5</v>
      </c>
      <c r="K16" s="2601" t="s">
        <v>2052</v>
      </c>
      <c r="L16" s="3312">
        <f>SUM(I16*1.03)*(1-0.01)</f>
        <v>105717.39749999999</v>
      </c>
      <c r="M16" s="2671">
        <f>SUM(M17/M14)*1000</f>
        <v>98548.686027397256</v>
      </c>
      <c r="N16" s="2671">
        <f t="shared" ref="N16" si="12">SUM(N17/N14)*1000</f>
        <v>100844.55474452554</v>
      </c>
      <c r="O16" s="2601">
        <f t="shared" ref="O16:P16" si="13">SUM(O17/O14)*1000</f>
        <v>101310.53658536586</v>
      </c>
      <c r="P16" s="2478">
        <f t="shared" si="13"/>
        <v>105970.82126829268</v>
      </c>
      <c r="Q16" s="4109">
        <f>SUM(I16*(1+0.032)*0.99*(1+0.036)*0.99)</f>
        <v>108638.53136136</v>
      </c>
      <c r="R16" s="2478">
        <f>SUM(R17/R14)*1000</f>
        <v>111345.75644599304</v>
      </c>
      <c r="S16" s="2478">
        <f t="shared" ref="S16" si="14">SUM(S17/S14)*1000</f>
        <v>112112.38418604652</v>
      </c>
      <c r="T16" s="3361" t="e">
        <f t="shared" ref="T16" si="15">SUM(T17/T14)*1000</f>
        <v>#DIV/0!</v>
      </c>
    </row>
    <row r="17" spans="1:20" x14ac:dyDescent="0.2">
      <c r="A17" s="3371" t="s">
        <v>1849</v>
      </c>
      <c r="B17" s="2601">
        <v>2016.39</v>
      </c>
      <c r="C17" s="2601">
        <v>1297.69</v>
      </c>
      <c r="D17" s="2601">
        <v>2538.5300000000002</v>
      </c>
      <c r="E17" s="2601">
        <v>3821.11</v>
      </c>
      <c r="F17" s="2601">
        <v>1416.66</v>
      </c>
      <c r="G17" s="2601">
        <v>3858.9029999999998</v>
      </c>
      <c r="H17" s="2601">
        <v>3713.33</v>
      </c>
      <c r="I17" s="3355">
        <f>I14*I16/1000</f>
        <v>4054.0252274447384</v>
      </c>
      <c r="J17" s="2602">
        <f>J14*J16/1000</f>
        <v>4785.9490249999999</v>
      </c>
      <c r="K17" s="2601"/>
      <c r="L17" s="3355">
        <f>L14*L16/1000</f>
        <v>4133.8895244253999</v>
      </c>
      <c r="M17" s="2671">
        <v>1798.51352</v>
      </c>
      <c r="N17" s="2601">
        <v>3453.9259999999999</v>
      </c>
      <c r="O17" s="2601">
        <v>4153.732</v>
      </c>
      <c r="P17" s="2479">
        <f>SUM(O17*1.046)</f>
        <v>4344.803672</v>
      </c>
      <c r="Q17" s="4110">
        <f>Q14*Q16/1000</f>
        <v>4248.1152332915344</v>
      </c>
      <c r="R17" s="2478">
        <v>3195.6232100000002</v>
      </c>
      <c r="S17" s="2478">
        <v>4820.8325199999999</v>
      </c>
      <c r="T17" s="3361"/>
    </row>
    <row r="18" spans="1:20" x14ac:dyDescent="0.2">
      <c r="A18" s="2601" t="s">
        <v>106</v>
      </c>
      <c r="B18" s="2601"/>
      <c r="C18" s="2601"/>
      <c r="D18" s="2601"/>
      <c r="E18" s="2601"/>
      <c r="F18" s="2601"/>
      <c r="G18" s="2601"/>
      <c r="H18" s="2601"/>
      <c r="I18" s="3370"/>
      <c r="J18" s="2601"/>
      <c r="K18" s="2601"/>
      <c r="L18" s="2601"/>
      <c r="M18" s="2601"/>
      <c r="N18" s="2601"/>
      <c r="O18" s="2601"/>
      <c r="P18" s="2477"/>
      <c r="Q18" s="4111"/>
      <c r="R18" s="3971"/>
      <c r="S18" s="2477"/>
      <c r="T18" s="3361"/>
    </row>
    <row r="19" spans="1:20" x14ac:dyDescent="0.2">
      <c r="A19" s="3371" t="s">
        <v>1847</v>
      </c>
      <c r="B19" s="2601">
        <v>179.1</v>
      </c>
      <c r="C19" s="2601">
        <v>208.73</v>
      </c>
      <c r="D19" s="2601">
        <v>325.39</v>
      </c>
      <c r="E19" s="2601">
        <v>465</v>
      </c>
      <c r="F19" s="2601"/>
      <c r="G19" s="2601">
        <v>383.4</v>
      </c>
      <c r="H19" s="2601">
        <v>422.32</v>
      </c>
      <c r="I19" s="3355">
        <f>$I$7*I20/1000</f>
        <v>321.47026994394685</v>
      </c>
      <c r="J19" s="2602">
        <f>$I$7*J20/1000</f>
        <v>335.9611646216307</v>
      </c>
      <c r="K19" s="2601"/>
      <c r="L19" s="2602">
        <f t="shared" ref="L19:L20" si="16">SUM(I19)</f>
        <v>321.47026994394685</v>
      </c>
      <c r="M19" s="2601">
        <v>171.7</v>
      </c>
      <c r="N19" s="2601">
        <v>275.60000000000002</v>
      </c>
      <c r="O19" s="2601">
        <v>397.3</v>
      </c>
      <c r="P19" s="2477">
        <v>397.3</v>
      </c>
      <c r="Q19" s="4110">
        <f>SUM(I19)</f>
        <v>321.47026994394685</v>
      </c>
      <c r="R19" s="2477">
        <v>333.6</v>
      </c>
      <c r="S19" s="2477">
        <v>353.6</v>
      </c>
      <c r="T19" s="3361"/>
    </row>
    <row r="20" spans="1:20" x14ac:dyDescent="0.2">
      <c r="A20" s="3371" t="s">
        <v>1848</v>
      </c>
      <c r="B20" s="2671">
        <f>B19/B7*1000</f>
        <v>26.739684468737263</v>
      </c>
      <c r="C20" s="2671">
        <v>36.914900000000003</v>
      </c>
      <c r="D20" s="2671">
        <f>D19/D7*1000</f>
        <v>51.407428238301442</v>
      </c>
      <c r="E20" s="2671">
        <f t="shared" ref="E20:H20" si="17">E19/E7*1000</f>
        <v>68.725982855453736</v>
      </c>
      <c r="F20" s="2671"/>
      <c r="G20" s="2671">
        <f t="shared" si="17"/>
        <v>53.724717573896008</v>
      </c>
      <c r="H20" s="2671">
        <f t="shared" si="17"/>
        <v>68.725793327908875</v>
      </c>
      <c r="I20" s="3359">
        <f>D20</f>
        <v>51.407428238301442</v>
      </c>
      <c r="J20" s="2671">
        <f>SUM(G20)</f>
        <v>53.724717573896008</v>
      </c>
      <c r="K20" s="2601"/>
      <c r="L20" s="2602">
        <f t="shared" si="16"/>
        <v>51.407428238301442</v>
      </c>
      <c r="M20" s="2671">
        <f>SUM(M19/M7*1000)</f>
        <v>49.333594223860729</v>
      </c>
      <c r="N20" s="2671">
        <f t="shared" ref="N20:O20" si="18">SUM(N19/N7*1000)</f>
        <v>52.367332133343645</v>
      </c>
      <c r="O20" s="2671">
        <f t="shared" si="18"/>
        <v>57.099889019546183</v>
      </c>
      <c r="P20" s="2478">
        <f t="shared" ref="P20" si="19">SUM(P19/P7*1000)</f>
        <v>66.95556597423635</v>
      </c>
      <c r="Q20" s="4110">
        <f>SUM(I20)</f>
        <v>51.407428238301442</v>
      </c>
      <c r="R20" s="2478">
        <f>SUM(R19/R7*1000)</f>
        <v>102.60911984689835</v>
      </c>
      <c r="S20" s="2478">
        <f t="shared" ref="S20:T20" si="20">SUM(S19/S7*1000)</f>
        <v>75.059983243113479</v>
      </c>
      <c r="T20" s="3365" t="e">
        <f t="shared" si="20"/>
        <v>#DIV/0!</v>
      </c>
    </row>
    <row r="21" spans="1:20" x14ac:dyDescent="0.2">
      <c r="A21" s="3371" t="s">
        <v>129</v>
      </c>
      <c r="B21" s="2601">
        <v>12320</v>
      </c>
      <c r="C21" s="2601">
        <v>16644.07</v>
      </c>
      <c r="D21" s="2601">
        <v>15095.88</v>
      </c>
      <c r="E21" s="2601">
        <v>17754.240000000002</v>
      </c>
      <c r="F21" s="2601"/>
      <c r="G21" s="2671">
        <f>SUM(G22/G19)*1000</f>
        <v>17628.069900886803</v>
      </c>
      <c r="H21" s="2601">
        <v>18997</v>
      </c>
      <c r="I21" s="3355">
        <f>21770/1.2</f>
        <v>18141.666666666668</v>
      </c>
      <c r="J21" s="2671">
        <f>SUM(I21*1.06)</f>
        <v>19230.166666666668</v>
      </c>
      <c r="K21" s="3312" t="s">
        <v>2053</v>
      </c>
      <c r="L21" s="3312">
        <f>SUM(I21*1.03)*(1-0.01)</f>
        <v>18499.057500000003</v>
      </c>
      <c r="M21" s="2671">
        <f>SUM(M22/M19)*1000</f>
        <v>15401.515725101923</v>
      </c>
      <c r="N21" s="2671">
        <f t="shared" ref="N21:O21" si="21">SUM(N22/N19)*1000</f>
        <v>15244.491110304787</v>
      </c>
      <c r="O21" s="2671">
        <f t="shared" si="21"/>
        <v>15165.00377548452</v>
      </c>
      <c r="P21" s="2478">
        <f t="shared" ref="P21" si="22">SUM(P22/P19)*1000</f>
        <v>15862.593949156808</v>
      </c>
      <c r="Q21" s="4109">
        <f>SUM(I21*(1+0.032)*0.99*(1+0.036)*0.99)</f>
        <v>19010.21483592</v>
      </c>
      <c r="R21" s="2478">
        <f>SUM(R22/R19)*1000</f>
        <v>15885.971223021583</v>
      </c>
      <c r="S21" s="2478">
        <f t="shared" ref="S21:T21" si="23">SUM(S22/S19)*1000</f>
        <v>15906.561085972849</v>
      </c>
      <c r="T21" s="3365" t="e">
        <f t="shared" si="23"/>
        <v>#DIV/0!</v>
      </c>
    </row>
    <row r="22" spans="1:20" x14ac:dyDescent="0.2">
      <c r="A22" s="3371" t="s">
        <v>1849</v>
      </c>
      <c r="B22" s="2601">
        <v>2207.11</v>
      </c>
      <c r="C22" s="2601">
        <v>3474.09</v>
      </c>
      <c r="D22" s="2601">
        <v>4912.05</v>
      </c>
      <c r="E22" s="2601">
        <v>8255.7199999999993</v>
      </c>
      <c r="F22" s="2601">
        <v>3792.58</v>
      </c>
      <c r="G22" s="2601">
        <v>6758.6019999999999</v>
      </c>
      <c r="H22" s="2601">
        <v>8022.85</v>
      </c>
      <c r="I22" s="3355">
        <f>I19*I21/1000</f>
        <v>5832.006480566436</v>
      </c>
      <c r="J22" s="2602">
        <f>J19*J21/1000</f>
        <v>6460.589189201396</v>
      </c>
      <c r="K22" s="2601"/>
      <c r="L22" s="3355">
        <f>L19*L21/1000</f>
        <v>5946.8970082335954</v>
      </c>
      <c r="M22" s="2671">
        <v>2644.4402500000001</v>
      </c>
      <c r="N22" s="3358">
        <v>4201.3817499999996</v>
      </c>
      <c r="O22" s="2601">
        <v>6025.0559999999996</v>
      </c>
      <c r="P22" s="2479">
        <f>SUM(O22*1.046)</f>
        <v>6302.208576</v>
      </c>
      <c r="Q22" s="4110">
        <f>Q19*Q21/1000</f>
        <v>6111.2188949956262</v>
      </c>
      <c r="R22" s="2478">
        <v>5299.56</v>
      </c>
      <c r="S22" s="2478">
        <v>5624.56</v>
      </c>
      <c r="T22" s="3361"/>
    </row>
    <row r="23" spans="1:20" x14ac:dyDescent="0.2">
      <c r="A23" s="2601" t="s">
        <v>102</v>
      </c>
      <c r="B23" s="2601"/>
      <c r="C23" s="2601"/>
      <c r="D23" s="2601"/>
      <c r="E23" s="2601"/>
      <c r="F23" s="2601"/>
      <c r="G23" s="2601"/>
      <c r="H23" s="2601"/>
      <c r="I23" s="3370"/>
      <c r="J23" s="2601"/>
      <c r="K23" s="2601"/>
      <c r="L23" s="2601"/>
      <c r="M23" s="2601"/>
      <c r="N23" s="2601"/>
      <c r="O23" s="2601"/>
      <c r="P23" s="2477"/>
      <c r="Q23" s="4111"/>
      <c r="R23" s="3971"/>
      <c r="S23" s="2477"/>
      <c r="T23" s="3361"/>
    </row>
    <row r="24" spans="1:20" x14ac:dyDescent="0.2">
      <c r="A24" s="3371" t="s">
        <v>1847</v>
      </c>
      <c r="B24" s="2601">
        <v>8.52</v>
      </c>
      <c r="C24" s="2601">
        <v>13.08</v>
      </c>
      <c r="D24" s="2601">
        <v>16.07</v>
      </c>
      <c r="E24" s="2601">
        <v>18</v>
      </c>
      <c r="F24" s="2601"/>
      <c r="G24" s="2601">
        <v>23.54</v>
      </c>
      <c r="H24" s="2601">
        <v>16.350000000000001</v>
      </c>
      <c r="I24" s="3355">
        <f>$I$7*I25/1000</f>
        <v>16.636250404067507</v>
      </c>
      <c r="J24" s="2602">
        <f>$I$7*J25/1000</f>
        <v>20.627349544061516</v>
      </c>
      <c r="K24" s="2601"/>
      <c r="L24" s="2602">
        <f t="shared" ref="L24:L25" si="24">SUM(I24)</f>
        <v>16.636250404067507</v>
      </c>
      <c r="M24" s="2601">
        <v>4.5</v>
      </c>
      <c r="N24" s="2671">
        <v>11.025</v>
      </c>
      <c r="O24" s="2601">
        <v>17.024999999999999</v>
      </c>
      <c r="P24" s="2477">
        <v>17.024999999999999</v>
      </c>
      <c r="Q24" s="4110">
        <f>SUM(I24)</f>
        <v>16.636250404067507</v>
      </c>
      <c r="R24" s="2477">
        <v>6.71</v>
      </c>
      <c r="S24" s="2478">
        <v>9.7100000000000009</v>
      </c>
      <c r="T24" s="3361"/>
    </row>
    <row r="25" spans="1:20" x14ac:dyDescent="0.2">
      <c r="A25" s="3371" t="s">
        <v>1848</v>
      </c>
      <c r="B25" s="2671">
        <f>B24/B7*1000</f>
        <v>1.2720385911426102</v>
      </c>
      <c r="C25" s="3372">
        <v>2.3138000000000001</v>
      </c>
      <c r="D25" s="2671">
        <f>D24/D7*1000</f>
        <v>2.5388529819278531</v>
      </c>
      <c r="E25" s="2671">
        <f t="shared" ref="E25:H25" si="25">E24/E7*1000</f>
        <v>2.6603606266627251</v>
      </c>
      <c r="F25" s="2671"/>
      <c r="G25" s="2671">
        <f t="shared" si="25"/>
        <v>3.2985911624661237</v>
      </c>
      <c r="H25" s="2671">
        <f t="shared" si="25"/>
        <v>2.6606997558991052</v>
      </c>
      <c r="I25" s="3359">
        <f>E25</f>
        <v>2.6603606266627251</v>
      </c>
      <c r="J25" s="2671">
        <f>SUM(G25)</f>
        <v>3.2985911624661237</v>
      </c>
      <c r="K25" s="2601"/>
      <c r="L25" s="2602">
        <f t="shared" si="24"/>
        <v>2.6603606266627251</v>
      </c>
      <c r="M25" s="2671">
        <f>SUM(M24/M7*1000)</f>
        <v>1.2929596622444572</v>
      </c>
      <c r="N25" s="2671">
        <f t="shared" ref="N25:O25" si="26">SUM(N24/N7*1000)</f>
        <v>2.0948832974242153</v>
      </c>
      <c r="O25" s="2671">
        <f t="shared" si="26"/>
        <v>2.4468301297703841</v>
      </c>
      <c r="P25" s="2478">
        <f t="shared" ref="P25" si="27">SUM(P24/P7*1000)</f>
        <v>2.8691631278917038</v>
      </c>
      <c r="Q25" s="4110">
        <f>SUM(I25)</f>
        <v>2.6603606266627251</v>
      </c>
      <c r="R25" s="2478">
        <f>SUM(R24/R7*1000)</f>
        <v>2.0638704861291601</v>
      </c>
      <c r="S25" s="2478">
        <f t="shared" ref="S25:T25" si="28">SUM(S24/S7*1000)</f>
        <v>2.0611777072698869</v>
      </c>
      <c r="T25" s="3365" t="e">
        <f t="shared" si="28"/>
        <v>#DIV/0!</v>
      </c>
    </row>
    <row r="26" spans="1:20" x14ac:dyDescent="0.2">
      <c r="A26" s="3371" t="s">
        <v>129</v>
      </c>
      <c r="B26" s="2601">
        <v>20560</v>
      </c>
      <c r="C26" s="2601">
        <v>28813.56</v>
      </c>
      <c r="D26" s="2601">
        <v>29577.47</v>
      </c>
      <c r="E26" s="2601">
        <v>36017.22</v>
      </c>
      <c r="F26" s="2601"/>
      <c r="G26" s="2671">
        <f>SUM(G27/G24)*1000</f>
        <v>36437.807986406122</v>
      </c>
      <c r="H26" s="2601">
        <v>38538</v>
      </c>
      <c r="I26" s="3374">
        <f>49770/1.2</f>
        <v>41475</v>
      </c>
      <c r="J26" s="2671">
        <f>SUM(I26*1.06)</f>
        <v>43963.5</v>
      </c>
      <c r="K26" s="3312" t="s">
        <v>2052</v>
      </c>
      <c r="L26" s="3312">
        <f>SUM(I26*1.03)*(1-0.01)</f>
        <v>42292.057500000003</v>
      </c>
      <c r="M26" s="2671">
        <f>SUM(M27/M24)*1000</f>
        <v>36016.948888888888</v>
      </c>
      <c r="N26" s="2671">
        <f t="shared" ref="N26:O26" si="29">SUM(N27/N24)*1000</f>
        <v>37784.978684807254</v>
      </c>
      <c r="O26" s="2671">
        <f t="shared" si="29"/>
        <v>37904.787077826724</v>
      </c>
      <c r="P26" s="2478">
        <f t="shared" ref="P26" si="30">SUM(P27/P24)*1000</f>
        <v>39648.407283406763</v>
      </c>
      <c r="Q26" s="4109">
        <f>SUM(I26*(1+0.032)*0.99*(1+0.036)*0.99)</f>
        <v>43460.651923920006</v>
      </c>
      <c r="R26" s="2478">
        <f>SUM(R27/R24)*1000</f>
        <v>39430.886736214612</v>
      </c>
      <c r="S26" s="2478">
        <f t="shared" ref="S26:T26" si="31">SUM(S27/S24)*1000</f>
        <v>42750.633367662202</v>
      </c>
      <c r="T26" s="3365" t="e">
        <f t="shared" si="31"/>
        <v>#DIV/0!</v>
      </c>
    </row>
    <row r="27" spans="1:20" x14ac:dyDescent="0.2">
      <c r="A27" s="3371" t="s">
        <v>1849</v>
      </c>
      <c r="B27" s="2601">
        <v>172.54</v>
      </c>
      <c r="C27" s="2601">
        <v>376.96</v>
      </c>
      <c r="D27" s="2601">
        <v>475.31</v>
      </c>
      <c r="E27" s="2601">
        <v>648.30999999999995</v>
      </c>
      <c r="F27" s="2601">
        <v>411.52</v>
      </c>
      <c r="G27" s="2601">
        <v>857.74599999999998</v>
      </c>
      <c r="H27" s="2601">
        <v>630.02</v>
      </c>
      <c r="I27" s="3355">
        <f>I24*I26/1000</f>
        <v>689.98848550869991</v>
      </c>
      <c r="J27" s="2602">
        <f>J24*J26/1000</f>
        <v>906.85048168034848</v>
      </c>
      <c r="K27" s="2601"/>
      <c r="L27" s="3355">
        <f>L24*L26/1000</f>
        <v>703.58125867322133</v>
      </c>
      <c r="M27" s="2601">
        <v>162.07626999999999</v>
      </c>
      <c r="N27" s="2671">
        <v>416.57938999999999</v>
      </c>
      <c r="O27" s="2601">
        <v>645.32899999999995</v>
      </c>
      <c r="P27" s="2479">
        <f>SUM(O27*1.046)</f>
        <v>675.01413400000001</v>
      </c>
      <c r="Q27" s="4110">
        <f>Q24*Q26/1000</f>
        <v>723.02228813035151</v>
      </c>
      <c r="R27" s="2477">
        <v>264.58125000000001</v>
      </c>
      <c r="S27" s="2478">
        <v>415.10865000000001</v>
      </c>
      <c r="T27" s="3361"/>
    </row>
    <row r="28" spans="1:20" x14ac:dyDescent="0.2">
      <c r="A28" s="2601" t="s">
        <v>103</v>
      </c>
      <c r="B28" s="2601"/>
      <c r="C28" s="2601"/>
      <c r="D28" s="2601"/>
      <c r="E28" s="2601"/>
      <c r="F28" s="2601"/>
      <c r="G28" s="2601"/>
      <c r="H28" s="2601"/>
      <c r="I28" s="3370"/>
      <c r="J28" s="2601"/>
      <c r="K28" s="2601"/>
      <c r="L28" s="2601"/>
      <c r="M28" s="2601"/>
      <c r="N28" s="2601"/>
      <c r="O28" s="2601"/>
      <c r="P28" s="2477"/>
      <c r="Q28" s="4111"/>
      <c r="R28" s="3971"/>
      <c r="S28" s="2477"/>
      <c r="T28" s="3361"/>
    </row>
    <row r="29" spans="1:20" x14ac:dyDescent="0.2">
      <c r="A29" s="3371" t="s">
        <v>1847</v>
      </c>
      <c r="B29" s="2601">
        <v>9.1300000000000008</v>
      </c>
      <c r="C29" s="2601">
        <v>17.010000000000002</v>
      </c>
      <c r="D29" s="2601">
        <v>20.25</v>
      </c>
      <c r="E29" s="2601">
        <v>29.8</v>
      </c>
      <c r="F29" s="2601"/>
      <c r="G29" s="2601">
        <v>26.99</v>
      </c>
      <c r="H29" s="2601">
        <v>27.06</v>
      </c>
      <c r="I29" s="3355">
        <f>$I$7*I30/1000</f>
        <v>27.542236780067327</v>
      </c>
      <c r="J29" s="2602">
        <f>$I$7*J30/1000</f>
        <v>27.542236780067327</v>
      </c>
      <c r="K29" s="2601"/>
      <c r="L29" s="2602">
        <f t="shared" ref="L29:L30" si="32">SUM(I29)</f>
        <v>27.542236780067327</v>
      </c>
      <c r="M29" s="2601">
        <v>18.899999999999999</v>
      </c>
      <c r="N29" s="2601">
        <v>31.9</v>
      </c>
      <c r="O29" s="2601">
        <v>31.9</v>
      </c>
      <c r="P29" s="2477">
        <v>31.9</v>
      </c>
      <c r="Q29" s="4110">
        <f>SUM(I29)</f>
        <v>27.542236780067327</v>
      </c>
      <c r="R29" s="2477">
        <v>25.324999999999999</v>
      </c>
      <c r="S29" s="2477">
        <v>25.324999999999999</v>
      </c>
      <c r="T29" s="3361"/>
    </row>
    <row r="30" spans="1:20" x14ac:dyDescent="0.2">
      <c r="A30" s="3371" t="s">
        <v>1848</v>
      </c>
      <c r="B30" s="2671">
        <f>B29/B7*1000</f>
        <v>1.3631117766586891</v>
      </c>
      <c r="C30" s="2671">
        <v>3.008</v>
      </c>
      <c r="D30" s="2671">
        <f>D29/D7*1000</f>
        <v>3.1992391340410098</v>
      </c>
      <c r="E30" s="2671">
        <f t="shared" ref="E30:H30" si="33">E29/E7*1000</f>
        <v>4.4043748152527344</v>
      </c>
      <c r="F30" s="2671"/>
      <c r="G30" s="2671">
        <f t="shared" si="33"/>
        <v>3.7820295443908534</v>
      </c>
      <c r="H30" s="2671">
        <f t="shared" si="33"/>
        <v>4.4035801464605369</v>
      </c>
      <c r="I30" s="3355">
        <f>E30</f>
        <v>4.4043748152527344</v>
      </c>
      <c r="J30" s="2671">
        <f>SUM(I30)</f>
        <v>4.4043748152527344</v>
      </c>
      <c r="K30" s="2601"/>
      <c r="L30" s="2602">
        <f t="shared" si="32"/>
        <v>4.4043748152527344</v>
      </c>
      <c r="M30" s="2671">
        <f>SUM(M29/M7*1000)</f>
        <v>5.4304305814267204</v>
      </c>
      <c r="N30" s="2671">
        <f t="shared" ref="N30:O30" si="34">SUM(N29/N7*1000)</f>
        <v>6.0613856859711985</v>
      </c>
      <c r="O30" s="2671">
        <f t="shared" si="34"/>
        <v>4.5846626220073574</v>
      </c>
      <c r="P30" s="2478">
        <f t="shared" ref="P30" si="35">SUM(P29/P7*1000)</f>
        <v>5.3759943482963495</v>
      </c>
      <c r="Q30" s="4110">
        <f>SUM(I30)</f>
        <v>4.4043748152527344</v>
      </c>
      <c r="R30" s="2478">
        <f>SUM(R29/R7*1000)</f>
        <v>7.7894962833414283</v>
      </c>
      <c r="S30" s="2478">
        <f t="shared" ref="S30:T30" si="36">SUM(S29/S7*1000)</f>
        <v>5.3758316618547761</v>
      </c>
      <c r="T30" s="3365" t="e">
        <f t="shared" si="36"/>
        <v>#DIV/0!</v>
      </c>
    </row>
    <row r="31" spans="1:20" x14ac:dyDescent="0.2">
      <c r="A31" s="3371" t="s">
        <v>129</v>
      </c>
      <c r="B31" s="2601">
        <v>18830</v>
      </c>
      <c r="C31" s="2601">
        <v>14833.9</v>
      </c>
      <c r="D31" s="2601">
        <v>18097.28</v>
      </c>
      <c r="E31" s="2601">
        <v>22881.21</v>
      </c>
      <c r="F31" s="2601"/>
      <c r="G31" s="2671">
        <f>SUM(G32/G29)*1000</f>
        <v>22033.901444979627</v>
      </c>
      <c r="H31" s="2601">
        <v>24483</v>
      </c>
      <c r="I31" s="3355">
        <f>32100/1.2</f>
        <v>26750</v>
      </c>
      <c r="J31" s="2671">
        <f>SUM(I31*1.06)</f>
        <v>28355</v>
      </c>
      <c r="K31" s="2601" t="s">
        <v>1875</v>
      </c>
      <c r="L31" s="3312">
        <f>SUM(I31*1.03)*(1-0.01)</f>
        <v>27276.974999999999</v>
      </c>
      <c r="M31" s="2671">
        <f>SUM(M32/M29)*1000</f>
        <v>24321.308994708997</v>
      </c>
      <c r="N31" s="2671">
        <f t="shared" ref="N31:O31" si="37">SUM(N32/N29)*1000</f>
        <v>24463.408777429468</v>
      </c>
      <c r="O31" s="2671">
        <f t="shared" si="37"/>
        <v>24463.416927899689</v>
      </c>
      <c r="P31" s="2478">
        <f t="shared" ref="P31" si="38">SUM(P32/P29)*1000</f>
        <v>25588.734106583077</v>
      </c>
      <c r="Q31" s="4109">
        <f>SUM(I31*(1+0.032)*0.99*(1+0.036)*0.99)</f>
        <v>28030.679661599999</v>
      </c>
      <c r="R31" s="2478">
        <f>SUM(R32/R29)*1000</f>
        <v>25325.478775913129</v>
      </c>
      <c r="S31" s="2478">
        <f t="shared" ref="S31:T31" si="39">SUM(S32/S29)*1000</f>
        <v>25325.478775913129</v>
      </c>
      <c r="T31" s="3365" t="e">
        <f t="shared" si="39"/>
        <v>#DIV/0!</v>
      </c>
    </row>
    <row r="32" spans="1:20" x14ac:dyDescent="0.2">
      <c r="A32" s="3371" t="s">
        <v>1849</v>
      </c>
      <c r="B32" s="2601">
        <v>171.83</v>
      </c>
      <c r="C32" s="2601">
        <v>252.3</v>
      </c>
      <c r="D32" s="2601">
        <v>366.47</v>
      </c>
      <c r="E32" s="2601">
        <v>681.86</v>
      </c>
      <c r="F32" s="2601">
        <v>275.43</v>
      </c>
      <c r="G32" s="2601">
        <v>594.69500000000005</v>
      </c>
      <c r="H32" s="2601">
        <v>662.63</v>
      </c>
      <c r="I32" s="3355">
        <f>I29*I31/1000</f>
        <v>736.75483386680105</v>
      </c>
      <c r="J32" s="2602">
        <f>J29*J31/1000</f>
        <v>780.96012389880912</v>
      </c>
      <c r="K32" s="2601"/>
      <c r="L32" s="3355">
        <f>L29*L31/1000</f>
        <v>751.26890409397697</v>
      </c>
      <c r="M32" s="2671">
        <v>459.67273999999998</v>
      </c>
      <c r="N32" s="2601">
        <v>780.38274000000001</v>
      </c>
      <c r="O32" s="2601">
        <v>780.38300000000004</v>
      </c>
      <c r="P32" s="2479">
        <f>SUM(O32*1.046)</f>
        <v>816.28061800000012</v>
      </c>
      <c r="Q32" s="4110">
        <f>Q29*Q31/1000</f>
        <v>772.02761634600461</v>
      </c>
      <c r="R32" s="2478">
        <v>641.36775</v>
      </c>
      <c r="S32" s="2478">
        <v>641.36775</v>
      </c>
      <c r="T32" s="3361"/>
    </row>
    <row r="33" spans="1:20" x14ac:dyDescent="0.2">
      <c r="A33" s="2601" t="s">
        <v>890</v>
      </c>
      <c r="B33" s="2601"/>
      <c r="C33" s="2601"/>
      <c r="D33" s="2601"/>
      <c r="E33" s="2601"/>
      <c r="F33" s="2601"/>
      <c r="G33" s="2601"/>
      <c r="H33" s="2601"/>
      <c r="I33" s="3370"/>
      <c r="J33" s="2601"/>
      <c r="K33" s="2601"/>
      <c r="L33" s="2601"/>
      <c r="M33" s="2601"/>
      <c r="N33" s="2601"/>
      <c r="O33" s="2601"/>
      <c r="P33" s="2477"/>
      <c r="Q33" s="4111"/>
      <c r="R33" s="3971"/>
      <c r="S33" s="2477"/>
      <c r="T33" s="3361"/>
    </row>
    <row r="34" spans="1:20" x14ac:dyDescent="0.2">
      <c r="A34" s="3371" t="s">
        <v>1847</v>
      </c>
      <c r="B34" s="2601">
        <v>0.38</v>
      </c>
      <c r="C34" s="2601">
        <v>0.31</v>
      </c>
      <c r="D34" s="2601">
        <v>0.4</v>
      </c>
      <c r="E34" s="2601">
        <v>0.48</v>
      </c>
      <c r="F34" s="2601"/>
      <c r="G34" s="2601">
        <v>0.45</v>
      </c>
      <c r="H34" s="2601">
        <v>0.43</v>
      </c>
      <c r="I34" s="3355">
        <f>$I$7*I35/1000</f>
        <v>0.43758407196985744</v>
      </c>
      <c r="J34" s="2601">
        <v>0.45</v>
      </c>
      <c r="K34" s="2601"/>
      <c r="L34" s="2602">
        <f t="shared" ref="L34:L35" si="40">SUM(I34)</f>
        <v>0.43758407196985744</v>
      </c>
      <c r="M34" s="2601">
        <v>0.15</v>
      </c>
      <c r="N34" s="2601">
        <v>0.25</v>
      </c>
      <c r="O34" s="2601">
        <v>0.4</v>
      </c>
      <c r="P34" s="2477">
        <v>0.4</v>
      </c>
      <c r="Q34" s="4110">
        <f>SUM(I34)</f>
        <v>0.43758407196985744</v>
      </c>
      <c r="R34" s="2477">
        <v>0.15</v>
      </c>
      <c r="S34" s="2477">
        <v>0.35</v>
      </c>
      <c r="T34" s="3361"/>
    </row>
    <row r="35" spans="1:20" x14ac:dyDescent="0.2">
      <c r="A35" s="3371" t="s">
        <v>1848</v>
      </c>
      <c r="B35" s="3358">
        <f>B34/B7*1000</f>
        <v>5.6734115567393412E-2</v>
      </c>
      <c r="C35" s="3358">
        <v>5.4899999999999997E-2</v>
      </c>
      <c r="D35" s="3358">
        <f>D34/D7*1000</f>
        <v>6.3194847092168105E-2</v>
      </c>
      <c r="E35" s="3358">
        <f t="shared" ref="E35:H35" si="41">E34/E7*1000</f>
        <v>7.0942950044339342E-2</v>
      </c>
      <c r="F35" s="3358"/>
      <c r="G35" s="3358">
        <f t="shared" si="41"/>
        <v>6.3057180251051656E-2</v>
      </c>
      <c r="H35" s="3358">
        <f t="shared" si="41"/>
        <v>6.9975589910496336E-2</v>
      </c>
      <c r="I35" s="3355">
        <f>H35</f>
        <v>6.9975589910496336E-2</v>
      </c>
      <c r="J35" s="2671">
        <f t="shared" ref="J35" si="42">J34/J7*1000</f>
        <v>7.1961064117279941E-2</v>
      </c>
      <c r="K35" s="2601"/>
      <c r="L35" s="2602">
        <f t="shared" si="40"/>
        <v>6.9975589910496336E-2</v>
      </c>
      <c r="M35" s="3358">
        <f>SUM(M34/M7*1000)</f>
        <v>4.309865540814857E-2</v>
      </c>
      <c r="N35" s="3358">
        <f t="shared" ref="N35:O35" si="43">SUM(N34/N7*1000)</f>
        <v>4.7503022617329138E-2</v>
      </c>
      <c r="O35" s="3358">
        <f t="shared" si="43"/>
        <v>5.7487932564355589E-2</v>
      </c>
      <c r="P35" s="2479">
        <f t="shared" ref="P35" si="44">SUM(P34/P7*1000)</f>
        <v>6.7410587439452663E-2</v>
      </c>
      <c r="Q35" s="4110">
        <f>SUM(I35)</f>
        <v>6.9975589910496336E-2</v>
      </c>
      <c r="R35" s="2479">
        <f>SUM(R34/R7*1000)</f>
        <v>4.6137194175763639E-2</v>
      </c>
      <c r="S35" s="2479">
        <f t="shared" ref="S35:T35" si="45">SUM(S34/S7*1000)</f>
        <v>7.4295797893353263E-2</v>
      </c>
      <c r="T35" s="3364" t="e">
        <f t="shared" si="45"/>
        <v>#DIV/0!</v>
      </c>
    </row>
    <row r="36" spans="1:20" x14ac:dyDescent="0.2">
      <c r="A36" s="3371" t="s">
        <v>129</v>
      </c>
      <c r="B36" s="2601">
        <v>274590</v>
      </c>
      <c r="C36" s="2601">
        <v>308480.64000000001</v>
      </c>
      <c r="D36" s="2601">
        <v>327500</v>
      </c>
      <c r="E36" s="2601">
        <v>286000</v>
      </c>
      <c r="F36" s="2601"/>
      <c r="G36" s="2671">
        <f>SUM(G37/G34)*1000</f>
        <v>293995.55555555556</v>
      </c>
      <c r="H36" s="2601">
        <v>306020</v>
      </c>
      <c r="I36" s="3355">
        <f>I81*1000</f>
        <v>340090</v>
      </c>
      <c r="J36" s="2671">
        <f>SUM(I36*1.06)</f>
        <v>360495.4</v>
      </c>
      <c r="K36" s="2601" t="s">
        <v>1875</v>
      </c>
      <c r="L36" s="3312">
        <f>SUM(I36*1.03)*(1-0.01)</f>
        <v>346789.77299999999</v>
      </c>
      <c r="M36" s="2671">
        <f>SUM(M37/M34)*1000</f>
        <v>317500</v>
      </c>
      <c r="N36" s="2671">
        <f t="shared" ref="N36:O36" si="46">SUM(N37/N34)*1000</f>
        <v>322500</v>
      </c>
      <c r="O36" s="2671">
        <f t="shared" si="46"/>
        <v>345977.49999999994</v>
      </c>
      <c r="P36" s="2478">
        <f t="shared" ref="P36" si="47">SUM(P37/P34)*1000</f>
        <v>361892.46499999997</v>
      </c>
      <c r="Q36" s="4109">
        <f>SUM(I36*(1+0.032)*0.99*(1+0.036)*0.99)</f>
        <v>356372.10639676801</v>
      </c>
      <c r="R36" s="2478">
        <f>SUM(R37/R34)*1000</f>
        <v>348801.8666666667</v>
      </c>
      <c r="S36" s="2478">
        <f t="shared" ref="S36:T36" si="48">SUM(S37/S34)*1000</f>
        <v>330915.08571428573</v>
      </c>
      <c r="T36" s="3365" t="e">
        <f t="shared" si="48"/>
        <v>#DIV/0!</v>
      </c>
    </row>
    <row r="37" spans="1:20" x14ac:dyDescent="0.2">
      <c r="A37" s="3371" t="s">
        <v>1849</v>
      </c>
      <c r="B37" s="2601">
        <v>102.97</v>
      </c>
      <c r="C37" s="2601">
        <v>95.76</v>
      </c>
      <c r="D37" s="2601">
        <v>131</v>
      </c>
      <c r="E37" s="2601">
        <v>135.85</v>
      </c>
      <c r="F37" s="2601">
        <v>104.54</v>
      </c>
      <c r="G37" s="2601">
        <v>132.298</v>
      </c>
      <c r="H37" s="2601">
        <v>132.02000000000001</v>
      </c>
      <c r="I37" s="3355">
        <f>I34*I36/1000</f>
        <v>148.81796703622879</v>
      </c>
      <c r="J37" s="2602">
        <f>J34*J36/1000</f>
        <v>162.22293000000002</v>
      </c>
      <c r="K37" s="2601"/>
      <c r="L37" s="3355">
        <f>L34*L36/1000</f>
        <v>151.74968098684252</v>
      </c>
      <c r="M37" s="2601">
        <v>47.625</v>
      </c>
      <c r="N37" s="2601">
        <v>80.625</v>
      </c>
      <c r="O37" s="2601">
        <v>138.39099999999999</v>
      </c>
      <c r="P37" s="2479">
        <f>SUM(O37*1.046)</f>
        <v>144.75698599999998</v>
      </c>
      <c r="Q37" s="4110">
        <f>Q34*Q36/1000</f>
        <v>155.94275745357302</v>
      </c>
      <c r="R37" s="2477">
        <v>52.320279999999997</v>
      </c>
      <c r="S37" s="2478">
        <v>115.82028</v>
      </c>
      <c r="T37" s="3361"/>
    </row>
    <row r="38" spans="1:20" x14ac:dyDescent="0.2">
      <c r="A38" s="2601" t="s">
        <v>891</v>
      </c>
      <c r="B38" s="2601"/>
      <c r="C38" s="2601"/>
      <c r="D38" s="2601"/>
      <c r="E38" s="2601"/>
      <c r="F38" s="2601"/>
      <c r="G38" s="2601"/>
      <c r="H38" s="2601"/>
      <c r="I38" s="3370"/>
      <c r="J38" s="2601"/>
      <c r="K38" s="2601"/>
      <c r="L38" s="2601"/>
      <c r="M38" s="2601"/>
      <c r="N38" s="2601"/>
      <c r="O38" s="2601"/>
      <c r="P38" s="2477"/>
      <c r="Q38" s="4111"/>
      <c r="R38" s="3971"/>
      <c r="S38" s="2477"/>
      <c r="T38" s="3361"/>
    </row>
    <row r="39" spans="1:20" x14ac:dyDescent="0.2">
      <c r="A39" s="3371" t="s">
        <v>1847</v>
      </c>
      <c r="B39" s="2601">
        <v>51</v>
      </c>
      <c r="C39" s="2601">
        <v>65.48</v>
      </c>
      <c r="D39" s="2601">
        <v>0</v>
      </c>
      <c r="E39" s="2601">
        <v>0</v>
      </c>
      <c r="F39" s="2601">
        <v>0</v>
      </c>
      <c r="G39" s="2601">
        <v>0</v>
      </c>
      <c r="H39" s="2601">
        <v>0</v>
      </c>
      <c r="I39" s="3370">
        <f>$I$7*I40</f>
        <v>0</v>
      </c>
      <c r="J39" s="2601">
        <v>0</v>
      </c>
      <c r="K39" s="2601"/>
      <c r="L39" s="2601"/>
      <c r="M39" s="2601"/>
      <c r="N39" s="2601"/>
      <c r="O39" s="2601"/>
      <c r="P39" s="2477"/>
      <c r="Q39" s="4111"/>
      <c r="R39" s="3971"/>
      <c r="S39" s="2477"/>
      <c r="T39" s="3361"/>
    </row>
    <row r="40" spans="1:20" x14ac:dyDescent="0.2">
      <c r="A40" s="3371" t="s">
        <v>1848</v>
      </c>
      <c r="B40" s="2671">
        <f>B39/B7*1000</f>
        <v>7.6143155103606945</v>
      </c>
      <c r="C40" s="3358">
        <v>11.580299999999999</v>
      </c>
      <c r="D40" s="2601">
        <v>0</v>
      </c>
      <c r="E40" s="2601">
        <v>0</v>
      </c>
      <c r="F40" s="2601">
        <v>0</v>
      </c>
      <c r="G40" s="2601">
        <v>0</v>
      </c>
      <c r="H40" s="2601">
        <v>0</v>
      </c>
      <c r="I40" s="3370">
        <v>0</v>
      </c>
      <c r="J40" s="2601">
        <v>0</v>
      </c>
      <c r="K40" s="2601"/>
      <c r="L40" s="2601"/>
      <c r="M40" s="2601"/>
      <c r="N40" s="2601"/>
      <c r="O40" s="2601"/>
      <c r="P40" s="2477"/>
      <c r="Q40" s="4111"/>
      <c r="R40" s="3971"/>
      <c r="S40" s="2477"/>
      <c r="T40" s="3361"/>
    </row>
    <row r="41" spans="1:20" x14ac:dyDescent="0.2">
      <c r="A41" s="3371" t="s">
        <v>129</v>
      </c>
      <c r="B41" s="2601">
        <v>15040</v>
      </c>
      <c r="C41" s="2601">
        <v>16212.97</v>
      </c>
      <c r="D41" s="2601">
        <v>0</v>
      </c>
      <c r="E41" s="2601">
        <v>0</v>
      </c>
      <c r="F41" s="2601">
        <v>0</v>
      </c>
      <c r="G41" s="2601">
        <v>0</v>
      </c>
      <c r="H41" s="2601">
        <v>0</v>
      </c>
      <c r="I41" s="3370">
        <v>0</v>
      </c>
      <c r="J41" s="2601">
        <v>0</v>
      </c>
      <c r="K41" s="2601"/>
      <c r="L41" s="2601"/>
      <c r="M41" s="2601"/>
      <c r="N41" s="2601"/>
      <c r="O41" s="2601"/>
      <c r="P41" s="2477"/>
      <c r="Q41" s="4111"/>
      <c r="R41" s="3971"/>
      <c r="S41" s="2477"/>
      <c r="T41" s="3361"/>
    </row>
    <row r="42" spans="1:20" x14ac:dyDescent="0.2">
      <c r="A42" s="3371" t="s">
        <v>1849</v>
      </c>
      <c r="B42" s="2601">
        <v>767.15</v>
      </c>
      <c r="C42" s="2601">
        <v>1061.5999999999999</v>
      </c>
      <c r="D42" s="2601">
        <v>0</v>
      </c>
      <c r="E42" s="2601">
        <v>0</v>
      </c>
      <c r="F42" s="2601">
        <v>1158.93</v>
      </c>
      <c r="G42" s="2601">
        <v>0</v>
      </c>
      <c r="H42" s="2601">
        <v>0</v>
      </c>
      <c r="I42" s="3370">
        <f>I39*I41/1000</f>
        <v>0</v>
      </c>
      <c r="J42" s="2601">
        <v>0</v>
      </c>
      <c r="K42" s="2601"/>
      <c r="L42" s="2601"/>
      <c r="M42" s="2601"/>
      <c r="N42" s="2601"/>
      <c r="O42" s="2601"/>
      <c r="P42" s="2477"/>
      <c r="Q42" s="4111"/>
      <c r="R42" s="3971"/>
      <c r="S42" s="2477"/>
      <c r="T42" s="3361"/>
    </row>
    <row r="43" spans="1:20" s="371" customFormat="1" ht="38.25" x14ac:dyDescent="0.2">
      <c r="A43" s="1732" t="s">
        <v>105</v>
      </c>
      <c r="B43" s="1732">
        <v>116.22</v>
      </c>
      <c r="C43" s="1732">
        <v>229.53</v>
      </c>
      <c r="D43" s="1732">
        <v>151.71</v>
      </c>
      <c r="E43" s="1732">
        <v>293.27</v>
      </c>
      <c r="F43" s="1732">
        <v>250.57</v>
      </c>
      <c r="G43" s="1732">
        <v>426.86900000000003</v>
      </c>
      <c r="H43" s="1732">
        <v>313.8</v>
      </c>
      <c r="I43" s="3375">
        <f>(D43*1.002+E43)/2*1.062*1.059</f>
        <v>250.39578028518</v>
      </c>
      <c r="J43" s="3376">
        <f>SUM(G43*1.06)</f>
        <v>452.48114000000004</v>
      </c>
      <c r="K43" s="3313" t="s">
        <v>1876</v>
      </c>
      <c r="L43" s="3313">
        <f>SUM(I43*1.03)*(1-0.01)</f>
        <v>255.32857715679808</v>
      </c>
      <c r="M43" s="1732">
        <v>140.87618000000001</v>
      </c>
      <c r="N43" s="1732">
        <v>179.56967</v>
      </c>
      <c r="O43" s="1732">
        <v>263.84699999999998</v>
      </c>
      <c r="P43" s="3366">
        <f>SUM(O43*1.046)</f>
        <v>275.98396199999996</v>
      </c>
      <c r="Q43" s="4109">
        <f>SUM(I43*(1+0.032)*0.99*(1+0.036)*0.99)</f>
        <v>262.38369741271993</v>
      </c>
      <c r="R43" s="3366">
        <v>108.85648999999999</v>
      </c>
      <c r="S43" s="3366">
        <f>244.56646+2.23</f>
        <v>246.79646</v>
      </c>
      <c r="T43" s="3994"/>
    </row>
    <row r="44" spans="1:20" s="2144" customFormat="1" x14ac:dyDescent="0.2">
      <c r="A44" s="3356" t="s">
        <v>87</v>
      </c>
      <c r="B44" s="3356">
        <f t="shared" ref="B44" si="49">B12+B17+B22+B27+B32+B37+B42+B43</f>
        <v>5707.1500000000005</v>
      </c>
      <c r="C44" s="3356">
        <f>C12+C17+C22+C27+C32+C37+C42+C43</f>
        <v>6985.420000000001</v>
      </c>
      <c r="D44" s="3356">
        <f t="shared" ref="D44:H44" si="50">D12+D17+D22+D27+D32+D37+D42+D43</f>
        <v>8877.3599999999988</v>
      </c>
      <c r="E44" s="3356">
        <f t="shared" si="50"/>
        <v>14052.2</v>
      </c>
      <c r="F44" s="3356">
        <f t="shared" ref="F44" si="51">F12+F17+F22+F27+F32+F37+F42+F43</f>
        <v>7625.81</v>
      </c>
      <c r="G44" s="3356">
        <f t="shared" si="50"/>
        <v>12899.942999999999</v>
      </c>
      <c r="H44" s="3356">
        <f t="shared" si="50"/>
        <v>13684.63</v>
      </c>
      <c r="I44" s="3360">
        <f>I12+I17+I22+I27+I32+I37+I43</f>
        <v>11981.832285756163</v>
      </c>
      <c r="J44" s="3356">
        <f t="shared" ref="J44" si="52">J12+J17+J22+J27+J32+J37+J42+J43</f>
        <v>13937.242556447221</v>
      </c>
      <c r="K44" s="3356"/>
      <c r="L44" s="3356">
        <f>L12+L17+L22+L27+L32+L37+L42+L43</f>
        <v>12217.874381785559</v>
      </c>
      <c r="M44" s="3356">
        <f>M12+M17+M22+M27+M32+M37+M42+M43</f>
        <v>5300.6039599999995</v>
      </c>
      <c r="N44" s="3356">
        <f t="shared" ref="N44:O44" si="53">N12+N17+N22+N27+N32+N37+N42+N43</f>
        <v>9302.0645499999991</v>
      </c>
      <c r="O44" s="3356">
        <f t="shared" si="53"/>
        <v>12289.241999999998</v>
      </c>
      <c r="P44" s="2462">
        <f t="shared" ref="P44:Q44" si="54">P12+P17+P22+P27+P32+P37+P42+P43</f>
        <v>12854.547132000002</v>
      </c>
      <c r="Q44" s="4113">
        <f t="shared" si="54"/>
        <v>12555.472992936357</v>
      </c>
      <c r="R44" s="2462">
        <f>R12+R17+R22+R27+R32+R37+R42+R43</f>
        <v>9670.8643799999991</v>
      </c>
      <c r="S44" s="2462">
        <f t="shared" ref="S44:T44" si="55">S12+S17+S22+S27+S32+S37+S42+S43</f>
        <v>12168.492399999999</v>
      </c>
      <c r="T44" s="3362">
        <f t="shared" si="55"/>
        <v>0</v>
      </c>
    </row>
    <row r="45" spans="1:20" s="2186" customFormat="1" ht="21" customHeight="1" x14ac:dyDescent="0.2">
      <c r="A45" s="3241" t="s">
        <v>126</v>
      </c>
      <c r="B45" s="3357">
        <v>3209.95</v>
      </c>
      <c r="C45" s="3357">
        <f>объемы!W62</f>
        <v>4217.37</v>
      </c>
      <c r="D45" s="3357">
        <f>объемы!W62</f>
        <v>4217.37</v>
      </c>
      <c r="E45" s="3357">
        <f>объемы!AN62</f>
        <v>4359.4799999999996</v>
      </c>
      <c r="F45" s="3357">
        <f>объемы!AO62</f>
        <v>0</v>
      </c>
      <c r="G45" s="3357">
        <f>SUM(объемы!AV63:AW63)</f>
        <v>3150.37</v>
      </c>
      <c r="H45" s="3357">
        <v>3248.93</v>
      </c>
      <c r="I45" s="3377">
        <f>объемы!AZ62</f>
        <v>3020.0036431580988</v>
      </c>
      <c r="J45" s="3357">
        <f>SUM(объемы!BB62)</f>
        <v>3020.0036431580988</v>
      </c>
      <c r="K45" s="2652"/>
      <c r="L45" s="3357">
        <f>SUM(I45)</f>
        <v>3020.0036431580988</v>
      </c>
      <c r="M45" s="3357">
        <f>SUM(объемы!BF62)</f>
        <v>1547.3829999999998</v>
      </c>
      <c r="N45" s="3357">
        <f>SUM(объемы!BH62)</f>
        <v>2322.4540000000002</v>
      </c>
      <c r="O45" s="3357">
        <f>SUM(объемы!BJ62)</f>
        <v>3120.433</v>
      </c>
      <c r="P45" s="2481">
        <f>SUM(объемы!BL62)</f>
        <v>2844.4046666666663</v>
      </c>
      <c r="Q45" s="4112">
        <f>SUM(объемы!BN62)</f>
        <v>2844.4049999999997</v>
      </c>
      <c r="R45" s="2481">
        <f>SUM(объемы!BQ62)</f>
        <v>1567.3310000000001</v>
      </c>
      <c r="S45" s="2481">
        <f>SUM(объемы!BS62)</f>
        <v>2286.9459999999999</v>
      </c>
      <c r="T45" s="3363">
        <f>SUM(объемы!BU62)</f>
        <v>0</v>
      </c>
    </row>
    <row r="46" spans="1:20" x14ac:dyDescent="0.2">
      <c r="A46" s="2601" t="s">
        <v>100</v>
      </c>
      <c r="B46" s="2601"/>
      <c r="C46" s="2601"/>
      <c r="D46" s="2601"/>
      <c r="E46" s="2601"/>
      <c r="F46" s="2601"/>
      <c r="G46" s="2601"/>
      <c r="H46" s="2601"/>
      <c r="I46" s="3370"/>
      <c r="J46" s="2601"/>
      <c r="K46" s="2601"/>
      <c r="L46" s="2601"/>
      <c r="M46" s="2601"/>
      <c r="N46" s="2601"/>
      <c r="O46" s="2601"/>
      <c r="P46" s="2477"/>
      <c r="Q46" s="4083"/>
      <c r="R46" s="2477"/>
      <c r="S46" s="2477"/>
      <c r="T46" s="3361"/>
    </row>
    <row r="47" spans="1:20" x14ac:dyDescent="0.2">
      <c r="A47" s="3371" t="s">
        <v>1847</v>
      </c>
      <c r="B47" s="2601">
        <v>0</v>
      </c>
      <c r="C47" s="2601">
        <v>0.78412999999999999</v>
      </c>
      <c r="D47" s="2601">
        <v>0</v>
      </c>
      <c r="E47" s="2601">
        <v>0</v>
      </c>
      <c r="F47" s="2601">
        <v>0</v>
      </c>
      <c r="G47" s="2601"/>
      <c r="H47" s="2601">
        <v>0</v>
      </c>
      <c r="I47" s="3370">
        <v>0</v>
      </c>
      <c r="J47" s="2601"/>
      <c r="K47" s="2601"/>
      <c r="L47" s="2601"/>
      <c r="M47" s="2601">
        <v>0</v>
      </c>
      <c r="N47" s="2601"/>
      <c r="O47" s="2601"/>
      <c r="P47" s="2477"/>
      <c r="Q47" s="4110">
        <f>SUM(I47)</f>
        <v>0</v>
      </c>
      <c r="R47" s="2477">
        <v>0</v>
      </c>
      <c r="S47" s="2477"/>
      <c r="T47" s="3361"/>
    </row>
    <row r="48" spans="1:20" x14ac:dyDescent="0.2">
      <c r="A48" s="3371" t="s">
        <v>1848</v>
      </c>
      <c r="B48" s="2601">
        <v>0</v>
      </c>
      <c r="C48" s="2601">
        <v>0.2276</v>
      </c>
      <c r="D48" s="2601">
        <v>0</v>
      </c>
      <c r="E48" s="2601">
        <v>0</v>
      </c>
      <c r="F48" s="2601">
        <v>0</v>
      </c>
      <c r="G48" s="2601"/>
      <c r="H48" s="2601">
        <v>0</v>
      </c>
      <c r="I48" s="3370">
        <v>0</v>
      </c>
      <c r="J48" s="2601"/>
      <c r="K48" s="2601"/>
      <c r="L48" s="2601"/>
      <c r="M48" s="2671">
        <f>SUM(M47/M45*1000)</f>
        <v>0</v>
      </c>
      <c r="N48" s="2671">
        <f t="shared" ref="N48:O48" si="56">SUM(N47/N45*1000)</f>
        <v>0</v>
      </c>
      <c r="O48" s="2671">
        <f t="shared" si="56"/>
        <v>0</v>
      </c>
      <c r="P48" s="2478">
        <f t="shared" ref="P48" si="57">SUM(P47/P45*1000)</f>
        <v>0</v>
      </c>
      <c r="Q48" s="4110">
        <f>SUM(I48)</f>
        <v>0</v>
      </c>
      <c r="R48" s="2478">
        <f>SUM(R47/R45*1000)</f>
        <v>0</v>
      </c>
      <c r="S48" s="2478">
        <f t="shared" ref="S48:T48" si="58">SUM(S47/S45*1000)</f>
        <v>0</v>
      </c>
      <c r="T48" s="3365" t="e">
        <f t="shared" si="58"/>
        <v>#DIV/0!</v>
      </c>
    </row>
    <row r="49" spans="1:20" x14ac:dyDescent="0.2">
      <c r="A49" s="3371" t="s">
        <v>129</v>
      </c>
      <c r="B49" s="2601">
        <v>0</v>
      </c>
      <c r="C49" s="2601">
        <v>79862</v>
      </c>
      <c r="D49" s="2601">
        <v>0</v>
      </c>
      <c r="E49" s="2601">
        <v>0</v>
      </c>
      <c r="F49" s="2601">
        <v>0</v>
      </c>
      <c r="G49" s="2601"/>
      <c r="H49" s="2601">
        <v>0</v>
      </c>
      <c r="I49" s="3370">
        <v>0</v>
      </c>
      <c r="J49" s="2601"/>
      <c r="K49" s="2601"/>
      <c r="L49" s="2601"/>
      <c r="M49" s="2671" t="e">
        <f>SUM(M50/M47)*1000</f>
        <v>#DIV/0!</v>
      </c>
      <c r="N49" s="2671" t="e">
        <f t="shared" ref="N49:O49" si="59">SUM(N50/N47)*1000</f>
        <v>#DIV/0!</v>
      </c>
      <c r="O49" s="2671" t="e">
        <f t="shared" si="59"/>
        <v>#DIV/0!</v>
      </c>
      <c r="P49" s="2478" t="e">
        <f t="shared" ref="P49" si="60">SUM(P50/P47)*1000</f>
        <v>#DIV/0!</v>
      </c>
      <c r="Q49" s="4109">
        <f>SUM(I49*(1+0.032)*0.99*(1+0.036)*0.99)</f>
        <v>0</v>
      </c>
      <c r="R49" s="2478" t="e">
        <f>SUM(R50/R47)*1000</f>
        <v>#DIV/0!</v>
      </c>
      <c r="S49" s="2478" t="e">
        <f t="shared" ref="S49:T49" si="61">SUM(S50/S47)*1000</f>
        <v>#DIV/0!</v>
      </c>
      <c r="T49" s="3365" t="e">
        <f t="shared" si="61"/>
        <v>#DIV/0!</v>
      </c>
    </row>
    <row r="50" spans="1:20" x14ac:dyDescent="0.2">
      <c r="A50" s="3371" t="s">
        <v>1849</v>
      </c>
      <c r="B50" s="2601">
        <v>0</v>
      </c>
      <c r="C50" s="2601">
        <v>62.62</v>
      </c>
      <c r="D50" s="2601">
        <v>0</v>
      </c>
      <c r="E50" s="2601">
        <v>0</v>
      </c>
      <c r="F50" s="2601">
        <v>69.89</v>
      </c>
      <c r="G50" s="2601"/>
      <c r="H50" s="2601">
        <v>0</v>
      </c>
      <c r="I50" s="3370">
        <v>0</v>
      </c>
      <c r="J50" s="2601"/>
      <c r="K50" s="2601"/>
      <c r="L50" s="2601"/>
      <c r="M50" s="2601">
        <v>0</v>
      </c>
      <c r="N50" s="2601"/>
      <c r="O50" s="2601"/>
      <c r="P50" s="2477"/>
      <c r="Q50" s="4110">
        <f>Q47*Q49/1000</f>
        <v>0</v>
      </c>
      <c r="R50" s="2477">
        <v>0</v>
      </c>
      <c r="S50" s="2477"/>
      <c r="T50" s="3361"/>
    </row>
    <row r="51" spans="1:20" x14ac:dyDescent="0.2">
      <c r="A51" s="2601" t="s">
        <v>101</v>
      </c>
      <c r="B51" s="2601"/>
      <c r="C51" s="2601"/>
      <c r="D51" s="2601"/>
      <c r="E51" s="2601"/>
      <c r="F51" s="2601"/>
      <c r="G51" s="2601"/>
      <c r="H51" s="2601"/>
      <c r="I51" s="3370"/>
      <c r="J51" s="2601"/>
      <c r="K51" s="2601"/>
      <c r="L51" s="2601"/>
      <c r="M51" s="2601"/>
      <c r="N51" s="2601"/>
      <c r="O51" s="2601"/>
      <c r="P51" s="2477"/>
      <c r="Q51" s="4083"/>
      <c r="R51" s="2477"/>
      <c r="S51" s="2477"/>
      <c r="T51" s="3361"/>
    </row>
    <row r="52" spans="1:20" x14ac:dyDescent="0.2">
      <c r="A52" s="3371" t="s">
        <v>1847</v>
      </c>
      <c r="B52" s="2601">
        <v>6.9</v>
      </c>
      <c r="C52" s="2601">
        <v>5.21</v>
      </c>
      <c r="D52" s="2601">
        <v>10.85</v>
      </c>
      <c r="E52" s="2601">
        <v>10.95</v>
      </c>
      <c r="F52" s="2601"/>
      <c r="G52" s="2601">
        <v>3.8</v>
      </c>
      <c r="H52" s="2601">
        <v>11.13</v>
      </c>
      <c r="I52" s="3378">
        <f>I45*I53/1000</f>
        <v>10.343512477816487</v>
      </c>
      <c r="J52" s="3358">
        <f>J45*J53/1000</f>
        <v>10.343512477816487</v>
      </c>
      <c r="K52" s="2601"/>
      <c r="L52" s="3358">
        <f>SUM(I52)</f>
        <v>10.343512477816487</v>
      </c>
      <c r="M52" s="2601">
        <v>2.95</v>
      </c>
      <c r="N52" s="2601">
        <v>4.6500000000000004</v>
      </c>
      <c r="O52" s="2601">
        <v>6.65</v>
      </c>
      <c r="P52" s="2477">
        <v>10.343999999999999</v>
      </c>
      <c r="Q52" s="4110">
        <f>SUM(I52)</f>
        <v>10.343512477816487</v>
      </c>
      <c r="R52" s="2477">
        <v>4</v>
      </c>
      <c r="S52" s="2477">
        <v>7.5</v>
      </c>
      <c r="T52" s="3361"/>
    </row>
    <row r="53" spans="1:20" x14ac:dyDescent="0.2">
      <c r="A53" s="3371" t="s">
        <v>1848</v>
      </c>
      <c r="B53" s="2601">
        <v>2.1339999999999999</v>
      </c>
      <c r="C53" s="3358">
        <v>1.5136000000000001</v>
      </c>
      <c r="D53" s="2601">
        <v>3.544</v>
      </c>
      <c r="E53" s="2601">
        <v>3.4249999999999998</v>
      </c>
      <c r="F53" s="2601"/>
      <c r="G53" s="2601">
        <v>3.4249999999999998</v>
      </c>
      <c r="H53" s="3358">
        <v>3.4247000000000001</v>
      </c>
      <c r="I53" s="3370">
        <f>E53</f>
        <v>3.4249999999999998</v>
      </c>
      <c r="J53" s="2601">
        <f>SUM(I53)</f>
        <v>3.4249999999999998</v>
      </c>
      <c r="K53" s="2601"/>
      <c r="L53" s="3358">
        <f>SUM(I53)</f>
        <v>3.4249999999999998</v>
      </c>
      <c r="M53" s="2671">
        <f>SUM(M52/M45*1000)</f>
        <v>1.9064446229537229</v>
      </c>
      <c r="N53" s="2671">
        <f t="shared" ref="N53:O53" si="62">SUM(N52/N45*1000)</f>
        <v>2.0021925084415018</v>
      </c>
      <c r="O53" s="2671">
        <f t="shared" si="62"/>
        <v>2.1311144959689887</v>
      </c>
      <c r="P53" s="2478">
        <f t="shared" ref="P53" si="63">SUM(P52/P45*1000)</f>
        <v>3.6366133557648972</v>
      </c>
      <c r="Q53" s="4110">
        <f>SUM(I53)</f>
        <v>3.4249999999999998</v>
      </c>
      <c r="R53" s="2478">
        <f>SUM(R52/R45*1000)</f>
        <v>2.552109286423863</v>
      </c>
      <c r="S53" s="2478">
        <f t="shared" ref="S53:T53" si="64">SUM(S52/S45*1000)</f>
        <v>3.2794827687230041</v>
      </c>
      <c r="T53" s="3365" t="e">
        <f t="shared" si="64"/>
        <v>#DIV/0!</v>
      </c>
    </row>
    <row r="54" spans="1:20" x14ac:dyDescent="0.2">
      <c r="A54" s="3371" t="s">
        <v>129</v>
      </c>
      <c r="B54" s="2601">
        <v>49930</v>
      </c>
      <c r="C54" s="2601">
        <v>43766.39</v>
      </c>
      <c r="D54" s="2601">
        <v>57860.83</v>
      </c>
      <c r="E54" s="2601">
        <v>69705.02</v>
      </c>
      <c r="F54" s="2601"/>
      <c r="G54" s="2671">
        <f>SUM(G55/G52)*1000</f>
        <v>89944.736842105267</v>
      </c>
      <c r="H54" s="2601">
        <v>74584</v>
      </c>
      <c r="I54" s="3355">
        <f>I16</f>
        <v>103675</v>
      </c>
      <c r="J54" s="2671">
        <f>SUM(I54*1.06)</f>
        <v>109895.5</v>
      </c>
      <c r="K54" s="2601" t="s">
        <v>1874</v>
      </c>
      <c r="L54" s="3312">
        <f>SUM(I54*1.03)*(1-0.01)</f>
        <v>105717.39749999999</v>
      </c>
      <c r="M54" s="2671">
        <f>SUM(M55/M52)*1000</f>
        <v>96010.603389830503</v>
      </c>
      <c r="N54" s="2671">
        <f>SUM(N55/N52)*1000</f>
        <v>98298.858064516127</v>
      </c>
      <c r="O54" s="2671">
        <f>SUM(O55/O52)*1000</f>
        <v>99859.398496240596</v>
      </c>
      <c r="P54" s="2478">
        <f>SUM(P16)</f>
        <v>105970.82126829268</v>
      </c>
      <c r="Q54" s="4109">
        <f>SUM(I54*(1+0.032)*0.99*(1+0.036)*0.99)</f>
        <v>108638.53136136</v>
      </c>
      <c r="R54" s="2478">
        <f>SUM(R55/R52)*1000</f>
        <v>106705.72500000001</v>
      </c>
      <c r="S54" s="2478">
        <f>SUM(S55/S52)*1000</f>
        <v>109673.35466666667</v>
      </c>
      <c r="T54" s="3365" t="e">
        <f>SUM(T55/T52)*1000</f>
        <v>#DIV/0!</v>
      </c>
    </row>
    <row r="55" spans="1:20" x14ac:dyDescent="0.2">
      <c r="A55" s="3371" t="s">
        <v>1849</v>
      </c>
      <c r="B55" s="2601">
        <v>341.99</v>
      </c>
      <c r="C55" s="2601">
        <v>228.22</v>
      </c>
      <c r="D55" s="2601">
        <v>627.79</v>
      </c>
      <c r="E55" s="2601">
        <v>763.27</v>
      </c>
      <c r="F55" s="2601">
        <v>254.72</v>
      </c>
      <c r="G55" s="2601">
        <v>341.79</v>
      </c>
      <c r="H55" s="2601">
        <v>829.88</v>
      </c>
      <c r="I55" s="3359">
        <f>I52*I54/1000</f>
        <v>1072.3636561376243</v>
      </c>
      <c r="J55" s="2671">
        <f>J52*J54/1000</f>
        <v>1136.7054755058816</v>
      </c>
      <c r="K55" s="2601"/>
      <c r="L55" s="3359">
        <f>L52*L54/1000</f>
        <v>1093.4892201635353</v>
      </c>
      <c r="M55" s="2671">
        <v>283.23128000000003</v>
      </c>
      <c r="N55" s="2601">
        <v>457.08969000000002</v>
      </c>
      <c r="O55" s="2601">
        <v>664.06500000000005</v>
      </c>
      <c r="P55" s="3367">
        <f>P52*P54/1000</f>
        <v>1096.1621751992195</v>
      </c>
      <c r="Q55" s="4110">
        <f>Q52*Q54/1000</f>
        <v>1123.7040047078849</v>
      </c>
      <c r="R55" s="2478">
        <v>426.8229</v>
      </c>
      <c r="S55" s="2478">
        <v>822.55016000000001</v>
      </c>
      <c r="T55" s="3361"/>
    </row>
    <row r="56" spans="1:20" x14ac:dyDescent="0.2">
      <c r="A56" s="2601" t="s">
        <v>890</v>
      </c>
      <c r="B56" s="2601"/>
      <c r="C56" s="2601"/>
      <c r="D56" s="2601"/>
      <c r="E56" s="2601"/>
      <c r="F56" s="2601"/>
      <c r="G56" s="2601"/>
      <c r="H56" s="2601"/>
      <c r="I56" s="3370"/>
      <c r="J56" s="2601"/>
      <c r="K56" s="2601"/>
      <c r="L56" s="2601"/>
      <c r="M56" s="2601"/>
      <c r="N56" s="2601"/>
      <c r="O56" s="2601"/>
      <c r="P56" s="2477"/>
      <c r="Q56" s="4083"/>
      <c r="R56" s="2477"/>
      <c r="S56" s="2477"/>
      <c r="T56" s="3361"/>
    </row>
    <row r="57" spans="1:20" x14ac:dyDescent="0.2">
      <c r="A57" s="3371" t="s">
        <v>1847</v>
      </c>
      <c r="B57" s="2601"/>
      <c r="C57" s="2601"/>
      <c r="D57" s="2601"/>
      <c r="E57" s="2601"/>
      <c r="F57" s="2601"/>
      <c r="G57" s="2601"/>
      <c r="H57" s="2601"/>
      <c r="I57" s="3378"/>
      <c r="J57" s="3358"/>
      <c r="K57" s="2601"/>
      <c r="L57" s="2601"/>
      <c r="M57" s="2601">
        <v>0</v>
      </c>
      <c r="N57" s="2601">
        <v>0.08</v>
      </c>
      <c r="O57" s="2601">
        <v>0.16</v>
      </c>
      <c r="P57" s="2477">
        <v>0.16</v>
      </c>
      <c r="Q57" s="4110">
        <f>SUM(I57)</f>
        <v>0</v>
      </c>
      <c r="R57" s="2477">
        <v>0.16</v>
      </c>
      <c r="S57" s="2477">
        <v>0.2</v>
      </c>
      <c r="T57" s="3361"/>
    </row>
    <row r="58" spans="1:20" x14ac:dyDescent="0.2">
      <c r="A58" s="3371" t="s">
        <v>1848</v>
      </c>
      <c r="B58" s="2601"/>
      <c r="C58" s="3358"/>
      <c r="D58" s="2601"/>
      <c r="E58" s="2601"/>
      <c r="F58" s="2601"/>
      <c r="G58" s="2601"/>
      <c r="H58" s="3358"/>
      <c r="I58" s="3370"/>
      <c r="J58" s="2601"/>
      <c r="K58" s="2601"/>
      <c r="L58" s="2601"/>
      <c r="M58" s="2671" t="e">
        <f>SUM(M57/M50*1000)</f>
        <v>#DIV/0!</v>
      </c>
      <c r="N58" s="2671">
        <f>SUM(N57/N45*1000)</f>
        <v>3.4446322725875299E-2</v>
      </c>
      <c r="O58" s="2671">
        <f>SUM(O57/O45*1000)</f>
        <v>5.1274935241359135E-2</v>
      </c>
      <c r="P58" s="2478">
        <f>SUM(P57/P45*1000)</f>
        <v>5.6250786632094311E-2</v>
      </c>
      <c r="Q58" s="4110">
        <f>SUM(I58)</f>
        <v>0</v>
      </c>
      <c r="R58" s="2479">
        <f>SUM(R57/R45*1000)</f>
        <v>0.10208437145695452</v>
      </c>
      <c r="S58" s="2478">
        <f>SUM(S57/S45*1000)</f>
        <v>8.7452873832613465E-2</v>
      </c>
      <c r="T58" s="3365" t="e">
        <f>SUM(T57/T45*1000)</f>
        <v>#DIV/0!</v>
      </c>
    </row>
    <row r="59" spans="1:20" x14ac:dyDescent="0.2">
      <c r="A59" s="3371" t="s">
        <v>129</v>
      </c>
      <c r="B59" s="2601"/>
      <c r="C59" s="2601"/>
      <c r="D59" s="2601"/>
      <c r="E59" s="2601"/>
      <c r="F59" s="2601"/>
      <c r="G59" s="2671"/>
      <c r="H59" s="2601"/>
      <c r="I59" s="3355"/>
      <c r="J59" s="2671"/>
      <c r="K59" s="2601" t="s">
        <v>1874</v>
      </c>
      <c r="L59" s="2601"/>
      <c r="M59" s="2671" t="e">
        <f>SUM(M60/M57)*1000</f>
        <v>#DIV/0!</v>
      </c>
      <c r="N59" s="2671">
        <f>SUM(N60/N57)*1000</f>
        <v>246489.62499999997</v>
      </c>
      <c r="O59" s="2671">
        <f>SUM(O60/O57)*1000</f>
        <v>246487.5</v>
      </c>
      <c r="P59" s="2478">
        <f>SUM(P60/P57)*1000</f>
        <v>257825.92500000005</v>
      </c>
      <c r="Q59" s="4109">
        <f>SUM(I59*(1+0.032)*0.99*(1+0.036)*0.99)</f>
        <v>0</v>
      </c>
      <c r="R59" s="2478">
        <f>SUM(R60/R57)*1000</f>
        <v>255072.625</v>
      </c>
      <c r="S59" s="2478">
        <f>SUM(S60/S57)*1000</f>
        <v>256789.19999999998</v>
      </c>
      <c r="T59" s="3365" t="e">
        <f>SUM(T60/T57)*1000</f>
        <v>#DIV/0!</v>
      </c>
    </row>
    <row r="60" spans="1:20" x14ac:dyDescent="0.2">
      <c r="A60" s="3371" t="s">
        <v>1849</v>
      </c>
      <c r="B60" s="2601"/>
      <c r="C60" s="2601"/>
      <c r="D60" s="2601"/>
      <c r="E60" s="2601"/>
      <c r="F60" s="2601"/>
      <c r="G60" s="2601"/>
      <c r="H60" s="2601"/>
      <c r="I60" s="3359"/>
      <c r="J60" s="2671"/>
      <c r="K60" s="2601"/>
      <c r="L60" s="2601"/>
      <c r="M60" s="2671">
        <v>0</v>
      </c>
      <c r="N60" s="2601">
        <v>19.719169999999998</v>
      </c>
      <c r="O60" s="2601">
        <v>39.438000000000002</v>
      </c>
      <c r="P60" s="3366">
        <f>SUM(O60*1.046)</f>
        <v>41.252148000000005</v>
      </c>
      <c r="Q60" s="4110">
        <f>Q57*Q59/1000</f>
        <v>0</v>
      </c>
      <c r="R60" s="2478">
        <v>40.811619999999998</v>
      </c>
      <c r="S60" s="2477">
        <v>51.357840000000003</v>
      </c>
      <c r="T60" s="3361"/>
    </row>
    <row r="61" spans="1:20" ht="25.5" x14ac:dyDescent="0.2">
      <c r="A61" s="2601" t="s">
        <v>108</v>
      </c>
      <c r="B61" s="2601"/>
      <c r="C61" s="2601"/>
      <c r="D61" s="2601"/>
      <c r="E61" s="2601"/>
      <c r="F61" s="2601"/>
      <c r="G61" s="2601"/>
      <c r="H61" s="2601"/>
      <c r="I61" s="3370"/>
      <c r="J61" s="2601"/>
      <c r="K61" s="2601"/>
      <c r="L61" s="2601"/>
      <c r="M61" s="2601"/>
      <c r="N61" s="2601"/>
      <c r="O61" s="2601"/>
      <c r="P61" s="2477"/>
      <c r="Q61" s="4083"/>
      <c r="R61" s="3972" t="s">
        <v>3958</v>
      </c>
      <c r="S61" s="2477"/>
      <c r="T61" s="3361"/>
    </row>
    <row r="62" spans="1:20" x14ac:dyDescent="0.2">
      <c r="A62" s="3371" t="s">
        <v>1847</v>
      </c>
      <c r="B62" s="2601">
        <v>0.05</v>
      </c>
      <c r="C62" s="2671">
        <v>1.9599999999999999E-2</v>
      </c>
      <c r="D62" s="2601">
        <v>0</v>
      </c>
      <c r="E62" s="2601">
        <v>0.03</v>
      </c>
      <c r="F62" s="2601"/>
      <c r="G62" s="2601"/>
      <c r="H62" s="2601">
        <v>0.03</v>
      </c>
      <c r="I62" s="3378">
        <f>I45*I63/1000</f>
        <v>1.7214020766001162E-2</v>
      </c>
      <c r="J62" s="3358">
        <f>J45*J63/1000</f>
        <v>1.7214020766001162E-2</v>
      </c>
      <c r="K62" s="2601"/>
      <c r="L62" s="3358">
        <f t="shared" ref="L62:L63" si="65">SUM(I62)</f>
        <v>1.7214020766001162E-2</v>
      </c>
      <c r="M62" s="2601"/>
      <c r="N62" s="2601"/>
      <c r="O62" s="2601"/>
      <c r="P62" s="2477"/>
      <c r="Q62" s="4110">
        <f>SUM(I62)</f>
        <v>1.7214020766001162E-2</v>
      </c>
      <c r="R62" s="2479">
        <v>3.5999999999999997E-2</v>
      </c>
      <c r="S62" s="2477">
        <v>9.0999999999999998E-2</v>
      </c>
      <c r="T62" s="3361"/>
    </row>
    <row r="63" spans="1:20" x14ac:dyDescent="0.2">
      <c r="A63" s="3371" t="s">
        <v>1848</v>
      </c>
      <c r="B63" s="2601">
        <v>1.6E-2</v>
      </c>
      <c r="C63" s="2601">
        <v>5.7000000000000002E-3</v>
      </c>
      <c r="D63" s="2601">
        <v>0</v>
      </c>
      <c r="E63" s="2601">
        <v>8.9999999999999993E-3</v>
      </c>
      <c r="F63" s="2601"/>
      <c r="G63" s="2601"/>
      <c r="H63" s="2601">
        <v>9.4000000000000004E-3</v>
      </c>
      <c r="I63" s="3370">
        <f>C63</f>
        <v>5.7000000000000002E-3</v>
      </c>
      <c r="J63" s="2601">
        <f>SUM(I63)</f>
        <v>5.7000000000000002E-3</v>
      </c>
      <c r="K63" s="2601"/>
      <c r="L63" s="3358">
        <f t="shared" si="65"/>
        <v>5.7000000000000002E-3</v>
      </c>
      <c r="M63" s="2601"/>
      <c r="N63" s="2601"/>
      <c r="O63" s="2601"/>
      <c r="P63" s="2477"/>
      <c r="Q63" s="4110">
        <f>SUM(I63)</f>
        <v>5.7000000000000002E-3</v>
      </c>
      <c r="R63" s="2479">
        <f>SUM(R62/R45*1000)</f>
        <v>2.2968983577814767E-2</v>
      </c>
      <c r="S63" s="2479">
        <f>SUM(S62/S45*1000)</f>
        <v>3.9791057593839121E-2</v>
      </c>
      <c r="T63" s="3361"/>
    </row>
    <row r="64" spans="1:20" x14ac:dyDescent="0.2">
      <c r="A64" s="3371" t="s">
        <v>129</v>
      </c>
      <c r="B64" s="2601">
        <v>56000</v>
      </c>
      <c r="C64" s="2601">
        <v>14833.9</v>
      </c>
      <c r="D64" s="2601">
        <v>0</v>
      </c>
      <c r="E64" s="2601">
        <v>66666.67</v>
      </c>
      <c r="F64" s="2601"/>
      <c r="G64" s="2601"/>
      <c r="H64" s="2601">
        <v>71333</v>
      </c>
      <c r="I64" s="3370">
        <f>H64</f>
        <v>71333</v>
      </c>
      <c r="J64" s="2601">
        <f>I64*1.06</f>
        <v>75612.98000000001</v>
      </c>
      <c r="K64" s="2601"/>
      <c r="L64" s="3312">
        <f>SUM(I64*1.03)*(1-0.01)</f>
        <v>72738.2601</v>
      </c>
      <c r="M64" s="2601"/>
      <c r="N64" s="2601"/>
      <c r="O64" s="2601"/>
      <c r="P64" s="2477"/>
      <c r="Q64" s="4109">
        <f>SUM(I64*(1+0.032)*0.99*(1+0.036)*0.99)</f>
        <v>74748.129805641598</v>
      </c>
      <c r="R64" s="2478">
        <f>SUM(R65/R62)*1000</f>
        <v>9166666.3888888899</v>
      </c>
      <c r="S64" s="2478">
        <f>SUM(S65/S62)*1000</f>
        <v>9166666.7032967042</v>
      </c>
      <c r="T64" s="3361"/>
    </row>
    <row r="65" spans="1:20" x14ac:dyDescent="0.2">
      <c r="A65" s="3371" t="s">
        <v>1849</v>
      </c>
      <c r="B65" s="2601">
        <v>2.8</v>
      </c>
      <c r="C65" s="2601">
        <v>0.28999999999999998</v>
      </c>
      <c r="D65" s="2601">
        <v>0</v>
      </c>
      <c r="E65" s="2601">
        <v>2</v>
      </c>
      <c r="F65" s="2601">
        <v>0.32</v>
      </c>
      <c r="G65" s="2601"/>
      <c r="H65" s="2601">
        <v>2.17</v>
      </c>
      <c r="I65" s="3355">
        <f>I62*I64/1000</f>
        <v>1.2279277433011608</v>
      </c>
      <c r="J65" s="2602">
        <f>J62*J64/1000</f>
        <v>1.3016034078992307</v>
      </c>
      <c r="K65" s="2601"/>
      <c r="L65" s="3359">
        <f>L62*L64/1000</f>
        <v>1.2521179198441936</v>
      </c>
      <c r="M65" s="2601"/>
      <c r="N65" s="2601"/>
      <c r="O65" s="2601"/>
      <c r="P65" s="2477"/>
      <c r="Q65" s="4110">
        <f>Q62*Q64/1000</f>
        <v>1.2867158586940648</v>
      </c>
      <c r="R65" s="2478">
        <v>329.99999000000003</v>
      </c>
      <c r="S65" s="2478">
        <v>834.16666999999995</v>
      </c>
      <c r="T65" s="3361"/>
    </row>
    <row r="66" spans="1:20" s="371" customFormat="1" ht="38.25" x14ac:dyDescent="0.2">
      <c r="A66" s="1732" t="s">
        <v>105</v>
      </c>
      <c r="B66" s="1732">
        <v>12.23</v>
      </c>
      <c r="C66" s="1732">
        <v>1.25</v>
      </c>
      <c r="D66" s="1732">
        <v>24.27</v>
      </c>
      <c r="E66" s="1732">
        <v>41.42</v>
      </c>
      <c r="F66" s="1732">
        <v>1.4</v>
      </c>
      <c r="G66" s="1732">
        <v>58.965000000000003</v>
      </c>
      <c r="H66" s="1732">
        <v>44.32</v>
      </c>
      <c r="I66" s="3375">
        <f>(D66*1.002+E66)/2*1.062*1.059</f>
        <v>36.966687459659994</v>
      </c>
      <c r="J66" s="3376">
        <f>SUM(G66*1.06)</f>
        <v>62.502900000000004</v>
      </c>
      <c r="K66" s="3313" t="s">
        <v>1876</v>
      </c>
      <c r="L66" s="3313">
        <f>SUM(I66*1.03)*(1-0.01)</f>
        <v>37.694931202615301</v>
      </c>
      <c r="M66" s="1732">
        <v>10.389709999999999</v>
      </c>
      <c r="N66" s="1732">
        <v>12.7902</v>
      </c>
      <c r="O66" s="1732">
        <v>15.57</v>
      </c>
      <c r="P66" s="3366">
        <f>SUM(O66*1.046)</f>
        <v>16.28622</v>
      </c>
      <c r="Q66" s="4109">
        <f>SUM(I66*(1+0.032)*0.99*(1+0.036)*0.99)</f>
        <v>38.736499975036082</v>
      </c>
      <c r="R66" s="2480">
        <v>26.985679999999999</v>
      </c>
      <c r="S66" s="2480">
        <f>27.40235-3</f>
        <v>24.402349999999998</v>
      </c>
      <c r="T66" s="3994">
        <v>15.57</v>
      </c>
    </row>
    <row r="67" spans="1:20" s="2144" customFormat="1" x14ac:dyDescent="0.2">
      <c r="A67" s="3356" t="s">
        <v>91</v>
      </c>
      <c r="B67" s="3356">
        <f t="shared" ref="B67:L67" si="66">B50+B55+B65+B66</f>
        <v>357.02000000000004</v>
      </c>
      <c r="C67" s="3356">
        <f t="shared" si="66"/>
        <v>292.38</v>
      </c>
      <c r="D67" s="3356">
        <f t="shared" si="66"/>
        <v>652.05999999999995</v>
      </c>
      <c r="E67" s="3356">
        <f t="shared" si="66"/>
        <v>806.68999999999994</v>
      </c>
      <c r="F67" s="3356">
        <f t="shared" si="66"/>
        <v>326.33</v>
      </c>
      <c r="G67" s="3356">
        <f t="shared" si="66"/>
        <v>400.755</v>
      </c>
      <c r="H67" s="3356">
        <f t="shared" si="66"/>
        <v>876.37</v>
      </c>
      <c r="I67" s="3360">
        <f t="shared" si="66"/>
        <v>1110.5582713405854</v>
      </c>
      <c r="J67" s="3356">
        <f t="shared" si="66"/>
        <v>1200.5099789137807</v>
      </c>
      <c r="K67" s="3356"/>
      <c r="L67" s="3360">
        <f t="shared" si="66"/>
        <v>1132.436269285995</v>
      </c>
      <c r="M67" s="3356">
        <f>M50+M55+M65+M66</f>
        <v>293.62099000000001</v>
      </c>
      <c r="N67" s="3356">
        <f>N50+N55+N60+N65+N66</f>
        <v>489.59906000000007</v>
      </c>
      <c r="O67" s="3356">
        <f>O50+O55+O60+O65+O66</f>
        <v>719.07300000000009</v>
      </c>
      <c r="P67" s="2462">
        <f>P50+P55+P60+P65+P66</f>
        <v>1153.7005431992195</v>
      </c>
      <c r="Q67" s="4113">
        <f>Q50+Q55+Q65+Q66</f>
        <v>1163.7272205416152</v>
      </c>
      <c r="R67" s="2462">
        <f>R50+R55+R60+R65+R66</f>
        <v>824.62019000000009</v>
      </c>
      <c r="S67" s="2462">
        <f>S50+S55+S60+S65+S66</f>
        <v>1732.47702</v>
      </c>
      <c r="T67" s="3362">
        <f>T50+T55+T60+T65+T66</f>
        <v>15.57</v>
      </c>
    </row>
    <row r="71" spans="1:20" ht="18.75" x14ac:dyDescent="0.3">
      <c r="A71" s="389" t="s">
        <v>3543</v>
      </c>
    </row>
    <row r="72" spans="1:20" x14ac:dyDescent="0.2">
      <c r="I72" s="5" t="s">
        <v>1857</v>
      </c>
    </row>
    <row r="73" spans="1:20" s="371" customFormat="1" ht="38.25" x14ac:dyDescent="0.2">
      <c r="A73" s="371" t="s">
        <v>1854</v>
      </c>
      <c r="C73" s="2138">
        <v>42720</v>
      </c>
      <c r="D73" s="371" t="s">
        <v>1855</v>
      </c>
      <c r="E73" s="2107" t="s">
        <v>1619</v>
      </c>
      <c r="F73" s="2107"/>
      <c r="G73" s="2107"/>
      <c r="H73" s="1875" t="s">
        <v>1856</v>
      </c>
      <c r="I73" s="2109">
        <f>27000/1.18</f>
        <v>22881.355932203391</v>
      </c>
      <c r="J73" s="2109"/>
    </row>
    <row r="74" spans="1:20" s="371" customFormat="1" ht="38.25" x14ac:dyDescent="0.2">
      <c r="A74" s="371" t="s">
        <v>1858</v>
      </c>
      <c r="C74" s="2138">
        <v>42730</v>
      </c>
      <c r="D74" s="2107" t="s">
        <v>1859</v>
      </c>
      <c r="E74" s="2107" t="s">
        <v>1860</v>
      </c>
      <c r="F74" s="2107"/>
      <c r="G74" s="2107"/>
      <c r="H74" s="1875" t="s">
        <v>1856</v>
      </c>
      <c r="I74" s="2109">
        <f>70800/1.18</f>
        <v>60000</v>
      </c>
      <c r="J74" s="2109"/>
    </row>
    <row r="75" spans="1:20" s="371" customFormat="1" ht="38.25" x14ac:dyDescent="0.2">
      <c r="C75" s="2138">
        <v>43109</v>
      </c>
      <c r="D75" s="2107" t="s">
        <v>1870</v>
      </c>
      <c r="E75" s="2107"/>
      <c r="F75" s="2107"/>
      <c r="G75" s="2107"/>
      <c r="H75" s="1875"/>
      <c r="I75" s="2140">
        <f>107050/1.18</f>
        <v>90720.338983050853</v>
      </c>
      <c r="J75" s="2140"/>
    </row>
    <row r="76" spans="1:20" x14ac:dyDescent="0.2">
      <c r="A76" s="5" t="s">
        <v>1861</v>
      </c>
      <c r="C76" s="2137">
        <v>42718</v>
      </c>
      <c r="D76" s="5" t="s">
        <v>1862</v>
      </c>
      <c r="E76" s="5" t="s">
        <v>1863</v>
      </c>
      <c r="H76" s="2075" t="s">
        <v>1856</v>
      </c>
      <c r="I76" s="138">
        <f>31270/1.18</f>
        <v>26500</v>
      </c>
      <c r="J76" s="138"/>
    </row>
    <row r="77" spans="1:20" x14ac:dyDescent="0.2">
      <c r="A77" s="371" t="s">
        <v>1854</v>
      </c>
      <c r="B77" s="371"/>
      <c r="C77" s="2137">
        <v>42710</v>
      </c>
      <c r="D77" s="5" t="s">
        <v>1864</v>
      </c>
      <c r="E77" s="5" t="s">
        <v>1865</v>
      </c>
      <c r="H77" s="2075" t="s">
        <v>1856</v>
      </c>
      <c r="I77" s="138">
        <f>20950/1.18</f>
        <v>17754.237288135595</v>
      </c>
      <c r="J77" s="138"/>
    </row>
    <row r="78" spans="1:20" x14ac:dyDescent="0.2">
      <c r="A78" s="5" t="s">
        <v>1866</v>
      </c>
      <c r="C78" s="2137">
        <v>42705</v>
      </c>
      <c r="D78" s="5" t="s">
        <v>1867</v>
      </c>
      <c r="E78" s="5" t="s">
        <v>1868</v>
      </c>
      <c r="H78" s="2075" t="s">
        <v>1856</v>
      </c>
      <c r="I78" s="138">
        <f>42500/1.18</f>
        <v>36016.949152542373</v>
      </c>
      <c r="J78" s="138"/>
    </row>
    <row r="79" spans="1:20" ht="38.25" x14ac:dyDescent="0.2">
      <c r="A79" s="371" t="s">
        <v>1854</v>
      </c>
      <c r="B79" s="371"/>
      <c r="C79" s="2137">
        <v>43195</v>
      </c>
      <c r="D79" s="2139">
        <v>329002069180007</v>
      </c>
      <c r="E79" s="2107" t="s">
        <v>1619</v>
      </c>
      <c r="F79" s="2107"/>
      <c r="G79" s="2107"/>
      <c r="H79" s="2075" t="s">
        <v>1856</v>
      </c>
      <c r="I79" s="2141">
        <v>26000</v>
      </c>
      <c r="J79" s="2141"/>
    </row>
    <row r="80" spans="1:20" x14ac:dyDescent="0.2">
      <c r="E80" s="5" t="s">
        <v>890</v>
      </c>
      <c r="H80" s="2075" t="s">
        <v>1869</v>
      </c>
      <c r="I80" s="2141">
        <v>335.45</v>
      </c>
      <c r="J80" s="2141"/>
    </row>
    <row r="81" spans="1:10" x14ac:dyDescent="0.2">
      <c r="H81" s="2075" t="s">
        <v>1869</v>
      </c>
      <c r="I81" s="2141">
        <v>340.09</v>
      </c>
      <c r="J81" s="2141"/>
    </row>
    <row r="82" spans="1:10" x14ac:dyDescent="0.2">
      <c r="A82" s="5" t="s">
        <v>1871</v>
      </c>
      <c r="C82" s="2137">
        <v>42727</v>
      </c>
      <c r="D82" s="5" t="s">
        <v>1872</v>
      </c>
      <c r="E82" s="5" t="s">
        <v>1873</v>
      </c>
      <c r="H82" s="5" t="s">
        <v>1869</v>
      </c>
      <c r="I82" s="138">
        <v>194.6</v>
      </c>
      <c r="J82" s="138"/>
    </row>
    <row r="83" spans="1:10" x14ac:dyDescent="0.2">
      <c r="I83" s="138"/>
      <c r="J83" s="138"/>
    </row>
    <row r="84" spans="1:10" x14ac:dyDescent="0.2">
      <c r="I84" s="138"/>
      <c r="J84" s="138"/>
    </row>
    <row r="85" spans="1:10" x14ac:dyDescent="0.2">
      <c r="I85" s="138"/>
      <c r="J85" s="138"/>
    </row>
    <row r="86" spans="1:10" x14ac:dyDescent="0.2">
      <c r="I86" s="138"/>
      <c r="J86" s="138"/>
    </row>
    <row r="87" spans="1:10" x14ac:dyDescent="0.2">
      <c r="I87" s="138"/>
      <c r="J87" s="138"/>
    </row>
    <row r="88" spans="1:10" x14ac:dyDescent="0.2">
      <c r="I88" s="138"/>
      <c r="J88" s="138"/>
    </row>
    <row r="89" spans="1:10" x14ac:dyDescent="0.2">
      <c r="I89" s="138"/>
      <c r="J89" s="138"/>
    </row>
    <row r="90" spans="1:10" x14ac:dyDescent="0.2">
      <c r="I90" s="138"/>
      <c r="J90" s="138"/>
    </row>
    <row r="91" spans="1:10" x14ac:dyDescent="0.2">
      <c r="I91" s="138"/>
      <c r="J91" s="138"/>
    </row>
    <row r="92" spans="1:10" x14ac:dyDescent="0.2">
      <c r="I92" s="138"/>
      <c r="J92" s="138"/>
    </row>
    <row r="93" spans="1:10" x14ac:dyDescent="0.2">
      <c r="I93" s="138"/>
      <c r="J93" s="138"/>
    </row>
    <row r="94" spans="1:10" x14ac:dyDescent="0.2">
      <c r="I94" s="138"/>
      <c r="J94" s="138"/>
    </row>
  </sheetData>
  <mergeCells count="21">
    <mergeCell ref="M4:M6"/>
    <mergeCell ref="N4:N6"/>
    <mergeCell ref="O4:O6"/>
    <mergeCell ref="H4:I4"/>
    <mergeCell ref="H5:H6"/>
    <mergeCell ref="A2:T2"/>
    <mergeCell ref="I5:I6"/>
    <mergeCell ref="P4:Q4"/>
    <mergeCell ref="R4:R6"/>
    <mergeCell ref="S4:S6"/>
    <mergeCell ref="T4:T6"/>
    <mergeCell ref="G5:G6"/>
    <mergeCell ref="J4:L4"/>
    <mergeCell ref="F4:G4"/>
    <mergeCell ref="F5:F6"/>
    <mergeCell ref="A4:A6"/>
    <mergeCell ref="C4:D4"/>
    <mergeCell ref="C5:C6"/>
    <mergeCell ref="D5:D6"/>
    <mergeCell ref="E5:E6"/>
    <mergeCell ref="B5:B6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58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38">
    <tabColor rgb="FFFFFF00"/>
    <pageSetUpPr fitToPage="1"/>
  </sheetPr>
  <dimension ref="A1:DX53"/>
  <sheetViews>
    <sheetView zoomScaleNormal="100" workbookViewId="0">
      <pane xSplit="12" ySplit="23" topLeftCell="CU39" activePane="bottomRight" state="frozen"/>
      <selection pane="topRight" activeCell="M1" sqref="M1"/>
      <selection pane="bottomLeft" activeCell="A23" sqref="A23"/>
      <selection pane="bottomRight" activeCell="DM31" sqref="DM31"/>
    </sheetView>
  </sheetViews>
  <sheetFormatPr defaultRowHeight="12.75" outlineLevelCol="1" x14ac:dyDescent="0.2"/>
  <cols>
    <col min="1" max="1" width="3.5703125" style="5" customWidth="1"/>
    <col min="2" max="2" width="16.8554687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71" width="9.7109375" style="5" hidden="1" customWidth="1"/>
    <col min="72" max="72" width="12.7109375" style="5" hidden="1" customWidth="1"/>
    <col min="73" max="73" width="10.42578125" style="5" hidden="1" customWidth="1"/>
    <col min="74" max="75" width="9.7109375" style="5" hidden="1" customWidth="1"/>
    <col min="76" max="76" width="10" style="5" hidden="1" customWidth="1"/>
    <col min="77" max="78" width="9.7109375" style="5" hidden="1" customWidth="1"/>
    <col min="79" max="79" width="10.28515625" style="5" hidden="1" customWidth="1"/>
    <col min="80" max="81" width="9.7109375" style="5" hidden="1" customWidth="1"/>
    <col min="82" max="82" width="10.28515625" style="5" hidden="1" customWidth="1"/>
    <col min="83" max="84" width="9.7109375" style="5" hidden="1" customWidth="1"/>
    <col min="85" max="85" width="10.28515625" style="5" hidden="1" customWidth="1"/>
    <col min="86" max="87" width="9.7109375" style="5" hidden="1" customWidth="1"/>
    <col min="88" max="88" width="10.28515625" style="5" hidden="1" customWidth="1"/>
    <col min="89" max="90" width="9.7109375" style="5" hidden="1" customWidth="1"/>
    <col min="91" max="91" width="9.5703125" style="5" customWidth="1"/>
    <col min="92" max="93" width="9.7109375" style="5" customWidth="1"/>
    <col min="94" max="94" width="10.5703125" style="5" customWidth="1"/>
    <col min="95" max="96" width="9.7109375" style="5" customWidth="1"/>
    <col min="97" max="97" width="10.7109375" style="5" customWidth="1"/>
    <col min="98" max="117" width="9.7109375" style="5" customWidth="1"/>
    <col min="118" max="118" width="33.140625" style="5" hidden="1" customWidth="1"/>
    <col min="119" max="119" width="12.7109375" style="5" hidden="1" customWidth="1"/>
    <col min="120" max="128" width="9.7109375" style="5" customWidth="1"/>
    <col min="129" max="16384" width="9.140625" style="5"/>
  </cols>
  <sheetData>
    <row r="1" spans="1:128" x14ac:dyDescent="0.2">
      <c r="BT1" s="5" t="s">
        <v>1502</v>
      </c>
    </row>
    <row r="2" spans="1:128" ht="20.25" x14ac:dyDescent="0.3">
      <c r="A2" s="5062" t="s">
        <v>3899</v>
      </c>
      <c r="B2" s="5063"/>
      <c r="C2" s="5063"/>
      <c r="D2" s="5063"/>
      <c r="E2" s="5063"/>
      <c r="F2" s="5063"/>
      <c r="G2" s="5063"/>
      <c r="H2" s="5063"/>
      <c r="I2" s="5063"/>
      <c r="J2" s="5063"/>
      <c r="K2" s="5063"/>
      <c r="L2" s="5063"/>
      <c r="M2" s="5063"/>
      <c r="N2" s="5063"/>
      <c r="O2" s="5063"/>
      <c r="P2" s="5063"/>
      <c r="Q2" s="5063"/>
      <c r="R2" s="5063"/>
      <c r="S2" s="5063"/>
      <c r="T2" s="5063"/>
      <c r="U2" s="5063"/>
      <c r="V2" s="5063"/>
      <c r="W2" s="5063"/>
      <c r="X2" s="5063"/>
      <c r="Y2" s="5063"/>
      <c r="Z2" s="5063"/>
      <c r="AA2" s="5063"/>
      <c r="AB2" s="5063"/>
      <c r="AC2" s="5063"/>
      <c r="AD2" s="5063"/>
      <c r="AE2" s="5063"/>
      <c r="AF2" s="5063"/>
      <c r="AG2" s="5063"/>
      <c r="AH2" s="5063"/>
      <c r="AI2" s="5063"/>
      <c r="AJ2" s="5063"/>
      <c r="AK2" s="5063"/>
      <c r="AL2" s="5063"/>
      <c r="AM2" s="5063"/>
      <c r="AN2" s="5063"/>
      <c r="AO2" s="5063"/>
      <c r="AP2" s="5063"/>
      <c r="AQ2" s="5063"/>
      <c r="AR2" s="5063"/>
      <c r="AS2" s="5063"/>
      <c r="AT2" s="5063"/>
      <c r="AU2" s="5063"/>
      <c r="AV2" s="5063"/>
      <c r="AW2" s="5063"/>
      <c r="AX2" s="5063"/>
      <c r="AY2" s="5063"/>
      <c r="AZ2" s="5063"/>
      <c r="BA2" s="5063"/>
      <c r="BB2" s="5063"/>
      <c r="BC2" s="5063"/>
      <c r="BD2" s="5063"/>
      <c r="BE2" s="5063"/>
      <c r="BF2" s="5063"/>
      <c r="BG2" s="5063"/>
      <c r="BH2" s="5063"/>
      <c r="BI2" s="5063"/>
      <c r="BJ2" s="5063"/>
      <c r="BK2" s="5063"/>
      <c r="BL2" s="5063"/>
      <c r="BM2" s="5063"/>
      <c r="BN2" s="5063"/>
      <c r="BO2" s="5063"/>
      <c r="BP2" s="5063"/>
      <c r="BQ2" s="5063"/>
      <c r="BR2" s="5063"/>
      <c r="BS2" s="5063"/>
      <c r="BT2" s="5063"/>
      <c r="BU2" s="5063"/>
      <c r="BV2" s="5063"/>
      <c r="BW2" s="5063"/>
      <c r="BX2" s="5063"/>
      <c r="BY2" s="5063"/>
      <c r="BZ2" s="5063"/>
      <c r="CA2" s="5063"/>
      <c r="CB2" s="5063"/>
      <c r="CC2" s="5063"/>
      <c r="CD2" s="5063"/>
      <c r="CE2" s="5063"/>
      <c r="CF2" s="5063"/>
      <c r="CG2" s="5063"/>
      <c r="CH2" s="5063"/>
      <c r="CI2" s="5063"/>
      <c r="CJ2" s="5063"/>
      <c r="CK2" s="5063"/>
      <c r="CL2" s="5063"/>
      <c r="CM2" s="5063"/>
      <c r="CN2" s="5063"/>
      <c r="CO2" s="5063"/>
      <c r="CP2" s="5063"/>
      <c r="CQ2" s="5063"/>
      <c r="CR2" s="5063"/>
      <c r="CS2" s="5063"/>
      <c r="CT2" s="5063"/>
      <c r="CU2" s="5063"/>
      <c r="CV2" s="5063"/>
      <c r="CW2" s="5063"/>
      <c r="CX2" s="5063"/>
      <c r="CY2" s="5063"/>
      <c r="CZ2" s="5063"/>
      <c r="DA2" s="5063"/>
      <c r="DB2" s="5063"/>
      <c r="DC2" s="5063"/>
      <c r="DD2" s="5063"/>
      <c r="DE2" s="5063"/>
      <c r="DF2" s="5063"/>
      <c r="DG2" s="5063"/>
      <c r="DH2" s="5063"/>
      <c r="DI2" s="5063"/>
      <c r="DJ2" s="5063"/>
      <c r="DK2" s="5063"/>
      <c r="DL2" s="5063"/>
      <c r="DM2" s="5063"/>
      <c r="DN2" s="4242"/>
      <c r="DO2" s="4242"/>
      <c r="DP2" s="4242"/>
      <c r="DQ2" s="4242"/>
      <c r="DR2" s="4242"/>
      <c r="DS2" s="4242"/>
      <c r="DT2" s="4242"/>
      <c r="DU2" s="4242"/>
      <c r="DV2" s="4242"/>
      <c r="DW2" s="4242"/>
      <c r="DX2" s="4242"/>
    </row>
    <row r="3" spans="1:128" ht="19.5" hidden="1" thickBot="1" x14ac:dyDescent="0.35">
      <c r="A3" s="5077"/>
      <c r="B3" s="5077"/>
      <c r="C3" s="5077"/>
      <c r="D3" s="5077"/>
      <c r="E3" s="5077"/>
      <c r="F3" s="5077"/>
      <c r="G3" s="5077"/>
      <c r="H3" s="5077"/>
      <c r="I3" s="5077"/>
      <c r="J3" s="5077"/>
      <c r="K3" s="5077"/>
      <c r="L3" s="5077"/>
      <c r="M3" s="5077"/>
      <c r="N3" s="5077"/>
      <c r="O3" s="5077"/>
      <c r="P3" s="5077"/>
      <c r="Q3" s="5077"/>
      <c r="R3" s="5077"/>
      <c r="S3" s="5077"/>
      <c r="T3" s="5077"/>
      <c r="U3" s="5077"/>
      <c r="V3" s="5077"/>
      <c r="W3" s="5077"/>
      <c r="X3" s="5077"/>
      <c r="Y3" s="5077"/>
      <c r="Z3" s="5077"/>
      <c r="AA3" s="5077"/>
      <c r="AB3" s="5077"/>
      <c r="AC3" s="5077"/>
      <c r="AD3" s="5077"/>
      <c r="AE3" s="5077"/>
      <c r="AF3" s="5077"/>
      <c r="AG3" s="5077"/>
      <c r="AH3" s="5077"/>
      <c r="AI3" s="5077"/>
      <c r="AJ3" s="5077"/>
      <c r="AK3" s="5077"/>
      <c r="AL3" s="5077"/>
      <c r="AM3" s="5077"/>
      <c r="AN3" s="5077"/>
      <c r="AO3" s="5077"/>
      <c r="AP3" s="5077"/>
      <c r="AQ3" s="821"/>
      <c r="AR3" s="821"/>
      <c r="AS3" s="821"/>
      <c r="AT3" s="821"/>
      <c r="AU3" s="821"/>
      <c r="AV3" s="821"/>
      <c r="AW3" s="821"/>
      <c r="AX3" s="2674"/>
      <c r="AY3" s="2674"/>
      <c r="AZ3" s="2674"/>
      <c r="BA3" s="2674"/>
      <c r="BB3" s="2674"/>
      <c r="BC3" s="2674"/>
      <c r="BD3" s="2674"/>
      <c r="BE3" s="2674"/>
      <c r="BF3" s="2674"/>
      <c r="BG3" s="2674"/>
      <c r="BH3" s="2674"/>
      <c r="BI3" s="2674"/>
      <c r="BJ3" s="2674"/>
      <c r="BK3" s="2674"/>
      <c r="BL3" s="2674"/>
      <c r="BM3" s="2674"/>
      <c r="BN3" s="2674"/>
      <c r="BO3" s="2674"/>
      <c r="BP3" s="2674"/>
      <c r="BQ3" s="2674"/>
      <c r="BR3" s="2674"/>
      <c r="BS3" s="2674"/>
      <c r="BT3" s="2674"/>
      <c r="BU3" s="2674"/>
      <c r="BV3" s="2674"/>
      <c r="BW3" s="2674"/>
      <c r="BX3" s="2674"/>
      <c r="BY3" s="2674"/>
      <c r="BZ3" s="2674"/>
      <c r="CA3" s="2674"/>
      <c r="CB3" s="2674"/>
      <c r="CC3" s="2674"/>
      <c r="CD3" s="2674"/>
      <c r="CE3" s="2674"/>
      <c r="CF3" s="2674"/>
      <c r="CG3" s="2674"/>
      <c r="CH3" s="2674"/>
      <c r="CI3" s="2674"/>
      <c r="CJ3" s="2674"/>
      <c r="CK3" s="2674"/>
      <c r="CL3" s="2674"/>
      <c r="CM3" s="2674"/>
      <c r="CN3" s="2674"/>
      <c r="CO3" s="2674"/>
      <c r="CP3" s="2674"/>
      <c r="CQ3" s="2674"/>
      <c r="CR3" s="2674"/>
      <c r="CS3" s="2674"/>
      <c r="CT3" s="2674"/>
      <c r="CU3" s="2674"/>
      <c r="CV3" s="2674"/>
      <c r="CW3" s="2674"/>
      <c r="CX3" s="2674"/>
      <c r="CY3" s="2674"/>
      <c r="CZ3" s="2674"/>
      <c r="DA3" s="2674"/>
      <c r="DB3" s="2674"/>
      <c r="DC3" s="2674"/>
      <c r="DD3" s="2674"/>
      <c r="DE3" s="2674"/>
      <c r="DF3" s="2674"/>
      <c r="DG3" s="2674"/>
      <c r="DH3" s="2674"/>
      <c r="DI3" s="2674"/>
      <c r="DJ3" s="2674"/>
      <c r="DK3" s="2674"/>
      <c r="DL3" s="2674"/>
      <c r="DM3" s="2674"/>
      <c r="DN3" s="389"/>
      <c r="DO3" s="389"/>
    </row>
    <row r="4" spans="1:128" ht="23.25" hidden="1" customHeight="1" thickBot="1" x14ac:dyDescent="0.25">
      <c r="A4" s="5079" t="s">
        <v>166</v>
      </c>
      <c r="B4" s="5082" t="s">
        <v>167</v>
      </c>
      <c r="C4" s="5085" t="s">
        <v>168</v>
      </c>
      <c r="D4" s="5086"/>
      <c r="E4" s="5087"/>
      <c r="F4" s="5085" t="s">
        <v>169</v>
      </c>
      <c r="G4" s="5086"/>
      <c r="H4" s="5086"/>
      <c r="I4" s="5095" t="s">
        <v>170</v>
      </c>
      <c r="J4" s="5095"/>
      <c r="K4" s="5095"/>
      <c r="L4" s="5095"/>
      <c r="M4" s="5085" t="s">
        <v>171</v>
      </c>
      <c r="N4" s="5086"/>
      <c r="O4" s="5087"/>
      <c r="P4" s="5085" t="s">
        <v>189</v>
      </c>
      <c r="Q4" s="5086"/>
      <c r="R4" s="5087"/>
      <c r="S4" s="5085" t="s">
        <v>190</v>
      </c>
      <c r="T4" s="5086"/>
      <c r="U4" s="5087"/>
      <c r="V4" s="5085" t="s">
        <v>191</v>
      </c>
      <c r="W4" s="5086"/>
      <c r="X4" s="5087"/>
      <c r="Y4" s="5085" t="s">
        <v>244</v>
      </c>
      <c r="Z4" s="5086"/>
      <c r="AA4" s="5087"/>
      <c r="AB4" s="5085" t="s">
        <v>192</v>
      </c>
      <c r="AC4" s="5086"/>
      <c r="AD4" s="5086"/>
      <c r="AE4" s="5086"/>
      <c r="AF4" s="5087"/>
      <c r="AG4" s="5102" t="s">
        <v>172</v>
      </c>
      <c r="AH4" s="5103"/>
      <c r="AI4" s="5103"/>
      <c r="AJ4" s="5103"/>
      <c r="AK4" s="5104"/>
      <c r="AL4" s="5085" t="s">
        <v>225</v>
      </c>
      <c r="AM4" s="5086"/>
      <c r="AN4" s="5086"/>
      <c r="AO4" s="5086"/>
      <c r="AP4" s="5087"/>
      <c r="AQ4" s="3331"/>
      <c r="AR4" s="3331"/>
      <c r="AS4" s="3331"/>
      <c r="AT4" s="3331"/>
      <c r="AU4" s="5085" t="s">
        <v>226</v>
      </c>
      <c r="AV4" s="5086"/>
      <c r="AW4" s="5087"/>
      <c r="AX4" s="5085" t="s">
        <v>351</v>
      </c>
      <c r="AY4" s="5086"/>
      <c r="AZ4" s="5087"/>
      <c r="BA4" s="5085" t="s">
        <v>366</v>
      </c>
      <c r="BB4" s="5086"/>
      <c r="BC4" s="5086"/>
      <c r="BD4" s="5097" t="s">
        <v>374</v>
      </c>
      <c r="BE4" s="1383"/>
      <c r="BF4" s="1383"/>
      <c r="BG4" s="1383"/>
      <c r="BH4" s="1383"/>
      <c r="BI4" s="1383"/>
      <c r="BJ4" s="1383"/>
      <c r="BK4" s="1383"/>
      <c r="BL4" s="1383"/>
      <c r="BM4" s="1383"/>
      <c r="BN4" s="1383"/>
      <c r="BO4" s="1383"/>
      <c r="BP4" s="1383"/>
      <c r="BQ4" s="1383"/>
      <c r="BR4" s="1383"/>
      <c r="BS4" s="1383"/>
      <c r="BT4" s="1383"/>
      <c r="BU4" s="1383"/>
      <c r="BV4" s="1383"/>
      <c r="BW4" s="1383"/>
      <c r="BX4" s="1383"/>
      <c r="BY4" s="1383"/>
      <c r="BZ4" s="1383"/>
      <c r="CA4" s="1383"/>
      <c r="CB4" s="1383"/>
      <c r="CC4" s="1383"/>
      <c r="CD4" s="1383"/>
      <c r="CE4" s="1383"/>
      <c r="CF4" s="1383"/>
      <c r="CG4" s="1383"/>
      <c r="CH4" s="1383"/>
      <c r="CI4" s="1383"/>
      <c r="CJ4" s="1383"/>
      <c r="CK4" s="1383"/>
      <c r="CL4" s="1383"/>
      <c r="CM4" s="1383"/>
      <c r="CN4" s="1383"/>
      <c r="CO4" s="1383"/>
      <c r="CP4" s="1383"/>
      <c r="CQ4" s="1383"/>
      <c r="CR4" s="1383"/>
      <c r="CS4" s="1383"/>
      <c r="CT4" s="1383"/>
      <c r="CU4" s="1383"/>
      <c r="CV4" s="1383"/>
      <c r="CW4" s="1383"/>
      <c r="CX4" s="1383"/>
      <c r="CY4" s="1383"/>
      <c r="CZ4" s="1383"/>
      <c r="DA4" s="1383"/>
      <c r="DB4" s="1383"/>
      <c r="DC4" s="1383"/>
      <c r="DD4" s="1383"/>
      <c r="DE4" s="1383"/>
      <c r="DF4" s="1383"/>
      <c r="DG4" s="1383"/>
      <c r="DH4" s="1383"/>
      <c r="DI4" s="1383"/>
      <c r="DJ4" s="1383"/>
      <c r="DK4" s="1383"/>
      <c r="DL4" s="1383"/>
      <c r="DM4" s="1383"/>
      <c r="DN4" s="453"/>
      <c r="DO4" s="453"/>
    </row>
    <row r="5" spans="1:128" ht="22.5" hidden="1" customHeight="1" x14ac:dyDescent="0.2">
      <c r="A5" s="5080"/>
      <c r="B5" s="5083"/>
      <c r="C5" s="5088"/>
      <c r="D5" s="5089"/>
      <c r="E5" s="5090"/>
      <c r="F5" s="5088"/>
      <c r="G5" s="5089"/>
      <c r="H5" s="5089"/>
      <c r="I5" s="1383"/>
      <c r="J5" s="1383"/>
      <c r="K5" s="1383"/>
      <c r="L5" s="3384"/>
      <c r="M5" s="5088"/>
      <c r="N5" s="5089"/>
      <c r="O5" s="5090"/>
      <c r="P5" s="5088"/>
      <c r="Q5" s="5089"/>
      <c r="R5" s="5090"/>
      <c r="S5" s="5088"/>
      <c r="T5" s="5089"/>
      <c r="U5" s="5090"/>
      <c r="V5" s="5088"/>
      <c r="W5" s="5089"/>
      <c r="X5" s="5090"/>
      <c r="Y5" s="5088"/>
      <c r="Z5" s="5089"/>
      <c r="AA5" s="5090"/>
      <c r="AB5" s="5088"/>
      <c r="AC5" s="5089"/>
      <c r="AD5" s="5089"/>
      <c r="AE5" s="5089"/>
      <c r="AF5" s="5090"/>
      <c r="AG5" s="5079" t="s">
        <v>173</v>
      </c>
      <c r="AH5" s="5091" t="s">
        <v>174</v>
      </c>
      <c r="AI5" s="5091"/>
      <c r="AJ5" s="5091" t="s">
        <v>175</v>
      </c>
      <c r="AK5" s="5100"/>
      <c r="AL5" s="5088"/>
      <c r="AM5" s="5089"/>
      <c r="AN5" s="5089"/>
      <c r="AO5" s="5089"/>
      <c r="AP5" s="5090"/>
      <c r="AQ5" s="3332"/>
      <c r="AR5" s="3332"/>
      <c r="AS5" s="3332"/>
      <c r="AT5" s="3332"/>
      <c r="AU5" s="5088"/>
      <c r="AV5" s="5089"/>
      <c r="AW5" s="5090"/>
      <c r="AX5" s="5088"/>
      <c r="AY5" s="5089"/>
      <c r="AZ5" s="5090"/>
      <c r="BA5" s="5088"/>
      <c r="BB5" s="5089"/>
      <c r="BC5" s="5089"/>
      <c r="BD5" s="5098"/>
      <c r="BE5" s="1383"/>
      <c r="BF5" s="1383"/>
      <c r="BG5" s="1383"/>
      <c r="BH5" s="1383"/>
      <c r="BI5" s="1383"/>
      <c r="BJ5" s="1383"/>
      <c r="BK5" s="1383"/>
      <c r="BL5" s="1383"/>
      <c r="BM5" s="1383"/>
      <c r="BN5" s="1383"/>
      <c r="BO5" s="1383"/>
      <c r="BP5" s="1383"/>
      <c r="BQ5" s="1383"/>
      <c r="BR5" s="1383"/>
      <c r="BS5" s="1383"/>
      <c r="BT5" s="1383"/>
      <c r="BU5" s="1383"/>
      <c r="BV5" s="1383"/>
      <c r="BW5" s="1383"/>
      <c r="BX5" s="1383"/>
      <c r="BY5" s="1383"/>
      <c r="BZ5" s="1383"/>
      <c r="CA5" s="1383"/>
      <c r="CB5" s="1383"/>
      <c r="CC5" s="1383"/>
      <c r="CD5" s="1383"/>
      <c r="CE5" s="1383"/>
      <c r="CF5" s="1383"/>
      <c r="CG5" s="1383"/>
      <c r="CH5" s="1383"/>
      <c r="CI5" s="1383"/>
      <c r="CJ5" s="1383"/>
      <c r="CK5" s="1383"/>
      <c r="CL5" s="1383"/>
      <c r="CM5" s="1383"/>
      <c r="CN5" s="1383"/>
      <c r="CO5" s="1383"/>
      <c r="CP5" s="1383"/>
      <c r="CQ5" s="1383"/>
      <c r="CR5" s="1383"/>
      <c r="CS5" s="1383"/>
      <c r="CT5" s="1383"/>
      <c r="CU5" s="1383"/>
      <c r="CV5" s="1383"/>
      <c r="CW5" s="1383"/>
      <c r="CX5" s="1383"/>
      <c r="CY5" s="1383"/>
      <c r="CZ5" s="1383"/>
      <c r="DA5" s="1383"/>
      <c r="DB5" s="1383"/>
      <c r="DC5" s="1383"/>
      <c r="DD5" s="1383"/>
      <c r="DE5" s="1383"/>
      <c r="DF5" s="1383"/>
      <c r="DG5" s="1383"/>
      <c r="DH5" s="1383"/>
      <c r="DI5" s="1383"/>
      <c r="DJ5" s="1383"/>
      <c r="DK5" s="1383"/>
      <c r="DL5" s="1383"/>
      <c r="DM5" s="1383"/>
      <c r="DN5" s="453"/>
      <c r="DO5" s="453"/>
    </row>
    <row r="6" spans="1:128" ht="63" hidden="1" customHeight="1" thickBot="1" x14ac:dyDescent="0.25">
      <c r="A6" s="5081"/>
      <c r="B6" s="5084"/>
      <c r="C6" s="3385" t="s">
        <v>173</v>
      </c>
      <c r="D6" s="3386" t="s">
        <v>176</v>
      </c>
      <c r="E6" s="512" t="s">
        <v>177</v>
      </c>
      <c r="F6" s="3385" t="s">
        <v>173</v>
      </c>
      <c r="G6" s="3386" t="s">
        <v>176</v>
      </c>
      <c r="H6" s="3387" t="s">
        <v>177</v>
      </c>
      <c r="I6" s="3385" t="s">
        <v>173</v>
      </c>
      <c r="J6" s="3386" t="s">
        <v>176</v>
      </c>
      <c r="K6" s="3386" t="s">
        <v>178</v>
      </c>
      <c r="L6" s="512" t="s">
        <v>177</v>
      </c>
      <c r="M6" s="3388" t="s">
        <v>173</v>
      </c>
      <c r="N6" s="3386" t="s">
        <v>176</v>
      </c>
      <c r="O6" s="3387" t="s">
        <v>177</v>
      </c>
      <c r="P6" s="3388" t="s">
        <v>173</v>
      </c>
      <c r="Q6" s="379" t="s">
        <v>176</v>
      </c>
      <c r="R6" s="3387" t="s">
        <v>177</v>
      </c>
      <c r="S6" s="387" t="s">
        <v>173</v>
      </c>
      <c r="T6" s="379" t="s">
        <v>176</v>
      </c>
      <c r="U6" s="386" t="s">
        <v>177</v>
      </c>
      <c r="V6" s="3389" t="s">
        <v>173</v>
      </c>
      <c r="W6" s="379" t="s">
        <v>176</v>
      </c>
      <c r="X6" s="386" t="s">
        <v>177</v>
      </c>
      <c r="Y6" s="387" t="s">
        <v>173</v>
      </c>
      <c r="Z6" s="379" t="s">
        <v>176</v>
      </c>
      <c r="AA6" s="386" t="s">
        <v>177</v>
      </c>
      <c r="AB6" s="387" t="s">
        <v>173</v>
      </c>
      <c r="AC6" s="379" t="s">
        <v>176</v>
      </c>
      <c r="AD6" s="456" t="s">
        <v>200</v>
      </c>
      <c r="AE6" s="456" t="s">
        <v>201</v>
      </c>
      <c r="AF6" s="386" t="s">
        <v>177</v>
      </c>
      <c r="AG6" s="5080"/>
      <c r="AH6" s="379" t="s">
        <v>179</v>
      </c>
      <c r="AI6" s="379" t="s">
        <v>180</v>
      </c>
      <c r="AJ6" s="379" t="s">
        <v>181</v>
      </c>
      <c r="AK6" s="386" t="s">
        <v>182</v>
      </c>
      <c r="AL6" s="387" t="s">
        <v>173</v>
      </c>
      <c r="AM6" s="379" t="s">
        <v>176</v>
      </c>
      <c r="AN6" s="456" t="s">
        <v>200</v>
      </c>
      <c r="AO6" s="456" t="s">
        <v>201</v>
      </c>
      <c r="AP6" s="386" t="s">
        <v>177</v>
      </c>
      <c r="AQ6" s="843"/>
      <c r="AR6" s="843"/>
      <c r="AS6" s="843"/>
      <c r="AT6" s="843"/>
      <c r="AU6" s="387" t="s">
        <v>173</v>
      </c>
      <c r="AV6" s="379" t="s">
        <v>176</v>
      </c>
      <c r="AW6" s="386" t="s">
        <v>177</v>
      </c>
      <c r="AX6" s="387" t="s">
        <v>173</v>
      </c>
      <c r="AY6" s="379" t="s">
        <v>176</v>
      </c>
      <c r="AZ6" s="386" t="s">
        <v>177</v>
      </c>
      <c r="BA6" s="387" t="s">
        <v>173</v>
      </c>
      <c r="BB6" s="379" t="s">
        <v>176</v>
      </c>
      <c r="BC6" s="456" t="s">
        <v>177</v>
      </c>
      <c r="BD6" s="5099"/>
      <c r="BE6" s="1383"/>
      <c r="BF6" s="1383"/>
      <c r="BG6" s="1383"/>
      <c r="BH6" s="1383"/>
      <c r="BI6" s="1383"/>
      <c r="BJ6" s="1383"/>
      <c r="BK6" s="1383"/>
      <c r="BL6" s="1383"/>
      <c r="BM6" s="1383"/>
      <c r="BN6" s="1383"/>
      <c r="BO6" s="1383"/>
      <c r="BP6" s="1383"/>
      <c r="BQ6" s="1383"/>
      <c r="BR6" s="1383"/>
      <c r="BS6" s="1383"/>
      <c r="BT6" s="1383"/>
      <c r="BU6" s="1383"/>
      <c r="BV6" s="1383"/>
      <c r="BW6" s="1383"/>
      <c r="BX6" s="1383"/>
      <c r="BY6" s="1383"/>
      <c r="BZ6" s="1383"/>
      <c r="CA6" s="1383"/>
      <c r="CB6" s="1383"/>
      <c r="CC6" s="1383"/>
      <c r="CD6" s="1383"/>
      <c r="CE6" s="1383"/>
      <c r="CF6" s="1383"/>
      <c r="CG6" s="1383"/>
      <c r="CH6" s="1383"/>
      <c r="CI6" s="1383"/>
      <c r="CJ6" s="1383"/>
      <c r="CK6" s="1383"/>
      <c r="CL6" s="1383"/>
      <c r="CM6" s="1383"/>
      <c r="CN6" s="1383"/>
      <c r="CO6" s="1383"/>
      <c r="CP6" s="1383"/>
      <c r="CQ6" s="1383"/>
      <c r="CR6" s="1383"/>
      <c r="CS6" s="1383"/>
      <c r="CT6" s="1383"/>
      <c r="CU6" s="1383"/>
      <c r="CV6" s="1383"/>
      <c r="CW6" s="1383"/>
      <c r="CX6" s="1383"/>
      <c r="CY6" s="1383"/>
      <c r="CZ6" s="1383"/>
      <c r="DA6" s="1383"/>
      <c r="DB6" s="1383"/>
      <c r="DC6" s="1383"/>
      <c r="DD6" s="1383"/>
      <c r="DE6" s="1383"/>
      <c r="DF6" s="1383"/>
      <c r="DG6" s="1383"/>
      <c r="DH6" s="1383"/>
      <c r="DI6" s="1383"/>
      <c r="DJ6" s="1383"/>
      <c r="DK6" s="1383"/>
      <c r="DL6" s="1383"/>
      <c r="DM6" s="1383"/>
      <c r="DN6" s="453"/>
      <c r="DO6" s="453"/>
    </row>
    <row r="7" spans="1:128" ht="18.75" hidden="1" x14ac:dyDescent="0.3">
      <c r="A7" s="3339"/>
      <c r="B7" s="3390"/>
      <c r="C7" s="3391"/>
      <c r="D7" s="3392"/>
      <c r="E7" s="3390"/>
      <c r="F7" s="3393"/>
      <c r="G7" s="3392"/>
      <c r="H7" s="463"/>
      <c r="I7" s="3393"/>
      <c r="J7" s="3392"/>
      <c r="K7" s="3392"/>
      <c r="L7" s="463"/>
      <c r="M7" s="3394"/>
      <c r="N7" s="3395"/>
      <c r="O7" s="466"/>
      <c r="P7" s="467"/>
      <c r="Q7" s="374"/>
      <c r="R7" s="467"/>
      <c r="S7" s="2082"/>
      <c r="T7" s="2080"/>
      <c r="U7" s="2081"/>
      <c r="V7" s="3396"/>
      <c r="W7" s="2080"/>
      <c r="X7" s="2081"/>
      <c r="Y7" s="2082"/>
      <c r="Z7" s="2080"/>
      <c r="AA7" s="2081"/>
      <c r="AB7" s="2082"/>
      <c r="AC7" s="2080"/>
      <c r="AD7" s="2084"/>
      <c r="AE7" s="2084"/>
      <c r="AF7" s="2081"/>
      <c r="AG7" s="2082"/>
      <c r="AH7" s="2080"/>
      <c r="AI7" s="2080"/>
      <c r="AJ7" s="2080"/>
      <c r="AK7" s="466"/>
      <c r="AL7" s="2082"/>
      <c r="AM7" s="2080"/>
      <c r="AN7" s="2084"/>
      <c r="AO7" s="2084"/>
      <c r="AP7" s="2081"/>
      <c r="AQ7" s="844"/>
      <c r="AR7" s="844"/>
      <c r="AS7" s="844"/>
      <c r="AT7" s="844"/>
      <c r="AU7" s="2082"/>
      <c r="AV7" s="2080"/>
      <c r="AW7" s="2081"/>
      <c r="AX7" s="2082"/>
      <c r="AY7" s="2080"/>
      <c r="AZ7" s="2081"/>
      <c r="BA7" s="2082"/>
      <c r="BB7" s="2080"/>
      <c r="BC7" s="2084"/>
      <c r="BD7" s="3397"/>
      <c r="BE7" s="3398"/>
      <c r="BF7" s="3398"/>
      <c r="BG7" s="3398"/>
      <c r="BH7" s="3398"/>
      <c r="BI7" s="3398"/>
      <c r="BJ7" s="3398"/>
      <c r="BK7" s="3398"/>
      <c r="BL7" s="3398"/>
      <c r="BM7" s="3398"/>
      <c r="BN7" s="3398"/>
      <c r="BO7" s="3398"/>
      <c r="BP7" s="3398"/>
      <c r="BQ7" s="3398"/>
      <c r="BR7" s="3398"/>
      <c r="BS7" s="3398"/>
      <c r="BT7" s="3398"/>
      <c r="BU7" s="3398"/>
      <c r="BV7" s="3398"/>
      <c r="BW7" s="3398"/>
      <c r="BX7" s="3398"/>
      <c r="BY7" s="3398"/>
      <c r="BZ7" s="3398"/>
      <c r="CA7" s="3398"/>
      <c r="CB7" s="3398"/>
      <c r="CC7" s="3398"/>
      <c r="CD7" s="3398"/>
      <c r="CE7" s="3398"/>
      <c r="CF7" s="3398"/>
      <c r="CG7" s="3398"/>
      <c r="CH7" s="3398"/>
      <c r="CI7" s="3398"/>
      <c r="CJ7" s="3398"/>
      <c r="CK7" s="3398"/>
      <c r="CL7" s="3398"/>
      <c r="CM7" s="3398"/>
      <c r="CN7" s="3398"/>
      <c r="CO7" s="3398"/>
      <c r="CP7" s="3398"/>
      <c r="CQ7" s="3398"/>
      <c r="CR7" s="3398"/>
      <c r="CS7" s="3398"/>
      <c r="CT7" s="3398"/>
      <c r="CU7" s="3398"/>
      <c r="CV7" s="3398"/>
      <c r="CW7" s="3398"/>
      <c r="CX7" s="3398"/>
      <c r="CY7" s="3398"/>
      <c r="CZ7" s="3398"/>
      <c r="DA7" s="3398"/>
      <c r="DB7" s="3398"/>
      <c r="DC7" s="3398"/>
      <c r="DD7" s="3398"/>
      <c r="DE7" s="3398"/>
      <c r="DF7" s="3398"/>
      <c r="DG7" s="3398"/>
      <c r="DH7" s="3398"/>
      <c r="DI7" s="3398"/>
      <c r="DJ7" s="3398"/>
      <c r="DK7" s="3398"/>
      <c r="DL7" s="3398"/>
      <c r="DM7" s="3398"/>
      <c r="DN7" s="2111"/>
      <c r="DO7" s="2111"/>
    </row>
    <row r="8" spans="1:128" ht="93.75" hidden="1" x14ac:dyDescent="0.3">
      <c r="A8" s="3399" t="s">
        <v>183</v>
      </c>
      <c r="B8" s="3400" t="s">
        <v>195</v>
      </c>
      <c r="C8" s="3401">
        <v>840</v>
      </c>
      <c r="D8" s="475">
        <v>12146</v>
      </c>
      <c r="E8" s="476">
        <v>122429.8</v>
      </c>
      <c r="F8" s="3402">
        <f>F9+F10</f>
        <v>813</v>
      </c>
      <c r="G8" s="475">
        <f>(G9*F9+G10*F10)/(F9+F10)</f>
        <v>12443.442804428045</v>
      </c>
      <c r="H8" s="483">
        <f>H10+H9</f>
        <v>121398.228</v>
      </c>
      <c r="I8" s="478">
        <v>799</v>
      </c>
      <c r="J8" s="475">
        <v>13361</v>
      </c>
      <c r="K8" s="3403">
        <f>J8/G8</f>
        <v>1.07373820975377</v>
      </c>
      <c r="L8" s="483">
        <v>128108.9</v>
      </c>
      <c r="M8" s="478">
        <f>M9+M10+M11+M12</f>
        <v>155.5</v>
      </c>
      <c r="N8" s="475">
        <f>O8/M8/12*1000</f>
        <v>17474.049303322616</v>
      </c>
      <c r="O8" s="476">
        <f>O9+O10+O11+O12</f>
        <v>32606.576000000001</v>
      </c>
      <c r="P8" s="3404">
        <f>SUM(P9:P12)</f>
        <v>150</v>
      </c>
      <c r="Q8" s="3405">
        <f>R8/P8/12*1000</f>
        <v>20234.871111111108</v>
      </c>
      <c r="R8" s="3404">
        <f>SUM(R9:R12)</f>
        <v>36422.767999999996</v>
      </c>
      <c r="S8" s="3406">
        <f>S9+S10+S11+S12</f>
        <v>155</v>
      </c>
      <c r="T8" s="3407">
        <f>U8/S8/12*1000</f>
        <v>19690.870967741936</v>
      </c>
      <c r="U8" s="3408">
        <f>U9+U10+U11+U12</f>
        <v>36625.020000000004</v>
      </c>
      <c r="V8" s="3409">
        <f>V9+V10+V11+V12</f>
        <v>149</v>
      </c>
      <c r="W8" s="3407">
        <f>X8/V8/12*1000</f>
        <v>8464.3176733780765</v>
      </c>
      <c r="X8" s="3410">
        <f>X9+X10</f>
        <v>15134.2</v>
      </c>
      <c r="Y8" s="474">
        <f>Y9+Y10+Y11+Y12</f>
        <v>155</v>
      </c>
      <c r="Z8" s="475">
        <f>AA8/Y8/12*1000</f>
        <v>19376.075268817203</v>
      </c>
      <c r="AA8" s="476">
        <f>AA9+AA10+AA11+AA12</f>
        <v>36039.5</v>
      </c>
      <c r="AB8" s="474">
        <f>AB9+AB10+AB11+AB12</f>
        <v>155</v>
      </c>
      <c r="AC8" s="475">
        <f>AF8/AB8/12*1000</f>
        <v>24645.696774193548</v>
      </c>
      <c r="AD8" s="477">
        <f>AC8/T8*100</f>
        <v>125.16306066180987</v>
      </c>
      <c r="AE8" s="477">
        <f>AC8/Z8*100</f>
        <v>127.19653713286812</v>
      </c>
      <c r="AF8" s="476">
        <f>AF9+AF10+AF11+AF12</f>
        <v>45840.995999999999</v>
      </c>
      <c r="AG8" s="478">
        <f>AG9+AG10</f>
        <v>94</v>
      </c>
      <c r="AH8" s="475">
        <f>AJ8/AG8/12*1000</f>
        <v>19182.659183059011</v>
      </c>
      <c r="AI8" s="479">
        <f>AH8/Z8*100</f>
        <v>99.001778827369307</v>
      </c>
      <c r="AJ8" s="480">
        <f>AJ9+AJ10</f>
        <v>21638.039558490564</v>
      </c>
      <c r="AK8" s="481">
        <f>AJ8/U8*100</f>
        <v>59.079939228676359</v>
      </c>
      <c r="AL8" s="474">
        <f>AL9+AL10+AL11+AL12</f>
        <v>155</v>
      </c>
      <c r="AM8" s="475">
        <f>AP8/AL8/12*1000</f>
        <v>21088.92280645161</v>
      </c>
      <c r="AN8" s="482">
        <f>AM8/T8*100</f>
        <v>107.1</v>
      </c>
      <c r="AO8" s="477">
        <f>AM8/AJ8*100</f>
        <v>97.462262001348989</v>
      </c>
      <c r="AP8" s="476">
        <f>AP9+AP10+AP11+AP12</f>
        <v>39225.396419999997</v>
      </c>
      <c r="AQ8" s="845"/>
      <c r="AR8" s="845"/>
      <c r="AS8" s="845"/>
      <c r="AT8" s="845"/>
      <c r="AU8" s="474">
        <f>AU9+AU10+AU11+AU12</f>
        <v>151</v>
      </c>
      <c r="AV8" s="475">
        <f>AW8/AU8/9*1000</f>
        <v>22518.469462840323</v>
      </c>
      <c r="AW8" s="476">
        <f>AW9+AW10+AW11+AW12</f>
        <v>30602.6</v>
      </c>
      <c r="AX8" s="474">
        <f>AX9+AX10+AX11+AX12</f>
        <v>151</v>
      </c>
      <c r="AY8" s="475">
        <f>AZ8/AX8/3*1000</f>
        <v>25066.88741721855</v>
      </c>
      <c r="AZ8" s="476">
        <f>AZ9+AZ10+AZ11+AZ12</f>
        <v>11355.300000000001</v>
      </c>
      <c r="BA8" s="474">
        <f>BA9+BA10+BA11+BA12</f>
        <v>150</v>
      </c>
      <c r="BB8" s="475">
        <f>BC8/BA8/12*1000</f>
        <v>22582.944444444442</v>
      </c>
      <c r="BC8" s="483">
        <f>BC9+BC10+BC11+BC12</f>
        <v>40649.299999999996</v>
      </c>
      <c r="BD8" s="3411">
        <f>(M8+P8+Y8+BA8)/4</f>
        <v>152.625</v>
      </c>
      <c r="BE8" s="3412"/>
      <c r="BF8" s="3412"/>
      <c r="BG8" s="3412"/>
      <c r="BH8" s="3412"/>
      <c r="BI8" s="3412"/>
      <c r="BJ8" s="3412"/>
      <c r="BK8" s="3412"/>
      <c r="BL8" s="3412"/>
      <c r="BM8" s="3412"/>
      <c r="BN8" s="3412"/>
      <c r="BO8" s="3412"/>
      <c r="BP8" s="3412"/>
      <c r="BQ8" s="3412"/>
      <c r="BR8" s="3412"/>
      <c r="BS8" s="3412"/>
      <c r="BT8" s="3412"/>
      <c r="BU8" s="3412"/>
      <c r="BV8" s="3412"/>
      <c r="BW8" s="3412"/>
      <c r="BX8" s="3412"/>
      <c r="BY8" s="3412"/>
      <c r="BZ8" s="3412"/>
      <c r="CA8" s="3412"/>
      <c r="CB8" s="3412"/>
      <c r="CC8" s="3412"/>
      <c r="CD8" s="3412"/>
      <c r="CE8" s="3412"/>
      <c r="CF8" s="3412"/>
      <c r="CG8" s="3412"/>
      <c r="CH8" s="3412"/>
      <c r="CI8" s="3412"/>
      <c r="CJ8" s="3412"/>
      <c r="CK8" s="3412"/>
      <c r="CL8" s="3412"/>
      <c r="CM8" s="3412"/>
      <c r="CN8" s="3412"/>
      <c r="CO8" s="3412"/>
      <c r="CP8" s="3412"/>
      <c r="CQ8" s="3412"/>
      <c r="CR8" s="3412"/>
      <c r="CS8" s="3412"/>
      <c r="CT8" s="3412"/>
      <c r="CU8" s="3412"/>
      <c r="CV8" s="3412"/>
      <c r="CW8" s="3412"/>
      <c r="CX8" s="3412"/>
      <c r="CY8" s="3412"/>
      <c r="CZ8" s="3412"/>
      <c r="DA8" s="3412"/>
      <c r="DB8" s="3412"/>
      <c r="DC8" s="3412"/>
      <c r="DD8" s="3412"/>
      <c r="DE8" s="3412"/>
      <c r="DF8" s="3412"/>
      <c r="DG8" s="3412"/>
      <c r="DH8" s="3412"/>
      <c r="DI8" s="3412"/>
      <c r="DJ8" s="3412"/>
      <c r="DK8" s="3412"/>
      <c r="DL8" s="3412"/>
      <c r="DM8" s="3412"/>
      <c r="DN8" s="2112"/>
      <c r="DO8" s="2112"/>
    </row>
    <row r="9" spans="1:128" ht="18.75" hidden="1" x14ac:dyDescent="0.3">
      <c r="A9" s="3413" t="s">
        <v>184</v>
      </c>
      <c r="B9" s="3414" t="s">
        <v>83</v>
      </c>
      <c r="C9" s="3415">
        <v>456</v>
      </c>
      <c r="D9" s="3416">
        <v>12405</v>
      </c>
      <c r="E9" s="486">
        <v>67882.600000000006</v>
      </c>
      <c r="F9" s="3417">
        <v>444</v>
      </c>
      <c r="G9" s="3416">
        <v>12620</v>
      </c>
      <c r="H9" s="493">
        <f>F9*G9*12/1000</f>
        <v>67239.360000000001</v>
      </c>
      <c r="I9" s="3418">
        <v>435</v>
      </c>
      <c r="J9" s="3416">
        <v>13646</v>
      </c>
      <c r="K9" s="3403">
        <f>J9/G9</f>
        <v>1.0812995245641839</v>
      </c>
      <c r="L9" s="493">
        <v>71232.100000000006</v>
      </c>
      <c r="M9" s="3418">
        <v>26</v>
      </c>
      <c r="N9" s="3416">
        <f>O9/M9/12*1000</f>
        <v>16771.474358974359</v>
      </c>
      <c r="O9" s="486">
        <v>5232.7</v>
      </c>
      <c r="P9" s="3419">
        <v>22</v>
      </c>
      <c r="Q9" s="3416">
        <v>20793</v>
      </c>
      <c r="R9" s="3420">
        <f>P9*Q9*12/1000</f>
        <v>5489.3519999999999</v>
      </c>
      <c r="S9" s="485">
        <v>26.5</v>
      </c>
      <c r="T9" s="484">
        <f>U9/12/S9*1000</f>
        <v>17888.993710691826</v>
      </c>
      <c r="U9" s="3421">
        <f>вода!I13</f>
        <v>5688.7</v>
      </c>
      <c r="V9" s="3422">
        <v>22</v>
      </c>
      <c r="W9" s="484">
        <f>X9/9/V9*1000</f>
        <v>17417.171717171717</v>
      </c>
      <c r="X9" s="3423">
        <v>3448.6</v>
      </c>
      <c r="Y9" s="485">
        <v>26.5</v>
      </c>
      <c r="Z9" s="484">
        <f>AA9/12/Y9*1000</f>
        <v>15450.943396226414</v>
      </c>
      <c r="AA9" s="486">
        <v>4913.3999999999996</v>
      </c>
      <c r="AB9" s="485">
        <v>26.5</v>
      </c>
      <c r="AC9" s="484">
        <v>21852</v>
      </c>
      <c r="AD9" s="487">
        <f t="shared" ref="AD9:AD18" si="0">AC9/T9*100</f>
        <v>122.15332149700282</v>
      </c>
      <c r="AE9" s="487">
        <f t="shared" ref="AE9:AE18" si="1">AC9/Z9*100</f>
        <v>141.42825741848824</v>
      </c>
      <c r="AF9" s="486">
        <f>AB9*AC9*12/1000</f>
        <v>6948.9359999999997</v>
      </c>
      <c r="AG9" s="485">
        <f>V9</f>
        <v>22</v>
      </c>
      <c r="AH9" s="484">
        <f>Z9*1.051</f>
        <v>16238.94150943396</v>
      </c>
      <c r="AI9" s="488">
        <f>AH9/Z9*100</f>
        <v>105.1</v>
      </c>
      <c r="AJ9" s="489">
        <f>AH9*12*AG9/1000</f>
        <v>4287.0805584905647</v>
      </c>
      <c r="AK9" s="490">
        <f>AJ9/U9*100</f>
        <v>75.361340174214931</v>
      </c>
      <c r="AL9" s="485">
        <v>26.5</v>
      </c>
      <c r="AM9" s="491">
        <f>T9*1.071</f>
        <v>19159.112264150946</v>
      </c>
      <c r="AN9" s="482">
        <f>AM9/T9*100</f>
        <v>107.1</v>
      </c>
      <c r="AO9" s="492">
        <f>AM9/Z9*100</f>
        <v>123.99962754915133</v>
      </c>
      <c r="AP9" s="486">
        <f>AL9*AM9*12/1000</f>
        <v>6092.5977000000012</v>
      </c>
      <c r="AQ9" s="846"/>
      <c r="AR9" s="846"/>
      <c r="AS9" s="846"/>
      <c r="AT9" s="846"/>
      <c r="AU9" s="485">
        <v>22</v>
      </c>
      <c r="AV9" s="484">
        <f>AW9/9/AU9*1000</f>
        <v>21411.616161616163</v>
      </c>
      <c r="AW9" s="486">
        <v>4239.5</v>
      </c>
      <c r="AX9" s="485">
        <v>22</v>
      </c>
      <c r="AY9" s="484">
        <f>AZ9/3/AX9*1000</f>
        <v>23621.21212121212</v>
      </c>
      <c r="AZ9" s="486">
        <v>1559</v>
      </c>
      <c r="BA9" s="485">
        <v>22</v>
      </c>
      <c r="BB9" s="491">
        <f>BC9/BA9/12*1000</f>
        <v>21159.469696969696</v>
      </c>
      <c r="BC9" s="493">
        <v>5586.1</v>
      </c>
      <c r="BD9" s="3411">
        <f>(M9+P9+Y9+BA9)/4</f>
        <v>24.125</v>
      </c>
      <c r="BE9" s="3412"/>
      <c r="BF9" s="3412"/>
      <c r="BG9" s="3412"/>
      <c r="BH9" s="3412"/>
      <c r="BI9" s="3412"/>
      <c r="BJ9" s="3412"/>
      <c r="BK9" s="3412"/>
      <c r="BL9" s="3412"/>
      <c r="BM9" s="3412"/>
      <c r="BN9" s="3412"/>
      <c r="BO9" s="3412"/>
      <c r="BP9" s="3412"/>
      <c r="BQ9" s="3412"/>
      <c r="BR9" s="3412"/>
      <c r="BS9" s="3412"/>
      <c r="BT9" s="3412"/>
      <c r="BU9" s="3412"/>
      <c r="BV9" s="3412"/>
      <c r="BW9" s="3412"/>
      <c r="BX9" s="3412"/>
      <c r="BY9" s="3412"/>
      <c r="BZ9" s="3412"/>
      <c r="CA9" s="3412"/>
      <c r="CB9" s="3412"/>
      <c r="CC9" s="3412"/>
      <c r="CD9" s="3412"/>
      <c r="CE9" s="3412"/>
      <c r="CF9" s="3412"/>
      <c r="CG9" s="3412"/>
      <c r="CH9" s="3412"/>
      <c r="CI9" s="3412"/>
      <c r="CJ9" s="3412"/>
      <c r="CK9" s="3412"/>
      <c r="CL9" s="3412"/>
      <c r="CM9" s="3412"/>
      <c r="CN9" s="3412"/>
      <c r="CO9" s="3412"/>
      <c r="CP9" s="3412"/>
      <c r="CQ9" s="3412"/>
      <c r="CR9" s="3412"/>
      <c r="CS9" s="3412"/>
      <c r="CT9" s="3412"/>
      <c r="CU9" s="3412"/>
      <c r="CV9" s="3412"/>
      <c r="CW9" s="3412"/>
      <c r="CX9" s="3412"/>
      <c r="CY9" s="3412"/>
      <c r="CZ9" s="3412"/>
      <c r="DA9" s="3412"/>
      <c r="DB9" s="3412"/>
      <c r="DC9" s="3412"/>
      <c r="DD9" s="3412"/>
      <c r="DE9" s="3412"/>
      <c r="DF9" s="3412"/>
      <c r="DG9" s="3412"/>
      <c r="DH9" s="3412"/>
      <c r="DI9" s="3412"/>
      <c r="DJ9" s="3412"/>
      <c r="DK9" s="3412"/>
      <c r="DL9" s="3412"/>
      <c r="DM9" s="3412"/>
      <c r="DN9" s="2112"/>
      <c r="DO9" s="2112"/>
    </row>
    <row r="10" spans="1:128" ht="18.75" hidden="1" x14ac:dyDescent="0.3">
      <c r="A10" s="3413" t="s">
        <v>185</v>
      </c>
      <c r="B10" s="3414" t="s">
        <v>84</v>
      </c>
      <c r="C10" s="3415">
        <v>384</v>
      </c>
      <c r="D10" s="3416">
        <v>11838</v>
      </c>
      <c r="E10" s="486">
        <v>54547.199999999997</v>
      </c>
      <c r="F10" s="3417">
        <v>369</v>
      </c>
      <c r="G10" s="3416">
        <v>12231</v>
      </c>
      <c r="H10" s="493">
        <f>F10*G10*12/1000</f>
        <v>54158.868000000002</v>
      </c>
      <c r="I10" s="3418">
        <v>364</v>
      </c>
      <c r="J10" s="3416">
        <v>13021</v>
      </c>
      <c r="K10" s="3403">
        <f>J10/G10</f>
        <v>1.0645899762897555</v>
      </c>
      <c r="L10" s="493">
        <v>56876.800000000003</v>
      </c>
      <c r="M10" s="3424">
        <v>71.5</v>
      </c>
      <c r="N10" s="3416">
        <f>O10/M10/12*1000</f>
        <v>16952.564102564102</v>
      </c>
      <c r="O10" s="486">
        <v>14545.3</v>
      </c>
      <c r="P10" s="3419">
        <v>70</v>
      </c>
      <c r="Q10" s="3416">
        <f>R10/P10/12*1000</f>
        <v>18740.238095238095</v>
      </c>
      <c r="R10" s="3420">
        <v>15741.8</v>
      </c>
      <c r="S10" s="485">
        <v>72.5</v>
      </c>
      <c r="T10" s="484">
        <f>U10/S10/12*1000</f>
        <v>18462.988505747122</v>
      </c>
      <c r="U10" s="3421">
        <f>вода!I23</f>
        <v>16062.8</v>
      </c>
      <c r="V10" s="3422">
        <v>72</v>
      </c>
      <c r="W10" s="484">
        <f>X10/V10/12*1000</f>
        <v>13525</v>
      </c>
      <c r="X10" s="3423">
        <v>11685.6</v>
      </c>
      <c r="Y10" s="485">
        <v>72.5</v>
      </c>
      <c r="Z10" s="484">
        <f>AA10/12/72*1000</f>
        <v>19107.638888888891</v>
      </c>
      <c r="AA10" s="486">
        <v>16509</v>
      </c>
      <c r="AB10" s="485">
        <v>72.5</v>
      </c>
      <c r="AC10" s="484">
        <v>23802</v>
      </c>
      <c r="AD10" s="487">
        <f t="shared" si="0"/>
        <v>128.91737430584956</v>
      </c>
      <c r="AE10" s="487">
        <f t="shared" si="1"/>
        <v>124.56798110121751</v>
      </c>
      <c r="AF10" s="486">
        <f>AB10*AC10*12/1000</f>
        <v>20707.740000000002</v>
      </c>
      <c r="AG10" s="485">
        <f>V10</f>
        <v>72</v>
      </c>
      <c r="AH10" s="484">
        <f>Z10*1.051</f>
        <v>20082.128472222223</v>
      </c>
      <c r="AI10" s="488">
        <f>AH10/Z10*100</f>
        <v>105.1</v>
      </c>
      <c r="AJ10" s="489">
        <f>AH10*12*AG10/1000</f>
        <v>17350.958999999999</v>
      </c>
      <c r="AK10" s="490">
        <f>AJ10/U10*100</f>
        <v>108.01951714520506</v>
      </c>
      <c r="AL10" s="485">
        <v>72.5</v>
      </c>
      <c r="AM10" s="491">
        <f>T10*1.071</f>
        <v>19773.860689655168</v>
      </c>
      <c r="AN10" s="482">
        <f>AM10/T10*100</f>
        <v>107.1</v>
      </c>
      <c r="AO10" s="492">
        <f t="shared" ref="AO10:AO18" si="2">AM10/Z10*100</f>
        <v>103.48667778703775</v>
      </c>
      <c r="AP10" s="486">
        <f>AL10*AM10*12/1000</f>
        <v>17203.258799999996</v>
      </c>
      <c r="AQ10" s="846"/>
      <c r="AR10" s="846"/>
      <c r="AS10" s="846"/>
      <c r="AT10" s="846"/>
      <c r="AU10" s="485">
        <v>72</v>
      </c>
      <c r="AV10" s="484">
        <f>AW10/9/AU10*1000</f>
        <v>21503.703703703704</v>
      </c>
      <c r="AW10" s="486">
        <v>13934.4</v>
      </c>
      <c r="AX10" s="485">
        <v>72</v>
      </c>
      <c r="AY10" s="484">
        <f>AZ10/3/AX10*1000</f>
        <v>23650.925925925927</v>
      </c>
      <c r="AZ10" s="486">
        <v>5108.6000000000004</v>
      </c>
      <c r="BA10" s="485">
        <v>72</v>
      </c>
      <c r="BB10" s="491">
        <f>BC10/BA10/12*1000</f>
        <v>21402.199074074077</v>
      </c>
      <c r="BC10" s="493">
        <v>18491.5</v>
      </c>
      <c r="BD10" s="3411">
        <f>(M10+P10+Y10+BA10)/4</f>
        <v>71.5</v>
      </c>
      <c r="BE10" s="3412"/>
      <c r="BF10" s="3412"/>
      <c r="BG10" s="3412"/>
      <c r="BH10" s="3412"/>
      <c r="BI10" s="3412"/>
      <c r="BJ10" s="3412"/>
      <c r="BK10" s="3412"/>
      <c r="BL10" s="3412"/>
      <c r="BM10" s="3412"/>
      <c r="BN10" s="3412"/>
      <c r="BO10" s="3412"/>
      <c r="BP10" s="3412"/>
      <c r="BQ10" s="3412"/>
      <c r="BR10" s="3412"/>
      <c r="BS10" s="3412"/>
      <c r="BT10" s="3412"/>
      <c r="BU10" s="3412"/>
      <c r="BV10" s="3412"/>
      <c r="BW10" s="3412"/>
      <c r="BX10" s="3412"/>
      <c r="BY10" s="3412"/>
      <c r="BZ10" s="3412"/>
      <c r="CA10" s="3412"/>
      <c r="CB10" s="3412"/>
      <c r="CC10" s="3412"/>
      <c r="CD10" s="3412"/>
      <c r="CE10" s="3412"/>
      <c r="CF10" s="3412"/>
      <c r="CG10" s="3412"/>
      <c r="CH10" s="3412"/>
      <c r="CI10" s="3412"/>
      <c r="CJ10" s="3412"/>
      <c r="CK10" s="3412"/>
      <c r="CL10" s="3412"/>
      <c r="CM10" s="3412"/>
      <c r="CN10" s="3412"/>
      <c r="CO10" s="3412"/>
      <c r="CP10" s="3412"/>
      <c r="CQ10" s="3412"/>
      <c r="CR10" s="3412"/>
      <c r="CS10" s="3412"/>
      <c r="CT10" s="3412"/>
      <c r="CU10" s="3412"/>
      <c r="CV10" s="3412"/>
      <c r="CW10" s="3412"/>
      <c r="CX10" s="3412"/>
      <c r="CY10" s="3412"/>
      <c r="CZ10" s="3412"/>
      <c r="DA10" s="3412"/>
      <c r="DB10" s="3412"/>
      <c r="DC10" s="3412"/>
      <c r="DD10" s="3412"/>
      <c r="DE10" s="3412"/>
      <c r="DF10" s="3412"/>
      <c r="DG10" s="3412"/>
      <c r="DH10" s="3412"/>
      <c r="DI10" s="3412"/>
      <c r="DJ10" s="3412"/>
      <c r="DK10" s="3412"/>
      <c r="DL10" s="3412"/>
      <c r="DM10" s="3412"/>
      <c r="DN10" s="2112"/>
      <c r="DO10" s="2112"/>
    </row>
    <row r="11" spans="1:128" ht="18.75" hidden="1" x14ac:dyDescent="0.3">
      <c r="A11" s="3413" t="s">
        <v>193</v>
      </c>
      <c r="B11" s="3414" t="s">
        <v>85</v>
      </c>
      <c r="C11" s="3415"/>
      <c r="D11" s="3416"/>
      <c r="E11" s="486"/>
      <c r="F11" s="3417"/>
      <c r="G11" s="3416"/>
      <c r="H11" s="493"/>
      <c r="I11" s="3418"/>
      <c r="J11" s="3416"/>
      <c r="K11" s="3403"/>
      <c r="L11" s="493"/>
      <c r="M11" s="3418">
        <v>33</v>
      </c>
      <c r="N11" s="3416">
        <v>18981</v>
      </c>
      <c r="O11" s="486">
        <f>M11*N11*12/1000</f>
        <v>7516.4759999999997</v>
      </c>
      <c r="P11" s="3425">
        <v>32</v>
      </c>
      <c r="Q11" s="491">
        <v>21797</v>
      </c>
      <c r="R11" s="3420">
        <f>P11*Q11*12/1000</f>
        <v>8370.0480000000007</v>
      </c>
      <c r="S11" s="485">
        <v>31</v>
      </c>
      <c r="T11" s="3426">
        <v>23385</v>
      </c>
      <c r="U11" s="3421">
        <f>S11*T11*12/1000</f>
        <v>8699.2199999999993</v>
      </c>
      <c r="V11" s="3422">
        <v>30</v>
      </c>
      <c r="W11" s="484">
        <v>21786</v>
      </c>
      <c r="X11" s="3423">
        <f>V11*W11*9/1000</f>
        <v>5882.22</v>
      </c>
      <c r="Y11" s="485">
        <v>31</v>
      </c>
      <c r="Z11" s="484">
        <v>24160</v>
      </c>
      <c r="AA11" s="486">
        <v>8778.6</v>
      </c>
      <c r="AB11" s="485">
        <v>31</v>
      </c>
      <c r="AC11" s="484">
        <v>28610</v>
      </c>
      <c r="AD11" s="487">
        <f t="shared" si="0"/>
        <v>122.34338251015609</v>
      </c>
      <c r="AE11" s="487">
        <f t="shared" si="1"/>
        <v>118.41887417218544</v>
      </c>
      <c r="AF11" s="486">
        <f>AB11*AC11*12/1000</f>
        <v>10642.92</v>
      </c>
      <c r="AG11" s="485"/>
      <c r="AH11" s="484"/>
      <c r="AI11" s="488"/>
      <c r="AJ11" s="489"/>
      <c r="AK11" s="490"/>
      <c r="AL11" s="485">
        <v>31</v>
      </c>
      <c r="AM11" s="491">
        <f>T11*1.071</f>
        <v>25045.334999999999</v>
      </c>
      <c r="AN11" s="482">
        <f>AM11/T11*100</f>
        <v>107.1</v>
      </c>
      <c r="AO11" s="492">
        <f t="shared" si="2"/>
        <v>103.66446605960265</v>
      </c>
      <c r="AP11" s="486">
        <f>AL11*AM11*12/1000</f>
        <v>9316.8646200000003</v>
      </c>
      <c r="AQ11" s="846"/>
      <c r="AR11" s="846"/>
      <c r="AS11" s="846"/>
      <c r="AT11" s="846"/>
      <c r="AU11" s="485">
        <v>32</v>
      </c>
      <c r="AV11" s="484">
        <f>AW11/9/AU11*1000</f>
        <v>25180.902777777777</v>
      </c>
      <c r="AW11" s="486">
        <v>7252.1</v>
      </c>
      <c r="AX11" s="485">
        <v>32</v>
      </c>
      <c r="AY11" s="484">
        <f>AZ11/3/AX11*1000</f>
        <v>28734.375</v>
      </c>
      <c r="AZ11" s="486">
        <v>2758.5</v>
      </c>
      <c r="BA11" s="485">
        <v>31</v>
      </c>
      <c r="BB11" s="491">
        <f>BC11/BA11/12*1000</f>
        <v>26139.247311827956</v>
      </c>
      <c r="BC11" s="493">
        <v>9723.7999999999993</v>
      </c>
      <c r="BD11" s="3411">
        <f>(M11+P11+Y11+BA11)/4</f>
        <v>31.75</v>
      </c>
      <c r="BE11" s="3412"/>
      <c r="BF11" s="3412"/>
      <c r="BG11" s="3412"/>
      <c r="BH11" s="3412"/>
      <c r="BI11" s="3412"/>
      <c r="BJ11" s="3412"/>
      <c r="BK11" s="3412"/>
      <c r="BL11" s="3412"/>
      <c r="BM11" s="3412"/>
      <c r="BN11" s="3412"/>
      <c r="BO11" s="3412"/>
      <c r="BP11" s="3412"/>
      <c r="BQ11" s="3412"/>
      <c r="BR11" s="3412"/>
      <c r="BS11" s="3412"/>
      <c r="BT11" s="3412"/>
      <c r="BU11" s="3412"/>
      <c r="BV11" s="3412"/>
      <c r="BW11" s="3412"/>
      <c r="BX11" s="3412"/>
      <c r="BY11" s="3412"/>
      <c r="BZ11" s="3412"/>
      <c r="CA11" s="3412"/>
      <c r="CB11" s="3412"/>
      <c r="CC11" s="3412"/>
      <c r="CD11" s="3412"/>
      <c r="CE11" s="3412"/>
      <c r="CF11" s="3412"/>
      <c r="CG11" s="3412"/>
      <c r="CH11" s="3412"/>
      <c r="CI11" s="3412"/>
      <c r="CJ11" s="3412"/>
      <c r="CK11" s="3412"/>
      <c r="CL11" s="3412"/>
      <c r="CM11" s="3412"/>
      <c r="CN11" s="3412"/>
      <c r="CO11" s="3412"/>
      <c r="CP11" s="3412"/>
      <c r="CQ11" s="3412"/>
      <c r="CR11" s="3412"/>
      <c r="CS11" s="3412"/>
      <c r="CT11" s="3412"/>
      <c r="CU11" s="3412"/>
      <c r="CV11" s="3412"/>
      <c r="CW11" s="3412"/>
      <c r="CX11" s="3412"/>
      <c r="CY11" s="3412"/>
      <c r="CZ11" s="3412"/>
      <c r="DA11" s="3412"/>
      <c r="DB11" s="3412"/>
      <c r="DC11" s="3412"/>
      <c r="DD11" s="3412"/>
      <c r="DE11" s="3412"/>
      <c r="DF11" s="3412"/>
      <c r="DG11" s="3412"/>
      <c r="DH11" s="3412"/>
      <c r="DI11" s="3412"/>
      <c r="DJ11" s="3412"/>
      <c r="DK11" s="3412"/>
      <c r="DL11" s="3412"/>
      <c r="DM11" s="3412"/>
      <c r="DN11" s="2112"/>
      <c r="DO11" s="2112"/>
    </row>
    <row r="12" spans="1:128" ht="18.75" hidden="1" x14ac:dyDescent="0.3">
      <c r="A12" s="3413" t="s">
        <v>194</v>
      </c>
      <c r="B12" s="3414" t="s">
        <v>86</v>
      </c>
      <c r="C12" s="3415"/>
      <c r="D12" s="3416"/>
      <c r="E12" s="486"/>
      <c r="F12" s="3417"/>
      <c r="G12" s="3416"/>
      <c r="H12" s="493"/>
      <c r="I12" s="3418"/>
      <c r="J12" s="3416"/>
      <c r="K12" s="3403"/>
      <c r="L12" s="493"/>
      <c r="M12" s="3418">
        <v>25</v>
      </c>
      <c r="N12" s="3416">
        <v>17707</v>
      </c>
      <c r="O12" s="486">
        <f>M12*N12*12/1000</f>
        <v>5312.1</v>
      </c>
      <c r="P12" s="3425">
        <v>26</v>
      </c>
      <c r="Q12" s="491">
        <v>21864</v>
      </c>
      <c r="R12" s="3420">
        <f>P12*Q12*12/1000</f>
        <v>6821.5680000000002</v>
      </c>
      <c r="S12" s="485">
        <v>25</v>
      </c>
      <c r="T12" s="3426">
        <v>20581</v>
      </c>
      <c r="U12" s="3421">
        <f>S12*T12*12/1000</f>
        <v>6174.3</v>
      </c>
      <c r="V12" s="3422">
        <v>25</v>
      </c>
      <c r="W12" s="484">
        <v>18220</v>
      </c>
      <c r="X12" s="3423">
        <f>V12*W12*9/1000</f>
        <v>4099.5</v>
      </c>
      <c r="Y12" s="485">
        <v>25</v>
      </c>
      <c r="Z12" s="484">
        <v>20570</v>
      </c>
      <c r="AA12" s="486">
        <v>5838.5</v>
      </c>
      <c r="AB12" s="485">
        <v>25</v>
      </c>
      <c r="AC12" s="484">
        <v>25138</v>
      </c>
      <c r="AD12" s="487">
        <f t="shared" si="0"/>
        <v>122.14178125455517</v>
      </c>
      <c r="AE12" s="487">
        <f t="shared" si="1"/>
        <v>122.2070977151191</v>
      </c>
      <c r="AF12" s="486">
        <f>AB12*AC12*12/1000</f>
        <v>7541.4</v>
      </c>
      <c r="AG12" s="485"/>
      <c r="AH12" s="484"/>
      <c r="AI12" s="488"/>
      <c r="AJ12" s="489"/>
      <c r="AK12" s="490"/>
      <c r="AL12" s="485">
        <v>25</v>
      </c>
      <c r="AM12" s="491">
        <f>T12*1.071</f>
        <v>22042.251</v>
      </c>
      <c r="AN12" s="482">
        <f>AM12/T12*100</f>
        <v>107.1</v>
      </c>
      <c r="AO12" s="492">
        <f t="shared" si="2"/>
        <v>107.15727272727274</v>
      </c>
      <c r="AP12" s="486">
        <f>AL12*AM12*12/1000</f>
        <v>6612.6753000000008</v>
      </c>
      <c r="AQ12" s="846"/>
      <c r="AR12" s="846"/>
      <c r="AS12" s="846"/>
      <c r="AT12" s="846"/>
      <c r="AU12" s="485">
        <v>25</v>
      </c>
      <c r="AV12" s="484">
        <f>AW12/9/AU12*1000</f>
        <v>23007.111111111113</v>
      </c>
      <c r="AW12" s="486">
        <v>5176.6000000000004</v>
      </c>
      <c r="AX12" s="485">
        <v>25</v>
      </c>
      <c r="AY12" s="484">
        <f>AZ12/3/AX12*1000</f>
        <v>25722.666666666668</v>
      </c>
      <c r="AZ12" s="486">
        <v>1929.2</v>
      </c>
      <c r="BA12" s="485">
        <v>25</v>
      </c>
      <c r="BB12" s="491">
        <f>BC12/BA12/12*1000</f>
        <v>22826.333333333336</v>
      </c>
      <c r="BC12" s="493">
        <v>6847.9</v>
      </c>
      <c r="BD12" s="3411">
        <f>(M12+P12+Y12+BA12)/4</f>
        <v>25.25</v>
      </c>
      <c r="BE12" s="3412"/>
      <c r="BF12" s="3412"/>
      <c r="BG12" s="3412"/>
      <c r="BH12" s="3412"/>
      <c r="BI12" s="3412"/>
      <c r="BJ12" s="3412"/>
      <c r="BK12" s="3412"/>
      <c r="BL12" s="3412"/>
      <c r="BM12" s="3412"/>
      <c r="BN12" s="3412"/>
      <c r="BO12" s="3412"/>
      <c r="BP12" s="3412"/>
      <c r="BQ12" s="3412"/>
      <c r="BR12" s="3412"/>
      <c r="BS12" s="3412"/>
      <c r="BT12" s="3412"/>
      <c r="BU12" s="3412"/>
      <c r="BV12" s="3412"/>
      <c r="BW12" s="3412"/>
      <c r="BX12" s="3412"/>
      <c r="BY12" s="3412"/>
      <c r="BZ12" s="3412"/>
      <c r="CA12" s="3412"/>
      <c r="CB12" s="3412"/>
      <c r="CC12" s="3412"/>
      <c r="CD12" s="3412"/>
      <c r="CE12" s="3412"/>
      <c r="CF12" s="3412"/>
      <c r="CG12" s="3412"/>
      <c r="CH12" s="3412"/>
      <c r="CI12" s="3412"/>
      <c r="CJ12" s="3412"/>
      <c r="CK12" s="3412"/>
      <c r="CL12" s="3412"/>
      <c r="CM12" s="3412"/>
      <c r="CN12" s="3412"/>
      <c r="CO12" s="3412"/>
      <c r="CP12" s="3412"/>
      <c r="CQ12" s="3412"/>
      <c r="CR12" s="3412"/>
      <c r="CS12" s="3412"/>
      <c r="CT12" s="3412"/>
      <c r="CU12" s="3412"/>
      <c r="CV12" s="3412"/>
      <c r="CW12" s="3412"/>
      <c r="CX12" s="3412"/>
      <c r="CY12" s="3412"/>
      <c r="CZ12" s="3412"/>
      <c r="DA12" s="3412"/>
      <c r="DB12" s="3412"/>
      <c r="DC12" s="3412"/>
      <c r="DD12" s="3412"/>
      <c r="DE12" s="3412"/>
      <c r="DF12" s="3412"/>
      <c r="DG12" s="3412"/>
      <c r="DH12" s="3412"/>
      <c r="DI12" s="3412"/>
      <c r="DJ12" s="3412"/>
      <c r="DK12" s="3412"/>
      <c r="DL12" s="3412"/>
      <c r="DM12" s="3412"/>
      <c r="DN12" s="2112"/>
      <c r="DO12" s="2112"/>
    </row>
    <row r="13" spans="1:128" ht="18.75" hidden="1" x14ac:dyDescent="0.3">
      <c r="A13" s="3413"/>
      <c r="B13" s="3414"/>
      <c r="C13" s="3415"/>
      <c r="D13" s="3416"/>
      <c r="E13" s="486"/>
      <c r="F13" s="3417"/>
      <c r="G13" s="3416"/>
      <c r="H13" s="493"/>
      <c r="I13" s="3418"/>
      <c r="J13" s="3416"/>
      <c r="K13" s="3403"/>
      <c r="L13" s="493"/>
      <c r="M13" s="3418"/>
      <c r="N13" s="3416"/>
      <c r="O13" s="486"/>
      <c r="P13" s="3420"/>
      <c r="Q13" s="489"/>
      <c r="R13" s="3420"/>
      <c r="S13" s="485"/>
      <c r="T13" s="3426"/>
      <c r="U13" s="3421"/>
      <c r="V13" s="3422"/>
      <c r="W13" s="484"/>
      <c r="X13" s="3423"/>
      <c r="Y13" s="485"/>
      <c r="Z13" s="484"/>
      <c r="AA13" s="486"/>
      <c r="AB13" s="485"/>
      <c r="AC13" s="484"/>
      <c r="AD13" s="477"/>
      <c r="AE13" s="487"/>
      <c r="AF13" s="486"/>
      <c r="AG13" s="485"/>
      <c r="AH13" s="484"/>
      <c r="AI13" s="488"/>
      <c r="AJ13" s="489"/>
      <c r="AK13" s="490"/>
      <c r="AL13" s="485"/>
      <c r="AM13" s="484"/>
      <c r="AN13" s="482"/>
      <c r="AO13" s="492"/>
      <c r="AP13" s="486"/>
      <c r="AQ13" s="846"/>
      <c r="AR13" s="846"/>
      <c r="AS13" s="846"/>
      <c r="AT13" s="846"/>
      <c r="AU13" s="485"/>
      <c r="AV13" s="494"/>
      <c r="AW13" s="486"/>
      <c r="AX13" s="485"/>
      <c r="AY13" s="494"/>
      <c r="AZ13" s="486"/>
      <c r="BA13" s="485"/>
      <c r="BB13" s="484"/>
      <c r="BC13" s="493"/>
      <c r="BD13" s="3411"/>
      <c r="BE13" s="3412"/>
      <c r="BF13" s="3412"/>
      <c r="BG13" s="3412"/>
      <c r="BH13" s="3412"/>
      <c r="BI13" s="3412"/>
      <c r="BJ13" s="3412"/>
      <c r="BK13" s="3412"/>
      <c r="BL13" s="3412"/>
      <c r="BM13" s="3412"/>
      <c r="BN13" s="3412"/>
      <c r="BO13" s="3412"/>
      <c r="BP13" s="3412"/>
      <c r="BQ13" s="3412"/>
      <c r="BR13" s="3412"/>
      <c r="BS13" s="3412"/>
      <c r="BT13" s="3412"/>
      <c r="BU13" s="3412"/>
      <c r="BV13" s="3412"/>
      <c r="BW13" s="3412"/>
      <c r="BX13" s="3412"/>
      <c r="BY13" s="3412"/>
      <c r="BZ13" s="3412"/>
      <c r="CA13" s="3412"/>
      <c r="CB13" s="3412"/>
      <c r="CC13" s="3412"/>
      <c r="CD13" s="3412"/>
      <c r="CE13" s="3412"/>
      <c r="CF13" s="3412"/>
      <c r="CG13" s="3412"/>
      <c r="CH13" s="3412"/>
      <c r="CI13" s="3412"/>
      <c r="CJ13" s="3412"/>
      <c r="CK13" s="3412"/>
      <c r="CL13" s="3412"/>
      <c r="CM13" s="3412"/>
      <c r="CN13" s="3412"/>
      <c r="CO13" s="3412"/>
      <c r="CP13" s="3412"/>
      <c r="CQ13" s="3412"/>
      <c r="CR13" s="3412"/>
      <c r="CS13" s="3412"/>
      <c r="CT13" s="3412"/>
      <c r="CU13" s="3412"/>
      <c r="CV13" s="3412"/>
      <c r="CW13" s="3412"/>
      <c r="CX13" s="3412"/>
      <c r="CY13" s="3412"/>
      <c r="CZ13" s="3412"/>
      <c r="DA13" s="3412"/>
      <c r="DB13" s="3412"/>
      <c r="DC13" s="3412"/>
      <c r="DD13" s="3412"/>
      <c r="DE13" s="3412"/>
      <c r="DF13" s="3412"/>
      <c r="DG13" s="3412"/>
      <c r="DH13" s="3412"/>
      <c r="DI13" s="3412"/>
      <c r="DJ13" s="3412"/>
      <c r="DK13" s="3412"/>
      <c r="DL13" s="3412"/>
      <c r="DM13" s="3412"/>
      <c r="DN13" s="2112"/>
      <c r="DO13" s="2112"/>
    </row>
    <row r="14" spans="1:128" ht="93.75" hidden="1" x14ac:dyDescent="0.3">
      <c r="A14" s="3399" t="s">
        <v>186</v>
      </c>
      <c r="B14" s="3400" t="s">
        <v>196</v>
      </c>
      <c r="C14" s="3401">
        <v>840</v>
      </c>
      <c r="D14" s="475">
        <v>12146</v>
      </c>
      <c r="E14" s="476">
        <v>122429.8</v>
      </c>
      <c r="F14" s="3402">
        <f>F15+F16</f>
        <v>813</v>
      </c>
      <c r="G14" s="475">
        <f>(G15*F15+G16*F16)/(F15+F16)</f>
        <v>12443.442804428045</v>
      </c>
      <c r="H14" s="483">
        <f>H16+H15</f>
        <v>121398.228</v>
      </c>
      <c r="I14" s="478">
        <v>799</v>
      </c>
      <c r="J14" s="475">
        <v>13361</v>
      </c>
      <c r="K14" s="3403">
        <f>J14/G14</f>
        <v>1.07373820975377</v>
      </c>
      <c r="L14" s="483">
        <v>128108.9</v>
      </c>
      <c r="M14" s="478">
        <f>M15+M16+M17+M18</f>
        <v>109</v>
      </c>
      <c r="N14" s="475">
        <f>O14/M14/12*1000</f>
        <v>18196.483180428135</v>
      </c>
      <c r="O14" s="476">
        <f>O15+O16+O17+O18</f>
        <v>23801.000000000004</v>
      </c>
      <c r="P14" s="3404">
        <f>SUM(P15:P18)</f>
        <v>95</v>
      </c>
      <c r="Q14" s="3405">
        <f>R14/P14/12*1000</f>
        <v>21844.621052631581</v>
      </c>
      <c r="R14" s="3404">
        <f>SUM(R15:R18)</f>
        <v>24902.868000000002</v>
      </c>
      <c r="S14" s="3406">
        <f>S15+S16+S17+S18</f>
        <v>105</v>
      </c>
      <c r="T14" s="3407">
        <f>U14/S14/12*1000</f>
        <v>22144.31111111111</v>
      </c>
      <c r="U14" s="3408">
        <f>U15+U16+U17+U18</f>
        <v>27901.832000000002</v>
      </c>
      <c r="V14" s="3409">
        <f>V15+V16+V17+V18</f>
        <v>98</v>
      </c>
      <c r="W14" s="3407">
        <f>X14/V14/12*1000</f>
        <v>15199.064625850338</v>
      </c>
      <c r="X14" s="3410">
        <f>X15+X16+X17+X18</f>
        <v>17874.099999999999</v>
      </c>
      <c r="Y14" s="495">
        <f>Y15+Y16+Y17+Y18</f>
        <v>94</v>
      </c>
      <c r="Z14" s="496">
        <f>AA14/Y14/12*1000</f>
        <v>22720.301418439718</v>
      </c>
      <c r="AA14" s="497">
        <f>AA15+AA16+AA17+AA18</f>
        <v>25628.5</v>
      </c>
      <c r="AB14" s="474">
        <f>AB15+AB16+AB17+AB18</f>
        <v>105</v>
      </c>
      <c r="AC14" s="475">
        <f>AF14/AB14/12*1000</f>
        <v>27439.161904761906</v>
      </c>
      <c r="AD14" s="477">
        <f t="shared" si="0"/>
        <v>123.91065934308546</v>
      </c>
      <c r="AE14" s="487">
        <f t="shared" si="1"/>
        <v>120.76935688226555</v>
      </c>
      <c r="AF14" s="476">
        <f>AF15+AF16+AF17+AF18</f>
        <v>34573.344000000005</v>
      </c>
      <c r="AG14" s="485"/>
      <c r="AH14" s="484"/>
      <c r="AI14" s="488"/>
      <c r="AJ14" s="489"/>
      <c r="AK14" s="490"/>
      <c r="AL14" s="474">
        <f>AL15+AL16+AL17+AL18</f>
        <v>105</v>
      </c>
      <c r="AM14" s="475">
        <f>AP14/AL14/12*1000</f>
        <v>23716.557199999999</v>
      </c>
      <c r="AN14" s="482">
        <f>AM14/T14*100</f>
        <v>107.1</v>
      </c>
      <c r="AO14" s="492">
        <f t="shared" si="2"/>
        <v>104.38487044345162</v>
      </c>
      <c r="AP14" s="476">
        <f>AP15+AP16+AP17+AP18</f>
        <v>29882.862072</v>
      </c>
      <c r="AQ14" s="845"/>
      <c r="AR14" s="845"/>
      <c r="AS14" s="845"/>
      <c r="AT14" s="845"/>
      <c r="AU14" s="474">
        <f>AU15+AU16+AU17+AU18</f>
        <v>98</v>
      </c>
      <c r="AV14" s="475">
        <f>AW14/AU14/9*1000</f>
        <v>24623.582766439908</v>
      </c>
      <c r="AW14" s="476">
        <f>AW15+AW16+AW17+AW18</f>
        <v>21717.999999999996</v>
      </c>
      <c r="AX14" s="474">
        <f>AX15+AX16+AX17+AX18</f>
        <v>98</v>
      </c>
      <c r="AY14" s="475">
        <f>AZ14/AX14/3*1000</f>
        <v>27260.884353741498</v>
      </c>
      <c r="AZ14" s="476">
        <f>AZ15+AZ16+AZ17+AZ18</f>
        <v>8014.7000000000007</v>
      </c>
      <c r="BA14" s="474">
        <f>BA15+BA16+BA17+BA18</f>
        <v>98</v>
      </c>
      <c r="BB14" s="475">
        <f>BC14/BA14/12*1000</f>
        <v>24748.639455782311</v>
      </c>
      <c r="BC14" s="483">
        <f>BC15+BC16+BC17+BC18</f>
        <v>29104.399999999998</v>
      </c>
      <c r="BD14" s="3411">
        <f>(M14+P14+Y14+BA14)/4</f>
        <v>99</v>
      </c>
      <c r="BE14" s="3412"/>
      <c r="BF14" s="3412"/>
      <c r="BG14" s="3412"/>
      <c r="BH14" s="3412"/>
      <c r="BI14" s="3412"/>
      <c r="BJ14" s="3412"/>
      <c r="BK14" s="3412"/>
      <c r="BL14" s="3412"/>
      <c r="BM14" s="3412"/>
      <c r="BN14" s="3412"/>
      <c r="BO14" s="3412"/>
      <c r="BP14" s="3412"/>
      <c r="BQ14" s="3412"/>
      <c r="BR14" s="3412"/>
      <c r="BS14" s="3412"/>
      <c r="BT14" s="3412"/>
      <c r="BU14" s="3412"/>
      <c r="BV14" s="3412"/>
      <c r="BW14" s="3412"/>
      <c r="BX14" s="3412"/>
      <c r="BY14" s="3412"/>
      <c r="BZ14" s="3412"/>
      <c r="CA14" s="3412"/>
      <c r="CB14" s="3412"/>
      <c r="CC14" s="3412"/>
      <c r="CD14" s="3412"/>
      <c r="CE14" s="3412"/>
      <c r="CF14" s="3412"/>
      <c r="CG14" s="3412"/>
      <c r="CH14" s="3412"/>
      <c r="CI14" s="3412"/>
      <c r="CJ14" s="3412"/>
      <c r="CK14" s="3412"/>
      <c r="CL14" s="3412"/>
      <c r="CM14" s="3412"/>
      <c r="CN14" s="3412"/>
      <c r="CO14" s="3412"/>
      <c r="CP14" s="3412"/>
      <c r="CQ14" s="3412"/>
      <c r="CR14" s="3412"/>
      <c r="CS14" s="3412"/>
      <c r="CT14" s="3412"/>
      <c r="CU14" s="3412"/>
      <c r="CV14" s="3412"/>
      <c r="CW14" s="3412"/>
      <c r="CX14" s="3412"/>
      <c r="CY14" s="3412"/>
      <c r="CZ14" s="3412"/>
      <c r="DA14" s="3412"/>
      <c r="DB14" s="3412"/>
      <c r="DC14" s="3412"/>
      <c r="DD14" s="3412"/>
      <c r="DE14" s="3412"/>
      <c r="DF14" s="3412"/>
      <c r="DG14" s="3412"/>
      <c r="DH14" s="3412"/>
      <c r="DI14" s="3412"/>
      <c r="DJ14" s="3412"/>
      <c r="DK14" s="3412"/>
      <c r="DL14" s="3412"/>
      <c r="DM14" s="3412"/>
      <c r="DN14" s="2112"/>
      <c r="DO14" s="2112"/>
    </row>
    <row r="15" spans="1:128" ht="18.75" hidden="1" x14ac:dyDescent="0.3">
      <c r="A15" s="3413" t="s">
        <v>187</v>
      </c>
      <c r="B15" s="3414" t="s">
        <v>88</v>
      </c>
      <c r="C15" s="3415">
        <v>456</v>
      </c>
      <c r="D15" s="3416">
        <v>12405</v>
      </c>
      <c r="E15" s="486">
        <v>67882.600000000006</v>
      </c>
      <c r="F15" s="3417">
        <v>444</v>
      </c>
      <c r="G15" s="3416">
        <v>12620</v>
      </c>
      <c r="H15" s="493">
        <f>F15*G15*12/1000</f>
        <v>67239.360000000001</v>
      </c>
      <c r="I15" s="3418">
        <v>435</v>
      </c>
      <c r="J15" s="3416">
        <v>13646</v>
      </c>
      <c r="K15" s="3403">
        <f>J15/G15</f>
        <v>1.0812995245641839</v>
      </c>
      <c r="L15" s="493">
        <v>71232.100000000006</v>
      </c>
      <c r="M15" s="3418">
        <v>26</v>
      </c>
      <c r="N15" s="3416">
        <f>O15/M15/12*1000</f>
        <v>18108.974358974363</v>
      </c>
      <c r="O15" s="486">
        <v>5650</v>
      </c>
      <c r="P15" s="3419">
        <v>26</v>
      </c>
      <c r="Q15" s="3416">
        <f>R15/P15/12*1000</f>
        <v>19295.833333333336</v>
      </c>
      <c r="R15" s="3420">
        <v>6020.3</v>
      </c>
      <c r="S15" s="485">
        <v>30</v>
      </c>
      <c r="T15" s="484">
        <f>U15/S15/12*1000</f>
        <v>18746.388888888887</v>
      </c>
      <c r="U15" s="3421">
        <v>6748.7</v>
      </c>
      <c r="V15" s="3422">
        <v>27</v>
      </c>
      <c r="W15" s="484">
        <f>X15/V15/9*1000</f>
        <v>17960.905349794237</v>
      </c>
      <c r="X15" s="3423">
        <v>4364.5</v>
      </c>
      <c r="Y15" s="485">
        <v>26</v>
      </c>
      <c r="Z15" s="484">
        <f>AA15/12/Y15*1000</f>
        <v>19381.410256410254</v>
      </c>
      <c r="AA15" s="486">
        <v>6047</v>
      </c>
      <c r="AB15" s="485">
        <v>30</v>
      </c>
      <c r="AC15" s="484">
        <v>23903</v>
      </c>
      <c r="AD15" s="487">
        <f t="shared" si="0"/>
        <v>127.50722361343666</v>
      </c>
      <c r="AE15" s="487">
        <f t="shared" si="1"/>
        <v>123.32951876963784</v>
      </c>
      <c r="AF15" s="486">
        <f>AB15*AC15*12/1000</f>
        <v>8605.08</v>
      </c>
      <c r="AG15" s="485"/>
      <c r="AH15" s="484"/>
      <c r="AI15" s="488"/>
      <c r="AJ15" s="489"/>
      <c r="AK15" s="490"/>
      <c r="AL15" s="485">
        <v>30</v>
      </c>
      <c r="AM15" s="491">
        <f>T15*1.071</f>
        <v>20077.382499999996</v>
      </c>
      <c r="AN15" s="482">
        <f>AM15/T15*100</f>
        <v>107.1</v>
      </c>
      <c r="AO15" s="492">
        <f t="shared" si="2"/>
        <v>103.5909267405325</v>
      </c>
      <c r="AP15" s="486">
        <f>AL15*AM15*12/1000</f>
        <v>7227.8576999999987</v>
      </c>
      <c r="AQ15" s="846"/>
      <c r="AR15" s="846"/>
      <c r="AS15" s="846"/>
      <c r="AT15" s="846"/>
      <c r="AU15" s="485">
        <v>26</v>
      </c>
      <c r="AV15" s="484">
        <f>AW15/9/AU15*1000</f>
        <v>22458.119658119656</v>
      </c>
      <c r="AW15" s="486">
        <v>5255.2</v>
      </c>
      <c r="AX15" s="485">
        <v>26</v>
      </c>
      <c r="AY15" s="484">
        <f>AZ15/3/AX15*1000</f>
        <v>23894.871794871793</v>
      </c>
      <c r="AZ15" s="486">
        <v>1863.8</v>
      </c>
      <c r="BA15" s="485">
        <v>26</v>
      </c>
      <c r="BB15" s="491">
        <f>BC15/12/BA15*1000</f>
        <v>22598.076923076926</v>
      </c>
      <c r="BC15" s="493">
        <v>7050.6</v>
      </c>
      <c r="BD15" s="3411">
        <f>(M15+P15+Y15+BA15)/4</f>
        <v>26</v>
      </c>
      <c r="BE15" s="3412"/>
      <c r="BF15" s="3412"/>
      <c r="BG15" s="3412"/>
      <c r="BH15" s="3412"/>
      <c r="BI15" s="3412"/>
      <c r="BJ15" s="3412"/>
      <c r="BK15" s="3412"/>
      <c r="BL15" s="3412"/>
      <c r="BM15" s="3412"/>
      <c r="BN15" s="3412"/>
      <c r="BO15" s="3412"/>
      <c r="BP15" s="3412"/>
      <c r="BQ15" s="3412"/>
      <c r="BR15" s="3412"/>
      <c r="BS15" s="3412"/>
      <c r="BT15" s="3412"/>
      <c r="BU15" s="3412"/>
      <c r="BV15" s="3412"/>
      <c r="BW15" s="3412"/>
      <c r="BX15" s="3412"/>
      <c r="BY15" s="3412"/>
      <c r="BZ15" s="3412"/>
      <c r="CA15" s="3412"/>
      <c r="CB15" s="3412"/>
      <c r="CC15" s="3412"/>
      <c r="CD15" s="3412"/>
      <c r="CE15" s="3412"/>
      <c r="CF15" s="3412"/>
      <c r="CG15" s="3412"/>
      <c r="CH15" s="3412"/>
      <c r="CI15" s="3412"/>
      <c r="CJ15" s="3412"/>
      <c r="CK15" s="3412"/>
      <c r="CL15" s="3412"/>
      <c r="CM15" s="3412"/>
      <c r="CN15" s="3412"/>
      <c r="CO15" s="3412"/>
      <c r="CP15" s="3412"/>
      <c r="CQ15" s="3412"/>
      <c r="CR15" s="3412"/>
      <c r="CS15" s="3412"/>
      <c r="CT15" s="3412"/>
      <c r="CU15" s="3412"/>
      <c r="CV15" s="3412"/>
      <c r="CW15" s="3412"/>
      <c r="CX15" s="3412"/>
      <c r="CY15" s="3412"/>
      <c r="CZ15" s="3412"/>
      <c r="DA15" s="3412"/>
      <c r="DB15" s="3412"/>
      <c r="DC15" s="3412"/>
      <c r="DD15" s="3412"/>
      <c r="DE15" s="3412"/>
      <c r="DF15" s="3412"/>
      <c r="DG15" s="3412"/>
      <c r="DH15" s="3412"/>
      <c r="DI15" s="3412"/>
      <c r="DJ15" s="3412"/>
      <c r="DK15" s="3412"/>
      <c r="DL15" s="3412"/>
      <c r="DM15" s="3412"/>
      <c r="DN15" s="2112"/>
      <c r="DO15" s="2112"/>
    </row>
    <row r="16" spans="1:128" ht="18.75" hidden="1" x14ac:dyDescent="0.3">
      <c r="A16" s="3413" t="s">
        <v>188</v>
      </c>
      <c r="B16" s="3414" t="s">
        <v>89</v>
      </c>
      <c r="C16" s="3415">
        <v>384</v>
      </c>
      <c r="D16" s="3416">
        <v>11838</v>
      </c>
      <c r="E16" s="486">
        <v>54547.199999999997</v>
      </c>
      <c r="F16" s="3417">
        <v>369</v>
      </c>
      <c r="G16" s="3416">
        <v>12231</v>
      </c>
      <c r="H16" s="493">
        <f>F16*G16*12/1000</f>
        <v>54158.868000000002</v>
      </c>
      <c r="I16" s="3418">
        <v>364</v>
      </c>
      <c r="J16" s="3416">
        <v>13021</v>
      </c>
      <c r="K16" s="3403">
        <f>J16/G16</f>
        <v>1.0645899762897555</v>
      </c>
      <c r="L16" s="493">
        <v>56876.800000000003</v>
      </c>
      <c r="M16" s="3418">
        <v>60</v>
      </c>
      <c r="N16" s="3416">
        <v>19277</v>
      </c>
      <c r="O16" s="486">
        <f>M16*N16*12/1000</f>
        <v>13879.44</v>
      </c>
      <c r="P16" s="3419">
        <v>48</v>
      </c>
      <c r="Q16" s="3416">
        <v>22603</v>
      </c>
      <c r="R16" s="3420">
        <f>P16*Q16*12/1000</f>
        <v>13019.328</v>
      </c>
      <c r="S16" s="485">
        <v>49</v>
      </c>
      <c r="T16" s="3426">
        <v>24500</v>
      </c>
      <c r="U16" s="3421">
        <f>S16*T16*12/1000</f>
        <v>14406</v>
      </c>
      <c r="V16" s="3422">
        <v>48</v>
      </c>
      <c r="W16" s="484">
        <f>X16/V16/9*1000</f>
        <v>21462.037037037036</v>
      </c>
      <c r="X16" s="3423">
        <v>9271.6</v>
      </c>
      <c r="Y16" s="485">
        <v>48</v>
      </c>
      <c r="Z16" s="484">
        <f>AA16/12/Y16*1000</f>
        <v>23137.326388888891</v>
      </c>
      <c r="AA16" s="486">
        <v>13327.1</v>
      </c>
      <c r="AB16" s="485">
        <v>49</v>
      </c>
      <c r="AC16" s="484">
        <v>28797</v>
      </c>
      <c r="AD16" s="487">
        <f t="shared" si="0"/>
        <v>117.53877551020409</v>
      </c>
      <c r="AE16" s="487">
        <f t="shared" si="1"/>
        <v>124.46122562297874</v>
      </c>
      <c r="AF16" s="486">
        <f>AB16*AC16*12/1000</f>
        <v>16932.635999999999</v>
      </c>
      <c r="AG16" s="485"/>
      <c r="AH16" s="484"/>
      <c r="AI16" s="488"/>
      <c r="AJ16" s="489"/>
      <c r="AK16" s="490"/>
      <c r="AL16" s="485">
        <v>49</v>
      </c>
      <c r="AM16" s="491">
        <f>T16*1.071</f>
        <v>26239.5</v>
      </c>
      <c r="AN16" s="482">
        <f>AM16/T16*100</f>
        <v>107.1</v>
      </c>
      <c r="AO16" s="492">
        <f t="shared" si="2"/>
        <v>113.40765808015247</v>
      </c>
      <c r="AP16" s="486">
        <f>AL16*AM16*12/1000</f>
        <v>15428.825999999999</v>
      </c>
      <c r="AQ16" s="846"/>
      <c r="AR16" s="846"/>
      <c r="AS16" s="846"/>
      <c r="AT16" s="846"/>
      <c r="AU16" s="485">
        <v>49</v>
      </c>
      <c r="AV16" s="484">
        <f>AW16/9/AU16*1000</f>
        <v>25834.24036281179</v>
      </c>
      <c r="AW16" s="486">
        <v>11392.9</v>
      </c>
      <c r="AX16" s="485">
        <v>49</v>
      </c>
      <c r="AY16" s="484">
        <f>AZ16/3/AX16*1000</f>
        <v>28514.285714285717</v>
      </c>
      <c r="AZ16" s="486">
        <v>4191.6000000000004</v>
      </c>
      <c r="BA16" s="485">
        <v>49</v>
      </c>
      <c r="BB16" s="491">
        <f>BC16/12/BA16*1000</f>
        <v>26018.707482993199</v>
      </c>
      <c r="BC16" s="493">
        <v>15299</v>
      </c>
      <c r="BD16" s="3411">
        <f>(M16+P16+Y16+BA16)/4</f>
        <v>51.25</v>
      </c>
      <c r="BE16" s="3412"/>
      <c r="BF16" s="3412"/>
      <c r="BG16" s="3412"/>
      <c r="BH16" s="3412"/>
      <c r="BI16" s="3412"/>
      <c r="BJ16" s="3412"/>
      <c r="BK16" s="3412"/>
      <c r="BL16" s="3412"/>
      <c r="BM16" s="3412"/>
      <c r="BN16" s="3412"/>
      <c r="BO16" s="3412"/>
      <c r="BP16" s="3412"/>
      <c r="BQ16" s="3412"/>
      <c r="BR16" s="3412"/>
      <c r="BS16" s="3412"/>
      <c r="BT16" s="3412"/>
      <c r="BU16" s="3412"/>
      <c r="BV16" s="3412"/>
      <c r="BW16" s="3412"/>
      <c r="BX16" s="3412"/>
      <c r="BY16" s="3412"/>
      <c r="BZ16" s="3412"/>
      <c r="CA16" s="3412"/>
      <c r="CB16" s="3412"/>
      <c r="CC16" s="3412"/>
      <c r="CD16" s="3412"/>
      <c r="CE16" s="3412"/>
      <c r="CF16" s="3412"/>
      <c r="CG16" s="3412"/>
      <c r="CH16" s="3412"/>
      <c r="CI16" s="3412"/>
      <c r="CJ16" s="3412"/>
      <c r="CK16" s="3412"/>
      <c r="CL16" s="3412"/>
      <c r="CM16" s="3412"/>
      <c r="CN16" s="3412"/>
      <c r="CO16" s="3412"/>
      <c r="CP16" s="3412"/>
      <c r="CQ16" s="3412"/>
      <c r="CR16" s="3412"/>
      <c r="CS16" s="3412"/>
      <c r="CT16" s="3412"/>
      <c r="CU16" s="3412"/>
      <c r="CV16" s="3412"/>
      <c r="CW16" s="3412"/>
      <c r="CX16" s="3412"/>
      <c r="CY16" s="3412"/>
      <c r="CZ16" s="3412"/>
      <c r="DA16" s="3412"/>
      <c r="DB16" s="3412"/>
      <c r="DC16" s="3412"/>
      <c r="DD16" s="3412"/>
      <c r="DE16" s="3412"/>
      <c r="DF16" s="3412"/>
      <c r="DG16" s="3412"/>
      <c r="DH16" s="3412"/>
      <c r="DI16" s="3412"/>
      <c r="DJ16" s="3412"/>
      <c r="DK16" s="3412"/>
      <c r="DL16" s="3412"/>
      <c r="DM16" s="3412"/>
      <c r="DN16" s="2112"/>
      <c r="DO16" s="2112"/>
    </row>
    <row r="17" spans="1:128" ht="93.75" hidden="1" x14ac:dyDescent="0.3">
      <c r="A17" s="3413" t="s">
        <v>197</v>
      </c>
      <c r="B17" s="3427" t="s">
        <v>199</v>
      </c>
      <c r="C17" s="3415"/>
      <c r="D17" s="3416"/>
      <c r="E17" s="486"/>
      <c r="F17" s="3417"/>
      <c r="G17" s="3416"/>
      <c r="H17" s="493"/>
      <c r="I17" s="3418"/>
      <c r="J17" s="3416"/>
      <c r="K17" s="3403"/>
      <c r="L17" s="493"/>
      <c r="M17" s="3418">
        <v>6</v>
      </c>
      <c r="N17" s="475">
        <f>O17/M17/12*1000</f>
        <v>18130.555555555555</v>
      </c>
      <c r="O17" s="486">
        <v>1305.4000000000001</v>
      </c>
      <c r="P17" s="3425">
        <v>6</v>
      </c>
      <c r="Q17" s="491">
        <f>R17/P17/12*1000</f>
        <v>22363.888888888891</v>
      </c>
      <c r="R17" s="3420">
        <v>1610.2</v>
      </c>
      <c r="S17" s="485">
        <v>7</v>
      </c>
      <c r="T17" s="3426">
        <v>22943</v>
      </c>
      <c r="U17" s="3421">
        <f>S17*T17*12/1000</f>
        <v>1927.212</v>
      </c>
      <c r="V17" s="3422">
        <v>7</v>
      </c>
      <c r="W17" s="484">
        <f>X17/V17/9*1000</f>
        <v>18404.761904761905</v>
      </c>
      <c r="X17" s="3423">
        <v>1159.5</v>
      </c>
      <c r="Y17" s="485">
        <v>5</v>
      </c>
      <c r="Z17" s="484">
        <f>AA17/12/Y17*1000</f>
        <v>28281.666666666668</v>
      </c>
      <c r="AA17" s="486">
        <v>1696.9</v>
      </c>
      <c r="AB17" s="485">
        <v>7</v>
      </c>
      <c r="AC17" s="484">
        <v>29211</v>
      </c>
      <c r="AD17" s="487">
        <f t="shared" si="0"/>
        <v>127.31987970186984</v>
      </c>
      <c r="AE17" s="487">
        <f t="shared" si="1"/>
        <v>103.2859921032471</v>
      </c>
      <c r="AF17" s="486">
        <f>AB17*AC17*12/1000</f>
        <v>2453.7240000000002</v>
      </c>
      <c r="AG17" s="485"/>
      <c r="AH17" s="484"/>
      <c r="AI17" s="488"/>
      <c r="AJ17" s="489"/>
      <c r="AK17" s="490"/>
      <c r="AL17" s="485">
        <v>7</v>
      </c>
      <c r="AM17" s="491">
        <f>T17*1.071</f>
        <v>24571.952999999998</v>
      </c>
      <c r="AN17" s="482">
        <f>AM17/T17*100</f>
        <v>107.1</v>
      </c>
      <c r="AO17" s="492">
        <f t="shared" si="2"/>
        <v>86.882973657846648</v>
      </c>
      <c r="AP17" s="486">
        <f>AL17*AM17*12/1000</f>
        <v>2064.0440519999997</v>
      </c>
      <c r="AQ17" s="846"/>
      <c r="AR17" s="846"/>
      <c r="AS17" s="846"/>
      <c r="AT17" s="846"/>
      <c r="AU17" s="485">
        <v>6</v>
      </c>
      <c r="AV17" s="484">
        <f>AW17/9/AU17*1000</f>
        <v>23866.666666666664</v>
      </c>
      <c r="AW17" s="486">
        <v>1288.8</v>
      </c>
      <c r="AX17" s="485">
        <v>6</v>
      </c>
      <c r="AY17" s="484">
        <f>AZ17/3/AX17*1000</f>
        <v>29477.777777777777</v>
      </c>
      <c r="AZ17" s="486">
        <v>530.6</v>
      </c>
      <c r="BA17" s="485">
        <v>6</v>
      </c>
      <c r="BB17" s="491">
        <f>BC17/12/BA17*1000</f>
        <v>24416.666666666668</v>
      </c>
      <c r="BC17" s="493">
        <v>1758</v>
      </c>
      <c r="BD17" s="3411">
        <f>(M17+P17+Y17+BA17)/4</f>
        <v>5.75</v>
      </c>
      <c r="BE17" s="3412"/>
      <c r="BF17" s="3412"/>
      <c r="BG17" s="3412"/>
      <c r="BH17" s="3412"/>
      <c r="BI17" s="3412"/>
      <c r="BJ17" s="3412"/>
      <c r="BK17" s="3412"/>
      <c r="BL17" s="3412"/>
      <c r="BM17" s="3412"/>
      <c r="BN17" s="3412"/>
      <c r="BO17" s="3412"/>
      <c r="BP17" s="3412"/>
      <c r="BQ17" s="3412"/>
      <c r="BR17" s="3412"/>
      <c r="BS17" s="3412"/>
      <c r="BT17" s="3412"/>
      <c r="BU17" s="3412"/>
      <c r="BV17" s="3412"/>
      <c r="BW17" s="3412"/>
      <c r="BX17" s="3412"/>
      <c r="BY17" s="3412"/>
      <c r="BZ17" s="3412"/>
      <c r="CA17" s="3412"/>
      <c r="CB17" s="3412"/>
      <c r="CC17" s="3412"/>
      <c r="CD17" s="3412"/>
      <c r="CE17" s="3412"/>
      <c r="CF17" s="3412"/>
      <c r="CG17" s="3412"/>
      <c r="CH17" s="3412"/>
      <c r="CI17" s="3412"/>
      <c r="CJ17" s="3412"/>
      <c r="CK17" s="3412"/>
      <c r="CL17" s="3412"/>
      <c r="CM17" s="3412"/>
      <c r="CN17" s="3412"/>
      <c r="CO17" s="3412"/>
      <c r="CP17" s="3412"/>
      <c r="CQ17" s="3412"/>
      <c r="CR17" s="3412"/>
      <c r="CS17" s="3412"/>
      <c r="CT17" s="3412"/>
      <c r="CU17" s="3412"/>
      <c r="CV17" s="3412"/>
      <c r="CW17" s="3412"/>
      <c r="CX17" s="3412"/>
      <c r="CY17" s="3412"/>
      <c r="CZ17" s="3412"/>
      <c r="DA17" s="3412"/>
      <c r="DB17" s="3412"/>
      <c r="DC17" s="3412"/>
      <c r="DD17" s="3412"/>
      <c r="DE17" s="3412"/>
      <c r="DF17" s="3412"/>
      <c r="DG17" s="3412"/>
      <c r="DH17" s="3412"/>
      <c r="DI17" s="3412"/>
      <c r="DJ17" s="3412"/>
      <c r="DK17" s="3412"/>
      <c r="DL17" s="3412"/>
      <c r="DM17" s="3412"/>
      <c r="DN17" s="2112"/>
      <c r="DO17" s="2112"/>
    </row>
    <row r="18" spans="1:128" ht="19.5" hidden="1" thickBot="1" x14ac:dyDescent="0.35">
      <c r="A18" s="3428" t="s">
        <v>198</v>
      </c>
      <c r="B18" s="3429" t="s">
        <v>86</v>
      </c>
      <c r="C18" s="3430"/>
      <c r="D18" s="3431"/>
      <c r="E18" s="506"/>
      <c r="F18" s="3432"/>
      <c r="G18" s="3431"/>
      <c r="H18" s="511"/>
      <c r="I18" s="3433"/>
      <c r="J18" s="3431"/>
      <c r="K18" s="3434"/>
      <c r="L18" s="511"/>
      <c r="M18" s="3433">
        <v>17</v>
      </c>
      <c r="N18" s="3431">
        <v>14540</v>
      </c>
      <c r="O18" s="506">
        <f>M18*N18*12/1000</f>
        <v>2966.16</v>
      </c>
      <c r="P18" s="3435">
        <v>15</v>
      </c>
      <c r="Q18" s="508">
        <v>23628</v>
      </c>
      <c r="R18" s="3436">
        <f>P18*Q18*12/1000</f>
        <v>4253.04</v>
      </c>
      <c r="S18" s="2083">
        <v>19</v>
      </c>
      <c r="T18" s="802">
        <v>21140</v>
      </c>
      <c r="U18" s="3437">
        <f>S18*T18*12/1000</f>
        <v>4819.92</v>
      </c>
      <c r="V18" s="3438">
        <v>16</v>
      </c>
      <c r="W18" s="504">
        <f>X18/V18/9*1000</f>
        <v>21378.472222222223</v>
      </c>
      <c r="X18" s="3439">
        <v>3078.5</v>
      </c>
      <c r="Y18" s="2083">
        <v>15</v>
      </c>
      <c r="Z18" s="504">
        <f>AA18/12/Y18*1000</f>
        <v>25319.444444444445</v>
      </c>
      <c r="AA18" s="506">
        <v>4557.5</v>
      </c>
      <c r="AB18" s="2083">
        <v>19</v>
      </c>
      <c r="AC18" s="504">
        <v>28868</v>
      </c>
      <c r="AD18" s="507">
        <f t="shared" si="0"/>
        <v>136.55629139072846</v>
      </c>
      <c r="AE18" s="507">
        <f t="shared" si="1"/>
        <v>114.01513987931979</v>
      </c>
      <c r="AF18" s="506">
        <f>AB18*AC18*12/1000</f>
        <v>6581.9040000000005</v>
      </c>
      <c r="AG18" s="485"/>
      <c r="AH18" s="484"/>
      <c r="AI18" s="488"/>
      <c r="AJ18" s="489"/>
      <c r="AK18" s="490"/>
      <c r="AL18" s="2083">
        <v>19</v>
      </c>
      <c r="AM18" s="508">
        <f>T18*1.071</f>
        <v>22640.94</v>
      </c>
      <c r="AN18" s="509">
        <f>AM18/T18*100</f>
        <v>107.1</v>
      </c>
      <c r="AO18" s="510">
        <f t="shared" si="2"/>
        <v>89.421156335710364</v>
      </c>
      <c r="AP18" s="506">
        <f>AL18*AM18*12/1000</f>
        <v>5162.1343200000001</v>
      </c>
      <c r="AQ18" s="847"/>
      <c r="AR18" s="847"/>
      <c r="AS18" s="847"/>
      <c r="AT18" s="847"/>
      <c r="AU18" s="2083">
        <v>17</v>
      </c>
      <c r="AV18" s="504">
        <f>AW18/9/AU18*1000</f>
        <v>24713.071895424837</v>
      </c>
      <c r="AW18" s="506">
        <v>3781.1</v>
      </c>
      <c r="AX18" s="2083">
        <v>17</v>
      </c>
      <c r="AY18" s="504">
        <f>AZ18/3/AX18*1000</f>
        <v>28013.725490196081</v>
      </c>
      <c r="AZ18" s="506">
        <v>1428.7</v>
      </c>
      <c r="BA18" s="2083">
        <v>17</v>
      </c>
      <c r="BB18" s="508">
        <f>BC18/12/BA18*1000</f>
        <v>24494.117647058825</v>
      </c>
      <c r="BC18" s="511">
        <v>4996.8</v>
      </c>
      <c r="BD18" s="3411">
        <f>(M18+P18+Y18+BA18)/4</f>
        <v>16</v>
      </c>
      <c r="BE18" s="3412"/>
      <c r="BF18" s="3412"/>
      <c r="BG18" s="3412"/>
      <c r="BH18" s="3412"/>
      <c r="BI18" s="3412"/>
      <c r="BJ18" s="3412"/>
      <c r="BK18" s="3412"/>
      <c r="BL18" s="3412"/>
      <c r="BM18" s="3412"/>
      <c r="BN18" s="3412"/>
      <c r="BO18" s="3412"/>
      <c r="BP18" s="3412"/>
      <c r="BQ18" s="3412"/>
      <c r="BR18" s="3412"/>
      <c r="BS18" s="3412"/>
      <c r="BT18" s="3412"/>
      <c r="BU18" s="3412"/>
      <c r="BV18" s="3412"/>
      <c r="BW18" s="3412"/>
      <c r="BX18" s="3412"/>
      <c r="BY18" s="3412"/>
      <c r="BZ18" s="3412"/>
      <c r="CA18" s="3412"/>
      <c r="CB18" s="3412"/>
      <c r="CC18" s="3412"/>
      <c r="CD18" s="3412"/>
      <c r="CE18" s="3412"/>
      <c r="CF18" s="3412"/>
      <c r="CG18" s="3412"/>
      <c r="CH18" s="3412"/>
      <c r="CI18" s="3412"/>
      <c r="CJ18" s="3412"/>
      <c r="CK18" s="3412"/>
      <c r="CL18" s="3412"/>
      <c r="CM18" s="3412"/>
      <c r="CN18" s="3412"/>
      <c r="CO18" s="3412"/>
      <c r="CP18" s="3412"/>
      <c r="CQ18" s="3412"/>
      <c r="CR18" s="3412"/>
      <c r="CS18" s="3412"/>
      <c r="CT18" s="3412"/>
      <c r="CU18" s="3412"/>
      <c r="CV18" s="3412"/>
      <c r="CW18" s="3412"/>
      <c r="CX18" s="3412"/>
      <c r="CY18" s="3412"/>
      <c r="CZ18" s="3412"/>
      <c r="DA18" s="3412"/>
      <c r="DB18" s="3412"/>
      <c r="DC18" s="3412"/>
      <c r="DD18" s="3412"/>
      <c r="DE18" s="3412"/>
      <c r="DF18" s="3412"/>
      <c r="DG18" s="3412"/>
      <c r="DH18" s="3412"/>
      <c r="DI18" s="3412"/>
      <c r="DJ18" s="3412"/>
      <c r="DK18" s="3412"/>
      <c r="DL18" s="3412"/>
      <c r="DM18" s="3412"/>
      <c r="DN18" s="2112"/>
      <c r="DO18" s="2112"/>
    </row>
    <row r="19" spans="1:128" ht="18.75" x14ac:dyDescent="0.3">
      <c r="A19" s="2674"/>
      <c r="B19" s="2674"/>
      <c r="C19" s="2674"/>
      <c r="D19" s="2674"/>
      <c r="E19" s="2674"/>
      <c r="F19" s="2674"/>
      <c r="G19" s="2674"/>
      <c r="H19" s="2674"/>
      <c r="I19" s="2674"/>
      <c r="J19" s="2674"/>
      <c r="K19" s="2674"/>
      <c r="L19" s="2674"/>
      <c r="M19" s="2674"/>
      <c r="N19" s="2674"/>
      <c r="O19" s="2674"/>
      <c r="P19" s="2674"/>
      <c r="Q19" s="2674"/>
      <c r="R19" s="2674"/>
      <c r="S19" s="2674"/>
      <c r="T19" s="2674"/>
      <c r="U19" s="2674"/>
      <c r="V19" s="2674"/>
      <c r="W19" s="2674"/>
      <c r="X19" s="2674"/>
      <c r="Y19" s="2674"/>
      <c r="Z19" s="2674"/>
      <c r="AA19" s="2674"/>
      <c r="AB19" s="2674"/>
      <c r="AC19" s="2674"/>
      <c r="AD19" s="2674"/>
      <c r="AE19" s="2674"/>
      <c r="AF19" s="2674"/>
      <c r="AG19" s="2674"/>
      <c r="AH19" s="2674"/>
      <c r="AI19" s="2674"/>
      <c r="AJ19" s="2674"/>
      <c r="AK19" s="2674"/>
      <c r="AL19" s="2674"/>
      <c r="AM19" s="2674"/>
      <c r="AN19" s="2674"/>
      <c r="AO19" s="2674"/>
      <c r="AP19" s="2674"/>
      <c r="AQ19" s="2674"/>
      <c r="AR19" s="2674"/>
      <c r="AS19" s="2674"/>
      <c r="AT19" s="2674"/>
      <c r="AU19" s="2674"/>
      <c r="AV19" s="2674"/>
      <c r="AW19" s="2674"/>
      <c r="AX19" s="2674"/>
      <c r="AY19" s="2674"/>
      <c r="AZ19" s="2674"/>
      <c r="BA19" s="2674"/>
      <c r="BB19" s="2674"/>
      <c r="BC19" s="2674"/>
      <c r="BD19" s="2674"/>
      <c r="BE19" s="2674"/>
      <c r="BF19" s="2674"/>
      <c r="BG19" s="2674"/>
      <c r="BH19" s="2674"/>
      <c r="BI19" s="2674"/>
      <c r="BJ19" s="2674"/>
      <c r="BK19" s="2674"/>
      <c r="BL19" s="2674"/>
      <c r="BM19" s="2674"/>
      <c r="BN19" s="2674"/>
      <c r="BO19" s="2674"/>
      <c r="BP19" s="2674"/>
      <c r="BQ19" s="2674"/>
      <c r="BR19" s="2674"/>
      <c r="BS19" s="2674"/>
      <c r="BT19" s="2674"/>
      <c r="BU19" s="2674"/>
      <c r="BV19" s="2674"/>
      <c r="BW19" s="2674"/>
      <c r="BX19" s="2674"/>
      <c r="BY19" s="2674"/>
      <c r="BZ19" s="2674"/>
      <c r="CA19" s="2674"/>
      <c r="CB19" s="2674"/>
      <c r="CC19" s="2674"/>
      <c r="CD19" s="2674"/>
      <c r="CE19" s="2674"/>
      <c r="CF19" s="2674"/>
      <c r="CG19" s="2674"/>
      <c r="CH19" s="2674"/>
      <c r="CI19" s="2674"/>
      <c r="CJ19" s="2674"/>
      <c r="CK19" s="2674"/>
      <c r="CL19" s="2674"/>
      <c r="CM19" s="2674"/>
      <c r="CN19" s="2674"/>
      <c r="CO19" s="2674"/>
      <c r="CP19" s="2674"/>
      <c r="CQ19" s="2674"/>
      <c r="CR19" s="2674"/>
      <c r="CS19" s="2674"/>
      <c r="CT19" s="2674"/>
      <c r="CU19" s="2674"/>
      <c r="CV19" s="2674"/>
      <c r="CW19" s="2674"/>
      <c r="CX19" s="2674"/>
      <c r="CY19" s="2674"/>
      <c r="CZ19" s="2674"/>
      <c r="DA19" s="2674"/>
      <c r="DB19" s="2674"/>
      <c r="DC19" s="2674"/>
      <c r="DD19" s="2674"/>
      <c r="DE19" s="2674"/>
      <c r="DF19" s="2674"/>
      <c r="DG19" s="2674"/>
      <c r="DH19" s="2674"/>
      <c r="DI19" s="2674"/>
      <c r="DJ19" s="2674"/>
      <c r="DK19" s="2674"/>
      <c r="DL19" s="2674"/>
      <c r="DM19" s="2674"/>
      <c r="DN19" s="389"/>
      <c r="DO19" s="389"/>
    </row>
    <row r="20" spans="1:128" ht="12.75" customHeight="1" x14ac:dyDescent="0.2">
      <c r="A20" s="5096" t="s">
        <v>166</v>
      </c>
      <c r="B20" s="5096" t="s">
        <v>167</v>
      </c>
      <c r="C20" s="2601"/>
      <c r="D20" s="2601"/>
      <c r="E20" s="2601"/>
      <c r="F20" s="2601"/>
      <c r="G20" s="2601"/>
      <c r="H20" s="2601"/>
      <c r="I20" s="2601"/>
      <c r="J20" s="2601"/>
      <c r="K20" s="2601"/>
      <c r="L20" s="2601"/>
      <c r="M20" s="5101" t="s">
        <v>229</v>
      </c>
      <c r="N20" s="5101"/>
      <c r="O20" s="5101"/>
      <c r="P20" s="5101"/>
      <c r="Q20" s="5101"/>
      <c r="R20" s="5101"/>
      <c r="S20" s="5101"/>
      <c r="T20" s="5101"/>
      <c r="U20" s="5101"/>
      <c r="V20" s="5101"/>
      <c r="W20" s="5101"/>
      <c r="X20" s="5101"/>
      <c r="Y20" s="5101"/>
      <c r="Z20" s="5101"/>
      <c r="AA20" s="5101"/>
      <c r="AB20" s="5101"/>
      <c r="AC20" s="5101"/>
      <c r="AD20" s="5101"/>
      <c r="AE20" s="5101"/>
      <c r="AF20" s="5101"/>
      <c r="AG20" s="5101"/>
      <c r="AH20" s="5101"/>
      <c r="AI20" s="5101"/>
      <c r="AJ20" s="5101"/>
      <c r="AK20" s="5101"/>
      <c r="AL20" s="5101"/>
      <c r="AM20" s="5101"/>
      <c r="AN20" s="5101"/>
      <c r="AO20" s="5101"/>
      <c r="AP20" s="5101"/>
      <c r="AQ20" s="5101"/>
      <c r="AR20" s="5101"/>
      <c r="AS20" s="5101"/>
      <c r="AT20" s="5101"/>
      <c r="AU20" s="5101" t="s">
        <v>364</v>
      </c>
      <c r="AV20" s="5101"/>
      <c r="AW20" s="5101"/>
      <c r="AX20" s="5101"/>
      <c r="AY20" s="5101"/>
      <c r="AZ20" s="5101"/>
      <c r="BA20" s="5101"/>
      <c r="BB20" s="5101"/>
      <c r="BC20" s="5101"/>
      <c r="BD20" s="5101"/>
      <c r="BE20" s="5101"/>
      <c r="BF20" s="5101"/>
      <c r="BG20" s="5101"/>
      <c r="BH20" s="5101"/>
      <c r="BI20" s="5101"/>
      <c r="BJ20" s="5101"/>
      <c r="BK20" s="5101"/>
      <c r="BL20" s="5101"/>
      <c r="BM20" s="5101" t="s">
        <v>818</v>
      </c>
      <c r="BN20" s="5101"/>
      <c r="BO20" s="5101"/>
      <c r="BP20" s="5101"/>
      <c r="BQ20" s="5101"/>
      <c r="BR20" s="5101"/>
      <c r="BS20" s="5101"/>
      <c r="BT20" s="5101"/>
      <c r="BU20" s="5101"/>
      <c r="BV20" s="5101"/>
      <c r="BW20" s="5101"/>
      <c r="BX20" s="5065" t="s">
        <v>895</v>
      </c>
      <c r="BY20" s="5066"/>
      <c r="BZ20" s="5066"/>
      <c r="CA20" s="5066"/>
      <c r="CB20" s="5066"/>
      <c r="CC20" s="5066"/>
      <c r="CD20" s="5066"/>
      <c r="CE20" s="5066"/>
      <c r="CF20" s="5067"/>
      <c r="CG20" s="5065" t="s">
        <v>896</v>
      </c>
      <c r="CH20" s="5066"/>
      <c r="CI20" s="5066"/>
      <c r="CJ20" s="5116"/>
      <c r="CK20" s="5116"/>
      <c r="CL20" s="5117"/>
      <c r="CM20" s="5065" t="s">
        <v>1802</v>
      </c>
      <c r="CN20" s="5066"/>
      <c r="CO20" s="5066"/>
      <c r="CP20" s="5066"/>
      <c r="CQ20" s="5066"/>
      <c r="CR20" s="5067"/>
      <c r="CS20" s="5072" t="s">
        <v>1808</v>
      </c>
      <c r="CT20" s="5073"/>
      <c r="CU20" s="5073"/>
      <c r="CV20" s="5073"/>
      <c r="CW20" s="5073"/>
      <c r="CX20" s="5074"/>
      <c r="CY20" s="5053" t="s">
        <v>3643</v>
      </c>
      <c r="CZ20" s="5054"/>
      <c r="DA20" s="5055"/>
      <c r="DB20" s="5053" t="s">
        <v>3644</v>
      </c>
      <c r="DC20" s="5054"/>
      <c r="DD20" s="5055"/>
      <c r="DE20" s="5053" t="s">
        <v>3642</v>
      </c>
      <c r="DF20" s="5054"/>
      <c r="DG20" s="5055"/>
      <c r="DH20" s="5072" t="s">
        <v>1809</v>
      </c>
      <c r="DI20" s="5073"/>
      <c r="DJ20" s="5073"/>
      <c r="DK20" s="5073"/>
      <c r="DL20" s="5073"/>
      <c r="DM20" s="5074"/>
      <c r="DN20" s="5107" t="s">
        <v>237</v>
      </c>
      <c r="DO20" s="28"/>
      <c r="DP20" s="5053" t="s">
        <v>3940</v>
      </c>
      <c r="DQ20" s="5054"/>
      <c r="DR20" s="5055"/>
      <c r="DS20" s="5053" t="s">
        <v>3941</v>
      </c>
      <c r="DT20" s="5054"/>
      <c r="DU20" s="5055"/>
      <c r="DV20" s="5053" t="s">
        <v>3942</v>
      </c>
      <c r="DW20" s="5054"/>
      <c r="DX20" s="5055"/>
    </row>
    <row r="21" spans="1:128" ht="12.75" customHeight="1" x14ac:dyDescent="0.2">
      <c r="A21" s="4834"/>
      <c r="B21" s="4834"/>
      <c r="C21" s="5064" t="s">
        <v>168</v>
      </c>
      <c r="D21" s="5064"/>
      <c r="E21" s="5064"/>
      <c r="F21" s="5064" t="s">
        <v>169</v>
      </c>
      <c r="G21" s="5064"/>
      <c r="H21" s="5064"/>
      <c r="I21" s="5064" t="s">
        <v>170</v>
      </c>
      <c r="J21" s="5064"/>
      <c r="K21" s="5064"/>
      <c r="L21" s="5064"/>
      <c r="M21" s="5064" t="s">
        <v>227</v>
      </c>
      <c r="N21" s="5064"/>
      <c r="O21" s="5064"/>
      <c r="P21" s="5064"/>
      <c r="Q21" s="5064"/>
      <c r="R21" s="5078"/>
      <c r="S21" s="5064" t="s">
        <v>228</v>
      </c>
      <c r="T21" s="5064"/>
      <c r="U21" s="5064"/>
      <c r="V21" s="5064"/>
      <c r="W21" s="5064"/>
      <c r="X21" s="5064" t="s">
        <v>415</v>
      </c>
      <c r="Y21" s="5064"/>
      <c r="Z21" s="5064"/>
      <c r="AA21" s="5064"/>
      <c r="AB21" s="5064"/>
      <c r="AC21" s="1732"/>
      <c r="AD21" s="1732"/>
      <c r="AE21" s="1732"/>
      <c r="AF21" s="1732"/>
      <c r="AG21" s="1732"/>
      <c r="AH21" s="1732"/>
      <c r="AI21" s="1732"/>
      <c r="AJ21" s="1732"/>
      <c r="AK21" s="1732"/>
      <c r="AL21" s="5064" t="s">
        <v>416</v>
      </c>
      <c r="AM21" s="5064"/>
      <c r="AN21" s="5064"/>
      <c r="AO21" s="5064"/>
      <c r="AP21" s="5064"/>
      <c r="AQ21" s="5064" t="s">
        <v>817</v>
      </c>
      <c r="AR21" s="5096"/>
      <c r="AS21" s="5096"/>
      <c r="AT21" s="5096"/>
      <c r="AU21" s="5064" t="s">
        <v>367</v>
      </c>
      <c r="AV21" s="5064"/>
      <c r="AW21" s="5064"/>
      <c r="AX21" s="5064"/>
      <c r="AY21" s="5064"/>
      <c r="AZ21" s="5064" t="s">
        <v>371</v>
      </c>
      <c r="BA21" s="5064"/>
      <c r="BB21" s="5064"/>
      <c r="BC21" s="5064"/>
      <c r="BD21" s="5064"/>
      <c r="BE21" s="5064" t="s">
        <v>844</v>
      </c>
      <c r="BF21" s="5064"/>
      <c r="BG21" s="5064"/>
      <c r="BH21" s="5064"/>
      <c r="BI21" s="5064" t="s">
        <v>843</v>
      </c>
      <c r="BJ21" s="5064"/>
      <c r="BK21" s="5064"/>
      <c r="BL21" s="5064"/>
      <c r="BM21" s="5064" t="s">
        <v>845</v>
      </c>
      <c r="BN21" s="5064"/>
      <c r="BO21" s="5064"/>
      <c r="BP21" s="5064"/>
      <c r="BQ21" s="5064" t="s">
        <v>1588</v>
      </c>
      <c r="BR21" s="5064"/>
      <c r="BS21" s="5064"/>
      <c r="BT21" s="5064"/>
      <c r="BU21" s="5075" t="s">
        <v>60</v>
      </c>
      <c r="BV21" s="5068"/>
      <c r="BW21" s="5069"/>
      <c r="BX21" s="5075" t="s">
        <v>60</v>
      </c>
      <c r="BY21" s="5068"/>
      <c r="BZ21" s="5069"/>
      <c r="CA21" s="5064" t="s">
        <v>1588</v>
      </c>
      <c r="CB21" s="5064"/>
      <c r="CC21" s="5064"/>
      <c r="CD21" s="5068" t="s">
        <v>1678</v>
      </c>
      <c r="CE21" s="5068"/>
      <c r="CF21" s="5069"/>
      <c r="CG21" s="5064" t="s">
        <v>1588</v>
      </c>
      <c r="CH21" s="5064"/>
      <c r="CI21" s="5064"/>
      <c r="CJ21" s="5075" t="s">
        <v>60</v>
      </c>
      <c r="CK21" s="5118"/>
      <c r="CL21" s="5119"/>
      <c r="CM21" s="5075" t="s">
        <v>119</v>
      </c>
      <c r="CN21" s="5068"/>
      <c r="CO21" s="5069"/>
      <c r="CP21" s="5075" t="s">
        <v>1524</v>
      </c>
      <c r="CQ21" s="5068"/>
      <c r="CR21" s="5069"/>
      <c r="CS21" s="5075" t="s">
        <v>3516</v>
      </c>
      <c r="CT21" s="5068"/>
      <c r="CU21" s="5069"/>
      <c r="CV21" s="5075" t="s">
        <v>3695</v>
      </c>
      <c r="CW21" s="5068"/>
      <c r="CX21" s="5069"/>
      <c r="CY21" s="5056"/>
      <c r="CZ21" s="5057"/>
      <c r="DA21" s="5058"/>
      <c r="DB21" s="5056"/>
      <c r="DC21" s="5057"/>
      <c r="DD21" s="5058"/>
      <c r="DE21" s="5056"/>
      <c r="DF21" s="5057"/>
      <c r="DG21" s="5058"/>
      <c r="DH21" s="5075" t="s">
        <v>3516</v>
      </c>
      <c r="DI21" s="5068"/>
      <c r="DJ21" s="5069"/>
      <c r="DK21" s="5075" t="s">
        <v>3695</v>
      </c>
      <c r="DL21" s="5068"/>
      <c r="DM21" s="5069"/>
      <c r="DN21" s="5108"/>
      <c r="DO21" s="2114"/>
      <c r="DP21" s="5056"/>
      <c r="DQ21" s="5057"/>
      <c r="DR21" s="5058"/>
      <c r="DS21" s="5056"/>
      <c r="DT21" s="5057"/>
      <c r="DU21" s="5058"/>
      <c r="DV21" s="5056"/>
      <c r="DW21" s="5057"/>
      <c r="DX21" s="5058"/>
    </row>
    <row r="22" spans="1:128" ht="18.75" customHeight="1" x14ac:dyDescent="0.2">
      <c r="A22" s="4834"/>
      <c r="B22" s="4834"/>
      <c r="C22" s="5064"/>
      <c r="D22" s="5064"/>
      <c r="E22" s="5064"/>
      <c r="F22" s="5064"/>
      <c r="G22" s="5064"/>
      <c r="H22" s="5064"/>
      <c r="I22" s="3330"/>
      <c r="J22" s="3330"/>
      <c r="K22" s="3330"/>
      <c r="L22" s="3330"/>
      <c r="M22" s="5064"/>
      <c r="N22" s="5064"/>
      <c r="O22" s="5064"/>
      <c r="P22" s="5064"/>
      <c r="Q22" s="5064"/>
      <c r="R22" s="5078"/>
      <c r="S22" s="5064"/>
      <c r="T22" s="5064"/>
      <c r="U22" s="5064"/>
      <c r="V22" s="5064"/>
      <c r="W22" s="5064"/>
      <c r="X22" s="5064"/>
      <c r="Y22" s="5064"/>
      <c r="Z22" s="5064"/>
      <c r="AA22" s="5064"/>
      <c r="AB22" s="5064"/>
      <c r="AC22" s="1732"/>
      <c r="AD22" s="1732"/>
      <c r="AE22" s="1732"/>
      <c r="AF22" s="1732"/>
      <c r="AG22" s="1732"/>
      <c r="AH22" s="1732"/>
      <c r="AI22" s="1732"/>
      <c r="AJ22" s="1732"/>
      <c r="AK22" s="1732"/>
      <c r="AL22" s="5064"/>
      <c r="AM22" s="5064"/>
      <c r="AN22" s="5064"/>
      <c r="AO22" s="5064"/>
      <c r="AP22" s="5064"/>
      <c r="AQ22" s="5096"/>
      <c r="AR22" s="5096"/>
      <c r="AS22" s="5096"/>
      <c r="AT22" s="5096"/>
      <c r="AU22" s="5064"/>
      <c r="AV22" s="5064"/>
      <c r="AW22" s="5064"/>
      <c r="AX22" s="5064"/>
      <c r="AY22" s="5064"/>
      <c r="AZ22" s="5064"/>
      <c r="BA22" s="5064"/>
      <c r="BB22" s="5064"/>
      <c r="BC22" s="5064"/>
      <c r="BD22" s="5064"/>
      <c r="BE22" s="5064"/>
      <c r="BF22" s="5064"/>
      <c r="BG22" s="5064"/>
      <c r="BH22" s="5064"/>
      <c r="BI22" s="5064"/>
      <c r="BJ22" s="5064"/>
      <c r="BK22" s="5064"/>
      <c r="BL22" s="5064"/>
      <c r="BM22" s="5064"/>
      <c r="BN22" s="5064"/>
      <c r="BO22" s="5064"/>
      <c r="BP22" s="5064"/>
      <c r="BQ22" s="5064"/>
      <c r="BR22" s="5064"/>
      <c r="BS22" s="5064"/>
      <c r="BT22" s="5064"/>
      <c r="BU22" s="5076"/>
      <c r="BV22" s="5070"/>
      <c r="BW22" s="5071"/>
      <c r="BX22" s="5076"/>
      <c r="BY22" s="5070"/>
      <c r="BZ22" s="5071"/>
      <c r="CA22" s="5064"/>
      <c r="CB22" s="5064"/>
      <c r="CC22" s="5064"/>
      <c r="CD22" s="5070"/>
      <c r="CE22" s="5070"/>
      <c r="CF22" s="5071"/>
      <c r="CG22" s="5064"/>
      <c r="CH22" s="5064"/>
      <c r="CI22" s="5064"/>
      <c r="CJ22" s="5120"/>
      <c r="CK22" s="5121"/>
      <c r="CL22" s="5122"/>
      <c r="CM22" s="5076"/>
      <c r="CN22" s="5070"/>
      <c r="CO22" s="5071"/>
      <c r="CP22" s="5076"/>
      <c r="CQ22" s="5070"/>
      <c r="CR22" s="5071"/>
      <c r="CS22" s="5076"/>
      <c r="CT22" s="5070"/>
      <c r="CU22" s="5071"/>
      <c r="CV22" s="5076"/>
      <c r="CW22" s="5070"/>
      <c r="CX22" s="5071"/>
      <c r="CY22" s="5059"/>
      <c r="CZ22" s="5060"/>
      <c r="DA22" s="5061"/>
      <c r="DB22" s="5059"/>
      <c r="DC22" s="5060"/>
      <c r="DD22" s="5061"/>
      <c r="DE22" s="5059"/>
      <c r="DF22" s="5060"/>
      <c r="DG22" s="5061"/>
      <c r="DH22" s="5076"/>
      <c r="DI22" s="5070"/>
      <c r="DJ22" s="5071"/>
      <c r="DK22" s="5076"/>
      <c r="DL22" s="5070"/>
      <c r="DM22" s="5071"/>
      <c r="DN22" s="5108"/>
      <c r="DO22" s="2114"/>
      <c r="DP22" s="5059"/>
      <c r="DQ22" s="5060"/>
      <c r="DR22" s="5061"/>
      <c r="DS22" s="5059"/>
      <c r="DT22" s="5060"/>
      <c r="DU22" s="5061"/>
      <c r="DV22" s="5059"/>
      <c r="DW22" s="5060"/>
      <c r="DX22" s="5061"/>
    </row>
    <row r="23" spans="1:128" ht="75" customHeight="1" x14ac:dyDescent="0.2">
      <c r="A23" s="4834"/>
      <c r="B23" s="4834"/>
      <c r="C23" s="3333" t="s">
        <v>173</v>
      </c>
      <c r="D23" s="3333" t="s">
        <v>176</v>
      </c>
      <c r="E23" s="3333" t="s">
        <v>177</v>
      </c>
      <c r="F23" s="3333" t="s">
        <v>173</v>
      </c>
      <c r="G23" s="3333" t="s">
        <v>176</v>
      </c>
      <c r="H23" s="3333" t="s">
        <v>177</v>
      </c>
      <c r="I23" s="3333" t="s">
        <v>173</v>
      </c>
      <c r="J23" s="3333" t="s">
        <v>176</v>
      </c>
      <c r="K23" s="3333" t="s">
        <v>178</v>
      </c>
      <c r="L23" s="3333" t="s">
        <v>177</v>
      </c>
      <c r="M23" s="3333" t="s">
        <v>173</v>
      </c>
      <c r="N23" s="3333" t="s">
        <v>176</v>
      </c>
      <c r="O23" s="3333" t="s">
        <v>177</v>
      </c>
      <c r="P23" s="3333" t="s">
        <v>245</v>
      </c>
      <c r="Q23" s="3333" t="s">
        <v>246</v>
      </c>
      <c r="R23" s="5078"/>
      <c r="S23" s="3333" t="s">
        <v>173</v>
      </c>
      <c r="T23" s="3333" t="s">
        <v>176</v>
      </c>
      <c r="U23" s="3333" t="s">
        <v>177</v>
      </c>
      <c r="V23" s="3333" t="s">
        <v>245</v>
      </c>
      <c r="W23" s="3333" t="s">
        <v>246</v>
      </c>
      <c r="X23" s="3333" t="s">
        <v>173</v>
      </c>
      <c r="Y23" s="3333" t="s">
        <v>176</v>
      </c>
      <c r="Z23" s="3333" t="s">
        <v>177</v>
      </c>
      <c r="AA23" s="3333" t="s">
        <v>245</v>
      </c>
      <c r="AB23" s="3333" t="s">
        <v>246</v>
      </c>
      <c r="AC23" s="1732"/>
      <c r="AD23" s="1732"/>
      <c r="AE23" s="1732"/>
      <c r="AF23" s="1732"/>
      <c r="AG23" s="1732"/>
      <c r="AH23" s="1732"/>
      <c r="AI23" s="1732"/>
      <c r="AJ23" s="1732"/>
      <c r="AK23" s="1732"/>
      <c r="AL23" s="3333" t="s">
        <v>173</v>
      </c>
      <c r="AM23" s="3333" t="s">
        <v>176</v>
      </c>
      <c r="AN23" s="3333" t="s">
        <v>177</v>
      </c>
      <c r="AO23" s="3333" t="s">
        <v>245</v>
      </c>
      <c r="AP23" s="1732"/>
      <c r="AQ23" s="3333" t="s">
        <v>173</v>
      </c>
      <c r="AR23" s="3333" t="s">
        <v>176</v>
      </c>
      <c r="AS23" s="3333" t="s">
        <v>177</v>
      </c>
      <c r="AT23" s="3333" t="s">
        <v>245</v>
      </c>
      <c r="AU23" s="3333" t="s">
        <v>173</v>
      </c>
      <c r="AV23" s="3333" t="s">
        <v>176</v>
      </c>
      <c r="AW23" s="3333" t="s">
        <v>177</v>
      </c>
      <c r="AX23" s="3333" t="s">
        <v>245</v>
      </c>
      <c r="AY23" s="3333" t="s">
        <v>435</v>
      </c>
      <c r="AZ23" s="3333" t="s">
        <v>173</v>
      </c>
      <c r="BA23" s="3333" t="s">
        <v>176</v>
      </c>
      <c r="BB23" s="3333" t="s">
        <v>177</v>
      </c>
      <c r="BC23" s="3333" t="s">
        <v>245</v>
      </c>
      <c r="BD23" s="1732"/>
      <c r="BE23" s="3333" t="s">
        <v>173</v>
      </c>
      <c r="BF23" s="3333" t="s">
        <v>176</v>
      </c>
      <c r="BG23" s="3333" t="s">
        <v>177</v>
      </c>
      <c r="BH23" s="3333" t="s">
        <v>245</v>
      </c>
      <c r="BI23" s="3333" t="s">
        <v>173</v>
      </c>
      <c r="BJ23" s="3333" t="s">
        <v>176</v>
      </c>
      <c r="BK23" s="3333" t="s">
        <v>177</v>
      </c>
      <c r="BL23" s="3333" t="s">
        <v>245</v>
      </c>
      <c r="BM23" s="3333" t="s">
        <v>173</v>
      </c>
      <c r="BN23" s="3333" t="s">
        <v>176</v>
      </c>
      <c r="BO23" s="3333" t="s">
        <v>177</v>
      </c>
      <c r="BP23" s="3333" t="s">
        <v>245</v>
      </c>
      <c r="BQ23" s="3333" t="s">
        <v>173</v>
      </c>
      <c r="BR23" s="3333" t="s">
        <v>176</v>
      </c>
      <c r="BS23" s="3333" t="s">
        <v>1844</v>
      </c>
      <c r="BT23" s="3333" t="s">
        <v>245</v>
      </c>
      <c r="BU23" s="3333" t="s">
        <v>173</v>
      </c>
      <c r="BV23" s="3333" t="s">
        <v>176</v>
      </c>
      <c r="BW23" s="3333" t="s">
        <v>1844</v>
      </c>
      <c r="BX23" s="3333" t="s">
        <v>173</v>
      </c>
      <c r="BY23" s="3333" t="s">
        <v>176</v>
      </c>
      <c r="BZ23" s="3333" t="s">
        <v>1844</v>
      </c>
      <c r="CA23" s="3333" t="s">
        <v>173</v>
      </c>
      <c r="CB23" s="3333" t="s">
        <v>176</v>
      </c>
      <c r="CC23" s="3333" t="s">
        <v>1844</v>
      </c>
      <c r="CD23" s="3333" t="s">
        <v>173</v>
      </c>
      <c r="CE23" s="3333" t="s">
        <v>176</v>
      </c>
      <c r="CF23" s="3333" t="s">
        <v>1844</v>
      </c>
      <c r="CG23" s="3333" t="s">
        <v>173</v>
      </c>
      <c r="CH23" s="3333" t="s">
        <v>176</v>
      </c>
      <c r="CI23" s="3333" t="s">
        <v>1844</v>
      </c>
      <c r="CJ23" s="3333" t="s">
        <v>173</v>
      </c>
      <c r="CK23" s="3333" t="s">
        <v>176</v>
      </c>
      <c r="CL23" s="3333" t="s">
        <v>1844</v>
      </c>
      <c r="CM23" s="3333" t="s">
        <v>173</v>
      </c>
      <c r="CN23" s="3333" t="s">
        <v>176</v>
      </c>
      <c r="CO23" s="3333" t="s">
        <v>1844</v>
      </c>
      <c r="CP23" s="3333" t="s">
        <v>173</v>
      </c>
      <c r="CQ23" s="3333" t="s">
        <v>176</v>
      </c>
      <c r="CR23" s="3333" t="s">
        <v>1844</v>
      </c>
      <c r="CS23" s="3333" t="s">
        <v>173</v>
      </c>
      <c r="CT23" s="3333" t="s">
        <v>176</v>
      </c>
      <c r="CU23" s="3333" t="s">
        <v>1844</v>
      </c>
      <c r="CV23" s="3333" t="s">
        <v>173</v>
      </c>
      <c r="CW23" s="3333" t="s">
        <v>176</v>
      </c>
      <c r="CX23" s="3333" t="s">
        <v>1844</v>
      </c>
      <c r="CY23" s="3333" t="s">
        <v>173</v>
      </c>
      <c r="CZ23" s="3333" t="s">
        <v>176</v>
      </c>
      <c r="DA23" s="3333" t="s">
        <v>1844</v>
      </c>
      <c r="DB23" s="3333" t="s">
        <v>173</v>
      </c>
      <c r="DC23" s="3333" t="s">
        <v>176</v>
      </c>
      <c r="DD23" s="3333" t="s">
        <v>1844</v>
      </c>
      <c r="DE23" s="3333" t="s">
        <v>173</v>
      </c>
      <c r="DF23" s="3333" t="s">
        <v>176</v>
      </c>
      <c r="DG23" s="3333" t="s">
        <v>1844</v>
      </c>
      <c r="DH23" s="3333" t="s">
        <v>173</v>
      </c>
      <c r="DI23" s="3333" t="s">
        <v>176</v>
      </c>
      <c r="DJ23" s="3333" t="s">
        <v>1844</v>
      </c>
      <c r="DK23" s="3333" t="s">
        <v>173</v>
      </c>
      <c r="DL23" s="3333" t="s">
        <v>176</v>
      </c>
      <c r="DM23" s="3333" t="s">
        <v>1844</v>
      </c>
      <c r="DN23" s="5109"/>
      <c r="DO23" s="2131"/>
      <c r="DP23" s="3921" t="s">
        <v>173</v>
      </c>
      <c r="DQ23" s="3921" t="s">
        <v>176</v>
      </c>
      <c r="DR23" s="3921" t="s">
        <v>1844</v>
      </c>
      <c r="DS23" s="3921" t="s">
        <v>173</v>
      </c>
      <c r="DT23" s="3921" t="s">
        <v>176</v>
      </c>
      <c r="DU23" s="3921" t="s">
        <v>1844</v>
      </c>
      <c r="DV23" s="3921" t="s">
        <v>173</v>
      </c>
      <c r="DW23" s="3921" t="s">
        <v>176</v>
      </c>
      <c r="DX23" s="3921" t="s">
        <v>1844</v>
      </c>
    </row>
    <row r="24" spans="1:128" ht="72.75" customHeight="1" x14ac:dyDescent="0.2">
      <c r="A24" s="3440" t="s">
        <v>183</v>
      </c>
      <c r="B24" s="3441" t="s">
        <v>195</v>
      </c>
      <c r="C24" s="2115">
        <v>840</v>
      </c>
      <c r="D24" s="2116">
        <v>12146</v>
      </c>
      <c r="E24" s="2117">
        <v>122429.8</v>
      </c>
      <c r="F24" s="2116">
        <f>F25+F26</f>
        <v>813</v>
      </c>
      <c r="G24" s="2116">
        <f>(G25*F25+G26*F26)/(F25+F26)</f>
        <v>12443.442804428045</v>
      </c>
      <c r="H24" s="2117">
        <f>H26+H25</f>
        <v>121398.228</v>
      </c>
      <c r="I24" s="2115">
        <v>799</v>
      </c>
      <c r="J24" s="2116">
        <v>13361</v>
      </c>
      <c r="K24" s="2118">
        <f>J24/G24</f>
        <v>1.07373820975377</v>
      </c>
      <c r="L24" s="2117">
        <v>128108.9</v>
      </c>
      <c r="M24" s="2115">
        <f>M25+M26+M27+M28</f>
        <v>155</v>
      </c>
      <c r="N24" s="2116">
        <f t="shared" ref="N24:N35" si="3">O24/M24/12*1000</f>
        <v>25754.516129032254</v>
      </c>
      <c r="O24" s="2117">
        <f>O25+O26+O27+O28</f>
        <v>47903.399999999994</v>
      </c>
      <c r="P24" s="2119">
        <f>N24/AM8</f>
        <v>1.2212343117474604</v>
      </c>
      <c r="Q24" s="1732"/>
      <c r="R24" s="5078"/>
      <c r="S24" s="2120">
        <f>SUM(S25:S28)</f>
        <v>155</v>
      </c>
      <c r="T24" s="2121">
        <f>U24/S24/12*1000</f>
        <v>22269.902483612907</v>
      </c>
      <c r="U24" s="2120">
        <f>SUM(U25:U28)</f>
        <v>41422.018619520008</v>
      </c>
      <c r="V24" s="2119">
        <f>T24/AM8</f>
        <v>1.0560000000000003</v>
      </c>
      <c r="W24" s="1732"/>
      <c r="X24" s="2115">
        <f>X25+X26+X27+X28</f>
        <v>148.32999999999998</v>
      </c>
      <c r="Y24" s="2116">
        <f t="shared" ref="Y24:Y35" si="4">Z24/X24/6*1000</f>
        <v>21580.822040944742</v>
      </c>
      <c r="Z24" s="2117">
        <f>Z25+Z26+Z27+Z28</f>
        <v>19206.5</v>
      </c>
      <c r="AA24" s="2119">
        <f>Y24/BB8</f>
        <v>0.95562481208041816</v>
      </c>
      <c r="AB24" s="1732"/>
      <c r="AC24" s="1732"/>
      <c r="AD24" s="1732"/>
      <c r="AE24" s="1732"/>
      <c r="AF24" s="1732"/>
      <c r="AG24" s="1732"/>
      <c r="AH24" s="1732"/>
      <c r="AI24" s="1732"/>
      <c r="AJ24" s="1732"/>
      <c r="AK24" s="1732"/>
      <c r="AL24" s="2115">
        <f>AL25+AL26+AL27+AL28</f>
        <v>148</v>
      </c>
      <c r="AM24" s="2116">
        <f t="shared" ref="AM24:AM35" si="5">AN24/AL24/9*1000</f>
        <v>22609.909909909911</v>
      </c>
      <c r="AN24" s="2117">
        <f>AN25+AN26+AN27+AN28</f>
        <v>30116.400000000001</v>
      </c>
      <c r="AO24" s="2119">
        <f>AM24/BB8</f>
        <v>1.0011940633132144</v>
      </c>
      <c r="AP24" s="1732"/>
      <c r="AQ24" s="2115">
        <f>AQ25+AQ26+AQ27+AQ28</f>
        <v>148</v>
      </c>
      <c r="AR24" s="2116">
        <f t="shared" ref="AR24:AR35" si="6">AS24/AQ24/12*1000</f>
        <v>22770.326576576579</v>
      </c>
      <c r="AS24" s="2117">
        <f>AS25+AS26+AS27+AS28</f>
        <v>40440.100000000006</v>
      </c>
      <c r="AT24" s="2119">
        <f>AR24/T24</f>
        <v>1.0224708704194778</v>
      </c>
      <c r="AU24" s="2115">
        <f>AU25+AU26+AU27+AU28</f>
        <v>155</v>
      </c>
      <c r="AV24" s="2116">
        <f t="shared" ref="AV24:AV35" si="7">AW24/AU24/12*1000</f>
        <v>23460.37634408602</v>
      </c>
      <c r="AW24" s="2117">
        <f>AW25+AW26+AW27+AW28</f>
        <v>43636.299999999996</v>
      </c>
      <c r="AX24" s="2119">
        <f>AV24/T24</f>
        <v>1.0534566265545668</v>
      </c>
      <c r="AY24" s="2119">
        <f>AV24/BB8</f>
        <v>1.0388537421149895</v>
      </c>
      <c r="AZ24" s="2120">
        <f>SUM(AZ25:AZ28)</f>
        <v>150</v>
      </c>
      <c r="BA24" s="2121">
        <f>BB24/AZ24/12*1000</f>
        <v>23530.113691896189</v>
      </c>
      <c r="BB24" s="2120">
        <f>SUM(BB25:BB28)</f>
        <v>42354.204645413141</v>
      </c>
      <c r="BC24" s="2119">
        <f t="shared" ref="BC24:BC35" si="8">BA24/T24</f>
        <v>1.0565880883048588</v>
      </c>
      <c r="BD24" s="1732"/>
      <c r="BE24" s="2115">
        <f>BE25+BE26+BE27+BE28</f>
        <v>144</v>
      </c>
      <c r="BF24" s="2116">
        <f t="shared" ref="BF24:BF35" si="9">BG24/BE24/6*1000</f>
        <v>22832.175925925923</v>
      </c>
      <c r="BG24" s="2117">
        <f>BG25+BG26+BG27+BG28</f>
        <v>19727</v>
      </c>
      <c r="BH24" s="2119">
        <f>BF24/AV24</f>
        <v>0.9732229181260148</v>
      </c>
      <c r="BI24" s="2115">
        <f>BI25+BI26+BI27+BI28</f>
        <v>148</v>
      </c>
      <c r="BJ24" s="2116">
        <f t="shared" ref="BJ24:BJ35" si="10">BK24/BI24/9*1000</f>
        <v>22988.888888888887</v>
      </c>
      <c r="BK24" s="2117">
        <f>BK25+BK26+BK27+BK28</f>
        <v>30621.199999999997</v>
      </c>
      <c r="BL24" s="2119">
        <f>BJ24/BA24</f>
        <v>0.9769986320468268</v>
      </c>
      <c r="BM24" s="2115">
        <f>BM25+BM26+BM27+BM28</f>
        <v>155</v>
      </c>
      <c r="BN24" s="2121">
        <f>BO24/BM24/12*1000</f>
        <v>25806.413978494627</v>
      </c>
      <c r="BO24" s="2120">
        <f>SUM(BO25:BO28)</f>
        <v>47999.930000000008</v>
      </c>
      <c r="BP24" s="2119">
        <f>BN24/BA24</f>
        <v>1.0967398762455789</v>
      </c>
      <c r="BQ24" s="2115">
        <f>BQ25+BQ26+BQ27+BQ28</f>
        <v>148</v>
      </c>
      <c r="BR24" s="2121">
        <f>BS24/BQ24/12*1000</f>
        <v>26725.298409525822</v>
      </c>
      <c r="BS24" s="2120">
        <f>SUM(BS25:BS28)</f>
        <v>47464.129975317854</v>
      </c>
      <c r="BT24" s="2119">
        <f>BR24/BA24</f>
        <v>1.1357912995860304</v>
      </c>
      <c r="BU24" s="2115">
        <f>BU25+BU26+BU27+BU28</f>
        <v>145</v>
      </c>
      <c r="BV24" s="2121">
        <f>BW24/BU24/12*1000</f>
        <v>23794.813793103443</v>
      </c>
      <c r="BW24" s="2120">
        <f>SUM(BW25:BW28)</f>
        <v>41402.975999999995</v>
      </c>
      <c r="BX24" s="2115">
        <f>BX25+BX26+BX27+BX28</f>
        <v>140</v>
      </c>
      <c r="BY24" s="2121">
        <f>BZ24/BX24/12*1000</f>
        <v>25072.607142857141</v>
      </c>
      <c r="BZ24" s="2120">
        <f>SUM(BZ25:BZ28)</f>
        <v>42121.979999999996</v>
      </c>
      <c r="CA24" s="2115">
        <f t="shared" ref="CA24" si="11">CA25+CA26+CA27+CA28</f>
        <v>148</v>
      </c>
      <c r="CB24" s="2121">
        <f t="shared" ref="CB24" si="12">CC24/CA24/12*1000</f>
        <v>28336.566650636127</v>
      </c>
      <c r="CC24" s="2120">
        <f t="shared" ref="CC24" si="13">SUM(CC25:CC28)</f>
        <v>50325.742371529755</v>
      </c>
      <c r="CD24" s="2115">
        <f t="shared" ref="CD24" si="14">CD25+CD26+CD27+CD28</f>
        <v>148</v>
      </c>
      <c r="CE24" s="2121">
        <f t="shared" ref="CE24" si="15">CF24/CD24/12*1000</f>
        <v>27436.993106171485</v>
      </c>
      <c r="CF24" s="2120">
        <f t="shared" ref="CF24" si="16">SUM(CF25:CF28)</f>
        <v>48728.099756560558</v>
      </c>
      <c r="CG24" s="2115">
        <f t="shared" ref="CG24" si="17">CG25+CG26+CG27+CG28</f>
        <v>148</v>
      </c>
      <c r="CH24" s="2121">
        <f t="shared" ref="CH24" si="18">CI24/CG24/12*1000</f>
        <v>29763.424699027808</v>
      </c>
      <c r="CI24" s="2120">
        <f t="shared" ref="CI24" si="19">SUM(CI25:CI28)</f>
        <v>52859.842265473388</v>
      </c>
      <c r="CJ24" s="2120">
        <f>SUM(CJ25:CJ29)</f>
        <v>147</v>
      </c>
      <c r="CK24" s="2121">
        <f t="shared" ref="CK24" si="20">CL24/CJ24/12*1000</f>
        <v>24485.793650793654</v>
      </c>
      <c r="CL24" s="2120">
        <f>SUM(CL25:CL29)</f>
        <v>43192.94</v>
      </c>
      <c r="CM24" s="2115">
        <f>CM25+CM26+CM27+CM28+CM29</f>
        <v>148</v>
      </c>
      <c r="CN24" s="2121">
        <f>CO24/CM24/12*1000</f>
        <v>31450.472972972973</v>
      </c>
      <c r="CO24" s="2120">
        <f>SUM(CO25:CO28)</f>
        <v>55856.04</v>
      </c>
      <c r="CP24" s="2665">
        <f>CP25+CP26+CP27+CP28+CP29</f>
        <v>146.20255707762556</v>
      </c>
      <c r="CQ24" s="2121">
        <f>CR24/CP24/12*1000</f>
        <v>30971.534278593906</v>
      </c>
      <c r="CR24" s="2611">
        <f>SUM(CR25:CR29)</f>
        <v>54337.410097773143</v>
      </c>
      <c r="CS24" s="2665">
        <f>CS25+CS26+CS27+CS28+CS29</f>
        <v>147.19999999999999</v>
      </c>
      <c r="CT24" s="2121">
        <f>CU24/CS24/12*1000</f>
        <v>32369.527148036348</v>
      </c>
      <c r="CU24" s="2611">
        <f>SUM(CU25:CU29)</f>
        <v>57177.532754291395</v>
      </c>
      <c r="CV24" s="2665">
        <f>CV25+CV26+CV27+CV28+CV29</f>
        <v>146.19999999999999</v>
      </c>
      <c r="CW24" s="2121">
        <f>CX24/CV24/12*1000</f>
        <v>31581.676089188375</v>
      </c>
      <c r="CX24" s="2611">
        <f>SUM(CX25:CX29)</f>
        <v>55406.892530872079</v>
      </c>
      <c r="CY24" s="2611">
        <f>SUM(CY25:CY30)</f>
        <v>140</v>
      </c>
      <c r="CZ24" s="2611">
        <f>SUM(DA24/CY24/6*1000)</f>
        <v>26265.821428571431</v>
      </c>
      <c r="DA24" s="2611">
        <f>SUM(DA25:DA30)</f>
        <v>22063.290000000005</v>
      </c>
      <c r="DB24" s="2611">
        <f>SUM(DB25:DB30)</f>
        <v>140</v>
      </c>
      <c r="DC24" s="2611">
        <f t="shared" ref="DC24:DC36" si="21">SUM(DD24/DB24/9*1000)</f>
        <v>26987.325396825399</v>
      </c>
      <c r="DD24" s="2611">
        <f>SUM(DD25:DD30)</f>
        <v>34004.03</v>
      </c>
      <c r="DE24" s="2611">
        <f>SUM(DE25:DE30)</f>
        <v>140</v>
      </c>
      <c r="DF24" s="2611">
        <f t="shared" ref="DF24:DF36" si="22">SUM(DG24/DE24/12*1000)</f>
        <v>26549.226190476194</v>
      </c>
      <c r="DG24" s="2611">
        <f>SUM(DG25:DG30)</f>
        <v>44602.700000000004</v>
      </c>
      <c r="DH24" s="3336">
        <f>SUM(DH25:DH30)</f>
        <v>140</v>
      </c>
      <c r="DI24" s="3589">
        <f>DJ24/DH24/12*1000</f>
        <v>38083.187212517863</v>
      </c>
      <c r="DJ24" s="3336">
        <f>SUM(DJ25:DJ30)</f>
        <v>63979.754517030007</v>
      </c>
      <c r="DK24" s="4065">
        <f>SUM(DK25:DK30)</f>
        <v>146.20255707762556</v>
      </c>
      <c r="DL24" s="4119">
        <f>DM24/DK24/12*1000</f>
        <v>32463.739178461139</v>
      </c>
      <c r="DM24" s="4065">
        <f>SUM(DM25:DM30)</f>
        <v>56955.380162305366</v>
      </c>
      <c r="DN24" s="2135"/>
      <c r="DO24" s="2132"/>
      <c r="DP24" s="3336">
        <f>SUM(DP25:DP30)</f>
        <v>137</v>
      </c>
      <c r="DQ24" s="3336">
        <f>SUM(DR24/DP24/6*1000)</f>
        <v>26475.547445255477</v>
      </c>
      <c r="DR24" s="3336">
        <f>SUM(DR25:DR30)</f>
        <v>21762.9</v>
      </c>
      <c r="DS24" s="3336">
        <f>SUM(DS25:DS30)</f>
        <v>136</v>
      </c>
      <c r="DT24" s="3336">
        <f t="shared" ref="DT24:DT36" si="23">SUM(DU24/DS24/9*1000)</f>
        <v>26731.683006535946</v>
      </c>
      <c r="DU24" s="3336">
        <f>SUM(DU25:DU30)</f>
        <v>32719.579999999998</v>
      </c>
      <c r="DV24" s="3309">
        <f>SUM(DV25:DV30)</f>
        <v>140</v>
      </c>
      <c r="DW24" s="3309">
        <f t="shared" ref="DW24:DW36" si="24">SUM(DX24/DV24/12*1000)</f>
        <v>26549.226190476194</v>
      </c>
      <c r="DX24" s="3309">
        <f>SUM(DX25:DX30)</f>
        <v>44602.700000000004</v>
      </c>
    </row>
    <row r="25" spans="1:128" ht="37.5" customHeight="1" x14ac:dyDescent="0.2">
      <c r="A25" s="3443" t="s">
        <v>184</v>
      </c>
      <c r="B25" s="3313" t="s">
        <v>83</v>
      </c>
      <c r="C25" s="2122">
        <v>456</v>
      </c>
      <c r="D25" s="2123">
        <v>12405</v>
      </c>
      <c r="E25" s="2124">
        <v>67882.600000000006</v>
      </c>
      <c r="F25" s="2123">
        <v>444</v>
      </c>
      <c r="G25" s="2123">
        <v>12620</v>
      </c>
      <c r="H25" s="2124">
        <f>F25*G25*12/1000</f>
        <v>67239.360000000001</v>
      </c>
      <c r="I25" s="2122">
        <v>435</v>
      </c>
      <c r="J25" s="2123">
        <v>13646</v>
      </c>
      <c r="K25" s="2118">
        <f>J25/G25</f>
        <v>1.0812995245641839</v>
      </c>
      <c r="L25" s="2124">
        <v>71232.100000000006</v>
      </c>
      <c r="M25" s="2122">
        <v>26.5</v>
      </c>
      <c r="N25" s="2123">
        <f t="shared" si="3"/>
        <v>22554.402515723272</v>
      </c>
      <c r="O25" s="2124">
        <v>7172.3</v>
      </c>
      <c r="P25" s="2119">
        <f>N25/AM9</f>
        <v>1.1772154265166728</v>
      </c>
      <c r="Q25" s="1732"/>
      <c r="R25" s="5078"/>
      <c r="S25" s="2125">
        <f>AL9</f>
        <v>26.5</v>
      </c>
      <c r="T25" s="2123">
        <f>AM9*1.056</f>
        <v>20232.022550943402</v>
      </c>
      <c r="U25" s="2124">
        <f>S25*T25*12/1000</f>
        <v>6433.7831712000025</v>
      </c>
      <c r="V25" s="2119">
        <f>T25/AM9</f>
        <v>1.056</v>
      </c>
      <c r="W25" s="2119">
        <f>T25/AY9</f>
        <v>0.85651923563968224</v>
      </c>
      <c r="X25" s="2126">
        <v>23.5</v>
      </c>
      <c r="Y25" s="2123">
        <f t="shared" si="4"/>
        <v>20790.070921985814</v>
      </c>
      <c r="Z25" s="2124">
        <v>2931.4</v>
      </c>
      <c r="AA25" s="2119">
        <f>Y25/BB9</f>
        <v>0.98254215345308094</v>
      </c>
      <c r="AB25" s="2119" t="e">
        <f>Y25/#REF!</f>
        <v>#REF!</v>
      </c>
      <c r="AC25" s="1732"/>
      <c r="AD25" s="1732"/>
      <c r="AE25" s="1732"/>
      <c r="AF25" s="1732"/>
      <c r="AG25" s="1732"/>
      <c r="AH25" s="1732"/>
      <c r="AI25" s="1732"/>
      <c r="AJ25" s="1732"/>
      <c r="AK25" s="1732"/>
      <c r="AL25" s="2122">
        <v>24</v>
      </c>
      <c r="AM25" s="2123">
        <f t="shared" si="5"/>
        <v>21343.981481481482</v>
      </c>
      <c r="AN25" s="2124">
        <v>4610.3</v>
      </c>
      <c r="AO25" s="2119">
        <f>AM25/BB9</f>
        <v>1.0087200571259218</v>
      </c>
      <c r="AP25" s="1732"/>
      <c r="AQ25" s="2122">
        <v>24</v>
      </c>
      <c r="AR25" s="2123">
        <f t="shared" si="6"/>
        <v>21852.430555555558</v>
      </c>
      <c r="AS25" s="2124">
        <v>6293.5</v>
      </c>
      <c r="AT25" s="2119">
        <f t="shared" ref="AT25:AT40" si="25">AR25/T25</f>
        <v>1.0800912514076155</v>
      </c>
      <c r="AU25" s="2122">
        <v>26.5</v>
      </c>
      <c r="AV25" s="2123">
        <f t="shared" si="7"/>
        <v>21298.113207547172</v>
      </c>
      <c r="AW25" s="2124">
        <v>6772.8</v>
      </c>
      <c r="AX25" s="2119">
        <f t="shared" ref="AX25:AX35" si="26">AV25/T25</f>
        <v>1.0526932319257454</v>
      </c>
      <c r="AY25" s="2119">
        <f>AV25/BB9</f>
        <v>1.0065523149948004</v>
      </c>
      <c r="AZ25" s="2127">
        <f>BA9</f>
        <v>22</v>
      </c>
      <c r="BA25" s="2123">
        <f>AV25</f>
        <v>21298.113207547172</v>
      </c>
      <c r="BB25" s="2124">
        <f>AZ25*BA25*12/1000</f>
        <v>5622.7018867924526</v>
      </c>
      <c r="BC25" s="2119">
        <f t="shared" si="8"/>
        <v>1.0526932319257454</v>
      </c>
      <c r="BD25" s="1732"/>
      <c r="BE25" s="2122">
        <v>24</v>
      </c>
      <c r="BF25" s="2123">
        <f t="shared" si="9"/>
        <v>21190.972222222223</v>
      </c>
      <c r="BG25" s="2124">
        <v>3051.5</v>
      </c>
      <c r="BH25" s="2119">
        <f t="shared" ref="BH25:BH40" si="27">BF25/AV25</f>
        <v>0.99496946117804541</v>
      </c>
      <c r="BI25" s="2122">
        <v>24</v>
      </c>
      <c r="BJ25" s="2123">
        <f t="shared" si="10"/>
        <v>21644.444444444442</v>
      </c>
      <c r="BK25" s="2124">
        <v>4675.2</v>
      </c>
      <c r="BL25" s="2119">
        <f t="shared" ref="BL25:BL40" si="28">BJ25/BA25</f>
        <v>1.0162611229230645</v>
      </c>
      <c r="BM25" s="2122">
        <v>26.5</v>
      </c>
      <c r="BN25" s="2123">
        <f>SUM(BA25*1.1)</f>
        <v>23427.92452830189</v>
      </c>
      <c r="BO25" s="2124">
        <f>BM25*BN25*12/1000</f>
        <v>7450.0800000000017</v>
      </c>
      <c r="BP25" s="2119">
        <f t="shared" ref="BP25:BP40" si="29">BN25/BA25</f>
        <v>1.1000000000000001</v>
      </c>
      <c r="BQ25" s="2122">
        <f>AQ25</f>
        <v>24</v>
      </c>
      <c r="BR25" s="2123">
        <f>'ЗП с факт 3 кв. 2015'!BU25</f>
        <v>24220.191666666662</v>
      </c>
      <c r="BS25" s="2124">
        <f>BQ25*BR25*12/1000</f>
        <v>6975.4151999999985</v>
      </c>
      <c r="BT25" s="2119">
        <f t="shared" ref="BT25:BT35" si="30">BR25/BA25</f>
        <v>1.1371989354476726</v>
      </c>
      <c r="BU25" s="2122">
        <v>25</v>
      </c>
      <c r="BV25" s="2123">
        <v>22802</v>
      </c>
      <c r="BW25" s="2124">
        <f>BU25*BV25*12/1000</f>
        <v>6840.6</v>
      </c>
      <c r="BX25" s="2122">
        <v>19</v>
      </c>
      <c r="BY25" s="2123">
        <v>27193</v>
      </c>
      <c r="BZ25" s="2124">
        <f>BX25*BY25*12/1000</f>
        <v>6200.0039999999999</v>
      </c>
      <c r="CA25" s="2124">
        <f>BQ25</f>
        <v>24</v>
      </c>
      <c r="CB25" s="2124">
        <f>CC25/12/CA25*1000</f>
        <v>25680.427022249991</v>
      </c>
      <c r="CC25" s="2124">
        <f>BS25*0.99*1.071</f>
        <v>7395.9629824079975</v>
      </c>
      <c r="CD25" s="2124">
        <f>CA25</f>
        <v>24</v>
      </c>
      <c r="CE25" s="2124">
        <f>CF25/12/CD25*1000</f>
        <v>24865.175370749992</v>
      </c>
      <c r="CF25" s="2124">
        <f>BS25*0.99*1.037</f>
        <v>7161.1705067759976</v>
      </c>
      <c r="CG25" s="2124">
        <f>CD25</f>
        <v>24</v>
      </c>
      <c r="CH25" s="2124">
        <f>CI25/CG25/12*1000</f>
        <v>26973.537949716923</v>
      </c>
      <c r="CI25" s="2124">
        <f>BS25*0.99*1.074*0.99*1.058</f>
        <v>7768.3789295184743</v>
      </c>
      <c r="CJ25" s="2124">
        <v>25</v>
      </c>
      <c r="CK25" s="2124">
        <f>CL25/CJ25/12*1000</f>
        <v>24614.266666666666</v>
      </c>
      <c r="CL25" s="2124">
        <v>7384.28</v>
      </c>
      <c r="CM25" s="2122">
        <v>24</v>
      </c>
      <c r="CN25" s="2123">
        <v>33742</v>
      </c>
      <c r="CO25" s="2124">
        <f>CM25*CN25*12/1000</f>
        <v>9717.6959999999999</v>
      </c>
      <c r="CP25" s="2122">
        <v>24</v>
      </c>
      <c r="CQ25" s="2123">
        <f>'ЗП среднемес'!F52</f>
        <v>27214.086625</v>
      </c>
      <c r="CR25" s="2124">
        <f>CP25*CQ25*12/1000</f>
        <v>7837.6569480000007</v>
      </c>
      <c r="CS25" s="2122">
        <v>25</v>
      </c>
      <c r="CT25" s="2123">
        <f>SUM('ЗП среднемес'!F72)</f>
        <v>28465.934609749995</v>
      </c>
      <c r="CU25" s="2124">
        <f>CS25*CT25*12/1000</f>
        <v>8539.7803829250006</v>
      </c>
      <c r="CV25" s="2122">
        <v>24</v>
      </c>
      <c r="CW25" s="2123">
        <f>SUM(CQ25*1.03)*(1-0.01)</f>
        <v>27750.204131512499</v>
      </c>
      <c r="CX25" s="2124">
        <f>CV25*CW25*12/1000</f>
        <v>7992.0587898756003</v>
      </c>
      <c r="CY25" s="2661">
        <v>24.95</v>
      </c>
      <c r="CZ25" s="2610">
        <f t="shared" ref="CZ25:CZ30" si="31">SUM(DA25/CY25/6*1000)</f>
        <v>23315.230460921841</v>
      </c>
      <c r="DA25" s="2124">
        <v>3490.29</v>
      </c>
      <c r="DB25" s="2124">
        <v>24.95</v>
      </c>
      <c r="DC25" s="2610">
        <f t="shared" si="21"/>
        <v>23642.574036962815</v>
      </c>
      <c r="DD25" s="2124">
        <v>5308.94</v>
      </c>
      <c r="DE25" s="2124">
        <v>24.95</v>
      </c>
      <c r="DF25" s="2610">
        <f t="shared" si="22"/>
        <v>23998.73079492318</v>
      </c>
      <c r="DG25" s="2124">
        <v>7185.22</v>
      </c>
      <c r="DH25" s="3590">
        <v>24.95</v>
      </c>
      <c r="DI25" s="3591">
        <f>SUM('ЗП среднемес'!F86)</f>
        <v>33513.7131725</v>
      </c>
      <c r="DJ25" s="3590">
        <f t="shared" ref="DJ25:DJ30" si="32">DH25*DI25*12/1000</f>
        <v>10034.0057238465</v>
      </c>
      <c r="DK25" s="4114">
        <f>SUM(CP25)</f>
        <v>24</v>
      </c>
      <c r="DL25" s="4109">
        <f>SUM(CQ25*(1+0.032)*0.99*(1+0.036)*0.99)</f>
        <v>28516.984839940491</v>
      </c>
      <c r="DM25" s="4114">
        <f t="shared" ref="DM25:DM29" si="33">DK25*DL25*12/1000</f>
        <v>8212.8916339028619</v>
      </c>
      <c r="DN25" s="5110" t="s">
        <v>3541</v>
      </c>
      <c r="DO25" s="2132"/>
      <c r="DP25" s="3592">
        <v>24.95</v>
      </c>
      <c r="DQ25" s="3335">
        <f t="shared" ref="DQ25:DQ30" si="34">SUM(DR25/DP25/6*1000)</f>
        <v>25912.358049432201</v>
      </c>
      <c r="DR25" s="3590">
        <v>3879.08</v>
      </c>
      <c r="DS25" s="3590">
        <v>24.95</v>
      </c>
      <c r="DT25" s="3335">
        <f t="shared" si="23"/>
        <v>26168.915608995769</v>
      </c>
      <c r="DU25" s="3590">
        <v>5876.23</v>
      </c>
      <c r="DV25" s="3444">
        <v>24.95</v>
      </c>
      <c r="DW25" s="3307">
        <f t="shared" si="24"/>
        <v>23998.73079492318</v>
      </c>
      <c r="DX25" s="3444">
        <v>7185.22</v>
      </c>
    </row>
    <row r="26" spans="1:128" ht="37.5" customHeight="1" x14ac:dyDescent="0.2">
      <c r="A26" s="3443" t="s">
        <v>185</v>
      </c>
      <c r="B26" s="3313" t="s">
        <v>84</v>
      </c>
      <c r="C26" s="2122">
        <v>384</v>
      </c>
      <c r="D26" s="2123">
        <v>11838</v>
      </c>
      <c r="E26" s="2124">
        <v>54547.199999999997</v>
      </c>
      <c r="F26" s="2123">
        <v>369</v>
      </c>
      <c r="G26" s="2123">
        <v>12231</v>
      </c>
      <c r="H26" s="2124">
        <f>F26*G26*12/1000</f>
        <v>54158.868000000002</v>
      </c>
      <c r="I26" s="2122">
        <v>364</v>
      </c>
      <c r="J26" s="2123">
        <v>13021</v>
      </c>
      <c r="K26" s="2118">
        <f>J26/G26</f>
        <v>1.0645899762897555</v>
      </c>
      <c r="L26" s="2124">
        <v>56876.800000000003</v>
      </c>
      <c r="M26" s="2126">
        <v>72.5</v>
      </c>
      <c r="N26" s="2123">
        <f t="shared" si="3"/>
        <v>24945.172413793101</v>
      </c>
      <c r="O26" s="2124">
        <v>21702.3</v>
      </c>
      <c r="P26" s="2119">
        <f>N26/AM10</f>
        <v>1.2615226133783446</v>
      </c>
      <c r="Q26" s="1732"/>
      <c r="R26" s="5078"/>
      <c r="S26" s="2125">
        <f>AL10</f>
        <v>72.5</v>
      </c>
      <c r="T26" s="2123">
        <f>AM10*1.056</f>
        <v>20881.196888275859</v>
      </c>
      <c r="U26" s="2124">
        <f>S26*T26*12/1000</f>
        <v>18166.641292799999</v>
      </c>
      <c r="V26" s="2119">
        <f>T26/AM10</f>
        <v>1.056</v>
      </c>
      <c r="W26" s="2119">
        <f>T26/AY10</f>
        <v>0.88289130639854074</v>
      </c>
      <c r="X26" s="2126">
        <v>73.5</v>
      </c>
      <c r="Y26" s="2123">
        <f t="shared" si="4"/>
        <v>19868.934240362814</v>
      </c>
      <c r="Z26" s="2124">
        <v>8762.2000000000007</v>
      </c>
      <c r="AA26" s="2119">
        <f>Y26/BB10</f>
        <v>0.9283594723885823</v>
      </c>
      <c r="AB26" s="2119" t="e">
        <f>Y26/#REF!</f>
        <v>#REF!</v>
      </c>
      <c r="AC26" s="1732"/>
      <c r="AD26" s="1732"/>
      <c r="AE26" s="1732"/>
      <c r="AF26" s="1732"/>
      <c r="AG26" s="1732"/>
      <c r="AH26" s="1732"/>
      <c r="AI26" s="1732"/>
      <c r="AJ26" s="1732"/>
      <c r="AK26" s="1732"/>
      <c r="AL26" s="2126">
        <v>75</v>
      </c>
      <c r="AM26" s="2123">
        <f t="shared" si="5"/>
        <v>20413.185185185186</v>
      </c>
      <c r="AN26" s="2124">
        <v>13778.9</v>
      </c>
      <c r="AO26" s="2119">
        <f>AM26/BB10</f>
        <v>0.95378914636454581</v>
      </c>
      <c r="AP26" s="1732"/>
      <c r="AQ26" s="2126">
        <v>74</v>
      </c>
      <c r="AR26" s="2123">
        <f t="shared" si="6"/>
        <v>20925.33783783784</v>
      </c>
      <c r="AS26" s="2124">
        <v>18581.7</v>
      </c>
      <c r="AT26" s="2119">
        <f t="shared" si="25"/>
        <v>1.0021139089774478</v>
      </c>
      <c r="AU26" s="2126">
        <v>72.5</v>
      </c>
      <c r="AV26" s="2123">
        <f t="shared" si="7"/>
        <v>21999.540229885057</v>
      </c>
      <c r="AW26" s="2124">
        <v>19139.599999999999</v>
      </c>
      <c r="AX26" s="2119">
        <f t="shared" si="26"/>
        <v>1.0535574348344521</v>
      </c>
      <c r="AY26" s="2119">
        <f>AV26/BB10</f>
        <v>1.0279102700495193</v>
      </c>
      <c r="AZ26" s="2127">
        <f>BA10</f>
        <v>72</v>
      </c>
      <c r="BA26" s="2123">
        <f>AV26</f>
        <v>21999.540229885057</v>
      </c>
      <c r="BB26" s="2124">
        <f>AZ26*BA26*12/1000</f>
        <v>19007.602758620687</v>
      </c>
      <c r="BC26" s="2119">
        <f t="shared" si="8"/>
        <v>1.0535574348344521</v>
      </c>
      <c r="BD26" s="1732"/>
      <c r="BE26" s="2126">
        <v>72</v>
      </c>
      <c r="BF26" s="2123">
        <f t="shared" si="9"/>
        <v>21250.231481481482</v>
      </c>
      <c r="BG26" s="2124">
        <v>9180.1</v>
      </c>
      <c r="BH26" s="2119">
        <f t="shared" si="27"/>
        <v>0.965939799624281</v>
      </c>
      <c r="BI26" s="2126">
        <v>74</v>
      </c>
      <c r="BJ26" s="2123">
        <f t="shared" si="10"/>
        <v>21538.138138138136</v>
      </c>
      <c r="BK26" s="2124">
        <v>14344.4</v>
      </c>
      <c r="BL26" s="2119">
        <f t="shared" si="28"/>
        <v>0.97902673933520967</v>
      </c>
      <c r="BM26" s="2126">
        <v>72.5</v>
      </c>
      <c r="BN26" s="2123">
        <f t="shared" ref="BN26:BN35" si="35">SUM(BA26*1.1)</f>
        <v>24199.494252873563</v>
      </c>
      <c r="BO26" s="2124">
        <f>BM26*BN26*12/1000</f>
        <v>21053.56</v>
      </c>
      <c r="BP26" s="2119">
        <f t="shared" si="29"/>
        <v>1.1000000000000001</v>
      </c>
      <c r="BQ26" s="2122">
        <f t="shared" ref="BQ26:BQ28" si="36">AQ26</f>
        <v>74</v>
      </c>
      <c r="BR26" s="2123">
        <f>'ЗП с факт 3 кв. 2015'!BU26</f>
        <v>25326.293150684927</v>
      </c>
      <c r="BS26" s="2124">
        <f>BQ26*BR26*12/1000</f>
        <v>22489.748317808218</v>
      </c>
      <c r="BT26" s="2119">
        <f t="shared" si="30"/>
        <v>1.1512192021304462</v>
      </c>
      <c r="BU26" s="2122">
        <v>74</v>
      </c>
      <c r="BV26" s="2123">
        <v>22320</v>
      </c>
      <c r="BW26" s="2124">
        <f>BU26*BV26*12/1000</f>
        <v>19820.16</v>
      </c>
      <c r="BX26" s="2122">
        <v>78</v>
      </c>
      <c r="BY26" s="2123">
        <v>23280</v>
      </c>
      <c r="BZ26" s="2124">
        <f>BX26*BY26*12/1000</f>
        <v>21790.080000000002</v>
      </c>
      <c r="CA26" s="2124">
        <f t="shared" ref="CA26:CA28" si="37">BQ26</f>
        <v>74</v>
      </c>
      <c r="CB26" s="2124">
        <f t="shared" ref="CB26:CB28" si="38">CC26/12/CA26*1000</f>
        <v>26853.215364739717</v>
      </c>
      <c r="CC26" s="2124">
        <f t="shared" ref="CC26:CC28" si="39">BS26*0.99*1.071</f>
        <v>23845.655243888872</v>
      </c>
      <c r="CD26" s="2124">
        <f t="shared" ref="CD26:CD28" si="40">CA26</f>
        <v>74</v>
      </c>
      <c r="CE26" s="2124">
        <f t="shared" ref="CE26:CE28" si="41">CF26/12/CD26*1000</f>
        <v>26000.732337287667</v>
      </c>
      <c r="CF26" s="2124">
        <f t="shared" ref="CF26:CF28" si="42">BS26*0.99*1.037</f>
        <v>23088.650315511448</v>
      </c>
      <c r="CG26" s="2124">
        <f t="shared" ref="CG26:CG28" si="43">CD26</f>
        <v>74</v>
      </c>
      <c r="CH26" s="2124">
        <f t="shared" ref="CH26:CH28" si="44">CI26/CG26/12*1000</f>
        <v>28205.380817272198</v>
      </c>
      <c r="CI26" s="2124">
        <f t="shared" ref="CI26:CI28" si="45">BS26*0.99*1.074*0.99*1.058</f>
        <v>25046.378165737715</v>
      </c>
      <c r="CJ26" s="2124">
        <v>70</v>
      </c>
      <c r="CK26" s="2124">
        <f t="shared" ref="CK26:CK28" si="46">CL26/CJ26/12*1000</f>
        <v>25023.964285714286</v>
      </c>
      <c r="CL26" s="2124">
        <v>21020.13</v>
      </c>
      <c r="CM26" s="2122">
        <v>70</v>
      </c>
      <c r="CN26" s="2123">
        <v>32321</v>
      </c>
      <c r="CO26" s="2124">
        <f>CM26*CN26*12/1000</f>
        <v>27149.64</v>
      </c>
      <c r="CP26" s="2122">
        <v>70</v>
      </c>
      <c r="CQ26" s="2123">
        <f>'ЗП среднемес'!H52</f>
        <v>30826.575999999997</v>
      </c>
      <c r="CR26" s="2124">
        <f>CP26*CQ26*12/1000</f>
        <v>25894.323839999997</v>
      </c>
      <c r="CS26" s="2122">
        <v>70</v>
      </c>
      <c r="CT26" s="2123">
        <f>SUM('ЗП среднемес'!H72)</f>
        <v>32244.598495999999</v>
      </c>
      <c r="CU26" s="2124">
        <f>CS26*CT26*12/1000</f>
        <v>27085.462736639998</v>
      </c>
      <c r="CV26" s="2122">
        <v>70</v>
      </c>
      <c r="CW26" s="2123">
        <f t="shared" ref="CW26:CW29" si="47">SUM(CQ26*1.03)*(1-0.01)</f>
        <v>31433.859547199998</v>
      </c>
      <c r="CX26" s="2124">
        <f>CV26*CW26*12/1000</f>
        <v>26404.442019648002</v>
      </c>
      <c r="CY26" s="2618">
        <v>64</v>
      </c>
      <c r="CZ26" s="2610">
        <f t="shared" si="31"/>
        <v>26451.145833333332</v>
      </c>
      <c r="DA26" s="2124">
        <v>10157.24</v>
      </c>
      <c r="DB26" s="2124">
        <v>64</v>
      </c>
      <c r="DC26" s="2610">
        <f t="shared" si="21"/>
        <v>27654.739583333332</v>
      </c>
      <c r="DD26" s="2124">
        <v>15929.13</v>
      </c>
      <c r="DE26" s="2124">
        <v>64</v>
      </c>
      <c r="DF26" s="2610">
        <f t="shared" si="22"/>
        <v>27203.802083333332</v>
      </c>
      <c r="DG26" s="2124">
        <v>20892.52</v>
      </c>
      <c r="DH26" s="3590">
        <v>64</v>
      </c>
      <c r="DI26" s="3591">
        <f>SUM('ЗП среднемес'!H86)</f>
        <v>37962.436160000005</v>
      </c>
      <c r="DJ26" s="3590">
        <f t="shared" si="32"/>
        <v>29155.15097088</v>
      </c>
      <c r="DK26" s="4114">
        <f t="shared" ref="DK26:DK36" si="48">SUM(CP26)</f>
        <v>70</v>
      </c>
      <c r="DL26" s="4109">
        <f>SUM(CQ26*(1+0.032)*0.99*(1+0.036)*0.99)</f>
        <v>32302.425305419314</v>
      </c>
      <c r="DM26" s="4114">
        <f t="shared" si="33"/>
        <v>27134.037256552227</v>
      </c>
      <c r="DN26" s="5111"/>
      <c r="DO26" s="2132"/>
      <c r="DP26" s="3590">
        <v>64</v>
      </c>
      <c r="DQ26" s="3335">
        <f t="shared" si="34"/>
        <v>26409.791666666668</v>
      </c>
      <c r="DR26" s="3590">
        <v>10141.36</v>
      </c>
      <c r="DS26" s="3590">
        <v>64</v>
      </c>
      <c r="DT26" s="3335">
        <f t="shared" si="23"/>
        <v>26303.211805555555</v>
      </c>
      <c r="DU26" s="3590">
        <v>15150.65</v>
      </c>
      <c r="DV26" s="3444">
        <v>64</v>
      </c>
      <c r="DW26" s="3307">
        <f t="shared" si="24"/>
        <v>27203.802083333332</v>
      </c>
      <c r="DX26" s="3444">
        <v>20892.52</v>
      </c>
    </row>
    <row r="27" spans="1:128" ht="37.5" customHeight="1" x14ac:dyDescent="0.2">
      <c r="A27" s="3443" t="s">
        <v>193</v>
      </c>
      <c r="B27" s="3313" t="s">
        <v>85</v>
      </c>
      <c r="C27" s="2122"/>
      <c r="D27" s="2123"/>
      <c r="E27" s="2124"/>
      <c r="F27" s="2123"/>
      <c r="G27" s="2123"/>
      <c r="H27" s="2124"/>
      <c r="I27" s="2122"/>
      <c r="J27" s="2123"/>
      <c r="K27" s="2118"/>
      <c r="L27" s="2124"/>
      <c r="M27" s="2122">
        <v>31</v>
      </c>
      <c r="N27" s="2123">
        <f t="shared" si="3"/>
        <v>30275.806451612905</v>
      </c>
      <c r="O27" s="2124">
        <v>11262.6</v>
      </c>
      <c r="P27" s="2119">
        <f>N27/AM11</f>
        <v>1.2088401473413275</v>
      </c>
      <c r="Q27" s="1732"/>
      <c r="R27" s="5078"/>
      <c r="S27" s="2125">
        <f>AL11</f>
        <v>31</v>
      </c>
      <c r="T27" s="2123">
        <f>AM11*1.056</f>
        <v>26447.873759999999</v>
      </c>
      <c r="U27" s="2124">
        <f>S27*T27*12/1000</f>
        <v>9838.6090387200002</v>
      </c>
      <c r="V27" s="2119">
        <f>T27/AM11</f>
        <v>1.056</v>
      </c>
      <c r="W27" s="2119">
        <f>T27/AY11</f>
        <v>0.92042627549755296</v>
      </c>
      <c r="X27" s="2126">
        <v>29.33</v>
      </c>
      <c r="Y27" s="2123">
        <f t="shared" si="4"/>
        <v>25010.796681441076</v>
      </c>
      <c r="Z27" s="2124">
        <v>4401.3999999999996</v>
      </c>
      <c r="AA27" s="2119">
        <f>Y27/BB11</f>
        <v>0.95682926073099828</v>
      </c>
      <c r="AB27" s="2119" t="e">
        <f>Y27/#REF!</f>
        <v>#REF!</v>
      </c>
      <c r="AC27" s="1732"/>
      <c r="AD27" s="1732"/>
      <c r="AE27" s="1732"/>
      <c r="AF27" s="1732"/>
      <c r="AG27" s="1732"/>
      <c r="AH27" s="1732"/>
      <c r="AI27" s="1732"/>
      <c r="AJ27" s="1732"/>
      <c r="AK27" s="1732"/>
      <c r="AL27" s="2122">
        <v>28</v>
      </c>
      <c r="AM27" s="2123">
        <f t="shared" si="5"/>
        <v>27159.920634920636</v>
      </c>
      <c r="AN27" s="2124">
        <v>6844.3</v>
      </c>
      <c r="AO27" s="2119">
        <f>AM27/BB11</f>
        <v>1.039047540692988</v>
      </c>
      <c r="AP27" s="1732"/>
      <c r="AQ27" s="2122">
        <v>29</v>
      </c>
      <c r="AR27" s="2123">
        <f t="shared" si="6"/>
        <v>26195.689655172417</v>
      </c>
      <c r="AS27" s="2124">
        <v>9116.1</v>
      </c>
      <c r="AT27" s="2119">
        <f t="shared" si="25"/>
        <v>0.99046486280462409</v>
      </c>
      <c r="AU27" s="2122">
        <v>31</v>
      </c>
      <c r="AV27" s="2123">
        <f t="shared" si="7"/>
        <v>27862.365591397847</v>
      </c>
      <c r="AW27" s="2124">
        <v>10364.799999999999</v>
      </c>
      <c r="AX27" s="2119">
        <f t="shared" si="26"/>
        <v>1.0534822513232478</v>
      </c>
      <c r="AY27" s="2119">
        <f>AV27/BB11</f>
        <v>1.0659207305785803</v>
      </c>
      <c r="AZ27" s="2127">
        <f>BA11</f>
        <v>31</v>
      </c>
      <c r="BA27" s="2123">
        <f>AV27</f>
        <v>27862.365591397847</v>
      </c>
      <c r="BB27" s="2124">
        <f>AZ27*BA27*12/1000</f>
        <v>10364.799999999999</v>
      </c>
      <c r="BC27" s="2119">
        <f t="shared" si="8"/>
        <v>1.0534822513232478</v>
      </c>
      <c r="BD27" s="1732"/>
      <c r="BE27" s="2122">
        <v>28</v>
      </c>
      <c r="BF27" s="2123">
        <f t="shared" si="9"/>
        <v>26782.738095238099</v>
      </c>
      <c r="BG27" s="2124">
        <v>4499.5</v>
      </c>
      <c r="BH27" s="2119">
        <f t="shared" si="27"/>
        <v>0.96125140585718716</v>
      </c>
      <c r="BI27" s="2122">
        <v>29</v>
      </c>
      <c r="BJ27" s="2123">
        <f t="shared" si="10"/>
        <v>26555.938697318008</v>
      </c>
      <c r="BK27" s="2124">
        <v>6931.1</v>
      </c>
      <c r="BL27" s="2119">
        <f t="shared" si="28"/>
        <v>0.95311141511677022</v>
      </c>
      <c r="BM27" s="2122">
        <v>31</v>
      </c>
      <c r="BN27" s="2123">
        <f t="shared" si="35"/>
        <v>30648.602150537634</v>
      </c>
      <c r="BO27" s="2124">
        <f>BM27*BN27*12/1000</f>
        <v>11401.28</v>
      </c>
      <c r="BP27" s="2119">
        <f t="shared" si="29"/>
        <v>1.1000000000000001</v>
      </c>
      <c r="BQ27" s="2122">
        <f t="shared" si="36"/>
        <v>29</v>
      </c>
      <c r="BR27" s="2123">
        <f>'ЗП с факт 3 кв. 2015'!BU27</f>
        <v>30544.308771929835</v>
      </c>
      <c r="BS27" s="2124">
        <f>BQ27*BR27*12/1000</f>
        <v>10629.419452631584</v>
      </c>
      <c r="BT27" s="2119">
        <f t="shared" si="30"/>
        <v>1.0962568369054781</v>
      </c>
      <c r="BU27" s="2122">
        <v>28</v>
      </c>
      <c r="BV27" s="2123">
        <v>27648</v>
      </c>
      <c r="BW27" s="2124">
        <f>BU27*BV27*12/1000</f>
        <v>9289.7279999999992</v>
      </c>
      <c r="BX27" s="2122">
        <v>25</v>
      </c>
      <c r="BY27" s="2123">
        <v>28184</v>
      </c>
      <c r="BZ27" s="2124">
        <f>BX27*BY27*12/1000</f>
        <v>8455.2000000000007</v>
      </c>
      <c r="CA27" s="2124">
        <f t="shared" si="37"/>
        <v>29</v>
      </c>
      <c r="CB27" s="2124">
        <f t="shared" si="38"/>
        <v>32385.825147789488</v>
      </c>
      <c r="CC27" s="2124">
        <f t="shared" si="39"/>
        <v>11270.267151430742</v>
      </c>
      <c r="CD27" s="2124">
        <f t="shared" si="40"/>
        <v>29</v>
      </c>
      <c r="CE27" s="2124">
        <f t="shared" si="41"/>
        <v>31357.703714526331</v>
      </c>
      <c r="CF27" s="2124">
        <f t="shared" si="42"/>
        <v>10912.480892655163</v>
      </c>
      <c r="CG27" s="2124">
        <f t="shared" si="43"/>
        <v>29</v>
      </c>
      <c r="CH27" s="2124">
        <f t="shared" si="44"/>
        <v>34016.579354382535</v>
      </c>
      <c r="CI27" s="2124">
        <f t="shared" si="45"/>
        <v>11837.769615325124</v>
      </c>
      <c r="CJ27" s="2124">
        <v>28</v>
      </c>
      <c r="CK27" s="2124">
        <f t="shared" si="46"/>
        <v>26375.803571428572</v>
      </c>
      <c r="CL27" s="2124">
        <v>8862.27</v>
      </c>
      <c r="CM27" s="2122">
        <v>28</v>
      </c>
      <c r="CN27" s="2123">
        <v>35526</v>
      </c>
      <c r="CO27" s="2124">
        <f>CM27*CN27*12/1000</f>
        <v>11936.736000000001</v>
      </c>
      <c r="CP27" s="2122">
        <v>28</v>
      </c>
      <c r="CQ27" s="2123">
        <f>'ЗП среднемес'!J52</f>
        <v>34679.898000000001</v>
      </c>
      <c r="CR27" s="2124">
        <f>CP27*CQ27*12/1000</f>
        <v>11652.445728000001</v>
      </c>
      <c r="CS27" s="2122">
        <v>28</v>
      </c>
      <c r="CT27" s="2123">
        <f>SUM('ЗП среднемес'!J72)</f>
        <v>36275.173307999998</v>
      </c>
      <c r="CU27" s="2124">
        <f>CS27*CT27*12/1000</f>
        <v>12188.458231487999</v>
      </c>
      <c r="CV27" s="2122">
        <v>28</v>
      </c>
      <c r="CW27" s="2123">
        <f t="shared" si="47"/>
        <v>35363.091990599998</v>
      </c>
      <c r="CX27" s="2124">
        <f>CV27*CW27*12/1000</f>
        <v>11881.998908841599</v>
      </c>
      <c r="CY27" s="2618">
        <v>27</v>
      </c>
      <c r="CZ27" s="2610">
        <f t="shared" si="31"/>
        <v>27775.185185185182</v>
      </c>
      <c r="DA27" s="2124">
        <v>4499.58</v>
      </c>
      <c r="DB27" s="2124">
        <v>27</v>
      </c>
      <c r="DC27" s="2610">
        <f t="shared" si="21"/>
        <v>27810.740740740741</v>
      </c>
      <c r="DD27" s="2124">
        <v>6758.01</v>
      </c>
      <c r="DE27" s="2124">
        <v>27</v>
      </c>
      <c r="DF27" s="2610">
        <f t="shared" si="22"/>
        <v>26991.635802469136</v>
      </c>
      <c r="DG27" s="2124">
        <v>8745.2900000000009</v>
      </c>
      <c r="DH27" s="3590">
        <v>27</v>
      </c>
      <c r="DI27" s="3591">
        <f>SUM('ЗП среднемес'!J86)</f>
        <v>42707.740680000003</v>
      </c>
      <c r="DJ27" s="3590">
        <f t="shared" si="32"/>
        <v>13837.307980320002</v>
      </c>
      <c r="DK27" s="4114">
        <f t="shared" si="48"/>
        <v>28</v>
      </c>
      <c r="DL27" s="4109">
        <f t="shared" ref="DL27:DM36" si="49">SUM(CQ27*(1+0.032)*0.99*(1+0.036)*0.99)</f>
        <v>36340.228468596724</v>
      </c>
      <c r="DM27" s="4114">
        <f t="shared" si="33"/>
        <v>12210.316765448499</v>
      </c>
      <c r="DN27" s="5111"/>
      <c r="DO27" s="2132"/>
      <c r="DP27" s="3590">
        <v>23</v>
      </c>
      <c r="DQ27" s="3335">
        <f t="shared" si="34"/>
        <v>29333.840579710144</v>
      </c>
      <c r="DR27" s="3590">
        <v>4048.07</v>
      </c>
      <c r="DS27" s="3590">
        <v>23</v>
      </c>
      <c r="DT27" s="3335">
        <f t="shared" si="23"/>
        <v>30216.666666666664</v>
      </c>
      <c r="DU27" s="3590">
        <v>6254.85</v>
      </c>
      <c r="DV27" s="3444">
        <v>27</v>
      </c>
      <c r="DW27" s="3307">
        <f t="shared" si="24"/>
        <v>26991.635802469136</v>
      </c>
      <c r="DX27" s="3444">
        <v>8745.2900000000009</v>
      </c>
    </row>
    <row r="28" spans="1:128" ht="37.5" customHeight="1" x14ac:dyDescent="0.2">
      <c r="A28" s="3443" t="s">
        <v>194</v>
      </c>
      <c r="B28" s="3313" t="s">
        <v>86</v>
      </c>
      <c r="C28" s="2122"/>
      <c r="D28" s="2123"/>
      <c r="E28" s="2124"/>
      <c r="F28" s="2123"/>
      <c r="G28" s="2123"/>
      <c r="H28" s="2124"/>
      <c r="I28" s="2122"/>
      <c r="J28" s="2123"/>
      <c r="K28" s="2118"/>
      <c r="L28" s="2124"/>
      <c r="M28" s="2122">
        <v>25</v>
      </c>
      <c r="N28" s="2123">
        <f t="shared" si="3"/>
        <v>25887.333333333332</v>
      </c>
      <c r="O28" s="2124">
        <v>7766.2</v>
      </c>
      <c r="P28" s="2119">
        <f>N28/AM12</f>
        <v>1.174441454882867</v>
      </c>
      <c r="Q28" s="1732"/>
      <c r="R28" s="5078"/>
      <c r="S28" s="2125">
        <f>AL12</f>
        <v>25</v>
      </c>
      <c r="T28" s="2123">
        <f>AM12*1.056</f>
        <v>23276.617056000003</v>
      </c>
      <c r="U28" s="2124">
        <f>S28*T28*12/1000</f>
        <v>6982.9851168000005</v>
      </c>
      <c r="V28" s="2119">
        <f>T28/AM12</f>
        <v>1.056</v>
      </c>
      <c r="W28" s="2119">
        <f>T28/AY12</f>
        <v>0.90490684179970982</v>
      </c>
      <c r="X28" s="2126">
        <v>22</v>
      </c>
      <c r="Y28" s="2123">
        <f t="shared" si="4"/>
        <v>23571.9696969697</v>
      </c>
      <c r="Z28" s="2124">
        <v>3111.5</v>
      </c>
      <c r="AA28" s="2119">
        <f>Y28/BB12</f>
        <v>1.0326656214446632</v>
      </c>
      <c r="AB28" s="2119" t="e">
        <f>Y28/#REF!</f>
        <v>#REF!</v>
      </c>
      <c r="AC28" s="1732"/>
      <c r="AD28" s="1732"/>
      <c r="AE28" s="1732"/>
      <c r="AF28" s="1732"/>
      <c r="AG28" s="1732"/>
      <c r="AH28" s="1732"/>
      <c r="AI28" s="1732"/>
      <c r="AJ28" s="1732"/>
      <c r="AK28" s="1732"/>
      <c r="AL28" s="2122">
        <v>21</v>
      </c>
      <c r="AM28" s="2123">
        <f t="shared" si="5"/>
        <v>25835.449735449733</v>
      </c>
      <c r="AN28" s="2124">
        <v>4882.8999999999996</v>
      </c>
      <c r="AO28" s="2119">
        <f>AM28/BB12</f>
        <v>1.1318265337745761</v>
      </c>
      <c r="AP28" s="1732"/>
      <c r="AQ28" s="2122">
        <v>21</v>
      </c>
      <c r="AR28" s="2123">
        <f t="shared" si="6"/>
        <v>25590.476190476191</v>
      </c>
      <c r="AS28" s="2124">
        <v>6448.8</v>
      </c>
      <c r="AT28" s="2119">
        <f t="shared" si="25"/>
        <v>1.0994070198822017</v>
      </c>
      <c r="AU28" s="2122">
        <v>25</v>
      </c>
      <c r="AV28" s="2123">
        <f t="shared" si="7"/>
        <v>24530.333333333336</v>
      </c>
      <c r="AW28" s="2124">
        <v>7359.1</v>
      </c>
      <c r="AX28" s="2119">
        <f t="shared" si="26"/>
        <v>1.0538616189078114</v>
      </c>
      <c r="AY28" s="2119">
        <f>AV28/BB12</f>
        <v>1.0746506228186743</v>
      </c>
      <c r="AZ28" s="2127">
        <f>BA12</f>
        <v>25</v>
      </c>
      <c r="BA28" s="2123">
        <f>AV28</f>
        <v>24530.333333333336</v>
      </c>
      <c r="BB28" s="2124">
        <f>AZ28*BA28*12/1000</f>
        <v>7359.1</v>
      </c>
      <c r="BC28" s="2119">
        <f t="shared" si="8"/>
        <v>1.0538616189078114</v>
      </c>
      <c r="BD28" s="1732"/>
      <c r="BE28" s="2122">
        <v>20</v>
      </c>
      <c r="BF28" s="2123">
        <f t="shared" si="9"/>
        <v>24965.833333333336</v>
      </c>
      <c r="BG28" s="2124">
        <v>2995.9</v>
      </c>
      <c r="BH28" s="2119">
        <f t="shared" si="27"/>
        <v>1.0177535296435705</v>
      </c>
      <c r="BI28" s="2122">
        <v>21</v>
      </c>
      <c r="BJ28" s="2123">
        <f t="shared" si="10"/>
        <v>24711.640211640213</v>
      </c>
      <c r="BK28" s="2124">
        <v>4670.5</v>
      </c>
      <c r="BL28" s="2119">
        <f t="shared" si="28"/>
        <v>1.0073911298245795</v>
      </c>
      <c r="BM28" s="2122">
        <v>25</v>
      </c>
      <c r="BN28" s="2123">
        <f t="shared" si="35"/>
        <v>26983.366666666672</v>
      </c>
      <c r="BO28" s="2124">
        <f>BM28*BN28*12/1000</f>
        <v>8095.010000000002</v>
      </c>
      <c r="BP28" s="2119">
        <f t="shared" si="29"/>
        <v>1.1000000000000001</v>
      </c>
      <c r="BQ28" s="2122">
        <f t="shared" si="36"/>
        <v>21</v>
      </c>
      <c r="BR28" s="2123">
        <f>'ЗП с факт 3 кв. 2015'!BU28</f>
        <v>29244.234146341467</v>
      </c>
      <c r="BS28" s="2124">
        <f>BQ28*BR28*12/1000</f>
        <v>7369.5470048780498</v>
      </c>
      <c r="BT28" s="2119">
        <f t="shared" si="30"/>
        <v>1.1921661947659958</v>
      </c>
      <c r="BU28" s="2122">
        <v>18</v>
      </c>
      <c r="BV28" s="2123">
        <v>25243</v>
      </c>
      <c r="BW28" s="2124">
        <f>BU28*BV28*12/1000</f>
        <v>5452.4880000000003</v>
      </c>
      <c r="BX28" s="2122">
        <v>18</v>
      </c>
      <c r="BY28" s="2123">
        <v>26281</v>
      </c>
      <c r="BZ28" s="2124">
        <f>BX28*BY28*12/1000</f>
        <v>5676.6959999999999</v>
      </c>
      <c r="CA28" s="2124">
        <f t="shared" si="37"/>
        <v>21</v>
      </c>
      <c r="CB28" s="2124">
        <f t="shared" si="38"/>
        <v>31007.369023024396</v>
      </c>
      <c r="CC28" s="2124">
        <f t="shared" si="39"/>
        <v>7813.8569938021474</v>
      </c>
      <c r="CD28" s="2124">
        <f t="shared" si="40"/>
        <v>21</v>
      </c>
      <c r="CE28" s="2124">
        <f t="shared" si="41"/>
        <v>30023.008101658535</v>
      </c>
      <c r="CF28" s="2124">
        <f t="shared" si="42"/>
        <v>7565.7980416179516</v>
      </c>
      <c r="CG28" s="2124">
        <f t="shared" si="43"/>
        <v>21</v>
      </c>
      <c r="CH28" s="2124">
        <f t="shared" si="44"/>
        <v>32568.712519413013</v>
      </c>
      <c r="CI28" s="2124">
        <f t="shared" si="45"/>
        <v>8207.3155548920786</v>
      </c>
      <c r="CJ28" s="2124">
        <v>18</v>
      </c>
      <c r="CK28" s="2124">
        <f t="shared" si="46"/>
        <v>26761.064814814818</v>
      </c>
      <c r="CL28" s="2124">
        <v>5780.39</v>
      </c>
      <c r="CM28" s="2122">
        <v>18</v>
      </c>
      <c r="CN28" s="2123">
        <v>32648</v>
      </c>
      <c r="CO28" s="2124">
        <f>CM28*CN28*12/1000</f>
        <v>7051.9679999999998</v>
      </c>
      <c r="CP28" s="2122">
        <v>18</v>
      </c>
      <c r="CQ28" s="2123">
        <f>'ЗП среднемес'!H52</f>
        <v>30826.575999999997</v>
      </c>
      <c r="CR28" s="2124">
        <f>CP28*CQ28*12/1000</f>
        <v>6658.5404159999989</v>
      </c>
      <c r="CS28" s="2122">
        <v>18</v>
      </c>
      <c r="CT28" s="2123">
        <f>SUM('ЗП среднемес'!H72)</f>
        <v>32244.598495999999</v>
      </c>
      <c r="CU28" s="2124">
        <f>CS28*CT28*12/1000</f>
        <v>6964.8332751359994</v>
      </c>
      <c r="CV28" s="2122">
        <v>18</v>
      </c>
      <c r="CW28" s="2123">
        <f t="shared" si="47"/>
        <v>31433.859547199998</v>
      </c>
      <c r="CX28" s="2124">
        <f>CV28*CW28*12/1000</f>
        <v>6789.7136621952004</v>
      </c>
      <c r="CY28" s="2619">
        <v>18</v>
      </c>
      <c r="CZ28" s="2610">
        <f t="shared" si="31"/>
        <v>28081.574074074073</v>
      </c>
      <c r="DA28" s="2124">
        <v>3032.81</v>
      </c>
      <c r="DB28" s="2124">
        <v>18</v>
      </c>
      <c r="DC28" s="2610">
        <f t="shared" si="21"/>
        <v>28819.506172839509</v>
      </c>
      <c r="DD28" s="2124">
        <v>4668.76</v>
      </c>
      <c r="DE28" s="2124">
        <v>18</v>
      </c>
      <c r="DF28" s="2610">
        <f t="shared" si="22"/>
        <v>27938.472222222219</v>
      </c>
      <c r="DG28" s="2124">
        <v>6034.71</v>
      </c>
      <c r="DH28" s="3590">
        <v>18</v>
      </c>
      <c r="DI28" s="3591">
        <f>SUM('ЗП среднемес'!H86)</f>
        <v>37962.436160000005</v>
      </c>
      <c r="DJ28" s="3590">
        <f t="shared" si="32"/>
        <v>8199.8862105600001</v>
      </c>
      <c r="DK28" s="4114">
        <f t="shared" si="48"/>
        <v>18</v>
      </c>
      <c r="DL28" s="4109">
        <f t="shared" si="49"/>
        <v>32302.425305419314</v>
      </c>
      <c r="DM28" s="4114">
        <f t="shared" si="33"/>
        <v>6977.3238659705721</v>
      </c>
      <c r="DN28" s="5112"/>
      <c r="DO28" s="2132"/>
      <c r="DP28" s="3590">
        <v>19</v>
      </c>
      <c r="DQ28" s="3335">
        <f t="shared" si="34"/>
        <v>24086.140350877198</v>
      </c>
      <c r="DR28" s="3590">
        <v>2745.82</v>
      </c>
      <c r="DS28" s="3590">
        <v>18</v>
      </c>
      <c r="DT28" s="3335">
        <f t="shared" si="23"/>
        <v>25172.901234567904</v>
      </c>
      <c r="DU28" s="3590">
        <v>4078.01</v>
      </c>
      <c r="DV28" s="3444">
        <v>18</v>
      </c>
      <c r="DW28" s="3307">
        <f t="shared" si="24"/>
        <v>27938.472222222219</v>
      </c>
      <c r="DX28" s="3444">
        <v>6034.71</v>
      </c>
    </row>
    <row r="29" spans="1:128" ht="57" customHeight="1" x14ac:dyDescent="0.2">
      <c r="A29" s="3443" t="s">
        <v>1604</v>
      </c>
      <c r="B29" s="3313" t="s">
        <v>1965</v>
      </c>
      <c r="C29" s="2122"/>
      <c r="D29" s="2123"/>
      <c r="E29" s="2124"/>
      <c r="F29" s="2123"/>
      <c r="G29" s="2123"/>
      <c r="H29" s="2124"/>
      <c r="I29" s="2122"/>
      <c r="J29" s="2123"/>
      <c r="K29" s="2118"/>
      <c r="L29" s="2124"/>
      <c r="M29" s="2122"/>
      <c r="N29" s="2123"/>
      <c r="O29" s="2124"/>
      <c r="P29" s="2119"/>
      <c r="Q29" s="1732"/>
      <c r="R29" s="5078"/>
      <c r="S29" s="2125"/>
      <c r="T29" s="2123"/>
      <c r="U29" s="2124"/>
      <c r="V29" s="2119"/>
      <c r="W29" s="2119"/>
      <c r="X29" s="2126"/>
      <c r="Y29" s="2123"/>
      <c r="Z29" s="2124"/>
      <c r="AA29" s="2119"/>
      <c r="AB29" s="2119"/>
      <c r="AC29" s="1732"/>
      <c r="AD29" s="1732"/>
      <c r="AE29" s="1732"/>
      <c r="AF29" s="1732"/>
      <c r="AG29" s="1732"/>
      <c r="AH29" s="1732"/>
      <c r="AI29" s="1732"/>
      <c r="AJ29" s="1732"/>
      <c r="AK29" s="1732"/>
      <c r="AL29" s="2122"/>
      <c r="AM29" s="2123"/>
      <c r="AN29" s="2124"/>
      <c r="AO29" s="2119"/>
      <c r="AP29" s="1732"/>
      <c r="AQ29" s="2122"/>
      <c r="AR29" s="2123"/>
      <c r="AS29" s="2124"/>
      <c r="AT29" s="2119"/>
      <c r="AU29" s="2122"/>
      <c r="AV29" s="2123"/>
      <c r="AW29" s="2124"/>
      <c r="AX29" s="2119"/>
      <c r="AY29" s="2119"/>
      <c r="AZ29" s="2127"/>
      <c r="BA29" s="2123"/>
      <c r="BB29" s="2124"/>
      <c r="BC29" s="2119"/>
      <c r="BD29" s="1732"/>
      <c r="BE29" s="2122"/>
      <c r="BF29" s="2123"/>
      <c r="BG29" s="2124"/>
      <c r="BH29" s="2119"/>
      <c r="BI29" s="2122"/>
      <c r="BJ29" s="2123"/>
      <c r="BK29" s="2124"/>
      <c r="BL29" s="2119"/>
      <c r="BM29" s="2122"/>
      <c r="BN29" s="2123"/>
      <c r="BO29" s="2124"/>
      <c r="BP29" s="2119"/>
      <c r="BQ29" s="2122"/>
      <c r="BR29" s="2123"/>
      <c r="BS29" s="2124"/>
      <c r="BT29" s="2119"/>
      <c r="BU29" s="2122"/>
      <c r="BV29" s="2123"/>
      <c r="BW29" s="2124"/>
      <c r="BX29" s="2122"/>
      <c r="BY29" s="2123"/>
      <c r="BZ29" s="2124"/>
      <c r="CA29" s="2124"/>
      <c r="CB29" s="2124"/>
      <c r="CC29" s="2124"/>
      <c r="CD29" s="2124"/>
      <c r="CE29" s="2124"/>
      <c r="CF29" s="2124"/>
      <c r="CG29" s="2124"/>
      <c r="CH29" s="2124"/>
      <c r="CI29" s="2124"/>
      <c r="CJ29" s="2124">
        <v>6</v>
      </c>
      <c r="CK29" s="2124">
        <f>CL29/CJ29/1*1000</f>
        <v>24311.666666666668</v>
      </c>
      <c r="CL29" s="2124">
        <v>145.87</v>
      </c>
      <c r="CM29" s="2122">
        <v>8</v>
      </c>
      <c r="CN29" s="2123">
        <f>CO29/CM29/12*1000</f>
        <v>35088.541666666664</v>
      </c>
      <c r="CO29" s="2124">
        <v>3368.5</v>
      </c>
      <c r="CP29" s="2126">
        <f>'3 подъем зпл'!B19</f>
        <v>6.2025570776255705</v>
      </c>
      <c r="CQ29" s="2123">
        <f>'ЗП среднемес'!H52</f>
        <v>30826.575999999997</v>
      </c>
      <c r="CR29" s="2124">
        <f>CP29*CQ29*12/1000</f>
        <v>2294.4431657731507</v>
      </c>
      <c r="CS29" s="2126">
        <v>6.2</v>
      </c>
      <c r="CT29" s="2123">
        <f>SUM('ЗП среднемес'!H72)</f>
        <v>32244.598495999999</v>
      </c>
      <c r="CU29" s="2124">
        <f>CS29*CT29*12/1000</f>
        <v>2398.9981281023997</v>
      </c>
      <c r="CV29" s="2126">
        <f>SUM(CS29)</f>
        <v>6.2</v>
      </c>
      <c r="CW29" s="2123">
        <f t="shared" si="47"/>
        <v>31433.859547199998</v>
      </c>
      <c r="CX29" s="2124">
        <f>CV29*CW29*12/1000</f>
        <v>2338.6791503116801</v>
      </c>
      <c r="CY29" s="2619">
        <v>6</v>
      </c>
      <c r="CZ29" s="2610">
        <f t="shared" si="31"/>
        <v>24327.5</v>
      </c>
      <c r="DA29" s="2124">
        <v>875.79</v>
      </c>
      <c r="DB29" s="2124">
        <v>6</v>
      </c>
      <c r="DC29" s="2610">
        <f t="shared" si="21"/>
        <v>24586.481481481482</v>
      </c>
      <c r="DD29" s="2124">
        <v>1327.67</v>
      </c>
      <c r="DE29" s="2124">
        <v>6</v>
      </c>
      <c r="DF29" s="2610">
        <f t="shared" si="22"/>
        <v>24033.472222222226</v>
      </c>
      <c r="DG29" s="2124">
        <v>1730.41</v>
      </c>
      <c r="DH29" s="3590">
        <v>6</v>
      </c>
      <c r="DI29" s="3591">
        <f>SUM('ЗП среднемес'!H86)</f>
        <v>37962.436160000005</v>
      </c>
      <c r="DJ29" s="3590">
        <f t="shared" si="32"/>
        <v>2733.29540352</v>
      </c>
      <c r="DK29" s="4114">
        <f t="shared" si="48"/>
        <v>6.2025570776255705</v>
      </c>
      <c r="DL29" s="4109">
        <f t="shared" si="49"/>
        <v>32302.425305419314</v>
      </c>
      <c r="DM29" s="4114">
        <f t="shared" si="33"/>
        <v>2404.2916404311986</v>
      </c>
      <c r="DN29" s="2380" t="s">
        <v>3510</v>
      </c>
      <c r="DO29" s="2132"/>
      <c r="DP29" s="3590">
        <v>6</v>
      </c>
      <c r="DQ29" s="3335">
        <f t="shared" si="34"/>
        <v>26170</v>
      </c>
      <c r="DR29" s="3590">
        <v>942.12</v>
      </c>
      <c r="DS29" s="3590">
        <v>6</v>
      </c>
      <c r="DT29" s="3335">
        <f t="shared" si="23"/>
        <v>24982.03703703704</v>
      </c>
      <c r="DU29" s="3590">
        <v>1349.03</v>
      </c>
      <c r="DV29" s="3444">
        <v>6</v>
      </c>
      <c r="DW29" s="3307">
        <f t="shared" si="24"/>
        <v>24033.472222222226</v>
      </c>
      <c r="DX29" s="3444">
        <v>1730.41</v>
      </c>
    </row>
    <row r="30" spans="1:128" ht="57" customHeight="1" x14ac:dyDescent="0.2">
      <c r="A30" s="3443" t="s">
        <v>1699</v>
      </c>
      <c r="B30" s="3313" t="s">
        <v>3661</v>
      </c>
      <c r="C30" s="2122"/>
      <c r="D30" s="2123"/>
      <c r="E30" s="2124"/>
      <c r="F30" s="2123"/>
      <c r="G30" s="2123"/>
      <c r="H30" s="2124"/>
      <c r="I30" s="2122"/>
      <c r="J30" s="2123"/>
      <c r="K30" s="2118"/>
      <c r="L30" s="2124"/>
      <c r="M30" s="2122"/>
      <c r="N30" s="2123"/>
      <c r="O30" s="2124"/>
      <c r="P30" s="2119"/>
      <c r="Q30" s="1732"/>
      <c r="R30" s="5078"/>
      <c r="S30" s="2125"/>
      <c r="T30" s="2123"/>
      <c r="U30" s="2124"/>
      <c r="V30" s="2119"/>
      <c r="W30" s="2119"/>
      <c r="X30" s="2126"/>
      <c r="Y30" s="2123"/>
      <c r="Z30" s="2124"/>
      <c r="AA30" s="2119"/>
      <c r="AB30" s="2119"/>
      <c r="AC30" s="1732"/>
      <c r="AD30" s="1732"/>
      <c r="AE30" s="1732"/>
      <c r="AF30" s="1732"/>
      <c r="AG30" s="1732"/>
      <c r="AH30" s="1732"/>
      <c r="AI30" s="1732"/>
      <c r="AJ30" s="1732"/>
      <c r="AK30" s="1732"/>
      <c r="AL30" s="2122"/>
      <c r="AM30" s="2123"/>
      <c r="AN30" s="2124"/>
      <c r="AO30" s="2119"/>
      <c r="AP30" s="1732"/>
      <c r="AQ30" s="2122"/>
      <c r="AR30" s="2123"/>
      <c r="AS30" s="2124"/>
      <c r="AT30" s="2119"/>
      <c r="AU30" s="2122"/>
      <c r="AV30" s="2123"/>
      <c r="AW30" s="2124"/>
      <c r="AX30" s="2119"/>
      <c r="AY30" s="2119"/>
      <c r="AZ30" s="2127"/>
      <c r="BA30" s="2123"/>
      <c r="BB30" s="2124"/>
      <c r="BC30" s="2119"/>
      <c r="BD30" s="1732"/>
      <c r="BE30" s="2122"/>
      <c r="BF30" s="2123"/>
      <c r="BG30" s="2124"/>
      <c r="BH30" s="2119"/>
      <c r="BI30" s="2122"/>
      <c r="BJ30" s="2123"/>
      <c r="BK30" s="2124"/>
      <c r="BL30" s="2119"/>
      <c r="BM30" s="2122"/>
      <c r="BN30" s="2123"/>
      <c r="BO30" s="2124"/>
      <c r="BP30" s="2119"/>
      <c r="BQ30" s="2122"/>
      <c r="BR30" s="2123"/>
      <c r="BS30" s="2124"/>
      <c r="BT30" s="2119"/>
      <c r="BU30" s="2122"/>
      <c r="BV30" s="2123"/>
      <c r="BW30" s="2124"/>
      <c r="BX30" s="2122"/>
      <c r="BY30" s="2123"/>
      <c r="BZ30" s="2124"/>
      <c r="CA30" s="2124"/>
      <c r="CB30" s="2124"/>
      <c r="CC30" s="2124"/>
      <c r="CD30" s="2124"/>
      <c r="CE30" s="2124"/>
      <c r="CF30" s="2124"/>
      <c r="CG30" s="2124"/>
      <c r="CH30" s="2124"/>
      <c r="CI30" s="2124"/>
      <c r="CJ30" s="2124"/>
      <c r="CK30" s="2124"/>
      <c r="CL30" s="2124"/>
      <c r="CM30" s="2122"/>
      <c r="CN30" s="2123"/>
      <c r="CO30" s="2124"/>
      <c r="CP30" s="3535"/>
      <c r="CQ30" s="2123"/>
      <c r="CR30" s="2697">
        <v>3.79</v>
      </c>
      <c r="CS30" s="2126"/>
      <c r="CT30" s="2123"/>
      <c r="CU30" s="2124"/>
      <c r="CV30" s="2126"/>
      <c r="CW30" s="2123"/>
      <c r="CX30" s="2124"/>
      <c r="CY30" s="2660">
        <v>0.05</v>
      </c>
      <c r="CZ30" s="2610">
        <f t="shared" si="31"/>
        <v>25266.666666666664</v>
      </c>
      <c r="DA30" s="2124">
        <v>7.58</v>
      </c>
      <c r="DB30" s="2697">
        <v>0.05</v>
      </c>
      <c r="DC30" s="2610">
        <f t="shared" si="21"/>
        <v>25599.999999999996</v>
      </c>
      <c r="DD30" s="2124">
        <v>11.52</v>
      </c>
      <c r="DE30" s="2697">
        <v>0.05</v>
      </c>
      <c r="DF30" s="2610">
        <f t="shared" si="22"/>
        <v>24250</v>
      </c>
      <c r="DG30" s="2124">
        <v>14.55</v>
      </c>
      <c r="DH30" s="3592">
        <v>0.05</v>
      </c>
      <c r="DI30" s="3591">
        <f>SUM('ЗП среднемес'!F86)</f>
        <v>33513.7131725</v>
      </c>
      <c r="DJ30" s="3590">
        <f t="shared" si="32"/>
        <v>20.108227903500001</v>
      </c>
      <c r="DK30" s="4114">
        <f t="shared" si="48"/>
        <v>0</v>
      </c>
      <c r="DL30" s="4109">
        <f t="shared" si="49"/>
        <v>0</v>
      </c>
      <c r="DM30" s="4109">
        <v>16.518999999999998</v>
      </c>
      <c r="DN30" s="2596"/>
      <c r="DO30" s="2132"/>
      <c r="DP30" s="3592">
        <v>0.05</v>
      </c>
      <c r="DQ30" s="3335">
        <f t="shared" si="34"/>
        <v>21500</v>
      </c>
      <c r="DR30" s="3590">
        <v>6.45</v>
      </c>
      <c r="DS30" s="3592">
        <v>0.05</v>
      </c>
      <c r="DT30" s="3335">
        <f t="shared" si="23"/>
        <v>24022.222222222223</v>
      </c>
      <c r="DU30" s="3590">
        <v>10.81</v>
      </c>
      <c r="DV30" s="3995">
        <v>0.05</v>
      </c>
      <c r="DW30" s="3307">
        <f t="shared" si="24"/>
        <v>24250</v>
      </c>
      <c r="DX30" s="3444">
        <v>14.55</v>
      </c>
    </row>
    <row r="31" spans="1:128" ht="63" customHeight="1" x14ac:dyDescent="0.2">
      <c r="A31" s="3440" t="s">
        <v>186</v>
      </c>
      <c r="B31" s="3441" t="s">
        <v>196</v>
      </c>
      <c r="C31" s="2115">
        <v>840</v>
      </c>
      <c r="D31" s="2116">
        <v>12146</v>
      </c>
      <c r="E31" s="2117">
        <v>122429.8</v>
      </c>
      <c r="F31" s="2116">
        <f>F32+F33</f>
        <v>813</v>
      </c>
      <c r="G31" s="2116">
        <f>(G32*F32+G33*F33)/(F32+F33)</f>
        <v>12443.442804428045</v>
      </c>
      <c r="H31" s="2117">
        <f>H33+H32</f>
        <v>121398.228</v>
      </c>
      <c r="I31" s="2115">
        <v>799</v>
      </c>
      <c r="J31" s="2116">
        <v>13361</v>
      </c>
      <c r="K31" s="2118">
        <f>J31/G31</f>
        <v>1.07373820975377</v>
      </c>
      <c r="L31" s="2117">
        <v>128108.9</v>
      </c>
      <c r="M31" s="2115">
        <f>M32+M33+M34+M35</f>
        <v>105</v>
      </c>
      <c r="N31" s="2116">
        <f t="shared" si="3"/>
        <v>28668.650793650795</v>
      </c>
      <c r="O31" s="2117">
        <f>O32+O33+O34+O35</f>
        <v>36122.5</v>
      </c>
      <c r="P31" s="2119">
        <f>N31/AM14</f>
        <v>1.2088032234986785</v>
      </c>
      <c r="Q31" s="1732"/>
      <c r="R31" s="5078"/>
      <c r="S31" s="2120">
        <f>SUM(S32:S35)</f>
        <v>96</v>
      </c>
      <c r="T31" s="2121">
        <f>U31/S31/12*1000</f>
        <v>25224.382875999996</v>
      </c>
      <c r="U31" s="2120">
        <f>SUM(U32:U35)</f>
        <v>29058.489073151999</v>
      </c>
      <c r="V31" s="2119">
        <f>T31/AM14</f>
        <v>1.0635769206839176</v>
      </c>
      <c r="W31" s="1732"/>
      <c r="X31" s="2115">
        <f>X32+X33+X34+X35</f>
        <v>95</v>
      </c>
      <c r="Y31" s="2116">
        <f t="shared" si="4"/>
        <v>22836.666666666668</v>
      </c>
      <c r="Z31" s="2117">
        <f>Z32+Z33+Z34+Z35</f>
        <v>13016.900000000001</v>
      </c>
      <c r="AA31" s="2119">
        <f>Y31/BB14</f>
        <v>0.92274432731820633</v>
      </c>
      <c r="AB31" s="1732"/>
      <c r="AC31" s="1732"/>
      <c r="AD31" s="1732"/>
      <c r="AE31" s="1732"/>
      <c r="AF31" s="1732"/>
      <c r="AG31" s="1732"/>
      <c r="AH31" s="1732"/>
      <c r="AI31" s="1732"/>
      <c r="AJ31" s="1732"/>
      <c r="AK31" s="1732"/>
      <c r="AL31" s="2115">
        <f>AL32+AL33+AL34+AL35</f>
        <v>94</v>
      </c>
      <c r="AM31" s="2116">
        <f t="shared" si="5"/>
        <v>23876.59574468085</v>
      </c>
      <c r="AN31" s="2117">
        <f>AN32+AN33+AN34+AN35</f>
        <v>20199.599999999999</v>
      </c>
      <c r="AO31" s="2119">
        <f>AM31/BB14</f>
        <v>0.96476397368592659</v>
      </c>
      <c r="AP31" s="1732"/>
      <c r="AQ31" s="2115">
        <f>AQ32+AQ33+AQ34+AQ35</f>
        <v>94</v>
      </c>
      <c r="AR31" s="2116">
        <f t="shared" si="6"/>
        <v>24074.734042553187</v>
      </c>
      <c r="AS31" s="2117">
        <f>AS32+AS33+AS34+AS35</f>
        <v>27156.3</v>
      </c>
      <c r="AT31" s="2119">
        <f t="shared" si="25"/>
        <v>0.95442311357632248</v>
      </c>
      <c r="AU31" s="2115">
        <f>AU32+AU33+AU34+AU35</f>
        <v>105</v>
      </c>
      <c r="AV31" s="2116">
        <f t="shared" si="7"/>
        <v>28668.650793650795</v>
      </c>
      <c r="AW31" s="2117">
        <f>AW32+AW33+AW34+AW35</f>
        <v>36122.5</v>
      </c>
      <c r="AX31" s="2119">
        <f t="shared" si="26"/>
        <v>1.1365451806921265</v>
      </c>
      <c r="AY31" s="2128">
        <f>AV31/BB14</f>
        <v>1.1583930035779242</v>
      </c>
      <c r="AZ31" s="2120">
        <f>SUM(AZ32:AZ35)</f>
        <v>98</v>
      </c>
      <c r="BA31" s="2121">
        <f>BB31/AZ31/12*1000</f>
        <v>28763.121622082414</v>
      </c>
      <c r="BB31" s="2120">
        <f>SUM(BB32:BB35)</f>
        <v>33825.43102756892</v>
      </c>
      <c r="BC31" s="2119">
        <f t="shared" si="8"/>
        <v>1.1402903993123807</v>
      </c>
      <c r="BD31" s="1732"/>
      <c r="BE31" s="2115">
        <f>BE32+BE33+BE34+BE35</f>
        <v>94</v>
      </c>
      <c r="BF31" s="2116">
        <f t="shared" si="9"/>
        <v>23914.007092198586</v>
      </c>
      <c r="BG31" s="2117">
        <f>BG32+BG33+BG34+BG35</f>
        <v>13487.5</v>
      </c>
      <c r="BH31" s="2119">
        <f t="shared" si="27"/>
        <v>0.83415181496768542</v>
      </c>
      <c r="BI31" s="2115">
        <f>BI32+BI33+BI34+BI35</f>
        <v>94</v>
      </c>
      <c r="BJ31" s="2116">
        <f t="shared" si="10"/>
        <v>24833.096926713952</v>
      </c>
      <c r="BK31" s="2117">
        <f>BK32+BK33+BK34+BK35</f>
        <v>21008.800000000003</v>
      </c>
      <c r="BL31" s="2119">
        <f t="shared" si="28"/>
        <v>0.86336584926334103</v>
      </c>
      <c r="BM31" s="2115">
        <f>BM32+BM33+BM34+BM35</f>
        <v>105</v>
      </c>
      <c r="BN31" s="2121">
        <f>BO31/BM31/12*1000</f>
        <v>31535.515873015873</v>
      </c>
      <c r="BO31" s="2120">
        <f>SUM(BO32:BO35)</f>
        <v>39734.75</v>
      </c>
      <c r="BP31" s="2119">
        <f t="shared" si="29"/>
        <v>1.0963871128926772</v>
      </c>
      <c r="BQ31" s="2115">
        <f>BQ32+BQ33+BQ34+BQ35</f>
        <v>94</v>
      </c>
      <c r="BR31" s="2121">
        <f>BS31/BQ31/12*1000</f>
        <v>28606.666659040642</v>
      </c>
      <c r="BS31" s="2120">
        <f>SUM(BS32:BS35)</f>
        <v>32268.319991397846</v>
      </c>
      <c r="BT31" s="2119">
        <f t="shared" si="30"/>
        <v>0.99456057082060056</v>
      </c>
      <c r="BU31" s="2115">
        <f>BU32+BU33+BU34+BU35</f>
        <v>92</v>
      </c>
      <c r="BV31" s="2121">
        <f>BW31/BU31/12*1000</f>
        <v>27420.467391304352</v>
      </c>
      <c r="BW31" s="2120">
        <f>SUM(BW32:BW35)</f>
        <v>30272.196000000004</v>
      </c>
      <c r="BX31" s="2115">
        <f>BX32+BX33+BX34+BX35</f>
        <v>93</v>
      </c>
      <c r="BY31" s="2121">
        <f>BZ31/BX31/12*1000</f>
        <v>26876.440860215054</v>
      </c>
      <c r="BZ31" s="2120">
        <f>SUM(BZ32:BZ35)</f>
        <v>29994.108000000004</v>
      </c>
      <c r="CA31" s="2115">
        <f t="shared" ref="CA31" si="50">CA32+CA33+CA34+CA35</f>
        <v>94</v>
      </c>
      <c r="CB31" s="2121">
        <f t="shared" ref="CB31" si="51">CC31/CA31/12*1000</f>
        <v>30331.362591914203</v>
      </c>
      <c r="CC31" s="2120">
        <f t="shared" ref="CC31" si="52">SUM(CC32:CC35)</f>
        <v>34213.777003679221</v>
      </c>
      <c r="CD31" s="2115">
        <f t="shared" ref="CD31" si="53">CD32+CD33+CD34+CD35</f>
        <v>94</v>
      </c>
      <c r="CE31" s="2121">
        <f t="shared" ref="CE31" si="54">CF31/CD31/12*1000</f>
        <v>29368.462192170893</v>
      </c>
      <c r="CF31" s="2120">
        <f t="shared" ref="CF31" si="55">SUM(CF32:CF35)</f>
        <v>33127.625352768766</v>
      </c>
      <c r="CG31" s="2115">
        <f t="shared" ref="CG31" si="56">CG32+CG33+CG34+CG35</f>
        <v>94</v>
      </c>
      <c r="CH31" s="2121">
        <f t="shared" ref="CH31:CH35" si="57">CI31/CG31/12*1000</f>
        <v>31858.666494555055</v>
      </c>
      <c r="CI31" s="2120">
        <f t="shared" ref="CI31" si="58">SUM(CI32:CI35)</f>
        <v>35936.575805858105</v>
      </c>
      <c r="CJ31" s="2115">
        <f>CJ32+CJ33+CJ34+CJ35</f>
        <v>95</v>
      </c>
      <c r="CK31" s="2121">
        <f t="shared" ref="CK31:CK35" si="59">CL31/CJ31/12*1000</f>
        <v>25755.245614035091</v>
      </c>
      <c r="CL31" s="2120">
        <f>SUM(CL32:CL35)</f>
        <v>29360.980000000003</v>
      </c>
      <c r="CM31" s="2115">
        <f>CM32+CM33+CM34+CM35</f>
        <v>95</v>
      </c>
      <c r="CN31" s="2121">
        <f>CO31/CM31/12*1000</f>
        <v>34424.473684210527</v>
      </c>
      <c r="CO31" s="2120">
        <f>SUM(CO32:CO35)</f>
        <v>39243.9</v>
      </c>
      <c r="CP31" s="2115">
        <f>CP32+CP33+CP34+CP35</f>
        <v>95</v>
      </c>
      <c r="CQ31" s="2121">
        <f>CR31/CP31/12*1000</f>
        <v>32976.324063157896</v>
      </c>
      <c r="CR31" s="2611">
        <f>SUM(CR32:CR35)</f>
        <v>37593.009431999999</v>
      </c>
      <c r="CS31" s="2115">
        <f>CS32+CS33+CS34+CS35</f>
        <v>95</v>
      </c>
      <c r="CT31" s="2121">
        <f>CU31/CS31/12*1000</f>
        <v>34493.234970063153</v>
      </c>
      <c r="CU31" s="2611">
        <f>SUM(CU32:CU35)</f>
        <v>39322.287865872</v>
      </c>
      <c r="CV31" s="2115">
        <f>CV32+CV33+CV34+CV35</f>
        <v>95</v>
      </c>
      <c r="CW31" s="2121">
        <f>CX31/CV31/12*1000</f>
        <v>33625.957647202107</v>
      </c>
      <c r="CX31" s="2611">
        <f>SUM(CX32:CX35)</f>
        <v>38333.591717810399</v>
      </c>
      <c r="CY31" s="2665">
        <f>SUM(CY32:CY36)</f>
        <v>97</v>
      </c>
      <c r="CZ31" s="2611">
        <f>SUM(DA31/CY31/6*1000)</f>
        <v>25496.512027491408</v>
      </c>
      <c r="DA31" s="2611">
        <f>SUM(DA32:DA36)</f>
        <v>14838.970000000001</v>
      </c>
      <c r="DB31" s="2665">
        <f>SUM(DB32:DB36)</f>
        <v>97</v>
      </c>
      <c r="DC31" s="2611">
        <f t="shared" si="21"/>
        <v>25742.898052691868</v>
      </c>
      <c r="DD31" s="2611">
        <f>SUM(DD32:DD36)</f>
        <v>22473.55</v>
      </c>
      <c r="DE31" s="2665">
        <f>SUM(DE32:DE36)</f>
        <v>97</v>
      </c>
      <c r="DF31" s="2611">
        <f t="shared" si="22"/>
        <v>25117.585910652921</v>
      </c>
      <c r="DG31" s="2611">
        <f>SUM(DG32:DG36)</f>
        <v>29236.87</v>
      </c>
      <c r="DH31" s="3593">
        <f>SUM(DH32:DH36)</f>
        <v>97</v>
      </c>
      <c r="DI31" s="3589">
        <f>DJ31/DH31/12*1000</f>
        <v>40653.072743505167</v>
      </c>
      <c r="DJ31" s="3336">
        <f>SUM(DJ32:DJ36)</f>
        <v>47320.176673440008</v>
      </c>
      <c r="DK31" s="4115">
        <f>SUM(DK32:DK36)</f>
        <v>95</v>
      </c>
      <c r="DL31" s="4119">
        <f>DM31/DK31/12*1000</f>
        <v>34664.744537817067</v>
      </c>
      <c r="DM31" s="4065">
        <f>SUM(DM32:DM36)</f>
        <v>39517.808773111457</v>
      </c>
      <c r="DN31" s="2136"/>
      <c r="DO31" s="2132"/>
      <c r="DP31" s="3593">
        <f>SUM(DP32:DP36)</f>
        <v>94</v>
      </c>
      <c r="DQ31" s="3336">
        <f>SUM(DR31/DP31/6*1000)</f>
        <v>26207.429078014182</v>
      </c>
      <c r="DR31" s="3336">
        <f>SUM(DR32:DR36)</f>
        <v>14780.99</v>
      </c>
      <c r="DS31" s="3593">
        <f>SUM(DS32:DS36)</f>
        <v>94</v>
      </c>
      <c r="DT31" s="3336">
        <f t="shared" si="23"/>
        <v>26198.952718676122</v>
      </c>
      <c r="DU31" s="3336">
        <f>SUM(DU32:DU36)</f>
        <v>22164.313999999998</v>
      </c>
      <c r="DV31" s="3442">
        <f>SUM(DV32:DV36)</f>
        <v>97</v>
      </c>
      <c r="DW31" s="3309">
        <f t="shared" si="24"/>
        <v>25117.585910652921</v>
      </c>
      <c r="DX31" s="3309">
        <f>SUM(DX32:DX36)</f>
        <v>29236.87</v>
      </c>
    </row>
    <row r="32" spans="1:128" ht="37.5" customHeight="1" x14ac:dyDescent="0.2">
      <c r="A32" s="3443" t="s">
        <v>187</v>
      </c>
      <c r="B32" s="3313" t="s">
        <v>88</v>
      </c>
      <c r="C32" s="2122">
        <v>456</v>
      </c>
      <c r="D32" s="2123">
        <v>12405</v>
      </c>
      <c r="E32" s="2124">
        <v>67882.600000000006</v>
      </c>
      <c r="F32" s="2123">
        <v>444</v>
      </c>
      <c r="G32" s="2123">
        <v>12620</v>
      </c>
      <c r="H32" s="2124">
        <f>F32*G32*12/1000</f>
        <v>67239.360000000001</v>
      </c>
      <c r="I32" s="2122">
        <v>435</v>
      </c>
      <c r="J32" s="2123">
        <v>13646</v>
      </c>
      <c r="K32" s="2118">
        <f>J32/G32</f>
        <v>1.0812995245641839</v>
      </c>
      <c r="L32" s="2124">
        <v>71232.100000000006</v>
      </c>
      <c r="M32" s="2122">
        <v>30</v>
      </c>
      <c r="N32" s="2123">
        <f t="shared" si="3"/>
        <v>25154.444444444449</v>
      </c>
      <c r="O32" s="2124">
        <v>9055.6</v>
      </c>
      <c r="P32" s="2119">
        <f>N32/AM15</f>
        <v>1.2528746934240285</v>
      </c>
      <c r="Q32" s="1732"/>
      <c r="R32" s="5078"/>
      <c r="S32" s="2129">
        <v>26</v>
      </c>
      <c r="T32" s="2123">
        <f>AM15*1.056</f>
        <v>21201.715919999995</v>
      </c>
      <c r="U32" s="2124">
        <f>S32*T32*12/1000</f>
        <v>6614.9353670399987</v>
      </c>
      <c r="V32" s="2119">
        <f>T32/AM15</f>
        <v>1.056</v>
      </c>
      <c r="W32" s="1732"/>
      <c r="X32" s="2122">
        <v>25</v>
      </c>
      <c r="Y32" s="2123">
        <f t="shared" si="4"/>
        <v>21835.333333333336</v>
      </c>
      <c r="Z32" s="2124">
        <v>3275.3</v>
      </c>
      <c r="AA32" s="2119">
        <f>Y32/BB15</f>
        <v>0.9662474115678098</v>
      </c>
      <c r="AB32" s="1732"/>
      <c r="AC32" s="1732"/>
      <c r="AD32" s="1732"/>
      <c r="AE32" s="1732"/>
      <c r="AF32" s="1732"/>
      <c r="AG32" s="1732"/>
      <c r="AH32" s="1732"/>
      <c r="AI32" s="1732"/>
      <c r="AJ32" s="1732"/>
      <c r="AK32" s="1732"/>
      <c r="AL32" s="2122">
        <v>25</v>
      </c>
      <c r="AM32" s="2123">
        <f t="shared" si="5"/>
        <v>22584.444444444445</v>
      </c>
      <c r="AN32" s="2124">
        <v>5081.5</v>
      </c>
      <c r="AO32" s="2119">
        <f>AM32/BB15</f>
        <v>0.99939674164846481</v>
      </c>
      <c r="AP32" s="1732"/>
      <c r="AQ32" s="2122">
        <v>25</v>
      </c>
      <c r="AR32" s="2123">
        <f t="shared" si="6"/>
        <v>23072.333333333332</v>
      </c>
      <c r="AS32" s="2124">
        <v>6921.7</v>
      </c>
      <c r="AT32" s="2119">
        <f t="shared" si="25"/>
        <v>1.0882295291754545</v>
      </c>
      <c r="AU32" s="2122">
        <v>30</v>
      </c>
      <c r="AV32" s="2123">
        <f t="shared" si="7"/>
        <v>25154.444444444449</v>
      </c>
      <c r="AW32" s="2124">
        <v>9055.6</v>
      </c>
      <c r="AX32" s="2119">
        <f t="shared" si="26"/>
        <v>1.1864343687727543</v>
      </c>
      <c r="AY32" s="2128">
        <f>AV32/BB15</f>
        <v>1.1131232330109022</v>
      </c>
      <c r="AZ32" s="2127">
        <f>BA15</f>
        <v>26</v>
      </c>
      <c r="BA32" s="2123">
        <f>AV32</f>
        <v>25154.444444444449</v>
      </c>
      <c r="BB32" s="2124">
        <f>AZ32*BA32*12/1000</f>
        <v>7848.1866666666683</v>
      </c>
      <c r="BC32" s="2119">
        <f t="shared" si="8"/>
        <v>1.1864343687727543</v>
      </c>
      <c r="BD32" s="1732"/>
      <c r="BE32" s="2122">
        <v>25</v>
      </c>
      <c r="BF32" s="2123">
        <f t="shared" si="9"/>
        <v>22802.666666666668</v>
      </c>
      <c r="BG32" s="2124">
        <v>3420.4</v>
      </c>
      <c r="BH32" s="2119">
        <f t="shared" si="27"/>
        <v>0.90650647113388394</v>
      </c>
      <c r="BI32" s="2122">
        <v>25</v>
      </c>
      <c r="BJ32" s="2123">
        <f t="shared" si="10"/>
        <v>23330.666666666664</v>
      </c>
      <c r="BK32" s="2124">
        <v>5249.4</v>
      </c>
      <c r="BL32" s="2119">
        <f t="shared" si="28"/>
        <v>0.92749679756172954</v>
      </c>
      <c r="BM32" s="2122">
        <v>30</v>
      </c>
      <c r="BN32" s="2123">
        <f t="shared" si="35"/>
        <v>27669.888888888898</v>
      </c>
      <c r="BO32" s="2124">
        <f>BM32*BN32*12/1000</f>
        <v>9961.1600000000035</v>
      </c>
      <c r="BP32" s="2119">
        <f t="shared" si="29"/>
        <v>1.1000000000000001</v>
      </c>
      <c r="BQ32" s="2122">
        <f>AQ32</f>
        <v>25</v>
      </c>
      <c r="BR32" s="2123">
        <f>'ЗП с факт 3 кв. 2015'!BU30</f>
        <v>26191.279999999995</v>
      </c>
      <c r="BS32" s="2124">
        <f>BQ32*BR32*12/1000</f>
        <v>7857.3839999999982</v>
      </c>
      <c r="BT32" s="2119">
        <f t="shared" si="30"/>
        <v>1.0412187817483101</v>
      </c>
      <c r="BU32" s="2122">
        <v>25</v>
      </c>
      <c r="BV32" s="2123">
        <v>25988</v>
      </c>
      <c r="BW32" s="2124">
        <f>BU32*BV32*12/1000</f>
        <v>7796.4</v>
      </c>
      <c r="BX32" s="2122">
        <v>26</v>
      </c>
      <c r="BY32" s="2123">
        <v>26050</v>
      </c>
      <c r="BZ32" s="2124">
        <f>BX32*BY32*12/1000</f>
        <v>8127.6</v>
      </c>
      <c r="CA32" s="2124">
        <f t="shared" ref="CA32" si="60">BQ32</f>
        <v>25</v>
      </c>
      <c r="CB32" s="2124">
        <f>CC32/12/CA32*1000</f>
        <v>27770.35227119999</v>
      </c>
      <c r="CC32" s="2124">
        <f t="shared" ref="CC32:CC35" si="61">BS32*0.99*1.071</f>
        <v>8331.1056813599971</v>
      </c>
      <c r="CD32" s="2124">
        <f t="shared" ref="CD32" si="62">CA32</f>
        <v>25</v>
      </c>
      <c r="CE32" s="2124">
        <f>CF32/12/CD32*1000</f>
        <v>26888.75378639999</v>
      </c>
      <c r="CF32" s="2124">
        <f t="shared" ref="CF32:CF35" si="63">BS32*0.99*1.037</f>
        <v>8066.6261359199971</v>
      </c>
      <c r="CG32" s="2124">
        <f>CD32</f>
        <v>25</v>
      </c>
      <c r="CH32" s="2124">
        <f t="shared" si="57"/>
        <v>29168.699189278173</v>
      </c>
      <c r="CI32" s="2124">
        <f>BS32*0.99*1.074*0.99*1.058</f>
        <v>8750.6097567834513</v>
      </c>
      <c r="CJ32" s="2124">
        <v>27</v>
      </c>
      <c r="CK32" s="2124">
        <f t="shared" si="59"/>
        <v>26490.061728395063</v>
      </c>
      <c r="CL32" s="2124">
        <v>8582.7800000000007</v>
      </c>
      <c r="CM32" s="2122">
        <v>27</v>
      </c>
      <c r="CN32" s="2123">
        <v>34182</v>
      </c>
      <c r="CO32" s="2124">
        <f>CM32*CN32*12/1000</f>
        <v>11074.968000000001</v>
      </c>
      <c r="CP32" s="2122">
        <v>27</v>
      </c>
      <c r="CQ32" s="2123">
        <f>'ЗП среднемес'!H52</f>
        <v>30826.575999999997</v>
      </c>
      <c r="CR32" s="2124">
        <f>CP32*CQ32*12/1000</f>
        <v>9987.8106239999979</v>
      </c>
      <c r="CS32" s="2122">
        <v>27</v>
      </c>
      <c r="CT32" s="2123">
        <f>SUM('ЗП среднемес'!H72)</f>
        <v>32244.598495999999</v>
      </c>
      <c r="CU32" s="2662">
        <f>CS32*CT32*12/1000</f>
        <v>10447.249912703999</v>
      </c>
      <c r="CV32" s="2122">
        <v>27</v>
      </c>
      <c r="CW32" s="2123">
        <f t="shared" ref="CW32:CW35" si="64">SUM(CQ32*1.03)*(1-0.01)</f>
        <v>31433.859547199998</v>
      </c>
      <c r="CX32" s="2124">
        <f>CV32*CW32*12/1000</f>
        <v>10184.570493292798</v>
      </c>
      <c r="CY32" s="2122">
        <v>27</v>
      </c>
      <c r="CZ32" s="2610">
        <f t="shared" ref="CZ32:CZ36" si="65">SUM(DA32/CY32/6*1000)</f>
        <v>29929.753086419751</v>
      </c>
      <c r="DA32" s="2662">
        <v>4848.62</v>
      </c>
      <c r="DB32" s="2124">
        <v>27</v>
      </c>
      <c r="DC32" s="2610">
        <f t="shared" si="21"/>
        <v>30084.320987654319</v>
      </c>
      <c r="DD32" s="2124">
        <v>7310.49</v>
      </c>
      <c r="DE32" s="2124">
        <v>27</v>
      </c>
      <c r="DF32" s="2610">
        <f t="shared" si="22"/>
        <v>28935.462962962964</v>
      </c>
      <c r="DG32" s="2124">
        <v>9375.09</v>
      </c>
      <c r="DH32" s="3590">
        <v>27</v>
      </c>
      <c r="DI32" s="3591">
        <f>SUM('ЗП среднемес'!H86)</f>
        <v>37962.436160000005</v>
      </c>
      <c r="DJ32" s="3594">
        <f>DH32*DI32*12/1000</f>
        <v>12299.829315840003</v>
      </c>
      <c r="DK32" s="4114">
        <f t="shared" si="48"/>
        <v>27</v>
      </c>
      <c r="DL32" s="4109">
        <f t="shared" si="49"/>
        <v>32302.425305419314</v>
      </c>
      <c r="DM32" s="4120">
        <f>DK32*DL32*12/1000</f>
        <v>10465.985798955859</v>
      </c>
      <c r="DN32" s="5113" t="s">
        <v>3541</v>
      </c>
      <c r="DO32" s="2132"/>
      <c r="DP32" s="3973">
        <v>24</v>
      </c>
      <c r="DQ32" s="3335">
        <f t="shared" ref="DQ32:DQ36" si="66">SUM(DR32/DP32/6*1000)</f>
        <v>31061.875</v>
      </c>
      <c r="DR32" s="3590">
        <v>4472.91</v>
      </c>
      <c r="DS32" s="3590">
        <v>24</v>
      </c>
      <c r="DT32" s="3335">
        <f t="shared" si="23"/>
        <v>31129.671296296296</v>
      </c>
      <c r="DU32" s="3592">
        <v>6724.009</v>
      </c>
      <c r="DV32" s="3444">
        <v>27</v>
      </c>
      <c r="DW32" s="3307">
        <f t="shared" si="24"/>
        <v>28935.462962962964</v>
      </c>
      <c r="DX32" s="3444">
        <v>9375.09</v>
      </c>
    </row>
    <row r="33" spans="1:128" ht="44.25" customHeight="1" x14ac:dyDescent="0.2">
      <c r="A33" s="3443" t="s">
        <v>188</v>
      </c>
      <c r="B33" s="3313" t="s">
        <v>89</v>
      </c>
      <c r="C33" s="2122">
        <v>384</v>
      </c>
      <c r="D33" s="2123">
        <v>11838</v>
      </c>
      <c r="E33" s="2124">
        <v>54547.199999999997</v>
      </c>
      <c r="F33" s="2123">
        <v>369</v>
      </c>
      <c r="G33" s="2123">
        <v>12231</v>
      </c>
      <c r="H33" s="2124">
        <f>F33*G33*12/1000</f>
        <v>54158.868000000002</v>
      </c>
      <c r="I33" s="2122">
        <v>364</v>
      </c>
      <c r="J33" s="2123">
        <v>13021</v>
      </c>
      <c r="K33" s="2118">
        <f>J33/G33</f>
        <v>1.0645899762897555</v>
      </c>
      <c r="L33" s="2124">
        <v>56876.800000000003</v>
      </c>
      <c r="M33" s="2122">
        <v>49</v>
      </c>
      <c r="N33" s="2123">
        <f t="shared" si="3"/>
        <v>30026.530612244896</v>
      </c>
      <c r="O33" s="2124">
        <v>17655.599999999999</v>
      </c>
      <c r="P33" s="2119">
        <f>N33/AM16</f>
        <v>1.1443255630726537</v>
      </c>
      <c r="Q33" s="1732"/>
      <c r="R33" s="5078"/>
      <c r="S33" s="2129">
        <v>48</v>
      </c>
      <c r="T33" s="2123">
        <f>AM16*1.056</f>
        <v>27708.912</v>
      </c>
      <c r="U33" s="2124">
        <f>S33*T33*12/1000</f>
        <v>15960.333312000001</v>
      </c>
      <c r="V33" s="2119">
        <f>T33/AM16</f>
        <v>1.056</v>
      </c>
      <c r="W33" s="1732"/>
      <c r="X33" s="2122">
        <v>49</v>
      </c>
      <c r="Y33" s="2123">
        <f t="shared" si="4"/>
        <v>23665.306122448983</v>
      </c>
      <c r="Z33" s="2124">
        <v>6957.6</v>
      </c>
      <c r="AA33" s="2119">
        <f>Y33/BB16</f>
        <v>0.90954964376756653</v>
      </c>
      <c r="AB33" s="1732"/>
      <c r="AC33" s="1732"/>
      <c r="AD33" s="1732"/>
      <c r="AE33" s="1732"/>
      <c r="AF33" s="1732"/>
      <c r="AG33" s="1732"/>
      <c r="AH33" s="1732"/>
      <c r="AI33" s="1732"/>
      <c r="AJ33" s="1732"/>
      <c r="AK33" s="1732"/>
      <c r="AL33" s="2122">
        <v>49</v>
      </c>
      <c r="AM33" s="2123">
        <f t="shared" si="5"/>
        <v>24274.149659863946</v>
      </c>
      <c r="AN33" s="2124">
        <v>10704.9</v>
      </c>
      <c r="AO33" s="2119">
        <f>AM33/BB16</f>
        <v>0.93294986600431395</v>
      </c>
      <c r="AP33" s="1732"/>
      <c r="AQ33" s="2122">
        <v>49</v>
      </c>
      <c r="AR33" s="2123">
        <f t="shared" si="6"/>
        <v>24466.496598639456</v>
      </c>
      <c r="AS33" s="2124">
        <v>14386.3</v>
      </c>
      <c r="AT33" s="2119">
        <f t="shared" si="25"/>
        <v>0.88298294060190652</v>
      </c>
      <c r="AU33" s="2122">
        <v>49</v>
      </c>
      <c r="AV33" s="2123">
        <f t="shared" si="7"/>
        <v>30026.530612244896</v>
      </c>
      <c r="AW33" s="2124">
        <v>17655.599999999999</v>
      </c>
      <c r="AX33" s="2119">
        <f t="shared" si="26"/>
        <v>1.0836416316975888</v>
      </c>
      <c r="AY33" s="2128">
        <f>AV33/BB16</f>
        <v>1.1540362115170926</v>
      </c>
      <c r="AZ33" s="2127">
        <f>BA16</f>
        <v>49</v>
      </c>
      <c r="BA33" s="2123">
        <f>AV33</f>
        <v>30026.530612244896</v>
      </c>
      <c r="BB33" s="2124">
        <f>AZ33*BA33*12/1000</f>
        <v>17655.599999999999</v>
      </c>
      <c r="BC33" s="2119">
        <f t="shared" si="8"/>
        <v>1.0836416316975888</v>
      </c>
      <c r="BD33" s="1732"/>
      <c r="BE33" s="2122">
        <v>49</v>
      </c>
      <c r="BF33" s="2123">
        <f t="shared" si="9"/>
        <v>24546.938775510203</v>
      </c>
      <c r="BG33" s="2124">
        <v>7216.8</v>
      </c>
      <c r="BH33" s="2119">
        <f t="shared" si="27"/>
        <v>0.81750832597023038</v>
      </c>
      <c r="BI33" s="2122">
        <v>49</v>
      </c>
      <c r="BJ33" s="2123">
        <f t="shared" si="10"/>
        <v>25629.25170068027</v>
      </c>
      <c r="BK33" s="2124">
        <v>11302.5</v>
      </c>
      <c r="BL33" s="2119">
        <f t="shared" si="28"/>
        <v>0.85355354675003958</v>
      </c>
      <c r="BM33" s="2122">
        <v>49</v>
      </c>
      <c r="BN33" s="2123">
        <f t="shared" si="35"/>
        <v>33029.183673469386</v>
      </c>
      <c r="BO33" s="2124">
        <f>BM33*BN33*12/1000</f>
        <v>19421.16</v>
      </c>
      <c r="BP33" s="2119">
        <f t="shared" si="29"/>
        <v>1.1000000000000001</v>
      </c>
      <c r="BQ33" s="2122">
        <f t="shared" ref="BQ33:BQ35" si="67">AQ33</f>
        <v>49</v>
      </c>
      <c r="BR33" s="2123">
        <f>'ЗП с факт 3 кв. 2015'!BU31</f>
        <v>29850.624489795915</v>
      </c>
      <c r="BS33" s="2124">
        <f>BQ33*BR33*12/1000</f>
        <v>17552.1672</v>
      </c>
      <c r="BT33" s="2119">
        <f t="shared" si="30"/>
        <v>0.99414164344457279</v>
      </c>
      <c r="BU33" s="2122">
        <v>48</v>
      </c>
      <c r="BV33" s="2123">
        <v>28455</v>
      </c>
      <c r="BW33" s="2124">
        <f>BU33*BV33*12/1000</f>
        <v>16390.080000000002</v>
      </c>
      <c r="BX33" s="2122">
        <v>48</v>
      </c>
      <c r="BY33" s="2123">
        <v>27434</v>
      </c>
      <c r="BZ33" s="2124">
        <f>BX33*BY33*12/1000</f>
        <v>15801.984</v>
      </c>
      <c r="CA33" s="2124">
        <f t="shared" ref="CA33:CA35" si="68">BQ33</f>
        <v>49</v>
      </c>
      <c r="CB33" s="2124">
        <f t="shared" ref="CB33:CB35" si="69">CC33/12/CA33*1000</f>
        <v>31650.31864028571</v>
      </c>
      <c r="CC33" s="2124">
        <f t="shared" si="61"/>
        <v>18610.387360487999</v>
      </c>
      <c r="CD33" s="2124">
        <f t="shared" ref="CD33:CD35" si="70">CA33</f>
        <v>49</v>
      </c>
      <c r="CE33" s="2124">
        <f t="shared" ref="CE33:CE35" si="71">CF33/12/CD33*1000</f>
        <v>30645.546619959183</v>
      </c>
      <c r="CF33" s="2124">
        <f t="shared" si="63"/>
        <v>18019.581412536001</v>
      </c>
      <c r="CG33" s="2124">
        <f t="shared" ref="CG33:CG35" si="72">CD33</f>
        <v>49</v>
      </c>
      <c r="CH33" s="2124">
        <f t="shared" si="57"/>
        <v>33244.037189284274</v>
      </c>
      <c r="CI33" s="2124">
        <f t="shared" ref="CI33:CI35" si="73">BS33*0.99*1.074*0.99*1.058</f>
        <v>19547.493867299156</v>
      </c>
      <c r="CJ33" s="2124">
        <v>49</v>
      </c>
      <c r="CK33" s="2124">
        <f t="shared" si="59"/>
        <v>25667.840136054423</v>
      </c>
      <c r="CL33" s="2124">
        <v>15092.69</v>
      </c>
      <c r="CM33" s="2122">
        <v>49</v>
      </c>
      <c r="CN33" s="2123">
        <v>35224</v>
      </c>
      <c r="CO33" s="2124">
        <f>CM33*CN33*12/1000</f>
        <v>20711.712</v>
      </c>
      <c r="CP33" s="2122">
        <v>49</v>
      </c>
      <c r="CQ33" s="2123">
        <f>'ЗП среднемес'!J52</f>
        <v>34679.898000000001</v>
      </c>
      <c r="CR33" s="2124">
        <f>CP33*CQ33*12/1000</f>
        <v>20391.780024</v>
      </c>
      <c r="CS33" s="2122">
        <v>49</v>
      </c>
      <c r="CT33" s="2123">
        <f>SUM('ЗП среднемес'!J72)</f>
        <v>36275.173307999998</v>
      </c>
      <c r="CU33" s="2662">
        <f>CS33*CT33*12/1000</f>
        <v>21329.801905103996</v>
      </c>
      <c r="CV33" s="2122">
        <v>49</v>
      </c>
      <c r="CW33" s="2123">
        <f t="shared" si="64"/>
        <v>35363.091990599998</v>
      </c>
      <c r="CX33" s="2124">
        <f>CV33*CW33*12/1000</f>
        <v>20793.4980904728</v>
      </c>
      <c r="CY33" s="2126">
        <v>49.7</v>
      </c>
      <c r="CZ33" s="2610">
        <f t="shared" si="65"/>
        <v>24707.478202548624</v>
      </c>
      <c r="DA33" s="2662">
        <v>7367.77</v>
      </c>
      <c r="DB33" s="2124">
        <v>49.7</v>
      </c>
      <c r="DC33" s="2610">
        <f t="shared" si="21"/>
        <v>24165.548848647439</v>
      </c>
      <c r="DD33" s="2124">
        <v>10809.25</v>
      </c>
      <c r="DE33" s="2124">
        <v>49.7</v>
      </c>
      <c r="DF33" s="2610">
        <f t="shared" si="22"/>
        <v>23395.573440643861</v>
      </c>
      <c r="DG33" s="2124">
        <v>13953.12</v>
      </c>
      <c r="DH33" s="3590">
        <v>49.7</v>
      </c>
      <c r="DI33" s="3591">
        <f>SUM('ЗП среднемес'!J86)</f>
        <v>42707.740680000003</v>
      </c>
      <c r="DJ33" s="3594">
        <f>DH33*DI33*12/1000</f>
        <v>25470.896541552</v>
      </c>
      <c r="DK33" s="4114">
        <f t="shared" si="48"/>
        <v>49</v>
      </c>
      <c r="DL33" s="4109">
        <f t="shared" si="49"/>
        <v>36340.228468596724</v>
      </c>
      <c r="DM33" s="4120">
        <f>DK33*DL33*12/1000</f>
        <v>21368.054339534876</v>
      </c>
      <c r="DN33" s="5114"/>
      <c r="DO33" s="2132"/>
      <c r="DP33" s="3974">
        <v>48.7</v>
      </c>
      <c r="DQ33" s="3335">
        <f t="shared" si="66"/>
        <v>23998.631074606434</v>
      </c>
      <c r="DR33" s="3590">
        <v>7012.4</v>
      </c>
      <c r="DS33" s="3590">
        <v>48.7</v>
      </c>
      <c r="DT33" s="3335">
        <f t="shared" si="23"/>
        <v>24025.01711156742</v>
      </c>
      <c r="DU33" s="3592">
        <v>10530.165000000001</v>
      </c>
      <c r="DV33" s="3444">
        <v>49.7</v>
      </c>
      <c r="DW33" s="3307">
        <f t="shared" si="24"/>
        <v>23395.573440643861</v>
      </c>
      <c r="DX33" s="3444">
        <v>13953.12</v>
      </c>
    </row>
    <row r="34" spans="1:128" ht="48.75" customHeight="1" x14ac:dyDescent="0.2">
      <c r="A34" s="3443" t="s">
        <v>197</v>
      </c>
      <c r="B34" s="3313" t="s">
        <v>199</v>
      </c>
      <c r="C34" s="2122"/>
      <c r="D34" s="2123"/>
      <c r="E34" s="2124"/>
      <c r="F34" s="2123"/>
      <c r="G34" s="2123"/>
      <c r="H34" s="2124"/>
      <c r="I34" s="2122"/>
      <c r="J34" s="2123"/>
      <c r="K34" s="2118"/>
      <c r="L34" s="2124"/>
      <c r="M34" s="2122">
        <v>7</v>
      </c>
      <c r="N34" s="2123">
        <f t="shared" si="3"/>
        <v>31347.619047619046</v>
      </c>
      <c r="O34" s="2124">
        <v>2633.2</v>
      </c>
      <c r="P34" s="2119">
        <f>N34/AM17</f>
        <v>1.2757479654799539</v>
      </c>
      <c r="Q34" s="1732"/>
      <c r="R34" s="5078"/>
      <c r="S34" s="2130">
        <v>7</v>
      </c>
      <c r="T34" s="2123">
        <f>AM17*1.056</f>
        <v>25947.982367999997</v>
      </c>
      <c r="U34" s="2124">
        <f>S34*T34*12/1000</f>
        <v>2179.6305189119998</v>
      </c>
      <c r="V34" s="2119">
        <f>T34/AM17</f>
        <v>1.056</v>
      </c>
      <c r="W34" s="1732"/>
      <c r="X34" s="2122">
        <v>4</v>
      </c>
      <c r="Y34" s="2123">
        <f t="shared" si="4"/>
        <v>22329.166666666664</v>
      </c>
      <c r="Z34" s="2124">
        <v>535.9</v>
      </c>
      <c r="AA34" s="2119">
        <f>Y34/BB17</f>
        <v>0.91450511945392476</v>
      </c>
      <c r="AB34" s="1732"/>
      <c r="AC34" s="1732"/>
      <c r="AD34" s="1732"/>
      <c r="AE34" s="1732"/>
      <c r="AF34" s="1732"/>
      <c r="AG34" s="1732"/>
      <c r="AH34" s="1732"/>
      <c r="AI34" s="1732"/>
      <c r="AJ34" s="1732"/>
      <c r="AK34" s="1732"/>
      <c r="AL34" s="2122">
        <v>4</v>
      </c>
      <c r="AM34" s="2123">
        <f t="shared" si="5"/>
        <v>23575.000000000004</v>
      </c>
      <c r="AN34" s="2124">
        <v>848.7</v>
      </c>
      <c r="AO34" s="2119">
        <f>AM34/BB17</f>
        <v>0.96552901023890791</v>
      </c>
      <c r="AP34" s="1732"/>
      <c r="AQ34" s="2122">
        <v>4</v>
      </c>
      <c r="AR34" s="2123">
        <f t="shared" si="6"/>
        <v>24131.249999999996</v>
      </c>
      <c r="AS34" s="2124">
        <v>1158.3</v>
      </c>
      <c r="AT34" s="2119">
        <f t="shared" si="25"/>
        <v>0.92998560187706691</v>
      </c>
      <c r="AU34" s="2122">
        <v>7</v>
      </c>
      <c r="AV34" s="2123">
        <f t="shared" si="7"/>
        <v>31347.619047619046</v>
      </c>
      <c r="AW34" s="2124">
        <v>2633.2</v>
      </c>
      <c r="AX34" s="2119">
        <f t="shared" si="26"/>
        <v>1.2080946642802595</v>
      </c>
      <c r="AY34" s="2128">
        <f>AV34/BB17</f>
        <v>1.283861530960507</v>
      </c>
      <c r="AZ34" s="2127">
        <f>BA17</f>
        <v>6</v>
      </c>
      <c r="BA34" s="2123">
        <f>AV34</f>
        <v>31347.619047619046</v>
      </c>
      <c r="BB34" s="2124">
        <f>AZ34*BA34*12/1000</f>
        <v>2257.028571428571</v>
      </c>
      <c r="BC34" s="2119">
        <f t="shared" si="8"/>
        <v>1.2080946642802595</v>
      </c>
      <c r="BD34" s="1732"/>
      <c r="BE34" s="2122">
        <v>5</v>
      </c>
      <c r="BF34" s="2123">
        <f t="shared" si="9"/>
        <v>22876.666666666664</v>
      </c>
      <c r="BG34" s="2124">
        <v>686.3</v>
      </c>
      <c r="BH34" s="2119">
        <f t="shared" si="27"/>
        <v>0.72977365942579364</v>
      </c>
      <c r="BI34" s="2122">
        <v>4</v>
      </c>
      <c r="BJ34" s="2123">
        <f t="shared" si="10"/>
        <v>31052.777777777781</v>
      </c>
      <c r="BK34" s="2124">
        <v>1117.9000000000001</v>
      </c>
      <c r="BL34" s="2119">
        <f t="shared" si="28"/>
        <v>0.99059446047901178</v>
      </c>
      <c r="BM34" s="2122">
        <v>7</v>
      </c>
      <c r="BN34" s="2123">
        <f t="shared" si="35"/>
        <v>34482.380952380954</v>
      </c>
      <c r="BO34" s="2124">
        <f>BM34*BN34*12/1000</f>
        <v>2896.52</v>
      </c>
      <c r="BP34" s="2119">
        <f t="shared" si="29"/>
        <v>1.1000000000000001</v>
      </c>
      <c r="BQ34" s="2122">
        <f t="shared" si="67"/>
        <v>4</v>
      </c>
      <c r="BR34" s="2123">
        <f>'ЗП с факт 3 кв. 2015'!BU32</f>
        <v>34336.17777777779</v>
      </c>
      <c r="BS34" s="2124">
        <f>BQ34*BR34*12/1000</f>
        <v>1648.136533333334</v>
      </c>
      <c r="BT34" s="2119">
        <f t="shared" si="30"/>
        <v>1.0953360676489954</v>
      </c>
      <c r="BU34" s="2122">
        <v>4</v>
      </c>
      <c r="BV34" s="2123">
        <v>30077</v>
      </c>
      <c r="BW34" s="2124">
        <f>BU34*BV34*12/1000</f>
        <v>1443.6959999999999</v>
      </c>
      <c r="BX34" s="2122">
        <v>4</v>
      </c>
      <c r="BY34" s="2123">
        <v>26583</v>
      </c>
      <c r="BZ34" s="2124">
        <f>BX34*BY34*12/1000</f>
        <v>1275.9839999999999</v>
      </c>
      <c r="CA34" s="2124">
        <f t="shared" si="68"/>
        <v>4</v>
      </c>
      <c r="CB34" s="2124">
        <f t="shared" si="69"/>
        <v>36406.305936000019</v>
      </c>
      <c r="CC34" s="2124">
        <f t="shared" si="61"/>
        <v>1747.5026849280007</v>
      </c>
      <c r="CD34" s="2124">
        <f t="shared" si="70"/>
        <v>4</v>
      </c>
      <c r="CE34" s="2124">
        <f t="shared" si="71"/>
        <v>35250.55019200001</v>
      </c>
      <c r="CF34" s="2124">
        <f t="shared" si="63"/>
        <v>1692.0264092160005</v>
      </c>
      <c r="CG34" s="2124">
        <f t="shared" si="72"/>
        <v>4</v>
      </c>
      <c r="CH34" s="2124">
        <f t="shared" si="57"/>
        <v>38239.507229489296</v>
      </c>
      <c r="CI34" s="2124">
        <f t="shared" si="73"/>
        <v>1835.4963470154864</v>
      </c>
      <c r="CJ34" s="2124">
        <v>4</v>
      </c>
      <c r="CK34" s="2124">
        <f t="shared" si="59"/>
        <v>26602.708333333336</v>
      </c>
      <c r="CL34" s="2124">
        <v>1276.93</v>
      </c>
      <c r="CM34" s="2122">
        <v>4</v>
      </c>
      <c r="CN34" s="2123">
        <v>28530</v>
      </c>
      <c r="CO34" s="2124">
        <f>CM34*CN34*12/1000</f>
        <v>1369.44</v>
      </c>
      <c r="CP34" s="2122">
        <v>4</v>
      </c>
      <c r="CQ34" s="2123">
        <f>'ЗП среднемес'!J52</f>
        <v>34679.898000000001</v>
      </c>
      <c r="CR34" s="2124">
        <f>CP34*CQ34*12/1000</f>
        <v>1664.635104</v>
      </c>
      <c r="CS34" s="2122">
        <v>4</v>
      </c>
      <c r="CT34" s="2123">
        <f>SUM('ЗП среднемес'!J72)</f>
        <v>36275.173307999998</v>
      </c>
      <c r="CU34" s="2662">
        <f>CS34*CT34*12/1000</f>
        <v>1741.2083187839999</v>
      </c>
      <c r="CV34" s="2122">
        <v>4</v>
      </c>
      <c r="CW34" s="2123">
        <f t="shared" si="64"/>
        <v>35363.091990599998</v>
      </c>
      <c r="CX34" s="2124">
        <f>CV34*CW34*12/1000</f>
        <v>1697.4284155488001</v>
      </c>
      <c r="CY34" s="2122">
        <v>5</v>
      </c>
      <c r="CZ34" s="2610">
        <f t="shared" si="65"/>
        <v>20190</v>
      </c>
      <c r="DA34" s="2662">
        <v>605.70000000000005</v>
      </c>
      <c r="DB34" s="2124">
        <v>5</v>
      </c>
      <c r="DC34" s="2610">
        <f t="shared" si="21"/>
        <v>22466</v>
      </c>
      <c r="DD34" s="2124">
        <v>1010.97</v>
      </c>
      <c r="DE34" s="2124">
        <v>5</v>
      </c>
      <c r="DF34" s="2610">
        <f t="shared" si="22"/>
        <v>26427.833333333336</v>
      </c>
      <c r="DG34" s="2124">
        <v>1585.67</v>
      </c>
      <c r="DH34" s="3590">
        <v>5</v>
      </c>
      <c r="DI34" s="3591">
        <f>SUM('ЗП среднемес'!J86)</f>
        <v>42707.740680000003</v>
      </c>
      <c r="DJ34" s="3594">
        <f>DH34*DI34*12/1000</f>
        <v>2562.4644407999999</v>
      </c>
      <c r="DK34" s="4114">
        <f t="shared" si="48"/>
        <v>4</v>
      </c>
      <c r="DL34" s="4109">
        <f t="shared" si="49"/>
        <v>36340.228468596724</v>
      </c>
      <c r="DM34" s="4120">
        <f>DK34*DL34*12/1000</f>
        <v>1744.3309664926426</v>
      </c>
      <c r="DN34" s="5114"/>
      <c r="DO34" s="2132"/>
      <c r="DP34" s="3973">
        <v>5</v>
      </c>
      <c r="DQ34" s="3335">
        <f t="shared" si="66"/>
        <v>36228.999999999993</v>
      </c>
      <c r="DR34" s="3590">
        <v>1086.8699999999999</v>
      </c>
      <c r="DS34" s="3590">
        <v>5</v>
      </c>
      <c r="DT34" s="3335">
        <f t="shared" si="23"/>
        <v>34436.333333333336</v>
      </c>
      <c r="DU34" s="3592">
        <v>1549.635</v>
      </c>
      <c r="DV34" s="3444">
        <v>5</v>
      </c>
      <c r="DW34" s="3307">
        <f t="shared" si="24"/>
        <v>26427.833333333336</v>
      </c>
      <c r="DX34" s="3444">
        <v>1585.67</v>
      </c>
    </row>
    <row r="35" spans="1:128" ht="24.95" customHeight="1" x14ac:dyDescent="0.2">
      <c r="A35" s="3443" t="s">
        <v>198</v>
      </c>
      <c r="B35" s="3313" t="s">
        <v>86</v>
      </c>
      <c r="C35" s="2122"/>
      <c r="D35" s="2123"/>
      <c r="E35" s="2124"/>
      <c r="F35" s="2123"/>
      <c r="G35" s="2123"/>
      <c r="H35" s="2124"/>
      <c r="I35" s="2122"/>
      <c r="J35" s="2123"/>
      <c r="K35" s="2118"/>
      <c r="L35" s="2124"/>
      <c r="M35" s="2122">
        <v>19</v>
      </c>
      <c r="N35" s="2123">
        <f t="shared" si="3"/>
        <v>29728.508771929824</v>
      </c>
      <c r="O35" s="2124">
        <v>6778.1</v>
      </c>
      <c r="P35" s="2119">
        <f>N35/AM18</f>
        <v>1.3130421604372358</v>
      </c>
      <c r="Q35" s="1732"/>
      <c r="R35" s="5078"/>
      <c r="S35" s="2130">
        <v>15</v>
      </c>
      <c r="T35" s="2123">
        <f>AM18*1.056</f>
        <v>23908.832640000001</v>
      </c>
      <c r="U35" s="2124">
        <f>S35*T35*12/1000</f>
        <v>4303.5898752000003</v>
      </c>
      <c r="V35" s="2119">
        <f>T35/AM18</f>
        <v>1.056</v>
      </c>
      <c r="W35" s="1732"/>
      <c r="X35" s="2122">
        <v>17</v>
      </c>
      <c r="Y35" s="2123">
        <f t="shared" si="4"/>
        <v>22040.196078431374</v>
      </c>
      <c r="Z35" s="2124">
        <v>2248.1</v>
      </c>
      <c r="AA35" s="2119">
        <f>Y35/BB18</f>
        <v>0.8998158821645853</v>
      </c>
      <c r="AB35" s="1732"/>
      <c r="AC35" s="1732"/>
      <c r="AD35" s="1732"/>
      <c r="AE35" s="1732"/>
      <c r="AF35" s="1732"/>
      <c r="AG35" s="1732"/>
      <c r="AH35" s="1732"/>
      <c r="AI35" s="1732"/>
      <c r="AJ35" s="1732"/>
      <c r="AK35" s="1732"/>
      <c r="AL35" s="2122">
        <v>16</v>
      </c>
      <c r="AM35" s="2123">
        <f t="shared" si="5"/>
        <v>24753.472222222223</v>
      </c>
      <c r="AN35" s="2124">
        <v>3564.5</v>
      </c>
      <c r="AO35" s="2119">
        <f>AM35/BB18</f>
        <v>1.0105884432703596</v>
      </c>
      <c r="AP35" s="1732"/>
      <c r="AQ35" s="2122">
        <v>16</v>
      </c>
      <c r="AR35" s="2123">
        <f t="shared" si="6"/>
        <v>24427.083333333332</v>
      </c>
      <c r="AS35" s="2124">
        <v>4690</v>
      </c>
      <c r="AT35" s="2119">
        <f t="shared" si="25"/>
        <v>1.0216761186602765</v>
      </c>
      <c r="AU35" s="2122">
        <v>19</v>
      </c>
      <c r="AV35" s="2123">
        <f t="shared" si="7"/>
        <v>29728.508771929824</v>
      </c>
      <c r="AW35" s="2124">
        <v>6778.1</v>
      </c>
      <c r="AX35" s="2119">
        <f t="shared" si="26"/>
        <v>1.2434111367776852</v>
      </c>
      <c r="AY35" s="2128">
        <f>AV35/BB18</f>
        <v>1.2136999258472789</v>
      </c>
      <c r="AZ35" s="2127">
        <f>BA18</f>
        <v>17</v>
      </c>
      <c r="BA35" s="2123">
        <f>AV35</f>
        <v>29728.508771929824</v>
      </c>
      <c r="BB35" s="2124">
        <f>AZ35*BA35*12/1000</f>
        <v>6064.6157894736843</v>
      </c>
      <c r="BC35" s="2119">
        <f t="shared" si="8"/>
        <v>1.2434111367776852</v>
      </c>
      <c r="BD35" s="1732"/>
      <c r="BE35" s="2122">
        <v>15</v>
      </c>
      <c r="BF35" s="2123">
        <f t="shared" si="9"/>
        <v>24044.444444444449</v>
      </c>
      <c r="BG35" s="2124">
        <v>2164</v>
      </c>
      <c r="BH35" s="2119">
        <f t="shared" si="27"/>
        <v>0.80880089307229674</v>
      </c>
      <c r="BI35" s="2122">
        <v>16</v>
      </c>
      <c r="BJ35" s="2123">
        <f t="shared" si="10"/>
        <v>23187.5</v>
      </c>
      <c r="BK35" s="2124">
        <v>3339</v>
      </c>
      <c r="BL35" s="2119">
        <f t="shared" si="28"/>
        <v>0.77997521429309102</v>
      </c>
      <c r="BM35" s="2122">
        <v>19</v>
      </c>
      <c r="BN35" s="2123">
        <f t="shared" si="35"/>
        <v>32701.359649122809</v>
      </c>
      <c r="BO35" s="2124">
        <f>BM35*BN35*12/1000</f>
        <v>7455.91</v>
      </c>
      <c r="BP35" s="2119">
        <f t="shared" si="29"/>
        <v>1.1000000000000001</v>
      </c>
      <c r="BQ35" s="2122">
        <f t="shared" si="67"/>
        <v>16</v>
      </c>
      <c r="BR35" s="2123">
        <f>'ЗП с факт 3 кв. 2015'!BU33</f>
        <v>27138.709677419356</v>
      </c>
      <c r="BS35" s="2124">
        <f>BQ35*BR35*12/1000</f>
        <v>5210.6322580645156</v>
      </c>
      <c r="BT35" s="2119">
        <f t="shared" si="30"/>
        <v>0.91288499822245361</v>
      </c>
      <c r="BU35" s="2122">
        <v>15</v>
      </c>
      <c r="BV35" s="2123">
        <v>25789</v>
      </c>
      <c r="BW35" s="2124">
        <f>BU35*BV35*12/1000</f>
        <v>4642.0200000000004</v>
      </c>
      <c r="BX35" s="2122">
        <v>15</v>
      </c>
      <c r="BY35" s="2123">
        <v>26603</v>
      </c>
      <c r="BZ35" s="2124">
        <f>BX35*BY35*12/1000</f>
        <v>4788.54</v>
      </c>
      <c r="CA35" s="2124">
        <f t="shared" si="68"/>
        <v>16</v>
      </c>
      <c r="CB35" s="2124">
        <f t="shared" si="69"/>
        <v>28774.902483870959</v>
      </c>
      <c r="CC35" s="2124">
        <f t="shared" si="61"/>
        <v>5524.7812769032244</v>
      </c>
      <c r="CD35" s="2124">
        <f t="shared" si="70"/>
        <v>16</v>
      </c>
      <c r="CE35" s="2124">
        <f t="shared" si="71"/>
        <v>27861.413516129021</v>
      </c>
      <c r="CF35" s="2124">
        <f t="shared" si="63"/>
        <v>5349.3913950967726</v>
      </c>
      <c r="CG35" s="2124">
        <f t="shared" si="72"/>
        <v>16</v>
      </c>
      <c r="CH35" s="2124">
        <f t="shared" si="57"/>
        <v>30223.832472708385</v>
      </c>
      <c r="CI35" s="2124">
        <f t="shared" si="73"/>
        <v>5802.97583476001</v>
      </c>
      <c r="CJ35" s="2124">
        <v>15</v>
      </c>
      <c r="CK35" s="2124">
        <f t="shared" si="59"/>
        <v>24492.111111111109</v>
      </c>
      <c r="CL35" s="2124">
        <v>4408.58</v>
      </c>
      <c r="CM35" s="2122">
        <v>15</v>
      </c>
      <c r="CN35" s="2123">
        <v>33821</v>
      </c>
      <c r="CO35" s="2124">
        <f>CM35*CN35*12/1000</f>
        <v>6087.78</v>
      </c>
      <c r="CP35" s="2122">
        <v>15</v>
      </c>
      <c r="CQ35" s="2123">
        <f>'ЗП среднемес'!H52</f>
        <v>30826.575999999997</v>
      </c>
      <c r="CR35" s="2124">
        <f>CP35*CQ35*12/1000</f>
        <v>5548.7836799999995</v>
      </c>
      <c r="CS35" s="2122">
        <v>15</v>
      </c>
      <c r="CT35" s="2123">
        <f>SUM('ЗП среднемес'!H72)</f>
        <v>32244.598495999999</v>
      </c>
      <c r="CU35" s="2662">
        <f>CS35*CT35*12/1000</f>
        <v>5804.0277292799992</v>
      </c>
      <c r="CV35" s="2122">
        <v>15</v>
      </c>
      <c r="CW35" s="2123">
        <f t="shared" si="64"/>
        <v>31433.859547199998</v>
      </c>
      <c r="CX35" s="2124">
        <f>CV35*CW35*12/1000</f>
        <v>5658.0947184960005</v>
      </c>
      <c r="CY35" s="2122">
        <v>15</v>
      </c>
      <c r="CZ35" s="2610">
        <f t="shared" si="65"/>
        <v>21791.777777777777</v>
      </c>
      <c r="DA35" s="2662">
        <v>1961.26</v>
      </c>
      <c r="DB35" s="2124">
        <v>15</v>
      </c>
      <c r="DC35" s="2610">
        <f t="shared" si="21"/>
        <v>24217.85185185185</v>
      </c>
      <c r="DD35" s="2124">
        <v>3269.41</v>
      </c>
      <c r="DE35" s="2124">
        <v>15</v>
      </c>
      <c r="DF35" s="2610">
        <f t="shared" si="22"/>
        <v>23460.555555555555</v>
      </c>
      <c r="DG35" s="2124">
        <v>4222.8999999999996</v>
      </c>
      <c r="DH35" s="3590">
        <v>15</v>
      </c>
      <c r="DI35" s="3591">
        <f>SUM('ЗП среднемес'!H86)</f>
        <v>37962.436160000005</v>
      </c>
      <c r="DJ35" s="3594">
        <f>DH35*DI35*12/1000</f>
        <v>6833.2385088000001</v>
      </c>
      <c r="DK35" s="4114">
        <f t="shared" si="48"/>
        <v>15</v>
      </c>
      <c r="DL35" s="4109">
        <f t="shared" si="49"/>
        <v>32302.425305419314</v>
      </c>
      <c r="DM35" s="4120">
        <f>DK35*DL35*12/1000</f>
        <v>5814.4365549754757</v>
      </c>
      <c r="DN35" s="5115"/>
      <c r="DO35" s="2132"/>
      <c r="DP35" s="3973">
        <v>16</v>
      </c>
      <c r="DQ35" s="3335">
        <f t="shared" si="66"/>
        <v>22481.666666666664</v>
      </c>
      <c r="DR35" s="3590">
        <v>2158.2399999999998</v>
      </c>
      <c r="DS35" s="3590">
        <v>16</v>
      </c>
      <c r="DT35" s="3335">
        <f t="shared" si="23"/>
        <v>22820.104166666668</v>
      </c>
      <c r="DU35" s="3592">
        <v>3286.0949999999998</v>
      </c>
      <c r="DV35" s="3444">
        <v>15</v>
      </c>
      <c r="DW35" s="3307">
        <f t="shared" si="24"/>
        <v>23460.555555555555</v>
      </c>
      <c r="DX35" s="3444">
        <v>4222.8999999999996</v>
      </c>
    </row>
    <row r="36" spans="1:128" ht="24.95" customHeight="1" x14ac:dyDescent="0.2">
      <c r="A36" s="3445" t="s">
        <v>3639</v>
      </c>
      <c r="B36" s="3446" t="s">
        <v>3662</v>
      </c>
      <c r="C36" s="2639"/>
      <c r="D36" s="2640"/>
      <c r="E36" s="2617"/>
      <c r="F36" s="2640"/>
      <c r="G36" s="2640"/>
      <c r="H36" s="2617"/>
      <c r="I36" s="2639"/>
      <c r="J36" s="2640"/>
      <c r="K36" s="2641"/>
      <c r="L36" s="2617"/>
      <c r="M36" s="2639"/>
      <c r="N36" s="2640"/>
      <c r="O36" s="2617"/>
      <c r="P36" s="2642"/>
      <c r="Q36" s="2643"/>
      <c r="R36" s="2644"/>
      <c r="S36" s="2645"/>
      <c r="T36" s="2640"/>
      <c r="U36" s="2617"/>
      <c r="V36" s="2642"/>
      <c r="W36" s="2643"/>
      <c r="X36" s="2639"/>
      <c r="Y36" s="2640"/>
      <c r="Z36" s="2617"/>
      <c r="AA36" s="2642"/>
      <c r="AB36" s="2643"/>
      <c r="AC36" s="2643"/>
      <c r="AD36" s="2643"/>
      <c r="AE36" s="2643"/>
      <c r="AF36" s="2643"/>
      <c r="AG36" s="2643"/>
      <c r="AH36" s="2643"/>
      <c r="AI36" s="2643"/>
      <c r="AJ36" s="2643"/>
      <c r="AK36" s="2643"/>
      <c r="AL36" s="2639"/>
      <c r="AM36" s="2640"/>
      <c r="AN36" s="2617"/>
      <c r="AO36" s="2642"/>
      <c r="AP36" s="2643"/>
      <c r="AQ36" s="2639"/>
      <c r="AR36" s="2640"/>
      <c r="AS36" s="2617"/>
      <c r="AT36" s="2642"/>
      <c r="AU36" s="2639"/>
      <c r="AV36" s="2640"/>
      <c r="AW36" s="2617"/>
      <c r="AX36" s="2642"/>
      <c r="AY36" s="2646"/>
      <c r="AZ36" s="2647"/>
      <c r="BA36" s="2640"/>
      <c r="BB36" s="2617"/>
      <c r="BC36" s="2642"/>
      <c r="BD36" s="2643"/>
      <c r="BE36" s="2639"/>
      <c r="BF36" s="2640"/>
      <c r="BG36" s="2617"/>
      <c r="BH36" s="2642"/>
      <c r="BI36" s="2639"/>
      <c r="BJ36" s="2640"/>
      <c r="BK36" s="2617"/>
      <c r="BL36" s="2642"/>
      <c r="BM36" s="2648"/>
      <c r="BN36" s="2649"/>
      <c r="BO36" s="2618"/>
      <c r="BP36" s="2650"/>
      <c r="BQ36" s="2648"/>
      <c r="BR36" s="2649"/>
      <c r="BS36" s="2618"/>
      <c r="BT36" s="2650"/>
      <c r="BU36" s="3447"/>
      <c r="BV36" s="3448"/>
      <c r="BW36" s="2663"/>
      <c r="BX36" s="3447"/>
      <c r="BY36" s="3448"/>
      <c r="BZ36" s="2663"/>
      <c r="CA36" s="2663"/>
      <c r="CB36" s="2663"/>
      <c r="CC36" s="2663"/>
      <c r="CD36" s="2663"/>
      <c r="CE36" s="2663"/>
      <c r="CF36" s="2663"/>
      <c r="CG36" s="2663"/>
      <c r="CH36" s="2663"/>
      <c r="CI36" s="2663"/>
      <c r="CJ36" s="2663"/>
      <c r="CK36" s="2663"/>
      <c r="CL36" s="2663"/>
      <c r="CM36" s="3447"/>
      <c r="CN36" s="3448"/>
      <c r="CO36" s="2663"/>
      <c r="CP36" s="3447"/>
      <c r="CQ36" s="3448"/>
      <c r="CR36" s="4130">
        <v>119.29</v>
      </c>
      <c r="CS36" s="3447"/>
      <c r="CT36" s="3448"/>
      <c r="CU36" s="2663"/>
      <c r="CV36" s="3447"/>
      <c r="CW36" s="3448"/>
      <c r="CX36" s="2663"/>
      <c r="CY36" s="2664">
        <v>0.3</v>
      </c>
      <c r="CZ36" s="2610">
        <f t="shared" si="65"/>
        <v>30900.000000000004</v>
      </c>
      <c r="DA36" s="2663">
        <v>55.62</v>
      </c>
      <c r="DB36" s="2124">
        <v>0.3</v>
      </c>
      <c r="DC36" s="2610">
        <f t="shared" si="21"/>
        <v>27196.296296296299</v>
      </c>
      <c r="DD36" s="2124">
        <v>73.430000000000007</v>
      </c>
      <c r="DE36" s="2124">
        <v>0.3</v>
      </c>
      <c r="DF36" s="2610">
        <f t="shared" si="22"/>
        <v>27802.777777777781</v>
      </c>
      <c r="DG36" s="2124">
        <v>100.09</v>
      </c>
      <c r="DH36" s="3590">
        <v>0.3</v>
      </c>
      <c r="DI36" s="3591">
        <f>SUM('ЗП среднемес'!J86)</f>
        <v>42707.740680000003</v>
      </c>
      <c r="DJ36" s="3594">
        <f>DH36*DI36*12/1000</f>
        <v>153.74786644800002</v>
      </c>
      <c r="DK36" s="4114">
        <f t="shared" si="48"/>
        <v>0</v>
      </c>
      <c r="DL36" s="4109">
        <f t="shared" si="49"/>
        <v>0</v>
      </c>
      <c r="DM36" s="4109">
        <f t="shared" si="49"/>
        <v>125.001113152608</v>
      </c>
      <c r="DN36" s="2651"/>
      <c r="DO36" s="2132"/>
      <c r="DP36" s="3974">
        <v>0.3</v>
      </c>
      <c r="DQ36" s="3335">
        <f t="shared" si="66"/>
        <v>28094.444444444445</v>
      </c>
      <c r="DR36" s="3590">
        <v>50.57</v>
      </c>
      <c r="DS36" s="3590">
        <v>0.3</v>
      </c>
      <c r="DT36" s="3335">
        <f t="shared" si="23"/>
        <v>27559.259259259259</v>
      </c>
      <c r="DU36" s="3592">
        <v>74.41</v>
      </c>
      <c r="DV36" s="3444">
        <v>0.3</v>
      </c>
      <c r="DW36" s="3307">
        <f t="shared" si="24"/>
        <v>27802.777777777781</v>
      </c>
      <c r="DX36" s="3444">
        <v>100.09</v>
      </c>
    </row>
    <row r="37" spans="1:128" x14ac:dyDescent="0.2">
      <c r="A37" s="5093" t="s">
        <v>842</v>
      </c>
      <c r="B37" s="5093"/>
      <c r="C37" s="5093"/>
      <c r="D37" s="5093"/>
      <c r="E37" s="5093"/>
      <c r="F37" s="5093"/>
      <c r="G37" s="5093"/>
      <c r="H37" s="5093"/>
      <c r="I37" s="5093"/>
      <c r="J37" s="5093"/>
      <c r="K37" s="5093"/>
      <c r="L37" s="5093"/>
      <c r="M37" s="5093"/>
      <c r="N37" s="5093"/>
      <c r="O37" s="5093"/>
      <c r="P37" s="5093"/>
      <c r="Q37" s="5093"/>
      <c r="R37" s="5093"/>
      <c r="S37" s="5093"/>
      <c r="T37" s="5093"/>
      <c r="U37" s="5093"/>
      <c r="V37" s="5093"/>
      <c r="W37" s="5093"/>
      <c r="X37" s="5093"/>
      <c r="Y37" s="5093"/>
      <c r="Z37" s="5093"/>
      <c r="AA37" s="5093"/>
      <c r="AB37" s="5093"/>
      <c r="AC37" s="5093"/>
      <c r="AD37" s="5093"/>
      <c r="AE37" s="5093"/>
      <c r="AF37" s="5093"/>
      <c r="AG37" s="5093"/>
      <c r="AH37" s="5093"/>
      <c r="AI37" s="5093"/>
      <c r="AJ37" s="5093"/>
      <c r="AK37" s="5093"/>
      <c r="AL37" s="5093"/>
      <c r="AM37" s="5093"/>
      <c r="AN37" s="5093"/>
      <c r="AO37" s="5093"/>
      <c r="AP37" s="5093"/>
      <c r="AQ37" s="5093"/>
      <c r="AR37" s="5093"/>
      <c r="AS37" s="5093"/>
      <c r="AT37" s="5093"/>
      <c r="AU37" s="5093"/>
      <c r="AV37" s="5093"/>
      <c r="AW37" s="5093"/>
      <c r="AX37" s="5093"/>
      <c r="AY37" s="5093"/>
      <c r="AZ37" s="5093"/>
      <c r="BA37" s="5093"/>
      <c r="BB37" s="5093"/>
      <c r="BC37" s="5093"/>
      <c r="BD37" s="5093"/>
      <c r="BE37" s="5093"/>
      <c r="BF37" s="5093"/>
      <c r="BG37" s="5093"/>
      <c r="BH37" s="5093"/>
      <c r="BI37" s="5093"/>
      <c r="BJ37" s="5093"/>
      <c r="BK37" s="5093"/>
      <c r="BL37" s="5093"/>
      <c r="BM37" s="5094"/>
      <c r="BN37" s="5094"/>
      <c r="BO37" s="5094"/>
      <c r="BP37" s="5094"/>
      <c r="BQ37" s="5094"/>
      <c r="BR37" s="5094"/>
      <c r="BS37" s="5094"/>
      <c r="BT37" s="5094"/>
      <c r="BU37" s="3379"/>
      <c r="BV37" s="3379"/>
      <c r="BW37" s="3379"/>
      <c r="BX37" s="3379"/>
      <c r="BY37" s="3379"/>
      <c r="BZ37" s="3379"/>
      <c r="CA37" s="3379"/>
      <c r="CB37" s="3379"/>
      <c r="CC37" s="3379"/>
      <c r="CD37" s="3379"/>
      <c r="CE37" s="3379"/>
      <c r="CF37" s="3379"/>
      <c r="CG37" s="3379"/>
      <c r="CH37" s="3379"/>
      <c r="CI37" s="3379"/>
      <c r="CJ37" s="3379"/>
      <c r="CK37" s="3379"/>
      <c r="CL37" s="3379"/>
      <c r="CM37" s="3379"/>
      <c r="CN37" s="3379"/>
      <c r="CO37" s="3379"/>
      <c r="CP37" s="3379"/>
      <c r="CQ37" s="3379"/>
      <c r="CR37" s="3379"/>
      <c r="CS37" s="3379"/>
      <c r="CT37" s="3379"/>
      <c r="CU37" s="3379"/>
      <c r="CV37" s="3379"/>
      <c r="CW37" s="3379"/>
      <c r="CX37" s="3379"/>
      <c r="CY37" s="2652"/>
      <c r="CZ37" s="2652"/>
      <c r="DA37" s="2652"/>
      <c r="DB37" s="2652"/>
      <c r="DC37" s="2652"/>
      <c r="DD37" s="2652"/>
      <c r="DE37" s="2652"/>
      <c r="DF37" s="2652"/>
      <c r="DG37" s="2652"/>
      <c r="DH37" s="3570"/>
      <c r="DI37" s="3570"/>
      <c r="DJ37" s="3570"/>
      <c r="DK37" s="4116"/>
      <c r="DL37" s="4116"/>
      <c r="DM37" s="4116"/>
      <c r="DN37" s="2133"/>
      <c r="DO37" s="2133"/>
      <c r="DP37" s="3966"/>
      <c r="DQ37" s="3966"/>
      <c r="DR37" s="3966"/>
      <c r="DS37" s="3980"/>
      <c r="DT37" s="3980"/>
      <c r="DU37" s="3980"/>
      <c r="DV37" s="3996"/>
      <c r="DW37" s="3996"/>
      <c r="DX37" s="3996"/>
    </row>
    <row r="38" spans="1:128" s="2192" customFormat="1" ht="37.5" customHeight="1" x14ac:dyDescent="0.2">
      <c r="A38" s="5092" t="s">
        <v>249</v>
      </c>
      <c r="B38" s="5092"/>
      <c r="C38" s="1732"/>
      <c r="D38" s="1732"/>
      <c r="E38" s="1732"/>
      <c r="F38" s="1732"/>
      <c r="G38" s="1732"/>
      <c r="H38" s="1732"/>
      <c r="I38" s="1732"/>
      <c r="J38" s="1732"/>
      <c r="K38" s="1732"/>
      <c r="L38" s="1732"/>
      <c r="M38" s="1732"/>
      <c r="N38" s="3449">
        <f>(O24+O31)/(M24+M31)/12*1000</f>
        <v>26931.3782051282</v>
      </c>
      <c r="O38" s="1732"/>
      <c r="P38" s="1732"/>
      <c r="Q38" s="1732"/>
      <c r="R38" s="5078"/>
      <c r="S38" s="1732"/>
      <c r="T38" s="3449">
        <f>(U24+U31)/(S24+S31)/12*1000</f>
        <v>23399.902952414348</v>
      </c>
      <c r="U38" s="1732"/>
      <c r="V38" s="1732"/>
      <c r="W38" s="1732"/>
      <c r="X38" s="2603"/>
      <c r="Y38" s="3449">
        <f>(Z24+Z31)/(X24+X31)/6*1000</f>
        <v>22071.124261976194</v>
      </c>
      <c r="Z38" s="3450"/>
      <c r="AA38" s="1732"/>
      <c r="AB38" s="1732"/>
      <c r="AC38" s="1732"/>
      <c r="AD38" s="1732"/>
      <c r="AE38" s="1732"/>
      <c r="AF38" s="1732"/>
      <c r="AG38" s="1732"/>
      <c r="AH38" s="1732"/>
      <c r="AI38" s="1732"/>
      <c r="AJ38" s="1732"/>
      <c r="AK38" s="1732"/>
      <c r="AL38" s="2603"/>
      <c r="AM38" s="3449">
        <f>(AN24+AN31)/(AL24+AL31)/9*1000</f>
        <v>23101.92837465565</v>
      </c>
      <c r="AN38" s="3450"/>
      <c r="AO38" s="1732"/>
      <c r="AP38" s="1732"/>
      <c r="AQ38" s="2603"/>
      <c r="AR38" s="3449">
        <f>(AS24+AS31)/(AQ24+AQ31)/12*1000</f>
        <v>23276.997245179064</v>
      </c>
      <c r="AS38" s="3450"/>
      <c r="AT38" s="2119">
        <f t="shared" si="25"/>
        <v>0.99474759756545894</v>
      </c>
      <c r="AU38" s="1732"/>
      <c r="AV38" s="3449">
        <f>(AW24+AW31)/(AU24+AU31)/12*1000</f>
        <v>25563.717948717946</v>
      </c>
      <c r="AW38" s="1732"/>
      <c r="AX38" s="1732"/>
      <c r="AY38" s="1732"/>
      <c r="AZ38" s="1732"/>
      <c r="BA38" s="3449">
        <f>(BB24+BB31)/(AZ24+AZ31)/12*1000</f>
        <v>25597.995857856873</v>
      </c>
      <c r="BB38" s="1732"/>
      <c r="BC38" s="2128">
        <f>BA38/T38</f>
        <v>1.0939359838334599</v>
      </c>
      <c r="BD38" s="1732"/>
      <c r="BE38" s="2603"/>
      <c r="BF38" s="3449">
        <f>(BG24+BG31)/(BE24+BE31)/6*1000</f>
        <v>23259.453781512606</v>
      </c>
      <c r="BG38" s="3450"/>
      <c r="BH38" s="2119">
        <f t="shared" si="27"/>
        <v>0.90986193120156444</v>
      </c>
      <c r="BI38" s="2603"/>
      <c r="BJ38" s="3449">
        <f>(BK24+BK31)/(BI24+BI31)/9*1000</f>
        <v>23705.234159779615</v>
      </c>
      <c r="BK38" s="3450"/>
      <c r="BL38" s="2119">
        <f t="shared" si="28"/>
        <v>0.9260582075023539</v>
      </c>
      <c r="BM38" s="1732"/>
      <c r="BN38" s="3449">
        <f>(BO24+BO31)/(BM24+BM31)/12*1000</f>
        <v>28120.089743589746</v>
      </c>
      <c r="BO38" s="1732"/>
      <c r="BP38" s="2119">
        <f t="shared" si="29"/>
        <v>1.0985270057756791</v>
      </c>
      <c r="BQ38" s="1732"/>
      <c r="BR38" s="2620">
        <f>(BS24+BS31)/(BQ24+BQ31)/12*1000</f>
        <v>27456.077812229923</v>
      </c>
      <c r="BS38" s="2620"/>
      <c r="BT38" s="2620"/>
      <c r="BU38" s="2620"/>
      <c r="BV38" s="2620">
        <f t="shared" ref="BV38:CQ38" si="74">(BW24+BW31)/(BU24+BU31)/12*1000</f>
        <v>25202.240506329108</v>
      </c>
      <c r="BW38" s="2620"/>
      <c r="BX38" s="2620"/>
      <c r="BY38" s="2620">
        <f t="shared" si="74"/>
        <v>25792.592274678114</v>
      </c>
      <c r="BZ38" s="2620"/>
      <c r="CA38" s="2620"/>
      <c r="CB38" s="2620">
        <f t="shared" si="74"/>
        <v>29111.40474352926</v>
      </c>
      <c r="CC38" s="2620"/>
      <c r="CD38" s="2620"/>
      <c r="CE38" s="2620">
        <f t="shared" si="74"/>
        <v>28187.233164369605</v>
      </c>
      <c r="CF38" s="2620"/>
      <c r="CG38" s="2620"/>
      <c r="CH38" s="2620">
        <f t="shared" si="74"/>
        <v>30577.278950183019</v>
      </c>
      <c r="CI38" s="2620"/>
      <c r="CJ38" s="2620"/>
      <c r="CK38" s="2620">
        <f t="shared" si="74"/>
        <v>24984.132231404961</v>
      </c>
      <c r="CL38" s="2620"/>
      <c r="CM38" s="2620"/>
      <c r="CN38" s="2620">
        <f t="shared" si="74"/>
        <v>32613.14814814815</v>
      </c>
      <c r="CO38" s="2620"/>
      <c r="CP38" s="2620"/>
      <c r="CQ38" s="2620">
        <f t="shared" si="74"/>
        <v>31761.140457902715</v>
      </c>
      <c r="CR38" s="2620"/>
      <c r="CS38" s="2620"/>
      <c r="CT38" s="2620">
        <f t="shared" ref="CT38" si="75">(CU24+CU31)/(CS24+CS31)/12*1000</f>
        <v>33202.52567443002</v>
      </c>
      <c r="CU38" s="2620"/>
      <c r="CV38" s="2620"/>
      <c r="CW38" s="2620">
        <f t="shared" ref="CW38" si="76">(CX24+CX31)/(CV24+CV31)/12*1000</f>
        <v>32386.845027875373</v>
      </c>
      <c r="CX38" s="2620"/>
      <c r="CY38" s="2620"/>
      <c r="CZ38" s="2620">
        <f>(DA24+DA31)/(CY24+CY31)/6*1000</f>
        <v>25950.956399437418</v>
      </c>
      <c r="DA38" s="2620"/>
      <c r="DB38" s="2620"/>
      <c r="DC38" s="2620">
        <f>(DD24+DD31)/(DB24+DB31)/9*1000</f>
        <v>26478.002812939521</v>
      </c>
      <c r="DD38" s="2620"/>
      <c r="DE38" s="2620"/>
      <c r="DF38" s="2620">
        <f>(DG24+DG31)/(DE24+DE31)/12*1000</f>
        <v>25963.280590717302</v>
      </c>
      <c r="DG38" s="2620"/>
      <c r="DH38" s="3595"/>
      <c r="DI38" s="3595">
        <f>(DJ24+DJ31)/(DH24+DH31)/12*1000</f>
        <v>39134.996902415616</v>
      </c>
      <c r="DJ38" s="3595"/>
      <c r="DK38" s="4117"/>
      <c r="DL38" s="4117">
        <f>(DM24+DM31)/(DK24+DK31)/12*1000</f>
        <v>33330.626792225201</v>
      </c>
      <c r="DM38" s="4117"/>
      <c r="DN38" s="2190"/>
      <c r="DO38" s="2191"/>
      <c r="DP38" s="3595"/>
      <c r="DQ38" s="3595">
        <f>(DR24+DR31)/(DP24+DP31)/6*1000</f>
        <v>26366.443001443004</v>
      </c>
      <c r="DR38" s="3595"/>
      <c r="DS38" s="3595"/>
      <c r="DT38" s="3595">
        <f>(DU24+DU31)/(DS24+DS31)/9*1000</f>
        <v>26513.95845410628</v>
      </c>
      <c r="DU38" s="3595"/>
      <c r="DV38" s="3381"/>
      <c r="DW38" s="3381">
        <f>(DX24+DX31)/(DV24+DV31)/12*1000</f>
        <v>25963.280590717302</v>
      </c>
      <c r="DX38" s="3381"/>
    </row>
    <row r="39" spans="1:128" s="2192" customFormat="1" ht="37.5" customHeight="1" x14ac:dyDescent="0.2">
      <c r="A39" s="5092" t="s">
        <v>247</v>
      </c>
      <c r="B39" s="5092"/>
      <c r="C39" s="1732"/>
      <c r="D39" s="1732"/>
      <c r="E39" s="1732"/>
      <c r="F39" s="1732"/>
      <c r="G39" s="1732"/>
      <c r="H39" s="1732"/>
      <c r="I39" s="1732"/>
      <c r="J39" s="1732"/>
      <c r="K39" s="1732"/>
      <c r="L39" s="1732"/>
      <c r="M39" s="1732"/>
      <c r="N39" s="2666">
        <f>N24</f>
        <v>25754.516129032254</v>
      </c>
      <c r="O39" s="1732"/>
      <c r="P39" s="2128">
        <f>N39/AM8</f>
        <v>1.2212343117474604</v>
      </c>
      <c r="Q39" s="1732"/>
      <c r="R39" s="5078"/>
      <c r="S39" s="1732"/>
      <c r="T39" s="2666">
        <f>T24</f>
        <v>22269.902483612907</v>
      </c>
      <c r="U39" s="1732"/>
      <c r="V39" s="2128">
        <f>T39/AM8</f>
        <v>1.0560000000000003</v>
      </c>
      <c r="W39" s="1732"/>
      <c r="X39" s="2603"/>
      <c r="Y39" s="2666">
        <f>Y24</f>
        <v>21580.822040944742</v>
      </c>
      <c r="Z39" s="2123"/>
      <c r="AA39" s="2119">
        <f>Y39/T39</f>
        <v>0.96905777009238292</v>
      </c>
      <c r="AB39" s="1732"/>
      <c r="AC39" s="1732"/>
      <c r="AD39" s="1732"/>
      <c r="AE39" s="1732"/>
      <c r="AF39" s="1732"/>
      <c r="AG39" s="1732"/>
      <c r="AH39" s="1732"/>
      <c r="AI39" s="1732"/>
      <c r="AJ39" s="1732"/>
      <c r="AK39" s="1732"/>
      <c r="AL39" s="2603"/>
      <c r="AM39" s="2666">
        <f>AM24</f>
        <v>22609.909909909911</v>
      </c>
      <c r="AN39" s="2123"/>
      <c r="AO39" s="2119">
        <f>AM39/T39</f>
        <v>1.0152675758929433</v>
      </c>
      <c r="AP39" s="1732"/>
      <c r="AQ39" s="2603"/>
      <c r="AR39" s="2666">
        <f>AR24</f>
        <v>22770.326576576579</v>
      </c>
      <c r="AS39" s="2123"/>
      <c r="AT39" s="2119">
        <f t="shared" si="25"/>
        <v>1.0224708704194778</v>
      </c>
      <c r="AU39" s="1732"/>
      <c r="AV39" s="2666">
        <f>AV24</f>
        <v>23460.37634408602</v>
      </c>
      <c r="AW39" s="1732"/>
      <c r="AX39" s="2128">
        <f>AV39/T39</f>
        <v>1.0534566265545668</v>
      </c>
      <c r="AY39" s="1732"/>
      <c r="AZ39" s="1732"/>
      <c r="BA39" s="2666">
        <f>BA24</f>
        <v>23530.113691896189</v>
      </c>
      <c r="BB39" s="1732"/>
      <c r="BC39" s="2128">
        <f>BA39/T39</f>
        <v>1.0565880883048588</v>
      </c>
      <c r="BD39" s="1732"/>
      <c r="BE39" s="2603"/>
      <c r="BF39" s="2666">
        <f>BF24</f>
        <v>22832.175925925923</v>
      </c>
      <c r="BG39" s="2123"/>
      <c r="BH39" s="2119">
        <f t="shared" si="27"/>
        <v>0.9732229181260148</v>
      </c>
      <c r="BI39" s="2603"/>
      <c r="BJ39" s="2666">
        <f>BJ24</f>
        <v>22988.888888888887</v>
      </c>
      <c r="BK39" s="2123"/>
      <c r="BL39" s="2119">
        <f t="shared" si="28"/>
        <v>0.9769986320468268</v>
      </c>
      <c r="BM39" s="1732"/>
      <c r="BN39" s="2666">
        <f>BN24</f>
        <v>25806.413978494627</v>
      </c>
      <c r="BO39" s="1732"/>
      <c r="BP39" s="2119">
        <f t="shared" si="29"/>
        <v>1.0967398762455789</v>
      </c>
      <c r="BQ39" s="1732"/>
      <c r="BR39" s="2666">
        <f>BR24</f>
        <v>26725.298409525822</v>
      </c>
      <c r="BS39" s="2666"/>
      <c r="BT39" s="2666"/>
      <c r="BU39" s="2666"/>
      <c r="BV39" s="2666">
        <f t="shared" ref="BV39:CQ39" si="77">BV24</f>
        <v>23794.813793103443</v>
      </c>
      <c r="BW39" s="2666"/>
      <c r="BX39" s="2666"/>
      <c r="BY39" s="2666">
        <f t="shared" si="77"/>
        <v>25072.607142857141</v>
      </c>
      <c r="BZ39" s="2666"/>
      <c r="CA39" s="2666"/>
      <c r="CB39" s="2666"/>
      <c r="CC39" s="2666"/>
      <c r="CD39" s="2666"/>
      <c r="CE39" s="2666"/>
      <c r="CF39" s="2666"/>
      <c r="CG39" s="2666"/>
      <c r="CH39" s="2666"/>
      <c r="CI39" s="2666"/>
      <c r="CJ39" s="2666"/>
      <c r="CK39" s="2666"/>
      <c r="CL39" s="2666"/>
      <c r="CM39" s="2666"/>
      <c r="CN39" s="2666">
        <f t="shared" si="77"/>
        <v>31450.472972972973</v>
      </c>
      <c r="CO39" s="2666"/>
      <c r="CP39" s="2666"/>
      <c r="CQ39" s="2666">
        <f t="shared" si="77"/>
        <v>30971.534278593906</v>
      </c>
      <c r="CR39" s="2621"/>
      <c r="CS39" s="2666"/>
      <c r="CT39" s="2666">
        <f t="shared" ref="CT39" si="78">CT24</f>
        <v>32369.527148036348</v>
      </c>
      <c r="CU39" s="2621"/>
      <c r="CV39" s="2666"/>
      <c r="CW39" s="2666">
        <f t="shared" ref="CW39" si="79">CW24</f>
        <v>31581.676089188375</v>
      </c>
      <c r="CX39" s="2621"/>
      <c r="CY39" s="2621"/>
      <c r="CZ39" s="2666">
        <f t="shared" ref="CZ39" si="80">CZ24</f>
        <v>26265.821428571431</v>
      </c>
      <c r="DA39" s="2621"/>
      <c r="DB39" s="2621"/>
      <c r="DC39" s="2666">
        <f t="shared" ref="DC39" si="81">DC24</f>
        <v>26987.325396825399</v>
      </c>
      <c r="DD39" s="2621"/>
      <c r="DE39" s="2621"/>
      <c r="DF39" s="2666">
        <f t="shared" ref="DF39" si="82">DF24</f>
        <v>26549.226190476194</v>
      </c>
      <c r="DG39" s="2621"/>
      <c r="DH39" s="3596"/>
      <c r="DI39" s="3597">
        <f t="shared" ref="DI39" si="83">DI24</f>
        <v>38083.187212517863</v>
      </c>
      <c r="DJ39" s="3596"/>
      <c r="DK39" s="4118"/>
      <c r="DL39" s="4121">
        <f t="shared" ref="DL39" si="84">DL24</f>
        <v>32463.739178461139</v>
      </c>
      <c r="DM39" s="4118"/>
      <c r="DN39" s="2190"/>
      <c r="DO39" s="2191"/>
      <c r="DP39" s="3596"/>
      <c r="DQ39" s="3597">
        <f t="shared" ref="DQ39" si="85">DQ24</f>
        <v>26475.547445255477</v>
      </c>
      <c r="DR39" s="3596"/>
      <c r="DS39" s="3596"/>
      <c r="DT39" s="3597">
        <f t="shared" ref="DT39" si="86">DT24</f>
        <v>26731.683006535946</v>
      </c>
      <c r="DU39" s="3596"/>
      <c r="DV39" s="3997"/>
      <c r="DW39" s="3382">
        <f t="shared" ref="DW39" si="87">DW24</f>
        <v>26549.226190476194</v>
      </c>
      <c r="DX39" s="3997"/>
    </row>
    <row r="40" spans="1:128" s="2192" customFormat="1" ht="37.5" customHeight="1" x14ac:dyDescent="0.2">
      <c r="A40" s="1732" t="s">
        <v>248</v>
      </c>
      <c r="B40" s="1732"/>
      <c r="C40" s="1732"/>
      <c r="D40" s="1732"/>
      <c r="E40" s="1732"/>
      <c r="F40" s="1732"/>
      <c r="G40" s="1732"/>
      <c r="H40" s="1732"/>
      <c r="I40" s="1732"/>
      <c r="J40" s="1732"/>
      <c r="K40" s="1732"/>
      <c r="L40" s="1732"/>
      <c r="M40" s="1732"/>
      <c r="N40" s="2666">
        <f>N31</f>
        <v>28668.650793650795</v>
      </c>
      <c r="O40" s="1732"/>
      <c r="P40" s="2128">
        <f>N40/AM14</f>
        <v>1.2088032234986785</v>
      </c>
      <c r="Q40" s="1732"/>
      <c r="R40" s="5078"/>
      <c r="S40" s="1732"/>
      <c r="T40" s="2666">
        <f>T31</f>
        <v>25224.382875999996</v>
      </c>
      <c r="U40" s="1732"/>
      <c r="V40" s="2128">
        <f>T40/AM14</f>
        <v>1.0635769206839176</v>
      </c>
      <c r="W40" s="1732"/>
      <c r="X40" s="2603"/>
      <c r="Y40" s="2666">
        <f>Y31</f>
        <v>22836.666666666668</v>
      </c>
      <c r="Z40" s="2123"/>
      <c r="AA40" s="2119">
        <f>Y40/T40</f>
        <v>0.90534094645363372</v>
      </c>
      <c r="AB40" s="1732"/>
      <c r="AC40" s="1732"/>
      <c r="AD40" s="1732"/>
      <c r="AE40" s="1732"/>
      <c r="AF40" s="1732"/>
      <c r="AG40" s="1732"/>
      <c r="AH40" s="1732"/>
      <c r="AI40" s="1732"/>
      <c r="AJ40" s="1732"/>
      <c r="AK40" s="1732"/>
      <c r="AL40" s="2603"/>
      <c r="AM40" s="2666">
        <f>AM31</f>
        <v>23876.59574468085</v>
      </c>
      <c r="AN40" s="2123"/>
      <c r="AO40" s="2119">
        <f>AM40/T40</f>
        <v>0.94656808303518447</v>
      </c>
      <c r="AP40" s="1732"/>
      <c r="AQ40" s="2603"/>
      <c r="AR40" s="2666">
        <f>AR31</f>
        <v>24074.734042553187</v>
      </c>
      <c r="AS40" s="2123"/>
      <c r="AT40" s="2119">
        <f t="shared" si="25"/>
        <v>0.95442311357632248</v>
      </c>
      <c r="AU40" s="1732"/>
      <c r="AV40" s="2666">
        <f>AV31</f>
        <v>28668.650793650795</v>
      </c>
      <c r="AW40" s="1732"/>
      <c r="AX40" s="2128">
        <f>AV40/T40</f>
        <v>1.1365451806921265</v>
      </c>
      <c r="AY40" s="1732"/>
      <c r="AZ40" s="1732"/>
      <c r="BA40" s="2666">
        <f>BA31</f>
        <v>28763.121622082414</v>
      </c>
      <c r="BB40" s="1732"/>
      <c r="BC40" s="2128">
        <f>BA40/T40</f>
        <v>1.1402903993123807</v>
      </c>
      <c r="BD40" s="1732"/>
      <c r="BE40" s="2603"/>
      <c r="BF40" s="2666">
        <f>BF31</f>
        <v>23914.007092198586</v>
      </c>
      <c r="BG40" s="2123"/>
      <c r="BH40" s="2119">
        <f t="shared" si="27"/>
        <v>0.83415181496768542</v>
      </c>
      <c r="BI40" s="2603"/>
      <c r="BJ40" s="2666">
        <f>BJ31</f>
        <v>24833.096926713952</v>
      </c>
      <c r="BK40" s="2123"/>
      <c r="BL40" s="2119">
        <f t="shared" si="28"/>
        <v>0.86336584926334103</v>
      </c>
      <c r="BM40" s="1732"/>
      <c r="BN40" s="2666">
        <f>BN31</f>
        <v>31535.515873015873</v>
      </c>
      <c r="BO40" s="1732"/>
      <c r="BP40" s="2119">
        <f t="shared" si="29"/>
        <v>1.0963871128926772</v>
      </c>
      <c r="BQ40" s="1732"/>
      <c r="BR40" s="2666">
        <f>BR31</f>
        <v>28606.666659040642</v>
      </c>
      <c r="BS40" s="2666"/>
      <c r="BT40" s="2666"/>
      <c r="BU40" s="2666"/>
      <c r="BV40" s="2666">
        <f t="shared" ref="BV40:CQ40" si="88">BV31</f>
        <v>27420.467391304352</v>
      </c>
      <c r="BW40" s="2666"/>
      <c r="BX40" s="2666"/>
      <c r="BY40" s="2666">
        <f t="shared" si="88"/>
        <v>26876.440860215054</v>
      </c>
      <c r="BZ40" s="2666"/>
      <c r="CA40" s="2666"/>
      <c r="CB40" s="2666"/>
      <c r="CC40" s="2666"/>
      <c r="CD40" s="2666"/>
      <c r="CE40" s="2666"/>
      <c r="CF40" s="2666"/>
      <c r="CG40" s="2666"/>
      <c r="CH40" s="2666"/>
      <c r="CI40" s="2666"/>
      <c r="CJ40" s="2666"/>
      <c r="CK40" s="2666"/>
      <c r="CL40" s="2666"/>
      <c r="CM40" s="2666"/>
      <c r="CN40" s="2666">
        <f t="shared" si="88"/>
        <v>34424.473684210527</v>
      </c>
      <c r="CO40" s="2666"/>
      <c r="CP40" s="2666"/>
      <c r="CQ40" s="2666">
        <f t="shared" si="88"/>
        <v>32976.324063157896</v>
      </c>
      <c r="CR40" s="2621"/>
      <c r="CS40" s="2666"/>
      <c r="CT40" s="2666">
        <f t="shared" ref="CT40" si="89">CT31</f>
        <v>34493.234970063153</v>
      </c>
      <c r="CU40" s="2621"/>
      <c r="CV40" s="2666"/>
      <c r="CW40" s="2666">
        <f t="shared" ref="CW40" si="90">CW31</f>
        <v>33625.957647202107</v>
      </c>
      <c r="CX40" s="2621"/>
      <c r="CY40" s="2621"/>
      <c r="CZ40" s="2666">
        <f t="shared" ref="CZ40" si="91">CZ31</f>
        <v>25496.512027491408</v>
      </c>
      <c r="DA40" s="2621"/>
      <c r="DB40" s="2621"/>
      <c r="DC40" s="2666">
        <f t="shared" ref="DC40" si="92">DC31</f>
        <v>25742.898052691868</v>
      </c>
      <c r="DD40" s="2621"/>
      <c r="DE40" s="2621"/>
      <c r="DF40" s="2666">
        <f t="shared" ref="DF40" si="93">DF31</f>
        <v>25117.585910652921</v>
      </c>
      <c r="DG40" s="2621"/>
      <c r="DH40" s="3596"/>
      <c r="DI40" s="3597">
        <f t="shared" ref="DI40" si="94">DI31</f>
        <v>40653.072743505167</v>
      </c>
      <c r="DJ40" s="3596"/>
      <c r="DK40" s="4118"/>
      <c r="DL40" s="4121">
        <f t="shared" ref="DL40" si="95">DL31</f>
        <v>34664.744537817067</v>
      </c>
      <c r="DM40" s="4118"/>
      <c r="DN40" s="2190"/>
      <c r="DO40" s="2191"/>
      <c r="DP40" s="3596"/>
      <c r="DQ40" s="3597">
        <f t="shared" ref="DQ40" si="96">DQ31</f>
        <v>26207.429078014182</v>
      </c>
      <c r="DR40" s="3596"/>
      <c r="DS40" s="3596"/>
      <c r="DT40" s="3597">
        <f t="shared" ref="DT40" si="97">DT31</f>
        <v>26198.952718676122</v>
      </c>
      <c r="DU40" s="3596"/>
      <c r="DV40" s="3997"/>
      <c r="DW40" s="3382">
        <f t="shared" ref="DW40" si="98">DW31</f>
        <v>25117.585910652921</v>
      </c>
      <c r="DX40" s="3997"/>
    </row>
    <row r="41" spans="1:128" x14ac:dyDescent="0.2">
      <c r="A41" s="394"/>
      <c r="B41" s="394"/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X41" s="394"/>
      <c r="AY41" s="394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394"/>
      <c r="BL41" s="394"/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  <c r="BW41" s="394"/>
      <c r="BX41" s="394"/>
      <c r="BY41" s="394"/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394"/>
      <c r="CL41" s="394"/>
      <c r="CM41" s="394"/>
      <c r="CN41" s="394"/>
      <c r="CO41" s="394"/>
      <c r="CP41" s="394"/>
      <c r="CQ41" s="394"/>
      <c r="CR41" s="394"/>
      <c r="CS41" s="394"/>
      <c r="CT41" s="394"/>
      <c r="CU41" s="394"/>
      <c r="CV41" s="394"/>
      <c r="CW41" s="394"/>
      <c r="CX41" s="394"/>
      <c r="CY41" s="394"/>
      <c r="CZ41" s="394"/>
      <c r="DA41" s="394"/>
      <c r="DB41" s="394"/>
      <c r="DC41" s="394"/>
      <c r="DD41" s="394"/>
      <c r="DE41" s="394"/>
      <c r="DF41" s="394"/>
      <c r="DG41" s="394"/>
      <c r="DH41" s="394"/>
      <c r="DI41" s="394"/>
      <c r="DJ41" s="394"/>
      <c r="DK41" s="394"/>
      <c r="DL41" s="394"/>
      <c r="DM41" s="394"/>
    </row>
    <row r="42" spans="1:128" x14ac:dyDescent="0.2">
      <c r="A42" s="394"/>
      <c r="B42" s="3452"/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X42" s="394"/>
      <c r="AY42" s="394"/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394"/>
      <c r="BL42" s="394"/>
      <c r="BM42" s="394"/>
      <c r="BN42" s="394"/>
      <c r="BO42" s="394"/>
      <c r="BP42" s="394"/>
      <c r="BQ42" s="394"/>
      <c r="BR42" s="394"/>
      <c r="BS42" s="394"/>
      <c r="BT42" s="394"/>
      <c r="BU42" s="394"/>
      <c r="BV42" s="394"/>
      <c r="BW42" s="394"/>
      <c r="BX42" s="394"/>
      <c r="BY42" s="394"/>
      <c r="BZ42" s="394"/>
      <c r="CA42" s="394"/>
      <c r="CB42" s="394"/>
      <c r="CC42" s="394"/>
      <c r="CD42" s="394"/>
      <c r="CE42" s="394"/>
      <c r="CF42" s="394"/>
      <c r="CG42" s="394"/>
      <c r="CH42" s="394"/>
      <c r="CI42" s="394"/>
      <c r="CJ42" s="394"/>
      <c r="CK42" s="394"/>
      <c r="CL42" s="394"/>
      <c r="CM42" s="394"/>
      <c r="CN42" s="394"/>
      <c r="CO42" s="394"/>
      <c r="CP42" s="394"/>
      <c r="CQ42" s="394"/>
      <c r="CR42" s="394"/>
      <c r="CS42" s="394"/>
      <c r="CT42" s="394"/>
      <c r="CU42" s="394"/>
      <c r="CV42" s="394"/>
      <c r="CW42" s="394"/>
      <c r="CX42" s="394"/>
      <c r="CY42" s="394"/>
      <c r="CZ42" s="394"/>
      <c r="DA42" s="394"/>
      <c r="DB42" s="394"/>
      <c r="DC42" s="394"/>
      <c r="DD42" s="394"/>
      <c r="DE42" s="394"/>
      <c r="DF42" s="394"/>
      <c r="DG42" s="394"/>
      <c r="DH42" s="394"/>
      <c r="DI42" s="394"/>
      <c r="DJ42" s="394"/>
      <c r="DK42" s="394"/>
      <c r="DL42" s="394"/>
      <c r="DM42" s="394"/>
    </row>
    <row r="43" spans="1:128" ht="41.25" customHeight="1" x14ac:dyDescent="0.3">
      <c r="A43" s="5105" t="s">
        <v>3900</v>
      </c>
      <c r="B43" s="5106"/>
      <c r="C43" s="5106"/>
      <c r="D43" s="5106"/>
      <c r="E43" s="5106"/>
      <c r="F43" s="5106"/>
      <c r="G43" s="5106"/>
      <c r="H43" s="5106"/>
      <c r="I43" s="5106"/>
      <c r="J43" s="5106"/>
      <c r="K43" s="5106"/>
      <c r="L43" s="5106"/>
      <c r="M43" s="5106"/>
      <c r="N43" s="5106"/>
      <c r="O43" s="5106"/>
      <c r="P43" s="5106"/>
      <c r="Q43" s="5106"/>
      <c r="R43" s="5106"/>
      <c r="S43" s="5106"/>
      <c r="T43" s="5106"/>
      <c r="U43" s="5106"/>
      <c r="V43" s="5106"/>
      <c r="W43" s="5106"/>
      <c r="X43" s="5106"/>
      <c r="Y43" s="5106"/>
      <c r="Z43" s="5106"/>
      <c r="AA43" s="5106"/>
      <c r="AB43" s="5106"/>
      <c r="AC43" s="5106"/>
      <c r="AD43" s="5106"/>
      <c r="AE43" s="5106"/>
      <c r="AF43" s="5106"/>
      <c r="AG43" s="5106"/>
      <c r="AH43" s="5106"/>
      <c r="AI43" s="5106"/>
      <c r="AJ43" s="5106"/>
      <c r="AK43" s="5106"/>
      <c r="AL43" s="5106"/>
      <c r="AM43" s="5106"/>
      <c r="AN43" s="5106"/>
      <c r="AO43" s="5106"/>
      <c r="AP43" s="5106"/>
      <c r="AQ43" s="5106"/>
      <c r="AR43" s="5106"/>
      <c r="AS43" s="5106"/>
      <c r="AT43" s="5106"/>
      <c r="AU43" s="5106"/>
      <c r="AV43" s="5106"/>
      <c r="AW43" s="5106"/>
      <c r="AX43" s="5106"/>
      <c r="AY43" s="5106"/>
      <c r="AZ43" s="5106"/>
      <c r="BA43" s="5106"/>
      <c r="BB43" s="5106"/>
      <c r="BC43" s="5106"/>
      <c r="BD43" s="5106"/>
      <c r="BE43" s="5106"/>
      <c r="BF43" s="5106"/>
      <c r="BG43" s="5106"/>
      <c r="BH43" s="5106"/>
      <c r="BI43" s="5106"/>
      <c r="BJ43" s="5106"/>
      <c r="BK43" s="5106"/>
      <c r="BL43" s="5106"/>
      <c r="BM43" s="5106"/>
      <c r="BN43" s="5106"/>
      <c r="BO43" s="5106"/>
      <c r="BP43" s="5106"/>
      <c r="BQ43" s="5106"/>
      <c r="BR43" s="5106"/>
      <c r="BS43" s="5106"/>
      <c r="BT43" s="5106"/>
      <c r="BU43" s="5106"/>
      <c r="BV43" s="5106"/>
      <c r="BW43" s="5106"/>
      <c r="BX43" s="5106"/>
      <c r="BY43" s="5106"/>
      <c r="BZ43" s="5106"/>
      <c r="CA43" s="5106"/>
      <c r="CB43" s="5106"/>
      <c r="CC43" s="5106"/>
      <c r="CD43" s="5106"/>
      <c r="CE43" s="5106"/>
      <c r="CF43" s="5106"/>
      <c r="CG43" s="5106"/>
      <c r="CH43" s="5106"/>
      <c r="CI43" s="5106"/>
      <c r="CJ43" s="5106"/>
      <c r="CK43" s="5106"/>
      <c r="CL43" s="5106"/>
      <c r="CM43" s="5106"/>
      <c r="CN43" s="5106"/>
      <c r="CO43" s="5106"/>
      <c r="CP43" s="5106"/>
      <c r="CQ43" s="5106"/>
      <c r="CR43" s="5106"/>
      <c r="CS43" s="5106"/>
      <c r="CT43" s="5106"/>
      <c r="CU43" s="5106"/>
      <c r="CV43" s="5106"/>
      <c r="CW43" s="5106"/>
      <c r="CX43" s="5106"/>
      <c r="CY43" s="5106"/>
      <c r="CZ43" s="5106"/>
      <c r="DA43" s="5106"/>
      <c r="DB43" s="5106"/>
      <c r="DC43" s="5106"/>
      <c r="DD43" s="5106"/>
      <c r="DE43" s="5106"/>
      <c r="DF43" s="5106"/>
      <c r="DG43" s="5106"/>
      <c r="DH43" s="5106"/>
      <c r="DI43" s="5106"/>
      <c r="DJ43" s="5106"/>
      <c r="DK43" s="5106"/>
      <c r="DL43" s="5106"/>
      <c r="DM43" s="5106"/>
      <c r="DN43" s="3383"/>
      <c r="DO43" s="3383"/>
    </row>
    <row r="44" spans="1:128" ht="22.5" customHeight="1" x14ac:dyDescent="0.3">
      <c r="A44" s="3451"/>
      <c r="B44" s="3452"/>
      <c r="C44" s="3452"/>
      <c r="D44" s="3452"/>
      <c r="E44" s="3452"/>
      <c r="F44" s="3452"/>
      <c r="G44" s="3452"/>
      <c r="H44" s="3452"/>
      <c r="I44" s="3452"/>
      <c r="J44" s="3452"/>
      <c r="K44" s="3452"/>
      <c r="L44" s="3452"/>
      <c r="M44" s="3452"/>
      <c r="N44" s="3452"/>
      <c r="O44" s="3452"/>
      <c r="P44" s="3452"/>
      <c r="Q44" s="3452"/>
      <c r="R44" s="3452"/>
      <c r="S44" s="3452"/>
      <c r="T44" s="3452"/>
      <c r="U44" s="3452"/>
      <c r="V44" s="3452"/>
      <c r="W44" s="3452"/>
      <c r="X44" s="3452"/>
      <c r="Y44" s="3452"/>
      <c r="Z44" s="3452"/>
      <c r="AA44" s="3452"/>
      <c r="AB44" s="3452"/>
      <c r="AC44" s="3452"/>
      <c r="AD44" s="3452"/>
      <c r="AE44" s="3452"/>
      <c r="AF44" s="3452"/>
      <c r="AG44" s="3452"/>
      <c r="AH44" s="3452"/>
      <c r="AI44" s="3452"/>
      <c r="AJ44" s="3452"/>
      <c r="AK44" s="3452"/>
      <c r="AL44" s="3452"/>
      <c r="AM44" s="3452"/>
      <c r="AN44" s="3452"/>
      <c r="AO44" s="3452"/>
      <c r="AP44" s="3452"/>
      <c r="AQ44" s="3452"/>
      <c r="AR44" s="3452"/>
      <c r="AS44" s="3452"/>
      <c r="AT44" s="3452"/>
      <c r="AU44" s="3452"/>
      <c r="AV44" s="3452"/>
      <c r="AW44" s="3452"/>
      <c r="AX44" s="3452"/>
      <c r="AY44" s="3452"/>
      <c r="AZ44" s="3452"/>
      <c r="BA44" s="3452"/>
      <c r="BB44" s="3452"/>
      <c r="BC44" s="3452"/>
      <c r="BD44" s="3452"/>
      <c r="BE44" s="3452"/>
      <c r="BF44" s="3452"/>
      <c r="BG44" s="3452"/>
      <c r="BH44" s="3452"/>
      <c r="BI44" s="3452"/>
      <c r="BJ44" s="3452"/>
      <c r="BK44" s="3452"/>
      <c r="BL44" s="3452"/>
      <c r="BM44" s="3452"/>
      <c r="BN44" s="3452"/>
      <c r="BO44" s="3452"/>
      <c r="BP44" s="3452"/>
      <c r="BQ44" s="3452"/>
      <c r="BR44" s="3452"/>
      <c r="BS44" s="3452"/>
      <c r="BT44" s="3452"/>
      <c r="BU44" s="3452"/>
      <c r="BV44" s="3452"/>
      <c r="BW44" s="3452"/>
      <c r="BX44" s="3452"/>
      <c r="BY44" s="3452"/>
      <c r="BZ44" s="3452"/>
      <c r="CA44" s="3452"/>
      <c r="CB44" s="3452"/>
      <c r="CC44" s="3452"/>
      <c r="CD44" s="3452"/>
      <c r="CE44" s="3452"/>
      <c r="CF44" s="3452"/>
      <c r="CG44" s="3452"/>
      <c r="CH44" s="3452"/>
      <c r="CI44" s="3452"/>
      <c r="CJ44" s="3452"/>
      <c r="CK44" s="3452"/>
      <c r="CL44" s="3452"/>
      <c r="CM44" s="3452"/>
      <c r="CN44" s="3452"/>
      <c r="CO44" s="3452"/>
      <c r="CP44" s="3452"/>
      <c r="CQ44" s="3452"/>
      <c r="CR44" s="3452"/>
      <c r="CS44" s="3452"/>
      <c r="CT44" s="3452"/>
      <c r="CU44" s="3452"/>
      <c r="CV44" s="3452"/>
      <c r="CW44" s="3452"/>
      <c r="CX44" s="3452"/>
      <c r="CY44" s="3452"/>
      <c r="CZ44" s="3452"/>
      <c r="DA44" s="3452"/>
      <c r="DB44" s="3452"/>
      <c r="DC44" s="3452"/>
      <c r="DD44" s="3452"/>
      <c r="DE44" s="3452"/>
      <c r="DF44" s="3452"/>
      <c r="DG44" s="3452"/>
      <c r="DH44" s="3452"/>
      <c r="DI44" s="3452"/>
      <c r="DJ44" s="3452"/>
      <c r="DK44" s="3452"/>
      <c r="DL44" s="3452"/>
      <c r="DM44" s="3452"/>
      <c r="DN44" s="3383"/>
      <c r="DO44" s="3383"/>
    </row>
    <row r="45" spans="1:128" ht="22.5" customHeight="1" x14ac:dyDescent="0.3">
      <c r="A45" s="3451"/>
      <c r="B45" s="3452"/>
      <c r="C45" s="3452"/>
      <c r="D45" s="3452"/>
      <c r="E45" s="3452"/>
      <c r="F45" s="3452"/>
      <c r="G45" s="3452"/>
      <c r="H45" s="3452"/>
      <c r="I45" s="3452"/>
      <c r="J45" s="3452"/>
      <c r="K45" s="3452"/>
      <c r="L45" s="3452"/>
      <c r="M45" s="3452"/>
      <c r="N45" s="3452"/>
      <c r="O45" s="3452"/>
      <c r="P45" s="3452"/>
      <c r="Q45" s="3452"/>
      <c r="R45" s="3452"/>
      <c r="S45" s="3452"/>
      <c r="T45" s="3452"/>
      <c r="U45" s="3452"/>
      <c r="V45" s="3452"/>
      <c r="W45" s="3452"/>
      <c r="X45" s="3452"/>
      <c r="Y45" s="3452"/>
      <c r="Z45" s="3452"/>
      <c r="AA45" s="3452"/>
      <c r="AB45" s="3452"/>
      <c r="AC45" s="3452"/>
      <c r="AD45" s="3452"/>
      <c r="AE45" s="3452"/>
      <c r="AF45" s="3452"/>
      <c r="AG45" s="3452"/>
      <c r="AH45" s="3452"/>
      <c r="AI45" s="3452"/>
      <c r="AJ45" s="3452"/>
      <c r="AK45" s="3452"/>
      <c r="AL45" s="3452"/>
      <c r="AM45" s="3452"/>
      <c r="AN45" s="3452"/>
      <c r="AO45" s="3452"/>
      <c r="AP45" s="3452"/>
      <c r="AQ45" s="3452"/>
      <c r="AR45" s="3452"/>
      <c r="AS45" s="3452"/>
      <c r="AT45" s="3452"/>
      <c r="AU45" s="3452"/>
      <c r="AV45" s="3452"/>
      <c r="AW45" s="3452"/>
      <c r="AX45" s="3452"/>
      <c r="AY45" s="3452"/>
      <c r="AZ45" s="3452"/>
      <c r="BA45" s="3452"/>
      <c r="BB45" s="3452"/>
      <c r="BC45" s="3452"/>
      <c r="BD45" s="3452"/>
      <c r="BE45" s="3452"/>
      <c r="BF45" s="3452"/>
      <c r="BG45" s="3452"/>
      <c r="BH45" s="3452"/>
      <c r="BI45" s="3452"/>
      <c r="BJ45" s="3452"/>
      <c r="BK45" s="3452"/>
      <c r="BL45" s="3452"/>
      <c r="BM45" s="3452"/>
      <c r="BN45" s="3452"/>
      <c r="BO45" s="3452"/>
      <c r="BP45" s="3452"/>
      <c r="BQ45" s="3452"/>
      <c r="BR45" s="3452"/>
      <c r="BS45" s="3452"/>
      <c r="BT45" s="3452"/>
      <c r="BU45" s="3452"/>
      <c r="BV45" s="3452"/>
      <c r="BW45" s="3452"/>
      <c r="BX45" s="3452"/>
      <c r="BY45" s="3452"/>
      <c r="BZ45" s="3452"/>
      <c r="CA45" s="3452"/>
      <c r="CB45" s="3452"/>
      <c r="CC45" s="3452"/>
      <c r="CD45" s="3452"/>
      <c r="CE45" s="3452"/>
      <c r="CF45" s="3452"/>
      <c r="CG45" s="3452"/>
      <c r="CH45" s="3452"/>
      <c r="CI45" s="3452"/>
      <c r="CJ45" s="3452"/>
      <c r="CK45" s="3452"/>
      <c r="CL45" s="3452"/>
      <c r="CM45" s="3452"/>
      <c r="CN45" s="3452"/>
      <c r="CO45" s="3452"/>
      <c r="CP45" s="3452"/>
      <c r="CQ45" s="3452"/>
      <c r="CR45" s="3452"/>
      <c r="CS45" s="3452"/>
      <c r="CT45" s="3452"/>
      <c r="CU45" s="3452"/>
      <c r="CV45" s="3452"/>
      <c r="CW45" s="3452"/>
      <c r="CX45" s="3452"/>
      <c r="CY45" s="3452"/>
      <c r="CZ45" s="3452"/>
      <c r="DA45" s="3452"/>
      <c r="DB45" s="3452"/>
      <c r="DC45" s="3452"/>
      <c r="DD45" s="3452"/>
      <c r="DE45" s="3452"/>
      <c r="DF45" s="3452"/>
      <c r="DG45" s="3452"/>
      <c r="DH45" s="3452"/>
      <c r="DI45" s="3452"/>
      <c r="DJ45" s="3452"/>
      <c r="DK45" s="3452"/>
      <c r="DL45" s="3452"/>
      <c r="DM45" s="3452"/>
      <c r="DN45" s="3383"/>
      <c r="DO45" s="3383"/>
    </row>
    <row r="46" spans="1:128" ht="22.5" customHeight="1" x14ac:dyDescent="0.3">
      <c r="A46" s="3451"/>
      <c r="B46" s="394"/>
      <c r="C46" s="3452"/>
      <c r="D46" s="3452"/>
      <c r="E46" s="3452"/>
      <c r="F46" s="3452"/>
      <c r="G46" s="3452"/>
      <c r="H46" s="3452"/>
      <c r="I46" s="3452"/>
      <c r="J46" s="3452"/>
      <c r="K46" s="3452"/>
      <c r="L46" s="3452"/>
      <c r="M46" s="3452"/>
      <c r="N46" s="3452"/>
      <c r="O46" s="3452"/>
      <c r="P46" s="3452"/>
      <c r="Q46" s="3452"/>
      <c r="R46" s="3452"/>
      <c r="S46" s="3452"/>
      <c r="T46" s="3452"/>
      <c r="U46" s="3452"/>
      <c r="V46" s="3452"/>
      <c r="W46" s="3452"/>
      <c r="X46" s="3452"/>
      <c r="Y46" s="3452"/>
      <c r="Z46" s="3452"/>
      <c r="AA46" s="3452"/>
      <c r="AB46" s="3452"/>
      <c r="AC46" s="3452"/>
      <c r="AD46" s="3452"/>
      <c r="AE46" s="3452"/>
      <c r="AF46" s="3452"/>
      <c r="AG46" s="3452"/>
      <c r="AH46" s="3452"/>
      <c r="AI46" s="3452"/>
      <c r="AJ46" s="3452"/>
      <c r="AK46" s="3452"/>
      <c r="AL46" s="3452"/>
      <c r="AM46" s="3452"/>
      <c r="AN46" s="3452"/>
      <c r="AO46" s="3452"/>
      <c r="AP46" s="3452"/>
      <c r="AQ46" s="3452"/>
      <c r="AR46" s="3452"/>
      <c r="AS46" s="3452"/>
      <c r="AT46" s="3452"/>
      <c r="AU46" s="3452"/>
      <c r="AV46" s="3452"/>
      <c r="AW46" s="3452"/>
      <c r="AX46" s="3452"/>
      <c r="AY46" s="3452"/>
      <c r="AZ46" s="3452"/>
      <c r="BA46" s="3452"/>
      <c r="BB46" s="3452"/>
      <c r="BC46" s="3452"/>
      <c r="BD46" s="3452"/>
      <c r="BE46" s="3452"/>
      <c r="BF46" s="3452"/>
      <c r="BG46" s="3452"/>
      <c r="BH46" s="3452"/>
      <c r="BI46" s="3452"/>
      <c r="BJ46" s="3452"/>
      <c r="BK46" s="3452"/>
      <c r="BL46" s="3452"/>
      <c r="BM46" s="3452"/>
      <c r="BN46" s="3452"/>
      <c r="BO46" s="3452"/>
      <c r="BP46" s="3452"/>
      <c r="BQ46" s="3452"/>
      <c r="BR46" s="3452"/>
      <c r="BS46" s="3452"/>
      <c r="BT46" s="3452"/>
      <c r="BU46" s="3452"/>
      <c r="BV46" s="3452"/>
      <c r="BW46" s="3452"/>
      <c r="BX46" s="3452"/>
      <c r="BY46" s="3452"/>
      <c r="BZ46" s="3452"/>
      <c r="CA46" s="3452"/>
      <c r="CB46" s="3452"/>
      <c r="CC46" s="3452"/>
      <c r="CD46" s="3452"/>
      <c r="CE46" s="3452"/>
      <c r="CF46" s="3452"/>
      <c r="CG46" s="3452"/>
      <c r="CH46" s="3452"/>
      <c r="CI46" s="3452"/>
      <c r="CJ46" s="3452"/>
      <c r="CK46" s="3452"/>
      <c r="CL46" s="3452"/>
      <c r="CM46" s="3452"/>
      <c r="CN46" s="3452"/>
      <c r="CO46" s="3452"/>
      <c r="CP46" s="3452"/>
      <c r="CQ46" s="3452"/>
      <c r="CR46" s="3452"/>
      <c r="CS46" s="3452"/>
      <c r="CT46" s="3452"/>
      <c r="CU46" s="3452"/>
      <c r="CV46" s="3452"/>
      <c r="CW46" s="3452"/>
      <c r="CX46" s="3452"/>
      <c r="CY46" s="3452"/>
      <c r="CZ46" s="3452"/>
      <c r="DA46" s="3452"/>
      <c r="DB46" s="3452"/>
      <c r="DC46" s="3452"/>
      <c r="DD46" s="3452"/>
      <c r="DE46" s="3452"/>
      <c r="DF46" s="3452"/>
      <c r="DG46" s="3452"/>
      <c r="DH46" s="3452"/>
      <c r="DI46" s="3452"/>
      <c r="DJ46" s="3452"/>
      <c r="DK46" s="3452"/>
      <c r="DL46" s="3452"/>
      <c r="DM46" s="3452"/>
      <c r="DN46" s="3383"/>
      <c r="DO46" s="3383"/>
    </row>
    <row r="47" spans="1:128" x14ac:dyDescent="0.2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X47" s="394"/>
      <c r="AY47" s="394"/>
      <c r="AZ47" s="394"/>
      <c r="BA47" s="394"/>
      <c r="BB47" s="394"/>
      <c r="BC47" s="394"/>
      <c r="BD47" s="394"/>
      <c r="BE47" s="394"/>
      <c r="BF47" s="394"/>
      <c r="BG47" s="394"/>
      <c r="BH47" s="394"/>
      <c r="BI47" s="394"/>
      <c r="BJ47" s="394"/>
      <c r="BK47" s="394"/>
      <c r="BL47" s="394"/>
      <c r="BM47" s="394"/>
      <c r="BN47" s="394"/>
      <c r="BO47" s="394"/>
      <c r="BP47" s="394"/>
      <c r="BQ47" s="394"/>
      <c r="BR47" s="394"/>
      <c r="BS47" s="394"/>
      <c r="BT47" s="394"/>
      <c r="BU47" s="394"/>
      <c r="BV47" s="394"/>
      <c r="BW47" s="394"/>
      <c r="BX47" s="394"/>
      <c r="BY47" s="394"/>
      <c r="BZ47" s="394"/>
      <c r="CA47" s="394"/>
      <c r="CB47" s="394"/>
      <c r="CC47" s="394"/>
      <c r="CD47" s="394"/>
      <c r="CE47" s="394"/>
      <c r="CF47" s="394"/>
      <c r="CG47" s="394"/>
      <c r="CH47" s="394"/>
      <c r="CI47" s="394"/>
      <c r="CJ47" s="394"/>
      <c r="CK47" s="394"/>
      <c r="CL47" s="394"/>
      <c r="CM47" s="394"/>
      <c r="CN47" s="394"/>
      <c r="CO47" s="394"/>
      <c r="CP47" s="394"/>
      <c r="CQ47" s="394"/>
      <c r="CR47" s="394"/>
      <c r="CS47" s="394"/>
      <c r="CT47" s="394"/>
      <c r="CU47" s="394"/>
      <c r="CV47" s="394"/>
      <c r="CW47" s="394"/>
      <c r="CX47" s="394"/>
      <c r="CY47" s="394"/>
      <c r="CZ47" s="394"/>
      <c r="DA47" s="394"/>
      <c r="DB47" s="394"/>
      <c r="DC47" s="394"/>
      <c r="DD47" s="394"/>
      <c r="DE47" s="394"/>
      <c r="DF47" s="394"/>
      <c r="DG47" s="394"/>
      <c r="DH47" s="394"/>
      <c r="DI47" s="394"/>
      <c r="DJ47" s="394"/>
      <c r="DK47" s="394"/>
      <c r="DL47" s="394"/>
      <c r="DM47" s="394"/>
    </row>
    <row r="48" spans="1:128" ht="20.25" x14ac:dyDescent="0.3">
      <c r="A48" s="3453" t="s">
        <v>3542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</row>
    <row r="53" spans="62:62" x14ac:dyDescent="0.2">
      <c r="BJ53" s="2113"/>
    </row>
  </sheetData>
  <mergeCells count="73">
    <mergeCell ref="AX4:AZ5"/>
    <mergeCell ref="DN32:DN35"/>
    <mergeCell ref="CM21:CO22"/>
    <mergeCell ref="CG21:CI22"/>
    <mergeCell ref="CG20:CL20"/>
    <mergeCell ref="CJ21:CL22"/>
    <mergeCell ref="CS20:CX20"/>
    <mergeCell ref="CV21:CX22"/>
    <mergeCell ref="DK21:DM22"/>
    <mergeCell ref="A43:DM43"/>
    <mergeCell ref="DN20:DN23"/>
    <mergeCell ref="BM21:BP22"/>
    <mergeCell ref="AU21:AY22"/>
    <mergeCell ref="S21:W22"/>
    <mergeCell ref="AU20:BL20"/>
    <mergeCell ref="BM20:BW20"/>
    <mergeCell ref="BU21:BW22"/>
    <mergeCell ref="AL21:AP22"/>
    <mergeCell ref="AZ21:BD22"/>
    <mergeCell ref="BX21:BZ22"/>
    <mergeCell ref="DN25:DN28"/>
    <mergeCell ref="CS21:CU22"/>
    <mergeCell ref="CY20:DA22"/>
    <mergeCell ref="DB20:DD22"/>
    <mergeCell ref="DE20:DG22"/>
    <mergeCell ref="A37:BT37"/>
    <mergeCell ref="I4:L4"/>
    <mergeCell ref="B20:B23"/>
    <mergeCell ref="A20:A23"/>
    <mergeCell ref="BD4:BD6"/>
    <mergeCell ref="P4:R5"/>
    <mergeCell ref="AU4:AW5"/>
    <mergeCell ref="AJ5:AK5"/>
    <mergeCell ref="AQ21:AT22"/>
    <mergeCell ref="M20:AT20"/>
    <mergeCell ref="AG4:AK4"/>
    <mergeCell ref="AB4:AF5"/>
    <mergeCell ref="Y4:AA5"/>
    <mergeCell ref="BA4:BC5"/>
    <mergeCell ref="V4:X5"/>
    <mergeCell ref="C4:E5"/>
    <mergeCell ref="R38:R40"/>
    <mergeCell ref="R21:R35"/>
    <mergeCell ref="A4:A6"/>
    <mergeCell ref="B4:B6"/>
    <mergeCell ref="AL4:AP5"/>
    <mergeCell ref="AG5:AG6"/>
    <mergeCell ref="AH5:AI5"/>
    <mergeCell ref="A38:B38"/>
    <mergeCell ref="A39:B39"/>
    <mergeCell ref="F21:H22"/>
    <mergeCell ref="I21:L21"/>
    <mergeCell ref="C21:E22"/>
    <mergeCell ref="M21:Q22"/>
    <mergeCell ref="F4:H5"/>
    <mergeCell ref="M4:O5"/>
    <mergeCell ref="S4:U5"/>
    <mergeCell ref="DP20:DR22"/>
    <mergeCell ref="DS20:DU22"/>
    <mergeCell ref="DV20:DX22"/>
    <mergeCell ref="A2:DX2"/>
    <mergeCell ref="X21:AB22"/>
    <mergeCell ref="BX20:CF20"/>
    <mergeCell ref="CA21:CC22"/>
    <mergeCell ref="CD21:CF22"/>
    <mergeCell ref="BE21:BH22"/>
    <mergeCell ref="BI21:BL22"/>
    <mergeCell ref="DH20:DM20"/>
    <mergeCell ref="DH21:DJ22"/>
    <mergeCell ref="BQ21:BT22"/>
    <mergeCell ref="A3:AP3"/>
    <mergeCell ref="CP21:CR22"/>
    <mergeCell ref="CM20:CR20"/>
  </mergeCells>
  <phoneticPr fontId="9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39">
    <tabColor rgb="FFFFFF00"/>
    <pageSetUpPr fitToPage="1"/>
  </sheetPr>
  <dimension ref="A1:AD128"/>
  <sheetViews>
    <sheetView topLeftCell="A72" zoomScaleNormal="100" workbookViewId="0">
      <selection activeCell="D77" sqref="D77"/>
    </sheetView>
  </sheetViews>
  <sheetFormatPr defaultRowHeight="15" x14ac:dyDescent="0.25"/>
  <cols>
    <col min="1" max="1" width="18" style="1264" customWidth="1"/>
    <col min="2" max="2" width="20" style="1264" customWidth="1"/>
    <col min="3" max="3" width="8.5703125" style="1264" customWidth="1"/>
    <col min="4" max="4" width="12.85546875" style="1264" customWidth="1"/>
    <col min="5" max="5" width="10.140625" style="1264" customWidth="1"/>
    <col min="6" max="6" width="13.42578125" style="1264" customWidth="1"/>
    <col min="7" max="7" width="9.7109375" style="1264" customWidth="1"/>
    <col min="8" max="8" width="13.140625" style="1264" customWidth="1"/>
    <col min="9" max="9" width="8.7109375" style="1264" customWidth="1"/>
    <col min="10" max="10" width="14" style="1264" customWidth="1"/>
    <col min="11" max="11" width="10.7109375" style="1264" customWidth="1"/>
    <col min="12" max="12" width="13.140625" style="1264" customWidth="1"/>
    <col min="13" max="13" width="10.7109375" style="1264" customWidth="1"/>
    <col min="14" max="14" width="14.140625" style="1264" customWidth="1"/>
    <col min="15" max="15" width="10.7109375" style="1264" customWidth="1"/>
    <col min="16" max="16" width="15" style="1264" customWidth="1"/>
    <col min="17" max="17" width="9.42578125" style="1264" customWidth="1"/>
    <col min="18" max="18" width="14" style="1264" customWidth="1"/>
    <col min="19" max="19" width="8.85546875" style="1264" customWidth="1"/>
    <col min="20" max="20" width="13" style="1264" customWidth="1"/>
    <col min="21" max="248" width="9.140625" style="1264"/>
    <col min="249" max="249" width="18" style="1264" customWidth="1"/>
    <col min="250" max="250" width="21.140625" style="1264" customWidth="1"/>
    <col min="251" max="251" width="13" style="1264" customWidth="1"/>
    <col min="252" max="252" width="14.5703125" style="1264" customWidth="1"/>
    <col min="253" max="253" width="11.5703125" style="1264" customWidth="1"/>
    <col min="254" max="254" width="14.5703125" style="1264" customWidth="1"/>
    <col min="255" max="255" width="13.28515625" style="1264" customWidth="1"/>
    <col min="256" max="256" width="13.42578125" style="1264" customWidth="1"/>
    <col min="257" max="257" width="14.140625" style="1264" customWidth="1"/>
    <col min="258" max="258" width="17.5703125" style="1264" customWidth="1"/>
    <col min="259" max="259" width="16" style="1264" customWidth="1"/>
    <col min="260" max="260" width="19" style="1264" customWidth="1"/>
    <col min="261" max="261" width="14" style="1264" customWidth="1"/>
    <col min="262" max="265" width="19.140625" style="1264" customWidth="1"/>
    <col min="266" max="266" width="15" style="1264" customWidth="1"/>
    <col min="267" max="267" width="22" style="1264" customWidth="1"/>
    <col min="268" max="268" width="19.42578125" style="1264" customWidth="1"/>
    <col min="269" max="269" width="15" style="1264" customWidth="1"/>
    <col min="270" max="270" width="19.28515625" style="1264" customWidth="1"/>
    <col min="271" max="271" width="19.85546875" style="1264" customWidth="1"/>
    <col min="272" max="272" width="19.5703125" style="1264" customWidth="1"/>
    <col min="273" max="273" width="14" style="1264" customWidth="1"/>
    <col min="274" max="274" width="16.42578125" style="1264" customWidth="1"/>
    <col min="275" max="275" width="18.140625" style="1264" customWidth="1"/>
    <col min="276" max="276" width="15.85546875" style="1264" customWidth="1"/>
    <col min="277" max="504" width="9.140625" style="1264"/>
    <col min="505" max="505" width="18" style="1264" customWidth="1"/>
    <col min="506" max="506" width="21.140625" style="1264" customWidth="1"/>
    <col min="507" max="507" width="13" style="1264" customWidth="1"/>
    <col min="508" max="508" width="14.5703125" style="1264" customWidth="1"/>
    <col min="509" max="509" width="11.5703125" style="1264" customWidth="1"/>
    <col min="510" max="510" width="14.5703125" style="1264" customWidth="1"/>
    <col min="511" max="511" width="13.28515625" style="1264" customWidth="1"/>
    <col min="512" max="512" width="13.42578125" style="1264" customWidth="1"/>
    <col min="513" max="513" width="14.140625" style="1264" customWidth="1"/>
    <col min="514" max="514" width="17.5703125" style="1264" customWidth="1"/>
    <col min="515" max="515" width="16" style="1264" customWidth="1"/>
    <col min="516" max="516" width="19" style="1264" customWidth="1"/>
    <col min="517" max="517" width="14" style="1264" customWidth="1"/>
    <col min="518" max="521" width="19.140625" style="1264" customWidth="1"/>
    <col min="522" max="522" width="15" style="1264" customWidth="1"/>
    <col min="523" max="523" width="22" style="1264" customWidth="1"/>
    <col min="524" max="524" width="19.42578125" style="1264" customWidth="1"/>
    <col min="525" max="525" width="15" style="1264" customWidth="1"/>
    <col min="526" max="526" width="19.28515625" style="1264" customWidth="1"/>
    <col min="527" max="527" width="19.85546875" style="1264" customWidth="1"/>
    <col min="528" max="528" width="19.5703125" style="1264" customWidth="1"/>
    <col min="529" max="529" width="14" style="1264" customWidth="1"/>
    <col min="530" max="530" width="16.42578125" style="1264" customWidth="1"/>
    <col min="531" max="531" width="18.140625" style="1264" customWidth="1"/>
    <col min="532" max="532" width="15.85546875" style="1264" customWidth="1"/>
    <col min="533" max="760" width="9.140625" style="1264"/>
    <col min="761" max="761" width="18" style="1264" customWidth="1"/>
    <col min="762" max="762" width="21.140625" style="1264" customWidth="1"/>
    <col min="763" max="763" width="13" style="1264" customWidth="1"/>
    <col min="764" max="764" width="14.5703125" style="1264" customWidth="1"/>
    <col min="765" max="765" width="11.5703125" style="1264" customWidth="1"/>
    <col min="766" max="766" width="14.5703125" style="1264" customWidth="1"/>
    <col min="767" max="767" width="13.28515625" style="1264" customWidth="1"/>
    <col min="768" max="768" width="13.42578125" style="1264" customWidth="1"/>
    <col min="769" max="769" width="14.140625" style="1264" customWidth="1"/>
    <col min="770" max="770" width="17.5703125" style="1264" customWidth="1"/>
    <col min="771" max="771" width="16" style="1264" customWidth="1"/>
    <col min="772" max="772" width="19" style="1264" customWidth="1"/>
    <col min="773" max="773" width="14" style="1264" customWidth="1"/>
    <col min="774" max="777" width="19.140625" style="1264" customWidth="1"/>
    <col min="778" max="778" width="15" style="1264" customWidth="1"/>
    <col min="779" max="779" width="22" style="1264" customWidth="1"/>
    <col min="780" max="780" width="19.42578125" style="1264" customWidth="1"/>
    <col min="781" max="781" width="15" style="1264" customWidth="1"/>
    <col min="782" max="782" width="19.28515625" style="1264" customWidth="1"/>
    <col min="783" max="783" width="19.85546875" style="1264" customWidth="1"/>
    <col min="784" max="784" width="19.5703125" style="1264" customWidth="1"/>
    <col min="785" max="785" width="14" style="1264" customWidth="1"/>
    <col min="786" max="786" width="16.42578125" style="1264" customWidth="1"/>
    <col min="787" max="787" width="18.140625" style="1264" customWidth="1"/>
    <col min="788" max="788" width="15.85546875" style="1264" customWidth="1"/>
    <col min="789" max="1016" width="9.140625" style="1264"/>
    <col min="1017" max="1017" width="18" style="1264" customWidth="1"/>
    <col min="1018" max="1018" width="21.140625" style="1264" customWidth="1"/>
    <col min="1019" max="1019" width="13" style="1264" customWidth="1"/>
    <col min="1020" max="1020" width="14.5703125" style="1264" customWidth="1"/>
    <col min="1021" max="1021" width="11.5703125" style="1264" customWidth="1"/>
    <col min="1022" max="1022" width="14.5703125" style="1264" customWidth="1"/>
    <col min="1023" max="1023" width="13.28515625" style="1264" customWidth="1"/>
    <col min="1024" max="1024" width="13.42578125" style="1264" customWidth="1"/>
    <col min="1025" max="1025" width="14.140625" style="1264" customWidth="1"/>
    <col min="1026" max="1026" width="17.5703125" style="1264" customWidth="1"/>
    <col min="1027" max="1027" width="16" style="1264" customWidth="1"/>
    <col min="1028" max="1028" width="19" style="1264" customWidth="1"/>
    <col min="1029" max="1029" width="14" style="1264" customWidth="1"/>
    <col min="1030" max="1033" width="19.140625" style="1264" customWidth="1"/>
    <col min="1034" max="1034" width="15" style="1264" customWidth="1"/>
    <col min="1035" max="1035" width="22" style="1264" customWidth="1"/>
    <col min="1036" max="1036" width="19.42578125" style="1264" customWidth="1"/>
    <col min="1037" max="1037" width="15" style="1264" customWidth="1"/>
    <col min="1038" max="1038" width="19.28515625" style="1264" customWidth="1"/>
    <col min="1039" max="1039" width="19.85546875" style="1264" customWidth="1"/>
    <col min="1040" max="1040" width="19.5703125" style="1264" customWidth="1"/>
    <col min="1041" max="1041" width="14" style="1264" customWidth="1"/>
    <col min="1042" max="1042" width="16.42578125" style="1264" customWidth="1"/>
    <col min="1043" max="1043" width="18.140625" style="1264" customWidth="1"/>
    <col min="1044" max="1044" width="15.85546875" style="1264" customWidth="1"/>
    <col min="1045" max="1272" width="9.140625" style="1264"/>
    <col min="1273" max="1273" width="18" style="1264" customWidth="1"/>
    <col min="1274" max="1274" width="21.140625" style="1264" customWidth="1"/>
    <col min="1275" max="1275" width="13" style="1264" customWidth="1"/>
    <col min="1276" max="1276" width="14.5703125" style="1264" customWidth="1"/>
    <col min="1277" max="1277" width="11.5703125" style="1264" customWidth="1"/>
    <col min="1278" max="1278" width="14.5703125" style="1264" customWidth="1"/>
    <col min="1279" max="1279" width="13.28515625" style="1264" customWidth="1"/>
    <col min="1280" max="1280" width="13.42578125" style="1264" customWidth="1"/>
    <col min="1281" max="1281" width="14.140625" style="1264" customWidth="1"/>
    <col min="1282" max="1282" width="17.5703125" style="1264" customWidth="1"/>
    <col min="1283" max="1283" width="16" style="1264" customWidth="1"/>
    <col min="1284" max="1284" width="19" style="1264" customWidth="1"/>
    <col min="1285" max="1285" width="14" style="1264" customWidth="1"/>
    <col min="1286" max="1289" width="19.140625" style="1264" customWidth="1"/>
    <col min="1290" max="1290" width="15" style="1264" customWidth="1"/>
    <col min="1291" max="1291" width="22" style="1264" customWidth="1"/>
    <col min="1292" max="1292" width="19.42578125" style="1264" customWidth="1"/>
    <col min="1293" max="1293" width="15" style="1264" customWidth="1"/>
    <col min="1294" max="1294" width="19.28515625" style="1264" customWidth="1"/>
    <col min="1295" max="1295" width="19.85546875" style="1264" customWidth="1"/>
    <col min="1296" max="1296" width="19.5703125" style="1264" customWidth="1"/>
    <col min="1297" max="1297" width="14" style="1264" customWidth="1"/>
    <col min="1298" max="1298" width="16.42578125" style="1264" customWidth="1"/>
    <col min="1299" max="1299" width="18.140625" style="1264" customWidth="1"/>
    <col min="1300" max="1300" width="15.85546875" style="1264" customWidth="1"/>
    <col min="1301" max="1528" width="9.140625" style="1264"/>
    <col min="1529" max="1529" width="18" style="1264" customWidth="1"/>
    <col min="1530" max="1530" width="21.140625" style="1264" customWidth="1"/>
    <col min="1531" max="1531" width="13" style="1264" customWidth="1"/>
    <col min="1532" max="1532" width="14.5703125" style="1264" customWidth="1"/>
    <col min="1533" max="1533" width="11.5703125" style="1264" customWidth="1"/>
    <col min="1534" max="1534" width="14.5703125" style="1264" customWidth="1"/>
    <col min="1535" max="1535" width="13.28515625" style="1264" customWidth="1"/>
    <col min="1536" max="1536" width="13.42578125" style="1264" customWidth="1"/>
    <col min="1537" max="1537" width="14.140625" style="1264" customWidth="1"/>
    <col min="1538" max="1538" width="17.5703125" style="1264" customWidth="1"/>
    <col min="1539" max="1539" width="16" style="1264" customWidth="1"/>
    <col min="1540" max="1540" width="19" style="1264" customWidth="1"/>
    <col min="1541" max="1541" width="14" style="1264" customWidth="1"/>
    <col min="1542" max="1545" width="19.140625" style="1264" customWidth="1"/>
    <col min="1546" max="1546" width="15" style="1264" customWidth="1"/>
    <col min="1547" max="1547" width="22" style="1264" customWidth="1"/>
    <col min="1548" max="1548" width="19.42578125" style="1264" customWidth="1"/>
    <col min="1549" max="1549" width="15" style="1264" customWidth="1"/>
    <col min="1550" max="1550" width="19.28515625" style="1264" customWidth="1"/>
    <col min="1551" max="1551" width="19.85546875" style="1264" customWidth="1"/>
    <col min="1552" max="1552" width="19.5703125" style="1264" customWidth="1"/>
    <col min="1553" max="1553" width="14" style="1264" customWidth="1"/>
    <col min="1554" max="1554" width="16.42578125" style="1264" customWidth="1"/>
    <col min="1555" max="1555" width="18.140625" style="1264" customWidth="1"/>
    <col min="1556" max="1556" width="15.85546875" style="1264" customWidth="1"/>
    <col min="1557" max="1784" width="9.140625" style="1264"/>
    <col min="1785" max="1785" width="18" style="1264" customWidth="1"/>
    <col min="1786" max="1786" width="21.140625" style="1264" customWidth="1"/>
    <col min="1787" max="1787" width="13" style="1264" customWidth="1"/>
    <col min="1788" max="1788" width="14.5703125" style="1264" customWidth="1"/>
    <col min="1789" max="1789" width="11.5703125" style="1264" customWidth="1"/>
    <col min="1790" max="1790" width="14.5703125" style="1264" customWidth="1"/>
    <col min="1791" max="1791" width="13.28515625" style="1264" customWidth="1"/>
    <col min="1792" max="1792" width="13.42578125" style="1264" customWidth="1"/>
    <col min="1793" max="1793" width="14.140625" style="1264" customWidth="1"/>
    <col min="1794" max="1794" width="17.5703125" style="1264" customWidth="1"/>
    <col min="1795" max="1795" width="16" style="1264" customWidth="1"/>
    <col min="1796" max="1796" width="19" style="1264" customWidth="1"/>
    <col min="1797" max="1797" width="14" style="1264" customWidth="1"/>
    <col min="1798" max="1801" width="19.140625" style="1264" customWidth="1"/>
    <col min="1802" max="1802" width="15" style="1264" customWidth="1"/>
    <col min="1803" max="1803" width="22" style="1264" customWidth="1"/>
    <col min="1804" max="1804" width="19.42578125" style="1264" customWidth="1"/>
    <col min="1805" max="1805" width="15" style="1264" customWidth="1"/>
    <col min="1806" max="1806" width="19.28515625" style="1264" customWidth="1"/>
    <col min="1807" max="1807" width="19.85546875" style="1264" customWidth="1"/>
    <col min="1808" max="1808" width="19.5703125" style="1264" customWidth="1"/>
    <col min="1809" max="1809" width="14" style="1264" customWidth="1"/>
    <col min="1810" max="1810" width="16.42578125" style="1264" customWidth="1"/>
    <col min="1811" max="1811" width="18.140625" style="1264" customWidth="1"/>
    <col min="1812" max="1812" width="15.85546875" style="1264" customWidth="1"/>
    <col min="1813" max="2040" width="9.140625" style="1264"/>
    <col min="2041" max="2041" width="18" style="1264" customWidth="1"/>
    <col min="2042" max="2042" width="21.140625" style="1264" customWidth="1"/>
    <col min="2043" max="2043" width="13" style="1264" customWidth="1"/>
    <col min="2044" max="2044" width="14.5703125" style="1264" customWidth="1"/>
    <col min="2045" max="2045" width="11.5703125" style="1264" customWidth="1"/>
    <col min="2046" max="2046" width="14.5703125" style="1264" customWidth="1"/>
    <col min="2047" max="2047" width="13.28515625" style="1264" customWidth="1"/>
    <col min="2048" max="2048" width="13.42578125" style="1264" customWidth="1"/>
    <col min="2049" max="2049" width="14.140625" style="1264" customWidth="1"/>
    <col min="2050" max="2050" width="17.5703125" style="1264" customWidth="1"/>
    <col min="2051" max="2051" width="16" style="1264" customWidth="1"/>
    <col min="2052" max="2052" width="19" style="1264" customWidth="1"/>
    <col min="2053" max="2053" width="14" style="1264" customWidth="1"/>
    <col min="2054" max="2057" width="19.140625" style="1264" customWidth="1"/>
    <col min="2058" max="2058" width="15" style="1264" customWidth="1"/>
    <col min="2059" max="2059" width="22" style="1264" customWidth="1"/>
    <col min="2060" max="2060" width="19.42578125" style="1264" customWidth="1"/>
    <col min="2061" max="2061" width="15" style="1264" customWidth="1"/>
    <col min="2062" max="2062" width="19.28515625" style="1264" customWidth="1"/>
    <col min="2063" max="2063" width="19.85546875" style="1264" customWidth="1"/>
    <col min="2064" max="2064" width="19.5703125" style="1264" customWidth="1"/>
    <col min="2065" max="2065" width="14" style="1264" customWidth="1"/>
    <col min="2066" max="2066" width="16.42578125" style="1264" customWidth="1"/>
    <col min="2067" max="2067" width="18.140625" style="1264" customWidth="1"/>
    <col min="2068" max="2068" width="15.85546875" style="1264" customWidth="1"/>
    <col min="2069" max="2296" width="9.140625" style="1264"/>
    <col min="2297" max="2297" width="18" style="1264" customWidth="1"/>
    <col min="2298" max="2298" width="21.140625" style="1264" customWidth="1"/>
    <col min="2299" max="2299" width="13" style="1264" customWidth="1"/>
    <col min="2300" max="2300" width="14.5703125" style="1264" customWidth="1"/>
    <col min="2301" max="2301" width="11.5703125" style="1264" customWidth="1"/>
    <col min="2302" max="2302" width="14.5703125" style="1264" customWidth="1"/>
    <col min="2303" max="2303" width="13.28515625" style="1264" customWidth="1"/>
    <col min="2304" max="2304" width="13.42578125" style="1264" customWidth="1"/>
    <col min="2305" max="2305" width="14.140625" style="1264" customWidth="1"/>
    <col min="2306" max="2306" width="17.5703125" style="1264" customWidth="1"/>
    <col min="2307" max="2307" width="16" style="1264" customWidth="1"/>
    <col min="2308" max="2308" width="19" style="1264" customWidth="1"/>
    <col min="2309" max="2309" width="14" style="1264" customWidth="1"/>
    <col min="2310" max="2313" width="19.140625" style="1264" customWidth="1"/>
    <col min="2314" max="2314" width="15" style="1264" customWidth="1"/>
    <col min="2315" max="2315" width="22" style="1264" customWidth="1"/>
    <col min="2316" max="2316" width="19.42578125" style="1264" customWidth="1"/>
    <col min="2317" max="2317" width="15" style="1264" customWidth="1"/>
    <col min="2318" max="2318" width="19.28515625" style="1264" customWidth="1"/>
    <col min="2319" max="2319" width="19.85546875" style="1264" customWidth="1"/>
    <col min="2320" max="2320" width="19.5703125" style="1264" customWidth="1"/>
    <col min="2321" max="2321" width="14" style="1264" customWidth="1"/>
    <col min="2322" max="2322" width="16.42578125" style="1264" customWidth="1"/>
    <col min="2323" max="2323" width="18.140625" style="1264" customWidth="1"/>
    <col min="2324" max="2324" width="15.85546875" style="1264" customWidth="1"/>
    <col min="2325" max="2552" width="9.140625" style="1264"/>
    <col min="2553" max="2553" width="18" style="1264" customWidth="1"/>
    <col min="2554" max="2554" width="21.140625" style="1264" customWidth="1"/>
    <col min="2555" max="2555" width="13" style="1264" customWidth="1"/>
    <col min="2556" max="2556" width="14.5703125" style="1264" customWidth="1"/>
    <col min="2557" max="2557" width="11.5703125" style="1264" customWidth="1"/>
    <col min="2558" max="2558" width="14.5703125" style="1264" customWidth="1"/>
    <col min="2559" max="2559" width="13.28515625" style="1264" customWidth="1"/>
    <col min="2560" max="2560" width="13.42578125" style="1264" customWidth="1"/>
    <col min="2561" max="2561" width="14.140625" style="1264" customWidth="1"/>
    <col min="2562" max="2562" width="17.5703125" style="1264" customWidth="1"/>
    <col min="2563" max="2563" width="16" style="1264" customWidth="1"/>
    <col min="2564" max="2564" width="19" style="1264" customWidth="1"/>
    <col min="2565" max="2565" width="14" style="1264" customWidth="1"/>
    <col min="2566" max="2569" width="19.140625" style="1264" customWidth="1"/>
    <col min="2570" max="2570" width="15" style="1264" customWidth="1"/>
    <col min="2571" max="2571" width="22" style="1264" customWidth="1"/>
    <col min="2572" max="2572" width="19.42578125" style="1264" customWidth="1"/>
    <col min="2573" max="2573" width="15" style="1264" customWidth="1"/>
    <col min="2574" max="2574" width="19.28515625" style="1264" customWidth="1"/>
    <col min="2575" max="2575" width="19.85546875" style="1264" customWidth="1"/>
    <col min="2576" max="2576" width="19.5703125" style="1264" customWidth="1"/>
    <col min="2577" max="2577" width="14" style="1264" customWidth="1"/>
    <col min="2578" max="2578" width="16.42578125" style="1264" customWidth="1"/>
    <col min="2579" max="2579" width="18.140625" style="1264" customWidth="1"/>
    <col min="2580" max="2580" width="15.85546875" style="1264" customWidth="1"/>
    <col min="2581" max="2808" width="9.140625" style="1264"/>
    <col min="2809" max="2809" width="18" style="1264" customWidth="1"/>
    <col min="2810" max="2810" width="21.140625" style="1264" customWidth="1"/>
    <col min="2811" max="2811" width="13" style="1264" customWidth="1"/>
    <col min="2812" max="2812" width="14.5703125" style="1264" customWidth="1"/>
    <col min="2813" max="2813" width="11.5703125" style="1264" customWidth="1"/>
    <col min="2814" max="2814" width="14.5703125" style="1264" customWidth="1"/>
    <col min="2815" max="2815" width="13.28515625" style="1264" customWidth="1"/>
    <col min="2816" max="2816" width="13.42578125" style="1264" customWidth="1"/>
    <col min="2817" max="2817" width="14.140625" style="1264" customWidth="1"/>
    <col min="2818" max="2818" width="17.5703125" style="1264" customWidth="1"/>
    <col min="2819" max="2819" width="16" style="1264" customWidth="1"/>
    <col min="2820" max="2820" width="19" style="1264" customWidth="1"/>
    <col min="2821" max="2821" width="14" style="1264" customWidth="1"/>
    <col min="2822" max="2825" width="19.140625" style="1264" customWidth="1"/>
    <col min="2826" max="2826" width="15" style="1264" customWidth="1"/>
    <col min="2827" max="2827" width="22" style="1264" customWidth="1"/>
    <col min="2828" max="2828" width="19.42578125" style="1264" customWidth="1"/>
    <col min="2829" max="2829" width="15" style="1264" customWidth="1"/>
    <col min="2830" max="2830" width="19.28515625" style="1264" customWidth="1"/>
    <col min="2831" max="2831" width="19.85546875" style="1264" customWidth="1"/>
    <col min="2832" max="2832" width="19.5703125" style="1264" customWidth="1"/>
    <col min="2833" max="2833" width="14" style="1264" customWidth="1"/>
    <col min="2834" max="2834" width="16.42578125" style="1264" customWidth="1"/>
    <col min="2835" max="2835" width="18.140625" style="1264" customWidth="1"/>
    <col min="2836" max="2836" width="15.85546875" style="1264" customWidth="1"/>
    <col min="2837" max="3064" width="9.140625" style="1264"/>
    <col min="3065" max="3065" width="18" style="1264" customWidth="1"/>
    <col min="3066" max="3066" width="21.140625" style="1264" customWidth="1"/>
    <col min="3067" max="3067" width="13" style="1264" customWidth="1"/>
    <col min="3068" max="3068" width="14.5703125" style="1264" customWidth="1"/>
    <col min="3069" max="3069" width="11.5703125" style="1264" customWidth="1"/>
    <col min="3070" max="3070" width="14.5703125" style="1264" customWidth="1"/>
    <col min="3071" max="3071" width="13.28515625" style="1264" customWidth="1"/>
    <col min="3072" max="3072" width="13.42578125" style="1264" customWidth="1"/>
    <col min="3073" max="3073" width="14.140625" style="1264" customWidth="1"/>
    <col min="3074" max="3074" width="17.5703125" style="1264" customWidth="1"/>
    <col min="3075" max="3075" width="16" style="1264" customWidth="1"/>
    <col min="3076" max="3076" width="19" style="1264" customWidth="1"/>
    <col min="3077" max="3077" width="14" style="1264" customWidth="1"/>
    <col min="3078" max="3081" width="19.140625" style="1264" customWidth="1"/>
    <col min="3082" max="3082" width="15" style="1264" customWidth="1"/>
    <col min="3083" max="3083" width="22" style="1264" customWidth="1"/>
    <col min="3084" max="3084" width="19.42578125" style="1264" customWidth="1"/>
    <col min="3085" max="3085" width="15" style="1264" customWidth="1"/>
    <col min="3086" max="3086" width="19.28515625" style="1264" customWidth="1"/>
    <col min="3087" max="3087" width="19.85546875" style="1264" customWidth="1"/>
    <col min="3088" max="3088" width="19.5703125" style="1264" customWidth="1"/>
    <col min="3089" max="3089" width="14" style="1264" customWidth="1"/>
    <col min="3090" max="3090" width="16.42578125" style="1264" customWidth="1"/>
    <col min="3091" max="3091" width="18.140625" style="1264" customWidth="1"/>
    <col min="3092" max="3092" width="15.85546875" style="1264" customWidth="1"/>
    <col min="3093" max="3320" width="9.140625" style="1264"/>
    <col min="3321" max="3321" width="18" style="1264" customWidth="1"/>
    <col min="3322" max="3322" width="21.140625" style="1264" customWidth="1"/>
    <col min="3323" max="3323" width="13" style="1264" customWidth="1"/>
    <col min="3324" max="3324" width="14.5703125" style="1264" customWidth="1"/>
    <col min="3325" max="3325" width="11.5703125" style="1264" customWidth="1"/>
    <col min="3326" max="3326" width="14.5703125" style="1264" customWidth="1"/>
    <col min="3327" max="3327" width="13.28515625" style="1264" customWidth="1"/>
    <col min="3328" max="3328" width="13.42578125" style="1264" customWidth="1"/>
    <col min="3329" max="3329" width="14.140625" style="1264" customWidth="1"/>
    <col min="3330" max="3330" width="17.5703125" style="1264" customWidth="1"/>
    <col min="3331" max="3331" width="16" style="1264" customWidth="1"/>
    <col min="3332" max="3332" width="19" style="1264" customWidth="1"/>
    <col min="3333" max="3333" width="14" style="1264" customWidth="1"/>
    <col min="3334" max="3337" width="19.140625" style="1264" customWidth="1"/>
    <col min="3338" max="3338" width="15" style="1264" customWidth="1"/>
    <col min="3339" max="3339" width="22" style="1264" customWidth="1"/>
    <col min="3340" max="3340" width="19.42578125" style="1264" customWidth="1"/>
    <col min="3341" max="3341" width="15" style="1264" customWidth="1"/>
    <col min="3342" max="3342" width="19.28515625" style="1264" customWidth="1"/>
    <col min="3343" max="3343" width="19.85546875" style="1264" customWidth="1"/>
    <col min="3344" max="3344" width="19.5703125" style="1264" customWidth="1"/>
    <col min="3345" max="3345" width="14" style="1264" customWidth="1"/>
    <col min="3346" max="3346" width="16.42578125" style="1264" customWidth="1"/>
    <col min="3347" max="3347" width="18.140625" style="1264" customWidth="1"/>
    <col min="3348" max="3348" width="15.85546875" style="1264" customWidth="1"/>
    <col min="3349" max="3576" width="9.140625" style="1264"/>
    <col min="3577" max="3577" width="18" style="1264" customWidth="1"/>
    <col min="3578" max="3578" width="21.140625" style="1264" customWidth="1"/>
    <col min="3579" max="3579" width="13" style="1264" customWidth="1"/>
    <col min="3580" max="3580" width="14.5703125" style="1264" customWidth="1"/>
    <col min="3581" max="3581" width="11.5703125" style="1264" customWidth="1"/>
    <col min="3582" max="3582" width="14.5703125" style="1264" customWidth="1"/>
    <col min="3583" max="3583" width="13.28515625" style="1264" customWidth="1"/>
    <col min="3584" max="3584" width="13.42578125" style="1264" customWidth="1"/>
    <col min="3585" max="3585" width="14.140625" style="1264" customWidth="1"/>
    <col min="3586" max="3586" width="17.5703125" style="1264" customWidth="1"/>
    <col min="3587" max="3587" width="16" style="1264" customWidth="1"/>
    <col min="3588" max="3588" width="19" style="1264" customWidth="1"/>
    <col min="3589" max="3589" width="14" style="1264" customWidth="1"/>
    <col min="3590" max="3593" width="19.140625" style="1264" customWidth="1"/>
    <col min="3594" max="3594" width="15" style="1264" customWidth="1"/>
    <col min="3595" max="3595" width="22" style="1264" customWidth="1"/>
    <col min="3596" max="3596" width="19.42578125" style="1264" customWidth="1"/>
    <col min="3597" max="3597" width="15" style="1264" customWidth="1"/>
    <col min="3598" max="3598" width="19.28515625" style="1264" customWidth="1"/>
    <col min="3599" max="3599" width="19.85546875" style="1264" customWidth="1"/>
    <col min="3600" max="3600" width="19.5703125" style="1264" customWidth="1"/>
    <col min="3601" max="3601" width="14" style="1264" customWidth="1"/>
    <col min="3602" max="3602" width="16.42578125" style="1264" customWidth="1"/>
    <col min="3603" max="3603" width="18.140625" style="1264" customWidth="1"/>
    <col min="3604" max="3604" width="15.85546875" style="1264" customWidth="1"/>
    <col min="3605" max="3832" width="9.140625" style="1264"/>
    <col min="3833" max="3833" width="18" style="1264" customWidth="1"/>
    <col min="3834" max="3834" width="21.140625" style="1264" customWidth="1"/>
    <col min="3835" max="3835" width="13" style="1264" customWidth="1"/>
    <col min="3836" max="3836" width="14.5703125" style="1264" customWidth="1"/>
    <col min="3837" max="3837" width="11.5703125" style="1264" customWidth="1"/>
    <col min="3838" max="3838" width="14.5703125" style="1264" customWidth="1"/>
    <col min="3839" max="3839" width="13.28515625" style="1264" customWidth="1"/>
    <col min="3840" max="3840" width="13.42578125" style="1264" customWidth="1"/>
    <col min="3841" max="3841" width="14.140625" style="1264" customWidth="1"/>
    <col min="3842" max="3842" width="17.5703125" style="1264" customWidth="1"/>
    <col min="3843" max="3843" width="16" style="1264" customWidth="1"/>
    <col min="3844" max="3844" width="19" style="1264" customWidth="1"/>
    <col min="3845" max="3845" width="14" style="1264" customWidth="1"/>
    <col min="3846" max="3849" width="19.140625" style="1264" customWidth="1"/>
    <col min="3850" max="3850" width="15" style="1264" customWidth="1"/>
    <col min="3851" max="3851" width="22" style="1264" customWidth="1"/>
    <col min="3852" max="3852" width="19.42578125" style="1264" customWidth="1"/>
    <col min="3853" max="3853" width="15" style="1264" customWidth="1"/>
    <col min="3854" max="3854" width="19.28515625" style="1264" customWidth="1"/>
    <col min="3855" max="3855" width="19.85546875" style="1264" customWidth="1"/>
    <col min="3856" max="3856" width="19.5703125" style="1264" customWidth="1"/>
    <col min="3857" max="3857" width="14" style="1264" customWidth="1"/>
    <col min="3858" max="3858" width="16.42578125" style="1264" customWidth="1"/>
    <col min="3859" max="3859" width="18.140625" style="1264" customWidth="1"/>
    <col min="3860" max="3860" width="15.85546875" style="1264" customWidth="1"/>
    <col min="3861" max="4088" width="9.140625" style="1264"/>
    <col min="4089" max="4089" width="18" style="1264" customWidth="1"/>
    <col min="4090" max="4090" width="21.140625" style="1264" customWidth="1"/>
    <col min="4091" max="4091" width="13" style="1264" customWidth="1"/>
    <col min="4092" max="4092" width="14.5703125" style="1264" customWidth="1"/>
    <col min="4093" max="4093" width="11.5703125" style="1264" customWidth="1"/>
    <col min="4094" max="4094" width="14.5703125" style="1264" customWidth="1"/>
    <col min="4095" max="4095" width="13.28515625" style="1264" customWidth="1"/>
    <col min="4096" max="4096" width="13.42578125" style="1264" customWidth="1"/>
    <col min="4097" max="4097" width="14.140625" style="1264" customWidth="1"/>
    <col min="4098" max="4098" width="17.5703125" style="1264" customWidth="1"/>
    <col min="4099" max="4099" width="16" style="1264" customWidth="1"/>
    <col min="4100" max="4100" width="19" style="1264" customWidth="1"/>
    <col min="4101" max="4101" width="14" style="1264" customWidth="1"/>
    <col min="4102" max="4105" width="19.140625" style="1264" customWidth="1"/>
    <col min="4106" max="4106" width="15" style="1264" customWidth="1"/>
    <col min="4107" max="4107" width="22" style="1264" customWidth="1"/>
    <col min="4108" max="4108" width="19.42578125" style="1264" customWidth="1"/>
    <col min="4109" max="4109" width="15" style="1264" customWidth="1"/>
    <col min="4110" max="4110" width="19.28515625" style="1264" customWidth="1"/>
    <col min="4111" max="4111" width="19.85546875" style="1264" customWidth="1"/>
    <col min="4112" max="4112" width="19.5703125" style="1264" customWidth="1"/>
    <col min="4113" max="4113" width="14" style="1264" customWidth="1"/>
    <col min="4114" max="4114" width="16.42578125" style="1264" customWidth="1"/>
    <col min="4115" max="4115" width="18.140625" style="1264" customWidth="1"/>
    <col min="4116" max="4116" width="15.85546875" style="1264" customWidth="1"/>
    <col min="4117" max="4344" width="9.140625" style="1264"/>
    <col min="4345" max="4345" width="18" style="1264" customWidth="1"/>
    <col min="4346" max="4346" width="21.140625" style="1264" customWidth="1"/>
    <col min="4347" max="4347" width="13" style="1264" customWidth="1"/>
    <col min="4348" max="4348" width="14.5703125" style="1264" customWidth="1"/>
    <col min="4349" max="4349" width="11.5703125" style="1264" customWidth="1"/>
    <col min="4350" max="4350" width="14.5703125" style="1264" customWidth="1"/>
    <col min="4351" max="4351" width="13.28515625" style="1264" customWidth="1"/>
    <col min="4352" max="4352" width="13.42578125" style="1264" customWidth="1"/>
    <col min="4353" max="4353" width="14.140625" style="1264" customWidth="1"/>
    <col min="4354" max="4354" width="17.5703125" style="1264" customWidth="1"/>
    <col min="4355" max="4355" width="16" style="1264" customWidth="1"/>
    <col min="4356" max="4356" width="19" style="1264" customWidth="1"/>
    <col min="4357" max="4357" width="14" style="1264" customWidth="1"/>
    <col min="4358" max="4361" width="19.140625" style="1264" customWidth="1"/>
    <col min="4362" max="4362" width="15" style="1264" customWidth="1"/>
    <col min="4363" max="4363" width="22" style="1264" customWidth="1"/>
    <col min="4364" max="4364" width="19.42578125" style="1264" customWidth="1"/>
    <col min="4365" max="4365" width="15" style="1264" customWidth="1"/>
    <col min="4366" max="4366" width="19.28515625" style="1264" customWidth="1"/>
    <col min="4367" max="4367" width="19.85546875" style="1264" customWidth="1"/>
    <col min="4368" max="4368" width="19.5703125" style="1264" customWidth="1"/>
    <col min="4369" max="4369" width="14" style="1264" customWidth="1"/>
    <col min="4370" max="4370" width="16.42578125" style="1264" customWidth="1"/>
    <col min="4371" max="4371" width="18.140625" style="1264" customWidth="1"/>
    <col min="4372" max="4372" width="15.85546875" style="1264" customWidth="1"/>
    <col min="4373" max="4600" width="9.140625" style="1264"/>
    <col min="4601" max="4601" width="18" style="1264" customWidth="1"/>
    <col min="4602" max="4602" width="21.140625" style="1264" customWidth="1"/>
    <col min="4603" max="4603" width="13" style="1264" customWidth="1"/>
    <col min="4604" max="4604" width="14.5703125" style="1264" customWidth="1"/>
    <col min="4605" max="4605" width="11.5703125" style="1264" customWidth="1"/>
    <col min="4606" max="4606" width="14.5703125" style="1264" customWidth="1"/>
    <col min="4607" max="4607" width="13.28515625" style="1264" customWidth="1"/>
    <col min="4608" max="4608" width="13.42578125" style="1264" customWidth="1"/>
    <col min="4609" max="4609" width="14.140625" style="1264" customWidth="1"/>
    <col min="4610" max="4610" width="17.5703125" style="1264" customWidth="1"/>
    <col min="4611" max="4611" width="16" style="1264" customWidth="1"/>
    <col min="4612" max="4612" width="19" style="1264" customWidth="1"/>
    <col min="4613" max="4613" width="14" style="1264" customWidth="1"/>
    <col min="4614" max="4617" width="19.140625" style="1264" customWidth="1"/>
    <col min="4618" max="4618" width="15" style="1264" customWidth="1"/>
    <col min="4619" max="4619" width="22" style="1264" customWidth="1"/>
    <col min="4620" max="4620" width="19.42578125" style="1264" customWidth="1"/>
    <col min="4621" max="4621" width="15" style="1264" customWidth="1"/>
    <col min="4622" max="4622" width="19.28515625" style="1264" customWidth="1"/>
    <col min="4623" max="4623" width="19.85546875" style="1264" customWidth="1"/>
    <col min="4624" max="4624" width="19.5703125" style="1264" customWidth="1"/>
    <col min="4625" max="4625" width="14" style="1264" customWidth="1"/>
    <col min="4626" max="4626" width="16.42578125" style="1264" customWidth="1"/>
    <col min="4627" max="4627" width="18.140625" style="1264" customWidth="1"/>
    <col min="4628" max="4628" width="15.85546875" style="1264" customWidth="1"/>
    <col min="4629" max="4856" width="9.140625" style="1264"/>
    <col min="4857" max="4857" width="18" style="1264" customWidth="1"/>
    <col min="4858" max="4858" width="21.140625" style="1264" customWidth="1"/>
    <col min="4859" max="4859" width="13" style="1264" customWidth="1"/>
    <col min="4860" max="4860" width="14.5703125" style="1264" customWidth="1"/>
    <col min="4861" max="4861" width="11.5703125" style="1264" customWidth="1"/>
    <col min="4862" max="4862" width="14.5703125" style="1264" customWidth="1"/>
    <col min="4863" max="4863" width="13.28515625" style="1264" customWidth="1"/>
    <col min="4864" max="4864" width="13.42578125" style="1264" customWidth="1"/>
    <col min="4865" max="4865" width="14.140625" style="1264" customWidth="1"/>
    <col min="4866" max="4866" width="17.5703125" style="1264" customWidth="1"/>
    <col min="4867" max="4867" width="16" style="1264" customWidth="1"/>
    <col min="4868" max="4868" width="19" style="1264" customWidth="1"/>
    <col min="4869" max="4869" width="14" style="1264" customWidth="1"/>
    <col min="4870" max="4873" width="19.140625" style="1264" customWidth="1"/>
    <col min="4874" max="4874" width="15" style="1264" customWidth="1"/>
    <col min="4875" max="4875" width="22" style="1264" customWidth="1"/>
    <col min="4876" max="4876" width="19.42578125" style="1264" customWidth="1"/>
    <col min="4877" max="4877" width="15" style="1264" customWidth="1"/>
    <col min="4878" max="4878" width="19.28515625" style="1264" customWidth="1"/>
    <col min="4879" max="4879" width="19.85546875" style="1264" customWidth="1"/>
    <col min="4880" max="4880" width="19.5703125" style="1264" customWidth="1"/>
    <col min="4881" max="4881" width="14" style="1264" customWidth="1"/>
    <col min="4882" max="4882" width="16.42578125" style="1264" customWidth="1"/>
    <col min="4883" max="4883" width="18.140625" style="1264" customWidth="1"/>
    <col min="4884" max="4884" width="15.85546875" style="1264" customWidth="1"/>
    <col min="4885" max="5112" width="9.140625" style="1264"/>
    <col min="5113" max="5113" width="18" style="1264" customWidth="1"/>
    <col min="5114" max="5114" width="21.140625" style="1264" customWidth="1"/>
    <col min="5115" max="5115" width="13" style="1264" customWidth="1"/>
    <col min="5116" max="5116" width="14.5703125" style="1264" customWidth="1"/>
    <col min="5117" max="5117" width="11.5703125" style="1264" customWidth="1"/>
    <col min="5118" max="5118" width="14.5703125" style="1264" customWidth="1"/>
    <col min="5119" max="5119" width="13.28515625" style="1264" customWidth="1"/>
    <col min="5120" max="5120" width="13.42578125" style="1264" customWidth="1"/>
    <col min="5121" max="5121" width="14.140625" style="1264" customWidth="1"/>
    <col min="5122" max="5122" width="17.5703125" style="1264" customWidth="1"/>
    <col min="5123" max="5123" width="16" style="1264" customWidth="1"/>
    <col min="5124" max="5124" width="19" style="1264" customWidth="1"/>
    <col min="5125" max="5125" width="14" style="1264" customWidth="1"/>
    <col min="5126" max="5129" width="19.140625" style="1264" customWidth="1"/>
    <col min="5130" max="5130" width="15" style="1264" customWidth="1"/>
    <col min="5131" max="5131" width="22" style="1264" customWidth="1"/>
    <col min="5132" max="5132" width="19.42578125" style="1264" customWidth="1"/>
    <col min="5133" max="5133" width="15" style="1264" customWidth="1"/>
    <col min="5134" max="5134" width="19.28515625" style="1264" customWidth="1"/>
    <col min="5135" max="5135" width="19.85546875" style="1264" customWidth="1"/>
    <col min="5136" max="5136" width="19.5703125" style="1264" customWidth="1"/>
    <col min="5137" max="5137" width="14" style="1264" customWidth="1"/>
    <col min="5138" max="5138" width="16.42578125" style="1264" customWidth="1"/>
    <col min="5139" max="5139" width="18.140625" style="1264" customWidth="1"/>
    <col min="5140" max="5140" width="15.85546875" style="1264" customWidth="1"/>
    <col min="5141" max="5368" width="9.140625" style="1264"/>
    <col min="5369" max="5369" width="18" style="1264" customWidth="1"/>
    <col min="5370" max="5370" width="21.140625" style="1264" customWidth="1"/>
    <col min="5371" max="5371" width="13" style="1264" customWidth="1"/>
    <col min="5372" max="5372" width="14.5703125" style="1264" customWidth="1"/>
    <col min="5373" max="5373" width="11.5703125" style="1264" customWidth="1"/>
    <col min="5374" max="5374" width="14.5703125" style="1264" customWidth="1"/>
    <col min="5375" max="5375" width="13.28515625" style="1264" customWidth="1"/>
    <col min="5376" max="5376" width="13.42578125" style="1264" customWidth="1"/>
    <col min="5377" max="5377" width="14.140625" style="1264" customWidth="1"/>
    <col min="5378" max="5378" width="17.5703125" style="1264" customWidth="1"/>
    <col min="5379" max="5379" width="16" style="1264" customWidth="1"/>
    <col min="5380" max="5380" width="19" style="1264" customWidth="1"/>
    <col min="5381" max="5381" width="14" style="1264" customWidth="1"/>
    <col min="5382" max="5385" width="19.140625" style="1264" customWidth="1"/>
    <col min="5386" max="5386" width="15" style="1264" customWidth="1"/>
    <col min="5387" max="5387" width="22" style="1264" customWidth="1"/>
    <col min="5388" max="5388" width="19.42578125" style="1264" customWidth="1"/>
    <col min="5389" max="5389" width="15" style="1264" customWidth="1"/>
    <col min="5390" max="5390" width="19.28515625" style="1264" customWidth="1"/>
    <col min="5391" max="5391" width="19.85546875" style="1264" customWidth="1"/>
    <col min="5392" max="5392" width="19.5703125" style="1264" customWidth="1"/>
    <col min="5393" max="5393" width="14" style="1264" customWidth="1"/>
    <col min="5394" max="5394" width="16.42578125" style="1264" customWidth="1"/>
    <col min="5395" max="5395" width="18.140625" style="1264" customWidth="1"/>
    <col min="5396" max="5396" width="15.85546875" style="1264" customWidth="1"/>
    <col min="5397" max="5624" width="9.140625" style="1264"/>
    <col min="5625" max="5625" width="18" style="1264" customWidth="1"/>
    <col min="5626" max="5626" width="21.140625" style="1264" customWidth="1"/>
    <col min="5627" max="5627" width="13" style="1264" customWidth="1"/>
    <col min="5628" max="5628" width="14.5703125" style="1264" customWidth="1"/>
    <col min="5629" max="5629" width="11.5703125" style="1264" customWidth="1"/>
    <col min="5630" max="5630" width="14.5703125" style="1264" customWidth="1"/>
    <col min="5631" max="5631" width="13.28515625" style="1264" customWidth="1"/>
    <col min="5632" max="5632" width="13.42578125" style="1264" customWidth="1"/>
    <col min="5633" max="5633" width="14.140625" style="1264" customWidth="1"/>
    <col min="5634" max="5634" width="17.5703125" style="1264" customWidth="1"/>
    <col min="5635" max="5635" width="16" style="1264" customWidth="1"/>
    <col min="5636" max="5636" width="19" style="1264" customWidth="1"/>
    <col min="5637" max="5637" width="14" style="1264" customWidth="1"/>
    <col min="5638" max="5641" width="19.140625" style="1264" customWidth="1"/>
    <col min="5642" max="5642" width="15" style="1264" customWidth="1"/>
    <col min="5643" max="5643" width="22" style="1264" customWidth="1"/>
    <col min="5644" max="5644" width="19.42578125" style="1264" customWidth="1"/>
    <col min="5645" max="5645" width="15" style="1264" customWidth="1"/>
    <col min="5646" max="5646" width="19.28515625" style="1264" customWidth="1"/>
    <col min="5647" max="5647" width="19.85546875" style="1264" customWidth="1"/>
    <col min="5648" max="5648" width="19.5703125" style="1264" customWidth="1"/>
    <col min="5649" max="5649" width="14" style="1264" customWidth="1"/>
    <col min="5650" max="5650" width="16.42578125" style="1264" customWidth="1"/>
    <col min="5651" max="5651" width="18.140625" style="1264" customWidth="1"/>
    <col min="5652" max="5652" width="15.85546875" style="1264" customWidth="1"/>
    <col min="5653" max="5880" width="9.140625" style="1264"/>
    <col min="5881" max="5881" width="18" style="1264" customWidth="1"/>
    <col min="5882" max="5882" width="21.140625" style="1264" customWidth="1"/>
    <col min="5883" max="5883" width="13" style="1264" customWidth="1"/>
    <col min="5884" max="5884" width="14.5703125" style="1264" customWidth="1"/>
    <col min="5885" max="5885" width="11.5703125" style="1264" customWidth="1"/>
    <col min="5886" max="5886" width="14.5703125" style="1264" customWidth="1"/>
    <col min="5887" max="5887" width="13.28515625" style="1264" customWidth="1"/>
    <col min="5888" max="5888" width="13.42578125" style="1264" customWidth="1"/>
    <col min="5889" max="5889" width="14.140625" style="1264" customWidth="1"/>
    <col min="5890" max="5890" width="17.5703125" style="1264" customWidth="1"/>
    <col min="5891" max="5891" width="16" style="1264" customWidth="1"/>
    <col min="5892" max="5892" width="19" style="1264" customWidth="1"/>
    <col min="5893" max="5893" width="14" style="1264" customWidth="1"/>
    <col min="5894" max="5897" width="19.140625" style="1264" customWidth="1"/>
    <col min="5898" max="5898" width="15" style="1264" customWidth="1"/>
    <col min="5899" max="5899" width="22" style="1264" customWidth="1"/>
    <col min="5900" max="5900" width="19.42578125" style="1264" customWidth="1"/>
    <col min="5901" max="5901" width="15" style="1264" customWidth="1"/>
    <col min="5902" max="5902" width="19.28515625" style="1264" customWidth="1"/>
    <col min="5903" max="5903" width="19.85546875" style="1264" customWidth="1"/>
    <col min="5904" max="5904" width="19.5703125" style="1264" customWidth="1"/>
    <col min="5905" max="5905" width="14" style="1264" customWidth="1"/>
    <col min="5906" max="5906" width="16.42578125" style="1264" customWidth="1"/>
    <col min="5907" max="5907" width="18.140625" style="1264" customWidth="1"/>
    <col min="5908" max="5908" width="15.85546875" style="1264" customWidth="1"/>
    <col min="5909" max="6136" width="9.140625" style="1264"/>
    <col min="6137" max="6137" width="18" style="1264" customWidth="1"/>
    <col min="6138" max="6138" width="21.140625" style="1264" customWidth="1"/>
    <col min="6139" max="6139" width="13" style="1264" customWidth="1"/>
    <col min="6140" max="6140" width="14.5703125" style="1264" customWidth="1"/>
    <col min="6141" max="6141" width="11.5703125" style="1264" customWidth="1"/>
    <col min="6142" max="6142" width="14.5703125" style="1264" customWidth="1"/>
    <col min="6143" max="6143" width="13.28515625" style="1264" customWidth="1"/>
    <col min="6144" max="6144" width="13.42578125" style="1264" customWidth="1"/>
    <col min="6145" max="6145" width="14.140625" style="1264" customWidth="1"/>
    <col min="6146" max="6146" width="17.5703125" style="1264" customWidth="1"/>
    <col min="6147" max="6147" width="16" style="1264" customWidth="1"/>
    <col min="6148" max="6148" width="19" style="1264" customWidth="1"/>
    <col min="6149" max="6149" width="14" style="1264" customWidth="1"/>
    <col min="6150" max="6153" width="19.140625" style="1264" customWidth="1"/>
    <col min="6154" max="6154" width="15" style="1264" customWidth="1"/>
    <col min="6155" max="6155" width="22" style="1264" customWidth="1"/>
    <col min="6156" max="6156" width="19.42578125" style="1264" customWidth="1"/>
    <col min="6157" max="6157" width="15" style="1264" customWidth="1"/>
    <col min="6158" max="6158" width="19.28515625" style="1264" customWidth="1"/>
    <col min="6159" max="6159" width="19.85546875" style="1264" customWidth="1"/>
    <col min="6160" max="6160" width="19.5703125" style="1264" customWidth="1"/>
    <col min="6161" max="6161" width="14" style="1264" customWidth="1"/>
    <col min="6162" max="6162" width="16.42578125" style="1264" customWidth="1"/>
    <col min="6163" max="6163" width="18.140625" style="1264" customWidth="1"/>
    <col min="6164" max="6164" width="15.85546875" style="1264" customWidth="1"/>
    <col min="6165" max="6392" width="9.140625" style="1264"/>
    <col min="6393" max="6393" width="18" style="1264" customWidth="1"/>
    <col min="6394" max="6394" width="21.140625" style="1264" customWidth="1"/>
    <col min="6395" max="6395" width="13" style="1264" customWidth="1"/>
    <col min="6396" max="6396" width="14.5703125" style="1264" customWidth="1"/>
    <col min="6397" max="6397" width="11.5703125" style="1264" customWidth="1"/>
    <col min="6398" max="6398" width="14.5703125" style="1264" customWidth="1"/>
    <col min="6399" max="6399" width="13.28515625" style="1264" customWidth="1"/>
    <col min="6400" max="6400" width="13.42578125" style="1264" customWidth="1"/>
    <col min="6401" max="6401" width="14.140625" style="1264" customWidth="1"/>
    <col min="6402" max="6402" width="17.5703125" style="1264" customWidth="1"/>
    <col min="6403" max="6403" width="16" style="1264" customWidth="1"/>
    <col min="6404" max="6404" width="19" style="1264" customWidth="1"/>
    <col min="6405" max="6405" width="14" style="1264" customWidth="1"/>
    <col min="6406" max="6409" width="19.140625" style="1264" customWidth="1"/>
    <col min="6410" max="6410" width="15" style="1264" customWidth="1"/>
    <col min="6411" max="6411" width="22" style="1264" customWidth="1"/>
    <col min="6412" max="6412" width="19.42578125" style="1264" customWidth="1"/>
    <col min="6413" max="6413" width="15" style="1264" customWidth="1"/>
    <col min="6414" max="6414" width="19.28515625" style="1264" customWidth="1"/>
    <col min="6415" max="6415" width="19.85546875" style="1264" customWidth="1"/>
    <col min="6416" max="6416" width="19.5703125" style="1264" customWidth="1"/>
    <col min="6417" max="6417" width="14" style="1264" customWidth="1"/>
    <col min="6418" max="6418" width="16.42578125" style="1264" customWidth="1"/>
    <col min="6419" max="6419" width="18.140625" style="1264" customWidth="1"/>
    <col min="6420" max="6420" width="15.85546875" style="1264" customWidth="1"/>
    <col min="6421" max="6648" width="9.140625" style="1264"/>
    <col min="6649" max="6649" width="18" style="1264" customWidth="1"/>
    <col min="6650" max="6650" width="21.140625" style="1264" customWidth="1"/>
    <col min="6651" max="6651" width="13" style="1264" customWidth="1"/>
    <col min="6652" max="6652" width="14.5703125" style="1264" customWidth="1"/>
    <col min="6653" max="6653" width="11.5703125" style="1264" customWidth="1"/>
    <col min="6654" max="6654" width="14.5703125" style="1264" customWidth="1"/>
    <col min="6655" max="6655" width="13.28515625" style="1264" customWidth="1"/>
    <col min="6656" max="6656" width="13.42578125" style="1264" customWidth="1"/>
    <col min="6657" max="6657" width="14.140625" style="1264" customWidth="1"/>
    <col min="6658" max="6658" width="17.5703125" style="1264" customWidth="1"/>
    <col min="6659" max="6659" width="16" style="1264" customWidth="1"/>
    <col min="6660" max="6660" width="19" style="1264" customWidth="1"/>
    <col min="6661" max="6661" width="14" style="1264" customWidth="1"/>
    <col min="6662" max="6665" width="19.140625" style="1264" customWidth="1"/>
    <col min="6666" max="6666" width="15" style="1264" customWidth="1"/>
    <col min="6667" max="6667" width="22" style="1264" customWidth="1"/>
    <col min="6668" max="6668" width="19.42578125" style="1264" customWidth="1"/>
    <col min="6669" max="6669" width="15" style="1264" customWidth="1"/>
    <col min="6670" max="6670" width="19.28515625" style="1264" customWidth="1"/>
    <col min="6671" max="6671" width="19.85546875" style="1264" customWidth="1"/>
    <col min="6672" max="6672" width="19.5703125" style="1264" customWidth="1"/>
    <col min="6673" max="6673" width="14" style="1264" customWidth="1"/>
    <col min="6674" max="6674" width="16.42578125" style="1264" customWidth="1"/>
    <col min="6675" max="6675" width="18.140625" style="1264" customWidth="1"/>
    <col min="6676" max="6676" width="15.85546875" style="1264" customWidth="1"/>
    <col min="6677" max="6904" width="9.140625" style="1264"/>
    <col min="6905" max="6905" width="18" style="1264" customWidth="1"/>
    <col min="6906" max="6906" width="21.140625" style="1264" customWidth="1"/>
    <col min="6907" max="6907" width="13" style="1264" customWidth="1"/>
    <col min="6908" max="6908" width="14.5703125" style="1264" customWidth="1"/>
    <col min="6909" max="6909" width="11.5703125" style="1264" customWidth="1"/>
    <col min="6910" max="6910" width="14.5703125" style="1264" customWidth="1"/>
    <col min="6911" max="6911" width="13.28515625" style="1264" customWidth="1"/>
    <col min="6912" max="6912" width="13.42578125" style="1264" customWidth="1"/>
    <col min="6913" max="6913" width="14.140625" style="1264" customWidth="1"/>
    <col min="6914" max="6914" width="17.5703125" style="1264" customWidth="1"/>
    <col min="6915" max="6915" width="16" style="1264" customWidth="1"/>
    <col min="6916" max="6916" width="19" style="1264" customWidth="1"/>
    <col min="6917" max="6917" width="14" style="1264" customWidth="1"/>
    <col min="6918" max="6921" width="19.140625" style="1264" customWidth="1"/>
    <col min="6922" max="6922" width="15" style="1264" customWidth="1"/>
    <col min="6923" max="6923" width="22" style="1264" customWidth="1"/>
    <col min="6924" max="6924" width="19.42578125" style="1264" customWidth="1"/>
    <col min="6925" max="6925" width="15" style="1264" customWidth="1"/>
    <col min="6926" max="6926" width="19.28515625" style="1264" customWidth="1"/>
    <col min="6927" max="6927" width="19.85546875" style="1264" customWidth="1"/>
    <col min="6928" max="6928" width="19.5703125" style="1264" customWidth="1"/>
    <col min="6929" max="6929" width="14" style="1264" customWidth="1"/>
    <col min="6930" max="6930" width="16.42578125" style="1264" customWidth="1"/>
    <col min="6931" max="6931" width="18.140625" style="1264" customWidth="1"/>
    <col min="6932" max="6932" width="15.85546875" style="1264" customWidth="1"/>
    <col min="6933" max="7160" width="9.140625" style="1264"/>
    <col min="7161" max="7161" width="18" style="1264" customWidth="1"/>
    <col min="7162" max="7162" width="21.140625" style="1264" customWidth="1"/>
    <col min="7163" max="7163" width="13" style="1264" customWidth="1"/>
    <col min="7164" max="7164" width="14.5703125" style="1264" customWidth="1"/>
    <col min="7165" max="7165" width="11.5703125" style="1264" customWidth="1"/>
    <col min="7166" max="7166" width="14.5703125" style="1264" customWidth="1"/>
    <col min="7167" max="7167" width="13.28515625" style="1264" customWidth="1"/>
    <col min="7168" max="7168" width="13.42578125" style="1264" customWidth="1"/>
    <col min="7169" max="7169" width="14.140625" style="1264" customWidth="1"/>
    <col min="7170" max="7170" width="17.5703125" style="1264" customWidth="1"/>
    <col min="7171" max="7171" width="16" style="1264" customWidth="1"/>
    <col min="7172" max="7172" width="19" style="1264" customWidth="1"/>
    <col min="7173" max="7173" width="14" style="1264" customWidth="1"/>
    <col min="7174" max="7177" width="19.140625" style="1264" customWidth="1"/>
    <col min="7178" max="7178" width="15" style="1264" customWidth="1"/>
    <col min="7179" max="7179" width="22" style="1264" customWidth="1"/>
    <col min="7180" max="7180" width="19.42578125" style="1264" customWidth="1"/>
    <col min="7181" max="7181" width="15" style="1264" customWidth="1"/>
    <col min="7182" max="7182" width="19.28515625" style="1264" customWidth="1"/>
    <col min="7183" max="7183" width="19.85546875" style="1264" customWidth="1"/>
    <col min="7184" max="7184" width="19.5703125" style="1264" customWidth="1"/>
    <col min="7185" max="7185" width="14" style="1264" customWidth="1"/>
    <col min="7186" max="7186" width="16.42578125" style="1264" customWidth="1"/>
    <col min="7187" max="7187" width="18.140625" style="1264" customWidth="1"/>
    <col min="7188" max="7188" width="15.85546875" style="1264" customWidth="1"/>
    <col min="7189" max="7416" width="9.140625" style="1264"/>
    <col min="7417" max="7417" width="18" style="1264" customWidth="1"/>
    <col min="7418" max="7418" width="21.140625" style="1264" customWidth="1"/>
    <col min="7419" max="7419" width="13" style="1264" customWidth="1"/>
    <col min="7420" max="7420" width="14.5703125" style="1264" customWidth="1"/>
    <col min="7421" max="7421" width="11.5703125" style="1264" customWidth="1"/>
    <col min="7422" max="7422" width="14.5703125" style="1264" customWidth="1"/>
    <col min="7423" max="7423" width="13.28515625" style="1264" customWidth="1"/>
    <col min="7424" max="7424" width="13.42578125" style="1264" customWidth="1"/>
    <col min="7425" max="7425" width="14.140625" style="1264" customWidth="1"/>
    <col min="7426" max="7426" width="17.5703125" style="1264" customWidth="1"/>
    <col min="7427" max="7427" width="16" style="1264" customWidth="1"/>
    <col min="7428" max="7428" width="19" style="1264" customWidth="1"/>
    <col min="7429" max="7429" width="14" style="1264" customWidth="1"/>
    <col min="7430" max="7433" width="19.140625" style="1264" customWidth="1"/>
    <col min="7434" max="7434" width="15" style="1264" customWidth="1"/>
    <col min="7435" max="7435" width="22" style="1264" customWidth="1"/>
    <col min="7436" max="7436" width="19.42578125" style="1264" customWidth="1"/>
    <col min="7437" max="7437" width="15" style="1264" customWidth="1"/>
    <col min="7438" max="7438" width="19.28515625" style="1264" customWidth="1"/>
    <col min="7439" max="7439" width="19.85546875" style="1264" customWidth="1"/>
    <col min="7440" max="7440" width="19.5703125" style="1264" customWidth="1"/>
    <col min="7441" max="7441" width="14" style="1264" customWidth="1"/>
    <col min="7442" max="7442" width="16.42578125" style="1264" customWidth="1"/>
    <col min="7443" max="7443" width="18.140625" style="1264" customWidth="1"/>
    <col min="7444" max="7444" width="15.85546875" style="1264" customWidth="1"/>
    <col min="7445" max="7672" width="9.140625" style="1264"/>
    <col min="7673" max="7673" width="18" style="1264" customWidth="1"/>
    <col min="7674" max="7674" width="21.140625" style="1264" customWidth="1"/>
    <col min="7675" max="7675" width="13" style="1264" customWidth="1"/>
    <col min="7676" max="7676" width="14.5703125" style="1264" customWidth="1"/>
    <col min="7677" max="7677" width="11.5703125" style="1264" customWidth="1"/>
    <col min="7678" max="7678" width="14.5703125" style="1264" customWidth="1"/>
    <col min="7679" max="7679" width="13.28515625" style="1264" customWidth="1"/>
    <col min="7680" max="7680" width="13.42578125" style="1264" customWidth="1"/>
    <col min="7681" max="7681" width="14.140625" style="1264" customWidth="1"/>
    <col min="7682" max="7682" width="17.5703125" style="1264" customWidth="1"/>
    <col min="7683" max="7683" width="16" style="1264" customWidth="1"/>
    <col min="7684" max="7684" width="19" style="1264" customWidth="1"/>
    <col min="7685" max="7685" width="14" style="1264" customWidth="1"/>
    <col min="7686" max="7689" width="19.140625" style="1264" customWidth="1"/>
    <col min="7690" max="7690" width="15" style="1264" customWidth="1"/>
    <col min="7691" max="7691" width="22" style="1264" customWidth="1"/>
    <col min="7692" max="7692" width="19.42578125" style="1264" customWidth="1"/>
    <col min="7693" max="7693" width="15" style="1264" customWidth="1"/>
    <col min="7694" max="7694" width="19.28515625" style="1264" customWidth="1"/>
    <col min="7695" max="7695" width="19.85546875" style="1264" customWidth="1"/>
    <col min="7696" max="7696" width="19.5703125" style="1264" customWidth="1"/>
    <col min="7697" max="7697" width="14" style="1264" customWidth="1"/>
    <col min="7698" max="7698" width="16.42578125" style="1264" customWidth="1"/>
    <col min="7699" max="7699" width="18.140625" style="1264" customWidth="1"/>
    <col min="7700" max="7700" width="15.85546875" style="1264" customWidth="1"/>
    <col min="7701" max="7928" width="9.140625" style="1264"/>
    <col min="7929" max="7929" width="18" style="1264" customWidth="1"/>
    <col min="7930" max="7930" width="21.140625" style="1264" customWidth="1"/>
    <col min="7931" max="7931" width="13" style="1264" customWidth="1"/>
    <col min="7932" max="7932" width="14.5703125" style="1264" customWidth="1"/>
    <col min="7933" max="7933" width="11.5703125" style="1264" customWidth="1"/>
    <col min="7934" max="7934" width="14.5703125" style="1264" customWidth="1"/>
    <col min="7935" max="7935" width="13.28515625" style="1264" customWidth="1"/>
    <col min="7936" max="7936" width="13.42578125" style="1264" customWidth="1"/>
    <col min="7937" max="7937" width="14.140625" style="1264" customWidth="1"/>
    <col min="7938" max="7938" width="17.5703125" style="1264" customWidth="1"/>
    <col min="7939" max="7939" width="16" style="1264" customWidth="1"/>
    <col min="7940" max="7940" width="19" style="1264" customWidth="1"/>
    <col min="7941" max="7941" width="14" style="1264" customWidth="1"/>
    <col min="7942" max="7945" width="19.140625" style="1264" customWidth="1"/>
    <col min="7946" max="7946" width="15" style="1264" customWidth="1"/>
    <col min="7947" max="7947" width="22" style="1264" customWidth="1"/>
    <col min="7948" max="7948" width="19.42578125" style="1264" customWidth="1"/>
    <col min="7949" max="7949" width="15" style="1264" customWidth="1"/>
    <col min="7950" max="7950" width="19.28515625" style="1264" customWidth="1"/>
    <col min="7951" max="7951" width="19.85546875" style="1264" customWidth="1"/>
    <col min="7952" max="7952" width="19.5703125" style="1264" customWidth="1"/>
    <col min="7953" max="7953" width="14" style="1264" customWidth="1"/>
    <col min="7954" max="7954" width="16.42578125" style="1264" customWidth="1"/>
    <col min="7955" max="7955" width="18.140625" style="1264" customWidth="1"/>
    <col min="7956" max="7956" width="15.85546875" style="1264" customWidth="1"/>
    <col min="7957" max="8184" width="9.140625" style="1264"/>
    <col min="8185" max="8185" width="18" style="1264" customWidth="1"/>
    <col min="8186" max="8186" width="21.140625" style="1264" customWidth="1"/>
    <col min="8187" max="8187" width="13" style="1264" customWidth="1"/>
    <col min="8188" max="8188" width="14.5703125" style="1264" customWidth="1"/>
    <col min="8189" max="8189" width="11.5703125" style="1264" customWidth="1"/>
    <col min="8190" max="8190" width="14.5703125" style="1264" customWidth="1"/>
    <col min="8191" max="8191" width="13.28515625" style="1264" customWidth="1"/>
    <col min="8192" max="8192" width="13.42578125" style="1264" customWidth="1"/>
    <col min="8193" max="8193" width="14.140625" style="1264" customWidth="1"/>
    <col min="8194" max="8194" width="17.5703125" style="1264" customWidth="1"/>
    <col min="8195" max="8195" width="16" style="1264" customWidth="1"/>
    <col min="8196" max="8196" width="19" style="1264" customWidth="1"/>
    <col min="8197" max="8197" width="14" style="1264" customWidth="1"/>
    <col min="8198" max="8201" width="19.140625" style="1264" customWidth="1"/>
    <col min="8202" max="8202" width="15" style="1264" customWidth="1"/>
    <col min="8203" max="8203" width="22" style="1264" customWidth="1"/>
    <col min="8204" max="8204" width="19.42578125" style="1264" customWidth="1"/>
    <col min="8205" max="8205" width="15" style="1264" customWidth="1"/>
    <col min="8206" max="8206" width="19.28515625" style="1264" customWidth="1"/>
    <col min="8207" max="8207" width="19.85546875" style="1264" customWidth="1"/>
    <col min="8208" max="8208" width="19.5703125" style="1264" customWidth="1"/>
    <col min="8209" max="8209" width="14" style="1264" customWidth="1"/>
    <col min="8210" max="8210" width="16.42578125" style="1264" customWidth="1"/>
    <col min="8211" max="8211" width="18.140625" style="1264" customWidth="1"/>
    <col min="8212" max="8212" width="15.85546875" style="1264" customWidth="1"/>
    <col min="8213" max="8440" width="9.140625" style="1264"/>
    <col min="8441" max="8441" width="18" style="1264" customWidth="1"/>
    <col min="8442" max="8442" width="21.140625" style="1264" customWidth="1"/>
    <col min="8443" max="8443" width="13" style="1264" customWidth="1"/>
    <col min="8444" max="8444" width="14.5703125" style="1264" customWidth="1"/>
    <col min="8445" max="8445" width="11.5703125" style="1264" customWidth="1"/>
    <col min="8446" max="8446" width="14.5703125" style="1264" customWidth="1"/>
    <col min="8447" max="8447" width="13.28515625" style="1264" customWidth="1"/>
    <col min="8448" max="8448" width="13.42578125" style="1264" customWidth="1"/>
    <col min="8449" max="8449" width="14.140625" style="1264" customWidth="1"/>
    <col min="8450" max="8450" width="17.5703125" style="1264" customWidth="1"/>
    <col min="8451" max="8451" width="16" style="1264" customWidth="1"/>
    <col min="8452" max="8452" width="19" style="1264" customWidth="1"/>
    <col min="8453" max="8453" width="14" style="1264" customWidth="1"/>
    <col min="8454" max="8457" width="19.140625" style="1264" customWidth="1"/>
    <col min="8458" max="8458" width="15" style="1264" customWidth="1"/>
    <col min="8459" max="8459" width="22" style="1264" customWidth="1"/>
    <col min="8460" max="8460" width="19.42578125" style="1264" customWidth="1"/>
    <col min="8461" max="8461" width="15" style="1264" customWidth="1"/>
    <col min="8462" max="8462" width="19.28515625" style="1264" customWidth="1"/>
    <col min="8463" max="8463" width="19.85546875" style="1264" customWidth="1"/>
    <col min="8464" max="8464" width="19.5703125" style="1264" customWidth="1"/>
    <col min="8465" max="8465" width="14" style="1264" customWidth="1"/>
    <col min="8466" max="8466" width="16.42578125" style="1264" customWidth="1"/>
    <col min="8467" max="8467" width="18.140625" style="1264" customWidth="1"/>
    <col min="8468" max="8468" width="15.85546875" style="1264" customWidth="1"/>
    <col min="8469" max="8696" width="9.140625" style="1264"/>
    <col min="8697" max="8697" width="18" style="1264" customWidth="1"/>
    <col min="8698" max="8698" width="21.140625" style="1264" customWidth="1"/>
    <col min="8699" max="8699" width="13" style="1264" customWidth="1"/>
    <col min="8700" max="8700" width="14.5703125" style="1264" customWidth="1"/>
    <col min="8701" max="8701" width="11.5703125" style="1264" customWidth="1"/>
    <col min="8702" max="8702" width="14.5703125" style="1264" customWidth="1"/>
    <col min="8703" max="8703" width="13.28515625" style="1264" customWidth="1"/>
    <col min="8704" max="8704" width="13.42578125" style="1264" customWidth="1"/>
    <col min="8705" max="8705" width="14.140625" style="1264" customWidth="1"/>
    <col min="8706" max="8706" width="17.5703125" style="1264" customWidth="1"/>
    <col min="8707" max="8707" width="16" style="1264" customWidth="1"/>
    <col min="8708" max="8708" width="19" style="1264" customWidth="1"/>
    <col min="8709" max="8709" width="14" style="1264" customWidth="1"/>
    <col min="8710" max="8713" width="19.140625" style="1264" customWidth="1"/>
    <col min="8714" max="8714" width="15" style="1264" customWidth="1"/>
    <col min="8715" max="8715" width="22" style="1264" customWidth="1"/>
    <col min="8716" max="8716" width="19.42578125" style="1264" customWidth="1"/>
    <col min="8717" max="8717" width="15" style="1264" customWidth="1"/>
    <col min="8718" max="8718" width="19.28515625" style="1264" customWidth="1"/>
    <col min="8719" max="8719" width="19.85546875" style="1264" customWidth="1"/>
    <col min="8720" max="8720" width="19.5703125" style="1264" customWidth="1"/>
    <col min="8721" max="8721" width="14" style="1264" customWidth="1"/>
    <col min="8722" max="8722" width="16.42578125" style="1264" customWidth="1"/>
    <col min="8723" max="8723" width="18.140625" style="1264" customWidth="1"/>
    <col min="8724" max="8724" width="15.85546875" style="1264" customWidth="1"/>
    <col min="8725" max="8952" width="9.140625" style="1264"/>
    <col min="8953" max="8953" width="18" style="1264" customWidth="1"/>
    <col min="8954" max="8954" width="21.140625" style="1264" customWidth="1"/>
    <col min="8955" max="8955" width="13" style="1264" customWidth="1"/>
    <col min="8956" max="8956" width="14.5703125" style="1264" customWidth="1"/>
    <col min="8957" max="8957" width="11.5703125" style="1264" customWidth="1"/>
    <col min="8958" max="8958" width="14.5703125" style="1264" customWidth="1"/>
    <col min="8959" max="8959" width="13.28515625" style="1264" customWidth="1"/>
    <col min="8960" max="8960" width="13.42578125" style="1264" customWidth="1"/>
    <col min="8961" max="8961" width="14.140625" style="1264" customWidth="1"/>
    <col min="8962" max="8962" width="17.5703125" style="1264" customWidth="1"/>
    <col min="8963" max="8963" width="16" style="1264" customWidth="1"/>
    <col min="8964" max="8964" width="19" style="1264" customWidth="1"/>
    <col min="8965" max="8965" width="14" style="1264" customWidth="1"/>
    <col min="8966" max="8969" width="19.140625" style="1264" customWidth="1"/>
    <col min="8970" max="8970" width="15" style="1264" customWidth="1"/>
    <col min="8971" max="8971" width="22" style="1264" customWidth="1"/>
    <col min="8972" max="8972" width="19.42578125" style="1264" customWidth="1"/>
    <col min="8973" max="8973" width="15" style="1264" customWidth="1"/>
    <col min="8974" max="8974" width="19.28515625" style="1264" customWidth="1"/>
    <col min="8975" max="8975" width="19.85546875" style="1264" customWidth="1"/>
    <col min="8976" max="8976" width="19.5703125" style="1264" customWidth="1"/>
    <col min="8977" max="8977" width="14" style="1264" customWidth="1"/>
    <col min="8978" max="8978" width="16.42578125" style="1264" customWidth="1"/>
    <col min="8979" max="8979" width="18.140625" style="1264" customWidth="1"/>
    <col min="8980" max="8980" width="15.85546875" style="1264" customWidth="1"/>
    <col min="8981" max="9208" width="9.140625" style="1264"/>
    <col min="9209" max="9209" width="18" style="1264" customWidth="1"/>
    <col min="9210" max="9210" width="21.140625" style="1264" customWidth="1"/>
    <col min="9211" max="9211" width="13" style="1264" customWidth="1"/>
    <col min="9212" max="9212" width="14.5703125" style="1264" customWidth="1"/>
    <col min="9213" max="9213" width="11.5703125" style="1264" customWidth="1"/>
    <col min="9214" max="9214" width="14.5703125" style="1264" customWidth="1"/>
    <col min="9215" max="9215" width="13.28515625" style="1264" customWidth="1"/>
    <col min="9216" max="9216" width="13.42578125" style="1264" customWidth="1"/>
    <col min="9217" max="9217" width="14.140625" style="1264" customWidth="1"/>
    <col min="9218" max="9218" width="17.5703125" style="1264" customWidth="1"/>
    <col min="9219" max="9219" width="16" style="1264" customWidth="1"/>
    <col min="9220" max="9220" width="19" style="1264" customWidth="1"/>
    <col min="9221" max="9221" width="14" style="1264" customWidth="1"/>
    <col min="9222" max="9225" width="19.140625" style="1264" customWidth="1"/>
    <col min="9226" max="9226" width="15" style="1264" customWidth="1"/>
    <col min="9227" max="9227" width="22" style="1264" customWidth="1"/>
    <col min="9228" max="9228" width="19.42578125" style="1264" customWidth="1"/>
    <col min="9229" max="9229" width="15" style="1264" customWidth="1"/>
    <col min="9230" max="9230" width="19.28515625" style="1264" customWidth="1"/>
    <col min="9231" max="9231" width="19.85546875" style="1264" customWidth="1"/>
    <col min="9232" max="9232" width="19.5703125" style="1264" customWidth="1"/>
    <col min="9233" max="9233" width="14" style="1264" customWidth="1"/>
    <col min="9234" max="9234" width="16.42578125" style="1264" customWidth="1"/>
    <col min="9235" max="9235" width="18.140625" style="1264" customWidth="1"/>
    <col min="9236" max="9236" width="15.85546875" style="1264" customWidth="1"/>
    <col min="9237" max="9464" width="9.140625" style="1264"/>
    <col min="9465" max="9465" width="18" style="1264" customWidth="1"/>
    <col min="9466" max="9466" width="21.140625" style="1264" customWidth="1"/>
    <col min="9467" max="9467" width="13" style="1264" customWidth="1"/>
    <col min="9468" max="9468" width="14.5703125" style="1264" customWidth="1"/>
    <col min="9469" max="9469" width="11.5703125" style="1264" customWidth="1"/>
    <col min="9470" max="9470" width="14.5703125" style="1264" customWidth="1"/>
    <col min="9471" max="9471" width="13.28515625" style="1264" customWidth="1"/>
    <col min="9472" max="9472" width="13.42578125" style="1264" customWidth="1"/>
    <col min="9473" max="9473" width="14.140625" style="1264" customWidth="1"/>
    <col min="9474" max="9474" width="17.5703125" style="1264" customWidth="1"/>
    <col min="9475" max="9475" width="16" style="1264" customWidth="1"/>
    <col min="9476" max="9476" width="19" style="1264" customWidth="1"/>
    <col min="9477" max="9477" width="14" style="1264" customWidth="1"/>
    <col min="9478" max="9481" width="19.140625" style="1264" customWidth="1"/>
    <col min="9482" max="9482" width="15" style="1264" customWidth="1"/>
    <col min="9483" max="9483" width="22" style="1264" customWidth="1"/>
    <col min="9484" max="9484" width="19.42578125" style="1264" customWidth="1"/>
    <col min="9485" max="9485" width="15" style="1264" customWidth="1"/>
    <col min="9486" max="9486" width="19.28515625" style="1264" customWidth="1"/>
    <col min="9487" max="9487" width="19.85546875" style="1264" customWidth="1"/>
    <col min="9488" max="9488" width="19.5703125" style="1264" customWidth="1"/>
    <col min="9489" max="9489" width="14" style="1264" customWidth="1"/>
    <col min="9490" max="9490" width="16.42578125" style="1264" customWidth="1"/>
    <col min="9491" max="9491" width="18.140625" style="1264" customWidth="1"/>
    <col min="9492" max="9492" width="15.85546875" style="1264" customWidth="1"/>
    <col min="9493" max="9720" width="9.140625" style="1264"/>
    <col min="9721" max="9721" width="18" style="1264" customWidth="1"/>
    <col min="9722" max="9722" width="21.140625" style="1264" customWidth="1"/>
    <col min="9723" max="9723" width="13" style="1264" customWidth="1"/>
    <col min="9724" max="9724" width="14.5703125" style="1264" customWidth="1"/>
    <col min="9725" max="9725" width="11.5703125" style="1264" customWidth="1"/>
    <col min="9726" max="9726" width="14.5703125" style="1264" customWidth="1"/>
    <col min="9727" max="9727" width="13.28515625" style="1264" customWidth="1"/>
    <col min="9728" max="9728" width="13.42578125" style="1264" customWidth="1"/>
    <col min="9729" max="9729" width="14.140625" style="1264" customWidth="1"/>
    <col min="9730" max="9730" width="17.5703125" style="1264" customWidth="1"/>
    <col min="9731" max="9731" width="16" style="1264" customWidth="1"/>
    <col min="9732" max="9732" width="19" style="1264" customWidth="1"/>
    <col min="9733" max="9733" width="14" style="1264" customWidth="1"/>
    <col min="9734" max="9737" width="19.140625" style="1264" customWidth="1"/>
    <col min="9738" max="9738" width="15" style="1264" customWidth="1"/>
    <col min="9739" max="9739" width="22" style="1264" customWidth="1"/>
    <col min="9740" max="9740" width="19.42578125" style="1264" customWidth="1"/>
    <col min="9741" max="9741" width="15" style="1264" customWidth="1"/>
    <col min="9742" max="9742" width="19.28515625" style="1264" customWidth="1"/>
    <col min="9743" max="9743" width="19.85546875" style="1264" customWidth="1"/>
    <col min="9744" max="9744" width="19.5703125" style="1264" customWidth="1"/>
    <col min="9745" max="9745" width="14" style="1264" customWidth="1"/>
    <col min="9746" max="9746" width="16.42578125" style="1264" customWidth="1"/>
    <col min="9747" max="9747" width="18.140625" style="1264" customWidth="1"/>
    <col min="9748" max="9748" width="15.85546875" style="1264" customWidth="1"/>
    <col min="9749" max="9976" width="9.140625" style="1264"/>
    <col min="9977" max="9977" width="18" style="1264" customWidth="1"/>
    <col min="9978" max="9978" width="21.140625" style="1264" customWidth="1"/>
    <col min="9979" max="9979" width="13" style="1264" customWidth="1"/>
    <col min="9980" max="9980" width="14.5703125" style="1264" customWidth="1"/>
    <col min="9981" max="9981" width="11.5703125" style="1264" customWidth="1"/>
    <col min="9982" max="9982" width="14.5703125" style="1264" customWidth="1"/>
    <col min="9983" max="9983" width="13.28515625" style="1264" customWidth="1"/>
    <col min="9984" max="9984" width="13.42578125" style="1264" customWidth="1"/>
    <col min="9985" max="9985" width="14.140625" style="1264" customWidth="1"/>
    <col min="9986" max="9986" width="17.5703125" style="1264" customWidth="1"/>
    <col min="9987" max="9987" width="16" style="1264" customWidth="1"/>
    <col min="9988" max="9988" width="19" style="1264" customWidth="1"/>
    <col min="9989" max="9989" width="14" style="1264" customWidth="1"/>
    <col min="9990" max="9993" width="19.140625" style="1264" customWidth="1"/>
    <col min="9994" max="9994" width="15" style="1264" customWidth="1"/>
    <col min="9995" max="9995" width="22" style="1264" customWidth="1"/>
    <col min="9996" max="9996" width="19.42578125" style="1264" customWidth="1"/>
    <col min="9997" max="9997" width="15" style="1264" customWidth="1"/>
    <col min="9998" max="9998" width="19.28515625" style="1264" customWidth="1"/>
    <col min="9999" max="9999" width="19.85546875" style="1264" customWidth="1"/>
    <col min="10000" max="10000" width="19.5703125" style="1264" customWidth="1"/>
    <col min="10001" max="10001" width="14" style="1264" customWidth="1"/>
    <col min="10002" max="10002" width="16.42578125" style="1264" customWidth="1"/>
    <col min="10003" max="10003" width="18.140625" style="1264" customWidth="1"/>
    <col min="10004" max="10004" width="15.85546875" style="1264" customWidth="1"/>
    <col min="10005" max="10232" width="9.140625" style="1264"/>
    <col min="10233" max="10233" width="18" style="1264" customWidth="1"/>
    <col min="10234" max="10234" width="21.140625" style="1264" customWidth="1"/>
    <col min="10235" max="10235" width="13" style="1264" customWidth="1"/>
    <col min="10236" max="10236" width="14.5703125" style="1264" customWidth="1"/>
    <col min="10237" max="10237" width="11.5703125" style="1264" customWidth="1"/>
    <col min="10238" max="10238" width="14.5703125" style="1264" customWidth="1"/>
    <col min="10239" max="10239" width="13.28515625" style="1264" customWidth="1"/>
    <col min="10240" max="10240" width="13.42578125" style="1264" customWidth="1"/>
    <col min="10241" max="10241" width="14.140625" style="1264" customWidth="1"/>
    <col min="10242" max="10242" width="17.5703125" style="1264" customWidth="1"/>
    <col min="10243" max="10243" width="16" style="1264" customWidth="1"/>
    <col min="10244" max="10244" width="19" style="1264" customWidth="1"/>
    <col min="10245" max="10245" width="14" style="1264" customWidth="1"/>
    <col min="10246" max="10249" width="19.140625" style="1264" customWidth="1"/>
    <col min="10250" max="10250" width="15" style="1264" customWidth="1"/>
    <col min="10251" max="10251" width="22" style="1264" customWidth="1"/>
    <col min="10252" max="10252" width="19.42578125" style="1264" customWidth="1"/>
    <col min="10253" max="10253" width="15" style="1264" customWidth="1"/>
    <col min="10254" max="10254" width="19.28515625" style="1264" customWidth="1"/>
    <col min="10255" max="10255" width="19.85546875" style="1264" customWidth="1"/>
    <col min="10256" max="10256" width="19.5703125" style="1264" customWidth="1"/>
    <col min="10257" max="10257" width="14" style="1264" customWidth="1"/>
    <col min="10258" max="10258" width="16.42578125" style="1264" customWidth="1"/>
    <col min="10259" max="10259" width="18.140625" style="1264" customWidth="1"/>
    <col min="10260" max="10260" width="15.85546875" style="1264" customWidth="1"/>
    <col min="10261" max="10488" width="9.140625" style="1264"/>
    <col min="10489" max="10489" width="18" style="1264" customWidth="1"/>
    <col min="10490" max="10490" width="21.140625" style="1264" customWidth="1"/>
    <col min="10491" max="10491" width="13" style="1264" customWidth="1"/>
    <col min="10492" max="10492" width="14.5703125" style="1264" customWidth="1"/>
    <col min="10493" max="10493" width="11.5703125" style="1264" customWidth="1"/>
    <col min="10494" max="10494" width="14.5703125" style="1264" customWidth="1"/>
    <col min="10495" max="10495" width="13.28515625" style="1264" customWidth="1"/>
    <col min="10496" max="10496" width="13.42578125" style="1264" customWidth="1"/>
    <col min="10497" max="10497" width="14.140625" style="1264" customWidth="1"/>
    <col min="10498" max="10498" width="17.5703125" style="1264" customWidth="1"/>
    <col min="10499" max="10499" width="16" style="1264" customWidth="1"/>
    <col min="10500" max="10500" width="19" style="1264" customWidth="1"/>
    <col min="10501" max="10501" width="14" style="1264" customWidth="1"/>
    <col min="10502" max="10505" width="19.140625" style="1264" customWidth="1"/>
    <col min="10506" max="10506" width="15" style="1264" customWidth="1"/>
    <col min="10507" max="10507" width="22" style="1264" customWidth="1"/>
    <col min="10508" max="10508" width="19.42578125" style="1264" customWidth="1"/>
    <col min="10509" max="10509" width="15" style="1264" customWidth="1"/>
    <col min="10510" max="10510" width="19.28515625" style="1264" customWidth="1"/>
    <col min="10511" max="10511" width="19.85546875" style="1264" customWidth="1"/>
    <col min="10512" max="10512" width="19.5703125" style="1264" customWidth="1"/>
    <col min="10513" max="10513" width="14" style="1264" customWidth="1"/>
    <col min="10514" max="10514" width="16.42578125" style="1264" customWidth="1"/>
    <col min="10515" max="10515" width="18.140625" style="1264" customWidth="1"/>
    <col min="10516" max="10516" width="15.85546875" style="1264" customWidth="1"/>
    <col min="10517" max="10744" width="9.140625" style="1264"/>
    <col min="10745" max="10745" width="18" style="1264" customWidth="1"/>
    <col min="10746" max="10746" width="21.140625" style="1264" customWidth="1"/>
    <col min="10747" max="10747" width="13" style="1264" customWidth="1"/>
    <col min="10748" max="10748" width="14.5703125" style="1264" customWidth="1"/>
    <col min="10749" max="10749" width="11.5703125" style="1264" customWidth="1"/>
    <col min="10750" max="10750" width="14.5703125" style="1264" customWidth="1"/>
    <col min="10751" max="10751" width="13.28515625" style="1264" customWidth="1"/>
    <col min="10752" max="10752" width="13.42578125" style="1264" customWidth="1"/>
    <col min="10753" max="10753" width="14.140625" style="1264" customWidth="1"/>
    <col min="10754" max="10754" width="17.5703125" style="1264" customWidth="1"/>
    <col min="10755" max="10755" width="16" style="1264" customWidth="1"/>
    <col min="10756" max="10756" width="19" style="1264" customWidth="1"/>
    <col min="10757" max="10757" width="14" style="1264" customWidth="1"/>
    <col min="10758" max="10761" width="19.140625" style="1264" customWidth="1"/>
    <col min="10762" max="10762" width="15" style="1264" customWidth="1"/>
    <col min="10763" max="10763" width="22" style="1264" customWidth="1"/>
    <col min="10764" max="10764" width="19.42578125" style="1264" customWidth="1"/>
    <col min="10765" max="10765" width="15" style="1264" customWidth="1"/>
    <col min="10766" max="10766" width="19.28515625" style="1264" customWidth="1"/>
    <col min="10767" max="10767" width="19.85546875" style="1264" customWidth="1"/>
    <col min="10768" max="10768" width="19.5703125" style="1264" customWidth="1"/>
    <col min="10769" max="10769" width="14" style="1264" customWidth="1"/>
    <col min="10770" max="10770" width="16.42578125" style="1264" customWidth="1"/>
    <col min="10771" max="10771" width="18.140625" style="1264" customWidth="1"/>
    <col min="10772" max="10772" width="15.85546875" style="1264" customWidth="1"/>
    <col min="10773" max="11000" width="9.140625" style="1264"/>
    <col min="11001" max="11001" width="18" style="1264" customWidth="1"/>
    <col min="11002" max="11002" width="21.140625" style="1264" customWidth="1"/>
    <col min="11003" max="11003" width="13" style="1264" customWidth="1"/>
    <col min="11004" max="11004" width="14.5703125" style="1264" customWidth="1"/>
    <col min="11005" max="11005" width="11.5703125" style="1264" customWidth="1"/>
    <col min="11006" max="11006" width="14.5703125" style="1264" customWidth="1"/>
    <col min="11007" max="11007" width="13.28515625" style="1264" customWidth="1"/>
    <col min="11008" max="11008" width="13.42578125" style="1264" customWidth="1"/>
    <col min="11009" max="11009" width="14.140625" style="1264" customWidth="1"/>
    <col min="11010" max="11010" width="17.5703125" style="1264" customWidth="1"/>
    <col min="11011" max="11011" width="16" style="1264" customWidth="1"/>
    <col min="11012" max="11012" width="19" style="1264" customWidth="1"/>
    <col min="11013" max="11013" width="14" style="1264" customWidth="1"/>
    <col min="11014" max="11017" width="19.140625" style="1264" customWidth="1"/>
    <col min="11018" max="11018" width="15" style="1264" customWidth="1"/>
    <col min="11019" max="11019" width="22" style="1264" customWidth="1"/>
    <col min="11020" max="11020" width="19.42578125" style="1264" customWidth="1"/>
    <col min="11021" max="11021" width="15" style="1264" customWidth="1"/>
    <col min="11022" max="11022" width="19.28515625" style="1264" customWidth="1"/>
    <col min="11023" max="11023" width="19.85546875" style="1264" customWidth="1"/>
    <col min="11024" max="11024" width="19.5703125" style="1264" customWidth="1"/>
    <col min="11025" max="11025" width="14" style="1264" customWidth="1"/>
    <col min="11026" max="11026" width="16.42578125" style="1264" customWidth="1"/>
    <col min="11027" max="11027" width="18.140625" style="1264" customWidth="1"/>
    <col min="11028" max="11028" width="15.85546875" style="1264" customWidth="1"/>
    <col min="11029" max="11256" width="9.140625" style="1264"/>
    <col min="11257" max="11257" width="18" style="1264" customWidth="1"/>
    <col min="11258" max="11258" width="21.140625" style="1264" customWidth="1"/>
    <col min="11259" max="11259" width="13" style="1264" customWidth="1"/>
    <col min="11260" max="11260" width="14.5703125" style="1264" customWidth="1"/>
    <col min="11261" max="11261" width="11.5703125" style="1264" customWidth="1"/>
    <col min="11262" max="11262" width="14.5703125" style="1264" customWidth="1"/>
    <col min="11263" max="11263" width="13.28515625" style="1264" customWidth="1"/>
    <col min="11264" max="11264" width="13.42578125" style="1264" customWidth="1"/>
    <col min="11265" max="11265" width="14.140625" style="1264" customWidth="1"/>
    <col min="11266" max="11266" width="17.5703125" style="1264" customWidth="1"/>
    <col min="11267" max="11267" width="16" style="1264" customWidth="1"/>
    <col min="11268" max="11268" width="19" style="1264" customWidth="1"/>
    <col min="11269" max="11269" width="14" style="1264" customWidth="1"/>
    <col min="11270" max="11273" width="19.140625" style="1264" customWidth="1"/>
    <col min="11274" max="11274" width="15" style="1264" customWidth="1"/>
    <col min="11275" max="11275" width="22" style="1264" customWidth="1"/>
    <col min="11276" max="11276" width="19.42578125" style="1264" customWidth="1"/>
    <col min="11277" max="11277" width="15" style="1264" customWidth="1"/>
    <col min="11278" max="11278" width="19.28515625" style="1264" customWidth="1"/>
    <col min="11279" max="11279" width="19.85546875" style="1264" customWidth="1"/>
    <col min="11280" max="11280" width="19.5703125" style="1264" customWidth="1"/>
    <col min="11281" max="11281" width="14" style="1264" customWidth="1"/>
    <col min="11282" max="11282" width="16.42578125" style="1264" customWidth="1"/>
    <col min="11283" max="11283" width="18.140625" style="1264" customWidth="1"/>
    <col min="11284" max="11284" width="15.85546875" style="1264" customWidth="1"/>
    <col min="11285" max="11512" width="9.140625" style="1264"/>
    <col min="11513" max="11513" width="18" style="1264" customWidth="1"/>
    <col min="11514" max="11514" width="21.140625" style="1264" customWidth="1"/>
    <col min="11515" max="11515" width="13" style="1264" customWidth="1"/>
    <col min="11516" max="11516" width="14.5703125" style="1264" customWidth="1"/>
    <col min="11517" max="11517" width="11.5703125" style="1264" customWidth="1"/>
    <col min="11518" max="11518" width="14.5703125" style="1264" customWidth="1"/>
    <col min="11519" max="11519" width="13.28515625" style="1264" customWidth="1"/>
    <col min="11520" max="11520" width="13.42578125" style="1264" customWidth="1"/>
    <col min="11521" max="11521" width="14.140625" style="1264" customWidth="1"/>
    <col min="11522" max="11522" width="17.5703125" style="1264" customWidth="1"/>
    <col min="11523" max="11523" width="16" style="1264" customWidth="1"/>
    <col min="11524" max="11524" width="19" style="1264" customWidth="1"/>
    <col min="11525" max="11525" width="14" style="1264" customWidth="1"/>
    <col min="11526" max="11529" width="19.140625" style="1264" customWidth="1"/>
    <col min="11530" max="11530" width="15" style="1264" customWidth="1"/>
    <col min="11531" max="11531" width="22" style="1264" customWidth="1"/>
    <col min="11532" max="11532" width="19.42578125" style="1264" customWidth="1"/>
    <col min="11533" max="11533" width="15" style="1264" customWidth="1"/>
    <col min="11534" max="11534" width="19.28515625" style="1264" customWidth="1"/>
    <col min="11535" max="11535" width="19.85546875" style="1264" customWidth="1"/>
    <col min="11536" max="11536" width="19.5703125" style="1264" customWidth="1"/>
    <col min="11537" max="11537" width="14" style="1264" customWidth="1"/>
    <col min="11538" max="11538" width="16.42578125" style="1264" customWidth="1"/>
    <col min="11539" max="11539" width="18.140625" style="1264" customWidth="1"/>
    <col min="11540" max="11540" width="15.85546875" style="1264" customWidth="1"/>
    <col min="11541" max="11768" width="9.140625" style="1264"/>
    <col min="11769" max="11769" width="18" style="1264" customWidth="1"/>
    <col min="11770" max="11770" width="21.140625" style="1264" customWidth="1"/>
    <col min="11771" max="11771" width="13" style="1264" customWidth="1"/>
    <col min="11772" max="11772" width="14.5703125" style="1264" customWidth="1"/>
    <col min="11773" max="11773" width="11.5703125" style="1264" customWidth="1"/>
    <col min="11774" max="11774" width="14.5703125" style="1264" customWidth="1"/>
    <col min="11775" max="11775" width="13.28515625" style="1264" customWidth="1"/>
    <col min="11776" max="11776" width="13.42578125" style="1264" customWidth="1"/>
    <col min="11777" max="11777" width="14.140625" style="1264" customWidth="1"/>
    <col min="11778" max="11778" width="17.5703125" style="1264" customWidth="1"/>
    <col min="11779" max="11779" width="16" style="1264" customWidth="1"/>
    <col min="11780" max="11780" width="19" style="1264" customWidth="1"/>
    <col min="11781" max="11781" width="14" style="1264" customWidth="1"/>
    <col min="11782" max="11785" width="19.140625" style="1264" customWidth="1"/>
    <col min="11786" max="11786" width="15" style="1264" customWidth="1"/>
    <col min="11787" max="11787" width="22" style="1264" customWidth="1"/>
    <col min="11788" max="11788" width="19.42578125" style="1264" customWidth="1"/>
    <col min="11789" max="11789" width="15" style="1264" customWidth="1"/>
    <col min="11790" max="11790" width="19.28515625" style="1264" customWidth="1"/>
    <col min="11791" max="11791" width="19.85546875" style="1264" customWidth="1"/>
    <col min="11792" max="11792" width="19.5703125" style="1264" customWidth="1"/>
    <col min="11793" max="11793" width="14" style="1264" customWidth="1"/>
    <col min="11794" max="11794" width="16.42578125" style="1264" customWidth="1"/>
    <col min="11795" max="11795" width="18.140625" style="1264" customWidth="1"/>
    <col min="11796" max="11796" width="15.85546875" style="1264" customWidth="1"/>
    <col min="11797" max="12024" width="9.140625" style="1264"/>
    <col min="12025" max="12025" width="18" style="1264" customWidth="1"/>
    <col min="12026" max="12026" width="21.140625" style="1264" customWidth="1"/>
    <col min="12027" max="12027" width="13" style="1264" customWidth="1"/>
    <col min="12028" max="12028" width="14.5703125" style="1264" customWidth="1"/>
    <col min="12029" max="12029" width="11.5703125" style="1264" customWidth="1"/>
    <col min="12030" max="12030" width="14.5703125" style="1264" customWidth="1"/>
    <col min="12031" max="12031" width="13.28515625" style="1264" customWidth="1"/>
    <col min="12032" max="12032" width="13.42578125" style="1264" customWidth="1"/>
    <col min="12033" max="12033" width="14.140625" style="1264" customWidth="1"/>
    <col min="12034" max="12034" width="17.5703125" style="1264" customWidth="1"/>
    <col min="12035" max="12035" width="16" style="1264" customWidth="1"/>
    <col min="12036" max="12036" width="19" style="1264" customWidth="1"/>
    <col min="12037" max="12037" width="14" style="1264" customWidth="1"/>
    <col min="12038" max="12041" width="19.140625" style="1264" customWidth="1"/>
    <col min="12042" max="12042" width="15" style="1264" customWidth="1"/>
    <col min="12043" max="12043" width="22" style="1264" customWidth="1"/>
    <col min="12044" max="12044" width="19.42578125" style="1264" customWidth="1"/>
    <col min="12045" max="12045" width="15" style="1264" customWidth="1"/>
    <col min="12046" max="12046" width="19.28515625" style="1264" customWidth="1"/>
    <col min="12047" max="12047" width="19.85546875" style="1264" customWidth="1"/>
    <col min="12048" max="12048" width="19.5703125" style="1264" customWidth="1"/>
    <col min="12049" max="12049" width="14" style="1264" customWidth="1"/>
    <col min="12050" max="12050" width="16.42578125" style="1264" customWidth="1"/>
    <col min="12051" max="12051" width="18.140625" style="1264" customWidth="1"/>
    <col min="12052" max="12052" width="15.85546875" style="1264" customWidth="1"/>
    <col min="12053" max="12280" width="9.140625" style="1264"/>
    <col min="12281" max="12281" width="18" style="1264" customWidth="1"/>
    <col min="12282" max="12282" width="21.140625" style="1264" customWidth="1"/>
    <col min="12283" max="12283" width="13" style="1264" customWidth="1"/>
    <col min="12284" max="12284" width="14.5703125" style="1264" customWidth="1"/>
    <col min="12285" max="12285" width="11.5703125" style="1264" customWidth="1"/>
    <col min="12286" max="12286" width="14.5703125" style="1264" customWidth="1"/>
    <col min="12287" max="12287" width="13.28515625" style="1264" customWidth="1"/>
    <col min="12288" max="12288" width="13.42578125" style="1264" customWidth="1"/>
    <col min="12289" max="12289" width="14.140625" style="1264" customWidth="1"/>
    <col min="12290" max="12290" width="17.5703125" style="1264" customWidth="1"/>
    <col min="12291" max="12291" width="16" style="1264" customWidth="1"/>
    <col min="12292" max="12292" width="19" style="1264" customWidth="1"/>
    <col min="12293" max="12293" width="14" style="1264" customWidth="1"/>
    <col min="12294" max="12297" width="19.140625" style="1264" customWidth="1"/>
    <col min="12298" max="12298" width="15" style="1264" customWidth="1"/>
    <col min="12299" max="12299" width="22" style="1264" customWidth="1"/>
    <col min="12300" max="12300" width="19.42578125" style="1264" customWidth="1"/>
    <col min="12301" max="12301" width="15" style="1264" customWidth="1"/>
    <col min="12302" max="12302" width="19.28515625" style="1264" customWidth="1"/>
    <col min="12303" max="12303" width="19.85546875" style="1264" customWidth="1"/>
    <col min="12304" max="12304" width="19.5703125" style="1264" customWidth="1"/>
    <col min="12305" max="12305" width="14" style="1264" customWidth="1"/>
    <col min="12306" max="12306" width="16.42578125" style="1264" customWidth="1"/>
    <col min="12307" max="12307" width="18.140625" style="1264" customWidth="1"/>
    <col min="12308" max="12308" width="15.85546875" style="1264" customWidth="1"/>
    <col min="12309" max="12536" width="9.140625" style="1264"/>
    <col min="12537" max="12537" width="18" style="1264" customWidth="1"/>
    <col min="12538" max="12538" width="21.140625" style="1264" customWidth="1"/>
    <col min="12539" max="12539" width="13" style="1264" customWidth="1"/>
    <col min="12540" max="12540" width="14.5703125" style="1264" customWidth="1"/>
    <col min="12541" max="12541" width="11.5703125" style="1264" customWidth="1"/>
    <col min="12542" max="12542" width="14.5703125" style="1264" customWidth="1"/>
    <col min="12543" max="12543" width="13.28515625" style="1264" customWidth="1"/>
    <col min="12544" max="12544" width="13.42578125" style="1264" customWidth="1"/>
    <col min="12545" max="12545" width="14.140625" style="1264" customWidth="1"/>
    <col min="12546" max="12546" width="17.5703125" style="1264" customWidth="1"/>
    <col min="12547" max="12547" width="16" style="1264" customWidth="1"/>
    <col min="12548" max="12548" width="19" style="1264" customWidth="1"/>
    <col min="12549" max="12549" width="14" style="1264" customWidth="1"/>
    <col min="12550" max="12553" width="19.140625" style="1264" customWidth="1"/>
    <col min="12554" max="12554" width="15" style="1264" customWidth="1"/>
    <col min="12555" max="12555" width="22" style="1264" customWidth="1"/>
    <col min="12556" max="12556" width="19.42578125" style="1264" customWidth="1"/>
    <col min="12557" max="12557" width="15" style="1264" customWidth="1"/>
    <col min="12558" max="12558" width="19.28515625" style="1264" customWidth="1"/>
    <col min="12559" max="12559" width="19.85546875" style="1264" customWidth="1"/>
    <col min="12560" max="12560" width="19.5703125" style="1264" customWidth="1"/>
    <col min="12561" max="12561" width="14" style="1264" customWidth="1"/>
    <col min="12562" max="12562" width="16.42578125" style="1264" customWidth="1"/>
    <col min="12563" max="12563" width="18.140625" style="1264" customWidth="1"/>
    <col min="12564" max="12564" width="15.85546875" style="1264" customWidth="1"/>
    <col min="12565" max="12792" width="9.140625" style="1264"/>
    <col min="12793" max="12793" width="18" style="1264" customWidth="1"/>
    <col min="12794" max="12794" width="21.140625" style="1264" customWidth="1"/>
    <col min="12795" max="12795" width="13" style="1264" customWidth="1"/>
    <col min="12796" max="12796" width="14.5703125" style="1264" customWidth="1"/>
    <col min="12797" max="12797" width="11.5703125" style="1264" customWidth="1"/>
    <col min="12798" max="12798" width="14.5703125" style="1264" customWidth="1"/>
    <col min="12799" max="12799" width="13.28515625" style="1264" customWidth="1"/>
    <col min="12800" max="12800" width="13.42578125" style="1264" customWidth="1"/>
    <col min="12801" max="12801" width="14.140625" style="1264" customWidth="1"/>
    <col min="12802" max="12802" width="17.5703125" style="1264" customWidth="1"/>
    <col min="12803" max="12803" width="16" style="1264" customWidth="1"/>
    <col min="12804" max="12804" width="19" style="1264" customWidth="1"/>
    <col min="12805" max="12805" width="14" style="1264" customWidth="1"/>
    <col min="12806" max="12809" width="19.140625" style="1264" customWidth="1"/>
    <col min="12810" max="12810" width="15" style="1264" customWidth="1"/>
    <col min="12811" max="12811" width="22" style="1264" customWidth="1"/>
    <col min="12812" max="12812" width="19.42578125" style="1264" customWidth="1"/>
    <col min="12813" max="12813" width="15" style="1264" customWidth="1"/>
    <col min="12814" max="12814" width="19.28515625" style="1264" customWidth="1"/>
    <col min="12815" max="12815" width="19.85546875" style="1264" customWidth="1"/>
    <col min="12816" max="12816" width="19.5703125" style="1264" customWidth="1"/>
    <col min="12817" max="12817" width="14" style="1264" customWidth="1"/>
    <col min="12818" max="12818" width="16.42578125" style="1264" customWidth="1"/>
    <col min="12819" max="12819" width="18.140625" style="1264" customWidth="1"/>
    <col min="12820" max="12820" width="15.85546875" style="1264" customWidth="1"/>
    <col min="12821" max="13048" width="9.140625" style="1264"/>
    <col min="13049" max="13049" width="18" style="1264" customWidth="1"/>
    <col min="13050" max="13050" width="21.140625" style="1264" customWidth="1"/>
    <col min="13051" max="13051" width="13" style="1264" customWidth="1"/>
    <col min="13052" max="13052" width="14.5703125" style="1264" customWidth="1"/>
    <col min="13053" max="13053" width="11.5703125" style="1264" customWidth="1"/>
    <col min="13054" max="13054" width="14.5703125" style="1264" customWidth="1"/>
    <col min="13055" max="13055" width="13.28515625" style="1264" customWidth="1"/>
    <col min="13056" max="13056" width="13.42578125" style="1264" customWidth="1"/>
    <col min="13057" max="13057" width="14.140625" style="1264" customWidth="1"/>
    <col min="13058" max="13058" width="17.5703125" style="1264" customWidth="1"/>
    <col min="13059" max="13059" width="16" style="1264" customWidth="1"/>
    <col min="13060" max="13060" width="19" style="1264" customWidth="1"/>
    <col min="13061" max="13061" width="14" style="1264" customWidth="1"/>
    <col min="13062" max="13065" width="19.140625" style="1264" customWidth="1"/>
    <col min="13066" max="13066" width="15" style="1264" customWidth="1"/>
    <col min="13067" max="13067" width="22" style="1264" customWidth="1"/>
    <col min="13068" max="13068" width="19.42578125" style="1264" customWidth="1"/>
    <col min="13069" max="13069" width="15" style="1264" customWidth="1"/>
    <col min="13070" max="13070" width="19.28515625" style="1264" customWidth="1"/>
    <col min="13071" max="13071" width="19.85546875" style="1264" customWidth="1"/>
    <col min="13072" max="13072" width="19.5703125" style="1264" customWidth="1"/>
    <col min="13073" max="13073" width="14" style="1264" customWidth="1"/>
    <col min="13074" max="13074" width="16.42578125" style="1264" customWidth="1"/>
    <col min="13075" max="13075" width="18.140625" style="1264" customWidth="1"/>
    <col min="13076" max="13076" width="15.85546875" style="1264" customWidth="1"/>
    <col min="13077" max="13304" width="9.140625" style="1264"/>
    <col min="13305" max="13305" width="18" style="1264" customWidth="1"/>
    <col min="13306" max="13306" width="21.140625" style="1264" customWidth="1"/>
    <col min="13307" max="13307" width="13" style="1264" customWidth="1"/>
    <col min="13308" max="13308" width="14.5703125" style="1264" customWidth="1"/>
    <col min="13309" max="13309" width="11.5703125" style="1264" customWidth="1"/>
    <col min="13310" max="13310" width="14.5703125" style="1264" customWidth="1"/>
    <col min="13311" max="13311" width="13.28515625" style="1264" customWidth="1"/>
    <col min="13312" max="13312" width="13.42578125" style="1264" customWidth="1"/>
    <col min="13313" max="13313" width="14.140625" style="1264" customWidth="1"/>
    <col min="13314" max="13314" width="17.5703125" style="1264" customWidth="1"/>
    <col min="13315" max="13315" width="16" style="1264" customWidth="1"/>
    <col min="13316" max="13316" width="19" style="1264" customWidth="1"/>
    <col min="13317" max="13317" width="14" style="1264" customWidth="1"/>
    <col min="13318" max="13321" width="19.140625" style="1264" customWidth="1"/>
    <col min="13322" max="13322" width="15" style="1264" customWidth="1"/>
    <col min="13323" max="13323" width="22" style="1264" customWidth="1"/>
    <col min="13324" max="13324" width="19.42578125" style="1264" customWidth="1"/>
    <col min="13325" max="13325" width="15" style="1264" customWidth="1"/>
    <col min="13326" max="13326" width="19.28515625" style="1264" customWidth="1"/>
    <col min="13327" max="13327" width="19.85546875" style="1264" customWidth="1"/>
    <col min="13328" max="13328" width="19.5703125" style="1264" customWidth="1"/>
    <col min="13329" max="13329" width="14" style="1264" customWidth="1"/>
    <col min="13330" max="13330" width="16.42578125" style="1264" customWidth="1"/>
    <col min="13331" max="13331" width="18.140625" style="1264" customWidth="1"/>
    <col min="13332" max="13332" width="15.85546875" style="1264" customWidth="1"/>
    <col min="13333" max="13560" width="9.140625" style="1264"/>
    <col min="13561" max="13561" width="18" style="1264" customWidth="1"/>
    <col min="13562" max="13562" width="21.140625" style="1264" customWidth="1"/>
    <col min="13563" max="13563" width="13" style="1264" customWidth="1"/>
    <col min="13564" max="13564" width="14.5703125" style="1264" customWidth="1"/>
    <col min="13565" max="13565" width="11.5703125" style="1264" customWidth="1"/>
    <col min="13566" max="13566" width="14.5703125" style="1264" customWidth="1"/>
    <col min="13567" max="13567" width="13.28515625" style="1264" customWidth="1"/>
    <col min="13568" max="13568" width="13.42578125" style="1264" customWidth="1"/>
    <col min="13569" max="13569" width="14.140625" style="1264" customWidth="1"/>
    <col min="13570" max="13570" width="17.5703125" style="1264" customWidth="1"/>
    <col min="13571" max="13571" width="16" style="1264" customWidth="1"/>
    <col min="13572" max="13572" width="19" style="1264" customWidth="1"/>
    <col min="13573" max="13573" width="14" style="1264" customWidth="1"/>
    <col min="13574" max="13577" width="19.140625" style="1264" customWidth="1"/>
    <col min="13578" max="13578" width="15" style="1264" customWidth="1"/>
    <col min="13579" max="13579" width="22" style="1264" customWidth="1"/>
    <col min="13580" max="13580" width="19.42578125" style="1264" customWidth="1"/>
    <col min="13581" max="13581" width="15" style="1264" customWidth="1"/>
    <col min="13582" max="13582" width="19.28515625" style="1264" customWidth="1"/>
    <col min="13583" max="13583" width="19.85546875" style="1264" customWidth="1"/>
    <col min="13584" max="13584" width="19.5703125" style="1264" customWidth="1"/>
    <col min="13585" max="13585" width="14" style="1264" customWidth="1"/>
    <col min="13586" max="13586" width="16.42578125" style="1264" customWidth="1"/>
    <col min="13587" max="13587" width="18.140625" style="1264" customWidth="1"/>
    <col min="13588" max="13588" width="15.85546875" style="1264" customWidth="1"/>
    <col min="13589" max="13816" width="9.140625" style="1264"/>
    <col min="13817" max="13817" width="18" style="1264" customWidth="1"/>
    <col min="13818" max="13818" width="21.140625" style="1264" customWidth="1"/>
    <col min="13819" max="13819" width="13" style="1264" customWidth="1"/>
    <col min="13820" max="13820" width="14.5703125" style="1264" customWidth="1"/>
    <col min="13821" max="13821" width="11.5703125" style="1264" customWidth="1"/>
    <col min="13822" max="13822" width="14.5703125" style="1264" customWidth="1"/>
    <col min="13823" max="13823" width="13.28515625" style="1264" customWidth="1"/>
    <col min="13824" max="13824" width="13.42578125" style="1264" customWidth="1"/>
    <col min="13825" max="13825" width="14.140625" style="1264" customWidth="1"/>
    <col min="13826" max="13826" width="17.5703125" style="1264" customWidth="1"/>
    <col min="13827" max="13827" width="16" style="1264" customWidth="1"/>
    <col min="13828" max="13828" width="19" style="1264" customWidth="1"/>
    <col min="13829" max="13829" width="14" style="1264" customWidth="1"/>
    <col min="13830" max="13833" width="19.140625" style="1264" customWidth="1"/>
    <col min="13834" max="13834" width="15" style="1264" customWidth="1"/>
    <col min="13835" max="13835" width="22" style="1264" customWidth="1"/>
    <col min="13836" max="13836" width="19.42578125" style="1264" customWidth="1"/>
    <col min="13837" max="13837" width="15" style="1264" customWidth="1"/>
    <col min="13838" max="13838" width="19.28515625" style="1264" customWidth="1"/>
    <col min="13839" max="13839" width="19.85546875" style="1264" customWidth="1"/>
    <col min="13840" max="13840" width="19.5703125" style="1264" customWidth="1"/>
    <col min="13841" max="13841" width="14" style="1264" customWidth="1"/>
    <col min="13842" max="13842" width="16.42578125" style="1264" customWidth="1"/>
    <col min="13843" max="13843" width="18.140625" style="1264" customWidth="1"/>
    <col min="13844" max="13844" width="15.85546875" style="1264" customWidth="1"/>
    <col min="13845" max="14072" width="9.140625" style="1264"/>
    <col min="14073" max="14073" width="18" style="1264" customWidth="1"/>
    <col min="14074" max="14074" width="21.140625" style="1264" customWidth="1"/>
    <col min="14075" max="14075" width="13" style="1264" customWidth="1"/>
    <col min="14076" max="14076" width="14.5703125" style="1264" customWidth="1"/>
    <col min="14077" max="14077" width="11.5703125" style="1264" customWidth="1"/>
    <col min="14078" max="14078" width="14.5703125" style="1264" customWidth="1"/>
    <col min="14079" max="14079" width="13.28515625" style="1264" customWidth="1"/>
    <col min="14080" max="14080" width="13.42578125" style="1264" customWidth="1"/>
    <col min="14081" max="14081" width="14.140625" style="1264" customWidth="1"/>
    <col min="14082" max="14082" width="17.5703125" style="1264" customWidth="1"/>
    <col min="14083" max="14083" width="16" style="1264" customWidth="1"/>
    <col min="14084" max="14084" width="19" style="1264" customWidth="1"/>
    <col min="14085" max="14085" width="14" style="1264" customWidth="1"/>
    <col min="14086" max="14089" width="19.140625" style="1264" customWidth="1"/>
    <col min="14090" max="14090" width="15" style="1264" customWidth="1"/>
    <col min="14091" max="14091" width="22" style="1264" customWidth="1"/>
    <col min="14092" max="14092" width="19.42578125" style="1264" customWidth="1"/>
    <col min="14093" max="14093" width="15" style="1264" customWidth="1"/>
    <col min="14094" max="14094" width="19.28515625" style="1264" customWidth="1"/>
    <col min="14095" max="14095" width="19.85546875" style="1264" customWidth="1"/>
    <col min="14096" max="14096" width="19.5703125" style="1264" customWidth="1"/>
    <col min="14097" max="14097" width="14" style="1264" customWidth="1"/>
    <col min="14098" max="14098" width="16.42578125" style="1264" customWidth="1"/>
    <col min="14099" max="14099" width="18.140625" style="1264" customWidth="1"/>
    <col min="14100" max="14100" width="15.85546875" style="1264" customWidth="1"/>
    <col min="14101" max="14328" width="9.140625" style="1264"/>
    <col min="14329" max="14329" width="18" style="1264" customWidth="1"/>
    <col min="14330" max="14330" width="21.140625" style="1264" customWidth="1"/>
    <col min="14331" max="14331" width="13" style="1264" customWidth="1"/>
    <col min="14332" max="14332" width="14.5703125" style="1264" customWidth="1"/>
    <col min="14333" max="14333" width="11.5703125" style="1264" customWidth="1"/>
    <col min="14334" max="14334" width="14.5703125" style="1264" customWidth="1"/>
    <col min="14335" max="14335" width="13.28515625" style="1264" customWidth="1"/>
    <col min="14336" max="14336" width="13.42578125" style="1264" customWidth="1"/>
    <col min="14337" max="14337" width="14.140625" style="1264" customWidth="1"/>
    <col min="14338" max="14338" width="17.5703125" style="1264" customWidth="1"/>
    <col min="14339" max="14339" width="16" style="1264" customWidth="1"/>
    <col min="14340" max="14340" width="19" style="1264" customWidth="1"/>
    <col min="14341" max="14341" width="14" style="1264" customWidth="1"/>
    <col min="14342" max="14345" width="19.140625" style="1264" customWidth="1"/>
    <col min="14346" max="14346" width="15" style="1264" customWidth="1"/>
    <col min="14347" max="14347" width="22" style="1264" customWidth="1"/>
    <col min="14348" max="14348" width="19.42578125" style="1264" customWidth="1"/>
    <col min="14349" max="14349" width="15" style="1264" customWidth="1"/>
    <col min="14350" max="14350" width="19.28515625" style="1264" customWidth="1"/>
    <col min="14351" max="14351" width="19.85546875" style="1264" customWidth="1"/>
    <col min="14352" max="14352" width="19.5703125" style="1264" customWidth="1"/>
    <col min="14353" max="14353" width="14" style="1264" customWidth="1"/>
    <col min="14354" max="14354" width="16.42578125" style="1264" customWidth="1"/>
    <col min="14355" max="14355" width="18.140625" style="1264" customWidth="1"/>
    <col min="14356" max="14356" width="15.85546875" style="1264" customWidth="1"/>
    <col min="14357" max="14584" width="9.140625" style="1264"/>
    <col min="14585" max="14585" width="18" style="1264" customWidth="1"/>
    <col min="14586" max="14586" width="21.140625" style="1264" customWidth="1"/>
    <col min="14587" max="14587" width="13" style="1264" customWidth="1"/>
    <col min="14588" max="14588" width="14.5703125" style="1264" customWidth="1"/>
    <col min="14589" max="14589" width="11.5703125" style="1264" customWidth="1"/>
    <col min="14590" max="14590" width="14.5703125" style="1264" customWidth="1"/>
    <col min="14591" max="14591" width="13.28515625" style="1264" customWidth="1"/>
    <col min="14592" max="14592" width="13.42578125" style="1264" customWidth="1"/>
    <col min="14593" max="14593" width="14.140625" style="1264" customWidth="1"/>
    <col min="14594" max="14594" width="17.5703125" style="1264" customWidth="1"/>
    <col min="14595" max="14595" width="16" style="1264" customWidth="1"/>
    <col min="14596" max="14596" width="19" style="1264" customWidth="1"/>
    <col min="14597" max="14597" width="14" style="1264" customWidth="1"/>
    <col min="14598" max="14601" width="19.140625" style="1264" customWidth="1"/>
    <col min="14602" max="14602" width="15" style="1264" customWidth="1"/>
    <col min="14603" max="14603" width="22" style="1264" customWidth="1"/>
    <col min="14604" max="14604" width="19.42578125" style="1264" customWidth="1"/>
    <col min="14605" max="14605" width="15" style="1264" customWidth="1"/>
    <col min="14606" max="14606" width="19.28515625" style="1264" customWidth="1"/>
    <col min="14607" max="14607" width="19.85546875" style="1264" customWidth="1"/>
    <col min="14608" max="14608" width="19.5703125" style="1264" customWidth="1"/>
    <col min="14609" max="14609" width="14" style="1264" customWidth="1"/>
    <col min="14610" max="14610" width="16.42578125" style="1264" customWidth="1"/>
    <col min="14611" max="14611" width="18.140625" style="1264" customWidth="1"/>
    <col min="14612" max="14612" width="15.85546875" style="1264" customWidth="1"/>
    <col min="14613" max="14840" width="9.140625" style="1264"/>
    <col min="14841" max="14841" width="18" style="1264" customWidth="1"/>
    <col min="14842" max="14842" width="21.140625" style="1264" customWidth="1"/>
    <col min="14843" max="14843" width="13" style="1264" customWidth="1"/>
    <col min="14844" max="14844" width="14.5703125" style="1264" customWidth="1"/>
    <col min="14845" max="14845" width="11.5703125" style="1264" customWidth="1"/>
    <col min="14846" max="14846" width="14.5703125" style="1264" customWidth="1"/>
    <col min="14847" max="14847" width="13.28515625" style="1264" customWidth="1"/>
    <col min="14848" max="14848" width="13.42578125" style="1264" customWidth="1"/>
    <col min="14849" max="14849" width="14.140625" style="1264" customWidth="1"/>
    <col min="14850" max="14850" width="17.5703125" style="1264" customWidth="1"/>
    <col min="14851" max="14851" width="16" style="1264" customWidth="1"/>
    <col min="14852" max="14852" width="19" style="1264" customWidth="1"/>
    <col min="14853" max="14853" width="14" style="1264" customWidth="1"/>
    <col min="14854" max="14857" width="19.140625" style="1264" customWidth="1"/>
    <col min="14858" max="14858" width="15" style="1264" customWidth="1"/>
    <col min="14859" max="14859" width="22" style="1264" customWidth="1"/>
    <col min="14860" max="14860" width="19.42578125" style="1264" customWidth="1"/>
    <col min="14861" max="14861" width="15" style="1264" customWidth="1"/>
    <col min="14862" max="14862" width="19.28515625" style="1264" customWidth="1"/>
    <col min="14863" max="14863" width="19.85546875" style="1264" customWidth="1"/>
    <col min="14864" max="14864" width="19.5703125" style="1264" customWidth="1"/>
    <col min="14865" max="14865" width="14" style="1264" customWidth="1"/>
    <col min="14866" max="14866" width="16.42578125" style="1264" customWidth="1"/>
    <col min="14867" max="14867" width="18.140625" style="1264" customWidth="1"/>
    <col min="14868" max="14868" width="15.85546875" style="1264" customWidth="1"/>
    <col min="14869" max="15096" width="9.140625" style="1264"/>
    <col min="15097" max="15097" width="18" style="1264" customWidth="1"/>
    <col min="15098" max="15098" width="21.140625" style="1264" customWidth="1"/>
    <col min="15099" max="15099" width="13" style="1264" customWidth="1"/>
    <col min="15100" max="15100" width="14.5703125" style="1264" customWidth="1"/>
    <col min="15101" max="15101" width="11.5703125" style="1264" customWidth="1"/>
    <col min="15102" max="15102" width="14.5703125" style="1264" customWidth="1"/>
    <col min="15103" max="15103" width="13.28515625" style="1264" customWidth="1"/>
    <col min="15104" max="15104" width="13.42578125" style="1264" customWidth="1"/>
    <col min="15105" max="15105" width="14.140625" style="1264" customWidth="1"/>
    <col min="15106" max="15106" width="17.5703125" style="1264" customWidth="1"/>
    <col min="15107" max="15107" width="16" style="1264" customWidth="1"/>
    <col min="15108" max="15108" width="19" style="1264" customWidth="1"/>
    <col min="15109" max="15109" width="14" style="1264" customWidth="1"/>
    <col min="15110" max="15113" width="19.140625" style="1264" customWidth="1"/>
    <col min="15114" max="15114" width="15" style="1264" customWidth="1"/>
    <col min="15115" max="15115" width="22" style="1264" customWidth="1"/>
    <col min="15116" max="15116" width="19.42578125" style="1264" customWidth="1"/>
    <col min="15117" max="15117" width="15" style="1264" customWidth="1"/>
    <col min="15118" max="15118" width="19.28515625" style="1264" customWidth="1"/>
    <col min="15119" max="15119" width="19.85546875" style="1264" customWidth="1"/>
    <col min="15120" max="15120" width="19.5703125" style="1264" customWidth="1"/>
    <col min="15121" max="15121" width="14" style="1264" customWidth="1"/>
    <col min="15122" max="15122" width="16.42578125" style="1264" customWidth="1"/>
    <col min="15123" max="15123" width="18.140625" style="1264" customWidth="1"/>
    <col min="15124" max="15124" width="15.85546875" style="1264" customWidth="1"/>
    <col min="15125" max="15352" width="9.140625" style="1264"/>
    <col min="15353" max="15353" width="18" style="1264" customWidth="1"/>
    <col min="15354" max="15354" width="21.140625" style="1264" customWidth="1"/>
    <col min="15355" max="15355" width="13" style="1264" customWidth="1"/>
    <col min="15356" max="15356" width="14.5703125" style="1264" customWidth="1"/>
    <col min="15357" max="15357" width="11.5703125" style="1264" customWidth="1"/>
    <col min="15358" max="15358" width="14.5703125" style="1264" customWidth="1"/>
    <col min="15359" max="15359" width="13.28515625" style="1264" customWidth="1"/>
    <col min="15360" max="15360" width="13.42578125" style="1264" customWidth="1"/>
    <col min="15361" max="15361" width="14.140625" style="1264" customWidth="1"/>
    <col min="15362" max="15362" width="17.5703125" style="1264" customWidth="1"/>
    <col min="15363" max="15363" width="16" style="1264" customWidth="1"/>
    <col min="15364" max="15364" width="19" style="1264" customWidth="1"/>
    <col min="15365" max="15365" width="14" style="1264" customWidth="1"/>
    <col min="15366" max="15369" width="19.140625" style="1264" customWidth="1"/>
    <col min="15370" max="15370" width="15" style="1264" customWidth="1"/>
    <col min="15371" max="15371" width="22" style="1264" customWidth="1"/>
    <col min="15372" max="15372" width="19.42578125" style="1264" customWidth="1"/>
    <col min="15373" max="15373" width="15" style="1264" customWidth="1"/>
    <col min="15374" max="15374" width="19.28515625" style="1264" customWidth="1"/>
    <col min="15375" max="15375" width="19.85546875" style="1264" customWidth="1"/>
    <col min="15376" max="15376" width="19.5703125" style="1264" customWidth="1"/>
    <col min="15377" max="15377" width="14" style="1264" customWidth="1"/>
    <col min="15378" max="15378" width="16.42578125" style="1264" customWidth="1"/>
    <col min="15379" max="15379" width="18.140625" style="1264" customWidth="1"/>
    <col min="15380" max="15380" width="15.85546875" style="1264" customWidth="1"/>
    <col min="15381" max="15608" width="9.140625" style="1264"/>
    <col min="15609" max="15609" width="18" style="1264" customWidth="1"/>
    <col min="15610" max="15610" width="21.140625" style="1264" customWidth="1"/>
    <col min="15611" max="15611" width="13" style="1264" customWidth="1"/>
    <col min="15612" max="15612" width="14.5703125" style="1264" customWidth="1"/>
    <col min="15613" max="15613" width="11.5703125" style="1264" customWidth="1"/>
    <col min="15614" max="15614" width="14.5703125" style="1264" customWidth="1"/>
    <col min="15615" max="15615" width="13.28515625" style="1264" customWidth="1"/>
    <col min="15616" max="15616" width="13.42578125" style="1264" customWidth="1"/>
    <col min="15617" max="15617" width="14.140625" style="1264" customWidth="1"/>
    <col min="15618" max="15618" width="17.5703125" style="1264" customWidth="1"/>
    <col min="15619" max="15619" width="16" style="1264" customWidth="1"/>
    <col min="15620" max="15620" width="19" style="1264" customWidth="1"/>
    <col min="15621" max="15621" width="14" style="1264" customWidth="1"/>
    <col min="15622" max="15625" width="19.140625" style="1264" customWidth="1"/>
    <col min="15626" max="15626" width="15" style="1264" customWidth="1"/>
    <col min="15627" max="15627" width="22" style="1264" customWidth="1"/>
    <col min="15628" max="15628" width="19.42578125" style="1264" customWidth="1"/>
    <col min="15629" max="15629" width="15" style="1264" customWidth="1"/>
    <col min="15630" max="15630" width="19.28515625" style="1264" customWidth="1"/>
    <col min="15631" max="15631" width="19.85546875" style="1264" customWidth="1"/>
    <col min="15632" max="15632" width="19.5703125" style="1264" customWidth="1"/>
    <col min="15633" max="15633" width="14" style="1264" customWidth="1"/>
    <col min="15634" max="15634" width="16.42578125" style="1264" customWidth="1"/>
    <col min="15635" max="15635" width="18.140625" style="1264" customWidth="1"/>
    <col min="15636" max="15636" width="15.85546875" style="1264" customWidth="1"/>
    <col min="15637" max="15864" width="9.140625" style="1264"/>
    <col min="15865" max="15865" width="18" style="1264" customWidth="1"/>
    <col min="15866" max="15866" width="21.140625" style="1264" customWidth="1"/>
    <col min="15867" max="15867" width="13" style="1264" customWidth="1"/>
    <col min="15868" max="15868" width="14.5703125" style="1264" customWidth="1"/>
    <col min="15869" max="15869" width="11.5703125" style="1264" customWidth="1"/>
    <col min="15870" max="15870" width="14.5703125" style="1264" customWidth="1"/>
    <col min="15871" max="15871" width="13.28515625" style="1264" customWidth="1"/>
    <col min="15872" max="15872" width="13.42578125" style="1264" customWidth="1"/>
    <col min="15873" max="15873" width="14.140625" style="1264" customWidth="1"/>
    <col min="15874" max="15874" width="17.5703125" style="1264" customWidth="1"/>
    <col min="15875" max="15875" width="16" style="1264" customWidth="1"/>
    <col min="15876" max="15876" width="19" style="1264" customWidth="1"/>
    <col min="15877" max="15877" width="14" style="1264" customWidth="1"/>
    <col min="15878" max="15881" width="19.140625" style="1264" customWidth="1"/>
    <col min="15882" max="15882" width="15" style="1264" customWidth="1"/>
    <col min="15883" max="15883" width="22" style="1264" customWidth="1"/>
    <col min="15884" max="15884" width="19.42578125" style="1264" customWidth="1"/>
    <col min="15885" max="15885" width="15" style="1264" customWidth="1"/>
    <col min="15886" max="15886" width="19.28515625" style="1264" customWidth="1"/>
    <col min="15887" max="15887" width="19.85546875" style="1264" customWidth="1"/>
    <col min="15888" max="15888" width="19.5703125" style="1264" customWidth="1"/>
    <col min="15889" max="15889" width="14" style="1264" customWidth="1"/>
    <col min="15890" max="15890" width="16.42578125" style="1264" customWidth="1"/>
    <col min="15891" max="15891" width="18.140625" style="1264" customWidth="1"/>
    <col min="15892" max="15892" width="15.85546875" style="1264" customWidth="1"/>
    <col min="15893" max="16120" width="9.140625" style="1264"/>
    <col min="16121" max="16121" width="18" style="1264" customWidth="1"/>
    <col min="16122" max="16122" width="21.140625" style="1264" customWidth="1"/>
    <col min="16123" max="16123" width="13" style="1264" customWidth="1"/>
    <col min="16124" max="16124" width="14.5703125" style="1264" customWidth="1"/>
    <col min="16125" max="16125" width="11.5703125" style="1264" customWidth="1"/>
    <col min="16126" max="16126" width="14.5703125" style="1264" customWidth="1"/>
    <col min="16127" max="16127" width="13.28515625" style="1264" customWidth="1"/>
    <col min="16128" max="16128" width="13.42578125" style="1264" customWidth="1"/>
    <col min="16129" max="16129" width="14.140625" style="1264" customWidth="1"/>
    <col min="16130" max="16130" width="17.5703125" style="1264" customWidth="1"/>
    <col min="16131" max="16131" width="16" style="1264" customWidth="1"/>
    <col min="16132" max="16132" width="19" style="1264" customWidth="1"/>
    <col min="16133" max="16133" width="14" style="1264" customWidth="1"/>
    <col min="16134" max="16137" width="19.140625" style="1264" customWidth="1"/>
    <col min="16138" max="16138" width="15" style="1264" customWidth="1"/>
    <col min="16139" max="16139" width="22" style="1264" customWidth="1"/>
    <col min="16140" max="16140" width="19.42578125" style="1264" customWidth="1"/>
    <col min="16141" max="16141" width="15" style="1264" customWidth="1"/>
    <col min="16142" max="16142" width="19.28515625" style="1264" customWidth="1"/>
    <col min="16143" max="16143" width="19.85546875" style="1264" customWidth="1"/>
    <col min="16144" max="16144" width="19.5703125" style="1264" customWidth="1"/>
    <col min="16145" max="16145" width="14" style="1264" customWidth="1"/>
    <col min="16146" max="16146" width="16.42578125" style="1264" customWidth="1"/>
    <col min="16147" max="16147" width="18.140625" style="1264" customWidth="1"/>
    <col min="16148" max="16148" width="15.85546875" style="1264" customWidth="1"/>
    <col min="16149" max="16384" width="9.140625" style="1264"/>
  </cols>
  <sheetData>
    <row r="1" spans="1:20" ht="36.75" customHeight="1" x14ac:dyDescent="0.25">
      <c r="A1" s="5130" t="s">
        <v>3536</v>
      </c>
      <c r="B1" s="5130"/>
      <c r="C1" s="5130"/>
      <c r="D1" s="5130"/>
      <c r="E1" s="5130"/>
      <c r="F1" s="5130"/>
      <c r="G1" s="5130"/>
      <c r="H1" s="5130"/>
      <c r="I1" s="5130"/>
      <c r="J1" s="5130"/>
      <c r="K1" s="5130"/>
      <c r="L1" s="5130"/>
      <c r="M1" s="5130"/>
      <c r="N1" s="5130"/>
      <c r="O1" s="5130"/>
      <c r="P1" s="5130"/>
      <c r="Q1" s="5130"/>
      <c r="R1" s="5130"/>
      <c r="S1" s="5130"/>
      <c r="T1" s="5130"/>
    </row>
    <row r="2" spans="1:20" ht="22.5" hidden="1" customHeight="1" thickBot="1" x14ac:dyDescent="0.35">
      <c r="A2" s="5131" t="s">
        <v>998</v>
      </c>
      <c r="B2" s="5131"/>
      <c r="C2" s="5131"/>
      <c r="D2" s="5131"/>
      <c r="E2" s="5131"/>
      <c r="F2" s="5131"/>
      <c r="G2" s="5131"/>
      <c r="H2" s="5131"/>
      <c r="I2" s="5131"/>
      <c r="J2" s="5131"/>
      <c r="K2" s="5131"/>
      <c r="L2" s="5131"/>
      <c r="M2" s="5131"/>
      <c r="N2" s="5131"/>
      <c r="O2" s="5131"/>
      <c r="P2" s="5131"/>
      <c r="Q2" s="5131"/>
      <c r="R2" s="5131"/>
      <c r="S2" s="5131"/>
      <c r="T2" s="5131"/>
    </row>
    <row r="3" spans="1:20" ht="15.75" hidden="1" customHeight="1" thickBot="1" x14ac:dyDescent="0.3">
      <c r="A3" s="5132"/>
      <c r="B3" s="5133"/>
      <c r="C3" s="5136" t="s">
        <v>999</v>
      </c>
      <c r="D3" s="5137"/>
      <c r="E3" s="5136" t="s">
        <v>1000</v>
      </c>
      <c r="F3" s="5137"/>
      <c r="G3" s="5136" t="s">
        <v>1001</v>
      </c>
      <c r="H3" s="5137"/>
      <c r="I3" s="5136" t="s">
        <v>1002</v>
      </c>
      <c r="J3" s="5137"/>
      <c r="K3" s="5136" t="s">
        <v>1003</v>
      </c>
      <c r="L3" s="5137"/>
      <c r="M3" s="5136" t="s">
        <v>1004</v>
      </c>
      <c r="N3" s="5137"/>
      <c r="O3" s="5136" t="s">
        <v>1005</v>
      </c>
      <c r="P3" s="5137"/>
      <c r="Q3" s="5136" t="s">
        <v>1006</v>
      </c>
      <c r="R3" s="5137"/>
      <c r="S3" s="5136" t="s">
        <v>1007</v>
      </c>
      <c r="T3" s="5137"/>
    </row>
    <row r="4" spans="1:20" ht="15.75" hidden="1" thickBot="1" x14ac:dyDescent="0.3">
      <c r="A4" s="5134"/>
      <c r="B4" s="5135"/>
      <c r="C4" s="1268" t="s">
        <v>44</v>
      </c>
      <c r="D4" s="1269" t="s">
        <v>1008</v>
      </c>
      <c r="E4" s="1270" t="s">
        <v>44</v>
      </c>
      <c r="F4" s="1269" t="s">
        <v>1008</v>
      </c>
      <c r="G4" s="1268" t="s">
        <v>44</v>
      </c>
      <c r="H4" s="1269" t="s">
        <v>1008</v>
      </c>
      <c r="I4" s="1268" t="s">
        <v>44</v>
      </c>
      <c r="J4" s="1269" t="s">
        <v>1008</v>
      </c>
      <c r="K4" s="1268" t="s">
        <v>44</v>
      </c>
      <c r="L4" s="1269" t="s">
        <v>1008</v>
      </c>
      <c r="M4" s="1268" t="s">
        <v>44</v>
      </c>
      <c r="N4" s="1269" t="s">
        <v>1008</v>
      </c>
      <c r="O4" s="1270" t="s">
        <v>44</v>
      </c>
      <c r="P4" s="1269" t="s">
        <v>1008</v>
      </c>
      <c r="Q4" s="1268" t="s">
        <v>44</v>
      </c>
      <c r="R4" s="1269" t="s">
        <v>1008</v>
      </c>
      <c r="S4" s="1270" t="s">
        <v>44</v>
      </c>
      <c r="T4" s="1269" t="s">
        <v>1008</v>
      </c>
    </row>
    <row r="5" spans="1:20" hidden="1" x14ac:dyDescent="0.25">
      <c r="A5" s="5138" t="s">
        <v>1009</v>
      </c>
      <c r="B5" s="5139"/>
      <c r="C5" s="1271"/>
      <c r="D5" s="1272">
        <v>7500</v>
      </c>
      <c r="E5" s="1273"/>
      <c r="F5" s="1274">
        <f>D5</f>
        <v>7500</v>
      </c>
      <c r="G5" s="1275"/>
      <c r="H5" s="1274">
        <f>F5</f>
        <v>7500</v>
      </c>
      <c r="I5" s="1273"/>
      <c r="J5" s="1274">
        <f>H5</f>
        <v>7500</v>
      </c>
      <c r="K5" s="1273"/>
      <c r="L5" s="1274">
        <f>J5</f>
        <v>7500</v>
      </c>
      <c r="M5" s="1273"/>
      <c r="N5" s="1274">
        <f>L5</f>
        <v>7500</v>
      </c>
      <c r="O5" s="1273"/>
      <c r="P5" s="1274">
        <f>N5</f>
        <v>7500</v>
      </c>
      <c r="Q5" s="1273"/>
      <c r="R5" s="1274">
        <f>P5</f>
        <v>7500</v>
      </c>
      <c r="S5" s="1271"/>
      <c r="T5" s="1274">
        <f>R5</f>
        <v>7500</v>
      </c>
    </row>
    <row r="6" spans="1:20" hidden="1" x14ac:dyDescent="0.25">
      <c r="A6" s="5140" t="s">
        <v>1010</v>
      </c>
      <c r="B6" s="5141"/>
      <c r="C6" s="1271"/>
      <c r="D6" s="1272">
        <v>107.4</v>
      </c>
      <c r="E6" s="1273"/>
      <c r="F6" s="1272">
        <v>107.4</v>
      </c>
      <c r="G6" s="1275"/>
      <c r="H6" s="1272">
        <v>107.4</v>
      </c>
      <c r="I6" s="1273"/>
      <c r="J6" s="1272">
        <v>107.4</v>
      </c>
      <c r="K6" s="1273"/>
      <c r="L6" s="1272">
        <v>107.4</v>
      </c>
      <c r="M6" s="1273"/>
      <c r="N6" s="1272">
        <v>107.4</v>
      </c>
      <c r="O6" s="1273"/>
      <c r="P6" s="1272">
        <v>107.4</v>
      </c>
      <c r="Q6" s="1273"/>
      <c r="R6" s="1272">
        <v>107.4</v>
      </c>
      <c r="S6" s="1271"/>
      <c r="T6" s="1274">
        <v>107.4</v>
      </c>
    </row>
    <row r="7" spans="1:20" hidden="1" x14ac:dyDescent="0.25">
      <c r="A7" s="5128" t="s">
        <v>1011</v>
      </c>
      <c r="B7" s="5129"/>
      <c r="C7" s="1276"/>
      <c r="D7" s="1277">
        <v>1</v>
      </c>
      <c r="E7" s="1278"/>
      <c r="F7" s="1279">
        <f>B22</f>
        <v>1.1299999999999999</v>
      </c>
      <c r="G7" s="1280"/>
      <c r="H7" s="1279">
        <f>B23</f>
        <v>1.28</v>
      </c>
      <c r="I7" s="1278"/>
      <c r="J7" s="1279">
        <v>1.44</v>
      </c>
      <c r="K7" s="1278"/>
      <c r="L7" s="1279">
        <v>1.63</v>
      </c>
      <c r="M7" s="1278"/>
      <c r="N7" s="1279">
        <f>1.84</f>
        <v>1.84</v>
      </c>
      <c r="O7" s="1278"/>
      <c r="P7" s="1279">
        <v>2.08</v>
      </c>
      <c r="Q7" s="1278"/>
      <c r="R7" s="1279">
        <v>2.35</v>
      </c>
      <c r="S7" s="1276"/>
      <c r="T7" s="1279">
        <v>2.66</v>
      </c>
    </row>
    <row r="8" spans="1:20" hidden="1" x14ac:dyDescent="0.25">
      <c r="A8" s="5128" t="s">
        <v>1012</v>
      </c>
      <c r="B8" s="5129"/>
      <c r="C8" s="1281"/>
      <c r="D8" s="1282">
        <f>D5*D6*D7/100</f>
        <v>8055</v>
      </c>
      <c r="E8" s="1281"/>
      <c r="F8" s="1282">
        <f>F5*F6*F7/100</f>
        <v>9102.15</v>
      </c>
      <c r="G8" s="1276"/>
      <c r="H8" s="1282">
        <f>H5*H6*H7/100</f>
        <v>10310.4</v>
      </c>
      <c r="I8" s="1281"/>
      <c r="J8" s="1282">
        <f>J5*J6*J7/100</f>
        <v>11599.2</v>
      </c>
      <c r="K8" s="1281"/>
      <c r="L8" s="1282">
        <f>L5*L6*L7/100</f>
        <v>13129.65</v>
      </c>
      <c r="M8" s="1281"/>
      <c r="N8" s="1282">
        <f>N5*N6*N7/100</f>
        <v>14821.2</v>
      </c>
      <c r="O8" s="1281"/>
      <c r="P8" s="1282">
        <f>P5*P6*P7/100</f>
        <v>16754.400000000001</v>
      </c>
      <c r="Q8" s="1281"/>
      <c r="R8" s="1282">
        <f>R5*R6*R7/100</f>
        <v>18929.25</v>
      </c>
      <c r="S8" s="1281"/>
      <c r="T8" s="1283">
        <f>T5*T6*T7/100</f>
        <v>21426.3</v>
      </c>
    </row>
    <row r="9" spans="1:20" ht="60.75" hidden="1" customHeight="1" x14ac:dyDescent="0.25">
      <c r="A9" s="5145" t="s">
        <v>1013</v>
      </c>
      <c r="B9" s="5146"/>
      <c r="C9" s="1284">
        <v>0.125</v>
      </c>
      <c r="D9" s="1285">
        <f>D8*C9</f>
        <v>1006.875</v>
      </c>
      <c r="E9" s="1284">
        <v>0.125</v>
      </c>
      <c r="F9" s="1285">
        <f>F8*E9</f>
        <v>1137.76875</v>
      </c>
      <c r="G9" s="1284">
        <v>0.125</v>
      </c>
      <c r="H9" s="1285">
        <f>H8*G9</f>
        <v>1288.8</v>
      </c>
      <c r="I9" s="1284">
        <v>0.125</v>
      </c>
      <c r="J9" s="1285">
        <f>J8*I9</f>
        <v>1449.9</v>
      </c>
      <c r="K9" s="1284">
        <v>0.125</v>
      </c>
      <c r="L9" s="1285">
        <f>L8*K9</f>
        <v>1641.20625</v>
      </c>
      <c r="M9" s="1284">
        <v>0.125</v>
      </c>
      <c r="N9" s="1285">
        <f>N8*M9</f>
        <v>1852.65</v>
      </c>
      <c r="O9" s="1284">
        <v>0.125</v>
      </c>
      <c r="P9" s="1285">
        <f>P8*O9</f>
        <v>2094.3000000000002</v>
      </c>
      <c r="Q9" s="1284">
        <v>0.125</v>
      </c>
      <c r="R9" s="1285">
        <f>R8*Q9</f>
        <v>2366.15625</v>
      </c>
      <c r="S9" s="1284">
        <v>0.125</v>
      </c>
      <c r="T9" s="1285">
        <f>T8*S9</f>
        <v>2678.2874999999999</v>
      </c>
    </row>
    <row r="10" spans="1:20" hidden="1" x14ac:dyDescent="0.25">
      <c r="A10" s="5147" t="s">
        <v>1014</v>
      </c>
      <c r="B10" s="5148"/>
      <c r="C10" s="1286">
        <v>0.1</v>
      </c>
      <c r="D10" s="1283">
        <f>D8*C10</f>
        <v>805.5</v>
      </c>
      <c r="E10" s="1286">
        <v>0.1</v>
      </c>
      <c r="F10" s="1283">
        <f>F8*E10</f>
        <v>910.21500000000003</v>
      </c>
      <c r="G10" s="1286">
        <v>0.1</v>
      </c>
      <c r="H10" s="1283">
        <f>H8*G10</f>
        <v>1031.04</v>
      </c>
      <c r="I10" s="1286">
        <v>0.1</v>
      </c>
      <c r="J10" s="1283">
        <f>J8*I10</f>
        <v>1159.92</v>
      </c>
      <c r="K10" s="1286">
        <v>0.1</v>
      </c>
      <c r="L10" s="1283">
        <f>L8*K10</f>
        <v>1312.9650000000001</v>
      </c>
      <c r="M10" s="1286">
        <v>0.1</v>
      </c>
      <c r="N10" s="1283">
        <f>N8*M10</f>
        <v>1482.1200000000001</v>
      </c>
      <c r="O10" s="1286">
        <v>0.1</v>
      </c>
      <c r="P10" s="1283">
        <f>P8*O10</f>
        <v>1675.4400000000003</v>
      </c>
      <c r="Q10" s="1286">
        <v>0.1</v>
      </c>
      <c r="R10" s="1283">
        <f>R8*Q10</f>
        <v>1892.9250000000002</v>
      </c>
      <c r="S10" s="1286">
        <v>0.1</v>
      </c>
      <c r="T10" s="1283">
        <f>T8*S10</f>
        <v>2142.63</v>
      </c>
    </row>
    <row r="11" spans="1:20" hidden="1" x14ac:dyDescent="0.25">
      <c r="A11" s="5147" t="s">
        <v>1015</v>
      </c>
      <c r="B11" s="5148"/>
      <c r="C11" s="1286">
        <v>0</v>
      </c>
      <c r="D11" s="1283">
        <f>D8*C11</f>
        <v>0</v>
      </c>
      <c r="E11" s="1286">
        <v>0</v>
      </c>
      <c r="F11" s="1283">
        <f>F8*E11</f>
        <v>0</v>
      </c>
      <c r="G11" s="1286">
        <v>0</v>
      </c>
      <c r="H11" s="1283">
        <f>H8*G11</f>
        <v>0</v>
      </c>
      <c r="I11" s="1286">
        <v>0</v>
      </c>
      <c r="J11" s="1283">
        <f>J8*I11</f>
        <v>0</v>
      </c>
      <c r="K11" s="1286">
        <v>0</v>
      </c>
      <c r="L11" s="1283">
        <f>L8*K11</f>
        <v>0</v>
      </c>
      <c r="M11" s="1286">
        <v>0</v>
      </c>
      <c r="N11" s="1283">
        <f>N8*M11</f>
        <v>0</v>
      </c>
      <c r="O11" s="1286">
        <v>0</v>
      </c>
      <c r="P11" s="1283">
        <f>P8*O11</f>
        <v>0</v>
      </c>
      <c r="Q11" s="1286">
        <v>0</v>
      </c>
      <c r="R11" s="1283">
        <f>R8*Q11</f>
        <v>0</v>
      </c>
      <c r="S11" s="1286">
        <v>0</v>
      </c>
      <c r="T11" s="1283">
        <f>T8*S11</f>
        <v>0</v>
      </c>
    </row>
    <row r="12" spans="1:20" hidden="1" x14ac:dyDescent="0.25">
      <c r="A12" s="5147" t="s">
        <v>1016</v>
      </c>
      <c r="B12" s="5148"/>
      <c r="C12" s="1286">
        <v>0.15</v>
      </c>
      <c r="D12" s="1283">
        <f>D8*C12</f>
        <v>1208.25</v>
      </c>
      <c r="E12" s="1286">
        <v>0.15</v>
      </c>
      <c r="F12" s="1283">
        <f>F8*E12</f>
        <v>1365.3225</v>
      </c>
      <c r="G12" s="1286">
        <v>0.15</v>
      </c>
      <c r="H12" s="1283">
        <f>H8*G12</f>
        <v>1546.56</v>
      </c>
      <c r="I12" s="1286">
        <v>0.15</v>
      </c>
      <c r="J12" s="1283">
        <f>J8*I12</f>
        <v>1739.88</v>
      </c>
      <c r="K12" s="1286">
        <v>0.15</v>
      </c>
      <c r="L12" s="1283">
        <f>L8*K12</f>
        <v>1969.4474999999998</v>
      </c>
      <c r="M12" s="1286">
        <v>0.15</v>
      </c>
      <c r="N12" s="1283">
        <f>N8*M12</f>
        <v>2223.1799999999998</v>
      </c>
      <c r="O12" s="1286">
        <v>0.15</v>
      </c>
      <c r="P12" s="1283">
        <f>P8*O12</f>
        <v>2513.1600000000003</v>
      </c>
      <c r="Q12" s="1286">
        <v>0.15</v>
      </c>
      <c r="R12" s="1283">
        <f>R8*Q12</f>
        <v>2839.3874999999998</v>
      </c>
      <c r="S12" s="1286">
        <v>0.15</v>
      </c>
      <c r="T12" s="1283">
        <f>T8*S12</f>
        <v>3213.9449999999997</v>
      </c>
    </row>
    <row r="13" spans="1:20" hidden="1" x14ac:dyDescent="0.25">
      <c r="A13" s="5128" t="s">
        <v>1017</v>
      </c>
      <c r="B13" s="5129"/>
      <c r="C13" s="1286">
        <v>0.2</v>
      </c>
      <c r="D13" s="1283">
        <f>(D8+D9+D10+D11+D12)*0.2</f>
        <v>2215.125</v>
      </c>
      <c r="E13" s="1286">
        <v>0.2</v>
      </c>
      <c r="F13" s="1283">
        <f>(F8+F9+F10+F11+F12)*0.2</f>
        <v>2503.0912499999999</v>
      </c>
      <c r="G13" s="1286">
        <v>0.2</v>
      </c>
      <c r="H13" s="1283">
        <f>(H8+H9+H10+H11+H12)*0.2</f>
        <v>2835.3599999999997</v>
      </c>
      <c r="I13" s="1286">
        <v>0.2</v>
      </c>
      <c r="J13" s="1283">
        <f>(J8+J9+J10+J11+J12)*0.2</f>
        <v>3189.7800000000007</v>
      </c>
      <c r="K13" s="1286">
        <v>0.2</v>
      </c>
      <c r="L13" s="1283">
        <f>(L8+L9+L10+L11+L12)*0.2</f>
        <v>3610.6537499999999</v>
      </c>
      <c r="M13" s="1286">
        <v>0.2</v>
      </c>
      <c r="N13" s="1283">
        <f>(N8+N9+N10+N11+N12)*0.2</f>
        <v>4075.8300000000004</v>
      </c>
      <c r="O13" s="1286">
        <v>0.2</v>
      </c>
      <c r="P13" s="1283">
        <f>(P8+P9+P10+P11+P12)*0.2</f>
        <v>4607.46</v>
      </c>
      <c r="Q13" s="1286">
        <v>0.2</v>
      </c>
      <c r="R13" s="1283">
        <f>(R8+R9+R10+R11+R12)*0.2</f>
        <v>5205.5437500000007</v>
      </c>
      <c r="S13" s="1286">
        <v>0.2</v>
      </c>
      <c r="T13" s="1283">
        <f>(T8+T9+T10+T11+T12)*0.2</f>
        <v>5892.2325000000001</v>
      </c>
    </row>
    <row r="14" spans="1:20" ht="15.75" hidden="1" thickBot="1" x14ac:dyDescent="0.3">
      <c r="A14" s="5149" t="s">
        <v>1018</v>
      </c>
      <c r="B14" s="5150"/>
      <c r="C14" s="1287">
        <v>0.5</v>
      </c>
      <c r="D14" s="1285">
        <f>(D8+D9+D10+D11+D12)*0.5</f>
        <v>5537.8125</v>
      </c>
      <c r="E14" s="1287">
        <v>0.5</v>
      </c>
      <c r="F14" s="1285">
        <f>(F8+F9+F10+F11+F12)*0.5</f>
        <v>6257.7281249999996</v>
      </c>
      <c r="G14" s="1287">
        <v>0.5</v>
      </c>
      <c r="H14" s="1285">
        <f>(H8+H9+H10+H11+H12)*0.5</f>
        <v>7088.3999999999987</v>
      </c>
      <c r="I14" s="1287">
        <v>0.5</v>
      </c>
      <c r="J14" s="1285">
        <f>(J8+J9+J10+J11+J12)*0.5</f>
        <v>7974.4500000000007</v>
      </c>
      <c r="K14" s="1287">
        <v>0.5</v>
      </c>
      <c r="L14" s="1285">
        <f>(L8+L9+L10+L11+L12)*0.5</f>
        <v>9026.6343749999996</v>
      </c>
      <c r="M14" s="1287">
        <v>0.5</v>
      </c>
      <c r="N14" s="1285">
        <f>(N8+N9+N10+N11+N12)*0.5</f>
        <v>10189.575000000001</v>
      </c>
      <c r="O14" s="1287">
        <v>0.5</v>
      </c>
      <c r="P14" s="1285">
        <f>(P8+P9+P10+P11+P12)*0.5</f>
        <v>11518.65</v>
      </c>
      <c r="Q14" s="1287">
        <v>0.5</v>
      </c>
      <c r="R14" s="1285">
        <f>(R8+R9+R10+R11+R12)*0.5</f>
        <v>13013.859375</v>
      </c>
      <c r="S14" s="1287">
        <v>0.5</v>
      </c>
      <c r="T14" s="1285">
        <f>(T8+T9+T10+T11+T12)*0.5</f>
        <v>14730.581249999999</v>
      </c>
    </row>
    <row r="15" spans="1:20" ht="28.5" hidden="1" customHeight="1" thickBot="1" x14ac:dyDescent="0.3">
      <c r="A15" s="5142" t="s">
        <v>1019</v>
      </c>
      <c r="B15" s="5143"/>
      <c r="C15" s="1288"/>
      <c r="D15" s="1289">
        <f>D8+D9+D10+D11+D12+D13+D14</f>
        <v>18828.5625</v>
      </c>
      <c r="E15" s="1288"/>
      <c r="F15" s="1289">
        <f>F8+F9+F10+F11+F12+F13+F14</f>
        <v>21276.275624999998</v>
      </c>
      <c r="G15" s="1288"/>
      <c r="H15" s="1289">
        <f>H8+H9+H10+H11+H12+H13+H14</f>
        <v>24100.559999999994</v>
      </c>
      <c r="I15" s="1288"/>
      <c r="J15" s="1289">
        <f>J8+J9+J10+J11+J12+J13+J14</f>
        <v>27113.13</v>
      </c>
      <c r="K15" s="1288"/>
      <c r="L15" s="1289">
        <f>L8+L9+L10+L11+L12+L13+L14</f>
        <v>30690.556875000002</v>
      </c>
      <c r="M15" s="1288"/>
      <c r="N15" s="1289">
        <f>N8+N9+N10+N11+N12+N13+N14</f>
        <v>34644.555000000008</v>
      </c>
      <c r="O15" s="1288"/>
      <c r="P15" s="1289">
        <f>P8+P9+P10+P11+P12+P13+P14</f>
        <v>39163.409999999996</v>
      </c>
      <c r="Q15" s="1288"/>
      <c r="R15" s="1289">
        <f>R8+R9+R10+R11+R12+R13+R14</f>
        <v>44247.121874999997</v>
      </c>
      <c r="S15" s="1288"/>
      <c r="T15" s="1289">
        <f>T8+T9+T10+T11+T12+T13+T14</f>
        <v>50083.976249999992</v>
      </c>
    </row>
    <row r="16" spans="1:20" hidden="1" x14ac:dyDescent="0.25"/>
    <row r="17" spans="1:8" hidden="1" x14ac:dyDescent="0.25"/>
    <row r="18" spans="1:8" hidden="1" x14ac:dyDescent="0.25"/>
    <row r="19" spans="1:8" ht="15.75" hidden="1" x14ac:dyDescent="0.25">
      <c r="A19" s="5144" t="s">
        <v>1020</v>
      </c>
      <c r="B19" s="5144"/>
      <c r="C19" s="1290"/>
      <c r="D19" s="1290"/>
      <c r="E19" s="1290"/>
      <c r="F19" s="1290"/>
      <c r="G19" s="1290"/>
      <c r="H19" s="1290"/>
    </row>
    <row r="20" spans="1:8" hidden="1" x14ac:dyDescent="0.25">
      <c r="A20" s="1291" t="s">
        <v>1021</v>
      </c>
      <c r="B20" s="1291" t="s">
        <v>1022</v>
      </c>
      <c r="C20" s="1290"/>
      <c r="D20" s="1290"/>
      <c r="E20" s="1290"/>
      <c r="F20" s="1290"/>
      <c r="G20" s="1290"/>
      <c r="H20" s="1290"/>
    </row>
    <row r="21" spans="1:8" hidden="1" x14ac:dyDescent="0.25">
      <c r="A21" s="1291">
        <v>1</v>
      </c>
      <c r="B21" s="1291">
        <v>1</v>
      </c>
      <c r="C21" s="1290"/>
      <c r="D21" s="1290"/>
      <c r="E21" s="1290"/>
      <c r="F21" s="1290"/>
      <c r="G21" s="1290"/>
      <c r="H21" s="1290"/>
    </row>
    <row r="22" spans="1:8" hidden="1" x14ac:dyDescent="0.25">
      <c r="A22" s="1291">
        <v>2</v>
      </c>
      <c r="B22" s="1291">
        <v>1.1299999999999999</v>
      </c>
      <c r="C22" s="1290"/>
      <c r="D22" s="1290"/>
      <c r="E22" s="1290"/>
      <c r="F22" s="1290"/>
      <c r="G22" s="1290"/>
      <c r="H22" s="1290"/>
    </row>
    <row r="23" spans="1:8" hidden="1" x14ac:dyDescent="0.25">
      <c r="A23" s="1291">
        <v>3</v>
      </c>
      <c r="B23" s="1291">
        <v>1.28</v>
      </c>
      <c r="C23" s="1290"/>
      <c r="D23" s="1290"/>
      <c r="E23" s="1290"/>
      <c r="F23" s="1290"/>
      <c r="G23" s="1290"/>
      <c r="H23" s="1290"/>
    </row>
    <row r="24" spans="1:8" hidden="1" x14ac:dyDescent="0.25">
      <c r="A24" s="1291">
        <v>4</v>
      </c>
      <c r="B24" s="1291">
        <v>1.44</v>
      </c>
      <c r="C24" s="1290"/>
      <c r="D24" s="1290"/>
      <c r="E24" s="1290"/>
      <c r="F24" s="1290"/>
      <c r="G24" s="1290"/>
      <c r="H24" s="1290"/>
    </row>
    <row r="25" spans="1:8" hidden="1" x14ac:dyDescent="0.25">
      <c r="A25" s="1291">
        <v>5</v>
      </c>
      <c r="B25" s="1291">
        <v>1.63</v>
      </c>
      <c r="C25" s="1290"/>
      <c r="D25" s="1290"/>
      <c r="E25" s="1290"/>
      <c r="F25" s="1290"/>
      <c r="G25" s="1290"/>
      <c r="H25" s="1290"/>
    </row>
    <row r="26" spans="1:8" hidden="1" x14ac:dyDescent="0.25">
      <c r="A26" s="1291">
        <v>6</v>
      </c>
      <c r="B26" s="1292">
        <v>1.84</v>
      </c>
      <c r="C26" s="1290"/>
      <c r="D26" s="1290"/>
      <c r="E26" s="1290"/>
      <c r="F26" s="1290"/>
      <c r="G26" s="1290"/>
      <c r="H26" s="1290"/>
    </row>
    <row r="27" spans="1:8" hidden="1" x14ac:dyDescent="0.25">
      <c r="A27" s="1291">
        <v>7</v>
      </c>
      <c r="B27" s="1292">
        <v>2.08</v>
      </c>
      <c r="C27" s="1290"/>
      <c r="D27" s="1290"/>
      <c r="E27" s="1290"/>
      <c r="F27" s="1290"/>
      <c r="G27" s="1290"/>
      <c r="H27" s="1290"/>
    </row>
    <row r="28" spans="1:8" hidden="1" x14ac:dyDescent="0.25">
      <c r="A28" s="1291">
        <v>8</v>
      </c>
      <c r="B28" s="1292">
        <v>2.35</v>
      </c>
      <c r="C28" s="1290"/>
      <c r="D28" s="1290"/>
      <c r="E28" s="1290"/>
      <c r="F28" s="1290"/>
      <c r="G28" s="1290"/>
      <c r="H28" s="1290"/>
    </row>
    <row r="29" spans="1:8" hidden="1" x14ac:dyDescent="0.25">
      <c r="A29" s="1291">
        <v>9</v>
      </c>
      <c r="B29" s="1292">
        <v>2.66</v>
      </c>
      <c r="C29" s="1290"/>
      <c r="D29" s="1290"/>
      <c r="E29" s="1290"/>
      <c r="F29" s="1290"/>
      <c r="G29" s="1290"/>
      <c r="H29" s="1290"/>
    </row>
    <row r="30" spans="1:8" hidden="1" x14ac:dyDescent="0.25">
      <c r="A30" s="1291">
        <v>10</v>
      </c>
      <c r="B30" s="1292">
        <v>2.78</v>
      </c>
      <c r="C30" s="1290"/>
      <c r="D30" s="1290"/>
      <c r="E30" s="1290"/>
      <c r="F30" s="1290"/>
      <c r="G30" s="1290"/>
      <c r="H30" s="1290"/>
    </row>
    <row r="31" spans="1:8" hidden="1" x14ac:dyDescent="0.25">
      <c r="A31" s="1291">
        <v>11</v>
      </c>
      <c r="B31" s="1292">
        <v>3.11</v>
      </c>
      <c r="C31" s="1290"/>
      <c r="D31" s="1290"/>
      <c r="E31" s="1290"/>
      <c r="F31" s="1290"/>
      <c r="G31" s="1290"/>
      <c r="H31" s="1290"/>
    </row>
    <row r="32" spans="1:8" hidden="1" x14ac:dyDescent="0.25">
      <c r="A32" s="1291">
        <v>12</v>
      </c>
      <c r="B32" s="1292">
        <v>3.48</v>
      </c>
      <c r="C32" s="1290"/>
      <c r="D32" s="1290"/>
      <c r="E32" s="1290"/>
      <c r="F32" s="1290"/>
      <c r="G32" s="1290"/>
      <c r="H32" s="1290"/>
    </row>
    <row r="33" spans="1:20" hidden="1" x14ac:dyDescent="0.25">
      <c r="A33" s="1291">
        <v>13</v>
      </c>
      <c r="B33" s="1292">
        <v>3.9</v>
      </c>
      <c r="C33" s="1290"/>
      <c r="D33" s="1290"/>
      <c r="E33" s="1290"/>
      <c r="F33" s="1290"/>
      <c r="G33" s="1290"/>
      <c r="H33" s="1290"/>
    </row>
    <row r="34" spans="1:20" hidden="1" x14ac:dyDescent="0.25">
      <c r="A34" s="1291">
        <v>14</v>
      </c>
      <c r="B34" s="1292">
        <v>4.37</v>
      </c>
      <c r="C34" s="1290"/>
      <c r="D34" s="1290"/>
      <c r="E34" s="1290"/>
      <c r="F34" s="1290"/>
      <c r="G34" s="1290"/>
      <c r="H34" s="1290"/>
    </row>
    <row r="35" spans="1:20" hidden="1" x14ac:dyDescent="0.25">
      <c r="A35" s="1291">
        <v>15</v>
      </c>
      <c r="B35" s="1292">
        <v>4.8899999999999997</v>
      </c>
      <c r="C35" s="1290"/>
      <c r="D35" s="1290"/>
      <c r="E35" s="1290"/>
      <c r="F35" s="1290"/>
      <c r="G35" s="1290"/>
      <c r="H35" s="1290"/>
    </row>
    <row r="36" spans="1:20" hidden="1" x14ac:dyDescent="0.25">
      <c r="A36" s="1291">
        <v>16</v>
      </c>
      <c r="B36" s="1292">
        <v>5.47</v>
      </c>
      <c r="C36" s="1290"/>
      <c r="D36" s="1290"/>
      <c r="E36" s="1290"/>
      <c r="F36" s="1290"/>
      <c r="G36" s="1290"/>
      <c r="H36" s="1290"/>
    </row>
    <row r="37" spans="1:20" hidden="1" x14ac:dyDescent="0.25">
      <c r="A37" s="1290"/>
      <c r="B37" s="1290"/>
      <c r="C37" s="1290"/>
      <c r="D37" s="1290"/>
      <c r="E37" s="1290"/>
      <c r="F37" s="1290"/>
      <c r="G37" s="1290"/>
      <c r="H37" s="1290"/>
    </row>
    <row r="38" spans="1:20" hidden="1" x14ac:dyDescent="0.25">
      <c r="A38" s="1290"/>
      <c r="B38" s="1290"/>
      <c r="C38" s="1290"/>
      <c r="D38" s="1290"/>
      <c r="E38" s="1290"/>
      <c r="F38" s="1290"/>
      <c r="G38" s="1290"/>
      <c r="H38" s="1290"/>
    </row>
    <row r="39" spans="1:20" x14ac:dyDescent="0.25">
      <c r="A39" s="1290"/>
      <c r="B39" s="1290"/>
      <c r="C39" s="1290"/>
      <c r="D39" s="1290"/>
      <c r="E39" s="1290"/>
      <c r="F39" s="1290"/>
      <c r="G39" s="1290"/>
      <c r="H39" s="1290"/>
    </row>
    <row r="40" spans="1:20" ht="18.75" x14ac:dyDescent="0.3">
      <c r="A40" s="5126" t="s">
        <v>3535</v>
      </c>
      <c r="B40" s="5126"/>
      <c r="C40" s="5126"/>
      <c r="D40" s="5126"/>
      <c r="E40" s="5126"/>
      <c r="F40" s="5126"/>
      <c r="G40" s="5126"/>
      <c r="H40" s="5126"/>
      <c r="I40" s="5126"/>
      <c r="J40" s="5126"/>
      <c r="K40" s="5126"/>
      <c r="L40" s="5126"/>
      <c r="M40" s="5126"/>
      <c r="N40" s="5126"/>
      <c r="O40" s="5126"/>
      <c r="P40" s="5126"/>
      <c r="Q40" s="5126"/>
      <c r="R40" s="5126"/>
      <c r="S40" s="5126"/>
      <c r="T40" s="5126"/>
    </row>
    <row r="41" spans="1:20" x14ac:dyDescent="0.25">
      <c r="A41" s="5127"/>
      <c r="B41" s="5127"/>
      <c r="C41" s="5127" t="s">
        <v>999</v>
      </c>
      <c r="D41" s="5127"/>
      <c r="E41" s="5127" t="s">
        <v>1000</v>
      </c>
      <c r="F41" s="5127"/>
      <c r="G41" s="5127" t="s">
        <v>1001</v>
      </c>
      <c r="H41" s="5127"/>
      <c r="I41" s="5127" t="s">
        <v>1002</v>
      </c>
      <c r="J41" s="5127"/>
      <c r="K41" s="5127" t="s">
        <v>1003</v>
      </c>
      <c r="L41" s="5127"/>
      <c r="M41" s="5127" t="s">
        <v>1004</v>
      </c>
      <c r="N41" s="5127"/>
      <c r="O41" s="5127" t="s">
        <v>1005</v>
      </c>
      <c r="P41" s="5127"/>
      <c r="Q41" s="5127" t="s">
        <v>1006</v>
      </c>
      <c r="R41" s="5127"/>
      <c r="S41" s="5127" t="s">
        <v>1007</v>
      </c>
      <c r="T41" s="5127"/>
    </row>
    <row r="42" spans="1:20" x14ac:dyDescent="0.25">
      <c r="A42" s="5127"/>
      <c r="B42" s="5127"/>
      <c r="C42" s="2381" t="s">
        <v>44</v>
      </c>
      <c r="D42" s="2381" t="s">
        <v>1008</v>
      </c>
      <c r="E42" s="2381" t="s">
        <v>44</v>
      </c>
      <c r="F42" s="2381" t="s">
        <v>1008</v>
      </c>
      <c r="G42" s="2381" t="s">
        <v>44</v>
      </c>
      <c r="H42" s="2381" t="s">
        <v>1008</v>
      </c>
      <c r="I42" s="2381" t="s">
        <v>44</v>
      </c>
      <c r="J42" s="2381" t="s">
        <v>1008</v>
      </c>
      <c r="K42" s="2381" t="s">
        <v>44</v>
      </c>
      <c r="L42" s="2381" t="s">
        <v>1008</v>
      </c>
      <c r="M42" s="2381" t="s">
        <v>44</v>
      </c>
      <c r="N42" s="2381" t="s">
        <v>1008</v>
      </c>
      <c r="O42" s="2381" t="s">
        <v>44</v>
      </c>
      <c r="P42" s="2381" t="s">
        <v>1008</v>
      </c>
      <c r="Q42" s="2381" t="s">
        <v>44</v>
      </c>
      <c r="R42" s="2381" t="s">
        <v>1008</v>
      </c>
      <c r="S42" s="2381" t="s">
        <v>44</v>
      </c>
      <c r="T42" s="2381" t="s">
        <v>1008</v>
      </c>
    </row>
    <row r="43" spans="1:20" ht="30" customHeight="1" x14ac:dyDescent="0.25">
      <c r="A43" s="5125" t="s">
        <v>1845</v>
      </c>
      <c r="B43" s="5125"/>
      <c r="C43" s="2384"/>
      <c r="D43" s="2389">
        <v>10303</v>
      </c>
      <c r="E43" s="2384"/>
      <c r="F43" s="2389">
        <f>D43</f>
        <v>10303</v>
      </c>
      <c r="G43" s="2385"/>
      <c r="H43" s="2389">
        <f>F43</f>
        <v>10303</v>
      </c>
      <c r="I43" s="2384"/>
      <c r="J43" s="2389">
        <f>H43</f>
        <v>10303</v>
      </c>
      <c r="K43" s="2384"/>
      <c r="L43" s="2389">
        <f>J43</f>
        <v>10303</v>
      </c>
      <c r="M43" s="2384"/>
      <c r="N43" s="2389">
        <f>L43</f>
        <v>10303</v>
      </c>
      <c r="O43" s="2384"/>
      <c r="P43" s="2389">
        <f>N43</f>
        <v>10303</v>
      </c>
      <c r="Q43" s="2384"/>
      <c r="R43" s="2389">
        <f>P43</f>
        <v>10303</v>
      </c>
      <c r="S43" s="2384"/>
      <c r="T43" s="2389">
        <f>R43</f>
        <v>10303</v>
      </c>
    </row>
    <row r="44" spans="1:20" ht="30" customHeight="1" x14ac:dyDescent="0.25">
      <c r="A44" s="5123" t="s">
        <v>1011</v>
      </c>
      <c r="B44" s="5123"/>
      <c r="C44" s="2385"/>
      <c r="D44" s="2389">
        <v>1</v>
      </c>
      <c r="E44" s="2388"/>
      <c r="F44" s="2389">
        <f>B22</f>
        <v>1.1299999999999999</v>
      </c>
      <c r="G44" s="2385"/>
      <c r="H44" s="2389">
        <f>B23</f>
        <v>1.28</v>
      </c>
      <c r="I44" s="2388"/>
      <c r="J44" s="2389">
        <v>1.44</v>
      </c>
      <c r="K44" s="2388"/>
      <c r="L44" s="2389">
        <v>1.63</v>
      </c>
      <c r="M44" s="2388"/>
      <c r="N44" s="2389">
        <f>1.84</f>
        <v>1.84</v>
      </c>
      <c r="O44" s="2388"/>
      <c r="P44" s="2389">
        <v>2.08</v>
      </c>
      <c r="Q44" s="2388"/>
      <c r="R44" s="2389">
        <v>2.35</v>
      </c>
      <c r="S44" s="2385"/>
      <c r="T44" s="2389">
        <v>2.66</v>
      </c>
    </row>
    <row r="45" spans="1:20" ht="30" customHeight="1" x14ac:dyDescent="0.25">
      <c r="A45" s="5123" t="s">
        <v>1012</v>
      </c>
      <c r="B45" s="5123"/>
      <c r="C45" s="2384"/>
      <c r="D45" s="2389">
        <f>D43*D44</f>
        <v>10303</v>
      </c>
      <c r="E45" s="2384"/>
      <c r="F45" s="2389">
        <f>F43*F44</f>
        <v>11642.39</v>
      </c>
      <c r="G45" s="2385"/>
      <c r="H45" s="2389">
        <f>H43*H44</f>
        <v>13187.84</v>
      </c>
      <c r="I45" s="2384"/>
      <c r="J45" s="2389">
        <f>J43*J44</f>
        <v>14836.32</v>
      </c>
      <c r="K45" s="2384"/>
      <c r="L45" s="2389">
        <f>L43*L44</f>
        <v>16793.89</v>
      </c>
      <c r="M45" s="2384"/>
      <c r="N45" s="2389">
        <f>N43*N44</f>
        <v>18957.52</v>
      </c>
      <c r="O45" s="2384"/>
      <c r="P45" s="2389">
        <f>P43*P44</f>
        <v>21430.240000000002</v>
      </c>
      <c r="Q45" s="2384"/>
      <c r="R45" s="2389">
        <f>R43*R44</f>
        <v>24212.05</v>
      </c>
      <c r="S45" s="2384"/>
      <c r="T45" s="2389">
        <f>T43*T44</f>
        <v>27405.980000000003</v>
      </c>
    </row>
    <row r="46" spans="1:20" ht="45" customHeight="1" x14ac:dyDescent="0.25">
      <c r="A46" s="5123" t="s">
        <v>3540</v>
      </c>
      <c r="B46" s="5123"/>
      <c r="C46" s="2386">
        <v>0.125</v>
      </c>
      <c r="D46" s="2389">
        <f>D45*C46</f>
        <v>1287.875</v>
      </c>
      <c r="E46" s="2386">
        <v>0.125</v>
      </c>
      <c r="F46" s="2389">
        <f>F45*E46</f>
        <v>1455.2987499999999</v>
      </c>
      <c r="G46" s="2386">
        <v>0.125</v>
      </c>
      <c r="H46" s="2389">
        <f>H45*G46</f>
        <v>1648.48</v>
      </c>
      <c r="I46" s="2386">
        <v>0.125</v>
      </c>
      <c r="J46" s="2389">
        <f>J45*I46</f>
        <v>1854.54</v>
      </c>
      <c r="K46" s="2386">
        <v>0.125</v>
      </c>
      <c r="L46" s="2389">
        <f>L45*K46</f>
        <v>2099.2362499999999</v>
      </c>
      <c r="M46" s="2386">
        <v>0.125</v>
      </c>
      <c r="N46" s="2389">
        <f>N45*M46</f>
        <v>2369.69</v>
      </c>
      <c r="O46" s="2386">
        <v>0.125</v>
      </c>
      <c r="P46" s="2389">
        <f>P45*O46</f>
        <v>2678.78</v>
      </c>
      <c r="Q46" s="2386">
        <v>0.125</v>
      </c>
      <c r="R46" s="2389">
        <f>R45*Q46</f>
        <v>3026.5062499999999</v>
      </c>
      <c r="S46" s="2386">
        <v>0.125</v>
      </c>
      <c r="T46" s="2389">
        <f>T45*S46</f>
        <v>3425.7475000000004</v>
      </c>
    </row>
    <row r="47" spans="1:20" ht="30" customHeight="1" x14ac:dyDescent="0.25">
      <c r="A47" s="5123" t="s">
        <v>1014</v>
      </c>
      <c r="B47" s="5123"/>
      <c r="C47" s="2387">
        <v>0</v>
      </c>
      <c r="D47" s="2389">
        <f>D45*C47</f>
        <v>0</v>
      </c>
      <c r="E47" s="2387">
        <v>0.1</v>
      </c>
      <c r="F47" s="2389">
        <f>F45*E47</f>
        <v>1164.239</v>
      </c>
      <c r="G47" s="2387">
        <v>0.1</v>
      </c>
      <c r="H47" s="2389">
        <f>H45*G47</f>
        <v>1318.7840000000001</v>
      </c>
      <c r="I47" s="2387">
        <v>0.1</v>
      </c>
      <c r="J47" s="2389">
        <f>J45*I47</f>
        <v>1483.6320000000001</v>
      </c>
      <c r="K47" s="2387">
        <v>0.1</v>
      </c>
      <c r="L47" s="2389">
        <f>L45*K47</f>
        <v>1679.3890000000001</v>
      </c>
      <c r="M47" s="2387">
        <v>0.1</v>
      </c>
      <c r="N47" s="2389">
        <f>N45*M47</f>
        <v>1895.7520000000002</v>
      </c>
      <c r="O47" s="2387">
        <v>0.1</v>
      </c>
      <c r="P47" s="2389">
        <f>P45*O47</f>
        <v>2143.0240000000003</v>
      </c>
      <c r="Q47" s="2387">
        <v>0.1</v>
      </c>
      <c r="R47" s="2389">
        <f>R45*Q47</f>
        <v>2421.2049999999999</v>
      </c>
      <c r="S47" s="2387">
        <v>0.1</v>
      </c>
      <c r="T47" s="2389">
        <f>T45*S47</f>
        <v>2740.5980000000004</v>
      </c>
    </row>
    <row r="48" spans="1:20" ht="30" customHeight="1" x14ac:dyDescent="0.25">
      <c r="A48" s="5123" t="s">
        <v>1015</v>
      </c>
      <c r="B48" s="5123"/>
      <c r="C48" s="2387">
        <v>0</v>
      </c>
      <c r="D48" s="2389">
        <f>D45*C48</f>
        <v>0</v>
      </c>
      <c r="E48" s="2387">
        <v>0</v>
      </c>
      <c r="F48" s="2389">
        <f>F45*E48</f>
        <v>0</v>
      </c>
      <c r="G48" s="2387">
        <v>0</v>
      </c>
      <c r="H48" s="2389">
        <f>H45*G48</f>
        <v>0</v>
      </c>
      <c r="I48" s="2387">
        <v>0</v>
      </c>
      <c r="J48" s="2389">
        <f>J45*I48</f>
        <v>0</v>
      </c>
      <c r="K48" s="2387">
        <v>0</v>
      </c>
      <c r="L48" s="2389">
        <f>L45*K48</f>
        <v>0</v>
      </c>
      <c r="M48" s="2387">
        <v>0</v>
      </c>
      <c r="N48" s="2389">
        <f>N45*M48</f>
        <v>0</v>
      </c>
      <c r="O48" s="2387">
        <v>0</v>
      </c>
      <c r="P48" s="2389">
        <f>P45*O48</f>
        <v>0</v>
      </c>
      <c r="Q48" s="2387">
        <v>0</v>
      </c>
      <c r="R48" s="2389">
        <f>R45*Q48</f>
        <v>0</v>
      </c>
      <c r="S48" s="2387">
        <v>0</v>
      </c>
      <c r="T48" s="2389">
        <f>T45*S48</f>
        <v>0</v>
      </c>
    </row>
    <row r="49" spans="1:30" ht="30" customHeight="1" x14ac:dyDescent="0.25">
      <c r="A49" s="5123" t="s">
        <v>1016</v>
      </c>
      <c r="B49" s="5123"/>
      <c r="C49" s="2387">
        <v>0.15</v>
      </c>
      <c r="D49" s="2389">
        <f>D45*C49</f>
        <v>1545.45</v>
      </c>
      <c r="E49" s="2387">
        <v>0.15</v>
      </c>
      <c r="F49" s="2389">
        <f>F45*E49</f>
        <v>1746.3584999999998</v>
      </c>
      <c r="G49" s="2387">
        <v>0.15</v>
      </c>
      <c r="H49" s="2389">
        <f>H45*G49</f>
        <v>1978.1759999999999</v>
      </c>
      <c r="I49" s="2387">
        <v>0.15</v>
      </c>
      <c r="J49" s="2389">
        <f>J45*I49</f>
        <v>2225.4479999999999</v>
      </c>
      <c r="K49" s="2387">
        <v>0.15</v>
      </c>
      <c r="L49" s="2389">
        <f>L45*K49</f>
        <v>2519.0834999999997</v>
      </c>
      <c r="M49" s="2387">
        <v>0.15</v>
      </c>
      <c r="N49" s="2389">
        <f>N45*M49</f>
        <v>2843.6280000000002</v>
      </c>
      <c r="O49" s="2387">
        <v>0.15</v>
      </c>
      <c r="P49" s="2389">
        <f>P45*O49</f>
        <v>3214.5360000000001</v>
      </c>
      <c r="Q49" s="2387">
        <v>0.15</v>
      </c>
      <c r="R49" s="2389">
        <f>R45*Q49</f>
        <v>3631.8074999999999</v>
      </c>
      <c r="S49" s="2387">
        <v>0.15</v>
      </c>
      <c r="T49" s="2389">
        <f>T45*S49</f>
        <v>4110.8969999999999</v>
      </c>
    </row>
    <row r="50" spans="1:30" ht="30" customHeight="1" x14ac:dyDescent="0.25">
      <c r="A50" s="5123" t="s">
        <v>1017</v>
      </c>
      <c r="B50" s="5123"/>
      <c r="C50" s="2387">
        <v>0.2</v>
      </c>
      <c r="D50" s="2389">
        <f>(D45+D46+D47+D48+D49)*0.2</f>
        <v>2627.2650000000003</v>
      </c>
      <c r="E50" s="2387">
        <v>0.2</v>
      </c>
      <c r="F50" s="2389">
        <f>(F45+F46+F47+F48+F49)*0.2</f>
        <v>3201.6572500000002</v>
      </c>
      <c r="G50" s="2387">
        <v>0.2</v>
      </c>
      <c r="H50" s="2389">
        <f>(H45+H46+H47+H48+H49)*0.2</f>
        <v>3626.6559999999999</v>
      </c>
      <c r="I50" s="2387">
        <v>0.2</v>
      </c>
      <c r="J50" s="2389">
        <f>(J45+J46+J47+J48+J49)*0.2</f>
        <v>4079.9880000000007</v>
      </c>
      <c r="K50" s="2387">
        <v>0.2</v>
      </c>
      <c r="L50" s="2389">
        <f>(L45+L46+L47+L48+L49)*0.2</f>
        <v>4618.3197500000006</v>
      </c>
      <c r="M50" s="2387">
        <v>0.2</v>
      </c>
      <c r="N50" s="2389">
        <f>(N45+N46+N47+N48+N49)*0.2</f>
        <v>5213.3180000000002</v>
      </c>
      <c r="O50" s="2387">
        <v>0.2</v>
      </c>
      <c r="P50" s="2389">
        <f>(P45+P46+P47+P48+P49)*0.2</f>
        <v>5893.3160000000007</v>
      </c>
      <c r="Q50" s="2387">
        <v>0.2</v>
      </c>
      <c r="R50" s="2389">
        <f>(R45+R46+R47+R48+R49)*0.2</f>
        <v>6658.3137500000003</v>
      </c>
      <c r="S50" s="2387">
        <v>0.2</v>
      </c>
      <c r="T50" s="2389">
        <f>(T45+T46+T47+T48+T49)*0.2</f>
        <v>7536.6445000000012</v>
      </c>
    </row>
    <row r="51" spans="1:30" ht="30" customHeight="1" x14ac:dyDescent="0.25">
      <c r="A51" s="5123" t="s">
        <v>1018</v>
      </c>
      <c r="B51" s="5123"/>
      <c r="C51" s="2387">
        <v>0.5</v>
      </c>
      <c r="D51" s="2389">
        <f>(D45+D46+D47+D48+D49)*0.5</f>
        <v>6568.1625000000004</v>
      </c>
      <c r="E51" s="2387">
        <v>0.5</v>
      </c>
      <c r="F51" s="2389">
        <f>(F45+F46+F47+F48+F49)*0.5</f>
        <v>8004.1431249999996</v>
      </c>
      <c r="G51" s="2387">
        <v>0.5</v>
      </c>
      <c r="H51" s="2389">
        <f>(H45+H46+H47+H48+H49)*0.5</f>
        <v>9066.64</v>
      </c>
      <c r="I51" s="2387">
        <v>0.5</v>
      </c>
      <c r="J51" s="2389">
        <f>(J45+J46+J47+J48+J49)*0.5</f>
        <v>10199.970000000001</v>
      </c>
      <c r="K51" s="2387">
        <v>0.5</v>
      </c>
      <c r="L51" s="2389">
        <f>(L45+L46+L47+L48+L49)*0.5</f>
        <v>11545.799375000001</v>
      </c>
      <c r="M51" s="2387">
        <v>0.5</v>
      </c>
      <c r="N51" s="2389">
        <f>(N45+N46+N47+N48+N49)*0.5</f>
        <v>13033.295</v>
      </c>
      <c r="O51" s="2387">
        <v>0.5</v>
      </c>
      <c r="P51" s="2389">
        <f>(P45+P46+P47+P48+P49)*0.5</f>
        <v>14733.29</v>
      </c>
      <c r="Q51" s="2387">
        <v>0.5</v>
      </c>
      <c r="R51" s="2389">
        <f>(R45+R46+R47+R48+R49)*0.5</f>
        <v>16645.784374999999</v>
      </c>
      <c r="S51" s="2387">
        <v>0.5</v>
      </c>
      <c r="T51" s="2389">
        <f>(T45+T46+T47+T48+T49)*0.5</f>
        <v>18841.611250000002</v>
      </c>
    </row>
    <row r="52" spans="1:30" ht="30" customHeight="1" x14ac:dyDescent="0.25">
      <c r="A52" s="5124" t="s">
        <v>1019</v>
      </c>
      <c r="B52" s="5124"/>
      <c r="C52" s="2382"/>
      <c r="D52" s="2383">
        <f>D45+D46+D47+D48+D49+D50+D51</f>
        <v>22331.752500000002</v>
      </c>
      <c r="E52" s="2382"/>
      <c r="F52" s="2383">
        <f>F45+F46+F47+F48+F49+F50+F51</f>
        <v>27214.086625</v>
      </c>
      <c r="G52" s="2382"/>
      <c r="H52" s="2383">
        <f>H45+H46+H47+H48+H49+H50+H51</f>
        <v>30826.575999999997</v>
      </c>
      <c r="I52" s="2382"/>
      <c r="J52" s="2383">
        <f>J45+J46+J47+J48+J49+J50+J51</f>
        <v>34679.898000000001</v>
      </c>
      <c r="K52" s="2382"/>
      <c r="L52" s="2383">
        <f>L45+L46+L47+L48+L49+L50+L51</f>
        <v>39255.717875000002</v>
      </c>
      <c r="M52" s="2382"/>
      <c r="N52" s="2383">
        <f>N45+N46+N47+N48+N49+N50+N51</f>
        <v>44313.203000000001</v>
      </c>
      <c r="O52" s="2382"/>
      <c r="P52" s="2383">
        <f>P45+P46+P47+P48+P49+P50+P51</f>
        <v>50093.186000000002</v>
      </c>
      <c r="Q52" s="2382"/>
      <c r="R52" s="2383">
        <f>R45+R46+R47+R48+R49+R50+R51</f>
        <v>56595.666874999995</v>
      </c>
      <c r="S52" s="2382"/>
      <c r="T52" s="2383">
        <f>T45+T46+T47+T48+T49+T50+T51</f>
        <v>64061.478250000007</v>
      </c>
    </row>
    <row r="53" spans="1:30" x14ac:dyDescent="0.25">
      <c r="A53" s="2474"/>
      <c r="B53" s="2474"/>
      <c r="C53" s="2474"/>
      <c r="D53" s="2474"/>
      <c r="E53" s="2474"/>
      <c r="F53" s="2474"/>
      <c r="G53" s="2474"/>
      <c r="H53" s="2474"/>
      <c r="I53" s="2474"/>
      <c r="J53" s="2474"/>
      <c r="K53" s="2474"/>
      <c r="L53" s="2474"/>
      <c r="M53" s="2474"/>
      <c r="N53" s="2474"/>
      <c r="O53" s="2474"/>
      <c r="P53" s="2474"/>
      <c r="Q53" s="2474"/>
      <c r="R53" s="2474"/>
      <c r="S53" s="2474"/>
      <c r="T53" s="2474"/>
      <c r="U53" s="2474"/>
      <c r="V53" s="2474"/>
      <c r="W53" s="2474"/>
      <c r="X53" s="2474"/>
      <c r="Y53" s="2474"/>
      <c r="Z53" s="2474"/>
      <c r="AA53" s="2474"/>
      <c r="AB53" s="2474"/>
      <c r="AC53" s="2474"/>
      <c r="AD53" s="2474"/>
    </row>
    <row r="54" spans="1:30" hidden="1" x14ac:dyDescent="0.25">
      <c r="A54" s="5151"/>
      <c r="B54" s="5151"/>
      <c r="C54" s="2474"/>
      <c r="D54" s="2474"/>
      <c r="E54" s="2474"/>
      <c r="F54" s="2474"/>
      <c r="G54" s="2474"/>
      <c r="H54" s="2474"/>
      <c r="I54" s="2474"/>
      <c r="J54" s="2474"/>
      <c r="K54" s="2474"/>
      <c r="L54" s="2474"/>
      <c r="M54" s="2474"/>
      <c r="N54" s="2474"/>
      <c r="O54" s="2474"/>
      <c r="P54" s="2474"/>
      <c r="Q54" s="2474"/>
      <c r="R54" s="2474"/>
      <c r="S54" s="2474"/>
      <c r="T54" s="2474"/>
      <c r="U54" s="2474"/>
      <c r="V54" s="2474"/>
      <c r="W54" s="2474"/>
      <c r="X54" s="2474"/>
      <c r="Y54" s="2474"/>
      <c r="Z54" s="2474"/>
      <c r="AA54" s="2474"/>
      <c r="AB54" s="2474"/>
      <c r="AC54" s="2474"/>
      <c r="AD54" s="2474"/>
    </row>
    <row r="55" spans="1:30" ht="15" hidden="1" customHeight="1" x14ac:dyDescent="0.25">
      <c r="A55" s="2471" t="s">
        <v>83</v>
      </c>
      <c r="B55" s="2474">
        <f>'ср. разряд'!E15</f>
        <v>3.0952380952380953</v>
      </c>
      <c r="C55" s="2474"/>
      <c r="D55" s="2474"/>
      <c r="E55" s="2474"/>
      <c r="F55" s="2474"/>
      <c r="G55" s="2474"/>
      <c r="H55" s="2474"/>
      <c r="I55" s="2474"/>
      <c r="J55" s="2474"/>
      <c r="K55" s="2474"/>
      <c r="L55" s="2474"/>
      <c r="M55" s="2474"/>
      <c r="N55" s="2474"/>
      <c r="O55" s="2474"/>
      <c r="P55" s="2474"/>
      <c r="Q55" s="2474"/>
      <c r="R55" s="2474"/>
      <c r="S55" s="2474"/>
      <c r="T55" s="2474"/>
      <c r="U55" s="2474"/>
      <c r="V55" s="2474"/>
      <c r="W55" s="2474"/>
      <c r="X55" s="2474"/>
      <c r="Y55" s="2474"/>
      <c r="Z55" s="2474"/>
      <c r="AA55" s="2474"/>
      <c r="AB55" s="2474"/>
      <c r="AC55" s="2474"/>
      <c r="AD55" s="2474"/>
    </row>
    <row r="56" spans="1:30" ht="15" hidden="1" customHeight="1" x14ac:dyDescent="0.25">
      <c r="A56" s="2471" t="s">
        <v>84</v>
      </c>
      <c r="B56" s="2474">
        <f>'ср. разряд'!E20</f>
        <v>3.1063829787234041</v>
      </c>
      <c r="C56" s="2474"/>
      <c r="D56" s="2474"/>
      <c r="E56" s="2474"/>
      <c r="F56" s="2474"/>
      <c r="G56" s="2474"/>
      <c r="H56" s="2474"/>
      <c r="I56" s="2474"/>
      <c r="J56" s="2474"/>
      <c r="K56" s="2474"/>
      <c r="L56" s="2474"/>
      <c r="M56" s="2474"/>
      <c r="N56" s="2474"/>
      <c r="O56" s="2474"/>
      <c r="P56" s="2474"/>
      <c r="Q56" s="2474"/>
      <c r="R56" s="2474"/>
      <c r="S56" s="2474"/>
      <c r="T56" s="2474"/>
      <c r="U56" s="2474"/>
      <c r="V56" s="2474"/>
      <c r="W56" s="2474"/>
      <c r="X56" s="2474"/>
      <c r="Y56" s="2474"/>
      <c r="Z56" s="2474"/>
      <c r="AA56" s="2474"/>
      <c r="AB56" s="2474"/>
      <c r="AC56" s="2474"/>
      <c r="AD56" s="2474"/>
    </row>
    <row r="57" spans="1:30" ht="25.5" hidden="1" customHeight="1" x14ac:dyDescent="0.25">
      <c r="A57" s="2471" t="s">
        <v>85</v>
      </c>
      <c r="B57" s="2474"/>
      <c r="C57" s="2474"/>
      <c r="D57" s="2474"/>
      <c r="E57" s="2474"/>
      <c r="F57" s="2474"/>
      <c r="G57" s="2474"/>
      <c r="H57" s="2474"/>
      <c r="I57" s="2474"/>
      <c r="J57" s="2474"/>
      <c r="K57" s="2474"/>
      <c r="L57" s="2474"/>
      <c r="M57" s="2474"/>
      <c r="N57" s="2474"/>
      <c r="O57" s="2474"/>
      <c r="P57" s="2474"/>
      <c r="Q57" s="2474"/>
      <c r="R57" s="2474"/>
      <c r="S57" s="2474"/>
      <c r="T57" s="2474"/>
      <c r="U57" s="2474"/>
      <c r="V57" s="2474"/>
      <c r="W57" s="2474"/>
      <c r="X57" s="2474"/>
      <c r="Y57" s="2474"/>
      <c r="Z57" s="2474"/>
      <c r="AA57" s="2474"/>
      <c r="AB57" s="2474"/>
      <c r="AC57" s="2474"/>
      <c r="AD57" s="2474"/>
    </row>
    <row r="58" spans="1:30" ht="15" hidden="1" customHeight="1" x14ac:dyDescent="0.25">
      <c r="A58" s="2471" t="s">
        <v>86</v>
      </c>
      <c r="B58" s="2474"/>
      <c r="C58" s="2474"/>
      <c r="D58" s="2474"/>
      <c r="E58" s="2474"/>
      <c r="F58" s="2474"/>
      <c r="G58" s="2474"/>
      <c r="H58" s="2474"/>
      <c r="I58" s="2474"/>
      <c r="J58" s="2474"/>
      <c r="K58" s="2474"/>
      <c r="L58" s="2474"/>
      <c r="M58" s="2474"/>
      <c r="N58" s="2474"/>
      <c r="O58" s="2474"/>
      <c r="P58" s="2474"/>
      <c r="Q58" s="2474"/>
      <c r="R58" s="2474"/>
      <c r="S58" s="2474"/>
      <c r="T58" s="2474"/>
      <c r="U58" s="2474"/>
      <c r="V58" s="2474"/>
      <c r="W58" s="2474"/>
      <c r="X58" s="2474"/>
      <c r="Y58" s="2474"/>
      <c r="Z58" s="2474"/>
      <c r="AA58" s="2474"/>
      <c r="AB58" s="2474"/>
      <c r="AC58" s="2474"/>
      <c r="AD58" s="2474"/>
    </row>
    <row r="59" spans="1:30" ht="15" hidden="1" customHeight="1" x14ac:dyDescent="0.25">
      <c r="A59" s="2471" t="s">
        <v>1965</v>
      </c>
      <c r="B59" s="2474"/>
      <c r="C59" s="2474"/>
      <c r="D59" s="2474"/>
      <c r="E59" s="2474"/>
      <c r="F59" s="2474"/>
      <c r="G59" s="2474"/>
      <c r="H59" s="2474"/>
      <c r="I59" s="2474"/>
      <c r="J59" s="2474"/>
      <c r="K59" s="2474"/>
      <c r="L59" s="2474"/>
      <c r="M59" s="2474"/>
      <c r="N59" s="2474"/>
      <c r="O59" s="2474"/>
      <c r="P59" s="2474"/>
      <c r="Q59" s="2474"/>
      <c r="R59" s="2474"/>
      <c r="S59" s="2474"/>
      <c r="T59" s="2474"/>
      <c r="U59" s="2474"/>
      <c r="V59" s="2474"/>
      <c r="W59" s="2474"/>
      <c r="X59" s="2474"/>
      <c r="Y59" s="2474"/>
      <c r="Z59" s="2474"/>
      <c r="AA59" s="2474"/>
      <c r="AB59" s="2474"/>
      <c r="AC59" s="2474"/>
      <c r="AD59" s="2474"/>
    </row>
    <row r="60" spans="1:30" ht="18.75" x14ac:dyDescent="0.3">
      <c r="A60" s="5126" t="s">
        <v>3537</v>
      </c>
      <c r="B60" s="5126"/>
      <c r="C60" s="5126"/>
      <c r="D60" s="5126"/>
      <c r="E60" s="5126"/>
      <c r="F60" s="5126"/>
      <c r="G60" s="5126"/>
      <c r="H60" s="5126"/>
      <c r="I60" s="5126"/>
      <c r="J60" s="5126"/>
      <c r="K60" s="5126"/>
      <c r="L60" s="5126"/>
      <c r="M60" s="5126"/>
      <c r="N60" s="5126"/>
      <c r="O60" s="5126"/>
      <c r="P60" s="5126"/>
      <c r="Q60" s="5126"/>
      <c r="R60" s="5126"/>
      <c r="S60" s="5126"/>
      <c r="T60" s="5126"/>
    </row>
    <row r="61" spans="1:30" x14ac:dyDescent="0.25">
      <c r="A61" s="5127"/>
      <c r="B61" s="5127"/>
      <c r="C61" s="5127" t="s">
        <v>999</v>
      </c>
      <c r="D61" s="5127"/>
      <c r="E61" s="5127" t="s">
        <v>1000</v>
      </c>
      <c r="F61" s="5127"/>
      <c r="G61" s="5127" t="s">
        <v>1001</v>
      </c>
      <c r="H61" s="5127"/>
      <c r="I61" s="5127" t="s">
        <v>1002</v>
      </c>
      <c r="J61" s="5127"/>
      <c r="K61" s="5127" t="s">
        <v>1003</v>
      </c>
      <c r="L61" s="5127"/>
      <c r="M61" s="5127" t="s">
        <v>1004</v>
      </c>
      <c r="N61" s="5127"/>
      <c r="O61" s="5127" t="s">
        <v>1005</v>
      </c>
      <c r="P61" s="5127"/>
      <c r="Q61" s="5127" t="s">
        <v>1006</v>
      </c>
      <c r="R61" s="5127"/>
      <c r="S61" s="5127" t="s">
        <v>1007</v>
      </c>
      <c r="T61" s="5127"/>
    </row>
    <row r="62" spans="1:30" x14ac:dyDescent="0.25">
      <c r="A62" s="5127"/>
      <c r="B62" s="5127"/>
      <c r="C62" s="2473" t="s">
        <v>44</v>
      </c>
      <c r="D62" s="2473" t="s">
        <v>1008</v>
      </c>
      <c r="E62" s="2473" t="s">
        <v>44</v>
      </c>
      <c r="F62" s="2473" t="s">
        <v>1008</v>
      </c>
      <c r="G62" s="2473" t="s">
        <v>44</v>
      </c>
      <c r="H62" s="2473" t="s">
        <v>1008</v>
      </c>
      <c r="I62" s="2473" t="s">
        <v>44</v>
      </c>
      <c r="J62" s="2473" t="s">
        <v>1008</v>
      </c>
      <c r="K62" s="2473" t="s">
        <v>44</v>
      </c>
      <c r="L62" s="2473" t="s">
        <v>1008</v>
      </c>
      <c r="M62" s="2473" t="s">
        <v>44</v>
      </c>
      <c r="N62" s="2473" t="s">
        <v>1008</v>
      </c>
      <c r="O62" s="2473" t="s">
        <v>44</v>
      </c>
      <c r="P62" s="2473" t="s">
        <v>1008</v>
      </c>
      <c r="Q62" s="2473" t="s">
        <v>44</v>
      </c>
      <c r="R62" s="2473" t="s">
        <v>1008</v>
      </c>
      <c r="S62" s="2473" t="s">
        <v>44</v>
      </c>
      <c r="T62" s="2473" t="s">
        <v>1008</v>
      </c>
    </row>
    <row r="63" spans="1:30" ht="30" customHeight="1" x14ac:dyDescent="0.25">
      <c r="A63" s="5125" t="s">
        <v>3538</v>
      </c>
      <c r="B63" s="5125"/>
      <c r="C63" s="2384"/>
      <c r="D63" s="2389">
        <f>SUM(D43*1.046)</f>
        <v>10776.938</v>
      </c>
      <c r="E63" s="2384"/>
      <c r="F63" s="2389">
        <f>D63</f>
        <v>10776.938</v>
      </c>
      <c r="G63" s="2385"/>
      <c r="H63" s="2389">
        <f>F63</f>
        <v>10776.938</v>
      </c>
      <c r="I63" s="2384"/>
      <c r="J63" s="2389">
        <f>H63</f>
        <v>10776.938</v>
      </c>
      <c r="K63" s="2384"/>
      <c r="L63" s="2389">
        <f>J63</f>
        <v>10776.938</v>
      </c>
      <c r="M63" s="2384"/>
      <c r="N63" s="2389">
        <f>L63</f>
        <v>10776.938</v>
      </c>
      <c r="O63" s="2384"/>
      <c r="P63" s="2389">
        <f>N63</f>
        <v>10776.938</v>
      </c>
      <c r="Q63" s="2384"/>
      <c r="R63" s="2389">
        <f>P63</f>
        <v>10776.938</v>
      </c>
      <c r="S63" s="2384"/>
      <c r="T63" s="2389">
        <f>R63</f>
        <v>10776.938</v>
      </c>
    </row>
    <row r="64" spans="1:30" ht="30" customHeight="1" x14ac:dyDescent="0.25">
      <c r="A64" s="5123" t="s">
        <v>1011</v>
      </c>
      <c r="B64" s="5123"/>
      <c r="C64" s="2385"/>
      <c r="D64" s="2389">
        <v>1</v>
      </c>
      <c r="E64" s="2388"/>
      <c r="F64" s="2389">
        <f>SUM(F44)</f>
        <v>1.1299999999999999</v>
      </c>
      <c r="G64" s="2385"/>
      <c r="H64" s="2389">
        <f>SUM(H44)</f>
        <v>1.28</v>
      </c>
      <c r="I64" s="2388"/>
      <c r="J64" s="2389">
        <f>SUM(J44)</f>
        <v>1.44</v>
      </c>
      <c r="K64" s="2388"/>
      <c r="L64" s="2389">
        <f>SUM(L44)</f>
        <v>1.63</v>
      </c>
      <c r="M64" s="2388"/>
      <c r="N64" s="2389">
        <f>SUM(N44)</f>
        <v>1.84</v>
      </c>
      <c r="O64" s="2388"/>
      <c r="P64" s="2389">
        <f>SUM(P44)</f>
        <v>2.08</v>
      </c>
      <c r="Q64" s="2388"/>
      <c r="R64" s="2389">
        <f>SUM(R44)</f>
        <v>2.35</v>
      </c>
      <c r="S64" s="2385"/>
      <c r="T64" s="2389">
        <f>SUM(T44)</f>
        <v>2.66</v>
      </c>
    </row>
    <row r="65" spans="1:20" ht="30" customHeight="1" x14ac:dyDescent="0.25">
      <c r="A65" s="5123" t="s">
        <v>1012</v>
      </c>
      <c r="B65" s="5123"/>
      <c r="C65" s="2384"/>
      <c r="D65" s="2389">
        <f>D63*D64</f>
        <v>10776.938</v>
      </c>
      <c r="E65" s="2384"/>
      <c r="F65" s="2389">
        <f>F63*F64</f>
        <v>12177.939939999998</v>
      </c>
      <c r="G65" s="2385"/>
      <c r="H65" s="2389">
        <f>H63*H64</f>
        <v>13794.48064</v>
      </c>
      <c r="I65" s="2384"/>
      <c r="J65" s="2389">
        <f>J63*J64</f>
        <v>15518.790719999999</v>
      </c>
      <c r="K65" s="2384"/>
      <c r="L65" s="2389">
        <f>L63*L64</f>
        <v>17566.408939999998</v>
      </c>
      <c r="M65" s="2384"/>
      <c r="N65" s="2389">
        <f>N63*N64</f>
        <v>19829.565920000001</v>
      </c>
      <c r="O65" s="2384"/>
      <c r="P65" s="2389">
        <f>P63*P64</f>
        <v>22416.031040000002</v>
      </c>
      <c r="Q65" s="2384"/>
      <c r="R65" s="2389">
        <f>R63*R64</f>
        <v>25325.8043</v>
      </c>
      <c r="S65" s="2384"/>
      <c r="T65" s="2389">
        <f>T63*T64</f>
        <v>28666.65508</v>
      </c>
    </row>
    <row r="66" spans="1:20" ht="45" customHeight="1" x14ac:dyDescent="0.25">
      <c r="A66" s="5123" t="s">
        <v>3540</v>
      </c>
      <c r="B66" s="5123"/>
      <c r="C66" s="2386">
        <v>0.125</v>
      </c>
      <c r="D66" s="2389">
        <f>D65*C66</f>
        <v>1347.11725</v>
      </c>
      <c r="E66" s="2386">
        <v>0.125</v>
      </c>
      <c r="F66" s="2389">
        <f>F65*E66</f>
        <v>1522.2424924999998</v>
      </c>
      <c r="G66" s="2386">
        <v>0.125</v>
      </c>
      <c r="H66" s="2389">
        <f>H65*G66</f>
        <v>1724.31008</v>
      </c>
      <c r="I66" s="2386">
        <v>0.125</v>
      </c>
      <c r="J66" s="2389">
        <f>J65*I66</f>
        <v>1939.8488399999999</v>
      </c>
      <c r="K66" s="2386">
        <v>0.125</v>
      </c>
      <c r="L66" s="2389">
        <f>L65*K66</f>
        <v>2195.8011174999997</v>
      </c>
      <c r="M66" s="2386">
        <v>0.125</v>
      </c>
      <c r="N66" s="2389">
        <f>N65*M66</f>
        <v>2478.6957400000001</v>
      </c>
      <c r="O66" s="2386">
        <v>0.125</v>
      </c>
      <c r="P66" s="2389">
        <f>P65*O66</f>
        <v>2802.0038800000002</v>
      </c>
      <c r="Q66" s="2386">
        <v>0.125</v>
      </c>
      <c r="R66" s="2389">
        <f>R65*Q66</f>
        <v>3165.7255375</v>
      </c>
      <c r="S66" s="2386">
        <v>0.125</v>
      </c>
      <c r="T66" s="2389">
        <f>T65*S66</f>
        <v>3583.3318850000001</v>
      </c>
    </row>
    <row r="67" spans="1:20" ht="30" customHeight="1" x14ac:dyDescent="0.25">
      <c r="A67" s="5123" t="s">
        <v>1014</v>
      </c>
      <c r="B67" s="5123"/>
      <c r="C67" s="2387">
        <v>0</v>
      </c>
      <c r="D67" s="2389">
        <f>D65*C67</f>
        <v>0</v>
      </c>
      <c r="E67" s="2387">
        <v>0.1</v>
      </c>
      <c r="F67" s="2389">
        <f>F65*E67</f>
        <v>1217.7939939999999</v>
      </c>
      <c r="G67" s="2387">
        <v>0.1</v>
      </c>
      <c r="H67" s="2389">
        <f>H65*G67</f>
        <v>1379.4480640000002</v>
      </c>
      <c r="I67" s="2387">
        <v>0.1</v>
      </c>
      <c r="J67" s="2389">
        <f>J65*I67</f>
        <v>1551.879072</v>
      </c>
      <c r="K67" s="2387">
        <v>0.1</v>
      </c>
      <c r="L67" s="2389">
        <f>L65*K67</f>
        <v>1756.6408939999999</v>
      </c>
      <c r="M67" s="2387">
        <v>0.1</v>
      </c>
      <c r="N67" s="2389">
        <f>N65*M67</f>
        <v>1982.9565920000002</v>
      </c>
      <c r="O67" s="2387">
        <v>0.1</v>
      </c>
      <c r="P67" s="2389">
        <f>P65*O67</f>
        <v>2241.6031040000003</v>
      </c>
      <c r="Q67" s="2387">
        <v>0.1</v>
      </c>
      <c r="R67" s="2389">
        <f>R65*Q67</f>
        <v>2532.58043</v>
      </c>
      <c r="S67" s="2387">
        <v>0.1</v>
      </c>
      <c r="T67" s="2389">
        <f>T65*S67</f>
        <v>2866.665508</v>
      </c>
    </row>
    <row r="68" spans="1:20" ht="30" customHeight="1" x14ac:dyDescent="0.25">
      <c r="A68" s="5123" t="s">
        <v>1015</v>
      </c>
      <c r="B68" s="5123"/>
      <c r="C68" s="2387">
        <v>0</v>
      </c>
      <c r="D68" s="2389">
        <f>D65*C68</f>
        <v>0</v>
      </c>
      <c r="E68" s="2387">
        <v>0</v>
      </c>
      <c r="F68" s="2389">
        <f>F65*E68</f>
        <v>0</v>
      </c>
      <c r="G68" s="2387">
        <v>0</v>
      </c>
      <c r="H68" s="2389">
        <f>H65*G68</f>
        <v>0</v>
      </c>
      <c r="I68" s="2387">
        <v>0</v>
      </c>
      <c r="J68" s="2389">
        <f>J65*I68</f>
        <v>0</v>
      </c>
      <c r="K68" s="2387">
        <v>0</v>
      </c>
      <c r="L68" s="2389">
        <f>L65*K68</f>
        <v>0</v>
      </c>
      <c r="M68" s="2387">
        <v>0</v>
      </c>
      <c r="N68" s="2389">
        <f>N65*M68</f>
        <v>0</v>
      </c>
      <c r="O68" s="2387">
        <v>0</v>
      </c>
      <c r="P68" s="2389">
        <f>P65*O68</f>
        <v>0</v>
      </c>
      <c r="Q68" s="2387">
        <v>0</v>
      </c>
      <c r="R68" s="2389">
        <f>R65*Q68</f>
        <v>0</v>
      </c>
      <c r="S68" s="2387">
        <v>0</v>
      </c>
      <c r="T68" s="2389">
        <f>T65*S68</f>
        <v>0</v>
      </c>
    </row>
    <row r="69" spans="1:20" ht="30" customHeight="1" x14ac:dyDescent="0.25">
      <c r="A69" s="5123" t="s">
        <v>1016</v>
      </c>
      <c r="B69" s="5123"/>
      <c r="C69" s="2387">
        <v>0.15</v>
      </c>
      <c r="D69" s="2389">
        <f>D65*C69</f>
        <v>1616.5407</v>
      </c>
      <c r="E69" s="2387">
        <v>0.15</v>
      </c>
      <c r="F69" s="2389">
        <f>F65*E69</f>
        <v>1826.6909909999997</v>
      </c>
      <c r="G69" s="2387">
        <v>0.15</v>
      </c>
      <c r="H69" s="2389">
        <f>H65*G69</f>
        <v>2069.1720959999998</v>
      </c>
      <c r="I69" s="2387">
        <v>0.15</v>
      </c>
      <c r="J69" s="2389">
        <f>J65*I69</f>
        <v>2327.8186079999996</v>
      </c>
      <c r="K69" s="2387">
        <v>0.15</v>
      </c>
      <c r="L69" s="2389">
        <f>L65*K69</f>
        <v>2634.9613409999997</v>
      </c>
      <c r="M69" s="2387">
        <v>0.15</v>
      </c>
      <c r="N69" s="2389">
        <f>N65*M69</f>
        <v>2974.4348880000002</v>
      </c>
      <c r="O69" s="2387">
        <v>0.15</v>
      </c>
      <c r="P69" s="2389">
        <f>P65*O69</f>
        <v>3362.4046560000002</v>
      </c>
      <c r="Q69" s="2387">
        <v>0.15</v>
      </c>
      <c r="R69" s="2389">
        <f>R65*Q69</f>
        <v>3798.870645</v>
      </c>
      <c r="S69" s="2387">
        <v>0.15</v>
      </c>
      <c r="T69" s="2389">
        <f>T65*S69</f>
        <v>4299.9982620000001</v>
      </c>
    </row>
    <row r="70" spans="1:20" ht="30" customHeight="1" x14ac:dyDescent="0.25">
      <c r="A70" s="5123" t="s">
        <v>1017</v>
      </c>
      <c r="B70" s="5123"/>
      <c r="C70" s="2387">
        <v>0.2</v>
      </c>
      <c r="D70" s="2389">
        <f>(D65+D66+D67+D68+D69)*0.2</f>
        <v>2748.1191899999999</v>
      </c>
      <c r="E70" s="2387">
        <v>0.2</v>
      </c>
      <c r="F70" s="2389">
        <f>(F65+F66+F67+F68+F69)*0.2</f>
        <v>3348.9334834999995</v>
      </c>
      <c r="G70" s="2387">
        <v>0.2</v>
      </c>
      <c r="H70" s="2389">
        <f>(H65+H66+H67+H68+H69)*0.2</f>
        <v>3793.482176</v>
      </c>
      <c r="I70" s="2387">
        <v>0.2</v>
      </c>
      <c r="J70" s="2389">
        <f>(J65+J66+J67+J68+J69)*0.2</f>
        <v>4267.6674480000001</v>
      </c>
      <c r="K70" s="2387">
        <v>0.2</v>
      </c>
      <c r="L70" s="2389">
        <f>(L65+L66+L67+L68+L69)*0.2</f>
        <v>4830.7624584999994</v>
      </c>
      <c r="M70" s="2387">
        <v>0.2</v>
      </c>
      <c r="N70" s="2389">
        <f>(N65+N66+N67+N68+N69)*0.2</f>
        <v>5453.1306279999999</v>
      </c>
      <c r="O70" s="2387">
        <v>0.2</v>
      </c>
      <c r="P70" s="2389">
        <f>(P65+P66+P67+P68+P69)*0.2</f>
        <v>6164.4085360000008</v>
      </c>
      <c r="Q70" s="2387">
        <v>0.2</v>
      </c>
      <c r="R70" s="2389">
        <f>(R65+R66+R67+R68+R69)*0.2</f>
        <v>6964.5961825000013</v>
      </c>
      <c r="S70" s="2387">
        <v>0.2</v>
      </c>
      <c r="T70" s="2389">
        <f>(T65+T66+T67+T68+T69)*0.2</f>
        <v>7883.3301470000006</v>
      </c>
    </row>
    <row r="71" spans="1:20" ht="30" customHeight="1" x14ac:dyDescent="0.25">
      <c r="A71" s="5123" t="s">
        <v>1018</v>
      </c>
      <c r="B71" s="5123"/>
      <c r="C71" s="2387">
        <v>0.5</v>
      </c>
      <c r="D71" s="2389">
        <f>(D65+D66+D67+D68+D69)*0.5</f>
        <v>6870.2979749999995</v>
      </c>
      <c r="E71" s="2387">
        <v>0.5</v>
      </c>
      <c r="F71" s="2389">
        <f>(F65+F66+F67+F68+F69)*0.5</f>
        <v>8372.3337087499986</v>
      </c>
      <c r="G71" s="2387">
        <v>0.5</v>
      </c>
      <c r="H71" s="2389">
        <f>(H65+H66+H67+H68+H69)*0.5</f>
        <v>9483.7054399999997</v>
      </c>
      <c r="I71" s="2387">
        <v>0.5</v>
      </c>
      <c r="J71" s="2389">
        <f>(J65+J66+J67+J68+J69)*0.5</f>
        <v>10669.16862</v>
      </c>
      <c r="K71" s="2387">
        <v>0.5</v>
      </c>
      <c r="L71" s="2389">
        <f>(L65+L66+L67+L68+L69)*0.5</f>
        <v>12076.906146249998</v>
      </c>
      <c r="M71" s="2387">
        <v>0.5</v>
      </c>
      <c r="N71" s="2389">
        <f>(N65+N66+N67+N68+N69)*0.5</f>
        <v>13632.826569999999</v>
      </c>
      <c r="O71" s="2387">
        <v>0.5</v>
      </c>
      <c r="P71" s="2389">
        <f>(P65+P66+P67+P68+P69)*0.5</f>
        <v>15411.021340000001</v>
      </c>
      <c r="Q71" s="2387">
        <v>0.5</v>
      </c>
      <c r="R71" s="2389">
        <f>(R65+R66+R67+R68+R69)*0.5</f>
        <v>17411.490456250001</v>
      </c>
      <c r="S71" s="2387">
        <v>0.5</v>
      </c>
      <c r="T71" s="2389">
        <f>(T65+T66+T67+T68+T69)*0.5</f>
        <v>19708.325367500001</v>
      </c>
    </row>
    <row r="72" spans="1:20" ht="30" customHeight="1" x14ac:dyDescent="0.25">
      <c r="A72" s="5124" t="s">
        <v>1019</v>
      </c>
      <c r="B72" s="5124"/>
      <c r="C72" s="2382"/>
      <c r="D72" s="2383">
        <f>D65+D66+D67+D68+D69+D70+D71</f>
        <v>23359.013115000002</v>
      </c>
      <c r="E72" s="2382"/>
      <c r="F72" s="2383">
        <f>F65+F66+F67+F68+F69+F70+F71</f>
        <v>28465.934609749995</v>
      </c>
      <c r="G72" s="2382"/>
      <c r="H72" s="2383">
        <f>H65+H66+H67+H68+H69+H70+H71</f>
        <v>32244.598495999999</v>
      </c>
      <c r="I72" s="2382"/>
      <c r="J72" s="2383">
        <f>J65+J66+J67+J68+J69+J70+J71</f>
        <v>36275.173307999998</v>
      </c>
      <c r="K72" s="2382"/>
      <c r="L72" s="2383">
        <f>L65+L66+L67+L68+L69+L70+L71</f>
        <v>41061.480897249989</v>
      </c>
      <c r="M72" s="2382"/>
      <c r="N72" s="2383">
        <f>N65+N66+N67+N68+N69+N70+N71</f>
        <v>46351.610337999999</v>
      </c>
      <c r="O72" s="2382"/>
      <c r="P72" s="2383">
        <f>P65+P66+P67+P68+P69+P70+P71</f>
        <v>52397.472556000001</v>
      </c>
      <c r="Q72" s="2382"/>
      <c r="R72" s="2383">
        <f>R65+R66+R67+R68+R69+R70+R71</f>
        <v>59199.067551250002</v>
      </c>
      <c r="S72" s="2382"/>
      <c r="T72" s="2383">
        <f>T65+T66+T67+T68+T69+T70+T71</f>
        <v>67008.306249500005</v>
      </c>
    </row>
    <row r="74" spans="1:20" ht="18.75" x14ac:dyDescent="0.3">
      <c r="A74" s="5126" t="s">
        <v>3897</v>
      </c>
      <c r="B74" s="5126"/>
      <c r="C74" s="5126"/>
      <c r="D74" s="5126"/>
      <c r="E74" s="5126"/>
      <c r="F74" s="5126"/>
      <c r="G74" s="5126"/>
      <c r="H74" s="5126"/>
      <c r="I74" s="5126"/>
      <c r="J74" s="5126"/>
      <c r="K74" s="5126"/>
      <c r="L74" s="5126"/>
      <c r="M74" s="5126"/>
      <c r="N74" s="5126"/>
      <c r="O74" s="5126"/>
      <c r="P74" s="5126"/>
      <c r="Q74" s="5126"/>
      <c r="R74" s="5126"/>
      <c r="S74" s="5126"/>
      <c r="T74" s="5126"/>
    </row>
    <row r="75" spans="1:20" x14ac:dyDescent="0.25">
      <c r="A75" s="5127"/>
      <c r="B75" s="5127"/>
      <c r="C75" s="5127" t="s">
        <v>999</v>
      </c>
      <c r="D75" s="5127"/>
      <c r="E75" s="5127" t="s">
        <v>1000</v>
      </c>
      <c r="F75" s="5127"/>
      <c r="G75" s="5127" t="s">
        <v>1001</v>
      </c>
      <c r="H75" s="5127"/>
      <c r="I75" s="5127" t="s">
        <v>1002</v>
      </c>
      <c r="J75" s="5127"/>
      <c r="K75" s="5127" t="s">
        <v>1003</v>
      </c>
      <c r="L75" s="5127"/>
      <c r="M75" s="5127" t="s">
        <v>1004</v>
      </c>
      <c r="N75" s="5127"/>
      <c r="O75" s="5127" t="s">
        <v>1005</v>
      </c>
      <c r="P75" s="5127"/>
      <c r="Q75" s="5127" t="s">
        <v>1006</v>
      </c>
      <c r="R75" s="5127"/>
      <c r="S75" s="5127" t="s">
        <v>1007</v>
      </c>
      <c r="T75" s="5127"/>
    </row>
    <row r="76" spans="1:20" x14ac:dyDescent="0.25">
      <c r="A76" s="5127"/>
      <c r="B76" s="5127"/>
      <c r="C76" s="3242" t="s">
        <v>44</v>
      </c>
      <c r="D76" s="3242" t="s">
        <v>1008</v>
      </c>
      <c r="E76" s="3242" t="s">
        <v>44</v>
      </c>
      <c r="F76" s="3242" t="s">
        <v>1008</v>
      </c>
      <c r="G76" s="3242" t="s">
        <v>44</v>
      </c>
      <c r="H76" s="3242" t="s">
        <v>1008</v>
      </c>
      <c r="I76" s="3242" t="s">
        <v>44</v>
      </c>
      <c r="J76" s="3242" t="s">
        <v>1008</v>
      </c>
      <c r="K76" s="3242" t="s">
        <v>44</v>
      </c>
      <c r="L76" s="3242" t="s">
        <v>1008</v>
      </c>
      <c r="M76" s="3242" t="s">
        <v>44</v>
      </c>
      <c r="N76" s="3242" t="s">
        <v>1008</v>
      </c>
      <c r="O76" s="3242" t="s">
        <v>44</v>
      </c>
      <c r="P76" s="3242" t="s">
        <v>1008</v>
      </c>
      <c r="Q76" s="3242" t="s">
        <v>44</v>
      </c>
      <c r="R76" s="3242" t="s">
        <v>1008</v>
      </c>
      <c r="S76" s="3242" t="s">
        <v>44</v>
      </c>
      <c r="T76" s="3242" t="s">
        <v>1008</v>
      </c>
    </row>
    <row r="77" spans="1:20" ht="30" customHeight="1" x14ac:dyDescent="0.25">
      <c r="A77" s="5125" t="s">
        <v>3898</v>
      </c>
      <c r="B77" s="5125"/>
      <c r="C77" s="2384"/>
      <c r="D77" s="2389">
        <f>12130*1.046</f>
        <v>12687.980000000001</v>
      </c>
      <c r="E77" s="2384"/>
      <c r="F77" s="2389">
        <f>D77</f>
        <v>12687.980000000001</v>
      </c>
      <c r="G77" s="2385"/>
      <c r="H77" s="2389">
        <f>F77</f>
        <v>12687.980000000001</v>
      </c>
      <c r="I77" s="2384"/>
      <c r="J77" s="2389">
        <f>H77</f>
        <v>12687.980000000001</v>
      </c>
      <c r="K77" s="2384"/>
      <c r="L77" s="2389">
        <f>J77</f>
        <v>12687.980000000001</v>
      </c>
      <c r="M77" s="2384"/>
      <c r="N77" s="2389">
        <f>L77</f>
        <v>12687.980000000001</v>
      </c>
      <c r="O77" s="2384"/>
      <c r="P77" s="2389">
        <f>N77</f>
        <v>12687.980000000001</v>
      </c>
      <c r="Q77" s="2384"/>
      <c r="R77" s="2389">
        <f>P77</f>
        <v>12687.980000000001</v>
      </c>
      <c r="S77" s="2384"/>
      <c r="T77" s="2389">
        <f>R77</f>
        <v>12687.980000000001</v>
      </c>
    </row>
    <row r="78" spans="1:20" ht="30" customHeight="1" x14ac:dyDescent="0.25">
      <c r="A78" s="5123" t="s">
        <v>1011</v>
      </c>
      <c r="B78" s="5123"/>
      <c r="C78" s="2385"/>
      <c r="D78" s="2389">
        <v>1</v>
      </c>
      <c r="E78" s="2388"/>
      <c r="F78" s="2389">
        <f>SUM(F64)</f>
        <v>1.1299999999999999</v>
      </c>
      <c r="G78" s="2385"/>
      <c r="H78" s="2389">
        <f>SUM(H64)</f>
        <v>1.28</v>
      </c>
      <c r="I78" s="2388"/>
      <c r="J78" s="2389">
        <f>SUM(J64)</f>
        <v>1.44</v>
      </c>
      <c r="K78" s="2388"/>
      <c r="L78" s="2389">
        <f>SUM(L64)</f>
        <v>1.63</v>
      </c>
      <c r="M78" s="2388"/>
      <c r="N78" s="2389">
        <f>SUM(N64)</f>
        <v>1.84</v>
      </c>
      <c r="O78" s="2388"/>
      <c r="P78" s="2389">
        <f>SUM(P64)</f>
        <v>2.08</v>
      </c>
      <c r="Q78" s="2388"/>
      <c r="R78" s="2389">
        <f>SUM(R64)</f>
        <v>2.35</v>
      </c>
      <c r="S78" s="2385"/>
      <c r="T78" s="2389">
        <f>SUM(T64)</f>
        <v>2.66</v>
      </c>
    </row>
    <row r="79" spans="1:20" ht="30" customHeight="1" x14ac:dyDescent="0.25">
      <c r="A79" s="5123" t="s">
        <v>1012</v>
      </c>
      <c r="B79" s="5123"/>
      <c r="C79" s="2384"/>
      <c r="D79" s="2389">
        <f>D77*D78</f>
        <v>12687.980000000001</v>
      </c>
      <c r="E79" s="2384"/>
      <c r="F79" s="2389">
        <f>F77*F78</f>
        <v>14337.4174</v>
      </c>
      <c r="G79" s="2385"/>
      <c r="H79" s="2389">
        <f>H77*H78</f>
        <v>16240.614400000002</v>
      </c>
      <c r="I79" s="2384"/>
      <c r="J79" s="2389">
        <f>J77*J78</f>
        <v>18270.691200000001</v>
      </c>
      <c r="K79" s="2384"/>
      <c r="L79" s="2389">
        <f>L77*L78</f>
        <v>20681.4074</v>
      </c>
      <c r="M79" s="2384"/>
      <c r="N79" s="2389">
        <f>N77*N78</f>
        <v>23345.883200000004</v>
      </c>
      <c r="O79" s="2384"/>
      <c r="P79" s="2389">
        <f>P77*P78</f>
        <v>26390.998400000004</v>
      </c>
      <c r="Q79" s="2384"/>
      <c r="R79" s="2389">
        <f>R77*R78</f>
        <v>29816.753000000004</v>
      </c>
      <c r="S79" s="2384"/>
      <c r="T79" s="2389">
        <f>T77*T78</f>
        <v>33750.026800000007</v>
      </c>
    </row>
    <row r="80" spans="1:20" ht="30" customHeight="1" x14ac:dyDescent="0.25">
      <c r="A80" s="5123" t="s">
        <v>3540</v>
      </c>
      <c r="B80" s="5123"/>
      <c r="C80" s="2386">
        <v>0.125</v>
      </c>
      <c r="D80" s="2389">
        <f>D79*C80</f>
        <v>1585.9975000000002</v>
      </c>
      <c r="E80" s="2386">
        <v>0.125</v>
      </c>
      <c r="F80" s="2389">
        <f>F79*E80</f>
        <v>1792.177175</v>
      </c>
      <c r="G80" s="2386">
        <v>0.125</v>
      </c>
      <c r="H80" s="2389">
        <f>H79*G80</f>
        <v>2030.0768000000003</v>
      </c>
      <c r="I80" s="2386">
        <v>0.125</v>
      </c>
      <c r="J80" s="2389">
        <f>J79*I80</f>
        <v>2283.8364000000001</v>
      </c>
      <c r="K80" s="2386">
        <v>0.125</v>
      </c>
      <c r="L80" s="2389">
        <f>L79*K80</f>
        <v>2585.175925</v>
      </c>
      <c r="M80" s="2386">
        <v>0.125</v>
      </c>
      <c r="N80" s="2389">
        <f>N79*M80</f>
        <v>2918.2354000000005</v>
      </c>
      <c r="O80" s="2386">
        <v>0.125</v>
      </c>
      <c r="P80" s="2389">
        <f>P79*O80</f>
        <v>3298.8748000000005</v>
      </c>
      <c r="Q80" s="2386">
        <v>0.125</v>
      </c>
      <c r="R80" s="2389">
        <f>R79*Q80</f>
        <v>3727.0941250000005</v>
      </c>
      <c r="S80" s="2386">
        <v>0.125</v>
      </c>
      <c r="T80" s="2389">
        <f>T79*S80</f>
        <v>4218.7533500000009</v>
      </c>
    </row>
    <row r="81" spans="1:20" ht="30" customHeight="1" x14ac:dyDescent="0.25">
      <c r="A81" s="5123" t="s">
        <v>1014</v>
      </c>
      <c r="B81" s="5123"/>
      <c r="C81" s="2387">
        <v>0</v>
      </c>
      <c r="D81" s="2389">
        <f>D79*C81</f>
        <v>0</v>
      </c>
      <c r="E81" s="2387">
        <v>0.1</v>
      </c>
      <c r="F81" s="2389">
        <f>F79*E81</f>
        <v>1433.7417400000002</v>
      </c>
      <c r="G81" s="2387">
        <v>0.1</v>
      </c>
      <c r="H81" s="2389">
        <f>H79*G81</f>
        <v>1624.0614400000004</v>
      </c>
      <c r="I81" s="2387">
        <v>0.1</v>
      </c>
      <c r="J81" s="2389">
        <f>J79*I81</f>
        <v>1827.0691200000001</v>
      </c>
      <c r="K81" s="2387">
        <v>0.1</v>
      </c>
      <c r="L81" s="2389">
        <f>L79*K81</f>
        <v>2068.1407400000003</v>
      </c>
      <c r="M81" s="2387">
        <v>0.1</v>
      </c>
      <c r="N81" s="2389">
        <f>N79*M81</f>
        <v>2334.5883200000003</v>
      </c>
      <c r="O81" s="2387">
        <v>0.1</v>
      </c>
      <c r="P81" s="2389">
        <f>P79*O81</f>
        <v>2639.0998400000008</v>
      </c>
      <c r="Q81" s="2387">
        <v>0.1</v>
      </c>
      <c r="R81" s="2389">
        <f>R79*Q81</f>
        <v>2981.6753000000008</v>
      </c>
      <c r="S81" s="2387">
        <v>0.1</v>
      </c>
      <c r="T81" s="2389">
        <f>T79*S81</f>
        <v>3375.002680000001</v>
      </c>
    </row>
    <row r="82" spans="1:20" ht="30" customHeight="1" x14ac:dyDescent="0.25">
      <c r="A82" s="5123" t="s">
        <v>1015</v>
      </c>
      <c r="B82" s="5123"/>
      <c r="C82" s="2387">
        <v>0</v>
      </c>
      <c r="D82" s="2389">
        <f>D79*C82</f>
        <v>0</v>
      </c>
      <c r="E82" s="2387">
        <v>0</v>
      </c>
      <c r="F82" s="2389">
        <f>F79*E82</f>
        <v>0</v>
      </c>
      <c r="G82" s="2387">
        <v>0</v>
      </c>
      <c r="H82" s="2389">
        <f>H79*G82</f>
        <v>0</v>
      </c>
      <c r="I82" s="2387">
        <v>0</v>
      </c>
      <c r="J82" s="2389">
        <f>J79*I82</f>
        <v>0</v>
      </c>
      <c r="K82" s="2387">
        <v>0</v>
      </c>
      <c r="L82" s="2389">
        <f>L79*K82</f>
        <v>0</v>
      </c>
      <c r="M82" s="2387">
        <v>0</v>
      </c>
      <c r="N82" s="2389">
        <f>N79*M82</f>
        <v>0</v>
      </c>
      <c r="O82" s="2387">
        <v>0</v>
      </c>
      <c r="P82" s="2389">
        <f>P79*O82</f>
        <v>0</v>
      </c>
      <c r="Q82" s="2387">
        <v>0</v>
      </c>
      <c r="R82" s="2389">
        <f>R79*Q82</f>
        <v>0</v>
      </c>
      <c r="S82" s="2387">
        <v>0</v>
      </c>
      <c r="T82" s="2389">
        <f>T79*S82</f>
        <v>0</v>
      </c>
    </row>
    <row r="83" spans="1:20" ht="30" customHeight="1" x14ac:dyDescent="0.25">
      <c r="A83" s="5123" t="s">
        <v>1016</v>
      </c>
      <c r="B83" s="5123"/>
      <c r="C83" s="2387">
        <v>0.15</v>
      </c>
      <c r="D83" s="2389">
        <f>D79*C83</f>
        <v>1903.1970000000001</v>
      </c>
      <c r="E83" s="2387">
        <v>0.15</v>
      </c>
      <c r="F83" s="2389">
        <f>F79*E83</f>
        <v>2150.6126100000001</v>
      </c>
      <c r="G83" s="2387">
        <v>0.15</v>
      </c>
      <c r="H83" s="2389">
        <f>H79*G83</f>
        <v>2436.0921600000001</v>
      </c>
      <c r="I83" s="2387">
        <v>0.15</v>
      </c>
      <c r="J83" s="2389">
        <f>J79*I83</f>
        <v>2740.6036800000002</v>
      </c>
      <c r="K83" s="2387">
        <v>0.15</v>
      </c>
      <c r="L83" s="2389">
        <f>L79*K83</f>
        <v>3102.2111099999997</v>
      </c>
      <c r="M83" s="2387">
        <v>0.15</v>
      </c>
      <c r="N83" s="2389">
        <f>N79*M83</f>
        <v>3501.8824800000007</v>
      </c>
      <c r="O83" s="2387">
        <v>0.15</v>
      </c>
      <c r="P83" s="2389">
        <f>P79*O83</f>
        <v>3958.6497600000002</v>
      </c>
      <c r="Q83" s="2387">
        <v>0.15</v>
      </c>
      <c r="R83" s="2389">
        <f>R79*Q83</f>
        <v>4472.5129500000003</v>
      </c>
      <c r="S83" s="2387">
        <v>0.15</v>
      </c>
      <c r="T83" s="2389">
        <f>T79*S83</f>
        <v>5062.5040200000012</v>
      </c>
    </row>
    <row r="84" spans="1:20" ht="30" customHeight="1" x14ac:dyDescent="0.25">
      <c r="A84" s="5123" t="s">
        <v>1017</v>
      </c>
      <c r="B84" s="5123"/>
      <c r="C84" s="2387">
        <v>0.2</v>
      </c>
      <c r="D84" s="2389">
        <f>(D79+D80+D81+D82+D83)*0.2</f>
        <v>3235.4349000000002</v>
      </c>
      <c r="E84" s="2387">
        <v>0.2</v>
      </c>
      <c r="F84" s="2389">
        <f>(F79+F80+F81+F82+F83)*0.2</f>
        <v>3942.7897850000004</v>
      </c>
      <c r="G84" s="2387">
        <v>0.2</v>
      </c>
      <c r="H84" s="2389">
        <f>(H79+H80+H81+H82+H83)*0.2</f>
        <v>4466.1689600000009</v>
      </c>
      <c r="I84" s="2387">
        <v>0.2</v>
      </c>
      <c r="J84" s="2389">
        <f>(J79+J80+J81+J82+J83)*0.2</f>
        <v>5024.4400800000003</v>
      </c>
      <c r="K84" s="2387">
        <v>0.2</v>
      </c>
      <c r="L84" s="2389">
        <f>(L79+L80+L81+L82+L83)*0.2</f>
        <v>5687.3870349999997</v>
      </c>
      <c r="M84" s="2387">
        <v>0.2</v>
      </c>
      <c r="N84" s="2389">
        <f>(N79+N80+N81+N82+N83)*0.2</f>
        <v>6420.1178800000016</v>
      </c>
      <c r="O84" s="2387">
        <v>0.2</v>
      </c>
      <c r="P84" s="2389">
        <f>(P79+P80+P81+P82+P83)*0.2</f>
        <v>7257.5245600000017</v>
      </c>
      <c r="Q84" s="2387">
        <v>0.2</v>
      </c>
      <c r="R84" s="2389">
        <f>(R79+R80+R81+R82+R83)*0.2</f>
        <v>8199.6070750000017</v>
      </c>
      <c r="S84" s="2387">
        <v>0.2</v>
      </c>
      <c r="T84" s="2389">
        <f>(T79+T80+T81+T82+T83)*0.2</f>
        <v>9281.2573700000012</v>
      </c>
    </row>
    <row r="85" spans="1:20" ht="30" customHeight="1" x14ac:dyDescent="0.25">
      <c r="A85" s="5123" t="s">
        <v>1018</v>
      </c>
      <c r="B85" s="5123"/>
      <c r="C85" s="2387">
        <v>0.5</v>
      </c>
      <c r="D85" s="2389">
        <f>(D79+D80+D81+D82+D83)*0.5</f>
        <v>8088.5872500000005</v>
      </c>
      <c r="E85" s="2387">
        <v>0.5</v>
      </c>
      <c r="F85" s="2389">
        <f>(F79+F80+F81+F82+F83)*0.5</f>
        <v>9856.9744625000003</v>
      </c>
      <c r="G85" s="2387">
        <v>0.5</v>
      </c>
      <c r="H85" s="2389">
        <f>(H79+H80+H81+H82+H83)*0.5</f>
        <v>11165.422400000001</v>
      </c>
      <c r="I85" s="2387">
        <v>0.5</v>
      </c>
      <c r="J85" s="2389">
        <f>(J79+J80+J81+J82+J83)*0.5</f>
        <v>12561.100200000001</v>
      </c>
      <c r="K85" s="2387">
        <v>0.5</v>
      </c>
      <c r="L85" s="2389">
        <f>(L79+L80+L81+L82+L83)*0.5</f>
        <v>14218.467587499999</v>
      </c>
      <c r="M85" s="2387">
        <v>0.5</v>
      </c>
      <c r="N85" s="2389">
        <f>(N79+N80+N81+N82+N83)*0.5</f>
        <v>16050.294700000002</v>
      </c>
      <c r="O85" s="2387">
        <v>0.5</v>
      </c>
      <c r="P85" s="2389">
        <f>(P79+P80+P81+P82+P83)*0.5</f>
        <v>18143.811400000002</v>
      </c>
      <c r="Q85" s="2387">
        <v>0.5</v>
      </c>
      <c r="R85" s="2389">
        <f>(R79+R80+R81+R82+R83)*0.5</f>
        <v>20499.017687500003</v>
      </c>
      <c r="S85" s="2387">
        <v>0.5</v>
      </c>
      <c r="T85" s="2389">
        <f>(T79+T80+T81+T82+T83)*0.5</f>
        <v>23203.143425000002</v>
      </c>
    </row>
    <row r="86" spans="1:20" ht="30" customHeight="1" x14ac:dyDescent="0.25">
      <c r="A86" s="5124" t="s">
        <v>1019</v>
      </c>
      <c r="B86" s="5124"/>
      <c r="C86" s="2382"/>
      <c r="D86" s="2383">
        <f>D79+D80+D81+D82+D83+D84+D85</f>
        <v>27501.196650000002</v>
      </c>
      <c r="E86" s="2382"/>
      <c r="F86" s="2383">
        <f>F79+F80+F81+F82+F83+F84+F85</f>
        <v>33513.7131725</v>
      </c>
      <c r="G86" s="2382"/>
      <c r="H86" s="2383">
        <f>H79+H80+H81+H82+H83+H84+H85</f>
        <v>37962.436160000005</v>
      </c>
      <c r="I86" s="2382"/>
      <c r="J86" s="2383">
        <f>J79+J80+J81+J82+J83+J84+J85</f>
        <v>42707.740680000003</v>
      </c>
      <c r="K86" s="2382"/>
      <c r="L86" s="2383">
        <f>L79+L80+L81+L82+L83+L84+L85</f>
        <v>48342.789797499994</v>
      </c>
      <c r="M86" s="2382"/>
      <c r="N86" s="2383">
        <f>N79+N80+N81+N82+N83+N84+N85</f>
        <v>54571.001980000001</v>
      </c>
      <c r="O86" s="2382"/>
      <c r="P86" s="2383">
        <f>P79+P80+P81+P82+P83+P84+P85</f>
        <v>61688.958760000009</v>
      </c>
      <c r="Q86" s="2382"/>
      <c r="R86" s="2383">
        <f>R79+R80+R81+R82+R83+R84+R85</f>
        <v>69696.660137500003</v>
      </c>
      <c r="S86" s="2382"/>
      <c r="T86" s="2383">
        <f>T79+T80+T81+T82+T83+T84+T85</f>
        <v>78890.687644999998</v>
      </c>
    </row>
    <row r="127" spans="1:5" ht="18.75" x14ac:dyDescent="0.3">
      <c r="A127" s="2475"/>
      <c r="B127" s="2475"/>
      <c r="C127" s="2475"/>
      <c r="D127" s="2475"/>
      <c r="E127" s="2475"/>
    </row>
    <row r="128" spans="1:5" ht="18.75" x14ac:dyDescent="0.3">
      <c r="A128" s="2475" t="s">
        <v>3539</v>
      </c>
      <c r="B128" s="2475"/>
      <c r="C128" s="2475"/>
      <c r="D128" s="2475"/>
      <c r="E128" s="2475"/>
    </row>
  </sheetData>
  <mergeCells count="88"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K61:L61"/>
    <mergeCell ref="M61:N61"/>
    <mergeCell ref="O61:P61"/>
    <mergeCell ref="Q61:R61"/>
    <mergeCell ref="S61:T61"/>
    <mergeCell ref="A61:B62"/>
    <mergeCell ref="C61:D61"/>
    <mergeCell ref="E61:F61"/>
    <mergeCell ref="G61:H61"/>
    <mergeCell ref="I61:J61"/>
    <mergeCell ref="A60:T60"/>
    <mergeCell ref="A54:B54"/>
    <mergeCell ref="A52:B52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A40:T40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A15:B15"/>
    <mergeCell ref="A19:B19"/>
    <mergeCell ref="A9:B9"/>
    <mergeCell ref="A10:B10"/>
    <mergeCell ref="A11:B11"/>
    <mergeCell ref="A12:B12"/>
    <mergeCell ref="A13:B13"/>
    <mergeCell ref="A14:B14"/>
    <mergeCell ref="A8:B8"/>
    <mergeCell ref="A1:T1"/>
    <mergeCell ref="A2:T2"/>
    <mergeCell ref="A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A5:B5"/>
    <mergeCell ref="A6:B6"/>
    <mergeCell ref="A7:B7"/>
    <mergeCell ref="A74:T74"/>
    <mergeCell ref="A75:B76"/>
    <mergeCell ref="C75:D75"/>
    <mergeCell ref="E75:F75"/>
    <mergeCell ref="G75:H75"/>
    <mergeCell ref="I75:J75"/>
    <mergeCell ref="K75:L75"/>
    <mergeCell ref="M75:N75"/>
    <mergeCell ref="O75:P75"/>
    <mergeCell ref="Q75:R75"/>
    <mergeCell ref="S75:T75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</mergeCells>
  <printOptions horizontalCentered="1"/>
  <pageMargins left="0.31496062992125984" right="0.31496062992125984" top="0.94488188976377963" bottom="0.74803149606299213" header="0.31496062992125984" footer="0.31496062992125984"/>
  <pageSetup paperSize="9" scale="58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0">
    <tabColor rgb="FFFFFF00"/>
    <pageSetUpPr fitToPage="1"/>
  </sheetPr>
  <dimension ref="A1:S40"/>
  <sheetViews>
    <sheetView topLeftCell="A10" workbookViewId="0">
      <selection activeCell="P30" sqref="P30"/>
    </sheetView>
  </sheetViews>
  <sheetFormatPr defaultRowHeight="12.75" x14ac:dyDescent="0.2"/>
  <cols>
    <col min="1" max="1" width="39.7109375" style="2106" customWidth="1"/>
    <col min="2" max="2" width="11.42578125" style="2367" customWidth="1"/>
    <col min="3" max="3" width="10.28515625" style="5" customWidth="1"/>
    <col min="4" max="4" width="11.28515625" style="5" customWidth="1"/>
    <col min="5" max="5" width="12.140625" style="2375" customWidth="1"/>
    <col min="6" max="6" width="14.85546875" style="2375" customWidth="1"/>
    <col min="7" max="7" width="12" style="5" customWidth="1"/>
    <col min="8" max="8" width="11.85546875" style="5" customWidth="1"/>
    <col min="9" max="9" width="10.5703125" style="5" customWidth="1"/>
    <col min="10" max="10" width="11.140625" style="5" customWidth="1"/>
    <col min="11" max="11" width="12.7109375" style="5" customWidth="1"/>
    <col min="12" max="12" width="10.42578125" style="5" customWidth="1"/>
    <col min="13" max="13" width="9.7109375" style="5" customWidth="1"/>
    <col min="14" max="14" width="9.140625" style="5"/>
    <col min="15" max="15" width="12" style="5" customWidth="1"/>
    <col min="16" max="16" width="9.140625" style="5"/>
    <col min="17" max="19" width="10.42578125" style="5" customWidth="1"/>
    <col min="20" max="16384" width="9.140625" style="5"/>
  </cols>
  <sheetData>
    <row r="1" spans="1:11" ht="26.25" x14ac:dyDescent="0.4">
      <c r="A1" s="5152" t="s">
        <v>3524</v>
      </c>
      <c r="B1" s="5153"/>
      <c r="C1" s="5153"/>
      <c r="D1" s="5153"/>
      <c r="E1" s="5153"/>
      <c r="F1" s="5153"/>
      <c r="G1" s="5153"/>
      <c r="H1" s="5153"/>
      <c r="I1" s="5153"/>
      <c r="J1" s="5153"/>
      <c r="K1" s="2735"/>
    </row>
    <row r="3" spans="1:11" x14ac:dyDescent="0.2">
      <c r="A3" s="4476" t="s">
        <v>602</v>
      </c>
      <c r="B3" s="4487" t="s">
        <v>1883</v>
      </c>
      <c r="C3" s="4487" t="s">
        <v>616</v>
      </c>
      <c r="D3" s="5015" t="s">
        <v>3485</v>
      </c>
      <c r="E3" s="4487" t="s">
        <v>50</v>
      </c>
      <c r="F3" s="4487"/>
      <c r="G3" s="4487"/>
      <c r="H3" s="4487"/>
      <c r="I3" s="4487"/>
      <c r="J3" s="4487"/>
      <c r="K3" s="2458"/>
    </row>
    <row r="4" spans="1:11" ht="25.5" x14ac:dyDescent="0.2">
      <c r="A4" s="4476"/>
      <c r="B4" s="4487"/>
      <c r="C4" s="4487"/>
      <c r="D4" s="5032"/>
      <c r="E4" s="2431" t="s">
        <v>278</v>
      </c>
      <c r="F4" s="2431" t="s">
        <v>1879</v>
      </c>
      <c r="G4" s="2368" t="s">
        <v>1455</v>
      </c>
      <c r="H4" s="2368" t="s">
        <v>1880</v>
      </c>
      <c r="I4" s="2368" t="s">
        <v>1881</v>
      </c>
      <c r="J4" s="2368" t="s">
        <v>727</v>
      </c>
      <c r="K4" s="2131"/>
    </row>
    <row r="5" spans="1:11" x14ac:dyDescent="0.2">
      <c r="A5" s="2431" t="s">
        <v>347</v>
      </c>
      <c r="B5" s="2432"/>
      <c r="C5" s="2432"/>
      <c r="D5" s="2434"/>
      <c r="E5" s="2431"/>
      <c r="F5" s="2431"/>
      <c r="G5" s="2431"/>
      <c r="H5" s="2431"/>
      <c r="I5" s="2431"/>
      <c r="J5" s="2431"/>
      <c r="K5" s="2131"/>
    </row>
    <row r="6" spans="1:11" x14ac:dyDescent="0.2">
      <c r="A6" s="2108" t="s">
        <v>3477</v>
      </c>
      <c r="B6" s="2369"/>
      <c r="C6" s="1747"/>
      <c r="D6" s="1747"/>
      <c r="E6" s="1747"/>
      <c r="F6" s="1747"/>
      <c r="G6" s="1747"/>
      <c r="H6" s="1747"/>
      <c r="I6" s="1747"/>
      <c r="J6" s="1747"/>
      <c r="K6" s="2459"/>
    </row>
    <row r="7" spans="1:11" x14ac:dyDescent="0.2">
      <c r="A7" s="2108" t="s">
        <v>3478</v>
      </c>
      <c r="B7" s="2369" t="s">
        <v>3484</v>
      </c>
      <c r="C7" s="1747">
        <f>E7+F7+G7+H7+I7+J7</f>
        <v>1788264.37</v>
      </c>
      <c r="D7" s="1747">
        <f>E7+F7+G7+H7+I7</f>
        <v>1515478.28</v>
      </c>
      <c r="E7" s="1747">
        <v>1049566.25</v>
      </c>
      <c r="F7" s="1747">
        <f>84234.77-11983.61</f>
        <v>72251.16</v>
      </c>
      <c r="G7" s="1747">
        <v>174893.1</v>
      </c>
      <c r="H7" s="1747">
        <v>142520.53</v>
      </c>
      <c r="I7" s="1747">
        <v>76247.240000000005</v>
      </c>
      <c r="J7" s="1747">
        <v>272786.09000000003</v>
      </c>
      <c r="K7" s="2459"/>
    </row>
    <row r="8" spans="1:11" x14ac:dyDescent="0.2">
      <c r="A8" s="2108" t="s">
        <v>3479</v>
      </c>
      <c r="B8" s="2369" t="s">
        <v>3484</v>
      </c>
      <c r="C8" s="1747">
        <f t="shared" ref="C8:C12" si="0">E8+F8+G8+H8+I8+J8</f>
        <v>1813737.81</v>
      </c>
      <c r="D8" s="1747">
        <f t="shared" ref="D8:D12" si="1">E8+F8+G8+H8+I8</f>
        <v>1537065.94</v>
      </c>
      <c r="E8" s="1747">
        <v>1052533.94</v>
      </c>
      <c r="F8" s="1747">
        <f>87571.94-12463.42</f>
        <v>75108.52</v>
      </c>
      <c r="G8" s="1747">
        <v>181896.01</v>
      </c>
      <c r="H8" s="1747">
        <v>148227.21</v>
      </c>
      <c r="I8" s="1747">
        <v>79300.259999999995</v>
      </c>
      <c r="J8" s="1747">
        <v>276671.87</v>
      </c>
      <c r="K8" s="2459"/>
    </row>
    <row r="9" spans="1:11" x14ac:dyDescent="0.2">
      <c r="A9" s="2108" t="s">
        <v>3480</v>
      </c>
      <c r="B9" s="2369" t="s">
        <v>3484</v>
      </c>
      <c r="C9" s="1747">
        <f t="shared" si="0"/>
        <v>1840040.63</v>
      </c>
      <c r="D9" s="1747">
        <f t="shared" si="1"/>
        <v>1559356.47</v>
      </c>
      <c r="E9" s="1747">
        <v>1055501.7</v>
      </c>
      <c r="F9" s="1747">
        <f>91024.14-12961.77</f>
        <v>78062.37</v>
      </c>
      <c r="G9" s="1747">
        <v>189168.29</v>
      </c>
      <c r="H9" s="1747">
        <v>154153.39000000001</v>
      </c>
      <c r="I9" s="1747">
        <v>82470.720000000001</v>
      </c>
      <c r="J9" s="1747">
        <v>280684.15999999997</v>
      </c>
      <c r="K9" s="2459"/>
    </row>
    <row r="10" spans="1:11" ht="25.5" x14ac:dyDescent="0.2">
      <c r="A10" s="2108" t="s">
        <v>3481</v>
      </c>
      <c r="B10" s="2369" t="s">
        <v>3484</v>
      </c>
      <c r="C10" s="1747">
        <f t="shared" si="0"/>
        <v>1867528.03</v>
      </c>
      <c r="D10" s="1747">
        <f t="shared" si="1"/>
        <v>1582650.87</v>
      </c>
      <c r="E10" s="1747">
        <v>1058655.33</v>
      </c>
      <c r="F10" s="1747">
        <f>94706.54-13478.52</f>
        <v>81228.01999999999</v>
      </c>
      <c r="G10" s="1747">
        <v>196709.88</v>
      </c>
      <c r="H10" s="1747">
        <v>160299.04999999999</v>
      </c>
      <c r="I10" s="1747">
        <v>85758.59</v>
      </c>
      <c r="J10" s="1747">
        <v>284877.15999999997</v>
      </c>
      <c r="K10" s="2459"/>
    </row>
    <row r="11" spans="1:11" ht="25.5" x14ac:dyDescent="0.2">
      <c r="A11" s="2108" t="s">
        <v>3482</v>
      </c>
      <c r="B11" s="2369" t="s">
        <v>3484</v>
      </c>
      <c r="C11" s="1747">
        <f t="shared" si="0"/>
        <v>1896294.1300000001</v>
      </c>
      <c r="D11" s="1747">
        <f t="shared" si="1"/>
        <v>1607028.9200000002</v>
      </c>
      <c r="E11" s="1747">
        <v>1061993.8600000001</v>
      </c>
      <c r="F11" s="1747">
        <f>98504.03-14019.83</f>
        <v>84484.2</v>
      </c>
      <c r="G11" s="1747">
        <v>204610.54</v>
      </c>
      <c r="H11" s="1747">
        <v>166737.32</v>
      </c>
      <c r="I11" s="1747">
        <v>89203</v>
      </c>
      <c r="J11" s="1747">
        <v>289265.21000000002</v>
      </c>
      <c r="K11" s="2459"/>
    </row>
    <row r="12" spans="1:11" x14ac:dyDescent="0.2">
      <c r="A12" s="2108" t="s">
        <v>3483</v>
      </c>
      <c r="B12" s="2369" t="s">
        <v>3484</v>
      </c>
      <c r="C12" s="1747">
        <f t="shared" si="0"/>
        <v>1925889.7599999995</v>
      </c>
      <c r="D12" s="1747">
        <f t="shared" si="1"/>
        <v>1632109.9699999995</v>
      </c>
      <c r="E12" s="1747">
        <v>1065332.3899999999</v>
      </c>
      <c r="F12" s="1747">
        <f>102416.58-14579.68</f>
        <v>87836.9</v>
      </c>
      <c r="G12" s="1747">
        <v>212780.65</v>
      </c>
      <c r="H12" s="1747">
        <v>173395.14</v>
      </c>
      <c r="I12" s="1747">
        <v>92764.89</v>
      </c>
      <c r="J12" s="1747">
        <v>293779.78999999998</v>
      </c>
      <c r="K12" s="2459"/>
    </row>
    <row r="13" spans="1:11" x14ac:dyDescent="0.2">
      <c r="A13" s="2376" t="s">
        <v>337</v>
      </c>
      <c r="B13" s="2369"/>
      <c r="C13" s="1747"/>
      <c r="D13" s="1747"/>
      <c r="E13" s="1747"/>
      <c r="F13" s="1747"/>
      <c r="G13" s="1747"/>
      <c r="H13" s="1747"/>
      <c r="I13" s="1747"/>
      <c r="J13" s="1747"/>
      <c r="K13" s="2459"/>
    </row>
    <row r="14" spans="1:11" x14ac:dyDescent="0.2">
      <c r="A14" s="2108" t="s">
        <v>3486</v>
      </c>
      <c r="B14" s="2369"/>
      <c r="C14" s="1747"/>
      <c r="D14" s="1747"/>
      <c r="E14" s="1747"/>
      <c r="F14" s="1747"/>
      <c r="G14" s="1747"/>
      <c r="H14" s="1747"/>
      <c r="I14" s="1747"/>
      <c r="J14" s="1747"/>
      <c r="K14" s="2459"/>
    </row>
    <row r="15" spans="1:11" x14ac:dyDescent="0.2">
      <c r="A15" s="2108" t="s">
        <v>3487</v>
      </c>
      <c r="B15" s="2369" t="s">
        <v>3484</v>
      </c>
      <c r="C15" s="1747">
        <f t="shared" ref="C15:C20" si="2">E15+F15+G15+H15+I15+J15</f>
        <v>2421106.1099999994</v>
      </c>
      <c r="D15" s="1747">
        <f t="shared" ref="D15:D20" si="3">E15+F15+G15+H15+I15</f>
        <v>2051784.8399999996</v>
      </c>
      <c r="E15" s="1747">
        <v>1027043.99</v>
      </c>
      <c r="F15" s="1747">
        <f>429384.72-56954.12</f>
        <v>372430.6</v>
      </c>
      <c r="G15" s="1747">
        <v>268416.88</v>
      </c>
      <c r="H15" s="1747">
        <v>245858.21</v>
      </c>
      <c r="I15" s="1747">
        <v>138035.16</v>
      </c>
      <c r="J15" s="1747">
        <v>369321.27</v>
      </c>
      <c r="K15" s="2459"/>
    </row>
    <row r="16" spans="1:11" x14ac:dyDescent="0.2">
      <c r="A16" s="2108" t="s">
        <v>3488</v>
      </c>
      <c r="B16" s="2369" t="s">
        <v>3484</v>
      </c>
      <c r="C16" s="1747">
        <f t="shared" si="2"/>
        <v>2368264.7400000002</v>
      </c>
      <c r="D16" s="1747">
        <f t="shared" si="3"/>
        <v>2007004.0200000003</v>
      </c>
      <c r="E16" s="1747">
        <v>1021434.66</v>
      </c>
      <c r="F16" s="1747">
        <f>413072.9-54767.23</f>
        <v>358305.67000000004</v>
      </c>
      <c r="G16" s="1747">
        <v>258110.56</v>
      </c>
      <c r="H16" s="1747">
        <v>236418.05</v>
      </c>
      <c r="I16" s="1747">
        <v>132735.07999999999</v>
      </c>
      <c r="J16" s="1747">
        <v>361260.72</v>
      </c>
      <c r="K16" s="2459"/>
    </row>
    <row r="17" spans="1:19" x14ac:dyDescent="0.2">
      <c r="A17" s="2108" t="s">
        <v>3489</v>
      </c>
      <c r="B17" s="2369" t="s">
        <v>3484</v>
      </c>
      <c r="C17" s="1747">
        <f t="shared" si="2"/>
        <v>2317115.19</v>
      </c>
      <c r="D17" s="1747">
        <f t="shared" si="3"/>
        <v>1963656.94</v>
      </c>
      <c r="E17" s="1747">
        <v>1016025.73</v>
      </c>
      <c r="F17" s="1747">
        <f>397240.81-52652.52</f>
        <v>344588.29</v>
      </c>
      <c r="G17" s="1747">
        <v>248144.05</v>
      </c>
      <c r="H17" s="1747">
        <v>227289.15</v>
      </c>
      <c r="I17" s="1747">
        <v>127609.72</v>
      </c>
      <c r="J17" s="1747">
        <v>353458.25</v>
      </c>
      <c r="K17" s="2459"/>
    </row>
    <row r="18" spans="1:19" x14ac:dyDescent="0.2">
      <c r="A18" s="2108" t="s">
        <v>3490</v>
      </c>
      <c r="B18" s="2369" t="s">
        <v>3484</v>
      </c>
      <c r="C18" s="1747">
        <f t="shared" si="2"/>
        <v>2267953.79</v>
      </c>
      <c r="D18" s="1747">
        <f t="shared" si="3"/>
        <v>1921994.74</v>
      </c>
      <c r="E18" s="1747">
        <v>1010817.1</v>
      </c>
      <c r="F18" s="1747">
        <f>381888.53-50633.87</f>
        <v>331254.66000000003</v>
      </c>
      <c r="G18" s="1747">
        <v>238630.51</v>
      </c>
      <c r="H18" s="1747">
        <v>218575.16</v>
      </c>
      <c r="I18" s="1747">
        <v>122717.31</v>
      </c>
      <c r="J18" s="1747">
        <v>345959.05</v>
      </c>
      <c r="K18" s="2459"/>
    </row>
    <row r="19" spans="1:19" x14ac:dyDescent="0.2">
      <c r="A19" s="2108" t="s">
        <v>3491</v>
      </c>
      <c r="B19" s="2369" t="s">
        <v>3484</v>
      </c>
      <c r="C19" s="1747">
        <f t="shared" si="2"/>
        <v>2220484.12</v>
      </c>
      <c r="D19" s="1747">
        <f t="shared" si="3"/>
        <v>1881766.2</v>
      </c>
      <c r="E19" s="1747">
        <v>1005808.65</v>
      </c>
      <c r="F19" s="1747">
        <f>367015.98-48687.29</f>
        <v>318328.69</v>
      </c>
      <c r="G19" s="1747">
        <v>229456.77</v>
      </c>
      <c r="H19" s="1747">
        <v>210172.42</v>
      </c>
      <c r="I19" s="1747">
        <v>117999.67</v>
      </c>
      <c r="J19" s="1747">
        <v>338717.92</v>
      </c>
      <c r="K19" s="2459"/>
    </row>
    <row r="20" spans="1:19" x14ac:dyDescent="0.2">
      <c r="A20" s="2370" t="s">
        <v>3492</v>
      </c>
      <c r="B20" s="2369" t="s">
        <v>3484</v>
      </c>
      <c r="C20" s="1747">
        <f t="shared" si="2"/>
        <v>2175272.4</v>
      </c>
      <c r="D20" s="1747">
        <f t="shared" si="3"/>
        <v>1843451.19</v>
      </c>
      <c r="E20" s="1747">
        <v>1001000.82</v>
      </c>
      <c r="F20" s="1747">
        <f>353102.95-46812.89</f>
        <v>306290.06</v>
      </c>
      <c r="G20" s="1747">
        <v>220622.74</v>
      </c>
      <c r="H20" s="1747">
        <v>202080.85</v>
      </c>
      <c r="I20" s="1747">
        <v>113456.72</v>
      </c>
      <c r="J20" s="1747">
        <v>331821.21000000002</v>
      </c>
      <c r="K20" s="2459"/>
    </row>
    <row r="21" spans="1:19" x14ac:dyDescent="0.2">
      <c r="A21" s="2457"/>
      <c r="B21" s="2458"/>
      <c r="C21" s="2459"/>
      <c r="D21" s="2459"/>
      <c r="E21" s="2460"/>
      <c r="F21" s="2460"/>
      <c r="G21" s="2459"/>
      <c r="H21" s="2459"/>
      <c r="I21" s="2459"/>
      <c r="J21" s="2459"/>
      <c r="K21" s="2459"/>
    </row>
    <row r="22" spans="1:19" ht="25.5" x14ac:dyDescent="0.2">
      <c r="A22" s="5161" t="s">
        <v>3901</v>
      </c>
      <c r="B22" s="5162"/>
      <c r="C22" s="5162"/>
      <c r="D22" s="5162"/>
      <c r="E22" s="5162"/>
      <c r="F22" s="5162"/>
      <c r="G22" s="5162"/>
      <c r="H22" s="5162"/>
      <c r="I22" s="5162"/>
      <c r="J22" s="5162"/>
      <c r="K22" s="5162"/>
      <c r="L22" s="4242"/>
      <c r="M22" s="4242"/>
      <c r="N22" s="4242"/>
      <c r="O22" s="4242"/>
      <c r="P22" s="4242"/>
      <c r="Q22" s="4242"/>
      <c r="R22" s="4242"/>
      <c r="S22" s="4242"/>
    </row>
    <row r="24" spans="1:19" ht="43.5" customHeight="1" x14ac:dyDescent="0.2">
      <c r="A24" s="5015" t="s">
        <v>602</v>
      </c>
      <c r="B24" s="2369" t="s">
        <v>1802</v>
      </c>
      <c r="C24" s="2369" t="s">
        <v>1808</v>
      </c>
      <c r="D24" s="2369" t="s">
        <v>1809</v>
      </c>
      <c r="E24" s="2369" t="s">
        <v>1810</v>
      </c>
      <c r="F24" s="2369" t="s">
        <v>1811</v>
      </c>
      <c r="G24" s="2432" t="s">
        <v>1812</v>
      </c>
      <c r="H24" s="2432" t="s">
        <v>3529</v>
      </c>
      <c r="I24" s="4847" t="s">
        <v>3694</v>
      </c>
      <c r="J24" s="5163"/>
      <c r="K24" s="4875"/>
      <c r="L24" s="2582" t="s">
        <v>3648</v>
      </c>
      <c r="M24" s="2582" t="s">
        <v>3649</v>
      </c>
      <c r="N24" s="2582" t="s">
        <v>3655</v>
      </c>
      <c r="O24" s="4847" t="s">
        <v>3888</v>
      </c>
      <c r="P24" s="4875"/>
      <c r="Q24" s="3913" t="s">
        <v>3943</v>
      </c>
      <c r="R24" s="3913" t="s">
        <v>3944</v>
      </c>
      <c r="S24" s="3913" t="s">
        <v>3949</v>
      </c>
    </row>
    <row r="25" spans="1:19" ht="43.5" customHeight="1" x14ac:dyDescent="0.2">
      <c r="A25" s="4830"/>
      <c r="B25" s="2723"/>
      <c r="C25" s="2723"/>
      <c r="D25" s="2723"/>
      <c r="E25" s="2723"/>
      <c r="F25" s="2723"/>
      <c r="G25" s="2723"/>
      <c r="H25" s="2723"/>
      <c r="I25" s="4847" t="s">
        <v>272</v>
      </c>
      <c r="J25" s="5160"/>
      <c r="K25" s="2721" t="s">
        <v>3693</v>
      </c>
      <c r="L25" s="2721"/>
      <c r="M25" s="2721"/>
      <c r="N25" s="2721"/>
      <c r="O25" s="3328" t="s">
        <v>272</v>
      </c>
      <c r="P25" s="3327" t="s">
        <v>3693</v>
      </c>
      <c r="Q25" s="3913"/>
      <c r="R25" s="3913"/>
      <c r="S25" s="3913"/>
    </row>
    <row r="26" spans="1:19" ht="25.5" x14ac:dyDescent="0.2">
      <c r="A26" s="3330" t="s">
        <v>3525</v>
      </c>
      <c r="B26" s="3348">
        <f t="shared" ref="B26:H26" si="4">SUM(B27:B31)</f>
        <v>1632.0962500000001</v>
      </c>
      <c r="C26" s="3348">
        <f t="shared" si="4"/>
        <v>1655.76394</v>
      </c>
      <c r="D26" s="3348">
        <f t="shared" si="4"/>
        <v>1673.0017</v>
      </c>
      <c r="E26" s="3348">
        <f t="shared" si="4"/>
        <v>1694.43533</v>
      </c>
      <c r="F26" s="3348">
        <f t="shared" si="4"/>
        <v>1716.5938599999999</v>
      </c>
      <c r="G26" s="3348">
        <f t="shared" si="4"/>
        <v>1065.3323899999998</v>
      </c>
      <c r="H26" s="2652">
        <f t="shared" si="4"/>
        <v>5045.8999999999996</v>
      </c>
      <c r="I26" s="5158">
        <f>SUM(I27:J31)</f>
        <v>2403.3279968831998</v>
      </c>
      <c r="J26" s="5159"/>
      <c r="K26" s="3348">
        <f>SUM(K27:K31)</f>
        <v>1664.2445489010001</v>
      </c>
      <c r="L26" s="3348">
        <f t="shared" ref="L26:N26" si="5">SUM(L27:L31)</f>
        <v>3270.0099999999998</v>
      </c>
      <c r="M26" s="3348">
        <f t="shared" si="5"/>
        <v>5216.5599999999995</v>
      </c>
      <c r="N26" s="3348">
        <f t="shared" si="5"/>
        <v>6027.3600000000006</v>
      </c>
      <c r="O26" s="3336">
        <f>SUM(O27:O31)</f>
        <v>4481.3200607999997</v>
      </c>
      <c r="P26" s="4122">
        <f>SUM(P27:P31)</f>
        <v>1710.2342863793883</v>
      </c>
      <c r="Q26" s="3588">
        <f t="shared" ref="Q26:S26" si="6">SUM(Q27:Q31)</f>
        <v>2753.0599999999995</v>
      </c>
      <c r="R26" s="3588">
        <f t="shared" si="6"/>
        <v>3307.29</v>
      </c>
      <c r="S26" s="3458">
        <f t="shared" si="6"/>
        <v>6027.3600000000006</v>
      </c>
    </row>
    <row r="27" spans="1:19" x14ac:dyDescent="0.2">
      <c r="A27" s="3333" t="s">
        <v>83</v>
      </c>
      <c r="B27" s="3334"/>
      <c r="C27" s="3334"/>
      <c r="D27" s="3334"/>
      <c r="E27" s="3334"/>
      <c r="F27" s="3334"/>
      <c r="G27" s="3334"/>
      <c r="H27" s="3455">
        <v>27.13</v>
      </c>
      <c r="I27" s="5154">
        <f>SUM(ремонты!F45)</f>
        <v>27.13</v>
      </c>
      <c r="J27" s="5155"/>
      <c r="K27" s="2610">
        <f>SUM(ремонты!J45)</f>
        <v>0</v>
      </c>
      <c r="L27" s="3334">
        <v>0</v>
      </c>
      <c r="M27" s="3334"/>
      <c r="N27" s="3334"/>
      <c r="O27" s="3335">
        <f>SUM(ремонты!L45)</f>
        <v>144.47854080000002</v>
      </c>
      <c r="P27" s="4080">
        <f>SUM(B27*(1+0.032)*0.99*(1+0.036)*0.99)</f>
        <v>0</v>
      </c>
      <c r="Q27" s="3515">
        <v>0</v>
      </c>
      <c r="R27" s="3515">
        <v>0</v>
      </c>
      <c r="S27" s="3459"/>
    </row>
    <row r="28" spans="1:19" x14ac:dyDescent="0.2">
      <c r="A28" s="3333" t="s">
        <v>84</v>
      </c>
      <c r="B28" s="3334"/>
      <c r="C28" s="3334"/>
      <c r="D28" s="3334"/>
      <c r="E28" s="3334"/>
      <c r="F28" s="3334"/>
      <c r="G28" s="3334"/>
      <c r="H28" s="3455">
        <v>2275</v>
      </c>
      <c r="I28" s="5154">
        <f>SUM(ремонты!F46)</f>
        <v>720.43499999999995</v>
      </c>
      <c r="J28" s="5155"/>
      <c r="K28" s="2610">
        <f>SUM(ремонты!J46)</f>
        <v>0</v>
      </c>
      <c r="L28" s="3334">
        <v>2353.4699999999998</v>
      </c>
      <c r="M28" s="3334">
        <f>3415.99</f>
        <v>3415.99</v>
      </c>
      <c r="N28" s="3334">
        <v>3651.89</v>
      </c>
      <c r="O28" s="3335">
        <f>SUM(ремонты!L46)</f>
        <v>1536.8345586</v>
      </c>
      <c r="P28" s="4080">
        <f t="shared" ref="P28:P36" si="7">SUM(B28*(1+0.032)*0.99*(1+0.036)*0.99)</f>
        <v>0</v>
      </c>
      <c r="Q28" s="3515">
        <v>1768.05</v>
      </c>
      <c r="R28" s="3515">
        <v>1919.63</v>
      </c>
      <c r="S28" s="3459">
        <v>3651.89</v>
      </c>
    </row>
    <row r="29" spans="1:19" x14ac:dyDescent="0.2">
      <c r="A29" s="3333" t="s">
        <v>3685</v>
      </c>
      <c r="B29" s="3334"/>
      <c r="C29" s="3334"/>
      <c r="D29" s="3334"/>
      <c r="E29" s="3334"/>
      <c r="F29" s="3334"/>
      <c r="G29" s="3334"/>
      <c r="H29" s="3455"/>
      <c r="I29" s="5154"/>
      <c r="J29" s="5155"/>
      <c r="K29" s="3334">
        <v>0</v>
      </c>
      <c r="L29" s="3334"/>
      <c r="M29" s="3334">
        <v>557.87</v>
      </c>
      <c r="N29" s="3334">
        <v>656.2</v>
      </c>
      <c r="O29" s="3335">
        <f>SUM(ремонты!L47)</f>
        <v>679.5213480000001</v>
      </c>
      <c r="P29" s="4080">
        <f t="shared" si="7"/>
        <v>0</v>
      </c>
      <c r="Q29" s="3515">
        <v>0</v>
      </c>
      <c r="R29" s="3515">
        <v>0</v>
      </c>
      <c r="S29" s="3459">
        <v>656.2</v>
      </c>
    </row>
    <row r="30" spans="1:19" s="2367" customFormat="1" x14ac:dyDescent="0.2">
      <c r="A30" s="3333" t="s">
        <v>85</v>
      </c>
      <c r="B30" s="2610">
        <f>(E7)/1000</f>
        <v>1049.5662500000001</v>
      </c>
      <c r="C30" s="2610">
        <f>(E8)/1000</f>
        <v>1052.53394</v>
      </c>
      <c r="D30" s="2610">
        <f>(E9)/1000</f>
        <v>1055.5017</v>
      </c>
      <c r="E30" s="2610">
        <f>(E10)/1000</f>
        <v>1058.65533</v>
      </c>
      <c r="F30" s="2610">
        <f>(E11)/1000</f>
        <v>1061.99386</v>
      </c>
      <c r="G30" s="2610">
        <f>(E12)/1000</f>
        <v>1065.3323899999998</v>
      </c>
      <c r="H30" s="3334">
        <v>996.74</v>
      </c>
      <c r="I30" s="5154">
        <f>SUM(ремонты!F48)</f>
        <v>1052.53394</v>
      </c>
      <c r="J30" s="5155"/>
      <c r="K30" s="2610">
        <f>SUM(ремонты!J48)</f>
        <v>1070.2427051249999</v>
      </c>
      <c r="L30" s="2610">
        <v>197.37</v>
      </c>
      <c r="M30" s="2610">
        <v>294.45</v>
      </c>
      <c r="N30" s="2610">
        <v>515.79999999999995</v>
      </c>
      <c r="O30" s="3335">
        <f>SUM(ремонты!L48)</f>
        <v>1153.2394764000001</v>
      </c>
      <c r="P30" s="4080">
        <f t="shared" si="7"/>
        <v>1099.8151527991322</v>
      </c>
      <c r="Q30" s="3335">
        <v>379.27</v>
      </c>
      <c r="R30" s="3335">
        <v>496.94</v>
      </c>
      <c r="S30" s="3307">
        <v>515.79999999999995</v>
      </c>
    </row>
    <row r="31" spans="1:19" s="2430" customFormat="1" ht="25.5" x14ac:dyDescent="0.2">
      <c r="A31" s="3333" t="s">
        <v>3528</v>
      </c>
      <c r="B31" s="2610">
        <v>582.53</v>
      </c>
      <c r="C31" s="2610">
        <v>603.23</v>
      </c>
      <c r="D31" s="2610">
        <v>617.5</v>
      </c>
      <c r="E31" s="2610">
        <v>635.78</v>
      </c>
      <c r="F31" s="2610">
        <v>654.6</v>
      </c>
      <c r="G31" s="2610"/>
      <c r="H31" s="3334">
        <v>1747.03</v>
      </c>
      <c r="I31" s="5154">
        <f>SUM(ремонты!F49)</f>
        <v>603.22905688320009</v>
      </c>
      <c r="J31" s="5155"/>
      <c r="K31" s="2610">
        <f>SUM(ремонты!J49)</f>
        <v>594.0018437760001</v>
      </c>
      <c r="L31" s="2610">
        <v>719.17</v>
      </c>
      <c r="M31" s="2610">
        <v>948.25</v>
      </c>
      <c r="N31" s="2610">
        <v>1203.47</v>
      </c>
      <c r="O31" s="3335">
        <f>SUM(ремонты!L49)</f>
        <v>967.24613699999998</v>
      </c>
      <c r="P31" s="4080">
        <f t="shared" si="7"/>
        <v>610.41913358025613</v>
      </c>
      <c r="Q31" s="3335">
        <v>605.74</v>
      </c>
      <c r="R31" s="3335">
        <v>890.72</v>
      </c>
      <c r="S31" s="3307">
        <v>1203.47</v>
      </c>
    </row>
    <row r="32" spans="1:19" s="2430" customFormat="1" ht="25.5" x14ac:dyDescent="0.2">
      <c r="A32" s="3456" t="s">
        <v>3526</v>
      </c>
      <c r="B32" s="2611">
        <f>SUM(B33:B36)</f>
        <v>1779.89399</v>
      </c>
      <c r="C32" s="2611">
        <f t="shared" ref="C32:G32" si="8">SUM(C33:C36)</f>
        <v>1801.03466</v>
      </c>
      <c r="D32" s="2611">
        <f t="shared" si="8"/>
        <v>1814.07573</v>
      </c>
      <c r="E32" s="2611">
        <f t="shared" si="8"/>
        <v>1832.4870999999998</v>
      </c>
      <c r="F32" s="2611">
        <f t="shared" si="8"/>
        <v>1851.7986500000002</v>
      </c>
      <c r="G32" s="2611">
        <f t="shared" si="8"/>
        <v>1001.00082</v>
      </c>
      <c r="H32" s="2652">
        <f>SUM(H33:H36)</f>
        <v>2872.46</v>
      </c>
      <c r="I32" s="5158">
        <f>SUM(I33:J36)</f>
        <v>2717.4521485681998</v>
      </c>
      <c r="J32" s="5159"/>
      <c r="K32" s="3348">
        <f>SUM(K33:K36)</f>
        <v>1814.9541593040001</v>
      </c>
      <c r="L32" s="2611">
        <f t="shared" ref="L32:N32" si="9">SUM(L33:L36)</f>
        <v>1424.46</v>
      </c>
      <c r="M32" s="2611">
        <f t="shared" si="9"/>
        <v>2580.04</v>
      </c>
      <c r="N32" s="2611">
        <f t="shared" si="9"/>
        <v>2890.87</v>
      </c>
      <c r="O32" s="3336">
        <f>SUM(O33:O36)</f>
        <v>3261.9406446000003</v>
      </c>
      <c r="P32" s="4122">
        <f>SUM(P33:P36)</f>
        <v>1865.1079725344698</v>
      </c>
      <c r="Q32" s="3336">
        <f t="shared" ref="Q32:S32" si="10">SUM(Q33:Q36)</f>
        <v>862.01499999999999</v>
      </c>
      <c r="R32" s="3336">
        <f t="shared" si="10"/>
        <v>1354.6999999999998</v>
      </c>
      <c r="S32" s="3309">
        <f t="shared" si="10"/>
        <v>2890.87</v>
      </c>
    </row>
    <row r="33" spans="1:19" s="2430" customFormat="1" x14ac:dyDescent="0.2">
      <c r="A33" s="3457" t="s">
        <v>88</v>
      </c>
      <c r="B33" s="2610"/>
      <c r="C33" s="2610"/>
      <c r="D33" s="2610"/>
      <c r="E33" s="2610"/>
      <c r="F33" s="2610"/>
      <c r="G33" s="2610"/>
      <c r="H33" s="3334">
        <v>590.36</v>
      </c>
      <c r="I33" s="5154">
        <f>SUM(ремонты!F51)</f>
        <v>435.33</v>
      </c>
      <c r="J33" s="5155"/>
      <c r="K33" s="2610">
        <f>SUM(ремонты!J51)</f>
        <v>0</v>
      </c>
      <c r="L33" s="2610">
        <v>583.70000000000005</v>
      </c>
      <c r="M33" s="2610">
        <v>1195.48</v>
      </c>
      <c r="N33" s="2610">
        <v>1249.92</v>
      </c>
      <c r="O33" s="3335">
        <f>SUM(ремонты!L51)</f>
        <v>464.32578059999997</v>
      </c>
      <c r="P33" s="4080">
        <f t="shared" si="7"/>
        <v>0</v>
      </c>
      <c r="Q33" s="3335">
        <v>217.41</v>
      </c>
      <c r="R33" s="3335">
        <v>286.07</v>
      </c>
      <c r="S33" s="3307">
        <v>1249.92</v>
      </c>
    </row>
    <row r="34" spans="1:19" s="2430" customFormat="1" x14ac:dyDescent="0.2">
      <c r="A34" s="3457" t="s">
        <v>89</v>
      </c>
      <c r="B34" s="2610"/>
      <c r="C34" s="2610"/>
      <c r="D34" s="2610"/>
      <c r="E34" s="2610"/>
      <c r="F34" s="2610"/>
      <c r="G34" s="2610"/>
      <c r="H34" s="3334">
        <v>1291.27</v>
      </c>
      <c r="I34" s="5154">
        <f>SUM(ремонты!F52)</f>
        <v>481.08499999999998</v>
      </c>
      <c r="J34" s="5155"/>
      <c r="K34" s="2610">
        <f>SUM(ремонты!J52)</f>
        <v>0</v>
      </c>
      <c r="L34" s="2610">
        <v>165.75</v>
      </c>
      <c r="M34" s="2610">
        <v>305.58999999999997</v>
      </c>
      <c r="N34" s="2610">
        <v>283.89</v>
      </c>
      <c r="O34" s="3335">
        <f>SUM(ремонты!L52)</f>
        <v>293.97945060000001</v>
      </c>
      <c r="P34" s="4080">
        <f t="shared" si="7"/>
        <v>0</v>
      </c>
      <c r="Q34" s="3335">
        <v>205.33</v>
      </c>
      <c r="R34" s="3335">
        <v>371.3</v>
      </c>
      <c r="S34" s="3307">
        <v>283.89</v>
      </c>
    </row>
    <row r="35" spans="1:19" x14ac:dyDescent="0.2">
      <c r="A35" s="3457" t="s">
        <v>90</v>
      </c>
      <c r="B35" s="2610">
        <f>(E15)/1000</f>
        <v>1027.0439899999999</v>
      </c>
      <c r="C35" s="2610">
        <f>(E16)/1000</f>
        <v>1021.43466</v>
      </c>
      <c r="D35" s="2610">
        <f>(E17)/1000</f>
        <v>1016.02573</v>
      </c>
      <c r="E35" s="2610">
        <f>(E18)/1000</f>
        <v>1010.8171</v>
      </c>
      <c r="F35" s="2610">
        <f>(E19)/1000</f>
        <v>1005.8086500000001</v>
      </c>
      <c r="G35" s="2610">
        <f>(E20)/1000</f>
        <v>1001.00082</v>
      </c>
      <c r="H35" s="3334">
        <v>559.78</v>
      </c>
      <c r="I35" s="5154">
        <f>SUM(ремонты!F53)</f>
        <v>1021.43466</v>
      </c>
      <c r="J35" s="5155"/>
      <c r="K35" s="2610">
        <f>SUM(ремонты!J53)</f>
        <v>1047.276756603</v>
      </c>
      <c r="L35" s="2610">
        <v>407.15</v>
      </c>
      <c r="M35" s="2610">
        <v>598.23</v>
      </c>
      <c r="N35" s="2610">
        <v>678.82</v>
      </c>
      <c r="O35" s="3335">
        <f>SUM(ремонты!L53)</f>
        <v>1182.172464</v>
      </c>
      <c r="P35" s="4080">
        <f t="shared" si="7"/>
        <v>1076.2146198901498</v>
      </c>
      <c r="Q35" s="3335">
        <v>324.8</v>
      </c>
      <c r="R35" s="3335">
        <v>453.82499999999999</v>
      </c>
      <c r="S35" s="3307">
        <v>678.82</v>
      </c>
    </row>
    <row r="36" spans="1:19" ht="25.5" x14ac:dyDescent="0.2">
      <c r="A36" s="3457" t="s">
        <v>3527</v>
      </c>
      <c r="B36" s="3334">
        <v>752.85</v>
      </c>
      <c r="C36" s="3334">
        <v>779.6</v>
      </c>
      <c r="D36" s="3334">
        <v>798.05</v>
      </c>
      <c r="E36" s="3334">
        <v>821.67</v>
      </c>
      <c r="F36" s="3334">
        <v>845.99</v>
      </c>
      <c r="G36" s="1732"/>
      <c r="H36" s="3334">
        <v>431.05</v>
      </c>
      <c r="I36" s="5154">
        <f>SUM(ремонты!F54)</f>
        <v>779.6024885682001</v>
      </c>
      <c r="J36" s="5155"/>
      <c r="K36" s="2610">
        <f>SUM(ремонты!J54)</f>
        <v>767.67740270100012</v>
      </c>
      <c r="L36" s="3334">
        <v>267.86</v>
      </c>
      <c r="M36" s="1732">
        <v>480.74</v>
      </c>
      <c r="N36" s="1732">
        <v>678.24</v>
      </c>
      <c r="O36" s="3335">
        <f>SUM(ремонты!L54)</f>
        <v>1321.4629494000001</v>
      </c>
      <c r="P36" s="4080">
        <f t="shared" si="7"/>
        <v>788.89335264432009</v>
      </c>
      <c r="Q36" s="3515">
        <v>114.47499999999999</v>
      </c>
      <c r="R36" s="2507">
        <v>243.505</v>
      </c>
      <c r="S36" s="3994">
        <v>678.24</v>
      </c>
    </row>
    <row r="40" spans="1:19" ht="20.25" x14ac:dyDescent="0.3">
      <c r="A40" s="5156" t="s">
        <v>3530</v>
      </c>
      <c r="B40" s="5157"/>
      <c r="C40" s="5157"/>
      <c r="D40" s="5157"/>
      <c r="E40" s="5157"/>
      <c r="F40" s="5157"/>
      <c r="G40" s="5157"/>
      <c r="H40" s="5157"/>
      <c r="I40" s="5157"/>
      <c r="J40" s="5157"/>
      <c r="K40" s="2734"/>
    </row>
  </sheetData>
  <mergeCells count="23">
    <mergeCell ref="A24:A25"/>
    <mergeCell ref="I25:J25"/>
    <mergeCell ref="A22:S22"/>
    <mergeCell ref="O24:P24"/>
    <mergeCell ref="I30:J30"/>
    <mergeCell ref="I24:K24"/>
    <mergeCell ref="I31:J31"/>
    <mergeCell ref="I26:J26"/>
    <mergeCell ref="I27:J27"/>
    <mergeCell ref="I28:J28"/>
    <mergeCell ref="I29:J29"/>
    <mergeCell ref="I35:J35"/>
    <mergeCell ref="I36:J36"/>
    <mergeCell ref="A40:J40"/>
    <mergeCell ref="I32:J32"/>
    <mergeCell ref="I33:J33"/>
    <mergeCell ref="I34:J34"/>
    <mergeCell ref="A1:J1"/>
    <mergeCell ref="B3:B4"/>
    <mergeCell ref="C3:C4"/>
    <mergeCell ref="E3:J3"/>
    <mergeCell ref="A3:A4"/>
    <mergeCell ref="D3:D4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1">
    <tabColor rgb="FFFFFF00"/>
    <pageSetUpPr fitToPage="1"/>
  </sheetPr>
  <dimension ref="A1:AE62"/>
  <sheetViews>
    <sheetView topLeftCell="B19" workbookViewId="0">
      <selection activeCell="M49" sqref="M49"/>
    </sheetView>
  </sheetViews>
  <sheetFormatPr defaultRowHeight="12.75" x14ac:dyDescent="0.2"/>
  <cols>
    <col min="1" max="1" width="38.85546875" style="2106" customWidth="1"/>
    <col min="2" max="9" width="10.7109375" style="5" customWidth="1"/>
    <col min="10" max="10" width="10" style="5" bestFit="1" customWidth="1"/>
    <col min="11" max="11" width="8.28515625" style="5" customWidth="1"/>
    <col min="12" max="12" width="11.42578125" style="5" customWidth="1"/>
    <col min="13" max="13" width="10" style="5" customWidth="1"/>
    <col min="14" max="16384" width="9.140625" style="5"/>
  </cols>
  <sheetData>
    <row r="1" spans="1:31" ht="15.75" x14ac:dyDescent="0.25">
      <c r="A1" s="5014" t="s">
        <v>2070</v>
      </c>
      <c r="B1" s="5014"/>
      <c r="C1" s="5014"/>
      <c r="D1" s="5014"/>
      <c r="E1" s="5014"/>
      <c r="F1" s="5014"/>
      <c r="G1" s="5014"/>
      <c r="H1" s="5014"/>
      <c r="I1" s="5014"/>
    </row>
    <row r="3" spans="1:31" s="371" customFormat="1" x14ac:dyDescent="0.2">
      <c r="A3" s="4476" t="s">
        <v>1882</v>
      </c>
      <c r="B3" s="4487" t="s">
        <v>1883</v>
      </c>
      <c r="C3" s="4487" t="s">
        <v>616</v>
      </c>
      <c r="D3" s="4487" t="s">
        <v>50</v>
      </c>
      <c r="E3" s="4487"/>
      <c r="F3" s="4487"/>
      <c r="G3" s="4487"/>
      <c r="H3" s="4487"/>
      <c r="I3" s="4487"/>
    </row>
    <row r="4" spans="1:31" s="1821" customFormat="1" ht="25.5" x14ac:dyDescent="0.2">
      <c r="A4" s="4476"/>
      <c r="B4" s="4487"/>
      <c r="C4" s="4487"/>
      <c r="D4" s="2094" t="s">
        <v>278</v>
      </c>
      <c r="E4" s="2094" t="s">
        <v>1879</v>
      </c>
      <c r="F4" s="2094" t="s">
        <v>1455</v>
      </c>
      <c r="G4" s="2094" t="s">
        <v>1880</v>
      </c>
      <c r="H4" s="2094" t="s">
        <v>1881</v>
      </c>
      <c r="I4" s="2094" t="s">
        <v>727</v>
      </c>
      <c r="K4" s="3326"/>
    </row>
    <row r="5" spans="1:31" s="2150" customFormat="1" x14ac:dyDescent="0.2">
      <c r="A5" s="2096" t="s">
        <v>46</v>
      </c>
      <c r="B5" s="2097"/>
      <c r="C5" s="2097"/>
      <c r="D5" s="2218">
        <f>D6+D7</f>
        <v>582526.08000000007</v>
      </c>
      <c r="E5" s="2096"/>
      <c r="F5" s="2096"/>
      <c r="G5" s="2096"/>
      <c r="H5" s="2096"/>
      <c r="I5" s="2096"/>
      <c r="J5" s="2463"/>
      <c r="K5" s="2463"/>
    </row>
    <row r="6" spans="1:31" x14ac:dyDescent="0.2">
      <c r="A6" s="2108" t="s">
        <v>1877</v>
      </c>
      <c r="B6" s="1754" t="s">
        <v>1878</v>
      </c>
      <c r="C6" s="1755">
        <f>D6+E6+F6+G6+H6+I6</f>
        <v>880432.81</v>
      </c>
      <c r="D6" s="1759">
        <v>193518.26</v>
      </c>
      <c r="E6" s="1759">
        <v>172132.03</v>
      </c>
      <c r="F6" s="1759">
        <v>162964.23000000001</v>
      </c>
      <c r="G6" s="1759">
        <v>139336.39000000001</v>
      </c>
      <c r="H6" s="1759">
        <v>78178.59</v>
      </c>
      <c r="I6" s="1759">
        <v>134303.31</v>
      </c>
      <c r="J6" s="2464">
        <v>880432.81</v>
      </c>
      <c r="K6" s="2464"/>
      <c r="L6" s="1674"/>
    </row>
    <row r="7" spans="1:31" x14ac:dyDescent="0.2">
      <c r="A7" s="2108" t="s">
        <v>1884</v>
      </c>
      <c r="B7" s="1754" t="s">
        <v>1885</v>
      </c>
      <c r="C7" s="1755">
        <f t="shared" ref="C7:C11" si="0">D7+E7+F7+G7+H7+I7</f>
        <v>1049728.8900000001</v>
      </c>
      <c r="D7" s="1759">
        <v>389007.82</v>
      </c>
      <c r="E7" s="1759">
        <v>36264.550000000003</v>
      </c>
      <c r="F7" s="1759">
        <v>206031.45</v>
      </c>
      <c r="G7" s="1759">
        <v>155400.19</v>
      </c>
      <c r="H7" s="1759">
        <v>102896.74</v>
      </c>
      <c r="I7" s="1759">
        <v>160128.14000000001</v>
      </c>
      <c r="J7" s="2464">
        <v>1049728.8899999999</v>
      </c>
      <c r="K7" s="2464"/>
    </row>
    <row r="8" spans="1:31" s="1928" customFormat="1" x14ac:dyDescent="0.2">
      <c r="A8" s="2151" t="s">
        <v>47</v>
      </c>
      <c r="B8" s="1832"/>
      <c r="C8" s="2143"/>
      <c r="D8" s="2143">
        <f>D9+D10</f>
        <v>752846.33000000007</v>
      </c>
      <c r="E8" s="2143"/>
      <c r="F8" s="2143"/>
      <c r="G8" s="2143"/>
      <c r="H8" s="2143"/>
      <c r="I8" s="2143"/>
      <c r="J8" s="3464"/>
      <c r="K8" s="3464"/>
      <c r="L8" s="3317"/>
      <c r="M8" s="3317"/>
      <c r="N8" s="3317"/>
      <c r="O8" s="3317"/>
      <c r="P8" s="3317"/>
      <c r="Q8" s="3317"/>
      <c r="R8" s="3317"/>
      <c r="S8" s="3317"/>
      <c r="T8" s="3317"/>
      <c r="U8" s="3317"/>
      <c r="V8" s="3317"/>
      <c r="W8" s="3317"/>
      <c r="X8" s="3317"/>
      <c r="Y8" s="3317"/>
      <c r="Z8" s="3317"/>
      <c r="AA8" s="3317"/>
      <c r="AB8" s="3317"/>
      <c r="AC8" s="3317"/>
      <c r="AD8" s="3317"/>
      <c r="AE8" s="3317"/>
    </row>
    <row r="9" spans="1:31" ht="25.5" x14ac:dyDescent="0.2">
      <c r="A9" s="2108" t="s">
        <v>1886</v>
      </c>
      <c r="B9" s="2098" t="s">
        <v>1887</v>
      </c>
      <c r="C9" s="1824">
        <f t="shared" si="0"/>
        <v>1108347.6300000001</v>
      </c>
      <c r="D9" s="1751">
        <v>531897.04</v>
      </c>
      <c r="E9" s="1751">
        <v>128067.17</v>
      </c>
      <c r="F9" s="1751">
        <v>98058.96</v>
      </c>
      <c r="G9" s="1751">
        <v>120387.86</v>
      </c>
      <c r="H9" s="1751">
        <v>60866.62</v>
      </c>
      <c r="I9" s="1751">
        <v>169069.98</v>
      </c>
      <c r="J9" s="2465">
        <v>1108347.6299999999</v>
      </c>
      <c r="K9" s="2465"/>
      <c r="L9" s="371"/>
    </row>
    <row r="10" spans="1:31" s="371" customFormat="1" ht="25.5" x14ac:dyDescent="0.2">
      <c r="A10" s="1979" t="s">
        <v>1888</v>
      </c>
      <c r="B10" s="2145" t="s">
        <v>1889</v>
      </c>
      <c r="C10" s="2146">
        <f t="shared" si="0"/>
        <v>1202859.75</v>
      </c>
      <c r="D10" s="2147">
        <v>220949.29</v>
      </c>
      <c r="E10" s="2147">
        <v>324048.62</v>
      </c>
      <c r="F10" s="2147">
        <v>197814.24</v>
      </c>
      <c r="G10" s="2147">
        <v>167836.61</v>
      </c>
      <c r="H10" s="2147">
        <v>108723.91</v>
      </c>
      <c r="I10" s="2147">
        <v>183487.08</v>
      </c>
      <c r="J10" s="2465">
        <v>1202859.75</v>
      </c>
      <c r="K10" s="2465"/>
    </row>
    <row r="11" spans="1:31" s="371" customFormat="1" ht="25.5" x14ac:dyDescent="0.2">
      <c r="A11" s="1682" t="s">
        <v>1890</v>
      </c>
      <c r="B11" s="2098" t="s">
        <v>1891</v>
      </c>
      <c r="C11" s="1824">
        <f t="shared" si="0"/>
        <v>3012966.2800000003</v>
      </c>
      <c r="D11" s="1751">
        <v>0</v>
      </c>
      <c r="E11" s="1751">
        <v>2553169.2799999998</v>
      </c>
      <c r="F11" s="1751">
        <v>0</v>
      </c>
      <c r="G11" s="1751">
        <v>130.54</v>
      </c>
      <c r="H11" s="1751">
        <v>61.43</v>
      </c>
      <c r="I11" s="1751">
        <v>459605.03</v>
      </c>
      <c r="J11" s="3465">
        <v>3012966.28</v>
      </c>
      <c r="K11" s="3454"/>
    </row>
    <row r="12" spans="1:31" x14ac:dyDescent="0.2">
      <c r="C12" s="1889"/>
      <c r="D12" s="1889"/>
      <c r="E12" s="1889"/>
      <c r="F12" s="1889"/>
      <c r="G12" s="1889"/>
      <c r="H12" s="1889"/>
      <c r="I12" s="1889"/>
      <c r="J12" s="1889"/>
      <c r="K12" s="1889"/>
      <c r="L12" s="371"/>
    </row>
    <row r="13" spans="1:31" s="1926" customFormat="1" x14ac:dyDescent="0.2">
      <c r="A13" s="2148" t="s">
        <v>602</v>
      </c>
      <c r="C13" s="2144"/>
      <c r="D13" s="2144"/>
      <c r="E13" s="2144"/>
      <c r="F13" s="2144"/>
      <c r="G13" s="2144"/>
      <c r="H13" s="2144"/>
      <c r="I13" s="2144"/>
      <c r="J13" s="2144"/>
      <c r="K13" s="2144"/>
    </row>
    <row r="14" spans="1:31" s="1926" customFormat="1" x14ac:dyDescent="0.2">
      <c r="A14" s="2148" t="s">
        <v>272</v>
      </c>
      <c r="C14" s="2144"/>
      <c r="D14" s="2144"/>
      <c r="E14" s="2144"/>
      <c r="F14" s="2144"/>
      <c r="G14" s="2144"/>
      <c r="H14" s="2144"/>
      <c r="I14" s="2144"/>
      <c r="J14" s="2144"/>
      <c r="K14" s="2144"/>
    </row>
    <row r="15" spans="1:31" s="1821" customFormat="1" ht="25.5" x14ac:dyDescent="0.2">
      <c r="A15" s="2096"/>
      <c r="B15" s="2094" t="s">
        <v>1895</v>
      </c>
      <c r="C15" s="2001" t="s">
        <v>1896</v>
      </c>
      <c r="D15" s="2001" t="s">
        <v>3531</v>
      </c>
      <c r="E15" s="2001" t="s">
        <v>1897</v>
      </c>
      <c r="F15" s="2001" t="s">
        <v>1898</v>
      </c>
      <c r="G15" s="2001" t="s">
        <v>1899</v>
      </c>
      <c r="H15" s="2001" t="s">
        <v>1900</v>
      </c>
      <c r="I15" s="2001" t="s">
        <v>1901</v>
      </c>
      <c r="J15" s="2149"/>
      <c r="K15" s="2149"/>
    </row>
    <row r="16" spans="1:31" x14ac:dyDescent="0.2">
      <c r="A16" s="2108" t="s">
        <v>132</v>
      </c>
      <c r="B16" s="1759">
        <v>45.07</v>
      </c>
      <c r="C16" s="1759">
        <v>209.65</v>
      </c>
      <c r="D16" s="3460">
        <v>27.13</v>
      </c>
      <c r="E16" s="1759">
        <v>131.51</v>
      </c>
      <c r="F16" s="1759">
        <v>135.46</v>
      </c>
      <c r="G16" s="1759">
        <v>139.52000000000001</v>
      </c>
      <c r="H16" s="1759">
        <v>143.69999999999999</v>
      </c>
      <c r="I16" s="1759">
        <v>148.02000000000001</v>
      </c>
      <c r="J16" s="1674"/>
      <c r="K16" s="1674"/>
    </row>
    <row r="17" spans="1:11" x14ac:dyDescent="0.2">
      <c r="A17" s="2108" t="s">
        <v>133</v>
      </c>
      <c r="B17" s="1759">
        <v>1296.07</v>
      </c>
      <c r="C17" s="1759">
        <v>4707.6899999999996</v>
      </c>
      <c r="D17" s="3460">
        <v>2275</v>
      </c>
      <c r="E17" s="1759">
        <v>1398.9</v>
      </c>
      <c r="F17" s="1759">
        <v>1440.87</v>
      </c>
      <c r="G17" s="1759">
        <v>1484.09</v>
      </c>
      <c r="H17" s="1759">
        <v>1528.62</v>
      </c>
      <c r="I17" s="1759">
        <v>1574.47</v>
      </c>
      <c r="J17" s="1674"/>
      <c r="K17" s="1674"/>
    </row>
    <row r="18" spans="1:11" x14ac:dyDescent="0.2">
      <c r="A18" s="2108" t="s">
        <v>1892</v>
      </c>
      <c r="B18" s="1759">
        <v>291.54000000000002</v>
      </c>
      <c r="C18" s="1759">
        <v>566.03</v>
      </c>
      <c r="D18" s="3460">
        <v>996.74</v>
      </c>
      <c r="E18" s="1759">
        <v>1049.73</v>
      </c>
      <c r="F18" s="1759">
        <v>1081.22</v>
      </c>
      <c r="G18" s="1759">
        <v>1113.6600000000001</v>
      </c>
      <c r="H18" s="1759">
        <v>1147.07</v>
      </c>
      <c r="I18" s="1759">
        <v>1181.48</v>
      </c>
      <c r="J18" s="1674"/>
      <c r="K18" s="1674"/>
    </row>
    <row r="19" spans="1:11" x14ac:dyDescent="0.2">
      <c r="A19" s="2108" t="s">
        <v>631</v>
      </c>
      <c r="B19" s="1759">
        <v>1283.98</v>
      </c>
      <c r="C19" s="1759">
        <v>1564.17</v>
      </c>
      <c r="D19" s="3460">
        <v>1747.03</v>
      </c>
      <c r="E19" s="1759">
        <v>880.43</v>
      </c>
      <c r="F19" s="1759">
        <v>906.85</v>
      </c>
      <c r="G19" s="1759">
        <v>934.05</v>
      </c>
      <c r="H19" s="1759">
        <v>962.07</v>
      </c>
      <c r="I19" s="1759">
        <v>990.94</v>
      </c>
    </row>
    <row r="20" spans="1:11" s="1926" customFormat="1" x14ac:dyDescent="0.2">
      <c r="A20" s="1833" t="s">
        <v>1893</v>
      </c>
      <c r="B20" s="2143">
        <f>SUM(B16:B19)</f>
        <v>2916.66</v>
      </c>
      <c r="C20" s="2143">
        <f t="shared" ref="C20:I20" si="1">SUM(C16:C19)</f>
        <v>7047.5399999999991</v>
      </c>
      <c r="D20" s="2143">
        <f t="shared" si="1"/>
        <v>5045.8999999999996</v>
      </c>
      <c r="E20" s="2143">
        <f t="shared" si="1"/>
        <v>3460.57</v>
      </c>
      <c r="F20" s="2143">
        <f t="shared" si="1"/>
        <v>3564.4</v>
      </c>
      <c r="G20" s="2143">
        <f t="shared" si="1"/>
        <v>3671.3199999999997</v>
      </c>
      <c r="H20" s="2143">
        <f t="shared" si="1"/>
        <v>3781.46</v>
      </c>
      <c r="I20" s="2143">
        <f t="shared" si="1"/>
        <v>3894.9100000000003</v>
      </c>
    </row>
    <row r="21" spans="1:11" x14ac:dyDescent="0.2">
      <c r="A21" s="2108" t="s">
        <v>608</v>
      </c>
      <c r="B21" s="1759">
        <v>441.31</v>
      </c>
      <c r="C21" s="1759">
        <v>304.98</v>
      </c>
      <c r="D21" s="3460">
        <v>590.36</v>
      </c>
      <c r="E21" s="1759">
        <v>422.65</v>
      </c>
      <c r="F21" s="1759">
        <v>435.33</v>
      </c>
      <c r="G21" s="1759">
        <v>448.39</v>
      </c>
      <c r="H21" s="1759">
        <v>461.84</v>
      </c>
      <c r="I21" s="1759">
        <v>475.7</v>
      </c>
    </row>
    <row r="22" spans="1:11" x14ac:dyDescent="0.2">
      <c r="A22" s="2108" t="s">
        <v>617</v>
      </c>
      <c r="B22" s="1759">
        <v>347.31</v>
      </c>
      <c r="C22" s="1759">
        <v>960.04</v>
      </c>
      <c r="D22" s="3460">
        <v>1291.27</v>
      </c>
      <c r="E22" s="1759">
        <v>934.15</v>
      </c>
      <c r="F22" s="1759">
        <v>962.17</v>
      </c>
      <c r="G22" s="1759">
        <v>991.04</v>
      </c>
      <c r="H22" s="1759">
        <v>1020.77</v>
      </c>
      <c r="I22" s="1759">
        <v>1051.3900000000001</v>
      </c>
    </row>
    <row r="23" spans="1:11" x14ac:dyDescent="0.2">
      <c r="A23" s="2108" t="s">
        <v>625</v>
      </c>
      <c r="B23" s="1759">
        <v>122.56</v>
      </c>
      <c r="C23" s="1759">
        <v>300.22000000000003</v>
      </c>
      <c r="D23" s="3460">
        <v>559.78</v>
      </c>
      <c r="E23" s="1759">
        <v>1108.3499999999999</v>
      </c>
      <c r="F23" s="1759">
        <v>1141.5999999999999</v>
      </c>
      <c r="G23" s="1759">
        <v>1175.8499999999999</v>
      </c>
      <c r="H23" s="1759">
        <v>1211.1199999999999</v>
      </c>
      <c r="I23" s="1759">
        <v>1247.46</v>
      </c>
    </row>
    <row r="24" spans="1:11" x14ac:dyDescent="0.2">
      <c r="A24" s="2108" t="s">
        <v>631</v>
      </c>
      <c r="B24" s="1759">
        <v>335.88</v>
      </c>
      <c r="C24" s="1759">
        <v>174.81</v>
      </c>
      <c r="D24" s="3460">
        <v>431.05</v>
      </c>
      <c r="E24" s="1759">
        <v>1202.8599999999999</v>
      </c>
      <c r="F24" s="1759">
        <v>1238.95</v>
      </c>
      <c r="G24" s="1759">
        <v>1276.1099999999999</v>
      </c>
      <c r="H24" s="1759">
        <v>1314.4</v>
      </c>
      <c r="I24" s="1759">
        <v>1353.83</v>
      </c>
    </row>
    <row r="25" spans="1:11" x14ac:dyDescent="0.2">
      <c r="A25" s="2108" t="s">
        <v>1894</v>
      </c>
      <c r="B25" s="1759">
        <v>0</v>
      </c>
      <c r="C25" s="1759">
        <v>0</v>
      </c>
      <c r="D25" s="3460"/>
      <c r="E25" s="1759">
        <v>1700</v>
      </c>
      <c r="F25" s="1759">
        <v>1700</v>
      </c>
      <c r="G25" s="1759">
        <v>1700</v>
      </c>
      <c r="H25" s="1759">
        <v>1700</v>
      </c>
      <c r="I25" s="1759">
        <v>1700</v>
      </c>
    </row>
    <row r="26" spans="1:11" s="1926" customFormat="1" x14ac:dyDescent="0.2">
      <c r="A26" s="1833" t="s">
        <v>91</v>
      </c>
      <c r="B26" s="2143">
        <f>SUM(B21:B25)</f>
        <v>1247.06</v>
      </c>
      <c r="C26" s="2143">
        <f t="shared" ref="C26:I26" si="2">SUM(C21:C25)</f>
        <v>1740.05</v>
      </c>
      <c r="D26" s="2143">
        <f t="shared" si="2"/>
        <v>2872.46</v>
      </c>
      <c r="E26" s="2143">
        <f t="shared" si="2"/>
        <v>5368.0099999999993</v>
      </c>
      <c r="F26" s="2143">
        <f t="shared" si="2"/>
        <v>5478.05</v>
      </c>
      <c r="G26" s="2143">
        <f t="shared" si="2"/>
        <v>5591.3899999999994</v>
      </c>
      <c r="H26" s="2143">
        <f t="shared" si="2"/>
        <v>5708.1299999999992</v>
      </c>
      <c r="I26" s="2143">
        <f t="shared" si="2"/>
        <v>5828.38</v>
      </c>
    </row>
    <row r="27" spans="1:11" x14ac:dyDescent="0.2">
      <c r="E27" s="2464">
        <f>E26-E25</f>
        <v>3668.0099999999993</v>
      </c>
      <c r="F27" s="2464">
        <f t="shared" ref="F27:I27" si="3">F26-F25</f>
        <v>3778.05</v>
      </c>
      <c r="G27" s="2464">
        <f t="shared" si="3"/>
        <v>3891.3899999999994</v>
      </c>
      <c r="H27" s="2464">
        <f t="shared" si="3"/>
        <v>4008.1299999999992</v>
      </c>
      <c r="I27" s="2464">
        <f t="shared" si="3"/>
        <v>4128.38</v>
      </c>
    </row>
    <row r="28" spans="1:11" s="1926" customFormat="1" x14ac:dyDescent="0.2">
      <c r="A28" s="2148" t="s">
        <v>1902</v>
      </c>
    </row>
    <row r="29" spans="1:11" ht="24.75" customHeight="1" x14ac:dyDescent="0.2">
      <c r="A29" s="2096"/>
      <c r="B29" s="2431" t="s">
        <v>1895</v>
      </c>
      <c r="C29" s="2001" t="s">
        <v>1896</v>
      </c>
      <c r="D29" s="2001" t="s">
        <v>3531</v>
      </c>
      <c r="E29" s="2001" t="s">
        <v>1897</v>
      </c>
      <c r="F29" s="2001" t="s">
        <v>1898</v>
      </c>
      <c r="G29" s="2001" t="s">
        <v>1899</v>
      </c>
      <c r="H29" s="2001" t="s">
        <v>1900</v>
      </c>
      <c r="I29" s="2001" t="s">
        <v>1901</v>
      </c>
    </row>
    <row r="30" spans="1:11" ht="12.75" customHeight="1" x14ac:dyDescent="0.2">
      <c r="A30" s="2108" t="s">
        <v>132</v>
      </c>
      <c r="B30" s="1759">
        <v>45.07</v>
      </c>
      <c r="C30" s="1759">
        <v>209.65</v>
      </c>
      <c r="D30" s="3460">
        <v>27.13</v>
      </c>
      <c r="E30" s="5170" t="s">
        <v>2065</v>
      </c>
      <c r="F30" s="5171"/>
      <c r="G30" s="5171"/>
      <c r="H30" s="5171"/>
      <c r="I30" s="5172"/>
    </row>
    <row r="31" spans="1:11" x14ac:dyDescent="0.2">
      <c r="A31" s="2108" t="s">
        <v>133</v>
      </c>
      <c r="B31" s="1759">
        <v>1296.07</v>
      </c>
      <c r="C31" s="1759">
        <v>4707.6899999999996</v>
      </c>
      <c r="D31" s="3460">
        <v>2275</v>
      </c>
      <c r="E31" s="5173"/>
      <c r="F31" s="5174"/>
      <c r="G31" s="5174"/>
      <c r="H31" s="5174"/>
      <c r="I31" s="5175"/>
    </row>
    <row r="32" spans="1:11" x14ac:dyDescent="0.2">
      <c r="A32" s="2108" t="s">
        <v>1892</v>
      </c>
      <c r="B32" s="1759">
        <v>291.54000000000002</v>
      </c>
      <c r="C32" s="1759">
        <v>566.03</v>
      </c>
      <c r="D32" s="3460">
        <v>996.74</v>
      </c>
      <c r="E32" s="5173"/>
      <c r="F32" s="5174"/>
      <c r="G32" s="5174"/>
      <c r="H32" s="5174"/>
      <c r="I32" s="5175"/>
    </row>
    <row r="33" spans="1:13" x14ac:dyDescent="0.2">
      <c r="A33" s="2108" t="s">
        <v>631</v>
      </c>
      <c r="B33" s="1759">
        <v>1283.98</v>
      </c>
      <c r="C33" s="1759">
        <v>1564.17</v>
      </c>
      <c r="D33" s="3460">
        <v>1747.03</v>
      </c>
      <c r="E33" s="1750">
        <f>D5/1000</f>
        <v>582.52608000000009</v>
      </c>
      <c r="F33" s="1750">
        <f>E33*0.99*1.046</f>
        <v>603.22905688320009</v>
      </c>
      <c r="G33" s="1750">
        <f>F33*0.99*1.034</f>
        <v>617.50145636905665</v>
      </c>
      <c r="H33" s="1750">
        <f>G33*0.99*1.04</f>
        <v>635.77949947758077</v>
      </c>
      <c r="I33" s="1750">
        <f>H33*0.99*1.04</f>
        <v>654.59857266211725</v>
      </c>
    </row>
    <row r="34" spans="1:13" x14ac:dyDescent="0.2">
      <c r="A34" s="1833" t="s">
        <v>1893</v>
      </c>
      <c r="B34" s="2143">
        <f>SUM(B30:B33)</f>
        <v>2916.66</v>
      </c>
      <c r="C34" s="2143">
        <f t="shared" ref="C34" si="4">SUM(C30:C33)</f>
        <v>7047.5399999999991</v>
      </c>
      <c r="D34" s="2143">
        <f t="shared" ref="D34" si="5">SUM(D30:D33)</f>
        <v>5045.8999999999996</v>
      </c>
      <c r="E34" s="2143">
        <f t="shared" ref="E34:F34" si="6">SUM(E30:E33)</f>
        <v>582.52608000000009</v>
      </c>
      <c r="F34" s="2143">
        <f t="shared" si="6"/>
        <v>603.22905688320009</v>
      </c>
      <c r="G34" s="2143">
        <f t="shared" ref="G34" si="7">SUM(G30:G33)</f>
        <v>617.50145636905665</v>
      </c>
      <c r="H34" s="2143">
        <f t="shared" ref="H34" si="8">SUM(H30:H33)</f>
        <v>635.77949947758077</v>
      </c>
      <c r="I34" s="2143">
        <f t="shared" ref="I34" si="9">SUM(I30:I33)</f>
        <v>654.59857266211725</v>
      </c>
    </row>
    <row r="35" spans="1:13" ht="12.75" customHeight="1" x14ac:dyDescent="0.2">
      <c r="A35" s="2108" t="s">
        <v>608</v>
      </c>
      <c r="B35" s="1759">
        <v>441.31</v>
      </c>
      <c r="C35" s="1759">
        <v>304.98</v>
      </c>
      <c r="D35" s="3460">
        <v>590.36</v>
      </c>
      <c r="E35" s="5176" t="s">
        <v>2066</v>
      </c>
      <c r="F35" s="5176"/>
      <c r="G35" s="5176"/>
      <c r="H35" s="5176"/>
      <c r="I35" s="5176"/>
    </row>
    <row r="36" spans="1:13" x14ac:dyDescent="0.2">
      <c r="A36" s="2108" t="s">
        <v>617</v>
      </c>
      <c r="B36" s="1759">
        <v>347.31</v>
      </c>
      <c r="C36" s="1759">
        <v>960.04</v>
      </c>
      <c r="D36" s="3460">
        <v>1291.27</v>
      </c>
      <c r="E36" s="5176"/>
      <c r="F36" s="5176"/>
      <c r="G36" s="5176"/>
      <c r="H36" s="5176"/>
      <c r="I36" s="5176"/>
    </row>
    <row r="37" spans="1:13" x14ac:dyDescent="0.2">
      <c r="A37" s="2108" t="s">
        <v>625</v>
      </c>
      <c r="B37" s="1759">
        <v>122.56</v>
      </c>
      <c r="C37" s="1759">
        <v>300.22000000000003</v>
      </c>
      <c r="D37" s="3460">
        <v>559.78</v>
      </c>
      <c r="E37" s="5176"/>
      <c r="F37" s="5176"/>
      <c r="G37" s="5176"/>
      <c r="H37" s="5176"/>
      <c r="I37" s="5176"/>
    </row>
    <row r="38" spans="1:13" x14ac:dyDescent="0.2">
      <c r="A38" s="2108" t="s">
        <v>631</v>
      </c>
      <c r="B38" s="1759">
        <v>335.88</v>
      </c>
      <c r="C38" s="1759">
        <v>174.81</v>
      </c>
      <c r="D38" s="3460">
        <v>431.05</v>
      </c>
      <c r="E38" s="1750">
        <f>D8/1000</f>
        <v>752.84633000000008</v>
      </c>
      <c r="F38" s="1750">
        <f>E38*0.99*1.046</f>
        <v>779.6024885682001</v>
      </c>
      <c r="G38" s="1750">
        <f>F38*0.99*1.034</f>
        <v>798.04788344772373</v>
      </c>
      <c r="H38" s="1750">
        <f>G38*0.99*1.04</f>
        <v>821.6701007977764</v>
      </c>
      <c r="I38" s="1750">
        <f>H38*0.99*1.04</f>
        <v>845.99153578139055</v>
      </c>
    </row>
    <row r="39" spans="1:13" x14ac:dyDescent="0.2">
      <c r="A39" s="2108" t="s">
        <v>1894</v>
      </c>
      <c r="B39" s="1759">
        <v>0</v>
      </c>
      <c r="C39" s="1759">
        <v>0</v>
      </c>
      <c r="D39" s="3460">
        <v>0</v>
      </c>
      <c r="E39" s="1750"/>
      <c r="F39" s="1750"/>
      <c r="G39" s="1750"/>
      <c r="H39" s="1750"/>
      <c r="I39" s="1750"/>
    </row>
    <row r="40" spans="1:13" x14ac:dyDescent="0.2">
      <c r="A40" s="1833" t="s">
        <v>91</v>
      </c>
      <c r="B40" s="2143">
        <f>SUM(B35:B39)</f>
        <v>1247.06</v>
      </c>
      <c r="C40" s="2143">
        <f t="shared" ref="C40" si="10">SUM(C35:C39)</f>
        <v>1740.05</v>
      </c>
      <c r="D40" s="2143">
        <f t="shared" ref="D40" si="11">SUM(D35:D39)</f>
        <v>2872.46</v>
      </c>
      <c r="E40" s="2143">
        <f t="shared" ref="E40" si="12">SUM(E35:E39)</f>
        <v>752.84633000000008</v>
      </c>
      <c r="F40" s="2143">
        <f t="shared" ref="F40" si="13">SUM(F35:F39)</f>
        <v>779.6024885682001</v>
      </c>
      <c r="G40" s="2143">
        <f t="shared" ref="G40" si="14">SUM(G35:G39)</f>
        <v>798.04788344772373</v>
      </c>
      <c r="H40" s="2143">
        <f t="shared" ref="H40" si="15">SUM(H35:H39)</f>
        <v>821.6701007977764</v>
      </c>
      <c r="I40" s="2143">
        <f t="shared" ref="I40" si="16">SUM(I35:I39)</f>
        <v>845.99153578139055</v>
      </c>
    </row>
    <row r="41" spans="1:13" x14ac:dyDescent="0.2">
      <c r="A41" s="369"/>
      <c r="B41" s="2466"/>
      <c r="C41" s="2466"/>
      <c r="D41" s="2466"/>
      <c r="E41" s="2466"/>
      <c r="F41" s="2466"/>
      <c r="G41" s="2466"/>
      <c r="H41" s="2466"/>
      <c r="I41" s="2466"/>
    </row>
    <row r="42" spans="1:13" x14ac:dyDescent="0.2">
      <c r="A42" s="5164" t="s">
        <v>3902</v>
      </c>
      <c r="B42" s="4492"/>
      <c r="C42" s="4492"/>
      <c r="D42" s="4492"/>
      <c r="E42" s="4492"/>
      <c r="F42" s="4492"/>
      <c r="G42" s="4492"/>
      <c r="H42" s="4492"/>
      <c r="I42" s="4492"/>
      <c r="J42" s="4242"/>
      <c r="K42" s="4242"/>
      <c r="L42" s="4242"/>
      <c r="M42" s="4242"/>
    </row>
    <row r="43" spans="1:13" x14ac:dyDescent="0.2">
      <c r="A43" s="2467"/>
      <c r="B43" s="394"/>
      <c r="C43" s="394"/>
      <c r="D43" s="394"/>
      <c r="E43" s="2468">
        <f>E40-E39</f>
        <v>752.84633000000008</v>
      </c>
      <c r="F43" s="2468">
        <f t="shared" ref="F43" si="17">F40-F39</f>
        <v>779.6024885682001</v>
      </c>
      <c r="G43" s="2468">
        <f t="shared" ref="G43" si="18">G40-G39</f>
        <v>798.04788344772373</v>
      </c>
      <c r="H43" s="2468">
        <f t="shared" ref="H43" si="19">H40-H39</f>
        <v>821.6701007977764</v>
      </c>
      <c r="I43" s="2468">
        <f t="shared" ref="I43" si="20">I40-I39</f>
        <v>845.99153578139055</v>
      </c>
    </row>
    <row r="44" spans="1:13" ht="51" x14ac:dyDescent="0.2">
      <c r="A44" s="2433"/>
      <c r="B44" s="2431" t="s">
        <v>1895</v>
      </c>
      <c r="C44" s="2001" t="s">
        <v>1896</v>
      </c>
      <c r="D44" s="2001" t="s">
        <v>3531</v>
      </c>
      <c r="E44" s="2001" t="s">
        <v>1897</v>
      </c>
      <c r="F44" s="2001" t="s">
        <v>3696</v>
      </c>
      <c r="G44" s="5169" t="s">
        <v>237</v>
      </c>
      <c r="H44" s="4741"/>
      <c r="I44" s="4742"/>
      <c r="J44" s="2001" t="s">
        <v>3903</v>
      </c>
      <c r="K44" s="2001" t="s">
        <v>3642</v>
      </c>
      <c r="L44" s="2001" t="s">
        <v>3905</v>
      </c>
      <c r="M44" s="2001" t="s">
        <v>3904</v>
      </c>
    </row>
    <row r="45" spans="1:13" x14ac:dyDescent="0.2">
      <c r="A45" s="3312" t="s">
        <v>132</v>
      </c>
      <c r="B45" s="2602">
        <v>45.07</v>
      </c>
      <c r="C45" s="2602">
        <v>209.65</v>
      </c>
      <c r="D45" s="2602">
        <v>27.13</v>
      </c>
      <c r="E45" s="3461">
        <v>0</v>
      </c>
      <c r="F45" s="3461">
        <f>SUM(D45)</f>
        <v>27.13</v>
      </c>
      <c r="G45" s="5165" t="s">
        <v>631</v>
      </c>
      <c r="H45" s="5166"/>
      <c r="I45" s="5167"/>
      <c r="J45" s="3461">
        <v>0</v>
      </c>
      <c r="K45" s="2602">
        <v>0</v>
      </c>
      <c r="L45" s="2469">
        <f>SUM(G16*1.046)*(1-0.01)</f>
        <v>144.47854080000002</v>
      </c>
      <c r="M45" s="4080">
        <f>SUM(E45*(1+0.032)*0.99*(1+0.036)*0.99)</f>
        <v>0</v>
      </c>
    </row>
    <row r="46" spans="1:13" ht="12.75" customHeight="1" x14ac:dyDescent="0.2">
      <c r="A46" s="3312" t="s">
        <v>133</v>
      </c>
      <c r="B46" s="2602">
        <v>1296.07</v>
      </c>
      <c r="C46" s="2602">
        <v>4707.6899999999996</v>
      </c>
      <c r="D46" s="2602">
        <v>2275</v>
      </c>
      <c r="E46" s="3461">
        <v>0</v>
      </c>
      <c r="F46" s="3461">
        <f>SUM(F17*0.5)</f>
        <v>720.43499999999995</v>
      </c>
      <c r="G46" s="5165" t="s">
        <v>631</v>
      </c>
      <c r="H46" s="5166"/>
      <c r="I46" s="5167"/>
      <c r="J46" s="3461">
        <v>0</v>
      </c>
      <c r="K46" s="2602">
        <v>3651.89</v>
      </c>
      <c r="L46" s="2469">
        <f>SUM(G17*1.046)*(1-0.01)</f>
        <v>1536.8345586</v>
      </c>
      <c r="M46" s="4080">
        <f t="shared" ref="M46:M55" si="21">SUM(E46*(1+0.032)*0.99*(1+0.036)*0.99)</f>
        <v>0</v>
      </c>
    </row>
    <row r="47" spans="1:13" ht="12.75" customHeight="1" x14ac:dyDescent="0.2">
      <c r="A47" s="3312" t="s">
        <v>1965</v>
      </c>
      <c r="B47" s="2602"/>
      <c r="C47" s="2602"/>
      <c r="D47" s="2602"/>
      <c r="E47" s="3461"/>
      <c r="F47" s="3461"/>
      <c r="G47" s="5165"/>
      <c r="H47" s="5166"/>
      <c r="I47" s="5167"/>
      <c r="J47" s="3461"/>
      <c r="K47" s="2602">
        <v>656.2</v>
      </c>
      <c r="L47" s="2469">
        <f>SUM(K47*1.046)*(1-0.01)</f>
        <v>679.5213480000001</v>
      </c>
      <c r="M47" s="4080">
        <f t="shared" si="21"/>
        <v>0</v>
      </c>
    </row>
    <row r="48" spans="1:13" x14ac:dyDescent="0.2">
      <c r="A48" s="3312" t="s">
        <v>1892</v>
      </c>
      <c r="B48" s="2602">
        <v>291.54000000000002</v>
      </c>
      <c r="C48" s="2602">
        <v>566.03</v>
      </c>
      <c r="D48" s="2602">
        <v>996.74</v>
      </c>
      <c r="E48" s="3461">
        <f>SUM('рем программа'!B30)</f>
        <v>1049.5662500000001</v>
      </c>
      <c r="F48" s="3461">
        <f>SUM('рем программа'!C30)</f>
        <v>1052.53394</v>
      </c>
      <c r="G48" s="5165" t="s">
        <v>3532</v>
      </c>
      <c r="H48" s="5166"/>
      <c r="I48" s="5167"/>
      <c r="J48" s="3461">
        <f>SUM(E48*1.03)*(1-0.01)</f>
        <v>1070.2427051249999</v>
      </c>
      <c r="K48" s="2602">
        <v>515.79999999999995</v>
      </c>
      <c r="L48" s="2469">
        <f>SUM(G18*1.046)*(1-0.01)</f>
        <v>1153.2394764000001</v>
      </c>
      <c r="M48" s="4080">
        <f t="shared" si="21"/>
        <v>1099.8151527991322</v>
      </c>
    </row>
    <row r="49" spans="1:13" ht="12.75" customHeight="1" x14ac:dyDescent="0.2">
      <c r="A49" s="3312" t="s">
        <v>631</v>
      </c>
      <c r="B49" s="2602">
        <v>1283.98</v>
      </c>
      <c r="C49" s="2602">
        <v>1564.17</v>
      </c>
      <c r="D49" s="2602">
        <v>1747.03</v>
      </c>
      <c r="E49" s="2599">
        <f>SUM(E33)</f>
        <v>582.52608000000009</v>
      </c>
      <c r="F49" s="3461">
        <f>E49*0.99*1.046</f>
        <v>603.22905688320009</v>
      </c>
      <c r="G49" s="5165" t="s">
        <v>631</v>
      </c>
      <c r="H49" s="5166"/>
      <c r="I49" s="5167"/>
      <c r="J49" s="3461">
        <f>SUM(E49*1.03)*(1-0.01)</f>
        <v>594.0018437760001</v>
      </c>
      <c r="K49" s="2602">
        <v>1203.47</v>
      </c>
      <c r="L49" s="2469">
        <f>SUM(G19*1.046)*(1-0.01)</f>
        <v>967.24613699999998</v>
      </c>
      <c r="M49" s="4080">
        <f t="shared" si="21"/>
        <v>610.41502590682546</v>
      </c>
    </row>
    <row r="50" spans="1:13" x14ac:dyDescent="0.2">
      <c r="A50" s="3314" t="s">
        <v>1893</v>
      </c>
      <c r="B50" s="3356">
        <f>SUM(B45:B49)</f>
        <v>2916.66</v>
      </c>
      <c r="C50" s="3356">
        <f t="shared" ref="C50:G50" si="22">SUM(C45:C49)</f>
        <v>7047.5399999999991</v>
      </c>
      <c r="D50" s="3356">
        <f t="shared" si="22"/>
        <v>5045.8999999999996</v>
      </c>
      <c r="E50" s="3462">
        <f t="shared" si="22"/>
        <v>1632.0923300000002</v>
      </c>
      <c r="F50" s="3463">
        <f t="shared" si="22"/>
        <v>2403.3279968831998</v>
      </c>
      <c r="G50" s="5168">
        <f t="shared" si="22"/>
        <v>0</v>
      </c>
      <c r="H50" s="5166"/>
      <c r="I50" s="5167"/>
      <c r="J50" s="3463">
        <f t="shared" ref="J50:L50" si="23">SUM(J45:J49)</f>
        <v>1664.2445489010001</v>
      </c>
      <c r="K50" s="3356">
        <f t="shared" si="23"/>
        <v>6027.3600000000006</v>
      </c>
      <c r="L50" s="2470">
        <f t="shared" si="23"/>
        <v>4481.3200607999997</v>
      </c>
      <c r="M50" s="4123">
        <f t="shared" ref="M50" si="24">SUM(M45:M49)</f>
        <v>1710.2301787059578</v>
      </c>
    </row>
    <row r="51" spans="1:13" ht="12.75" customHeight="1" x14ac:dyDescent="0.2">
      <c r="A51" s="3312" t="s">
        <v>608</v>
      </c>
      <c r="B51" s="2602">
        <v>441.31</v>
      </c>
      <c r="C51" s="2602">
        <v>304.98</v>
      </c>
      <c r="D51" s="2602">
        <v>590.36</v>
      </c>
      <c r="E51" s="3461">
        <v>0</v>
      </c>
      <c r="F51" s="3461">
        <f>SUM(F21)</f>
        <v>435.33</v>
      </c>
      <c r="G51" s="5165" t="s">
        <v>631</v>
      </c>
      <c r="H51" s="5166"/>
      <c r="I51" s="5167"/>
      <c r="J51" s="3461">
        <f t="shared" ref="J51:J55" si="25">SUM(E51*1.03)*(1-0.01)</f>
        <v>0</v>
      </c>
      <c r="K51" s="2602">
        <v>1249.92</v>
      </c>
      <c r="L51" s="2469">
        <f>SUM(G21*1.046)*(1-0.01)</f>
        <v>464.32578059999997</v>
      </c>
      <c r="M51" s="4080">
        <f t="shared" si="21"/>
        <v>0</v>
      </c>
    </row>
    <row r="52" spans="1:13" ht="12.75" customHeight="1" x14ac:dyDescent="0.2">
      <c r="A52" s="3312" t="s">
        <v>617</v>
      </c>
      <c r="B52" s="2602">
        <v>347.31</v>
      </c>
      <c r="C52" s="2602">
        <v>960.04</v>
      </c>
      <c r="D52" s="2602">
        <v>1291.27</v>
      </c>
      <c r="E52" s="3461">
        <v>0</v>
      </c>
      <c r="F52" s="3461">
        <f>SUM(F22*0.5)</f>
        <v>481.08499999999998</v>
      </c>
      <c r="G52" s="5165" t="s">
        <v>631</v>
      </c>
      <c r="H52" s="5166"/>
      <c r="I52" s="5167"/>
      <c r="J52" s="3461">
        <f t="shared" si="25"/>
        <v>0</v>
      </c>
      <c r="K52" s="2602">
        <v>283.89</v>
      </c>
      <c r="L52" s="2469">
        <f>SUM(K52*1.046)*(1-0.01)</f>
        <v>293.97945060000001</v>
      </c>
      <c r="M52" s="4080">
        <f t="shared" si="21"/>
        <v>0</v>
      </c>
    </row>
    <row r="53" spans="1:13" ht="12.75" customHeight="1" x14ac:dyDescent="0.2">
      <c r="A53" s="3312" t="s">
        <v>625</v>
      </c>
      <c r="B53" s="2602">
        <v>122.56</v>
      </c>
      <c r="C53" s="2602">
        <v>300.22000000000003</v>
      </c>
      <c r="D53" s="2602">
        <v>559.78</v>
      </c>
      <c r="E53" s="3461">
        <f>SUM('рем программа'!B35)</f>
        <v>1027.0439899999999</v>
      </c>
      <c r="F53" s="3461">
        <f>SUM('рем программа'!C35)</f>
        <v>1021.43466</v>
      </c>
      <c r="G53" s="5165" t="s">
        <v>3532</v>
      </c>
      <c r="H53" s="5166"/>
      <c r="I53" s="5167"/>
      <c r="J53" s="3461">
        <f t="shared" si="25"/>
        <v>1047.276756603</v>
      </c>
      <c r="K53" s="2602">
        <v>678.82</v>
      </c>
      <c r="L53" s="2469">
        <f>SUM(F23*1.046)*(1-0.01)</f>
        <v>1182.172464</v>
      </c>
      <c r="M53" s="4080">
        <f t="shared" si="21"/>
        <v>1076.2146198901498</v>
      </c>
    </row>
    <row r="54" spans="1:13" ht="12.75" customHeight="1" x14ac:dyDescent="0.2">
      <c r="A54" s="3312" t="s">
        <v>631</v>
      </c>
      <c r="B54" s="2602">
        <v>335.88</v>
      </c>
      <c r="C54" s="2602">
        <v>174.81</v>
      </c>
      <c r="D54" s="2602">
        <v>431.05</v>
      </c>
      <c r="E54" s="2599">
        <f>SUM(E38)</f>
        <v>752.84633000000008</v>
      </c>
      <c r="F54" s="3461">
        <f>E54*0.99*1.046</f>
        <v>779.6024885682001</v>
      </c>
      <c r="G54" s="5165" t="s">
        <v>631</v>
      </c>
      <c r="H54" s="5166"/>
      <c r="I54" s="5167"/>
      <c r="J54" s="3461">
        <f t="shared" si="25"/>
        <v>767.67740270100012</v>
      </c>
      <c r="K54" s="2602">
        <v>678.24</v>
      </c>
      <c r="L54" s="2469">
        <f>SUM(G24*1.046)*(1-0.01)</f>
        <v>1321.4629494000001</v>
      </c>
      <c r="M54" s="4080">
        <f t="shared" si="21"/>
        <v>788.88950693985805</v>
      </c>
    </row>
    <row r="55" spans="1:13" x14ac:dyDescent="0.2">
      <c r="A55" s="3312" t="s">
        <v>1894</v>
      </c>
      <c r="B55" s="2602">
        <v>0</v>
      </c>
      <c r="C55" s="2602">
        <v>0</v>
      </c>
      <c r="D55" s="2602">
        <v>0</v>
      </c>
      <c r="E55" s="2599">
        <v>0</v>
      </c>
      <c r="F55" s="3461">
        <v>0</v>
      </c>
      <c r="G55" s="5165"/>
      <c r="H55" s="5166"/>
      <c r="I55" s="5167"/>
      <c r="J55" s="3461">
        <f t="shared" si="25"/>
        <v>0</v>
      </c>
      <c r="K55" s="2602">
        <v>0</v>
      </c>
      <c r="L55" s="2469">
        <f>SUM(F55*1.03)*(1-0.01)</f>
        <v>0</v>
      </c>
      <c r="M55" s="4080">
        <f t="shared" si="21"/>
        <v>0</v>
      </c>
    </row>
    <row r="56" spans="1:13" x14ac:dyDescent="0.2">
      <c r="A56" s="3314" t="s">
        <v>91</v>
      </c>
      <c r="B56" s="3356">
        <f>SUM(B51:B55)</f>
        <v>1247.06</v>
      </c>
      <c r="C56" s="3356">
        <f t="shared" ref="C56:G56" si="26">SUM(C51:C55)</f>
        <v>1740.05</v>
      </c>
      <c r="D56" s="3356">
        <f t="shared" si="26"/>
        <v>2872.46</v>
      </c>
      <c r="E56" s="3356">
        <f t="shared" si="26"/>
        <v>1779.89032</v>
      </c>
      <c r="F56" s="3463">
        <f t="shared" si="26"/>
        <v>2717.4521485681998</v>
      </c>
      <c r="G56" s="5168">
        <f t="shared" si="26"/>
        <v>0</v>
      </c>
      <c r="H56" s="5166"/>
      <c r="I56" s="5167"/>
      <c r="J56" s="3463">
        <f t="shared" ref="J56:L56" si="27">SUM(J51:J55)</f>
        <v>1814.9541593040001</v>
      </c>
      <c r="K56" s="3356">
        <f t="shared" si="27"/>
        <v>2890.87</v>
      </c>
      <c r="L56" s="2470">
        <f t="shared" si="27"/>
        <v>3261.9406446000003</v>
      </c>
      <c r="M56" s="4123">
        <f t="shared" ref="M56" si="28">SUM(M51:M55)</f>
        <v>1865.1041268300078</v>
      </c>
    </row>
    <row r="58" spans="1:13" ht="33.75" customHeight="1" x14ac:dyDescent="0.25">
      <c r="A58" s="5177" t="s">
        <v>3534</v>
      </c>
      <c r="B58" s="5178"/>
      <c r="C58" s="5178"/>
      <c r="D58" s="5178"/>
      <c r="E58" s="5178"/>
      <c r="F58" s="5178"/>
      <c r="G58" s="5178"/>
      <c r="H58" s="5178"/>
      <c r="I58" s="5178"/>
      <c r="J58" s="4242"/>
      <c r="K58" s="4242"/>
      <c r="L58" s="4242"/>
      <c r="M58" s="4242"/>
    </row>
    <row r="62" spans="1:13" ht="20.25" x14ac:dyDescent="0.3">
      <c r="A62" s="5156" t="s">
        <v>3533</v>
      </c>
      <c r="B62" s="5157"/>
      <c r="C62" s="5157"/>
      <c r="D62" s="5157"/>
      <c r="E62" s="5157"/>
      <c r="F62" s="5157"/>
      <c r="G62" s="5157"/>
      <c r="H62" s="5157"/>
      <c r="I62" s="5157"/>
    </row>
  </sheetData>
  <mergeCells count="23">
    <mergeCell ref="A62:I62"/>
    <mergeCell ref="A58:M58"/>
    <mergeCell ref="G48:I48"/>
    <mergeCell ref="G47:I47"/>
    <mergeCell ref="G54:I54"/>
    <mergeCell ref="G55:I55"/>
    <mergeCell ref="G56:I56"/>
    <mergeCell ref="G53:I53"/>
    <mergeCell ref="E30:I32"/>
    <mergeCell ref="E35:I37"/>
    <mergeCell ref="A1:I1"/>
    <mergeCell ref="C3:C4"/>
    <mergeCell ref="A3:A4"/>
    <mergeCell ref="B3:B4"/>
    <mergeCell ref="D3:I3"/>
    <mergeCell ref="A42:M42"/>
    <mergeCell ref="G49:I49"/>
    <mergeCell ref="G50:I50"/>
    <mergeCell ref="G51:I51"/>
    <mergeCell ref="G52:I52"/>
    <mergeCell ref="G44:I44"/>
    <mergeCell ref="G45:I45"/>
    <mergeCell ref="G46:I46"/>
  </mergeCells>
  <printOptions horizontalCentered="1"/>
  <pageMargins left="0.51181102362204722" right="0.51181102362204722" top="0.35433070866141736" bottom="0.15748031496062992" header="0.31496062992125984" footer="0.31496062992125984"/>
  <pageSetup paperSize="9" scale="61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2">
    <tabColor rgb="FFFFFF00"/>
    <pageSetUpPr fitToPage="1"/>
  </sheetPr>
  <dimension ref="A2:EB68"/>
  <sheetViews>
    <sheetView zoomScaleNormal="100" zoomScaleSheetLayoutView="65" workbookViewId="0">
      <pane xSplit="40" ySplit="7" topLeftCell="CP17" activePane="bottomRight" state="frozen"/>
      <selection pane="topRight" activeCell="AO1" sqref="AO1"/>
      <selection pane="bottomLeft" activeCell="A8" sqref="A8"/>
      <selection pane="bottomRight" activeCell="DE14" sqref="DE14"/>
    </sheetView>
  </sheetViews>
  <sheetFormatPr defaultRowHeight="12.75" outlineLevelCol="1" x14ac:dyDescent="0.2"/>
  <cols>
    <col min="1" max="1" width="22.85546875" style="176" customWidth="1"/>
    <col min="2" max="3" width="9.140625" style="176" hidden="1" customWidth="1"/>
    <col min="4" max="4" width="8.140625" style="176" hidden="1" customWidth="1"/>
    <col min="5" max="5" width="9.28515625" style="176" hidden="1" customWidth="1" outlineLevel="1"/>
    <col min="6" max="7" width="9" style="176" hidden="1" customWidth="1" outlineLevel="1"/>
    <col min="8" max="8" width="7.7109375" style="176" hidden="1" customWidth="1" outlineLevel="1"/>
    <col min="9" max="9" width="12.140625" style="522" hidden="1" customWidth="1" collapsed="1"/>
    <col min="10" max="10" width="11.5703125" style="522" hidden="1" customWidth="1" outlineLevel="1"/>
    <col min="11" max="11" width="9.7109375" style="522" hidden="1" customWidth="1" outlineLevel="1"/>
    <col min="12" max="12" width="11.7109375" style="522" hidden="1" customWidth="1" collapsed="1"/>
    <col min="13" max="13" width="8" style="522" hidden="1" customWidth="1" outlineLevel="1"/>
    <col min="14" max="14" width="11.140625" style="522" hidden="1" customWidth="1" collapsed="1"/>
    <col min="15" max="15" width="10.42578125" style="522" hidden="1" customWidth="1"/>
    <col min="16" max="16" width="10.85546875" style="522" hidden="1" customWidth="1"/>
    <col min="17" max="17" width="13.140625" style="522" hidden="1" customWidth="1"/>
    <col min="18" max="18" width="15" style="522" hidden="1" customWidth="1" collapsed="1"/>
    <col min="19" max="19" width="14.7109375" style="522" hidden="1" customWidth="1"/>
    <col min="20" max="20" width="10.28515625" style="522" hidden="1" customWidth="1" outlineLevel="1"/>
    <col min="21" max="21" width="13.7109375" style="522" hidden="1" customWidth="1" outlineLevel="1"/>
    <col min="22" max="22" width="14.5703125" style="522" hidden="1" customWidth="1" outlineLevel="1"/>
    <col min="23" max="23" width="14.140625" style="522" hidden="1" customWidth="1" collapsed="1"/>
    <col min="24" max="29" width="14.140625" style="522" hidden="1" customWidth="1"/>
    <col min="30" max="30" width="15.85546875" style="522" hidden="1" customWidth="1"/>
    <col min="31" max="31" width="14.140625" style="522" hidden="1" customWidth="1"/>
    <col min="32" max="32" width="14.5703125" style="176" hidden="1" customWidth="1"/>
    <col min="33" max="33" width="13.85546875" style="176" hidden="1" customWidth="1"/>
    <col min="34" max="35" width="13" style="176" hidden="1" customWidth="1"/>
    <col min="36" max="40" width="14.140625" style="176" hidden="1" customWidth="1"/>
    <col min="41" max="41" width="10.7109375" style="179" hidden="1" customWidth="1"/>
    <col min="42" max="46" width="10.7109375" style="176" hidden="1" customWidth="1"/>
    <col min="47" max="49" width="10.7109375" style="2174" hidden="1" customWidth="1"/>
    <col min="50" max="50" width="9.140625" style="2174" customWidth="1"/>
    <col min="51" max="52" width="10.7109375" style="2174" customWidth="1"/>
    <col min="53" max="53" width="9.85546875" style="2174" customWidth="1"/>
    <col min="54" max="59" width="10.7109375" style="2174" customWidth="1"/>
    <col min="60" max="60" width="9.42578125" style="2174" customWidth="1"/>
    <col min="61" max="62" width="10.7109375" style="2174" customWidth="1"/>
    <col min="63" max="63" width="9.7109375" style="2174" customWidth="1"/>
    <col min="64" max="66" width="10.7109375" style="2174" customWidth="1"/>
    <col min="67" max="67" width="7.7109375" style="2174" customWidth="1"/>
    <col min="68" max="68" width="10.5703125" style="2174" customWidth="1"/>
    <col min="69" max="79" width="10.7109375" style="2174" customWidth="1"/>
    <col min="80" max="80" width="10.140625" style="2174" customWidth="1"/>
    <col min="81" max="86" width="10.7109375" style="2174" customWidth="1"/>
    <col min="87" max="87" width="10.28515625" style="2174" customWidth="1"/>
    <col min="88" max="130" width="10.7109375" style="2174" customWidth="1"/>
    <col min="131" max="131" width="27" style="2174" customWidth="1"/>
    <col min="132" max="132" width="28" style="176" customWidth="1"/>
    <col min="133" max="16384" width="9.140625" style="176"/>
  </cols>
  <sheetData>
    <row r="2" spans="1:132" ht="27" x14ac:dyDescent="0.35">
      <c r="A2" s="5185" t="s">
        <v>3908</v>
      </c>
      <c r="B2" s="5185"/>
      <c r="C2" s="5185"/>
      <c r="D2" s="5185"/>
      <c r="E2" s="5185"/>
      <c r="F2" s="5185"/>
      <c r="G2" s="5185"/>
      <c r="H2" s="5185"/>
      <c r="I2" s="5185"/>
      <c r="J2" s="5185"/>
      <c r="K2" s="5185"/>
      <c r="L2" s="5185"/>
      <c r="M2" s="5185"/>
      <c r="N2" s="5185"/>
      <c r="O2" s="5185"/>
      <c r="P2" s="5185"/>
      <c r="Q2" s="5185"/>
      <c r="R2" s="5185"/>
      <c r="S2" s="5185"/>
      <c r="T2" s="5185"/>
      <c r="U2" s="5185"/>
      <c r="V2" s="5185"/>
      <c r="W2" s="5185"/>
      <c r="X2" s="5185"/>
      <c r="Y2" s="5185"/>
      <c r="Z2" s="5185"/>
      <c r="AA2" s="5185"/>
      <c r="AB2" s="5185"/>
      <c r="AC2" s="5185"/>
      <c r="AD2" s="5185"/>
      <c r="AE2" s="5185"/>
      <c r="AF2" s="5185"/>
      <c r="AG2" s="5185"/>
      <c r="AH2" s="5185"/>
      <c r="AI2" s="5185"/>
      <c r="AJ2" s="5185"/>
      <c r="AK2" s="5185"/>
      <c r="AL2" s="5185"/>
      <c r="AM2" s="5185"/>
      <c r="AN2" s="5185"/>
      <c r="AO2" s="4242"/>
      <c r="AP2" s="4242"/>
      <c r="AQ2" s="4242"/>
      <c r="AR2" s="4242"/>
      <c r="AS2" s="4242"/>
      <c r="AT2" s="4242"/>
      <c r="AU2" s="4242"/>
      <c r="AV2" s="4242"/>
      <c r="AW2" s="4242"/>
      <c r="AX2" s="4242"/>
      <c r="AY2" s="4242"/>
      <c r="AZ2" s="4242"/>
      <c r="BA2" s="4242"/>
      <c r="BB2" s="4242"/>
      <c r="BC2" s="4242"/>
      <c r="BD2" s="4242"/>
      <c r="BE2" s="4242"/>
      <c r="BF2" s="4242"/>
      <c r="BG2" s="4242"/>
      <c r="BH2" s="4242"/>
      <c r="BI2" s="4242"/>
      <c r="BJ2" s="4242"/>
      <c r="BK2" s="4242"/>
      <c r="BL2" s="4242"/>
      <c r="BM2" s="4242"/>
      <c r="BN2" s="4242"/>
      <c r="BO2" s="4242"/>
      <c r="BP2" s="4242"/>
      <c r="BQ2" s="4242"/>
      <c r="BR2" s="4242"/>
      <c r="BS2" s="4242"/>
      <c r="BT2" s="4242"/>
      <c r="BU2" s="4242"/>
      <c r="BV2" s="4242"/>
      <c r="BW2" s="4242"/>
      <c r="BX2" s="4242"/>
      <c r="BY2" s="4242"/>
      <c r="BZ2" s="4242"/>
      <c r="CA2" s="4242"/>
      <c r="CB2" s="4242"/>
      <c r="CC2" s="4242"/>
      <c r="CD2" s="4242"/>
      <c r="CE2" s="4242"/>
      <c r="CF2" s="4242"/>
      <c r="CG2" s="4242"/>
      <c r="CH2" s="4242"/>
      <c r="CI2" s="4242"/>
      <c r="CJ2" s="4242"/>
      <c r="CK2" s="4242"/>
      <c r="CL2" s="4242"/>
      <c r="CM2" s="4242"/>
      <c r="CN2" s="4242"/>
      <c r="CO2" s="4242"/>
      <c r="CP2" s="4242"/>
      <c r="CQ2" s="4242"/>
      <c r="CR2" s="4242"/>
      <c r="CS2" s="4242"/>
      <c r="CT2" s="4242"/>
      <c r="CU2" s="4242"/>
      <c r="CV2" s="4242"/>
      <c r="CW2" s="4242"/>
      <c r="CX2" s="4242"/>
      <c r="CY2" s="4242"/>
      <c r="CZ2" s="4242"/>
      <c r="DA2" s="4242"/>
      <c r="DB2" s="4242"/>
      <c r="DC2" s="4242"/>
      <c r="DD2" s="4242"/>
      <c r="DE2" s="4242"/>
      <c r="DF2" s="4242"/>
      <c r="DG2" s="4242"/>
      <c r="DH2" s="4242"/>
      <c r="DI2" s="4242"/>
      <c r="DJ2" s="4242"/>
      <c r="DK2" s="4242"/>
      <c r="DL2" s="4242"/>
      <c r="DM2" s="4242"/>
      <c r="DN2" s="4242"/>
      <c r="DO2" s="4242"/>
      <c r="DP2" s="4242"/>
      <c r="DQ2" s="4242"/>
      <c r="DR2" s="4242"/>
      <c r="DS2" s="4242"/>
      <c r="DT2" s="4242"/>
      <c r="DU2" s="4242"/>
      <c r="DV2" s="4242"/>
      <c r="DW2" s="4242"/>
      <c r="DX2" s="4242"/>
      <c r="DY2" s="4242"/>
      <c r="DZ2" s="4242"/>
      <c r="EA2" s="4242"/>
    </row>
    <row r="3" spans="1:132" ht="15.75" x14ac:dyDescent="0.25">
      <c r="A3" s="521"/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2"/>
      <c r="AG3" s="522"/>
      <c r="AH3" s="522"/>
      <c r="AI3" s="522"/>
      <c r="AJ3" s="522"/>
      <c r="AK3" s="522"/>
      <c r="AL3" s="522"/>
      <c r="AM3" s="522"/>
      <c r="AN3" s="522"/>
      <c r="AO3" s="178"/>
    </row>
    <row r="4" spans="1:132" s="2179" customFormat="1" ht="32.25" customHeight="1" x14ac:dyDescent="0.2">
      <c r="A4" s="5206" t="s">
        <v>17</v>
      </c>
      <c r="B4" s="5201" t="s">
        <v>57</v>
      </c>
      <c r="C4" s="5201" t="s">
        <v>72</v>
      </c>
      <c r="D4" s="5201" t="s">
        <v>73</v>
      </c>
      <c r="E4" s="5206" t="s">
        <v>66</v>
      </c>
      <c r="F4" s="5206"/>
      <c r="G4" s="5206" t="s">
        <v>92</v>
      </c>
      <c r="H4" s="5206"/>
      <c r="I4" s="5201" t="s">
        <v>291</v>
      </c>
      <c r="J4" s="5201"/>
      <c r="K4" s="5201"/>
      <c r="L4" s="5201"/>
      <c r="M4" s="5201"/>
      <c r="N4" s="5201" t="s">
        <v>155</v>
      </c>
      <c r="O4" s="5201"/>
      <c r="P4" s="5201"/>
      <c r="Q4" s="5201"/>
      <c r="R4" s="5201" t="s">
        <v>229</v>
      </c>
      <c r="S4" s="5211"/>
      <c r="T4" s="5211"/>
      <c r="U4" s="5211"/>
      <c r="V4" s="5211"/>
      <c r="W4" s="5211"/>
      <c r="X4" s="5211"/>
      <c r="Y4" s="5211"/>
      <c r="Z4" s="5211"/>
      <c r="AA4" s="5211"/>
      <c r="AB4" s="5201" t="s">
        <v>364</v>
      </c>
      <c r="AC4" s="5201"/>
      <c r="AD4" s="5201"/>
      <c r="AE4" s="5201"/>
      <c r="AF4" s="5201"/>
      <c r="AG4" s="5201"/>
      <c r="AH4" s="4737"/>
      <c r="AI4" s="4737"/>
      <c r="AJ4" s="5192" t="s">
        <v>647</v>
      </c>
      <c r="AK4" s="4750"/>
      <c r="AL4" s="4750"/>
      <c r="AM4" s="4750"/>
      <c r="AN4" s="4750"/>
      <c r="AO4" s="5192" t="s">
        <v>818</v>
      </c>
      <c r="AP4" s="5192"/>
      <c r="AQ4" s="5192"/>
      <c r="AR4" s="5192"/>
      <c r="AS4" s="5192"/>
      <c r="AT4" s="5192"/>
      <c r="AU4" s="5021" t="s">
        <v>895</v>
      </c>
      <c r="AV4" s="5022"/>
      <c r="AW4" s="5022"/>
      <c r="AX4" s="5021" t="s">
        <v>896</v>
      </c>
      <c r="AY4" s="4741"/>
      <c r="AZ4" s="4741"/>
      <c r="BA4" s="4741"/>
      <c r="BB4" s="4741"/>
      <c r="BC4" s="4741"/>
      <c r="BD4" s="4741"/>
      <c r="BE4" s="4741"/>
      <c r="BF4" s="4741"/>
      <c r="BG4" s="4742"/>
      <c r="BH4" s="5021" t="s">
        <v>1802</v>
      </c>
      <c r="BI4" s="5022"/>
      <c r="BJ4" s="5022"/>
      <c r="BK4" s="5022"/>
      <c r="BL4" s="5022"/>
      <c r="BM4" s="5022"/>
      <c r="BN4" s="2688"/>
      <c r="BO4" s="2689"/>
      <c r="BP4" s="5021" t="s">
        <v>3549</v>
      </c>
      <c r="BQ4" s="4741"/>
      <c r="BR4" s="4741"/>
      <c r="BS4" s="4741"/>
      <c r="BT4" s="4741"/>
      <c r="BU4" s="4741"/>
      <c r="BV4" s="4742"/>
      <c r="BW4" s="5021" t="s">
        <v>3707</v>
      </c>
      <c r="BX4" s="4741"/>
      <c r="BY4" s="4741"/>
      <c r="BZ4" s="4741"/>
      <c r="CA4" s="4742"/>
      <c r="CB4" s="5021" t="s">
        <v>3653</v>
      </c>
      <c r="CC4" s="4741"/>
      <c r="CD4" s="4741"/>
      <c r="CE4" s="4741"/>
      <c r="CF4" s="4741"/>
      <c r="CG4" s="4741"/>
      <c r="CH4" s="4741"/>
      <c r="CI4" s="4741"/>
      <c r="CJ4" s="4741"/>
      <c r="CK4" s="4741"/>
      <c r="CL4" s="4741"/>
      <c r="CM4" s="4741"/>
      <c r="CN4" s="4741"/>
      <c r="CO4" s="4741"/>
      <c r="CP4" s="4741"/>
      <c r="CQ4" s="4741"/>
      <c r="CR4" s="4741"/>
      <c r="CS4" s="4741"/>
      <c r="CT4" s="4741"/>
      <c r="CU4" s="4741"/>
      <c r="CV4" s="4742"/>
      <c r="CW4" s="5021" t="s">
        <v>3910</v>
      </c>
      <c r="CX4" s="5022"/>
      <c r="CY4" s="5022"/>
      <c r="CZ4" s="5022"/>
      <c r="DA4" s="5022"/>
      <c r="DB4" s="5022"/>
      <c r="DC4" s="5022"/>
      <c r="DD4" s="4741"/>
      <c r="DE4" s="4742"/>
      <c r="DF4" s="5021" t="s">
        <v>3950</v>
      </c>
      <c r="DG4" s="4741"/>
      <c r="DH4" s="4741"/>
      <c r="DI4" s="4741"/>
      <c r="DJ4" s="4741"/>
      <c r="DK4" s="4741"/>
      <c r="DL4" s="4741"/>
      <c r="DM4" s="4741"/>
      <c r="DN4" s="4741"/>
      <c r="DO4" s="4741"/>
      <c r="DP4" s="4741"/>
      <c r="DQ4" s="4741"/>
      <c r="DR4" s="4741"/>
      <c r="DS4" s="4741"/>
      <c r="DT4" s="4741"/>
      <c r="DU4" s="4741"/>
      <c r="DV4" s="4741"/>
      <c r="DW4" s="4741"/>
      <c r="DX4" s="4741"/>
      <c r="DY4" s="4741"/>
      <c r="DZ4" s="4742"/>
      <c r="EA4" s="5023" t="s">
        <v>1904</v>
      </c>
      <c r="EB4" s="2178"/>
    </row>
    <row r="5" spans="1:132" s="2179" customFormat="1" ht="21.75" customHeight="1" x14ac:dyDescent="0.2">
      <c r="A5" s="5206"/>
      <c r="B5" s="5201"/>
      <c r="C5" s="5201"/>
      <c r="D5" s="5201"/>
      <c r="E5" s="5201" t="s">
        <v>60</v>
      </c>
      <c r="F5" s="5201" t="s">
        <v>65</v>
      </c>
      <c r="G5" s="5201" t="s">
        <v>60</v>
      </c>
      <c r="H5" s="5201" t="s">
        <v>109</v>
      </c>
      <c r="I5" s="5201" t="s">
        <v>292</v>
      </c>
      <c r="J5" s="5201" t="s">
        <v>107</v>
      </c>
      <c r="K5" s="5201" t="s">
        <v>63</v>
      </c>
      <c r="L5" s="5201" t="s">
        <v>293</v>
      </c>
      <c r="M5" s="5201" t="s">
        <v>116</v>
      </c>
      <c r="N5" s="5201" t="s">
        <v>292</v>
      </c>
      <c r="O5" s="5201" t="s">
        <v>294</v>
      </c>
      <c r="P5" s="5201" t="s">
        <v>295</v>
      </c>
      <c r="Q5" s="5201" t="s">
        <v>293</v>
      </c>
      <c r="R5" s="5201" t="s">
        <v>297</v>
      </c>
      <c r="S5" s="5201" t="s">
        <v>298</v>
      </c>
      <c r="T5" s="2180"/>
      <c r="U5" s="5193" t="s">
        <v>119</v>
      </c>
      <c r="V5" s="5193"/>
      <c r="W5" s="5193" t="s">
        <v>120</v>
      </c>
      <c r="X5" s="5193"/>
      <c r="Y5" s="5193" t="s">
        <v>376</v>
      </c>
      <c r="Z5" s="5193" t="s">
        <v>378</v>
      </c>
      <c r="AA5" s="5193" t="s">
        <v>642</v>
      </c>
      <c r="AB5" s="5201" t="s">
        <v>297</v>
      </c>
      <c r="AC5" s="5201" t="s">
        <v>298</v>
      </c>
      <c r="AD5" s="5193" t="s">
        <v>120</v>
      </c>
      <c r="AE5" s="5193"/>
      <c r="AF5" s="5199" t="s">
        <v>234</v>
      </c>
      <c r="AG5" s="5199"/>
      <c r="AH5" s="5193" t="s">
        <v>376</v>
      </c>
      <c r="AI5" s="5193" t="s">
        <v>378</v>
      </c>
      <c r="AJ5" s="5201" t="s">
        <v>645</v>
      </c>
      <c r="AK5" s="5193" t="s">
        <v>50</v>
      </c>
      <c r="AL5" s="4737"/>
      <c r="AM5" s="5199" t="s">
        <v>234</v>
      </c>
      <c r="AN5" s="5199"/>
      <c r="AO5" s="5186" t="s">
        <v>1588</v>
      </c>
      <c r="AP5" s="5187"/>
      <c r="AQ5" s="5188"/>
      <c r="AR5" s="5186" t="s">
        <v>60</v>
      </c>
      <c r="AS5" s="5187"/>
      <c r="AT5" s="5188"/>
      <c r="AU5" s="5186" t="s">
        <v>60</v>
      </c>
      <c r="AV5" s="5187"/>
      <c r="AW5" s="5188"/>
      <c r="AX5" s="5186" t="s">
        <v>1588</v>
      </c>
      <c r="AY5" s="5187"/>
      <c r="AZ5" s="5188"/>
      <c r="BA5" s="5179" t="s">
        <v>60</v>
      </c>
      <c r="BB5" s="5180"/>
      <c r="BC5" s="5180"/>
      <c r="BD5" s="5180"/>
      <c r="BE5" s="5180"/>
      <c r="BF5" s="4741"/>
      <c r="BG5" s="4742"/>
      <c r="BH5" s="5186" t="s">
        <v>119</v>
      </c>
      <c r="BI5" s="5187"/>
      <c r="BJ5" s="5188"/>
      <c r="BK5" s="5179" t="s">
        <v>1524</v>
      </c>
      <c r="BL5" s="5180"/>
      <c r="BM5" s="5180"/>
      <c r="BN5" s="5180"/>
      <c r="BO5" s="5191"/>
      <c r="BP5" s="5179" t="s">
        <v>1566</v>
      </c>
      <c r="BQ5" s="5180"/>
      <c r="BR5" s="5180"/>
      <c r="BS5" s="5180"/>
      <c r="BT5" s="5180"/>
      <c r="BU5" s="4741"/>
      <c r="BV5" s="4742"/>
      <c r="BW5" s="5179" t="s">
        <v>1566</v>
      </c>
      <c r="BX5" s="5180"/>
      <c r="BY5" s="5180"/>
      <c r="BZ5" s="4741"/>
      <c r="CA5" s="4742"/>
      <c r="CB5" s="5179" t="s">
        <v>3648</v>
      </c>
      <c r="CC5" s="5180"/>
      <c r="CD5" s="5180"/>
      <c r="CE5" s="5180"/>
      <c r="CF5" s="5180"/>
      <c r="CG5" s="4741"/>
      <c r="CH5" s="4742"/>
      <c r="CI5" s="5179" t="s">
        <v>3649</v>
      </c>
      <c r="CJ5" s="5180"/>
      <c r="CK5" s="5180"/>
      <c r="CL5" s="5180"/>
      <c r="CM5" s="5180"/>
      <c r="CN5" s="4741"/>
      <c r="CO5" s="4742"/>
      <c r="CP5" s="5179" t="s">
        <v>3654</v>
      </c>
      <c r="CQ5" s="5180"/>
      <c r="CR5" s="5180"/>
      <c r="CS5" s="5180"/>
      <c r="CT5" s="5180"/>
      <c r="CU5" s="4741"/>
      <c r="CV5" s="4742"/>
      <c r="CW5" s="5179" t="s">
        <v>3909</v>
      </c>
      <c r="CX5" s="5180"/>
      <c r="CY5" s="5180"/>
      <c r="CZ5" s="5180"/>
      <c r="DA5" s="5180"/>
      <c r="DB5" s="4741"/>
      <c r="DC5" s="4742"/>
      <c r="DD5" s="5212" t="s">
        <v>377</v>
      </c>
      <c r="DE5" s="5213"/>
      <c r="DF5" s="5179" t="s">
        <v>3943</v>
      </c>
      <c r="DG5" s="5180"/>
      <c r="DH5" s="5180"/>
      <c r="DI5" s="5180"/>
      <c r="DJ5" s="5180"/>
      <c r="DK5" s="4741"/>
      <c r="DL5" s="4742"/>
      <c r="DM5" s="5179" t="s">
        <v>3944</v>
      </c>
      <c r="DN5" s="5180"/>
      <c r="DO5" s="5180"/>
      <c r="DP5" s="5180"/>
      <c r="DQ5" s="5180"/>
      <c r="DR5" s="4741"/>
      <c r="DS5" s="4742"/>
      <c r="DT5" s="5179" t="s">
        <v>3951</v>
      </c>
      <c r="DU5" s="5180"/>
      <c r="DV5" s="5180"/>
      <c r="DW5" s="5180"/>
      <c r="DX5" s="5180"/>
      <c r="DY5" s="4741"/>
      <c r="DZ5" s="4742"/>
      <c r="EA5" s="5023"/>
    </row>
    <row r="6" spans="1:132" s="2179" customFormat="1" ht="15.75" customHeight="1" x14ac:dyDescent="0.2">
      <c r="A6" s="5206"/>
      <c r="B6" s="5201"/>
      <c r="C6" s="5201"/>
      <c r="D6" s="5201"/>
      <c r="E6" s="5201"/>
      <c r="F6" s="5201"/>
      <c r="G6" s="5201"/>
      <c r="H6" s="5201"/>
      <c r="I6" s="5201"/>
      <c r="J6" s="5201"/>
      <c r="K6" s="5201"/>
      <c r="L6" s="5201"/>
      <c r="M6" s="5201"/>
      <c r="N6" s="5201"/>
      <c r="O6" s="5201"/>
      <c r="P6" s="5201"/>
      <c r="Q6" s="5201"/>
      <c r="R6" s="5201"/>
      <c r="S6" s="5201"/>
      <c r="T6" s="2180"/>
      <c r="U6" s="5193" t="s">
        <v>359</v>
      </c>
      <c r="V6" s="5193" t="s">
        <v>360</v>
      </c>
      <c r="W6" s="5193" t="s">
        <v>359</v>
      </c>
      <c r="X6" s="5193" t="s">
        <v>360</v>
      </c>
      <c r="Y6" s="5193"/>
      <c r="Z6" s="5193"/>
      <c r="AA6" s="5193"/>
      <c r="AB6" s="5201"/>
      <c r="AC6" s="5201"/>
      <c r="AD6" s="5193" t="s">
        <v>359</v>
      </c>
      <c r="AE6" s="5193" t="s">
        <v>360</v>
      </c>
      <c r="AF6" s="5193" t="s">
        <v>359</v>
      </c>
      <c r="AG6" s="5193" t="s">
        <v>360</v>
      </c>
      <c r="AH6" s="5193"/>
      <c r="AI6" s="5193"/>
      <c r="AJ6" s="5201"/>
      <c r="AK6" s="5193" t="s">
        <v>46</v>
      </c>
      <c r="AL6" s="5193" t="s">
        <v>47</v>
      </c>
      <c r="AM6" s="5193" t="s">
        <v>359</v>
      </c>
      <c r="AN6" s="5193" t="s">
        <v>360</v>
      </c>
      <c r="AO6" s="5196" t="s">
        <v>447</v>
      </c>
      <c r="AP6" s="5189" t="s">
        <v>50</v>
      </c>
      <c r="AQ6" s="5190"/>
      <c r="AR6" s="5181" t="s">
        <v>447</v>
      </c>
      <c r="AS6" s="5189" t="s">
        <v>50</v>
      </c>
      <c r="AT6" s="5190"/>
      <c r="AU6" s="5181" t="s">
        <v>447</v>
      </c>
      <c r="AV6" s="5189" t="s">
        <v>50</v>
      </c>
      <c r="AW6" s="5190"/>
      <c r="AX6" s="5181" t="s">
        <v>447</v>
      </c>
      <c r="AY6" s="5189" t="s">
        <v>50</v>
      </c>
      <c r="AZ6" s="5190"/>
      <c r="BA6" s="5181" t="s">
        <v>447</v>
      </c>
      <c r="BB6" s="5183" t="s">
        <v>50</v>
      </c>
      <c r="BC6" s="5184"/>
      <c r="BD6" s="5184"/>
      <c r="BE6" s="5184"/>
      <c r="BF6" s="4731"/>
      <c r="BG6" s="4732"/>
      <c r="BH6" s="5181" t="s">
        <v>447</v>
      </c>
      <c r="BI6" s="5189" t="s">
        <v>50</v>
      </c>
      <c r="BJ6" s="5190"/>
      <c r="BK6" s="5181" t="s">
        <v>447</v>
      </c>
      <c r="BL6" s="5189" t="s">
        <v>50</v>
      </c>
      <c r="BM6" s="5198"/>
      <c r="BN6" s="5198"/>
      <c r="BO6" s="5190"/>
      <c r="BP6" s="5181" t="s">
        <v>447</v>
      </c>
      <c r="BQ6" s="5183" t="s">
        <v>50</v>
      </c>
      <c r="BR6" s="5184"/>
      <c r="BS6" s="5184"/>
      <c r="BT6" s="5184"/>
      <c r="BU6" s="4731"/>
      <c r="BV6" s="4732"/>
      <c r="BW6" s="5181" t="s">
        <v>447</v>
      </c>
      <c r="BX6" s="5183" t="s">
        <v>50</v>
      </c>
      <c r="BY6" s="5184"/>
      <c r="BZ6" s="4731"/>
      <c r="CA6" s="4732"/>
      <c r="CB6" s="5181" t="s">
        <v>447</v>
      </c>
      <c r="CC6" s="5183" t="s">
        <v>50</v>
      </c>
      <c r="CD6" s="5184"/>
      <c r="CE6" s="5184"/>
      <c r="CF6" s="5184"/>
      <c r="CG6" s="4731"/>
      <c r="CH6" s="4732"/>
      <c r="CI6" s="5181" t="s">
        <v>447</v>
      </c>
      <c r="CJ6" s="5183" t="s">
        <v>50</v>
      </c>
      <c r="CK6" s="5184"/>
      <c r="CL6" s="5184"/>
      <c r="CM6" s="5184"/>
      <c r="CN6" s="4731"/>
      <c r="CO6" s="4732"/>
      <c r="CP6" s="5181" t="s">
        <v>447</v>
      </c>
      <c r="CQ6" s="5183" t="s">
        <v>50</v>
      </c>
      <c r="CR6" s="5184"/>
      <c r="CS6" s="5184"/>
      <c r="CT6" s="5184"/>
      <c r="CU6" s="4731"/>
      <c r="CV6" s="4732"/>
      <c r="CW6" s="5181" t="s">
        <v>447</v>
      </c>
      <c r="CX6" s="5183" t="s">
        <v>50</v>
      </c>
      <c r="CY6" s="5184"/>
      <c r="CZ6" s="5184"/>
      <c r="DA6" s="5184"/>
      <c r="DB6" s="4731"/>
      <c r="DC6" s="4732"/>
      <c r="DD6" s="5214"/>
      <c r="DE6" s="5215"/>
      <c r="DF6" s="5181" t="s">
        <v>447</v>
      </c>
      <c r="DG6" s="5183" t="s">
        <v>50</v>
      </c>
      <c r="DH6" s="5184"/>
      <c r="DI6" s="5184"/>
      <c r="DJ6" s="5184"/>
      <c r="DK6" s="4731"/>
      <c r="DL6" s="4732"/>
      <c r="DM6" s="5181" t="s">
        <v>447</v>
      </c>
      <c r="DN6" s="5183" t="s">
        <v>50</v>
      </c>
      <c r="DO6" s="5184"/>
      <c r="DP6" s="5184"/>
      <c r="DQ6" s="5184"/>
      <c r="DR6" s="4731"/>
      <c r="DS6" s="4732"/>
      <c r="DT6" s="5181" t="s">
        <v>447</v>
      </c>
      <c r="DU6" s="5183" t="s">
        <v>50</v>
      </c>
      <c r="DV6" s="5184"/>
      <c r="DW6" s="5184"/>
      <c r="DX6" s="5184"/>
      <c r="DY6" s="4731"/>
      <c r="DZ6" s="4732"/>
      <c r="EA6" s="5023"/>
    </row>
    <row r="7" spans="1:132" s="2179" customFormat="1" ht="37.5" customHeight="1" x14ac:dyDescent="0.2">
      <c r="A7" s="5206"/>
      <c r="B7" s="5201"/>
      <c r="C7" s="5201"/>
      <c r="D7" s="5201"/>
      <c r="E7" s="5201"/>
      <c r="F7" s="5201"/>
      <c r="G7" s="5201"/>
      <c r="H7" s="5201"/>
      <c r="I7" s="5201"/>
      <c r="J7" s="5201"/>
      <c r="K7" s="5201"/>
      <c r="L7" s="5201"/>
      <c r="M7" s="5201"/>
      <c r="N7" s="5201"/>
      <c r="O7" s="5201"/>
      <c r="P7" s="5201"/>
      <c r="Q7" s="5201"/>
      <c r="R7" s="5201"/>
      <c r="S7" s="5201"/>
      <c r="T7" s="2180"/>
      <c r="U7" s="5193"/>
      <c r="V7" s="5193"/>
      <c r="W7" s="5193"/>
      <c r="X7" s="5193"/>
      <c r="Y7" s="5193"/>
      <c r="Z7" s="5193"/>
      <c r="AA7" s="5193"/>
      <c r="AB7" s="5201"/>
      <c r="AC7" s="5201"/>
      <c r="AD7" s="5193"/>
      <c r="AE7" s="5193"/>
      <c r="AF7" s="5193"/>
      <c r="AG7" s="5193"/>
      <c r="AH7" s="5193"/>
      <c r="AI7" s="5193"/>
      <c r="AJ7" s="5201"/>
      <c r="AK7" s="4737"/>
      <c r="AL7" s="4737"/>
      <c r="AM7" s="5193"/>
      <c r="AN7" s="5193"/>
      <c r="AO7" s="5197"/>
      <c r="AP7" s="2694" t="s">
        <v>359</v>
      </c>
      <c r="AQ7" s="2694" t="s">
        <v>360</v>
      </c>
      <c r="AR7" s="5182"/>
      <c r="AS7" s="2694" t="s">
        <v>359</v>
      </c>
      <c r="AT7" s="2694" t="s">
        <v>360</v>
      </c>
      <c r="AU7" s="5182"/>
      <c r="AV7" s="2694" t="s">
        <v>359</v>
      </c>
      <c r="AW7" s="2694" t="s">
        <v>360</v>
      </c>
      <c r="AX7" s="5182"/>
      <c r="AY7" s="2694" t="s">
        <v>359</v>
      </c>
      <c r="AZ7" s="2694" t="s">
        <v>360</v>
      </c>
      <c r="BA7" s="5182"/>
      <c r="BB7" s="2694" t="s">
        <v>359</v>
      </c>
      <c r="BC7" s="2694" t="s">
        <v>25</v>
      </c>
      <c r="BD7" s="2694" t="s">
        <v>360</v>
      </c>
      <c r="BE7" s="2694" t="s">
        <v>3548</v>
      </c>
      <c r="BF7" s="2693" t="s">
        <v>3547</v>
      </c>
      <c r="BG7" s="2693" t="s">
        <v>1932</v>
      </c>
      <c r="BH7" s="5182"/>
      <c r="BI7" s="2694" t="s">
        <v>359</v>
      </c>
      <c r="BJ7" s="2694" t="s">
        <v>360</v>
      </c>
      <c r="BK7" s="5182"/>
      <c r="BL7" s="2694" t="s">
        <v>359</v>
      </c>
      <c r="BM7" s="2694" t="s">
        <v>360</v>
      </c>
      <c r="BN7" s="2694" t="s">
        <v>1932</v>
      </c>
      <c r="BO7" s="2694" t="s">
        <v>1935</v>
      </c>
      <c r="BP7" s="5182"/>
      <c r="BQ7" s="2694" t="s">
        <v>359</v>
      </c>
      <c r="BR7" s="2694" t="s">
        <v>25</v>
      </c>
      <c r="BS7" s="2694" t="s">
        <v>360</v>
      </c>
      <c r="BT7" s="2694" t="s">
        <v>3548</v>
      </c>
      <c r="BU7" s="2693" t="s">
        <v>3547</v>
      </c>
      <c r="BV7" s="2693" t="s">
        <v>1932</v>
      </c>
      <c r="BW7" s="5182"/>
      <c r="BX7" s="2767" t="s">
        <v>359</v>
      </c>
      <c r="BY7" s="2767" t="s">
        <v>360</v>
      </c>
      <c r="BZ7" s="2767" t="s">
        <v>1932</v>
      </c>
      <c r="CA7" s="2767" t="s">
        <v>1935</v>
      </c>
      <c r="CB7" s="5182"/>
      <c r="CC7" s="2694" t="s">
        <v>359</v>
      </c>
      <c r="CD7" s="2694" t="s">
        <v>25</v>
      </c>
      <c r="CE7" s="2694" t="s">
        <v>360</v>
      </c>
      <c r="CF7" s="2694" t="s">
        <v>3548</v>
      </c>
      <c r="CG7" s="2693" t="s">
        <v>3547</v>
      </c>
      <c r="CH7" s="2693" t="s">
        <v>1932</v>
      </c>
      <c r="CI7" s="5182"/>
      <c r="CJ7" s="2694" t="s">
        <v>359</v>
      </c>
      <c r="CK7" s="2694" t="s">
        <v>25</v>
      </c>
      <c r="CL7" s="2694" t="s">
        <v>360</v>
      </c>
      <c r="CM7" s="2694" t="s">
        <v>3548</v>
      </c>
      <c r="CN7" s="2693" t="s">
        <v>3547</v>
      </c>
      <c r="CO7" s="2693" t="s">
        <v>1932</v>
      </c>
      <c r="CP7" s="5182"/>
      <c r="CQ7" s="2694" t="s">
        <v>359</v>
      </c>
      <c r="CR7" s="2694" t="s">
        <v>25</v>
      </c>
      <c r="CS7" s="2694" t="s">
        <v>360</v>
      </c>
      <c r="CT7" s="2694" t="s">
        <v>3548</v>
      </c>
      <c r="CU7" s="2693" t="s">
        <v>3547</v>
      </c>
      <c r="CV7" s="2693" t="s">
        <v>1932</v>
      </c>
      <c r="CW7" s="5182"/>
      <c r="CX7" s="3338" t="s">
        <v>359</v>
      </c>
      <c r="CY7" s="3338" t="s">
        <v>25</v>
      </c>
      <c r="CZ7" s="3338" t="s">
        <v>360</v>
      </c>
      <c r="DA7" s="3338" t="s">
        <v>3548</v>
      </c>
      <c r="DB7" s="3337" t="s">
        <v>3547</v>
      </c>
      <c r="DC7" s="3337" t="s">
        <v>1932</v>
      </c>
      <c r="DD7" s="4054" t="s">
        <v>359</v>
      </c>
      <c r="DE7" s="4054" t="s">
        <v>360</v>
      </c>
      <c r="DF7" s="5182"/>
      <c r="DG7" s="3924" t="s">
        <v>359</v>
      </c>
      <c r="DH7" s="3924" t="s">
        <v>25</v>
      </c>
      <c r="DI7" s="3924" t="s">
        <v>360</v>
      </c>
      <c r="DJ7" s="3924" t="s">
        <v>3548</v>
      </c>
      <c r="DK7" s="3923" t="s">
        <v>3547</v>
      </c>
      <c r="DL7" s="3923" t="s">
        <v>1932</v>
      </c>
      <c r="DM7" s="5182"/>
      <c r="DN7" s="3924" t="s">
        <v>359</v>
      </c>
      <c r="DO7" s="3924" t="s">
        <v>25</v>
      </c>
      <c r="DP7" s="3924" t="s">
        <v>360</v>
      </c>
      <c r="DQ7" s="3924" t="s">
        <v>3548</v>
      </c>
      <c r="DR7" s="3923" t="s">
        <v>3547</v>
      </c>
      <c r="DS7" s="3923" t="s">
        <v>1932</v>
      </c>
      <c r="DT7" s="5182"/>
      <c r="DU7" s="3924" t="s">
        <v>359</v>
      </c>
      <c r="DV7" s="3924" t="s">
        <v>25</v>
      </c>
      <c r="DW7" s="3924" t="s">
        <v>360</v>
      </c>
      <c r="DX7" s="3924" t="s">
        <v>3548</v>
      </c>
      <c r="DY7" s="3923" t="s">
        <v>3547</v>
      </c>
      <c r="DZ7" s="3923" t="s">
        <v>1932</v>
      </c>
      <c r="EA7" s="5023"/>
    </row>
    <row r="8" spans="1:132" ht="24" customHeight="1" x14ac:dyDescent="0.2">
      <c r="A8" s="3519" t="s">
        <v>30</v>
      </c>
      <c r="B8" s="3380">
        <v>6</v>
      </c>
      <c r="C8" s="3380">
        <v>6.5</v>
      </c>
      <c r="D8" s="2158">
        <f>C8/B8*100</f>
        <v>108.33333333333333</v>
      </c>
      <c r="E8" s="3380">
        <v>13.7</v>
      </c>
      <c r="F8" s="2158">
        <f>E8/C8*100</f>
        <v>210.76923076923077</v>
      </c>
      <c r="G8" s="2159">
        <v>6.4</v>
      </c>
      <c r="H8" s="2158">
        <f>G8/E8*100</f>
        <v>46.715328467153292</v>
      </c>
      <c r="I8" s="2160">
        <v>9.8000000000000007</v>
      </c>
      <c r="J8" s="2160">
        <v>10.7</v>
      </c>
      <c r="K8" s="2160">
        <v>10.7</v>
      </c>
      <c r="L8" s="2159">
        <v>11.9</v>
      </c>
      <c r="M8" s="2158">
        <f>K8/G8*100</f>
        <v>167.18749999999997</v>
      </c>
      <c r="N8" s="2160">
        <v>11.224299999999998</v>
      </c>
      <c r="O8" s="2160">
        <v>34.700000000000003</v>
      </c>
      <c r="P8" s="2160">
        <v>51.447620000000001</v>
      </c>
      <c r="Q8" s="2159">
        <v>55.6</v>
      </c>
      <c r="R8" s="3380">
        <v>12.36</v>
      </c>
      <c r="S8" s="2161">
        <f>R8</f>
        <v>12.36</v>
      </c>
      <c r="T8" s="2162">
        <f>S8/N8</f>
        <v>1.1011822563545166</v>
      </c>
      <c r="U8" s="2163" t="e">
        <f>R8*#REF!</f>
        <v>#REF!</v>
      </c>
      <c r="V8" s="2163" t="e">
        <f>R8*#REF!</f>
        <v>#REF!</v>
      </c>
      <c r="W8" s="2163">
        <f>S8*$Y$56</f>
        <v>7.0573012718600943</v>
      </c>
      <c r="X8" s="2163">
        <f>S8*$Y$57</f>
        <v>5.0126530206677247</v>
      </c>
      <c r="Y8" s="2163">
        <v>111.34</v>
      </c>
      <c r="Z8" s="2163">
        <v>125.94</v>
      </c>
      <c r="AA8" s="2163">
        <v>144.41</v>
      </c>
      <c r="AB8" s="3380">
        <v>13.2</v>
      </c>
      <c r="AC8" s="2161">
        <f>S8/S13*AC13*1.049</f>
        <v>12.706327199999999</v>
      </c>
      <c r="AD8" s="2163">
        <f>AC8*$AG$56</f>
        <v>7.522135289083125</v>
      </c>
      <c r="AE8" s="2163">
        <f>AC8*$AG$57</f>
        <v>5.082539079462105</v>
      </c>
      <c r="AF8" s="3518">
        <f t="shared" ref="AF8:AF24" si="0">AD8/W8</f>
        <v>1.0658656899169778</v>
      </c>
      <c r="AG8" s="3518">
        <f t="shared" ref="AG8:AG24" si="1">AE8/X8</f>
        <v>1.0139419302525494</v>
      </c>
      <c r="AH8" s="2163">
        <v>3.67</v>
      </c>
      <c r="AI8" s="2163">
        <v>9</v>
      </c>
      <c r="AJ8" s="2161">
        <f>AA8/AA13*AJ13*1.1</f>
        <v>158.851</v>
      </c>
      <c r="AK8" s="2163">
        <f>AJ8*AI56</f>
        <v>94.675196</v>
      </c>
      <c r="AL8" s="2163">
        <f>AJ8*AI57</f>
        <v>64.175803999999999</v>
      </c>
      <c r="AM8" s="3518">
        <f t="shared" ref="AM8:AM19" si="2">AK8/AD8</f>
        <v>12.586212871949021</v>
      </c>
      <c r="AN8" s="3518">
        <f t="shared" ref="AN8:AN19" si="3">AL8/AE8</f>
        <v>12.626721210925121</v>
      </c>
      <c r="AO8" s="3520">
        <f>AI8/3*4*1.062</f>
        <v>12.744</v>
      </c>
      <c r="AP8" s="2163">
        <f>AO8*$AL$56</f>
        <v>6.9347111022409402</v>
      </c>
      <c r="AQ8" s="2163">
        <f>AO8*$AL$57</f>
        <v>5.7406127877638191</v>
      </c>
      <c r="AR8" s="2163">
        <f>AS8+AT8</f>
        <v>22.740000000000002</v>
      </c>
      <c r="AS8" s="2163">
        <v>13.42</v>
      </c>
      <c r="AT8" s="2163">
        <v>9.32</v>
      </c>
      <c r="AU8" s="2163">
        <f>AV8+AW8</f>
        <v>5.9642599999999995</v>
      </c>
      <c r="AV8" s="2163">
        <v>3.4592700000000001</v>
      </c>
      <c r="AW8" s="2163">
        <v>2.5049899999999998</v>
      </c>
      <c r="AX8" s="2163">
        <f>AY8+AZ8</f>
        <v>13.91</v>
      </c>
      <c r="AY8" s="2163">
        <v>8.2100000000000009</v>
      </c>
      <c r="AZ8" s="2163">
        <v>5.7</v>
      </c>
      <c r="BA8" s="2163">
        <f>SUM(BB8:BG8)</f>
        <v>79.072149999999993</v>
      </c>
      <c r="BB8" s="2163">
        <v>48.83</v>
      </c>
      <c r="BC8" s="2612">
        <v>3.9100000000000003E-3</v>
      </c>
      <c r="BD8" s="2163">
        <v>29.23</v>
      </c>
      <c r="BE8" s="2612">
        <v>2.955E-2</v>
      </c>
      <c r="BF8" s="2612">
        <v>0.48769000000000001</v>
      </c>
      <c r="BG8" s="2163">
        <v>0.49099999999999999</v>
      </c>
      <c r="BH8" s="2163">
        <f>BI8+BJ8</f>
        <v>14.33</v>
      </c>
      <c r="BI8" s="2163">
        <v>8.33</v>
      </c>
      <c r="BJ8" s="2163">
        <v>6</v>
      </c>
      <c r="BK8" s="2163">
        <v>14.33</v>
      </c>
      <c r="BL8" s="2163">
        <f>BK8*$BL$50</f>
        <v>8.3301039524426859</v>
      </c>
      <c r="BM8" s="2163">
        <f>BK8*$BM$50</f>
        <v>5.3938666568807951</v>
      </c>
      <c r="BN8" s="2163">
        <f>BK8*$BN$50</f>
        <v>0.57177231235186354</v>
      </c>
      <c r="BO8" s="2163">
        <f>BK8*$BO$50</f>
        <v>3.4257078324653648E-2</v>
      </c>
      <c r="BP8" s="2163">
        <f>SUM(BQ8:BV8)</f>
        <v>82.709468900000005</v>
      </c>
      <c r="BQ8" s="2163">
        <f>SUM(BB8*1.046)</f>
        <v>51.076180000000001</v>
      </c>
      <c r="BR8" s="2163">
        <f t="shared" ref="BR8:BV8" si="4">SUM(BC8*1.046)</f>
        <v>4.0898600000000007E-3</v>
      </c>
      <c r="BS8" s="2163">
        <f t="shared" si="4"/>
        <v>30.574580000000001</v>
      </c>
      <c r="BT8" s="2163">
        <f t="shared" si="4"/>
        <v>3.0909300000000001E-2</v>
      </c>
      <c r="BU8" s="2163">
        <f t="shared" si="4"/>
        <v>0.51012374000000005</v>
      </c>
      <c r="BV8" s="2163">
        <f t="shared" si="4"/>
        <v>0.51358599999999999</v>
      </c>
      <c r="BW8" s="2163">
        <f>SUM(BK8*1.03)*(1-0.01)</f>
        <v>14.612301</v>
      </c>
      <c r="BX8" s="2163">
        <f>BW8*BX50</f>
        <v>8.4942070003058081</v>
      </c>
      <c r="BY8" s="2163">
        <f>BW8*$BM$50</f>
        <v>5.5001258300213474</v>
      </c>
      <c r="BZ8" s="2163">
        <f>BW8*$BN$50</f>
        <v>0.5830362269051953</v>
      </c>
      <c r="CA8" s="2163">
        <f>BW8*$BO$50</f>
        <v>3.4931942767649327E-2</v>
      </c>
      <c r="CB8" s="2163">
        <f>SUM(CC8:CH8)</f>
        <v>11.074999999999999</v>
      </c>
      <c r="CC8" s="2163">
        <v>6.42</v>
      </c>
      <c r="CD8" s="2667">
        <v>2E-3</v>
      </c>
      <c r="CE8" s="2163">
        <v>4.4400000000000004</v>
      </c>
      <c r="CF8" s="2667">
        <v>1.2999999999999999E-2</v>
      </c>
      <c r="CG8" s="2163">
        <v>0</v>
      </c>
      <c r="CH8" s="2163">
        <v>0.2</v>
      </c>
      <c r="CI8" s="2163">
        <f>SUM(CJ8:CO8)</f>
        <v>18.981680000000001</v>
      </c>
      <c r="CJ8" s="2163">
        <v>11.15527</v>
      </c>
      <c r="CK8" s="2667">
        <v>2.8400000000000001E-3</v>
      </c>
      <c r="CL8" s="2163">
        <v>7.3879999999999999</v>
      </c>
      <c r="CM8" s="2667">
        <v>1.857E-2</v>
      </c>
      <c r="CN8" s="2163">
        <v>0</v>
      </c>
      <c r="CO8" s="2163">
        <v>0.41699999999999998</v>
      </c>
      <c r="CP8" s="2163">
        <f>SUM(CQ8:CV8)</f>
        <v>59.497999999999998</v>
      </c>
      <c r="CQ8" s="2163">
        <v>34.6</v>
      </c>
      <c r="CR8" s="2163">
        <v>8.0000000000000002E-3</v>
      </c>
      <c r="CS8" s="2163">
        <v>22.52</v>
      </c>
      <c r="CT8" s="2163">
        <v>7.0000000000000007E-2</v>
      </c>
      <c r="CU8" s="2163">
        <v>0</v>
      </c>
      <c r="CV8" s="2163">
        <v>2.2999999999999998</v>
      </c>
      <c r="CW8" s="2489">
        <f>SUM(CP8*1.046)*(1-0.01)</f>
        <v>61.612558919999998</v>
      </c>
      <c r="CX8" s="2489">
        <f>SUM(CW8*CX50)</f>
        <v>36.053909653927974</v>
      </c>
      <c r="CY8" s="2489">
        <f>SUM(CW8*CY50)</f>
        <v>1.004271458618379E-2</v>
      </c>
      <c r="CZ8" s="2489">
        <f>SUM(CW8*CZ50)</f>
        <v>23.896959082866115</v>
      </c>
      <c r="DA8" s="2489">
        <f>SUM(CW8*DA50)</f>
        <v>6.9131437899047757E-2</v>
      </c>
      <c r="DB8" s="2489">
        <f>SUM(CW8*DB50)</f>
        <v>0</v>
      </c>
      <c r="DC8" s="2489">
        <f>SUM(CW8*DC50)</f>
        <v>1.5825160307206727</v>
      </c>
      <c r="DD8" s="4080">
        <f>SUM(BL8*(1+0.032)*0.99*(1+0.036)*0.99)</f>
        <v>8.7289149696728607</v>
      </c>
      <c r="DE8" s="4080">
        <v>9.83</v>
      </c>
      <c r="DF8" s="2489">
        <f>SUM(DG8:DL8)</f>
        <v>10.761629999999998</v>
      </c>
      <c r="DG8" s="2489">
        <v>6.1326099999999997</v>
      </c>
      <c r="DH8" s="2493">
        <v>1.41E-3</v>
      </c>
      <c r="DI8" s="2489">
        <v>4.29345</v>
      </c>
      <c r="DJ8" s="2493">
        <v>1.3299999999999999E-2</v>
      </c>
      <c r="DK8" s="2489">
        <v>0</v>
      </c>
      <c r="DL8" s="2489">
        <v>0.32085999999999998</v>
      </c>
      <c r="DM8" s="2489">
        <f>SUM(DN8:DS8)</f>
        <v>17.291739999999997</v>
      </c>
      <c r="DN8" s="2489">
        <v>9.8195499999999996</v>
      </c>
      <c r="DO8" s="2493">
        <v>3.0200000000000001E-3</v>
      </c>
      <c r="DP8" s="2489">
        <v>6.9882900000000001</v>
      </c>
      <c r="DQ8" s="2493">
        <v>2.0879999999999999E-2</v>
      </c>
      <c r="DR8" s="2489">
        <v>0</v>
      </c>
      <c r="DS8" s="2489">
        <v>0.46</v>
      </c>
      <c r="DT8" s="3999">
        <f>SUM(DU8:DZ8)</f>
        <v>59.497999999999998</v>
      </c>
      <c r="DU8" s="3999">
        <v>34.6</v>
      </c>
      <c r="DV8" s="3999">
        <v>8.0000000000000002E-3</v>
      </c>
      <c r="DW8" s="3999">
        <v>22.52</v>
      </c>
      <c r="DX8" s="3999">
        <v>7.0000000000000007E-2</v>
      </c>
      <c r="DY8" s="3999">
        <v>0</v>
      </c>
      <c r="DZ8" s="3999">
        <v>2.2999999999999998</v>
      </c>
      <c r="EA8" s="2698" t="s">
        <v>2058</v>
      </c>
    </row>
    <row r="9" spans="1:132" ht="24" customHeight="1" x14ac:dyDescent="0.2">
      <c r="A9" s="3519" t="s">
        <v>31</v>
      </c>
      <c r="B9" s="3380">
        <v>82.2</v>
      </c>
      <c r="C9" s="3380">
        <v>99.2</v>
      </c>
      <c r="D9" s="2158">
        <f>C9/B9*100</f>
        <v>120.68126520681265</v>
      </c>
      <c r="E9" s="3380">
        <v>80.400000000000006</v>
      </c>
      <c r="F9" s="2158">
        <f>E9/C9*100</f>
        <v>81.048387096774206</v>
      </c>
      <c r="G9" s="2159">
        <v>53.9</v>
      </c>
      <c r="H9" s="2158">
        <f>G9/E9*100</f>
        <v>67.039800995024862</v>
      </c>
      <c r="I9" s="2160">
        <v>99.9</v>
      </c>
      <c r="J9" s="2160">
        <v>44.9</v>
      </c>
      <c r="K9" s="2160">
        <f>J9/9*12</f>
        <v>59.866666666666667</v>
      </c>
      <c r="L9" s="2159">
        <v>52.1</v>
      </c>
      <c r="M9" s="2158">
        <f>K9/G9*100</f>
        <v>111.06988249845394</v>
      </c>
      <c r="N9" s="2160">
        <v>56.873333333333328</v>
      </c>
      <c r="O9" s="2159">
        <v>8.1</v>
      </c>
      <c r="P9" s="2159">
        <v>8.0765999999999991</v>
      </c>
      <c r="Q9" s="2159">
        <v>14.7</v>
      </c>
      <c r="R9" s="2159">
        <v>65</v>
      </c>
      <c r="S9" s="2159">
        <f>P9/9*12*1.03</f>
        <v>11.091863999999999</v>
      </c>
      <c r="T9" s="2162">
        <f>S9/N9</f>
        <v>0.19502749970695113</v>
      </c>
      <c r="U9" s="2163" t="e">
        <f>R9*#REF!</f>
        <v>#REF!</v>
      </c>
      <c r="V9" s="2163" t="e">
        <f>R9*#REF!</f>
        <v>#REF!</v>
      </c>
      <c r="W9" s="2163">
        <f>S9*$Y$56</f>
        <v>6.3332221613672486</v>
      </c>
      <c r="X9" s="2163">
        <f>S9*$Y$57</f>
        <v>4.4983548207472159</v>
      </c>
      <c r="Y9" s="2163"/>
      <c r="Z9" s="2163"/>
      <c r="AA9" s="2163"/>
      <c r="AB9" s="2159">
        <v>15.5</v>
      </c>
      <c r="AC9" s="2159">
        <f>AB9</f>
        <v>15.5</v>
      </c>
      <c r="AD9" s="2163">
        <f>AC9*$AG$56</f>
        <v>9.1759872971623508</v>
      </c>
      <c r="AE9" s="2163">
        <f>AC9*$AG$57</f>
        <v>6.2000100022343698</v>
      </c>
      <c r="AF9" s="3518">
        <f t="shared" si="0"/>
        <v>1.4488655321671822</v>
      </c>
      <c r="AG9" s="3518">
        <f t="shared" si="1"/>
        <v>1.3782838947338738</v>
      </c>
      <c r="AH9" s="2163">
        <v>0</v>
      </c>
      <c r="AI9" s="2163">
        <v>0</v>
      </c>
      <c r="AJ9" s="2159">
        <v>17.05</v>
      </c>
      <c r="AK9" s="2163">
        <f>AJ9*AI56</f>
        <v>10.161799999999999</v>
      </c>
      <c r="AL9" s="2163">
        <f>AJ9*AI57</f>
        <v>6.8882000000000003</v>
      </c>
      <c r="AM9" s="3518">
        <f t="shared" si="2"/>
        <v>1.1074339655137173</v>
      </c>
      <c r="AN9" s="3518">
        <f t="shared" si="3"/>
        <v>1.1109982076670231</v>
      </c>
      <c r="AO9" s="2615"/>
      <c r="AP9" s="2163">
        <f>AO9*$AL$56</f>
        <v>0</v>
      </c>
      <c r="AQ9" s="2163">
        <f>AO9*$AL$57</f>
        <v>0</v>
      </c>
      <c r="AR9" s="2163">
        <f t="shared" ref="AR9:AR48" si="5">AS9+AT9</f>
        <v>0</v>
      </c>
      <c r="AS9" s="2163">
        <v>0</v>
      </c>
      <c r="AT9" s="2163">
        <v>0</v>
      </c>
      <c r="AU9" s="2163">
        <f t="shared" ref="AU9:AU50" si="6">AV9+AW9</f>
        <v>0</v>
      </c>
      <c r="AV9" s="2163">
        <v>0</v>
      </c>
      <c r="AW9" s="2163">
        <v>0</v>
      </c>
      <c r="AX9" s="2163">
        <f t="shared" ref="AX9:AX11" si="7">AY9+AZ9</f>
        <v>0</v>
      </c>
      <c r="AY9" s="2163">
        <v>0</v>
      </c>
      <c r="AZ9" s="2163">
        <v>0</v>
      </c>
      <c r="BA9" s="2163">
        <f t="shared" ref="BA9:BA11" si="8">SUM(BB9:BG9)</f>
        <v>0</v>
      </c>
      <c r="BB9" s="2163">
        <v>0</v>
      </c>
      <c r="BC9" s="2612"/>
      <c r="BD9" s="2163">
        <v>0</v>
      </c>
      <c r="BE9" s="2612"/>
      <c r="BF9" s="2163"/>
      <c r="BG9" s="2163"/>
      <c r="BH9" s="2163">
        <f t="shared" ref="BH9:BH48" si="9">BI9+BJ9</f>
        <v>0</v>
      </c>
      <c r="BI9" s="2163">
        <v>0</v>
      </c>
      <c r="BJ9" s="2163">
        <v>0</v>
      </c>
      <c r="BK9" s="2163">
        <v>0</v>
      </c>
      <c r="BL9" s="2163">
        <f>BK9*$BL$50</f>
        <v>0</v>
      </c>
      <c r="BM9" s="2163">
        <f>BK9*$BM$50</f>
        <v>0</v>
      </c>
      <c r="BN9" s="2163">
        <f>BK9*$BN$50</f>
        <v>0</v>
      </c>
      <c r="BO9" s="2163">
        <f>BK9*$BO$50</f>
        <v>0</v>
      </c>
      <c r="BP9" s="2163">
        <f t="shared" ref="BP9" si="10">SUM(BQ9:BV9)</f>
        <v>0</v>
      </c>
      <c r="BQ9" s="2163">
        <v>0</v>
      </c>
      <c r="BR9" s="2612"/>
      <c r="BS9" s="2163">
        <v>0</v>
      </c>
      <c r="BT9" s="2612"/>
      <c r="BU9" s="2163"/>
      <c r="BV9" s="2163"/>
      <c r="BW9" s="2163">
        <f>SUM(BK9*1.03)*(1-0.01)</f>
        <v>0</v>
      </c>
      <c r="BX9" s="2163">
        <f>BW9*$BL$50</f>
        <v>0</v>
      </c>
      <c r="BY9" s="2163">
        <f>BW9*$BM$50</f>
        <v>0</v>
      </c>
      <c r="BZ9" s="2163">
        <f>BW9*$BN$50</f>
        <v>0</v>
      </c>
      <c r="CA9" s="2163">
        <f>BW9*$BO$50</f>
        <v>0</v>
      </c>
      <c r="CB9" s="2163">
        <f t="shared" ref="CB9:CB11" si="11">SUM(CC9:CH9)</f>
        <v>0</v>
      </c>
      <c r="CC9" s="2163">
        <v>0</v>
      </c>
      <c r="CD9" s="2667">
        <v>0</v>
      </c>
      <c r="CE9" s="2163">
        <v>0</v>
      </c>
      <c r="CF9" s="2163">
        <v>0</v>
      </c>
      <c r="CG9" s="2163">
        <v>0</v>
      </c>
      <c r="CH9" s="2163">
        <v>0</v>
      </c>
      <c r="CI9" s="2163">
        <f t="shared" ref="CI9:CI11" si="12">SUM(CJ9:CO9)</f>
        <v>0</v>
      </c>
      <c r="CJ9" s="2163">
        <v>0</v>
      </c>
      <c r="CK9" s="2163">
        <v>0</v>
      </c>
      <c r="CL9" s="2163">
        <v>0</v>
      </c>
      <c r="CM9" s="2163">
        <v>0</v>
      </c>
      <c r="CN9" s="2163">
        <v>0</v>
      </c>
      <c r="CO9" s="2163">
        <v>0</v>
      </c>
      <c r="CP9" s="2163">
        <f t="shared" ref="CP9:CP11" si="13">SUM(CQ9:CV9)</f>
        <v>0</v>
      </c>
      <c r="CQ9" s="2163">
        <v>0</v>
      </c>
      <c r="CR9" s="2163">
        <v>0</v>
      </c>
      <c r="CS9" s="2163">
        <v>0</v>
      </c>
      <c r="CT9" s="2163">
        <v>0</v>
      </c>
      <c r="CU9" s="2163">
        <v>0</v>
      </c>
      <c r="CV9" s="2163">
        <v>0</v>
      </c>
      <c r="CW9" s="2489">
        <f>SUM(CP9*1.046)*(1-0.01)</f>
        <v>0</v>
      </c>
      <c r="CX9" s="2489">
        <f>SUM(CW9*CX50)</f>
        <v>0</v>
      </c>
      <c r="CY9" s="2489">
        <f>SUM(CW9*CY50)</f>
        <v>0</v>
      </c>
      <c r="CZ9" s="2489">
        <f>SUM(CW9*CZ50)</f>
        <v>0</v>
      </c>
      <c r="DA9" s="2489">
        <f>SUM(CW9*DA50)</f>
        <v>0</v>
      </c>
      <c r="DB9" s="2489">
        <f>SUM(CW9*DB50)</f>
        <v>0</v>
      </c>
      <c r="DC9" s="2489">
        <f>SUM(CW9*DC50)</f>
        <v>0</v>
      </c>
      <c r="DD9" s="4080">
        <f>SUM(BL9*(1+0.032)*0.99*(1+0.036)*0.99)</f>
        <v>0</v>
      </c>
      <c r="DE9" s="4080">
        <f>SUM(BM9*(1+0.032)*0.99*(1+0.036)*0.99)</f>
        <v>0</v>
      </c>
      <c r="DF9" s="2489">
        <f t="shared" ref="DF9:DF11" si="14">SUM(DG9:DL9)</f>
        <v>0</v>
      </c>
      <c r="DG9" s="2489">
        <v>0</v>
      </c>
      <c r="DH9" s="2493">
        <v>0</v>
      </c>
      <c r="DI9" s="2489">
        <v>0</v>
      </c>
      <c r="DJ9" s="2489">
        <v>0</v>
      </c>
      <c r="DK9" s="2489">
        <v>0</v>
      </c>
      <c r="DL9" s="2489">
        <v>0</v>
      </c>
      <c r="DM9" s="2489">
        <f t="shared" ref="DM9:DM11" si="15">SUM(DN9:DS9)</f>
        <v>0</v>
      </c>
      <c r="DN9" s="2489">
        <v>0</v>
      </c>
      <c r="DO9" s="2489">
        <v>0</v>
      </c>
      <c r="DP9" s="2489">
        <v>0</v>
      </c>
      <c r="DQ9" s="2489">
        <v>0</v>
      </c>
      <c r="DR9" s="2489">
        <v>0</v>
      </c>
      <c r="DS9" s="2489">
        <v>0</v>
      </c>
      <c r="DT9" s="3999">
        <f t="shared" ref="DT9:DT11" si="16">SUM(DU9:DZ9)</f>
        <v>0</v>
      </c>
      <c r="DU9" s="3999">
        <v>0</v>
      </c>
      <c r="DV9" s="3999">
        <v>0</v>
      </c>
      <c r="DW9" s="3999">
        <v>0</v>
      </c>
      <c r="DX9" s="3999">
        <v>0</v>
      </c>
      <c r="DY9" s="3999">
        <v>0</v>
      </c>
      <c r="DZ9" s="3999">
        <v>0</v>
      </c>
      <c r="EA9" s="2698"/>
    </row>
    <row r="10" spans="1:132" ht="24" customHeight="1" x14ac:dyDescent="0.2">
      <c r="A10" s="3519" t="s">
        <v>299</v>
      </c>
      <c r="B10" s="3380">
        <v>10325.299999999999</v>
      </c>
      <c r="C10" s="3380">
        <v>12193.1</v>
      </c>
      <c r="D10" s="2158">
        <f>C10/B10*100</f>
        <v>118.089547034953</v>
      </c>
      <c r="E10" s="3380">
        <v>12095</v>
      </c>
      <c r="F10" s="2158">
        <f>E10/C10*100</f>
        <v>99.19544660504711</v>
      </c>
      <c r="G10" s="2159">
        <v>12881.2</v>
      </c>
      <c r="H10" s="2158">
        <f>G10/E10*100</f>
        <v>106.50020669698223</v>
      </c>
      <c r="I10" s="2160">
        <v>12960.8</v>
      </c>
      <c r="J10" s="2160">
        <v>10117.200000000001</v>
      </c>
      <c r="K10" s="2160">
        <v>14921</v>
      </c>
      <c r="L10" s="2160">
        <v>14265.4</v>
      </c>
      <c r="M10" s="2158">
        <f>K10/G10*100</f>
        <v>115.83548116635096</v>
      </c>
      <c r="N10" s="2160">
        <v>13881.016799999999</v>
      </c>
      <c r="O10" s="2160">
        <v>8199.1</v>
      </c>
      <c r="P10" s="2160">
        <v>12742.602274999999</v>
      </c>
      <c r="Q10" s="2160">
        <v>17158.3</v>
      </c>
      <c r="R10" s="2160">
        <v>18101.8</v>
      </c>
      <c r="S10" s="2160">
        <f>N10*1.056</f>
        <v>14658.353740799999</v>
      </c>
      <c r="T10" s="2162">
        <f>S10/N10</f>
        <v>1.056</v>
      </c>
      <c r="U10" s="2163" t="e">
        <f>R10*#REF!</f>
        <v>#REF!</v>
      </c>
      <c r="V10" s="2163" t="e">
        <f>R10*#REF!</f>
        <v>#REF!</v>
      </c>
      <c r="W10" s="2163">
        <f>S10*$Y$56</f>
        <v>8369.6131471135122</v>
      </c>
      <c r="X10" s="2163">
        <f>S10*$Y$57</f>
        <v>5944.7606113945931</v>
      </c>
      <c r="Y10" s="2163">
        <v>7870.29</v>
      </c>
      <c r="Z10" s="2163">
        <v>11609.64</v>
      </c>
      <c r="AA10" s="2163">
        <v>15326</v>
      </c>
      <c r="AB10" s="2160">
        <v>17000</v>
      </c>
      <c r="AC10" s="2160">
        <f>AC14*AC13*12/1000</f>
        <v>15327.654172604925</v>
      </c>
      <c r="AD10" s="2160">
        <f>AD14*AD13*12/1000</f>
        <v>9073.958708588405</v>
      </c>
      <c r="AE10" s="2160">
        <f>AE14*AE13*12/1000</f>
        <v>6131.07156006064</v>
      </c>
      <c r="AF10" s="3518">
        <f t="shared" si="0"/>
        <v>1.0841550916505389</v>
      </c>
      <c r="AG10" s="3518">
        <f t="shared" si="1"/>
        <v>1.0313403618488752</v>
      </c>
      <c r="AH10" s="2163">
        <v>7441.55</v>
      </c>
      <c r="AI10" s="2163">
        <v>11108.4</v>
      </c>
      <c r="AJ10" s="2160">
        <v>18700</v>
      </c>
      <c r="AK10" s="2160">
        <f>AK14*AK13*12/1000</f>
        <v>11145.2</v>
      </c>
      <c r="AL10" s="2160">
        <f>AL14*AL13*12/1000</f>
        <v>7554.8000000000011</v>
      </c>
      <c r="AM10" s="3518">
        <f t="shared" si="2"/>
        <v>1.2282621464269159</v>
      </c>
      <c r="AN10" s="3518">
        <f t="shared" si="3"/>
        <v>1.2322152703638121</v>
      </c>
      <c r="AO10" s="2206">
        <f>AO13*AO14*12/1000</f>
        <v>16797.857736099682</v>
      </c>
      <c r="AP10" s="2163">
        <f>AO10*$AL$56</f>
        <v>9140.6379893592548</v>
      </c>
      <c r="AQ10" s="2163">
        <f>AO10*$AL$57</f>
        <v>7566.6978128445726</v>
      </c>
      <c r="AR10" s="2163">
        <f t="shared" si="5"/>
        <v>13787.45</v>
      </c>
      <c r="AS10" s="2163">
        <v>8134.6</v>
      </c>
      <c r="AT10" s="2163">
        <v>5652.85</v>
      </c>
      <c r="AU10" s="2163">
        <f t="shared" si="6"/>
        <v>15420.200430000001</v>
      </c>
      <c r="AV10" s="2163">
        <v>8943.7186999999994</v>
      </c>
      <c r="AW10" s="2163">
        <v>6476.4817300000004</v>
      </c>
      <c r="AX10" s="2163">
        <f t="shared" si="7"/>
        <v>18337.8</v>
      </c>
      <c r="AY10" s="2163">
        <v>10819.3</v>
      </c>
      <c r="AZ10" s="2163">
        <v>7518.5</v>
      </c>
      <c r="BA10" s="2163">
        <f t="shared" si="8"/>
        <v>15644.677999999998</v>
      </c>
      <c r="BB10" s="2163">
        <v>9213.2559999999994</v>
      </c>
      <c r="BC10" s="2667">
        <v>0.39900000000000002</v>
      </c>
      <c r="BD10" s="2163">
        <v>6359.1220000000003</v>
      </c>
      <c r="BE10" s="2667">
        <v>3.0249999999999999</v>
      </c>
      <c r="BF10" s="2667">
        <v>29.013000000000002</v>
      </c>
      <c r="BG10" s="2163">
        <v>39.863</v>
      </c>
      <c r="BH10" s="2163">
        <f t="shared" si="9"/>
        <v>21200.989999999998</v>
      </c>
      <c r="BI10" s="2163">
        <v>12319.34</v>
      </c>
      <c r="BJ10" s="2163">
        <v>8881.65</v>
      </c>
      <c r="BK10" s="2163">
        <f>BK13*BK14*12/1000</f>
        <v>16565.02695032406</v>
      </c>
      <c r="BL10" s="2163">
        <f>BK10*$BL$50</f>
        <v>9629.3368088774641</v>
      </c>
      <c r="BM10" s="2163">
        <f>BK10*$BM$50</f>
        <v>6235.1393257281725</v>
      </c>
      <c r="BN10" s="2163">
        <f>BK10*$BN$50</f>
        <v>660.95071622873184</v>
      </c>
      <c r="BO10" s="2163">
        <f>BK10*$BO$50</f>
        <v>39.600099489689455</v>
      </c>
      <c r="BP10" s="2163">
        <f>BP13*BP14*12/1000</f>
        <v>17993.441966578928</v>
      </c>
      <c r="BQ10" s="2163">
        <f t="shared" ref="BQ10:BV10" si="17">BQ13*BQ14*12/1000</f>
        <v>10069.6632635188</v>
      </c>
      <c r="BR10" s="2163">
        <f t="shared" si="17"/>
        <v>33.321188826998011</v>
      </c>
      <c r="BS10" s="2163">
        <f t="shared" si="17"/>
        <v>7190.7125488661713</v>
      </c>
      <c r="BT10" s="2163">
        <f t="shared" si="17"/>
        <v>199.92713296198806</v>
      </c>
      <c r="BU10" s="2163">
        <f t="shared" si="17"/>
        <v>466.49664357797218</v>
      </c>
      <c r="BV10" s="2163">
        <f t="shared" si="17"/>
        <v>33.321188826998011</v>
      </c>
      <c r="BW10" s="2163">
        <f>BW13*BW14*12/1000</f>
        <v>16891.357981245445</v>
      </c>
      <c r="BX10" s="2163">
        <f>BW10*$BL$50</f>
        <v>9819.0347440123514</v>
      </c>
      <c r="BY10" s="2163">
        <f>BW10*$BM$50</f>
        <v>6357.9715704450173</v>
      </c>
      <c r="BZ10" s="2163">
        <f>BW10*$BN$50</f>
        <v>673.97144533843777</v>
      </c>
      <c r="CA10" s="2163">
        <f>BW10*$BO$50</f>
        <v>40.380221449636338</v>
      </c>
      <c r="CB10" s="2163">
        <f t="shared" si="11"/>
        <v>8046.07</v>
      </c>
      <c r="CC10" s="2163">
        <v>4690.5</v>
      </c>
      <c r="CD10" s="2163">
        <v>1.4</v>
      </c>
      <c r="CE10" s="2163">
        <v>3199.92</v>
      </c>
      <c r="CF10" s="2163">
        <v>10.26</v>
      </c>
      <c r="CG10" s="2163">
        <v>0</v>
      </c>
      <c r="CH10" s="2163">
        <v>143.99</v>
      </c>
      <c r="CI10" s="2163">
        <f t="shared" si="12"/>
        <v>12135.712819999999</v>
      </c>
      <c r="CJ10" s="2163">
        <v>7130.2349999999997</v>
      </c>
      <c r="CK10" s="2163">
        <v>2.0880100000000001</v>
      </c>
      <c r="CL10" s="2163">
        <v>4745.192</v>
      </c>
      <c r="CM10" s="2163">
        <v>13.243</v>
      </c>
      <c r="CN10" s="2163">
        <v>0</v>
      </c>
      <c r="CO10" s="2163">
        <v>244.95481000000001</v>
      </c>
      <c r="CP10" s="2163">
        <f t="shared" si="13"/>
        <v>16447.82</v>
      </c>
      <c r="CQ10" s="2163">
        <v>9625.34</v>
      </c>
      <c r="CR10" s="2163">
        <v>2.69</v>
      </c>
      <c r="CS10" s="2163">
        <v>6376.49</v>
      </c>
      <c r="CT10" s="2163">
        <v>18.46</v>
      </c>
      <c r="CU10" s="2163">
        <v>0</v>
      </c>
      <c r="CV10" s="2163">
        <v>424.84</v>
      </c>
      <c r="CW10" s="2489">
        <f>CW13*CW14*12/1000</f>
        <v>18164.43364558732</v>
      </c>
      <c r="CX10" s="2489">
        <f t="shared" ref="CX10:DC10" si="18">CX13*CX14*12/1000</f>
        <v>10629.910209755304</v>
      </c>
      <c r="CY10" s="2489">
        <f t="shared" si="18"/>
        <v>2.9707478867491193</v>
      </c>
      <c r="CZ10" s="2489">
        <f t="shared" si="18"/>
        <v>7041.9866886159443</v>
      </c>
      <c r="DA10" s="2489">
        <f t="shared" si="18"/>
        <v>20.386619326910317</v>
      </c>
      <c r="DB10" s="2489">
        <f t="shared" si="18"/>
        <v>0</v>
      </c>
      <c r="DC10" s="2489">
        <f t="shared" si="18"/>
        <v>469.1793800024148</v>
      </c>
      <c r="DD10" s="4124">
        <f t="shared" ref="DD10:DE10" si="19">DD13*DD14*12/1000</f>
        <v>10090.349736198048</v>
      </c>
      <c r="DE10" s="4124">
        <f t="shared" si="19"/>
        <v>6533.6520779413477</v>
      </c>
      <c r="DF10" s="2489">
        <f t="shared" si="14"/>
        <v>7807.15769</v>
      </c>
      <c r="DG10" s="2489">
        <v>4429.9510300000002</v>
      </c>
      <c r="DH10" s="2489">
        <v>1.10724</v>
      </c>
      <c r="DI10" s="2489">
        <v>3145.3210399999998</v>
      </c>
      <c r="DJ10" s="2489">
        <v>8.6104699999999994</v>
      </c>
      <c r="DK10" s="2489">
        <v>0</v>
      </c>
      <c r="DL10" s="2489">
        <v>222.16791000000001</v>
      </c>
      <c r="DM10" s="2489">
        <f t="shared" si="15"/>
        <v>11728.88402</v>
      </c>
      <c r="DN10" s="2489">
        <v>6664.1657800000003</v>
      </c>
      <c r="DO10" s="2489">
        <v>1.87256</v>
      </c>
      <c r="DP10" s="2489">
        <v>4716.8709500000004</v>
      </c>
      <c r="DQ10" s="2489">
        <v>12.85417</v>
      </c>
      <c r="DR10" s="2489">
        <v>0</v>
      </c>
      <c r="DS10" s="2489">
        <v>333.12056000000001</v>
      </c>
      <c r="DT10" s="3999">
        <f t="shared" si="16"/>
        <v>16447.82</v>
      </c>
      <c r="DU10" s="3999">
        <v>9625.34</v>
      </c>
      <c r="DV10" s="3999">
        <v>2.69</v>
      </c>
      <c r="DW10" s="3999">
        <v>6376.49</v>
      </c>
      <c r="DX10" s="3999">
        <v>18.46</v>
      </c>
      <c r="DY10" s="3999">
        <v>0</v>
      </c>
      <c r="DZ10" s="3999">
        <v>424.84</v>
      </c>
      <c r="EA10" s="2698"/>
    </row>
    <row r="11" spans="1:132" ht="24" customHeight="1" x14ac:dyDescent="0.2">
      <c r="A11" s="3519" t="s">
        <v>114</v>
      </c>
      <c r="B11" s="3380">
        <v>2324</v>
      </c>
      <c r="C11" s="3380">
        <v>2475.9</v>
      </c>
      <c r="D11" s="2158">
        <f>C11/B11*100</f>
        <v>106.53614457831327</v>
      </c>
      <c r="E11" s="3380">
        <v>2575.3000000000002</v>
      </c>
      <c r="F11" s="2158">
        <f>E11/C11*100</f>
        <v>104.0147017246254</v>
      </c>
      <c r="G11" s="2159">
        <v>3451.8</v>
      </c>
      <c r="H11" s="2158">
        <f>G11/E11*100</f>
        <v>134.03486972391565</v>
      </c>
      <c r="I11" s="2160">
        <f>I10*30.2/100</f>
        <v>3914.1615999999999</v>
      </c>
      <c r="J11" s="2160">
        <v>2906</v>
      </c>
      <c r="K11" s="2160">
        <v>4506.1000000000004</v>
      </c>
      <c r="L11" s="2160">
        <v>3778.4</v>
      </c>
      <c r="M11" s="2164">
        <f>K11/G11*100</f>
        <v>130.54348455878093</v>
      </c>
      <c r="N11" s="2160">
        <v>4192.0670736000002</v>
      </c>
      <c r="O11" s="2160">
        <v>2372.5</v>
      </c>
      <c r="P11" s="2160">
        <v>3474.6754099999998</v>
      </c>
      <c r="Q11" s="2160">
        <v>4427.2</v>
      </c>
      <c r="R11" s="2160">
        <v>5466.7</v>
      </c>
      <c r="S11" s="2160">
        <f>S10*S12</f>
        <v>3997.0659206844994</v>
      </c>
      <c r="T11" s="2162">
        <f>S11/N11</f>
        <v>0.95348329368498375</v>
      </c>
      <c r="U11" s="2163" t="e">
        <f>R11*#REF!</f>
        <v>#REF!</v>
      </c>
      <c r="V11" s="2163" t="e">
        <f>R11*#REF!</f>
        <v>#REF!</v>
      </c>
      <c r="W11" s="2163">
        <f>S11*$Y$56</f>
        <v>2282.24097133943</v>
      </c>
      <c r="X11" s="2163">
        <f>S11*$Y$57</f>
        <v>1621.0278771138494</v>
      </c>
      <c r="Y11" s="2163">
        <v>2366.94</v>
      </c>
      <c r="Z11" s="2163">
        <v>3391.7</v>
      </c>
      <c r="AA11" s="2163">
        <v>4288.66</v>
      </c>
      <c r="AB11" s="2160">
        <v>5134</v>
      </c>
      <c r="AC11" s="2160">
        <f>AC10*AC12</f>
        <v>4477.8998019942155</v>
      </c>
      <c r="AD11" s="2160">
        <f>AD10*AD12</f>
        <v>2650.9130129719174</v>
      </c>
      <c r="AE11" s="2160">
        <f>AE10*AE12</f>
        <v>1791.1628104108026</v>
      </c>
      <c r="AF11" s="3518">
        <f t="shared" si="0"/>
        <v>1.1615394895904076</v>
      </c>
      <c r="AG11" s="3518">
        <f t="shared" si="1"/>
        <v>1.1049549706695168</v>
      </c>
      <c r="AH11" s="2163">
        <v>2092.0300000000002</v>
      </c>
      <c r="AI11" s="2163">
        <v>3102.56</v>
      </c>
      <c r="AJ11" s="2160">
        <f>AJ10*AJ12</f>
        <v>5232.8032102309808</v>
      </c>
      <c r="AK11" s="2160">
        <f>AK10*AK12</f>
        <v>3118.7507132976643</v>
      </c>
      <c r="AL11" s="2160">
        <f>AL10*AL12</f>
        <v>2114.0524969333164</v>
      </c>
      <c r="AM11" s="3518">
        <f t="shared" si="2"/>
        <v>1.1764817246120263</v>
      </c>
      <c r="AN11" s="3518">
        <f t="shared" si="3"/>
        <v>1.1802681948540787</v>
      </c>
      <c r="AO11" s="2206">
        <f>AO10*AO12</f>
        <v>4700.5285500783812</v>
      </c>
      <c r="AP11" s="2163">
        <f>AO11*$AL$56</f>
        <v>2557.8160328491103</v>
      </c>
      <c r="AQ11" s="2163">
        <f>AO11*$AL$57</f>
        <v>2117.3818505829313</v>
      </c>
      <c r="AR11" s="2163">
        <f t="shared" si="5"/>
        <v>4121.75</v>
      </c>
      <c r="AS11" s="2163">
        <v>2431.83</v>
      </c>
      <c r="AT11" s="2163">
        <v>1689.92</v>
      </c>
      <c r="AU11" s="2163">
        <f t="shared" si="6"/>
        <v>4548.1656299999995</v>
      </c>
      <c r="AV11" s="2163">
        <v>2637.9358999999999</v>
      </c>
      <c r="AW11" s="2163">
        <v>1910.22973</v>
      </c>
      <c r="AX11" s="2163">
        <f t="shared" si="7"/>
        <v>5131.4400000000005</v>
      </c>
      <c r="AY11" s="2163">
        <v>3027.55</v>
      </c>
      <c r="AZ11" s="2163">
        <v>2103.89</v>
      </c>
      <c r="BA11" s="2163">
        <f t="shared" si="8"/>
        <v>4677.8669199999995</v>
      </c>
      <c r="BB11" s="2163">
        <v>2754.6260000000002</v>
      </c>
      <c r="BC11" s="3521">
        <v>0.11235000000000001</v>
      </c>
      <c r="BD11" s="2163">
        <v>1902.867</v>
      </c>
      <c r="BE11" s="3521">
        <v>0.85231999999999997</v>
      </c>
      <c r="BF11" s="3521">
        <v>8.17483</v>
      </c>
      <c r="BG11" s="3521">
        <v>11.23442</v>
      </c>
      <c r="BH11" s="2163">
        <f t="shared" si="9"/>
        <v>6360.3</v>
      </c>
      <c r="BI11" s="2163">
        <v>3695.8</v>
      </c>
      <c r="BJ11" s="2163">
        <v>2664.5</v>
      </c>
      <c r="BK11" s="2163">
        <f>BK10*AU12</f>
        <v>4885.8305427024588</v>
      </c>
      <c r="BL11" s="2163">
        <f>BK11*$BL$50</f>
        <v>2840.1588495974142</v>
      </c>
      <c r="BM11" s="2163">
        <f>BK11*$BM$50</f>
        <v>1839.0452516017162</v>
      </c>
      <c r="BN11" s="2163">
        <f>BK11*$BN$50</f>
        <v>194.94644990651398</v>
      </c>
      <c r="BO11" s="2163">
        <f>BK11*$BO$50</f>
        <v>11.679991596813899</v>
      </c>
      <c r="BP11" s="2163">
        <f>SUM(BP10*BP12)</f>
        <v>5398.0325899736781</v>
      </c>
      <c r="BQ11" s="2163">
        <f t="shared" ref="BQ11:BV11" si="20">SUM(BQ10*BQ12)</f>
        <v>3020.8989790556398</v>
      </c>
      <c r="BR11" s="2163">
        <f t="shared" si="20"/>
        <v>9.9963566480994022</v>
      </c>
      <c r="BS11" s="2163">
        <f t="shared" si="20"/>
        <v>2157.2137646598512</v>
      </c>
      <c r="BT11" s="2163">
        <f t="shared" si="20"/>
        <v>59.978139888596417</v>
      </c>
      <c r="BU11" s="2163">
        <f t="shared" si="20"/>
        <v>139.94899307339165</v>
      </c>
      <c r="BV11" s="2163">
        <f t="shared" si="20"/>
        <v>9.9963566480994022</v>
      </c>
      <c r="BW11" s="2163">
        <f>SUM(BW10*BW12)</f>
        <v>4982.0814043936971</v>
      </c>
      <c r="BX11" s="2163">
        <f>BW11*$BL$50</f>
        <v>2896.1099789344835</v>
      </c>
      <c r="BY11" s="2163">
        <f>BW11*$BM$50</f>
        <v>1875.27444305827</v>
      </c>
      <c r="BZ11" s="2163">
        <f>BW11*$BN$50</f>
        <v>198.78689496967232</v>
      </c>
      <c r="CA11" s="2163">
        <f>BW11*$BO$50</f>
        <v>11.910087431271133</v>
      </c>
      <c r="CB11" s="2163">
        <f t="shared" si="11"/>
        <v>2434.23</v>
      </c>
      <c r="CC11" s="2163">
        <v>1418.61</v>
      </c>
      <c r="CD11" s="2163">
        <v>0.42</v>
      </c>
      <c r="CE11" s="2163">
        <v>968.6</v>
      </c>
      <c r="CF11" s="2163">
        <v>3.1</v>
      </c>
      <c r="CG11" s="2163">
        <v>0</v>
      </c>
      <c r="CH11" s="2163">
        <v>43.5</v>
      </c>
      <c r="CI11" s="2163">
        <f t="shared" si="12"/>
        <v>3658.5341900000003</v>
      </c>
      <c r="CJ11" s="2163">
        <v>2149.0390000000002</v>
      </c>
      <c r="CK11" s="2163">
        <v>0.62831000000000004</v>
      </c>
      <c r="CL11" s="2163">
        <v>1431.1659500000001</v>
      </c>
      <c r="CM11" s="2163">
        <v>3.9889999999999999</v>
      </c>
      <c r="CN11" s="2163">
        <v>0</v>
      </c>
      <c r="CO11" s="2163">
        <v>73.711929999999995</v>
      </c>
      <c r="CP11" s="2163">
        <f t="shared" si="13"/>
        <v>4840.95</v>
      </c>
      <c r="CQ11" s="2163">
        <v>2833.41</v>
      </c>
      <c r="CR11" s="2163">
        <v>0.79</v>
      </c>
      <c r="CS11" s="2163">
        <v>1878.11</v>
      </c>
      <c r="CT11" s="2163">
        <v>5.42</v>
      </c>
      <c r="CU11" s="2163">
        <v>0</v>
      </c>
      <c r="CV11" s="2163">
        <v>123.22</v>
      </c>
      <c r="CW11" s="2489">
        <f t="shared" ref="CW11" si="21">SUM(CX11:DC11)</f>
        <v>5449.3300936761962</v>
      </c>
      <c r="CX11" s="2489">
        <f>SUM(CX10*CX12)</f>
        <v>3188.973062926591</v>
      </c>
      <c r="CY11" s="2489">
        <f t="shared" ref="CY11:DC11" si="22">SUM(CY10*CY12)</f>
        <v>0.89122436602473576</v>
      </c>
      <c r="CZ11" s="2489">
        <f t="shared" si="22"/>
        <v>2112.596006584783</v>
      </c>
      <c r="DA11" s="2489">
        <f t="shared" si="22"/>
        <v>6.1159857980730949</v>
      </c>
      <c r="DB11" s="2489">
        <v>0</v>
      </c>
      <c r="DC11" s="2489">
        <f t="shared" si="22"/>
        <v>140.75381400072445</v>
      </c>
      <c r="DD11" s="4124">
        <f>SUM(DD10*DD12)</f>
        <v>3027.1049208594145</v>
      </c>
      <c r="DE11" s="4124">
        <f t="shared" ref="DE11" si="23">SUM(DE10*DE12)</f>
        <v>1960.0956233824043</v>
      </c>
      <c r="DF11" s="2489">
        <f t="shared" si="14"/>
        <v>2347.1902299999997</v>
      </c>
      <c r="DG11" s="2489">
        <v>1331.88312</v>
      </c>
      <c r="DH11" s="2489">
        <v>0.33262999999999998</v>
      </c>
      <c r="DI11" s="2489">
        <v>945.53458000000001</v>
      </c>
      <c r="DJ11" s="2489">
        <v>2.5885699999999998</v>
      </c>
      <c r="DK11" s="2489">
        <v>0</v>
      </c>
      <c r="DL11" s="2489">
        <v>66.851330000000004</v>
      </c>
      <c r="DM11" s="2489">
        <f t="shared" si="15"/>
        <v>3515.9153800000004</v>
      </c>
      <c r="DN11" s="2489">
        <v>1997.7270000000001</v>
      </c>
      <c r="DO11" s="2489">
        <v>0.56059999999999999</v>
      </c>
      <c r="DP11" s="2489">
        <v>1413.76999</v>
      </c>
      <c r="DQ11" s="2489">
        <v>3.85636</v>
      </c>
      <c r="DR11" s="2489">
        <v>0</v>
      </c>
      <c r="DS11" s="2489">
        <v>100.00143</v>
      </c>
      <c r="DT11" s="3999">
        <f t="shared" si="16"/>
        <v>4840.95</v>
      </c>
      <c r="DU11" s="3999">
        <v>2833.41</v>
      </c>
      <c r="DV11" s="3999">
        <v>0.79</v>
      </c>
      <c r="DW11" s="3999">
        <v>1878.11</v>
      </c>
      <c r="DX11" s="3999">
        <v>5.42</v>
      </c>
      <c r="DY11" s="3999">
        <v>0</v>
      </c>
      <c r="DZ11" s="3999">
        <v>123.22</v>
      </c>
      <c r="EA11" s="2699" t="s">
        <v>2077</v>
      </c>
    </row>
    <row r="12" spans="1:132" s="177" customFormat="1" ht="24" customHeight="1" x14ac:dyDescent="0.2">
      <c r="A12" s="3522" t="s">
        <v>300</v>
      </c>
      <c r="B12" s="2165"/>
      <c r="C12" s="2165"/>
      <c r="D12" s="2158"/>
      <c r="E12" s="2165"/>
      <c r="F12" s="2158"/>
      <c r="G12" s="2158"/>
      <c r="H12" s="2158"/>
      <c r="I12" s="2162">
        <f t="shared" ref="I12:R12" si="24">I11/I10</f>
        <v>0.30199999999999999</v>
      </c>
      <c r="J12" s="2162">
        <f t="shared" si="24"/>
        <v>0.28723362195073732</v>
      </c>
      <c r="K12" s="2162">
        <f t="shared" si="24"/>
        <v>0.30199718517525637</v>
      </c>
      <c r="L12" s="2162">
        <f t="shared" si="24"/>
        <v>0.2648646375145457</v>
      </c>
      <c r="M12" s="2162">
        <f t="shared" si="24"/>
        <v>1.1269732144618785</v>
      </c>
      <c r="N12" s="2162">
        <f t="shared" si="24"/>
        <v>0.30200000000000005</v>
      </c>
      <c r="O12" s="2166">
        <f t="shared" si="24"/>
        <v>0.28936102742983982</v>
      </c>
      <c r="P12" s="2166">
        <f t="shared" si="24"/>
        <v>0.27268177527733439</v>
      </c>
      <c r="Q12" s="2166">
        <f t="shared" si="24"/>
        <v>0.25802089950636137</v>
      </c>
      <c r="R12" s="2162">
        <f t="shared" si="24"/>
        <v>0.3019975913997503</v>
      </c>
      <c r="S12" s="2162">
        <f>P12</f>
        <v>0.27268177527733439</v>
      </c>
      <c r="T12" s="2162">
        <f>S12/N12</f>
        <v>0.90291978568653763</v>
      </c>
      <c r="U12" s="2167">
        <f>R12</f>
        <v>0.3019975913997503</v>
      </c>
      <c r="V12" s="2167">
        <f>R12</f>
        <v>0.3019975913997503</v>
      </c>
      <c r="W12" s="2168">
        <f>S12</f>
        <v>0.27268177527733439</v>
      </c>
      <c r="X12" s="2168">
        <f>S12</f>
        <v>0.27268177527733439</v>
      </c>
      <c r="Y12" s="2162">
        <f>Y11/Y10</f>
        <v>0.30074368288843234</v>
      </c>
      <c r="Z12" s="2162">
        <f>Z11/Z10</f>
        <v>0.2921451483422397</v>
      </c>
      <c r="AA12" s="2162">
        <f>AA11/AA10</f>
        <v>0.2798290486754535</v>
      </c>
      <c r="AB12" s="2162">
        <f>AB11/AB10</f>
        <v>0.30199999999999999</v>
      </c>
      <c r="AC12" s="2162">
        <f>Z12</f>
        <v>0.2921451483422397</v>
      </c>
      <c r="AD12" s="2168">
        <f>AC12</f>
        <v>0.2921451483422397</v>
      </c>
      <c r="AE12" s="2168">
        <f>AC12</f>
        <v>0.2921451483422397</v>
      </c>
      <c r="AF12" s="3518">
        <f t="shared" si="0"/>
        <v>1.07137760873498</v>
      </c>
      <c r="AG12" s="3518">
        <f t="shared" si="1"/>
        <v>1.07137760873498</v>
      </c>
      <c r="AH12" s="2162">
        <f>AH11/AH10</f>
        <v>0.28112825956957893</v>
      </c>
      <c r="AI12" s="2162">
        <f>AI11/AI10</f>
        <v>0.27929854884591843</v>
      </c>
      <c r="AJ12" s="2162">
        <f>AA12</f>
        <v>0.2798290486754535</v>
      </c>
      <c r="AK12" s="2168">
        <f>AJ12</f>
        <v>0.2798290486754535</v>
      </c>
      <c r="AL12" s="2168">
        <f>AJ12</f>
        <v>0.2798290486754535</v>
      </c>
      <c r="AM12" s="3518">
        <f t="shared" si="2"/>
        <v>0.95784253225948413</v>
      </c>
      <c r="AN12" s="3518">
        <f t="shared" si="3"/>
        <v>0.95784253225948413</v>
      </c>
      <c r="AO12" s="3523">
        <f>AA12</f>
        <v>0.2798290486754535</v>
      </c>
      <c r="AP12" s="2168">
        <f>AO12</f>
        <v>0.2798290486754535</v>
      </c>
      <c r="AQ12" s="2168">
        <f>AP12</f>
        <v>0.2798290486754535</v>
      </c>
      <c r="AR12" s="2167">
        <f>AR11/AR10</f>
        <v>0.29894940688814825</v>
      </c>
      <c r="AS12" s="2167">
        <f t="shared" ref="AS12:AT12" si="25">AS11/AS10</f>
        <v>0.29894893418238139</v>
      </c>
      <c r="AT12" s="2167">
        <f t="shared" si="25"/>
        <v>0.29895008712419396</v>
      </c>
      <c r="AU12" s="2167">
        <f>AU11/AU10</f>
        <v>0.29494854172916862</v>
      </c>
      <c r="AV12" s="2167">
        <f t="shared" ref="AV12:AW12" si="26">AV11/AV10</f>
        <v>0.29494844241914719</v>
      </c>
      <c r="AW12" s="2167">
        <f t="shared" si="26"/>
        <v>0.29494867887166876</v>
      </c>
      <c r="AX12" s="2167">
        <f>AX11/AX10</f>
        <v>0.27982855086215364</v>
      </c>
      <c r="AY12" s="2167">
        <f t="shared" ref="AY12:AZ12" si="27">AY11/AY10</f>
        <v>0.27982863956078491</v>
      </c>
      <c r="AZ12" s="2167">
        <f t="shared" si="27"/>
        <v>0.27982842322271728</v>
      </c>
      <c r="BA12" s="2167">
        <f>BA11/BA10</f>
        <v>0.29900691596209267</v>
      </c>
      <c r="BB12" s="2167">
        <f t="shared" ref="BB12:BG12" si="28">BB11/BB10</f>
        <v>0.29898507107584987</v>
      </c>
      <c r="BC12" s="2167">
        <f t="shared" si="28"/>
        <v>0.28157894736842104</v>
      </c>
      <c r="BD12" s="2167">
        <f t="shared" si="28"/>
        <v>0.29923423390839171</v>
      </c>
      <c r="BE12" s="2167">
        <f t="shared" si="28"/>
        <v>0.28175867768595042</v>
      </c>
      <c r="BF12" s="2167">
        <f t="shared" si="28"/>
        <v>0.28176438148416227</v>
      </c>
      <c r="BG12" s="2167">
        <f t="shared" si="28"/>
        <v>0.28182575320472619</v>
      </c>
      <c r="BH12" s="2167">
        <f>BH11/BH10</f>
        <v>0.30000014150282611</v>
      </c>
      <c r="BI12" s="2167">
        <f t="shared" ref="BI12:BJ12" si="29">BI11/BI10</f>
        <v>0.29999983765364052</v>
      </c>
      <c r="BJ12" s="2167">
        <f t="shared" si="29"/>
        <v>0.30000056295845928</v>
      </c>
      <c r="BK12" s="2167">
        <f>BK11/BK10</f>
        <v>0.29494854172916862</v>
      </c>
      <c r="BL12" s="2167">
        <f t="shared" ref="BL12:BM12" si="30">BL11/BL10</f>
        <v>0.29494854172916862</v>
      </c>
      <c r="BM12" s="2167">
        <f t="shared" si="30"/>
        <v>0.29494854172916862</v>
      </c>
      <c r="BN12" s="2167">
        <f t="shared" ref="BN12" si="31">BN11/BN10</f>
        <v>0.29494854172916857</v>
      </c>
      <c r="BO12" s="2167">
        <f t="shared" ref="BO12" si="32">BO11/BO10</f>
        <v>0.29494854172916862</v>
      </c>
      <c r="BP12" s="2167">
        <v>0.3</v>
      </c>
      <c r="BQ12" s="2167">
        <v>0.3</v>
      </c>
      <c r="BR12" s="2167">
        <v>0.3</v>
      </c>
      <c r="BS12" s="2167">
        <v>0.3</v>
      </c>
      <c r="BT12" s="2167">
        <v>0.3</v>
      </c>
      <c r="BU12" s="2167">
        <v>0.3</v>
      </c>
      <c r="BV12" s="2167">
        <v>0.3</v>
      </c>
      <c r="BW12" s="2167">
        <f>SUM(BK12)</f>
        <v>0.29494854172916862</v>
      </c>
      <c r="BX12" s="2167">
        <f t="shared" ref="BX12:CA12" si="33">BX11/BX10</f>
        <v>0.29494854172916862</v>
      </c>
      <c r="BY12" s="2167">
        <f t="shared" si="33"/>
        <v>0.29494854172916862</v>
      </c>
      <c r="BZ12" s="2167">
        <f t="shared" si="33"/>
        <v>0.29494854172916862</v>
      </c>
      <c r="CA12" s="2167">
        <f t="shared" si="33"/>
        <v>0.29494854172916862</v>
      </c>
      <c r="CB12" s="2167">
        <f>SUM(CB11/CB10)</f>
        <v>0.30253651782795826</v>
      </c>
      <c r="CC12" s="2167">
        <f t="shared" ref="CC12:CH12" si="34">SUM(CC11/CC10)</f>
        <v>0.30244323632874959</v>
      </c>
      <c r="CD12" s="2167">
        <f t="shared" si="34"/>
        <v>0.3</v>
      </c>
      <c r="CE12" s="2167">
        <f t="shared" si="34"/>
        <v>0.30269506737668439</v>
      </c>
      <c r="CF12" s="2167">
        <f t="shared" si="34"/>
        <v>0.3021442495126706</v>
      </c>
      <c r="CG12" s="2167" t="e">
        <f t="shared" si="34"/>
        <v>#DIV/0!</v>
      </c>
      <c r="CH12" s="2167">
        <f t="shared" si="34"/>
        <v>0.30210431279949995</v>
      </c>
      <c r="CI12" s="2167">
        <f>SUM(CI11/CI10)</f>
        <v>0.30146842169589183</v>
      </c>
      <c r="CJ12" s="2167">
        <f t="shared" ref="CJ12:CV12" si="35">SUM(CJ11/CJ10)</f>
        <v>0.3013980605127321</v>
      </c>
      <c r="CK12" s="2167">
        <f t="shared" si="35"/>
        <v>0.30091330980215614</v>
      </c>
      <c r="CL12" s="2167">
        <f t="shared" si="35"/>
        <v>0.30160338085371469</v>
      </c>
      <c r="CM12" s="2167">
        <f t="shared" si="35"/>
        <v>0.3012157366155705</v>
      </c>
      <c r="CN12" s="2167" t="e">
        <f t="shared" si="35"/>
        <v>#DIV/0!</v>
      </c>
      <c r="CO12" s="2167">
        <f t="shared" si="35"/>
        <v>0.30092052489191778</v>
      </c>
      <c r="CP12" s="2167">
        <f>SUM(CP11/CP10)</f>
        <v>0.2943216791039785</v>
      </c>
      <c r="CQ12" s="2167">
        <f t="shared" si="35"/>
        <v>0.29436986122048675</v>
      </c>
      <c r="CR12" s="2167">
        <f t="shared" si="35"/>
        <v>0.29368029739776952</v>
      </c>
      <c r="CS12" s="2167">
        <f t="shared" si="35"/>
        <v>0.29453664947329955</v>
      </c>
      <c r="CT12" s="2167">
        <f t="shared" si="35"/>
        <v>0.29360780065005415</v>
      </c>
      <c r="CU12" s="2167" t="e">
        <f t="shared" si="35"/>
        <v>#DIV/0!</v>
      </c>
      <c r="CV12" s="2167">
        <f t="shared" si="35"/>
        <v>0.29003860276810095</v>
      </c>
      <c r="CW12" s="2490">
        <v>0.3</v>
      </c>
      <c r="CX12" s="2490">
        <v>0.3</v>
      </c>
      <c r="CY12" s="2490">
        <v>0.3</v>
      </c>
      <c r="CZ12" s="2490">
        <v>0.3</v>
      </c>
      <c r="DA12" s="2490">
        <v>0.3</v>
      </c>
      <c r="DB12" s="2490" t="e">
        <f t="shared" ref="DB12" si="36">SUM(DB11/DB10)</f>
        <v>#DIV/0!</v>
      </c>
      <c r="DC12" s="2490">
        <v>0.3</v>
      </c>
      <c r="DD12" s="4125">
        <v>0.3</v>
      </c>
      <c r="DE12" s="4125">
        <v>0.3</v>
      </c>
      <c r="DF12" s="2490">
        <f>SUM(DF11/DF10)</f>
        <v>0.30064593584505911</v>
      </c>
      <c r="DG12" s="2490">
        <f t="shared" ref="DG12:DL12" si="37">SUM(DG11/DG10)</f>
        <v>0.30065414063956364</v>
      </c>
      <c r="DH12" s="2490">
        <f t="shared" si="37"/>
        <v>0.30041364112568186</v>
      </c>
      <c r="DI12" s="2490">
        <f t="shared" si="37"/>
        <v>0.30061623852552743</v>
      </c>
      <c r="DJ12" s="2490">
        <f t="shared" si="37"/>
        <v>0.3006305114587241</v>
      </c>
      <c r="DK12" s="2490" t="e">
        <f t="shared" si="37"/>
        <v>#DIV/0!</v>
      </c>
      <c r="DL12" s="2490">
        <f t="shared" si="37"/>
        <v>0.30090452757106101</v>
      </c>
      <c r="DM12" s="2490">
        <f>SUM(DM11/DM10)</f>
        <v>0.29976555092579049</v>
      </c>
      <c r="DN12" s="2490">
        <f t="shared" ref="DN12:DS12" si="38">SUM(DN11/DN10)</f>
        <v>0.29977150418367893</v>
      </c>
      <c r="DO12" s="2490">
        <f t="shared" si="38"/>
        <v>0.29937625496646303</v>
      </c>
      <c r="DP12" s="2490">
        <f>SUM(DP11/DP10)</f>
        <v>0.2997262390653278</v>
      </c>
      <c r="DQ12" s="2490">
        <f t="shared" si="38"/>
        <v>0.30000847973848177</v>
      </c>
      <c r="DR12" s="2490" t="e">
        <f t="shared" si="38"/>
        <v>#DIV/0!</v>
      </c>
      <c r="DS12" s="2490">
        <f t="shared" si="38"/>
        <v>0.30019591105394394</v>
      </c>
      <c r="DT12" s="4000">
        <f>SUM(DT11/DT10)</f>
        <v>0.2943216791039785</v>
      </c>
      <c r="DU12" s="4000">
        <f t="shared" ref="DU12:DZ12" si="39">SUM(DU11/DU10)</f>
        <v>0.29436986122048675</v>
      </c>
      <c r="DV12" s="4000">
        <f t="shared" si="39"/>
        <v>0.29368029739776952</v>
      </c>
      <c r="DW12" s="4000">
        <f t="shared" si="39"/>
        <v>0.29453664947329955</v>
      </c>
      <c r="DX12" s="4000">
        <f t="shared" si="39"/>
        <v>0.29360780065005415</v>
      </c>
      <c r="DY12" s="4000" t="e">
        <f t="shared" si="39"/>
        <v>#DIV/0!</v>
      </c>
      <c r="DZ12" s="4000">
        <f t="shared" si="39"/>
        <v>0.29003860276810095</v>
      </c>
      <c r="EA12" s="2698" t="s">
        <v>1896</v>
      </c>
    </row>
    <row r="13" spans="1:132" s="178" customFormat="1" ht="24" customHeight="1" x14ac:dyDescent="0.2">
      <c r="A13" s="3519" t="s">
        <v>301</v>
      </c>
      <c r="B13" s="3380"/>
      <c r="C13" s="3380"/>
      <c r="D13" s="2159"/>
      <c r="E13" s="3380"/>
      <c r="F13" s="2159"/>
      <c r="G13" s="2159"/>
      <c r="H13" s="2159"/>
      <c r="I13" s="2166"/>
      <c r="J13" s="2166"/>
      <c r="K13" s="2166"/>
      <c r="L13" s="2166"/>
      <c r="M13" s="2166"/>
      <c r="N13" s="2159">
        <v>29</v>
      </c>
      <c r="O13" s="2159">
        <v>29</v>
      </c>
      <c r="P13" s="2159">
        <v>29</v>
      </c>
      <c r="Q13" s="2159">
        <v>29</v>
      </c>
      <c r="R13" s="2159">
        <v>29</v>
      </c>
      <c r="S13" s="2159">
        <v>29</v>
      </c>
      <c r="T13" s="2162"/>
      <c r="U13" s="2163" t="e">
        <f>R13*#REF!</f>
        <v>#REF!</v>
      </c>
      <c r="V13" s="2163" t="e">
        <f>R13*#REF!</f>
        <v>#REF!</v>
      </c>
      <c r="W13" s="2163">
        <f>S13*$Y$56</f>
        <v>16.558392951775303</v>
      </c>
      <c r="X13" s="2163">
        <f>S13*$Y$57</f>
        <v>11.76107909379968</v>
      </c>
      <c r="Y13" s="2163">
        <v>29</v>
      </c>
      <c r="Z13" s="2163">
        <v>29</v>
      </c>
      <c r="AA13" s="2163">
        <v>29</v>
      </c>
      <c r="AB13" s="2159">
        <v>29</v>
      </c>
      <c r="AC13" s="2159">
        <f>29-29*Y58</f>
        <v>28.42</v>
      </c>
      <c r="AD13" s="2163">
        <f>AC13*AG56</f>
        <v>16.824616708732517</v>
      </c>
      <c r="AE13" s="2163">
        <f>AC13*AG57</f>
        <v>11.368018339580697</v>
      </c>
      <c r="AF13" s="3518">
        <f t="shared" si="0"/>
        <v>1.0160778740867284</v>
      </c>
      <c r="AG13" s="3518">
        <f t="shared" si="1"/>
        <v>0.96657953312921774</v>
      </c>
      <c r="AH13" s="2163">
        <v>27</v>
      </c>
      <c r="AI13" s="2163">
        <v>27</v>
      </c>
      <c r="AJ13" s="2159">
        <f>29-29*AD58</f>
        <v>29</v>
      </c>
      <c r="AK13" s="2163">
        <f>AJ13*AI56</f>
        <v>17.283999999999999</v>
      </c>
      <c r="AL13" s="2163">
        <f>AJ13*AI57</f>
        <v>11.716000000000001</v>
      </c>
      <c r="AM13" s="3518">
        <f t="shared" si="2"/>
        <v>1.0273042351704242</v>
      </c>
      <c r="AN13" s="3518">
        <f t="shared" si="3"/>
        <v>1.0306105822514129</v>
      </c>
      <c r="AO13" s="2615">
        <v>29</v>
      </c>
      <c r="AP13" s="2163">
        <f>AO13*$AL$56</f>
        <v>15.780494504471694</v>
      </c>
      <c r="AQ13" s="2163">
        <f>AO13*$AL$57</f>
        <v>13.063227467447485</v>
      </c>
      <c r="AR13" s="2163">
        <v>26</v>
      </c>
      <c r="AS13" s="2163">
        <f>AS10/AS14/12*1000</f>
        <v>15.34000848597819</v>
      </c>
      <c r="AT13" s="2163">
        <f>AT10/AT14/12*1000</f>
        <v>10.65999151402181</v>
      </c>
      <c r="AU13" s="2163">
        <v>26</v>
      </c>
      <c r="AV13" s="2163">
        <f>AV10/AV14/12*1000</f>
        <v>15.080004131956667</v>
      </c>
      <c r="AW13" s="2163">
        <f>AW10/AW14/12*1000</f>
        <v>10.919995868043332</v>
      </c>
      <c r="AX13" s="2163">
        <v>26</v>
      </c>
      <c r="AY13" s="2163">
        <v>15.95</v>
      </c>
      <c r="AZ13" s="2163">
        <v>13.05</v>
      </c>
      <c r="BA13" s="2163">
        <v>26</v>
      </c>
      <c r="BB13" s="2163">
        <v>15.95</v>
      </c>
      <c r="BC13" s="2163"/>
      <c r="BD13" s="2163">
        <v>13.05</v>
      </c>
      <c r="BE13" s="2163"/>
      <c r="BF13" s="2163"/>
      <c r="BG13" s="2163"/>
      <c r="BH13" s="2163">
        <v>29</v>
      </c>
      <c r="BI13" s="2163">
        <f>BI10/BI14/12*1000</f>
        <v>16.85114044202653</v>
      </c>
      <c r="BJ13" s="2163">
        <f>BJ10/BJ14/12*1000</f>
        <v>12.148859557973473</v>
      </c>
      <c r="BK13" s="2163">
        <f>AU13</f>
        <v>26</v>
      </c>
      <c r="BL13" s="2163">
        <f>BK13*$BL$50</f>
        <v>15.113935991870889</v>
      </c>
      <c r="BM13" s="2163">
        <f>BK13*$BM$50</f>
        <v>9.7864991681019315</v>
      </c>
      <c r="BN13" s="2163">
        <f>BK13*$BN$50</f>
        <v>1.0374096386007294</v>
      </c>
      <c r="BO13" s="2163">
        <f>BK13*$BO$50</f>
        <v>6.2155201426447655E-2</v>
      </c>
      <c r="BP13" s="2163">
        <f>SUM(BQ13:BV13)</f>
        <v>27</v>
      </c>
      <c r="BQ13" s="2163">
        <v>15.11</v>
      </c>
      <c r="BR13" s="2163">
        <v>0.05</v>
      </c>
      <c r="BS13" s="2163">
        <v>10.79</v>
      </c>
      <c r="BT13" s="2163">
        <v>0.3</v>
      </c>
      <c r="BU13" s="2163">
        <v>0.7</v>
      </c>
      <c r="BV13" s="2163">
        <v>0.05</v>
      </c>
      <c r="BW13" s="2163">
        <f>SUM(BX13:CA13)</f>
        <v>25.999999999999996</v>
      </c>
      <c r="BX13" s="2163">
        <f>SUM(BL13)</f>
        <v>15.113935991870889</v>
      </c>
      <c r="BY13" s="2163">
        <f>SUM(BM13)</f>
        <v>9.7864991681019315</v>
      </c>
      <c r="BZ13" s="2163">
        <f>SUM(BN13)</f>
        <v>1.0374096386007294</v>
      </c>
      <c r="CA13" s="2163">
        <f>SUM(BO13)</f>
        <v>6.2155201426447655E-2</v>
      </c>
      <c r="CB13" s="2163">
        <v>27</v>
      </c>
      <c r="CC13" s="2667">
        <f>SUM(CC10/CC14/6*1000)</f>
        <v>15.739795950072521</v>
      </c>
      <c r="CD13" s="2667">
        <f t="shared" ref="CD13:CH13" si="40">SUM(CD10/CD14/6*1000)</f>
        <v>4.6979457051703503E-3</v>
      </c>
      <c r="CE13" s="2667">
        <f t="shared" si="40"/>
        <v>10.73789315777765</v>
      </c>
      <c r="CF13" s="2667">
        <f t="shared" si="40"/>
        <v>3.4429230667891282E-2</v>
      </c>
      <c r="CG13" s="2667">
        <v>0</v>
      </c>
      <c r="CH13" s="2667">
        <f t="shared" si="40"/>
        <v>0.48318371577677061</v>
      </c>
      <c r="CI13" s="2163">
        <v>27</v>
      </c>
      <c r="CJ13" s="2667">
        <f>SUM(CJ10/CJ14/9*1000)</f>
        <v>15.863620691709809</v>
      </c>
      <c r="CK13" s="2667">
        <f>SUM(CK10/CK14/9*1000)</f>
        <v>4.6454848459408426E-3</v>
      </c>
      <c r="CL13" s="2667">
        <f>SUM(CL10/CL14/9*1000)</f>
        <v>10.557285418690389</v>
      </c>
      <c r="CM13" s="2667">
        <f>SUM(CM10/CM14/9*1000)</f>
        <v>2.9463535047626485E-2</v>
      </c>
      <c r="CN13" s="2667">
        <v>0</v>
      </c>
      <c r="CO13" s="2667">
        <f>SUM(CO10/CO14/9*1000)</f>
        <v>0.54498486970623627</v>
      </c>
      <c r="CP13" s="2163">
        <v>27</v>
      </c>
      <c r="CQ13" s="2667">
        <f>SUM(CQ10/CQ14/12*1000)</f>
        <v>15.800524324804135</v>
      </c>
      <c r="CR13" s="2667">
        <f>SUM(CR10/CR14/12*1000)</f>
        <v>4.4157827602685331E-3</v>
      </c>
      <c r="CS13" s="2667">
        <f>SUM(CS10/CS14/12*1000)</f>
        <v>10.467358592202491</v>
      </c>
      <c r="CT13" s="2667">
        <f>SUM(CT10/CT14/12*1000)</f>
        <v>3.0303103997976633E-2</v>
      </c>
      <c r="CU13" s="2667">
        <v>0</v>
      </c>
      <c r="CV13" s="2667">
        <f>SUM(CV10/CV14/12*1000)</f>
        <v>0.69739819623512411</v>
      </c>
      <c r="CW13" s="2489">
        <f>SUM(CX13:DC13)</f>
        <v>26.999999999999993</v>
      </c>
      <c r="CX13" s="2489">
        <f t="shared" ref="CX13:DC13" si="41">SUM(CQ13)</f>
        <v>15.800524324804135</v>
      </c>
      <c r="CY13" s="2493">
        <f t="shared" si="41"/>
        <v>4.4157827602685331E-3</v>
      </c>
      <c r="CZ13" s="2489">
        <f t="shared" si="41"/>
        <v>10.467358592202491</v>
      </c>
      <c r="DA13" s="2489">
        <f t="shared" si="41"/>
        <v>3.0303103997976633E-2</v>
      </c>
      <c r="DB13" s="2489">
        <f t="shared" si="41"/>
        <v>0</v>
      </c>
      <c r="DC13" s="2489">
        <f t="shared" si="41"/>
        <v>0.69739819623512411</v>
      </c>
      <c r="DD13" s="4124">
        <f>SUM(BL13)</f>
        <v>15.113935991870889</v>
      </c>
      <c r="DE13" s="4124">
        <f>SUM(BM13)</f>
        <v>9.7864991681019315</v>
      </c>
      <c r="DF13" s="2489">
        <v>26</v>
      </c>
      <c r="DG13" s="2493">
        <f>SUM(DG10/DG14/6*1000)</f>
        <v>14.752965336863843</v>
      </c>
      <c r="DH13" s="2493">
        <f t="shared" ref="DH13:DJ13" si="42">SUM(DH10/DH14/6*1000)</f>
        <v>3.6874162330388384E-3</v>
      </c>
      <c r="DI13" s="2493">
        <f t="shared" si="42"/>
        <v>10.474791247619848</v>
      </c>
      <c r="DJ13" s="2493">
        <f t="shared" si="42"/>
        <v>2.8675252747456675E-2</v>
      </c>
      <c r="DK13" s="2493">
        <v>0</v>
      </c>
      <c r="DL13" s="2493">
        <f t="shared" ref="DL13" si="43">SUM(DL10/DL14/6*1000)</f>
        <v>0.73988074653581115</v>
      </c>
      <c r="DM13" s="2489">
        <v>26</v>
      </c>
      <c r="DN13" s="2493">
        <f>SUM(DN10/DN14/9*1000)</f>
        <v>14.772787418184395</v>
      </c>
      <c r="DO13" s="2493">
        <f>SUM(DO10/DO14/9*1000)</f>
        <v>4.1509967970507732E-3</v>
      </c>
      <c r="DP13" s="2493">
        <f>SUM(DP10/DP14/9*1000)</f>
        <v>10.456122209996924</v>
      </c>
      <c r="DQ13" s="2493">
        <f>SUM(DQ10/DQ14/9*1000)</f>
        <v>2.8494477345850675E-2</v>
      </c>
      <c r="DR13" s="2493">
        <v>0</v>
      </c>
      <c r="DS13" s="2493">
        <f>SUM(DS10/DS14/9*1000)</f>
        <v>0.73844489767578081</v>
      </c>
      <c r="DT13" s="3999">
        <v>27</v>
      </c>
      <c r="DU13" s="4001">
        <f>SUM(DU10/DU14/12*1000)</f>
        <v>15.800524324804135</v>
      </c>
      <c r="DV13" s="4001">
        <f>SUM(DV10/DV14/12*1000)</f>
        <v>4.4157827602685331E-3</v>
      </c>
      <c r="DW13" s="4001">
        <f>SUM(DW10/DW14/12*1000)</f>
        <v>10.467358592202491</v>
      </c>
      <c r="DX13" s="4001">
        <f>SUM(DX10/DX14/12*1000)</f>
        <v>3.0303103997976633E-2</v>
      </c>
      <c r="DY13" s="4001">
        <v>0</v>
      </c>
      <c r="DZ13" s="4001">
        <f>SUM(DZ10/DZ14/12*1000)</f>
        <v>0.69739819623512411</v>
      </c>
      <c r="EA13" s="2698"/>
    </row>
    <row r="14" spans="1:132" s="179" customFormat="1" ht="43.5" customHeight="1" x14ac:dyDescent="0.2">
      <c r="A14" s="3519" t="s">
        <v>302</v>
      </c>
      <c r="B14" s="3380"/>
      <c r="C14" s="3380"/>
      <c r="D14" s="2159"/>
      <c r="E14" s="3380"/>
      <c r="F14" s="2159"/>
      <c r="G14" s="2159"/>
      <c r="H14" s="2159"/>
      <c r="I14" s="2166"/>
      <c r="J14" s="2166"/>
      <c r="K14" s="2166"/>
      <c r="L14" s="2166"/>
      <c r="M14" s="2166"/>
      <c r="N14" s="2160">
        <f t="shared" ref="N14:S14" si="44">N10/N13/12*1000</f>
        <v>39887.979310344825</v>
      </c>
      <c r="O14" s="2160">
        <f t="shared" si="44"/>
        <v>23560.632183908045</v>
      </c>
      <c r="P14" s="2160">
        <f t="shared" si="44"/>
        <v>36616.673204022991</v>
      </c>
      <c r="Q14" s="2160">
        <f t="shared" si="44"/>
        <v>49305.45977011494</v>
      </c>
      <c r="R14" s="2160">
        <f t="shared" si="44"/>
        <v>52016.666666666657</v>
      </c>
      <c r="S14" s="2160">
        <f t="shared" si="44"/>
        <v>42121.706151724131</v>
      </c>
      <c r="T14" s="2162"/>
      <c r="U14" s="2163">
        <f>R14</f>
        <v>52016.666666666657</v>
      </c>
      <c r="V14" s="2163">
        <f>R14</f>
        <v>52016.666666666657</v>
      </c>
      <c r="W14" s="2163">
        <f>S14</f>
        <v>42121.706151724131</v>
      </c>
      <c r="X14" s="2163">
        <f>S14</f>
        <v>42121.706151724131</v>
      </c>
      <c r="Y14" s="2160">
        <f>Y10/Y13/6*1000</f>
        <v>45231.551724137935</v>
      </c>
      <c r="Z14" s="2160">
        <f>Z10/Z13/9*1000</f>
        <v>44481.379310344826</v>
      </c>
      <c r="AA14" s="2160">
        <f>SUM(AA10/AA13/12)*1000</f>
        <v>44040.229885057473</v>
      </c>
      <c r="AB14" s="2160">
        <f>AB10/AB13/12*1000</f>
        <v>48850.574712643684</v>
      </c>
      <c r="AC14" s="2160">
        <f>S14*1.067</f>
        <v>44943.860463889643</v>
      </c>
      <c r="AD14" s="2163">
        <f>W14*1.067</f>
        <v>44943.860463889643</v>
      </c>
      <c r="AE14" s="2163">
        <f>AD14</f>
        <v>44943.860463889643</v>
      </c>
      <c r="AF14" s="3518">
        <f t="shared" si="0"/>
        <v>1.0669999999999999</v>
      </c>
      <c r="AG14" s="3518">
        <f t="shared" si="1"/>
        <v>1.0669999999999999</v>
      </c>
      <c r="AH14" s="2160">
        <f>AH10/AH13/6*1000</f>
        <v>45935.493827160491</v>
      </c>
      <c r="AI14" s="2160">
        <f>AI10/AI13/9*1000</f>
        <v>45713.580246913582</v>
      </c>
      <c r="AJ14" s="2160">
        <f>SUM(AJ10/AJ13/12)*1000</f>
        <v>53735.632183908048</v>
      </c>
      <c r="AK14" s="2163">
        <f>SUM(AJ14)</f>
        <v>53735.632183908048</v>
      </c>
      <c r="AL14" s="2163">
        <f>AK14</f>
        <v>53735.632183908048</v>
      </c>
      <c r="AM14" s="3518">
        <f t="shared" si="2"/>
        <v>1.1956167456305227</v>
      </c>
      <c r="AN14" s="3518">
        <f t="shared" si="3"/>
        <v>1.1956167456305227</v>
      </c>
      <c r="AO14" s="2206">
        <f>AC14*1.074</f>
        <v>48269.70613821748</v>
      </c>
      <c r="AP14" s="2163">
        <f>AO14</f>
        <v>48269.70613821748</v>
      </c>
      <c r="AQ14" s="2163">
        <f>AP14</f>
        <v>48269.70613821748</v>
      </c>
      <c r="AR14" s="2163">
        <f>AR10/AR13/12*1000</f>
        <v>44190.544871794875</v>
      </c>
      <c r="AS14" s="2163">
        <f>AR14</f>
        <v>44190.544871794875</v>
      </c>
      <c r="AT14" s="2163">
        <f>AS14</f>
        <v>44190.544871794875</v>
      </c>
      <c r="AU14" s="2163">
        <f>AU10/AU13/12*1000</f>
        <v>49423.719326923077</v>
      </c>
      <c r="AV14" s="2163">
        <f>AU14</f>
        <v>49423.719326923077</v>
      </c>
      <c r="AW14" s="2163">
        <f>AV14</f>
        <v>49423.719326923077</v>
      </c>
      <c r="AX14" s="2163">
        <v>52694.8</v>
      </c>
      <c r="AY14" s="2163">
        <v>52694.81</v>
      </c>
      <c r="AZ14" s="2163">
        <v>52694.81</v>
      </c>
      <c r="BA14" s="2163">
        <f>BA10/BA13/12*1000</f>
        <v>50143.198717948711</v>
      </c>
      <c r="BB14" s="2163">
        <f>SUM(BA14)</f>
        <v>50143.198717948711</v>
      </c>
      <c r="BC14" s="2163">
        <f>SUM(BA14)</f>
        <v>50143.198717948711</v>
      </c>
      <c r="BD14" s="2163">
        <f>SUM(BA14)</f>
        <v>50143.198717948711</v>
      </c>
      <c r="BE14" s="2163">
        <f>SUM(BA14)</f>
        <v>50143.198717948711</v>
      </c>
      <c r="BF14" s="2163">
        <f>SUM(BA14)</f>
        <v>50143.198717948711</v>
      </c>
      <c r="BG14" s="2163">
        <f>SUM(BA14)</f>
        <v>50143.198717948711</v>
      </c>
      <c r="BH14" s="2163">
        <f>BH10/BH13/12*1000</f>
        <v>60922.385057471256</v>
      </c>
      <c r="BI14" s="2163">
        <f>BH14</f>
        <v>60922.385057471256</v>
      </c>
      <c r="BJ14" s="2163">
        <f>BI14</f>
        <v>60922.385057471256</v>
      </c>
      <c r="BK14" s="2163">
        <f>AU14*1.027*1.046</f>
        <v>53093.0350971925</v>
      </c>
      <c r="BL14" s="2163">
        <f>BL10/BL13/12*1000</f>
        <v>53093.035097192493</v>
      </c>
      <c r="BM14" s="2163">
        <f t="shared" ref="BM14:BO14" si="45">BM10/BM13/12*1000</f>
        <v>53093.035097192507</v>
      </c>
      <c r="BN14" s="2163">
        <f t="shared" si="45"/>
        <v>53093.035097192507</v>
      </c>
      <c r="BO14" s="2163">
        <f t="shared" si="45"/>
        <v>53093.035097192507</v>
      </c>
      <c r="BP14" s="2163">
        <f>SUM(BK14*1.046)</f>
        <v>55535.314711663355</v>
      </c>
      <c r="BQ14" s="2163">
        <f>SUM(BP14)</f>
        <v>55535.314711663355</v>
      </c>
      <c r="BR14" s="2163">
        <f>SUM(BP14)</f>
        <v>55535.314711663355</v>
      </c>
      <c r="BS14" s="2163">
        <f>SUM(BP14)</f>
        <v>55535.314711663355</v>
      </c>
      <c r="BT14" s="2163">
        <f>SUM(BP14)</f>
        <v>55535.314711663355</v>
      </c>
      <c r="BU14" s="2163">
        <f>SUM(BP14)</f>
        <v>55535.314711663355</v>
      </c>
      <c r="BV14" s="2163">
        <f>SUM(BP14)</f>
        <v>55535.314711663355</v>
      </c>
      <c r="BW14" s="2163">
        <f>SUM(BK14*1.03)*(1-0.01)</f>
        <v>54138.967888607192</v>
      </c>
      <c r="BX14" s="2163">
        <f>BX10/BX13/12*1000</f>
        <v>54138.9678886072</v>
      </c>
      <c r="BY14" s="2163">
        <f t="shared" ref="BY14:CA14" si="46">BY10/BY13/12*1000</f>
        <v>54138.967888607192</v>
      </c>
      <c r="BZ14" s="2163">
        <f t="shared" si="46"/>
        <v>54138.967888607192</v>
      </c>
      <c r="CA14" s="2163">
        <f t="shared" si="46"/>
        <v>54138.967888607192</v>
      </c>
      <c r="CB14" s="2163">
        <f>SUM(CB10/CB13/6*1000)</f>
        <v>49667.098765432092</v>
      </c>
      <c r="CC14" s="2163">
        <f>SUM(CB14)</f>
        <v>49667.098765432092</v>
      </c>
      <c r="CD14" s="2163">
        <f>SUM(CB14)</f>
        <v>49667.098765432092</v>
      </c>
      <c r="CE14" s="2163">
        <f>SUM(CB14)</f>
        <v>49667.098765432092</v>
      </c>
      <c r="CF14" s="2163">
        <f>SUM(CB14)</f>
        <v>49667.098765432092</v>
      </c>
      <c r="CG14" s="2163" t="e">
        <f t="shared" ref="CG14" si="47">SUM(CG10/CG13/6*1000)</f>
        <v>#DIV/0!</v>
      </c>
      <c r="CH14" s="2163">
        <f>SUM(CB14)</f>
        <v>49667.098765432092</v>
      </c>
      <c r="CI14" s="2163">
        <f>SUM(CI10/CI13/9*1000)</f>
        <v>49941.205020576126</v>
      </c>
      <c r="CJ14" s="2163">
        <f>SUM(CI14)</f>
        <v>49941.205020576126</v>
      </c>
      <c r="CK14" s="2163">
        <f>SUM(CI14)</f>
        <v>49941.205020576126</v>
      </c>
      <c r="CL14" s="2163">
        <f>SUM(CJ14)</f>
        <v>49941.205020576126</v>
      </c>
      <c r="CM14" s="2163">
        <f>SUM(CJ14)</f>
        <v>49941.205020576126</v>
      </c>
      <c r="CN14" s="2163" t="e">
        <f t="shared" ref="CN14" si="48">SUM(CN10/CN13/6*1000)</f>
        <v>#DIV/0!</v>
      </c>
      <c r="CO14" s="2163">
        <f>SUM(CJ14)</f>
        <v>49941.205020576126</v>
      </c>
      <c r="CP14" s="2163">
        <f>SUM(CP10/CP13/12*1000)</f>
        <v>50764.876543209881</v>
      </c>
      <c r="CQ14" s="2163">
        <f>SUM(CP14)</f>
        <v>50764.876543209881</v>
      </c>
      <c r="CR14" s="2163">
        <f>SUM(CP14)</f>
        <v>50764.876543209881</v>
      </c>
      <c r="CS14" s="2163">
        <f>SUM(CQ14)</f>
        <v>50764.876543209881</v>
      </c>
      <c r="CT14" s="2163">
        <f>SUM(CQ14)</f>
        <v>50764.876543209881</v>
      </c>
      <c r="CU14" s="2163" t="e">
        <f t="shared" ref="CU14" si="49">SUM(CU10/CU13/6*1000)</f>
        <v>#DIV/0!</v>
      </c>
      <c r="CV14" s="2163">
        <f>SUM(CQ14)</f>
        <v>50764.876543209881</v>
      </c>
      <c r="CW14" s="2489">
        <f>SUM(BW14*1.046)*(1-0.01)</f>
        <v>56063.06680736829</v>
      </c>
      <c r="CX14" s="2489">
        <f>SUM(CW14)</f>
        <v>56063.06680736829</v>
      </c>
      <c r="CY14" s="2489">
        <f>SUM(CW14)</f>
        <v>56063.06680736829</v>
      </c>
      <c r="CZ14" s="2489">
        <f>SUM(CX14)</f>
        <v>56063.06680736829</v>
      </c>
      <c r="DA14" s="2489">
        <f>SUM(CX14)</f>
        <v>56063.06680736829</v>
      </c>
      <c r="DB14" s="2489">
        <v>0</v>
      </c>
      <c r="DC14" s="2489">
        <f>SUM(CX14)</f>
        <v>56063.06680736829</v>
      </c>
      <c r="DD14" s="4080">
        <f>SUM(BL14*(1+0.032)*0.99*(1+0.036)*0.99)</f>
        <v>55634.910619494905</v>
      </c>
      <c r="DE14" s="4080">
        <f>SUM(BM14*(1+0.032)*0.99*(1+0.036)*0.99)</f>
        <v>55634.91061949492</v>
      </c>
      <c r="DF14" s="2489">
        <f>SUM(DF10/DF13/6*1000)</f>
        <v>50045.88262820513</v>
      </c>
      <c r="DG14" s="2489">
        <f>SUM(DF14)</f>
        <v>50045.88262820513</v>
      </c>
      <c r="DH14" s="2489">
        <f>SUM(DF14)</f>
        <v>50045.88262820513</v>
      </c>
      <c r="DI14" s="2489">
        <f>SUM(DF14)</f>
        <v>50045.88262820513</v>
      </c>
      <c r="DJ14" s="2489">
        <f>SUM(DF14)</f>
        <v>50045.88262820513</v>
      </c>
      <c r="DK14" s="2489" t="e">
        <f t="shared" ref="DK14" si="50">SUM(DK10/DK13/6*1000)</f>
        <v>#DIV/0!</v>
      </c>
      <c r="DL14" s="2489">
        <f>SUM(DF14)</f>
        <v>50045.88262820513</v>
      </c>
      <c r="DM14" s="2489">
        <f>SUM(DM10/DM13/9*1000)</f>
        <v>50123.435982905983</v>
      </c>
      <c r="DN14" s="2489">
        <f>SUM(DM14)</f>
        <v>50123.435982905983</v>
      </c>
      <c r="DO14" s="2489">
        <f>SUM(DM14)</f>
        <v>50123.435982905983</v>
      </c>
      <c r="DP14" s="2489">
        <f>SUM(DN14)</f>
        <v>50123.435982905983</v>
      </c>
      <c r="DQ14" s="2489">
        <f>SUM(DN14)</f>
        <v>50123.435982905983</v>
      </c>
      <c r="DR14" s="2489" t="e">
        <f t="shared" ref="DR14" si="51">SUM(DR10/DR13/6*1000)</f>
        <v>#DIV/0!</v>
      </c>
      <c r="DS14" s="2489">
        <f>SUM(DN14)</f>
        <v>50123.435982905983</v>
      </c>
      <c r="DT14" s="3999">
        <f>SUM(DT10/DT13/12*1000)</f>
        <v>50764.876543209881</v>
      </c>
      <c r="DU14" s="3999">
        <f>SUM(DT14)</f>
        <v>50764.876543209881</v>
      </c>
      <c r="DV14" s="3999">
        <f>SUM(DT14)</f>
        <v>50764.876543209881</v>
      </c>
      <c r="DW14" s="3999">
        <f>SUM(DU14)</f>
        <v>50764.876543209881</v>
      </c>
      <c r="DX14" s="3999">
        <f>SUM(DU14)</f>
        <v>50764.876543209881</v>
      </c>
      <c r="DY14" s="3999" t="e">
        <f t="shared" ref="DY14" si="52">SUM(DY10/DY13/6*1000)</f>
        <v>#DIV/0!</v>
      </c>
      <c r="DZ14" s="3999">
        <f>SUM(DU14)</f>
        <v>50764.876543209881</v>
      </c>
      <c r="EA14" s="2699" t="s">
        <v>1923</v>
      </c>
      <c r="EB14" s="179">
        <f>AI14*1.074</f>
        <v>49096.385185185187</v>
      </c>
    </row>
    <row r="15" spans="1:132" s="179" customFormat="1" ht="24" customHeight="1" x14ac:dyDescent="0.2">
      <c r="A15" s="3519" t="s">
        <v>1928</v>
      </c>
      <c r="B15" s="3380"/>
      <c r="C15" s="3380"/>
      <c r="D15" s="2159"/>
      <c r="E15" s="3380"/>
      <c r="F15" s="2159"/>
      <c r="G15" s="2159"/>
      <c r="H15" s="2159"/>
      <c r="I15" s="2166"/>
      <c r="J15" s="2166"/>
      <c r="K15" s="2166"/>
      <c r="L15" s="2166"/>
      <c r="M15" s="2166"/>
      <c r="N15" s="2160"/>
      <c r="O15" s="2160"/>
      <c r="P15" s="2160"/>
      <c r="Q15" s="2160"/>
      <c r="R15" s="2160"/>
      <c r="S15" s="2160"/>
      <c r="T15" s="2162"/>
      <c r="U15" s="2163"/>
      <c r="V15" s="2163"/>
      <c r="W15" s="2163"/>
      <c r="X15" s="2163"/>
      <c r="Y15" s="2160"/>
      <c r="Z15" s="2160"/>
      <c r="AA15" s="2160"/>
      <c r="AB15" s="2160"/>
      <c r="AC15" s="2160"/>
      <c r="AD15" s="2163"/>
      <c r="AE15" s="2163"/>
      <c r="AF15" s="3518"/>
      <c r="AG15" s="3518"/>
      <c r="AH15" s="2160"/>
      <c r="AI15" s="2160"/>
      <c r="AJ15" s="2160"/>
      <c r="AK15" s="2163"/>
      <c r="AL15" s="2163"/>
      <c r="AM15" s="3518"/>
      <c r="AN15" s="3518"/>
      <c r="AO15" s="2206"/>
      <c r="AP15" s="2163"/>
      <c r="AQ15" s="2163"/>
      <c r="AR15" s="2163"/>
      <c r="AS15" s="2163"/>
      <c r="AT15" s="2163"/>
      <c r="AU15" s="2163">
        <f>AV15+AW15</f>
        <v>51</v>
      </c>
      <c r="AV15" s="2163">
        <v>29.58</v>
      </c>
      <c r="AW15" s="2163">
        <v>21.42</v>
      </c>
      <c r="AX15" s="2163">
        <v>0</v>
      </c>
      <c r="AY15" s="2163">
        <v>0</v>
      </c>
      <c r="AZ15" s="2163">
        <v>0</v>
      </c>
      <c r="BA15" s="2163">
        <f t="shared" ref="BA15:BA48" si="53">SUM(BB15:BG15)</f>
        <v>0</v>
      </c>
      <c r="BB15" s="2163">
        <v>0</v>
      </c>
      <c r="BC15" s="2163"/>
      <c r="BD15" s="2163">
        <v>0</v>
      </c>
      <c r="BE15" s="2163"/>
      <c r="BF15" s="2163"/>
      <c r="BG15" s="2163"/>
      <c r="BH15" s="2163"/>
      <c r="BI15" s="2163"/>
      <c r="BJ15" s="2163"/>
      <c r="BK15" s="2163"/>
      <c r="BL15" s="2163"/>
      <c r="BM15" s="2163"/>
      <c r="BN15" s="2163"/>
      <c r="BO15" s="2163"/>
      <c r="BP15" s="2163">
        <f t="shared" ref="BP15:BP46" si="54">SUM(BQ15:BV15)</f>
        <v>0</v>
      </c>
      <c r="BQ15" s="2163">
        <v>0</v>
      </c>
      <c r="BR15" s="2163">
        <v>0</v>
      </c>
      <c r="BS15" s="2163">
        <v>0</v>
      </c>
      <c r="BT15" s="2163">
        <v>0</v>
      </c>
      <c r="BU15" s="2163">
        <v>0</v>
      </c>
      <c r="BV15" s="2163">
        <v>0</v>
      </c>
      <c r="BW15" s="2163">
        <f t="shared" ref="BW15:BW48" si="55">SUM(BK15*1.03)*(1-0.01)</f>
        <v>0</v>
      </c>
      <c r="BX15" s="2163"/>
      <c r="BY15" s="2163"/>
      <c r="BZ15" s="2163"/>
      <c r="CA15" s="2163"/>
      <c r="CB15" s="2163">
        <f t="shared" ref="CB15:CB44" si="56">SUM(CC15:CH15)</f>
        <v>0</v>
      </c>
      <c r="CC15" s="2163">
        <v>0</v>
      </c>
      <c r="CD15" s="2163">
        <v>0</v>
      </c>
      <c r="CE15" s="2163">
        <v>0</v>
      </c>
      <c r="CF15" s="2163">
        <v>0</v>
      </c>
      <c r="CG15" s="2163">
        <v>0</v>
      </c>
      <c r="CH15" s="2163">
        <v>0</v>
      </c>
      <c r="CI15" s="2163">
        <f t="shared" ref="CI15:CI44" si="57">SUM(CJ15:CO15)</f>
        <v>0</v>
      </c>
      <c r="CJ15" s="2163">
        <v>0</v>
      </c>
      <c r="CK15" s="2163">
        <v>0</v>
      </c>
      <c r="CL15" s="2163">
        <v>0</v>
      </c>
      <c r="CM15" s="2163">
        <v>0</v>
      </c>
      <c r="CN15" s="2163">
        <v>0</v>
      </c>
      <c r="CO15" s="2163">
        <v>0</v>
      </c>
      <c r="CP15" s="2163">
        <f t="shared" ref="CP15:CP44" si="58">SUM(CQ15:CV15)</f>
        <v>0</v>
      </c>
      <c r="CQ15" s="2163">
        <v>0</v>
      </c>
      <c r="CR15" s="2163">
        <v>0</v>
      </c>
      <c r="CS15" s="2163">
        <v>0</v>
      </c>
      <c r="CT15" s="2163">
        <v>0</v>
      </c>
      <c r="CU15" s="2163">
        <v>0</v>
      </c>
      <c r="CV15" s="2163">
        <v>0</v>
      </c>
      <c r="CW15" s="2489">
        <f t="shared" ref="CW15:CW48" si="59">SUM(CP15*1.046)*(1-0.01)</f>
        <v>0</v>
      </c>
      <c r="CX15" s="2489">
        <f>SUM(CW15*CX50)</f>
        <v>0</v>
      </c>
      <c r="CY15" s="2489">
        <f>SUM(CW15*CY50)</f>
        <v>0</v>
      </c>
      <c r="CZ15" s="2489">
        <f>SUM(CW15*CZ50)</f>
        <v>0</v>
      </c>
      <c r="DA15" s="2489">
        <f>SUM(CW15*DA50)</f>
        <v>0</v>
      </c>
      <c r="DB15" s="2489">
        <f>SUM(CW15*DB50)</f>
        <v>0</v>
      </c>
      <c r="DC15" s="2489">
        <f>SUM(CW15*DC50)</f>
        <v>0</v>
      </c>
      <c r="DD15" s="4080">
        <f t="shared" ref="DD15:DD47" si="60">SUM(BL15*(1+0.032)*0.99*(1+0.036)*0.99)</f>
        <v>0</v>
      </c>
      <c r="DE15" s="4080">
        <f t="shared" ref="DE15:DE48" si="61">SUM(BM15*(1+0.032)*0.99*(1+0.036)*0.99)</f>
        <v>0</v>
      </c>
      <c r="DF15" s="2489">
        <f t="shared" ref="DF15:DF44" si="62">SUM(DG15:DL15)</f>
        <v>0</v>
      </c>
      <c r="DG15" s="2489">
        <v>0</v>
      </c>
      <c r="DH15" s="2489">
        <v>0</v>
      </c>
      <c r="DI15" s="2489">
        <v>0</v>
      </c>
      <c r="DJ15" s="2489">
        <v>0</v>
      </c>
      <c r="DK15" s="2489">
        <v>0</v>
      </c>
      <c r="DL15" s="2489">
        <v>0</v>
      </c>
      <c r="DM15" s="2489">
        <f t="shared" ref="DM15:DM44" si="63">SUM(DN15:DS15)</f>
        <v>0</v>
      </c>
      <c r="DN15" s="2489">
        <v>0</v>
      </c>
      <c r="DO15" s="2489">
        <v>0</v>
      </c>
      <c r="DP15" s="2489">
        <v>0</v>
      </c>
      <c r="DQ15" s="2489">
        <v>0</v>
      </c>
      <c r="DR15" s="2489">
        <v>0</v>
      </c>
      <c r="DS15" s="2489">
        <v>0</v>
      </c>
      <c r="DT15" s="3999">
        <f t="shared" ref="DT15:DT44" si="64">SUM(DU15:DZ15)</f>
        <v>0</v>
      </c>
      <c r="DU15" s="3999">
        <v>0</v>
      </c>
      <c r="DV15" s="3999">
        <v>0</v>
      </c>
      <c r="DW15" s="3999">
        <v>0</v>
      </c>
      <c r="DX15" s="3999">
        <v>0</v>
      </c>
      <c r="DY15" s="3999">
        <v>0</v>
      </c>
      <c r="DZ15" s="3999">
        <v>0</v>
      </c>
      <c r="EA15" s="2699"/>
    </row>
    <row r="16" spans="1:132" ht="24" customHeight="1" x14ac:dyDescent="0.2">
      <c r="A16" s="3519" t="s">
        <v>32</v>
      </c>
      <c r="B16" s="3380">
        <v>142.5</v>
      </c>
      <c r="C16" s="3380">
        <v>344.3</v>
      </c>
      <c r="D16" s="2158">
        <f t="shared" ref="D16:D25" si="65">C16/B16*100</f>
        <v>241.61403508771932</v>
      </c>
      <c r="E16" s="3380">
        <v>436.2</v>
      </c>
      <c r="F16" s="2158">
        <f>E16/C16*100</f>
        <v>126.69183851292476</v>
      </c>
      <c r="G16" s="2159">
        <f>219.6+211.5+61.1</f>
        <v>492.20000000000005</v>
      </c>
      <c r="H16" s="2158">
        <f t="shared" ref="H16:H25" si="66">G16/E16*100</f>
        <v>112.83814763869786</v>
      </c>
      <c r="I16" s="2160">
        <v>371.4</v>
      </c>
      <c r="J16" s="2160">
        <f>205.9+142</f>
        <v>347.9</v>
      </c>
      <c r="K16" s="2160">
        <f>J16/9*12</f>
        <v>463.86666666666662</v>
      </c>
      <c r="L16" s="2160">
        <v>473.9</v>
      </c>
      <c r="M16" s="2164">
        <f t="shared" ref="M16:M24" si="67">K16/G16*100</f>
        <v>94.243532439387764</v>
      </c>
      <c r="N16" s="2160">
        <v>486.59613333333323</v>
      </c>
      <c r="O16" s="2160">
        <f>221.8+105.4</f>
        <v>327.20000000000005</v>
      </c>
      <c r="P16" s="2160">
        <f>318.79145+167.22607</f>
        <v>486.01751999999999</v>
      </c>
      <c r="Q16" s="2160">
        <v>654.70000000000005</v>
      </c>
      <c r="R16" s="2160">
        <v>679.8</v>
      </c>
      <c r="S16" s="2159">
        <f>N16*1.048</f>
        <v>509.95274773333324</v>
      </c>
      <c r="T16" s="2162">
        <f>S16/N16</f>
        <v>1.048</v>
      </c>
      <c r="U16" s="2163" t="e">
        <f>R16*#REF!</f>
        <v>#REF!</v>
      </c>
      <c r="V16" s="2163" t="e">
        <f>R16*#REF!</f>
        <v>#REF!</v>
      </c>
      <c r="W16" s="2163">
        <f t="shared" ref="W16:W47" si="68">S16*$Y$56</f>
        <v>291.17234426917497</v>
      </c>
      <c r="X16" s="2163">
        <f t="shared" ref="X16:X47" si="69">S16*$Y$57</f>
        <v>206.81360690317956</v>
      </c>
      <c r="Y16" s="2163">
        <v>313.62</v>
      </c>
      <c r="Z16" s="2163">
        <v>419.82</v>
      </c>
      <c r="AA16" s="2163">
        <v>568.21</v>
      </c>
      <c r="AB16" s="2160">
        <v>525.29999999999995</v>
      </c>
      <c r="AC16" s="2159">
        <f>AB16</f>
        <v>525.29999999999995</v>
      </c>
      <c r="AD16" s="2163">
        <f t="shared" ref="AD16:AD42" si="70">AC16*$AG$56</f>
        <v>310.97716949673435</v>
      </c>
      <c r="AE16" s="2163">
        <f t="shared" ref="AE16:AE42" si="71">AC16*$AG$57</f>
        <v>210.12033897894929</v>
      </c>
      <c r="AF16" s="3518">
        <f t="shared" si="0"/>
        <v>1.0680175353784656</v>
      </c>
      <c r="AG16" s="3518">
        <f t="shared" si="1"/>
        <v>1.0159889483350957</v>
      </c>
      <c r="AH16" s="2163">
        <v>230.39</v>
      </c>
      <c r="AI16" s="2163">
        <v>322.31</v>
      </c>
      <c r="AJ16" s="2159">
        <f>SUM(AA16*1.1)</f>
        <v>625.03100000000006</v>
      </c>
      <c r="AK16" s="2163">
        <f>AJ16*AI56</f>
        <v>372.51847600000002</v>
      </c>
      <c r="AL16" s="2163">
        <f>AJ16*AI57</f>
        <v>252.51252400000004</v>
      </c>
      <c r="AM16" s="3518">
        <f t="shared" si="2"/>
        <v>1.1978965420608214</v>
      </c>
      <c r="AN16" s="3518">
        <f t="shared" si="3"/>
        <v>1.2017519352341126</v>
      </c>
      <c r="AO16" s="2615">
        <f>AH16*2*1.062</f>
        <v>489.34836000000001</v>
      </c>
      <c r="AP16" s="2163">
        <f t="shared" ref="AP16:AP48" si="72">AO16*$AL$56</f>
        <v>266.28134847421506</v>
      </c>
      <c r="AQ16" s="2163">
        <f t="shared" ref="AQ16:AQ48" si="73">AO16*$AL$57</f>
        <v>220.42996336215103</v>
      </c>
      <c r="AR16" s="2163">
        <f t="shared" si="5"/>
        <v>484.67999999999995</v>
      </c>
      <c r="AS16" s="2163">
        <v>285.95999999999998</v>
      </c>
      <c r="AT16" s="2163">
        <v>198.72</v>
      </c>
      <c r="AU16" s="2163">
        <f>626.72396+160.47375</f>
        <v>787.19771000000003</v>
      </c>
      <c r="AV16" s="2163">
        <f>363.4999+93.07478</f>
        <v>456.57468000000006</v>
      </c>
      <c r="AW16" s="2163">
        <f>263.22406+67.39898</f>
        <v>330.62304</v>
      </c>
      <c r="AX16" s="2163">
        <f>SUM(AY16:AZ16)</f>
        <v>534.21</v>
      </c>
      <c r="AY16" s="2163">
        <v>315.18</v>
      </c>
      <c r="AZ16" s="2163">
        <v>219.03</v>
      </c>
      <c r="BA16" s="2163">
        <f t="shared" si="53"/>
        <v>871.44029</v>
      </c>
      <c r="BB16" s="2163">
        <f>403.184+109.2</f>
        <v>512.38400000000001</v>
      </c>
      <c r="BC16" s="3521">
        <f>0.0071+0.02039</f>
        <v>2.7490000000000001E-2</v>
      </c>
      <c r="BD16" s="2163">
        <f>277.904+75.373</f>
        <v>353.27699999999999</v>
      </c>
      <c r="BE16" s="2612">
        <f>0.0538+0.154</f>
        <v>0.20779999999999998</v>
      </c>
      <c r="BF16" s="2612">
        <f>0.601+2.078</f>
        <v>2.6789999999999998</v>
      </c>
      <c r="BG16" s="2667">
        <f>0.652+2.213</f>
        <v>2.8650000000000002</v>
      </c>
      <c r="BH16" s="2163">
        <f t="shared" si="9"/>
        <v>835.14</v>
      </c>
      <c r="BI16" s="2163">
        <v>485.28</v>
      </c>
      <c r="BJ16" s="2163">
        <v>349.86</v>
      </c>
      <c r="BK16" s="2163">
        <f>BH16</f>
        <v>835.14</v>
      </c>
      <c r="BL16" s="2163">
        <f t="shared" ref="BL16:BL48" si="74">BK16*$BL$50</f>
        <v>485.47125016350208</v>
      </c>
      <c r="BM16" s="2163">
        <f t="shared" ref="BM16:BM48" si="75">BK16*$BM$50</f>
        <v>314.34988135571717</v>
      </c>
      <c r="BN16" s="2163">
        <f t="shared" ref="BN16:BN48" si="76">BK16*$BN$50</f>
        <v>33.32239559926974</v>
      </c>
      <c r="BO16" s="2163">
        <f t="shared" ref="BO16:BO48" si="77">BK16*$BO$50</f>
        <v>1.9964728815109036</v>
      </c>
      <c r="BP16" s="2163">
        <f>SUM(BA16*1.046)</f>
        <v>911.52654333999999</v>
      </c>
      <c r="BQ16" s="2163">
        <f>SUM(BP16*BB50)</f>
        <v>536.25442640304868</v>
      </c>
      <c r="BR16" s="2163">
        <f>SUM(BP16*BC50)</f>
        <v>2.4254554381257495E-2</v>
      </c>
      <c r="BS16" s="2163">
        <f>SUM(BP16*BD50)</f>
        <v>370.69335774738153</v>
      </c>
      <c r="BT16" s="2163">
        <f>SUM(BP16*BE50)</f>
        <v>0.18381908112596915</v>
      </c>
      <c r="BU16" s="2163">
        <f>SUM(BP16*BF50)</f>
        <v>1.8919829766024259</v>
      </c>
      <c r="BV16" s="2163">
        <f>SUM(BP16*BG50)</f>
        <v>2.4787025774602416</v>
      </c>
      <c r="BW16" s="2163">
        <f t="shared" si="55"/>
        <v>851.59225800000002</v>
      </c>
      <c r="BX16" s="2163">
        <f t="shared" ref="BX16:BX48" si="78">BW16*$BL$50</f>
        <v>495.03503379172309</v>
      </c>
      <c r="BY16" s="2163">
        <f t="shared" ref="BY16:BY48" si="79">BW16*$BM$50</f>
        <v>320.54257401842483</v>
      </c>
      <c r="BZ16" s="2163">
        <f t="shared" ref="BZ16:BZ48" si="80">BW16*$BN$50</f>
        <v>33.978846792575354</v>
      </c>
      <c r="CA16" s="2163">
        <f t="shared" ref="CA16:CA48" si="81">BW16*$BO$50</f>
        <v>2.0358033972766685</v>
      </c>
      <c r="CB16" s="2163">
        <f t="shared" si="56"/>
        <v>696.52200000000005</v>
      </c>
      <c r="CC16" s="2163">
        <f>257.45+148.95+0.03</f>
        <v>406.42999999999995</v>
      </c>
      <c r="CD16" s="2163">
        <f>0.078+0.044</f>
        <v>0.122</v>
      </c>
      <c r="CE16" s="2163">
        <f>175.52+101.11</f>
        <v>276.63</v>
      </c>
      <c r="CF16" s="2163">
        <f>0.58+0.32</f>
        <v>0.89999999999999991</v>
      </c>
      <c r="CG16" s="2163">
        <v>0</v>
      </c>
      <c r="CH16" s="2163">
        <f>7.94+4.5</f>
        <v>12.440000000000001</v>
      </c>
      <c r="CI16" s="2163">
        <f t="shared" si="57"/>
        <v>1020.4422</v>
      </c>
      <c r="CJ16" s="2163">
        <f>222.01628+377.19413</f>
        <v>599.21040999999991</v>
      </c>
      <c r="CK16" s="2163">
        <f>0.1073+0.06616</f>
        <v>0.17346</v>
      </c>
      <c r="CL16" s="2163">
        <f>147.78069+251.10223</f>
        <v>398.88292000000001</v>
      </c>
      <c r="CM16" s="2163">
        <f>0.74771+0.41497</f>
        <v>1.1626799999999999</v>
      </c>
      <c r="CN16" s="2163">
        <v>0</v>
      </c>
      <c r="CO16" s="2163">
        <f>7.497+13.51573</f>
        <v>21.012729999999998</v>
      </c>
      <c r="CP16" s="2163">
        <f t="shared" si="58"/>
        <v>1358.7099999999998</v>
      </c>
      <c r="CQ16" s="2163">
        <f>426.69+368.42</f>
        <v>795.11</v>
      </c>
      <c r="CR16" s="2163">
        <f>0.12+0.1</f>
        <v>0.22</v>
      </c>
      <c r="CS16" s="2163">
        <f>283.62+243.42</f>
        <v>527.04</v>
      </c>
      <c r="CT16" s="2163">
        <f>0.85+0.72</f>
        <v>1.5699999999999998</v>
      </c>
      <c r="CU16" s="2163">
        <v>0</v>
      </c>
      <c r="CV16" s="2163">
        <f>17+17.77</f>
        <v>34.769999999999996</v>
      </c>
      <c r="CW16" s="2489">
        <f t="shared" si="59"/>
        <v>1406.9985534</v>
      </c>
      <c r="CX16" s="2489">
        <f>SUM(CW16*CX50)</f>
        <v>823.33536565747556</v>
      </c>
      <c r="CY16" s="2489">
        <f>SUM(CW16*CY50)</f>
        <v>0.22933773799781132</v>
      </c>
      <c r="CZ16" s="2489">
        <f>SUM(CW16*CZ50)</f>
        <v>545.71644888031562</v>
      </c>
      <c r="DA16" s="2489">
        <f>SUM(CW16*DA50)</f>
        <v>1.5787014015229952</v>
      </c>
      <c r="DB16" s="2489">
        <f>SUM(CW16*DB50)</f>
        <v>0</v>
      </c>
      <c r="DC16" s="2489">
        <f>SUM(CW16*DC50)</f>
        <v>36.13869972268791</v>
      </c>
      <c r="DD16" s="4080">
        <f t="shared" si="60"/>
        <v>508.71361114951793</v>
      </c>
      <c r="DE16" s="4080">
        <v>576.65</v>
      </c>
      <c r="DF16" s="2489">
        <f t="shared" si="62"/>
        <v>520.6501300000001</v>
      </c>
      <c r="DG16" s="2489">
        <v>295.64174000000003</v>
      </c>
      <c r="DH16" s="2489">
        <v>7.2209999999999996E-2</v>
      </c>
      <c r="DI16" s="2489">
        <v>209.25145000000001</v>
      </c>
      <c r="DJ16" s="2489">
        <f>0.57961-0.07</f>
        <v>0.5096099999999999</v>
      </c>
      <c r="DK16" s="2489">
        <v>0</v>
      </c>
      <c r="DL16" s="2489">
        <v>15.17512</v>
      </c>
      <c r="DM16" s="2489">
        <f t="shared" si="63"/>
        <v>857.50299000000007</v>
      </c>
      <c r="DN16" s="2489">
        <f>296.12315+190.79064</f>
        <v>486.91379000000001</v>
      </c>
      <c r="DO16" s="2489">
        <f>0.08969+0.05244</f>
        <v>0.14213000000000001</v>
      </c>
      <c r="DP16" s="2489">
        <f>211.20774+135.89856</f>
        <v>347.10630000000003</v>
      </c>
      <c r="DQ16" s="2489">
        <f>0.55904+0.31193</f>
        <v>0.87097000000000002</v>
      </c>
      <c r="DR16" s="2489">
        <v>0</v>
      </c>
      <c r="DS16" s="2489">
        <f>13.89962+8.57018</f>
        <v>22.469799999999999</v>
      </c>
      <c r="DT16" s="3999">
        <f t="shared" si="64"/>
        <v>1358.7099999999998</v>
      </c>
      <c r="DU16" s="3999">
        <f>426.69+368.42</f>
        <v>795.11</v>
      </c>
      <c r="DV16" s="3999">
        <f>0.12+0.1</f>
        <v>0.22</v>
      </c>
      <c r="DW16" s="3999">
        <f>283.62+243.42</f>
        <v>527.04</v>
      </c>
      <c r="DX16" s="3999">
        <f>0.85+0.72</f>
        <v>1.5699999999999998</v>
      </c>
      <c r="DY16" s="3999">
        <v>0</v>
      </c>
      <c r="DZ16" s="3999">
        <f>17+17.77</f>
        <v>34.769999999999996</v>
      </c>
      <c r="EA16" s="2699"/>
      <c r="EB16" s="176">
        <f>AI16/3*4*1.062</f>
        <v>456.39096000000001</v>
      </c>
    </row>
    <row r="17" spans="1:132" ht="24" customHeight="1" x14ac:dyDescent="0.2">
      <c r="A17" s="3519" t="s">
        <v>74</v>
      </c>
      <c r="B17" s="3380">
        <v>44.6</v>
      </c>
      <c r="C17" s="3380">
        <v>51.8</v>
      </c>
      <c r="D17" s="2158">
        <f t="shared" si="65"/>
        <v>116.14349775784751</v>
      </c>
      <c r="E17" s="3380">
        <v>70</v>
      </c>
      <c r="F17" s="2158">
        <f>E17/C17*100</f>
        <v>135.13513513513513</v>
      </c>
      <c r="G17" s="2159">
        <v>78.5</v>
      </c>
      <c r="H17" s="2158">
        <f t="shared" si="66"/>
        <v>112.14285714285714</v>
      </c>
      <c r="I17" s="2160">
        <v>73.900000000000006</v>
      </c>
      <c r="J17" s="2160">
        <v>49.3</v>
      </c>
      <c r="K17" s="2160">
        <f>J17/9*12</f>
        <v>65.733333333333334</v>
      </c>
      <c r="L17" s="2160">
        <v>82</v>
      </c>
      <c r="M17" s="2164">
        <f t="shared" si="67"/>
        <v>83.736730360934189</v>
      </c>
      <c r="N17" s="2160">
        <v>68.954266666666669</v>
      </c>
      <c r="O17" s="2160">
        <v>53.5</v>
      </c>
      <c r="P17" s="2160">
        <v>54.917679999999997</v>
      </c>
      <c r="Q17" s="2160">
        <v>87.8</v>
      </c>
      <c r="R17" s="2160">
        <v>94.6</v>
      </c>
      <c r="S17" s="2159">
        <f>P17/9*12*1.073</f>
        <v>78.568894186666668</v>
      </c>
      <c r="T17" s="2162">
        <f>S17/N17</f>
        <v>1.1394348455111309</v>
      </c>
      <c r="U17" s="2163" t="e">
        <f>R17*#REF!</f>
        <v>#REF!</v>
      </c>
      <c r="V17" s="2163" t="e">
        <f>R17*#REF!</f>
        <v>#REF!</v>
      </c>
      <c r="W17" s="2163">
        <f t="shared" si="68"/>
        <v>44.861193921699339</v>
      </c>
      <c r="X17" s="2163">
        <f t="shared" si="69"/>
        <v>31.863964787647053</v>
      </c>
      <c r="Y17" s="2163">
        <v>57.93</v>
      </c>
      <c r="Z17" s="2163">
        <v>59.6</v>
      </c>
      <c r="AA17" s="2163">
        <v>94.03</v>
      </c>
      <c r="AB17" s="2160">
        <v>93.9</v>
      </c>
      <c r="AC17" s="2159">
        <f>AB17</f>
        <v>93.9</v>
      </c>
      <c r="AD17" s="2163">
        <f t="shared" si="70"/>
        <v>55.588723045389983</v>
      </c>
      <c r="AE17" s="2163">
        <f t="shared" si="71"/>
        <v>37.560060594181117</v>
      </c>
      <c r="AF17" s="3518">
        <f t="shared" si="0"/>
        <v>1.2391271427687469</v>
      </c>
      <c r="AG17" s="3518">
        <f t="shared" si="1"/>
        <v>1.1787629331282186</v>
      </c>
      <c r="AH17" s="2163">
        <v>54.59</v>
      </c>
      <c r="AI17" s="2163">
        <v>56.06</v>
      </c>
      <c r="AJ17" s="2159">
        <f>SUM(AA17*1.15)</f>
        <v>108.13449999999999</v>
      </c>
      <c r="AK17" s="2163">
        <f>AJ17*AI56</f>
        <v>64.448161999999996</v>
      </c>
      <c r="AL17" s="2163">
        <f>AJ17*AI57</f>
        <v>43.686337999999999</v>
      </c>
      <c r="AM17" s="3518">
        <f t="shared" si="2"/>
        <v>1.159374752094521</v>
      </c>
      <c r="AN17" s="3518">
        <f t="shared" si="3"/>
        <v>1.1631061640717368</v>
      </c>
      <c r="AO17" s="2615">
        <f>AJ17</f>
        <v>108.13449999999999</v>
      </c>
      <c r="AP17" s="2163">
        <f t="shared" si="72"/>
        <v>58.841926999786011</v>
      </c>
      <c r="AQ17" s="2163">
        <f t="shared" si="73"/>
        <v>48.709847261334481</v>
      </c>
      <c r="AR17" s="2163">
        <f t="shared" si="5"/>
        <v>103.75999999999999</v>
      </c>
      <c r="AS17" s="2163">
        <v>61.22</v>
      </c>
      <c r="AT17" s="2163">
        <v>42.54</v>
      </c>
      <c r="AU17" s="2163">
        <f t="shared" si="6"/>
        <v>106</v>
      </c>
      <c r="AV17" s="2163">
        <v>61.4</v>
      </c>
      <c r="AW17" s="2163">
        <v>44.6</v>
      </c>
      <c r="AX17" s="2163">
        <f t="shared" ref="AX17:AX46" si="82">AY17+AZ17</f>
        <v>65.959999999999994</v>
      </c>
      <c r="AY17" s="2163">
        <v>65.959999999999994</v>
      </c>
      <c r="AZ17" s="2163">
        <v>0</v>
      </c>
      <c r="BA17" s="2163">
        <f t="shared" si="53"/>
        <v>115.21746</v>
      </c>
      <c r="BB17" s="2163">
        <v>67.647999999999996</v>
      </c>
      <c r="BC17" s="2612">
        <v>4.7099999999999998E-3</v>
      </c>
      <c r="BD17" s="2163">
        <v>46.781999999999996</v>
      </c>
      <c r="BE17" s="2612">
        <v>3.5720000000000002E-2</v>
      </c>
      <c r="BF17" s="2612">
        <v>0.32075999999999999</v>
      </c>
      <c r="BG17" s="2163">
        <v>0.42626999999999998</v>
      </c>
      <c r="BH17" s="2163">
        <f t="shared" si="9"/>
        <v>112.52</v>
      </c>
      <c r="BI17" s="2163">
        <v>65.38</v>
      </c>
      <c r="BJ17" s="2163">
        <v>47.14</v>
      </c>
      <c r="BK17" s="2163">
        <f>AU17*1.034*1.014</f>
        <v>111.13845600000001</v>
      </c>
      <c r="BL17" s="2163">
        <f t="shared" si="74"/>
        <v>64.605365777667672</v>
      </c>
      <c r="BM17" s="2163">
        <f t="shared" si="75"/>
        <v>41.832938738005119</v>
      </c>
      <c r="BN17" s="2163">
        <f t="shared" si="76"/>
        <v>4.4344655951385796</v>
      </c>
      <c r="BO17" s="2163">
        <f t="shared" si="77"/>
        <v>0.2656858891886304</v>
      </c>
      <c r="BP17" s="2163">
        <f>SUM(BA17*1.046)</f>
        <v>120.51746316000001</v>
      </c>
      <c r="BQ17" s="2163">
        <f>SUM(BP17*BB50)</f>
        <v>70.900867945773086</v>
      </c>
      <c r="BR17" s="2667">
        <f>SUM(BP17*BC50)</f>
        <v>3.2068154081335396E-3</v>
      </c>
      <c r="BS17" s="2163">
        <f>SUM(BP17*BD50)</f>
        <v>49.011214662251412</v>
      </c>
      <c r="BT17" s="2163">
        <f>SUM(BP17*BE50)</f>
        <v>2.430363602636287E-2</v>
      </c>
      <c r="BU17" s="2163">
        <f>SUM(BP17*BF50)</f>
        <v>0.25014849029687503</v>
      </c>
      <c r="BV17" s="2163">
        <f>SUM(BP17*BG50)</f>
        <v>0.32772161024414226</v>
      </c>
      <c r="BW17" s="2163">
        <f t="shared" si="55"/>
        <v>113.32788358320001</v>
      </c>
      <c r="BX17" s="2163">
        <f t="shared" si="78"/>
        <v>65.878091483487722</v>
      </c>
      <c r="BY17" s="2163">
        <f t="shared" si="79"/>
        <v>42.657047631143818</v>
      </c>
      <c r="BZ17" s="2163">
        <f t="shared" si="80"/>
        <v>4.5218245673628097</v>
      </c>
      <c r="CA17" s="2163">
        <f t="shared" si="81"/>
        <v>0.27091990120564641</v>
      </c>
      <c r="CB17" s="2163">
        <f t="shared" si="56"/>
        <v>67.569999999999993</v>
      </c>
      <c r="CC17" s="2163">
        <v>39.200000000000003</v>
      </c>
      <c r="CD17" s="2163">
        <v>0.01</v>
      </c>
      <c r="CE17" s="2163">
        <v>27.1</v>
      </c>
      <c r="CF17" s="2163">
        <v>7.0000000000000007E-2</v>
      </c>
      <c r="CG17" s="2163">
        <v>0</v>
      </c>
      <c r="CH17" s="2163">
        <v>1.19</v>
      </c>
      <c r="CI17" s="2163">
        <f t="shared" si="57"/>
        <v>70.417180000000002</v>
      </c>
      <c r="CJ17" s="2163">
        <v>40.860410000000002</v>
      </c>
      <c r="CK17" s="2163">
        <v>1.1350000000000001E-2</v>
      </c>
      <c r="CL17" s="2163">
        <v>28.215789999999998</v>
      </c>
      <c r="CM17" s="2163">
        <v>7.6880000000000004E-2</v>
      </c>
      <c r="CN17" s="2163">
        <v>0</v>
      </c>
      <c r="CO17" s="2163">
        <v>1.25275</v>
      </c>
      <c r="CP17" s="2163">
        <f t="shared" si="58"/>
        <v>109.53700000000001</v>
      </c>
      <c r="CQ17" s="2163">
        <v>63.48</v>
      </c>
      <c r="CR17" s="2163">
        <v>1.7000000000000001E-2</v>
      </c>
      <c r="CS17" s="2163">
        <v>43.02</v>
      </c>
      <c r="CT17" s="2163">
        <v>0.12</v>
      </c>
      <c r="CU17" s="2163">
        <v>0</v>
      </c>
      <c r="CV17" s="2163">
        <v>2.9</v>
      </c>
      <c r="CW17" s="2489">
        <f t="shared" si="59"/>
        <v>113.42994498</v>
      </c>
      <c r="CX17" s="2489">
        <f>SUM(CW17*CX50)</f>
        <v>66.375963927565778</v>
      </c>
      <c r="CY17" s="2489">
        <f>SUM(CW17*CY50)</f>
        <v>1.8488837063881373E-2</v>
      </c>
      <c r="CZ17" s="2489">
        <f>SUM(CW17*CZ50)</f>
        <v>43.99477641365938</v>
      </c>
      <c r="DA17" s="2489">
        <f>SUM(CW17*DA50)</f>
        <v>0.12727235055208569</v>
      </c>
      <c r="DB17" s="2489">
        <f>SUM(CW17*DB50)</f>
        <v>0</v>
      </c>
      <c r="DC17" s="2489">
        <f>SUM(CW17*DC50)</f>
        <v>2.913443451158868</v>
      </c>
      <c r="DD17" s="4080">
        <f t="shared" si="60"/>
        <v>67.698404206889634</v>
      </c>
      <c r="DE17" s="4080">
        <f t="shared" si="61"/>
        <v>43.835727292275102</v>
      </c>
      <c r="DF17" s="2489">
        <f t="shared" si="62"/>
        <v>62.697890000000008</v>
      </c>
      <c r="DG17" s="2489">
        <v>35.608600000000003</v>
      </c>
      <c r="DH17" s="2489">
        <v>9.4800000000000006E-3</v>
      </c>
      <c r="DI17" s="2489">
        <v>25.197220000000002</v>
      </c>
      <c r="DJ17" s="2489">
        <v>6.4030000000000004E-2</v>
      </c>
      <c r="DK17" s="2489">
        <v>0</v>
      </c>
      <c r="DL17" s="2489">
        <v>1.81856</v>
      </c>
      <c r="DM17" s="2489">
        <f t="shared" si="63"/>
        <v>66.051919999999996</v>
      </c>
      <c r="DN17" s="2489">
        <v>37.489559999999997</v>
      </c>
      <c r="DO17" s="2489">
        <v>1.0449999999999999E-2</v>
      </c>
      <c r="DP17" s="2489">
        <v>26.607659999999999</v>
      </c>
      <c r="DQ17" s="2489">
        <v>6.8309999999999996E-2</v>
      </c>
      <c r="DR17" s="2489">
        <v>0</v>
      </c>
      <c r="DS17" s="2489">
        <v>1.8759399999999999</v>
      </c>
      <c r="DT17" s="3999">
        <f t="shared" si="64"/>
        <v>109.53700000000001</v>
      </c>
      <c r="DU17" s="3999">
        <v>63.48</v>
      </c>
      <c r="DV17" s="3999">
        <v>1.7000000000000001E-2</v>
      </c>
      <c r="DW17" s="3999">
        <v>43.02</v>
      </c>
      <c r="DX17" s="3999">
        <v>0.12</v>
      </c>
      <c r="DY17" s="3999">
        <v>0</v>
      </c>
      <c r="DZ17" s="3999">
        <v>2.9</v>
      </c>
      <c r="EA17" s="2699" t="s">
        <v>1921</v>
      </c>
    </row>
    <row r="18" spans="1:132" ht="24" customHeight="1" x14ac:dyDescent="0.2">
      <c r="A18" s="3519" t="s">
        <v>33</v>
      </c>
      <c r="B18" s="3380">
        <v>190.4</v>
      </c>
      <c r="C18" s="3380">
        <v>231.2</v>
      </c>
      <c r="D18" s="2158">
        <f t="shared" si="65"/>
        <v>121.42857142857142</v>
      </c>
      <c r="E18" s="3380">
        <v>260.8</v>
      </c>
      <c r="F18" s="2158">
        <f>E18/C18*100</f>
        <v>112.80276816608999</v>
      </c>
      <c r="G18" s="2159">
        <v>260</v>
      </c>
      <c r="H18" s="2158">
        <f t="shared" si="66"/>
        <v>99.693251533742327</v>
      </c>
      <c r="I18" s="2160">
        <v>267.8</v>
      </c>
      <c r="J18" s="2160">
        <v>218.7</v>
      </c>
      <c r="K18" s="2160">
        <f>J18/9*12</f>
        <v>291.59999999999997</v>
      </c>
      <c r="L18" s="2160">
        <v>292.10000000000002</v>
      </c>
      <c r="M18" s="2164">
        <f t="shared" si="67"/>
        <v>112.15384615384613</v>
      </c>
      <c r="N18" s="2160">
        <v>293.7</v>
      </c>
      <c r="O18" s="2160">
        <v>149</v>
      </c>
      <c r="P18" s="2160">
        <v>215.84181000000001</v>
      </c>
      <c r="Q18" s="2160">
        <v>284.7</v>
      </c>
      <c r="R18" s="2160">
        <v>330.84</v>
      </c>
      <c r="S18" s="2159">
        <f>P18/9*12*1.048</f>
        <v>301.60295584000005</v>
      </c>
      <c r="T18" s="2162">
        <f>S18/N18</f>
        <v>1.0269082595846104</v>
      </c>
      <c r="U18" s="2163" t="e">
        <f>R18*#REF!</f>
        <v>#REF!</v>
      </c>
      <c r="V18" s="2163" t="e">
        <f>R18*#REF!</f>
        <v>#REF!</v>
      </c>
      <c r="W18" s="2163">
        <f t="shared" si="68"/>
        <v>172.20897442122947</v>
      </c>
      <c r="X18" s="2163">
        <f t="shared" si="69"/>
        <v>122.31642132958663</v>
      </c>
      <c r="Y18" s="2163">
        <v>125.67</v>
      </c>
      <c r="Z18" s="2163">
        <v>186.94</v>
      </c>
      <c r="AA18" s="2163">
        <v>248.97</v>
      </c>
      <c r="AB18" s="2160">
        <v>318.5</v>
      </c>
      <c r="AC18" s="2159">
        <f>AB18</f>
        <v>318.5</v>
      </c>
      <c r="AD18" s="2163">
        <f t="shared" si="70"/>
        <v>188.55173897717475</v>
      </c>
      <c r="AE18" s="2163">
        <f t="shared" si="71"/>
        <v>127.40020552978366</v>
      </c>
      <c r="AF18" s="3518">
        <f t="shared" si="0"/>
        <v>1.0949007716402182</v>
      </c>
      <c r="AG18" s="3518">
        <f t="shared" si="1"/>
        <v>1.0415625649028641</v>
      </c>
      <c r="AH18" s="2163">
        <v>117.99</v>
      </c>
      <c r="AI18" s="2163">
        <v>174.17</v>
      </c>
      <c r="AJ18" s="2159">
        <f t="shared" ref="AJ18:AJ23" si="83">SUM(AA18*1.1)</f>
        <v>273.86700000000002</v>
      </c>
      <c r="AK18" s="2163">
        <f>AJ18*AI56</f>
        <v>163.22473200000002</v>
      </c>
      <c r="AL18" s="2163">
        <f>AJ18*AI57</f>
        <v>110.64226800000002</v>
      </c>
      <c r="AM18" s="3518">
        <f t="shared" si="2"/>
        <v>0.86567608914898042</v>
      </c>
      <c r="AN18" s="3518">
        <f t="shared" si="3"/>
        <v>0.8684622410136853</v>
      </c>
      <c r="AO18" s="2615">
        <f>AH18*2*1.062</f>
        <v>250.61076</v>
      </c>
      <c r="AP18" s="2163">
        <f t="shared" si="72"/>
        <v>136.3710938255681</v>
      </c>
      <c r="AQ18" s="2163">
        <f t="shared" si="73"/>
        <v>112.8891504713755</v>
      </c>
      <c r="AR18" s="2163">
        <f t="shared" si="5"/>
        <v>240.87</v>
      </c>
      <c r="AS18" s="2163">
        <v>142.11000000000001</v>
      </c>
      <c r="AT18" s="2163">
        <v>98.76</v>
      </c>
      <c r="AU18" s="2163">
        <f t="shared" si="6"/>
        <v>246.98326</v>
      </c>
      <c r="AV18" s="2163">
        <v>143.25029000000001</v>
      </c>
      <c r="AW18" s="2163">
        <v>103.73296999999999</v>
      </c>
      <c r="AX18" s="2163">
        <f t="shared" si="82"/>
        <v>273.58999999999997</v>
      </c>
      <c r="AY18" s="2163">
        <v>161.41999999999999</v>
      </c>
      <c r="AZ18" s="2163">
        <v>112.17</v>
      </c>
      <c r="BA18" s="2163">
        <f t="shared" si="53"/>
        <v>246.99871000000002</v>
      </c>
      <c r="BB18" s="2163">
        <v>145.52799999999999</v>
      </c>
      <c r="BC18" s="3521">
        <v>8.2199999999999999E-3</v>
      </c>
      <c r="BD18" s="2163">
        <v>100.00700000000001</v>
      </c>
      <c r="BE18" s="3521">
        <v>6.2330000000000003E-2</v>
      </c>
      <c r="BF18" s="2612">
        <v>0.59460000000000002</v>
      </c>
      <c r="BG18" s="3521">
        <v>0.79856000000000005</v>
      </c>
      <c r="BH18" s="2163">
        <f t="shared" si="9"/>
        <v>281.79000000000002</v>
      </c>
      <c r="BI18" s="2163">
        <v>163.74</v>
      </c>
      <c r="BJ18" s="2163">
        <v>118.05</v>
      </c>
      <c r="BK18" s="2163">
        <f>AU18*1.034*1.014</f>
        <v>258.95602051176002</v>
      </c>
      <c r="BL18" s="2163">
        <f t="shared" si="74"/>
        <v>150.53248918170561</v>
      </c>
      <c r="BM18" s="2163">
        <f t="shared" si="75"/>
        <v>97.472033819743302</v>
      </c>
      <c r="BN18" s="2163">
        <f t="shared" si="76"/>
        <v>10.332441217407233</v>
      </c>
      <c r="BO18" s="2163">
        <f t="shared" si="77"/>
        <v>0.61905629290383668</v>
      </c>
      <c r="BP18" s="2163">
        <f>SUM(BK18*1.046)</f>
        <v>270.86799745530101</v>
      </c>
      <c r="BQ18" s="2163">
        <f>SUM(BP18*BB50)</f>
        <v>159.35264164014035</v>
      </c>
      <c r="BR18" s="2667">
        <f>SUM(BP18*BC50)</f>
        <v>7.207450646855581E-3</v>
      </c>
      <c r="BS18" s="2163">
        <f>SUM(BP18*BD50)</f>
        <v>110.15473791371768</v>
      </c>
      <c r="BT18" s="2163">
        <f>SUM(BP18*BE50)</f>
        <v>5.4623430071737158E-2</v>
      </c>
      <c r="BU18" s="2163">
        <f>SUM(BP18*BF50)</f>
        <v>0.56221910797463659</v>
      </c>
      <c r="BV18" s="2163">
        <f>SUM(BP18*BG50)</f>
        <v>0.73656791274976141</v>
      </c>
      <c r="BW18" s="2163">
        <f t="shared" si="55"/>
        <v>264.05745411584172</v>
      </c>
      <c r="BX18" s="2163">
        <f t="shared" si="78"/>
        <v>153.49797921858524</v>
      </c>
      <c r="BY18" s="2163">
        <f t="shared" si="79"/>
        <v>99.392232885992257</v>
      </c>
      <c r="BZ18" s="2163">
        <f t="shared" si="80"/>
        <v>10.535990309390156</v>
      </c>
      <c r="CA18" s="2163">
        <f t="shared" si="81"/>
        <v>0.63125170187404234</v>
      </c>
      <c r="CB18" s="2163">
        <f t="shared" si="56"/>
        <v>136.57</v>
      </c>
      <c r="CC18" s="2163">
        <v>79.400000000000006</v>
      </c>
      <c r="CD18" s="2163">
        <v>0.02</v>
      </c>
      <c r="CE18" s="2163">
        <v>54.49</v>
      </c>
      <c r="CF18" s="2163">
        <v>0.17</v>
      </c>
      <c r="CG18" s="2163">
        <v>0</v>
      </c>
      <c r="CH18" s="2163">
        <v>2.4900000000000002</v>
      </c>
      <c r="CI18" s="2163">
        <f t="shared" si="57"/>
        <v>217.04610000000002</v>
      </c>
      <c r="CJ18" s="2163">
        <v>127.24996</v>
      </c>
      <c r="CK18" s="2163">
        <v>3.7069999999999999E-2</v>
      </c>
      <c r="CL18" s="2163">
        <v>85.033029999999997</v>
      </c>
      <c r="CM18" s="2163">
        <v>0.23812</v>
      </c>
      <c r="CN18" s="2163">
        <v>0</v>
      </c>
      <c r="CO18" s="2163">
        <v>4.4879199999999999</v>
      </c>
      <c r="CP18" s="2163">
        <f t="shared" si="58"/>
        <v>298.13799999999998</v>
      </c>
      <c r="CQ18" s="2163">
        <v>174.2</v>
      </c>
      <c r="CR18" s="2163">
        <v>4.8000000000000001E-2</v>
      </c>
      <c r="CS18" s="2163">
        <v>115.65</v>
      </c>
      <c r="CT18" s="2163">
        <v>0.34</v>
      </c>
      <c r="CU18" s="2163">
        <v>0</v>
      </c>
      <c r="CV18" s="2163">
        <v>7.9</v>
      </c>
      <c r="CW18" s="2489">
        <f t="shared" si="59"/>
        <v>308.73382451999998</v>
      </c>
      <c r="CX18" s="2489">
        <f>SUM(CW18*CX50)</f>
        <v>180.66221581234291</v>
      </c>
      <c r="CY18" s="2489">
        <f>SUM(CW18*CY50)</f>
        <v>5.0322949364611631E-2</v>
      </c>
      <c r="CZ18" s="2489">
        <f>SUM(CW18*CZ50)</f>
        <v>119.74506012046687</v>
      </c>
      <c r="DA18" s="2489">
        <f>SUM(CW18*DA50)</f>
        <v>0.34641010844644021</v>
      </c>
      <c r="DB18" s="2489">
        <f>SUM(CW18*DB50)</f>
        <v>0</v>
      </c>
      <c r="DC18" s="2489">
        <f>SUM(CW18*DC50)</f>
        <v>7.9298155293791375</v>
      </c>
      <c r="DD18" s="4080">
        <f t="shared" si="60"/>
        <v>157.73936384731431</v>
      </c>
      <c r="DE18" s="4080">
        <v>131.94</v>
      </c>
      <c r="DF18" s="2489">
        <f t="shared" si="62"/>
        <v>151.97955999999999</v>
      </c>
      <c r="DG18" s="2489">
        <v>86.250649999999993</v>
      </c>
      <c r="DH18" s="2489">
        <v>2.1420000000000002E-2</v>
      </c>
      <c r="DI18" s="2489">
        <v>61.168570000000003</v>
      </c>
      <c r="DJ18" s="2489">
        <v>0.16752</v>
      </c>
      <c r="DK18" s="2489">
        <v>0</v>
      </c>
      <c r="DL18" s="2489">
        <v>4.3714000000000004</v>
      </c>
      <c r="DM18" s="2489">
        <f t="shared" si="63"/>
        <v>235.86666</v>
      </c>
      <c r="DN18" s="2489">
        <v>134.06126</v>
      </c>
      <c r="DO18" s="2489">
        <v>3.7530000000000001E-2</v>
      </c>
      <c r="DP18" s="2489">
        <v>94.776979999999995</v>
      </c>
      <c r="DQ18" s="2489">
        <v>0.25585000000000002</v>
      </c>
      <c r="DR18" s="2489">
        <v>0</v>
      </c>
      <c r="DS18" s="2489">
        <v>6.7350399999999997</v>
      </c>
      <c r="DT18" s="3999">
        <f t="shared" si="64"/>
        <v>298.13799999999998</v>
      </c>
      <c r="DU18" s="3999">
        <v>174.2</v>
      </c>
      <c r="DV18" s="3999">
        <v>4.8000000000000001E-2</v>
      </c>
      <c r="DW18" s="3999">
        <v>115.65</v>
      </c>
      <c r="DX18" s="3999">
        <v>0.34</v>
      </c>
      <c r="DY18" s="3999">
        <v>0</v>
      </c>
      <c r="DZ18" s="3999">
        <v>7.9</v>
      </c>
      <c r="EA18" s="2699"/>
      <c r="EB18" s="176">
        <f>AI18/3*4*1.062</f>
        <v>246.62472</v>
      </c>
    </row>
    <row r="19" spans="1:132" ht="24" customHeight="1" x14ac:dyDescent="0.2">
      <c r="A19" s="3519" t="s">
        <v>34</v>
      </c>
      <c r="B19" s="3380">
        <v>36</v>
      </c>
      <c r="C19" s="3380">
        <v>59.4</v>
      </c>
      <c r="D19" s="2158">
        <f t="shared" si="65"/>
        <v>165</v>
      </c>
      <c r="E19" s="3380">
        <v>28.1</v>
      </c>
      <c r="F19" s="2158">
        <f>E19/C19*100</f>
        <v>47.306397306397308</v>
      </c>
      <c r="G19" s="2159">
        <v>89.5</v>
      </c>
      <c r="H19" s="2158">
        <f t="shared" si="66"/>
        <v>318.5053380782918</v>
      </c>
      <c r="I19" s="2160">
        <v>48.5</v>
      </c>
      <c r="J19" s="2160">
        <v>60.2</v>
      </c>
      <c r="K19" s="2160">
        <v>60.2</v>
      </c>
      <c r="L19" s="2160">
        <v>82.6</v>
      </c>
      <c r="M19" s="2164">
        <f t="shared" si="67"/>
        <v>67.262569832402235</v>
      </c>
      <c r="N19" s="2160">
        <v>53.4</v>
      </c>
      <c r="O19" s="2160">
        <v>57.2</v>
      </c>
      <c r="P19" s="2160">
        <v>72.839410000000001</v>
      </c>
      <c r="Q19" s="2160">
        <v>111.2</v>
      </c>
      <c r="R19" s="2160">
        <v>93.73</v>
      </c>
      <c r="S19" s="2159">
        <f>R19</f>
        <v>93.73</v>
      </c>
      <c r="T19" s="2162">
        <f>S19/N19</f>
        <v>1.755243445692884</v>
      </c>
      <c r="U19" s="2163" t="e">
        <f>R19*#REF!</f>
        <v>#REF!</v>
      </c>
      <c r="V19" s="2163" t="e">
        <f>R19*#REF!</f>
        <v>#REF!</v>
      </c>
      <c r="W19" s="2163">
        <f t="shared" si="68"/>
        <v>53.517867978272385</v>
      </c>
      <c r="X19" s="2163">
        <f t="shared" si="69"/>
        <v>38.012618740063587</v>
      </c>
      <c r="Y19" s="2163">
        <v>27.94</v>
      </c>
      <c r="Z19" s="2163">
        <v>42.12</v>
      </c>
      <c r="AA19" s="2163">
        <v>111.36</v>
      </c>
      <c r="AB19" s="2160">
        <v>97.9</v>
      </c>
      <c r="AC19" s="2159">
        <f>AB19</f>
        <v>97.9</v>
      </c>
      <c r="AD19" s="2163">
        <f t="shared" si="70"/>
        <v>57.956719767238333</v>
      </c>
      <c r="AE19" s="2163">
        <f t="shared" si="71"/>
        <v>39.16006317540289</v>
      </c>
      <c r="AF19" s="3518">
        <f t="shared" si="0"/>
        <v>1.0829414914429714</v>
      </c>
      <c r="AG19" s="3518">
        <f t="shared" si="1"/>
        <v>1.0301858823036032</v>
      </c>
      <c r="AH19" s="2163">
        <v>23.89</v>
      </c>
      <c r="AI19" s="2163">
        <v>48.14</v>
      </c>
      <c r="AJ19" s="2159">
        <f t="shared" si="83"/>
        <v>122.49600000000001</v>
      </c>
      <c r="AK19" s="2163">
        <f>AJ19*AI56</f>
        <v>73.007615999999999</v>
      </c>
      <c r="AL19" s="2163">
        <f>AJ19*AI57</f>
        <v>49.488384000000003</v>
      </c>
      <c r="AM19" s="3518">
        <f t="shared" si="2"/>
        <v>1.2596919959101898</v>
      </c>
      <c r="AN19" s="3518">
        <f t="shared" si="3"/>
        <v>1.2637462758508651</v>
      </c>
      <c r="AO19" s="2615">
        <f>AI19/3*4*1.062</f>
        <v>68.166240000000002</v>
      </c>
      <c r="AP19" s="2163">
        <f t="shared" si="72"/>
        <v>37.092999162430985</v>
      </c>
      <c r="AQ19" s="2163">
        <f t="shared" si="73"/>
        <v>30.705899955883361</v>
      </c>
      <c r="AR19" s="2163">
        <f t="shared" si="5"/>
        <v>225.19</v>
      </c>
      <c r="AS19" s="2163">
        <v>132.86000000000001</v>
      </c>
      <c r="AT19" s="2163">
        <v>92.33</v>
      </c>
      <c r="AU19" s="2163">
        <f t="shared" si="6"/>
        <v>449.15568999999994</v>
      </c>
      <c r="AV19" s="2163">
        <v>260.51029999999997</v>
      </c>
      <c r="AW19" s="2163">
        <v>188.64538999999999</v>
      </c>
      <c r="AX19" s="2163">
        <f t="shared" si="82"/>
        <v>74.42</v>
      </c>
      <c r="AY19" s="2163">
        <v>43.91</v>
      </c>
      <c r="AZ19" s="2163">
        <v>30.51</v>
      </c>
      <c r="BA19" s="2163">
        <f t="shared" si="53"/>
        <v>629.53876999999989</v>
      </c>
      <c r="BB19" s="2163">
        <v>370.24599999999998</v>
      </c>
      <c r="BC19" s="3521">
        <v>2.0080000000000001E-2</v>
      </c>
      <c r="BD19" s="2163">
        <v>256.09300000000002</v>
      </c>
      <c r="BE19" s="2612">
        <v>0.15262000000000001</v>
      </c>
      <c r="BF19" s="3521">
        <v>1.08266</v>
      </c>
      <c r="BG19" s="3521">
        <v>1.94441</v>
      </c>
      <c r="BH19" s="2163">
        <f t="shared" si="9"/>
        <v>476.51</v>
      </c>
      <c r="BI19" s="2163">
        <v>276.89</v>
      </c>
      <c r="BJ19" s="2163">
        <v>199.62</v>
      </c>
      <c r="BK19" s="2163">
        <f>(AR19+AU19)/2</f>
        <v>337.17284499999994</v>
      </c>
      <c r="BL19" s="2163">
        <f t="shared" si="74"/>
        <v>196.00033836642322</v>
      </c>
      <c r="BM19" s="2163">
        <f t="shared" si="75"/>
        <v>126.91314488842541</v>
      </c>
      <c r="BN19" s="2163">
        <f t="shared" si="76"/>
        <v>13.453321510670373</v>
      </c>
      <c r="BO19" s="2163">
        <f t="shared" si="77"/>
        <v>0.80604023448090034</v>
      </c>
      <c r="BP19" s="2163">
        <f>SUM(BA19*1.046)</f>
        <v>658.49755341999992</v>
      </c>
      <c r="BQ19" s="2163">
        <f>SUM(BP19*BB50)</f>
        <v>387.39653867143409</v>
      </c>
      <c r="BR19" s="2667">
        <f>SUM(BP19*BC50)</f>
        <v>1.7521776887404358E-2</v>
      </c>
      <c r="BS19" s="2163">
        <f>SUM(BP19*BD50)</f>
        <v>267.79326496765088</v>
      </c>
      <c r="BT19" s="2163">
        <f>SUM(BP19*BE50)</f>
        <v>0.13279307780751429</v>
      </c>
      <c r="BU19" s="2163">
        <f>SUM(BP19*BF50)</f>
        <v>1.3667908743939643</v>
      </c>
      <c r="BV19" s="2163">
        <f>SUM(BP19*BG50)</f>
        <v>1.7906440518261439</v>
      </c>
      <c r="BW19" s="2163">
        <f t="shared" si="55"/>
        <v>343.81515004649992</v>
      </c>
      <c r="BX19" s="2163">
        <f t="shared" si="78"/>
        <v>199.86154503224176</v>
      </c>
      <c r="BY19" s="2163">
        <f t="shared" si="79"/>
        <v>129.41333384272738</v>
      </c>
      <c r="BZ19" s="2163">
        <f t="shared" si="80"/>
        <v>13.718351944430578</v>
      </c>
      <c r="CA19" s="2163">
        <f t="shared" si="81"/>
        <v>0.82191922710017407</v>
      </c>
      <c r="CB19" s="2163">
        <f t="shared" si="56"/>
        <v>297.85999999999996</v>
      </c>
      <c r="CC19" s="2163">
        <v>174.2</v>
      </c>
      <c r="CD19" s="2163">
        <v>0.05</v>
      </c>
      <c r="CE19" s="2163">
        <v>117.89</v>
      </c>
      <c r="CF19" s="2163">
        <v>0.38</v>
      </c>
      <c r="CG19" s="2163">
        <v>0</v>
      </c>
      <c r="CH19" s="2163">
        <v>5.34</v>
      </c>
      <c r="CI19" s="2163">
        <f t="shared" si="57"/>
        <v>431.46888999999999</v>
      </c>
      <c r="CJ19" s="2163">
        <v>253.47292999999999</v>
      </c>
      <c r="CK19" s="2163">
        <v>7.7329999999999996E-2</v>
      </c>
      <c r="CL19" s="2163">
        <v>168.86281</v>
      </c>
      <c r="CM19" s="2163">
        <v>0.49529000000000001</v>
      </c>
      <c r="CN19" s="2163">
        <v>0</v>
      </c>
      <c r="CO19" s="2163">
        <v>8.56053</v>
      </c>
      <c r="CP19" s="2163">
        <f t="shared" si="58"/>
        <v>656.25</v>
      </c>
      <c r="CQ19" s="2163">
        <v>383.14</v>
      </c>
      <c r="CR19" s="2163">
        <v>0.11</v>
      </c>
      <c r="CS19" s="2163">
        <v>253.94</v>
      </c>
      <c r="CT19" s="2163">
        <v>0.76</v>
      </c>
      <c r="CU19" s="2163">
        <v>0</v>
      </c>
      <c r="CV19" s="2163">
        <v>18.3</v>
      </c>
      <c r="CW19" s="2489">
        <f t="shared" si="59"/>
        <v>679.573125</v>
      </c>
      <c r="CX19" s="2489">
        <f>SUM(CW19*CX50)</f>
        <v>397.66678225134012</v>
      </c>
      <c r="CY19" s="2489">
        <f>SUM(CW19*CY50)</f>
        <v>0.11076895773274921</v>
      </c>
      <c r="CZ19" s="2489">
        <f>SUM(CW19*CZ50)</f>
        <v>263.57826142275184</v>
      </c>
      <c r="DA19" s="2489">
        <f>SUM(CW19*DA50)</f>
        <v>0.76250472488571197</v>
      </c>
      <c r="DB19" s="2489">
        <f>SUM(CW19*DB50)</f>
        <v>0</v>
      </c>
      <c r="DC19" s="2489">
        <f>SUM(CW19*DC50)</f>
        <v>17.454807643289548</v>
      </c>
      <c r="DD19" s="4080">
        <f t="shared" si="60"/>
        <v>205.38402610521189</v>
      </c>
      <c r="DE19" s="4080">
        <v>171.14</v>
      </c>
      <c r="DF19" s="2489">
        <f t="shared" si="62"/>
        <v>247.20609999999996</v>
      </c>
      <c r="DG19" s="2489">
        <v>140.30934999999999</v>
      </c>
      <c r="DH19" s="2489">
        <v>3.3180000000000001E-2</v>
      </c>
      <c r="DI19" s="2489">
        <v>99.348119999999994</v>
      </c>
      <c r="DJ19" s="2489">
        <v>0.26627000000000001</v>
      </c>
      <c r="DK19" s="2489">
        <v>0</v>
      </c>
      <c r="DL19" s="2489">
        <v>7.24918</v>
      </c>
      <c r="DM19" s="2489">
        <f t="shared" si="63"/>
        <v>359.98012</v>
      </c>
      <c r="DN19" s="2489">
        <v>204.48106000000001</v>
      </c>
      <c r="DO19" s="2489">
        <v>5.586E-2</v>
      </c>
      <c r="DP19" s="2489">
        <v>144.79373000000001</v>
      </c>
      <c r="DQ19" s="2489">
        <v>0.38711000000000001</v>
      </c>
      <c r="DR19" s="2489">
        <v>0</v>
      </c>
      <c r="DS19" s="2489">
        <v>10.262359999999999</v>
      </c>
      <c r="DT19" s="3999">
        <f t="shared" si="64"/>
        <v>656.25</v>
      </c>
      <c r="DU19" s="3999">
        <v>383.14</v>
      </c>
      <c r="DV19" s="3999">
        <v>0.11</v>
      </c>
      <c r="DW19" s="3999">
        <v>253.94</v>
      </c>
      <c r="DX19" s="3999">
        <v>0.76</v>
      </c>
      <c r="DY19" s="3999">
        <v>0</v>
      </c>
      <c r="DZ19" s="3999">
        <v>18.3</v>
      </c>
      <c r="EA19" s="2699" t="s">
        <v>1926</v>
      </c>
    </row>
    <row r="20" spans="1:132" ht="24" customHeight="1" x14ac:dyDescent="0.2">
      <c r="A20" s="3519" t="s">
        <v>9</v>
      </c>
      <c r="B20" s="3380">
        <v>154.6</v>
      </c>
      <c r="C20" s="3380"/>
      <c r="D20" s="2158">
        <f t="shared" si="65"/>
        <v>0</v>
      </c>
      <c r="E20" s="3380">
        <v>191.2</v>
      </c>
      <c r="F20" s="2158"/>
      <c r="G20" s="2159">
        <v>6.6</v>
      </c>
      <c r="H20" s="2158">
        <f t="shared" si="66"/>
        <v>3.4518828451882846</v>
      </c>
      <c r="I20" s="2160">
        <f>C20*1.03</f>
        <v>0</v>
      </c>
      <c r="J20" s="2160">
        <v>2</v>
      </c>
      <c r="K20" s="2160">
        <v>30</v>
      </c>
      <c r="L20" s="2160">
        <v>29.2</v>
      </c>
      <c r="M20" s="2164">
        <f t="shared" si="67"/>
        <v>454.54545454545456</v>
      </c>
      <c r="N20" s="2160">
        <v>0</v>
      </c>
      <c r="O20" s="2160">
        <v>0.3</v>
      </c>
      <c r="P20" s="2160">
        <v>0.57765</v>
      </c>
      <c r="Q20" s="2160">
        <v>0.6</v>
      </c>
      <c r="R20" s="2160">
        <v>30.08</v>
      </c>
      <c r="S20" s="2159">
        <f>P20/9*12*1.048</f>
        <v>0.80716960000000004</v>
      </c>
      <c r="T20" s="2162"/>
      <c r="U20" s="2163" t="e">
        <f>R20*#REF!</f>
        <v>#REF!</v>
      </c>
      <c r="V20" s="2163" t="e">
        <f>R20*#REF!</f>
        <v>#REF!</v>
      </c>
      <c r="W20" s="2163">
        <f t="shared" si="68"/>
        <v>0.46087694536300999</v>
      </c>
      <c r="X20" s="2163">
        <f t="shared" si="69"/>
        <v>0.32735122440381553</v>
      </c>
      <c r="Y20" s="2163"/>
      <c r="Z20" s="2163"/>
      <c r="AA20" s="2163">
        <v>19.600000000000001</v>
      </c>
      <c r="AB20" s="2160">
        <v>1</v>
      </c>
      <c r="AC20" s="2159">
        <v>0</v>
      </c>
      <c r="AD20" s="2163">
        <f t="shared" si="70"/>
        <v>0</v>
      </c>
      <c r="AE20" s="2163">
        <f t="shared" si="71"/>
        <v>0</v>
      </c>
      <c r="AF20" s="3518">
        <f t="shared" si="0"/>
        <v>0</v>
      </c>
      <c r="AG20" s="3518">
        <f t="shared" si="1"/>
        <v>0</v>
      </c>
      <c r="AH20" s="2163">
        <v>0</v>
      </c>
      <c r="AI20" s="2163">
        <v>0</v>
      </c>
      <c r="AJ20" s="2159">
        <f t="shared" si="83"/>
        <v>21.560000000000002</v>
      </c>
      <c r="AK20" s="2163">
        <f>AJ20*AI56</f>
        <v>12.849760000000002</v>
      </c>
      <c r="AL20" s="2163">
        <f>AJ20*AI57</f>
        <v>8.7102400000000006</v>
      </c>
      <c r="AM20" s="3518"/>
      <c r="AN20" s="3518"/>
      <c r="AO20" s="2615">
        <f>AH20*2*1.071</f>
        <v>0</v>
      </c>
      <c r="AP20" s="2163">
        <f t="shared" si="72"/>
        <v>0</v>
      </c>
      <c r="AQ20" s="2163">
        <f t="shared" si="73"/>
        <v>0</v>
      </c>
      <c r="AR20" s="2163">
        <f t="shared" si="5"/>
        <v>2.2200000000000002</v>
      </c>
      <c r="AS20" s="2163">
        <v>1.31</v>
      </c>
      <c r="AT20" s="2163">
        <v>0.91</v>
      </c>
      <c r="AU20" s="2163">
        <f t="shared" si="6"/>
        <v>52.954920000000001</v>
      </c>
      <c r="AV20" s="2163">
        <f>0.56083+30.15303</f>
        <v>30.71386</v>
      </c>
      <c r="AW20" s="2163">
        <f>21.83495+0.40611</f>
        <v>22.241060000000001</v>
      </c>
      <c r="AX20" s="2163">
        <f t="shared" si="82"/>
        <v>0</v>
      </c>
      <c r="AY20" s="2163">
        <v>0</v>
      </c>
      <c r="AZ20" s="2163">
        <v>0</v>
      </c>
      <c r="BA20" s="2163">
        <f t="shared" si="53"/>
        <v>298.31524999999999</v>
      </c>
      <c r="BB20" s="2163">
        <v>175.26</v>
      </c>
      <c r="BC20" s="3521">
        <v>2.691E-2</v>
      </c>
      <c r="BD20" s="2163">
        <v>118.038</v>
      </c>
      <c r="BE20" s="3521">
        <v>0.20326</v>
      </c>
      <c r="BF20" s="3521">
        <v>2.6433200000000001</v>
      </c>
      <c r="BG20" s="3521">
        <v>2.1437599999999999</v>
      </c>
      <c r="BH20" s="2163">
        <f t="shared" si="9"/>
        <v>56.17</v>
      </c>
      <c r="BI20" s="2163">
        <v>32.64</v>
      </c>
      <c r="BJ20" s="2163">
        <v>23.53</v>
      </c>
      <c r="BK20" s="2163">
        <v>0</v>
      </c>
      <c r="BL20" s="2163">
        <f t="shared" si="74"/>
        <v>0</v>
      </c>
      <c r="BM20" s="2163">
        <f t="shared" si="75"/>
        <v>0</v>
      </c>
      <c r="BN20" s="2163">
        <f t="shared" si="76"/>
        <v>0</v>
      </c>
      <c r="BO20" s="2163">
        <f t="shared" si="77"/>
        <v>0</v>
      </c>
      <c r="BP20" s="2163">
        <f>SUM(BA20*1.046)</f>
        <v>312.03775150000001</v>
      </c>
      <c r="BQ20" s="2163">
        <f>SUM(BP20*BB50)</f>
        <v>183.57295974464535</v>
      </c>
      <c r="BR20" s="2667">
        <f>SUM(BP20*BC50)</f>
        <v>8.3029250964325105E-3</v>
      </c>
      <c r="BS20" s="2163">
        <f>SUM(BP20*BD50)</f>
        <v>126.89737089129716</v>
      </c>
      <c r="BT20" s="2163">
        <f>SUM(BP20*BE50)</f>
        <v>6.2925751506008251E-2</v>
      </c>
      <c r="BU20" s="2163">
        <f>SUM(BP20*BF50)</f>
        <v>0.64767188427895261</v>
      </c>
      <c r="BV20" s="2163">
        <f>SUM(BP20*BG50)</f>
        <v>0.84852030317613192</v>
      </c>
      <c r="BW20" s="2163">
        <f t="shared" si="55"/>
        <v>0</v>
      </c>
      <c r="BX20" s="2163">
        <f t="shared" si="78"/>
        <v>0</v>
      </c>
      <c r="BY20" s="2163">
        <f t="shared" si="79"/>
        <v>0</v>
      </c>
      <c r="BZ20" s="2163">
        <f t="shared" si="80"/>
        <v>0</v>
      </c>
      <c r="CA20" s="2163">
        <f t="shared" si="81"/>
        <v>0</v>
      </c>
      <c r="CB20" s="2163">
        <f t="shared" si="56"/>
        <v>139.05999999999997</v>
      </c>
      <c r="CC20" s="2163">
        <v>79.89</v>
      </c>
      <c r="CD20" s="2163">
        <v>0.02</v>
      </c>
      <c r="CE20" s="2163">
        <v>56.8</v>
      </c>
      <c r="CF20" s="2163">
        <v>0.14000000000000001</v>
      </c>
      <c r="CG20" s="2163">
        <v>0</v>
      </c>
      <c r="CH20" s="2163">
        <v>2.21</v>
      </c>
      <c r="CI20" s="2163">
        <f t="shared" si="57"/>
        <v>157.40979000000002</v>
      </c>
      <c r="CJ20" s="2163">
        <v>91.113069999999993</v>
      </c>
      <c r="CK20" s="2163">
        <v>2.325E-2</v>
      </c>
      <c r="CL20" s="2163">
        <v>63.516530000000003</v>
      </c>
      <c r="CM20" s="2163">
        <v>0.14729999999999999</v>
      </c>
      <c r="CN20" s="2163">
        <v>0</v>
      </c>
      <c r="CO20" s="2163">
        <v>2.6096400000000002</v>
      </c>
      <c r="CP20" s="2163">
        <f t="shared" si="58"/>
        <v>157.71</v>
      </c>
      <c r="CQ20" s="2163">
        <v>91.29</v>
      </c>
      <c r="CR20" s="2163">
        <v>0.02</v>
      </c>
      <c r="CS20" s="2163">
        <v>63.63</v>
      </c>
      <c r="CT20" s="2163">
        <v>0.15</v>
      </c>
      <c r="CU20" s="2163">
        <v>0</v>
      </c>
      <c r="CV20" s="2163">
        <v>2.62</v>
      </c>
      <c r="CW20" s="2489">
        <f t="shared" si="59"/>
        <v>163.3150134</v>
      </c>
      <c r="CX20" s="2489">
        <f>SUM(CW20*CX50)</f>
        <v>95.567281110642057</v>
      </c>
      <c r="CY20" s="2489">
        <f>SUM(CW20*CY50)</f>
        <v>2.6619995922334289E-2</v>
      </c>
      <c r="CZ20" s="2489">
        <f>SUM(CW20*CZ50)</f>
        <v>63.343127785115719</v>
      </c>
      <c r="DA20" s="2489">
        <f>SUM(CW20*DA50)</f>
        <v>0.18324513548453428</v>
      </c>
      <c r="DB20" s="2489">
        <f>SUM(CW20*DB50)</f>
        <v>0</v>
      </c>
      <c r="DC20" s="2489">
        <f>SUM(CW20*DC50)</f>
        <v>4.1947393728353441</v>
      </c>
      <c r="DD20" s="4080">
        <f t="shared" si="60"/>
        <v>0</v>
      </c>
      <c r="DE20" s="4080">
        <f t="shared" si="61"/>
        <v>0</v>
      </c>
      <c r="DF20" s="2489">
        <f t="shared" si="62"/>
        <v>0</v>
      </c>
      <c r="DG20" s="2489">
        <v>0</v>
      </c>
      <c r="DH20" s="2489">
        <v>0</v>
      </c>
      <c r="DI20" s="2489">
        <v>0</v>
      </c>
      <c r="DJ20" s="2489">
        <v>0</v>
      </c>
      <c r="DK20" s="2489">
        <v>0</v>
      </c>
      <c r="DL20" s="2489">
        <v>0</v>
      </c>
      <c r="DM20" s="2489">
        <f t="shared" si="63"/>
        <v>0</v>
      </c>
      <c r="DN20" s="2489">
        <v>0</v>
      </c>
      <c r="DO20" s="2489">
        <v>0</v>
      </c>
      <c r="DP20" s="2489">
        <v>0</v>
      </c>
      <c r="DQ20" s="2489">
        <v>0</v>
      </c>
      <c r="DR20" s="2489">
        <v>0</v>
      </c>
      <c r="DS20" s="2489">
        <v>0</v>
      </c>
      <c r="DT20" s="3999">
        <f t="shared" si="64"/>
        <v>157.71</v>
      </c>
      <c r="DU20" s="3999">
        <v>91.29</v>
      </c>
      <c r="DV20" s="3999">
        <v>0.02</v>
      </c>
      <c r="DW20" s="3999">
        <v>63.63</v>
      </c>
      <c r="DX20" s="3999">
        <v>0.15</v>
      </c>
      <c r="DY20" s="3999">
        <v>0</v>
      </c>
      <c r="DZ20" s="3999">
        <v>2.62</v>
      </c>
      <c r="EA20" s="2698" t="s">
        <v>1925</v>
      </c>
    </row>
    <row r="21" spans="1:132" ht="24" customHeight="1" x14ac:dyDescent="0.2">
      <c r="A21" s="3519" t="s">
        <v>1</v>
      </c>
      <c r="B21" s="3380">
        <v>121.5</v>
      </c>
      <c r="C21" s="3380">
        <v>143.30000000000001</v>
      </c>
      <c r="D21" s="2158">
        <f t="shared" si="65"/>
        <v>117.94238683127574</v>
      </c>
      <c r="E21" s="3380">
        <v>133</v>
      </c>
      <c r="F21" s="2158">
        <f>E21/C21*100</f>
        <v>92.8122819260293</v>
      </c>
      <c r="G21" s="2159">
        <v>159.6</v>
      </c>
      <c r="H21" s="2158">
        <f t="shared" si="66"/>
        <v>120</v>
      </c>
      <c r="I21" s="2160">
        <v>164.8</v>
      </c>
      <c r="J21" s="2160">
        <v>96</v>
      </c>
      <c r="K21" s="2160">
        <f>J21/9*12</f>
        <v>128</v>
      </c>
      <c r="L21" s="2160">
        <v>138.1</v>
      </c>
      <c r="M21" s="2164">
        <f t="shared" si="67"/>
        <v>80.200501253132842</v>
      </c>
      <c r="N21" s="2160">
        <v>135.68</v>
      </c>
      <c r="O21" s="2160">
        <v>67</v>
      </c>
      <c r="P21" s="2160">
        <v>102.06036</v>
      </c>
      <c r="Q21" s="2160">
        <v>114.5</v>
      </c>
      <c r="R21" s="2160">
        <v>164.3</v>
      </c>
      <c r="S21" s="2159">
        <f>P21/9*12*1.073</f>
        <v>146.01435504</v>
      </c>
      <c r="T21" s="2162">
        <f>S21/N21</f>
        <v>1.0761671214622641</v>
      </c>
      <c r="U21" s="2163" t="e">
        <f>R21*#REF!</f>
        <v>#REF!</v>
      </c>
      <c r="V21" s="2163" t="e">
        <f>R21*#REF!</f>
        <v>#REF!</v>
      </c>
      <c r="W21" s="2163">
        <f t="shared" si="68"/>
        <v>83.371140253529404</v>
      </c>
      <c r="X21" s="2163">
        <f t="shared" si="69"/>
        <v>59.216771670882338</v>
      </c>
      <c r="Y21" s="2163"/>
      <c r="Z21" s="2163"/>
      <c r="AA21" s="2163">
        <v>6.61</v>
      </c>
      <c r="AB21" s="2160">
        <v>156.9</v>
      </c>
      <c r="AC21" s="2159">
        <v>0</v>
      </c>
      <c r="AD21" s="2163">
        <f t="shared" si="70"/>
        <v>0</v>
      </c>
      <c r="AE21" s="2163">
        <f t="shared" si="71"/>
        <v>0</v>
      </c>
      <c r="AF21" s="3518">
        <f t="shared" si="0"/>
        <v>0</v>
      </c>
      <c r="AG21" s="3518">
        <f t="shared" si="1"/>
        <v>0</v>
      </c>
      <c r="AH21" s="2163">
        <v>66.040000000000006</v>
      </c>
      <c r="AI21" s="2163">
        <v>99.61</v>
      </c>
      <c r="AJ21" s="2159">
        <f t="shared" si="83"/>
        <v>7.2710000000000008</v>
      </c>
      <c r="AK21" s="2163">
        <f>AJ21*AI56</f>
        <v>4.3335160000000004</v>
      </c>
      <c r="AL21" s="2163">
        <f>AJ21*AI57</f>
        <v>2.9374840000000004</v>
      </c>
      <c r="AM21" s="3518"/>
      <c r="AN21" s="3518"/>
      <c r="AO21" s="2615">
        <f>AJ21</f>
        <v>7.2710000000000008</v>
      </c>
      <c r="AP21" s="2163">
        <f t="shared" si="72"/>
        <v>3.9565508807590932</v>
      </c>
      <c r="AQ21" s="2163">
        <f t="shared" si="73"/>
        <v>3.275266445372782</v>
      </c>
      <c r="AR21" s="2163">
        <f t="shared" si="5"/>
        <v>39.950000000000003</v>
      </c>
      <c r="AS21" s="2163">
        <v>23.57</v>
      </c>
      <c r="AT21" s="2163">
        <v>16.38</v>
      </c>
      <c r="AU21" s="2163">
        <f t="shared" si="6"/>
        <v>1.7742599999999999</v>
      </c>
      <c r="AV21" s="2163">
        <v>1.0290699999999999</v>
      </c>
      <c r="AW21" s="2163">
        <v>0.74519000000000002</v>
      </c>
      <c r="AX21" s="2163">
        <f t="shared" si="82"/>
        <v>26.26</v>
      </c>
      <c r="AY21" s="2163">
        <v>26.26</v>
      </c>
      <c r="AZ21" s="2163">
        <v>0</v>
      </c>
      <c r="BA21" s="2163">
        <f t="shared" si="53"/>
        <v>101.48314999999999</v>
      </c>
      <c r="BB21" s="2163">
        <v>59.835999999999999</v>
      </c>
      <c r="BC21" s="3521">
        <v>7.5300000000000002E-3</v>
      </c>
      <c r="BD21" s="2163">
        <v>40.200000000000003</v>
      </c>
      <c r="BE21" s="3521">
        <v>5.7029999999999997E-2</v>
      </c>
      <c r="BF21" s="3521">
        <v>0.67137000000000002</v>
      </c>
      <c r="BG21" s="3521">
        <v>0.71121999999999996</v>
      </c>
      <c r="BH21" s="2163">
        <f t="shared" si="9"/>
        <v>27.05</v>
      </c>
      <c r="BI21" s="2163">
        <v>15.72</v>
      </c>
      <c r="BJ21" s="2163">
        <v>11.33</v>
      </c>
      <c r="BK21" s="3524">
        <f>(5000*4.865866*1.039*1.059)/1000</f>
        <v>26.769586128329994</v>
      </c>
      <c r="BL21" s="2163">
        <f t="shared" si="74"/>
        <v>15.561300433555939</v>
      </c>
      <c r="BM21" s="2163">
        <f t="shared" si="75"/>
        <v>10.076174322128249</v>
      </c>
      <c r="BN21" s="2163">
        <f t="shared" si="76"/>
        <v>1.0681164104185354</v>
      </c>
      <c r="BO21" s="2163">
        <f t="shared" si="77"/>
        <v>6.3994962227268845E-2</v>
      </c>
      <c r="BP21" s="2163">
        <f>SUM(BA21*1.046)</f>
        <v>106.15137489999999</v>
      </c>
      <c r="BQ21" s="2163">
        <f>SUM(BP21*BB50)</f>
        <v>62.449245252161276</v>
      </c>
      <c r="BR21" s="2667">
        <f>SUM(BP21*BC50)</f>
        <v>2.8245521910127786E-3</v>
      </c>
      <c r="BS21" s="2163">
        <f>SUM(BP21*BD50)</f>
        <v>43.168912500340305</v>
      </c>
      <c r="BT21" s="2163">
        <f>SUM(BP21*BE50)</f>
        <v>2.1406560606428808E-2</v>
      </c>
      <c r="BU21" s="2163">
        <f>SUM(BP21*BF50)</f>
        <v>0.22032994619974533</v>
      </c>
      <c r="BV21" s="2163">
        <f>SUM(BP21*BG50)</f>
        <v>0.28865608850123775</v>
      </c>
      <c r="BW21" s="2163">
        <f t="shared" si="55"/>
        <v>27.296946975058095</v>
      </c>
      <c r="BX21" s="2163">
        <f t="shared" si="78"/>
        <v>15.86785805209699</v>
      </c>
      <c r="BY21" s="2163">
        <f t="shared" si="79"/>
        <v>10.274674956274175</v>
      </c>
      <c r="BZ21" s="2163">
        <f t="shared" si="80"/>
        <v>1.0891583037037804</v>
      </c>
      <c r="CA21" s="2163">
        <f t="shared" si="81"/>
        <v>6.5255662983146029E-2</v>
      </c>
      <c r="CB21" s="2163">
        <f t="shared" si="56"/>
        <v>61.41</v>
      </c>
      <c r="CC21" s="2163">
        <v>35.75</v>
      </c>
      <c r="CD21" s="2163">
        <v>0.01</v>
      </c>
      <c r="CE21" s="2163">
        <v>24.48</v>
      </c>
      <c r="CF21" s="2163">
        <v>0.08</v>
      </c>
      <c r="CG21" s="2163">
        <v>0</v>
      </c>
      <c r="CH21" s="2163">
        <v>1.0900000000000001</v>
      </c>
      <c r="CI21" s="2163">
        <f t="shared" si="57"/>
        <v>96.756399999999999</v>
      </c>
      <c r="CJ21" s="2163">
        <v>56.765630000000002</v>
      </c>
      <c r="CK21" s="2163">
        <v>1.6420000000000001E-2</v>
      </c>
      <c r="CL21" s="2163">
        <v>37.886650000000003</v>
      </c>
      <c r="CM21" s="2163">
        <v>0.10395</v>
      </c>
      <c r="CN21" s="2163">
        <v>0</v>
      </c>
      <c r="CO21" s="2163">
        <v>1.9837499999999999</v>
      </c>
      <c r="CP21" s="2163">
        <f t="shared" si="58"/>
        <v>100.777</v>
      </c>
      <c r="CQ21" s="2163">
        <v>59.12</v>
      </c>
      <c r="CR21" s="2163">
        <v>1.7000000000000001E-2</v>
      </c>
      <c r="CS21" s="2163">
        <v>39.380000000000003</v>
      </c>
      <c r="CT21" s="2163">
        <v>0.11</v>
      </c>
      <c r="CU21" s="2163">
        <v>0</v>
      </c>
      <c r="CV21" s="2163">
        <v>2.15</v>
      </c>
      <c r="CW21" s="2489">
        <f t="shared" si="59"/>
        <v>104.35861458000001</v>
      </c>
      <c r="CX21" s="2489">
        <f>SUM(CW21*CX50)</f>
        <v>61.067680479913605</v>
      </c>
      <c r="CY21" s="2489">
        <f>SUM(CW21*CY50)</f>
        <v>1.7010229719517361E-2</v>
      </c>
      <c r="CZ21" s="2489">
        <f>SUM(CW21*CZ50)</f>
        <v>40.476383164039106</v>
      </c>
      <c r="DA21" s="2489">
        <f>SUM(CW21*DA50)</f>
        <v>0.11709400176732555</v>
      </c>
      <c r="DB21" s="2489">
        <f>SUM(CW21*DB50)</f>
        <v>0</v>
      </c>
      <c r="DC21" s="2489">
        <f>SUM(CW21*DC50)</f>
        <v>2.6804467045604432</v>
      </c>
      <c r="DD21" s="4080">
        <f t="shared" si="60"/>
        <v>16.306311311062569</v>
      </c>
      <c r="DE21" s="4080">
        <f t="shared" si="61"/>
        <v>10.558579986467905</v>
      </c>
      <c r="DF21" s="2489">
        <f t="shared" si="62"/>
        <v>1.8836999999999999</v>
      </c>
      <c r="DG21" s="2489">
        <v>1.07558</v>
      </c>
      <c r="DH21" s="3975">
        <v>2.9E-4</v>
      </c>
      <c r="DI21" s="2493">
        <v>0.74326000000000003</v>
      </c>
      <c r="DJ21" s="2493">
        <v>1.89E-3</v>
      </c>
      <c r="DK21" s="2489">
        <v>0</v>
      </c>
      <c r="DL21" s="2489">
        <v>6.268E-2</v>
      </c>
      <c r="DM21" s="2489">
        <f t="shared" si="63"/>
        <v>2.4848399999999997</v>
      </c>
      <c r="DN21" s="2489">
        <v>1.4163399999999999</v>
      </c>
      <c r="DO21" s="4042">
        <v>4.2999999999999999E-4</v>
      </c>
      <c r="DP21" s="2489">
        <v>0.98660000000000003</v>
      </c>
      <c r="DQ21" s="2489">
        <v>2.65E-3</v>
      </c>
      <c r="DR21" s="2489">
        <v>0</v>
      </c>
      <c r="DS21" s="2489">
        <v>7.8820000000000001E-2</v>
      </c>
      <c r="DT21" s="3999">
        <f t="shared" si="64"/>
        <v>100.777</v>
      </c>
      <c r="DU21" s="3999">
        <v>59.12</v>
      </c>
      <c r="DV21" s="3999">
        <v>1.7000000000000001E-2</v>
      </c>
      <c r="DW21" s="3999">
        <v>39.380000000000003</v>
      </c>
      <c r="DX21" s="3999">
        <v>0.11</v>
      </c>
      <c r="DY21" s="3999">
        <v>0</v>
      </c>
      <c r="DZ21" s="3999">
        <v>2.15</v>
      </c>
      <c r="EA21" s="2699" t="s">
        <v>1920</v>
      </c>
    </row>
    <row r="22" spans="1:132" ht="24" customHeight="1" x14ac:dyDescent="0.2">
      <c r="A22" s="3519" t="s">
        <v>35</v>
      </c>
      <c r="B22" s="3380">
        <v>52.8</v>
      </c>
      <c r="C22" s="3380">
        <v>88.4</v>
      </c>
      <c r="D22" s="2158">
        <f t="shared" si="65"/>
        <v>167.42424242424246</v>
      </c>
      <c r="E22" s="3380">
        <v>34.1</v>
      </c>
      <c r="F22" s="2158">
        <f>E22/C22*100</f>
        <v>38.574660633484164</v>
      </c>
      <c r="G22" s="2159">
        <v>140.9</v>
      </c>
      <c r="H22" s="2158">
        <f t="shared" si="66"/>
        <v>413.19648093841641</v>
      </c>
      <c r="I22" s="2160">
        <v>33.1</v>
      </c>
      <c r="J22" s="2160">
        <v>12.2</v>
      </c>
      <c r="K22" s="2160">
        <v>33.1</v>
      </c>
      <c r="L22" s="2160">
        <v>12.1</v>
      </c>
      <c r="M22" s="2164">
        <f t="shared" si="67"/>
        <v>23.491838183108587</v>
      </c>
      <c r="N22" s="2160">
        <v>34.721899999999998</v>
      </c>
      <c r="O22" s="2160">
        <v>5.3</v>
      </c>
      <c r="P22" s="2160">
        <v>7.43</v>
      </c>
      <c r="Q22" s="2160">
        <v>7.4</v>
      </c>
      <c r="R22" s="2160">
        <v>36.049999999999997</v>
      </c>
      <c r="S22" s="2159">
        <f>P22/9*12*1.073</f>
        <v>10.629853333333333</v>
      </c>
      <c r="T22" s="2162">
        <f>S22/N22</f>
        <v>0.30614261700348583</v>
      </c>
      <c r="U22" s="2163" t="e">
        <f>R22*#REF!</f>
        <v>#REF!</v>
      </c>
      <c r="V22" s="2163" t="e">
        <f>R22*#REF!</f>
        <v>#REF!</v>
      </c>
      <c r="W22" s="2163">
        <f t="shared" si="68"/>
        <v>6.0694237418300645</v>
      </c>
      <c r="X22" s="2163">
        <f t="shared" si="69"/>
        <v>4.3109843382352926</v>
      </c>
      <c r="Y22" s="2163"/>
      <c r="Z22" s="2163"/>
      <c r="AA22" s="2163">
        <v>0.34</v>
      </c>
      <c r="AB22" s="2160">
        <v>21.8</v>
      </c>
      <c r="AC22" s="2159">
        <v>0</v>
      </c>
      <c r="AD22" s="2163">
        <f t="shared" si="70"/>
        <v>0</v>
      </c>
      <c r="AE22" s="2163">
        <f t="shared" si="71"/>
        <v>0</v>
      </c>
      <c r="AF22" s="3518">
        <f t="shared" si="0"/>
        <v>0</v>
      </c>
      <c r="AG22" s="3518">
        <f t="shared" si="1"/>
        <v>0</v>
      </c>
      <c r="AH22" s="2163">
        <v>0</v>
      </c>
      <c r="AI22" s="2163">
        <v>0</v>
      </c>
      <c r="AJ22" s="2159">
        <f t="shared" si="83"/>
        <v>0.37400000000000005</v>
      </c>
      <c r="AK22" s="2163">
        <f>AJ22*AI56</f>
        <v>0.22290400000000002</v>
      </c>
      <c r="AL22" s="2163">
        <f>AJ22*AI57</f>
        <v>0.15109600000000004</v>
      </c>
      <c r="AM22" s="3518"/>
      <c r="AN22" s="3518"/>
      <c r="AO22" s="2615">
        <v>0</v>
      </c>
      <c r="AP22" s="2163">
        <f t="shared" si="72"/>
        <v>0</v>
      </c>
      <c r="AQ22" s="2163">
        <f t="shared" si="73"/>
        <v>0</v>
      </c>
      <c r="AR22" s="2163">
        <f t="shared" si="5"/>
        <v>0</v>
      </c>
      <c r="AS22" s="2163">
        <v>0</v>
      </c>
      <c r="AT22" s="2163">
        <v>0</v>
      </c>
      <c r="AU22" s="2163">
        <f t="shared" si="6"/>
        <v>0</v>
      </c>
      <c r="AV22" s="2163">
        <v>0</v>
      </c>
      <c r="AW22" s="2163">
        <v>0</v>
      </c>
      <c r="AX22" s="2163">
        <f t="shared" si="82"/>
        <v>0</v>
      </c>
      <c r="AY22" s="2163">
        <v>0</v>
      </c>
      <c r="AZ22" s="2163">
        <v>0</v>
      </c>
      <c r="BA22" s="2163">
        <f t="shared" si="53"/>
        <v>0</v>
      </c>
      <c r="BB22" s="2163">
        <v>0</v>
      </c>
      <c r="BC22" s="2163">
        <v>0</v>
      </c>
      <c r="BD22" s="2163">
        <v>0</v>
      </c>
      <c r="BE22" s="2163">
        <v>0</v>
      </c>
      <c r="BF22" s="2163">
        <v>0</v>
      </c>
      <c r="BG22" s="2163">
        <v>0</v>
      </c>
      <c r="BH22" s="2163">
        <f t="shared" si="9"/>
        <v>0</v>
      </c>
      <c r="BI22" s="2163">
        <v>0</v>
      </c>
      <c r="BJ22" s="2163">
        <v>0</v>
      </c>
      <c r="BK22" s="2163">
        <v>0</v>
      </c>
      <c r="BL22" s="2163">
        <f t="shared" si="74"/>
        <v>0</v>
      </c>
      <c r="BM22" s="2163">
        <f t="shared" si="75"/>
        <v>0</v>
      </c>
      <c r="BN22" s="2163">
        <f t="shared" si="76"/>
        <v>0</v>
      </c>
      <c r="BO22" s="2163">
        <f t="shared" si="77"/>
        <v>0</v>
      </c>
      <c r="BP22" s="2163">
        <f t="shared" si="54"/>
        <v>0</v>
      </c>
      <c r="BQ22" s="2163">
        <v>0</v>
      </c>
      <c r="BR22" s="2163">
        <v>0</v>
      </c>
      <c r="BS22" s="2163">
        <v>0</v>
      </c>
      <c r="BT22" s="2163">
        <v>0</v>
      </c>
      <c r="BU22" s="2163">
        <v>0</v>
      </c>
      <c r="BV22" s="2163">
        <v>0</v>
      </c>
      <c r="BW22" s="2163">
        <f t="shared" si="55"/>
        <v>0</v>
      </c>
      <c r="BX22" s="2163">
        <f t="shared" si="78"/>
        <v>0</v>
      </c>
      <c r="BY22" s="2163">
        <f t="shared" si="79"/>
        <v>0</v>
      </c>
      <c r="BZ22" s="2163">
        <f t="shared" si="80"/>
        <v>0</v>
      </c>
      <c r="CA22" s="2163">
        <f t="shared" si="81"/>
        <v>0</v>
      </c>
      <c r="CB22" s="2163">
        <f t="shared" si="56"/>
        <v>0</v>
      </c>
      <c r="CC22" s="2163">
        <v>0</v>
      </c>
      <c r="CD22" s="2163">
        <v>0</v>
      </c>
      <c r="CE22" s="2163">
        <v>0</v>
      </c>
      <c r="CF22" s="2163">
        <v>0</v>
      </c>
      <c r="CG22" s="2163">
        <v>0</v>
      </c>
      <c r="CH22" s="2163">
        <v>0</v>
      </c>
      <c r="CI22" s="2163">
        <f t="shared" si="57"/>
        <v>0</v>
      </c>
      <c r="CJ22" s="2163">
        <v>0</v>
      </c>
      <c r="CK22" s="2163">
        <v>0</v>
      </c>
      <c r="CL22" s="2163">
        <v>0</v>
      </c>
      <c r="CM22" s="2163">
        <v>0</v>
      </c>
      <c r="CN22" s="2163">
        <v>0</v>
      </c>
      <c r="CO22" s="2163">
        <v>0</v>
      </c>
      <c r="CP22" s="2163">
        <f t="shared" si="58"/>
        <v>0</v>
      </c>
      <c r="CQ22" s="2163">
        <v>0</v>
      </c>
      <c r="CR22" s="2163">
        <v>0</v>
      </c>
      <c r="CS22" s="2163">
        <v>0</v>
      </c>
      <c r="CT22" s="2163">
        <v>0</v>
      </c>
      <c r="CU22" s="2163">
        <v>0</v>
      </c>
      <c r="CV22" s="2163">
        <v>0</v>
      </c>
      <c r="CW22" s="2489">
        <f t="shared" si="59"/>
        <v>0</v>
      </c>
      <c r="CX22" s="2489">
        <f>SUM(CW22*CX50)</f>
        <v>0</v>
      </c>
      <c r="CY22" s="2489">
        <f>SUM(CW22*CY50)</f>
        <v>0</v>
      </c>
      <c r="CZ22" s="2489">
        <f>SUM(CW22*CZ50)</f>
        <v>0</v>
      </c>
      <c r="DA22" s="2489">
        <f>SUM(CW22*DA50)</f>
        <v>0</v>
      </c>
      <c r="DB22" s="2489">
        <f>SUM(CW22*DB50)</f>
        <v>0</v>
      </c>
      <c r="DC22" s="2489">
        <f>SUM(CW22*DC50)</f>
        <v>0</v>
      </c>
      <c r="DD22" s="4080">
        <f t="shared" si="60"/>
        <v>0</v>
      </c>
      <c r="DE22" s="4080">
        <f t="shared" si="61"/>
        <v>0</v>
      </c>
      <c r="DF22" s="2489">
        <f t="shared" si="62"/>
        <v>0</v>
      </c>
      <c r="DG22" s="2489">
        <v>0</v>
      </c>
      <c r="DH22" s="2489">
        <v>0</v>
      </c>
      <c r="DI22" s="2489">
        <v>0</v>
      </c>
      <c r="DJ22" s="2489">
        <v>0</v>
      </c>
      <c r="DK22" s="2489">
        <v>0</v>
      </c>
      <c r="DL22" s="2489">
        <v>0</v>
      </c>
      <c r="DM22" s="2489">
        <f t="shared" si="63"/>
        <v>0</v>
      </c>
      <c r="DN22" s="2489">
        <v>0</v>
      </c>
      <c r="DO22" s="2489">
        <v>0</v>
      </c>
      <c r="DP22" s="2489">
        <v>0</v>
      </c>
      <c r="DQ22" s="2489">
        <v>0</v>
      </c>
      <c r="DR22" s="2489">
        <v>0</v>
      </c>
      <c r="DS22" s="2489">
        <v>0</v>
      </c>
      <c r="DT22" s="3999">
        <f t="shared" si="64"/>
        <v>0</v>
      </c>
      <c r="DU22" s="3999">
        <v>0</v>
      </c>
      <c r="DV22" s="3999">
        <v>0</v>
      </c>
      <c r="DW22" s="3999">
        <v>0</v>
      </c>
      <c r="DX22" s="3999">
        <v>0</v>
      </c>
      <c r="DY22" s="3999">
        <v>0</v>
      </c>
      <c r="DZ22" s="3999">
        <v>0</v>
      </c>
      <c r="EA22" s="2698"/>
    </row>
    <row r="23" spans="1:132" ht="24" customHeight="1" x14ac:dyDescent="0.2">
      <c r="A23" s="3519" t="s">
        <v>75</v>
      </c>
      <c r="B23" s="3380">
        <v>162.5</v>
      </c>
      <c r="C23" s="3380">
        <v>130</v>
      </c>
      <c r="D23" s="2158">
        <f t="shared" si="65"/>
        <v>80</v>
      </c>
      <c r="E23" s="3380">
        <v>161</v>
      </c>
      <c r="F23" s="2158">
        <f>E23/C23*100</f>
        <v>123.84615384615385</v>
      </c>
      <c r="G23" s="2159">
        <v>121</v>
      </c>
      <c r="H23" s="2158">
        <f t="shared" si="66"/>
        <v>75.155279503105589</v>
      </c>
      <c r="I23" s="2160">
        <v>165.3</v>
      </c>
      <c r="J23" s="2160">
        <v>109.1</v>
      </c>
      <c r="K23" s="2160">
        <f>J23/9*12</f>
        <v>145.46666666666667</v>
      </c>
      <c r="L23" s="2160">
        <v>189.7</v>
      </c>
      <c r="M23" s="2164">
        <f t="shared" si="67"/>
        <v>120.22038567493114</v>
      </c>
      <c r="N23" s="2160">
        <v>152.59453333333332</v>
      </c>
      <c r="O23" s="2160">
        <v>109.3</v>
      </c>
      <c r="P23" s="2160">
        <v>155.21807999999999</v>
      </c>
      <c r="Q23" s="2160">
        <v>205.2</v>
      </c>
      <c r="R23" s="2160">
        <v>195.7</v>
      </c>
      <c r="S23" s="2159">
        <f>R23</f>
        <v>195.7</v>
      </c>
      <c r="T23" s="2162">
        <f>S23/N23</f>
        <v>1.2824836887996862</v>
      </c>
      <c r="U23" s="2163" t="e">
        <f>R23*#REF!</f>
        <v>#REF!</v>
      </c>
      <c r="V23" s="2163" t="e">
        <f>R23*#REF!</f>
        <v>#REF!</v>
      </c>
      <c r="W23" s="2163">
        <f t="shared" si="68"/>
        <v>111.74060347111815</v>
      </c>
      <c r="X23" s="2163">
        <f t="shared" si="69"/>
        <v>79.367006160572316</v>
      </c>
      <c r="Y23" s="2163">
        <v>130.79</v>
      </c>
      <c r="Z23" s="2163">
        <v>191.71</v>
      </c>
      <c r="AA23" s="2163">
        <v>266.32</v>
      </c>
      <c r="AB23" s="2160">
        <v>206</v>
      </c>
      <c r="AC23" s="2159">
        <f>AB23</f>
        <v>206</v>
      </c>
      <c r="AD23" s="2163">
        <f t="shared" si="70"/>
        <v>121.95183117518994</v>
      </c>
      <c r="AE23" s="2163">
        <f t="shared" si="71"/>
        <v>82.400132932921309</v>
      </c>
      <c r="AF23" s="3518">
        <f t="shared" si="0"/>
        <v>1.0913833234014267</v>
      </c>
      <c r="AG23" s="3518">
        <f t="shared" si="1"/>
        <v>1.0382164695265497</v>
      </c>
      <c r="AH23" s="2163">
        <v>151.34</v>
      </c>
      <c r="AI23" s="2163">
        <v>182.55</v>
      </c>
      <c r="AJ23" s="2159">
        <f t="shared" si="83"/>
        <v>292.952</v>
      </c>
      <c r="AK23" s="2163">
        <f>AJ23*AI56</f>
        <v>174.59939199999999</v>
      </c>
      <c r="AL23" s="2163">
        <f>AJ23*AI57</f>
        <v>118.352608</v>
      </c>
      <c r="AM23" s="3518">
        <f>AK23/AD23</f>
        <v>1.4317078334738507</v>
      </c>
      <c r="AN23" s="3518">
        <f>AL23/AE23</f>
        <v>1.4363157410965124</v>
      </c>
      <c r="AO23" s="2615">
        <f>AI23/3*4*1.062</f>
        <v>258.49080000000004</v>
      </c>
      <c r="AP23" s="2163">
        <f t="shared" si="72"/>
        <v>140.65905685712042</v>
      </c>
      <c r="AQ23" s="2163">
        <f t="shared" si="73"/>
        <v>116.43876271180947</v>
      </c>
      <c r="AR23" s="2163">
        <f t="shared" si="5"/>
        <v>175.97</v>
      </c>
      <c r="AS23" s="2163">
        <v>103.82</v>
      </c>
      <c r="AT23" s="2163">
        <v>72.150000000000006</v>
      </c>
      <c r="AU23" s="2163">
        <f t="shared" si="6"/>
        <v>8.8337699999999995</v>
      </c>
      <c r="AV23" s="2163">
        <v>5.1235900000000001</v>
      </c>
      <c r="AW23" s="2163">
        <v>3.7101799999999998</v>
      </c>
      <c r="AX23" s="2163">
        <f t="shared" si="82"/>
        <v>282.19</v>
      </c>
      <c r="AY23" s="2163">
        <v>166.49</v>
      </c>
      <c r="AZ23" s="2163">
        <v>115.7</v>
      </c>
      <c r="BA23" s="2163">
        <f t="shared" si="53"/>
        <v>21.201369999999997</v>
      </c>
      <c r="BB23" s="2163">
        <v>12.489000000000001</v>
      </c>
      <c r="BC23" s="3521">
        <v>5.9000000000000003E-4</v>
      </c>
      <c r="BD23" s="2163">
        <v>8.61</v>
      </c>
      <c r="BE23" s="3521">
        <v>4.4799999999999996E-3</v>
      </c>
      <c r="BF23" s="2667">
        <v>4.1700000000000001E-2</v>
      </c>
      <c r="BG23" s="2163">
        <v>5.5599999999999997E-2</v>
      </c>
      <c r="BH23" s="2163">
        <f t="shared" si="9"/>
        <v>290.64999999999998</v>
      </c>
      <c r="BI23" s="2163">
        <v>168.89</v>
      </c>
      <c r="BJ23" s="2163">
        <v>121.76</v>
      </c>
      <c r="BK23" s="2163">
        <f>AR23</f>
        <v>175.97</v>
      </c>
      <c r="BL23" s="2163">
        <f t="shared" si="74"/>
        <v>102.2922814034431</v>
      </c>
      <c r="BM23" s="2163">
        <f t="shared" si="75"/>
        <v>66.235779177342181</v>
      </c>
      <c r="BN23" s="2163">
        <f t="shared" si="76"/>
        <v>7.0212682347911679</v>
      </c>
      <c r="BO23" s="2163">
        <f t="shared" si="77"/>
        <v>0.42067118442353824</v>
      </c>
      <c r="BP23" s="2163">
        <f>SUM(BK23*1.046)</f>
        <v>184.06462000000002</v>
      </c>
      <c r="BQ23" s="2163">
        <f>SUM(BP23*BB50)</f>
        <v>108.28589462411071</v>
      </c>
      <c r="BR23" s="2667">
        <f>SUM(BP23*BC50)</f>
        <v>4.8977238985242252E-3</v>
      </c>
      <c r="BS23" s="2163">
        <f>SUM(BP23*BD50)</f>
        <v>74.8541362057138</v>
      </c>
      <c r="BT23" s="2163">
        <f>SUM(BP23*BE50)</f>
        <v>3.7118600180554878E-2</v>
      </c>
      <c r="BU23" s="2163">
        <f>SUM(BP23*BF50)</f>
        <v>0.38204825759516919</v>
      </c>
      <c r="BV23" s="2163">
        <f>SUM(BP23*BG50)</f>
        <v>0.50052458850127157</v>
      </c>
      <c r="BW23" s="2163">
        <f t="shared" si="55"/>
        <v>179.436609</v>
      </c>
      <c r="BX23" s="2163">
        <f t="shared" si="78"/>
        <v>104.30743934709092</v>
      </c>
      <c r="BY23" s="2163">
        <f t="shared" si="79"/>
        <v>67.540624027135834</v>
      </c>
      <c r="BZ23" s="2163">
        <f t="shared" si="80"/>
        <v>7.1595872190165535</v>
      </c>
      <c r="CA23" s="2163">
        <f t="shared" si="81"/>
        <v>0.42895840675668195</v>
      </c>
      <c r="CB23" s="2163">
        <f t="shared" si="56"/>
        <v>14.222</v>
      </c>
      <c r="CC23" s="2163">
        <v>8.2899999999999991</v>
      </c>
      <c r="CD23" s="2667">
        <v>2E-3</v>
      </c>
      <c r="CE23" s="2163">
        <v>5.66</v>
      </c>
      <c r="CF23" s="2163">
        <v>0.02</v>
      </c>
      <c r="CG23" s="2163">
        <v>0</v>
      </c>
      <c r="CH23" s="2163">
        <v>0.25</v>
      </c>
      <c r="CI23" s="2163">
        <f t="shared" si="57"/>
        <v>16.73302</v>
      </c>
      <c r="CJ23" s="2163">
        <v>9.7980400000000003</v>
      </c>
      <c r="CK23" s="2667">
        <v>2.8500000000000001E-3</v>
      </c>
      <c r="CL23" s="2163">
        <v>6.5976400000000002</v>
      </c>
      <c r="CM23" s="2163">
        <v>1.9089999999999999E-2</v>
      </c>
      <c r="CN23" s="2163">
        <v>0</v>
      </c>
      <c r="CO23" s="2163">
        <v>0.31540000000000001</v>
      </c>
      <c r="CP23" s="2163">
        <f t="shared" si="58"/>
        <v>20.692999999999998</v>
      </c>
      <c r="CQ23" s="2163">
        <v>12.1</v>
      </c>
      <c r="CR23" s="2667">
        <v>3.0000000000000001E-3</v>
      </c>
      <c r="CS23" s="2163">
        <v>8.09</v>
      </c>
      <c r="CT23" s="2163">
        <v>0.02</v>
      </c>
      <c r="CU23" s="2163">
        <v>0</v>
      </c>
      <c r="CV23" s="2163">
        <v>0.48</v>
      </c>
      <c r="CW23" s="2489">
        <f t="shared" si="59"/>
        <v>21.428429219999998</v>
      </c>
      <c r="CX23" s="2489">
        <f>SUM(CW23*CX50)</f>
        <v>12.539304724003017</v>
      </c>
      <c r="CY23" s="2489">
        <f>SUM(CW23*CY50)</f>
        <v>3.49278787407814E-3</v>
      </c>
      <c r="CZ23" s="2489">
        <f>SUM(CW23*CZ50)</f>
        <v>8.3111999445653382</v>
      </c>
      <c r="DA23" s="2489">
        <f>SUM(CW23*DA50)</f>
        <v>2.4043444224091482E-2</v>
      </c>
      <c r="DB23" s="2489">
        <f>SUM(CW23*DB50)</f>
        <v>0</v>
      </c>
      <c r="DC23" s="2489">
        <f>SUM(CW23*DC50)</f>
        <v>0.55038831933347143</v>
      </c>
      <c r="DD23" s="4080">
        <v>24.82</v>
      </c>
      <c r="DE23" s="4080">
        <f t="shared" si="61"/>
        <v>69.406875075011357</v>
      </c>
      <c r="DF23" s="2489">
        <f t="shared" si="62"/>
        <v>18.431320000000003</v>
      </c>
      <c r="DG23" s="2489">
        <v>10.485099999999999</v>
      </c>
      <c r="DH23" s="2493">
        <v>2.7499999999999998E-3</v>
      </c>
      <c r="DI23" s="2489">
        <v>7.4353699999999998</v>
      </c>
      <c r="DJ23" s="2489">
        <v>1.95E-2</v>
      </c>
      <c r="DK23" s="2489">
        <v>0</v>
      </c>
      <c r="DL23" s="2489">
        <v>0.48859999999999998</v>
      </c>
      <c r="DM23" s="2489">
        <f t="shared" si="63"/>
        <v>26.288930000000001</v>
      </c>
      <c r="DN23" s="2489">
        <v>14.908810000000001</v>
      </c>
      <c r="DO23" s="2493">
        <v>4.7999999999999996E-3</v>
      </c>
      <c r="DP23" s="2489">
        <v>10.72526</v>
      </c>
      <c r="DQ23" s="2489">
        <v>2.7859999999999999E-2</v>
      </c>
      <c r="DR23" s="2489">
        <v>0</v>
      </c>
      <c r="DS23" s="2489">
        <v>0.62219999999999998</v>
      </c>
      <c r="DT23" s="3999">
        <f t="shared" si="64"/>
        <v>20.692999999999998</v>
      </c>
      <c r="DU23" s="3999">
        <v>12.1</v>
      </c>
      <c r="DV23" s="4001">
        <v>3.0000000000000001E-3</v>
      </c>
      <c r="DW23" s="3999">
        <v>8.09</v>
      </c>
      <c r="DX23" s="3999">
        <v>0.02</v>
      </c>
      <c r="DY23" s="3999">
        <v>0</v>
      </c>
      <c r="DZ23" s="3999">
        <v>0.48</v>
      </c>
      <c r="EA23" s="2699" t="s">
        <v>1922</v>
      </c>
    </row>
    <row r="24" spans="1:132" ht="24" customHeight="1" x14ac:dyDescent="0.2">
      <c r="A24" s="3519" t="s">
        <v>2</v>
      </c>
      <c r="B24" s="3380">
        <v>273.60000000000002</v>
      </c>
      <c r="C24" s="3380">
        <v>282.3</v>
      </c>
      <c r="D24" s="2158">
        <f t="shared" si="65"/>
        <v>103.17982456140351</v>
      </c>
      <c r="E24" s="3380">
        <v>261.5</v>
      </c>
      <c r="F24" s="2158">
        <f>E24/C24*100</f>
        <v>92.631951824300387</v>
      </c>
      <c r="G24" s="2159">
        <v>230.4</v>
      </c>
      <c r="H24" s="2158">
        <f t="shared" si="66"/>
        <v>88.107074569789674</v>
      </c>
      <c r="I24" s="2160">
        <v>299.7</v>
      </c>
      <c r="J24" s="2160">
        <v>155.1</v>
      </c>
      <c r="K24" s="2160">
        <f>J24/9*12</f>
        <v>206.8</v>
      </c>
      <c r="L24" s="2160">
        <v>206.6</v>
      </c>
      <c r="M24" s="2164">
        <f t="shared" si="67"/>
        <v>89.756944444444443</v>
      </c>
      <c r="N24" s="2160">
        <v>216.9332</v>
      </c>
      <c r="O24" s="2160">
        <v>98.2</v>
      </c>
      <c r="P24" s="2160">
        <v>145.27706000000001</v>
      </c>
      <c r="Q24" s="2160">
        <v>192.4</v>
      </c>
      <c r="R24" s="2160">
        <v>216.9</v>
      </c>
      <c r="S24" s="2159">
        <f>P24/9*12</f>
        <v>193.70274666666668</v>
      </c>
      <c r="T24" s="2162">
        <f>S24/N24</f>
        <v>0.89291425501798105</v>
      </c>
      <c r="U24" s="2163" t="e">
        <f>R24*#REF!</f>
        <v>#REF!</v>
      </c>
      <c r="V24" s="2163" t="e">
        <f>R24*#REF!</f>
        <v>#REF!</v>
      </c>
      <c r="W24" s="2163">
        <f t="shared" si="68"/>
        <v>110.6002136256845</v>
      </c>
      <c r="X24" s="2163">
        <f t="shared" si="69"/>
        <v>78.557011180445144</v>
      </c>
      <c r="Y24" s="2163">
        <v>93.6</v>
      </c>
      <c r="Z24" s="2163">
        <v>137.56</v>
      </c>
      <c r="AA24" s="2163">
        <v>182.16</v>
      </c>
      <c r="AB24" s="2160">
        <v>193.7</v>
      </c>
      <c r="AC24" s="2159">
        <f>AB24</f>
        <v>193.7</v>
      </c>
      <c r="AD24" s="2163">
        <f t="shared" si="70"/>
        <v>114.67024125550627</v>
      </c>
      <c r="AE24" s="2163">
        <f t="shared" si="71"/>
        <v>77.48012499566434</v>
      </c>
      <c r="AF24" s="3518">
        <f t="shared" si="0"/>
        <v>1.0367994554115092</v>
      </c>
      <c r="AG24" s="3518">
        <f t="shared" si="1"/>
        <v>0.9862916604310823</v>
      </c>
      <c r="AH24" s="2163">
        <v>79.34</v>
      </c>
      <c r="AI24" s="2163">
        <v>112.52</v>
      </c>
      <c r="AJ24" s="2159">
        <v>193.7</v>
      </c>
      <c r="AK24" s="2163">
        <f>AJ24*AI56</f>
        <v>115.44519999999999</v>
      </c>
      <c r="AL24" s="2163">
        <f>AJ24*AI57</f>
        <v>78.254800000000003</v>
      </c>
      <c r="AM24" s="3518">
        <f>AK24/AD24</f>
        <v>1.0067581504670158</v>
      </c>
      <c r="AN24" s="3518">
        <f>AL24/AE24</f>
        <v>1.0099983706063846</v>
      </c>
      <c r="AO24" s="2615">
        <f>AJ24</f>
        <v>193.7</v>
      </c>
      <c r="AP24" s="2163">
        <f t="shared" si="72"/>
        <v>105.40282019021265</v>
      </c>
      <c r="AQ24" s="2163">
        <f t="shared" si="73"/>
        <v>87.253350360157853</v>
      </c>
      <c r="AR24" s="2163">
        <f t="shared" si="5"/>
        <v>111.28</v>
      </c>
      <c r="AS24" s="2163">
        <v>77.459999999999994</v>
      </c>
      <c r="AT24" s="2163">
        <v>33.82</v>
      </c>
      <c r="AU24" s="2163">
        <f t="shared" si="6"/>
        <v>131.28384</v>
      </c>
      <c r="AV24" s="2163">
        <v>76.144630000000006</v>
      </c>
      <c r="AW24" s="2163">
        <v>55.139209999999999</v>
      </c>
      <c r="AX24" s="2163">
        <f t="shared" si="82"/>
        <v>211.46</v>
      </c>
      <c r="AY24" s="2163">
        <v>124.76</v>
      </c>
      <c r="AZ24" s="2163">
        <v>86.7</v>
      </c>
      <c r="BA24" s="2163">
        <f t="shared" si="53"/>
        <v>128.62739000000002</v>
      </c>
      <c r="BB24" s="2163">
        <v>75.757000000000005</v>
      </c>
      <c r="BC24" s="2667">
        <v>3.0000000000000001E-3</v>
      </c>
      <c r="BD24" s="2163">
        <v>52.293999999999997</v>
      </c>
      <c r="BE24" s="2163">
        <v>2.4E-2</v>
      </c>
      <c r="BF24" s="2612">
        <f>(166.11+61.28)/1000</f>
        <v>0.22739000000000001</v>
      </c>
      <c r="BG24" s="2163">
        <v>0.32200000000000001</v>
      </c>
      <c r="BH24" s="2163">
        <f t="shared" si="9"/>
        <v>585.04999999999995</v>
      </c>
      <c r="BI24" s="2163">
        <v>339.96</v>
      </c>
      <c r="BJ24" s="2163">
        <v>245.09</v>
      </c>
      <c r="BK24" s="2163">
        <f>AU24</f>
        <v>131.28384</v>
      </c>
      <c r="BL24" s="2163">
        <f t="shared" si="74"/>
        <v>76.315982866423809</v>
      </c>
      <c r="BM24" s="2163">
        <f t="shared" si="75"/>
        <v>49.415738113277961</v>
      </c>
      <c r="BN24" s="2163">
        <f t="shared" si="76"/>
        <v>5.2382738849429229</v>
      </c>
      <c r="BO24" s="2163">
        <f t="shared" si="77"/>
        <v>0.31384513535528946</v>
      </c>
      <c r="BP24" s="2163">
        <f>SUM(BK24*1.046)</f>
        <v>137.32289664000001</v>
      </c>
      <c r="BQ24" s="2163">
        <f>SUM(BP24*BB50)</f>
        <v>80.787566426598914</v>
      </c>
      <c r="BR24" s="2667">
        <f>SUM(BP24*BC50)</f>
        <v>3.6539864787067718E-3</v>
      </c>
      <c r="BS24" s="2163">
        <f>SUM(BP24*BD50)</f>
        <v>55.845532994084998</v>
      </c>
      <c r="BT24" s="2163">
        <f>SUM(BP24*BE50)</f>
        <v>2.7692631511780062E-2</v>
      </c>
      <c r="BU24" s="2163">
        <f>SUM(BP24*BF50)</f>
        <v>0.28503018879583436</v>
      </c>
      <c r="BV24" s="2163">
        <f>SUM(BP24*BG50)</f>
        <v>0.37342041252978786</v>
      </c>
      <c r="BW24" s="2163">
        <f t="shared" si="55"/>
        <v>133.87013164800001</v>
      </c>
      <c r="BX24" s="2163">
        <f t="shared" si="78"/>
        <v>77.819407728892372</v>
      </c>
      <c r="BY24" s="2163">
        <f t="shared" si="79"/>
        <v>50.389228154109546</v>
      </c>
      <c r="BZ24" s="2163">
        <f t="shared" si="80"/>
        <v>5.3414678804762987</v>
      </c>
      <c r="CA24" s="2163">
        <f t="shared" si="81"/>
        <v>0.32002788452178871</v>
      </c>
      <c r="CB24" s="2163">
        <f t="shared" si="56"/>
        <v>89.21</v>
      </c>
      <c r="CC24" s="2163">
        <v>51.99</v>
      </c>
      <c r="CD24" s="2163">
        <v>0.02</v>
      </c>
      <c r="CE24" s="2163">
        <v>35.49</v>
      </c>
      <c r="CF24" s="2163">
        <v>0.11</v>
      </c>
      <c r="CG24" s="2163">
        <v>0</v>
      </c>
      <c r="CH24" s="2163">
        <v>1.6</v>
      </c>
      <c r="CI24" s="2163">
        <f t="shared" si="57"/>
        <v>136.31673999999998</v>
      </c>
      <c r="CJ24" s="2163">
        <v>80.044359999999998</v>
      </c>
      <c r="CK24" s="2163">
        <v>2.3400000000000001E-2</v>
      </c>
      <c r="CL24" s="2163">
        <v>53.326090000000001</v>
      </c>
      <c r="CM24" s="2163">
        <v>0.14971000000000001</v>
      </c>
      <c r="CN24" s="2163">
        <v>0</v>
      </c>
      <c r="CO24" s="2163">
        <v>2.77318</v>
      </c>
      <c r="CP24" s="2163">
        <f t="shared" si="58"/>
        <v>182.14000000000001</v>
      </c>
      <c r="CQ24" s="2163">
        <v>106.57</v>
      </c>
      <c r="CR24" s="2163">
        <v>0.03</v>
      </c>
      <c r="CS24" s="2163">
        <v>70.64</v>
      </c>
      <c r="CT24" s="2163">
        <v>0.21</v>
      </c>
      <c r="CU24" s="2163">
        <v>0</v>
      </c>
      <c r="CV24" s="2163">
        <v>4.6900000000000004</v>
      </c>
      <c r="CW24" s="2489">
        <f t="shared" si="59"/>
        <v>188.61325560000003</v>
      </c>
      <c r="CX24" s="2489">
        <f>SUM(CW24*CX50)</f>
        <v>110.37108985791863</v>
      </c>
      <c r="CY24" s="2489">
        <f>SUM(CW24*CY50)</f>
        <v>3.074355498886544E-2</v>
      </c>
      <c r="CZ24" s="2489">
        <f>SUM(CW24*CZ50)</f>
        <v>73.155267863680038</v>
      </c>
      <c r="DA24" s="2489">
        <f>SUM(CW24*DA50)</f>
        <v>0.2116306447096131</v>
      </c>
      <c r="DB24" s="2489">
        <f>SUM(CW24*DB50)</f>
        <v>0</v>
      </c>
      <c r="DC24" s="2489">
        <f>SUM(CW24*DC50)</f>
        <v>4.8445236787028705</v>
      </c>
      <c r="DD24" s="4080">
        <f t="shared" si="60"/>
        <v>79.969677337902056</v>
      </c>
      <c r="DE24" s="4080">
        <f t="shared" si="61"/>
        <v>51.781559824105145</v>
      </c>
      <c r="DF24" s="2489">
        <f t="shared" si="62"/>
        <v>91.814440000000005</v>
      </c>
      <c r="DG24" s="2489">
        <v>52.117429999999999</v>
      </c>
      <c r="DH24" s="2489">
        <v>1.2919999999999999E-2</v>
      </c>
      <c r="DI24" s="2489">
        <v>36.947330000000001</v>
      </c>
      <c r="DJ24" s="2489">
        <v>0.10069</v>
      </c>
      <c r="DK24" s="2489">
        <v>0</v>
      </c>
      <c r="DL24" s="2489">
        <v>2.6360700000000001</v>
      </c>
      <c r="DM24" s="2489">
        <f t="shared" si="63"/>
        <v>137.50653</v>
      </c>
      <c r="DN24" s="2489">
        <v>78.140010000000004</v>
      </c>
      <c r="DO24" s="2489">
        <v>2.1850000000000001E-2</v>
      </c>
      <c r="DP24" s="2489">
        <v>55.331789999999998</v>
      </c>
      <c r="DQ24" s="2489">
        <v>0.14726</v>
      </c>
      <c r="DR24" s="2489">
        <v>0</v>
      </c>
      <c r="DS24" s="2489">
        <v>3.8656199999999998</v>
      </c>
      <c r="DT24" s="3999">
        <f t="shared" si="64"/>
        <v>182.14000000000001</v>
      </c>
      <c r="DU24" s="3999">
        <v>106.57</v>
      </c>
      <c r="DV24" s="3999">
        <v>0.03</v>
      </c>
      <c r="DW24" s="3999">
        <v>70.64</v>
      </c>
      <c r="DX24" s="3999">
        <v>0.21</v>
      </c>
      <c r="DY24" s="3999">
        <v>0</v>
      </c>
      <c r="DZ24" s="3999">
        <v>4.6900000000000004</v>
      </c>
      <c r="EA24" s="2698" t="s">
        <v>1927</v>
      </c>
    </row>
    <row r="25" spans="1:132" ht="24" customHeight="1" x14ac:dyDescent="0.2">
      <c r="A25" s="3519" t="s">
        <v>36</v>
      </c>
      <c r="B25" s="3380">
        <v>355.7</v>
      </c>
      <c r="C25" s="3380">
        <v>201.4</v>
      </c>
      <c r="D25" s="2158">
        <f t="shared" si="65"/>
        <v>56.620747821197639</v>
      </c>
      <c r="E25" s="3380">
        <v>15.5</v>
      </c>
      <c r="F25" s="2158">
        <f>E25/C25*100</f>
        <v>7.6961271102284012</v>
      </c>
      <c r="G25" s="2159">
        <v>0</v>
      </c>
      <c r="H25" s="2158">
        <f t="shared" si="66"/>
        <v>0</v>
      </c>
      <c r="I25" s="2160">
        <v>0</v>
      </c>
      <c r="J25" s="2160">
        <v>0</v>
      </c>
      <c r="K25" s="2160">
        <v>0</v>
      </c>
      <c r="L25" s="2160"/>
      <c r="M25" s="2164"/>
      <c r="N25" s="2160">
        <v>0</v>
      </c>
      <c r="O25" s="2160"/>
      <c r="P25" s="2160"/>
      <c r="Q25" s="2160"/>
      <c r="R25" s="2160"/>
      <c r="S25" s="2159">
        <f>K25*1.049</f>
        <v>0</v>
      </c>
      <c r="T25" s="2162"/>
      <c r="U25" s="2163" t="e">
        <f>R25*#REF!</f>
        <v>#REF!</v>
      </c>
      <c r="V25" s="2163" t="e">
        <f>R25*#REF!</f>
        <v>#REF!</v>
      </c>
      <c r="W25" s="2163">
        <f t="shared" si="68"/>
        <v>0</v>
      </c>
      <c r="X25" s="2163">
        <f t="shared" si="69"/>
        <v>0</v>
      </c>
      <c r="Y25" s="2163"/>
      <c r="Z25" s="2163"/>
      <c r="AA25" s="2163"/>
      <c r="AB25" s="2160">
        <v>0</v>
      </c>
      <c r="AC25" s="2159">
        <f>R25*1.049</f>
        <v>0</v>
      </c>
      <c r="AD25" s="2163">
        <f t="shared" si="70"/>
        <v>0</v>
      </c>
      <c r="AE25" s="2163">
        <f t="shared" si="71"/>
        <v>0</v>
      </c>
      <c r="AF25" s="3518"/>
      <c r="AG25" s="3518"/>
      <c r="AH25" s="2163">
        <v>0</v>
      </c>
      <c r="AI25" s="2163">
        <v>0</v>
      </c>
      <c r="AJ25" s="2159">
        <f t="shared" ref="AJ25:AJ37" si="84">SUM(AA25*1.1)</f>
        <v>0</v>
      </c>
      <c r="AK25" s="2163">
        <f>AJ25*AI56</f>
        <v>0</v>
      </c>
      <c r="AL25" s="2163">
        <f>AJ25*AI57</f>
        <v>0</v>
      </c>
      <c r="AM25" s="3518"/>
      <c r="AN25" s="3518"/>
      <c r="AO25" s="2615">
        <v>0</v>
      </c>
      <c r="AP25" s="2163">
        <f t="shared" si="72"/>
        <v>0</v>
      </c>
      <c r="AQ25" s="2163">
        <f t="shared" si="73"/>
        <v>0</v>
      </c>
      <c r="AR25" s="2163">
        <f t="shared" si="5"/>
        <v>0</v>
      </c>
      <c r="AS25" s="2163">
        <v>0</v>
      </c>
      <c r="AT25" s="2163">
        <v>0</v>
      </c>
      <c r="AU25" s="2163">
        <f t="shared" si="6"/>
        <v>0</v>
      </c>
      <c r="AV25" s="2163">
        <v>0</v>
      </c>
      <c r="AW25" s="2163">
        <v>0</v>
      </c>
      <c r="AX25" s="2163">
        <f t="shared" si="82"/>
        <v>0</v>
      </c>
      <c r="AY25" s="2163">
        <v>0</v>
      </c>
      <c r="AZ25" s="2163">
        <v>0</v>
      </c>
      <c r="BA25" s="2163">
        <f t="shared" si="53"/>
        <v>0</v>
      </c>
      <c r="BB25" s="2163">
        <v>0</v>
      </c>
      <c r="BC25" s="2163">
        <v>0</v>
      </c>
      <c r="BD25" s="2163">
        <v>0</v>
      </c>
      <c r="BE25" s="2163">
        <v>0</v>
      </c>
      <c r="BF25" s="2163">
        <v>0</v>
      </c>
      <c r="BG25" s="2163">
        <v>0</v>
      </c>
      <c r="BH25" s="2163">
        <f t="shared" si="9"/>
        <v>0</v>
      </c>
      <c r="BI25" s="2163">
        <v>0</v>
      </c>
      <c r="BJ25" s="2163">
        <v>0</v>
      </c>
      <c r="BK25" s="2163">
        <f>'цех вода'!AM38+'цех стоки'!AN36</f>
        <v>1291.1299999999999</v>
      </c>
      <c r="BL25" s="2163">
        <f t="shared" si="74"/>
        <v>750.54062219939465</v>
      </c>
      <c r="BM25" s="2163">
        <f t="shared" si="75"/>
        <v>485.9862565735171</v>
      </c>
      <c r="BN25" s="2163">
        <f t="shared" si="76"/>
        <v>51.516565641790756</v>
      </c>
      <c r="BO25" s="2163">
        <f t="shared" si="77"/>
        <v>3.0865555852972828</v>
      </c>
      <c r="BP25" s="2163">
        <f>SUM(BK25*1.046)</f>
        <v>1350.52198</v>
      </c>
      <c r="BQ25" s="2163">
        <f>SUM(BP25*BB50)</f>
        <v>794.51706044228024</v>
      </c>
      <c r="BR25" s="2667">
        <f>SUM(BP25*BC50)</f>
        <v>3.5935660948466119E-2</v>
      </c>
      <c r="BS25" s="2163">
        <f>SUM(BP25*BD50)</f>
        <v>549.22100857693499</v>
      </c>
      <c r="BT25" s="2163">
        <f>SUM(BP25*BE50)</f>
        <v>0.27234720833732917</v>
      </c>
      <c r="BU25" s="2163">
        <f>SUM(BP25*BF50)</f>
        <v>2.8031708065514049</v>
      </c>
      <c r="BV25" s="2163">
        <f>SUM(BP25*BG50)</f>
        <v>3.6724573049476992</v>
      </c>
      <c r="BW25" s="2163">
        <f t="shared" si="55"/>
        <v>1316.5652609999997</v>
      </c>
      <c r="BX25" s="2163">
        <f t="shared" si="78"/>
        <v>765.32627245672256</v>
      </c>
      <c r="BY25" s="2163">
        <f t="shared" si="79"/>
        <v>495.56018582801534</v>
      </c>
      <c r="BZ25" s="2163">
        <f t="shared" si="80"/>
        <v>52.531441984934027</v>
      </c>
      <c r="CA25" s="2163">
        <f t="shared" si="81"/>
        <v>3.1473607303276387</v>
      </c>
      <c r="CB25" s="2163">
        <f t="shared" si="56"/>
        <v>0</v>
      </c>
      <c r="CC25" s="2163">
        <v>0</v>
      </c>
      <c r="CD25" s="2163">
        <v>0</v>
      </c>
      <c r="CE25" s="2163">
        <v>0</v>
      </c>
      <c r="CF25" s="2163">
        <v>0</v>
      </c>
      <c r="CG25" s="2163">
        <v>0</v>
      </c>
      <c r="CH25" s="2163">
        <v>0</v>
      </c>
      <c r="CI25" s="2163">
        <f t="shared" si="57"/>
        <v>0</v>
      </c>
      <c r="CJ25" s="2163">
        <v>0</v>
      </c>
      <c r="CK25" s="2163">
        <v>0</v>
      </c>
      <c r="CL25" s="2163">
        <v>0</v>
      </c>
      <c r="CM25" s="2163">
        <v>0</v>
      </c>
      <c r="CN25" s="2163">
        <v>0</v>
      </c>
      <c r="CO25" s="2163">
        <v>0</v>
      </c>
      <c r="CP25" s="2163">
        <f t="shared" si="58"/>
        <v>0</v>
      </c>
      <c r="CQ25" s="2163">
        <v>0</v>
      </c>
      <c r="CR25" s="2163">
        <v>0</v>
      </c>
      <c r="CS25" s="2163">
        <v>0</v>
      </c>
      <c r="CT25" s="2163">
        <v>0</v>
      </c>
      <c r="CU25" s="2163">
        <v>0</v>
      </c>
      <c r="CV25" s="2163">
        <v>0</v>
      </c>
      <c r="CW25" s="2489">
        <f t="shared" si="59"/>
        <v>0</v>
      </c>
      <c r="CX25" s="2489">
        <f>SUM(CW25*CX50)</f>
        <v>0</v>
      </c>
      <c r="CY25" s="2489">
        <f>SUM(CW25*CY50)</f>
        <v>0</v>
      </c>
      <c r="CZ25" s="2489">
        <f>SUM(CW25*CZ50)</f>
        <v>0</v>
      </c>
      <c r="DA25" s="2489">
        <f>SUM(CW25*DA50)</f>
        <v>0</v>
      </c>
      <c r="DB25" s="2489">
        <f>SUM(CW25*DB50)</f>
        <v>0</v>
      </c>
      <c r="DC25" s="2489">
        <f>SUM(CW25*DC50)</f>
        <v>0</v>
      </c>
      <c r="DD25" s="4080">
        <v>186.05</v>
      </c>
      <c r="DE25" s="4080">
        <f t="shared" si="61"/>
        <v>509.253273942146</v>
      </c>
      <c r="DF25" s="2489">
        <f t="shared" si="62"/>
        <v>0</v>
      </c>
      <c r="DG25" s="2489">
        <v>0</v>
      </c>
      <c r="DH25" s="2489">
        <v>0</v>
      </c>
      <c r="DI25" s="2489">
        <v>0</v>
      </c>
      <c r="DJ25" s="2489">
        <v>0</v>
      </c>
      <c r="DK25" s="2489">
        <v>0</v>
      </c>
      <c r="DL25" s="2489">
        <v>0</v>
      </c>
      <c r="DM25" s="2489">
        <f t="shared" si="63"/>
        <v>0</v>
      </c>
      <c r="DN25" s="2489">
        <v>0</v>
      </c>
      <c r="DO25" s="2489">
        <v>0</v>
      </c>
      <c r="DP25" s="2489">
        <v>0</v>
      </c>
      <c r="DQ25" s="2489">
        <v>0</v>
      </c>
      <c r="DR25" s="2489">
        <v>0</v>
      </c>
      <c r="DS25" s="2489">
        <v>0</v>
      </c>
      <c r="DT25" s="3999">
        <f t="shared" si="64"/>
        <v>0</v>
      </c>
      <c r="DU25" s="3999">
        <v>0</v>
      </c>
      <c r="DV25" s="3999">
        <v>0</v>
      </c>
      <c r="DW25" s="3999">
        <v>0</v>
      </c>
      <c r="DX25" s="3999">
        <v>0</v>
      </c>
      <c r="DY25" s="3999">
        <v>0</v>
      </c>
      <c r="DZ25" s="3999">
        <v>0</v>
      </c>
      <c r="EA25" s="2698" t="s">
        <v>2067</v>
      </c>
    </row>
    <row r="26" spans="1:132" ht="24" customHeight="1" x14ac:dyDescent="0.2">
      <c r="A26" s="3519" t="s">
        <v>3959</v>
      </c>
      <c r="B26" s="3380"/>
      <c r="C26" s="3380"/>
      <c r="D26" s="2158"/>
      <c r="E26" s="3380"/>
      <c r="F26" s="2158"/>
      <c r="G26" s="2159">
        <v>6</v>
      </c>
      <c r="H26" s="2158"/>
      <c r="I26" s="2160"/>
      <c r="J26" s="2160">
        <v>10.5</v>
      </c>
      <c r="K26" s="2160">
        <v>10.5</v>
      </c>
      <c r="L26" s="2160">
        <v>10.5</v>
      </c>
      <c r="M26" s="2164">
        <f>K26/G26*100</f>
        <v>175</v>
      </c>
      <c r="N26" s="2160">
        <v>0</v>
      </c>
      <c r="O26" s="2160"/>
      <c r="P26" s="2160">
        <v>12.746</v>
      </c>
      <c r="Q26" s="2160">
        <v>12.7</v>
      </c>
      <c r="R26" s="2160">
        <v>12.36</v>
      </c>
      <c r="S26" s="2159">
        <f>R26</f>
        <v>12.36</v>
      </c>
      <c r="T26" s="2162"/>
      <c r="U26" s="2163" t="e">
        <f>R26*#REF!</f>
        <v>#REF!</v>
      </c>
      <c r="V26" s="2163" t="e">
        <f>R26*#REF!</f>
        <v>#REF!</v>
      </c>
      <c r="W26" s="2163">
        <f t="shared" si="68"/>
        <v>7.0573012718600943</v>
      </c>
      <c r="X26" s="2163">
        <f t="shared" si="69"/>
        <v>5.0126530206677247</v>
      </c>
      <c r="Y26" s="2163"/>
      <c r="Z26" s="2163">
        <v>11.9</v>
      </c>
      <c r="AA26" s="2163">
        <v>11.9</v>
      </c>
      <c r="AB26" s="2160">
        <v>13.2</v>
      </c>
      <c r="AC26" s="2159">
        <f>AB26</f>
        <v>13.2</v>
      </c>
      <c r="AD26" s="2163">
        <f t="shared" si="70"/>
        <v>7.814389182099549</v>
      </c>
      <c r="AE26" s="2163">
        <f t="shared" si="71"/>
        <v>5.2800085180318499</v>
      </c>
      <c r="AF26" s="3518">
        <f t="shared" ref="AF26:AF39" si="85">AD26/W26</f>
        <v>1.1072772552956223</v>
      </c>
      <c r="AG26" s="3518">
        <f t="shared" ref="AG26:AG39" si="86">AE26/X26</f>
        <v>1.0533361268497519</v>
      </c>
      <c r="AH26" s="2163">
        <v>5.82</v>
      </c>
      <c r="AI26" s="2163">
        <v>6.39</v>
      </c>
      <c r="AJ26" s="2159">
        <f t="shared" si="84"/>
        <v>13.090000000000002</v>
      </c>
      <c r="AK26" s="2163">
        <f>AJ26*AI56</f>
        <v>7.8016400000000008</v>
      </c>
      <c r="AL26" s="2163">
        <f>AJ26*AI57</f>
        <v>5.2883600000000008</v>
      </c>
      <c r="AM26" s="3518">
        <f t="shared" ref="AM26:AN31" si="87">AK26/AD26</f>
        <v>0.99836849921312432</v>
      </c>
      <c r="AN26" s="3518">
        <f t="shared" si="87"/>
        <v>1.0015817175179982</v>
      </c>
      <c r="AO26" s="2615">
        <f>AJ26</f>
        <v>13.090000000000002</v>
      </c>
      <c r="AP26" s="2163">
        <f t="shared" si="72"/>
        <v>7.1229887263287761</v>
      </c>
      <c r="AQ26" s="2163">
        <f t="shared" si="73"/>
        <v>5.8964706051340547</v>
      </c>
      <c r="AR26" s="2163">
        <f t="shared" si="5"/>
        <v>4.5600000000000005</v>
      </c>
      <c r="AS26" s="2163">
        <v>2.69</v>
      </c>
      <c r="AT26" s="2163">
        <v>1.87</v>
      </c>
      <c r="AU26" s="2163">
        <f t="shared" si="6"/>
        <v>5.0889699999999998</v>
      </c>
      <c r="AV26" s="2163">
        <v>2.9516</v>
      </c>
      <c r="AW26" s="2163">
        <v>2.1373700000000002</v>
      </c>
      <c r="AX26" s="2163">
        <f t="shared" si="82"/>
        <v>14.29</v>
      </c>
      <c r="AY26" s="2163">
        <v>8.43</v>
      </c>
      <c r="AZ26" s="2163">
        <v>5.86</v>
      </c>
      <c r="BA26" s="2163">
        <f t="shared" si="53"/>
        <v>6.1180000000000003</v>
      </c>
      <c r="BB26" s="2163">
        <v>3.6070000000000002</v>
      </c>
      <c r="BC26" s="2163">
        <v>0</v>
      </c>
      <c r="BD26" s="2163">
        <v>2.5110000000000001</v>
      </c>
      <c r="BE26" s="2163">
        <v>0</v>
      </c>
      <c r="BF26" s="2163">
        <v>0</v>
      </c>
      <c r="BG26" s="2163">
        <v>0</v>
      </c>
      <c r="BH26" s="2163">
        <f t="shared" si="9"/>
        <v>50.35</v>
      </c>
      <c r="BI26" s="2163">
        <v>29.26</v>
      </c>
      <c r="BJ26" s="2163">
        <v>21.09</v>
      </c>
      <c r="BK26" s="2163">
        <f>AU26*1.027*1.046</f>
        <v>5.4667853107399997</v>
      </c>
      <c r="BL26" s="2163">
        <f t="shared" si="74"/>
        <v>3.1778708949163219</v>
      </c>
      <c r="BM26" s="2163">
        <f t="shared" si="75"/>
        <v>2.0577188421441872</v>
      </c>
      <c r="BN26" s="2163">
        <f t="shared" si="76"/>
        <v>0.21812676052009844</v>
      </c>
      <c r="BO26" s="2163">
        <f t="shared" si="77"/>
        <v>1.306881315939192E-2</v>
      </c>
      <c r="BP26" s="2163">
        <f>SUM(BA26*1.046)</f>
        <v>6.3994280000000003</v>
      </c>
      <c r="BQ26" s="2163">
        <f>SUM(BP26*BB50)</f>
        <v>3.7648070881986095</v>
      </c>
      <c r="BR26" s="2612">
        <f>SUM(BP26*BC50)</f>
        <v>1.7028058652708537E-4</v>
      </c>
      <c r="BS26" s="2163">
        <f>SUM(BP26*BD50)</f>
        <v>2.6024754521029552</v>
      </c>
      <c r="BT26" s="2667">
        <f>SUM(BP26*BE50)</f>
        <v>1.2905131323784436E-3</v>
      </c>
      <c r="BU26" s="2163">
        <f>SUM(BP26*BF50)</f>
        <v>1.3282782519561545E-2</v>
      </c>
      <c r="BV26" s="2163">
        <f>SUM(BP26*BG50)</f>
        <v>1.7401883459969195E-2</v>
      </c>
      <c r="BW26" s="2163">
        <f t="shared" si="55"/>
        <v>5.5744809813615781</v>
      </c>
      <c r="BX26" s="2163">
        <f t="shared" si="78"/>
        <v>3.2404749515461737</v>
      </c>
      <c r="BY26" s="2163">
        <f t="shared" si="79"/>
        <v>2.0982559033344277</v>
      </c>
      <c r="BZ26" s="2163">
        <f t="shared" si="80"/>
        <v>0.22242385770234441</v>
      </c>
      <c r="CA26" s="2163">
        <f t="shared" si="81"/>
        <v>1.3326268778631942E-2</v>
      </c>
      <c r="CB26" s="2163">
        <f t="shared" si="56"/>
        <v>194.99999999999997</v>
      </c>
      <c r="CC26" s="2163">
        <f>41.77+72.02</f>
        <v>113.78999999999999</v>
      </c>
      <c r="CD26" s="2163">
        <f>0.01+0.02</f>
        <v>0.03</v>
      </c>
      <c r="CE26" s="2163">
        <f>27.72+50.17</f>
        <v>77.89</v>
      </c>
      <c r="CF26" s="2163">
        <f>0.07+0.13</f>
        <v>0.2</v>
      </c>
      <c r="CG26" s="2163">
        <v>0</v>
      </c>
      <c r="CH26" s="2163">
        <f>1.26+1.83</f>
        <v>3.09</v>
      </c>
      <c r="CI26" s="2163">
        <f t="shared" si="57"/>
        <v>230.14323999999999</v>
      </c>
      <c r="CJ26" s="2163">
        <f>44.50537+90.66476</f>
        <v>135.17013</v>
      </c>
      <c r="CK26" s="2163">
        <f>0.01126+0.0247</f>
        <v>3.5959999999999999E-2</v>
      </c>
      <c r="CL26" s="2163">
        <f>29.46592+61.35296</f>
        <v>90.818880000000007</v>
      </c>
      <c r="CM26" s="2163">
        <f>0.07647+0.13902</f>
        <v>0.21549000000000001</v>
      </c>
      <c r="CN26" s="2163">
        <v>0</v>
      </c>
      <c r="CO26" s="2163">
        <f>1.40766+2.49512</f>
        <v>3.9027799999999999</v>
      </c>
      <c r="CP26" s="2163">
        <f t="shared" si="58"/>
        <v>230.15499999999997</v>
      </c>
      <c r="CQ26" s="2163">
        <f>44.51+90.66</f>
        <v>135.16999999999999</v>
      </c>
      <c r="CR26" s="2163">
        <f>0.01+0.025</f>
        <v>3.5000000000000003E-2</v>
      </c>
      <c r="CS26" s="2163">
        <f>29.47+61.35</f>
        <v>90.82</v>
      </c>
      <c r="CT26" s="2163">
        <f>0.08+0.14</f>
        <v>0.22000000000000003</v>
      </c>
      <c r="CU26" s="2163">
        <v>0</v>
      </c>
      <c r="CV26" s="2163">
        <f>1.41+2.5</f>
        <v>3.91</v>
      </c>
      <c r="CW26" s="2489">
        <f t="shared" si="59"/>
        <v>238.33470869999996</v>
      </c>
      <c r="CX26" s="2489">
        <f>SUM(CW26*CX50)</f>
        <v>139.46666402903949</v>
      </c>
      <c r="CY26" s="2489">
        <f>SUM(CW26*CY50)</f>
        <v>3.8848044902066121E-2</v>
      </c>
      <c r="CZ26" s="2489">
        <f>SUM(CW26*CZ50)</f>
        <v>92.440159630862382</v>
      </c>
      <c r="DA26" s="2489">
        <f>SUM(CW26*DA50)</f>
        <v>0.26741984755210818</v>
      </c>
      <c r="DB26" s="2489">
        <f>SUM(CW26*DB50)</f>
        <v>0</v>
      </c>
      <c r="DC26" s="2489">
        <f>SUM(CW26*DC50)</f>
        <v>6.1216171476438941</v>
      </c>
      <c r="DD26" s="4080">
        <f t="shared" si="60"/>
        <v>3.3300142452830479</v>
      </c>
      <c r="DE26" s="4080">
        <f t="shared" si="61"/>
        <v>2.1562339326273712</v>
      </c>
      <c r="DF26" s="2489">
        <f t="shared" si="62"/>
        <v>48.820529999999998</v>
      </c>
      <c r="DG26" s="2489">
        <v>28.06991</v>
      </c>
      <c r="DH26" s="2489">
        <v>6.43E-3</v>
      </c>
      <c r="DI26" s="2489">
        <v>18.918019999999999</v>
      </c>
      <c r="DJ26" s="2489">
        <v>4.7500000000000001E-2</v>
      </c>
      <c r="DK26" s="2489">
        <v>0</v>
      </c>
      <c r="DL26" s="2489">
        <v>1.77867</v>
      </c>
      <c r="DM26" s="2489">
        <f t="shared" si="63"/>
        <v>49.088439999999991</v>
      </c>
      <c r="DN26" s="2489">
        <f>0.1531+28.06991</f>
        <v>28.223009999999999</v>
      </c>
      <c r="DO26" s="2489">
        <f>0.00004+0.00643</f>
        <v>6.4700000000000001E-3</v>
      </c>
      <c r="DP26" s="2489">
        <f>0.11144+18.91802</f>
        <v>19.02946</v>
      </c>
      <c r="DQ26" s="2489">
        <v>4.7500000000000001E-2</v>
      </c>
      <c r="DR26" s="2489">
        <v>0</v>
      </c>
      <c r="DS26" s="2489">
        <f>0.00333+1.77867</f>
        <v>1.782</v>
      </c>
      <c r="DT26" s="3999">
        <f t="shared" si="64"/>
        <v>230.15499999999997</v>
      </c>
      <c r="DU26" s="3999">
        <f>44.51+90.66</f>
        <v>135.16999999999999</v>
      </c>
      <c r="DV26" s="3999">
        <f>0.01+0.025</f>
        <v>3.5000000000000003E-2</v>
      </c>
      <c r="DW26" s="3999">
        <f>29.47+61.35</f>
        <v>90.82</v>
      </c>
      <c r="DX26" s="3999">
        <f>0.08+0.14</f>
        <v>0.22000000000000003</v>
      </c>
      <c r="DY26" s="3999">
        <v>0</v>
      </c>
      <c r="DZ26" s="3999">
        <f>1.41+2.5</f>
        <v>3.91</v>
      </c>
      <c r="EA26" s="2699" t="s">
        <v>1923</v>
      </c>
    </row>
    <row r="27" spans="1:132" ht="24" customHeight="1" x14ac:dyDescent="0.2">
      <c r="A27" s="3519" t="s">
        <v>37</v>
      </c>
      <c r="B27" s="3380">
        <v>131.4</v>
      </c>
      <c r="C27" s="3380">
        <v>189</v>
      </c>
      <c r="D27" s="2158">
        <f t="shared" ref="D27:D40" si="88">C27/B27*100</f>
        <v>143.83561643835617</v>
      </c>
      <c r="E27" s="3380">
        <v>188</v>
      </c>
      <c r="F27" s="2158">
        <f t="shared" ref="F27:F39" si="89">E27/C27*100</f>
        <v>99.470899470899468</v>
      </c>
      <c r="G27" s="2159">
        <f>166.8+12.3+1</f>
        <v>180.10000000000002</v>
      </c>
      <c r="H27" s="2158">
        <f t="shared" ref="H27:H39" si="90">G27/E27*100</f>
        <v>95.797872340425556</v>
      </c>
      <c r="I27" s="2160">
        <v>145.4</v>
      </c>
      <c r="J27" s="2160">
        <f>149.1+8.8</f>
        <v>157.9</v>
      </c>
      <c r="K27" s="2160">
        <v>170</v>
      </c>
      <c r="L27" s="2160">
        <v>164.9</v>
      </c>
      <c r="M27" s="2164">
        <f>K27/G27*100</f>
        <v>94.392004441976667</v>
      </c>
      <c r="N27" s="2160">
        <v>170</v>
      </c>
      <c r="O27" s="2160">
        <f>42.4+13.5</f>
        <v>55.9</v>
      </c>
      <c r="P27" s="2160">
        <f>116.0149+23.8634</f>
        <v>139.8783</v>
      </c>
      <c r="Q27" s="2160">
        <v>206.9</v>
      </c>
      <c r="R27" s="2160">
        <v>175.1</v>
      </c>
      <c r="S27" s="2159">
        <f>R27</f>
        <v>175.1</v>
      </c>
      <c r="T27" s="2162">
        <f t="shared" ref="T27:T33" si="91">S27/N27</f>
        <v>1.03</v>
      </c>
      <c r="U27" s="2163" t="e">
        <f>R27*#REF!</f>
        <v>#REF!</v>
      </c>
      <c r="V27" s="2163" t="e">
        <f>R27*#REF!</f>
        <v>#REF!</v>
      </c>
      <c r="W27" s="2163">
        <f t="shared" si="68"/>
        <v>99.978434684684672</v>
      </c>
      <c r="X27" s="2163">
        <f t="shared" si="69"/>
        <v>71.012584459459433</v>
      </c>
      <c r="Y27" s="2163">
        <v>83.42</v>
      </c>
      <c r="Z27" s="2163">
        <v>235.47</v>
      </c>
      <c r="AA27" s="2163">
        <v>324.43</v>
      </c>
      <c r="AB27" s="2160">
        <v>187.7</v>
      </c>
      <c r="AC27" s="2159">
        <f>AB27</f>
        <v>187.7</v>
      </c>
      <c r="AD27" s="2163">
        <f t="shared" si="70"/>
        <v>111.11824617273375</v>
      </c>
      <c r="AE27" s="2163">
        <f t="shared" si="71"/>
        <v>75.080121123831688</v>
      </c>
      <c r="AF27" s="3518">
        <f t="shared" si="85"/>
        <v>1.1114221434170497</v>
      </c>
      <c r="AG27" s="3518">
        <f t="shared" si="86"/>
        <v>1.0572790963085477</v>
      </c>
      <c r="AH27" s="2163">
        <v>67.86</v>
      </c>
      <c r="AI27" s="2163">
        <v>217.83</v>
      </c>
      <c r="AJ27" s="2159">
        <f t="shared" si="84"/>
        <v>356.87300000000005</v>
      </c>
      <c r="AK27" s="2163">
        <f>AJ27*AI56</f>
        <v>212.69630800000002</v>
      </c>
      <c r="AL27" s="2163">
        <f>AJ27*AI57</f>
        <v>144.17669200000003</v>
      </c>
      <c r="AM27" s="3518">
        <f t="shared" si="87"/>
        <v>1.914143854190812</v>
      </c>
      <c r="AN27" s="3518">
        <f t="shared" si="87"/>
        <v>1.9203044673064058</v>
      </c>
      <c r="AO27" s="2615">
        <f>AI27/3*4*1.062</f>
        <v>308.44728000000003</v>
      </c>
      <c r="AP27" s="2163">
        <f t="shared" si="72"/>
        <v>167.84312437790493</v>
      </c>
      <c r="AQ27" s="2163">
        <f t="shared" si="73"/>
        <v>138.94196483984365</v>
      </c>
      <c r="AR27" s="2163">
        <f t="shared" si="5"/>
        <v>244.73</v>
      </c>
      <c r="AS27" s="2163">
        <v>144.38999999999999</v>
      </c>
      <c r="AT27" s="2163">
        <v>100.34</v>
      </c>
      <c r="AU27" s="2163">
        <f t="shared" si="6"/>
        <v>433</v>
      </c>
      <c r="AV27" s="2163">
        <v>249.5</v>
      </c>
      <c r="AW27" s="2163">
        <v>183.5</v>
      </c>
      <c r="AX27" s="2163">
        <f t="shared" si="82"/>
        <v>336.73</v>
      </c>
      <c r="AY27" s="2163">
        <v>198.67</v>
      </c>
      <c r="AZ27" s="2163">
        <v>138.06</v>
      </c>
      <c r="BA27" s="2163">
        <f t="shared" si="53"/>
        <v>360.99227999999994</v>
      </c>
      <c r="BB27" s="2163">
        <f>136.075+76.928</f>
        <v>213.00299999999999</v>
      </c>
      <c r="BC27" s="2163">
        <v>0</v>
      </c>
      <c r="BD27" s="2163">
        <f>94.829+51.965</f>
        <v>146.79399999999998</v>
      </c>
      <c r="BE27" s="2163">
        <v>0</v>
      </c>
      <c r="BF27" s="2612">
        <v>0.48208000000000001</v>
      </c>
      <c r="BG27" s="2612">
        <v>0.71319999999999995</v>
      </c>
      <c r="BH27" s="2163">
        <f t="shared" si="9"/>
        <v>459.44000000000005</v>
      </c>
      <c r="BI27" s="2163">
        <v>266.97000000000003</v>
      </c>
      <c r="BJ27" s="2163">
        <v>192.47</v>
      </c>
      <c r="BK27" s="2163">
        <f>(AR27+AU27)/2*1.027*1.046</f>
        <v>364.02301532999996</v>
      </c>
      <c r="BL27" s="2163">
        <f t="shared" si="74"/>
        <v>211.60848281790211</v>
      </c>
      <c r="BM27" s="2163">
        <f t="shared" si="75"/>
        <v>137.01965141142313</v>
      </c>
      <c r="BN27" s="2163">
        <f t="shared" si="76"/>
        <v>14.524653260609348</v>
      </c>
      <c r="BO27" s="2163">
        <f t="shared" si="77"/>
        <v>0.87022784006534581</v>
      </c>
      <c r="BP27" s="2163">
        <f>SUM(BA27*1.046)</f>
        <v>377.59792487999994</v>
      </c>
      <c r="BQ27" s="2163">
        <f>SUM(BP27*BB50)</f>
        <v>222.1422514758053</v>
      </c>
      <c r="BR27" s="2612">
        <f>SUM(BP27*BC50)</f>
        <v>1.0047397379887187E-2</v>
      </c>
      <c r="BS27" s="2163">
        <f>SUM(BP27*BD50)</f>
        <v>153.5589321835038</v>
      </c>
      <c r="BT27" s="2667">
        <f>SUM(BP27*BE50)</f>
        <v>7.6146661985491346E-2</v>
      </c>
      <c r="BU27" s="2163">
        <f>SUM(BP27*BF50)</f>
        <v>0.78374990952609769</v>
      </c>
      <c r="BV27" s="2163">
        <f>SUM(BP27*BG50)</f>
        <v>1.0267972517993735</v>
      </c>
      <c r="BW27" s="2163">
        <f t="shared" si="55"/>
        <v>371.19426873200098</v>
      </c>
      <c r="BX27" s="2163">
        <f t="shared" si="78"/>
        <v>215.77716992941481</v>
      </c>
      <c r="BY27" s="2163">
        <f t="shared" si="79"/>
        <v>139.71893854422817</v>
      </c>
      <c r="BZ27" s="2163">
        <f t="shared" si="80"/>
        <v>14.810788929843353</v>
      </c>
      <c r="CA27" s="2163">
        <f t="shared" si="81"/>
        <v>0.88737132851463318</v>
      </c>
      <c r="CB27" s="2163">
        <f t="shared" si="56"/>
        <v>0</v>
      </c>
      <c r="CC27" s="2163">
        <v>0</v>
      </c>
      <c r="CD27" s="2163">
        <v>0</v>
      </c>
      <c r="CE27" s="2163">
        <v>0</v>
      </c>
      <c r="CF27" s="2163">
        <v>0</v>
      </c>
      <c r="CG27" s="2163">
        <v>0</v>
      </c>
      <c r="CH27" s="2163">
        <v>0</v>
      </c>
      <c r="CI27" s="2163">
        <f t="shared" si="57"/>
        <v>246.20822999999999</v>
      </c>
      <c r="CJ27" s="2163">
        <f>92.95116+52.58639</f>
        <v>145.53755000000001</v>
      </c>
      <c r="CK27" s="2163">
        <f>0.023+0.01188</f>
        <v>3.4880000000000001E-2</v>
      </c>
      <c r="CL27" s="2163">
        <f>59.45127+33.65086</f>
        <v>93.102130000000002</v>
      </c>
      <c r="CM27" s="2163">
        <f>0.15027+0.09359</f>
        <v>0.24385999999999999</v>
      </c>
      <c r="CN27" s="2163">
        <v>0</v>
      </c>
      <c r="CO27" s="2163">
        <f>4.51243+2.77738</f>
        <v>7.2898100000000001</v>
      </c>
      <c r="CP27" s="2163">
        <f t="shared" si="58"/>
        <v>369.45499999999998</v>
      </c>
      <c r="CQ27" s="2163">
        <f>142.28+75.27</f>
        <v>217.55</v>
      </c>
      <c r="CR27" s="2163">
        <f>0.03+0.015</f>
        <v>4.4999999999999998E-2</v>
      </c>
      <c r="CS27" s="2163">
        <f>90.93+48.02</f>
        <v>138.95000000000002</v>
      </c>
      <c r="CT27" s="2163">
        <f>0.26+0.14</f>
        <v>0.4</v>
      </c>
      <c r="CU27" s="2163">
        <v>0</v>
      </c>
      <c r="CV27" s="2163">
        <f>8.16+4.35</f>
        <v>12.51</v>
      </c>
      <c r="CW27" s="2489">
        <f t="shared" si="59"/>
        <v>382.58543070000002</v>
      </c>
      <c r="CX27" s="2489">
        <f>SUM(CW27*CX50)</f>
        <v>223.87806634159065</v>
      </c>
      <c r="CY27" s="2489">
        <f>SUM(CW27*CY50)</f>
        <v>6.2360602330137696E-2</v>
      </c>
      <c r="CZ27" s="2489">
        <f>SUM(CW27*CZ50)</f>
        <v>148.38903858886519</v>
      </c>
      <c r="DA27" s="2489">
        <f>SUM(CW27*DA50)</f>
        <v>0.42927418382118204</v>
      </c>
      <c r="DB27" s="2489">
        <f>SUM(CW27*DB50)</f>
        <v>0</v>
      </c>
      <c r="DC27" s="2489">
        <f>SUM(CW27*DC50)</f>
        <v>9.8266909833928242</v>
      </c>
      <c r="DD27" s="4080">
        <v>203.31</v>
      </c>
      <c r="DE27" s="4080">
        <f t="shared" si="61"/>
        <v>143.57958714234391</v>
      </c>
      <c r="DF27" s="2489">
        <f t="shared" si="62"/>
        <v>27.255610000000001</v>
      </c>
      <c r="DG27" s="2489">
        <v>15.42324</v>
      </c>
      <c r="DH27" s="2489">
        <v>3.3899999999999998E-3</v>
      </c>
      <c r="DI27" s="2489">
        <v>11.010770000000001</v>
      </c>
      <c r="DJ27" s="2489">
        <v>3.6519999999999997E-2</v>
      </c>
      <c r="DK27" s="2489">
        <v>0</v>
      </c>
      <c r="DL27" s="2489">
        <v>0.78169</v>
      </c>
      <c r="DM27" s="2489">
        <f t="shared" si="63"/>
        <v>160.28278999999998</v>
      </c>
      <c r="DN27" s="2489">
        <f>26.22416+64.67974</f>
        <v>90.903899999999993</v>
      </c>
      <c r="DO27" s="2489">
        <f>0.00908+0.02164</f>
        <v>3.0719999999999997E-2</v>
      </c>
      <c r="DP27" s="2489">
        <f>19.26066+47.14008</f>
        <v>66.400739999999999</v>
      </c>
      <c r="DQ27" s="2489">
        <f>0.0214+0.08908</f>
        <v>0.11048000000000001</v>
      </c>
      <c r="DR27" s="2489">
        <v>0</v>
      </c>
      <c r="DS27" s="2489">
        <f>0.66843+2.16852</f>
        <v>2.8369499999999999</v>
      </c>
      <c r="DT27" s="3999">
        <f t="shared" si="64"/>
        <v>369.45499999999998</v>
      </c>
      <c r="DU27" s="3999">
        <f>142.28+75.27</f>
        <v>217.55</v>
      </c>
      <c r="DV27" s="3999">
        <f>0.03+0.015</f>
        <v>4.4999999999999998E-2</v>
      </c>
      <c r="DW27" s="3999">
        <f>90.93+48.02</f>
        <v>138.95000000000002</v>
      </c>
      <c r="DX27" s="3999">
        <f>0.26+0.14</f>
        <v>0.4</v>
      </c>
      <c r="DY27" s="3999">
        <v>0</v>
      </c>
      <c r="DZ27" s="3999">
        <f>8.16+4.35</f>
        <v>12.51</v>
      </c>
      <c r="EA27" s="2699" t="s">
        <v>1919</v>
      </c>
    </row>
    <row r="28" spans="1:132" ht="24" customHeight="1" x14ac:dyDescent="0.2">
      <c r="A28" s="3519" t="s">
        <v>38</v>
      </c>
      <c r="B28" s="3380">
        <v>111.5</v>
      </c>
      <c r="C28" s="3380">
        <v>122</v>
      </c>
      <c r="D28" s="2158">
        <f t="shared" si="88"/>
        <v>109.4170403587444</v>
      </c>
      <c r="E28" s="3380">
        <v>101</v>
      </c>
      <c r="F28" s="2158">
        <f t="shared" si="89"/>
        <v>82.786885245901644</v>
      </c>
      <c r="G28" s="2159">
        <v>0</v>
      </c>
      <c r="H28" s="2158">
        <f t="shared" si="90"/>
        <v>0</v>
      </c>
      <c r="I28" s="2160">
        <v>56.2</v>
      </c>
      <c r="J28" s="2160">
        <v>7</v>
      </c>
      <c r="K28" s="2160">
        <f>J28/9*12</f>
        <v>9.3333333333333339</v>
      </c>
      <c r="L28" s="2160">
        <v>7</v>
      </c>
      <c r="M28" s="2164"/>
      <c r="N28" s="2160">
        <v>9.7906666666666666</v>
      </c>
      <c r="O28" s="2160">
        <v>27.7</v>
      </c>
      <c r="P28" s="2160"/>
      <c r="Q28" s="2160">
        <v>27.7</v>
      </c>
      <c r="R28" s="2160">
        <v>10.3</v>
      </c>
      <c r="S28" s="2159">
        <f>R28</f>
        <v>10.3</v>
      </c>
      <c r="T28" s="2162">
        <f t="shared" si="91"/>
        <v>1.0520223341958328</v>
      </c>
      <c r="U28" s="2163" t="e">
        <f>R28*#REF!</f>
        <v>#REF!</v>
      </c>
      <c r="V28" s="2163" t="e">
        <f>R28*#REF!</f>
        <v>#REF!</v>
      </c>
      <c r="W28" s="2163">
        <f t="shared" si="68"/>
        <v>5.8810843932167458</v>
      </c>
      <c r="X28" s="2163">
        <f t="shared" si="69"/>
        <v>4.1772108505564383</v>
      </c>
      <c r="Y28" s="2163">
        <v>12.2</v>
      </c>
      <c r="Z28" s="2163">
        <v>12.2</v>
      </c>
      <c r="AA28" s="2163">
        <v>12.11</v>
      </c>
      <c r="AB28" s="2160">
        <v>41.2</v>
      </c>
      <c r="AC28" s="2159">
        <f>Q28*1.063*1.049</f>
        <v>30.887909899999993</v>
      </c>
      <c r="AD28" s="2163">
        <f t="shared" si="70"/>
        <v>18.285617346986783</v>
      </c>
      <c r="AE28" s="2163">
        <f t="shared" si="71"/>
        <v>12.355183892136385</v>
      </c>
      <c r="AF28" s="3518">
        <f t="shared" si="85"/>
        <v>3.1092254632627698</v>
      </c>
      <c r="AG28" s="3518">
        <f t="shared" si="86"/>
        <v>2.9577592164136446</v>
      </c>
      <c r="AH28" s="2163">
        <v>2</v>
      </c>
      <c r="AI28" s="2163">
        <v>5.5</v>
      </c>
      <c r="AJ28" s="2159">
        <f t="shared" si="84"/>
        <v>13.321</v>
      </c>
      <c r="AK28" s="2163">
        <f>AJ28*AI56</f>
        <v>7.9393159999999998</v>
      </c>
      <c r="AL28" s="2163">
        <f>AJ28*AI57</f>
        <v>5.3816839999999999</v>
      </c>
      <c r="AM28" s="3518">
        <f t="shared" si="87"/>
        <v>0.43418364550367722</v>
      </c>
      <c r="AN28" s="3518">
        <f t="shared" si="87"/>
        <v>0.43558105221122945</v>
      </c>
      <c r="AO28" s="2615">
        <f>AI28/3*4*1.062</f>
        <v>7.7880000000000003</v>
      </c>
      <c r="AP28" s="2163">
        <f t="shared" si="72"/>
        <v>4.2378790069250192</v>
      </c>
      <c r="AQ28" s="2163">
        <f t="shared" si="73"/>
        <v>3.5081522591890004</v>
      </c>
      <c r="AR28" s="2163">
        <f t="shared" si="5"/>
        <v>112.44999999999999</v>
      </c>
      <c r="AS28" s="2163">
        <v>66.349999999999994</v>
      </c>
      <c r="AT28" s="2163">
        <v>46.1</v>
      </c>
      <c r="AU28" s="2163">
        <f t="shared" si="6"/>
        <v>89.95</v>
      </c>
      <c r="AV28" s="2163">
        <v>52.170999999999999</v>
      </c>
      <c r="AW28" s="2163">
        <v>37.779000000000003</v>
      </c>
      <c r="AX28" s="2163">
        <f t="shared" si="82"/>
        <v>8.51</v>
      </c>
      <c r="AY28" s="2163">
        <v>5.0199999999999996</v>
      </c>
      <c r="AZ28" s="2163">
        <v>3.49</v>
      </c>
      <c r="BA28" s="2163">
        <f t="shared" si="53"/>
        <v>94.600320000000011</v>
      </c>
      <c r="BB28" s="2163">
        <v>55.939</v>
      </c>
      <c r="BC28" s="3521">
        <v>6.2E-4</v>
      </c>
      <c r="BD28" s="2163">
        <v>37.688000000000002</v>
      </c>
      <c r="BE28" s="3521">
        <v>4.7200000000000002E-3</v>
      </c>
      <c r="BF28" s="2612">
        <v>0.36207</v>
      </c>
      <c r="BG28" s="2163">
        <v>0.60590999999999995</v>
      </c>
      <c r="BH28" s="2163">
        <f t="shared" si="9"/>
        <v>95.43</v>
      </c>
      <c r="BI28" s="2163">
        <v>55.45</v>
      </c>
      <c r="BJ28" s="2163">
        <v>39.979999999999997</v>
      </c>
      <c r="BK28" s="2163">
        <v>95.43</v>
      </c>
      <c r="BL28" s="2163">
        <f t="shared" si="74"/>
        <v>55.473958142470735</v>
      </c>
      <c r="BM28" s="2163">
        <f t="shared" si="75"/>
        <v>35.920215985075664</v>
      </c>
      <c r="BN28" s="2163">
        <f t="shared" si="76"/>
        <v>3.8076923773718314</v>
      </c>
      <c r="BO28" s="2163">
        <f t="shared" si="77"/>
        <v>0.22813349508176539</v>
      </c>
      <c r="BP28" s="2163">
        <f>SUM(BK28*1.046)</f>
        <v>99.819780000000009</v>
      </c>
      <c r="BQ28" s="2163">
        <f>SUM(BP28*BB50)</f>
        <v>58.724344626805056</v>
      </c>
      <c r="BR28" s="2667">
        <f>SUM(BP28*BC50)</f>
        <v>2.6560765564367043E-3</v>
      </c>
      <c r="BS28" s="2163">
        <f>SUM(BP28*BD50)</f>
        <v>40.594022947725563</v>
      </c>
      <c r="BT28" s="2163">
        <f>SUM(BP28*BE50)</f>
        <v>2.0129726744503904E-2</v>
      </c>
      <c r="BU28" s="2163">
        <f>SUM(BP28*BF50)</f>
        <v>0.20718795943801213</v>
      </c>
      <c r="BV28" s="2163">
        <f>SUM(BP28*BG50)</f>
        <v>0.27143866273044465</v>
      </c>
      <c r="BW28" s="2163">
        <f t="shared" si="55"/>
        <v>97.309971000000004</v>
      </c>
      <c r="BX28" s="2163">
        <f t="shared" si="78"/>
        <v>56.566795117877405</v>
      </c>
      <c r="BY28" s="2163">
        <f t="shared" si="79"/>
        <v>36.627844239981656</v>
      </c>
      <c r="BZ28" s="2163">
        <f t="shared" si="80"/>
        <v>3.8827039172060562</v>
      </c>
      <c r="CA28" s="2163">
        <f t="shared" si="81"/>
        <v>0.23262772493487616</v>
      </c>
      <c r="CB28" s="2163">
        <f t="shared" si="56"/>
        <v>24.494</v>
      </c>
      <c r="CC28" s="2163">
        <v>14.21</v>
      </c>
      <c r="CD28" s="2667">
        <v>4.0000000000000001E-3</v>
      </c>
      <c r="CE28" s="2163">
        <v>9.7899999999999991</v>
      </c>
      <c r="CF28" s="2163">
        <v>0.03</v>
      </c>
      <c r="CG28" s="2163">
        <v>0</v>
      </c>
      <c r="CH28" s="2163">
        <v>0.46</v>
      </c>
      <c r="CI28" s="2163">
        <f t="shared" si="57"/>
        <v>27.3</v>
      </c>
      <c r="CJ28" s="2163">
        <v>15.845280000000001</v>
      </c>
      <c r="CK28" s="2667">
        <v>4.8599999999999997E-3</v>
      </c>
      <c r="CL28" s="2163">
        <v>10.89057</v>
      </c>
      <c r="CM28" s="2163">
        <v>3.7089999999999998E-2</v>
      </c>
      <c r="CN28" s="2163">
        <v>0</v>
      </c>
      <c r="CO28" s="2163">
        <v>0.5222</v>
      </c>
      <c r="CP28" s="2163">
        <f t="shared" si="58"/>
        <v>41.697000000000003</v>
      </c>
      <c r="CQ28" s="2163">
        <v>24.16</v>
      </c>
      <c r="CR28" s="2667">
        <v>7.0000000000000001E-3</v>
      </c>
      <c r="CS28" s="2163">
        <v>16.350000000000001</v>
      </c>
      <c r="CT28" s="2163">
        <v>0.05</v>
      </c>
      <c r="CU28" s="2163">
        <v>0</v>
      </c>
      <c r="CV28" s="2163">
        <v>1.1299999999999999</v>
      </c>
      <c r="CW28" s="2489">
        <f t="shared" si="59"/>
        <v>43.178911380000002</v>
      </c>
      <c r="CX28" s="2489">
        <f>SUM(CW28*CX50)</f>
        <v>25.267065629766293</v>
      </c>
      <c r="CY28" s="2489">
        <f>SUM(CW28*CY50)</f>
        <v>7.0380696846970578E-3</v>
      </c>
      <c r="CZ28" s="2489">
        <f>SUM(CW28*CZ50)</f>
        <v>16.747310882353499</v>
      </c>
      <c r="DA28" s="2489">
        <f>SUM(CW28*DA50)</f>
        <v>4.8448243068281195E-2</v>
      </c>
      <c r="DB28" s="2489">
        <f>SUM(CW28*DB50)</f>
        <v>0</v>
      </c>
      <c r="DC28" s="2489">
        <f>SUM(CW28*DC50)</f>
        <v>1.1090485551272296</v>
      </c>
      <c r="DD28" s="4080">
        <v>27.01</v>
      </c>
      <c r="DE28" s="4080">
        <f t="shared" si="61"/>
        <v>37.639927762734196</v>
      </c>
      <c r="DF28" s="2489">
        <f t="shared" si="62"/>
        <v>37.771100000000004</v>
      </c>
      <c r="DG28" s="2489">
        <v>21.726320000000001</v>
      </c>
      <c r="DH28" s="2493">
        <v>4.4600000000000004E-3</v>
      </c>
      <c r="DI28" s="2489">
        <v>14.836169999999999</v>
      </c>
      <c r="DJ28" s="2489">
        <v>4.147E-2</v>
      </c>
      <c r="DK28" s="2489">
        <v>0</v>
      </c>
      <c r="DL28" s="2489">
        <v>1.1626799999999999</v>
      </c>
      <c r="DM28" s="2489">
        <f t="shared" si="63"/>
        <v>37.771100000000004</v>
      </c>
      <c r="DN28" s="2489">
        <v>21.726320000000001</v>
      </c>
      <c r="DO28" s="2493">
        <v>4.4600000000000004E-3</v>
      </c>
      <c r="DP28" s="2489">
        <v>14.836169999999999</v>
      </c>
      <c r="DQ28" s="2489">
        <v>4.147E-2</v>
      </c>
      <c r="DR28" s="2489">
        <v>0</v>
      </c>
      <c r="DS28" s="2489">
        <v>1.1626799999999999</v>
      </c>
      <c r="DT28" s="3999">
        <f t="shared" si="64"/>
        <v>41.697000000000003</v>
      </c>
      <c r="DU28" s="3999">
        <v>24.16</v>
      </c>
      <c r="DV28" s="4001">
        <v>7.0000000000000001E-3</v>
      </c>
      <c r="DW28" s="3999">
        <v>16.350000000000001</v>
      </c>
      <c r="DX28" s="3999">
        <v>0.05</v>
      </c>
      <c r="DY28" s="3999">
        <v>0</v>
      </c>
      <c r="DZ28" s="3999">
        <v>1.1299999999999999</v>
      </c>
      <c r="EA28" s="2699" t="s">
        <v>2058</v>
      </c>
    </row>
    <row r="29" spans="1:132" ht="29.25" customHeight="1" x14ac:dyDescent="0.2">
      <c r="A29" s="3519" t="s">
        <v>77</v>
      </c>
      <c r="B29" s="3380">
        <v>137.4</v>
      </c>
      <c r="C29" s="3380">
        <v>94</v>
      </c>
      <c r="D29" s="2158">
        <f t="shared" si="88"/>
        <v>68.413391557496368</v>
      </c>
      <c r="E29" s="3380">
        <v>244.8</v>
      </c>
      <c r="F29" s="2158">
        <f t="shared" si="89"/>
        <v>260.42553191489361</v>
      </c>
      <c r="G29" s="2159">
        <v>193</v>
      </c>
      <c r="H29" s="2158">
        <f t="shared" si="90"/>
        <v>78.83986928104575</v>
      </c>
      <c r="I29" s="2160">
        <v>173</v>
      </c>
      <c r="J29" s="2160">
        <v>160.1</v>
      </c>
      <c r="K29" s="2160">
        <v>173</v>
      </c>
      <c r="L29" s="2160">
        <v>260.3</v>
      </c>
      <c r="M29" s="2164">
        <f t="shared" ref="M29:M42" si="92">K29/G29*100</f>
        <v>89.637305699481857</v>
      </c>
      <c r="N29" s="2160">
        <v>181.47699999999998</v>
      </c>
      <c r="O29" s="2160">
        <v>149</v>
      </c>
      <c r="P29" s="2160">
        <v>248.34370000000001</v>
      </c>
      <c r="Q29" s="2160">
        <v>301.60000000000002</v>
      </c>
      <c r="R29" s="2160">
        <v>267.8</v>
      </c>
      <c r="S29" s="2159">
        <f>R29</f>
        <v>267.8</v>
      </c>
      <c r="T29" s="2162">
        <f t="shared" si="91"/>
        <v>1.4756690930531144</v>
      </c>
      <c r="U29" s="2163" t="e">
        <f>R29*#REF!</f>
        <v>#REF!</v>
      </c>
      <c r="V29" s="2163" t="e">
        <f>R29*#REF!</f>
        <v>#REF!</v>
      </c>
      <c r="W29" s="2163">
        <f t="shared" si="68"/>
        <v>152.90819422363538</v>
      </c>
      <c r="X29" s="2163">
        <f t="shared" si="69"/>
        <v>108.60748211446739</v>
      </c>
      <c r="Y29" s="2163">
        <v>116.11</v>
      </c>
      <c r="Z29" s="2163">
        <v>154.02000000000001</v>
      </c>
      <c r="AA29" s="2163">
        <v>224.47</v>
      </c>
      <c r="AB29" s="2160">
        <v>279.7</v>
      </c>
      <c r="AC29" s="2159">
        <f>AB29</f>
        <v>279.7</v>
      </c>
      <c r="AD29" s="2163">
        <f t="shared" si="70"/>
        <v>165.58217077524574</v>
      </c>
      <c r="AE29" s="2163">
        <f t="shared" si="71"/>
        <v>111.88018049193246</v>
      </c>
      <c r="AF29" s="3518">
        <f t="shared" si="85"/>
        <v>1.0828861828887606</v>
      </c>
      <c r="AG29" s="3518">
        <f t="shared" si="86"/>
        <v>1.030133268111453</v>
      </c>
      <c r="AH29" s="2163">
        <v>23.43</v>
      </c>
      <c r="AI29" s="2163">
        <v>23.43</v>
      </c>
      <c r="AJ29" s="2159">
        <f t="shared" si="84"/>
        <v>246.91700000000003</v>
      </c>
      <c r="AK29" s="2163">
        <f>AJ29*AI56</f>
        <v>147.162532</v>
      </c>
      <c r="AL29" s="2163">
        <f>AJ29*AI57</f>
        <v>99.754468000000017</v>
      </c>
      <c r="AM29" s="3518">
        <f t="shared" si="87"/>
        <v>0.88875832048217451</v>
      </c>
      <c r="AN29" s="3518">
        <f t="shared" si="87"/>
        <v>0.89161876179841504</v>
      </c>
      <c r="AO29" s="2615">
        <f>AH29*2*1.062</f>
        <v>49.765320000000003</v>
      </c>
      <c r="AP29" s="2163">
        <f t="shared" si="72"/>
        <v>27.080046854250874</v>
      </c>
      <c r="AQ29" s="2163">
        <f t="shared" si="73"/>
        <v>22.417092936217713</v>
      </c>
      <c r="AR29" s="2163">
        <f t="shared" si="5"/>
        <v>217.63</v>
      </c>
      <c r="AS29" s="2163">
        <v>128.4</v>
      </c>
      <c r="AT29" s="2163">
        <v>89.23</v>
      </c>
      <c r="AU29" s="2163">
        <f t="shared" si="6"/>
        <v>56.614000000000004</v>
      </c>
      <c r="AV29" s="2163">
        <v>32.836120000000001</v>
      </c>
      <c r="AW29" s="2163">
        <v>23.77788</v>
      </c>
      <c r="AX29" s="2163">
        <f t="shared" si="82"/>
        <v>54.319999999999993</v>
      </c>
      <c r="AY29" s="2163">
        <v>32.049999999999997</v>
      </c>
      <c r="AZ29" s="2163">
        <v>22.27</v>
      </c>
      <c r="BA29" s="2163">
        <f t="shared" si="53"/>
        <v>189.76743000000002</v>
      </c>
      <c r="BB29" s="2163">
        <v>110.333</v>
      </c>
      <c r="BC29" s="3521">
        <v>5.6600000000000001E-3</v>
      </c>
      <c r="BD29" s="2163">
        <v>78.641000000000005</v>
      </c>
      <c r="BE29" s="2612">
        <v>4.299E-2</v>
      </c>
      <c r="BF29" s="2612">
        <v>0.28358</v>
      </c>
      <c r="BG29" s="2163">
        <v>0.4612</v>
      </c>
      <c r="BH29" s="2163">
        <f t="shared" si="9"/>
        <v>60.06</v>
      </c>
      <c r="BI29" s="2163">
        <v>34.9</v>
      </c>
      <c r="BJ29" s="2163">
        <v>25.16</v>
      </c>
      <c r="BK29" s="2163">
        <v>60.06</v>
      </c>
      <c r="BL29" s="2163">
        <f t="shared" si="74"/>
        <v>34.913192141221757</v>
      </c>
      <c r="BM29" s="2163">
        <f t="shared" si="75"/>
        <v>22.606813078315461</v>
      </c>
      <c r="BN29" s="2163">
        <f t="shared" si="76"/>
        <v>2.396416265167685</v>
      </c>
      <c r="BO29" s="2163">
        <f t="shared" si="77"/>
        <v>0.14357851529509408</v>
      </c>
      <c r="BP29" s="2163">
        <f>SUM(BA29*1.046)</f>
        <v>198.49673178000003</v>
      </c>
      <c r="BQ29" s="2163">
        <f>SUM(BP29*BB50)</f>
        <v>116.77635919797868</v>
      </c>
      <c r="BR29" s="2612">
        <f>SUM(BP29*BC50)</f>
        <v>5.2817439169888227E-3</v>
      </c>
      <c r="BS29" s="2163">
        <f>SUM(BP29*BD50)</f>
        <v>80.723288359540035</v>
      </c>
      <c r="BT29" s="2667">
        <f>SUM(BP29*BE50)</f>
        <v>4.0028989949772324E-2</v>
      </c>
      <c r="BU29" s="2163">
        <f>SUM(BP29*BF50)</f>
        <v>0.41200384144918589</v>
      </c>
      <c r="BV29" s="2163">
        <f>SUM(BP29*BG50)</f>
        <v>0.539769647165391</v>
      </c>
      <c r="BW29" s="2163">
        <f t="shared" si="55"/>
        <v>61.243182000000004</v>
      </c>
      <c r="BX29" s="2163">
        <f t="shared" si="78"/>
        <v>35.600982026403827</v>
      </c>
      <c r="BY29" s="2163">
        <f t="shared" si="79"/>
        <v>23.052167295958277</v>
      </c>
      <c r="BZ29" s="2163">
        <f t="shared" si="80"/>
        <v>2.4436256655914885</v>
      </c>
      <c r="CA29" s="2163">
        <f t="shared" si="81"/>
        <v>0.14640701204640744</v>
      </c>
      <c r="CB29" s="2163">
        <f t="shared" si="56"/>
        <v>72.639999999999986</v>
      </c>
      <c r="CC29" s="2163">
        <v>42.35</v>
      </c>
      <c r="CD29" s="2163">
        <v>0.01</v>
      </c>
      <c r="CE29" s="2163">
        <v>28.83</v>
      </c>
      <c r="CF29" s="2163">
        <v>0.1</v>
      </c>
      <c r="CG29" s="2163">
        <v>0</v>
      </c>
      <c r="CH29" s="2163">
        <v>1.35</v>
      </c>
      <c r="CI29" s="2163">
        <f t="shared" si="57"/>
        <v>99.834999999999994</v>
      </c>
      <c r="CJ29" s="2163">
        <v>58.69885</v>
      </c>
      <c r="CK29" s="2163">
        <v>1.788E-2</v>
      </c>
      <c r="CL29" s="2163">
        <v>39.065600000000003</v>
      </c>
      <c r="CM29" s="2163">
        <v>0.11083999999999999</v>
      </c>
      <c r="CN29" s="2163">
        <v>0</v>
      </c>
      <c r="CO29" s="2163">
        <v>1.9418299999999999</v>
      </c>
      <c r="CP29" s="2163">
        <f t="shared" si="58"/>
        <v>173.76999999999995</v>
      </c>
      <c r="CQ29" s="2163">
        <v>101.49</v>
      </c>
      <c r="CR29" s="2163">
        <v>0.03</v>
      </c>
      <c r="CS29" s="2163">
        <v>66.88</v>
      </c>
      <c r="CT29" s="2163">
        <v>0.2</v>
      </c>
      <c r="CU29" s="2163">
        <v>0</v>
      </c>
      <c r="CV29" s="2163">
        <v>5.17</v>
      </c>
      <c r="CW29" s="2489">
        <f t="shared" si="59"/>
        <v>179.94578579999995</v>
      </c>
      <c r="CX29" s="2489">
        <f>SUM(CW29*CX50)</f>
        <v>105.29913409800434</v>
      </c>
      <c r="CY29" s="2489">
        <f>SUM(CW29*CY50)</f>
        <v>2.9330776053668305E-2</v>
      </c>
      <c r="CZ29" s="2489">
        <f>SUM(CW29*CZ50)</f>
        <v>69.793515409419541</v>
      </c>
      <c r="DA29" s="2489">
        <f>SUM(CW29*DA50)</f>
        <v>0.20190544158992782</v>
      </c>
      <c r="DB29" s="2489">
        <f>SUM(CW29*DB50)</f>
        <v>0</v>
      </c>
      <c r="DC29" s="2489">
        <f>SUM(CW29*DC50)</f>
        <v>4.6219000749324559</v>
      </c>
      <c r="DD29" s="4080">
        <f t="shared" si="60"/>
        <v>36.584691771008508</v>
      </c>
      <c r="DE29" s="4080">
        <f t="shared" si="61"/>
        <v>23.689134039922621</v>
      </c>
      <c r="DF29" s="2489">
        <f t="shared" si="62"/>
        <v>56.569340000000011</v>
      </c>
      <c r="DG29" s="2489">
        <v>32.153460000000003</v>
      </c>
      <c r="DH29" s="2489">
        <v>8.09E-3</v>
      </c>
      <c r="DI29" s="2489">
        <v>22.611979999999999</v>
      </c>
      <c r="DJ29" s="2489">
        <v>6.0560000000000003E-2</v>
      </c>
      <c r="DK29" s="2489">
        <v>0</v>
      </c>
      <c r="DL29" s="2489">
        <v>1.73525</v>
      </c>
      <c r="DM29" s="2489">
        <f t="shared" si="63"/>
        <v>94.065180000000012</v>
      </c>
      <c r="DN29" s="2489">
        <v>53.373699999999999</v>
      </c>
      <c r="DO29" s="2489">
        <v>1.695E-2</v>
      </c>
      <c r="DP29" s="2489">
        <v>37.91095</v>
      </c>
      <c r="DQ29" s="2489">
        <v>0.10646</v>
      </c>
      <c r="DR29" s="2489">
        <v>0</v>
      </c>
      <c r="DS29" s="2489">
        <v>2.6571199999999999</v>
      </c>
      <c r="DT29" s="3999">
        <f t="shared" si="64"/>
        <v>173.76999999999995</v>
      </c>
      <c r="DU29" s="3999">
        <v>101.49</v>
      </c>
      <c r="DV29" s="3999">
        <v>0.03</v>
      </c>
      <c r="DW29" s="3999">
        <v>66.88</v>
      </c>
      <c r="DX29" s="3999">
        <v>0.2</v>
      </c>
      <c r="DY29" s="3999">
        <v>0</v>
      </c>
      <c r="DZ29" s="3999">
        <v>5.17</v>
      </c>
      <c r="EA29" s="2699" t="s">
        <v>2058</v>
      </c>
    </row>
    <row r="30" spans="1:132" ht="24" customHeight="1" x14ac:dyDescent="0.2">
      <c r="A30" s="3519" t="s">
        <v>39</v>
      </c>
      <c r="B30" s="3380">
        <v>58.4</v>
      </c>
      <c r="C30" s="3380">
        <v>137.5</v>
      </c>
      <c r="D30" s="2158">
        <f t="shared" si="88"/>
        <v>235.44520547945206</v>
      </c>
      <c r="E30" s="3380">
        <v>37.6</v>
      </c>
      <c r="F30" s="2158">
        <f t="shared" si="89"/>
        <v>27.345454545454544</v>
      </c>
      <c r="G30" s="2159">
        <f>54.2</f>
        <v>54.2</v>
      </c>
      <c r="H30" s="2158">
        <f t="shared" si="90"/>
        <v>144.14893617021275</v>
      </c>
      <c r="I30" s="2160">
        <v>44</v>
      </c>
      <c r="J30" s="2160">
        <v>19.100000000000001</v>
      </c>
      <c r="K30" s="2160">
        <v>54.2</v>
      </c>
      <c r="L30" s="2160">
        <v>41.7</v>
      </c>
      <c r="M30" s="2164">
        <f t="shared" si="92"/>
        <v>100</v>
      </c>
      <c r="N30" s="2160">
        <v>46.155999999999999</v>
      </c>
      <c r="O30" s="2160">
        <v>49</v>
      </c>
      <c r="P30" s="2160">
        <v>48.979590000000002</v>
      </c>
      <c r="Q30" s="2160">
        <v>55.7</v>
      </c>
      <c r="R30" s="2160">
        <v>48.51</v>
      </c>
      <c r="S30" s="2159">
        <f>R30</f>
        <v>48.51</v>
      </c>
      <c r="T30" s="2162">
        <f t="shared" si="91"/>
        <v>1.0510009532888465</v>
      </c>
      <c r="U30" s="2163" t="e">
        <f>R30*#REF!</f>
        <v>#REF!</v>
      </c>
      <c r="V30" s="2163" t="e">
        <f>R30*#REF!</f>
        <v>#REF!</v>
      </c>
      <c r="W30" s="2163">
        <f t="shared" si="68"/>
        <v>27.698194554848961</v>
      </c>
      <c r="X30" s="2163">
        <f t="shared" si="69"/>
        <v>19.673446442766291</v>
      </c>
      <c r="Y30" s="2163">
        <v>30.64</v>
      </c>
      <c r="Z30" s="2163">
        <v>42.99</v>
      </c>
      <c r="AA30" s="2163">
        <v>35.770000000000003</v>
      </c>
      <c r="AB30" s="2160">
        <v>52.5</v>
      </c>
      <c r="AC30" s="2159">
        <f>AB30</f>
        <v>52.5</v>
      </c>
      <c r="AD30" s="2163">
        <f t="shared" si="70"/>
        <v>31.079956974259574</v>
      </c>
      <c r="AE30" s="2163">
        <f t="shared" si="71"/>
        <v>21.000033878535767</v>
      </c>
      <c r="AF30" s="3518">
        <f t="shared" si="85"/>
        <v>1.1220932437568782</v>
      </c>
      <c r="AG30" s="3518">
        <f t="shared" si="86"/>
        <v>1.0674303528682056</v>
      </c>
      <c r="AH30" s="2163">
        <v>5.1100000000000003</v>
      </c>
      <c r="AI30" s="2163">
        <v>14.88</v>
      </c>
      <c r="AJ30" s="2159">
        <f t="shared" si="84"/>
        <v>39.347000000000008</v>
      </c>
      <c r="AK30" s="2163">
        <f>AJ30*AI56</f>
        <v>23.450812000000003</v>
      </c>
      <c r="AL30" s="2163">
        <f>AJ30*AI57</f>
        <v>15.896188000000004</v>
      </c>
      <c r="AM30" s="3518">
        <f t="shared" si="87"/>
        <v>0.75453167517001296</v>
      </c>
      <c r="AN30" s="3518">
        <f t="shared" si="87"/>
        <v>0.75696011215713188</v>
      </c>
      <c r="AO30" s="2615">
        <f>AI30/3*4*1.062</f>
        <v>21.070080000000001</v>
      </c>
      <c r="AP30" s="2163">
        <f t="shared" si="72"/>
        <v>11.465389022371689</v>
      </c>
      <c r="AQ30" s="2163">
        <f t="shared" si="73"/>
        <v>9.491146475769515</v>
      </c>
      <c r="AR30" s="2163">
        <f t="shared" si="5"/>
        <v>34.229999999999997</v>
      </c>
      <c r="AS30" s="2163">
        <v>20.2</v>
      </c>
      <c r="AT30" s="2163">
        <v>14.03</v>
      </c>
      <c r="AU30" s="2163">
        <f t="shared" si="6"/>
        <v>67.195779999999999</v>
      </c>
      <c r="AV30" s="2163">
        <v>38.973550000000003</v>
      </c>
      <c r="AW30" s="2163">
        <v>28.22223</v>
      </c>
      <c r="AX30" s="2163">
        <f t="shared" si="82"/>
        <v>23</v>
      </c>
      <c r="AY30" s="2163">
        <v>13.57</v>
      </c>
      <c r="AZ30" s="2163">
        <v>9.43</v>
      </c>
      <c r="BA30" s="2163">
        <f t="shared" si="53"/>
        <v>115.66470000000001</v>
      </c>
      <c r="BB30" s="2163">
        <v>68.122</v>
      </c>
      <c r="BC30" s="2667">
        <v>5.8999999999999999E-3</v>
      </c>
      <c r="BD30" s="2163">
        <v>46.295999999999999</v>
      </c>
      <c r="BE30" s="2667">
        <v>4.4630000000000003E-2</v>
      </c>
      <c r="BF30" s="2612">
        <v>0.55661000000000005</v>
      </c>
      <c r="BG30" s="2163">
        <v>0.63956000000000002</v>
      </c>
      <c r="BH30" s="2163">
        <f t="shared" si="9"/>
        <v>71.28</v>
      </c>
      <c r="BI30" s="2163">
        <v>41.42</v>
      </c>
      <c r="BJ30" s="2163">
        <v>29.86</v>
      </c>
      <c r="BK30" s="2163">
        <f>BH30</f>
        <v>71.28</v>
      </c>
      <c r="BL30" s="2163">
        <f t="shared" si="74"/>
        <v>41.435436826944503</v>
      </c>
      <c r="BM30" s="2163">
        <f t="shared" si="75"/>
        <v>26.830063873165603</v>
      </c>
      <c r="BN30" s="2163">
        <f t="shared" si="76"/>
        <v>2.8440984245946153</v>
      </c>
      <c r="BO30" s="2163">
        <f t="shared" si="77"/>
        <v>0.1704008752952765</v>
      </c>
      <c r="BP30" s="2163">
        <f>SUM(BA30*1.046)</f>
        <v>120.98527620000002</v>
      </c>
      <c r="BQ30" s="2163">
        <f>SUM(BP30*BB50)</f>
        <v>71.176084082112737</v>
      </c>
      <c r="BR30" s="2612">
        <f>SUM(BP30*BC50)</f>
        <v>3.2192633142333069E-3</v>
      </c>
      <c r="BS30" s="2163">
        <f>SUM(BP30*BD50)</f>
        <v>49.201461658197566</v>
      </c>
      <c r="BT30" s="2667">
        <f>SUM(BP30*BE50)</f>
        <v>2.4397975531646451E-2</v>
      </c>
      <c r="BU30" s="2163">
        <f>SUM(BP30*BF50)</f>
        <v>0.25111949252865812</v>
      </c>
      <c r="BV30" s="2163">
        <f>SUM(BP30*BG50)</f>
        <v>0.32899372831518453</v>
      </c>
      <c r="BW30" s="2163">
        <f t="shared" si="55"/>
        <v>72.684216000000006</v>
      </c>
      <c r="BX30" s="2163">
        <f t="shared" si="78"/>
        <v>42.251714932435313</v>
      </c>
      <c r="BY30" s="2163">
        <f t="shared" si="79"/>
        <v>27.358616131466967</v>
      </c>
      <c r="BZ30" s="2163">
        <f t="shared" si="80"/>
        <v>2.9001271635591293</v>
      </c>
      <c r="CA30" s="2163">
        <f t="shared" si="81"/>
        <v>0.17375777253859345</v>
      </c>
      <c r="CB30" s="2163">
        <f t="shared" si="56"/>
        <v>49.607999999999997</v>
      </c>
      <c r="CC30" s="2163">
        <v>28.7</v>
      </c>
      <c r="CD30" s="2163">
        <v>8.0000000000000002E-3</v>
      </c>
      <c r="CE30" s="2163">
        <v>19.940000000000001</v>
      </c>
      <c r="CF30" s="2163">
        <v>0.06</v>
      </c>
      <c r="CG30" s="2163">
        <v>0</v>
      </c>
      <c r="CH30" s="2163">
        <v>0.9</v>
      </c>
      <c r="CI30" s="2163">
        <f t="shared" si="57"/>
        <v>49.911629999999995</v>
      </c>
      <c r="CJ30" s="2163">
        <v>28.880839999999999</v>
      </c>
      <c r="CK30" s="2163">
        <v>8.0700000000000008E-3</v>
      </c>
      <c r="CL30" s="2163">
        <v>20.056460000000001</v>
      </c>
      <c r="CM30" s="2163">
        <v>6.0130000000000003E-2</v>
      </c>
      <c r="CN30" s="2163">
        <v>0</v>
      </c>
      <c r="CO30" s="2163">
        <v>0.90612999999999999</v>
      </c>
      <c r="CP30" s="2163">
        <f t="shared" si="58"/>
        <v>59.039000000000001</v>
      </c>
      <c r="CQ30" s="2163">
        <v>34.14</v>
      </c>
      <c r="CR30" s="2163">
        <v>8.9999999999999993E-3</v>
      </c>
      <c r="CS30" s="2163">
        <v>23.56</v>
      </c>
      <c r="CT30" s="2163">
        <v>7.0000000000000007E-2</v>
      </c>
      <c r="CU30" s="2163">
        <v>0</v>
      </c>
      <c r="CV30" s="2163">
        <v>1.26</v>
      </c>
      <c r="CW30" s="2489">
        <f t="shared" si="59"/>
        <v>61.137246060000003</v>
      </c>
      <c r="CX30" s="2489">
        <f>SUM(CW30*CX50)</f>
        <v>35.775770144513324</v>
      </c>
      <c r="CY30" s="2489">
        <f>SUM(CW30*CY50)</f>
        <v>9.9652396123181431E-3</v>
      </c>
      <c r="CZ30" s="2489">
        <f>SUM(CW30*CZ50)</f>
        <v>23.712604916019576</v>
      </c>
      <c r="DA30" s="2489">
        <f>SUM(CW30*DA50)</f>
        <v>6.8598120308613411E-2</v>
      </c>
      <c r="DB30" s="2489">
        <f>SUM(CW30*DB50)</f>
        <v>0</v>
      </c>
      <c r="DC30" s="2489">
        <f>SUM(CW30*DC50)</f>
        <v>1.5703076395461664</v>
      </c>
      <c r="DD30" s="4080">
        <v>31.14</v>
      </c>
      <c r="DE30" s="4080">
        <f t="shared" si="61"/>
        <v>28.114576662765312</v>
      </c>
      <c r="DF30" s="2489">
        <f t="shared" si="62"/>
        <v>7.2713999999999999</v>
      </c>
      <c r="DG30" s="2489">
        <v>4.1598800000000002</v>
      </c>
      <c r="DH30" s="2493">
        <v>7.9000000000000001E-4</v>
      </c>
      <c r="DI30" s="2489">
        <v>2.8305099999999999</v>
      </c>
      <c r="DJ30" s="2489">
        <v>7.5700000000000003E-2</v>
      </c>
      <c r="DK30" s="2489">
        <v>0</v>
      </c>
      <c r="DL30" s="2489">
        <v>0.20452000000000001</v>
      </c>
      <c r="DM30" s="2489">
        <f t="shared" si="63"/>
        <v>7.2032699999999998</v>
      </c>
      <c r="DN30" s="2489">
        <v>4.1598800000000002</v>
      </c>
      <c r="DO30" s="2489">
        <v>7.9000000000000001E-4</v>
      </c>
      <c r="DP30" s="2489">
        <v>2.8305099999999999</v>
      </c>
      <c r="DQ30" s="2489">
        <v>7.5700000000000003E-3</v>
      </c>
      <c r="DR30" s="2489">
        <v>0</v>
      </c>
      <c r="DS30" s="2489">
        <v>0.20452000000000001</v>
      </c>
      <c r="DT30" s="3999">
        <f t="shared" si="64"/>
        <v>59.039000000000001</v>
      </c>
      <c r="DU30" s="3999">
        <v>34.14</v>
      </c>
      <c r="DV30" s="3999">
        <v>8.9999999999999993E-3</v>
      </c>
      <c r="DW30" s="3999">
        <v>23.56</v>
      </c>
      <c r="DX30" s="3999">
        <v>7.0000000000000007E-2</v>
      </c>
      <c r="DY30" s="3999">
        <v>0</v>
      </c>
      <c r="DZ30" s="3999">
        <v>1.26</v>
      </c>
      <c r="EA30" s="2699" t="s">
        <v>2058</v>
      </c>
    </row>
    <row r="31" spans="1:132" ht="24" customHeight="1" x14ac:dyDescent="0.2">
      <c r="A31" s="3519" t="s">
        <v>40</v>
      </c>
      <c r="B31" s="3380">
        <v>63</v>
      </c>
      <c r="C31" s="3380">
        <v>70</v>
      </c>
      <c r="D31" s="2158">
        <f t="shared" si="88"/>
        <v>111.11111111111111</v>
      </c>
      <c r="E31" s="3380">
        <v>77</v>
      </c>
      <c r="F31" s="2158">
        <f t="shared" si="89"/>
        <v>110.00000000000001</v>
      </c>
      <c r="G31" s="2159">
        <v>85</v>
      </c>
      <c r="H31" s="2158">
        <f t="shared" si="90"/>
        <v>110.3896103896104</v>
      </c>
      <c r="I31" s="2160">
        <v>84.9</v>
      </c>
      <c r="J31" s="2160">
        <v>91.5</v>
      </c>
      <c r="K31" s="2160">
        <v>91.5</v>
      </c>
      <c r="L31" s="2160">
        <v>161.5</v>
      </c>
      <c r="M31" s="2164">
        <f t="shared" si="92"/>
        <v>107.64705882352941</v>
      </c>
      <c r="N31" s="2160">
        <v>93.5</v>
      </c>
      <c r="O31" s="2160">
        <v>32</v>
      </c>
      <c r="P31" s="2160">
        <v>32</v>
      </c>
      <c r="Q31" s="2160">
        <v>32</v>
      </c>
      <c r="R31" s="2160">
        <v>98.7</v>
      </c>
      <c r="S31" s="2159">
        <f>P31/9*12*1.048</f>
        <v>44.714666666666666</v>
      </c>
      <c r="T31" s="2162">
        <f t="shared" si="91"/>
        <v>0.47823172905525846</v>
      </c>
      <c r="U31" s="2163" t="e">
        <f>R31*#REF!</f>
        <v>#REF!</v>
      </c>
      <c r="V31" s="2163" t="e">
        <f>R31*#REF!</f>
        <v>#REF!</v>
      </c>
      <c r="W31" s="2163">
        <f t="shared" si="68"/>
        <v>25.531138668079841</v>
      </c>
      <c r="X31" s="2163">
        <f t="shared" si="69"/>
        <v>18.134232114467405</v>
      </c>
      <c r="Y31" s="2163">
        <v>100</v>
      </c>
      <c r="Z31" s="2163">
        <v>100</v>
      </c>
      <c r="AA31" s="2163">
        <v>99.33</v>
      </c>
      <c r="AB31" s="2160">
        <v>50</v>
      </c>
      <c r="AC31" s="2159">
        <f>AB31</f>
        <v>50</v>
      </c>
      <c r="AD31" s="2163">
        <f t="shared" si="70"/>
        <v>29.599959023104354</v>
      </c>
      <c r="AE31" s="2163">
        <f t="shared" si="71"/>
        <v>20.000032265272161</v>
      </c>
      <c r="AF31" s="3518">
        <f t="shared" si="85"/>
        <v>1.1593669756731819</v>
      </c>
      <c r="AG31" s="3518">
        <f t="shared" si="86"/>
        <v>1.1028882909972366</v>
      </c>
      <c r="AH31" s="2163">
        <v>100</v>
      </c>
      <c r="AI31" s="2163">
        <v>100</v>
      </c>
      <c r="AJ31" s="2159">
        <f t="shared" si="84"/>
        <v>109.26300000000001</v>
      </c>
      <c r="AK31" s="2163">
        <f>AJ31*AI56</f>
        <v>65.120748000000006</v>
      </c>
      <c r="AL31" s="2163">
        <f>AJ31*AI57</f>
        <v>44.142252000000006</v>
      </c>
      <c r="AM31" s="3518">
        <f t="shared" si="87"/>
        <v>2.2000283158895515</v>
      </c>
      <c r="AN31" s="3518">
        <f t="shared" si="87"/>
        <v>2.207109039351308</v>
      </c>
      <c r="AO31" s="2615">
        <f>AJ31</f>
        <v>109.26300000000001</v>
      </c>
      <c r="AP31" s="2163">
        <f t="shared" si="72"/>
        <v>59.456005898003134</v>
      </c>
      <c r="AQ31" s="2163">
        <f t="shared" si="73"/>
        <v>49.21818699226602</v>
      </c>
      <c r="AR31" s="2163">
        <f t="shared" si="5"/>
        <v>174.98</v>
      </c>
      <c r="AS31" s="2163">
        <v>103.24</v>
      </c>
      <c r="AT31" s="2163">
        <v>71.739999999999995</v>
      </c>
      <c r="AU31" s="2163">
        <f t="shared" si="6"/>
        <v>25</v>
      </c>
      <c r="AV31" s="2163">
        <v>14.5</v>
      </c>
      <c r="AW31" s="2163">
        <v>10.5</v>
      </c>
      <c r="AX31" s="2163">
        <f t="shared" si="82"/>
        <v>119.27000000000001</v>
      </c>
      <c r="AY31" s="2163">
        <v>70.37</v>
      </c>
      <c r="AZ31" s="2163">
        <v>48.9</v>
      </c>
      <c r="BA31" s="2163">
        <f t="shared" si="53"/>
        <v>99.5</v>
      </c>
      <c r="BB31" s="2163">
        <v>55.959000000000003</v>
      </c>
      <c r="BC31" s="2163">
        <v>0</v>
      </c>
      <c r="BD31" s="2163">
        <v>43.540999999999997</v>
      </c>
      <c r="BE31" s="2163">
        <v>0</v>
      </c>
      <c r="BF31" s="2163">
        <v>0</v>
      </c>
      <c r="BG31" s="2163">
        <v>0</v>
      </c>
      <c r="BH31" s="2163">
        <f t="shared" si="9"/>
        <v>122.86</v>
      </c>
      <c r="BI31" s="2163">
        <v>71.39</v>
      </c>
      <c r="BJ31" s="2163">
        <v>51.47</v>
      </c>
      <c r="BK31" s="2163">
        <f>AU31*1.027*1.046</f>
        <v>26.85605</v>
      </c>
      <c r="BL31" s="2163">
        <f t="shared" si="74"/>
        <v>15.611562334403239</v>
      </c>
      <c r="BM31" s="2163">
        <f t="shared" si="75"/>
        <v>10.108719653211686</v>
      </c>
      <c r="BN31" s="2163">
        <f t="shared" si="76"/>
        <v>1.0715663509516584</v>
      </c>
      <c r="BO31" s="2163">
        <f t="shared" si="77"/>
        <v>6.4201661433413437E-2</v>
      </c>
      <c r="BP31" s="2163">
        <f>SUM(BA31*1.046)</f>
        <v>104.077</v>
      </c>
      <c r="BQ31" s="2163">
        <f>SUM(BP31*BB50)</f>
        <v>61.228882849911997</v>
      </c>
      <c r="BR31" s="2612">
        <f>SUM(BP31*BC50)</f>
        <v>2.769355730540208E-3</v>
      </c>
      <c r="BS31" s="2163">
        <f>SUM(BP31*BD50)</f>
        <v>42.325319954927103</v>
      </c>
      <c r="BT31" s="2667">
        <f>SUM(BP31*BE50)</f>
        <v>2.0988240711287208E-2</v>
      </c>
      <c r="BU31" s="2163">
        <f>SUM(BP31*BF50)</f>
        <v>0.21602433159469983</v>
      </c>
      <c r="BV31" s="2163">
        <f>SUM(BP31*BG50)</f>
        <v>0.28301526712437636</v>
      </c>
      <c r="BW31" s="2163">
        <f t="shared" si="55"/>
        <v>27.385114185000003</v>
      </c>
      <c r="BX31" s="2163">
        <f t="shared" si="78"/>
        <v>15.919110112390984</v>
      </c>
      <c r="BY31" s="2163">
        <f t="shared" si="79"/>
        <v>10.307861430379958</v>
      </c>
      <c r="BZ31" s="2163">
        <f t="shared" si="80"/>
        <v>1.0926762080654062</v>
      </c>
      <c r="CA31" s="2163">
        <f t="shared" si="81"/>
        <v>6.5466434163651693E-2</v>
      </c>
      <c r="CB31" s="2163">
        <f t="shared" si="56"/>
        <v>57.999000000000009</v>
      </c>
      <c r="CC31" s="2163">
        <v>34.200000000000003</v>
      </c>
      <c r="CD31" s="2163">
        <v>8.9999999999999993E-3</v>
      </c>
      <c r="CE31" s="2163">
        <v>22.7</v>
      </c>
      <c r="CF31" s="2163">
        <v>0.06</v>
      </c>
      <c r="CG31" s="2163">
        <v>0</v>
      </c>
      <c r="CH31" s="2163">
        <v>1.03</v>
      </c>
      <c r="CI31" s="2163">
        <f t="shared" si="57"/>
        <v>57.999999999999993</v>
      </c>
      <c r="CJ31" s="2163">
        <v>34.20234</v>
      </c>
      <c r="CK31" s="2163">
        <v>8.7299999999999999E-3</v>
      </c>
      <c r="CL31" s="2163">
        <v>22.697859999999999</v>
      </c>
      <c r="CM31" s="2163">
        <v>5.8639999999999998E-2</v>
      </c>
      <c r="CN31" s="2163">
        <v>0</v>
      </c>
      <c r="CO31" s="2163">
        <v>1.03243</v>
      </c>
      <c r="CP31" s="2163">
        <f t="shared" si="58"/>
        <v>57.998699999999999</v>
      </c>
      <c r="CQ31" s="2163">
        <v>34.200000000000003</v>
      </c>
      <c r="CR31" s="2163">
        <v>8.6999999999999994E-3</v>
      </c>
      <c r="CS31" s="2163">
        <v>22.7</v>
      </c>
      <c r="CT31" s="2163">
        <v>0.06</v>
      </c>
      <c r="CU31" s="2163">
        <v>0</v>
      </c>
      <c r="CV31" s="2163">
        <v>1.03</v>
      </c>
      <c r="CW31" s="2489">
        <f t="shared" si="59"/>
        <v>60.059973798000001</v>
      </c>
      <c r="CX31" s="2489">
        <f>SUM(CW31*CX50)</f>
        <v>35.145381186683124</v>
      </c>
      <c r="CY31" s="2489">
        <f>SUM(CW31*CY50)</f>
        <v>9.7896465506352795E-3</v>
      </c>
      <c r="CZ31" s="2489">
        <f>SUM(CW31*CZ50)</f>
        <v>23.294775635473915</v>
      </c>
      <c r="DA31" s="2489">
        <f>SUM(CW31*DA50)</f>
        <v>6.738938329482505E-2</v>
      </c>
      <c r="DB31" s="2489">
        <f>SUM(CW31*DB50)</f>
        <v>0</v>
      </c>
      <c r="DC31" s="2489">
        <f>SUM(CW31*DC50)</f>
        <v>1.5426379459974973</v>
      </c>
      <c r="DD31" s="4080">
        <f t="shared" si="60"/>
        <v>16.35897954440215</v>
      </c>
      <c r="DE31" s="4080">
        <f t="shared" si="61"/>
        <v>10.592683453760637</v>
      </c>
      <c r="DF31" s="2489">
        <f t="shared" si="62"/>
        <v>94.454350000000005</v>
      </c>
      <c r="DG31" s="2489">
        <v>54.547110000000004</v>
      </c>
      <c r="DH31" s="2489">
        <v>1.038E-2</v>
      </c>
      <c r="DI31" s="2489">
        <v>37.115679999999998</v>
      </c>
      <c r="DJ31" s="2489">
        <v>9.9299999999999999E-2</v>
      </c>
      <c r="DK31" s="2489">
        <v>0</v>
      </c>
      <c r="DL31" s="2489">
        <v>2.68188</v>
      </c>
      <c r="DM31" s="2489">
        <f t="shared" si="63"/>
        <v>94.454350000000005</v>
      </c>
      <c r="DN31" s="2489">
        <v>54.547110000000004</v>
      </c>
      <c r="DO31" s="2489">
        <v>1.038E-2</v>
      </c>
      <c r="DP31" s="2489">
        <v>37.115679999999998</v>
      </c>
      <c r="DQ31" s="2489">
        <v>9.9299999999999999E-2</v>
      </c>
      <c r="DR31" s="2489">
        <v>0</v>
      </c>
      <c r="DS31" s="2489">
        <v>2.68188</v>
      </c>
      <c r="DT31" s="3999">
        <f t="shared" si="64"/>
        <v>57.998699999999999</v>
      </c>
      <c r="DU31" s="3999">
        <v>34.200000000000003</v>
      </c>
      <c r="DV31" s="3999">
        <v>8.6999999999999994E-3</v>
      </c>
      <c r="DW31" s="3999">
        <v>22.7</v>
      </c>
      <c r="DX31" s="3999">
        <v>0.06</v>
      </c>
      <c r="DY31" s="3999">
        <v>0</v>
      </c>
      <c r="DZ31" s="3999">
        <v>1.03</v>
      </c>
      <c r="EA31" s="2699" t="s">
        <v>1923</v>
      </c>
    </row>
    <row r="32" spans="1:132" ht="24" customHeight="1" x14ac:dyDescent="0.2">
      <c r="A32" s="3519" t="s">
        <v>78</v>
      </c>
      <c r="B32" s="3380">
        <v>3.9</v>
      </c>
      <c r="C32" s="3380">
        <v>39.799999999999997</v>
      </c>
      <c r="D32" s="2158">
        <f t="shared" si="88"/>
        <v>1020.5128205128204</v>
      </c>
      <c r="E32" s="3380">
        <v>47.7</v>
      </c>
      <c r="F32" s="2158">
        <f t="shared" si="89"/>
        <v>119.8492462311558</v>
      </c>
      <c r="G32" s="2159">
        <v>102.2</v>
      </c>
      <c r="H32" s="2158">
        <f t="shared" si="90"/>
        <v>214.2557651991614</v>
      </c>
      <c r="I32" s="2160">
        <v>43.9</v>
      </c>
      <c r="J32" s="2160">
        <v>76.5</v>
      </c>
      <c r="K32" s="2160">
        <v>76.5</v>
      </c>
      <c r="L32" s="2160">
        <v>102</v>
      </c>
      <c r="M32" s="2164">
        <f t="shared" si="92"/>
        <v>74.853228962817994</v>
      </c>
      <c r="N32" s="2160">
        <v>48.4</v>
      </c>
      <c r="O32" s="2160"/>
      <c r="P32" s="2160">
        <v>0.3</v>
      </c>
      <c r="Q32" s="2160">
        <v>0.9</v>
      </c>
      <c r="R32" s="2160">
        <v>117.6</v>
      </c>
      <c r="S32" s="2159">
        <f>P32/9*12*1.048</f>
        <v>0.41920000000000002</v>
      </c>
      <c r="T32" s="2162">
        <f t="shared" si="91"/>
        <v>8.6611570247933888E-3</v>
      </c>
      <c r="U32" s="2163" t="e">
        <f>R32*#REF!</f>
        <v>#REF!</v>
      </c>
      <c r="V32" s="2163" t="e">
        <f>R32*#REF!</f>
        <v>#REF!</v>
      </c>
      <c r="W32" s="2163">
        <f t="shared" si="68"/>
        <v>0.23935442501324852</v>
      </c>
      <c r="X32" s="2163">
        <f t="shared" si="69"/>
        <v>0.17000842607313191</v>
      </c>
      <c r="Y32" s="2163"/>
      <c r="Z32" s="2163"/>
      <c r="AA32" s="2163"/>
      <c r="AB32" s="2160">
        <v>0</v>
      </c>
      <c r="AC32" s="2159">
        <v>0</v>
      </c>
      <c r="AD32" s="2163">
        <f t="shared" si="70"/>
        <v>0</v>
      </c>
      <c r="AE32" s="2163">
        <f t="shared" si="71"/>
        <v>0</v>
      </c>
      <c r="AF32" s="3518">
        <f t="shared" si="85"/>
        <v>0</v>
      </c>
      <c r="AG32" s="3518">
        <f t="shared" si="86"/>
        <v>0</v>
      </c>
      <c r="AH32" s="2163">
        <v>0.42</v>
      </c>
      <c r="AI32" s="2163">
        <v>0.42</v>
      </c>
      <c r="AJ32" s="2159">
        <f t="shared" si="84"/>
        <v>0</v>
      </c>
      <c r="AK32" s="2163">
        <f>AJ32*AI56</f>
        <v>0</v>
      </c>
      <c r="AL32" s="2163">
        <f>AJ32*AI57</f>
        <v>0</v>
      </c>
      <c r="AM32" s="3518"/>
      <c r="AN32" s="3518"/>
      <c r="AO32" s="2615">
        <f t="shared" ref="AO32:AO33" si="93">AJ32</f>
        <v>0</v>
      </c>
      <c r="AP32" s="2163">
        <f t="shared" si="72"/>
        <v>0</v>
      </c>
      <c r="AQ32" s="2163">
        <f t="shared" si="73"/>
        <v>0</v>
      </c>
      <c r="AR32" s="2163">
        <f t="shared" si="5"/>
        <v>0</v>
      </c>
      <c r="AS32" s="2163">
        <v>0</v>
      </c>
      <c r="AT32" s="2163">
        <v>0</v>
      </c>
      <c r="AU32" s="2163">
        <f t="shared" si="6"/>
        <v>0</v>
      </c>
      <c r="AV32" s="2163">
        <v>0</v>
      </c>
      <c r="AW32" s="2163">
        <v>0</v>
      </c>
      <c r="AX32" s="2163">
        <f t="shared" si="82"/>
        <v>0</v>
      </c>
      <c r="AY32" s="2163">
        <v>0</v>
      </c>
      <c r="AZ32" s="2163">
        <v>0</v>
      </c>
      <c r="BA32" s="2163">
        <f t="shared" si="53"/>
        <v>0</v>
      </c>
      <c r="BB32" s="2163">
        <v>0</v>
      </c>
      <c r="BC32" s="2163">
        <v>0</v>
      </c>
      <c r="BD32" s="2163">
        <v>0</v>
      </c>
      <c r="BE32" s="2163">
        <v>0</v>
      </c>
      <c r="BF32" s="2163">
        <v>0</v>
      </c>
      <c r="BG32" s="2163">
        <v>0</v>
      </c>
      <c r="BH32" s="2163">
        <f t="shared" si="9"/>
        <v>0</v>
      </c>
      <c r="BI32" s="2163">
        <v>0</v>
      </c>
      <c r="BJ32" s="2163">
        <v>0</v>
      </c>
      <c r="BK32" s="2163">
        <v>0</v>
      </c>
      <c r="BL32" s="2163">
        <f t="shared" si="74"/>
        <v>0</v>
      </c>
      <c r="BM32" s="2163">
        <f t="shared" si="75"/>
        <v>0</v>
      </c>
      <c r="BN32" s="2163">
        <f t="shared" si="76"/>
        <v>0</v>
      </c>
      <c r="BO32" s="2163">
        <f t="shared" si="77"/>
        <v>0</v>
      </c>
      <c r="BP32" s="2163">
        <f t="shared" si="54"/>
        <v>0</v>
      </c>
      <c r="BQ32" s="2163">
        <v>0</v>
      </c>
      <c r="BR32" s="2163">
        <v>0</v>
      </c>
      <c r="BS32" s="2163">
        <v>0</v>
      </c>
      <c r="BT32" s="2163">
        <v>0</v>
      </c>
      <c r="BU32" s="2163">
        <v>0</v>
      </c>
      <c r="BV32" s="2163">
        <v>0</v>
      </c>
      <c r="BW32" s="2163">
        <f t="shared" si="55"/>
        <v>0</v>
      </c>
      <c r="BX32" s="2163">
        <f t="shared" si="78"/>
        <v>0</v>
      </c>
      <c r="BY32" s="2163">
        <f t="shared" si="79"/>
        <v>0</v>
      </c>
      <c r="BZ32" s="2163">
        <f t="shared" si="80"/>
        <v>0</v>
      </c>
      <c r="CA32" s="2163">
        <f t="shared" si="81"/>
        <v>0</v>
      </c>
      <c r="CB32" s="2163">
        <f t="shared" si="56"/>
        <v>0</v>
      </c>
      <c r="CC32" s="2163">
        <v>0</v>
      </c>
      <c r="CD32" s="2163">
        <v>0</v>
      </c>
      <c r="CE32" s="2163">
        <v>0</v>
      </c>
      <c r="CF32" s="2163">
        <v>0</v>
      </c>
      <c r="CG32" s="2163">
        <v>0</v>
      </c>
      <c r="CH32" s="2163">
        <v>0</v>
      </c>
      <c r="CI32" s="2163">
        <f t="shared" si="57"/>
        <v>0</v>
      </c>
      <c r="CJ32" s="2163">
        <v>0</v>
      </c>
      <c r="CK32" s="2163">
        <v>0</v>
      </c>
      <c r="CL32" s="2163">
        <v>0</v>
      </c>
      <c r="CM32" s="2163">
        <v>0</v>
      </c>
      <c r="CN32" s="2163">
        <v>0</v>
      </c>
      <c r="CO32" s="2163">
        <v>0</v>
      </c>
      <c r="CP32" s="2163">
        <f t="shared" si="58"/>
        <v>0</v>
      </c>
      <c r="CQ32" s="2163">
        <v>0</v>
      </c>
      <c r="CR32" s="2163">
        <v>0</v>
      </c>
      <c r="CS32" s="2163">
        <v>0</v>
      </c>
      <c r="CT32" s="2163">
        <v>0</v>
      </c>
      <c r="CU32" s="2163">
        <v>0</v>
      </c>
      <c r="CV32" s="2163">
        <v>0</v>
      </c>
      <c r="CW32" s="2489">
        <f t="shared" si="59"/>
        <v>0</v>
      </c>
      <c r="CX32" s="2489">
        <f>SUM(CW32*CX50)</f>
        <v>0</v>
      </c>
      <c r="CY32" s="2489">
        <f>SUM(CW32*CY50)</f>
        <v>0</v>
      </c>
      <c r="CZ32" s="2489">
        <f>SUM(CW32*CZ50)</f>
        <v>0</v>
      </c>
      <c r="DA32" s="2489">
        <f>SUM(CW32*DA50)</f>
        <v>0</v>
      </c>
      <c r="DB32" s="2489">
        <f>SUM(CW32*DB50)</f>
        <v>0</v>
      </c>
      <c r="DC32" s="2489">
        <f>SUM(CW32*DC50)</f>
        <v>0</v>
      </c>
      <c r="DD32" s="4080">
        <f t="shared" si="60"/>
        <v>0</v>
      </c>
      <c r="DE32" s="4080">
        <f t="shared" si="61"/>
        <v>0</v>
      </c>
      <c r="DF32" s="2489">
        <f t="shared" si="62"/>
        <v>0</v>
      </c>
      <c r="DG32" s="2489">
        <v>0</v>
      </c>
      <c r="DH32" s="2489">
        <v>0</v>
      </c>
      <c r="DI32" s="2489">
        <v>0</v>
      </c>
      <c r="DJ32" s="2489">
        <v>0</v>
      </c>
      <c r="DK32" s="2489">
        <v>0</v>
      </c>
      <c r="DL32" s="2489">
        <v>0</v>
      </c>
      <c r="DM32" s="2489">
        <f t="shared" si="63"/>
        <v>4.7330500000000004</v>
      </c>
      <c r="DN32" s="2489">
        <v>2.7046800000000002</v>
      </c>
      <c r="DO32" s="2489">
        <v>7.2000000000000005E-4</v>
      </c>
      <c r="DP32" s="2489">
        <v>1.96875</v>
      </c>
      <c r="DQ32" s="2489">
        <v>0</v>
      </c>
      <c r="DR32" s="2489">
        <v>0</v>
      </c>
      <c r="DS32" s="2489">
        <v>5.8900000000000001E-2</v>
      </c>
      <c r="DT32" s="3999">
        <f t="shared" si="64"/>
        <v>0</v>
      </c>
      <c r="DU32" s="3999">
        <v>0</v>
      </c>
      <c r="DV32" s="3999">
        <v>0</v>
      </c>
      <c r="DW32" s="3999">
        <v>0</v>
      </c>
      <c r="DX32" s="3999">
        <v>0</v>
      </c>
      <c r="DY32" s="3999">
        <v>0</v>
      </c>
      <c r="DZ32" s="3999">
        <v>0</v>
      </c>
      <c r="EA32" s="2698"/>
    </row>
    <row r="33" spans="1:132" ht="33" customHeight="1" x14ac:dyDescent="0.2">
      <c r="A33" s="3519" t="s">
        <v>96</v>
      </c>
      <c r="B33" s="3380">
        <v>6.6</v>
      </c>
      <c r="C33" s="3380">
        <v>7.8</v>
      </c>
      <c r="D33" s="2158">
        <f t="shared" si="88"/>
        <v>118.18181818181819</v>
      </c>
      <c r="E33" s="3380">
        <v>7</v>
      </c>
      <c r="F33" s="2158">
        <f t="shared" si="89"/>
        <v>89.743589743589752</v>
      </c>
      <c r="G33" s="2159">
        <v>6.7</v>
      </c>
      <c r="H33" s="2158">
        <f t="shared" si="90"/>
        <v>95.714285714285722</v>
      </c>
      <c r="I33" s="2160">
        <v>10.6</v>
      </c>
      <c r="J33" s="2160">
        <v>5</v>
      </c>
      <c r="K33" s="2160">
        <v>7</v>
      </c>
      <c r="L33" s="2160">
        <v>6.6</v>
      </c>
      <c r="M33" s="2164">
        <f t="shared" si="92"/>
        <v>104.4776119402985</v>
      </c>
      <c r="N33" s="2160">
        <v>7.343</v>
      </c>
      <c r="O33" s="2160">
        <v>3.3</v>
      </c>
      <c r="P33" s="2160">
        <v>5.3182299999999998</v>
      </c>
      <c r="Q33" s="2160">
        <v>7</v>
      </c>
      <c r="R33" s="2160">
        <v>7.84</v>
      </c>
      <c r="S33" s="2159">
        <f>P33/9*12*1.048</f>
        <v>7.4313400533333329</v>
      </c>
      <c r="T33" s="2162">
        <f t="shared" si="91"/>
        <v>1.0120305125062417</v>
      </c>
      <c r="U33" s="2163" t="e">
        <f>R33*#REF!</f>
        <v>#REF!</v>
      </c>
      <c r="V33" s="2163" t="e">
        <f>R33*#REF!</f>
        <v>#REF!</v>
      </c>
      <c r="W33" s="2163">
        <f t="shared" si="68"/>
        <v>4.2431396124606948</v>
      </c>
      <c r="X33" s="2163">
        <f t="shared" si="69"/>
        <v>3.0138130393163745</v>
      </c>
      <c r="Y33" s="2163">
        <v>3.46</v>
      </c>
      <c r="Z33" s="2163">
        <v>5.85</v>
      </c>
      <c r="AA33" s="2163">
        <v>7.8</v>
      </c>
      <c r="AB33" s="2160">
        <v>7.83</v>
      </c>
      <c r="AC33" s="2159">
        <f>AB33</f>
        <v>7.83</v>
      </c>
      <c r="AD33" s="2163">
        <f t="shared" si="70"/>
        <v>4.6353535830181425</v>
      </c>
      <c r="AE33" s="2163">
        <f t="shared" si="71"/>
        <v>3.1320050527416203</v>
      </c>
      <c r="AF33" s="3518">
        <f t="shared" si="85"/>
        <v>1.0924348492813305</v>
      </c>
      <c r="AG33" s="3518">
        <f t="shared" si="86"/>
        <v>1.039216770212148</v>
      </c>
      <c r="AH33" s="2163">
        <v>3.4</v>
      </c>
      <c r="AI33" s="2163">
        <v>5.25</v>
      </c>
      <c r="AJ33" s="2159">
        <f t="shared" si="84"/>
        <v>8.58</v>
      </c>
      <c r="AK33" s="2163">
        <f>AJ33*AI56</f>
        <v>5.1136799999999996</v>
      </c>
      <c r="AL33" s="2163">
        <f>AJ33*AI57</f>
        <v>3.4663200000000001</v>
      </c>
      <c r="AM33" s="3518">
        <f>AK33/AD33</f>
        <v>1.1031909235002548</v>
      </c>
      <c r="AN33" s="3518">
        <f>AL33/AE33</f>
        <v>1.1067415095533562</v>
      </c>
      <c r="AO33" s="2615">
        <f t="shared" si="93"/>
        <v>8.58</v>
      </c>
      <c r="AP33" s="2163">
        <f t="shared" si="72"/>
        <v>4.6688497533919699</v>
      </c>
      <c r="AQ33" s="2163">
        <f t="shared" si="73"/>
        <v>3.8649135058861868</v>
      </c>
      <c r="AR33" s="2163">
        <f t="shared" si="5"/>
        <v>6.83</v>
      </c>
      <c r="AS33" s="2163">
        <v>4.03</v>
      </c>
      <c r="AT33" s="2163">
        <v>2.8</v>
      </c>
      <c r="AU33" s="2163">
        <f t="shared" si="6"/>
        <v>0.55743999999999994</v>
      </c>
      <c r="AV33" s="2163">
        <v>0.32332</v>
      </c>
      <c r="AW33" s="2163">
        <v>0.23411999999999999</v>
      </c>
      <c r="AX33" s="2163">
        <f t="shared" si="82"/>
        <v>9.370000000000001</v>
      </c>
      <c r="AY33" s="2163">
        <v>5.53</v>
      </c>
      <c r="AZ33" s="2163">
        <v>3.84</v>
      </c>
      <c r="BA33" s="2163">
        <f t="shared" si="53"/>
        <v>0</v>
      </c>
      <c r="BB33" s="2163">
        <v>0</v>
      </c>
      <c r="BC33" s="2163">
        <v>0</v>
      </c>
      <c r="BD33" s="2163">
        <v>0</v>
      </c>
      <c r="BE33" s="2163">
        <v>0</v>
      </c>
      <c r="BF33" s="2163">
        <v>0</v>
      </c>
      <c r="BG33" s="2163">
        <v>0</v>
      </c>
      <c r="BH33" s="2163">
        <f t="shared" si="9"/>
        <v>9.65</v>
      </c>
      <c r="BI33" s="2163">
        <v>5.61</v>
      </c>
      <c r="BJ33" s="2163">
        <v>4.04</v>
      </c>
      <c r="BK33" s="2163">
        <f>AR33</f>
        <v>6.83</v>
      </c>
      <c r="BL33" s="2163">
        <f t="shared" si="74"/>
        <v>3.9703147240183916</v>
      </c>
      <c r="BM33" s="2163">
        <f t="shared" si="75"/>
        <v>2.5708380506975459</v>
      </c>
      <c r="BN33" s="2163">
        <f t="shared" si="76"/>
        <v>0.27251953198626855</v>
      </c>
      <c r="BO33" s="2163">
        <f t="shared" si="77"/>
        <v>1.6327693297793749E-2</v>
      </c>
      <c r="BP33" s="2163">
        <f>SUM(BK33*1.046)</f>
        <v>7.1441800000000004</v>
      </c>
      <c r="BQ33" s="2163">
        <f>SUM(BP33*BB50)</f>
        <v>4.2029474358281309</v>
      </c>
      <c r="BR33" s="2612">
        <f>SUM(BP33*BC50)</f>
        <v>1.9009748381497107E-4</v>
      </c>
      <c r="BS33" s="2163">
        <f>SUM(BP33*BD50)</f>
        <v>2.9053460833382125</v>
      </c>
      <c r="BT33" s="2667">
        <f>SUM(BP33*BE50)</f>
        <v>1.4407003422923783E-3</v>
      </c>
      <c r="BU33" s="2163">
        <f>SUM(BP33*BF50)</f>
        <v>1.4828604872279397E-2</v>
      </c>
      <c r="BV33" s="2163">
        <f>SUM(BP33*BG50)</f>
        <v>1.9427078135271263E-2</v>
      </c>
      <c r="BW33" s="2163">
        <f t="shared" si="55"/>
        <v>6.9645510000000002</v>
      </c>
      <c r="BX33" s="2163">
        <f t="shared" si="78"/>
        <v>4.0485299240815538</v>
      </c>
      <c r="BY33" s="2163">
        <f t="shared" si="79"/>
        <v>2.6214835602962876</v>
      </c>
      <c r="BZ33" s="2163">
        <f t="shared" si="80"/>
        <v>0.27788816676639805</v>
      </c>
      <c r="CA33" s="2163">
        <f t="shared" si="81"/>
        <v>1.6649348855760287E-2</v>
      </c>
      <c r="CB33" s="2163">
        <f t="shared" si="56"/>
        <v>0</v>
      </c>
      <c r="CC33" s="2163">
        <v>0</v>
      </c>
      <c r="CD33" s="2163">
        <v>0</v>
      </c>
      <c r="CE33" s="2163">
        <v>0</v>
      </c>
      <c r="CF33" s="2163">
        <v>0</v>
      </c>
      <c r="CG33" s="2163">
        <v>0</v>
      </c>
      <c r="CH33" s="2163">
        <v>0</v>
      </c>
      <c r="CI33" s="2163">
        <f t="shared" si="57"/>
        <v>0</v>
      </c>
      <c r="CJ33" s="2163">
        <v>0</v>
      </c>
      <c r="CK33" s="2163">
        <v>0</v>
      </c>
      <c r="CL33" s="2163">
        <v>0</v>
      </c>
      <c r="CM33" s="2163">
        <v>0</v>
      </c>
      <c r="CN33" s="2163">
        <v>0</v>
      </c>
      <c r="CO33" s="2163">
        <v>0</v>
      </c>
      <c r="CP33" s="2163">
        <f t="shared" si="58"/>
        <v>0</v>
      </c>
      <c r="CQ33" s="2163">
        <v>0</v>
      </c>
      <c r="CR33" s="2163">
        <v>0</v>
      </c>
      <c r="CS33" s="2163">
        <v>0</v>
      </c>
      <c r="CT33" s="2163">
        <v>0</v>
      </c>
      <c r="CU33" s="2163">
        <v>0</v>
      </c>
      <c r="CV33" s="2163">
        <v>0</v>
      </c>
      <c r="CW33" s="2489">
        <f t="shared" si="59"/>
        <v>0</v>
      </c>
      <c r="CX33" s="2489">
        <f>SUM(CW33*CX50)</f>
        <v>0</v>
      </c>
      <c r="CY33" s="2489">
        <f>SUM(CW33*CY50)</f>
        <v>0</v>
      </c>
      <c r="CZ33" s="2489">
        <f>SUM(CW33*CZ50)</f>
        <v>0</v>
      </c>
      <c r="DA33" s="2489">
        <f>SUM(CW33*DA50)</f>
        <v>0</v>
      </c>
      <c r="DB33" s="2489">
        <f>SUM(CW33*DB50)</f>
        <v>0</v>
      </c>
      <c r="DC33" s="2489">
        <f>SUM(CW33*DC50)</f>
        <v>0</v>
      </c>
      <c r="DD33" s="4080">
        <f t="shared" si="60"/>
        <v>4.1603970162502177</v>
      </c>
      <c r="DE33" s="4080">
        <f t="shared" si="61"/>
        <v>2.6939191723721532</v>
      </c>
      <c r="DF33" s="2489">
        <f t="shared" si="62"/>
        <v>0</v>
      </c>
      <c r="DG33" s="2489">
        <v>0</v>
      </c>
      <c r="DH33" s="2489">
        <v>0</v>
      </c>
      <c r="DI33" s="2489">
        <v>0</v>
      </c>
      <c r="DJ33" s="2489">
        <v>0</v>
      </c>
      <c r="DK33" s="2489">
        <v>0</v>
      </c>
      <c r="DL33" s="2489">
        <v>0</v>
      </c>
      <c r="DM33" s="2489">
        <f t="shared" si="63"/>
        <v>0</v>
      </c>
      <c r="DN33" s="2489">
        <v>0</v>
      </c>
      <c r="DO33" s="2489">
        <v>0</v>
      </c>
      <c r="DP33" s="2489">
        <v>0</v>
      </c>
      <c r="DQ33" s="2489">
        <v>0</v>
      </c>
      <c r="DR33" s="2489">
        <v>0</v>
      </c>
      <c r="DS33" s="2489">
        <v>0</v>
      </c>
      <c r="DT33" s="3999">
        <f t="shared" si="64"/>
        <v>0</v>
      </c>
      <c r="DU33" s="3999">
        <v>0</v>
      </c>
      <c r="DV33" s="3999">
        <v>0</v>
      </c>
      <c r="DW33" s="3999">
        <v>0</v>
      </c>
      <c r="DX33" s="3999">
        <v>0</v>
      </c>
      <c r="DY33" s="3999">
        <v>0</v>
      </c>
      <c r="DZ33" s="3999">
        <v>0</v>
      </c>
      <c r="EA33" s="2698" t="s">
        <v>1905</v>
      </c>
    </row>
    <row r="34" spans="1:132" ht="33" customHeight="1" x14ac:dyDescent="0.2">
      <c r="A34" s="3519" t="s">
        <v>211</v>
      </c>
      <c r="B34" s="3380">
        <v>105.1</v>
      </c>
      <c r="C34" s="3380">
        <v>13</v>
      </c>
      <c r="D34" s="2158">
        <f t="shared" si="88"/>
        <v>12.369172216936251</v>
      </c>
      <c r="E34" s="3380">
        <v>28.1</v>
      </c>
      <c r="F34" s="2158">
        <f t="shared" si="89"/>
        <v>216.15384615384619</v>
      </c>
      <c r="G34" s="2159">
        <v>117.6</v>
      </c>
      <c r="H34" s="2158">
        <f t="shared" si="90"/>
        <v>418.5053380782918</v>
      </c>
      <c r="I34" s="2160">
        <v>108.2</v>
      </c>
      <c r="J34" s="2160">
        <v>58.5</v>
      </c>
      <c r="K34" s="2160">
        <v>108.2</v>
      </c>
      <c r="L34" s="2160">
        <v>103</v>
      </c>
      <c r="M34" s="2164">
        <f t="shared" si="92"/>
        <v>92.006802721088448</v>
      </c>
      <c r="N34" s="2160">
        <v>0</v>
      </c>
      <c r="O34" s="2160">
        <v>141.4</v>
      </c>
      <c r="P34" s="2160">
        <v>256.79226</v>
      </c>
      <c r="Q34" s="2160">
        <v>266</v>
      </c>
      <c r="R34" s="2160">
        <v>103</v>
      </c>
      <c r="S34" s="2159">
        <v>103</v>
      </c>
      <c r="T34" s="2162"/>
      <c r="U34" s="2163" t="e">
        <f>R34*#REF!</f>
        <v>#REF!</v>
      </c>
      <c r="V34" s="2163" t="e">
        <f>R34*#REF!</f>
        <v>#REF!</v>
      </c>
      <c r="W34" s="2163">
        <f t="shared" si="68"/>
        <v>58.810843932167451</v>
      </c>
      <c r="X34" s="2163">
        <f t="shared" si="69"/>
        <v>41.772108505564375</v>
      </c>
      <c r="Y34" s="2163">
        <v>246.24</v>
      </c>
      <c r="Z34" s="2163">
        <v>378.14</v>
      </c>
      <c r="AA34" s="2163">
        <v>344.26</v>
      </c>
      <c r="AB34" s="2160">
        <v>106.3</v>
      </c>
      <c r="AC34" s="2159">
        <v>0</v>
      </c>
      <c r="AD34" s="2163">
        <f t="shared" si="70"/>
        <v>0</v>
      </c>
      <c r="AE34" s="2163">
        <f t="shared" si="71"/>
        <v>0</v>
      </c>
      <c r="AF34" s="3518">
        <f t="shared" si="85"/>
        <v>0</v>
      </c>
      <c r="AG34" s="3518">
        <f t="shared" si="86"/>
        <v>0</v>
      </c>
      <c r="AH34" s="2163">
        <v>137.71</v>
      </c>
      <c r="AI34" s="2163">
        <v>296.42</v>
      </c>
      <c r="AJ34" s="2159">
        <f t="shared" si="84"/>
        <v>378.68600000000004</v>
      </c>
      <c r="AK34" s="2163">
        <f>AJ34*AI56</f>
        <v>225.69685600000003</v>
      </c>
      <c r="AL34" s="2163">
        <f>AJ34*AI57</f>
        <v>152.98914400000001</v>
      </c>
      <c r="AM34" s="3518"/>
      <c r="AN34" s="3518"/>
      <c r="AO34" s="2615"/>
      <c r="AP34" s="2163">
        <f t="shared" si="72"/>
        <v>0</v>
      </c>
      <c r="AQ34" s="2163">
        <f t="shared" si="73"/>
        <v>0</v>
      </c>
      <c r="AR34" s="2163">
        <f t="shared" si="5"/>
        <v>172.10000000000002</v>
      </c>
      <c r="AS34" s="2163">
        <v>101.54</v>
      </c>
      <c r="AT34" s="2163">
        <v>70.56</v>
      </c>
      <c r="AU34" s="2163">
        <f t="shared" si="6"/>
        <v>453.76526000000001</v>
      </c>
      <c r="AV34" s="2163">
        <v>263.18385000000001</v>
      </c>
      <c r="AW34" s="2163">
        <v>190.58141000000001</v>
      </c>
      <c r="AX34" s="2163">
        <f t="shared" si="82"/>
        <v>0</v>
      </c>
      <c r="AY34" s="2163">
        <v>0</v>
      </c>
      <c r="AZ34" s="2163">
        <v>0</v>
      </c>
      <c r="BA34" s="2163">
        <f t="shared" si="53"/>
        <v>1221.5623899999998</v>
      </c>
      <c r="BB34" s="2163">
        <v>709.23699999999997</v>
      </c>
      <c r="BC34" s="2163">
        <v>3.5529999999999999E-2</v>
      </c>
      <c r="BD34" s="2163">
        <v>504.03699999999998</v>
      </c>
      <c r="BE34" s="2163">
        <v>0.26885999999999999</v>
      </c>
      <c r="BF34" s="2163">
        <v>3.7109999999999999</v>
      </c>
      <c r="BG34" s="2163">
        <v>4.2729999999999997</v>
      </c>
      <c r="BH34" s="2163">
        <f t="shared" si="9"/>
        <v>0</v>
      </c>
      <c r="BI34" s="2163">
        <v>0</v>
      </c>
      <c r="BJ34" s="2163">
        <v>0</v>
      </c>
      <c r="BK34" s="2163">
        <f>(AR34+AU34)/2</f>
        <v>312.93263000000002</v>
      </c>
      <c r="BL34" s="2163">
        <f t="shared" si="74"/>
        <v>181.90937459953139</v>
      </c>
      <c r="BM34" s="2163">
        <f t="shared" si="75"/>
        <v>117.78903550642114</v>
      </c>
      <c r="BN34" s="2163">
        <f t="shared" si="76"/>
        <v>12.48612794594907</v>
      </c>
      <c r="BO34" s="2163">
        <f t="shared" si="77"/>
        <v>0.74809194809838531</v>
      </c>
      <c r="BP34" s="2163">
        <f>SUM(BA34)</f>
        <v>1221.5623899999998</v>
      </c>
      <c r="BQ34" s="2163">
        <f>SUM(BP34*BB50)</f>
        <v>718.64965814895231</v>
      </c>
      <c r="BR34" s="2612">
        <f>SUM(BP34*BC50)</f>
        <v>3.2504211352737802E-2</v>
      </c>
      <c r="BS34" s="2163">
        <f>SUM(BP34*BD50)</f>
        <v>496.77660771981743</v>
      </c>
      <c r="BT34" s="2667">
        <f>SUM(BP34*BE50)</f>
        <v>0.24634112709989045</v>
      </c>
      <c r="BU34" s="2163">
        <f>SUM(BP34*BF50)</f>
        <v>2.5354996666023619</v>
      </c>
      <c r="BV34" s="2163">
        <f>SUM(BP34*BG50)</f>
        <v>3.321779126175251</v>
      </c>
      <c r="BW34" s="2163">
        <f t="shared" si="55"/>
        <v>319.09740281099999</v>
      </c>
      <c r="BX34" s="2163">
        <f t="shared" si="78"/>
        <v>185.49298927914217</v>
      </c>
      <c r="BY34" s="2163">
        <f t="shared" si="79"/>
        <v>120.10947950589762</v>
      </c>
      <c r="BZ34" s="2163">
        <f t="shared" si="80"/>
        <v>12.732104666484265</v>
      </c>
      <c r="CA34" s="2163">
        <f t="shared" si="81"/>
        <v>0.76282935947592345</v>
      </c>
      <c r="CB34" s="2163">
        <f t="shared" si="56"/>
        <v>417.38</v>
      </c>
      <c r="CC34" s="2163">
        <v>242.37</v>
      </c>
      <c r="CD34" s="2163">
        <v>7.0000000000000007E-2</v>
      </c>
      <c r="CE34" s="2163">
        <v>166.58</v>
      </c>
      <c r="CF34" s="2163">
        <v>0.55000000000000004</v>
      </c>
      <c r="CG34" s="2163">
        <v>0</v>
      </c>
      <c r="CH34" s="2163">
        <v>7.81</v>
      </c>
      <c r="CI34" s="2163">
        <f t="shared" si="57"/>
        <v>603.01949999999999</v>
      </c>
      <c r="CJ34" s="2163">
        <v>353.59912000000003</v>
      </c>
      <c r="CK34" s="2163">
        <v>0.10569000000000001</v>
      </c>
      <c r="CL34" s="2163">
        <v>236.86248000000001</v>
      </c>
      <c r="CM34" s="2163">
        <v>0.65646000000000004</v>
      </c>
      <c r="CN34" s="2163">
        <v>0</v>
      </c>
      <c r="CO34" s="2163">
        <v>11.79575</v>
      </c>
      <c r="CP34" s="2163">
        <f t="shared" si="58"/>
        <v>674.95</v>
      </c>
      <c r="CQ34" s="2163">
        <v>395.03</v>
      </c>
      <c r="CR34" s="2163">
        <v>0.12</v>
      </c>
      <c r="CS34" s="2163">
        <v>264.10000000000002</v>
      </c>
      <c r="CT34" s="2163">
        <v>0.74</v>
      </c>
      <c r="CU34" s="2163">
        <v>0</v>
      </c>
      <c r="CV34" s="2163">
        <v>14.96</v>
      </c>
      <c r="CW34" s="2489">
        <f t="shared" si="59"/>
        <v>698.93772300000012</v>
      </c>
      <c r="CX34" s="2489">
        <f>SUM(CW34*CX50)</f>
        <v>408.99839189415934</v>
      </c>
      <c r="CY34" s="2489">
        <f>SUM(CW34*CY50)</f>
        <v>0.11392534555690528</v>
      </c>
      <c r="CZ34" s="2489">
        <f>SUM(CW34*CZ50)</f>
        <v>271.0889867387221</v>
      </c>
      <c r="DA34" s="2489">
        <f>SUM(CW34*DA50)</f>
        <v>0.7842324785700745</v>
      </c>
      <c r="DB34" s="2489">
        <f>SUM(CW34*DB50)</f>
        <v>0</v>
      </c>
      <c r="DC34" s="2489">
        <f>SUM(CW34*DC50)</f>
        <v>17.952186542991669</v>
      </c>
      <c r="DD34" s="4080">
        <v>131.57</v>
      </c>
      <c r="DE34" s="4080">
        <f t="shared" si="61"/>
        <v>123.42828867025491</v>
      </c>
      <c r="DF34" s="2489">
        <f t="shared" si="62"/>
        <v>212.95832999999999</v>
      </c>
      <c r="DG34" s="2489">
        <v>121.66410999999999</v>
      </c>
      <c r="DH34" s="2489">
        <v>3.2239999999999998E-2</v>
      </c>
      <c r="DI34" s="2489">
        <v>83.005790000000005</v>
      </c>
      <c r="DJ34" s="2489">
        <v>0.20319999999999999</v>
      </c>
      <c r="DK34" s="2489">
        <v>0</v>
      </c>
      <c r="DL34" s="2489">
        <v>8.0529899999999994</v>
      </c>
      <c r="DM34" s="2489">
        <f t="shared" si="63"/>
        <v>212.95832999999999</v>
      </c>
      <c r="DN34" s="2489">
        <v>121.66410999999999</v>
      </c>
      <c r="DO34" s="2489">
        <v>3.2239999999999998E-2</v>
      </c>
      <c r="DP34" s="2489">
        <v>83.005790000000005</v>
      </c>
      <c r="DQ34" s="2489">
        <v>0.20319999999999999</v>
      </c>
      <c r="DR34" s="2489">
        <v>0</v>
      </c>
      <c r="DS34" s="2489">
        <v>8.0529899999999994</v>
      </c>
      <c r="DT34" s="3999">
        <f t="shared" si="64"/>
        <v>674.95</v>
      </c>
      <c r="DU34" s="3999">
        <v>395.03</v>
      </c>
      <c r="DV34" s="3999">
        <v>0.12</v>
      </c>
      <c r="DW34" s="3999">
        <v>264.10000000000002</v>
      </c>
      <c r="DX34" s="3999">
        <v>0.74</v>
      </c>
      <c r="DY34" s="3999">
        <v>0</v>
      </c>
      <c r="DZ34" s="3999">
        <v>14.96</v>
      </c>
      <c r="EA34" s="2699" t="s">
        <v>1926</v>
      </c>
    </row>
    <row r="35" spans="1:132" ht="33" customHeight="1" x14ac:dyDescent="0.2">
      <c r="A35" s="3519" t="s">
        <v>41</v>
      </c>
      <c r="B35" s="3380">
        <v>8.1</v>
      </c>
      <c r="C35" s="3380">
        <v>11.6</v>
      </c>
      <c r="D35" s="2158">
        <f t="shared" si="88"/>
        <v>143.20987654320987</v>
      </c>
      <c r="E35" s="3380">
        <v>17.600000000000001</v>
      </c>
      <c r="F35" s="2158">
        <f t="shared" si="89"/>
        <v>151.72413793103451</v>
      </c>
      <c r="G35" s="2159">
        <v>14.6</v>
      </c>
      <c r="H35" s="2158">
        <f t="shared" si="90"/>
        <v>82.954545454545453</v>
      </c>
      <c r="I35" s="2160">
        <v>19.600000000000001</v>
      </c>
      <c r="J35" s="2160">
        <v>12.2</v>
      </c>
      <c r="K35" s="2160">
        <f>J35/9*12</f>
        <v>16.266666666666666</v>
      </c>
      <c r="L35" s="2160">
        <v>16.600000000000001</v>
      </c>
      <c r="M35" s="2164">
        <f t="shared" si="92"/>
        <v>111.41552511415524</v>
      </c>
      <c r="N35" s="2160">
        <v>17.063733333333332</v>
      </c>
      <c r="O35" s="2160">
        <v>1.1000000000000001</v>
      </c>
      <c r="P35" s="2160">
        <v>1.1040000000000001</v>
      </c>
      <c r="Q35" s="2160">
        <v>1.1000000000000001</v>
      </c>
      <c r="R35" s="2160">
        <v>17.850000000000001</v>
      </c>
      <c r="S35" s="2159">
        <f>P35/9*12*1.048</f>
        <v>1.542656</v>
      </c>
      <c r="T35" s="2162">
        <f>S35/N35</f>
        <v>9.0405538451921438E-2</v>
      </c>
      <c r="U35" s="2163" t="e">
        <f>R35*#REF!</f>
        <v>#REF!</v>
      </c>
      <c r="V35" s="2163" t="e">
        <f>R35*#REF!</f>
        <v>#REF!</v>
      </c>
      <c r="W35" s="2163">
        <f t="shared" si="68"/>
        <v>0.88082428404875446</v>
      </c>
      <c r="X35" s="2163">
        <f t="shared" si="69"/>
        <v>0.62563100794912541</v>
      </c>
      <c r="Y35" s="2163"/>
      <c r="Z35" s="2163">
        <v>4.8</v>
      </c>
      <c r="AA35" s="2163">
        <v>4.76</v>
      </c>
      <c r="AB35" s="2160">
        <v>1.9</v>
      </c>
      <c r="AC35" s="2159">
        <f>AB35</f>
        <v>1.9</v>
      </c>
      <c r="AD35" s="2163">
        <f t="shared" si="70"/>
        <v>1.1247984428779654</v>
      </c>
      <c r="AE35" s="2163">
        <f t="shared" si="71"/>
        <v>0.76000122608034204</v>
      </c>
      <c r="AF35" s="3518">
        <f t="shared" si="85"/>
        <v>1.2769839152342293</v>
      </c>
      <c r="AG35" s="3518">
        <f t="shared" si="86"/>
        <v>1.2147755089244925</v>
      </c>
      <c r="AH35" s="2163">
        <v>0</v>
      </c>
      <c r="AI35" s="2163">
        <v>0</v>
      </c>
      <c r="AJ35" s="2159">
        <f t="shared" si="84"/>
        <v>5.2359999999999998</v>
      </c>
      <c r="AK35" s="2163">
        <f>AJ35*AI56</f>
        <v>3.1206559999999999</v>
      </c>
      <c r="AL35" s="2163">
        <f>AJ35*AI57</f>
        <v>2.1153439999999999</v>
      </c>
      <c r="AM35" s="3518">
        <f t="shared" ref="AM35:AN39" si="94">AK35/AD35</f>
        <v>2.7744135136027874</v>
      </c>
      <c r="AN35" s="3518">
        <f t="shared" si="94"/>
        <v>2.7833428781552789</v>
      </c>
      <c r="AO35" s="2615">
        <v>0</v>
      </c>
      <c r="AP35" s="2163">
        <f t="shared" si="72"/>
        <v>0</v>
      </c>
      <c r="AQ35" s="2163">
        <f t="shared" si="73"/>
        <v>0</v>
      </c>
      <c r="AR35" s="2163">
        <f t="shared" si="5"/>
        <v>0</v>
      </c>
      <c r="AS35" s="2163">
        <v>0</v>
      </c>
      <c r="AT35" s="2163">
        <v>0</v>
      </c>
      <c r="AU35" s="2163">
        <f t="shared" si="6"/>
        <v>0</v>
      </c>
      <c r="AV35" s="2163">
        <v>0</v>
      </c>
      <c r="AW35" s="2163">
        <v>0</v>
      </c>
      <c r="AX35" s="2163">
        <f t="shared" si="82"/>
        <v>0</v>
      </c>
      <c r="AY35" s="2163">
        <v>0</v>
      </c>
      <c r="AZ35" s="2163">
        <v>0</v>
      </c>
      <c r="BA35" s="2163">
        <f t="shared" si="53"/>
        <v>0</v>
      </c>
      <c r="BB35" s="2163">
        <v>0</v>
      </c>
      <c r="BC35" s="2163">
        <v>0</v>
      </c>
      <c r="BD35" s="2163">
        <v>0</v>
      </c>
      <c r="BE35" s="2163">
        <v>0</v>
      </c>
      <c r="BF35" s="2163">
        <v>0</v>
      </c>
      <c r="BG35" s="2163">
        <v>0</v>
      </c>
      <c r="BH35" s="2163">
        <f t="shared" si="9"/>
        <v>0</v>
      </c>
      <c r="BI35" s="2163">
        <v>0</v>
      </c>
      <c r="BJ35" s="2163">
        <v>0</v>
      </c>
      <c r="BK35" s="2163">
        <v>0</v>
      </c>
      <c r="BL35" s="2163">
        <f t="shared" si="74"/>
        <v>0</v>
      </c>
      <c r="BM35" s="2163">
        <f t="shared" si="75"/>
        <v>0</v>
      </c>
      <c r="BN35" s="2163">
        <f t="shared" si="76"/>
        <v>0</v>
      </c>
      <c r="BO35" s="2163">
        <f t="shared" si="77"/>
        <v>0</v>
      </c>
      <c r="BP35" s="2163">
        <f t="shared" si="54"/>
        <v>0</v>
      </c>
      <c r="BQ35" s="2163">
        <v>0</v>
      </c>
      <c r="BR35" s="2163">
        <v>0</v>
      </c>
      <c r="BS35" s="2163">
        <v>0</v>
      </c>
      <c r="BT35" s="2163">
        <v>0</v>
      </c>
      <c r="BU35" s="2163">
        <v>0</v>
      </c>
      <c r="BV35" s="2163">
        <v>0</v>
      </c>
      <c r="BW35" s="2163">
        <f t="shared" si="55"/>
        <v>0</v>
      </c>
      <c r="BX35" s="2163">
        <f t="shared" si="78"/>
        <v>0</v>
      </c>
      <c r="BY35" s="2163">
        <f t="shared" si="79"/>
        <v>0</v>
      </c>
      <c r="BZ35" s="2163">
        <f t="shared" si="80"/>
        <v>0</v>
      </c>
      <c r="CA35" s="2163">
        <f t="shared" si="81"/>
        <v>0</v>
      </c>
      <c r="CB35" s="2163">
        <f t="shared" si="56"/>
        <v>0</v>
      </c>
      <c r="CC35" s="2163">
        <v>0</v>
      </c>
      <c r="CD35" s="2163">
        <v>0</v>
      </c>
      <c r="CE35" s="2163">
        <v>0</v>
      </c>
      <c r="CF35" s="2163">
        <v>0</v>
      </c>
      <c r="CG35" s="2163">
        <v>0</v>
      </c>
      <c r="CH35" s="2163">
        <v>0</v>
      </c>
      <c r="CI35" s="2163">
        <f t="shared" si="57"/>
        <v>0</v>
      </c>
      <c r="CJ35" s="2163">
        <v>0</v>
      </c>
      <c r="CK35" s="2163">
        <v>0</v>
      </c>
      <c r="CL35" s="2163">
        <v>0</v>
      </c>
      <c r="CM35" s="2163">
        <v>0</v>
      </c>
      <c r="CN35" s="2163">
        <v>0</v>
      </c>
      <c r="CO35" s="2163">
        <v>0</v>
      </c>
      <c r="CP35" s="2163">
        <f t="shared" si="58"/>
        <v>0</v>
      </c>
      <c r="CQ35" s="2163">
        <v>0</v>
      </c>
      <c r="CR35" s="2163">
        <v>0</v>
      </c>
      <c r="CS35" s="2163">
        <v>0</v>
      </c>
      <c r="CT35" s="2163">
        <v>0</v>
      </c>
      <c r="CU35" s="2163">
        <v>0</v>
      </c>
      <c r="CV35" s="2163">
        <v>0</v>
      </c>
      <c r="CW35" s="2489">
        <f t="shared" si="59"/>
        <v>0</v>
      </c>
      <c r="CX35" s="2489">
        <f>SUM(CW35*CX50)</f>
        <v>0</v>
      </c>
      <c r="CY35" s="2489">
        <f>SUM(CW35*CY50)</f>
        <v>0</v>
      </c>
      <c r="CZ35" s="2489">
        <f>SUM(CW35*CZ50)</f>
        <v>0</v>
      </c>
      <c r="DA35" s="2489">
        <f>SUM(CW35*DA50)</f>
        <v>0</v>
      </c>
      <c r="DB35" s="2489">
        <f>SUM(CW35*DB50)</f>
        <v>0</v>
      </c>
      <c r="DC35" s="2489">
        <f>SUM(CW35*DC50)</f>
        <v>0</v>
      </c>
      <c r="DD35" s="4080">
        <f t="shared" si="60"/>
        <v>0</v>
      </c>
      <c r="DE35" s="4080">
        <f t="shared" si="61"/>
        <v>0</v>
      </c>
      <c r="DF35" s="2489">
        <f t="shared" si="62"/>
        <v>0</v>
      </c>
      <c r="DG35" s="2489">
        <v>0</v>
      </c>
      <c r="DH35" s="2489">
        <v>0</v>
      </c>
      <c r="DI35" s="2489">
        <v>0</v>
      </c>
      <c r="DJ35" s="2489">
        <v>0</v>
      </c>
      <c r="DK35" s="2489">
        <v>0</v>
      </c>
      <c r="DL35" s="2489">
        <v>0</v>
      </c>
      <c r="DM35" s="2489">
        <f t="shared" si="63"/>
        <v>0</v>
      </c>
      <c r="DN35" s="2489">
        <v>0</v>
      </c>
      <c r="DO35" s="2489">
        <v>0</v>
      </c>
      <c r="DP35" s="2489">
        <v>0</v>
      </c>
      <c r="DQ35" s="2489">
        <v>0</v>
      </c>
      <c r="DR35" s="2489">
        <v>0</v>
      </c>
      <c r="DS35" s="2489">
        <v>0</v>
      </c>
      <c r="DT35" s="3999">
        <f t="shared" si="64"/>
        <v>0</v>
      </c>
      <c r="DU35" s="3999">
        <v>0</v>
      </c>
      <c r="DV35" s="3999">
        <v>0</v>
      </c>
      <c r="DW35" s="3999">
        <v>0</v>
      </c>
      <c r="DX35" s="3999">
        <v>0</v>
      </c>
      <c r="DY35" s="3999">
        <v>0</v>
      </c>
      <c r="DZ35" s="3999">
        <v>0</v>
      </c>
      <c r="EA35" s="2698"/>
    </row>
    <row r="36" spans="1:132" ht="33" customHeight="1" x14ac:dyDescent="0.2">
      <c r="A36" s="3519" t="s">
        <v>42</v>
      </c>
      <c r="B36" s="3380">
        <v>26.2</v>
      </c>
      <c r="C36" s="3380">
        <v>19.3</v>
      </c>
      <c r="D36" s="2158">
        <f t="shared" si="88"/>
        <v>73.66412213740459</v>
      </c>
      <c r="E36" s="3380">
        <v>20.3</v>
      </c>
      <c r="F36" s="2158">
        <f t="shared" si="89"/>
        <v>105.18134715025906</v>
      </c>
      <c r="G36" s="2159">
        <v>23.4</v>
      </c>
      <c r="H36" s="2158">
        <f t="shared" si="90"/>
        <v>115.27093596059113</v>
      </c>
      <c r="I36" s="2160">
        <v>25.3</v>
      </c>
      <c r="J36" s="2160">
        <v>20.8</v>
      </c>
      <c r="K36" s="2160">
        <v>25.3</v>
      </c>
      <c r="L36" s="2160">
        <v>23.5</v>
      </c>
      <c r="M36" s="2164">
        <f t="shared" si="92"/>
        <v>108.11965811965814</v>
      </c>
      <c r="N36" s="2160">
        <v>26.5397</v>
      </c>
      <c r="O36" s="2160">
        <v>8.3000000000000007</v>
      </c>
      <c r="P36" s="2160">
        <v>8.2553599999999996</v>
      </c>
      <c r="Q36" s="2160">
        <v>23.5</v>
      </c>
      <c r="R36" s="2160">
        <v>29.03</v>
      </c>
      <c r="S36" s="2159">
        <f>23.5197*1.048</f>
        <v>24.648645600000002</v>
      </c>
      <c r="T36" s="2162">
        <f>S36/N36</f>
        <v>0.9287462028583594</v>
      </c>
      <c r="U36" s="2163" t="e">
        <f>R36*#REF!</f>
        <v>#REF!</v>
      </c>
      <c r="V36" s="2163" t="e">
        <f>R36*#REF!</f>
        <v>#REF!</v>
      </c>
      <c r="W36" s="2163">
        <f t="shared" si="68"/>
        <v>14.073860674960253</v>
      </c>
      <c r="X36" s="2163">
        <f t="shared" si="69"/>
        <v>9.9963679467806017</v>
      </c>
      <c r="Y36" s="2163">
        <v>9.32</v>
      </c>
      <c r="Z36" s="2163">
        <v>22.54</v>
      </c>
      <c r="AA36" s="2163">
        <v>25.47</v>
      </c>
      <c r="AB36" s="2160">
        <v>26</v>
      </c>
      <c r="AC36" s="2159">
        <f>AB36</f>
        <v>26</v>
      </c>
      <c r="AD36" s="2163">
        <f t="shared" si="70"/>
        <v>15.391978692014264</v>
      </c>
      <c r="AE36" s="2163">
        <f t="shared" si="71"/>
        <v>10.400016777941524</v>
      </c>
      <c r="AF36" s="3518">
        <f t="shared" si="85"/>
        <v>1.0936571739266372</v>
      </c>
      <c r="AG36" s="3518">
        <f t="shared" si="86"/>
        <v>1.040379549183253</v>
      </c>
      <c r="AH36" s="2163">
        <v>8.99</v>
      </c>
      <c r="AI36" s="2163">
        <v>22.81</v>
      </c>
      <c r="AJ36" s="2159">
        <f t="shared" si="84"/>
        <v>28.016999999999999</v>
      </c>
      <c r="AK36" s="2163">
        <f>AJ36*AI56</f>
        <v>16.698131999999998</v>
      </c>
      <c r="AL36" s="2163">
        <f>AJ36*AI57</f>
        <v>11.318868</v>
      </c>
      <c r="AM36" s="3518">
        <f t="shared" si="94"/>
        <v>1.0848593500628607</v>
      </c>
      <c r="AN36" s="3518">
        <f t="shared" si="94"/>
        <v>1.0883509365107338</v>
      </c>
      <c r="AO36" s="2615">
        <f>AJ36</f>
        <v>28.016999999999999</v>
      </c>
      <c r="AP36" s="2163">
        <f t="shared" si="72"/>
        <v>15.245590156268396</v>
      </c>
      <c r="AQ36" s="2163">
        <f t="shared" si="73"/>
        <v>12.620429101912972</v>
      </c>
      <c r="AR36" s="2163">
        <f t="shared" si="5"/>
        <v>27.509999999999998</v>
      </c>
      <c r="AS36" s="2163">
        <v>16.23</v>
      </c>
      <c r="AT36" s="2163">
        <v>11.28</v>
      </c>
      <c r="AU36" s="2163">
        <f t="shared" si="6"/>
        <v>28.88336</v>
      </c>
      <c r="AV36" s="2163">
        <v>16.75235</v>
      </c>
      <c r="AW36" s="2163">
        <v>12.13101</v>
      </c>
      <c r="AX36" s="2163">
        <f t="shared" si="82"/>
        <v>30.59</v>
      </c>
      <c r="AY36" s="2163">
        <v>18.05</v>
      </c>
      <c r="AZ36" s="2163">
        <v>12.54</v>
      </c>
      <c r="BA36" s="2163">
        <f t="shared" si="53"/>
        <v>22.704999999999998</v>
      </c>
      <c r="BB36" s="2163">
        <v>13.407999999999999</v>
      </c>
      <c r="BC36" s="2163">
        <v>0</v>
      </c>
      <c r="BD36" s="2163">
        <v>9.2970000000000006</v>
      </c>
      <c r="BE36" s="2163">
        <v>0</v>
      </c>
      <c r="BF36" s="2163">
        <v>0</v>
      </c>
      <c r="BG36" s="2163">
        <v>0</v>
      </c>
      <c r="BH36" s="2163">
        <f t="shared" si="9"/>
        <v>31.509999999999998</v>
      </c>
      <c r="BI36" s="2163">
        <v>18.309999999999999</v>
      </c>
      <c r="BJ36" s="2163">
        <v>13.2</v>
      </c>
      <c r="BK36" s="2163">
        <f>AU36*1.027*1.046</f>
        <v>31.027718413119999</v>
      </c>
      <c r="BL36" s="2163">
        <f t="shared" si="74"/>
        <v>18.036575002680365</v>
      </c>
      <c r="BM36" s="2163">
        <f t="shared" si="75"/>
        <v>11.678951555311532</v>
      </c>
      <c r="BN36" s="2163">
        <f t="shared" si="76"/>
        <v>1.2380174671369237</v>
      </c>
      <c r="BO36" s="2163">
        <f t="shared" si="77"/>
        <v>7.4174387991175858E-2</v>
      </c>
      <c r="BP36" s="2163">
        <f>SUM(BK36*1.046)</f>
        <v>32.454993460123518</v>
      </c>
      <c r="BQ36" s="2163">
        <f>SUM(BP36*BB50)</f>
        <v>19.093392319768661</v>
      </c>
      <c r="BR36" s="2612">
        <f>SUM(BP36*BC50)</f>
        <v>8.6358582706494262E-4</v>
      </c>
      <c r="BS36" s="2163">
        <f>SUM(BP36*BD50)</f>
        <v>13.198573962881277</v>
      </c>
      <c r="BT36" s="2667">
        <f>SUM(BP36*BE50)</f>
        <v>6.544896711322622E-3</v>
      </c>
      <c r="BU36" s="2163">
        <f>SUM(BP36*BF50)</f>
        <v>6.7364242523646312E-2</v>
      </c>
      <c r="BV36" s="2163">
        <f>SUM(BP36*BG50)</f>
        <v>8.8254452411548626E-2</v>
      </c>
      <c r="BW36" s="2163">
        <f t="shared" si="55"/>
        <v>31.638964465858464</v>
      </c>
      <c r="BX36" s="2163">
        <f t="shared" si="78"/>
        <v>18.391895530233167</v>
      </c>
      <c r="BY36" s="2163">
        <f t="shared" si="79"/>
        <v>11.90902690095117</v>
      </c>
      <c r="BZ36" s="2163">
        <f t="shared" si="80"/>
        <v>1.2624064112395212</v>
      </c>
      <c r="CA36" s="2163">
        <f t="shared" si="81"/>
        <v>7.563562343460202E-2</v>
      </c>
      <c r="CB36" s="2163">
        <f t="shared" si="56"/>
        <v>24.555000000000003</v>
      </c>
      <c r="CC36" s="2163">
        <v>14.51</v>
      </c>
      <c r="CD36" s="2667">
        <v>5.0000000000000001E-3</v>
      </c>
      <c r="CE36" s="2163">
        <v>9.4600000000000009</v>
      </c>
      <c r="CF36" s="2163">
        <v>0.05</v>
      </c>
      <c r="CG36" s="2163">
        <v>0</v>
      </c>
      <c r="CH36" s="2163">
        <v>0.53</v>
      </c>
      <c r="CI36" s="2163">
        <f t="shared" si="57"/>
        <v>26.081919999999997</v>
      </c>
      <c r="CJ36" s="2163">
        <v>15.40957</v>
      </c>
      <c r="CK36" s="2163">
        <v>5.62E-3</v>
      </c>
      <c r="CL36" s="2163">
        <v>10.05922</v>
      </c>
      <c r="CM36" s="2163">
        <v>4.7410000000000001E-2</v>
      </c>
      <c r="CN36" s="2163">
        <v>0</v>
      </c>
      <c r="CO36" s="2163">
        <v>0.56010000000000004</v>
      </c>
      <c r="CP36" s="2163">
        <f t="shared" si="58"/>
        <v>27.506</v>
      </c>
      <c r="CQ36" s="2163">
        <v>16.23</v>
      </c>
      <c r="CR36" s="2163">
        <v>6.0000000000000001E-3</v>
      </c>
      <c r="CS36" s="2163">
        <v>10.59</v>
      </c>
      <c r="CT36" s="2163">
        <v>0.05</v>
      </c>
      <c r="CU36" s="2163">
        <v>0</v>
      </c>
      <c r="CV36" s="2163">
        <v>0.63</v>
      </c>
      <c r="CW36" s="2489">
        <f t="shared" si="59"/>
        <v>28.483563239999999</v>
      </c>
      <c r="CX36" s="2489">
        <f>SUM(CW36*CX50)</f>
        <v>16.667767638255789</v>
      </c>
      <c r="CY36" s="2489">
        <f>SUM(CW36*CY50)</f>
        <v>4.6427595449859043E-3</v>
      </c>
      <c r="CZ36" s="2489">
        <f>SUM(CW36*CZ50)</f>
        <v>11.047594146581655</v>
      </c>
      <c r="DA36" s="2489">
        <f>SUM(CW36*DA50)</f>
        <v>3.1959550419362118E-2</v>
      </c>
      <c r="DB36" s="2489">
        <f>SUM(CW36*DB50)</f>
        <v>0</v>
      </c>
      <c r="DC36" s="2489">
        <f>SUM(CW36*DC50)</f>
        <v>0.73159914519820535</v>
      </c>
      <c r="DD36" s="4080">
        <f t="shared" si="60"/>
        <v>18.900091816544133</v>
      </c>
      <c r="DE36" s="4080">
        <f t="shared" si="61"/>
        <v>12.238091582440473</v>
      </c>
      <c r="DF36" s="2489">
        <f t="shared" si="62"/>
        <v>5.0685600000000006</v>
      </c>
      <c r="DG36" s="2489">
        <v>2.9003700000000001</v>
      </c>
      <c r="DH36" s="2493">
        <v>4.0999999999999999E-4</v>
      </c>
      <c r="DI36" s="2489">
        <v>2.01953</v>
      </c>
      <c r="DJ36" s="2489">
        <v>4.8599999999999997E-3</v>
      </c>
      <c r="DK36" s="2489">
        <v>0</v>
      </c>
      <c r="DL36" s="2489">
        <v>0.14338999999999999</v>
      </c>
      <c r="DM36" s="2489">
        <f t="shared" si="63"/>
        <v>22.841830000000002</v>
      </c>
      <c r="DN36" s="2489">
        <v>12.867660000000001</v>
      </c>
      <c r="DO36" s="2489">
        <v>5.5500000000000002E-3</v>
      </c>
      <c r="DP36" s="2489">
        <v>9.4936000000000007</v>
      </c>
      <c r="DQ36" s="2489">
        <v>2.7560000000000001E-2</v>
      </c>
      <c r="DR36" s="2489">
        <v>0</v>
      </c>
      <c r="DS36" s="2489">
        <v>0.44746000000000002</v>
      </c>
      <c r="DT36" s="3999">
        <f t="shared" si="64"/>
        <v>27.506</v>
      </c>
      <c r="DU36" s="3999">
        <v>16.23</v>
      </c>
      <c r="DV36" s="3999">
        <v>6.0000000000000001E-3</v>
      </c>
      <c r="DW36" s="3999">
        <v>10.59</v>
      </c>
      <c r="DX36" s="3999">
        <v>0.05</v>
      </c>
      <c r="DY36" s="3999">
        <v>0</v>
      </c>
      <c r="DZ36" s="3999">
        <v>0.63</v>
      </c>
      <c r="EA36" s="2699" t="s">
        <v>1923</v>
      </c>
    </row>
    <row r="37" spans="1:132" ht="24" customHeight="1" x14ac:dyDescent="0.2">
      <c r="A37" s="3519" t="s">
        <v>76</v>
      </c>
      <c r="B37" s="3380">
        <f>136.6+89.7</f>
        <v>226.3</v>
      </c>
      <c r="C37" s="3380">
        <v>10.5</v>
      </c>
      <c r="D37" s="2158">
        <f t="shared" si="88"/>
        <v>4.6398585947856823</v>
      </c>
      <c r="E37" s="3380">
        <v>12.3</v>
      </c>
      <c r="F37" s="2158">
        <f t="shared" si="89"/>
        <v>117.14285714285715</v>
      </c>
      <c r="G37" s="2159">
        <v>45.4</v>
      </c>
      <c r="H37" s="2158">
        <f t="shared" si="90"/>
        <v>369.10569105691053</v>
      </c>
      <c r="I37" s="2160">
        <v>10.5</v>
      </c>
      <c r="J37" s="2160">
        <v>34.299999999999997</v>
      </c>
      <c r="K37" s="2160">
        <v>45.4</v>
      </c>
      <c r="L37" s="2160">
        <v>38.1</v>
      </c>
      <c r="M37" s="2164">
        <f t="shared" si="92"/>
        <v>100</v>
      </c>
      <c r="N37" s="2160">
        <v>11.6</v>
      </c>
      <c r="O37" s="2160">
        <v>19.100000000000001</v>
      </c>
      <c r="P37" s="2160">
        <v>29.655380000000001</v>
      </c>
      <c r="Q37" s="2160">
        <v>37.9</v>
      </c>
      <c r="R37" s="2160">
        <v>47.38</v>
      </c>
      <c r="S37" s="2159">
        <f>N37*1.048</f>
        <v>12.1568</v>
      </c>
      <c r="T37" s="2162">
        <f>S37/N37</f>
        <v>1.048</v>
      </c>
      <c r="U37" s="2163" t="e">
        <f>R37*#REF!</f>
        <v>#REF!</v>
      </c>
      <c r="V37" s="2163" t="e">
        <f>R37*#REF!</f>
        <v>#REF!</v>
      </c>
      <c r="W37" s="2163">
        <f t="shared" si="68"/>
        <v>6.9412783253842072</v>
      </c>
      <c r="X37" s="2163">
        <f t="shared" si="69"/>
        <v>4.9302443561208253</v>
      </c>
      <c r="Y37" s="2163">
        <v>22.95</v>
      </c>
      <c r="Z37" s="2163">
        <v>58.17</v>
      </c>
      <c r="AA37" s="2163">
        <v>93.35</v>
      </c>
      <c r="AB37" s="2160">
        <v>13.6</v>
      </c>
      <c r="AC37" s="2159">
        <f>AB37</f>
        <v>13.6</v>
      </c>
      <c r="AD37" s="2163">
        <f t="shared" si="70"/>
        <v>8.0511888542843852</v>
      </c>
      <c r="AE37" s="2163">
        <f t="shared" si="71"/>
        <v>5.4400087761540279</v>
      </c>
      <c r="AF37" s="3518">
        <f t="shared" si="85"/>
        <v>1.1599000179608479</v>
      </c>
      <c r="AG37" s="3518">
        <f t="shared" si="86"/>
        <v>1.1033953660735574</v>
      </c>
      <c r="AH37" s="2163">
        <v>66.69</v>
      </c>
      <c r="AI37" s="2163">
        <v>67.36</v>
      </c>
      <c r="AJ37" s="2159">
        <f t="shared" si="84"/>
        <v>102.685</v>
      </c>
      <c r="AK37" s="2163">
        <f>AJ37*AI56</f>
        <v>61.20026</v>
      </c>
      <c r="AL37" s="2163">
        <f>AJ37*AI57</f>
        <v>41.484740000000002</v>
      </c>
      <c r="AM37" s="3518">
        <f t="shared" si="94"/>
        <v>7.6013941676989356</v>
      </c>
      <c r="AN37" s="3518">
        <f t="shared" si="94"/>
        <v>7.6258590210085737</v>
      </c>
      <c r="AO37" s="2615">
        <f t="shared" ref="AO37:AO46" si="95">AJ37</f>
        <v>102.685</v>
      </c>
      <c r="AP37" s="2163">
        <f t="shared" si="72"/>
        <v>55.87655442040262</v>
      </c>
      <c r="AQ37" s="2163">
        <f t="shared" si="73"/>
        <v>46.255086637753273</v>
      </c>
      <c r="AR37" s="2163">
        <f t="shared" si="5"/>
        <v>2.99</v>
      </c>
      <c r="AS37" s="2163">
        <v>1.76</v>
      </c>
      <c r="AT37" s="2163">
        <v>1.23</v>
      </c>
      <c r="AU37" s="2163">
        <f t="shared" si="6"/>
        <v>2.8190499999999998</v>
      </c>
      <c r="AV37" s="2163">
        <v>1.63679</v>
      </c>
      <c r="AW37" s="2163">
        <v>1.1822600000000001</v>
      </c>
      <c r="AX37" s="2163">
        <f t="shared" si="82"/>
        <v>112.1</v>
      </c>
      <c r="AY37" s="2163">
        <v>66.14</v>
      </c>
      <c r="AZ37" s="2163">
        <v>45.96</v>
      </c>
      <c r="BA37" s="2163">
        <f t="shared" si="53"/>
        <v>6.1090999999999998</v>
      </c>
      <c r="BB37" s="2163">
        <v>3.6059999999999999</v>
      </c>
      <c r="BC37" s="2612">
        <v>2.0000000000000001E-4</v>
      </c>
      <c r="BD37" s="2163">
        <v>2.464</v>
      </c>
      <c r="BE37" s="3521">
        <v>1.6100000000000001E-3</v>
      </c>
      <c r="BF37" s="2612">
        <v>1.5440000000000001E-2</v>
      </c>
      <c r="BG37" s="3521">
        <v>2.1850000000000001E-2</v>
      </c>
      <c r="BH37" s="2163">
        <f t="shared" si="9"/>
        <v>115.46000000000001</v>
      </c>
      <c r="BI37" s="2163">
        <v>67.09</v>
      </c>
      <c r="BJ37" s="2163">
        <v>48.37</v>
      </c>
      <c r="BK37" s="2163">
        <f>AU37*1.027*1.046</f>
        <v>3.0283419100999995</v>
      </c>
      <c r="BL37" s="2163">
        <f t="shared" si="74"/>
        <v>1.7603909919519778</v>
      </c>
      <c r="BM37" s="2163">
        <f t="shared" si="75"/>
        <v>1.1398794455354562</v>
      </c>
      <c r="BN37" s="2163">
        <f t="shared" si="76"/>
        <v>0.12083196486601089</v>
      </c>
      <c r="BO37" s="2163">
        <f t="shared" si="77"/>
        <v>7.2395077465545656E-3</v>
      </c>
      <c r="BP37" s="2163">
        <f>SUM(BA37*1.046)</f>
        <v>6.3901186000000001</v>
      </c>
      <c r="BQ37" s="2163">
        <f>SUM(BP37*BB50)</f>
        <v>3.7593303338532404</v>
      </c>
      <c r="BR37" s="2612">
        <f>SUM(BP37*BC50)</f>
        <v>1.7003287531098678E-4</v>
      </c>
      <c r="BS37" s="2163">
        <f>SUM(BP37*BD50)</f>
        <v>2.5986895692125143</v>
      </c>
      <c r="BT37" s="2667">
        <f>SUM(BP37*BE50)</f>
        <v>1.2886357922545194E-3</v>
      </c>
      <c r="BU37" s="2163">
        <f>SUM(BP37*BF50)</f>
        <v>1.3263459740152571E-2</v>
      </c>
      <c r="BV37" s="2163">
        <f>SUM(BP37*BG50)</f>
        <v>1.7376568526527917E-2</v>
      </c>
      <c r="BW37" s="2163">
        <f t="shared" si="55"/>
        <v>3.0880002457289693</v>
      </c>
      <c r="BX37" s="2163">
        <f t="shared" si="78"/>
        <v>1.7950706944934316</v>
      </c>
      <c r="BY37" s="2163">
        <f t="shared" si="79"/>
        <v>1.1623350706125044</v>
      </c>
      <c r="BZ37" s="2163">
        <f t="shared" si="80"/>
        <v>0.12321235457387129</v>
      </c>
      <c r="CA37" s="2163">
        <f t="shared" si="81"/>
        <v>7.3821260491616896E-3</v>
      </c>
      <c r="CB37" s="2163">
        <f t="shared" si="56"/>
        <v>3.5346000000000002</v>
      </c>
      <c r="CC37" s="2163">
        <v>2.06</v>
      </c>
      <c r="CD37" s="2667">
        <v>5.9999999999999995E-4</v>
      </c>
      <c r="CE37" s="2163">
        <v>1.41</v>
      </c>
      <c r="CF37" s="2667">
        <v>4.0000000000000001E-3</v>
      </c>
      <c r="CG37" s="2163">
        <v>0</v>
      </c>
      <c r="CH37" s="2163">
        <v>0.06</v>
      </c>
      <c r="CI37" s="2163">
        <f t="shared" si="57"/>
        <v>4.9720500000000003</v>
      </c>
      <c r="CJ37" s="2163">
        <v>2.91622</v>
      </c>
      <c r="CK37" s="2667">
        <v>8.4999999999999995E-4</v>
      </c>
      <c r="CL37" s="2163">
        <v>1.95062</v>
      </c>
      <c r="CM37" s="2163">
        <v>5.4799999999999996E-3</v>
      </c>
      <c r="CN37" s="2163">
        <v>0</v>
      </c>
      <c r="CO37" s="2163">
        <v>9.8879999999999996E-2</v>
      </c>
      <c r="CP37" s="2163">
        <f t="shared" si="58"/>
        <v>6.4379999999999988</v>
      </c>
      <c r="CQ37" s="2163">
        <v>3.76</v>
      </c>
      <c r="CR37" s="2667">
        <v>1E-3</v>
      </c>
      <c r="CS37" s="2163">
        <v>2.5099999999999998</v>
      </c>
      <c r="CT37" s="2163">
        <v>7.0000000000000001E-3</v>
      </c>
      <c r="CU37" s="2163">
        <v>0</v>
      </c>
      <c r="CV37" s="2163">
        <v>0.16</v>
      </c>
      <c r="CW37" s="2489">
        <f t="shared" si="59"/>
        <v>6.6668065199999997</v>
      </c>
      <c r="CX37" s="2489">
        <f>SUM(CW37*CX50)</f>
        <v>3.9012247529662893</v>
      </c>
      <c r="CY37" s="2489">
        <f>SUM(CW37*CY50)</f>
        <v>1.0866751236319077E-3</v>
      </c>
      <c r="CZ37" s="2489">
        <f>SUM(CW37*CZ50)</f>
        <v>2.5857780526318876</v>
      </c>
      <c r="DA37" s="2489">
        <f>SUM(CW37*DA50)</f>
        <v>7.4803892096216582E-3</v>
      </c>
      <c r="DB37" s="2489">
        <f>SUM(CW37*DB50)</f>
        <v>0</v>
      </c>
      <c r="DC37" s="2489">
        <f>SUM(CW37*DC50)</f>
        <v>0.17123665006856856</v>
      </c>
      <c r="DD37" s="4080">
        <f t="shared" si="60"/>
        <v>1.844671251385875</v>
      </c>
      <c r="DE37" s="4080">
        <f t="shared" si="61"/>
        <v>1.194452171612957</v>
      </c>
      <c r="DF37" s="2489">
        <f t="shared" si="62"/>
        <v>2.4988800000000002</v>
      </c>
      <c r="DG37" s="2489">
        <v>1.4197500000000001</v>
      </c>
      <c r="DH37" s="2493">
        <v>3.4000000000000002E-4</v>
      </c>
      <c r="DI37" s="2489">
        <v>1.0019100000000001</v>
      </c>
      <c r="DJ37" s="2493">
        <v>2.7100000000000002E-3</v>
      </c>
      <c r="DK37" s="2489">
        <v>0</v>
      </c>
      <c r="DL37" s="2489">
        <v>7.417E-2</v>
      </c>
      <c r="DM37" s="2489">
        <f t="shared" si="63"/>
        <v>3.6376200000000005</v>
      </c>
      <c r="DN37" s="2489">
        <v>2.0682700000000001</v>
      </c>
      <c r="DO37" s="2493">
        <v>5.5999999999999995E-4</v>
      </c>
      <c r="DP37" s="2489">
        <v>1.4600900000000001</v>
      </c>
      <c r="DQ37" s="2489">
        <v>3.8800000000000002E-3</v>
      </c>
      <c r="DR37" s="2489">
        <v>0</v>
      </c>
      <c r="DS37" s="2489">
        <v>0.10482</v>
      </c>
      <c r="DT37" s="3999">
        <f t="shared" si="64"/>
        <v>6.4379999999999988</v>
      </c>
      <c r="DU37" s="3999">
        <v>3.76</v>
      </c>
      <c r="DV37" s="4001">
        <v>1E-3</v>
      </c>
      <c r="DW37" s="3999">
        <v>2.5099999999999998</v>
      </c>
      <c r="DX37" s="3999">
        <v>7.0000000000000001E-3</v>
      </c>
      <c r="DY37" s="3999">
        <v>0</v>
      </c>
      <c r="DZ37" s="3999">
        <v>0.16</v>
      </c>
      <c r="EA37" s="2699" t="s">
        <v>1918</v>
      </c>
    </row>
    <row r="38" spans="1:132" ht="24" customHeight="1" x14ac:dyDescent="0.2">
      <c r="A38" s="3519" t="s">
        <v>43</v>
      </c>
      <c r="B38" s="3380">
        <v>71.8</v>
      </c>
      <c r="C38" s="3380">
        <v>46</v>
      </c>
      <c r="D38" s="2158">
        <f t="shared" si="88"/>
        <v>64.066852367688014</v>
      </c>
      <c r="E38" s="3380">
        <v>85</v>
      </c>
      <c r="F38" s="2158">
        <f t="shared" si="89"/>
        <v>184.78260869565219</v>
      </c>
      <c r="G38" s="2159">
        <v>95.8</v>
      </c>
      <c r="H38" s="2158">
        <f t="shared" si="90"/>
        <v>112.70588235294116</v>
      </c>
      <c r="I38" s="2160">
        <v>56.2</v>
      </c>
      <c r="J38" s="2160">
        <v>84.5</v>
      </c>
      <c r="K38" s="2160">
        <v>84.5</v>
      </c>
      <c r="L38" s="2160">
        <v>112.9</v>
      </c>
      <c r="M38" s="2164">
        <f t="shared" si="92"/>
        <v>88.204592901878925</v>
      </c>
      <c r="N38" s="2160">
        <v>58.953800000000001</v>
      </c>
      <c r="O38" s="2160">
        <v>62.2</v>
      </c>
      <c r="P38" s="2160">
        <v>91.305689999999998</v>
      </c>
      <c r="Q38" s="2160">
        <v>120.4</v>
      </c>
      <c r="R38" s="2160">
        <v>116.39</v>
      </c>
      <c r="S38" s="2159">
        <f>N38*1.048</f>
        <v>61.7835824</v>
      </c>
      <c r="T38" s="2162">
        <f>S38/N38</f>
        <v>1.048</v>
      </c>
      <c r="U38" s="2163" t="e">
        <f>R38*#REF!</f>
        <v>#REF!</v>
      </c>
      <c r="V38" s="2163" t="e">
        <f>R38*#REF!</f>
        <v>#REF!</v>
      </c>
      <c r="W38" s="2163">
        <f t="shared" si="68"/>
        <v>35.277132253365124</v>
      </c>
      <c r="X38" s="2163">
        <f t="shared" si="69"/>
        <v>25.056606872575511</v>
      </c>
      <c r="Y38" s="2163">
        <v>61.1</v>
      </c>
      <c r="Z38" s="2163">
        <v>61.1</v>
      </c>
      <c r="AA38" s="2163">
        <v>61.4</v>
      </c>
      <c r="AB38" s="2160">
        <v>124</v>
      </c>
      <c r="AC38" s="2159">
        <f>S38*1.049</f>
        <v>64.810977937600001</v>
      </c>
      <c r="AD38" s="2163">
        <f t="shared" si="70"/>
        <v>38.368045824005605</v>
      </c>
      <c r="AE38" s="2163">
        <f t="shared" si="71"/>
        <v>25.924432997916842</v>
      </c>
      <c r="AF38" s="3518">
        <f t="shared" si="85"/>
        <v>1.0876180509356919</v>
      </c>
      <c r="AG38" s="3518">
        <f t="shared" si="86"/>
        <v>1.0346346227066829</v>
      </c>
      <c r="AH38" s="2163">
        <v>28.52</v>
      </c>
      <c r="AI38" s="2163">
        <v>28.87</v>
      </c>
      <c r="AJ38" s="2159">
        <f t="shared" ref="AJ38:AJ42" si="96">SUM(AA38*1.1)</f>
        <v>67.540000000000006</v>
      </c>
      <c r="AK38" s="2163">
        <f>AJ38*AI56</f>
        <v>40.253840000000004</v>
      </c>
      <c r="AL38" s="2163">
        <f>AJ38*AI57</f>
        <v>27.286160000000006</v>
      </c>
      <c r="AM38" s="3518">
        <f t="shared" si="94"/>
        <v>1.0491501231166305</v>
      </c>
      <c r="AN38" s="3518">
        <f t="shared" si="94"/>
        <v>1.0525267805159937</v>
      </c>
      <c r="AO38" s="2615">
        <f t="shared" si="95"/>
        <v>67.540000000000006</v>
      </c>
      <c r="AP38" s="2163">
        <f t="shared" si="72"/>
        <v>36.752227545931667</v>
      </c>
      <c r="AQ38" s="2163">
        <f t="shared" si="73"/>
        <v>30.423806315565628</v>
      </c>
      <c r="AR38" s="2163">
        <f t="shared" si="5"/>
        <v>0</v>
      </c>
      <c r="AS38" s="2163">
        <v>0</v>
      </c>
      <c r="AT38" s="2163">
        <v>0</v>
      </c>
      <c r="AU38" s="2163">
        <f t="shared" si="6"/>
        <v>0</v>
      </c>
      <c r="AV38" s="2163">
        <v>0</v>
      </c>
      <c r="AW38" s="2163">
        <v>0</v>
      </c>
      <c r="AX38" s="2163">
        <f t="shared" si="82"/>
        <v>73.73</v>
      </c>
      <c r="AY38" s="2163">
        <v>43.5</v>
      </c>
      <c r="AZ38" s="2163">
        <v>30.23</v>
      </c>
      <c r="BA38" s="2163">
        <f t="shared" si="53"/>
        <v>0.8980800000000001</v>
      </c>
      <c r="BB38" s="2163">
        <v>0.53</v>
      </c>
      <c r="BC38" s="3521">
        <v>5.0000000000000002E-5</v>
      </c>
      <c r="BD38" s="2163">
        <v>0.36</v>
      </c>
      <c r="BE38" s="3521">
        <v>3.3E-4</v>
      </c>
      <c r="BF38" s="3521">
        <v>3.1900000000000001E-3</v>
      </c>
      <c r="BG38" s="3521">
        <v>4.5100000000000001E-3</v>
      </c>
      <c r="BH38" s="2163">
        <f t="shared" si="9"/>
        <v>0</v>
      </c>
      <c r="BI38" s="2163">
        <v>0</v>
      </c>
      <c r="BJ38" s="2163">
        <v>0</v>
      </c>
      <c r="BK38" s="2163">
        <v>0</v>
      </c>
      <c r="BL38" s="2163">
        <f t="shared" si="74"/>
        <v>0</v>
      </c>
      <c r="BM38" s="2163">
        <f t="shared" si="75"/>
        <v>0</v>
      </c>
      <c r="BN38" s="2163">
        <f t="shared" si="76"/>
        <v>0</v>
      </c>
      <c r="BO38" s="2163">
        <f t="shared" si="77"/>
        <v>0</v>
      </c>
      <c r="BP38" s="2163">
        <f>SUM(BA38*1.046)</f>
        <v>0.93939168000000017</v>
      </c>
      <c r="BQ38" s="2163">
        <f>SUM(BP38*BB50)</f>
        <v>0.55264758904370836</v>
      </c>
      <c r="BR38" s="3521">
        <f>SUM(BP38*BC50)</f>
        <v>2.4996009994809551E-5</v>
      </c>
      <c r="BS38" s="2163">
        <f>SUM(BP38*BD50)</f>
        <v>0.38202536025247175</v>
      </c>
      <c r="BT38" s="2612">
        <f>SUM(BP38*BE50)</f>
        <v>1.8943838410043033E-4</v>
      </c>
      <c r="BU38" s="2612">
        <f>SUM(BP38*BF50)</f>
        <v>1.9498204192820911E-3</v>
      </c>
      <c r="BV38" s="2612">
        <f>SUM(BP38*BG50)</f>
        <v>2.5544758904428142E-3</v>
      </c>
      <c r="BW38" s="2163">
        <f t="shared" si="55"/>
        <v>0</v>
      </c>
      <c r="BX38" s="2163">
        <f t="shared" si="78"/>
        <v>0</v>
      </c>
      <c r="BY38" s="2163">
        <f t="shared" si="79"/>
        <v>0</v>
      </c>
      <c r="BZ38" s="2163">
        <f t="shared" si="80"/>
        <v>0</v>
      </c>
      <c r="CA38" s="2163">
        <f t="shared" si="81"/>
        <v>0</v>
      </c>
      <c r="CB38" s="2163">
        <f t="shared" si="56"/>
        <v>0.90116000000000007</v>
      </c>
      <c r="CC38" s="2612">
        <v>0.52</v>
      </c>
      <c r="CD38" s="2612">
        <v>1.6000000000000001E-4</v>
      </c>
      <c r="CE38" s="2163">
        <v>0.36</v>
      </c>
      <c r="CF38" s="2667">
        <v>1E-3</v>
      </c>
      <c r="CG38" s="2163">
        <v>0</v>
      </c>
      <c r="CH38" s="2163">
        <v>0.02</v>
      </c>
      <c r="CI38" s="2163">
        <f t="shared" si="57"/>
        <v>6.6000000000000005</v>
      </c>
      <c r="CJ38" s="2612">
        <v>4.0042499999999999</v>
      </c>
      <c r="CK38" s="2612">
        <v>1.0399999999999999E-3</v>
      </c>
      <c r="CL38" s="2612">
        <v>2.4513500000000001</v>
      </c>
      <c r="CM38" s="2612">
        <v>2.3600000000000001E-3</v>
      </c>
      <c r="CN38" s="2612">
        <v>0</v>
      </c>
      <c r="CO38" s="2612">
        <v>0.14099999999999999</v>
      </c>
      <c r="CP38" s="2163">
        <f t="shared" si="58"/>
        <v>8.4856999999999996</v>
      </c>
      <c r="CQ38" s="2206">
        <v>5.0999999999999996</v>
      </c>
      <c r="CR38" s="2667">
        <v>1E-3</v>
      </c>
      <c r="CS38" s="2163">
        <v>3.16</v>
      </c>
      <c r="CT38" s="2667">
        <v>4.7000000000000002E-3</v>
      </c>
      <c r="CU38" s="2163">
        <v>0</v>
      </c>
      <c r="CV38" s="2163">
        <v>0.22</v>
      </c>
      <c r="CW38" s="2489">
        <f t="shared" si="59"/>
        <v>8.7872817780000005</v>
      </c>
      <c r="CX38" s="2489">
        <f>SUM(CW38*CX50)</f>
        <v>5.1420663072764903</v>
      </c>
      <c r="CY38" s="2489">
        <f>SUM(CW38*CY50)</f>
        <v>1.4323080299166325E-3</v>
      </c>
      <c r="CZ38" s="2489">
        <f>SUM(CW38*CZ50)</f>
        <v>3.4082225568838789</v>
      </c>
      <c r="DA38" s="2489">
        <f>SUM(CW38*DA50)</f>
        <v>9.8596363336574261E-3</v>
      </c>
      <c r="DB38" s="2489">
        <f>SUM(CW38*DB50)</f>
        <v>0</v>
      </c>
      <c r="DC38" s="2489">
        <f>SUM(CW38*DC50)</f>
        <v>0.22570096947605658</v>
      </c>
      <c r="DD38" s="4080">
        <f t="shared" si="60"/>
        <v>0</v>
      </c>
      <c r="DE38" s="4080">
        <f t="shared" si="61"/>
        <v>0</v>
      </c>
      <c r="DF38" s="2489">
        <f t="shared" si="62"/>
        <v>0.87722</v>
      </c>
      <c r="DG38" s="3975">
        <v>0.49793999999999999</v>
      </c>
      <c r="DH38" s="3975">
        <v>1.2E-4</v>
      </c>
      <c r="DI38" s="2489">
        <v>0.35299000000000003</v>
      </c>
      <c r="DJ38" s="2493">
        <v>9.6000000000000002E-4</v>
      </c>
      <c r="DK38" s="2489">
        <v>0</v>
      </c>
      <c r="DL38" s="2489">
        <v>2.521E-2</v>
      </c>
      <c r="DM38" s="2489">
        <f t="shared" si="63"/>
        <v>1.3137799999999999</v>
      </c>
      <c r="DN38" s="2489">
        <v>0.74656999999999996</v>
      </c>
      <c r="DO38" s="3998">
        <v>2.0000000000000001E-4</v>
      </c>
      <c r="DP38" s="2489">
        <v>0.52864999999999995</v>
      </c>
      <c r="DQ38" s="2489">
        <v>1.41E-3</v>
      </c>
      <c r="DR38" s="2489">
        <v>0</v>
      </c>
      <c r="DS38" s="2489">
        <v>3.6949999999999997E-2</v>
      </c>
      <c r="DT38" s="3999">
        <f t="shared" si="64"/>
        <v>8.4856999999999996</v>
      </c>
      <c r="DU38" s="4002">
        <v>5.0999999999999996</v>
      </c>
      <c r="DV38" s="4001">
        <v>1E-3</v>
      </c>
      <c r="DW38" s="3999">
        <v>3.16</v>
      </c>
      <c r="DX38" s="4001">
        <v>4.7000000000000002E-3</v>
      </c>
      <c r="DY38" s="3999">
        <v>0</v>
      </c>
      <c r="DZ38" s="3999">
        <v>0.22</v>
      </c>
      <c r="EA38" s="2698"/>
    </row>
    <row r="39" spans="1:132" ht="24" customHeight="1" x14ac:dyDescent="0.2">
      <c r="A39" s="3519" t="s">
        <v>70</v>
      </c>
      <c r="B39" s="3380">
        <v>10.7</v>
      </c>
      <c r="C39" s="3380">
        <v>5.6</v>
      </c>
      <c r="D39" s="2158">
        <f t="shared" si="88"/>
        <v>52.336448598130836</v>
      </c>
      <c r="E39" s="3380">
        <v>17.7</v>
      </c>
      <c r="F39" s="2158">
        <f t="shared" si="89"/>
        <v>316.07142857142856</v>
      </c>
      <c r="G39" s="2159">
        <v>14.1</v>
      </c>
      <c r="H39" s="2158">
        <f t="shared" si="90"/>
        <v>79.66101694915254</v>
      </c>
      <c r="I39" s="2160">
        <v>10.3</v>
      </c>
      <c r="J39" s="2160">
        <v>24.1</v>
      </c>
      <c r="K39" s="2160">
        <v>24.1</v>
      </c>
      <c r="L39" s="2160">
        <v>40.5</v>
      </c>
      <c r="M39" s="2164">
        <f t="shared" si="92"/>
        <v>170.92198581560285</v>
      </c>
      <c r="N39" s="2160">
        <v>11.3</v>
      </c>
      <c r="O39" s="2160">
        <f>3.7+5.6+16.1</f>
        <v>25.400000000000002</v>
      </c>
      <c r="P39" s="2160">
        <f>16.81452+5.48046+16.14343</f>
        <v>38.438410000000005</v>
      </c>
      <c r="Q39" s="2160">
        <v>51.5</v>
      </c>
      <c r="R39" s="2160">
        <v>45.94</v>
      </c>
      <c r="S39" s="2159">
        <f>P39/9*12*1.048</f>
        <v>53.711271573333342</v>
      </c>
      <c r="T39" s="2162">
        <f>S39/N39</f>
        <v>4.7532098737463135</v>
      </c>
      <c r="U39" s="2163" t="e">
        <f>R39*#REF!</f>
        <v>#REF!</v>
      </c>
      <c r="V39" s="2163" t="e">
        <f>R39*#REF!</f>
        <v>#REF!</v>
      </c>
      <c r="W39" s="2163">
        <f t="shared" si="68"/>
        <v>30.668011746578344</v>
      </c>
      <c r="X39" s="2163">
        <f t="shared" si="69"/>
        <v>21.782845282845784</v>
      </c>
      <c r="Y39" s="2163">
        <v>21.73</v>
      </c>
      <c r="Z39" s="2163">
        <v>30.27</v>
      </c>
      <c r="AA39" s="2163">
        <v>46.23</v>
      </c>
      <c r="AB39" s="2160">
        <v>52.2</v>
      </c>
      <c r="AC39" s="2159">
        <f>AB39</f>
        <v>52.2</v>
      </c>
      <c r="AD39" s="2163">
        <f t="shared" si="70"/>
        <v>30.902357220120948</v>
      </c>
      <c r="AE39" s="2163">
        <f t="shared" si="71"/>
        <v>20.880033684944138</v>
      </c>
      <c r="AF39" s="3518">
        <f t="shared" si="85"/>
        <v>1.0076413650639986</v>
      </c>
      <c r="AG39" s="3518">
        <f t="shared" si="86"/>
        <v>0.95855400953462133</v>
      </c>
      <c r="AH39" s="2163">
        <v>16.350000000000001</v>
      </c>
      <c r="AI39" s="2163">
        <v>16.350000000000001</v>
      </c>
      <c r="AJ39" s="2159">
        <f t="shared" si="96"/>
        <v>50.853000000000002</v>
      </c>
      <c r="AK39" s="2163">
        <f>AJ39*AI56</f>
        <v>30.308388000000001</v>
      </c>
      <c r="AL39" s="2163">
        <f>AJ39*AI57</f>
        <v>20.544612000000001</v>
      </c>
      <c r="AM39" s="3518">
        <f t="shared" si="94"/>
        <v>0.98077916141186128</v>
      </c>
      <c r="AN39" s="3518">
        <f t="shared" si="94"/>
        <v>0.98393576897407031</v>
      </c>
      <c r="AO39" s="2615">
        <f t="shared" si="95"/>
        <v>50.853000000000002</v>
      </c>
      <c r="AP39" s="2163">
        <f t="shared" si="72"/>
        <v>27.671913346065487</v>
      </c>
      <c r="AQ39" s="2163">
        <f t="shared" si="73"/>
        <v>22.907045048348515</v>
      </c>
      <c r="AR39" s="2163">
        <f t="shared" si="5"/>
        <v>20.04</v>
      </c>
      <c r="AS39" s="2163">
        <v>11.82</v>
      </c>
      <c r="AT39" s="2163">
        <v>8.2200000000000006</v>
      </c>
      <c r="AU39" s="2163">
        <f t="shared" si="6"/>
        <v>10.015689999999999</v>
      </c>
      <c r="AV39" s="2163">
        <v>5.8090999999999999</v>
      </c>
      <c r="AW39" s="2163">
        <v>4.2065900000000003</v>
      </c>
      <c r="AX39" s="2163">
        <f t="shared" si="82"/>
        <v>55.510000000000005</v>
      </c>
      <c r="AY39" s="2163">
        <v>32.75</v>
      </c>
      <c r="AZ39" s="2163">
        <v>22.76</v>
      </c>
      <c r="BA39" s="2163">
        <f t="shared" si="53"/>
        <v>9.9003300000000003</v>
      </c>
      <c r="BB39" s="2163">
        <v>5.8310000000000004</v>
      </c>
      <c r="BC39" s="3521">
        <v>2.4000000000000001E-4</v>
      </c>
      <c r="BD39" s="2163">
        <v>4.0250000000000004</v>
      </c>
      <c r="BE39" s="3521">
        <v>1.83E-3</v>
      </c>
      <c r="BF39" s="3521">
        <v>1.7489999999999999E-2</v>
      </c>
      <c r="BG39" s="3521">
        <v>2.477E-2</v>
      </c>
      <c r="BH39" s="2163">
        <f t="shared" si="9"/>
        <v>46.274338638159996</v>
      </c>
      <c r="BI39" s="2163">
        <f>AR39*1.037*1.027*1.046</f>
        <v>22.324338638159997</v>
      </c>
      <c r="BJ39" s="2163">
        <v>23.95</v>
      </c>
      <c r="BK39" s="2163">
        <f>AU39*1.027*1.046</f>
        <v>10.759274856979999</v>
      </c>
      <c r="BL39" s="2163">
        <f t="shared" si="74"/>
        <v>6.2544227502823668</v>
      </c>
      <c r="BM39" s="2163">
        <f t="shared" si="75"/>
        <v>4.0498320937390302</v>
      </c>
      <c r="BN39" s="2163">
        <f t="shared" si="76"/>
        <v>0.42929905542252061</v>
      </c>
      <c r="BO39" s="2163">
        <f t="shared" si="77"/>
        <v>2.5720957536080988E-2</v>
      </c>
      <c r="BP39" s="2163">
        <f>SUM(BK39*1.046)</f>
        <v>11.254201500401081</v>
      </c>
      <c r="BQ39" s="2163">
        <f>SUM(BP39*BB50)</f>
        <v>6.620888238874695</v>
      </c>
      <c r="BR39" s="2612">
        <f>SUM(BP39*BC50)</f>
        <v>2.9945989428778637E-4</v>
      </c>
      <c r="BS39" s="2163">
        <f>SUM(BP39*BD50)</f>
        <v>4.5767814151224231</v>
      </c>
      <c r="BT39" s="2667">
        <f>SUM(BP39*BE50)</f>
        <v>2.2695301565547389E-3</v>
      </c>
      <c r="BU39" s="2163">
        <f>SUM(BP39*BF50)</f>
        <v>2.3359448838419741E-2</v>
      </c>
      <c r="BV39" s="2163">
        <f>SUM(BP39*BG50)</f>
        <v>3.0603407514701322E-2</v>
      </c>
      <c r="BW39" s="2163">
        <f t="shared" si="55"/>
        <v>10.971232571662506</v>
      </c>
      <c r="BX39" s="2163">
        <f t="shared" si="78"/>
        <v>6.3776348784629295</v>
      </c>
      <c r="BY39" s="2163">
        <f t="shared" si="79"/>
        <v>4.1296137859856898</v>
      </c>
      <c r="BZ39" s="2163">
        <f t="shared" si="80"/>
        <v>0.43775624681434433</v>
      </c>
      <c r="CA39" s="2163">
        <f t="shared" si="81"/>
        <v>2.6227660399541785E-2</v>
      </c>
      <c r="CB39" s="2163">
        <f t="shared" si="56"/>
        <v>13.902000000000001</v>
      </c>
      <c r="CC39" s="2163">
        <v>8.07</v>
      </c>
      <c r="CD39" s="2667">
        <v>2E-3</v>
      </c>
      <c r="CE39" s="2163">
        <v>5.57</v>
      </c>
      <c r="CF39" s="2163">
        <v>0.02</v>
      </c>
      <c r="CG39" s="2163">
        <v>0</v>
      </c>
      <c r="CH39" s="2163">
        <v>0.24</v>
      </c>
      <c r="CI39" s="2163">
        <f t="shared" si="57"/>
        <v>13.89194</v>
      </c>
      <c r="CJ39" s="2163">
        <v>8.0660299999999996</v>
      </c>
      <c r="CK39" s="2667">
        <v>2.2000000000000001E-3</v>
      </c>
      <c r="CL39" s="2163">
        <v>5.5717699999999999</v>
      </c>
      <c r="CM39" s="2163">
        <v>1.508E-2</v>
      </c>
      <c r="CN39" s="2163">
        <v>0</v>
      </c>
      <c r="CO39" s="2163">
        <v>0.23685999999999999</v>
      </c>
      <c r="CP39" s="2163">
        <f t="shared" si="58"/>
        <v>13.897000000000002</v>
      </c>
      <c r="CQ39" s="2163">
        <v>8.07</v>
      </c>
      <c r="CR39" s="2667">
        <v>2E-3</v>
      </c>
      <c r="CS39" s="2163">
        <v>5.57</v>
      </c>
      <c r="CT39" s="2163">
        <v>1.4999999999999999E-2</v>
      </c>
      <c r="CU39" s="2163">
        <v>0</v>
      </c>
      <c r="CV39" s="2163">
        <v>0.24</v>
      </c>
      <c r="CW39" s="2489">
        <f t="shared" si="59"/>
        <v>14.390899380000002</v>
      </c>
      <c r="CX39" s="2489">
        <f>SUM(CW39*CX50)</f>
        <v>8.4211432730619045</v>
      </c>
      <c r="CY39" s="2489">
        <f>SUM(CW39*CY50)</f>
        <v>2.3456856466468816E-3</v>
      </c>
      <c r="CZ39" s="2489">
        <f>SUM(CW39*CZ50)</f>
        <v>5.5816336746544497</v>
      </c>
      <c r="DA39" s="2489">
        <f>SUM(CW39*DA50)</f>
        <v>1.6147090532170272E-2</v>
      </c>
      <c r="DB39" s="2489">
        <f>SUM(CW39*DB50)</f>
        <v>0</v>
      </c>
      <c r="DC39" s="2489">
        <f>SUM(CW39*DC50)</f>
        <v>0.36962965610483028</v>
      </c>
      <c r="DD39" s="4080">
        <f t="shared" si="60"/>
        <v>6.5538587133229269</v>
      </c>
      <c r="DE39" s="4080">
        <f t="shared" si="61"/>
        <v>4.2437213496398352</v>
      </c>
      <c r="DF39" s="2489">
        <f t="shared" si="62"/>
        <v>0.93618000000000001</v>
      </c>
      <c r="DG39" s="2489">
        <v>0.53103999999999996</v>
      </c>
      <c r="DH39" s="2493">
        <v>1.1E-4</v>
      </c>
      <c r="DI39" s="2489">
        <v>0.37541999999999998</v>
      </c>
      <c r="DJ39" s="2489">
        <v>1.33E-3</v>
      </c>
      <c r="DK39" s="2489">
        <v>0</v>
      </c>
      <c r="DL39" s="2489">
        <v>2.828E-2</v>
      </c>
      <c r="DM39" s="2489">
        <f t="shared" si="63"/>
        <v>3.33724</v>
      </c>
      <c r="DN39" s="2489">
        <v>1.8984799999999999</v>
      </c>
      <c r="DO39" s="2493">
        <v>5.9000000000000003E-4</v>
      </c>
      <c r="DP39" s="2489">
        <v>1.34152</v>
      </c>
      <c r="DQ39" s="2489">
        <v>3.7699999999999999E-3</v>
      </c>
      <c r="DR39" s="2489">
        <v>0</v>
      </c>
      <c r="DS39" s="2489">
        <v>9.2880000000000004E-2</v>
      </c>
      <c r="DT39" s="3999">
        <f t="shared" si="64"/>
        <v>13.897000000000002</v>
      </c>
      <c r="DU39" s="3999">
        <v>8.07</v>
      </c>
      <c r="DV39" s="4001">
        <v>2E-3</v>
      </c>
      <c r="DW39" s="3999">
        <v>5.57</v>
      </c>
      <c r="DX39" s="3999">
        <v>1.4999999999999999E-2</v>
      </c>
      <c r="DY39" s="3999">
        <v>0</v>
      </c>
      <c r="DZ39" s="3999">
        <v>0.24</v>
      </c>
      <c r="EA39" s="2699" t="s">
        <v>1924</v>
      </c>
    </row>
    <row r="40" spans="1:132" ht="31.5" customHeight="1" x14ac:dyDescent="0.2">
      <c r="A40" s="3519" t="s">
        <v>162</v>
      </c>
      <c r="B40" s="3380">
        <v>514.20000000000005</v>
      </c>
      <c r="C40" s="3380"/>
      <c r="D40" s="2158">
        <f t="shared" si="88"/>
        <v>0</v>
      </c>
      <c r="E40" s="3380"/>
      <c r="F40" s="2158"/>
      <c r="G40" s="2159">
        <v>0.5</v>
      </c>
      <c r="H40" s="2158"/>
      <c r="I40" s="2160"/>
      <c r="J40" s="2160"/>
      <c r="K40" s="2160"/>
      <c r="L40" s="2160"/>
      <c r="M40" s="2164">
        <f t="shared" si="92"/>
        <v>0</v>
      </c>
      <c r="N40" s="2160">
        <v>0</v>
      </c>
      <c r="O40" s="2160">
        <v>0.6</v>
      </c>
      <c r="P40" s="2160">
        <v>0.6</v>
      </c>
      <c r="Q40" s="2160"/>
      <c r="R40" s="2160"/>
      <c r="S40" s="2159"/>
      <c r="T40" s="2162"/>
      <c r="U40" s="2163" t="e">
        <f>R40*#REF!</f>
        <v>#REF!</v>
      </c>
      <c r="V40" s="2163" t="e">
        <f>R40*#REF!</f>
        <v>#REF!</v>
      </c>
      <c r="W40" s="2163">
        <f t="shared" si="68"/>
        <v>0</v>
      </c>
      <c r="X40" s="2163">
        <f t="shared" si="69"/>
        <v>0</v>
      </c>
      <c r="Y40" s="2163">
        <v>0.6</v>
      </c>
      <c r="Z40" s="2163">
        <v>0.6</v>
      </c>
      <c r="AA40" s="2163">
        <v>0.6</v>
      </c>
      <c r="AB40" s="2160">
        <v>0</v>
      </c>
      <c r="AC40" s="2159">
        <v>0</v>
      </c>
      <c r="AD40" s="2163">
        <f t="shared" si="70"/>
        <v>0</v>
      </c>
      <c r="AE40" s="2163">
        <f t="shared" si="71"/>
        <v>0</v>
      </c>
      <c r="AF40" s="3518"/>
      <c r="AG40" s="3518"/>
      <c r="AH40" s="2163">
        <v>0</v>
      </c>
      <c r="AI40" s="2163">
        <v>0</v>
      </c>
      <c r="AJ40" s="2159">
        <f t="shared" si="96"/>
        <v>0.66</v>
      </c>
      <c r="AK40" s="2163">
        <f>AJ40*AI56</f>
        <v>0.39335999999999999</v>
      </c>
      <c r="AL40" s="2163">
        <f>AJ40*AI57</f>
        <v>0.26664000000000004</v>
      </c>
      <c r="AM40" s="3518"/>
      <c r="AN40" s="3518"/>
      <c r="AO40" s="2615">
        <f t="shared" si="95"/>
        <v>0.66</v>
      </c>
      <c r="AP40" s="2163">
        <f t="shared" si="72"/>
        <v>0.35914228872245929</v>
      </c>
      <c r="AQ40" s="2163">
        <f t="shared" si="73"/>
        <v>0.29730103891432208</v>
      </c>
      <c r="AR40" s="2163">
        <f t="shared" si="5"/>
        <v>0</v>
      </c>
      <c r="AS40" s="2163">
        <v>0</v>
      </c>
      <c r="AT40" s="2163">
        <v>0</v>
      </c>
      <c r="AU40" s="2163">
        <f t="shared" si="6"/>
        <v>0</v>
      </c>
      <c r="AV40" s="2163">
        <v>0</v>
      </c>
      <c r="AW40" s="2163">
        <v>0</v>
      </c>
      <c r="AX40" s="2163">
        <f t="shared" si="82"/>
        <v>0.73</v>
      </c>
      <c r="AY40" s="2163">
        <v>0.43</v>
      </c>
      <c r="AZ40" s="2163">
        <v>0.3</v>
      </c>
      <c r="BA40" s="2163">
        <f t="shared" si="53"/>
        <v>0</v>
      </c>
      <c r="BB40" s="2163">
        <v>0</v>
      </c>
      <c r="BC40" s="3521"/>
      <c r="BD40" s="2163">
        <v>0</v>
      </c>
      <c r="BE40" s="3521"/>
      <c r="BF40" s="2612"/>
      <c r="BG40" s="2612"/>
      <c r="BH40" s="2163">
        <f t="shared" si="9"/>
        <v>0.74</v>
      </c>
      <c r="BI40" s="2163">
        <v>0.43</v>
      </c>
      <c r="BJ40" s="2163">
        <v>0.31</v>
      </c>
      <c r="BK40" s="2163">
        <v>0.74</v>
      </c>
      <c r="BL40" s="2163">
        <f t="shared" si="74"/>
        <v>0.43016587053786376</v>
      </c>
      <c r="BM40" s="2163">
        <f t="shared" si="75"/>
        <v>0.27853882247674727</v>
      </c>
      <c r="BN40" s="2163">
        <f t="shared" si="76"/>
        <v>2.9526274329405376E-2</v>
      </c>
      <c r="BO40" s="2163">
        <f t="shared" si="77"/>
        <v>1.7690326559835102E-3</v>
      </c>
      <c r="BP40" s="2163">
        <f>SUM(BK40*1.046)</f>
        <v>0.77404000000000006</v>
      </c>
      <c r="BQ40" s="2163">
        <f>SUM(BP40*BB50)</f>
        <v>0.45537058601944608</v>
      </c>
      <c r="BR40" s="3521">
        <f>SUM(BP40*BC50)</f>
        <v>2.0596213473364363E-5</v>
      </c>
      <c r="BS40" s="2163">
        <f>SUM(BP40*BD50)</f>
        <v>0.3147812740366438</v>
      </c>
      <c r="BT40" s="3521">
        <f>SUM(BP40*BE50)</f>
        <v>1.5609344850605562E-4</v>
      </c>
      <c r="BU40" s="3521">
        <f>SUM(BP40*BF50)</f>
        <v>1.6066131193977677E-3</v>
      </c>
      <c r="BV40" s="3521">
        <f>SUM(BP40*BG50)</f>
        <v>2.1048371625330508E-3</v>
      </c>
      <c r="BW40" s="2163">
        <f t="shared" si="55"/>
        <v>0.75457799999999997</v>
      </c>
      <c r="BX40" s="2163">
        <f t="shared" si="78"/>
        <v>0.43864013818745967</v>
      </c>
      <c r="BY40" s="2163">
        <f t="shared" si="79"/>
        <v>0.28402603727953918</v>
      </c>
      <c r="BZ40" s="2163">
        <f t="shared" si="80"/>
        <v>3.0107941933694662E-2</v>
      </c>
      <c r="CA40" s="2163">
        <f t="shared" si="81"/>
        <v>1.8038825993063853E-3</v>
      </c>
      <c r="CB40" s="2163">
        <f t="shared" si="56"/>
        <v>0</v>
      </c>
      <c r="CC40" s="2163">
        <v>0</v>
      </c>
      <c r="CD40" s="2163">
        <v>0</v>
      </c>
      <c r="CE40" s="2163">
        <v>0</v>
      </c>
      <c r="CF40" s="2163">
        <v>0</v>
      </c>
      <c r="CG40" s="2163">
        <v>0</v>
      </c>
      <c r="CH40" s="2163">
        <v>0</v>
      </c>
      <c r="CI40" s="2163">
        <f t="shared" si="57"/>
        <v>0</v>
      </c>
      <c r="CJ40" s="2163">
        <v>0</v>
      </c>
      <c r="CK40" s="2163">
        <v>0</v>
      </c>
      <c r="CL40" s="2163">
        <v>0</v>
      </c>
      <c r="CM40" s="2163">
        <v>0</v>
      </c>
      <c r="CN40" s="2163">
        <v>0</v>
      </c>
      <c r="CO40" s="2163">
        <v>0</v>
      </c>
      <c r="CP40" s="2163">
        <f t="shared" si="58"/>
        <v>0</v>
      </c>
      <c r="CQ40" s="2163">
        <v>0</v>
      </c>
      <c r="CR40" s="2163">
        <v>0</v>
      </c>
      <c r="CS40" s="2163">
        <v>0</v>
      </c>
      <c r="CT40" s="2163">
        <v>0</v>
      </c>
      <c r="CU40" s="2163">
        <v>0</v>
      </c>
      <c r="CV40" s="2163">
        <v>0</v>
      </c>
      <c r="CW40" s="2489">
        <f t="shared" si="59"/>
        <v>0</v>
      </c>
      <c r="CX40" s="2489">
        <f>SUM(CW40*CX50)</f>
        <v>0</v>
      </c>
      <c r="CY40" s="2489">
        <f>SUM(CW40*CY50)</f>
        <v>0</v>
      </c>
      <c r="CZ40" s="2489">
        <f>SUM(CW40*CZ50)</f>
        <v>0</v>
      </c>
      <c r="DA40" s="2489">
        <f>SUM(CW40*DA50)</f>
        <v>0</v>
      </c>
      <c r="DB40" s="2489">
        <f>SUM(CW40*DB50)</f>
        <v>0</v>
      </c>
      <c r="DC40" s="2489">
        <f>SUM(CW40*DC50)</f>
        <v>0</v>
      </c>
      <c r="DD40" s="4080">
        <f t="shared" si="60"/>
        <v>0.45076043807103394</v>
      </c>
      <c r="DE40" s="4080">
        <f t="shared" si="61"/>
        <v>0.29187411237999905</v>
      </c>
      <c r="DF40" s="2489">
        <f t="shared" si="62"/>
        <v>0</v>
      </c>
      <c r="DG40" s="2489">
        <v>0</v>
      </c>
      <c r="DH40" s="2489">
        <v>0</v>
      </c>
      <c r="DI40" s="2489">
        <v>0</v>
      </c>
      <c r="DJ40" s="2489">
        <v>0</v>
      </c>
      <c r="DK40" s="2489">
        <v>0</v>
      </c>
      <c r="DL40" s="2489">
        <v>0</v>
      </c>
      <c r="DM40" s="2489">
        <f t="shared" si="63"/>
        <v>0</v>
      </c>
      <c r="DN40" s="2489">
        <v>0</v>
      </c>
      <c r="DO40" s="2489">
        <v>0</v>
      </c>
      <c r="DP40" s="2489">
        <v>0</v>
      </c>
      <c r="DQ40" s="2489">
        <v>0</v>
      </c>
      <c r="DR40" s="2489">
        <v>0</v>
      </c>
      <c r="DS40" s="2489">
        <v>0</v>
      </c>
      <c r="DT40" s="3999">
        <f t="shared" si="64"/>
        <v>0</v>
      </c>
      <c r="DU40" s="3999">
        <v>0</v>
      </c>
      <c r="DV40" s="3999">
        <v>0</v>
      </c>
      <c r="DW40" s="3999">
        <v>0</v>
      </c>
      <c r="DX40" s="3999">
        <v>0</v>
      </c>
      <c r="DY40" s="3999">
        <v>0</v>
      </c>
      <c r="DZ40" s="3999">
        <v>0</v>
      </c>
      <c r="EA40" s="2698"/>
    </row>
    <row r="41" spans="1:132" ht="33" customHeight="1" x14ac:dyDescent="0.2">
      <c r="A41" s="3519" t="s">
        <v>165</v>
      </c>
      <c r="B41" s="3380"/>
      <c r="C41" s="3380"/>
      <c r="D41" s="2158"/>
      <c r="E41" s="3380"/>
      <c r="F41" s="2158"/>
      <c r="G41" s="2159">
        <v>36.5</v>
      </c>
      <c r="H41" s="2158"/>
      <c r="I41" s="2160"/>
      <c r="J41" s="2160">
        <v>9</v>
      </c>
      <c r="K41" s="2160">
        <f>J41/9*12</f>
        <v>12</v>
      </c>
      <c r="L41" s="2160">
        <v>18</v>
      </c>
      <c r="M41" s="2164">
        <f t="shared" si="92"/>
        <v>32.87671232876712</v>
      </c>
      <c r="N41" s="2160">
        <v>12.587999999999999</v>
      </c>
      <c r="O41" s="2160">
        <v>11</v>
      </c>
      <c r="P41" s="2160">
        <v>11</v>
      </c>
      <c r="Q41" s="2160">
        <v>21</v>
      </c>
      <c r="R41" s="2160">
        <v>21</v>
      </c>
      <c r="S41" s="2159">
        <f>P41/9*12*1.048</f>
        <v>15.370666666666668</v>
      </c>
      <c r="T41" s="2162">
        <f>S41/N41</f>
        <v>1.2210570914098084</v>
      </c>
      <c r="U41" s="2163" t="e">
        <f>R41*#REF!</f>
        <v>#REF!</v>
      </c>
      <c r="V41" s="2163" t="e">
        <f>R41*#REF!</f>
        <v>#REF!</v>
      </c>
      <c r="W41" s="2163">
        <f t="shared" si="68"/>
        <v>8.7763289171524459</v>
      </c>
      <c r="X41" s="2163">
        <f t="shared" si="69"/>
        <v>6.2336422893481709</v>
      </c>
      <c r="Y41" s="2163">
        <v>18.5</v>
      </c>
      <c r="Z41" s="2163">
        <v>19.37</v>
      </c>
      <c r="AA41" s="2163">
        <v>35.74</v>
      </c>
      <c r="AB41" s="2160">
        <v>18.100000000000001</v>
      </c>
      <c r="AC41" s="2159">
        <f>S41*1.049</f>
        <v>16.123829333333333</v>
      </c>
      <c r="AD41" s="2163">
        <f t="shared" si="70"/>
        <v>9.5452937512438929</v>
      </c>
      <c r="AE41" s="2163">
        <f t="shared" si="71"/>
        <v>6.4495421381281677</v>
      </c>
      <c r="AF41" s="3518">
        <f>AD41/W41</f>
        <v>1.0876180509356916</v>
      </c>
      <c r="AG41" s="3518">
        <f>AE41/X41</f>
        <v>1.0346346227066829</v>
      </c>
      <c r="AH41" s="2163">
        <v>5</v>
      </c>
      <c r="AI41" s="2163">
        <v>13</v>
      </c>
      <c r="AJ41" s="2159">
        <f t="shared" si="96"/>
        <v>39.314000000000007</v>
      </c>
      <c r="AK41" s="2163">
        <f>AJ41*AI56</f>
        <v>23.431144000000003</v>
      </c>
      <c r="AL41" s="2163">
        <f>AJ41*AI57</f>
        <v>15.882856000000004</v>
      </c>
      <c r="AM41" s="3518">
        <f>AK41/AD41</f>
        <v>2.4547326264261464</v>
      </c>
      <c r="AN41" s="3518">
        <f>AL41/AE41</f>
        <v>2.4626331078766532</v>
      </c>
      <c r="AO41" s="2615">
        <f>AI41/3*4</f>
        <v>17.333333333333332</v>
      </c>
      <c r="AP41" s="2163">
        <f t="shared" si="72"/>
        <v>9.4320197038221618</v>
      </c>
      <c r="AQ41" s="2163">
        <f t="shared" si="73"/>
        <v>7.8079060724973468</v>
      </c>
      <c r="AR41" s="2163">
        <f t="shared" si="5"/>
        <v>39.51</v>
      </c>
      <c r="AS41" s="2163">
        <v>23.31</v>
      </c>
      <c r="AT41" s="2163">
        <v>16.2</v>
      </c>
      <c r="AU41" s="2163">
        <f t="shared" si="6"/>
        <v>45.5</v>
      </c>
      <c r="AV41" s="2163">
        <v>26.39</v>
      </c>
      <c r="AW41" s="2163">
        <v>19.11</v>
      </c>
      <c r="AX41" s="2163">
        <f t="shared" si="82"/>
        <v>18.920000000000002</v>
      </c>
      <c r="AY41" s="2163">
        <v>11.16</v>
      </c>
      <c r="AZ41" s="2163">
        <v>7.76</v>
      </c>
      <c r="BA41" s="2163">
        <f t="shared" si="53"/>
        <v>49.499270000000003</v>
      </c>
      <c r="BB41" s="2163">
        <v>29.12</v>
      </c>
      <c r="BC41" s="3521">
        <v>2.7699999999999999E-3</v>
      </c>
      <c r="BD41" s="2163">
        <v>19.811</v>
      </c>
      <c r="BE41" s="3521">
        <v>2.0910000000000002E-2</v>
      </c>
      <c r="BF41" s="2612">
        <v>0.26989000000000002</v>
      </c>
      <c r="BG41" s="2612">
        <v>0.2747</v>
      </c>
      <c r="BH41" s="2163">
        <f t="shared" si="9"/>
        <v>48.269999999999996</v>
      </c>
      <c r="BI41" s="2163">
        <v>28.05</v>
      </c>
      <c r="BJ41" s="2163">
        <v>20.22</v>
      </c>
      <c r="BK41" s="2163">
        <f>AU41</f>
        <v>45.5</v>
      </c>
      <c r="BL41" s="2163">
        <f t="shared" si="74"/>
        <v>26.449387985774056</v>
      </c>
      <c r="BM41" s="2163">
        <f t="shared" si="75"/>
        <v>17.126373544178378</v>
      </c>
      <c r="BN41" s="2163">
        <f t="shared" si="76"/>
        <v>1.8154668675512766</v>
      </c>
      <c r="BO41" s="2163">
        <f t="shared" si="77"/>
        <v>0.1087716024962834</v>
      </c>
      <c r="BP41" s="2163">
        <f>SUM(BA41*1.046)</f>
        <v>51.776236420000004</v>
      </c>
      <c r="BQ41" s="2163">
        <f>SUM(BP41*BB50)</f>
        <v>30.460150793830792</v>
      </c>
      <c r="BR41" s="3521">
        <f>SUM(BP41*BC50)</f>
        <v>1.3776993671563518E-3</v>
      </c>
      <c r="BS41" s="2163">
        <f>SUM(BP41*BD50)</f>
        <v>21.056004424978138</v>
      </c>
      <c r="BT41" s="2612">
        <f>SUM(BP41*BE50)</f>
        <v>1.0441232098422086E-2</v>
      </c>
      <c r="BU41" s="2612">
        <f>SUM(BP41*BF50)</f>
        <v>0.10746780619271938</v>
      </c>
      <c r="BV41" s="2612">
        <f>SUM(BP41*BG50)</f>
        <v>0.14079446353278022</v>
      </c>
      <c r="BW41" s="2163">
        <f t="shared" si="55"/>
        <v>46.396349999999998</v>
      </c>
      <c r="BX41" s="2163">
        <f t="shared" si="78"/>
        <v>26.970440929093805</v>
      </c>
      <c r="BY41" s="2163">
        <f t="shared" si="79"/>
        <v>17.463763102998694</v>
      </c>
      <c r="BZ41" s="2163">
        <f t="shared" si="80"/>
        <v>1.8512315648420365</v>
      </c>
      <c r="CA41" s="2163">
        <f t="shared" si="81"/>
        <v>0.11091440306546017</v>
      </c>
      <c r="CB41" s="2163">
        <f t="shared" si="56"/>
        <v>25.504000000000001</v>
      </c>
      <c r="CC41" s="2163">
        <v>14.83</v>
      </c>
      <c r="CD41" s="2667">
        <v>4.0000000000000001E-3</v>
      </c>
      <c r="CE41" s="2163">
        <v>10.16</v>
      </c>
      <c r="CF41" s="2163">
        <v>0.03</v>
      </c>
      <c r="CG41" s="2163">
        <v>0</v>
      </c>
      <c r="CH41" s="2163">
        <v>0.48</v>
      </c>
      <c r="CI41" s="2163">
        <f t="shared" si="57"/>
        <v>41.24</v>
      </c>
      <c r="CJ41" s="2163">
        <v>24.375730000000001</v>
      </c>
      <c r="CK41" s="2163">
        <v>6.9899999999999997E-3</v>
      </c>
      <c r="CL41" s="2163">
        <v>15.99971</v>
      </c>
      <c r="CM41" s="2163">
        <v>3.8780000000000002E-2</v>
      </c>
      <c r="CN41" s="2163">
        <v>0</v>
      </c>
      <c r="CO41" s="2163">
        <v>0.81879000000000002</v>
      </c>
      <c r="CP41" s="2163">
        <f t="shared" si="58"/>
        <v>50.521999999999998</v>
      </c>
      <c r="CQ41" s="2163">
        <v>29.72</v>
      </c>
      <c r="CR41" s="2163">
        <v>8.0000000000000002E-3</v>
      </c>
      <c r="CS41" s="2163">
        <v>19.559999999999999</v>
      </c>
      <c r="CT41" s="2163">
        <v>5.3999999999999999E-2</v>
      </c>
      <c r="CU41" s="2612">
        <v>0</v>
      </c>
      <c r="CV41" s="2612">
        <v>1.18</v>
      </c>
      <c r="CW41" s="2489">
        <f t="shared" si="59"/>
        <v>52.317551880000003</v>
      </c>
      <c r="CX41" s="2489">
        <f>SUM(CW41*CX50)</f>
        <v>30.61473702537479</v>
      </c>
      <c r="CY41" s="2489">
        <f>SUM(CW41*CY50)</f>
        <v>8.5276484305888862E-3</v>
      </c>
      <c r="CZ41" s="2489">
        <f>SUM(CW41*CZ50)</f>
        <v>20.291810931200409</v>
      </c>
      <c r="DA41" s="2489">
        <f>SUM(CW41*DA50)</f>
        <v>5.8702116130553816E-2</v>
      </c>
      <c r="DB41" s="2489">
        <f>SUM(CW41*DB50)</f>
        <v>0</v>
      </c>
      <c r="DC41" s="2489">
        <f>SUM(CW41*DC50)</f>
        <v>1.3437741588636565</v>
      </c>
      <c r="DD41" s="4080">
        <f t="shared" si="60"/>
        <v>27.715675584097358</v>
      </c>
      <c r="DE41" s="4080">
        <f t="shared" si="61"/>
        <v>17.946313666608045</v>
      </c>
      <c r="DF41" s="2489">
        <f t="shared" si="62"/>
        <v>8.2675000000000001</v>
      </c>
      <c r="DG41" s="2489">
        <v>4.72499</v>
      </c>
      <c r="DH41" s="2493">
        <v>9.5E-4</v>
      </c>
      <c r="DI41" s="2489">
        <v>3.29427</v>
      </c>
      <c r="DJ41" s="2489">
        <v>8.2900000000000005E-3</v>
      </c>
      <c r="DK41" s="2489">
        <v>0</v>
      </c>
      <c r="DL41" s="2489">
        <v>0.23899999999999999</v>
      </c>
      <c r="DM41" s="2489">
        <f t="shared" si="63"/>
        <v>11.18121</v>
      </c>
      <c r="DN41" s="2489">
        <v>6.359</v>
      </c>
      <c r="DO41" s="2489">
        <v>1.8E-3</v>
      </c>
      <c r="DP41" s="2489">
        <v>4.5195400000000001</v>
      </c>
      <c r="DQ41" s="2489">
        <v>1.201E-2</v>
      </c>
      <c r="DR41" s="2489">
        <v>0</v>
      </c>
      <c r="DS41" s="2489">
        <v>0.28886000000000001</v>
      </c>
      <c r="DT41" s="3999">
        <f t="shared" si="64"/>
        <v>50.521999999999998</v>
      </c>
      <c r="DU41" s="3999">
        <v>29.72</v>
      </c>
      <c r="DV41" s="3999">
        <v>8.0000000000000002E-3</v>
      </c>
      <c r="DW41" s="3999">
        <v>19.559999999999999</v>
      </c>
      <c r="DX41" s="3999">
        <v>5.3999999999999999E-2</v>
      </c>
      <c r="DY41" s="4003">
        <v>0</v>
      </c>
      <c r="DZ41" s="4003">
        <v>1.18</v>
      </c>
      <c r="EA41" s="2698" t="s">
        <v>1927</v>
      </c>
    </row>
    <row r="42" spans="1:132" ht="33" customHeight="1" x14ac:dyDescent="0.2">
      <c r="A42" s="3519" t="s">
        <v>163</v>
      </c>
      <c r="B42" s="3380">
        <v>25.7</v>
      </c>
      <c r="C42" s="3380"/>
      <c r="D42" s="2158">
        <f>C42/B42*100</f>
        <v>0</v>
      </c>
      <c r="E42" s="3380"/>
      <c r="F42" s="2158"/>
      <c r="G42" s="2159">
        <v>58.8</v>
      </c>
      <c r="H42" s="2158"/>
      <c r="I42" s="2160"/>
      <c r="J42" s="2160">
        <v>7.8</v>
      </c>
      <c r="K42" s="2160">
        <f>J42/9*12</f>
        <v>10.4</v>
      </c>
      <c r="L42" s="2160">
        <v>30.5</v>
      </c>
      <c r="M42" s="2164">
        <f t="shared" si="92"/>
        <v>17.687074829931973</v>
      </c>
      <c r="N42" s="2160">
        <v>10.909599999999999</v>
      </c>
      <c r="O42" s="2160">
        <v>3.8</v>
      </c>
      <c r="P42" s="2160">
        <v>3.77</v>
      </c>
      <c r="Q42" s="2160">
        <v>26.1</v>
      </c>
      <c r="R42" s="2160">
        <v>31.5</v>
      </c>
      <c r="S42" s="2159">
        <f>P42/9*12*1.048</f>
        <v>5.267946666666667</v>
      </c>
      <c r="T42" s="2162">
        <f>S42/N42</f>
        <v>0.48287257705751513</v>
      </c>
      <c r="U42" s="2163" t="e">
        <f>R42*#REF!</f>
        <v>#REF!</v>
      </c>
      <c r="V42" s="2163" t="e">
        <f>R42*#REF!</f>
        <v>#REF!</v>
      </c>
      <c r="W42" s="2163">
        <f t="shared" si="68"/>
        <v>3.0078872743331564</v>
      </c>
      <c r="X42" s="2163">
        <f t="shared" si="69"/>
        <v>2.1364392209856913</v>
      </c>
      <c r="Y42" s="2163">
        <v>18.16</v>
      </c>
      <c r="Z42" s="2163"/>
      <c r="AA42" s="2163">
        <v>53.94</v>
      </c>
      <c r="AB42" s="2160">
        <v>27.2</v>
      </c>
      <c r="AC42" s="2159">
        <f>S42*1.049</f>
        <v>5.5260760533333331</v>
      </c>
      <c r="AD42" s="2163">
        <f t="shared" si="70"/>
        <v>3.2714324947444977</v>
      </c>
      <c r="AE42" s="2163">
        <f t="shared" si="71"/>
        <v>2.2104339873402901</v>
      </c>
      <c r="AF42" s="3518">
        <f>AD42/W42</f>
        <v>1.0876180509356916</v>
      </c>
      <c r="AG42" s="3518">
        <f>AE42/X42</f>
        <v>1.0346346227066827</v>
      </c>
      <c r="AH42" s="2163">
        <v>7.11</v>
      </c>
      <c r="AI42" s="2163">
        <v>35.159999999999997</v>
      </c>
      <c r="AJ42" s="2159">
        <f t="shared" si="96"/>
        <v>59.334000000000003</v>
      </c>
      <c r="AK42" s="2163">
        <f>AJ42*AI56</f>
        <v>35.363064000000001</v>
      </c>
      <c r="AL42" s="2163">
        <f>AJ42*AI57</f>
        <v>23.970936000000002</v>
      </c>
      <c r="AM42" s="3518">
        <f>AK42/AD42</f>
        <v>10.809657254676715</v>
      </c>
      <c r="AN42" s="3518">
        <f>AL42/AE42</f>
        <v>10.844447804045524</v>
      </c>
      <c r="AO42" s="2615">
        <f t="shared" si="95"/>
        <v>59.334000000000003</v>
      </c>
      <c r="AP42" s="2163">
        <f t="shared" si="72"/>
        <v>32.286891756149089</v>
      </c>
      <c r="AQ42" s="2163">
        <f t="shared" si="73"/>
        <v>26.727363398397554</v>
      </c>
      <c r="AR42" s="2163">
        <f t="shared" si="5"/>
        <v>161.08000000000001</v>
      </c>
      <c r="AS42" s="2163">
        <v>95.04</v>
      </c>
      <c r="AT42" s="2163">
        <v>66.040000000000006</v>
      </c>
      <c r="AU42" s="2163">
        <f t="shared" si="6"/>
        <v>136.79410999999999</v>
      </c>
      <c r="AV42" s="2163">
        <v>79.340580000000003</v>
      </c>
      <c r="AW42" s="2163">
        <v>57.453530000000001</v>
      </c>
      <c r="AX42" s="2163">
        <f t="shared" si="82"/>
        <v>64.78</v>
      </c>
      <c r="AY42" s="2163">
        <v>38.22</v>
      </c>
      <c r="AZ42" s="2163">
        <v>26.56</v>
      </c>
      <c r="BA42" s="2163">
        <f t="shared" si="53"/>
        <v>112.89950999999998</v>
      </c>
      <c r="BB42" s="2163">
        <v>66.403000000000006</v>
      </c>
      <c r="BC42" s="3521">
        <v>6.0699999999999999E-3</v>
      </c>
      <c r="BD42" s="2163">
        <v>45.012999999999998</v>
      </c>
      <c r="BE42" s="3521">
        <v>4.5839999999999999E-2</v>
      </c>
      <c r="BF42" s="3521">
        <v>0.71914</v>
      </c>
      <c r="BG42" s="2163">
        <v>0.71245999999999998</v>
      </c>
      <c r="BH42" s="2163">
        <f t="shared" si="9"/>
        <v>145.12</v>
      </c>
      <c r="BI42" s="2163">
        <v>84.33</v>
      </c>
      <c r="BJ42" s="2163">
        <v>60.79</v>
      </c>
      <c r="BK42" s="2163">
        <f>AU42</f>
        <v>136.79410999999999</v>
      </c>
      <c r="BL42" s="2163">
        <f t="shared" si="74"/>
        <v>79.519131638651743</v>
      </c>
      <c r="BM42" s="2163">
        <f t="shared" si="75"/>
        <v>51.489824758317077</v>
      </c>
      <c r="BN42" s="2163">
        <f t="shared" si="76"/>
        <v>5.4581357006849389</v>
      </c>
      <c r="BO42" s="2163">
        <f t="shared" si="77"/>
        <v>0.3270179023462168</v>
      </c>
      <c r="BP42" s="2163">
        <f>SUM(BA42*1.046)</f>
        <v>118.09288745999999</v>
      </c>
      <c r="BQ42" s="2163">
        <f>SUM(BP42*BB50)</f>
        <v>69.474481121632834</v>
      </c>
      <c r="BR42" s="3521">
        <f>SUM(BP42*BC50)</f>
        <v>3.1423005527003163E-3</v>
      </c>
      <c r="BS42" s="2163">
        <f>SUM(BP42*BD50)</f>
        <v>48.025204859341621</v>
      </c>
      <c r="BT42" s="2612">
        <f>SUM(BP42*BE50)</f>
        <v>2.3814694392626904E-2</v>
      </c>
      <c r="BU42" s="2612">
        <f>SUM(BP42*BF50)</f>
        <v>0.24511599181024249</v>
      </c>
      <c r="BV42" s="2612">
        <f>SUM(BP42*BG50)</f>
        <v>0.32112849226996182</v>
      </c>
      <c r="BW42" s="2163">
        <f t="shared" si="55"/>
        <v>139.48895396700001</v>
      </c>
      <c r="BX42" s="2163">
        <f t="shared" si="78"/>
        <v>81.085658531933205</v>
      </c>
      <c r="BY42" s="2163">
        <f t="shared" si="79"/>
        <v>52.50417430605593</v>
      </c>
      <c r="BZ42" s="2163">
        <f t="shared" si="80"/>
        <v>5.5656609739884333</v>
      </c>
      <c r="CA42" s="2163">
        <f t="shared" si="81"/>
        <v>0.33346015502243731</v>
      </c>
      <c r="CB42" s="2163">
        <f t="shared" si="56"/>
        <v>81.850000000000009</v>
      </c>
      <c r="CC42" s="2163">
        <v>47.81</v>
      </c>
      <c r="CD42" s="2163">
        <v>0.01</v>
      </c>
      <c r="CE42" s="2163">
        <v>32.33</v>
      </c>
      <c r="CF42" s="2163">
        <v>0.12</v>
      </c>
      <c r="CG42" s="2163">
        <v>0</v>
      </c>
      <c r="CH42" s="2163">
        <v>1.58</v>
      </c>
      <c r="CI42" s="2163">
        <f t="shared" si="57"/>
        <v>132.11082999999999</v>
      </c>
      <c r="CJ42" s="2163">
        <v>77.676090000000002</v>
      </c>
      <c r="CK42" s="2163">
        <v>2.3820000000000001E-2</v>
      </c>
      <c r="CL42" s="2163">
        <v>51.479039999999998</v>
      </c>
      <c r="CM42" s="2163">
        <v>0.15501999999999999</v>
      </c>
      <c r="CN42" s="2163">
        <v>0</v>
      </c>
      <c r="CO42" s="2163">
        <v>2.7768600000000001</v>
      </c>
      <c r="CP42" s="2163">
        <f t="shared" si="58"/>
        <v>170.52</v>
      </c>
      <c r="CQ42" s="2163">
        <v>99.74</v>
      </c>
      <c r="CR42" s="2163">
        <v>0.03</v>
      </c>
      <c r="CS42" s="2163">
        <v>66.28</v>
      </c>
      <c r="CT42" s="2163">
        <v>0.2</v>
      </c>
      <c r="CU42" s="2612">
        <v>0</v>
      </c>
      <c r="CV42" s="2612">
        <v>4.2699999999999996</v>
      </c>
      <c r="CW42" s="2489">
        <f t="shared" si="59"/>
        <v>176.5802808</v>
      </c>
      <c r="CX42" s="2489">
        <f>SUM(CW42*CX50)</f>
        <v>103.32973670018821</v>
      </c>
      <c r="CY42" s="2489">
        <f>SUM(CW42*CY50)</f>
        <v>2.8782205977277556E-2</v>
      </c>
      <c r="CZ42" s="2489">
        <f>SUM(CW42*CZ50)</f>
        <v>68.48817544808783</v>
      </c>
      <c r="DA42" s="2489">
        <f>SUM(CW42*DA50)</f>
        <v>0.19812922771430339</v>
      </c>
      <c r="DB42" s="2489">
        <f>SUM(CW42*DB50)</f>
        <v>0</v>
      </c>
      <c r="DC42" s="2489">
        <f>SUM(CW42*DC50)</f>
        <v>4.5354572180323558</v>
      </c>
      <c r="DD42" s="4080">
        <v>29.04</v>
      </c>
      <c r="DE42" s="4080">
        <f t="shared" si="61"/>
        <v>53.954945182516134</v>
      </c>
      <c r="DF42" s="2489">
        <f t="shared" si="62"/>
        <v>27.753359999999997</v>
      </c>
      <c r="DG42" s="2489">
        <v>15.841889999999999</v>
      </c>
      <c r="DH42" s="2489">
        <v>3.2100000000000002E-3</v>
      </c>
      <c r="DI42" s="2489">
        <v>11.07701</v>
      </c>
      <c r="DJ42" s="2489">
        <v>2.776E-2</v>
      </c>
      <c r="DK42" s="2489">
        <v>0</v>
      </c>
      <c r="DL42" s="2489">
        <v>0.80349000000000004</v>
      </c>
      <c r="DM42" s="2489">
        <f t="shared" si="63"/>
        <v>41.156420000000004</v>
      </c>
      <c r="DN42" s="2489">
        <v>23.358360000000001</v>
      </c>
      <c r="DO42" s="2489">
        <v>7.0899999999999999E-3</v>
      </c>
      <c r="DP42" s="2489">
        <v>16.713290000000001</v>
      </c>
      <c r="DQ42" s="2489">
        <v>4.4880000000000003E-2</v>
      </c>
      <c r="DR42" s="2489">
        <v>0</v>
      </c>
      <c r="DS42" s="2489">
        <v>1.0327999999999999</v>
      </c>
      <c r="DT42" s="3999">
        <f t="shared" si="64"/>
        <v>170.52</v>
      </c>
      <c r="DU42" s="3999">
        <v>99.74</v>
      </c>
      <c r="DV42" s="3999">
        <v>0.03</v>
      </c>
      <c r="DW42" s="3999">
        <v>66.28</v>
      </c>
      <c r="DX42" s="3999">
        <v>0.2</v>
      </c>
      <c r="DY42" s="4003">
        <v>0</v>
      </c>
      <c r="DZ42" s="4003">
        <v>4.2699999999999996</v>
      </c>
      <c r="EA42" s="2698" t="s">
        <v>1927</v>
      </c>
    </row>
    <row r="43" spans="1:132" ht="24" customHeight="1" x14ac:dyDescent="0.2">
      <c r="A43" s="3519" t="s">
        <v>303</v>
      </c>
      <c r="B43" s="3380"/>
      <c r="C43" s="3380"/>
      <c r="D43" s="2158"/>
      <c r="E43" s="3380"/>
      <c r="F43" s="2158"/>
      <c r="G43" s="2159"/>
      <c r="H43" s="2158"/>
      <c r="I43" s="2160"/>
      <c r="J43" s="2160"/>
      <c r="K43" s="2160"/>
      <c r="L43" s="2160"/>
      <c r="M43" s="2164"/>
      <c r="N43" s="2160"/>
      <c r="O43" s="2160">
        <v>3.6</v>
      </c>
      <c r="P43" s="2160">
        <v>3.57308</v>
      </c>
      <c r="Q43" s="2160">
        <v>3.6</v>
      </c>
      <c r="R43" s="2160"/>
      <c r="S43" s="2159"/>
      <c r="T43" s="2162"/>
      <c r="U43" s="2163" t="e">
        <f>R43*#REF!</f>
        <v>#REF!</v>
      </c>
      <c r="V43" s="2163" t="e">
        <f>R43*#REF!</f>
        <v>#REF!</v>
      </c>
      <c r="W43" s="2163">
        <f t="shared" si="68"/>
        <v>0</v>
      </c>
      <c r="X43" s="2163">
        <f t="shared" si="69"/>
        <v>0</v>
      </c>
      <c r="Y43" s="2163"/>
      <c r="Z43" s="2163"/>
      <c r="AA43" s="2163"/>
      <c r="AB43" s="2160">
        <v>3.3</v>
      </c>
      <c r="AC43" s="2159">
        <v>0</v>
      </c>
      <c r="AD43" s="2163"/>
      <c r="AE43" s="2163"/>
      <c r="AF43" s="3518"/>
      <c r="AG43" s="3518"/>
      <c r="AH43" s="2163"/>
      <c r="AI43" s="2163"/>
      <c r="AJ43" s="2159"/>
      <c r="AK43" s="2163">
        <f>AJ43*AI56</f>
        <v>0</v>
      </c>
      <c r="AL43" s="2163">
        <f>AJ43*AI57</f>
        <v>0</v>
      </c>
      <c r="AM43" s="3518"/>
      <c r="AN43" s="3518"/>
      <c r="AO43" s="2615">
        <f t="shared" si="95"/>
        <v>0</v>
      </c>
      <c r="AP43" s="2163">
        <f t="shared" si="72"/>
        <v>0</v>
      </c>
      <c r="AQ43" s="2163">
        <f t="shared" si="73"/>
        <v>0</v>
      </c>
      <c r="AR43" s="2163">
        <f t="shared" si="5"/>
        <v>0</v>
      </c>
      <c r="AS43" s="2163">
        <v>0</v>
      </c>
      <c r="AT43" s="2163">
        <v>0</v>
      </c>
      <c r="AU43" s="2163">
        <f t="shared" si="6"/>
        <v>0</v>
      </c>
      <c r="AV43" s="2163">
        <v>0</v>
      </c>
      <c r="AW43" s="2163">
        <v>0</v>
      </c>
      <c r="AX43" s="2163">
        <f t="shared" si="82"/>
        <v>0</v>
      </c>
      <c r="AY43" s="2163">
        <v>0</v>
      </c>
      <c r="AZ43" s="2163">
        <v>0</v>
      </c>
      <c r="BA43" s="2163">
        <f t="shared" si="53"/>
        <v>0.2233</v>
      </c>
      <c r="BB43" s="2163">
        <v>0.13</v>
      </c>
      <c r="BC43" s="3521">
        <v>2.5000000000000001E-4</v>
      </c>
      <c r="BD43" s="2163">
        <v>8.6999999999999994E-2</v>
      </c>
      <c r="BE43" s="3521">
        <v>2.5000000000000001E-4</v>
      </c>
      <c r="BF43" s="3521">
        <v>3.1900000000000001E-3</v>
      </c>
      <c r="BG43" s="3521">
        <v>2.6099999999999999E-3</v>
      </c>
      <c r="BH43" s="2163">
        <f t="shared" si="9"/>
        <v>0</v>
      </c>
      <c r="BI43" s="2163">
        <v>0</v>
      </c>
      <c r="BJ43" s="2163">
        <v>0</v>
      </c>
      <c r="BK43" s="2163">
        <v>0</v>
      </c>
      <c r="BL43" s="2163">
        <f t="shared" si="74"/>
        <v>0</v>
      </c>
      <c r="BM43" s="2163">
        <f t="shared" si="75"/>
        <v>0</v>
      </c>
      <c r="BN43" s="2163">
        <f t="shared" si="76"/>
        <v>0</v>
      </c>
      <c r="BO43" s="2163">
        <f t="shared" si="77"/>
        <v>0</v>
      </c>
      <c r="BP43" s="2163">
        <f>SUM(BA43*1.046)</f>
        <v>0.2335718</v>
      </c>
      <c r="BQ43" s="2163">
        <f>SUM(BP43*BB50)</f>
        <v>0.13741115115965175</v>
      </c>
      <c r="BR43" s="3521">
        <f>SUM(BP43*BC50)</f>
        <v>6.2150465791922454E-6</v>
      </c>
      <c r="BS43" s="2163">
        <f>SUM(BP43*BD50)</f>
        <v>9.49873763410575E-2</v>
      </c>
      <c r="BT43" s="2612">
        <f>SUM(BP43*BE50)</f>
        <v>4.7102252772165162E-5</v>
      </c>
      <c r="BU43" s="2612">
        <f>SUM(BP43*BF50)</f>
        <v>4.8480636427232634E-4</v>
      </c>
      <c r="BV43" s="2612">
        <f>SUM(BP43*BG50)</f>
        <v>6.3514883566706776E-4</v>
      </c>
      <c r="BW43" s="2163">
        <f t="shared" si="55"/>
        <v>0</v>
      </c>
      <c r="BX43" s="2163">
        <f t="shared" si="78"/>
        <v>0</v>
      </c>
      <c r="BY43" s="2163">
        <f t="shared" si="79"/>
        <v>0</v>
      </c>
      <c r="BZ43" s="2163">
        <f t="shared" si="80"/>
        <v>0</v>
      </c>
      <c r="CA43" s="2163">
        <f t="shared" si="81"/>
        <v>0</v>
      </c>
      <c r="CB43" s="2163">
        <f t="shared" si="56"/>
        <v>0</v>
      </c>
      <c r="CC43" s="2163">
        <v>0</v>
      </c>
      <c r="CD43" s="2163">
        <v>0</v>
      </c>
      <c r="CE43" s="2163">
        <v>0</v>
      </c>
      <c r="CF43" s="2163">
        <v>0</v>
      </c>
      <c r="CG43" s="2163">
        <v>0</v>
      </c>
      <c r="CH43" s="2163">
        <v>0</v>
      </c>
      <c r="CI43" s="2163">
        <f t="shared" si="57"/>
        <v>3.36</v>
      </c>
      <c r="CJ43" s="2163">
        <v>1.98356</v>
      </c>
      <c r="CK43" s="2612">
        <v>4.2999999999999999E-4</v>
      </c>
      <c r="CL43" s="2163">
        <v>1.2660400000000001</v>
      </c>
      <c r="CM43" s="2163">
        <v>3.5200000000000001E-3</v>
      </c>
      <c r="CN43" s="2163">
        <v>0</v>
      </c>
      <c r="CO43" s="2163">
        <v>0.10645</v>
      </c>
      <c r="CP43" s="2163">
        <f t="shared" si="58"/>
        <v>3.3607499999999999</v>
      </c>
      <c r="CQ43" s="2612">
        <v>1.98</v>
      </c>
      <c r="CR43" s="2612">
        <v>4.0000000000000002E-4</v>
      </c>
      <c r="CS43" s="2163">
        <v>1.27</v>
      </c>
      <c r="CT43" s="2612">
        <v>3.5E-4</v>
      </c>
      <c r="CU43" s="2612">
        <v>0</v>
      </c>
      <c r="CV43" s="2163">
        <v>0.11</v>
      </c>
      <c r="CW43" s="2489">
        <f t="shared" si="59"/>
        <v>3.4801910549999997</v>
      </c>
      <c r="CX43" s="2489">
        <f>SUM(CW43*CX50)</f>
        <v>2.0365084014494341</v>
      </c>
      <c r="CY43" s="2489">
        <f>SUM(CW43*CY50)</f>
        <v>5.6726365668622767E-4</v>
      </c>
      <c r="CZ43" s="2489">
        <f>SUM(CW43*CZ50)</f>
        <v>1.3498219307832582</v>
      </c>
      <c r="DA43" s="2489">
        <f>SUM(CW43*DA50)</f>
        <v>3.9048956253861429E-3</v>
      </c>
      <c r="DB43" s="2489">
        <f>SUM(CW43*DB50)</f>
        <v>0</v>
      </c>
      <c r="DC43" s="2489">
        <f>SUM(CW43*DC50)</f>
        <v>8.9388563485234815E-2</v>
      </c>
      <c r="DD43" s="4080">
        <f t="shared" si="60"/>
        <v>0</v>
      </c>
      <c r="DE43" s="4080">
        <f t="shared" si="61"/>
        <v>0</v>
      </c>
      <c r="DF43" s="2489">
        <f t="shared" si="62"/>
        <v>0</v>
      </c>
      <c r="DG43" s="2489">
        <v>0</v>
      </c>
      <c r="DH43" s="2489">
        <v>0</v>
      </c>
      <c r="DI43" s="2489">
        <v>0</v>
      </c>
      <c r="DJ43" s="2489">
        <v>0</v>
      </c>
      <c r="DK43" s="2489">
        <v>0</v>
      </c>
      <c r="DL43" s="2489">
        <v>0</v>
      </c>
      <c r="DM43" s="2489">
        <f t="shared" si="63"/>
        <v>0</v>
      </c>
      <c r="DN43" s="2489">
        <v>0</v>
      </c>
      <c r="DO43" s="3975">
        <v>0</v>
      </c>
      <c r="DP43" s="2489">
        <v>0</v>
      </c>
      <c r="DQ43" s="2489">
        <v>0</v>
      </c>
      <c r="DR43" s="2489">
        <v>0</v>
      </c>
      <c r="DS43" s="2489">
        <v>0</v>
      </c>
      <c r="DT43" s="3999">
        <f t="shared" si="64"/>
        <v>3.3607499999999999</v>
      </c>
      <c r="DU43" s="4003">
        <v>1.98</v>
      </c>
      <c r="DV43" s="4003">
        <v>4.0000000000000002E-4</v>
      </c>
      <c r="DW43" s="3999">
        <v>1.27</v>
      </c>
      <c r="DX43" s="4003">
        <v>3.5E-4</v>
      </c>
      <c r="DY43" s="4003">
        <v>0</v>
      </c>
      <c r="DZ43" s="3999">
        <v>0.11</v>
      </c>
      <c r="EA43" s="2698"/>
    </row>
    <row r="44" spans="1:132" ht="33" customHeight="1" x14ac:dyDescent="0.2">
      <c r="A44" s="3519" t="s">
        <v>304</v>
      </c>
      <c r="B44" s="3380"/>
      <c r="C44" s="3380"/>
      <c r="D44" s="2158"/>
      <c r="E44" s="3380"/>
      <c r="F44" s="2158"/>
      <c r="G44" s="2159"/>
      <c r="H44" s="2158"/>
      <c r="I44" s="2160"/>
      <c r="J44" s="2160"/>
      <c r="K44" s="2160"/>
      <c r="L44" s="2160"/>
      <c r="M44" s="2164"/>
      <c r="N44" s="2160"/>
      <c r="O44" s="2160">
        <v>2</v>
      </c>
      <c r="P44" s="2160">
        <v>3.0381499999999999</v>
      </c>
      <c r="Q44" s="2160">
        <v>3.1</v>
      </c>
      <c r="R44" s="2160"/>
      <c r="S44" s="2159"/>
      <c r="T44" s="2162"/>
      <c r="U44" s="2163" t="e">
        <f>R44*#REF!</f>
        <v>#REF!</v>
      </c>
      <c r="V44" s="2163" t="e">
        <f>R44*#REF!</f>
        <v>#REF!</v>
      </c>
      <c r="W44" s="2163">
        <f t="shared" si="68"/>
        <v>0</v>
      </c>
      <c r="X44" s="2163">
        <f t="shared" si="69"/>
        <v>0</v>
      </c>
      <c r="Y44" s="2163"/>
      <c r="Z44" s="2163"/>
      <c r="AA44" s="2163"/>
      <c r="AB44" s="2160"/>
      <c r="AC44" s="2159"/>
      <c r="AD44" s="2163"/>
      <c r="AE44" s="2163"/>
      <c r="AF44" s="3518"/>
      <c r="AG44" s="3518"/>
      <c r="AH44" s="2163"/>
      <c r="AI44" s="2163"/>
      <c r="AJ44" s="2159"/>
      <c r="AK44" s="2163">
        <f>AJ44*AI56</f>
        <v>0</v>
      </c>
      <c r="AL44" s="2163">
        <f>AJ44*AI57</f>
        <v>0</v>
      </c>
      <c r="AM44" s="3518"/>
      <c r="AN44" s="3518"/>
      <c r="AO44" s="2615">
        <f t="shared" si="95"/>
        <v>0</v>
      </c>
      <c r="AP44" s="2163">
        <f t="shared" si="72"/>
        <v>0</v>
      </c>
      <c r="AQ44" s="2163">
        <f t="shared" si="73"/>
        <v>0</v>
      </c>
      <c r="AR44" s="2163">
        <f t="shared" si="5"/>
        <v>0</v>
      </c>
      <c r="AS44" s="2163">
        <v>0</v>
      </c>
      <c r="AT44" s="2163">
        <v>0</v>
      </c>
      <c r="AU44" s="2163">
        <f t="shared" si="6"/>
        <v>0</v>
      </c>
      <c r="AV44" s="2163">
        <v>0</v>
      </c>
      <c r="AW44" s="2163">
        <v>0</v>
      </c>
      <c r="AX44" s="2163">
        <f t="shared" si="82"/>
        <v>0</v>
      </c>
      <c r="AY44" s="2163">
        <v>0</v>
      </c>
      <c r="AZ44" s="2163">
        <v>0</v>
      </c>
      <c r="BA44" s="2163">
        <f t="shared" si="53"/>
        <v>0</v>
      </c>
      <c r="BB44" s="2163">
        <v>0</v>
      </c>
      <c r="BC44" s="2163">
        <v>0</v>
      </c>
      <c r="BD44" s="2163">
        <v>0</v>
      </c>
      <c r="BE44" s="2163">
        <v>0</v>
      </c>
      <c r="BF44" s="2163">
        <v>0</v>
      </c>
      <c r="BG44" s="2163">
        <v>0</v>
      </c>
      <c r="BH44" s="2163">
        <f t="shared" si="9"/>
        <v>0</v>
      </c>
      <c r="BI44" s="2163">
        <v>0</v>
      </c>
      <c r="BJ44" s="2163">
        <v>0</v>
      </c>
      <c r="BK44" s="2163">
        <v>0</v>
      </c>
      <c r="BL44" s="2163">
        <f t="shared" si="74"/>
        <v>0</v>
      </c>
      <c r="BM44" s="2163">
        <f t="shared" si="75"/>
        <v>0</v>
      </c>
      <c r="BN44" s="2163">
        <f t="shared" si="76"/>
        <v>0</v>
      </c>
      <c r="BO44" s="2163">
        <f t="shared" si="77"/>
        <v>0</v>
      </c>
      <c r="BP44" s="2163">
        <f t="shared" si="54"/>
        <v>0</v>
      </c>
      <c r="BQ44" s="2163">
        <v>0</v>
      </c>
      <c r="BR44" s="2163">
        <v>0</v>
      </c>
      <c r="BS44" s="2163">
        <v>0</v>
      </c>
      <c r="BT44" s="2163">
        <v>0</v>
      </c>
      <c r="BU44" s="2163">
        <v>0</v>
      </c>
      <c r="BV44" s="2163">
        <v>0</v>
      </c>
      <c r="BW44" s="2163">
        <f t="shared" si="55"/>
        <v>0</v>
      </c>
      <c r="BX44" s="2163">
        <f t="shared" si="78"/>
        <v>0</v>
      </c>
      <c r="BY44" s="2163">
        <f t="shared" si="79"/>
        <v>0</v>
      </c>
      <c r="BZ44" s="2163">
        <f t="shared" si="80"/>
        <v>0</v>
      </c>
      <c r="CA44" s="2163">
        <f t="shared" si="81"/>
        <v>0</v>
      </c>
      <c r="CB44" s="2163">
        <f t="shared" si="56"/>
        <v>0</v>
      </c>
      <c r="CC44" s="2163">
        <v>0</v>
      </c>
      <c r="CD44" s="2163">
        <v>0</v>
      </c>
      <c r="CE44" s="2163">
        <v>0</v>
      </c>
      <c r="CF44" s="2163">
        <v>0</v>
      </c>
      <c r="CG44" s="2163">
        <v>0</v>
      </c>
      <c r="CH44" s="2163">
        <v>0</v>
      </c>
      <c r="CI44" s="2163">
        <f t="shared" si="57"/>
        <v>0</v>
      </c>
      <c r="CJ44" s="2163">
        <v>0</v>
      </c>
      <c r="CK44" s="2163">
        <v>0</v>
      </c>
      <c r="CL44" s="2163">
        <v>0</v>
      </c>
      <c r="CM44" s="2163">
        <v>0</v>
      </c>
      <c r="CN44" s="2163">
        <v>0</v>
      </c>
      <c r="CO44" s="2163">
        <v>0</v>
      </c>
      <c r="CP44" s="2163">
        <f t="shared" si="58"/>
        <v>0</v>
      </c>
      <c r="CQ44" s="2163">
        <v>0</v>
      </c>
      <c r="CR44" s="2163">
        <v>0</v>
      </c>
      <c r="CS44" s="2163">
        <v>0</v>
      </c>
      <c r="CT44" s="2163">
        <v>0</v>
      </c>
      <c r="CU44" s="2163">
        <v>0</v>
      </c>
      <c r="CV44" s="2163">
        <v>0</v>
      </c>
      <c r="CW44" s="2489">
        <f t="shared" si="59"/>
        <v>0</v>
      </c>
      <c r="CX44" s="2489">
        <f>SUM(CW44*CX50)</f>
        <v>0</v>
      </c>
      <c r="CY44" s="2489">
        <f>SUM(CW44*CY50)</f>
        <v>0</v>
      </c>
      <c r="CZ44" s="2489">
        <f>SUM(CW44*CZ50)</f>
        <v>0</v>
      </c>
      <c r="DA44" s="2489">
        <f>SUM(CW44*DA50)</f>
        <v>0</v>
      </c>
      <c r="DB44" s="2489">
        <f>SUM(CW44*DB50)</f>
        <v>0</v>
      </c>
      <c r="DC44" s="2489">
        <f>SUM(CW44*DC50)</f>
        <v>0</v>
      </c>
      <c r="DD44" s="4080">
        <f t="shared" si="60"/>
        <v>0</v>
      </c>
      <c r="DE44" s="4080">
        <f t="shared" si="61"/>
        <v>0</v>
      </c>
      <c r="DF44" s="2489">
        <f t="shared" si="62"/>
        <v>0</v>
      </c>
      <c r="DG44" s="2489">
        <v>0</v>
      </c>
      <c r="DH44" s="2489">
        <v>0</v>
      </c>
      <c r="DI44" s="2489">
        <v>0</v>
      </c>
      <c r="DJ44" s="2489">
        <v>0</v>
      </c>
      <c r="DK44" s="2489">
        <v>0</v>
      </c>
      <c r="DL44" s="2489">
        <v>0</v>
      </c>
      <c r="DM44" s="2489">
        <f t="shared" si="63"/>
        <v>0</v>
      </c>
      <c r="DN44" s="2489">
        <v>0</v>
      </c>
      <c r="DO44" s="2489">
        <v>0</v>
      </c>
      <c r="DP44" s="2489">
        <v>0</v>
      </c>
      <c r="DQ44" s="2489">
        <v>0</v>
      </c>
      <c r="DR44" s="2489">
        <v>0</v>
      </c>
      <c r="DS44" s="2489">
        <v>0</v>
      </c>
      <c r="DT44" s="3999">
        <f t="shared" si="64"/>
        <v>0</v>
      </c>
      <c r="DU44" s="3999">
        <v>0</v>
      </c>
      <c r="DV44" s="3999">
        <v>0</v>
      </c>
      <c r="DW44" s="3999">
        <v>0</v>
      </c>
      <c r="DX44" s="3999">
        <v>0</v>
      </c>
      <c r="DY44" s="3999">
        <v>0</v>
      </c>
      <c r="DZ44" s="3999">
        <v>0</v>
      </c>
      <c r="EA44" s="2698"/>
    </row>
    <row r="45" spans="1:132" ht="24" customHeight="1" x14ac:dyDescent="0.2">
      <c r="A45" s="3519" t="s">
        <v>164</v>
      </c>
      <c r="B45" s="3380">
        <v>64.7</v>
      </c>
      <c r="C45" s="3380"/>
      <c r="D45" s="2158">
        <f>C45/B45*100</f>
        <v>0</v>
      </c>
      <c r="E45" s="3380"/>
      <c r="F45" s="2158"/>
      <c r="G45" s="2159">
        <v>1.5</v>
      </c>
      <c r="H45" s="2158"/>
      <c r="I45" s="2160"/>
      <c r="J45" s="2160"/>
      <c r="K45" s="2160"/>
      <c r="L45" s="2160"/>
      <c r="M45" s="2164">
        <f>K45/G45*100</f>
        <v>0</v>
      </c>
      <c r="N45" s="2160">
        <v>0</v>
      </c>
      <c r="O45" s="2160"/>
      <c r="P45" s="2160"/>
      <c r="Q45" s="2160">
        <v>0</v>
      </c>
      <c r="R45" s="2160"/>
      <c r="S45" s="2159"/>
      <c r="T45" s="2162"/>
      <c r="U45" s="2163" t="e">
        <f>R45*#REF!</f>
        <v>#REF!</v>
      </c>
      <c r="V45" s="2163" t="e">
        <f>R45*#REF!</f>
        <v>#REF!</v>
      </c>
      <c r="W45" s="2163">
        <f t="shared" si="68"/>
        <v>0</v>
      </c>
      <c r="X45" s="2163">
        <f t="shared" si="69"/>
        <v>0</v>
      </c>
      <c r="Y45" s="2163"/>
      <c r="Z45" s="2163"/>
      <c r="AA45" s="2163"/>
      <c r="AB45" s="2160"/>
      <c r="AC45" s="2159"/>
      <c r="AD45" s="2163"/>
      <c r="AE45" s="2163"/>
      <c r="AF45" s="3518"/>
      <c r="AG45" s="3518"/>
      <c r="AH45" s="2163"/>
      <c r="AI45" s="2163"/>
      <c r="AJ45" s="2159"/>
      <c r="AK45" s="2163">
        <f>AJ45*AI56</f>
        <v>0</v>
      </c>
      <c r="AL45" s="2163">
        <f>AJ45*AI57</f>
        <v>0</v>
      </c>
      <c r="AM45" s="3518"/>
      <c r="AN45" s="3518"/>
      <c r="AO45" s="2615">
        <f t="shared" si="95"/>
        <v>0</v>
      </c>
      <c r="AP45" s="2163">
        <f t="shared" si="72"/>
        <v>0</v>
      </c>
      <c r="AQ45" s="2163">
        <f t="shared" si="73"/>
        <v>0</v>
      </c>
      <c r="AR45" s="2163">
        <f t="shared" si="5"/>
        <v>0</v>
      </c>
      <c r="AS45" s="2163">
        <v>0</v>
      </c>
      <c r="AT45" s="2163">
        <v>0</v>
      </c>
      <c r="AU45" s="2163">
        <f t="shared" si="6"/>
        <v>0</v>
      </c>
      <c r="AV45" s="2163">
        <v>0</v>
      </c>
      <c r="AW45" s="2163">
        <v>0</v>
      </c>
      <c r="AX45" s="2163">
        <f t="shared" si="82"/>
        <v>0</v>
      </c>
      <c r="AY45" s="2163">
        <v>0</v>
      </c>
      <c r="AZ45" s="2163">
        <v>0</v>
      </c>
      <c r="BA45" s="2163">
        <f t="shared" si="53"/>
        <v>0</v>
      </c>
      <c r="BB45" s="2163">
        <v>0</v>
      </c>
      <c r="BC45" s="2163">
        <v>0</v>
      </c>
      <c r="BD45" s="2163">
        <v>0</v>
      </c>
      <c r="BE45" s="2163">
        <v>0</v>
      </c>
      <c r="BF45" s="2163">
        <v>0</v>
      </c>
      <c r="BG45" s="2163">
        <v>0</v>
      </c>
      <c r="BH45" s="2163">
        <f t="shared" si="9"/>
        <v>0</v>
      </c>
      <c r="BI45" s="2163">
        <v>0</v>
      </c>
      <c r="BJ45" s="2163">
        <v>0</v>
      </c>
      <c r="BK45" s="2163">
        <v>0</v>
      </c>
      <c r="BL45" s="2163">
        <f t="shared" si="74"/>
        <v>0</v>
      </c>
      <c r="BM45" s="2163">
        <f t="shared" si="75"/>
        <v>0</v>
      </c>
      <c r="BN45" s="2163">
        <f t="shared" si="76"/>
        <v>0</v>
      </c>
      <c r="BO45" s="2163">
        <f t="shared" si="77"/>
        <v>0</v>
      </c>
      <c r="BP45" s="2163">
        <f t="shared" si="54"/>
        <v>0</v>
      </c>
      <c r="BQ45" s="2163">
        <v>0</v>
      </c>
      <c r="BR45" s="2163">
        <v>0</v>
      </c>
      <c r="BS45" s="2163">
        <v>0</v>
      </c>
      <c r="BT45" s="2163">
        <v>0</v>
      </c>
      <c r="BU45" s="2163">
        <v>0</v>
      </c>
      <c r="BV45" s="2163">
        <v>0</v>
      </c>
      <c r="BW45" s="2163">
        <f t="shared" si="55"/>
        <v>0</v>
      </c>
      <c r="BX45" s="2163">
        <f t="shared" si="78"/>
        <v>0</v>
      </c>
      <c r="BY45" s="2163">
        <f t="shared" si="79"/>
        <v>0</v>
      </c>
      <c r="BZ45" s="2163">
        <f t="shared" si="80"/>
        <v>0</v>
      </c>
      <c r="CA45" s="2163">
        <f t="shared" si="81"/>
        <v>0</v>
      </c>
      <c r="CB45" s="2163">
        <f t="shared" ref="CB45" si="97">SUM(CC45:CH45)</f>
        <v>0</v>
      </c>
      <c r="CC45" s="2163">
        <v>0</v>
      </c>
      <c r="CD45" s="2163">
        <v>0</v>
      </c>
      <c r="CE45" s="2163">
        <v>0</v>
      </c>
      <c r="CF45" s="2163">
        <v>0</v>
      </c>
      <c r="CG45" s="2163">
        <v>0</v>
      </c>
      <c r="CH45" s="2163">
        <v>0</v>
      </c>
      <c r="CI45" s="2163">
        <f t="shared" ref="CI45" si="98">SUM(CJ45:CO45)</f>
        <v>0</v>
      </c>
      <c r="CJ45" s="2163">
        <v>0</v>
      </c>
      <c r="CK45" s="2163">
        <v>0</v>
      </c>
      <c r="CL45" s="2163">
        <v>0</v>
      </c>
      <c r="CM45" s="2163">
        <v>0</v>
      </c>
      <c r="CN45" s="2163">
        <v>0</v>
      </c>
      <c r="CO45" s="2163">
        <v>0</v>
      </c>
      <c r="CP45" s="2163">
        <f t="shared" ref="CP45:CP48" si="99">SUM(CQ45:CV45)</f>
        <v>0</v>
      </c>
      <c r="CQ45" s="2163">
        <v>0</v>
      </c>
      <c r="CR45" s="2163">
        <v>0</v>
      </c>
      <c r="CS45" s="2163">
        <v>0</v>
      </c>
      <c r="CT45" s="2163">
        <v>0</v>
      </c>
      <c r="CU45" s="2163">
        <v>0</v>
      </c>
      <c r="CV45" s="2163">
        <v>0</v>
      </c>
      <c r="CW45" s="2489">
        <f t="shared" si="59"/>
        <v>0</v>
      </c>
      <c r="CX45" s="2489">
        <f>SUM(CW45*CX50)</f>
        <v>0</v>
      </c>
      <c r="CY45" s="2489">
        <f>SUM(CW45*CY50)</f>
        <v>0</v>
      </c>
      <c r="CZ45" s="2489">
        <f>SUM(CW45*CZ50)</f>
        <v>0</v>
      </c>
      <c r="DA45" s="2489">
        <f>SUM(CW45*DA50)</f>
        <v>0</v>
      </c>
      <c r="DB45" s="2489">
        <f>SUM(CW45*DB50)</f>
        <v>0</v>
      </c>
      <c r="DC45" s="2489">
        <f>SUM(CW45*DC50)</f>
        <v>0</v>
      </c>
      <c r="DD45" s="4080">
        <f t="shared" si="60"/>
        <v>0</v>
      </c>
      <c r="DE45" s="4080">
        <f t="shared" si="61"/>
        <v>0</v>
      </c>
      <c r="DF45" s="2489">
        <f t="shared" ref="DF45" si="100">SUM(DG45:DL45)</f>
        <v>0</v>
      </c>
      <c r="DG45" s="2489">
        <v>0</v>
      </c>
      <c r="DH45" s="2489">
        <v>0</v>
      </c>
      <c r="DI45" s="2489">
        <v>0</v>
      </c>
      <c r="DJ45" s="2489">
        <v>0</v>
      </c>
      <c r="DK45" s="2489">
        <v>0</v>
      </c>
      <c r="DL45" s="2489">
        <v>0</v>
      </c>
      <c r="DM45" s="2489">
        <f t="shared" ref="DM45" si="101">SUM(DN45:DS45)</f>
        <v>0</v>
      </c>
      <c r="DN45" s="2489">
        <v>0</v>
      </c>
      <c r="DO45" s="2489">
        <v>0</v>
      </c>
      <c r="DP45" s="2489">
        <v>0</v>
      </c>
      <c r="DQ45" s="2489">
        <v>0</v>
      </c>
      <c r="DR45" s="2489">
        <v>0</v>
      </c>
      <c r="DS45" s="2489">
        <v>0</v>
      </c>
      <c r="DT45" s="3999">
        <f t="shared" ref="DT45:DT48" si="102">SUM(DU45:DZ45)</f>
        <v>0</v>
      </c>
      <c r="DU45" s="3999">
        <v>0</v>
      </c>
      <c r="DV45" s="3999">
        <v>0</v>
      </c>
      <c r="DW45" s="3999">
        <v>0</v>
      </c>
      <c r="DX45" s="3999">
        <v>0</v>
      </c>
      <c r="DY45" s="3999">
        <v>0</v>
      </c>
      <c r="DZ45" s="3999">
        <v>0</v>
      </c>
      <c r="EA45" s="2698"/>
    </row>
    <row r="46" spans="1:132" ht="33" customHeight="1" x14ac:dyDescent="0.2">
      <c r="A46" s="3519" t="s">
        <v>305</v>
      </c>
      <c r="B46" s="3380"/>
      <c r="C46" s="3380"/>
      <c r="D46" s="2158"/>
      <c r="E46" s="3380"/>
      <c r="F46" s="2158"/>
      <c r="G46" s="2159"/>
      <c r="H46" s="2158"/>
      <c r="I46" s="2160"/>
      <c r="J46" s="2160"/>
      <c r="K46" s="2160"/>
      <c r="L46" s="2160"/>
      <c r="M46" s="2164"/>
      <c r="N46" s="2160"/>
      <c r="O46" s="2160"/>
      <c r="P46" s="2160">
        <v>2.84</v>
      </c>
      <c r="Q46" s="2160"/>
      <c r="R46" s="2160"/>
      <c r="S46" s="2159"/>
      <c r="T46" s="2162"/>
      <c r="U46" s="2163" t="e">
        <f>R46*#REF!</f>
        <v>#REF!</v>
      </c>
      <c r="V46" s="2163" t="e">
        <f>R46*#REF!</f>
        <v>#REF!</v>
      </c>
      <c r="W46" s="2163">
        <f t="shared" si="68"/>
        <v>0</v>
      </c>
      <c r="X46" s="2163">
        <f t="shared" si="69"/>
        <v>0</v>
      </c>
      <c r="Y46" s="2163"/>
      <c r="Z46" s="2163"/>
      <c r="AA46" s="2163"/>
      <c r="AB46" s="2160"/>
      <c r="AC46" s="2159"/>
      <c r="AD46" s="2163"/>
      <c r="AE46" s="2163"/>
      <c r="AF46" s="3518"/>
      <c r="AG46" s="3518"/>
      <c r="AH46" s="2163"/>
      <c r="AI46" s="2163"/>
      <c r="AJ46" s="2159"/>
      <c r="AK46" s="2163">
        <f>AJ46*AI56</f>
        <v>0</v>
      </c>
      <c r="AL46" s="2163">
        <f>AJ46*AI57</f>
        <v>0</v>
      </c>
      <c r="AM46" s="3518"/>
      <c r="AN46" s="3518"/>
      <c r="AO46" s="2615">
        <f t="shared" si="95"/>
        <v>0</v>
      </c>
      <c r="AP46" s="2163">
        <f t="shared" si="72"/>
        <v>0</v>
      </c>
      <c r="AQ46" s="2163">
        <f t="shared" si="73"/>
        <v>0</v>
      </c>
      <c r="AR46" s="2163">
        <f t="shared" si="5"/>
        <v>0</v>
      </c>
      <c r="AS46" s="2163">
        <v>0</v>
      </c>
      <c r="AT46" s="2163">
        <v>0</v>
      </c>
      <c r="AU46" s="2163">
        <f t="shared" si="6"/>
        <v>0</v>
      </c>
      <c r="AV46" s="2163">
        <v>0</v>
      </c>
      <c r="AW46" s="2163">
        <v>0</v>
      </c>
      <c r="AX46" s="2163">
        <f t="shared" si="82"/>
        <v>0</v>
      </c>
      <c r="AY46" s="2163">
        <v>0</v>
      </c>
      <c r="AZ46" s="2163">
        <v>0</v>
      </c>
      <c r="BA46" s="2163">
        <f t="shared" si="53"/>
        <v>0</v>
      </c>
      <c r="BB46" s="2163">
        <v>0</v>
      </c>
      <c r="BC46" s="2163">
        <v>0</v>
      </c>
      <c r="BD46" s="2163">
        <v>0</v>
      </c>
      <c r="BE46" s="2163">
        <v>0</v>
      </c>
      <c r="BF46" s="2163">
        <v>0</v>
      </c>
      <c r="BG46" s="2163">
        <v>0</v>
      </c>
      <c r="BH46" s="2163">
        <f t="shared" si="9"/>
        <v>0</v>
      </c>
      <c r="BI46" s="2163">
        <v>0</v>
      </c>
      <c r="BJ46" s="2163">
        <v>0</v>
      </c>
      <c r="BK46" s="2163">
        <v>0</v>
      </c>
      <c r="BL46" s="2163">
        <f t="shared" si="74"/>
        <v>0</v>
      </c>
      <c r="BM46" s="2163">
        <f t="shared" si="75"/>
        <v>0</v>
      </c>
      <c r="BN46" s="2163">
        <f t="shared" si="76"/>
        <v>0</v>
      </c>
      <c r="BO46" s="2163">
        <f t="shared" si="77"/>
        <v>0</v>
      </c>
      <c r="BP46" s="2163">
        <f t="shared" si="54"/>
        <v>0</v>
      </c>
      <c r="BQ46" s="2163">
        <v>0</v>
      </c>
      <c r="BR46" s="2163">
        <v>0</v>
      </c>
      <c r="BS46" s="2163">
        <v>0</v>
      </c>
      <c r="BT46" s="2163">
        <v>0</v>
      </c>
      <c r="BU46" s="2163">
        <v>0</v>
      </c>
      <c r="BV46" s="2163">
        <v>0</v>
      </c>
      <c r="BW46" s="2163">
        <f t="shared" si="55"/>
        <v>0</v>
      </c>
      <c r="BX46" s="2163">
        <f t="shared" si="78"/>
        <v>0</v>
      </c>
      <c r="BY46" s="2163">
        <f t="shared" si="79"/>
        <v>0</v>
      </c>
      <c r="BZ46" s="2163">
        <f t="shared" si="80"/>
        <v>0</v>
      </c>
      <c r="CA46" s="2163">
        <f t="shared" si="81"/>
        <v>0</v>
      </c>
      <c r="CB46" s="2163">
        <f t="shared" ref="CB46:CB48" si="103">SUM(CC46:CH46)</f>
        <v>0</v>
      </c>
      <c r="CC46" s="2163">
        <v>0</v>
      </c>
      <c r="CD46" s="2163">
        <v>0</v>
      </c>
      <c r="CE46" s="2163">
        <v>0</v>
      </c>
      <c r="CF46" s="2163">
        <v>0</v>
      </c>
      <c r="CG46" s="2163">
        <v>0</v>
      </c>
      <c r="CH46" s="2163">
        <v>0</v>
      </c>
      <c r="CI46" s="2163">
        <f t="shared" ref="CI46:CI48" si="104">SUM(CJ46:CO46)</f>
        <v>0</v>
      </c>
      <c r="CJ46" s="2163">
        <v>0</v>
      </c>
      <c r="CK46" s="2163">
        <v>0</v>
      </c>
      <c r="CL46" s="2163">
        <v>0</v>
      </c>
      <c r="CM46" s="2163">
        <v>0</v>
      </c>
      <c r="CN46" s="2163">
        <v>0</v>
      </c>
      <c r="CO46" s="2163">
        <v>0</v>
      </c>
      <c r="CP46" s="2163">
        <f t="shared" si="99"/>
        <v>0</v>
      </c>
      <c r="CQ46" s="2163">
        <v>0</v>
      </c>
      <c r="CR46" s="2163">
        <v>0</v>
      </c>
      <c r="CS46" s="2163">
        <v>0</v>
      </c>
      <c r="CT46" s="2163">
        <v>0</v>
      </c>
      <c r="CU46" s="2163">
        <v>0</v>
      </c>
      <c r="CV46" s="2163">
        <v>0</v>
      </c>
      <c r="CW46" s="2489">
        <f t="shared" si="59"/>
        <v>0</v>
      </c>
      <c r="CX46" s="2489">
        <f>SUM(CW46*CX50)</f>
        <v>0</v>
      </c>
      <c r="CY46" s="2489">
        <f>SUM(CW46*CY50)</f>
        <v>0</v>
      </c>
      <c r="CZ46" s="2489">
        <f>SUM(CW46*CZ50)</f>
        <v>0</v>
      </c>
      <c r="DA46" s="2489">
        <f>SUM(CW46*DA50)</f>
        <v>0</v>
      </c>
      <c r="DB46" s="2489">
        <f>SUM(CW46*DB50)</f>
        <v>0</v>
      </c>
      <c r="DC46" s="2489">
        <f>SUM(CW46*DC50)</f>
        <v>0</v>
      </c>
      <c r="DD46" s="4080">
        <f t="shared" si="60"/>
        <v>0</v>
      </c>
      <c r="DE46" s="4080">
        <f t="shared" si="61"/>
        <v>0</v>
      </c>
      <c r="DF46" s="2489">
        <f t="shared" ref="DF46:DF48" si="105">SUM(DG46:DL46)</f>
        <v>0</v>
      </c>
      <c r="DG46" s="2489">
        <v>0</v>
      </c>
      <c r="DH46" s="2489">
        <v>0</v>
      </c>
      <c r="DI46" s="2489">
        <v>0</v>
      </c>
      <c r="DJ46" s="2489">
        <v>0</v>
      </c>
      <c r="DK46" s="2489">
        <v>0</v>
      </c>
      <c r="DL46" s="2489">
        <v>0</v>
      </c>
      <c r="DM46" s="2489">
        <f t="shared" ref="DM46:DM48" si="106">SUM(DN46:DS46)</f>
        <v>0</v>
      </c>
      <c r="DN46" s="2489">
        <v>0</v>
      </c>
      <c r="DO46" s="2489">
        <v>0</v>
      </c>
      <c r="DP46" s="2489">
        <v>0</v>
      </c>
      <c r="DQ46" s="2489">
        <v>0</v>
      </c>
      <c r="DR46" s="2489">
        <v>0</v>
      </c>
      <c r="DS46" s="2489">
        <v>0</v>
      </c>
      <c r="DT46" s="3999">
        <f t="shared" si="102"/>
        <v>0</v>
      </c>
      <c r="DU46" s="3999">
        <v>0</v>
      </c>
      <c r="DV46" s="3999">
        <v>0</v>
      </c>
      <c r="DW46" s="3999">
        <v>0</v>
      </c>
      <c r="DX46" s="3999">
        <v>0</v>
      </c>
      <c r="DY46" s="3999">
        <v>0</v>
      </c>
      <c r="DZ46" s="3999">
        <v>0</v>
      </c>
      <c r="EA46" s="2698"/>
    </row>
    <row r="47" spans="1:132" ht="24" customHeight="1" x14ac:dyDescent="0.2">
      <c r="A47" s="3519" t="s">
        <v>95</v>
      </c>
      <c r="B47" s="3380">
        <v>2</v>
      </c>
      <c r="C47" s="3380"/>
      <c r="D47" s="2158">
        <f>C47/B47*100</f>
        <v>0</v>
      </c>
      <c r="E47" s="3380"/>
      <c r="F47" s="2158"/>
      <c r="G47" s="2159">
        <v>1.5</v>
      </c>
      <c r="H47" s="2158"/>
      <c r="I47" s="2160"/>
      <c r="J47" s="2160"/>
      <c r="K47" s="2160"/>
      <c r="L47" s="2160">
        <v>109.5</v>
      </c>
      <c r="M47" s="2164">
        <f>K47/G47*100</f>
        <v>0</v>
      </c>
      <c r="N47" s="2160">
        <v>0</v>
      </c>
      <c r="O47" s="2160"/>
      <c r="P47" s="2160"/>
      <c r="Q47" s="2160">
        <v>0</v>
      </c>
      <c r="R47" s="2160">
        <v>115.5</v>
      </c>
      <c r="S47" s="2159">
        <v>12.215999999999999</v>
      </c>
      <c r="T47" s="2162"/>
      <c r="U47" s="2163" t="e">
        <f>R47*#REF!</f>
        <v>#REF!</v>
      </c>
      <c r="V47" s="2163" t="e">
        <f>R47*#REF!</f>
        <v>#REF!</v>
      </c>
      <c r="W47" s="2163">
        <f t="shared" si="68"/>
        <v>6.9750802861685202</v>
      </c>
      <c r="X47" s="2163">
        <f t="shared" si="69"/>
        <v>4.9542531796502365</v>
      </c>
      <c r="Y47" s="2163">
        <v>2.94</v>
      </c>
      <c r="Z47" s="2163">
        <v>8.73</v>
      </c>
      <c r="AA47" s="2163">
        <v>11.6</v>
      </c>
      <c r="AB47" s="2160">
        <v>12.2</v>
      </c>
      <c r="AC47" s="2159">
        <v>12.215999999999999</v>
      </c>
      <c r="AD47" s="2163">
        <f>W47</f>
        <v>6.9750802861685202</v>
      </c>
      <c r="AE47" s="2163">
        <f>X47</f>
        <v>4.9542531796502365</v>
      </c>
      <c r="AF47" s="3518">
        <f>AD47/W47</f>
        <v>1</v>
      </c>
      <c r="AG47" s="3518">
        <f>AE47/X47</f>
        <v>1</v>
      </c>
      <c r="AH47" s="2163">
        <v>6.17</v>
      </c>
      <c r="AI47" s="2163">
        <v>9.26</v>
      </c>
      <c r="AJ47" s="2159">
        <f t="shared" ref="AJ47" si="107">SUM(AA47*1.1)</f>
        <v>12.76</v>
      </c>
      <c r="AK47" s="2163">
        <f>AJ47*AI56</f>
        <v>7.6049599999999993</v>
      </c>
      <c r="AL47" s="2163">
        <f>AJ47*AI57</f>
        <v>5.1550400000000005</v>
      </c>
      <c r="AM47" s="3518">
        <f>AK47/AD47</f>
        <v>1.0903042958631632</v>
      </c>
      <c r="AN47" s="3518">
        <f>AL47/AE47</f>
        <v>1.0405281710620893</v>
      </c>
      <c r="AO47" s="2615">
        <f>AJ47</f>
        <v>12.76</v>
      </c>
      <c r="AP47" s="2163">
        <f t="shared" si="72"/>
        <v>6.9434175819675454</v>
      </c>
      <c r="AQ47" s="2163">
        <f t="shared" si="73"/>
        <v>5.7478200856768931</v>
      </c>
      <c r="AR47" s="2163">
        <f t="shared" si="5"/>
        <v>13.190000000000001</v>
      </c>
      <c r="AS47" s="2163">
        <v>7.78</v>
      </c>
      <c r="AT47" s="2163">
        <v>5.41</v>
      </c>
      <c r="AU47" s="2163">
        <f>AV47+AW47</f>
        <v>13.942</v>
      </c>
      <c r="AV47" s="2163">
        <v>8.0863600000000009</v>
      </c>
      <c r="AW47" s="2163">
        <v>5.8556400000000002</v>
      </c>
      <c r="AX47" s="2163">
        <f>AY47+AZ47</f>
        <v>13.93</v>
      </c>
      <c r="AY47" s="2163">
        <v>8.2200000000000006</v>
      </c>
      <c r="AZ47" s="2163">
        <v>5.71</v>
      </c>
      <c r="BA47" s="2163">
        <f t="shared" si="53"/>
        <v>14.555519999999998</v>
      </c>
      <c r="BB47" s="2163">
        <v>8.4329999999999998</v>
      </c>
      <c r="BC47" s="3521">
        <v>5.1999999999999995E-4</v>
      </c>
      <c r="BD47" s="2163">
        <v>6.0229999999999997</v>
      </c>
      <c r="BE47" s="2667">
        <v>4.0000000000000001E-3</v>
      </c>
      <c r="BF47" s="2667">
        <v>5.1999999999999998E-2</v>
      </c>
      <c r="BG47" s="2163">
        <v>4.2999999999999997E-2</v>
      </c>
      <c r="BH47" s="2163">
        <f t="shared" si="9"/>
        <v>14.35</v>
      </c>
      <c r="BI47" s="2163">
        <v>8.34</v>
      </c>
      <c r="BJ47" s="2163">
        <v>6.01</v>
      </c>
      <c r="BK47" s="2163">
        <f>'Аренда земли'!D39/1000</f>
        <v>14.946957999999999</v>
      </c>
      <c r="BL47" s="2163">
        <f t="shared" si="74"/>
        <v>8.6887448648147121</v>
      </c>
      <c r="BM47" s="2163">
        <f t="shared" si="75"/>
        <v>5.6260920012559419</v>
      </c>
      <c r="BN47" s="2163">
        <f t="shared" si="76"/>
        <v>0.59638916526770314</v>
      </c>
      <c r="BO47" s="2163">
        <f t="shared" si="77"/>
        <v>3.5731968661640502E-2</v>
      </c>
      <c r="BP47" s="2163">
        <f>SUM(BA47)</f>
        <v>14.555519999999998</v>
      </c>
      <c r="BQ47" s="2163">
        <f>SUM(BP47*BB50)</f>
        <v>8.5630660847214184</v>
      </c>
      <c r="BR47" s="3521">
        <f>SUM(BP47*BC50)</f>
        <v>3.8730375321149342E-4</v>
      </c>
      <c r="BS47" s="2163">
        <f>SUM(BP47*BD50)</f>
        <v>5.9193389616374459</v>
      </c>
      <c r="BT47" s="2612">
        <f>SUM(BP47*BE50)</f>
        <v>2.9352763572927268E-3</v>
      </c>
      <c r="BU47" s="2612">
        <f>SUM(BP47*BF50)</f>
        <v>3.0211732457827233E-2</v>
      </c>
      <c r="BV47" s="2612">
        <f>SUM(BP47*BG50)</f>
        <v>3.9580641072803811E-2</v>
      </c>
      <c r="BW47" s="2163">
        <f t="shared" si="55"/>
        <v>15.241413072599999</v>
      </c>
      <c r="BX47" s="2163">
        <f t="shared" si="78"/>
        <v>8.8599131386515619</v>
      </c>
      <c r="BY47" s="2163">
        <f t="shared" si="79"/>
        <v>5.7369260136806837</v>
      </c>
      <c r="BZ47" s="2163">
        <f t="shared" si="80"/>
        <v>0.60813803182347681</v>
      </c>
      <c r="CA47" s="2163">
        <f t="shared" si="81"/>
        <v>3.6435888444274825E-2</v>
      </c>
      <c r="CB47" s="2163">
        <f t="shared" si="103"/>
        <v>7.5609999999999999</v>
      </c>
      <c r="CC47" s="2163">
        <v>4.47</v>
      </c>
      <c r="CD47" s="2667">
        <v>1E-3</v>
      </c>
      <c r="CE47" s="2163">
        <v>2.93</v>
      </c>
      <c r="CF47" s="2163">
        <v>0.01</v>
      </c>
      <c r="CG47" s="2163">
        <v>0</v>
      </c>
      <c r="CH47" s="2667">
        <v>0.15</v>
      </c>
      <c r="CI47" s="2163">
        <f t="shared" si="104"/>
        <v>11.345249999999998</v>
      </c>
      <c r="CJ47" s="2163"/>
      <c r="CK47" s="2667">
        <v>2.33E-3</v>
      </c>
      <c r="CL47" s="2163">
        <v>4.4116200000000001</v>
      </c>
      <c r="CM47" s="2163">
        <v>1.6060000000000001E-2</v>
      </c>
      <c r="CN47" s="2163">
        <v>6.6812199999999997</v>
      </c>
      <c r="CO47" s="2163">
        <v>0.23402000000000001</v>
      </c>
      <c r="CP47" s="2163">
        <f t="shared" si="99"/>
        <v>15.061999999999999</v>
      </c>
      <c r="CQ47" s="2206">
        <v>8.82</v>
      </c>
      <c r="CR47" s="2667">
        <v>3.0000000000000001E-3</v>
      </c>
      <c r="CS47" s="2163">
        <v>5.85</v>
      </c>
      <c r="CT47" s="2163">
        <v>2.4E-2</v>
      </c>
      <c r="CU47" s="2163">
        <v>0</v>
      </c>
      <c r="CV47" s="2163">
        <v>0.36499999999999999</v>
      </c>
      <c r="CW47" s="2489">
        <f t="shared" si="59"/>
        <v>15.597303479999999</v>
      </c>
      <c r="CX47" s="2489">
        <f>SUM(CW47*CX50)</f>
        <v>9.1270964941252331</v>
      </c>
      <c r="CY47" s="2489">
        <f>SUM(CW47*CY50)</f>
        <v>2.5423269201838758E-3</v>
      </c>
      <c r="CZ47" s="2489">
        <f>SUM(CW47*CZ50)</f>
        <v>6.0495478454087435</v>
      </c>
      <c r="DA47" s="2489">
        <f>SUM(CW47*DA50)</f>
        <v>1.7500717967586427E-2</v>
      </c>
      <c r="DB47" s="2489">
        <f>SUM(CW47*DB50)</f>
        <v>0</v>
      </c>
      <c r="DC47" s="2489">
        <f>SUM(CW47*DC50)</f>
        <v>0.4006160955782509</v>
      </c>
      <c r="DD47" s="4080">
        <f t="shared" si="60"/>
        <v>9.1047261296072239</v>
      </c>
      <c r="DE47" s="4080">
        <f t="shared" si="61"/>
        <v>5.8954460797717889</v>
      </c>
      <c r="DF47" s="2489">
        <f t="shared" si="105"/>
        <v>23.686820000000001</v>
      </c>
      <c r="DG47" s="2489">
        <v>13.340450000000001</v>
      </c>
      <c r="DH47" s="2493">
        <v>3.13E-3</v>
      </c>
      <c r="DI47" s="2489">
        <v>9.6836400000000005</v>
      </c>
      <c r="DJ47" s="2489">
        <v>2.9909999999999999E-2</v>
      </c>
      <c r="DK47" s="2489">
        <v>0</v>
      </c>
      <c r="DL47" s="2493">
        <v>0.62968999999999997</v>
      </c>
      <c r="DM47" s="2489">
        <f t="shared" si="106"/>
        <v>35.445570000000004</v>
      </c>
      <c r="DN47" s="2489">
        <v>19.93479</v>
      </c>
      <c r="DO47" s="2493">
        <v>6.5300000000000002E-3</v>
      </c>
      <c r="DP47" s="2489">
        <v>14.62846</v>
      </c>
      <c r="DQ47" s="2489">
        <v>4.4929999999999998E-2</v>
      </c>
      <c r="DR47" s="2489">
        <v>0</v>
      </c>
      <c r="DS47" s="2489">
        <v>0.83086000000000004</v>
      </c>
      <c r="DT47" s="3999">
        <f t="shared" si="102"/>
        <v>15.061999999999999</v>
      </c>
      <c r="DU47" s="4002">
        <v>8.82</v>
      </c>
      <c r="DV47" s="4001">
        <v>3.0000000000000001E-3</v>
      </c>
      <c r="DW47" s="3999">
        <v>5.85</v>
      </c>
      <c r="DX47" s="3999">
        <v>2.4E-2</v>
      </c>
      <c r="DY47" s="3999">
        <v>0</v>
      </c>
      <c r="DZ47" s="3999">
        <v>0.36499999999999999</v>
      </c>
      <c r="EA47" s="2698" t="s">
        <v>2114</v>
      </c>
    </row>
    <row r="48" spans="1:132" ht="58.5" customHeight="1" x14ac:dyDescent="0.2">
      <c r="A48" s="3519" t="s">
        <v>644</v>
      </c>
      <c r="B48" s="3380"/>
      <c r="C48" s="3380"/>
      <c r="D48" s="2158"/>
      <c r="E48" s="3380"/>
      <c r="F48" s="2158"/>
      <c r="G48" s="2159"/>
      <c r="H48" s="2158"/>
      <c r="I48" s="2160"/>
      <c r="J48" s="2160"/>
      <c r="K48" s="2160"/>
      <c r="L48" s="2160"/>
      <c r="M48" s="2164"/>
      <c r="N48" s="2160"/>
      <c r="O48" s="2160"/>
      <c r="P48" s="2160"/>
      <c r="Q48" s="2160"/>
      <c r="R48" s="2160"/>
      <c r="S48" s="2159"/>
      <c r="T48" s="2162"/>
      <c r="U48" s="2163"/>
      <c r="V48" s="2163"/>
      <c r="W48" s="2163"/>
      <c r="X48" s="2163"/>
      <c r="Y48" s="2163"/>
      <c r="Z48" s="2163"/>
      <c r="AA48" s="2163">
        <v>1148.98</v>
      </c>
      <c r="AB48" s="2160"/>
      <c r="AC48" s="2159"/>
      <c r="AD48" s="2163"/>
      <c r="AE48" s="2163"/>
      <c r="AF48" s="3518"/>
      <c r="AG48" s="3518"/>
      <c r="AH48" s="2163">
        <v>270</v>
      </c>
      <c r="AI48" s="2163">
        <v>405</v>
      </c>
      <c r="AJ48" s="2159">
        <v>249</v>
      </c>
      <c r="AK48" s="2163">
        <f>AJ48*AI56</f>
        <v>148.404</v>
      </c>
      <c r="AL48" s="2163">
        <f>AJ48*AI57</f>
        <v>100.596</v>
      </c>
      <c r="AM48" s="3518"/>
      <c r="AN48" s="3518"/>
      <c r="AO48" s="2615">
        <f>'налог на имущ'!E15</f>
        <v>65.63542333333335</v>
      </c>
      <c r="AP48" s="2163">
        <f t="shared" si="72"/>
        <v>35.715842662425523</v>
      </c>
      <c r="AQ48" s="2163">
        <f t="shared" si="73"/>
        <v>29.56587810088082</v>
      </c>
      <c r="AR48" s="2163">
        <f t="shared" si="5"/>
        <v>0</v>
      </c>
      <c r="AS48" s="2163">
        <v>0</v>
      </c>
      <c r="AT48" s="2163">
        <v>0</v>
      </c>
      <c r="AU48" s="2163">
        <f t="shared" si="6"/>
        <v>143.71559999999999</v>
      </c>
      <c r="AV48" s="2163">
        <f>24.57627+58.77878</f>
        <v>83.355050000000006</v>
      </c>
      <c r="AW48" s="2163">
        <f>17.79661+42.56394</f>
        <v>60.360550000000003</v>
      </c>
      <c r="AX48" s="2163">
        <f t="shared" ref="AX48" si="108">AY48+AZ48</f>
        <v>71.64500000000001</v>
      </c>
      <c r="AY48" s="2163">
        <v>42.27</v>
      </c>
      <c r="AZ48" s="2163">
        <v>29.375</v>
      </c>
      <c r="BA48" s="2163">
        <f t="shared" si="53"/>
        <v>285.01938000000001</v>
      </c>
      <c r="BB48" s="2163">
        <f>135.081+35.912-4.98</f>
        <v>166.01300000000001</v>
      </c>
      <c r="BC48" s="2667">
        <v>4.3800000000000002E-3</v>
      </c>
      <c r="BD48" s="2163">
        <f>94.113+24.088</f>
        <v>118.20099999999999</v>
      </c>
      <c r="BE48" s="2667">
        <v>3.3000000000000002E-2</v>
      </c>
      <c r="BF48" s="2667">
        <v>0.318</v>
      </c>
      <c r="BG48" s="2163">
        <v>0.45</v>
      </c>
      <c r="BH48" s="2163">
        <f t="shared" si="9"/>
        <v>161.63</v>
      </c>
      <c r="BI48" s="2163">
        <v>93.92</v>
      </c>
      <c r="BJ48" s="2163">
        <v>67.709999999999994</v>
      </c>
      <c r="BK48" s="2163">
        <f>AU48*1.027*1.046</f>
        <v>154.38533357520001</v>
      </c>
      <c r="BL48" s="2163">
        <f t="shared" si="74"/>
        <v>89.745001913046494</v>
      </c>
      <c r="BM48" s="2163">
        <f t="shared" si="75"/>
        <v>58.111228407724383</v>
      </c>
      <c r="BN48" s="2163">
        <f t="shared" si="76"/>
        <v>6.1600320426731274</v>
      </c>
      <c r="BO48" s="2163">
        <f t="shared" si="77"/>
        <v>0.36907121175599494</v>
      </c>
      <c r="BP48" s="2163">
        <f>SUM(BA48*1.046)</f>
        <v>298.13027148000003</v>
      </c>
      <c r="BQ48" s="2163">
        <f>SUM(BP48*BB50)</f>
        <v>175.3911379695935</v>
      </c>
      <c r="BR48" s="3521">
        <f>SUM(BP48*BC50)</f>
        <v>7.9328648574675097E-3</v>
      </c>
      <c r="BS48" s="2163">
        <f>SUM(BP48*BD50)</f>
        <v>121.24157238045179</v>
      </c>
      <c r="BT48" s="2612">
        <f>SUM(BP48*BE50)</f>
        <v>6.0121159344943109E-2</v>
      </c>
      <c r="BU48" s="2612">
        <f>SUM(BP48*BF50)</f>
        <v>0.61880523674407806</v>
      </c>
      <c r="BV48" s="2612">
        <f>SUM(BP48*BG50)</f>
        <v>0.81070186900828289</v>
      </c>
      <c r="BW48" s="2163">
        <f t="shared" si="55"/>
        <v>157.42672464663147</v>
      </c>
      <c r="BX48" s="2163">
        <f t="shared" si="78"/>
        <v>91.512978450733513</v>
      </c>
      <c r="BY48" s="2163">
        <f t="shared" si="79"/>
        <v>59.256019607356563</v>
      </c>
      <c r="BZ48" s="2163">
        <f t="shared" si="80"/>
        <v>6.2813846739137889</v>
      </c>
      <c r="CA48" s="2163">
        <f t="shared" si="81"/>
        <v>0.37634191462758809</v>
      </c>
      <c r="CB48" s="2163">
        <f t="shared" si="103"/>
        <v>90</v>
      </c>
      <c r="CC48" s="2163">
        <v>52.45</v>
      </c>
      <c r="CD48" s="2163">
        <v>0.02</v>
      </c>
      <c r="CE48" s="2163">
        <v>35.81</v>
      </c>
      <c r="CF48" s="2163">
        <v>0.11</v>
      </c>
      <c r="CG48" s="2163">
        <v>0</v>
      </c>
      <c r="CH48" s="2612">
        <v>1.61</v>
      </c>
      <c r="CI48" s="2163">
        <f t="shared" si="104"/>
        <v>134.99999999999997</v>
      </c>
      <c r="CJ48" s="2163">
        <v>79.249799999999993</v>
      </c>
      <c r="CK48" s="2163">
        <v>2.316E-2</v>
      </c>
      <c r="CL48" s="2163">
        <v>52.8459</v>
      </c>
      <c r="CM48" s="2163">
        <v>0.14834</v>
      </c>
      <c r="CN48" s="2163">
        <v>0</v>
      </c>
      <c r="CO48" s="2163">
        <v>2.7328000000000001</v>
      </c>
      <c r="CP48" s="2163">
        <f t="shared" si="99"/>
        <v>178.76499999999999</v>
      </c>
      <c r="CQ48" s="2163">
        <v>104.59</v>
      </c>
      <c r="CR48" s="2163">
        <v>0.03</v>
      </c>
      <c r="CS48" s="2163">
        <v>69.39</v>
      </c>
      <c r="CT48" s="2163">
        <v>0.2</v>
      </c>
      <c r="CU48" s="2163">
        <v>0</v>
      </c>
      <c r="CV48" s="2163">
        <v>4.5549999999999997</v>
      </c>
      <c r="CW48" s="2489">
        <f t="shared" si="59"/>
        <v>185.11830810000001</v>
      </c>
      <c r="CX48" s="2489">
        <f>SUM(CW48*CX50)</f>
        <v>108.32594640634029</v>
      </c>
      <c r="CY48" s="2489">
        <f>SUM(CW48*CY50)</f>
        <v>3.0173886063382727E-2</v>
      </c>
      <c r="CZ48" s="2489">
        <f>SUM(CW48*CZ50)</f>
        <v>71.799722519220168</v>
      </c>
      <c r="DA48" s="2489">
        <f>SUM(CW48*DA50)</f>
        <v>0.20770919183877226</v>
      </c>
      <c r="DB48" s="2489">
        <f>SUM(CW48*DB50)</f>
        <v>0</v>
      </c>
      <c r="DC48" s="2489">
        <f>SUM(CW48*DC50)</f>
        <v>4.7547560965373812</v>
      </c>
      <c r="DD48" s="4080">
        <v>90.28</v>
      </c>
      <c r="DE48" s="4080">
        <f t="shared" si="61"/>
        <v>60.893354326691295</v>
      </c>
      <c r="DF48" s="2489">
        <f t="shared" si="105"/>
        <v>101.77455</v>
      </c>
      <c r="DG48" s="2489">
        <f>57.55099+0.207</f>
        <v>57.757989999999999</v>
      </c>
      <c r="DH48" s="2489">
        <f>0.01411+0.0004</f>
        <v>1.4509999999999999E-2</v>
      </c>
      <c r="DI48" s="2489">
        <f>40.79725+0.14086</f>
        <v>40.938110000000002</v>
      </c>
      <c r="DJ48" s="2489">
        <f>0.11679+0.00036</f>
        <v>0.11715</v>
      </c>
      <c r="DK48" s="2489">
        <v>0</v>
      </c>
      <c r="DL48" s="3975">
        <f>2.93662+0.01017</f>
        <v>2.94679</v>
      </c>
      <c r="DM48" s="2489">
        <f t="shared" si="106"/>
        <v>308.19286</v>
      </c>
      <c r="DN48" s="2489">
        <f>104.10744+72.62049</f>
        <v>176.72793000000001</v>
      </c>
      <c r="DO48" s="2489">
        <f>0.02624+0.01791</f>
        <v>4.4149999999999995E-2</v>
      </c>
      <c r="DP48" s="2489">
        <f>66.90261+50.48023</f>
        <v>117.38283999999999</v>
      </c>
      <c r="DQ48" s="2489">
        <f>0.32282+0.16356</f>
        <v>0.48638000000000003</v>
      </c>
      <c r="DR48" s="2489">
        <v>0</v>
      </c>
      <c r="DS48" s="2489">
        <f>9.27167+4.27989</f>
        <v>13.55156</v>
      </c>
      <c r="DT48" s="3999">
        <f t="shared" si="102"/>
        <v>178.76499999999999</v>
      </c>
      <c r="DU48" s="3999">
        <v>104.59</v>
      </c>
      <c r="DV48" s="3999">
        <v>0.03</v>
      </c>
      <c r="DW48" s="3999">
        <v>69.39</v>
      </c>
      <c r="DX48" s="3999">
        <v>0.2</v>
      </c>
      <c r="DY48" s="3999">
        <v>0</v>
      </c>
      <c r="DZ48" s="3999">
        <v>4.5549999999999997</v>
      </c>
      <c r="EA48" s="2699" t="s">
        <v>1923</v>
      </c>
      <c r="EB48" s="1365" t="s">
        <v>241</v>
      </c>
    </row>
    <row r="49" spans="1:132" ht="29.25" customHeight="1" x14ac:dyDescent="0.2">
      <c r="A49" s="3525" t="s">
        <v>12</v>
      </c>
      <c r="B49" s="2169">
        <f>SUM(B8:B47)</f>
        <v>15838.700000000003</v>
      </c>
      <c r="C49" s="2169">
        <f>SUM(C8:C39)</f>
        <v>17072.899999999991</v>
      </c>
      <c r="D49" s="2158">
        <f>C49/B49*100</f>
        <v>107.79230618674505</v>
      </c>
      <c r="E49" s="2169">
        <f>SUM(E8:E47)</f>
        <v>17239.899999999998</v>
      </c>
      <c r="F49" s="2169">
        <f>SUM(F8:F47)</f>
        <v>3153.2029134533927</v>
      </c>
      <c r="G49" s="2169">
        <f>SUM(G8:G47)</f>
        <v>19008.899999999998</v>
      </c>
      <c r="H49" s="2158">
        <f>G49/E49*100</f>
        <v>110.26108040069838</v>
      </c>
      <c r="I49" s="2170">
        <f>SUM(I8:I47)</f>
        <v>19197.563600000001</v>
      </c>
      <c r="J49" s="2170">
        <f>SUM(J8:J47)</f>
        <v>14908.387233621954</v>
      </c>
      <c r="K49" s="2170">
        <f>SUM(K8:K47)</f>
        <v>21840.935330518507</v>
      </c>
      <c r="L49" s="2170">
        <f>SUM(L16:L47)+L8+L9+L10+L11</f>
        <v>20861.2</v>
      </c>
      <c r="M49" s="2164">
        <f>K49/G49*100</f>
        <v>114.89847035082781</v>
      </c>
      <c r="N49" s="2170">
        <f t="shared" ref="N49:S49" si="109">SUM(N16:N47)+N8+N9+N10+N11</f>
        <v>20289.383040266664</v>
      </c>
      <c r="O49" s="2170">
        <f t="shared" si="109"/>
        <v>12076.8</v>
      </c>
      <c r="P49" s="2170">
        <f t="shared" si="109"/>
        <v>18454.919624999999</v>
      </c>
      <c r="Q49" s="2170">
        <f t="shared" si="109"/>
        <v>24513</v>
      </c>
      <c r="R49" s="2170">
        <f t="shared" si="109"/>
        <v>26753.66</v>
      </c>
      <c r="S49" s="2170">
        <f t="shared" si="109"/>
        <v>21065.913023511166</v>
      </c>
      <c r="T49" s="2171">
        <f>S49/N49</f>
        <v>1.0382727252821531</v>
      </c>
      <c r="U49" s="2172" t="e">
        <f t="shared" ref="U49:Z49" si="110">SUM(U8:U47)-U12-U14-U13</f>
        <v>#REF!</v>
      </c>
      <c r="V49" s="2172" t="e">
        <f t="shared" si="110"/>
        <v>#REF!</v>
      </c>
      <c r="W49" s="2172">
        <f t="shared" si="110"/>
        <v>12028.195370042011</v>
      </c>
      <c r="X49" s="2172">
        <f t="shared" si="110"/>
        <v>8543.374801814467</v>
      </c>
      <c r="Y49" s="2172">
        <f t="shared" si="110"/>
        <v>11845.489999999998</v>
      </c>
      <c r="Z49" s="2172">
        <f t="shared" si="110"/>
        <v>17311.179999999993</v>
      </c>
      <c r="AA49" s="2172">
        <f>SUM(AA8:AA48)-AA12-AA14-AA13</f>
        <v>23798.809999999998</v>
      </c>
      <c r="AB49" s="2170">
        <f>SUM(AB16:AB47)+AB8+AB9+AB10+AB11</f>
        <v>24794.63</v>
      </c>
      <c r="AC49" s="2170">
        <f>SUM(AC16:AC47)+AC8+AC9+AC10+AC11</f>
        <v>22083.255095023407</v>
      </c>
      <c r="AD49" s="2170">
        <f>SUM(AD16:AD47)+AD8+AD9+AD10+AD11</f>
        <v>13073.01213648671</v>
      </c>
      <c r="AE49" s="2170">
        <f>SUM(AE16:AE47)+AE8+AE9+AE10+AE11</f>
        <v>8833.3841337506801</v>
      </c>
      <c r="AF49" s="3518">
        <f>AD49/W49</f>
        <v>1.0868639670625047</v>
      </c>
      <c r="AG49" s="3518">
        <f>AE49/X49</f>
        <v>1.0339455237144248</v>
      </c>
      <c r="AH49" s="2170">
        <f>SUM(AH8:AH48)-AH12-AH14-AH13</f>
        <v>11015.409999999982</v>
      </c>
      <c r="AI49" s="2173">
        <f>SUM(AI8:AI48)-AI12-AI14-AI13</f>
        <v>16483.249999999993</v>
      </c>
      <c r="AJ49" s="2170">
        <f>SUM(AJ16:AJ48)+AJ8+AJ9+AJ10+AJ11</f>
        <v>27535.565710230981</v>
      </c>
      <c r="AK49" s="2170">
        <f>SUM(AK16:AK48)+AK8+AK9+AK10+AK11</f>
        <v>16411.197163297664</v>
      </c>
      <c r="AL49" s="2170">
        <f>SUM(AL16:AL48)+AL8+AL9+AL10+AL11</f>
        <v>11124.368546933318</v>
      </c>
      <c r="AM49" s="3518">
        <f>AK49/AD49</f>
        <v>1.255349340454913</v>
      </c>
      <c r="AN49" s="3518">
        <f>AL49/AE49</f>
        <v>1.2593552344711494</v>
      </c>
      <c r="AO49" s="2217">
        <f>SUM(AO16:AO47)+AO8+AO9+AO10+AO11</f>
        <v>23744.037959511399</v>
      </c>
      <c r="AP49" s="2170">
        <f>SUM(AP16:AP48)+AP8+AP9+AP10+AP11</f>
        <v>12956.15241280163</v>
      </c>
      <c r="AQ49" s="2170">
        <f>SUM(AQ16:AQ48)+AQ8+AQ9+AQ10+AQ11</f>
        <v>10725.213080197605</v>
      </c>
      <c r="AR49" s="2170">
        <f>SUM(AR16:AR48)+AR8+AR9+AR10+AR11</f>
        <v>20547.690000000002</v>
      </c>
      <c r="AS49" s="2170">
        <f>SUM(AS16:AS48)+AS8+AS9+AS10+AS11</f>
        <v>12134.94</v>
      </c>
      <c r="AT49" s="2170">
        <f>SUM(AT16:AT48)+AT8+AT9+AT10+AT11</f>
        <v>8412.75</v>
      </c>
      <c r="AU49" s="2170">
        <f t="shared" ref="AU49:BD49" si="111">SUM(AU15:AU48)+AU8+AU9+AU10+AU11</f>
        <v>23322.355029999999</v>
      </c>
      <c r="AV49" s="2170">
        <f t="shared" si="111"/>
        <v>13525.249959999999</v>
      </c>
      <c r="AW49" s="2170">
        <f t="shared" si="111"/>
        <v>9797.1050800000012</v>
      </c>
      <c r="AX49" s="2170">
        <f t="shared" si="111"/>
        <v>25958.665000000001</v>
      </c>
      <c r="AY49" s="2170">
        <f t="shared" si="111"/>
        <v>15353.419999999998</v>
      </c>
      <c r="AZ49" s="2170">
        <f t="shared" si="111"/>
        <v>10605.244999999999</v>
      </c>
      <c r="BA49" s="2216">
        <f t="shared" si="111"/>
        <v>25404.454069999996</v>
      </c>
      <c r="BB49" s="2216">
        <f t="shared" si="111"/>
        <v>14945.534</v>
      </c>
      <c r="BC49" s="2216">
        <f t="shared" si="111"/>
        <v>0.67598000000000003</v>
      </c>
      <c r="BD49" s="2216">
        <f t="shared" si="111"/>
        <v>10331.308999999999</v>
      </c>
      <c r="BE49" s="2216">
        <f t="shared" ref="BE49:BG49" si="112">SUM(BE15:BE48)+BE8+BE9+BE10+BE11</f>
        <v>5.123079999999999</v>
      </c>
      <c r="BF49" s="2216">
        <f t="shared" si="112"/>
        <v>52.730000000000004</v>
      </c>
      <c r="BG49" s="2216">
        <f t="shared" si="112"/>
        <v>69.082009999999997</v>
      </c>
      <c r="BH49" s="2170">
        <f t="shared" ref="BH49:BO49" si="113">SUM(BH16:BH48)+BH8+BH9+BH10+BH11</f>
        <v>31672.924338638157</v>
      </c>
      <c r="BI49" s="2170">
        <f t="shared" si="113"/>
        <v>18399.764338638161</v>
      </c>
      <c r="BJ49" s="2170">
        <f t="shared" si="113"/>
        <v>13273.16</v>
      </c>
      <c r="BK49" s="2170">
        <f t="shared" si="113"/>
        <v>25972.808458062747</v>
      </c>
      <c r="BL49" s="2170">
        <f t="shared" si="113"/>
        <v>15098.129406318585</v>
      </c>
      <c r="BM49" s="2170">
        <f t="shared" si="113"/>
        <v>9776.2641680039196</v>
      </c>
      <c r="BN49" s="2170">
        <f t="shared" si="113"/>
        <v>1036.3246859971096</v>
      </c>
      <c r="BO49" s="2170">
        <f t="shared" si="113"/>
        <v>62.090197743132059</v>
      </c>
      <c r="BP49" s="2216">
        <f>SUM(BP15:BP48)+BP8+BP9+BP10+BP11</f>
        <v>30196.376149128435</v>
      </c>
      <c r="BQ49" s="2216">
        <f>SUM(BQ15:BQ48)+BQ8+BQ9+BQ10+BQ11</f>
        <v>17096.328834818723</v>
      </c>
      <c r="BR49" s="2216">
        <f>SUM(BR15:BR48)+BR8+BR9+BR10+BR11</f>
        <v>43.500504261752617</v>
      </c>
      <c r="BS49" s="2216">
        <f>SUM(BS15:BS48)+BS8+BS9+BS10+BS11</f>
        <v>12112.235843928804</v>
      </c>
      <c r="BT49" s="2216">
        <f t="shared" ref="BT49" si="114">SUM(BT15:BT48)+BT8+BT9+BT10+BT11</f>
        <v>261.29178412219426</v>
      </c>
      <c r="BU49" s="2216">
        <f t="shared" ref="BU49" si="115">SUM(BU15:BU48)+BU8+BU9+BU10+BU11</f>
        <v>620.90847867079378</v>
      </c>
      <c r="BV49" s="2216">
        <f t="shared" ref="BV49" si="116">SUM(BV15:BV48)+BV8+BV9+BV10+BV11</f>
        <v>62.110703326164341</v>
      </c>
      <c r="BW49" s="2170">
        <f t="shared" ref="BW49:CA49" si="117">SUM(BW16:BW48)+BW8+BW9+BW10+BW11</f>
        <v>26484.472784686586</v>
      </c>
      <c r="BX49" s="2170">
        <f t="shared" si="117"/>
        <v>15395.562555623063</v>
      </c>
      <c r="BY49" s="2170">
        <f t="shared" si="117"/>
        <v>9968.8565721135965</v>
      </c>
      <c r="BZ49" s="2170">
        <f t="shared" si="117"/>
        <v>1056.7402823112525</v>
      </c>
      <c r="CA49" s="2170">
        <f t="shared" si="117"/>
        <v>63.31337463867176</v>
      </c>
      <c r="CB49" s="2216">
        <f>SUM(CB15:CB48)+CB8+CB9+CB10+CB11</f>
        <v>13058.727759999998</v>
      </c>
      <c r="CC49" s="2216">
        <f>SUM(CC15:CC48)+CC8+CC9+CC10+CC11</f>
        <v>7611.0199999999995</v>
      </c>
      <c r="CD49" s="2216">
        <f>SUM(CD15:CD48)+CD8+CD9+CD10+CD11</f>
        <v>2.2497600000000002</v>
      </c>
      <c r="CE49" s="2216">
        <f>SUM(CE15:CE48)+CE8+CE9+CE10+CE11</f>
        <v>5195.26</v>
      </c>
      <c r="CF49" s="2216">
        <f t="shared" ref="CF49" si="118">SUM(CF15:CF48)+CF8+CF9+CF10+CF11</f>
        <v>16.588000000000001</v>
      </c>
      <c r="CG49" s="2216">
        <f t="shared" ref="CG49" si="119">SUM(CG15:CG48)+CG8+CG9+CG10+CG11</f>
        <v>0</v>
      </c>
      <c r="CH49" s="2216">
        <f t="shared" ref="CH49" si="120">SUM(CH15:CH48)+CH8+CH9+CH10+CH11</f>
        <v>233.61</v>
      </c>
      <c r="CI49" s="2216">
        <f>SUM(CI15:CI48)+CI8+CI9+CI10+CI11</f>
        <v>19648.838599999999</v>
      </c>
      <c r="CJ49" s="2216">
        <f>SUM(CJ15:CJ48)+CJ8+CJ9+CJ10+CJ11</f>
        <v>11534.559440000001</v>
      </c>
      <c r="CK49" s="2216">
        <f>SUM(CK15:CK48)+CK8+CK9+CK10+CK11</f>
        <v>3.3668</v>
      </c>
      <c r="CL49" s="2216">
        <f>SUM(CL15:CL48)+CL8+CL9+CL10+CL11</f>
        <v>7685.5966600000011</v>
      </c>
      <c r="CM49" s="2216">
        <f t="shared" ref="CM49" si="121">SUM(CM15:CM48)+CM8+CM9+CM10+CM11</f>
        <v>21.458150000000003</v>
      </c>
      <c r="CN49" s="2216">
        <f t="shared" ref="CN49" si="122">SUM(CN15:CN48)+CN8+CN9+CN10+CN11</f>
        <v>6.6812199999999997</v>
      </c>
      <c r="CO49" s="2216">
        <f t="shared" ref="CO49" si="123">SUM(CO15:CO48)+CO8+CO9+CO10+CO11</f>
        <v>397.17633000000001</v>
      </c>
      <c r="CP49" s="2216">
        <f>SUM(CP15:CP48)+CP8+CP9+CP10+CP11</f>
        <v>26313.844150000001</v>
      </c>
      <c r="CQ49" s="2216">
        <f>SUM(CQ15:CQ48)+CQ8+CQ9+CQ10+CQ11</f>
        <v>15398.109999999999</v>
      </c>
      <c r="CR49" s="2216">
        <f>SUM(CR15:CR48)+CR8+CR9+CR10+CR11</f>
        <v>4.2891000000000004</v>
      </c>
      <c r="CS49" s="2216">
        <f>SUM(CS15:CS48)+CS8+CS9+CS10+CS11</f>
        <v>10206.049999999999</v>
      </c>
      <c r="CT49" s="2216">
        <f t="shared" ref="CT49" si="124">SUM(CT15:CT48)+CT8+CT9+CT10+CT11</f>
        <v>29.52505</v>
      </c>
      <c r="CU49" s="2216">
        <f t="shared" ref="CU49" si="125">SUM(CU15:CU48)+CU8+CU9+CU10+CU11</f>
        <v>0</v>
      </c>
      <c r="CV49" s="2216">
        <f t="shared" ref="CV49" si="126">SUM(CV15:CV48)+CV8+CV9+CV10+CV11</f>
        <v>675.87</v>
      </c>
      <c r="CW49" s="2494">
        <f>SUM(CW15:CW48)+CW8+CW9+CW10+CW11</f>
        <v>28817.429024554516</v>
      </c>
      <c r="CX49" s="2494">
        <f>SUM(CX15:CX48)+CX8+CX9+CX10+CX11</f>
        <v>16863.919566479821</v>
      </c>
      <c r="CY49" s="2494">
        <f>SUM(CY15:CY48)+CY8+CY9+CY10+CY11</f>
        <v>4.7101585021076158</v>
      </c>
      <c r="CZ49" s="2494">
        <f>SUM(CZ15:CZ48)+CZ8+CZ9+CZ10+CZ11</f>
        <v>11172.868878785355</v>
      </c>
      <c r="DA49" s="2494">
        <f t="shared" ref="DA49" si="127">SUM(DA15:DA48)+DA8+DA9+DA10+DA11</f>
        <v>32.341298888451682</v>
      </c>
      <c r="DB49" s="2494">
        <f t="shared" ref="DB49" si="128">SUM(DB15:DB48)+DB8+DB9+DB10+DB11</f>
        <v>0</v>
      </c>
      <c r="DC49" s="2494">
        <f t="shared" ref="DC49" si="129">SUM(DC15:DC48)+DC8+DC9+DC10+DC11</f>
        <v>743.58912189878379</v>
      </c>
      <c r="DD49" s="4126">
        <f t="shared" ref="DD49:DI49" si="130">SUM(DD15:DD48)+DD8+DD9+DD10+DD11</f>
        <v>15010.218832495006</v>
      </c>
      <c r="DE49" s="4126">
        <f t="shared" si="130"/>
        <v>10596.696266752198</v>
      </c>
      <c r="DF49" s="2494">
        <f t="shared" si="130"/>
        <v>11915.736419999999</v>
      </c>
      <c r="DG49" s="2494">
        <f t="shared" si="130"/>
        <v>6764.2136599999994</v>
      </c>
      <c r="DH49" s="2494">
        <f t="shared" si="130"/>
        <v>1.6820900000000001</v>
      </c>
      <c r="DI49" s="2494">
        <f t="shared" si="130"/>
        <v>4794.3121899999996</v>
      </c>
      <c r="DJ49" s="2494">
        <f t="shared" ref="DJ49" si="131">SUM(DJ15:DJ48)+DJ8+DJ9+DJ10+DJ11</f>
        <v>13.099070000000001</v>
      </c>
      <c r="DK49" s="2494">
        <f t="shared" ref="DK49" si="132">SUM(DK15:DK48)+DK8+DK9+DK10+DK11</f>
        <v>0</v>
      </c>
      <c r="DL49" s="2494">
        <f t="shared" ref="DL49" si="133">SUM(DL15:DL48)+DL8+DL9+DL10+DL11</f>
        <v>342.42941000000002</v>
      </c>
      <c r="DM49" s="2494">
        <f>SUM(DM15:DM48)+DM8+DM9+DM10+DM11</f>
        <v>18035.436170000001</v>
      </c>
      <c r="DN49" s="2494">
        <f>SUM(DN15:DN48)+DN8+DN9+DN10+DN11</f>
        <v>10250.386930000001</v>
      </c>
      <c r="DO49" s="2494">
        <f>SUM(DO15:DO48)+DO8+DO9+DO10+DO11</f>
        <v>2.8784299999999998</v>
      </c>
      <c r="DP49" s="2494">
        <f>SUM(DP15:DP48)+DP8+DP9+DP10+DP11</f>
        <v>7247.1235900000001</v>
      </c>
      <c r="DQ49" s="2494">
        <f t="shared" ref="DQ49" si="134">SUM(DQ15:DQ48)+DQ8+DQ9+DQ10+DQ11</f>
        <v>19.732219999999998</v>
      </c>
      <c r="DR49" s="2494">
        <f t="shared" ref="DR49" si="135">SUM(DR15:DR48)+DR8+DR9+DR10+DR11</f>
        <v>0</v>
      </c>
      <c r="DS49" s="2494">
        <f t="shared" ref="DS49" si="136">SUM(DS15:DS48)+DS8+DS9+DS10+DS11</f>
        <v>515.31500000000005</v>
      </c>
      <c r="DT49" s="4004">
        <f>SUM(DT15:DT48)+DT8+DT9+DT10+DT11</f>
        <v>26313.844150000001</v>
      </c>
      <c r="DU49" s="4004">
        <f>SUM(DU15:DU48)+DU8+DU9+DU10+DU11</f>
        <v>15398.109999999999</v>
      </c>
      <c r="DV49" s="4004">
        <f>SUM(DV15:DV48)+DV8+DV9+DV10+DV11</f>
        <v>4.2891000000000004</v>
      </c>
      <c r="DW49" s="4004">
        <f>SUM(DW15:DW48)+DW8+DW9+DW10+DW11</f>
        <v>10206.049999999999</v>
      </c>
      <c r="DX49" s="4004">
        <f t="shared" ref="DX49" si="137">SUM(DX15:DX48)+DX8+DX9+DX10+DX11</f>
        <v>29.52505</v>
      </c>
      <c r="DY49" s="4004">
        <f t="shared" ref="DY49" si="138">SUM(DY15:DY48)+DY8+DY9+DY10+DY11</f>
        <v>0</v>
      </c>
      <c r="DZ49" s="4004">
        <f t="shared" ref="DZ49" si="139">SUM(DZ15:DZ48)+DZ8+DZ9+DZ10+DZ11</f>
        <v>675.87</v>
      </c>
      <c r="EA49" s="2698"/>
    </row>
    <row r="50" spans="1:132" s="2181" customFormat="1" ht="29.25" customHeight="1" x14ac:dyDescent="0.2">
      <c r="A50" s="3526" t="s">
        <v>44</v>
      </c>
      <c r="B50" s="3526"/>
      <c r="C50" s="3526"/>
      <c r="D50" s="3526"/>
      <c r="E50" s="3526"/>
      <c r="F50" s="3526"/>
      <c r="G50" s="3526"/>
      <c r="H50" s="3526"/>
      <c r="I50" s="3526"/>
      <c r="J50" s="3526"/>
      <c r="K50" s="3526"/>
      <c r="L50" s="3526"/>
      <c r="M50" s="3526"/>
      <c r="N50" s="3526"/>
      <c r="O50" s="3526"/>
      <c r="P50" s="3526"/>
      <c r="Q50" s="3526"/>
      <c r="R50" s="3526"/>
      <c r="S50" s="3526"/>
      <c r="T50" s="3526"/>
      <c r="U50" s="3526"/>
      <c r="V50" s="3526"/>
      <c r="W50" s="3526"/>
      <c r="X50" s="3526"/>
      <c r="Y50" s="3526"/>
      <c r="Z50" s="3526"/>
      <c r="AA50" s="3526"/>
      <c r="AB50" s="3526"/>
      <c r="AC50" s="2613">
        <f>AC49/S49</f>
        <v>1.0482932816810175</v>
      </c>
      <c r="AD50" s="2613">
        <f>AD49/W49</f>
        <v>1.0868639670625047</v>
      </c>
      <c r="AE50" s="2613">
        <f>AE49/X49</f>
        <v>1.0339455237144248</v>
      </c>
      <c r="AF50" s="3526"/>
      <c r="AG50" s="3526"/>
      <c r="AH50" s="3526"/>
      <c r="AI50" s="3526"/>
      <c r="AJ50" s="2613">
        <f>SUM(AJ49/AC49)</f>
        <v>1.2468979591888283</v>
      </c>
      <c r="AK50" s="2613">
        <f t="shared" ref="AK50:AL50" si="140">SUM(AK49/AD49)</f>
        <v>1.255349340454913</v>
      </c>
      <c r="AL50" s="2613">
        <f t="shared" si="140"/>
        <v>1.2593552344711494</v>
      </c>
      <c r="AM50" s="3526"/>
      <c r="AN50" s="3526"/>
      <c r="AO50" s="2613">
        <f>AO49/AC49</f>
        <v>1.0752055282313095</v>
      </c>
      <c r="AP50" s="2613">
        <f>AP49/AD49</f>
        <v>0.99106099478337317</v>
      </c>
      <c r="AQ50" s="2613">
        <f>AQ49/AE49</f>
        <v>1.2141680830134634</v>
      </c>
      <c r="AR50" s="2613">
        <f>AS50+AT50</f>
        <v>1</v>
      </c>
      <c r="AS50" s="2613">
        <f>AS49/AR49</f>
        <v>0.59057441493423346</v>
      </c>
      <c r="AT50" s="2613">
        <f>AT49/AR49</f>
        <v>0.40942558506576648</v>
      </c>
      <c r="AU50" s="2668">
        <f t="shared" si="6"/>
        <v>1.0000000004287732</v>
      </c>
      <c r="AV50" s="2613">
        <f>AV49/AU49</f>
        <v>0.57992642435132336</v>
      </c>
      <c r="AW50" s="2613">
        <f>AW49/AU49</f>
        <v>0.42007357607744994</v>
      </c>
      <c r="AX50" s="2668">
        <f t="shared" ref="AX50" si="141">AY50+AZ50</f>
        <v>0.99999999999999978</v>
      </c>
      <c r="AY50" s="2613">
        <f>AY49/AX49</f>
        <v>0.59145645586935991</v>
      </c>
      <c r="AZ50" s="2613">
        <f>AZ49/AX49</f>
        <v>0.40854354413063992</v>
      </c>
      <c r="BA50" s="2668">
        <f>SUM(BB50:BG50)</f>
        <v>1</v>
      </c>
      <c r="BB50" s="2613">
        <f>BB49/BA49</f>
        <v>0.5883036871730738</v>
      </c>
      <c r="BC50" s="2669">
        <f>SUM(BC49/BA49)</f>
        <v>2.6608719799189138E-5</v>
      </c>
      <c r="BD50" s="2613">
        <f>BD49/BA49</f>
        <v>0.40667313580259906</v>
      </c>
      <c r="BE50" s="2613">
        <f>SUM(BE49/BA49)</f>
        <v>2.0166070035922641E-4</v>
      </c>
      <c r="BF50" s="2613">
        <f>SUM(BF49/BA49)</f>
        <v>2.0756202772437699E-3</v>
      </c>
      <c r="BG50" s="2613">
        <f>SUM(BG49/BA49)</f>
        <v>2.7192873269250304E-3</v>
      </c>
      <c r="BH50" s="2668">
        <f t="shared" ref="BH50" si="142">BI50+BJ50</f>
        <v>1</v>
      </c>
      <c r="BI50" s="2613">
        <f>BI49/BH49</f>
        <v>0.5809303915834535</v>
      </c>
      <c r="BJ50" s="2613">
        <f>BJ49/BH49</f>
        <v>0.41906960841654656</v>
      </c>
      <c r="BK50" s="2613">
        <f>BL50+BM50+BN50+BO50</f>
        <v>0.99999999999999989</v>
      </c>
      <c r="BL50" s="2613">
        <f>'распределение ОХР'!E18</f>
        <v>0.58130523045657267</v>
      </c>
      <c r="BM50" s="2613">
        <f>'распределение ОХР'!E19</f>
        <v>0.37640381415776658</v>
      </c>
      <c r="BN50" s="2613">
        <f>'распределение ОХР'!E17</f>
        <v>3.9900370715412671E-2</v>
      </c>
      <c r="BO50" s="2613">
        <f>'распределение ОХР'!E15+'распределение ОХР'!E16</f>
        <v>2.3905846702479867E-3</v>
      </c>
      <c r="BP50" s="2668">
        <f>SUM(BQ50:BV50)</f>
        <v>0.99999999999999989</v>
      </c>
      <c r="BQ50" s="2613">
        <f>BQ49/BP49</f>
        <v>0.56617154159116467</v>
      </c>
      <c r="BR50" s="2669">
        <f>SUM(BR49/BP49)</f>
        <v>1.4405869117181528E-3</v>
      </c>
      <c r="BS50" s="2613">
        <f>BS49/BP49</f>
        <v>0.40111554393517523</v>
      </c>
      <c r="BT50" s="2613">
        <f>SUM(BT49/BP49)</f>
        <v>8.6530841592306756E-3</v>
      </c>
      <c r="BU50" s="2613">
        <f>SUM(BU49/BP49)</f>
        <v>2.0562350780251332E-2</v>
      </c>
      <c r="BV50" s="2613">
        <f>SUM(BV49/BP49)</f>
        <v>2.0568926224598331E-3</v>
      </c>
      <c r="BW50" s="2668">
        <f>SUM(BX50:CA50)</f>
        <v>0.99999999999999989</v>
      </c>
      <c r="BX50" s="2613">
        <f>SUM(BL50)</f>
        <v>0.58130523045657267</v>
      </c>
      <c r="BY50" s="2613">
        <f>SUM(BM50)</f>
        <v>0.37640381415776658</v>
      </c>
      <c r="BZ50" s="2613">
        <f>SUM(BN50)</f>
        <v>3.9900370715412671E-2</v>
      </c>
      <c r="CA50" s="2613">
        <f>SUM(BO50)</f>
        <v>2.3905846702479867E-3</v>
      </c>
      <c r="CB50" s="2668">
        <f>SUM(CC50:CH50)</f>
        <v>1</v>
      </c>
      <c r="CC50" s="2613">
        <f>CC49/CB49</f>
        <v>0.58283013015350593</v>
      </c>
      <c r="CD50" s="2669">
        <f>SUM(CD49/CB49)</f>
        <v>1.7228018236900596E-4</v>
      </c>
      <c r="CE50" s="2613">
        <f>CE49/CB49</f>
        <v>0.3978381428483046</v>
      </c>
      <c r="CF50" s="2613">
        <f>SUM(CF49/CB49)</f>
        <v>1.2702615679615029E-3</v>
      </c>
      <c r="CG50" s="2613">
        <f>SUM(CG49/CB49)</f>
        <v>0</v>
      </c>
      <c r="CH50" s="2613">
        <f>SUM(CH49/CB49)</f>
        <v>1.7889185247859096E-2</v>
      </c>
      <c r="CI50" s="2668">
        <f>SUM(CJ50:CO50)</f>
        <v>1.0000000000000002</v>
      </c>
      <c r="CJ50" s="2613">
        <f>CJ49/CI49</f>
        <v>0.58703517672540717</v>
      </c>
      <c r="CK50" s="2669">
        <f>SUM(CK49/CI49)</f>
        <v>1.7134854983235498E-4</v>
      </c>
      <c r="CL50" s="2613">
        <f>CL49/CI49</f>
        <v>0.39114763047623596</v>
      </c>
      <c r="CM50" s="2613">
        <f>SUM(CM49/CI49)</f>
        <v>1.0920823584962423E-3</v>
      </c>
      <c r="CN50" s="2613">
        <f>SUM(CN49/CI49)</f>
        <v>3.4003129324905749E-4</v>
      </c>
      <c r="CO50" s="2613">
        <f>SUM(CO49/CI49)</f>
        <v>2.0213730596779396E-2</v>
      </c>
      <c r="CP50" s="2668">
        <f>SUM(CQ50:CV50)</f>
        <v>1</v>
      </c>
      <c r="CQ50" s="2613">
        <f>CQ49/CP49</f>
        <v>0.58517143721853349</v>
      </c>
      <c r="CR50" s="2669">
        <f>SUM(CR49/CP49)</f>
        <v>1.6299784917590614E-4</v>
      </c>
      <c r="CS50" s="2613">
        <f>CS49/CP49</f>
        <v>0.38785857139767238</v>
      </c>
      <c r="CT50" s="2613">
        <f>SUM(CT49/CP49)</f>
        <v>1.122034843396304E-3</v>
      </c>
      <c r="CU50" s="2613">
        <f>SUM(CU49/CP49)</f>
        <v>0</v>
      </c>
      <c r="CV50" s="2613">
        <f>SUM(CV49/CP49)</f>
        <v>2.5684958691221858E-2</v>
      </c>
      <c r="CW50" s="2491">
        <f>SUM(CX50:DC50)</f>
        <v>1</v>
      </c>
      <c r="CX50" s="2492">
        <f t="shared" ref="CX50:DC50" si="143">SUM(CQ50)</f>
        <v>0.58517143721853349</v>
      </c>
      <c r="CY50" s="2495">
        <f t="shared" si="143"/>
        <v>1.6299784917590614E-4</v>
      </c>
      <c r="CZ50" s="2492">
        <f t="shared" si="143"/>
        <v>0.38785857139767238</v>
      </c>
      <c r="DA50" s="2492">
        <f t="shared" si="143"/>
        <v>1.122034843396304E-3</v>
      </c>
      <c r="DB50" s="2492">
        <f t="shared" si="143"/>
        <v>0</v>
      </c>
      <c r="DC50" s="2492">
        <f t="shared" si="143"/>
        <v>2.5684958691221858E-2</v>
      </c>
      <c r="DD50" s="4127">
        <f>SUM(DD49/DD62)</f>
        <v>0.58617833402885289</v>
      </c>
      <c r="DE50" s="4127">
        <f>SUM(DE49/DD62)</f>
        <v>0.413821665971147</v>
      </c>
      <c r="DF50" s="2491">
        <f>SUM(DG50:DL50)</f>
        <v>1</v>
      </c>
      <c r="DG50" s="2492">
        <f>DG49/DF49</f>
        <v>0.56767063499714443</v>
      </c>
      <c r="DH50" s="2495">
        <f>SUM(DH49/DF49)</f>
        <v>1.4116542534263276E-4</v>
      </c>
      <c r="DI50" s="2492">
        <f>DI49/DF49</f>
        <v>0.40235131266859625</v>
      </c>
      <c r="DJ50" s="2492">
        <f>SUM(DJ49/DF49)</f>
        <v>1.0993084722832431E-3</v>
      </c>
      <c r="DK50" s="2492">
        <f>SUM(DK49/DF49)</f>
        <v>0</v>
      </c>
      <c r="DL50" s="2492">
        <f>SUM(DL49/DF49)</f>
        <v>2.8737578436633465E-2</v>
      </c>
      <c r="DM50" s="2491">
        <f>SUM(DN50:DS50)</f>
        <v>1</v>
      </c>
      <c r="DN50" s="2492">
        <f>DN49/DM49</f>
        <v>0.56834704929678448</v>
      </c>
      <c r="DO50" s="2495">
        <f>SUM(DO49/DM49)</f>
        <v>1.5959857986622787E-4</v>
      </c>
      <c r="DP50" s="2492">
        <f>DP49/DM49</f>
        <v>0.40182691018334266</v>
      </c>
      <c r="DQ50" s="2492">
        <f>SUM(DQ49/DM49)</f>
        <v>1.0940805541937717E-3</v>
      </c>
      <c r="DR50" s="2492">
        <f>SUM(DR49/DM49)</f>
        <v>0</v>
      </c>
      <c r="DS50" s="2492">
        <f>SUM(DS49/DM49)</f>
        <v>2.8572361385812831E-2</v>
      </c>
      <c r="DT50" s="4005">
        <f>SUM(DU50:DZ50)</f>
        <v>1</v>
      </c>
      <c r="DU50" s="4006">
        <f>DU49/DT49</f>
        <v>0.58517143721853349</v>
      </c>
      <c r="DV50" s="4007">
        <f>SUM(DV49/DT49)</f>
        <v>1.6299784917590614E-4</v>
      </c>
      <c r="DW50" s="4006">
        <f>DW49/DT49</f>
        <v>0.38785857139767238</v>
      </c>
      <c r="DX50" s="4006">
        <f>SUM(DX49/DT49)</f>
        <v>1.122034843396304E-3</v>
      </c>
      <c r="DY50" s="4006">
        <f>SUM(DY49/DT49)</f>
        <v>0</v>
      </c>
      <c r="DZ50" s="4006">
        <f>SUM(DZ49/DT49)</f>
        <v>2.5684958691221858E-2</v>
      </c>
      <c r="EA50" s="2700" t="s">
        <v>2076</v>
      </c>
    </row>
    <row r="51" spans="1:132" ht="27" hidden="1" customHeight="1" x14ac:dyDescent="0.2">
      <c r="A51" s="5209" t="s">
        <v>306</v>
      </c>
      <c r="B51" s="5210"/>
      <c r="C51" s="5210"/>
      <c r="D51" s="5210"/>
      <c r="E51" s="5210"/>
      <c r="F51" s="5210"/>
      <c r="G51" s="5210"/>
      <c r="H51" s="5210"/>
      <c r="I51" s="5210"/>
      <c r="J51" s="5210"/>
      <c r="K51" s="5210"/>
      <c r="L51" s="5210"/>
      <c r="M51" s="5210"/>
      <c r="N51" s="5210"/>
      <c r="O51" s="5210"/>
      <c r="P51" s="5210"/>
      <c r="Q51" s="5210"/>
      <c r="R51" s="5210"/>
      <c r="S51" s="5210"/>
      <c r="T51" s="5210"/>
      <c r="U51" s="5210"/>
      <c r="V51" s="5210"/>
      <c r="W51" s="5210"/>
      <c r="X51" s="5210"/>
      <c r="Y51" s="5210"/>
      <c r="Z51" s="5210"/>
      <c r="AA51" s="5210"/>
      <c r="AB51" s="5210"/>
      <c r="AC51" s="5210"/>
      <c r="AD51" s="5210"/>
      <c r="AE51" s="5210"/>
      <c r="AF51" s="5210"/>
      <c r="AG51" s="5210"/>
      <c r="AH51" s="5210"/>
      <c r="AI51" s="5210"/>
      <c r="AJ51" s="5210"/>
      <c r="AK51" s="2691"/>
      <c r="AL51" s="2691"/>
      <c r="AM51" s="2691"/>
      <c r="AN51" s="2691"/>
      <c r="AO51" s="2705">
        <f>AO49/AC49</f>
        <v>1.0752055282313095</v>
      </c>
      <c r="AP51" s="2706"/>
      <c r="AQ51" s="2706"/>
      <c r="AR51" s="2706"/>
      <c r="AS51" s="2706"/>
      <c r="AT51" s="2706"/>
      <c r="AU51" s="2707"/>
      <c r="AV51" s="2707"/>
      <c r="AW51" s="2707"/>
      <c r="AX51" s="2707"/>
      <c r="AY51" s="2707"/>
      <c r="AZ51" s="2707"/>
      <c r="BA51" s="2707"/>
      <c r="BB51" s="2707"/>
      <c r="BC51" s="2707"/>
      <c r="BD51" s="2707"/>
      <c r="BE51" s="2707"/>
      <c r="BF51" s="2707"/>
      <c r="BG51" s="2707"/>
      <c r="BH51" s="2707"/>
      <c r="BI51" s="2707"/>
      <c r="BJ51" s="2707"/>
      <c r="BK51" s="2707"/>
      <c r="BL51" s="2707"/>
      <c r="BM51" s="2707"/>
      <c r="BN51" s="2707"/>
      <c r="BO51" s="2707"/>
      <c r="BP51" s="2707"/>
      <c r="BQ51" s="2707"/>
      <c r="BR51" s="2707"/>
      <c r="BS51" s="2707"/>
      <c r="BT51" s="2707"/>
      <c r="BU51" s="2707"/>
      <c r="BV51" s="2707"/>
      <c r="BW51" s="2794"/>
      <c r="BX51" s="2794"/>
      <c r="BY51" s="2794"/>
      <c r="BZ51" s="2794"/>
      <c r="CA51" s="2794"/>
      <c r="CB51" s="2708"/>
      <c r="CC51" s="2708"/>
      <c r="CD51" s="2708"/>
      <c r="CE51" s="2708"/>
      <c r="CF51" s="2708"/>
      <c r="CG51" s="2708"/>
      <c r="CH51" s="2708"/>
      <c r="CI51" s="2707"/>
      <c r="CJ51" s="2707"/>
      <c r="CK51" s="2707"/>
      <c r="CL51" s="2707"/>
      <c r="CM51" s="2707"/>
      <c r="CN51" s="2707"/>
      <c r="CO51" s="2707"/>
      <c r="CP51" s="2707"/>
      <c r="CQ51" s="2707"/>
      <c r="CR51" s="2707"/>
      <c r="CS51" s="2707"/>
      <c r="CT51" s="2707"/>
      <c r="CU51" s="2707"/>
      <c r="CV51" s="2709"/>
      <c r="CW51" s="2707"/>
      <c r="CX51" s="2707"/>
      <c r="CY51" s="2707"/>
      <c r="CZ51" s="2707"/>
      <c r="DA51" s="2707"/>
      <c r="DB51" s="2707"/>
      <c r="DC51" s="2707"/>
      <c r="DD51" s="2707"/>
      <c r="DE51" s="2707"/>
      <c r="DF51" s="2707"/>
      <c r="DG51" s="2707"/>
      <c r="DH51" s="2707"/>
      <c r="DI51" s="2707"/>
      <c r="DJ51" s="2707"/>
      <c r="DK51" s="2707"/>
      <c r="DL51" s="2707"/>
      <c r="DM51" s="2707"/>
      <c r="DN51" s="2707"/>
      <c r="DO51" s="2707"/>
      <c r="DP51" s="2707"/>
      <c r="DQ51" s="2707"/>
      <c r="DR51" s="2707"/>
      <c r="DS51" s="2707"/>
      <c r="DT51" s="4008"/>
      <c r="DU51" s="4008"/>
      <c r="DV51" s="4008"/>
      <c r="DW51" s="4008"/>
      <c r="DX51" s="4008"/>
      <c r="DY51" s="4008"/>
      <c r="DZ51" s="4008"/>
      <c r="EA51" s="2175"/>
    </row>
    <row r="52" spans="1:132" ht="38.25" hidden="1" customHeight="1" x14ac:dyDescent="0.2">
      <c r="A52" s="5205" t="s">
        <v>307</v>
      </c>
      <c r="B52" s="5205">
        <v>2008</v>
      </c>
      <c r="C52" s="5205"/>
      <c r="D52" s="5205" t="s">
        <v>66</v>
      </c>
      <c r="E52" s="5205"/>
      <c r="F52" s="2193" t="s">
        <v>66</v>
      </c>
      <c r="G52" s="5205" t="s">
        <v>92</v>
      </c>
      <c r="H52" s="5205"/>
      <c r="I52" s="5195" t="s">
        <v>291</v>
      </c>
      <c r="J52" s="5195"/>
      <c r="K52" s="5195"/>
      <c r="L52" s="5195"/>
      <c r="M52" s="5195"/>
      <c r="N52" s="5195"/>
      <c r="O52" s="5203" t="str">
        <f>N4</f>
        <v>2013 год</v>
      </c>
      <c r="P52" s="5203"/>
      <c r="Q52" s="5203"/>
      <c r="R52" s="5203"/>
      <c r="S52" s="5203"/>
      <c r="T52" s="5203"/>
      <c r="U52" s="5203"/>
      <c r="V52" s="5203"/>
      <c r="W52" s="5203"/>
      <c r="X52" s="5203"/>
      <c r="Y52" s="5204" t="s">
        <v>229</v>
      </c>
      <c r="Z52" s="4739"/>
      <c r="AA52" s="4739"/>
      <c r="AB52" s="4739"/>
      <c r="AC52" s="4739"/>
      <c r="AD52" s="4739"/>
      <c r="AE52" s="5207" t="s">
        <v>364</v>
      </c>
      <c r="AF52" s="5208"/>
      <c r="AG52" s="5208"/>
      <c r="AH52" s="5208"/>
      <c r="AI52" s="5195" t="s">
        <v>646</v>
      </c>
      <c r="AJ52" s="5195"/>
      <c r="AK52" s="5195"/>
      <c r="AL52" s="5195"/>
      <c r="AM52" s="5195"/>
      <c r="AN52" s="2692"/>
      <c r="AO52" s="2194"/>
      <c r="AP52" s="2497"/>
      <c r="AQ52" s="2497"/>
      <c r="AR52" s="2497"/>
      <c r="AS52" s="2497"/>
      <c r="AT52" s="2497"/>
      <c r="AU52" s="2195"/>
      <c r="AV52" s="2195"/>
      <c r="AW52" s="2195"/>
      <c r="AX52" s="2195"/>
      <c r="AY52" s="2195"/>
      <c r="AZ52" s="2195"/>
      <c r="BA52" s="2195"/>
      <c r="BB52" s="2195"/>
      <c r="BC52" s="2195"/>
      <c r="BD52" s="2195"/>
      <c r="BE52" s="2195"/>
      <c r="BF52" s="2195"/>
      <c r="BG52" s="2195"/>
      <c r="BH52" s="2196"/>
      <c r="BI52" s="2195"/>
      <c r="BJ52" s="2195"/>
      <c r="BK52" s="2195"/>
      <c r="BL52" s="2195"/>
      <c r="BM52" s="2195"/>
      <c r="BN52" s="2195"/>
      <c r="BO52" s="2195"/>
      <c r="BP52" s="2195"/>
      <c r="BQ52" s="2195"/>
      <c r="BR52" s="2195"/>
      <c r="BS52" s="2195"/>
      <c r="BT52" s="2195"/>
      <c r="BU52" s="2195"/>
      <c r="BV52" s="2195"/>
      <c r="BW52" s="2795"/>
      <c r="BX52" s="2795"/>
      <c r="BY52" s="2795"/>
      <c r="BZ52" s="2795"/>
      <c r="CA52" s="2795"/>
      <c r="CB52" s="2614"/>
      <c r="CC52" s="2614"/>
      <c r="CD52" s="2614"/>
      <c r="CE52" s="2614"/>
      <c r="CF52" s="2614"/>
      <c r="CG52" s="2614"/>
      <c r="CH52" s="2614"/>
      <c r="CI52" s="2195"/>
      <c r="CJ52" s="2195"/>
      <c r="CK52" s="2195"/>
      <c r="CL52" s="2195"/>
      <c r="CM52" s="2195"/>
      <c r="CN52" s="2195"/>
      <c r="CO52" s="2195"/>
      <c r="CP52" s="2195"/>
      <c r="CQ52" s="2195"/>
      <c r="CR52" s="2195"/>
      <c r="CS52" s="2195"/>
      <c r="CT52" s="2195"/>
      <c r="CU52" s="2195"/>
      <c r="CV52" s="2195"/>
      <c r="CW52" s="2701"/>
      <c r="CX52" s="2701"/>
      <c r="CY52" s="2701"/>
      <c r="CZ52" s="2701"/>
      <c r="DA52" s="2701"/>
      <c r="DB52" s="2701"/>
      <c r="DC52" s="2701"/>
      <c r="DD52" s="2701"/>
      <c r="DE52" s="2701"/>
      <c r="DF52" s="2701"/>
      <c r="DG52" s="2701"/>
      <c r="DH52" s="2701"/>
      <c r="DI52" s="2701"/>
      <c r="DJ52" s="2701"/>
      <c r="DK52" s="2701"/>
      <c r="DL52" s="2701"/>
      <c r="DM52" s="2701"/>
      <c r="DN52" s="2701"/>
      <c r="DO52" s="2701"/>
      <c r="DP52" s="2701"/>
      <c r="DQ52" s="2701"/>
      <c r="DR52" s="2701"/>
      <c r="DS52" s="2701"/>
      <c r="DT52" s="4009"/>
      <c r="DU52" s="4009"/>
      <c r="DV52" s="4009"/>
      <c r="DW52" s="4009"/>
      <c r="DX52" s="4009"/>
      <c r="DY52" s="4009"/>
      <c r="DZ52" s="4009"/>
      <c r="EA52" s="2701"/>
    </row>
    <row r="53" spans="1:132" ht="12.75" hidden="1" customHeight="1" x14ac:dyDescent="0.2">
      <c r="A53" s="5205"/>
      <c r="B53" s="5205"/>
      <c r="C53" s="5205"/>
      <c r="D53" s="5205"/>
      <c r="E53" s="5205"/>
      <c r="F53" s="2193"/>
      <c r="G53" s="5205"/>
      <c r="H53" s="5205"/>
      <c r="I53" s="5194" t="s">
        <v>292</v>
      </c>
      <c r="J53" s="5205" t="s">
        <v>127</v>
      </c>
      <c r="K53" s="5205" t="s">
        <v>308</v>
      </c>
      <c r="L53" s="5205" t="s">
        <v>293</v>
      </c>
      <c r="M53" s="5205"/>
      <c r="N53" s="5205"/>
      <c r="O53" s="5194" t="s">
        <v>292</v>
      </c>
      <c r="P53" s="5194"/>
      <c r="Q53" s="5194" t="s">
        <v>294</v>
      </c>
      <c r="R53" s="5194"/>
      <c r="S53" s="5194" t="s">
        <v>309</v>
      </c>
      <c r="T53" s="5194"/>
      <c r="U53" s="5205" t="s">
        <v>296</v>
      </c>
      <c r="V53" s="5205"/>
      <c r="W53" s="5202" t="s">
        <v>155</v>
      </c>
      <c r="X53" s="5202"/>
      <c r="Y53" s="5194" t="s">
        <v>292</v>
      </c>
      <c r="Z53" s="5194"/>
      <c r="AA53" s="5194" t="s">
        <v>417</v>
      </c>
      <c r="AB53" s="4739"/>
      <c r="AC53" s="5194" t="s">
        <v>643</v>
      </c>
      <c r="AD53" s="4739"/>
      <c r="AE53" s="5194" t="s">
        <v>272</v>
      </c>
      <c r="AF53" s="4739"/>
      <c r="AG53" s="5194" t="s">
        <v>377</v>
      </c>
      <c r="AH53" s="4739"/>
      <c r="AI53" s="5194" t="s">
        <v>272</v>
      </c>
      <c r="AJ53" s="5200"/>
      <c r="AK53" s="5194" t="s">
        <v>377</v>
      </c>
      <c r="AL53" s="5194"/>
      <c r="AM53" s="5194"/>
      <c r="AN53" s="2692"/>
      <c r="AO53" s="2194"/>
      <c r="AP53" s="2195"/>
      <c r="AQ53" s="2195"/>
      <c r="AR53" s="2195"/>
      <c r="AS53" s="2195"/>
      <c r="AT53" s="2195"/>
      <c r="AU53" s="2195"/>
      <c r="AV53" s="2195"/>
      <c r="AW53" s="2195"/>
      <c r="AX53" s="2195"/>
      <c r="AY53" s="2195"/>
      <c r="AZ53" s="2195"/>
      <c r="BA53" s="2195"/>
      <c r="BB53" s="2195"/>
      <c r="BC53" s="2195"/>
      <c r="BD53" s="2195"/>
      <c r="BE53" s="2195"/>
      <c r="BF53" s="2195"/>
      <c r="BG53" s="2195"/>
      <c r="BH53" s="2195"/>
      <c r="BI53" s="2195"/>
      <c r="BJ53" s="2195"/>
      <c r="BK53" s="2195"/>
      <c r="BL53" s="2195"/>
      <c r="BM53" s="2195"/>
      <c r="BN53" s="2195"/>
      <c r="BO53" s="2195"/>
      <c r="BP53" s="2195"/>
      <c r="BQ53" s="2195"/>
      <c r="BR53" s="2195"/>
      <c r="BS53" s="2195"/>
      <c r="BT53" s="2195"/>
      <c r="BU53" s="2195"/>
      <c r="BV53" s="2195"/>
      <c r="BW53" s="2795"/>
      <c r="BX53" s="2795"/>
      <c r="BY53" s="2795"/>
      <c r="BZ53" s="2795"/>
      <c r="CA53" s="2795"/>
      <c r="CB53" s="2614"/>
      <c r="CC53" s="2614"/>
      <c r="CD53" s="2614"/>
      <c r="CE53" s="2614"/>
      <c r="CF53" s="2614"/>
      <c r="CG53" s="2614"/>
      <c r="CH53" s="2614"/>
      <c r="CI53" s="2195"/>
      <c r="CJ53" s="2195"/>
      <c r="CK53" s="2195"/>
      <c r="CL53" s="2195"/>
      <c r="CM53" s="2195"/>
      <c r="CN53" s="2195"/>
      <c r="CO53" s="2195"/>
      <c r="CP53" s="2195"/>
      <c r="CQ53" s="2195"/>
      <c r="CR53" s="2195"/>
      <c r="CS53" s="2195"/>
      <c r="CT53" s="2195"/>
      <c r="CU53" s="2195"/>
      <c r="CV53" s="2195"/>
      <c r="CW53" s="2701"/>
      <c r="CX53" s="2701"/>
      <c r="CY53" s="2701"/>
      <c r="CZ53" s="2701"/>
      <c r="DA53" s="2701"/>
      <c r="DB53" s="2701"/>
      <c r="DC53" s="2701"/>
      <c r="DD53" s="2701"/>
      <c r="DE53" s="2701"/>
      <c r="DF53" s="2701"/>
      <c r="DG53" s="2701"/>
      <c r="DH53" s="2701"/>
      <c r="DI53" s="2701"/>
      <c r="DJ53" s="2701"/>
      <c r="DK53" s="2701"/>
      <c r="DL53" s="2701"/>
      <c r="DM53" s="2701"/>
      <c r="DN53" s="2701"/>
      <c r="DO53" s="2701"/>
      <c r="DP53" s="2701"/>
      <c r="DQ53" s="2701"/>
      <c r="DR53" s="2701"/>
      <c r="DS53" s="2701"/>
      <c r="DT53" s="4009"/>
      <c r="DU53" s="4009"/>
      <c r="DV53" s="4009"/>
      <c r="DW53" s="4009"/>
      <c r="DX53" s="4009"/>
      <c r="DY53" s="4009"/>
      <c r="DZ53" s="4009"/>
      <c r="EA53" s="2701"/>
    </row>
    <row r="54" spans="1:132" ht="15.75" hidden="1" customHeight="1" x14ac:dyDescent="0.2">
      <c r="A54" s="5205"/>
      <c r="B54" s="2690" t="s">
        <v>44</v>
      </c>
      <c r="C54" s="2690" t="s">
        <v>45</v>
      </c>
      <c r="D54" s="5205"/>
      <c r="E54" s="5205"/>
      <c r="F54" s="2690" t="s">
        <v>44</v>
      </c>
      <c r="G54" s="5205"/>
      <c r="H54" s="5205"/>
      <c r="I54" s="5194"/>
      <c r="J54" s="5205"/>
      <c r="K54" s="5205"/>
      <c r="L54" s="5205"/>
      <c r="M54" s="5205"/>
      <c r="N54" s="5205"/>
      <c r="O54" s="5194"/>
      <c r="P54" s="5194"/>
      <c r="Q54" s="5194"/>
      <c r="R54" s="5194"/>
      <c r="S54" s="5194"/>
      <c r="T54" s="5194"/>
      <c r="U54" s="5205"/>
      <c r="V54" s="5205"/>
      <c r="W54" s="5202"/>
      <c r="X54" s="5202"/>
      <c r="Y54" s="5194"/>
      <c r="Z54" s="5194"/>
      <c r="AA54" s="4739"/>
      <c r="AB54" s="4739"/>
      <c r="AC54" s="4739"/>
      <c r="AD54" s="4739"/>
      <c r="AE54" s="4739"/>
      <c r="AF54" s="4739"/>
      <c r="AG54" s="4739"/>
      <c r="AH54" s="4739"/>
      <c r="AI54" s="5200"/>
      <c r="AJ54" s="5200"/>
      <c r="AK54" s="5194"/>
      <c r="AL54" s="5194"/>
      <c r="AM54" s="5194"/>
      <c r="AN54" s="2692"/>
      <c r="AO54" s="2194"/>
      <c r="AP54" s="2197"/>
      <c r="AQ54" s="2197"/>
      <c r="AR54" s="2197"/>
      <c r="AS54" s="2197"/>
      <c r="AT54" s="2197"/>
      <c r="AU54" s="2197"/>
      <c r="AV54" s="2197"/>
      <c r="AW54" s="2197"/>
      <c r="AX54" s="2197"/>
      <c r="AY54" s="2197"/>
      <c r="AZ54" s="2197"/>
      <c r="BA54" s="2197"/>
      <c r="BB54" s="2197"/>
      <c r="BC54" s="2197"/>
      <c r="BD54" s="2197"/>
      <c r="BE54" s="2197"/>
      <c r="BF54" s="2197"/>
      <c r="BG54" s="2197"/>
      <c r="BH54" s="2197"/>
      <c r="BI54" s="2197"/>
      <c r="BJ54" s="2197"/>
      <c r="BK54" s="2197"/>
      <c r="BL54" s="2197"/>
      <c r="BM54" s="2197"/>
      <c r="BN54" s="2197"/>
      <c r="BO54" s="2197"/>
      <c r="BP54" s="2197"/>
      <c r="BQ54" s="2197"/>
      <c r="BR54" s="2197"/>
      <c r="BS54" s="2197"/>
      <c r="BT54" s="2197"/>
      <c r="BU54" s="2197"/>
      <c r="BV54" s="2197"/>
      <c r="BW54" s="2796"/>
      <c r="BX54" s="2796"/>
      <c r="BY54" s="2796"/>
      <c r="BZ54" s="2796"/>
      <c r="CA54" s="2796"/>
      <c r="CB54" s="2198"/>
      <c r="CC54" s="2198"/>
      <c r="CD54" s="2198"/>
      <c r="CE54" s="2198"/>
      <c r="CF54" s="2198"/>
      <c r="CG54" s="2198"/>
      <c r="CH54" s="2198"/>
      <c r="CI54" s="2197"/>
      <c r="CJ54" s="2197"/>
      <c r="CK54" s="2197"/>
      <c r="CL54" s="2197"/>
      <c r="CM54" s="2197"/>
      <c r="CN54" s="2197"/>
      <c r="CO54" s="2197"/>
      <c r="CP54" s="2197"/>
      <c r="CQ54" s="2197"/>
      <c r="CR54" s="2197"/>
      <c r="CS54" s="2197"/>
      <c r="CT54" s="2197"/>
      <c r="CU54" s="2197"/>
      <c r="CV54" s="2197"/>
      <c r="CW54" s="2702"/>
      <c r="CX54" s="2702"/>
      <c r="CY54" s="2702"/>
      <c r="CZ54" s="2702"/>
      <c r="DA54" s="2702"/>
      <c r="DB54" s="2702"/>
      <c r="DC54" s="2702"/>
      <c r="DD54" s="2702"/>
      <c r="DE54" s="2702"/>
      <c r="DF54" s="2702"/>
      <c r="DG54" s="2702"/>
      <c r="DH54" s="2702"/>
      <c r="DI54" s="2702"/>
      <c r="DJ54" s="2702"/>
      <c r="DK54" s="2702"/>
      <c r="DL54" s="2702"/>
      <c r="DM54" s="2702"/>
      <c r="DN54" s="2702"/>
      <c r="DO54" s="2702"/>
      <c r="DP54" s="2702"/>
      <c r="DQ54" s="2702"/>
      <c r="DR54" s="2702"/>
      <c r="DS54" s="2702"/>
      <c r="DT54" s="4010"/>
      <c r="DU54" s="4010"/>
      <c r="DV54" s="4010"/>
      <c r="DW54" s="4010"/>
      <c r="DX54" s="4010"/>
      <c r="DY54" s="4010"/>
      <c r="DZ54" s="4010"/>
      <c r="EA54" s="2701"/>
    </row>
    <row r="55" spans="1:132" ht="12.75" hidden="1" customHeight="1" x14ac:dyDescent="0.2">
      <c r="A55" s="5205"/>
      <c r="B55" s="2690"/>
      <c r="C55" s="2690"/>
      <c r="D55" s="2690"/>
      <c r="E55" s="2690"/>
      <c r="F55" s="2690"/>
      <c r="G55" s="2690"/>
      <c r="H55" s="2690"/>
      <c r="I55" s="5194"/>
      <c r="J55" s="5205"/>
      <c r="K55" s="5205"/>
      <c r="L55" s="2690" t="s">
        <v>44</v>
      </c>
      <c r="M55" s="2193"/>
      <c r="N55" s="2690" t="s">
        <v>45</v>
      </c>
      <c r="O55" s="2692" t="s">
        <v>44</v>
      </c>
      <c r="P55" s="2692" t="s">
        <v>45</v>
      </c>
      <c r="Q55" s="2692" t="s">
        <v>44</v>
      </c>
      <c r="R55" s="2692" t="s">
        <v>45</v>
      </c>
      <c r="S55" s="2692"/>
      <c r="T55" s="2692"/>
      <c r="U55" s="2692" t="s">
        <v>44</v>
      </c>
      <c r="V55" s="2692" t="s">
        <v>45</v>
      </c>
      <c r="W55" s="2692" t="s">
        <v>44</v>
      </c>
      <c r="X55" s="2692" t="s">
        <v>45</v>
      </c>
      <c r="Y55" s="2690" t="s">
        <v>44</v>
      </c>
      <c r="Z55" s="2690" t="s">
        <v>45</v>
      </c>
      <c r="AA55" s="2690" t="s">
        <v>44</v>
      </c>
      <c r="AB55" s="2690" t="s">
        <v>45</v>
      </c>
      <c r="AC55" s="2690" t="s">
        <v>44</v>
      </c>
      <c r="AD55" s="2690" t="s">
        <v>45</v>
      </c>
      <c r="AE55" s="2690" t="s">
        <v>44</v>
      </c>
      <c r="AF55" s="2690" t="s">
        <v>45</v>
      </c>
      <c r="AG55" s="2690" t="s">
        <v>44</v>
      </c>
      <c r="AH55" s="2690" t="s">
        <v>45</v>
      </c>
      <c r="AI55" s="2690" t="s">
        <v>44</v>
      </c>
      <c r="AJ55" s="2690" t="s">
        <v>45</v>
      </c>
      <c r="AK55" s="2690" t="s">
        <v>1455</v>
      </c>
      <c r="AL55" s="2690" t="s">
        <v>44</v>
      </c>
      <c r="AM55" s="2690" t="s">
        <v>45</v>
      </c>
      <c r="AN55" s="2690"/>
      <c r="AO55" s="2198"/>
      <c r="AP55" s="2690"/>
      <c r="AQ55" s="2197"/>
      <c r="AR55" s="2197"/>
      <c r="AS55" s="2197"/>
      <c r="AT55" s="2197"/>
      <c r="AU55" s="2197"/>
      <c r="AV55" s="2197"/>
      <c r="AW55" s="2197"/>
      <c r="AX55" s="2197"/>
      <c r="AY55" s="2197"/>
      <c r="AZ55" s="2197"/>
      <c r="BA55" s="2197"/>
      <c r="BB55" s="2197"/>
      <c r="BC55" s="2197"/>
      <c r="BD55" s="2197"/>
      <c r="BE55" s="2197"/>
      <c r="BF55" s="2197"/>
      <c r="BG55" s="2197"/>
      <c r="BH55" s="2197"/>
      <c r="BI55" s="2197"/>
      <c r="BJ55" s="2197"/>
      <c r="BK55" s="2197"/>
      <c r="BL55" s="2197"/>
      <c r="BM55" s="2197"/>
      <c r="BN55" s="2197"/>
      <c r="BO55" s="2197"/>
      <c r="BP55" s="2197"/>
      <c r="BQ55" s="2197"/>
      <c r="BR55" s="2197"/>
      <c r="BS55" s="2197"/>
      <c r="BT55" s="2197"/>
      <c r="BU55" s="2197"/>
      <c r="BV55" s="2197"/>
      <c r="BW55" s="2796"/>
      <c r="BX55" s="2796"/>
      <c r="BY55" s="2796"/>
      <c r="BZ55" s="2796"/>
      <c r="CA55" s="2796"/>
      <c r="CB55" s="2198"/>
      <c r="CC55" s="2198"/>
      <c r="CD55" s="2198"/>
      <c r="CE55" s="2198"/>
      <c r="CF55" s="2198"/>
      <c r="CG55" s="2198"/>
      <c r="CH55" s="2198"/>
      <c r="CI55" s="2197"/>
      <c r="CJ55" s="2197"/>
      <c r="CK55" s="2197"/>
      <c r="CL55" s="2197"/>
      <c r="CM55" s="2197"/>
      <c r="CN55" s="2197"/>
      <c r="CO55" s="2197"/>
      <c r="CP55" s="2197"/>
      <c r="CQ55" s="2197"/>
      <c r="CR55" s="2197"/>
      <c r="CS55" s="2197"/>
      <c r="CT55" s="2197"/>
      <c r="CU55" s="2197"/>
      <c r="CV55" s="2197"/>
      <c r="CW55" s="2702"/>
      <c r="CX55" s="2702"/>
      <c r="CY55" s="2702"/>
      <c r="CZ55" s="2702"/>
      <c r="DA55" s="2702"/>
      <c r="DB55" s="2702"/>
      <c r="DC55" s="2702"/>
      <c r="DD55" s="2702"/>
      <c r="DE55" s="2702"/>
      <c r="DF55" s="2702"/>
      <c r="DG55" s="2702"/>
      <c r="DH55" s="2702"/>
      <c r="DI55" s="2702"/>
      <c r="DJ55" s="2702"/>
      <c r="DK55" s="2702"/>
      <c r="DL55" s="2702"/>
      <c r="DM55" s="2702"/>
      <c r="DN55" s="2702"/>
      <c r="DO55" s="2702"/>
      <c r="DP55" s="2702"/>
      <c r="DQ55" s="2702"/>
      <c r="DR55" s="2702"/>
      <c r="DS55" s="2702"/>
      <c r="DT55" s="4010"/>
      <c r="DU55" s="4010"/>
      <c r="DV55" s="4010"/>
      <c r="DW55" s="4010"/>
      <c r="DX55" s="4010"/>
      <c r="DY55" s="4010"/>
      <c r="DZ55" s="4010"/>
      <c r="EA55" s="2702"/>
      <c r="EB55" s="590"/>
    </row>
    <row r="56" spans="1:132" ht="15" hidden="1" x14ac:dyDescent="0.2">
      <c r="A56" s="2193" t="s">
        <v>46</v>
      </c>
      <c r="B56" s="2159">
        <f>C56/C60*100</f>
        <v>54.85172394199018</v>
      </c>
      <c r="C56" s="2159">
        <v>8687.7999999999993</v>
      </c>
      <c r="D56" s="2159">
        <v>55.3</v>
      </c>
      <c r="E56" s="2160">
        <v>9716.4</v>
      </c>
      <c r="F56" s="2160">
        <v>56.36</v>
      </c>
      <c r="G56" s="2160">
        <v>10985.6</v>
      </c>
      <c r="H56" s="2159">
        <f>G56/G60*100</f>
        <v>57.791572413067485</v>
      </c>
      <c r="I56" s="2160">
        <v>10819.5</v>
      </c>
      <c r="J56" s="2160">
        <v>8579.1</v>
      </c>
      <c r="K56" s="2159"/>
      <c r="L56" s="2199">
        <f>N56/N60</f>
        <v>0.57561885222326603</v>
      </c>
      <c r="M56" s="2160"/>
      <c r="N56" s="2160">
        <v>12008.1</v>
      </c>
      <c r="O56" s="2200">
        <v>58</v>
      </c>
      <c r="P56" s="2160">
        <f>P60*O56/100</f>
        <v>11767.842163354666</v>
      </c>
      <c r="Q56" s="2201">
        <f>R56/R60</f>
        <v>0.57097906730259662</v>
      </c>
      <c r="R56" s="2160">
        <v>6895.6</v>
      </c>
      <c r="S56" s="2160"/>
      <c r="T56" s="2160"/>
      <c r="U56" s="2199">
        <f>V56/V60</f>
        <v>0.57999859604497617</v>
      </c>
      <c r="V56" s="2160">
        <v>14046</v>
      </c>
      <c r="W56" s="2202">
        <f>X56/X60</f>
        <v>0.56516134296087783</v>
      </c>
      <c r="X56" s="2160">
        <v>13853.8</v>
      </c>
      <c r="Y56" s="2203">
        <f>Q56</f>
        <v>0.57097906730259662</v>
      </c>
      <c r="Z56" s="2160">
        <f>Y56*Z60</f>
        <v>12028.195370042029</v>
      </c>
      <c r="AA56" s="2166">
        <f>SUM(AB56/Y49)</f>
        <v>0.58919301776456701</v>
      </c>
      <c r="AB56" s="2160">
        <v>6979.28</v>
      </c>
      <c r="AC56" s="2204">
        <f>SUM(AD56/AD60)</f>
        <v>0.59696430199661255</v>
      </c>
      <c r="AD56" s="2205">
        <v>14207.04</v>
      </c>
      <c r="AE56" s="2204">
        <f>AF56/AF60</f>
        <v>0.5919991804620871</v>
      </c>
      <c r="AF56" s="2160">
        <v>14678.3</v>
      </c>
      <c r="AG56" s="2202">
        <f>AE56</f>
        <v>0.5919991804620871</v>
      </c>
      <c r="AH56" s="2160">
        <f>SUM(AD49)</f>
        <v>13073.01213648671</v>
      </c>
      <c r="AI56" s="2204">
        <v>0.59599999999999997</v>
      </c>
      <c r="AJ56" s="2160">
        <f>SUM(AK49)</f>
        <v>16411.197163297664</v>
      </c>
      <c r="AK56" s="2160">
        <f>ЗП!BO24</f>
        <v>47999.930000000008</v>
      </c>
      <c r="AL56" s="2202">
        <f>AK56/AK60</f>
        <v>0.54415498291281705</v>
      </c>
      <c r="AM56" s="2160">
        <f>AL56*AO49</f>
        <v>12920.436570139205</v>
      </c>
      <c r="AN56" s="2160"/>
      <c r="AO56" s="2206"/>
      <c r="AP56" s="2160"/>
      <c r="AQ56" s="2207"/>
      <c r="AR56" s="2207"/>
      <c r="AS56" s="2207"/>
      <c r="AT56" s="2207"/>
      <c r="AU56" s="2207"/>
      <c r="AV56" s="2207"/>
      <c r="AW56" s="2207"/>
      <c r="AX56" s="2207"/>
      <c r="AY56" s="2207"/>
      <c r="AZ56" s="2207"/>
      <c r="BA56" s="2207"/>
      <c r="BB56" s="2207"/>
      <c r="BC56" s="2207"/>
      <c r="BD56" s="2207"/>
      <c r="BE56" s="2207"/>
      <c r="BF56" s="2207"/>
      <c r="BG56" s="2207"/>
      <c r="BH56" s="2207"/>
      <c r="BI56" s="2207"/>
      <c r="BJ56" s="2207"/>
      <c r="BK56" s="2207"/>
      <c r="BL56" s="2207"/>
      <c r="BM56" s="2207"/>
      <c r="BN56" s="2207"/>
      <c r="BO56" s="2207"/>
      <c r="BP56" s="2207"/>
      <c r="BQ56" s="2207"/>
      <c r="BR56" s="2207"/>
      <c r="BS56" s="2207"/>
      <c r="BT56" s="2207"/>
      <c r="BU56" s="2207"/>
      <c r="BV56" s="2207"/>
      <c r="BW56" s="2797"/>
      <c r="BX56" s="2797"/>
      <c r="BY56" s="2797"/>
      <c r="BZ56" s="2797"/>
      <c r="CA56" s="2797"/>
      <c r="CB56" s="2615"/>
      <c r="CC56" s="2615"/>
      <c r="CD56" s="2615"/>
      <c r="CE56" s="2615"/>
      <c r="CF56" s="2615"/>
      <c r="CG56" s="2615"/>
      <c r="CH56" s="2615"/>
      <c r="CI56" s="2207"/>
      <c r="CJ56" s="2207"/>
      <c r="CK56" s="2207"/>
      <c r="CL56" s="2207"/>
      <c r="CM56" s="2207"/>
      <c r="CN56" s="2207"/>
      <c r="CO56" s="2207"/>
      <c r="CP56" s="2207"/>
      <c r="CQ56" s="2207"/>
      <c r="CR56" s="2207"/>
      <c r="CS56" s="2207"/>
      <c r="CT56" s="2207"/>
      <c r="CU56" s="2207"/>
      <c r="CV56" s="2207"/>
      <c r="CW56" s="2703"/>
      <c r="CX56" s="2703"/>
      <c r="CY56" s="2703"/>
      <c r="CZ56" s="2703"/>
      <c r="DA56" s="2703"/>
      <c r="DB56" s="2703"/>
      <c r="DC56" s="2703"/>
      <c r="DD56" s="2703"/>
      <c r="DE56" s="2703"/>
      <c r="DF56" s="2703"/>
      <c r="DG56" s="2703"/>
      <c r="DH56" s="2703"/>
      <c r="DI56" s="2703"/>
      <c r="DJ56" s="2703"/>
      <c r="DK56" s="2703"/>
      <c r="DL56" s="2703"/>
      <c r="DM56" s="2703"/>
      <c r="DN56" s="2703"/>
      <c r="DO56" s="2703"/>
      <c r="DP56" s="2703"/>
      <c r="DQ56" s="2703"/>
      <c r="DR56" s="2703"/>
      <c r="DS56" s="2703"/>
      <c r="DT56" s="4011"/>
      <c r="DU56" s="4011"/>
      <c r="DV56" s="4011"/>
      <c r="DW56" s="4011"/>
      <c r="DX56" s="4011"/>
      <c r="DY56" s="4011"/>
      <c r="DZ56" s="4011"/>
      <c r="EA56" s="2703"/>
      <c r="EB56" s="590"/>
    </row>
    <row r="57" spans="1:132" ht="15" hidden="1" x14ac:dyDescent="0.2">
      <c r="A57" s="2193" t="s">
        <v>47</v>
      </c>
      <c r="B57" s="2159">
        <f>C57/C60*100</f>
        <v>41.456685207750631</v>
      </c>
      <c r="C57" s="2159">
        <v>6566.2</v>
      </c>
      <c r="D57" s="2159">
        <v>41.2</v>
      </c>
      <c r="E57" s="2160">
        <v>7171.8</v>
      </c>
      <c r="F57" s="2160">
        <v>41.6</v>
      </c>
      <c r="G57" s="2160">
        <v>7614.1</v>
      </c>
      <c r="H57" s="2159">
        <f>G57/G60*100</f>
        <v>40.055236993003305</v>
      </c>
      <c r="I57" s="2160">
        <v>7986</v>
      </c>
      <c r="J57" s="2160">
        <v>6062.9</v>
      </c>
      <c r="K57" s="2159"/>
      <c r="L57" s="2201">
        <f>N57/N60</f>
        <v>0.40499587751423688</v>
      </c>
      <c r="M57" s="2160"/>
      <c r="N57" s="2160">
        <v>8448.7000000000007</v>
      </c>
      <c r="O57" s="2200">
        <v>40</v>
      </c>
      <c r="P57" s="2160">
        <f>P60*O57/100</f>
        <v>8115.7532161066656</v>
      </c>
      <c r="Q57" s="2201">
        <f>R57/R60</f>
        <v>0.40555445151033376</v>
      </c>
      <c r="R57" s="2160">
        <v>4897.8</v>
      </c>
      <c r="S57" s="2160"/>
      <c r="T57" s="2160"/>
      <c r="U57" s="2199">
        <f>V57/V60</f>
        <v>0.39999917414410358</v>
      </c>
      <c r="V57" s="2160">
        <v>9686.9</v>
      </c>
      <c r="W57" s="2202">
        <f>X57/X60</f>
        <v>0.40896667074613469</v>
      </c>
      <c r="X57" s="2160">
        <v>10025</v>
      </c>
      <c r="Y57" s="2203">
        <f>Q57</f>
        <v>0.40555445151033376</v>
      </c>
      <c r="Z57" s="2160">
        <f>Y57*Z60</f>
        <v>8543.374801814467</v>
      </c>
      <c r="AA57" s="2166">
        <f>SUM(AB57/Y49)</f>
        <v>0.40432941144688828</v>
      </c>
      <c r="AB57" s="2160">
        <v>4789.4799999999996</v>
      </c>
      <c r="AC57" s="2204">
        <f>SUM(AD57/AD60)</f>
        <v>0.40303569800338762</v>
      </c>
      <c r="AD57" s="2205">
        <v>9591.77</v>
      </c>
      <c r="AE57" s="2204">
        <f>AF57/AF60</f>
        <v>0.40000064530544321</v>
      </c>
      <c r="AF57" s="2160">
        <v>9917.7999999999993</v>
      </c>
      <c r="AG57" s="2202">
        <f>AE57</f>
        <v>0.40000064530544321</v>
      </c>
      <c r="AH57" s="2160">
        <f>SUM(AE49)</f>
        <v>8833.3841337506801</v>
      </c>
      <c r="AI57" s="2204">
        <v>0.40400000000000003</v>
      </c>
      <c r="AJ57" s="2160">
        <f>SUM(AL49)</f>
        <v>11124.368546933318</v>
      </c>
      <c r="AK57" s="2160">
        <f>ЗП!BO31</f>
        <v>39734.75</v>
      </c>
      <c r="AL57" s="2202">
        <f>AK57/AK60</f>
        <v>0.45045611956715464</v>
      </c>
      <c r="AM57" s="2160">
        <f>AL57*AO49</f>
        <v>10695.647202096725</v>
      </c>
      <c r="AN57" s="2160"/>
      <c r="AO57" s="2206"/>
      <c r="AP57" s="2160"/>
      <c r="AQ57" s="2207"/>
      <c r="AR57" s="2207"/>
      <c r="AS57" s="2207"/>
      <c r="AT57" s="2207"/>
      <c r="AU57" s="2207"/>
      <c r="AV57" s="2207"/>
      <c r="AW57" s="2207"/>
      <c r="AX57" s="2207"/>
      <c r="AY57" s="2207"/>
      <c r="AZ57" s="2207"/>
      <c r="BA57" s="2207"/>
      <c r="BB57" s="2207"/>
      <c r="BC57" s="2207"/>
      <c r="BD57" s="2207"/>
      <c r="BE57" s="2207"/>
      <c r="BF57" s="2207"/>
      <c r="BG57" s="2207"/>
      <c r="BH57" s="2207"/>
      <c r="BI57" s="2207"/>
      <c r="BJ57" s="2207"/>
      <c r="BK57" s="2207"/>
      <c r="BL57" s="2207"/>
      <c r="BM57" s="2207"/>
      <c r="BN57" s="2207"/>
      <c r="BO57" s="2207"/>
      <c r="BP57" s="2207"/>
      <c r="BQ57" s="2207"/>
      <c r="BR57" s="2207"/>
      <c r="BS57" s="2207"/>
      <c r="BT57" s="2207"/>
      <c r="BU57" s="2207"/>
      <c r="BV57" s="2207"/>
      <c r="BW57" s="2797"/>
      <c r="BX57" s="2797"/>
      <c r="BY57" s="2797"/>
      <c r="BZ57" s="2797"/>
      <c r="CA57" s="2797"/>
      <c r="CB57" s="2615"/>
      <c r="CC57" s="2615"/>
      <c r="CD57" s="2615"/>
      <c r="CE57" s="2615"/>
      <c r="CF57" s="2615"/>
      <c r="CG57" s="2615"/>
      <c r="CH57" s="2615"/>
      <c r="CI57" s="2207"/>
      <c r="CJ57" s="2207"/>
      <c r="CK57" s="2207"/>
      <c r="CL57" s="2207"/>
      <c r="CM57" s="2207"/>
      <c r="CN57" s="2207"/>
      <c r="CO57" s="2207"/>
      <c r="CP57" s="2207"/>
      <c r="CQ57" s="2207"/>
      <c r="CR57" s="2207"/>
      <c r="CS57" s="2207"/>
      <c r="CT57" s="2207"/>
      <c r="CU57" s="2207"/>
      <c r="CV57" s="2207"/>
      <c r="CW57" s="2703"/>
      <c r="CX57" s="2703"/>
      <c r="CY57" s="2703"/>
      <c r="CZ57" s="2703"/>
      <c r="DA57" s="2703"/>
      <c r="DB57" s="2703"/>
      <c r="DC57" s="2703"/>
      <c r="DD57" s="2703"/>
      <c r="DE57" s="2703"/>
      <c r="DF57" s="2703"/>
      <c r="DG57" s="2703"/>
      <c r="DH57" s="2703"/>
      <c r="DI57" s="2703"/>
      <c r="DJ57" s="2703"/>
      <c r="DK57" s="2703"/>
      <c r="DL57" s="2703"/>
      <c r="DM57" s="2703"/>
      <c r="DN57" s="2703"/>
      <c r="DO57" s="2703"/>
      <c r="DP57" s="2703"/>
      <c r="DQ57" s="2703"/>
      <c r="DR57" s="2703"/>
      <c r="DS57" s="2703"/>
      <c r="DT57" s="4011"/>
      <c r="DU57" s="4011"/>
      <c r="DV57" s="4011"/>
      <c r="DW57" s="4011"/>
      <c r="DX57" s="4011"/>
      <c r="DY57" s="4011"/>
      <c r="DZ57" s="4011"/>
      <c r="EA57" s="2703"/>
      <c r="EB57" s="590"/>
    </row>
    <row r="58" spans="1:132" s="180" customFormat="1" ht="15" hidden="1" x14ac:dyDescent="0.2">
      <c r="A58" s="2208" t="s">
        <v>48</v>
      </c>
      <c r="B58" s="2209">
        <f>C58/C60*100</f>
        <v>1.9540745136911488</v>
      </c>
      <c r="C58" s="2209">
        <v>309.5</v>
      </c>
      <c r="D58" s="2210">
        <v>0.9</v>
      </c>
      <c r="E58" s="2170">
        <v>351.7</v>
      </c>
      <c r="F58" s="2170">
        <v>2.04</v>
      </c>
      <c r="G58" s="2170">
        <v>405.9</v>
      </c>
      <c r="H58" s="2210">
        <f>G58/G60*100</f>
        <v>2.1353043295281178</v>
      </c>
      <c r="I58" s="2160">
        <v>299.53499999999997</v>
      </c>
      <c r="J58" s="2170">
        <v>266.10000000000002</v>
      </c>
      <c r="K58" s="2210"/>
      <c r="L58" s="2211">
        <f>N58/N60</f>
        <v>1.9385270262496878E-2</v>
      </c>
      <c r="M58" s="2170"/>
      <c r="N58" s="2160">
        <v>404.4</v>
      </c>
      <c r="O58" s="2160">
        <v>2</v>
      </c>
      <c r="P58" s="2160">
        <f>O58*P60/100</f>
        <v>405.7876608053333</v>
      </c>
      <c r="Q58" s="2166">
        <f>R58/R60</f>
        <v>1.9599562798092204E-2</v>
      </c>
      <c r="R58" s="2160">
        <v>236.7</v>
      </c>
      <c r="S58" s="2199">
        <v>0.02</v>
      </c>
      <c r="T58" s="2160">
        <v>357.5</v>
      </c>
      <c r="U58" s="2160">
        <f>V58/V60</f>
        <v>1.999810053143827E-2</v>
      </c>
      <c r="V58" s="2160">
        <v>484.3</v>
      </c>
      <c r="W58" s="2202">
        <f>X58/X60</f>
        <v>2.0062823807775465E-2</v>
      </c>
      <c r="X58" s="2160">
        <v>491.8</v>
      </c>
      <c r="Y58" s="2203">
        <f>S58</f>
        <v>0.02</v>
      </c>
      <c r="Z58" s="2160">
        <f>Y58*Z60</f>
        <v>421.31826047022332</v>
      </c>
      <c r="AA58" s="2166"/>
      <c r="AB58" s="2160"/>
      <c r="AC58" s="2204"/>
      <c r="AD58" s="2205"/>
      <c r="AE58" s="2204">
        <v>0</v>
      </c>
      <c r="AF58" s="2160">
        <v>0</v>
      </c>
      <c r="AG58" s="2202">
        <f>AC58</f>
        <v>0</v>
      </c>
      <c r="AH58" s="2160">
        <v>0</v>
      </c>
      <c r="AI58" s="2204">
        <v>0</v>
      </c>
      <c r="AJ58" s="2160">
        <v>0</v>
      </c>
      <c r="AK58" s="2160">
        <v>0</v>
      </c>
      <c r="AL58" s="2202">
        <f>AG58</f>
        <v>0</v>
      </c>
      <c r="AM58" s="2160"/>
      <c r="AN58" s="2160"/>
      <c r="AO58" s="2206"/>
      <c r="AP58" s="2160"/>
      <c r="AQ58" s="2212"/>
      <c r="AR58" s="2212"/>
      <c r="AS58" s="2212"/>
      <c r="AT58" s="2212"/>
      <c r="AU58" s="2212"/>
      <c r="AV58" s="2212"/>
      <c r="AW58" s="2212"/>
      <c r="AX58" s="2212"/>
      <c r="AY58" s="2212"/>
      <c r="AZ58" s="2212"/>
      <c r="BA58" s="2212"/>
      <c r="BB58" s="2212"/>
      <c r="BC58" s="2212"/>
      <c r="BD58" s="2212"/>
      <c r="BE58" s="2212"/>
      <c r="BF58" s="2212"/>
      <c r="BG58" s="2212"/>
      <c r="BH58" s="2212"/>
      <c r="BI58" s="2212"/>
      <c r="BJ58" s="2212"/>
      <c r="BK58" s="2212"/>
      <c r="BL58" s="2212"/>
      <c r="BM58" s="2212"/>
      <c r="BN58" s="2212"/>
      <c r="BO58" s="2212"/>
      <c r="BP58" s="2212"/>
      <c r="BQ58" s="2212"/>
      <c r="BR58" s="2212"/>
      <c r="BS58" s="2212"/>
      <c r="BT58" s="2212"/>
      <c r="BU58" s="2212"/>
      <c r="BV58" s="2212"/>
      <c r="BW58" s="2798"/>
      <c r="BX58" s="2798"/>
      <c r="BY58" s="2798"/>
      <c r="BZ58" s="2798"/>
      <c r="CA58" s="2798"/>
      <c r="CB58" s="2616"/>
      <c r="CC58" s="2616"/>
      <c r="CD58" s="2616"/>
      <c r="CE58" s="2616"/>
      <c r="CF58" s="2616"/>
      <c r="CG58" s="2616"/>
      <c r="CH58" s="2616"/>
      <c r="CI58" s="2212"/>
      <c r="CJ58" s="2212"/>
      <c r="CK58" s="2212"/>
      <c r="CL58" s="2212"/>
      <c r="CM58" s="2212"/>
      <c r="CN58" s="2212"/>
      <c r="CO58" s="2212"/>
      <c r="CP58" s="2212"/>
      <c r="CQ58" s="2212"/>
      <c r="CR58" s="2212"/>
      <c r="CS58" s="2212"/>
      <c r="CT58" s="2212"/>
      <c r="CU58" s="2212"/>
      <c r="CV58" s="2212"/>
      <c r="CW58" s="2704"/>
      <c r="CX58" s="2704"/>
      <c r="CY58" s="2704"/>
      <c r="CZ58" s="2704"/>
      <c r="DA58" s="2704"/>
      <c r="DB58" s="2704"/>
      <c r="DC58" s="2704"/>
      <c r="DD58" s="2704"/>
      <c r="DE58" s="2704"/>
      <c r="DF58" s="2704"/>
      <c r="DG58" s="2704"/>
      <c r="DH58" s="2704"/>
      <c r="DI58" s="2704"/>
      <c r="DJ58" s="2704"/>
      <c r="DK58" s="2704"/>
      <c r="DL58" s="2704"/>
      <c r="DM58" s="2704"/>
      <c r="DN58" s="2704"/>
      <c r="DO58" s="2704"/>
      <c r="DP58" s="2704"/>
      <c r="DQ58" s="2704"/>
      <c r="DR58" s="2704"/>
      <c r="DS58" s="2704"/>
      <c r="DT58" s="4012"/>
      <c r="DU58" s="4012"/>
      <c r="DV58" s="4012"/>
      <c r="DW58" s="4012"/>
      <c r="DX58" s="4012"/>
      <c r="DY58" s="4012"/>
      <c r="DZ58" s="4012"/>
      <c r="EA58" s="2704"/>
      <c r="EB58" s="591"/>
    </row>
    <row r="59" spans="1:132" ht="15" hidden="1" x14ac:dyDescent="0.2">
      <c r="A59" s="2193" t="s">
        <v>79</v>
      </c>
      <c r="B59" s="2161">
        <f>C59/C60*100</f>
        <v>1.7375163365680262</v>
      </c>
      <c r="C59" s="2161">
        <v>275.2</v>
      </c>
      <c r="D59" s="2159">
        <v>2.6</v>
      </c>
      <c r="E59" s="2160"/>
      <c r="F59" s="2160"/>
      <c r="G59" s="2160">
        <v>3.4</v>
      </c>
      <c r="H59" s="2161">
        <f>G59/G60*100</f>
        <v>1.788626440107317E-2</v>
      </c>
      <c r="I59" s="2160"/>
      <c r="J59" s="2213"/>
      <c r="K59" s="2690"/>
      <c r="L59" s="2690"/>
      <c r="M59" s="2690"/>
      <c r="N59" s="2193"/>
      <c r="O59" s="2193"/>
      <c r="P59" s="2193"/>
      <c r="Q59" s="2166">
        <f>R59/R60</f>
        <v>3.866918388977212E-3</v>
      </c>
      <c r="R59" s="2160">
        <v>46.7</v>
      </c>
      <c r="S59" s="2160"/>
      <c r="T59" s="2160"/>
      <c r="U59" s="2193"/>
      <c r="V59" s="2160"/>
      <c r="W59" s="2202">
        <f>X59/X60</f>
        <v>5.8091624852119285E-3</v>
      </c>
      <c r="X59" s="2160">
        <v>142.4</v>
      </c>
      <c r="Y59" s="2203">
        <f>Q59</f>
        <v>3.866918388977212E-3</v>
      </c>
      <c r="Z59" s="2160">
        <f>Y59*Z60</f>
        <v>81.460166451209872</v>
      </c>
      <c r="AA59" s="2166">
        <f>SUM(AB59/Y49)</f>
        <v>6.4801033980021105E-3</v>
      </c>
      <c r="AB59" s="2160">
        <v>76.760000000000005</v>
      </c>
      <c r="AC59" s="2204"/>
      <c r="AD59" s="2205"/>
      <c r="AE59" s="2204">
        <f>AF59/AF60</f>
        <v>8.0001742324696742E-3</v>
      </c>
      <c r="AF59" s="2160">
        <v>198.36</v>
      </c>
      <c r="AG59" s="2202">
        <f>AE59</f>
        <v>8.0001742324696742E-3</v>
      </c>
      <c r="AH59" s="2160">
        <f>AC49*AG59</f>
        <v>176.66988838026091</v>
      </c>
      <c r="AI59" s="2204">
        <v>0</v>
      </c>
      <c r="AJ59" s="2160">
        <v>0</v>
      </c>
      <c r="AK59" s="2160">
        <f>414.81*1.067*1.074</f>
        <v>475.35483798000001</v>
      </c>
      <c r="AL59" s="2202">
        <f>AK59/AK60</f>
        <v>5.3888975200282949E-3</v>
      </c>
      <c r="AM59" s="2160">
        <f>AL59*AO49</f>
        <v>127.95418727546867</v>
      </c>
      <c r="AN59" s="2160"/>
      <c r="AO59" s="2206"/>
      <c r="AP59" s="2160"/>
      <c r="AQ59" s="2195"/>
      <c r="AR59" s="2195"/>
      <c r="AS59" s="2195"/>
      <c r="AT59" s="2195"/>
      <c r="AU59" s="2195"/>
      <c r="AV59" s="2195"/>
      <c r="AW59" s="2195"/>
      <c r="AX59" s="2195"/>
      <c r="AY59" s="2195"/>
      <c r="AZ59" s="2195"/>
      <c r="BA59" s="2195"/>
      <c r="BB59" s="2195"/>
      <c r="BC59" s="2195"/>
      <c r="BD59" s="2195"/>
      <c r="BE59" s="2195"/>
      <c r="BF59" s="2195"/>
      <c r="BG59" s="2195"/>
      <c r="BH59" s="2195"/>
      <c r="BI59" s="2195"/>
      <c r="BJ59" s="2195"/>
      <c r="BK59" s="2195"/>
      <c r="BL59" s="2195"/>
      <c r="BM59" s="2195"/>
      <c r="BN59" s="2195"/>
      <c r="BO59" s="2195"/>
      <c r="BP59" s="2195"/>
      <c r="BQ59" s="2195"/>
      <c r="BR59" s="2195"/>
      <c r="BS59" s="2195"/>
      <c r="BT59" s="2195"/>
      <c r="BU59" s="2195"/>
      <c r="BV59" s="2195"/>
      <c r="BW59" s="2795"/>
      <c r="BX59" s="2795"/>
      <c r="BY59" s="2795"/>
      <c r="BZ59" s="2795"/>
      <c r="CA59" s="2795"/>
      <c r="CB59" s="2614"/>
      <c r="CC59" s="2614"/>
      <c r="CD59" s="2614"/>
      <c r="CE59" s="2614"/>
      <c r="CF59" s="2614"/>
      <c r="CG59" s="2614"/>
      <c r="CH59" s="2614"/>
      <c r="CI59" s="2195"/>
      <c r="CJ59" s="2195"/>
      <c r="CK59" s="2195"/>
      <c r="CL59" s="2195"/>
      <c r="CM59" s="2195"/>
      <c r="CN59" s="2195"/>
      <c r="CO59" s="2195"/>
      <c r="CP59" s="2195"/>
      <c r="CQ59" s="2195"/>
      <c r="CR59" s="2195"/>
      <c r="CS59" s="2195"/>
      <c r="CT59" s="2195"/>
      <c r="CU59" s="2195"/>
      <c r="CV59" s="2195"/>
      <c r="CW59" s="2701"/>
      <c r="CX59" s="2701"/>
      <c r="CY59" s="2701"/>
      <c r="CZ59" s="2701"/>
      <c r="DA59" s="2701"/>
      <c r="DB59" s="2701"/>
      <c r="DC59" s="2701"/>
      <c r="DD59" s="2701"/>
      <c r="DE59" s="2701"/>
      <c r="DF59" s="2701"/>
      <c r="DG59" s="2701"/>
      <c r="DH59" s="2701"/>
      <c r="DI59" s="2701"/>
      <c r="DJ59" s="2701"/>
      <c r="DK59" s="2701"/>
      <c r="DL59" s="2701"/>
      <c r="DM59" s="2701"/>
      <c r="DN59" s="2701"/>
      <c r="DO59" s="2701"/>
      <c r="DP59" s="2701"/>
      <c r="DQ59" s="2701"/>
      <c r="DR59" s="2701"/>
      <c r="DS59" s="2701"/>
      <c r="DT59" s="4009"/>
      <c r="DU59" s="4009"/>
      <c r="DV59" s="4009"/>
      <c r="DW59" s="4009"/>
      <c r="DX59" s="4009"/>
      <c r="DY59" s="4009"/>
      <c r="DZ59" s="4009"/>
      <c r="EA59" s="2701"/>
      <c r="EB59" s="590"/>
    </row>
    <row r="60" spans="1:132" ht="14.25" hidden="1" x14ac:dyDescent="0.2">
      <c r="A60" s="2208" t="s">
        <v>49</v>
      </c>
      <c r="B60" s="2210">
        <f t="shared" ref="B60:G60" si="144">SUM(B56:B59)</f>
        <v>99.999999999999986</v>
      </c>
      <c r="C60" s="2210">
        <f t="shared" si="144"/>
        <v>15838.7</v>
      </c>
      <c r="D60" s="2210">
        <f t="shared" si="144"/>
        <v>100</v>
      </c>
      <c r="E60" s="2170">
        <f t="shared" si="144"/>
        <v>17239.900000000001</v>
      </c>
      <c r="F60" s="2170">
        <f t="shared" si="144"/>
        <v>100.00000000000001</v>
      </c>
      <c r="G60" s="2170">
        <f t="shared" si="144"/>
        <v>19009.000000000004</v>
      </c>
      <c r="H60" s="2169"/>
      <c r="I60" s="2170">
        <f>SUM(I56:I59)</f>
        <v>19105.035</v>
      </c>
      <c r="J60" s="2170">
        <f>SUM(J56:J59)</f>
        <v>14908.1</v>
      </c>
      <c r="K60" s="2170">
        <f>SUM(K56:K59)</f>
        <v>0</v>
      </c>
      <c r="L60" s="2170"/>
      <c r="M60" s="2170">
        <f>SUM(M56:M59)</f>
        <v>0</v>
      </c>
      <c r="N60" s="2170">
        <f>SUM(N56:N59)</f>
        <v>20861.200000000004</v>
      </c>
      <c r="O60" s="2208"/>
      <c r="P60" s="2170">
        <f>N49</f>
        <v>20289.383040266664</v>
      </c>
      <c r="Q60" s="2170"/>
      <c r="R60" s="2170">
        <f>SUM(R56:R59)</f>
        <v>12076.800000000003</v>
      </c>
      <c r="S60" s="2170"/>
      <c r="T60" s="2170">
        <f>P49</f>
        <v>18454.919624999999</v>
      </c>
      <c r="U60" s="2170"/>
      <c r="V60" s="2170">
        <f>SUM(V56:V59)+0.1</f>
        <v>24217.3</v>
      </c>
      <c r="W60" s="2214">
        <f>SUM(W56:W59)</f>
        <v>0.99999999999999989</v>
      </c>
      <c r="X60" s="2170">
        <f>SUM(X56:X59)</f>
        <v>24513</v>
      </c>
      <c r="Y60" s="2169"/>
      <c r="Z60" s="2170">
        <f>S49</f>
        <v>21065.913023511166</v>
      </c>
      <c r="AA60" s="2170"/>
      <c r="AB60" s="2170">
        <f>SUM(AB56:AB59)</f>
        <v>11845.519999999999</v>
      </c>
      <c r="AC60" s="2215">
        <f>SUM(AC56:AC59)</f>
        <v>1.0000000000000002</v>
      </c>
      <c r="AD60" s="2216">
        <f>SUM(AA49)</f>
        <v>23798.809999999998</v>
      </c>
      <c r="AE60" s="2215">
        <f>SUM(AE56:AE59)</f>
        <v>1</v>
      </c>
      <c r="AF60" s="2170">
        <f>SUM(AF56:AF59)</f>
        <v>24794.46</v>
      </c>
      <c r="AG60" s="2170"/>
      <c r="AH60" s="2170">
        <f t="shared" ref="AH60:AM60" si="145">SUM(AH56:AH59)</f>
        <v>22083.06615861765</v>
      </c>
      <c r="AI60" s="2215">
        <f t="shared" si="145"/>
        <v>1</v>
      </c>
      <c r="AJ60" s="2170">
        <f t="shared" si="145"/>
        <v>27535.565710230981</v>
      </c>
      <c r="AK60" s="2170">
        <f t="shared" si="145"/>
        <v>88210.034837980013</v>
      </c>
      <c r="AL60" s="2215">
        <f t="shared" si="145"/>
        <v>1</v>
      </c>
      <c r="AM60" s="2170">
        <f t="shared" si="145"/>
        <v>23744.037959511395</v>
      </c>
      <c r="AN60" s="2170"/>
      <c r="AO60" s="2217"/>
      <c r="AP60" s="2170"/>
      <c r="AQ60" s="2212"/>
      <c r="AR60" s="2212"/>
      <c r="AS60" s="2212"/>
      <c r="AT60" s="2212"/>
      <c r="AU60" s="2212"/>
      <c r="AV60" s="2212"/>
      <c r="AW60" s="2212"/>
      <c r="AX60" s="2212"/>
      <c r="AY60" s="2212"/>
      <c r="AZ60" s="2212"/>
      <c r="BA60" s="2212"/>
      <c r="BB60" s="2212"/>
      <c r="BC60" s="2212"/>
      <c r="BD60" s="2212"/>
      <c r="BE60" s="2212"/>
      <c r="BF60" s="2212"/>
      <c r="BG60" s="2212"/>
      <c r="BH60" s="2212"/>
      <c r="BI60" s="2212"/>
      <c r="BJ60" s="2212"/>
      <c r="BK60" s="2212"/>
      <c r="BL60" s="2212"/>
      <c r="BM60" s="2212"/>
      <c r="BN60" s="2212"/>
      <c r="BO60" s="2212"/>
      <c r="BP60" s="2212"/>
      <c r="BQ60" s="2212"/>
      <c r="BR60" s="2212"/>
      <c r="BS60" s="2212"/>
      <c r="BT60" s="2212"/>
      <c r="BU60" s="2212"/>
      <c r="BV60" s="2212"/>
      <c r="BW60" s="2798"/>
      <c r="BX60" s="2798"/>
      <c r="BY60" s="2798"/>
      <c r="BZ60" s="2798"/>
      <c r="CA60" s="2798"/>
      <c r="CB60" s="2616"/>
      <c r="CC60" s="2616"/>
      <c r="CD60" s="2616"/>
      <c r="CE60" s="2616"/>
      <c r="CF60" s="2616"/>
      <c r="CG60" s="2616"/>
      <c r="CH60" s="2616"/>
      <c r="CI60" s="2212"/>
      <c r="CJ60" s="2212"/>
      <c r="CK60" s="2212"/>
      <c r="CL60" s="2212"/>
      <c r="CM60" s="2212"/>
      <c r="CN60" s="2212"/>
      <c r="CO60" s="2212"/>
      <c r="CP60" s="2212"/>
      <c r="CQ60" s="2212"/>
      <c r="CR60" s="2212"/>
      <c r="CS60" s="2212"/>
      <c r="CT60" s="2212"/>
      <c r="CU60" s="2212"/>
      <c r="CV60" s="2212"/>
      <c r="CW60" s="2704"/>
      <c r="CX60" s="2704"/>
      <c r="CY60" s="2704"/>
      <c r="CZ60" s="2704"/>
      <c r="DA60" s="2704"/>
      <c r="DB60" s="2704"/>
      <c r="DC60" s="2704"/>
      <c r="DD60" s="2704"/>
      <c r="DE60" s="2704"/>
      <c r="DF60" s="2704"/>
      <c r="DG60" s="2704"/>
      <c r="DH60" s="2704"/>
      <c r="DI60" s="2704"/>
      <c r="DJ60" s="2704"/>
      <c r="DK60" s="2704"/>
      <c r="DL60" s="2704"/>
      <c r="DM60" s="2704"/>
      <c r="DN60" s="2704"/>
      <c r="DO60" s="2704"/>
      <c r="DP60" s="2704"/>
      <c r="DQ60" s="2704"/>
      <c r="DR60" s="2704"/>
      <c r="DS60" s="2704"/>
      <c r="DT60" s="4012"/>
      <c r="DU60" s="4012"/>
      <c r="DV60" s="4012"/>
      <c r="DW60" s="4012"/>
      <c r="DX60" s="4012"/>
      <c r="DY60" s="4012"/>
      <c r="DZ60" s="4012"/>
      <c r="EA60" s="2704"/>
      <c r="EB60" s="590"/>
    </row>
    <row r="61" spans="1:132" s="269" customFormat="1" hidden="1" x14ac:dyDescent="0.2">
      <c r="A61" s="2710"/>
      <c r="B61" s="2711"/>
      <c r="C61" s="2711"/>
      <c r="D61" s="2712"/>
      <c r="E61" s="2711"/>
      <c r="F61" s="2711"/>
      <c r="G61" s="2711"/>
      <c r="H61" s="2711"/>
      <c r="I61" s="2711"/>
      <c r="J61" s="2711"/>
      <c r="K61" s="2711"/>
      <c r="L61" s="2711"/>
      <c r="M61" s="2711"/>
      <c r="N61" s="2711"/>
      <c r="O61" s="2711"/>
      <c r="P61" s="2711"/>
      <c r="Q61" s="2711"/>
      <c r="R61" s="2711"/>
      <c r="S61" s="2711"/>
      <c r="T61" s="2711"/>
      <c r="U61" s="2711"/>
      <c r="V61" s="2711"/>
      <c r="W61" s="2711"/>
      <c r="X61" s="2711"/>
      <c r="Y61" s="2711"/>
      <c r="Z61" s="2711"/>
      <c r="AA61" s="2711"/>
      <c r="AB61" s="2711"/>
      <c r="AC61" s="2711"/>
      <c r="AD61" s="2711"/>
      <c r="AE61" s="2711"/>
      <c r="AF61" s="2711"/>
      <c r="AG61" s="2711"/>
      <c r="AH61" s="2711"/>
      <c r="AI61" s="2711"/>
      <c r="AJ61" s="2711"/>
      <c r="AK61" s="2711"/>
      <c r="AL61" s="2711"/>
      <c r="AM61" s="2711"/>
      <c r="AN61" s="2711"/>
      <c r="AO61" s="2713"/>
      <c r="AP61" s="2714"/>
      <c r="AQ61" s="2714"/>
      <c r="AR61" s="2714"/>
      <c r="AS61" s="2714"/>
      <c r="AT61" s="2714"/>
      <c r="AU61" s="2715"/>
      <c r="AV61" s="2715"/>
      <c r="AW61" s="2715"/>
      <c r="AX61" s="2715"/>
      <c r="AY61" s="2715"/>
      <c r="AZ61" s="2715"/>
      <c r="BA61" s="2715"/>
      <c r="BB61" s="2715"/>
      <c r="BC61" s="2715"/>
      <c r="BD61" s="2715"/>
      <c r="BE61" s="2715"/>
      <c r="BF61" s="2715"/>
      <c r="BG61" s="2715"/>
      <c r="BH61" s="2715"/>
      <c r="BI61" s="2715"/>
      <c r="BJ61" s="2715"/>
      <c r="BK61" s="2715"/>
      <c r="BL61" s="2715"/>
      <c r="BM61" s="2715"/>
      <c r="BN61" s="2715"/>
      <c r="BO61" s="2715"/>
      <c r="BP61" s="2715"/>
      <c r="BQ61" s="2715"/>
      <c r="BR61" s="2715"/>
      <c r="BS61" s="2715"/>
      <c r="BT61" s="2715"/>
      <c r="BU61" s="2715"/>
      <c r="BV61" s="2715"/>
      <c r="BW61" s="2799"/>
      <c r="BX61" s="2799"/>
      <c r="BY61" s="2799"/>
      <c r="BZ61" s="2799"/>
      <c r="CA61" s="2799"/>
      <c r="CB61" s="2715"/>
      <c r="CC61" s="2715"/>
      <c r="CD61" s="2715"/>
      <c r="CE61" s="2715"/>
      <c r="CF61" s="2715"/>
      <c r="CG61" s="2715"/>
      <c r="CH61" s="2715"/>
      <c r="CI61" s="2715"/>
      <c r="CJ61" s="2715"/>
      <c r="CK61" s="2715"/>
      <c r="CL61" s="2715"/>
      <c r="CM61" s="2715"/>
      <c r="CN61" s="2715"/>
      <c r="CO61" s="2715"/>
      <c r="CP61" s="2715"/>
      <c r="CQ61" s="2715"/>
      <c r="CR61" s="2715"/>
      <c r="CS61" s="2715"/>
      <c r="CT61" s="2715"/>
      <c r="CU61" s="2715"/>
      <c r="CV61" s="2716"/>
      <c r="CW61" s="2708"/>
      <c r="CX61" s="2708"/>
      <c r="CY61" s="2708"/>
      <c r="CZ61" s="2708"/>
      <c r="DA61" s="2708"/>
      <c r="DB61" s="2708"/>
      <c r="DC61" s="2708"/>
      <c r="DD61" s="2708"/>
      <c r="DE61" s="2708"/>
      <c r="DF61" s="2708"/>
      <c r="DG61" s="2708"/>
      <c r="DH61" s="2708"/>
      <c r="DI61" s="2708"/>
      <c r="DJ61" s="2708"/>
      <c r="DK61" s="2708"/>
      <c r="DL61" s="2708"/>
      <c r="DM61" s="2708"/>
      <c r="DN61" s="2708"/>
      <c r="DO61" s="2708"/>
      <c r="DP61" s="2708"/>
      <c r="DQ61" s="2708"/>
      <c r="DR61" s="2708"/>
      <c r="DS61" s="2708"/>
      <c r="DT61" s="2708"/>
      <c r="DU61" s="2708"/>
      <c r="DV61" s="2708"/>
      <c r="DW61" s="2708"/>
      <c r="DX61" s="2708"/>
      <c r="DY61" s="2708"/>
      <c r="DZ61" s="2708"/>
      <c r="EA61" s="2176"/>
    </row>
    <row r="62" spans="1:132" s="269" customFormat="1" x14ac:dyDescent="0.2">
      <c r="D62" s="270"/>
      <c r="I62" s="522"/>
      <c r="J62" s="522"/>
      <c r="K62" s="522"/>
      <c r="L62" s="522"/>
      <c r="M62" s="522"/>
      <c r="N62" s="522"/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/>
      <c r="AA62" s="522"/>
      <c r="AB62" s="522"/>
      <c r="AC62" s="522"/>
      <c r="AD62" s="522"/>
      <c r="AE62" s="522"/>
      <c r="AO62" s="178"/>
      <c r="AU62" s="2177"/>
      <c r="AV62" s="2177"/>
      <c r="AW62" s="2177"/>
      <c r="AX62" s="2488">
        <f>SUM(AY62:AZ62)</f>
        <v>25958.65</v>
      </c>
      <c r="AY62" s="2488">
        <v>10744.47</v>
      </c>
      <c r="AZ62" s="2488">
        <v>15214.18</v>
      </c>
      <c r="BA62" s="2177"/>
      <c r="BB62" s="2177"/>
      <c r="BC62" s="2177"/>
      <c r="BD62" s="2177"/>
      <c r="BE62" s="2177"/>
      <c r="BF62" s="2177"/>
      <c r="BG62" s="2177"/>
      <c r="BH62" s="2177"/>
      <c r="BI62" s="2177"/>
      <c r="BJ62" s="2177"/>
      <c r="BK62" s="2177"/>
      <c r="BL62" s="2177"/>
      <c r="BM62" s="2177"/>
      <c r="BN62" s="2177"/>
      <c r="BO62" s="2177"/>
      <c r="BP62" s="2177"/>
      <c r="BQ62" s="2177"/>
      <c r="BR62" s="2177"/>
      <c r="BS62" s="2177"/>
      <c r="BT62" s="2177"/>
      <c r="BU62" s="2177"/>
      <c r="BV62" s="2177"/>
      <c r="BW62" s="2800"/>
      <c r="BX62" s="2800"/>
      <c r="BY62" s="2800"/>
      <c r="BZ62" s="2800"/>
      <c r="CA62" s="2800"/>
      <c r="CB62" s="2177"/>
      <c r="CC62" s="2177"/>
      <c r="CD62" s="2177"/>
      <c r="CE62" s="2177"/>
      <c r="CF62" s="2177"/>
      <c r="CG62" s="2177"/>
      <c r="CH62" s="2177"/>
      <c r="CI62" s="2177"/>
      <c r="CJ62" s="2177"/>
      <c r="CK62" s="2177"/>
      <c r="CL62" s="2177"/>
      <c r="CM62" s="2177"/>
      <c r="CN62" s="2177"/>
      <c r="CO62" s="2177"/>
      <c r="CP62" s="2177"/>
      <c r="CQ62" s="2177"/>
      <c r="CR62" s="2177"/>
      <c r="CS62" s="2177"/>
      <c r="CT62" s="2177"/>
      <c r="CU62" s="2177"/>
      <c r="CV62" s="2177"/>
      <c r="CW62" s="2177"/>
      <c r="CX62" s="2177"/>
      <c r="CY62" s="2177"/>
      <c r="CZ62" s="2177"/>
      <c r="DA62" s="2177"/>
      <c r="DB62" s="2177"/>
      <c r="DC62" s="2177"/>
      <c r="DD62" s="5216">
        <f>SUM(DD49:DE49)</f>
        <v>25606.915099247206</v>
      </c>
      <c r="DE62" s="4492"/>
      <c r="DF62" s="2177"/>
      <c r="DG62" s="2177"/>
      <c r="DH62" s="2177"/>
      <c r="DI62" s="2177"/>
      <c r="DJ62" s="2177"/>
      <c r="DK62" s="2177"/>
      <c r="DL62" s="2177"/>
      <c r="DM62" s="2177"/>
      <c r="DN62" s="2177"/>
      <c r="DO62" s="2177"/>
      <c r="DP62" s="2177"/>
      <c r="DQ62" s="2177"/>
      <c r="DR62" s="2177"/>
      <c r="DS62" s="2177"/>
      <c r="DT62" s="2177"/>
      <c r="DU62" s="2177"/>
      <c r="DV62" s="2177"/>
      <c r="DW62" s="2177"/>
      <c r="DX62" s="2177"/>
      <c r="DY62" s="2177"/>
      <c r="DZ62" s="2177"/>
      <c r="EA62" s="2177"/>
    </row>
    <row r="63" spans="1:132" s="269" customFormat="1" hidden="1" x14ac:dyDescent="0.2">
      <c r="D63" s="270"/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/>
      <c r="AA63" s="522"/>
      <c r="AB63" s="522"/>
      <c r="AC63" s="522"/>
      <c r="AD63" s="522"/>
      <c r="AE63" s="522"/>
      <c r="AF63" s="178"/>
      <c r="AG63" s="178"/>
      <c r="AH63" s="178"/>
      <c r="AI63" s="178"/>
      <c r="AO63" s="178"/>
      <c r="AU63" s="2177"/>
      <c r="AV63" s="2177"/>
      <c r="AW63" s="2177"/>
      <c r="AX63" s="2177"/>
      <c r="AY63" s="2177"/>
      <c r="AZ63" s="2177"/>
      <c r="BA63" s="2177"/>
      <c r="BB63" s="2177"/>
      <c r="BC63" s="2177"/>
      <c r="BD63" s="2177"/>
      <c r="BE63" s="2177"/>
      <c r="BF63" s="2177"/>
      <c r="BG63" s="2177"/>
      <c r="BH63" s="2177"/>
      <c r="BI63" s="2177"/>
      <c r="BJ63" s="2177"/>
      <c r="BK63" s="2177"/>
      <c r="BL63" s="2177"/>
      <c r="BM63" s="2177"/>
      <c r="BN63" s="2177"/>
      <c r="BO63" s="2177"/>
      <c r="BP63" s="2177"/>
      <c r="BQ63" s="2177"/>
      <c r="BR63" s="2177"/>
      <c r="BS63" s="2177"/>
      <c r="BT63" s="2177"/>
      <c r="BU63" s="2177"/>
      <c r="BV63" s="2177"/>
      <c r="BW63" s="2800"/>
      <c r="BX63" s="2800"/>
      <c r="BY63" s="2800"/>
      <c r="BZ63" s="2800"/>
      <c r="CA63" s="2800"/>
      <c r="CB63" s="2177"/>
      <c r="CC63" s="2177"/>
      <c r="CD63" s="2177"/>
      <c r="CE63" s="2177"/>
      <c r="CF63" s="2177"/>
      <c r="CG63" s="2177"/>
      <c r="CH63" s="2177"/>
      <c r="CI63" s="2177"/>
      <c r="CJ63" s="2177"/>
      <c r="CK63" s="2177"/>
      <c r="CL63" s="2177"/>
      <c r="CM63" s="2177"/>
      <c r="CN63" s="2177"/>
      <c r="CO63" s="2177"/>
      <c r="CP63" s="2177"/>
      <c r="CQ63" s="2177"/>
      <c r="CR63" s="2177"/>
      <c r="CS63" s="2177"/>
      <c r="CT63" s="2177"/>
      <c r="CU63" s="2177"/>
      <c r="CV63" s="2177"/>
      <c r="CW63" s="2177"/>
      <c r="CX63" s="2177"/>
      <c r="CY63" s="2177"/>
      <c r="CZ63" s="2177"/>
      <c r="DA63" s="2177"/>
      <c r="DB63" s="2177"/>
      <c r="DC63" s="2177"/>
      <c r="DD63" s="2177"/>
      <c r="DE63" s="2177"/>
      <c r="DF63" s="2177"/>
      <c r="DG63" s="2177"/>
      <c r="DH63" s="2177"/>
      <c r="DI63" s="2177"/>
      <c r="DJ63" s="2177"/>
      <c r="DK63" s="2177"/>
      <c r="DL63" s="2177"/>
      <c r="DM63" s="2177"/>
      <c r="DN63" s="2177"/>
      <c r="DO63" s="2177"/>
      <c r="DP63" s="2177"/>
      <c r="DQ63" s="2177"/>
      <c r="DR63" s="2177"/>
      <c r="DS63" s="2177"/>
      <c r="DT63" s="2177"/>
      <c r="DU63" s="2177"/>
      <c r="DV63" s="2177"/>
      <c r="DW63" s="2177"/>
      <c r="DX63" s="2177"/>
      <c r="DY63" s="2177"/>
      <c r="DZ63" s="2177"/>
      <c r="EA63" s="2177"/>
    </row>
    <row r="64" spans="1:132" s="269" customFormat="1" hidden="1" x14ac:dyDescent="0.2">
      <c r="D64" s="270"/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22"/>
      <c r="U64" s="522"/>
      <c r="V64" s="522"/>
      <c r="W64" s="522"/>
      <c r="X64" s="522"/>
      <c r="Y64" s="522"/>
      <c r="Z64" s="522"/>
      <c r="AA64" s="522"/>
      <c r="AB64" s="522"/>
      <c r="AC64" s="522"/>
      <c r="AD64" s="522"/>
      <c r="AE64" s="522"/>
      <c r="AF64" s="271"/>
      <c r="AG64" s="271"/>
      <c r="AH64" s="271"/>
      <c r="AI64" s="271"/>
      <c r="AJ64" s="271"/>
      <c r="AK64" s="271"/>
      <c r="AL64" s="271"/>
      <c r="AM64" s="271"/>
      <c r="AN64" s="271"/>
      <c r="AO64" s="178"/>
      <c r="AU64" s="2177"/>
      <c r="AV64" s="2177"/>
      <c r="AW64" s="2177"/>
      <c r="AX64" s="2177"/>
      <c r="AY64" s="2177"/>
      <c r="AZ64" s="2177"/>
      <c r="BA64" s="2177"/>
      <c r="BB64" s="2177"/>
      <c r="BC64" s="2177"/>
      <c r="BD64" s="2177"/>
      <c r="BE64" s="2177"/>
      <c r="BF64" s="2177"/>
      <c r="BG64" s="2177"/>
      <c r="BH64" s="2177"/>
      <c r="BI64" s="2177"/>
      <c r="BJ64" s="2177"/>
      <c r="BK64" s="2801"/>
      <c r="BL64" s="2801"/>
      <c r="BM64" s="2801"/>
      <c r="BN64" s="2801"/>
      <c r="BO64" s="2801"/>
      <c r="BP64" s="2177"/>
      <c r="BQ64" s="2177"/>
      <c r="BR64" s="2177"/>
      <c r="BS64" s="2177"/>
      <c r="BT64" s="2177"/>
      <c r="BU64" s="2177"/>
      <c r="BV64" s="2177"/>
      <c r="BW64" s="2801"/>
      <c r="BX64" s="2801"/>
      <c r="BY64" s="2801"/>
      <c r="BZ64" s="2801"/>
      <c r="CA64" s="2801"/>
      <c r="CB64" s="2177"/>
      <c r="CC64" s="2177"/>
      <c r="CD64" s="2177"/>
      <c r="CE64" s="2177"/>
      <c r="CF64" s="2177"/>
      <c r="CG64" s="2177"/>
      <c r="CH64" s="2177"/>
      <c r="CI64" s="2177"/>
      <c r="CJ64" s="2177"/>
      <c r="CK64" s="2177"/>
      <c r="CL64" s="2177"/>
      <c r="CM64" s="2177"/>
      <c r="CN64" s="2177"/>
      <c r="CO64" s="2177"/>
      <c r="CP64" s="2177"/>
      <c r="CQ64" s="2177"/>
      <c r="CR64" s="2177"/>
      <c r="CS64" s="2177"/>
      <c r="CT64" s="2177"/>
      <c r="CU64" s="2177"/>
      <c r="CV64" s="2177"/>
      <c r="CW64" s="2177"/>
      <c r="CX64" s="2177"/>
      <c r="CY64" s="2177"/>
      <c r="CZ64" s="2177"/>
      <c r="DA64" s="2177"/>
      <c r="DB64" s="2177"/>
      <c r="DC64" s="2177"/>
      <c r="DD64" s="2177"/>
      <c r="DE64" s="2177"/>
      <c r="DF64" s="2177"/>
      <c r="DG64" s="2177"/>
      <c r="DH64" s="2177"/>
      <c r="DI64" s="2177"/>
      <c r="DJ64" s="2177"/>
      <c r="DK64" s="2177"/>
      <c r="DL64" s="2177"/>
      <c r="DM64" s="2177"/>
      <c r="DN64" s="2177"/>
      <c r="DO64" s="2177"/>
      <c r="DP64" s="2177"/>
      <c r="DQ64" s="2177"/>
      <c r="DR64" s="2177"/>
      <c r="DS64" s="2177"/>
      <c r="DT64" s="2177"/>
      <c r="DU64" s="2177"/>
      <c r="DV64" s="2177"/>
      <c r="DW64" s="2177"/>
      <c r="DX64" s="2177"/>
      <c r="DY64" s="2177"/>
      <c r="DZ64" s="2177"/>
      <c r="EA64" s="2177"/>
    </row>
    <row r="65" spans="1:131" s="269" customFormat="1" x14ac:dyDescent="0.2"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  <c r="AA65" s="522"/>
      <c r="AB65" s="522"/>
      <c r="AC65" s="522"/>
      <c r="AD65" s="522"/>
      <c r="AE65" s="522"/>
      <c r="AF65" s="271"/>
      <c r="AG65" s="271"/>
      <c r="AH65" s="271"/>
      <c r="AI65" s="271"/>
      <c r="AJ65" s="271"/>
      <c r="AK65" s="271"/>
      <c r="AL65" s="271"/>
      <c r="AM65" s="271"/>
      <c r="AN65" s="271"/>
      <c r="AO65" s="178"/>
      <c r="AU65" s="2177"/>
      <c r="AV65" s="2177"/>
      <c r="AW65" s="2177"/>
      <c r="AX65" s="2177"/>
      <c r="AY65" s="2177"/>
      <c r="AZ65" s="2177"/>
      <c r="BA65" s="2177"/>
      <c r="BB65" s="2177"/>
      <c r="BC65" s="2177"/>
      <c r="BD65" s="2177"/>
      <c r="BE65" s="2177"/>
      <c r="BF65" s="2177"/>
      <c r="BG65" s="2177"/>
      <c r="BH65" s="2177"/>
      <c r="BI65" s="2177"/>
      <c r="BJ65" s="2177"/>
      <c r="BK65" s="2177"/>
      <c r="BL65" s="2177"/>
      <c r="BM65" s="2177"/>
      <c r="BN65" s="2177"/>
      <c r="BO65" s="2177"/>
      <c r="BP65" s="2177"/>
      <c r="BQ65" s="2177"/>
      <c r="BR65" s="2177"/>
      <c r="BS65" s="2177"/>
      <c r="BT65" s="2177"/>
      <c r="BU65" s="2177"/>
      <c r="BV65" s="2177"/>
      <c r="BW65" s="3528">
        <f>SUM(BX65:BY65)</f>
        <v>25704.719127736658</v>
      </c>
      <c r="BX65" s="3528">
        <f>SUM(вода!CF58)</f>
        <v>10943.583293623064</v>
      </c>
      <c r="BY65" s="3528">
        <f>SUM(стоки!CK46)</f>
        <v>14761.135834113597</v>
      </c>
      <c r="BZ65" s="2177"/>
      <c r="CA65" s="2177"/>
      <c r="CB65" s="2177"/>
      <c r="CC65" s="2177"/>
      <c r="CD65" s="2177"/>
      <c r="CE65" s="2177"/>
      <c r="CF65" s="2177"/>
      <c r="CG65" s="2177"/>
      <c r="CH65" s="2177"/>
      <c r="CI65" s="2177"/>
      <c r="CJ65" s="2177"/>
      <c r="CK65" s="2177"/>
      <c r="CL65" s="2177"/>
      <c r="CM65" s="2177"/>
      <c r="CN65" s="2177"/>
      <c r="CO65" s="2177"/>
      <c r="CP65" s="2177"/>
      <c r="CQ65" s="2177"/>
      <c r="CR65" s="2177"/>
      <c r="CS65" s="2177"/>
      <c r="CT65" s="2177"/>
      <c r="CU65" s="2177"/>
      <c r="CV65" s="2177"/>
      <c r="CW65" s="2177"/>
      <c r="CX65" s="2177"/>
      <c r="CY65" s="2177"/>
      <c r="CZ65" s="2177"/>
      <c r="DA65" s="2177"/>
      <c r="DB65" s="2177"/>
      <c r="DC65" s="2177"/>
      <c r="DD65" s="2177"/>
      <c r="DE65" s="2177"/>
      <c r="DF65" s="2177"/>
      <c r="DG65" s="2177"/>
      <c r="DH65" s="2177"/>
      <c r="DI65" s="2177"/>
      <c r="DJ65" s="2177"/>
      <c r="DK65" s="2177"/>
      <c r="DL65" s="2177"/>
      <c r="DM65" s="2177"/>
      <c r="DN65" s="2177"/>
      <c r="DO65" s="2177"/>
      <c r="DP65" s="2177"/>
      <c r="DQ65" s="2177"/>
      <c r="DR65" s="2177"/>
      <c r="DS65" s="2177"/>
      <c r="DT65" s="2177"/>
      <c r="DU65" s="2177"/>
      <c r="DV65" s="2177"/>
      <c r="DW65" s="2177"/>
      <c r="DX65" s="2177"/>
      <c r="DY65" s="2177"/>
      <c r="DZ65" s="2177"/>
      <c r="EA65" s="2177"/>
    </row>
    <row r="66" spans="1:131" s="269" customFormat="1" x14ac:dyDescent="0.2"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2"/>
      <c r="AC66" s="522"/>
      <c r="AD66" s="522"/>
      <c r="AE66" s="522"/>
      <c r="AF66" s="271"/>
      <c r="AG66" s="271"/>
      <c r="AH66" s="271"/>
      <c r="AI66" s="271"/>
      <c r="AJ66" s="271"/>
      <c r="AK66" s="271"/>
      <c r="AL66" s="271"/>
      <c r="AM66" s="271"/>
      <c r="AN66" s="271"/>
      <c r="AO66" s="178"/>
      <c r="AU66" s="2177"/>
      <c r="AV66" s="2177"/>
      <c r="AW66" s="2177"/>
      <c r="AX66" s="2177"/>
      <c r="AY66" s="2177"/>
      <c r="AZ66" s="2177"/>
      <c r="BA66" s="2177"/>
      <c r="BB66" s="2177"/>
      <c r="BC66" s="2177"/>
      <c r="BD66" s="2177"/>
      <c r="BE66" s="2177"/>
      <c r="BF66" s="2177"/>
      <c r="BG66" s="2177"/>
      <c r="BH66" s="2177"/>
      <c r="BI66" s="2177"/>
      <c r="BJ66" s="2177"/>
      <c r="BK66" s="2177"/>
      <c r="BL66" s="2177"/>
      <c r="BM66" s="2177"/>
      <c r="BN66" s="2177"/>
      <c r="BO66" s="2177"/>
      <c r="BP66" s="2177"/>
      <c r="BQ66" s="2177"/>
      <c r="BR66" s="2177"/>
      <c r="BS66" s="2177"/>
      <c r="BT66" s="2177"/>
      <c r="BU66" s="2177"/>
      <c r="BV66" s="2177"/>
      <c r="BW66" s="3528"/>
      <c r="BX66" s="3528"/>
      <c r="BY66" s="3528"/>
      <c r="BZ66" s="2177"/>
      <c r="CA66" s="2177"/>
      <c r="CB66" s="2177"/>
      <c r="CC66" s="2177"/>
      <c r="CD66" s="2177"/>
      <c r="CE66" s="2177"/>
      <c r="CF66" s="2177"/>
      <c r="CG66" s="2177"/>
      <c r="CH66" s="2177"/>
      <c r="CI66" s="2177"/>
      <c r="CJ66" s="2177"/>
      <c r="CK66" s="2177"/>
      <c r="CL66" s="2177"/>
      <c r="CM66" s="2177"/>
      <c r="CN66" s="2177"/>
      <c r="CO66" s="2177"/>
      <c r="CP66" s="2177"/>
      <c r="CQ66" s="2177"/>
      <c r="CR66" s="2177"/>
      <c r="CS66" s="2177"/>
      <c r="CT66" s="2177"/>
      <c r="CU66" s="2177"/>
      <c r="CV66" s="2177"/>
      <c r="CW66" s="2177"/>
      <c r="CX66" s="2177"/>
      <c r="CY66" s="2177"/>
      <c r="CZ66" s="2177"/>
      <c r="DA66" s="2177"/>
      <c r="DB66" s="2177"/>
      <c r="DC66" s="2177"/>
      <c r="DD66" s="4164">
        <f>SUM(DD49+DD65)</f>
        <v>15010.218832495006</v>
      </c>
      <c r="DE66" s="4164">
        <f>SUM(DE49+DE65)</f>
        <v>10596.696266752198</v>
      </c>
      <c r="DF66" s="2177"/>
      <c r="DG66" s="2177"/>
      <c r="DH66" s="2177"/>
      <c r="DI66" s="2177"/>
      <c r="DJ66" s="2177"/>
      <c r="DK66" s="2177"/>
      <c r="DL66" s="2177"/>
      <c r="DM66" s="2177"/>
      <c r="DN66" s="2177"/>
      <c r="DO66" s="2177"/>
      <c r="DP66" s="2177"/>
      <c r="DQ66" s="2177"/>
      <c r="DR66" s="2177"/>
      <c r="DS66" s="2177"/>
      <c r="DT66" s="2177"/>
      <c r="DU66" s="2177"/>
      <c r="DV66" s="2177"/>
      <c r="DW66" s="2177"/>
      <c r="DX66" s="2177"/>
      <c r="DY66" s="2177"/>
      <c r="DZ66" s="2177"/>
      <c r="EA66" s="2177"/>
    </row>
    <row r="67" spans="1:131" s="269" customFormat="1" x14ac:dyDescent="0.2"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22"/>
      <c r="U67" s="522"/>
      <c r="V67" s="522"/>
      <c r="W67" s="522"/>
      <c r="X67" s="522"/>
      <c r="Y67" s="522"/>
      <c r="Z67" s="522"/>
      <c r="AA67" s="522"/>
      <c r="AB67" s="522"/>
      <c r="AC67" s="522"/>
      <c r="AD67" s="522"/>
      <c r="AE67" s="522"/>
      <c r="AF67" s="271"/>
      <c r="AG67" s="271"/>
      <c r="AH67" s="271"/>
      <c r="AI67" s="271"/>
      <c r="AJ67" s="271"/>
      <c r="AK67" s="271"/>
      <c r="AL67" s="271"/>
      <c r="AM67" s="271"/>
      <c r="AN67" s="271"/>
      <c r="AO67" s="178"/>
      <c r="AU67" s="2177"/>
      <c r="AV67" s="2177"/>
      <c r="AW67" s="2177"/>
      <c r="AX67" s="2177"/>
      <c r="AY67" s="2177"/>
      <c r="AZ67" s="2177"/>
      <c r="BA67" s="2177"/>
      <c r="BB67" s="2177"/>
      <c r="BC67" s="2177"/>
      <c r="BD67" s="2177"/>
      <c r="BE67" s="2177"/>
      <c r="BF67" s="2177"/>
      <c r="BG67" s="2177"/>
      <c r="BH67" s="2177"/>
      <c r="BI67" s="2177"/>
      <c r="BJ67" s="2177"/>
      <c r="BK67" s="2177"/>
      <c r="BL67" s="2177"/>
      <c r="BM67" s="2177"/>
      <c r="BN67" s="2177"/>
      <c r="BO67" s="2177"/>
      <c r="BP67" s="2177"/>
      <c r="BQ67" s="2177"/>
      <c r="BR67" s="2177"/>
      <c r="BS67" s="2177"/>
      <c r="BT67" s="2177"/>
      <c r="BU67" s="2177"/>
      <c r="BV67" s="2177"/>
      <c r="BW67" s="3528"/>
      <c r="BX67" s="3528"/>
      <c r="BY67" s="3528"/>
      <c r="BZ67" s="2177"/>
      <c r="CA67" s="2177"/>
      <c r="CB67" s="2177"/>
      <c r="CC67" s="2177"/>
      <c r="CD67" s="2177"/>
      <c r="CE67" s="2177"/>
      <c r="CF67" s="2177"/>
      <c r="CG67" s="2177"/>
      <c r="CH67" s="2177"/>
      <c r="CI67" s="2177"/>
      <c r="CJ67" s="2177"/>
      <c r="CK67" s="2177"/>
      <c r="CL67" s="2177"/>
      <c r="CM67" s="2177"/>
      <c r="CN67" s="2177"/>
      <c r="CO67" s="2177"/>
      <c r="CP67" s="2177"/>
      <c r="CQ67" s="2177"/>
      <c r="CR67" s="2177"/>
      <c r="CS67" s="2177"/>
      <c r="CT67" s="2177"/>
      <c r="CU67" s="2177"/>
      <c r="CV67" s="2177"/>
      <c r="CW67" s="2177"/>
      <c r="CX67" s="2177"/>
      <c r="CY67" s="2177"/>
      <c r="CZ67" s="2177"/>
      <c r="DA67" s="2177"/>
      <c r="DB67" s="2177"/>
      <c r="DC67" s="2177"/>
      <c r="DD67" s="2177"/>
      <c r="DE67" s="2177"/>
      <c r="DF67" s="2177"/>
      <c r="DG67" s="2177"/>
      <c r="DH67" s="2177"/>
      <c r="DI67" s="2177"/>
      <c r="DJ67" s="2177"/>
      <c r="DK67" s="2177"/>
      <c r="DL67" s="2177"/>
      <c r="DM67" s="2177"/>
      <c r="DN67" s="2177"/>
      <c r="DO67" s="2177"/>
      <c r="DP67" s="2177"/>
      <c r="DQ67" s="2177"/>
      <c r="DR67" s="2177"/>
      <c r="DS67" s="2177"/>
      <c r="DT67" s="2177"/>
      <c r="DU67" s="2177"/>
      <c r="DV67" s="2177"/>
      <c r="DW67" s="2177"/>
      <c r="DX67" s="2177"/>
      <c r="DY67" s="2177"/>
      <c r="DZ67" s="2177"/>
      <c r="EA67" s="2177"/>
    </row>
    <row r="68" spans="1:131" s="269" customFormat="1" ht="20.25" x14ac:dyDescent="0.3">
      <c r="A68" s="3527" t="s">
        <v>3563</v>
      </c>
      <c r="I68" s="522"/>
      <c r="J68" s="522"/>
      <c r="K68" s="522"/>
      <c r="L68" s="522"/>
      <c r="M68" s="522"/>
      <c r="N68" s="522"/>
      <c r="O68" s="522"/>
      <c r="P68" s="522"/>
      <c r="Q68" s="522"/>
      <c r="R68" s="522"/>
      <c r="S68" s="522"/>
      <c r="T68" s="522"/>
      <c r="U68" s="522"/>
      <c r="V68" s="522"/>
      <c r="W68" s="522"/>
      <c r="X68" s="522"/>
      <c r="Y68" s="522"/>
      <c r="Z68" s="522"/>
      <c r="AA68" s="522"/>
      <c r="AB68" s="522"/>
      <c r="AC68" s="522"/>
      <c r="AD68" s="522"/>
      <c r="AE68" s="522"/>
      <c r="AF68" s="271"/>
      <c r="AG68" s="271"/>
      <c r="AH68" s="271"/>
      <c r="AI68" s="271"/>
      <c r="AJ68" s="271"/>
      <c r="AK68" s="271"/>
      <c r="AL68" s="271"/>
      <c r="AM68" s="271"/>
      <c r="AN68" s="271"/>
      <c r="AO68" s="178"/>
      <c r="AU68" s="2177"/>
      <c r="AV68" s="2177"/>
      <c r="AW68" s="2177"/>
      <c r="AX68" s="2177"/>
      <c r="AY68" s="2177"/>
      <c r="AZ68" s="2177"/>
      <c r="BA68" s="2177"/>
      <c r="BB68" s="2177"/>
      <c r="BC68" s="2177"/>
      <c r="BD68" s="2177"/>
      <c r="BE68" s="2177"/>
      <c r="BF68" s="2177"/>
      <c r="BG68" s="2177"/>
      <c r="BH68" s="2177"/>
      <c r="BI68" s="2177"/>
      <c r="BJ68" s="2177"/>
      <c r="BK68" s="2177"/>
      <c r="BL68" s="2177"/>
      <c r="BM68" s="2177"/>
      <c r="BN68" s="2177"/>
      <c r="BO68" s="2177"/>
      <c r="BP68" s="2177"/>
      <c r="BQ68" s="2177"/>
      <c r="BR68" s="2177"/>
      <c r="BS68" s="2177"/>
      <c r="BT68" s="2177"/>
      <c r="BU68" s="2177"/>
      <c r="BV68" s="2177"/>
      <c r="BW68" s="2800"/>
      <c r="BX68" s="2800"/>
      <c r="BY68" s="2800"/>
      <c r="BZ68" s="2800"/>
      <c r="CA68" s="2800"/>
      <c r="CB68" s="2800"/>
      <c r="CC68" s="2177"/>
      <c r="CD68" s="2177"/>
      <c r="CE68" s="2177"/>
      <c r="CF68" s="2177"/>
      <c r="CG68" s="2177"/>
      <c r="CH68" s="2177"/>
      <c r="CI68" s="2177"/>
      <c r="CJ68" s="2177"/>
      <c r="CK68" s="2177"/>
      <c r="CL68" s="2177"/>
      <c r="CM68" s="2177"/>
      <c r="CN68" s="2177"/>
      <c r="CO68" s="2177"/>
      <c r="CP68" s="2177"/>
      <c r="CQ68" s="2177"/>
      <c r="CR68" s="2177"/>
      <c r="CS68" s="2177"/>
      <c r="CT68" s="2177"/>
      <c r="CU68" s="2177"/>
      <c r="CV68" s="2177"/>
      <c r="CW68" s="2177"/>
      <c r="CX68" s="2177"/>
      <c r="CY68" s="2177"/>
      <c r="CZ68" s="2177"/>
      <c r="DA68" s="2177"/>
      <c r="DB68" s="2177"/>
      <c r="DC68" s="2177"/>
      <c r="DD68" s="4164"/>
      <c r="DE68" s="4164"/>
      <c r="DF68" s="2177"/>
      <c r="DG68" s="2177"/>
      <c r="DH68" s="2177"/>
      <c r="DI68" s="2177"/>
      <c r="DJ68" s="2177"/>
      <c r="DK68" s="2177"/>
      <c r="DL68" s="2177"/>
      <c r="DM68" s="2177"/>
      <c r="DN68" s="2177"/>
      <c r="DO68" s="2177"/>
      <c r="DP68" s="2177"/>
      <c r="DQ68" s="2177"/>
      <c r="DR68" s="2177"/>
      <c r="DS68" s="2177"/>
      <c r="DT68" s="2177"/>
      <c r="DU68" s="2177"/>
      <c r="DV68" s="2177"/>
      <c r="DW68" s="2177"/>
      <c r="DX68" s="2177"/>
      <c r="DY68" s="2177"/>
      <c r="DZ68" s="2177"/>
      <c r="EA68" s="2177"/>
    </row>
  </sheetData>
  <mergeCells count="140">
    <mergeCell ref="CW4:DE4"/>
    <mergeCell ref="DD5:DE6"/>
    <mergeCell ref="DD62:DE62"/>
    <mergeCell ref="CW5:DC5"/>
    <mergeCell ref="CW6:CW7"/>
    <mergeCell ref="CX6:DC6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  <mergeCell ref="M5:M7"/>
    <mergeCell ref="BX6:CA6"/>
    <mergeCell ref="X6:X7"/>
    <mergeCell ref="W6:W7"/>
    <mergeCell ref="AB5:AB7"/>
    <mergeCell ref="AO4:AT4"/>
    <mergeCell ref="A52:A55"/>
    <mergeCell ref="B52:C53"/>
    <mergeCell ref="D52:E54"/>
    <mergeCell ref="E5:E7"/>
    <mergeCell ref="A4:A7"/>
    <mergeCell ref="B4:B7"/>
    <mergeCell ref="C4:C7"/>
    <mergeCell ref="D4:D7"/>
    <mergeCell ref="A51:AJ51"/>
    <mergeCell ref="G5:G7"/>
    <mergeCell ref="O53:P54"/>
    <mergeCell ref="Q53:R54"/>
    <mergeCell ref="S53:T54"/>
    <mergeCell ref="U53:V54"/>
    <mergeCell ref="W5:X5"/>
    <mergeCell ref="U6:U7"/>
    <mergeCell ref="R4:AA4"/>
    <mergeCell ref="AA5:AA7"/>
    <mergeCell ref="AB4:AI4"/>
    <mergeCell ref="AH5:AH7"/>
    <mergeCell ref="AI5:AI7"/>
    <mergeCell ref="AF5:AG5"/>
    <mergeCell ref="I52:N52"/>
    <mergeCell ref="Y53:Z54"/>
    <mergeCell ref="W53:X54"/>
    <mergeCell ref="O52:X52"/>
    <mergeCell ref="Y52:AD52"/>
    <mergeCell ref="AC53:AD54"/>
    <mergeCell ref="L53:N54"/>
    <mergeCell ref="K53:K55"/>
    <mergeCell ref="E4:F4"/>
    <mergeCell ref="F5:F7"/>
    <mergeCell ref="G52:G54"/>
    <mergeCell ref="H52:H54"/>
    <mergeCell ref="R5:R7"/>
    <mergeCell ref="U5:V5"/>
    <mergeCell ref="V6:V7"/>
    <mergeCell ref="J53:J55"/>
    <mergeCell ref="I53:I55"/>
    <mergeCell ref="S5:S7"/>
    <mergeCell ref="AD6:AD7"/>
    <mergeCell ref="AC5:AC7"/>
    <mergeCell ref="AD5:AE5"/>
    <mergeCell ref="Z5:Z7"/>
    <mergeCell ref="AE52:AH52"/>
    <mergeCell ref="AE53:AF54"/>
    <mergeCell ref="AG53:AH54"/>
    <mergeCell ref="AF6:AF7"/>
    <mergeCell ref="AU6:AU7"/>
    <mergeCell ref="AV6:AW6"/>
    <mergeCell ref="AK5:AL5"/>
    <mergeCell ref="AM5:AN5"/>
    <mergeCell ref="AK6:AK7"/>
    <mergeCell ref="AL6:AL7"/>
    <mergeCell ref="AM6:AM7"/>
    <mergeCell ref="AN6:AN7"/>
    <mergeCell ref="AI53:AJ54"/>
    <mergeCell ref="AJ5:AJ7"/>
    <mergeCell ref="AG6:AG7"/>
    <mergeCell ref="AK53:AM54"/>
    <mergeCell ref="AI52:AM52"/>
    <mergeCell ref="AA53:AB54"/>
    <mergeCell ref="AU5:AW5"/>
    <mergeCell ref="BW4:CA4"/>
    <mergeCell ref="AO5:AQ5"/>
    <mergeCell ref="AP6:AQ6"/>
    <mergeCell ref="AO6:AO7"/>
    <mergeCell ref="BP5:BV5"/>
    <mergeCell ref="BP6:BP7"/>
    <mergeCell ref="BQ6:BV6"/>
    <mergeCell ref="BP4:BV4"/>
    <mergeCell ref="AX5:AZ5"/>
    <mergeCell ref="AX6:AX7"/>
    <mergeCell ref="AY6:AZ6"/>
    <mergeCell ref="BA6:BA7"/>
    <mergeCell ref="AX4:BG4"/>
    <mergeCell ref="BA5:BG5"/>
    <mergeCell ref="BB6:BG6"/>
    <mergeCell ref="BL6:BO6"/>
    <mergeCell ref="BW5:CA5"/>
    <mergeCell ref="BW6:BW7"/>
    <mergeCell ref="AU4:AW4"/>
    <mergeCell ref="A2:EA2"/>
    <mergeCell ref="CB6:CB7"/>
    <mergeCell ref="CC6:CH6"/>
    <mergeCell ref="CI6:CI7"/>
    <mergeCell ref="CJ6:CO6"/>
    <mergeCell ref="CP6:CP7"/>
    <mergeCell ref="CQ6:CV6"/>
    <mergeCell ref="CB4:CV4"/>
    <mergeCell ref="CB5:CH5"/>
    <mergeCell ref="CI5:CO5"/>
    <mergeCell ref="CP5:CV5"/>
    <mergeCell ref="AR5:AT5"/>
    <mergeCell ref="AR6:AR7"/>
    <mergeCell ref="AS6:AT6"/>
    <mergeCell ref="BH4:BM4"/>
    <mergeCell ref="BH5:BJ5"/>
    <mergeCell ref="BH6:BH7"/>
    <mergeCell ref="BI6:BJ6"/>
    <mergeCell ref="BK6:BK7"/>
    <mergeCell ref="BK5:BO5"/>
    <mergeCell ref="EA4:EA7"/>
    <mergeCell ref="AJ4:AN4"/>
    <mergeCell ref="Y5:Y7"/>
    <mergeCell ref="AE6:AE7"/>
    <mergeCell ref="DF4:DZ4"/>
    <mergeCell ref="DF5:DL5"/>
    <mergeCell ref="DM5:DS5"/>
    <mergeCell ref="DT5:DZ5"/>
    <mergeCell ref="DF6:DF7"/>
    <mergeCell ref="DG6:DL6"/>
    <mergeCell ref="DM6:DM7"/>
    <mergeCell ref="DN6:DS6"/>
    <mergeCell ref="DT6:DT7"/>
    <mergeCell ref="DU6:DZ6"/>
  </mergeCells>
  <phoneticPr fontId="0" type="noConversion"/>
  <printOptions horizontalCentered="1" verticalCentered="1"/>
  <pageMargins left="0" right="0" top="0.35433070866141736" bottom="0" header="0.51181102362204722" footer="0.51181102362204722"/>
  <pageSetup paperSize="9" scale="16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3">
    <tabColor rgb="FFFFFF00"/>
    <pageSetUpPr fitToPage="1"/>
  </sheetPr>
  <dimension ref="A3:X18"/>
  <sheetViews>
    <sheetView workbookViewId="0">
      <selection activeCell="T9" sqref="T9"/>
    </sheetView>
  </sheetViews>
  <sheetFormatPr defaultRowHeight="12.75" x14ac:dyDescent="0.2"/>
  <cols>
    <col min="1" max="1" width="30.42578125" style="5" customWidth="1"/>
    <col min="2" max="2" width="9.5703125" style="5" customWidth="1"/>
    <col min="3" max="13" width="7.7109375" style="5" customWidth="1"/>
    <col min="14" max="15" width="13.42578125" style="5" customWidth="1"/>
    <col min="16" max="17" width="9.5703125" style="5" customWidth="1"/>
    <col min="18" max="18" width="8.140625" style="5" customWidth="1"/>
    <col min="19" max="19" width="13.42578125" style="5" customWidth="1"/>
    <col min="20" max="23" width="12.7109375" style="5" customWidth="1"/>
    <col min="24" max="24" width="15.42578125" style="5" customWidth="1"/>
    <col min="25" max="16384" width="9.140625" style="5"/>
  </cols>
  <sheetData>
    <row r="3" spans="1:24" ht="15.75" x14ac:dyDescent="0.2">
      <c r="A3" s="5217" t="s">
        <v>3911</v>
      </c>
      <c r="B3" s="5217"/>
      <c r="C3" s="5217"/>
      <c r="D3" s="5217"/>
      <c r="E3" s="5217"/>
      <c r="F3" s="5217"/>
      <c r="G3" s="5217"/>
      <c r="H3" s="5217"/>
      <c r="I3" s="5217"/>
      <c r="J3" s="5217"/>
      <c r="K3" s="5217"/>
      <c r="L3" s="5217"/>
      <c r="M3" s="5217"/>
      <c r="N3" s="5217"/>
      <c r="O3" s="5217"/>
      <c r="P3" s="5217"/>
      <c r="Q3" s="5217"/>
      <c r="R3" s="5217"/>
      <c r="S3" s="5217"/>
      <c r="T3" s="5217"/>
      <c r="U3" s="5217"/>
      <c r="V3" s="5217"/>
      <c r="W3" s="5217"/>
      <c r="X3" s="5217"/>
    </row>
    <row r="5" spans="1:24" ht="38.25" customHeight="1" x14ac:dyDescent="0.2">
      <c r="A5" s="4487" t="s">
        <v>527</v>
      </c>
      <c r="B5" s="4482" t="s">
        <v>1523</v>
      </c>
      <c r="C5" s="4487" t="s">
        <v>119</v>
      </c>
      <c r="D5" s="4487"/>
      <c r="E5" s="4487"/>
      <c r="F5" s="4487"/>
      <c r="G5" s="4487"/>
      <c r="H5" s="4487" t="s">
        <v>1524</v>
      </c>
      <c r="I5" s="4487"/>
      <c r="J5" s="4487"/>
      <c r="K5" s="4487"/>
      <c r="L5" s="4487"/>
      <c r="M5" s="4487"/>
      <c r="N5" s="2487" t="s">
        <v>3516</v>
      </c>
      <c r="O5" s="2765" t="s">
        <v>3695</v>
      </c>
      <c r="P5" s="5015" t="s">
        <v>3648</v>
      </c>
      <c r="Q5" s="5015" t="s">
        <v>3649</v>
      </c>
      <c r="R5" s="5015" t="s">
        <v>3652</v>
      </c>
      <c r="S5" s="3501" t="s">
        <v>3516</v>
      </c>
      <c r="T5" s="3501" t="s">
        <v>3695</v>
      </c>
      <c r="U5" s="5015" t="s">
        <v>3943</v>
      </c>
      <c r="V5" s="5015" t="s">
        <v>3944</v>
      </c>
      <c r="W5" s="5015" t="s">
        <v>3952</v>
      </c>
      <c r="X5" s="4487" t="s">
        <v>1904</v>
      </c>
    </row>
    <row r="6" spans="1:24" x14ac:dyDescent="0.2">
      <c r="A6" s="4487"/>
      <c r="B6" s="4483"/>
      <c r="C6" s="2184" t="s">
        <v>1802</v>
      </c>
      <c r="D6" s="2184" t="s">
        <v>1808</v>
      </c>
      <c r="E6" s="2184" t="s">
        <v>1809</v>
      </c>
      <c r="F6" s="2184" t="s">
        <v>1810</v>
      </c>
      <c r="G6" s="2184" t="s">
        <v>1811</v>
      </c>
      <c r="H6" s="2184" t="s">
        <v>1802</v>
      </c>
      <c r="I6" s="2184" t="s">
        <v>1808</v>
      </c>
      <c r="J6" s="2184" t="s">
        <v>1809</v>
      </c>
      <c r="K6" s="2184" t="s">
        <v>1810</v>
      </c>
      <c r="L6" s="2184" t="s">
        <v>1811</v>
      </c>
      <c r="M6" s="2184" t="s">
        <v>1812</v>
      </c>
      <c r="N6" s="5052" t="s">
        <v>1808</v>
      </c>
      <c r="O6" s="4876"/>
      <c r="P6" s="5220"/>
      <c r="Q6" s="5220"/>
      <c r="R6" s="5220"/>
      <c r="S6" s="5052" t="s">
        <v>1809</v>
      </c>
      <c r="T6" s="4876"/>
      <c r="U6" s="5220"/>
      <c r="V6" s="5220"/>
      <c r="W6" s="5220"/>
      <c r="X6" s="4487"/>
    </row>
    <row r="7" spans="1:24" x14ac:dyDescent="0.2">
      <c r="A7" s="5052" t="s">
        <v>1951</v>
      </c>
      <c r="B7" s="5218"/>
      <c r="C7" s="5218"/>
      <c r="D7" s="5218"/>
      <c r="E7" s="5218"/>
      <c r="F7" s="5218"/>
      <c r="G7" s="5218"/>
      <c r="H7" s="5218"/>
      <c r="I7" s="5218"/>
      <c r="J7" s="5218"/>
      <c r="K7" s="5218"/>
      <c r="L7" s="5218"/>
      <c r="M7" s="5218"/>
      <c r="N7" s="5218"/>
      <c r="O7" s="5218"/>
      <c r="P7" s="5218"/>
      <c r="Q7" s="5218"/>
      <c r="R7" s="5218"/>
      <c r="S7" s="5218"/>
      <c r="T7" s="5218"/>
      <c r="U7" s="5218"/>
      <c r="V7" s="5218"/>
      <c r="W7" s="5218"/>
      <c r="X7" s="5219"/>
    </row>
    <row r="8" spans="1:24" ht="22.5" customHeight="1" x14ac:dyDescent="0.2">
      <c r="A8" s="1732" t="s">
        <v>1952</v>
      </c>
      <c r="B8" s="3511" t="s">
        <v>1956</v>
      </c>
      <c r="C8" s="3512">
        <v>2105.39</v>
      </c>
      <c r="D8" s="3512">
        <v>2210.66</v>
      </c>
      <c r="E8" s="3512">
        <v>2321.1999999999998</v>
      </c>
      <c r="F8" s="3512">
        <v>2437.3000000000002</v>
      </c>
      <c r="G8" s="3512">
        <v>2559.1</v>
      </c>
      <c r="H8" s="3512">
        <f>D14*1.059</f>
        <v>2049.7898100000002</v>
      </c>
      <c r="I8" s="3512">
        <f>H8*1.042</f>
        <v>2135.8809820200004</v>
      </c>
      <c r="J8" s="3512">
        <f>I8*1.04</f>
        <v>2221.3162213008004</v>
      </c>
      <c r="K8" s="3512">
        <f>J8*1.04</f>
        <v>2310.1688701528324</v>
      </c>
      <c r="L8" s="3512">
        <f>K8*1.039</f>
        <v>2400.2654560887927</v>
      </c>
      <c r="M8" s="3512">
        <f>L8*1.039</f>
        <v>2493.8758088762556</v>
      </c>
      <c r="N8" s="3512">
        <f>SUM(I8)</f>
        <v>2135.8809820200004</v>
      </c>
      <c r="O8" s="3512">
        <v>2135.88</v>
      </c>
      <c r="P8" s="3512">
        <v>1956.94</v>
      </c>
      <c r="Q8" s="3512">
        <v>1956.94</v>
      </c>
      <c r="R8" s="3512">
        <v>1956.94</v>
      </c>
      <c r="S8" s="3335">
        <f>SUM(N8)</f>
        <v>2135.8809820200004</v>
      </c>
      <c r="T8" s="4063">
        <v>2010.2425000000001</v>
      </c>
      <c r="U8" s="3335">
        <v>1893.97</v>
      </c>
      <c r="V8" s="3335">
        <v>1893.97</v>
      </c>
      <c r="W8" s="3307">
        <v>1956.94</v>
      </c>
      <c r="X8" s="2232" t="s">
        <v>1960</v>
      </c>
    </row>
    <row r="9" spans="1:24" ht="45" customHeight="1" x14ac:dyDescent="0.2">
      <c r="A9" s="1732" t="s">
        <v>1953</v>
      </c>
      <c r="B9" s="3511" t="s">
        <v>1955</v>
      </c>
      <c r="C9" s="3511">
        <v>153</v>
      </c>
      <c r="D9" s="3511">
        <v>153</v>
      </c>
      <c r="E9" s="3511">
        <v>153</v>
      </c>
      <c r="F9" s="3511">
        <v>153</v>
      </c>
      <c r="G9" s="3511">
        <v>153</v>
      </c>
      <c r="H9" s="3511">
        <v>153</v>
      </c>
      <c r="I9" s="3511">
        <v>153</v>
      </c>
      <c r="J9" s="3511">
        <f>I9</f>
        <v>153</v>
      </c>
      <c r="K9" s="3511">
        <f t="shared" ref="K9:M9" si="0">J9</f>
        <v>153</v>
      </c>
      <c r="L9" s="3511">
        <f t="shared" si="0"/>
        <v>153</v>
      </c>
      <c r="M9" s="3511">
        <f t="shared" si="0"/>
        <v>153</v>
      </c>
      <c r="N9" s="3511">
        <f>SUM(I9)</f>
        <v>153</v>
      </c>
      <c r="O9" s="3511">
        <f>SUM(N9)</f>
        <v>153</v>
      </c>
      <c r="P9" s="3511">
        <v>40.14</v>
      </c>
      <c r="Q9" s="3511">
        <v>40.14</v>
      </c>
      <c r="R9" s="3511">
        <v>63.96</v>
      </c>
      <c r="S9" s="3515">
        <f>SUM(N9)</f>
        <v>153</v>
      </c>
      <c r="T9" s="4082">
        <f>SUM(R9)</f>
        <v>63.96</v>
      </c>
      <c r="U9" s="3515">
        <v>48.58</v>
      </c>
      <c r="V9" s="3515">
        <v>51.65</v>
      </c>
      <c r="W9" s="3459">
        <v>63.96</v>
      </c>
      <c r="X9" s="2182" t="s">
        <v>1959</v>
      </c>
    </row>
    <row r="10" spans="1:24" ht="40.5" customHeight="1" x14ac:dyDescent="0.2">
      <c r="A10" s="1732" t="s">
        <v>1954</v>
      </c>
      <c r="B10" s="3511" t="s">
        <v>902</v>
      </c>
      <c r="C10" s="3512">
        <v>322.13</v>
      </c>
      <c r="D10" s="3512">
        <v>338.23</v>
      </c>
      <c r="E10" s="3512">
        <v>355.14</v>
      </c>
      <c r="F10" s="3512">
        <v>372.9</v>
      </c>
      <c r="G10" s="3512">
        <v>391.55</v>
      </c>
      <c r="H10" s="3513">
        <f>H8*H9/1000</f>
        <v>313.61784093</v>
      </c>
      <c r="I10" s="3513">
        <f t="shared" ref="I10:R10" si="1">I8*I9/1000</f>
        <v>326.7897902490601</v>
      </c>
      <c r="J10" s="3513">
        <f t="shared" si="1"/>
        <v>339.86138185902246</v>
      </c>
      <c r="K10" s="3513">
        <f t="shared" si="1"/>
        <v>353.4558371333834</v>
      </c>
      <c r="L10" s="3513">
        <f t="shared" si="1"/>
        <v>367.24061478158529</v>
      </c>
      <c r="M10" s="3513">
        <f t="shared" si="1"/>
        <v>381.56299875806707</v>
      </c>
      <c r="N10" s="3513">
        <f t="shared" si="1"/>
        <v>326.7897902490601</v>
      </c>
      <c r="O10" s="3513">
        <f t="shared" si="1"/>
        <v>326.78964000000002</v>
      </c>
      <c r="P10" s="3513">
        <f t="shared" si="1"/>
        <v>78.551571600000017</v>
      </c>
      <c r="Q10" s="3513">
        <f t="shared" si="1"/>
        <v>78.551571600000017</v>
      </c>
      <c r="R10" s="3513">
        <f t="shared" si="1"/>
        <v>125.1658824</v>
      </c>
      <c r="S10" s="3336">
        <f t="shared" ref="S10:W10" si="2">S8*S9/1000</f>
        <v>326.7897902490601</v>
      </c>
      <c r="T10" s="4065">
        <f t="shared" si="2"/>
        <v>128.57511030000001</v>
      </c>
      <c r="U10" s="3336">
        <f t="shared" si="2"/>
        <v>92.009062600000007</v>
      </c>
      <c r="V10" s="3336">
        <f t="shared" si="2"/>
        <v>97.823550499999996</v>
      </c>
      <c r="W10" s="3309">
        <f t="shared" si="2"/>
        <v>125.1658824</v>
      </c>
      <c r="X10" s="2185"/>
    </row>
    <row r="12" spans="1:24" ht="25.5" hidden="1" x14ac:dyDescent="0.2">
      <c r="A12" s="2106" t="s">
        <v>1957</v>
      </c>
      <c r="B12" s="4420" t="s">
        <v>1958</v>
      </c>
      <c r="C12" s="4420"/>
      <c r="D12" s="4420"/>
      <c r="E12" s="4420"/>
      <c r="F12" s="4242"/>
    </row>
    <row r="13" spans="1:24" hidden="1" x14ac:dyDescent="0.2">
      <c r="B13" s="5" t="s">
        <v>1963</v>
      </c>
      <c r="C13" s="5" t="s">
        <v>1962</v>
      </c>
      <c r="D13" s="5" t="s">
        <v>1964</v>
      </c>
    </row>
    <row r="14" spans="1:24" hidden="1" x14ac:dyDescent="0.2">
      <c r="A14" s="5" t="s">
        <v>1961</v>
      </c>
      <c r="B14" s="5">
        <v>1884.96</v>
      </c>
      <c r="C14" s="5">
        <v>1986.22</v>
      </c>
      <c r="D14" s="1674">
        <f>(B14*6+C14*6)/12</f>
        <v>1935.5900000000001</v>
      </c>
    </row>
    <row r="18" spans="1:1" ht="18.75" x14ac:dyDescent="0.3">
      <c r="A18" s="389" t="s">
        <v>3550</v>
      </c>
    </row>
  </sheetData>
  <mergeCells count="16">
    <mergeCell ref="B12:F12"/>
    <mergeCell ref="A3:X3"/>
    <mergeCell ref="X5:X6"/>
    <mergeCell ref="B5:B6"/>
    <mergeCell ref="A7:X7"/>
    <mergeCell ref="C5:G5"/>
    <mergeCell ref="A5:A6"/>
    <mergeCell ref="H5:M5"/>
    <mergeCell ref="P5:P6"/>
    <mergeCell ref="Q5:Q6"/>
    <mergeCell ref="R5:R6"/>
    <mergeCell ref="N6:O6"/>
    <mergeCell ref="S6:T6"/>
    <mergeCell ref="U5:U6"/>
    <mergeCell ref="V5:V6"/>
    <mergeCell ref="W5:W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00B050"/>
    <pageSetUpPr fitToPage="1"/>
  </sheetPr>
  <dimension ref="A1:K48"/>
  <sheetViews>
    <sheetView workbookViewId="0">
      <selection activeCell="B63" sqref="B63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4432" t="s">
        <v>1585</v>
      </c>
      <c r="B1" s="4432"/>
      <c r="C1" s="4432"/>
      <c r="D1" s="4432"/>
      <c r="E1" s="4432"/>
      <c r="F1" s="4432"/>
      <c r="G1" s="4432"/>
      <c r="H1" s="4432"/>
      <c r="I1" s="4432"/>
    </row>
    <row r="2" spans="1:11" ht="15" x14ac:dyDescent="0.25">
      <c r="B2" s="1777"/>
      <c r="C2" s="1777"/>
      <c r="D2" s="1777"/>
      <c r="E2" s="1777"/>
      <c r="F2" s="1777"/>
      <c r="G2" s="1777"/>
      <c r="H2" s="1777"/>
    </row>
    <row r="3" spans="1:11" ht="15" x14ac:dyDescent="0.25">
      <c r="A3" s="4433" t="s">
        <v>46</v>
      </c>
      <c r="B3" s="4433"/>
      <c r="C3" s="1777"/>
      <c r="D3" s="1778"/>
      <c r="E3" s="1778"/>
      <c r="F3" s="1778"/>
      <c r="G3" s="1779"/>
      <c r="H3" s="1778"/>
      <c r="I3" s="1778"/>
    </row>
    <row r="4" spans="1:11" ht="15" x14ac:dyDescent="0.25">
      <c r="A4" s="1780" t="s">
        <v>1565</v>
      </c>
      <c r="B4" s="1781">
        <v>2010</v>
      </c>
      <c r="C4" s="1781">
        <v>2011</v>
      </c>
      <c r="D4" s="1781">
        <v>2012</v>
      </c>
      <c r="E4" s="1781">
        <v>2013</v>
      </c>
      <c r="F4" s="1781">
        <v>2014</v>
      </c>
      <c r="G4" s="1781">
        <v>2015</v>
      </c>
      <c r="H4" s="1782">
        <v>2016</v>
      </c>
      <c r="I4" s="1782">
        <v>2017</v>
      </c>
      <c r="J4" s="1782">
        <v>2019</v>
      </c>
    </row>
    <row r="5" spans="1:11" ht="15" x14ac:dyDescent="0.25">
      <c r="A5" s="1781" t="s">
        <v>60</v>
      </c>
      <c r="B5" s="1783">
        <v>4902.8</v>
      </c>
      <c r="C5" s="1784">
        <v>4524.3</v>
      </c>
      <c r="D5" s="1784">
        <v>4379.25342</v>
      </c>
      <c r="E5" s="1784">
        <v>4227.7</v>
      </c>
      <c r="F5" s="1785">
        <f>объемы!K49</f>
        <v>4039</v>
      </c>
      <c r="G5" s="1784">
        <f>объемы!R49</f>
        <v>3762.2000000000003</v>
      </c>
      <c r="H5" s="1784">
        <f>объемы!Y49</f>
        <v>3566.34</v>
      </c>
      <c r="I5" s="1783">
        <f>объемы!AP49</f>
        <v>3655.8</v>
      </c>
      <c r="J5" s="1784"/>
    </row>
    <row r="6" spans="1:11" ht="15" x14ac:dyDescent="0.2">
      <c r="A6" s="1781" t="s">
        <v>1566</v>
      </c>
      <c r="B6" s="1783"/>
      <c r="C6" s="1784"/>
      <c r="D6" s="1784"/>
      <c r="E6" s="1784"/>
      <c r="F6" s="1784"/>
      <c r="G6" s="1784"/>
      <c r="H6" s="1784"/>
      <c r="I6" s="1786"/>
      <c r="J6" s="1784">
        <f>J9</f>
        <v>3426.7349636835493</v>
      </c>
    </row>
    <row r="7" spans="1:11" ht="25.5" customHeight="1" x14ac:dyDescent="0.2">
      <c r="A7" s="1787" t="s">
        <v>1567</v>
      </c>
      <c r="B7" s="1783"/>
      <c r="C7" s="1788"/>
      <c r="D7" s="1788"/>
      <c r="E7" s="1789"/>
      <c r="F7" s="1786"/>
      <c r="G7" s="1789"/>
      <c r="H7" s="1786"/>
      <c r="I7" s="1786"/>
      <c r="J7" s="1786"/>
    </row>
    <row r="8" spans="1:11" ht="15" x14ac:dyDescent="0.2">
      <c r="A8" s="1790" t="s">
        <v>1568</v>
      </c>
      <c r="B8" s="1783"/>
      <c r="C8" s="1788"/>
      <c r="D8" s="1788"/>
      <c r="E8" s="1788"/>
      <c r="F8" s="1784"/>
      <c r="G8" s="1788"/>
      <c r="H8" s="1786"/>
      <c r="I8" s="1786"/>
      <c r="J8" s="1786"/>
    </row>
    <row r="9" spans="1:11" ht="15" x14ac:dyDescent="0.2">
      <c r="A9" s="4423" t="s">
        <v>1569</v>
      </c>
      <c r="B9" s="4423"/>
      <c r="C9" s="4424" t="s">
        <v>818</v>
      </c>
      <c r="D9" s="1792">
        <f>1/3*(F5-E5)/E5+(E5-D5)/D5+(D5-C5)/C5</f>
        <v>-8.1544654679321343E-2</v>
      </c>
      <c r="E9" s="4426" t="s">
        <v>895</v>
      </c>
      <c r="F9" s="1784">
        <f>1/3*((G5-F5)/F5+(F5-E5)/E5+(E5-D5)/D5)</f>
        <v>-4.9257716456630546E-2</v>
      </c>
      <c r="G9" s="4424" t="s">
        <v>896</v>
      </c>
      <c r="H9" s="1784">
        <f>H5*(1-0.05)*(1-0.05)</f>
        <v>3218.62185</v>
      </c>
      <c r="I9" s="4424" t="s">
        <v>1802</v>
      </c>
      <c r="J9" s="1784">
        <f>I5*(1+J10)*(1+J10)</f>
        <v>3426.7349636835493</v>
      </c>
    </row>
    <row r="10" spans="1:11" ht="15" x14ac:dyDescent="0.2">
      <c r="A10" s="4428" t="s">
        <v>1570</v>
      </c>
      <c r="B10" s="4429"/>
      <c r="C10" s="4425"/>
      <c r="D10" s="1793">
        <f>F5*(1+D9)*(1+D9)</f>
        <v>3407.1397340250851</v>
      </c>
      <c r="E10" s="4427"/>
      <c r="F10" s="1794">
        <f>G5*(1+F9)*(1+F9)</f>
        <v>3400.6935492942785</v>
      </c>
      <c r="G10" s="4425"/>
      <c r="H10" s="1794"/>
      <c r="I10" s="4425"/>
      <c r="J10" s="1794">
        <f>1/3*((I5-H5)/H5+(H5-G5)/G5+(G5-F5)/F5)</f>
        <v>-3.1835746422184369E-2</v>
      </c>
    </row>
    <row r="11" spans="1:11" x14ac:dyDescent="0.2">
      <c r="H11" s="1252"/>
    </row>
    <row r="12" spans="1:11" x14ac:dyDescent="0.2">
      <c r="H12" s="1795"/>
    </row>
    <row r="16" spans="1:11" ht="51" hidden="1" customHeight="1" x14ac:dyDescent="0.2">
      <c r="A16" s="4434"/>
      <c r="B16" s="1796"/>
      <c r="C16" s="4434"/>
      <c r="D16" s="4436" t="s">
        <v>1571</v>
      </c>
      <c r="E16" s="4437"/>
      <c r="F16" s="1797" t="s">
        <v>1572</v>
      </c>
      <c r="G16" s="1797" t="s">
        <v>1573</v>
      </c>
      <c r="H16" s="1798" t="s">
        <v>1574</v>
      </c>
      <c r="I16" s="1797" t="s">
        <v>1575</v>
      </c>
      <c r="J16" s="4438"/>
      <c r="K16" s="4438"/>
    </row>
    <row r="17" spans="1:11" ht="12.75" hidden="1" customHeight="1" x14ac:dyDescent="0.2">
      <c r="A17" s="4435"/>
      <c r="B17" s="1796"/>
      <c r="C17" s="4435"/>
      <c r="D17" s="1798" t="s">
        <v>1576</v>
      </c>
      <c r="E17" s="1798" t="s">
        <v>1577</v>
      </c>
      <c r="F17" s="1798" t="s">
        <v>1576</v>
      </c>
      <c r="G17" s="1798" t="s">
        <v>1576</v>
      </c>
      <c r="H17" s="1798" t="s">
        <v>1576</v>
      </c>
      <c r="I17" s="1798" t="s">
        <v>1576</v>
      </c>
      <c r="J17" s="4438"/>
      <c r="K17" s="4438"/>
    </row>
    <row r="18" spans="1:11" ht="25.5" hidden="1" customHeight="1" x14ac:dyDescent="0.2">
      <c r="A18" s="1799" t="s">
        <v>1578</v>
      </c>
      <c r="B18" s="5"/>
      <c r="C18" s="1800" t="s">
        <v>937</v>
      </c>
      <c r="D18" s="1801">
        <f>D19+D20</f>
        <v>113.69000000000001</v>
      </c>
      <c r="E18" s="1802">
        <f>E20</f>
        <v>1</v>
      </c>
      <c r="F18" s="1803">
        <f>H6</f>
        <v>0</v>
      </c>
      <c r="G18" s="1804">
        <f>G20</f>
        <v>118.1</v>
      </c>
      <c r="H18" s="1804">
        <f>G18-F18</f>
        <v>118.1</v>
      </c>
      <c r="I18" s="1801" t="e">
        <f>#REF!+#REF!</f>
        <v>#REF!</v>
      </c>
      <c r="J18" s="4430"/>
      <c r="K18" s="4431"/>
    </row>
    <row r="19" spans="1:11" ht="25.5" hidden="1" customHeight="1" x14ac:dyDescent="0.2">
      <c r="A19" s="1805" t="s">
        <v>1579</v>
      </c>
      <c r="B19" s="5"/>
      <c r="C19" s="1797" t="s">
        <v>937</v>
      </c>
      <c r="D19" s="1801">
        <v>0</v>
      </c>
      <c r="E19" s="1806">
        <f>D19/D18</f>
        <v>0</v>
      </c>
      <c r="F19" s="1803">
        <f>E19*$F$18</f>
        <v>0</v>
      </c>
      <c r="G19" s="1804">
        <v>0</v>
      </c>
      <c r="H19" s="1804">
        <f t="shared" ref="H19:H26" si="0">G19-F19</f>
        <v>0</v>
      </c>
      <c r="I19" s="1807">
        <f t="shared" ref="I19:I26" si="1">D19*(1+$D$9)*(1+$D$9)</f>
        <v>0</v>
      </c>
      <c r="J19" s="4430"/>
      <c r="K19" s="4431"/>
    </row>
    <row r="20" spans="1:11" ht="12.75" hidden="1" customHeight="1" x14ac:dyDescent="0.2">
      <c r="A20" s="1805" t="s">
        <v>1580</v>
      </c>
      <c r="B20" s="5"/>
      <c r="C20" s="1797" t="s">
        <v>937</v>
      </c>
      <c r="D20" s="1801">
        <f>D21+D22+D26</f>
        <v>113.69000000000001</v>
      </c>
      <c r="E20" s="1806">
        <f>D20/D18</f>
        <v>1</v>
      </c>
      <c r="F20" s="1803">
        <f>E20*$F$18</f>
        <v>0</v>
      </c>
      <c r="G20" s="1804">
        <f>G22+G26+G21</f>
        <v>118.1</v>
      </c>
      <c r="H20" s="1804">
        <f t="shared" si="0"/>
        <v>118.1</v>
      </c>
      <c r="I20" s="1807">
        <f t="shared" si="1"/>
        <v>95.904361565068569</v>
      </c>
      <c r="J20" s="4430"/>
      <c r="K20" s="4431"/>
    </row>
    <row r="21" spans="1:11" ht="38.25" hidden="1" x14ac:dyDescent="0.2">
      <c r="A21" s="1808" t="s">
        <v>1581</v>
      </c>
      <c r="B21" s="5"/>
      <c r="C21" s="1797" t="s">
        <v>937</v>
      </c>
      <c r="D21" s="1809">
        <v>0</v>
      </c>
      <c r="E21" s="1810">
        <f>D21/D20</f>
        <v>0</v>
      </c>
      <c r="F21" s="1811">
        <f t="shared" ref="F21:F26" si="2">E21*$F$20</f>
        <v>0</v>
      </c>
      <c r="G21" s="1812">
        <v>0</v>
      </c>
      <c r="H21" s="1812">
        <f t="shared" si="0"/>
        <v>0</v>
      </c>
      <c r="I21" s="1813">
        <f t="shared" si="1"/>
        <v>0</v>
      </c>
      <c r="J21" s="4439"/>
      <c r="K21" s="4440"/>
    </row>
    <row r="22" spans="1:11" hidden="1" x14ac:dyDescent="0.2">
      <c r="A22" s="1808" t="s">
        <v>1582</v>
      </c>
      <c r="B22" s="5"/>
      <c r="C22" s="1797" t="s">
        <v>937</v>
      </c>
      <c r="D22" s="1801">
        <f>D23+D24+D25</f>
        <v>92.190000000000012</v>
      </c>
      <c r="E22" s="1806">
        <f>D22/D20</f>
        <v>0.81088926026915298</v>
      </c>
      <c r="F22" s="1803">
        <f t="shared" si="2"/>
        <v>0</v>
      </c>
      <c r="G22" s="1804">
        <f>G23+G24+G25</f>
        <v>95</v>
      </c>
      <c r="H22" s="1804">
        <f t="shared" si="0"/>
        <v>95</v>
      </c>
      <c r="I22" s="1807">
        <f t="shared" si="1"/>
        <v>77.767816806083843</v>
      </c>
      <c r="J22" s="4430"/>
      <c r="K22" s="4431"/>
    </row>
    <row r="23" spans="1:11" hidden="1" x14ac:dyDescent="0.2">
      <c r="A23" s="1814" t="s">
        <v>24</v>
      </c>
      <c r="B23" s="5"/>
      <c r="C23" s="1797" t="s">
        <v>937</v>
      </c>
      <c r="D23" s="1815">
        <f>'[41]прил 1 баланс питьевой воды'!K43</f>
        <v>81.150000000000006</v>
      </c>
      <c r="E23" s="1816">
        <f>D23/D20</f>
        <v>0.71378309437945286</v>
      </c>
      <c r="F23" s="1817">
        <f t="shared" si="2"/>
        <v>0</v>
      </c>
      <c r="G23" s="1818">
        <f>'[41]прил 1 баланс питьевой воды'!O43</f>
        <v>82</v>
      </c>
      <c r="H23" s="1818">
        <f t="shared" si="0"/>
        <v>82</v>
      </c>
      <c r="I23" s="1819">
        <f t="shared" si="1"/>
        <v>68.454911962400516</v>
      </c>
      <c r="J23" s="4441"/>
      <c r="K23" s="4442"/>
    </row>
    <row r="24" spans="1:11" hidden="1" x14ac:dyDescent="0.2">
      <c r="A24" s="1814" t="s">
        <v>1583</v>
      </c>
      <c r="B24" s="5"/>
      <c r="C24" s="1797" t="s">
        <v>937</v>
      </c>
      <c r="D24" s="1815">
        <f>'[41]прил 1 баланс питьевой воды'!K44</f>
        <v>8.61</v>
      </c>
      <c r="E24" s="1816">
        <f>D24/D20</f>
        <v>7.5732254375934546E-2</v>
      </c>
      <c r="F24" s="1817">
        <f t="shared" si="2"/>
        <v>0</v>
      </c>
      <c r="G24" s="1818">
        <f>'[41]прил 1 баланс питьевой воды'!O44</f>
        <v>9</v>
      </c>
      <c r="H24" s="1818">
        <f t="shared" si="0"/>
        <v>9</v>
      </c>
      <c r="I24" s="1819">
        <f t="shared" si="1"/>
        <v>7.2630535058073731</v>
      </c>
      <c r="J24" s="4443"/>
      <c r="K24" s="4444"/>
    </row>
    <row r="25" spans="1:11" hidden="1" x14ac:dyDescent="0.2">
      <c r="A25" s="1814" t="s">
        <v>26</v>
      </c>
      <c r="B25" s="5"/>
      <c r="C25" s="1797" t="s">
        <v>937</v>
      </c>
      <c r="D25" s="1815">
        <f>'[41]прил 1 баланс питьевой воды'!K45</f>
        <v>2.4300000000000002</v>
      </c>
      <c r="E25" s="1816">
        <f>D25/D20</f>
        <v>2.1373911513765501E-2</v>
      </c>
      <c r="F25" s="1817">
        <f t="shared" si="2"/>
        <v>0</v>
      </c>
      <c r="G25" s="1818">
        <f>'[41]прил 1 баланс питьевой воды'!O45</f>
        <v>4</v>
      </c>
      <c r="H25" s="1818">
        <f t="shared" si="0"/>
        <v>4</v>
      </c>
      <c r="I25" s="1819">
        <f t="shared" si="1"/>
        <v>2.0498513378759489</v>
      </c>
      <c r="J25" s="4445"/>
      <c r="K25" s="4446"/>
    </row>
    <row r="26" spans="1:11" hidden="1" x14ac:dyDescent="0.2">
      <c r="A26" s="1808" t="s">
        <v>1584</v>
      </c>
      <c r="B26" s="5"/>
      <c r="C26" s="1797" t="s">
        <v>937</v>
      </c>
      <c r="D26" s="1801">
        <f>'[41]прил 1 баланс питьевой воды'!K46</f>
        <v>21.5</v>
      </c>
      <c r="E26" s="1806">
        <f>D26/D20</f>
        <v>0.18911073973084702</v>
      </c>
      <c r="F26" s="1803">
        <f t="shared" si="2"/>
        <v>0</v>
      </c>
      <c r="G26" s="1804">
        <f>'[41]прил 1 баланс питьевой воды'!O46</f>
        <v>23.1</v>
      </c>
      <c r="H26" s="1804">
        <f t="shared" si="0"/>
        <v>23.1</v>
      </c>
      <c r="I26" s="1807">
        <f t="shared" si="1"/>
        <v>18.13654475898473</v>
      </c>
      <c r="J26" s="4430"/>
      <c r="K26" s="4431"/>
    </row>
    <row r="27" spans="1:11" hidden="1" x14ac:dyDescent="0.2"/>
    <row r="28" spans="1:11" hidden="1" x14ac:dyDescent="0.2">
      <c r="E28" s="1820"/>
    </row>
    <row r="30" spans="1:11" ht="15" x14ac:dyDescent="0.25">
      <c r="A30" s="4433" t="s">
        <v>47</v>
      </c>
      <c r="B30" s="4433"/>
      <c r="C30" s="1777"/>
      <c r="D30" s="1778"/>
      <c r="E30" s="1778"/>
      <c r="F30" s="1778"/>
      <c r="G30" s="1779"/>
      <c r="H30" s="1778"/>
      <c r="I30" s="1778"/>
    </row>
    <row r="31" spans="1:11" ht="15" x14ac:dyDescent="0.25">
      <c r="A31" s="1780" t="s">
        <v>1565</v>
      </c>
      <c r="B31" s="1781">
        <v>2010</v>
      </c>
      <c r="C31" s="1781">
        <v>2011</v>
      </c>
      <c r="D31" s="1781">
        <v>2012</v>
      </c>
      <c r="E31" s="1781">
        <v>2013</v>
      </c>
      <c r="F31" s="1781">
        <v>2014</v>
      </c>
      <c r="G31" s="1781">
        <v>2015</v>
      </c>
      <c r="H31" s="1782">
        <v>2016</v>
      </c>
      <c r="I31" s="1782">
        <v>2017</v>
      </c>
      <c r="J31" s="1782">
        <v>2019</v>
      </c>
    </row>
    <row r="32" spans="1:11" ht="15" x14ac:dyDescent="0.25">
      <c r="A32" s="1781" t="s">
        <v>60</v>
      </c>
      <c r="B32" s="1783">
        <v>4415.2</v>
      </c>
      <c r="C32" s="1784">
        <v>4093.2</v>
      </c>
      <c r="D32" s="1784">
        <v>3988.3263000000002</v>
      </c>
      <c r="E32" s="1784">
        <v>3805.3</v>
      </c>
      <c r="F32" s="1785">
        <f>объемы!K63</f>
        <v>3476.2</v>
      </c>
      <c r="G32" s="1784">
        <f>объемы!R63+объемы!S63</f>
        <v>3209.95</v>
      </c>
      <c r="H32" s="1784">
        <f>объемы!W64+объемы!W65</f>
        <v>3040.84</v>
      </c>
      <c r="I32" s="1783">
        <f>объемы!AN64+объемы!AN65</f>
        <v>3178.1</v>
      </c>
      <c r="J32" s="1784"/>
    </row>
    <row r="33" spans="1:10" ht="15" x14ac:dyDescent="0.2">
      <c r="A33" s="1781" t="s">
        <v>1566</v>
      </c>
      <c r="B33" s="1783"/>
      <c r="C33" s="1784"/>
      <c r="D33" s="1784"/>
      <c r="E33" s="1784"/>
      <c r="F33" s="1784"/>
      <c r="G33" s="1784"/>
      <c r="H33" s="1784"/>
      <c r="I33" s="1784"/>
      <c r="J33" s="1784">
        <f>J36</f>
        <v>3002.3369764914323</v>
      </c>
    </row>
    <row r="34" spans="1:10" ht="22.5" x14ac:dyDescent="0.2">
      <c r="A34" s="1787" t="s">
        <v>1567</v>
      </c>
      <c r="B34" s="1783"/>
      <c r="C34" s="1788"/>
      <c r="D34" s="1788"/>
      <c r="E34" s="1789"/>
      <c r="F34" s="1786"/>
      <c r="G34" s="1789"/>
      <c r="H34" s="1786"/>
      <c r="I34" s="1786"/>
      <c r="J34" s="1786"/>
    </row>
    <row r="35" spans="1:10" ht="15" x14ac:dyDescent="0.2">
      <c r="A35" s="1790" t="s">
        <v>1568</v>
      </c>
      <c r="B35" s="1783"/>
      <c r="C35" s="1788"/>
      <c r="D35" s="1788"/>
      <c r="E35" s="1788"/>
      <c r="F35" s="1784"/>
      <c r="G35" s="1788"/>
      <c r="H35" s="1786"/>
      <c r="I35" s="1786"/>
      <c r="J35" s="1786"/>
    </row>
    <row r="36" spans="1:10" ht="15" x14ac:dyDescent="0.2">
      <c r="A36" s="4423" t="s">
        <v>1569</v>
      </c>
      <c r="B36" s="4423"/>
      <c r="C36" s="4424" t="s">
        <v>818</v>
      </c>
      <c r="D36" s="1792">
        <f>1/3*(F32-E32)/E32+(E32-D32)/D32+(D32-C32)/C32</f>
        <v>-0.10034016159661976</v>
      </c>
      <c r="E36" s="4426" t="s">
        <v>895</v>
      </c>
      <c r="F36" s="1784">
        <f>1/3*((G32-F32)/F32+(F32-E32)/E32+(E32-D32)/D32)</f>
        <v>-6.9655799582415773E-2</v>
      </c>
      <c r="G36" s="4424" t="s">
        <v>896</v>
      </c>
      <c r="H36" s="1784"/>
      <c r="I36" s="1784"/>
      <c r="J36" s="1784">
        <f>I32*(1+J37)*(1+J37)</f>
        <v>3002.3369764914323</v>
      </c>
    </row>
    <row r="37" spans="1:10" ht="15" x14ac:dyDescent="0.2">
      <c r="A37" s="4428" t="s">
        <v>1570</v>
      </c>
      <c r="B37" s="4429"/>
      <c r="C37" s="4425"/>
      <c r="D37" s="1793">
        <f>F32*(1+D36)*(1+D36)</f>
        <v>2813.59395669489</v>
      </c>
      <c r="E37" s="4427"/>
      <c r="F37" s="1794">
        <f>G32*(1+F36)*(1+F36)</f>
        <v>2778.3411862979729</v>
      </c>
      <c r="G37" s="4425"/>
      <c r="H37" s="1794"/>
      <c r="I37" s="1793"/>
      <c r="J37" s="1794">
        <f>1/3*((I32-H32)/H32+(H32-G32)/G32+(G32-F32)/F32)</f>
        <v>-2.8045492098791376E-2</v>
      </c>
    </row>
    <row r="39" spans="1:10" hidden="1" x14ac:dyDescent="0.2">
      <c r="A39" t="s">
        <v>257</v>
      </c>
    </row>
    <row r="40" spans="1:10" ht="15" hidden="1" x14ac:dyDescent="0.25">
      <c r="A40" s="1780" t="s">
        <v>1565</v>
      </c>
      <c r="B40" s="1791">
        <v>2010</v>
      </c>
      <c r="C40" s="1791">
        <v>2011</v>
      </c>
      <c r="D40" s="1791">
        <v>2012</v>
      </c>
      <c r="E40" s="1791">
        <v>2013</v>
      </c>
      <c r="F40" s="1791">
        <v>2014</v>
      </c>
      <c r="G40" s="1791">
        <v>2015</v>
      </c>
      <c r="H40" s="1782">
        <v>2016</v>
      </c>
      <c r="I40" s="1782">
        <v>2017</v>
      </c>
    </row>
    <row r="41" spans="1:10" ht="15" hidden="1" x14ac:dyDescent="0.25">
      <c r="A41" s="1791" t="s">
        <v>60</v>
      </c>
      <c r="B41" s="1783"/>
      <c r="C41" s="1784"/>
      <c r="D41" s="1784"/>
      <c r="E41" s="1784"/>
      <c r="F41" s="1785">
        <f>объемы!K51</f>
        <v>49.8</v>
      </c>
      <c r="G41" s="1784">
        <f>объемы!S49</f>
        <v>18.22</v>
      </c>
      <c r="H41" s="1784"/>
      <c r="I41" s="1783"/>
    </row>
    <row r="42" spans="1:10" ht="15" hidden="1" x14ac:dyDescent="0.2">
      <c r="A42" s="1791" t="s">
        <v>1566</v>
      </c>
      <c r="B42" s="1783"/>
      <c r="C42" s="1784"/>
      <c r="D42" s="1784"/>
      <c r="E42" s="1784"/>
      <c r="F42" s="1784"/>
      <c r="G42" s="1784"/>
      <c r="H42" s="1784">
        <f>F41*(1-0.05)*(1-0.05)</f>
        <v>44.944499999999991</v>
      </c>
      <c r="I42" s="1786" t="e">
        <f>F46</f>
        <v>#DIV/0!</v>
      </c>
    </row>
    <row r="43" spans="1:10" ht="22.5" hidden="1" x14ac:dyDescent="0.2">
      <c r="A43" s="1787" t="s">
        <v>1567</v>
      </c>
      <c r="B43" s="1783"/>
      <c r="C43" s="1788"/>
      <c r="D43" s="1788"/>
      <c r="E43" s="1789"/>
      <c r="F43" s="1786"/>
      <c r="G43" s="1789"/>
      <c r="H43" s="1786"/>
      <c r="I43" s="1786"/>
    </row>
    <row r="44" spans="1:10" ht="15" hidden="1" x14ac:dyDescent="0.2">
      <c r="A44" s="1790" t="s">
        <v>1568</v>
      </c>
      <c r="B44" s="1783"/>
      <c r="C44" s="1788"/>
      <c r="D44" s="1788"/>
      <c r="E44" s="1788"/>
      <c r="F44" s="1784"/>
      <c r="G44" s="1788"/>
      <c r="H44" s="1786"/>
      <c r="I44" s="1786"/>
    </row>
    <row r="45" spans="1:10" ht="15" hidden="1" x14ac:dyDescent="0.2">
      <c r="A45" s="4423" t="s">
        <v>1569</v>
      </c>
      <c r="B45" s="4423"/>
      <c r="C45" s="4424" t="s">
        <v>818</v>
      </c>
      <c r="D45" s="1792" t="e">
        <f>1/3*(F41-E41)/E41+(E41-D41)/D41+(D41-C41)/C41</f>
        <v>#DIV/0!</v>
      </c>
      <c r="E45" s="4426" t="s">
        <v>895</v>
      </c>
      <c r="F45" s="1784" t="e">
        <f>1/3*((G41-F41)/F41+(F41-E41)/E41+(E41-D41)/D41)</f>
        <v>#DIV/0!</v>
      </c>
      <c r="G45" s="4424" t="s">
        <v>896</v>
      </c>
      <c r="H45" s="1784"/>
      <c r="I45" s="1784"/>
    </row>
    <row r="46" spans="1:10" ht="15" hidden="1" x14ac:dyDescent="0.2">
      <c r="A46" s="4428" t="s">
        <v>1570</v>
      </c>
      <c r="B46" s="4429"/>
      <c r="C46" s="4425"/>
      <c r="D46" s="1793" t="e">
        <f>F41*(1+D45)*(1+D45)</f>
        <v>#DIV/0!</v>
      </c>
      <c r="E46" s="4427"/>
      <c r="F46" s="1794" t="e">
        <f>G41*(1+F45)*(1+F45)</f>
        <v>#DIV/0!</v>
      </c>
      <c r="G46" s="4425"/>
      <c r="H46" s="1794"/>
      <c r="I46" s="1793"/>
    </row>
    <row r="47" spans="1:10" hidden="1" x14ac:dyDescent="0.2"/>
    <row r="48" spans="1:10" hidden="1" x14ac:dyDescent="0.2"/>
  </sheetData>
  <mergeCells count="30">
    <mergeCell ref="A30:B30"/>
    <mergeCell ref="A36:B36"/>
    <mergeCell ref="C36:C37"/>
    <mergeCell ref="E36:E37"/>
    <mergeCell ref="G36:G37"/>
    <mergeCell ref="A37:B37"/>
    <mergeCell ref="J20:K20"/>
    <mergeCell ref="J21:K21"/>
    <mergeCell ref="J22:K22"/>
    <mergeCell ref="J23:K25"/>
    <mergeCell ref="J26:K2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A45:B45"/>
    <mergeCell ref="C45:C46"/>
    <mergeCell ref="E45:E46"/>
    <mergeCell ref="G45:G46"/>
    <mergeCell ref="A46:B4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44">
    <tabColor rgb="FFFFFF00"/>
    <pageSetUpPr fitToPage="1"/>
  </sheetPr>
  <dimension ref="A2:N16"/>
  <sheetViews>
    <sheetView topLeftCell="F1" workbookViewId="0">
      <selection activeCell="N10" sqref="N10"/>
    </sheetView>
  </sheetViews>
  <sheetFormatPr defaultRowHeight="12.75" x14ac:dyDescent="0.2"/>
  <cols>
    <col min="1" max="1" width="27.28515625" style="2107" customWidth="1"/>
    <col min="2" max="2" width="11.85546875" style="2107" customWidth="1"/>
    <col min="3" max="3" width="11.140625" style="2231" customWidth="1"/>
    <col min="4" max="4" width="14.28515625" style="2231" customWidth="1"/>
    <col min="5" max="5" width="12.42578125" style="2231" customWidth="1"/>
    <col min="6" max="6" width="13.42578125" style="2231" customWidth="1"/>
    <col min="7" max="7" width="14.28515625" style="2231" customWidth="1"/>
    <col min="8" max="8" width="16.140625" style="2231" customWidth="1"/>
    <col min="9" max="9" width="16.42578125" style="2501" customWidth="1"/>
    <col min="10" max="12" width="16.42578125" style="3500" customWidth="1"/>
    <col min="13" max="13" width="2.5703125" style="5" hidden="1" customWidth="1"/>
    <col min="14" max="14" width="13.7109375" style="5" customWidth="1"/>
    <col min="15" max="16384" width="9.140625" style="5"/>
  </cols>
  <sheetData>
    <row r="2" spans="1:14" s="1659" customFormat="1" ht="38.25" customHeight="1" x14ac:dyDescent="0.25">
      <c r="A2" s="5225" t="s">
        <v>3912</v>
      </c>
      <c r="B2" s="5225"/>
      <c r="C2" s="5225"/>
      <c r="D2" s="5225"/>
      <c r="E2" s="5225"/>
      <c r="F2" s="5225"/>
      <c r="G2" s="5225"/>
      <c r="H2" s="5225"/>
      <c r="I2" s="5225"/>
      <c r="J2" s="5225"/>
      <c r="K2" s="5225"/>
      <c r="L2" s="5225"/>
      <c r="M2" s="5225"/>
      <c r="N2" s="5226"/>
    </row>
    <row r="3" spans="1:14" ht="25.5" customHeight="1" x14ac:dyDescent="0.2">
      <c r="A3" s="5227" t="s">
        <v>2028</v>
      </c>
      <c r="B3" s="5227"/>
      <c r="C3" s="5227"/>
      <c r="D3" s="5227"/>
      <c r="E3" s="5227"/>
      <c r="F3" s="5227"/>
      <c r="G3" s="5227"/>
      <c r="H3" s="5227"/>
      <c r="I3" s="5227"/>
      <c r="J3" s="5227"/>
      <c r="K3" s="5227"/>
      <c r="L3" s="5227"/>
      <c r="M3" s="5227"/>
      <c r="N3" s="4734"/>
    </row>
    <row r="4" spans="1:14" ht="49.5" customHeight="1" x14ac:dyDescent="0.2">
      <c r="A4" s="2221" t="s">
        <v>527</v>
      </c>
      <c r="B4" s="2221" t="s">
        <v>325</v>
      </c>
      <c r="C4" s="2222" t="s">
        <v>1802</v>
      </c>
      <c r="D4" s="2222" t="s">
        <v>1808</v>
      </c>
      <c r="E4" s="2222" t="s">
        <v>1809</v>
      </c>
      <c r="F4" s="2222" t="s">
        <v>1810</v>
      </c>
      <c r="G4" s="2222" t="s">
        <v>1811</v>
      </c>
      <c r="H4" s="2222" t="s">
        <v>1812</v>
      </c>
      <c r="I4" s="2502" t="s">
        <v>3557</v>
      </c>
      <c r="J4" s="3501" t="s">
        <v>3642</v>
      </c>
      <c r="K4" s="3501" t="s">
        <v>3913</v>
      </c>
      <c r="L4" s="3501" t="s">
        <v>3914</v>
      </c>
      <c r="M4" s="2222" t="s">
        <v>237</v>
      </c>
      <c r="N4" s="3913" t="s">
        <v>3942</v>
      </c>
    </row>
    <row r="5" spans="1:14" ht="25.5" customHeight="1" x14ac:dyDescent="0.2">
      <c r="A5" s="5222" t="s">
        <v>2021</v>
      </c>
      <c r="B5" s="5223"/>
      <c r="C5" s="5223"/>
      <c r="D5" s="5223"/>
      <c r="E5" s="5223"/>
      <c r="F5" s="5223"/>
      <c r="G5" s="5223"/>
      <c r="H5" s="5223"/>
      <c r="I5" s="5224"/>
      <c r="J5" s="4741"/>
      <c r="K5" s="4741"/>
      <c r="L5" s="4741"/>
      <c r="M5" s="4794"/>
      <c r="N5" s="4794"/>
    </row>
    <row r="6" spans="1:14" ht="66.75" customHeight="1" x14ac:dyDescent="0.2">
      <c r="A6" s="3505" t="s">
        <v>2022</v>
      </c>
      <c r="B6" s="3510" t="s">
        <v>937</v>
      </c>
      <c r="C6" s="3511">
        <f>'[50]объемы2019-2024'!$AC$19/1000</f>
        <v>2.63</v>
      </c>
      <c r="D6" s="3511">
        <f>'[50]объемы2019-2024'!$AC$19/1000</f>
        <v>2.63</v>
      </c>
      <c r="E6" s="3511"/>
      <c r="F6" s="3511"/>
      <c r="G6" s="3511"/>
      <c r="H6" s="3511"/>
      <c r="I6" s="3511"/>
      <c r="J6" s="3511"/>
      <c r="K6" s="3515"/>
      <c r="L6" s="3511"/>
      <c r="M6" s="2188" t="s">
        <v>2068</v>
      </c>
      <c r="N6" s="3920"/>
    </row>
    <row r="7" spans="1:14" ht="48.75" customHeight="1" x14ac:dyDescent="0.2">
      <c r="A7" s="3505" t="s">
        <v>2023</v>
      </c>
      <c r="B7" s="3510" t="s">
        <v>2029</v>
      </c>
      <c r="C7" s="3512">
        <v>7.98</v>
      </c>
      <c r="D7" s="3512">
        <v>8.26</v>
      </c>
      <c r="E7" s="3512"/>
      <c r="F7" s="3512"/>
      <c r="G7" s="3512"/>
      <c r="H7" s="3512"/>
      <c r="I7" s="3512"/>
      <c r="J7" s="3512"/>
      <c r="K7" s="3335"/>
      <c r="L7" s="3512"/>
      <c r="M7" s="2188" t="s">
        <v>2069</v>
      </c>
      <c r="N7" s="3922"/>
    </row>
    <row r="8" spans="1:14" s="1926" customFormat="1" ht="27" customHeight="1" x14ac:dyDescent="0.2">
      <c r="A8" s="3441" t="s">
        <v>2024</v>
      </c>
      <c r="B8" s="3509" t="s">
        <v>902</v>
      </c>
      <c r="C8" s="3348">
        <f>C6*C7</f>
        <v>20.987400000000001</v>
      </c>
      <c r="D8" s="3348">
        <f t="shared" ref="D8" si="0">D6*D7</f>
        <v>21.723799999999997</v>
      </c>
      <c r="E8" s="3348"/>
      <c r="F8" s="3348"/>
      <c r="G8" s="3348"/>
      <c r="H8" s="3348"/>
      <c r="I8" s="3348"/>
      <c r="J8" s="3348"/>
      <c r="K8" s="3588"/>
      <c r="L8" s="3348"/>
      <c r="M8" s="1832"/>
      <c r="N8" s="3348"/>
    </row>
    <row r="9" spans="1:14" ht="23.25" customHeight="1" x14ac:dyDescent="0.2">
      <c r="A9" s="5222" t="s">
        <v>2025</v>
      </c>
      <c r="B9" s="5223"/>
      <c r="C9" s="5223"/>
      <c r="D9" s="5223"/>
      <c r="E9" s="5223"/>
      <c r="F9" s="5223"/>
      <c r="G9" s="5223"/>
      <c r="H9" s="5223"/>
      <c r="I9" s="5224"/>
      <c r="J9" s="4741"/>
      <c r="K9" s="4741"/>
      <c r="L9" s="4741"/>
      <c r="M9" s="4794"/>
      <c r="N9" s="4794"/>
    </row>
    <row r="10" spans="1:14" ht="79.5" customHeight="1" x14ac:dyDescent="0.2">
      <c r="A10" s="3505" t="s">
        <v>2026</v>
      </c>
      <c r="B10" s="3510" t="s">
        <v>937</v>
      </c>
      <c r="C10" s="2127">
        <f>'[50]объемы2019-2024'!$AC$28/1000</f>
        <v>93.374850000000009</v>
      </c>
      <c r="D10" s="2127">
        <f>'[50]объемы2019-2024'!$AC$28/1000</f>
        <v>93.374850000000009</v>
      </c>
      <c r="E10" s="2127">
        <f>'[50]объемы2019-2024'!$AC$28/1000</f>
        <v>93.374850000000009</v>
      </c>
      <c r="F10" s="2127">
        <f>'[50]объемы2019-2024'!$AC$28/1000</f>
        <v>93.374850000000009</v>
      </c>
      <c r="G10" s="2127">
        <f>'[50]объемы2019-2024'!$AC$28/1000</f>
        <v>93.374850000000009</v>
      </c>
      <c r="H10" s="2127">
        <f>'[50]объемы2019-2024'!$AC$28/1000</f>
        <v>93.374850000000009</v>
      </c>
      <c r="I10" s="2127">
        <f>SUM(D10)</f>
        <v>93.374850000000009</v>
      </c>
      <c r="J10" s="2127">
        <v>117.04</v>
      </c>
      <c r="K10" s="2507">
        <v>117.04</v>
      </c>
      <c r="L10" s="4080">
        <v>112.5</v>
      </c>
      <c r="M10" s="2188" t="s">
        <v>2068</v>
      </c>
      <c r="N10" s="4013">
        <v>117.04</v>
      </c>
    </row>
    <row r="11" spans="1:14" ht="78.75" customHeight="1" x14ac:dyDescent="0.2">
      <c r="A11" s="3505" t="s">
        <v>2027</v>
      </c>
      <c r="B11" s="3510" t="s">
        <v>2029</v>
      </c>
      <c r="C11" s="3511">
        <v>5.54</v>
      </c>
      <c r="D11" s="3511">
        <v>5.88</v>
      </c>
      <c r="E11" s="3511">
        <v>6.02</v>
      </c>
      <c r="F11" s="3511">
        <v>6.2</v>
      </c>
      <c r="G11" s="3511">
        <v>6.39</v>
      </c>
      <c r="H11" s="3511">
        <v>6.57</v>
      </c>
      <c r="I11" s="2127">
        <f>SUM(D11)</f>
        <v>5.88</v>
      </c>
      <c r="J11" s="2127">
        <v>5.54</v>
      </c>
      <c r="K11" s="2507">
        <f t="shared" ref="K11" si="1">SUM(E11)</f>
        <v>6.02</v>
      </c>
      <c r="L11" s="4080">
        <v>2.81</v>
      </c>
      <c r="M11" s="2188" t="s">
        <v>2069</v>
      </c>
      <c r="N11" s="4013">
        <v>5.54</v>
      </c>
    </row>
    <row r="12" spans="1:14" s="1926" customFormat="1" ht="25.5" customHeight="1" x14ac:dyDescent="0.2">
      <c r="A12" s="3441" t="s">
        <v>2024</v>
      </c>
      <c r="B12" s="3509" t="s">
        <v>902</v>
      </c>
      <c r="C12" s="3348">
        <f>C10*C11</f>
        <v>517.29666900000007</v>
      </c>
      <c r="D12" s="3348">
        <f t="shared" ref="D12" si="2">D10*D11</f>
        <v>549.04411800000003</v>
      </c>
      <c r="E12" s="3348">
        <f t="shared" ref="E12" si="3">E10*E11</f>
        <v>562.11659700000007</v>
      </c>
      <c r="F12" s="3348">
        <f t="shared" ref="F12" si="4">F10*F11</f>
        <v>578.92407000000003</v>
      </c>
      <c r="G12" s="3348">
        <f t="shared" ref="G12" si="5">G10*G11</f>
        <v>596.66529150000008</v>
      </c>
      <c r="H12" s="3348">
        <f t="shared" ref="H12:I12" si="6">H10*H11</f>
        <v>613.47276450000004</v>
      </c>
      <c r="I12" s="3348">
        <f t="shared" si="6"/>
        <v>549.04411800000003</v>
      </c>
      <c r="J12" s="3348">
        <v>648.35</v>
      </c>
      <c r="K12" s="3588">
        <f t="shared" ref="K12:L12" si="7">K10*K11</f>
        <v>704.58079999999995</v>
      </c>
      <c r="L12" s="4081">
        <f t="shared" si="7"/>
        <v>316.125</v>
      </c>
      <c r="M12" s="1832"/>
      <c r="N12" s="3458">
        <v>648.35</v>
      </c>
    </row>
    <row r="13" spans="1:14" x14ac:dyDescent="0.2">
      <c r="A13" s="3530"/>
      <c r="B13" s="3530"/>
      <c r="C13" s="3531"/>
      <c r="D13" s="3531"/>
      <c r="E13" s="3531"/>
      <c r="F13" s="3531"/>
      <c r="G13" s="3531"/>
      <c r="H13" s="3531"/>
      <c r="I13" s="3531"/>
      <c r="J13" s="3531"/>
      <c r="K13" s="3531"/>
      <c r="L13" s="3531"/>
    </row>
    <row r="14" spans="1:14" x14ac:dyDescent="0.2">
      <c r="A14" s="3530"/>
      <c r="B14" s="3530"/>
      <c r="C14" s="3531"/>
      <c r="D14" s="3531"/>
      <c r="E14" s="3531"/>
      <c r="F14" s="3531"/>
      <c r="G14" s="3531"/>
      <c r="H14" s="3531"/>
      <c r="I14" s="3532"/>
      <c r="J14" s="3532"/>
      <c r="K14" s="3532"/>
      <c r="L14" s="3532"/>
    </row>
    <row r="16" spans="1:14" ht="20.25" x14ac:dyDescent="0.3">
      <c r="A16" s="5221" t="s">
        <v>3555</v>
      </c>
      <c r="B16" s="5003"/>
      <c r="C16" s="5003"/>
      <c r="D16" s="5003"/>
      <c r="E16" s="5003"/>
      <c r="F16" s="5003"/>
      <c r="G16" s="5003"/>
      <c r="H16" s="5003"/>
      <c r="I16" s="5003"/>
      <c r="J16" s="5003"/>
      <c r="K16" s="5003"/>
      <c r="L16" s="5003"/>
      <c r="M16" s="5003"/>
      <c r="N16" s="3918"/>
    </row>
  </sheetData>
  <mergeCells count="5">
    <mergeCell ref="A16:M16"/>
    <mergeCell ref="A5:N5"/>
    <mergeCell ref="A9:N9"/>
    <mergeCell ref="A2:N2"/>
    <mergeCell ref="A3:N3"/>
  </mergeCells>
  <pageMargins left="0.51181102362204722" right="0.51181102362204722" top="0.74803149606299213" bottom="0.74803149606299213" header="0.31496062992125984" footer="0.31496062992125984"/>
  <pageSetup paperSize="9" scale="7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45"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1502</v>
      </c>
    </row>
    <row r="2" spans="1:80" ht="30" x14ac:dyDescent="0.2">
      <c r="A2" s="5228" t="s">
        <v>224</v>
      </c>
      <c r="B2" s="5228"/>
      <c r="C2" s="5228"/>
      <c r="D2" s="5228"/>
      <c r="E2" s="5228"/>
      <c r="F2" s="5228"/>
      <c r="G2" s="5228"/>
      <c r="H2" s="5228"/>
      <c r="I2" s="5228"/>
      <c r="J2" s="5228"/>
      <c r="K2" s="5228"/>
      <c r="L2" s="5228"/>
      <c r="M2" s="5228"/>
      <c r="N2" s="5228"/>
      <c r="O2" s="5228"/>
      <c r="P2" s="5228"/>
      <c r="Q2" s="5228"/>
      <c r="R2" s="5228"/>
      <c r="S2" s="5228"/>
      <c r="T2" s="5228"/>
      <c r="U2" s="5228"/>
      <c r="V2" s="5228"/>
      <c r="W2" s="5228"/>
      <c r="X2" s="5228"/>
      <c r="Y2" s="5228"/>
      <c r="Z2" s="5228"/>
      <c r="AA2" s="5228"/>
      <c r="AB2" s="5228"/>
      <c r="AC2" s="5228"/>
      <c r="AD2" s="5228"/>
      <c r="AE2" s="5228"/>
      <c r="AF2" s="5228"/>
      <c r="AG2" s="5228"/>
      <c r="AH2" s="5228"/>
      <c r="AI2" s="5228"/>
      <c r="AJ2" s="5228"/>
      <c r="AK2" s="5228"/>
      <c r="AL2" s="5228"/>
      <c r="AM2" s="5228"/>
      <c r="AN2" s="5228"/>
      <c r="AO2" s="5228"/>
      <c r="AP2" s="5228"/>
      <c r="AQ2" s="5228"/>
      <c r="AR2" s="5228"/>
      <c r="AS2" s="5228"/>
      <c r="AT2" s="5228"/>
      <c r="AU2" s="5229"/>
      <c r="AV2" s="5229"/>
      <c r="AW2" s="5229"/>
      <c r="AX2" s="5229"/>
      <c r="AY2" s="5229"/>
      <c r="AZ2" s="5229"/>
      <c r="BA2" s="5229"/>
      <c r="BB2" s="5229"/>
      <c r="BC2" s="5229"/>
      <c r="BD2" s="5229"/>
      <c r="BE2" s="5229"/>
      <c r="BF2" s="5229"/>
      <c r="BG2" s="5229"/>
      <c r="BH2" s="5229"/>
      <c r="BI2" s="5229"/>
      <c r="BJ2" s="5229"/>
      <c r="BK2" s="5229"/>
      <c r="BL2" s="5229"/>
      <c r="BM2" s="5229"/>
      <c r="BN2" s="5229"/>
      <c r="BO2" s="5229"/>
      <c r="BP2" s="5229"/>
      <c r="BQ2" s="5229"/>
      <c r="BR2" s="5229"/>
      <c r="BS2" s="5229"/>
      <c r="BT2" s="5229"/>
      <c r="BU2" s="5229"/>
      <c r="BV2" s="5229"/>
      <c r="BW2" s="5229"/>
      <c r="BX2" s="5229"/>
      <c r="BY2" s="5229"/>
      <c r="BZ2" s="5229"/>
      <c r="CA2" s="5229"/>
      <c r="CB2" s="5229"/>
    </row>
    <row r="3" spans="1:80" ht="19.5" hidden="1" thickBot="1" x14ac:dyDescent="0.35">
      <c r="A3" s="5230"/>
      <c r="B3" s="5230"/>
      <c r="C3" s="5230"/>
      <c r="D3" s="5230"/>
      <c r="E3" s="5230"/>
      <c r="F3" s="5230"/>
      <c r="G3" s="5230"/>
      <c r="H3" s="5230"/>
      <c r="I3" s="5230"/>
      <c r="J3" s="5230"/>
      <c r="K3" s="5230"/>
      <c r="L3" s="5230"/>
      <c r="M3" s="5230"/>
      <c r="N3" s="5230"/>
      <c r="O3" s="5230"/>
      <c r="P3" s="5230"/>
      <c r="Q3" s="5230"/>
      <c r="R3" s="5230"/>
      <c r="S3" s="5230"/>
      <c r="T3" s="5230"/>
      <c r="U3" s="5230"/>
      <c r="V3" s="5230"/>
      <c r="W3" s="5230"/>
      <c r="X3" s="5230"/>
      <c r="Y3" s="5230"/>
      <c r="Z3" s="5230"/>
      <c r="AA3" s="5230"/>
      <c r="AB3" s="5230"/>
      <c r="AC3" s="5230"/>
      <c r="AD3" s="5230"/>
      <c r="AE3" s="5230"/>
      <c r="AF3" s="5230"/>
      <c r="AG3" s="5230"/>
      <c r="AH3" s="5230"/>
      <c r="AI3" s="5230"/>
      <c r="AJ3" s="5230"/>
      <c r="AK3" s="5230"/>
      <c r="AL3" s="5230"/>
      <c r="AM3" s="5230"/>
      <c r="AN3" s="5230"/>
      <c r="AO3" s="5230"/>
      <c r="AP3" s="5230"/>
      <c r="AQ3" s="452"/>
      <c r="AR3" s="452"/>
      <c r="AS3" s="452"/>
      <c r="AT3" s="452"/>
      <c r="AU3" s="452"/>
      <c r="AV3" s="452"/>
      <c r="AW3" s="452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</row>
    <row r="4" spans="1:80" ht="23.25" hidden="1" customHeight="1" x14ac:dyDescent="0.2">
      <c r="A4" s="5231" t="s">
        <v>166</v>
      </c>
      <c r="B4" s="5234" t="s">
        <v>167</v>
      </c>
      <c r="C4" s="5237" t="s">
        <v>168</v>
      </c>
      <c r="D4" s="5238"/>
      <c r="E4" s="5239"/>
      <c r="F4" s="5243" t="s">
        <v>169</v>
      </c>
      <c r="G4" s="5244"/>
      <c r="H4" s="5244"/>
      <c r="I4" s="4283" t="s">
        <v>170</v>
      </c>
      <c r="J4" s="4283"/>
      <c r="K4" s="4283"/>
      <c r="L4" s="4283"/>
      <c r="M4" s="5237" t="s">
        <v>171</v>
      </c>
      <c r="N4" s="5238"/>
      <c r="O4" s="5239"/>
      <c r="P4" s="5237" t="s">
        <v>189</v>
      </c>
      <c r="Q4" s="5238"/>
      <c r="R4" s="5239"/>
      <c r="S4" s="5247" t="s">
        <v>190</v>
      </c>
      <c r="T4" s="5248"/>
      <c r="U4" s="5249"/>
      <c r="V4" s="5247" t="s">
        <v>191</v>
      </c>
      <c r="W4" s="5248"/>
      <c r="X4" s="5249"/>
      <c r="Y4" s="5247" t="s">
        <v>244</v>
      </c>
      <c r="Z4" s="5248"/>
      <c r="AA4" s="5249"/>
      <c r="AB4" s="5085" t="s">
        <v>192</v>
      </c>
      <c r="AC4" s="5086"/>
      <c r="AD4" s="5086"/>
      <c r="AE4" s="5086"/>
      <c r="AF4" s="5087"/>
      <c r="AG4" s="5102" t="s">
        <v>172</v>
      </c>
      <c r="AH4" s="5103"/>
      <c r="AI4" s="5103"/>
      <c r="AJ4" s="5103"/>
      <c r="AK4" s="5104"/>
      <c r="AL4" s="5085" t="s">
        <v>225</v>
      </c>
      <c r="AM4" s="5086"/>
      <c r="AN4" s="5086"/>
      <c r="AO4" s="5086"/>
      <c r="AP4" s="5087"/>
      <c r="AQ4" s="1394"/>
      <c r="AR4" s="1394"/>
      <c r="AS4" s="1394"/>
      <c r="AT4" s="1394"/>
      <c r="AU4" s="5085" t="s">
        <v>226</v>
      </c>
      <c r="AV4" s="5086"/>
      <c r="AW4" s="5087"/>
      <c r="AX4" s="5085" t="s">
        <v>351</v>
      </c>
      <c r="AY4" s="5086"/>
      <c r="AZ4" s="5087"/>
      <c r="BA4" s="5085" t="s">
        <v>366</v>
      </c>
      <c r="BB4" s="5086"/>
      <c r="BC4" s="5086"/>
      <c r="BD4" s="5253" t="s">
        <v>374</v>
      </c>
      <c r="BE4" s="852"/>
      <c r="BF4" s="852"/>
      <c r="BG4" s="852"/>
      <c r="BH4" s="852"/>
      <c r="BI4" s="852"/>
      <c r="BJ4" s="852"/>
      <c r="BK4" s="852"/>
      <c r="BL4" s="852"/>
      <c r="BM4" s="852"/>
      <c r="BN4" s="852"/>
      <c r="BO4" s="852"/>
      <c r="BP4" s="852"/>
      <c r="BQ4" s="852"/>
      <c r="BR4" s="852"/>
      <c r="BS4" s="852"/>
      <c r="BT4" s="852"/>
      <c r="BU4" s="852"/>
      <c r="BV4" s="852"/>
      <c r="BW4" s="852"/>
      <c r="BX4" s="852"/>
    </row>
    <row r="5" spans="1:80" ht="22.5" hidden="1" customHeight="1" x14ac:dyDescent="0.2">
      <c r="A5" s="5232"/>
      <c r="B5" s="5235"/>
      <c r="C5" s="5240"/>
      <c r="D5" s="5241"/>
      <c r="E5" s="5242"/>
      <c r="F5" s="5245"/>
      <c r="G5" s="5246"/>
      <c r="H5" s="5246"/>
      <c r="I5" s="453"/>
      <c r="J5" s="453"/>
      <c r="K5" s="453"/>
      <c r="L5" s="454"/>
      <c r="M5" s="5240"/>
      <c r="N5" s="5241"/>
      <c r="O5" s="5242"/>
      <c r="P5" s="5240"/>
      <c r="Q5" s="5241"/>
      <c r="R5" s="5242"/>
      <c r="S5" s="5250"/>
      <c r="T5" s="5251"/>
      <c r="U5" s="5252"/>
      <c r="V5" s="5250"/>
      <c r="W5" s="5251"/>
      <c r="X5" s="5252"/>
      <c r="Y5" s="5250"/>
      <c r="Z5" s="5251"/>
      <c r="AA5" s="5252"/>
      <c r="AB5" s="5088"/>
      <c r="AC5" s="5089"/>
      <c r="AD5" s="5089"/>
      <c r="AE5" s="5089"/>
      <c r="AF5" s="5090"/>
      <c r="AG5" s="5079" t="s">
        <v>173</v>
      </c>
      <c r="AH5" s="5091" t="s">
        <v>174</v>
      </c>
      <c r="AI5" s="5091"/>
      <c r="AJ5" s="5091" t="s">
        <v>175</v>
      </c>
      <c r="AK5" s="5100"/>
      <c r="AL5" s="5088"/>
      <c r="AM5" s="5089"/>
      <c r="AN5" s="5089"/>
      <c r="AO5" s="5089"/>
      <c r="AP5" s="5090"/>
      <c r="AQ5" s="1395"/>
      <c r="AR5" s="1395"/>
      <c r="AS5" s="1395"/>
      <c r="AT5" s="1395"/>
      <c r="AU5" s="5088"/>
      <c r="AV5" s="5089"/>
      <c r="AW5" s="5090"/>
      <c r="AX5" s="5088"/>
      <c r="AY5" s="5089"/>
      <c r="AZ5" s="5090"/>
      <c r="BA5" s="5088"/>
      <c r="BB5" s="5089"/>
      <c r="BC5" s="5089"/>
      <c r="BD5" s="5254"/>
      <c r="BE5" s="852"/>
      <c r="BF5" s="852"/>
      <c r="BG5" s="852"/>
      <c r="BH5" s="852"/>
      <c r="BI5" s="852"/>
      <c r="BJ5" s="852"/>
      <c r="BK5" s="852"/>
      <c r="BL5" s="852"/>
      <c r="BM5" s="852"/>
      <c r="BN5" s="852"/>
      <c r="BO5" s="852"/>
      <c r="BP5" s="852"/>
      <c r="BQ5" s="852"/>
      <c r="BR5" s="852"/>
      <c r="BS5" s="852"/>
      <c r="BT5" s="852"/>
      <c r="BU5" s="852"/>
      <c r="BV5" s="852"/>
      <c r="BW5" s="852"/>
      <c r="BX5" s="852"/>
    </row>
    <row r="6" spans="1:80" ht="63" hidden="1" customHeight="1" x14ac:dyDescent="0.2">
      <c r="A6" s="5233"/>
      <c r="B6" s="5236"/>
      <c r="C6" s="1377" t="s">
        <v>173</v>
      </c>
      <c r="D6" s="1392" t="s">
        <v>176</v>
      </c>
      <c r="E6" s="1393" t="s">
        <v>177</v>
      </c>
      <c r="F6" s="1402" t="s">
        <v>173</v>
      </c>
      <c r="G6" s="1403" t="s">
        <v>176</v>
      </c>
      <c r="H6" s="1404" t="s">
        <v>177</v>
      </c>
      <c r="I6" s="1377" t="s">
        <v>173</v>
      </c>
      <c r="J6" s="1392" t="s">
        <v>176</v>
      </c>
      <c r="K6" s="1392" t="s">
        <v>178</v>
      </c>
      <c r="L6" s="1393" t="s">
        <v>177</v>
      </c>
      <c r="M6" s="1376" t="s">
        <v>173</v>
      </c>
      <c r="N6" s="1392" t="s">
        <v>176</v>
      </c>
      <c r="O6" s="1405" t="s">
        <v>177</v>
      </c>
      <c r="P6" s="1376" t="s">
        <v>173</v>
      </c>
      <c r="Q6" s="1406" t="s">
        <v>176</v>
      </c>
      <c r="R6" s="1405" t="s">
        <v>177</v>
      </c>
      <c r="S6" s="1407" t="s">
        <v>173</v>
      </c>
      <c r="T6" s="1408" t="s">
        <v>176</v>
      </c>
      <c r="U6" s="1409" t="s">
        <v>177</v>
      </c>
      <c r="V6" s="1410" t="s">
        <v>173</v>
      </c>
      <c r="W6" s="1408" t="s">
        <v>176</v>
      </c>
      <c r="X6" s="1409" t="s">
        <v>177</v>
      </c>
      <c r="Y6" s="1407" t="s">
        <v>173</v>
      </c>
      <c r="Z6" s="1408" t="s">
        <v>176</v>
      </c>
      <c r="AA6" s="1409" t="s">
        <v>177</v>
      </c>
      <c r="AB6" s="1411" t="s">
        <v>173</v>
      </c>
      <c r="AC6" s="1370" t="s">
        <v>176</v>
      </c>
      <c r="AD6" s="1412" t="s">
        <v>200</v>
      </c>
      <c r="AE6" s="1412" t="s">
        <v>201</v>
      </c>
      <c r="AF6" s="1371" t="s">
        <v>177</v>
      </c>
      <c r="AG6" s="5080"/>
      <c r="AH6" s="1370" t="s">
        <v>179</v>
      </c>
      <c r="AI6" s="1370" t="s">
        <v>180</v>
      </c>
      <c r="AJ6" s="1370" t="s">
        <v>181</v>
      </c>
      <c r="AK6" s="1371" t="s">
        <v>182</v>
      </c>
      <c r="AL6" s="1411" t="s">
        <v>173</v>
      </c>
      <c r="AM6" s="1370" t="s">
        <v>176</v>
      </c>
      <c r="AN6" s="1412" t="s">
        <v>200</v>
      </c>
      <c r="AO6" s="1412" t="s">
        <v>201</v>
      </c>
      <c r="AP6" s="1371" t="s">
        <v>177</v>
      </c>
      <c r="AQ6" s="1413"/>
      <c r="AR6" s="1413"/>
      <c r="AS6" s="1413"/>
      <c r="AT6" s="1413"/>
      <c r="AU6" s="1411" t="s">
        <v>173</v>
      </c>
      <c r="AV6" s="1370" t="s">
        <v>176</v>
      </c>
      <c r="AW6" s="1371" t="s">
        <v>177</v>
      </c>
      <c r="AX6" s="1411" t="s">
        <v>173</v>
      </c>
      <c r="AY6" s="1370" t="s">
        <v>176</v>
      </c>
      <c r="AZ6" s="1371" t="s">
        <v>177</v>
      </c>
      <c r="BA6" s="1411" t="s">
        <v>173</v>
      </c>
      <c r="BB6" s="1370" t="s">
        <v>176</v>
      </c>
      <c r="BC6" s="1412" t="s">
        <v>177</v>
      </c>
      <c r="BD6" s="5255"/>
      <c r="BE6" s="852"/>
      <c r="BF6" s="852"/>
      <c r="BG6" s="852"/>
      <c r="BH6" s="852"/>
      <c r="BI6" s="852"/>
      <c r="BJ6" s="852"/>
      <c r="BK6" s="852"/>
      <c r="BL6" s="852"/>
      <c r="BM6" s="852"/>
      <c r="BN6" s="852"/>
      <c r="BO6" s="852"/>
      <c r="BP6" s="852"/>
      <c r="BQ6" s="852"/>
      <c r="BR6" s="852"/>
      <c r="BS6" s="852"/>
      <c r="BT6" s="852"/>
      <c r="BU6" s="852"/>
      <c r="BV6" s="852"/>
      <c r="BW6" s="852"/>
      <c r="BX6" s="852"/>
    </row>
    <row r="7" spans="1:80" ht="18.75" hidden="1" x14ac:dyDescent="0.3">
      <c r="A7" s="457"/>
      <c r="B7" s="381"/>
      <c r="C7" s="458"/>
      <c r="D7" s="380"/>
      <c r="E7" s="381"/>
      <c r="F7" s="459"/>
      <c r="G7" s="460"/>
      <c r="H7" s="461"/>
      <c r="I7" s="462"/>
      <c r="J7" s="380"/>
      <c r="K7" s="380"/>
      <c r="L7" s="463"/>
      <c r="M7" s="464"/>
      <c r="N7" s="465"/>
      <c r="O7" s="466"/>
      <c r="P7" s="467"/>
      <c r="Q7" s="1414"/>
      <c r="R7" s="467"/>
      <c r="S7" s="468"/>
      <c r="T7" s="469"/>
      <c r="U7" s="470"/>
      <c r="V7" s="471"/>
      <c r="W7" s="469"/>
      <c r="X7" s="470"/>
      <c r="Y7" s="468"/>
      <c r="Z7" s="469"/>
      <c r="AA7" s="470"/>
      <c r="AB7" s="1379"/>
      <c r="AC7" s="1378"/>
      <c r="AD7" s="1384"/>
      <c r="AE7" s="1384"/>
      <c r="AF7" s="1381"/>
      <c r="AG7" s="1379"/>
      <c r="AH7" s="1378"/>
      <c r="AI7" s="1378"/>
      <c r="AJ7" s="1378"/>
      <c r="AK7" s="472"/>
      <c r="AL7" s="1379"/>
      <c r="AM7" s="1378"/>
      <c r="AN7" s="1384"/>
      <c r="AO7" s="1384"/>
      <c r="AP7" s="1381"/>
      <c r="AQ7" s="844"/>
      <c r="AR7" s="844"/>
      <c r="AS7" s="844"/>
      <c r="AT7" s="844"/>
      <c r="AU7" s="1379"/>
      <c r="AV7" s="1378"/>
      <c r="AW7" s="1381"/>
      <c r="AX7" s="1379"/>
      <c r="AY7" s="1378"/>
      <c r="AZ7" s="1381"/>
      <c r="BA7" s="1379"/>
      <c r="BB7" s="1378"/>
      <c r="BC7" s="1384"/>
      <c r="BD7" s="473"/>
      <c r="BE7" s="853"/>
      <c r="BF7" s="853"/>
      <c r="BG7" s="853"/>
      <c r="BH7" s="853"/>
      <c r="BI7" s="853"/>
      <c r="BJ7" s="853"/>
      <c r="BK7" s="853"/>
      <c r="BL7" s="853"/>
      <c r="BM7" s="853"/>
      <c r="BN7" s="853"/>
      <c r="BO7" s="853"/>
      <c r="BP7" s="853"/>
      <c r="BQ7" s="853"/>
      <c r="BR7" s="853"/>
      <c r="BS7" s="853"/>
      <c r="BT7" s="853"/>
      <c r="BU7" s="853"/>
      <c r="BV7" s="853"/>
      <c r="BW7" s="853"/>
      <c r="BX7" s="853"/>
    </row>
    <row r="8" spans="1:80" ht="56.25" hidden="1" x14ac:dyDescent="0.3">
      <c r="A8" s="1415" t="s">
        <v>183</v>
      </c>
      <c r="B8" s="1416" t="s">
        <v>195</v>
      </c>
      <c r="C8" s="1417">
        <v>840</v>
      </c>
      <c r="D8" s="1418">
        <v>12146</v>
      </c>
      <c r="E8" s="1419">
        <v>122429.8</v>
      </c>
      <c r="F8" s="1420">
        <f>F9+F10</f>
        <v>813</v>
      </c>
      <c r="G8" s="1421">
        <f>(G9*F9+G10*F10)/(F9+F10)</f>
        <v>12443.442804428045</v>
      </c>
      <c r="H8" s="1422">
        <f>H10+H9</f>
        <v>121398.228</v>
      </c>
      <c r="I8" s="1423">
        <v>799</v>
      </c>
      <c r="J8" s="1418">
        <v>13361</v>
      </c>
      <c r="K8" s="1424">
        <f>J8/G8</f>
        <v>1.07373820975377</v>
      </c>
      <c r="L8" s="1425">
        <v>128108.9</v>
      </c>
      <c r="M8" s="1423">
        <f>M9+M10+M11+M12</f>
        <v>155.5</v>
      </c>
      <c r="N8" s="1418">
        <f>O8/M8/12*1000</f>
        <v>17474.049303322616</v>
      </c>
      <c r="O8" s="1419">
        <f>O9+O10+O11+O12</f>
        <v>32606.576000000001</v>
      </c>
      <c r="P8" s="1426">
        <f>SUM(P9:P12)</f>
        <v>150</v>
      </c>
      <c r="Q8" s="1427">
        <f>R8/P8/12*1000</f>
        <v>20234.871111111108</v>
      </c>
      <c r="R8" s="1426">
        <f>SUM(R9:R12)</f>
        <v>36422.767999999996</v>
      </c>
      <c r="S8" s="1428">
        <f>S9+S10+S11+S12</f>
        <v>155</v>
      </c>
      <c r="T8" s="1429">
        <f>U8/S8/12*1000</f>
        <v>8717.967741935483</v>
      </c>
      <c r="U8" s="1430">
        <f>U9+U10+U11+U12</f>
        <v>16215.419999999998</v>
      </c>
      <c r="V8" s="1431">
        <f>V9+V10+V11+V12</f>
        <v>149</v>
      </c>
      <c r="W8" s="1429">
        <f>X8/V8/12*1000</f>
        <v>8464.3176733780765</v>
      </c>
      <c r="X8" s="1432">
        <f>X9+X10</f>
        <v>15134.2</v>
      </c>
      <c r="Y8" s="1433">
        <f>Y9+Y10+Y11+Y12</f>
        <v>155</v>
      </c>
      <c r="Z8" s="1434">
        <f>AA8/Y8/12*1000</f>
        <v>19376.075268817203</v>
      </c>
      <c r="AA8" s="1435">
        <f>AA9+AA10+AA11+AA12</f>
        <v>36039.5</v>
      </c>
      <c r="AB8" s="1433">
        <f>AB9+AB10+AB11+AB12</f>
        <v>155</v>
      </c>
      <c r="AC8" s="1434">
        <f>AF8/AB8/12*1000</f>
        <v>24645.696774193548</v>
      </c>
      <c r="AD8" s="1436">
        <f>AC8/T8*100</f>
        <v>282.70002257110826</v>
      </c>
      <c r="AE8" s="1436">
        <f>AC8/Z8*100</f>
        <v>127.19653713286812</v>
      </c>
      <c r="AF8" s="1435">
        <f>AF9+AF10+AF11+AF12</f>
        <v>45840.995999999999</v>
      </c>
      <c r="AG8" s="1437">
        <f>AG9+AG10</f>
        <v>94</v>
      </c>
      <c r="AH8" s="1434">
        <f>AJ8/AG8/12*1000</f>
        <v>19182.659183059011</v>
      </c>
      <c r="AI8" s="1438">
        <f>AH8/Z8*100</f>
        <v>99.001778827369307</v>
      </c>
      <c r="AJ8" s="1439">
        <f>AJ9+AJ10</f>
        <v>21638.039558490564</v>
      </c>
      <c r="AK8" s="1440">
        <f>AJ8/U8*100</f>
        <v>133.44112923680402</v>
      </c>
      <c r="AL8" s="1433">
        <f>AL9+AL10+AL11+AL12</f>
        <v>155</v>
      </c>
      <c r="AM8" s="1434">
        <f>AP8/AL8/12*1000</f>
        <v>9336.943451612904</v>
      </c>
      <c r="AN8" s="1441">
        <f>AM8/T8*100</f>
        <v>107.10000000000002</v>
      </c>
      <c r="AO8" s="1436">
        <f>AM8/AJ8*100</f>
        <v>43.150597938292314</v>
      </c>
      <c r="AP8" s="1435">
        <f>AP9+AP10+AP11+AP12</f>
        <v>17366.714820000001</v>
      </c>
      <c r="AQ8" s="1442"/>
      <c r="AR8" s="1442"/>
      <c r="AS8" s="1442"/>
      <c r="AT8" s="1442"/>
      <c r="AU8" s="1433">
        <f>AU9+AU10+AU11+AU12</f>
        <v>151</v>
      </c>
      <c r="AV8" s="1434">
        <f>AW8/AU8/9*1000</f>
        <v>22518.469462840323</v>
      </c>
      <c r="AW8" s="1435">
        <f>AW9+AW10+AW11+AW12</f>
        <v>30602.6</v>
      </c>
      <c r="AX8" s="1433">
        <f>AX9+AX10+AX11+AX12</f>
        <v>151</v>
      </c>
      <c r="AY8" s="1434">
        <f>AZ8/AX8/3*1000</f>
        <v>25066.88741721855</v>
      </c>
      <c r="AZ8" s="1435">
        <f>AZ9+AZ10+AZ11+AZ12</f>
        <v>11355.300000000001</v>
      </c>
      <c r="BA8" s="1433">
        <f>BA9+BA10+BA11+BA12</f>
        <v>150</v>
      </c>
      <c r="BB8" s="1434">
        <f>BC8/BA8/12*1000</f>
        <v>22582.944444444442</v>
      </c>
      <c r="BC8" s="1443">
        <f>BC9+BC10+BC11+BC12</f>
        <v>40649.299999999996</v>
      </c>
      <c r="BD8" s="1444">
        <f>(M8+P8+Y8+BA8)/4</f>
        <v>152.625</v>
      </c>
      <c r="BE8" s="854"/>
      <c r="BF8" s="854"/>
      <c r="BG8" s="854"/>
      <c r="BH8" s="854"/>
      <c r="BI8" s="854"/>
      <c r="BJ8" s="854"/>
      <c r="BK8" s="854"/>
      <c r="BL8" s="854"/>
      <c r="BM8" s="854"/>
      <c r="BN8" s="854"/>
      <c r="BO8" s="854"/>
      <c r="BP8" s="854"/>
      <c r="BQ8" s="854"/>
      <c r="BR8" s="854"/>
      <c r="BS8" s="854"/>
      <c r="BT8" s="854"/>
      <c r="BU8" s="854"/>
      <c r="BV8" s="854"/>
      <c r="BW8" s="854"/>
      <c r="BX8" s="854"/>
    </row>
    <row r="9" spans="1:80" ht="18.75" hidden="1" x14ac:dyDescent="0.3">
      <c r="A9" s="1445" t="s">
        <v>184</v>
      </c>
      <c r="B9" s="1446" t="s">
        <v>83</v>
      </c>
      <c r="C9" s="1447">
        <v>456</v>
      </c>
      <c r="D9" s="1448">
        <v>12405</v>
      </c>
      <c r="E9" s="1449">
        <v>67882.600000000006</v>
      </c>
      <c r="F9" s="1450">
        <v>444</v>
      </c>
      <c r="G9" s="1451">
        <v>12620</v>
      </c>
      <c r="H9" s="1452">
        <f>F9*G9*12/1000</f>
        <v>67239.360000000001</v>
      </c>
      <c r="I9" s="1453">
        <v>435</v>
      </c>
      <c r="J9" s="1448">
        <v>13646</v>
      </c>
      <c r="K9" s="1424">
        <f>J9/G9</f>
        <v>1.0812995245641839</v>
      </c>
      <c r="L9" s="1454">
        <v>71232.100000000006</v>
      </c>
      <c r="M9" s="1453">
        <v>26</v>
      </c>
      <c r="N9" s="1448">
        <f>O9/M9/12*1000</f>
        <v>16771.474358974359</v>
      </c>
      <c r="O9" s="1449">
        <v>5232.7</v>
      </c>
      <c r="P9" s="1455">
        <v>22</v>
      </c>
      <c r="Q9" s="1448">
        <v>20793</v>
      </c>
      <c r="R9" s="1456">
        <f>P9*Q9*12/1000</f>
        <v>5489.3519999999999</v>
      </c>
      <c r="S9" s="1457">
        <v>26.5</v>
      </c>
      <c r="T9" s="1458">
        <f>U9/12/S9*1000</f>
        <v>1500.3144654088051</v>
      </c>
      <c r="U9" s="1459">
        <f>вода!I12</f>
        <v>477.1</v>
      </c>
      <c r="V9" s="1460">
        <v>22</v>
      </c>
      <c r="W9" s="1461">
        <f>X9/9/V9*1000</f>
        <v>17417.171717171717</v>
      </c>
      <c r="X9" s="1462">
        <v>3448.6</v>
      </c>
      <c r="Y9" s="1463">
        <v>26.5</v>
      </c>
      <c r="Z9" s="1461">
        <f>AA9/12/Y9*1000</f>
        <v>15450.943396226414</v>
      </c>
      <c r="AA9" s="1464">
        <v>4913.3999999999996</v>
      </c>
      <c r="AB9" s="1463">
        <v>26.5</v>
      </c>
      <c r="AC9" s="1461">
        <v>21852</v>
      </c>
      <c r="AD9" s="1465">
        <f t="shared" ref="AD9:AD18" si="0">AC9/T9*100</f>
        <v>1456.4946552085516</v>
      </c>
      <c r="AE9" s="1465">
        <f t="shared" ref="AE9:AE18" si="1">AC9/Z9*100</f>
        <v>141.42825741848824</v>
      </c>
      <c r="AF9" s="1464">
        <f>AB9*AC9*12/1000</f>
        <v>6948.9359999999997</v>
      </c>
      <c r="AG9" s="1463">
        <f>V9</f>
        <v>22</v>
      </c>
      <c r="AH9" s="1461">
        <f>Z9*1.051</f>
        <v>16238.94150943396</v>
      </c>
      <c r="AI9" s="1466">
        <f>AH9/Z9*100</f>
        <v>105.1</v>
      </c>
      <c r="AJ9" s="1467">
        <f>AH9*12*AG9/1000</f>
        <v>4287.0805584905647</v>
      </c>
      <c r="AK9" s="1468">
        <f>AJ9/U9*100</f>
        <v>898.57064734658661</v>
      </c>
      <c r="AL9" s="1463">
        <v>26.5</v>
      </c>
      <c r="AM9" s="1469">
        <f>T9*1.071</f>
        <v>1606.8367924528302</v>
      </c>
      <c r="AN9" s="1441">
        <f>AM9/T9*100</f>
        <v>107.1</v>
      </c>
      <c r="AO9" s="1470">
        <f>AM9/Z9*100</f>
        <v>10.399603126144829</v>
      </c>
      <c r="AP9" s="1464">
        <f>AL9*AM9*12/1000</f>
        <v>510.97410000000002</v>
      </c>
      <c r="AQ9" s="1471"/>
      <c r="AR9" s="1471"/>
      <c r="AS9" s="1471"/>
      <c r="AT9" s="1471"/>
      <c r="AU9" s="1463">
        <v>22</v>
      </c>
      <c r="AV9" s="1461">
        <f>AW9/9/AU9*1000</f>
        <v>21411.616161616163</v>
      </c>
      <c r="AW9" s="1464">
        <v>4239.5</v>
      </c>
      <c r="AX9" s="1463">
        <v>22</v>
      </c>
      <c r="AY9" s="1461">
        <f>AZ9/3/AX9*1000</f>
        <v>23621.21212121212</v>
      </c>
      <c r="AZ9" s="1464">
        <v>1559</v>
      </c>
      <c r="BA9" s="1463">
        <v>22</v>
      </c>
      <c r="BB9" s="1469">
        <f>BC9/BA9/12*1000</f>
        <v>21159.469696969696</v>
      </c>
      <c r="BC9" s="1472">
        <v>5586.1</v>
      </c>
      <c r="BD9" s="1444">
        <f>(M9+P9+Y9+BA9)/4</f>
        <v>24.125</v>
      </c>
      <c r="BE9" s="854"/>
      <c r="BF9" s="854"/>
      <c r="BG9" s="854"/>
      <c r="BH9" s="854"/>
      <c r="BI9" s="854"/>
      <c r="BJ9" s="854"/>
      <c r="BK9" s="854"/>
      <c r="BL9" s="854"/>
      <c r="BM9" s="854"/>
      <c r="BN9" s="854"/>
      <c r="BO9" s="854"/>
      <c r="BP9" s="854"/>
      <c r="BQ9" s="854"/>
      <c r="BR9" s="854"/>
      <c r="BS9" s="854"/>
      <c r="BT9" s="854"/>
      <c r="BU9" s="854"/>
      <c r="BV9" s="854"/>
      <c r="BW9" s="854"/>
      <c r="BX9" s="854"/>
    </row>
    <row r="10" spans="1:80" ht="18.75" hidden="1" x14ac:dyDescent="0.3">
      <c r="A10" s="1445" t="s">
        <v>185</v>
      </c>
      <c r="B10" s="1446" t="s">
        <v>84</v>
      </c>
      <c r="C10" s="1447">
        <v>384</v>
      </c>
      <c r="D10" s="1448">
        <v>11838</v>
      </c>
      <c r="E10" s="1449">
        <v>54547.199999999997</v>
      </c>
      <c r="F10" s="1450">
        <v>369</v>
      </c>
      <c r="G10" s="1451">
        <v>12231</v>
      </c>
      <c r="H10" s="1452">
        <f>F10*G10*12/1000</f>
        <v>54158.868000000002</v>
      </c>
      <c r="I10" s="1453">
        <v>364</v>
      </c>
      <c r="J10" s="1448">
        <v>13021</v>
      </c>
      <c r="K10" s="1424">
        <f>J10/G10</f>
        <v>1.0645899762897555</v>
      </c>
      <c r="L10" s="1454">
        <v>56876.800000000003</v>
      </c>
      <c r="M10" s="1473">
        <v>71.5</v>
      </c>
      <c r="N10" s="1448">
        <f>O10/M10/12*1000</f>
        <v>16952.564102564102</v>
      </c>
      <c r="O10" s="1449">
        <v>14545.3</v>
      </c>
      <c r="P10" s="1455">
        <v>70</v>
      </c>
      <c r="Q10" s="1448">
        <f>R10/P10/12*1000</f>
        <v>18740.238095238095</v>
      </c>
      <c r="R10" s="1456">
        <v>15741.8</v>
      </c>
      <c r="S10" s="1457">
        <v>72.5</v>
      </c>
      <c r="T10" s="1458">
        <f>U10/S10/12*1000</f>
        <v>994.02298850574709</v>
      </c>
      <c r="U10" s="1459">
        <f>вода!I22</f>
        <v>864.8</v>
      </c>
      <c r="V10" s="1460">
        <v>72</v>
      </c>
      <c r="W10" s="1461">
        <f>X10/V10/12*1000</f>
        <v>13525</v>
      </c>
      <c r="X10" s="1462">
        <v>11685.6</v>
      </c>
      <c r="Y10" s="1463">
        <v>72.5</v>
      </c>
      <c r="Z10" s="1461">
        <f>AA10/12/72*1000</f>
        <v>19107.638888888891</v>
      </c>
      <c r="AA10" s="1464">
        <v>16509</v>
      </c>
      <c r="AB10" s="1463">
        <v>72.5</v>
      </c>
      <c r="AC10" s="1461">
        <v>23802</v>
      </c>
      <c r="AD10" s="1465">
        <f t="shared" si="0"/>
        <v>2394.5120259019427</v>
      </c>
      <c r="AE10" s="1465">
        <f t="shared" si="1"/>
        <v>124.56798110121751</v>
      </c>
      <c r="AF10" s="1464">
        <f>AB10*AC10*12/1000</f>
        <v>20707.740000000002</v>
      </c>
      <c r="AG10" s="1463">
        <f>V10</f>
        <v>72</v>
      </c>
      <c r="AH10" s="1461">
        <f>Z10*1.051</f>
        <v>20082.128472222223</v>
      </c>
      <c r="AI10" s="1466">
        <f>AH10/Z10*100</f>
        <v>105.1</v>
      </c>
      <c r="AJ10" s="1467">
        <f>AH10*12*AG10/1000</f>
        <v>17350.958999999999</v>
      </c>
      <c r="AK10" s="1468">
        <f>AJ10/U10*100</f>
        <v>2006.3551110083256</v>
      </c>
      <c r="AL10" s="1463">
        <v>72.5</v>
      </c>
      <c r="AM10" s="1469">
        <f>T10*1.071</f>
        <v>1064.598620689655</v>
      </c>
      <c r="AN10" s="1441">
        <f>AM10/T10*100</f>
        <v>107.1</v>
      </c>
      <c r="AO10" s="1470">
        <f t="shared" ref="AO10:AO18" si="2">AM10/Z10*100</f>
        <v>5.5715864575435328</v>
      </c>
      <c r="AP10" s="1464">
        <f>AL10*AM10*12/1000</f>
        <v>926.20079999999996</v>
      </c>
      <c r="AQ10" s="1471"/>
      <c r="AR10" s="1471"/>
      <c r="AS10" s="1471"/>
      <c r="AT10" s="1471"/>
      <c r="AU10" s="1463">
        <v>72</v>
      </c>
      <c r="AV10" s="1461">
        <f>AW10/9/AU10*1000</f>
        <v>21503.703703703704</v>
      </c>
      <c r="AW10" s="1464">
        <v>13934.4</v>
      </c>
      <c r="AX10" s="1463">
        <v>72</v>
      </c>
      <c r="AY10" s="1461">
        <f>AZ10/3/AX10*1000</f>
        <v>23650.925925925927</v>
      </c>
      <c r="AZ10" s="1464">
        <v>5108.6000000000004</v>
      </c>
      <c r="BA10" s="1463">
        <v>72</v>
      </c>
      <c r="BB10" s="1469">
        <f>BC10/BA10/12*1000</f>
        <v>21402.199074074077</v>
      </c>
      <c r="BC10" s="1472">
        <v>18491.5</v>
      </c>
      <c r="BD10" s="1444">
        <f>(M10+P10+Y10+BA10)/4</f>
        <v>71.5</v>
      </c>
      <c r="BE10" s="854"/>
      <c r="BF10" s="854"/>
      <c r="BG10" s="854"/>
      <c r="BH10" s="854"/>
      <c r="BI10" s="854"/>
      <c r="BJ10" s="854"/>
      <c r="BK10" s="854"/>
      <c r="BL10" s="854"/>
      <c r="BM10" s="854"/>
      <c r="BN10" s="854"/>
      <c r="BO10" s="854"/>
      <c r="BP10" s="854"/>
      <c r="BQ10" s="854"/>
      <c r="BR10" s="854"/>
      <c r="BS10" s="854"/>
      <c r="BT10" s="854"/>
      <c r="BU10" s="854"/>
      <c r="BV10" s="854"/>
      <c r="BW10" s="854"/>
      <c r="BX10" s="854"/>
    </row>
    <row r="11" spans="1:80" ht="18.75" hidden="1" x14ac:dyDescent="0.3">
      <c r="A11" s="1445" t="s">
        <v>193</v>
      </c>
      <c r="B11" s="1446" t="s">
        <v>85</v>
      </c>
      <c r="C11" s="1447"/>
      <c r="D11" s="1448"/>
      <c r="E11" s="1449"/>
      <c r="F11" s="1450"/>
      <c r="G11" s="1451"/>
      <c r="H11" s="1452"/>
      <c r="I11" s="1453"/>
      <c r="J11" s="1448"/>
      <c r="K11" s="1424"/>
      <c r="L11" s="1454"/>
      <c r="M11" s="1453">
        <v>33</v>
      </c>
      <c r="N11" s="1448">
        <v>18981</v>
      </c>
      <c r="O11" s="1449">
        <f>M11*N11*12/1000</f>
        <v>7516.4759999999997</v>
      </c>
      <c r="P11" s="1474">
        <v>32</v>
      </c>
      <c r="Q11" s="1475">
        <v>21797</v>
      </c>
      <c r="R11" s="1456">
        <f>P11*Q11*12/1000</f>
        <v>8370.0480000000007</v>
      </c>
      <c r="S11" s="1457">
        <v>31</v>
      </c>
      <c r="T11" s="1347">
        <v>23385</v>
      </c>
      <c r="U11" s="1459">
        <f>S11*T11*12/1000</f>
        <v>8699.2199999999993</v>
      </c>
      <c r="V11" s="1460">
        <v>30</v>
      </c>
      <c r="W11" s="1461">
        <v>21786</v>
      </c>
      <c r="X11" s="1462">
        <f>V11*W11*9/1000</f>
        <v>5882.22</v>
      </c>
      <c r="Y11" s="1463">
        <v>31</v>
      </c>
      <c r="Z11" s="1461">
        <v>24160</v>
      </c>
      <c r="AA11" s="1464">
        <v>8778.6</v>
      </c>
      <c r="AB11" s="1463">
        <v>31</v>
      </c>
      <c r="AC11" s="1461">
        <v>28610</v>
      </c>
      <c r="AD11" s="1465">
        <f t="shared" si="0"/>
        <v>122.34338251015609</v>
      </c>
      <c r="AE11" s="1465">
        <f t="shared" si="1"/>
        <v>118.41887417218544</v>
      </c>
      <c r="AF11" s="1464">
        <f>AB11*AC11*12/1000</f>
        <v>10642.92</v>
      </c>
      <c r="AG11" s="1463"/>
      <c r="AH11" s="1461"/>
      <c r="AI11" s="1466"/>
      <c r="AJ11" s="1467"/>
      <c r="AK11" s="1468"/>
      <c r="AL11" s="1463">
        <v>31</v>
      </c>
      <c r="AM11" s="1469">
        <f>T11*1.071</f>
        <v>25045.334999999999</v>
      </c>
      <c r="AN11" s="1441">
        <f>AM11/T11*100</f>
        <v>107.1</v>
      </c>
      <c r="AO11" s="1470">
        <f t="shared" si="2"/>
        <v>103.66446605960265</v>
      </c>
      <c r="AP11" s="1464">
        <f>AL11*AM11*12/1000</f>
        <v>9316.8646200000003</v>
      </c>
      <c r="AQ11" s="1471"/>
      <c r="AR11" s="1471"/>
      <c r="AS11" s="1471"/>
      <c r="AT11" s="1471"/>
      <c r="AU11" s="1463">
        <v>32</v>
      </c>
      <c r="AV11" s="1461">
        <f>AW11/9/AU11*1000</f>
        <v>25180.902777777777</v>
      </c>
      <c r="AW11" s="1464">
        <v>7252.1</v>
      </c>
      <c r="AX11" s="1463">
        <v>32</v>
      </c>
      <c r="AY11" s="1461">
        <f>AZ11/3/AX11*1000</f>
        <v>28734.375</v>
      </c>
      <c r="AZ11" s="1464">
        <v>2758.5</v>
      </c>
      <c r="BA11" s="1463">
        <v>31</v>
      </c>
      <c r="BB11" s="1469">
        <f>BC11/BA11/12*1000</f>
        <v>26139.247311827956</v>
      </c>
      <c r="BC11" s="1472">
        <v>9723.7999999999993</v>
      </c>
      <c r="BD11" s="1444">
        <f>(M11+P11+Y11+BA11)/4</f>
        <v>31.75</v>
      </c>
      <c r="BE11" s="854"/>
      <c r="BF11" s="854"/>
      <c r="BG11" s="854"/>
      <c r="BH11" s="854"/>
      <c r="BI11" s="854"/>
      <c r="BJ11" s="854"/>
      <c r="BK11" s="854"/>
      <c r="BL11" s="854"/>
      <c r="BM11" s="854"/>
      <c r="BN11" s="854"/>
      <c r="BO11" s="854"/>
      <c r="BP11" s="854"/>
      <c r="BQ11" s="854"/>
      <c r="BR11" s="854"/>
      <c r="BS11" s="854"/>
      <c r="BT11" s="854"/>
      <c r="BU11" s="854"/>
      <c r="BV11" s="854"/>
      <c r="BW11" s="854"/>
      <c r="BX11" s="854"/>
    </row>
    <row r="12" spans="1:80" ht="18.75" hidden="1" x14ac:dyDescent="0.3">
      <c r="A12" s="1445" t="s">
        <v>194</v>
      </c>
      <c r="B12" s="1446" t="s">
        <v>86</v>
      </c>
      <c r="C12" s="1447"/>
      <c r="D12" s="1448"/>
      <c r="E12" s="1449"/>
      <c r="F12" s="1450"/>
      <c r="G12" s="1451"/>
      <c r="H12" s="1452"/>
      <c r="I12" s="1453"/>
      <c r="J12" s="1448"/>
      <c r="K12" s="1424"/>
      <c r="L12" s="1454"/>
      <c r="M12" s="1453">
        <v>25</v>
      </c>
      <c r="N12" s="1448">
        <v>17707</v>
      </c>
      <c r="O12" s="1449">
        <f>M12*N12*12/1000</f>
        <v>5312.1</v>
      </c>
      <c r="P12" s="1474">
        <v>26</v>
      </c>
      <c r="Q12" s="1475">
        <v>21864</v>
      </c>
      <c r="R12" s="1456">
        <f>P12*Q12*12/1000</f>
        <v>6821.5680000000002</v>
      </c>
      <c r="S12" s="1457">
        <v>25</v>
      </c>
      <c r="T12" s="1347">
        <v>20581</v>
      </c>
      <c r="U12" s="1459">
        <f>S12*T12*12/1000</f>
        <v>6174.3</v>
      </c>
      <c r="V12" s="1460">
        <v>25</v>
      </c>
      <c r="W12" s="1461">
        <v>18220</v>
      </c>
      <c r="X12" s="1462">
        <f>V12*W12*9/1000</f>
        <v>4099.5</v>
      </c>
      <c r="Y12" s="1463">
        <v>25</v>
      </c>
      <c r="Z12" s="1461">
        <v>20570</v>
      </c>
      <c r="AA12" s="1464">
        <v>5838.5</v>
      </c>
      <c r="AB12" s="1463">
        <v>25</v>
      </c>
      <c r="AC12" s="1461">
        <v>25138</v>
      </c>
      <c r="AD12" s="1465">
        <f t="shared" si="0"/>
        <v>122.14178125455517</v>
      </c>
      <c r="AE12" s="1465">
        <f t="shared" si="1"/>
        <v>122.2070977151191</v>
      </c>
      <c r="AF12" s="1464">
        <f>AB12*AC12*12/1000</f>
        <v>7541.4</v>
      </c>
      <c r="AG12" s="1463"/>
      <c r="AH12" s="1461"/>
      <c r="AI12" s="1466"/>
      <c r="AJ12" s="1467"/>
      <c r="AK12" s="1468"/>
      <c r="AL12" s="1463">
        <v>25</v>
      </c>
      <c r="AM12" s="1469">
        <f>T12*1.071</f>
        <v>22042.251</v>
      </c>
      <c r="AN12" s="1441">
        <f>AM12/T12*100</f>
        <v>107.1</v>
      </c>
      <c r="AO12" s="1470">
        <f t="shared" si="2"/>
        <v>107.15727272727274</v>
      </c>
      <c r="AP12" s="1464">
        <f>AL12*AM12*12/1000</f>
        <v>6612.6753000000008</v>
      </c>
      <c r="AQ12" s="1471"/>
      <c r="AR12" s="1471"/>
      <c r="AS12" s="1471"/>
      <c r="AT12" s="1471"/>
      <c r="AU12" s="1463">
        <v>25</v>
      </c>
      <c r="AV12" s="1461">
        <f>AW12/9/AU12*1000</f>
        <v>23007.111111111113</v>
      </c>
      <c r="AW12" s="1464">
        <v>5176.6000000000004</v>
      </c>
      <c r="AX12" s="1463">
        <v>25</v>
      </c>
      <c r="AY12" s="1461">
        <f>AZ12/3/AX12*1000</f>
        <v>25722.666666666668</v>
      </c>
      <c r="AZ12" s="1464">
        <v>1929.2</v>
      </c>
      <c r="BA12" s="1463">
        <v>25</v>
      </c>
      <c r="BB12" s="1469">
        <f>BC12/BA12/12*1000</f>
        <v>22826.333333333336</v>
      </c>
      <c r="BC12" s="1472">
        <v>6847.9</v>
      </c>
      <c r="BD12" s="1444">
        <f>(M12+P12+Y12+BA12)/4</f>
        <v>25.25</v>
      </c>
      <c r="BE12" s="854"/>
      <c r="BF12" s="854"/>
      <c r="BG12" s="854"/>
      <c r="BH12" s="854"/>
      <c r="BI12" s="854"/>
      <c r="BJ12" s="854"/>
      <c r="BK12" s="854"/>
      <c r="BL12" s="854"/>
      <c r="BM12" s="854"/>
      <c r="BN12" s="854"/>
      <c r="BO12" s="854"/>
      <c r="BP12" s="854"/>
      <c r="BQ12" s="854"/>
      <c r="BR12" s="854"/>
      <c r="BS12" s="854"/>
      <c r="BT12" s="854"/>
      <c r="BU12" s="854"/>
      <c r="BV12" s="854"/>
      <c r="BW12" s="854"/>
      <c r="BX12" s="854"/>
    </row>
    <row r="13" spans="1:80" ht="18.75" hidden="1" x14ac:dyDescent="0.3">
      <c r="A13" s="1445"/>
      <c r="B13" s="1446"/>
      <c r="C13" s="1447"/>
      <c r="D13" s="1448"/>
      <c r="E13" s="1449"/>
      <c r="F13" s="1450"/>
      <c r="G13" s="1451"/>
      <c r="H13" s="1452"/>
      <c r="I13" s="1453"/>
      <c r="J13" s="1448"/>
      <c r="K13" s="1424"/>
      <c r="L13" s="1454"/>
      <c r="M13" s="1453"/>
      <c r="N13" s="1448"/>
      <c r="O13" s="1449"/>
      <c r="P13" s="1456"/>
      <c r="Q13" s="1476"/>
      <c r="R13" s="1456"/>
      <c r="S13" s="1457"/>
      <c r="T13" s="1347"/>
      <c r="U13" s="1459"/>
      <c r="V13" s="1460"/>
      <c r="W13" s="1461"/>
      <c r="X13" s="1462"/>
      <c r="Y13" s="1463"/>
      <c r="Z13" s="1461"/>
      <c r="AA13" s="1464"/>
      <c r="AB13" s="1463"/>
      <c r="AC13" s="1461"/>
      <c r="AD13" s="1436"/>
      <c r="AE13" s="1465"/>
      <c r="AF13" s="1464"/>
      <c r="AG13" s="1463"/>
      <c r="AH13" s="1461"/>
      <c r="AI13" s="1466"/>
      <c r="AJ13" s="1467"/>
      <c r="AK13" s="1468"/>
      <c r="AL13" s="1463"/>
      <c r="AM13" s="1461"/>
      <c r="AN13" s="1441"/>
      <c r="AO13" s="1470"/>
      <c r="AP13" s="1464"/>
      <c r="AQ13" s="1471"/>
      <c r="AR13" s="1471"/>
      <c r="AS13" s="1471"/>
      <c r="AT13" s="1471"/>
      <c r="AU13" s="1463"/>
      <c r="AV13" s="494"/>
      <c r="AW13" s="1464"/>
      <c r="AX13" s="1463"/>
      <c r="AY13" s="494"/>
      <c r="AZ13" s="1464"/>
      <c r="BA13" s="1463"/>
      <c r="BB13" s="1461"/>
      <c r="BC13" s="1472"/>
      <c r="BD13" s="1444"/>
      <c r="BE13" s="854"/>
      <c r="BF13" s="854"/>
      <c r="BG13" s="854"/>
      <c r="BH13" s="854"/>
      <c r="BI13" s="854"/>
      <c r="BJ13" s="854"/>
      <c r="BK13" s="854"/>
      <c r="BL13" s="854"/>
      <c r="BM13" s="854"/>
      <c r="BN13" s="854"/>
      <c r="BO13" s="854"/>
      <c r="BP13" s="854"/>
      <c r="BQ13" s="854"/>
      <c r="BR13" s="854"/>
      <c r="BS13" s="854"/>
      <c r="BT13" s="854"/>
      <c r="BU13" s="854"/>
      <c r="BV13" s="854"/>
      <c r="BW13" s="854"/>
      <c r="BX13" s="854"/>
    </row>
    <row r="14" spans="1:80" ht="56.25" hidden="1" x14ac:dyDescent="0.3">
      <c r="A14" s="1415" t="s">
        <v>186</v>
      </c>
      <c r="B14" s="1416" t="s">
        <v>196</v>
      </c>
      <c r="C14" s="1417">
        <v>840</v>
      </c>
      <c r="D14" s="1418">
        <v>12146</v>
      </c>
      <c r="E14" s="1419">
        <v>122429.8</v>
      </c>
      <c r="F14" s="1420">
        <f>F15+F16</f>
        <v>813</v>
      </c>
      <c r="G14" s="1421">
        <f>(G15*F15+G16*F16)/(F15+F16)</f>
        <v>12443.442804428045</v>
      </c>
      <c r="H14" s="1422">
        <f>H16+H15</f>
        <v>121398.228</v>
      </c>
      <c r="I14" s="1423">
        <v>799</v>
      </c>
      <c r="J14" s="1418">
        <v>13361</v>
      </c>
      <c r="K14" s="1424">
        <f>J14/G14</f>
        <v>1.07373820975377</v>
      </c>
      <c r="L14" s="1425">
        <v>128108.9</v>
      </c>
      <c r="M14" s="1423">
        <f>M15+M16+M17+M18</f>
        <v>109</v>
      </c>
      <c r="N14" s="1418">
        <f>O14/M14/12*1000</f>
        <v>18196.483180428135</v>
      </c>
      <c r="O14" s="1419">
        <f>O15+O16+O17+O18</f>
        <v>23801.000000000004</v>
      </c>
      <c r="P14" s="1426">
        <f>SUM(P15:P18)</f>
        <v>95</v>
      </c>
      <c r="Q14" s="1427">
        <f>R14/P14/12*1000</f>
        <v>21844.621052631581</v>
      </c>
      <c r="R14" s="1426">
        <f>SUM(R15:R18)</f>
        <v>24902.868000000002</v>
      </c>
      <c r="S14" s="1428">
        <f>S15+S16+S17+S18</f>
        <v>105</v>
      </c>
      <c r="T14" s="1429">
        <f>U14/S14/12*1000</f>
        <v>22144.31111111111</v>
      </c>
      <c r="U14" s="1430">
        <f>U15+U16+U17+U18</f>
        <v>27901.832000000002</v>
      </c>
      <c r="V14" s="1431">
        <f>V15+V16+V17+V18</f>
        <v>98</v>
      </c>
      <c r="W14" s="1429">
        <f>X14/V14/12*1000</f>
        <v>15199.064625850338</v>
      </c>
      <c r="X14" s="1432">
        <f>X15+X16+X17+X18</f>
        <v>17874.099999999999</v>
      </c>
      <c r="Y14" s="1477">
        <f>Y15+Y16+Y17+Y18</f>
        <v>94</v>
      </c>
      <c r="Z14" s="1478">
        <f>AA14/Y14/12*1000</f>
        <v>22720.301418439718</v>
      </c>
      <c r="AA14" s="1479">
        <f>AA15+AA16+AA17+AA18</f>
        <v>25628.5</v>
      </c>
      <c r="AB14" s="1433">
        <f>AB15+AB16+AB17+AB18</f>
        <v>105</v>
      </c>
      <c r="AC14" s="1434">
        <f>AF14/AB14/12*1000</f>
        <v>27439.161904761906</v>
      </c>
      <c r="AD14" s="1436">
        <f t="shared" si="0"/>
        <v>123.91065934308546</v>
      </c>
      <c r="AE14" s="1465">
        <f t="shared" si="1"/>
        <v>120.76935688226555</v>
      </c>
      <c r="AF14" s="1435">
        <f>AF15+AF16+AF17+AF18</f>
        <v>34573.344000000005</v>
      </c>
      <c r="AG14" s="1463"/>
      <c r="AH14" s="1461"/>
      <c r="AI14" s="1466"/>
      <c r="AJ14" s="1467"/>
      <c r="AK14" s="1468"/>
      <c r="AL14" s="1433">
        <f>AL15+AL16+AL17+AL18</f>
        <v>105</v>
      </c>
      <c r="AM14" s="1434">
        <f>AP14/AL14/12*1000</f>
        <v>23716.557199999999</v>
      </c>
      <c r="AN14" s="1441">
        <f>AM14/T14*100</f>
        <v>107.1</v>
      </c>
      <c r="AO14" s="1470">
        <f t="shared" si="2"/>
        <v>104.38487044345162</v>
      </c>
      <c r="AP14" s="1435">
        <f>AP15+AP16+AP17+AP18</f>
        <v>29882.862072</v>
      </c>
      <c r="AQ14" s="1442"/>
      <c r="AR14" s="1442"/>
      <c r="AS14" s="1442"/>
      <c r="AT14" s="1442"/>
      <c r="AU14" s="1433">
        <f>AU15+AU16+AU17+AU18</f>
        <v>98</v>
      </c>
      <c r="AV14" s="1434">
        <f>AW14/AU14/9*1000</f>
        <v>24623.582766439908</v>
      </c>
      <c r="AW14" s="1435">
        <f>AW15+AW16+AW17+AW18</f>
        <v>21717.999999999996</v>
      </c>
      <c r="AX14" s="1433">
        <f>AX15+AX16+AX17+AX18</f>
        <v>98</v>
      </c>
      <c r="AY14" s="1434">
        <f>AZ14/AX14/3*1000</f>
        <v>27260.884353741498</v>
      </c>
      <c r="AZ14" s="1435">
        <f>AZ15+AZ16+AZ17+AZ18</f>
        <v>8014.7000000000007</v>
      </c>
      <c r="BA14" s="1433">
        <f>BA15+BA16+BA17+BA18</f>
        <v>98</v>
      </c>
      <c r="BB14" s="1434">
        <f>BC14/BA14/12*1000</f>
        <v>24748.639455782311</v>
      </c>
      <c r="BC14" s="1443">
        <f>BC15+BC16+BC17+BC18</f>
        <v>29104.399999999998</v>
      </c>
      <c r="BD14" s="1444">
        <f>(M14+P14+Y14+BA14)/4</f>
        <v>99</v>
      </c>
      <c r="BE14" s="854"/>
      <c r="BF14" s="854"/>
      <c r="BG14" s="854"/>
      <c r="BH14" s="854"/>
      <c r="BI14" s="854"/>
      <c r="BJ14" s="854"/>
      <c r="BK14" s="854"/>
      <c r="BL14" s="854"/>
      <c r="BM14" s="854"/>
      <c r="BN14" s="854"/>
      <c r="BO14" s="854"/>
      <c r="BP14" s="854"/>
      <c r="BQ14" s="854"/>
      <c r="BR14" s="854"/>
      <c r="BS14" s="854"/>
      <c r="BT14" s="854"/>
      <c r="BU14" s="854"/>
      <c r="BV14" s="854"/>
      <c r="BW14" s="854"/>
      <c r="BX14" s="854"/>
    </row>
    <row r="15" spans="1:80" ht="18.75" hidden="1" x14ac:dyDescent="0.3">
      <c r="A15" s="1445" t="s">
        <v>187</v>
      </c>
      <c r="B15" s="1446" t="s">
        <v>88</v>
      </c>
      <c r="C15" s="1447">
        <v>456</v>
      </c>
      <c r="D15" s="1448">
        <v>12405</v>
      </c>
      <c r="E15" s="1449">
        <v>67882.600000000006</v>
      </c>
      <c r="F15" s="1450">
        <v>444</v>
      </c>
      <c r="G15" s="1451">
        <v>12620</v>
      </c>
      <c r="H15" s="1452">
        <f>F15*G15*12/1000</f>
        <v>67239.360000000001</v>
      </c>
      <c r="I15" s="1453">
        <v>435</v>
      </c>
      <c r="J15" s="1448">
        <v>13646</v>
      </c>
      <c r="K15" s="1424">
        <f>J15/G15</f>
        <v>1.0812995245641839</v>
      </c>
      <c r="L15" s="1454">
        <v>71232.100000000006</v>
      </c>
      <c r="M15" s="1453">
        <v>26</v>
      </c>
      <c r="N15" s="1448">
        <f>O15/M15/12*1000</f>
        <v>18108.974358974363</v>
      </c>
      <c r="O15" s="1449">
        <v>5650</v>
      </c>
      <c r="P15" s="1455">
        <v>26</v>
      </c>
      <c r="Q15" s="1448">
        <f>R15/P15/12*1000</f>
        <v>19295.833333333336</v>
      </c>
      <c r="R15" s="1456">
        <v>6020.3</v>
      </c>
      <c r="S15" s="1457">
        <v>30</v>
      </c>
      <c r="T15" s="1458">
        <f>U15/S15/12*1000</f>
        <v>18746.388888888887</v>
      </c>
      <c r="U15" s="1459">
        <v>6748.7</v>
      </c>
      <c r="V15" s="1460">
        <v>27</v>
      </c>
      <c r="W15" s="1458">
        <f>X15/V15/9*1000</f>
        <v>17960.905349794237</v>
      </c>
      <c r="X15" s="1462">
        <v>4364.5</v>
      </c>
      <c r="Y15" s="1463">
        <v>26</v>
      </c>
      <c r="Z15" s="1461">
        <f>AA15/12/Y15*1000</f>
        <v>19381.410256410254</v>
      </c>
      <c r="AA15" s="1464">
        <v>6047</v>
      </c>
      <c r="AB15" s="1463">
        <v>30</v>
      </c>
      <c r="AC15" s="1461">
        <v>23903</v>
      </c>
      <c r="AD15" s="1465">
        <f t="shared" si="0"/>
        <v>127.50722361343666</v>
      </c>
      <c r="AE15" s="1465">
        <f t="shared" si="1"/>
        <v>123.32951876963784</v>
      </c>
      <c r="AF15" s="1464">
        <f>AB15*AC15*12/1000</f>
        <v>8605.08</v>
      </c>
      <c r="AG15" s="1463"/>
      <c r="AH15" s="1461"/>
      <c r="AI15" s="1466"/>
      <c r="AJ15" s="1467"/>
      <c r="AK15" s="1468"/>
      <c r="AL15" s="1463">
        <v>30</v>
      </c>
      <c r="AM15" s="1469">
        <f>T15*1.071</f>
        <v>20077.382499999996</v>
      </c>
      <c r="AN15" s="1441">
        <f>AM15/T15*100</f>
        <v>107.1</v>
      </c>
      <c r="AO15" s="1470">
        <f t="shared" si="2"/>
        <v>103.5909267405325</v>
      </c>
      <c r="AP15" s="1464">
        <f>AL15*AM15*12/1000</f>
        <v>7227.8576999999987</v>
      </c>
      <c r="AQ15" s="1471"/>
      <c r="AR15" s="1471"/>
      <c r="AS15" s="1471"/>
      <c r="AT15" s="1471"/>
      <c r="AU15" s="1463">
        <v>26</v>
      </c>
      <c r="AV15" s="1461">
        <f>AW15/9/AU15*1000</f>
        <v>22458.119658119656</v>
      </c>
      <c r="AW15" s="1464">
        <v>5255.2</v>
      </c>
      <c r="AX15" s="1463">
        <v>26</v>
      </c>
      <c r="AY15" s="1461">
        <f>AZ15/3/AX15*1000</f>
        <v>23894.871794871793</v>
      </c>
      <c r="AZ15" s="1464">
        <v>1863.8</v>
      </c>
      <c r="BA15" s="1463">
        <v>26</v>
      </c>
      <c r="BB15" s="1469">
        <f>BC15/12/BA15*1000</f>
        <v>22598.076923076926</v>
      </c>
      <c r="BC15" s="1472">
        <v>7050.6</v>
      </c>
      <c r="BD15" s="1444">
        <f>(M15+P15+Y15+BA15)/4</f>
        <v>26</v>
      </c>
      <c r="BE15" s="854"/>
      <c r="BF15" s="854"/>
      <c r="BG15" s="854"/>
      <c r="BH15" s="854"/>
      <c r="BI15" s="854"/>
      <c r="BJ15" s="854"/>
      <c r="BK15" s="854"/>
      <c r="BL15" s="854"/>
      <c r="BM15" s="854"/>
      <c r="BN15" s="854"/>
      <c r="BO15" s="854"/>
      <c r="BP15" s="854"/>
      <c r="BQ15" s="854"/>
      <c r="BR15" s="854"/>
      <c r="BS15" s="854"/>
      <c r="BT15" s="854"/>
      <c r="BU15" s="854"/>
      <c r="BV15" s="854"/>
      <c r="BW15" s="854"/>
      <c r="BX15" s="854"/>
    </row>
    <row r="16" spans="1:80" ht="18.75" hidden="1" x14ac:dyDescent="0.3">
      <c r="A16" s="1445" t="s">
        <v>188</v>
      </c>
      <c r="B16" s="1446" t="s">
        <v>89</v>
      </c>
      <c r="C16" s="1447">
        <v>384</v>
      </c>
      <c r="D16" s="1448">
        <v>11838</v>
      </c>
      <c r="E16" s="1449">
        <v>54547.199999999997</v>
      </c>
      <c r="F16" s="1450">
        <v>369</v>
      </c>
      <c r="G16" s="1451">
        <v>12231</v>
      </c>
      <c r="H16" s="1452">
        <f>F16*G16*12/1000</f>
        <v>54158.868000000002</v>
      </c>
      <c r="I16" s="1453">
        <v>364</v>
      </c>
      <c r="J16" s="1448">
        <v>13021</v>
      </c>
      <c r="K16" s="1424">
        <f>J16/G16</f>
        <v>1.0645899762897555</v>
      </c>
      <c r="L16" s="1454">
        <v>56876.800000000003</v>
      </c>
      <c r="M16" s="1453">
        <v>60</v>
      </c>
      <c r="N16" s="1448">
        <v>19277</v>
      </c>
      <c r="O16" s="1449">
        <f>M16*N16*12/1000</f>
        <v>13879.44</v>
      </c>
      <c r="P16" s="1455">
        <v>48</v>
      </c>
      <c r="Q16" s="1448">
        <v>22603</v>
      </c>
      <c r="R16" s="1456">
        <f>P16*Q16*12/1000</f>
        <v>13019.328</v>
      </c>
      <c r="S16" s="1457">
        <v>49</v>
      </c>
      <c r="T16" s="1347">
        <v>24500</v>
      </c>
      <c r="U16" s="1459">
        <f>S16*T16*12/1000</f>
        <v>14406</v>
      </c>
      <c r="V16" s="1460">
        <v>48</v>
      </c>
      <c r="W16" s="1458">
        <f>X16/V16/9*1000</f>
        <v>21462.037037037036</v>
      </c>
      <c r="X16" s="1462">
        <v>9271.6</v>
      </c>
      <c r="Y16" s="1463">
        <v>48</v>
      </c>
      <c r="Z16" s="1461">
        <f>AA16/12/Y16*1000</f>
        <v>23137.326388888891</v>
      </c>
      <c r="AA16" s="1464">
        <v>13327.1</v>
      </c>
      <c r="AB16" s="1463">
        <v>49</v>
      </c>
      <c r="AC16" s="1461">
        <v>28797</v>
      </c>
      <c r="AD16" s="1465">
        <f t="shared" si="0"/>
        <v>117.53877551020409</v>
      </c>
      <c r="AE16" s="1465">
        <f t="shared" si="1"/>
        <v>124.46122562297874</v>
      </c>
      <c r="AF16" s="1464">
        <f>AB16*AC16*12/1000</f>
        <v>16932.635999999999</v>
      </c>
      <c r="AG16" s="1463"/>
      <c r="AH16" s="1461"/>
      <c r="AI16" s="1466"/>
      <c r="AJ16" s="1467"/>
      <c r="AK16" s="1468"/>
      <c r="AL16" s="1463">
        <v>49</v>
      </c>
      <c r="AM16" s="1469">
        <f>T16*1.071</f>
        <v>26239.5</v>
      </c>
      <c r="AN16" s="1441">
        <f>AM16/T16*100</f>
        <v>107.1</v>
      </c>
      <c r="AO16" s="1470">
        <f t="shared" si="2"/>
        <v>113.40765808015247</v>
      </c>
      <c r="AP16" s="1464">
        <f>AL16*AM16*12/1000</f>
        <v>15428.825999999999</v>
      </c>
      <c r="AQ16" s="1471"/>
      <c r="AR16" s="1471"/>
      <c r="AS16" s="1471"/>
      <c r="AT16" s="1471"/>
      <c r="AU16" s="1463">
        <v>49</v>
      </c>
      <c r="AV16" s="1461">
        <f>AW16/9/AU16*1000</f>
        <v>25834.24036281179</v>
      </c>
      <c r="AW16" s="1464">
        <v>11392.9</v>
      </c>
      <c r="AX16" s="1463">
        <v>49</v>
      </c>
      <c r="AY16" s="1461">
        <f>AZ16/3/AX16*1000</f>
        <v>28514.285714285717</v>
      </c>
      <c r="AZ16" s="1464">
        <v>4191.6000000000004</v>
      </c>
      <c r="BA16" s="1463">
        <v>49</v>
      </c>
      <c r="BB16" s="1469">
        <f>BC16/12/BA16*1000</f>
        <v>26018.707482993199</v>
      </c>
      <c r="BC16" s="1472">
        <v>15299</v>
      </c>
      <c r="BD16" s="1444">
        <f>(M16+P16+Y16+BA16)/4</f>
        <v>51.25</v>
      </c>
      <c r="BE16" s="854"/>
      <c r="BF16" s="854"/>
      <c r="BG16" s="854"/>
      <c r="BH16" s="854"/>
      <c r="BI16" s="854"/>
      <c r="BJ16" s="854"/>
      <c r="BK16" s="854"/>
      <c r="BL16" s="854"/>
      <c r="BM16" s="854"/>
      <c r="BN16" s="854"/>
      <c r="BO16" s="854"/>
      <c r="BP16" s="854"/>
      <c r="BQ16" s="854"/>
      <c r="BR16" s="854"/>
      <c r="BS16" s="854"/>
      <c r="BT16" s="854"/>
      <c r="BU16" s="854"/>
      <c r="BV16" s="854"/>
      <c r="BW16" s="854"/>
      <c r="BX16" s="854"/>
    </row>
    <row r="17" spans="1:80" ht="75" hidden="1" x14ac:dyDescent="0.3">
      <c r="A17" s="1445" t="s">
        <v>197</v>
      </c>
      <c r="B17" s="1480" t="s">
        <v>199</v>
      </c>
      <c r="C17" s="1447"/>
      <c r="D17" s="1448"/>
      <c r="E17" s="1449"/>
      <c r="F17" s="1450"/>
      <c r="G17" s="1451"/>
      <c r="H17" s="1452"/>
      <c r="I17" s="1453"/>
      <c r="J17" s="1448"/>
      <c r="K17" s="1424"/>
      <c r="L17" s="1454"/>
      <c r="M17" s="1453">
        <v>6</v>
      </c>
      <c r="N17" s="1418">
        <f>O17/M17/12*1000</f>
        <v>18130.555555555555</v>
      </c>
      <c r="O17" s="1449">
        <v>1305.4000000000001</v>
      </c>
      <c r="P17" s="1474">
        <v>6</v>
      </c>
      <c r="Q17" s="1475">
        <f>R17/P17/12*1000</f>
        <v>22363.888888888891</v>
      </c>
      <c r="R17" s="1456">
        <v>1610.2</v>
      </c>
      <c r="S17" s="1457">
        <v>7</v>
      </c>
      <c r="T17" s="1347">
        <v>22943</v>
      </c>
      <c r="U17" s="1459">
        <f>S17*T17*12/1000</f>
        <v>1927.212</v>
      </c>
      <c r="V17" s="1460">
        <v>7</v>
      </c>
      <c r="W17" s="1458">
        <f>X17/V17/9*1000</f>
        <v>18404.761904761905</v>
      </c>
      <c r="X17" s="1462">
        <v>1159.5</v>
      </c>
      <c r="Y17" s="1463">
        <v>5</v>
      </c>
      <c r="Z17" s="1461">
        <f>AA17/12/Y17*1000</f>
        <v>28281.666666666668</v>
      </c>
      <c r="AA17" s="1464">
        <v>1696.9</v>
      </c>
      <c r="AB17" s="1463">
        <v>7</v>
      </c>
      <c r="AC17" s="1461">
        <v>29211</v>
      </c>
      <c r="AD17" s="1465">
        <f t="shared" si="0"/>
        <v>127.31987970186984</v>
      </c>
      <c r="AE17" s="1465">
        <f t="shared" si="1"/>
        <v>103.2859921032471</v>
      </c>
      <c r="AF17" s="1464">
        <f>AB17*AC17*12/1000</f>
        <v>2453.7240000000002</v>
      </c>
      <c r="AG17" s="1463"/>
      <c r="AH17" s="1461"/>
      <c r="AI17" s="1466"/>
      <c r="AJ17" s="1467"/>
      <c r="AK17" s="1468"/>
      <c r="AL17" s="1463">
        <v>7</v>
      </c>
      <c r="AM17" s="1469">
        <f>T17*1.071</f>
        <v>24571.952999999998</v>
      </c>
      <c r="AN17" s="1441">
        <f>AM17/T17*100</f>
        <v>107.1</v>
      </c>
      <c r="AO17" s="1470">
        <f t="shared" si="2"/>
        <v>86.882973657846648</v>
      </c>
      <c r="AP17" s="1464">
        <f>AL17*AM17*12/1000</f>
        <v>2064.0440519999997</v>
      </c>
      <c r="AQ17" s="1471"/>
      <c r="AR17" s="1471"/>
      <c r="AS17" s="1471"/>
      <c r="AT17" s="1471"/>
      <c r="AU17" s="1463">
        <v>6</v>
      </c>
      <c r="AV17" s="1461">
        <f>AW17/9/AU17*1000</f>
        <v>23866.666666666664</v>
      </c>
      <c r="AW17" s="1464">
        <v>1288.8</v>
      </c>
      <c r="AX17" s="1463">
        <v>6</v>
      </c>
      <c r="AY17" s="1461">
        <f>AZ17/3/AX17*1000</f>
        <v>29477.777777777777</v>
      </c>
      <c r="AZ17" s="1464">
        <v>530.6</v>
      </c>
      <c r="BA17" s="1463">
        <v>6</v>
      </c>
      <c r="BB17" s="1469">
        <f>BC17/12/BA17*1000</f>
        <v>24416.666666666668</v>
      </c>
      <c r="BC17" s="1472">
        <v>1758</v>
      </c>
      <c r="BD17" s="1444">
        <f>(M17+P17+Y17+BA17)/4</f>
        <v>5.75</v>
      </c>
      <c r="BE17" s="854"/>
      <c r="BF17" s="854"/>
      <c r="BG17" s="854"/>
      <c r="BH17" s="854"/>
      <c r="BI17" s="854"/>
      <c r="BJ17" s="854"/>
      <c r="BK17" s="854"/>
      <c r="BL17" s="854"/>
      <c r="BM17" s="854"/>
      <c r="BN17" s="854"/>
      <c r="BO17" s="854"/>
      <c r="BP17" s="854"/>
      <c r="BQ17" s="854"/>
      <c r="BR17" s="854"/>
      <c r="BS17" s="854"/>
      <c r="BT17" s="854"/>
      <c r="BU17" s="854"/>
      <c r="BV17" s="854"/>
      <c r="BW17" s="854"/>
      <c r="BX17" s="854"/>
    </row>
    <row r="18" spans="1:80" ht="19.5" hidden="1" thickBot="1" x14ac:dyDescent="0.35">
      <c r="A18" s="498" t="s">
        <v>198</v>
      </c>
      <c r="B18" s="378" t="s">
        <v>86</v>
      </c>
      <c r="C18" s="1481"/>
      <c r="D18" s="1482"/>
      <c r="E18" s="499"/>
      <c r="F18" s="500"/>
      <c r="G18" s="1483"/>
      <c r="H18" s="1484"/>
      <c r="I18" s="501"/>
      <c r="J18" s="1482"/>
      <c r="K18" s="1485"/>
      <c r="L18" s="1486"/>
      <c r="M18" s="501">
        <v>17</v>
      </c>
      <c r="N18" s="1482">
        <v>14540</v>
      </c>
      <c r="O18" s="499">
        <f>M18*N18*12/1000</f>
        <v>2966.16</v>
      </c>
      <c r="P18" s="1487">
        <v>15</v>
      </c>
      <c r="Q18" s="1488">
        <v>23628</v>
      </c>
      <c r="R18" s="1489">
        <f>P18*Q18*12/1000</f>
        <v>4253.04</v>
      </c>
      <c r="S18" s="1385">
        <v>19</v>
      </c>
      <c r="T18" s="1490">
        <v>21140</v>
      </c>
      <c r="U18" s="503">
        <f>S18*T18*12/1000</f>
        <v>4819.92</v>
      </c>
      <c r="V18" s="1491">
        <v>16</v>
      </c>
      <c r="W18" s="1492">
        <f>X18/V18/9*1000</f>
        <v>21378.472222222223</v>
      </c>
      <c r="X18" s="1493">
        <v>3078.5</v>
      </c>
      <c r="Y18" s="1380">
        <v>15</v>
      </c>
      <c r="Z18" s="1492">
        <f>AA18/12/Y18*1000</f>
        <v>25319.444444444445</v>
      </c>
      <c r="AA18" s="506">
        <v>4557.5</v>
      </c>
      <c r="AB18" s="1380">
        <v>19</v>
      </c>
      <c r="AC18" s="1492">
        <v>28868</v>
      </c>
      <c r="AD18" s="1494">
        <f t="shared" si="0"/>
        <v>136.55629139072846</v>
      </c>
      <c r="AE18" s="1494">
        <f t="shared" si="1"/>
        <v>114.01513987931979</v>
      </c>
      <c r="AF18" s="506">
        <f>AB18*AC18*12/1000</f>
        <v>6581.9040000000005</v>
      </c>
      <c r="AG18" s="1463"/>
      <c r="AH18" s="1461"/>
      <c r="AI18" s="1466"/>
      <c r="AJ18" s="1467"/>
      <c r="AK18" s="1468"/>
      <c r="AL18" s="1380">
        <v>19</v>
      </c>
      <c r="AM18" s="1495">
        <f>T18*1.071</f>
        <v>22640.94</v>
      </c>
      <c r="AN18" s="1496">
        <f>AM18/T18*100</f>
        <v>107.1</v>
      </c>
      <c r="AO18" s="1497">
        <f t="shared" si="2"/>
        <v>89.421156335710364</v>
      </c>
      <c r="AP18" s="506">
        <f>AL18*AM18*12/1000</f>
        <v>5162.1343200000001</v>
      </c>
      <c r="AQ18" s="847"/>
      <c r="AR18" s="847"/>
      <c r="AS18" s="847"/>
      <c r="AT18" s="847"/>
      <c r="AU18" s="1380">
        <v>17</v>
      </c>
      <c r="AV18" s="1492">
        <f>AW18/9/AU18*1000</f>
        <v>24713.071895424837</v>
      </c>
      <c r="AW18" s="506">
        <v>3781.1</v>
      </c>
      <c r="AX18" s="1380">
        <v>17</v>
      </c>
      <c r="AY18" s="1492">
        <f>AZ18/3/AX18*1000</f>
        <v>28013.725490196081</v>
      </c>
      <c r="AZ18" s="506">
        <v>1428.7</v>
      </c>
      <c r="BA18" s="1380">
        <v>17</v>
      </c>
      <c r="BB18" s="1495">
        <f>BC18/12/BA18*1000</f>
        <v>24494.117647058825</v>
      </c>
      <c r="BC18" s="1498">
        <v>4996.8</v>
      </c>
      <c r="BD18" s="1444">
        <f>(M18+P18+Y18+BA18)/4</f>
        <v>16</v>
      </c>
      <c r="BE18" s="854"/>
      <c r="BF18" s="854"/>
      <c r="BG18" s="854"/>
      <c r="BH18" s="854"/>
      <c r="BI18" s="854"/>
      <c r="BJ18" s="854"/>
      <c r="BK18" s="854"/>
      <c r="BL18" s="854"/>
      <c r="BM18" s="854"/>
      <c r="BN18" s="854"/>
      <c r="BO18" s="854"/>
      <c r="BP18" s="854"/>
      <c r="BQ18" s="854"/>
      <c r="BR18" s="854"/>
      <c r="BS18" s="854"/>
      <c r="BT18" s="854"/>
      <c r="BU18" s="854"/>
      <c r="BV18" s="854"/>
      <c r="BW18" s="854"/>
      <c r="BX18" s="854"/>
    </row>
    <row r="19" spans="1:80" ht="18.75" thickBot="1" x14ac:dyDescent="0.3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361"/>
      <c r="AD19" s="361"/>
      <c r="AE19" s="361"/>
      <c r="AF19" s="361"/>
      <c r="AG19" s="361"/>
      <c r="AH19" s="361"/>
      <c r="AI19" s="361"/>
      <c r="AJ19" s="361"/>
      <c r="AK19" s="361"/>
      <c r="AL19" s="361"/>
      <c r="AM19" s="361"/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61"/>
      <c r="BB19" s="361"/>
      <c r="BC19" s="361"/>
      <c r="BD19" s="361"/>
      <c r="BE19" s="361"/>
      <c r="BF19" s="361"/>
      <c r="BG19" s="361"/>
      <c r="BH19" s="361"/>
      <c r="BI19" s="361"/>
      <c r="BJ19" s="361"/>
      <c r="BK19" s="361"/>
      <c r="BL19" s="361"/>
      <c r="BM19" s="361"/>
      <c r="BN19" s="361"/>
      <c r="BO19" s="361"/>
      <c r="BP19" s="361"/>
      <c r="BQ19" s="361"/>
      <c r="BR19" s="361"/>
      <c r="BS19" s="361"/>
      <c r="BT19" s="361"/>
      <c r="BU19" s="361"/>
      <c r="BV19" s="361"/>
      <c r="BW19" s="361"/>
      <c r="BX19" s="361"/>
    </row>
    <row r="20" spans="1:80" ht="27" thickBot="1" x14ac:dyDescent="0.45">
      <c r="A20" s="5295" t="s">
        <v>166</v>
      </c>
      <c r="B20" s="5100" t="s">
        <v>167</v>
      </c>
      <c r="C20" s="848"/>
      <c r="D20" s="848"/>
      <c r="E20" s="848"/>
      <c r="F20" s="848"/>
      <c r="G20" s="848"/>
      <c r="H20" s="848"/>
      <c r="I20" s="848"/>
      <c r="J20" s="848"/>
      <c r="K20" s="848"/>
      <c r="L20" s="848"/>
      <c r="M20" s="5257" t="s">
        <v>229</v>
      </c>
      <c r="N20" s="5257"/>
      <c r="O20" s="5257"/>
      <c r="P20" s="5257"/>
      <c r="Q20" s="5257"/>
      <c r="R20" s="5257"/>
      <c r="S20" s="5257"/>
      <c r="T20" s="5257"/>
      <c r="U20" s="5257"/>
      <c r="V20" s="5257"/>
      <c r="W20" s="5257"/>
      <c r="X20" s="5257"/>
      <c r="Y20" s="5257"/>
      <c r="Z20" s="5257"/>
      <c r="AA20" s="5257"/>
      <c r="AB20" s="5257"/>
      <c r="AC20" s="5257"/>
      <c r="AD20" s="5257"/>
      <c r="AE20" s="5257"/>
      <c r="AF20" s="5257"/>
      <c r="AG20" s="5257"/>
      <c r="AH20" s="5257"/>
      <c r="AI20" s="5257"/>
      <c r="AJ20" s="5257"/>
      <c r="AK20" s="5257"/>
      <c r="AL20" s="5257"/>
      <c r="AM20" s="5257"/>
      <c r="AN20" s="5257"/>
      <c r="AO20" s="5257"/>
      <c r="AP20" s="5257"/>
      <c r="AQ20" s="5257"/>
      <c r="AR20" s="5257"/>
      <c r="AS20" s="5257"/>
      <c r="AT20" s="5257"/>
      <c r="AU20" s="5256" t="s">
        <v>364</v>
      </c>
      <c r="AV20" s="5257"/>
      <c r="AW20" s="5257"/>
      <c r="AX20" s="5257"/>
      <c r="AY20" s="5257"/>
      <c r="AZ20" s="5257"/>
      <c r="BA20" s="5257"/>
      <c r="BB20" s="5257"/>
      <c r="BC20" s="5257"/>
      <c r="BD20" s="5257"/>
      <c r="BE20" s="5257"/>
      <c r="BF20" s="5257"/>
      <c r="BG20" s="5257"/>
      <c r="BH20" s="5257"/>
      <c r="BI20" s="5257"/>
      <c r="BJ20" s="5257"/>
      <c r="BK20" s="5257"/>
      <c r="BL20" s="5257"/>
      <c r="BM20" s="5257"/>
      <c r="BN20" s="5257"/>
      <c r="BO20" s="5258"/>
      <c r="BP20" s="5256" t="s">
        <v>818</v>
      </c>
      <c r="BQ20" s="5257"/>
      <c r="BR20" s="5257"/>
      <c r="BS20" s="5257"/>
      <c r="BT20" s="5257"/>
      <c r="BU20" s="5257"/>
      <c r="BV20" s="5257"/>
      <c r="BW20" s="5257"/>
      <c r="BX20" s="5258"/>
      <c r="BY20" s="5259" t="s">
        <v>237</v>
      </c>
      <c r="BZ20" s="4241"/>
      <c r="CA20" s="4241"/>
      <c r="CB20" s="5260"/>
    </row>
    <row r="21" spans="1:80" ht="12.75" customHeight="1" x14ac:dyDescent="0.2">
      <c r="A21" s="5296"/>
      <c r="B21" s="5297"/>
      <c r="C21" s="5086" t="s">
        <v>168</v>
      </c>
      <c r="D21" s="5086"/>
      <c r="E21" s="5087"/>
      <c r="F21" s="5085" t="s">
        <v>169</v>
      </c>
      <c r="G21" s="5086"/>
      <c r="H21" s="5086"/>
      <c r="I21" s="5095" t="s">
        <v>170</v>
      </c>
      <c r="J21" s="5095"/>
      <c r="K21" s="5095"/>
      <c r="L21" s="4348"/>
      <c r="M21" s="5266" t="s">
        <v>227</v>
      </c>
      <c r="N21" s="5267"/>
      <c r="O21" s="5267"/>
      <c r="P21" s="5267"/>
      <c r="Q21" s="5268"/>
      <c r="R21" s="5286"/>
      <c r="S21" s="5273" t="s">
        <v>228</v>
      </c>
      <c r="T21" s="5274"/>
      <c r="U21" s="5274"/>
      <c r="V21" s="5274"/>
      <c r="W21" s="5288"/>
      <c r="X21" s="5273" t="s">
        <v>415</v>
      </c>
      <c r="Y21" s="5274"/>
      <c r="Z21" s="5274"/>
      <c r="AA21" s="5274"/>
      <c r="AB21" s="5275"/>
      <c r="AC21" s="520"/>
      <c r="AD21" s="520"/>
      <c r="AE21" s="520"/>
      <c r="AF21" s="520"/>
      <c r="AG21" s="520"/>
      <c r="AH21" s="520"/>
      <c r="AI21" s="520"/>
      <c r="AJ21" s="520"/>
      <c r="AK21" s="520"/>
      <c r="AL21" s="5273" t="s">
        <v>416</v>
      </c>
      <c r="AM21" s="5274"/>
      <c r="AN21" s="5274"/>
      <c r="AO21" s="5274"/>
      <c r="AP21" s="5275"/>
      <c r="AQ21" s="5266" t="s">
        <v>817</v>
      </c>
      <c r="AR21" s="5290"/>
      <c r="AS21" s="5290"/>
      <c r="AT21" s="5291"/>
      <c r="AU21" s="5273" t="s">
        <v>367</v>
      </c>
      <c r="AV21" s="5274"/>
      <c r="AW21" s="5274"/>
      <c r="AX21" s="5274"/>
      <c r="AY21" s="5275"/>
      <c r="AZ21" s="5273" t="s">
        <v>371</v>
      </c>
      <c r="BA21" s="5274"/>
      <c r="BB21" s="5274"/>
      <c r="BC21" s="5274"/>
      <c r="BD21" s="5275"/>
      <c r="BE21" s="5273" t="s">
        <v>844</v>
      </c>
      <c r="BF21" s="5274"/>
      <c r="BG21" s="5274"/>
      <c r="BH21" s="5274"/>
      <c r="BI21" s="5273" t="s">
        <v>843</v>
      </c>
      <c r="BJ21" s="5274"/>
      <c r="BK21" s="5274"/>
      <c r="BL21" s="5274"/>
      <c r="BM21" s="5279" t="s">
        <v>1512</v>
      </c>
      <c r="BN21" s="5267"/>
      <c r="BO21" s="5268"/>
      <c r="BP21" s="5281" t="s">
        <v>845</v>
      </c>
      <c r="BQ21" s="5282"/>
      <c r="BR21" s="5282"/>
      <c r="BS21" s="5282"/>
      <c r="BT21" s="5283" t="s">
        <v>846</v>
      </c>
      <c r="BU21" s="5284"/>
      <c r="BV21" s="5284"/>
      <c r="BW21" s="5284"/>
      <c r="BX21" s="5285"/>
      <c r="BY21" s="5261"/>
      <c r="BZ21" s="5262"/>
      <c r="CA21" s="5262"/>
      <c r="CB21" s="5263"/>
    </row>
    <row r="22" spans="1:80" ht="18.75" customHeight="1" x14ac:dyDescent="0.2">
      <c r="A22" s="5296"/>
      <c r="B22" s="5297"/>
      <c r="C22" s="5089"/>
      <c r="D22" s="5089"/>
      <c r="E22" s="5090"/>
      <c r="F22" s="5088"/>
      <c r="G22" s="5089"/>
      <c r="H22" s="5089"/>
      <c r="I22" s="1383"/>
      <c r="J22" s="1383"/>
      <c r="K22" s="1383"/>
      <c r="L22" s="1383"/>
      <c r="M22" s="5269"/>
      <c r="N22" s="5270"/>
      <c r="O22" s="5270"/>
      <c r="P22" s="5270"/>
      <c r="Q22" s="5271"/>
      <c r="R22" s="5287"/>
      <c r="S22" s="5276"/>
      <c r="T22" s="5277"/>
      <c r="U22" s="5277"/>
      <c r="V22" s="5277"/>
      <c r="W22" s="5289"/>
      <c r="X22" s="5276"/>
      <c r="Y22" s="5277"/>
      <c r="Z22" s="5277"/>
      <c r="AA22" s="5277"/>
      <c r="AB22" s="5278"/>
      <c r="AC22" s="513"/>
      <c r="AD22" s="513"/>
      <c r="AE22" s="513"/>
      <c r="AF22" s="513"/>
      <c r="AG22" s="513"/>
      <c r="AH22" s="513"/>
      <c r="AI22" s="513"/>
      <c r="AJ22" s="513"/>
      <c r="AK22" s="513"/>
      <c r="AL22" s="5276"/>
      <c r="AM22" s="5277"/>
      <c r="AN22" s="5277"/>
      <c r="AO22" s="5277"/>
      <c r="AP22" s="5278"/>
      <c r="AQ22" s="5292"/>
      <c r="AR22" s="5293"/>
      <c r="AS22" s="5293"/>
      <c r="AT22" s="5294"/>
      <c r="AU22" s="5276"/>
      <c r="AV22" s="5277"/>
      <c r="AW22" s="5277"/>
      <c r="AX22" s="5277"/>
      <c r="AY22" s="5278"/>
      <c r="AZ22" s="5276"/>
      <c r="BA22" s="5277"/>
      <c r="BB22" s="5277"/>
      <c r="BC22" s="5277"/>
      <c r="BD22" s="5278"/>
      <c r="BE22" s="5276"/>
      <c r="BF22" s="5277"/>
      <c r="BG22" s="5277"/>
      <c r="BH22" s="5277"/>
      <c r="BI22" s="5276"/>
      <c r="BJ22" s="5277"/>
      <c r="BK22" s="5277"/>
      <c r="BL22" s="5277"/>
      <c r="BM22" s="5280"/>
      <c r="BN22" s="5270"/>
      <c r="BO22" s="5271"/>
      <c r="BP22" s="5276"/>
      <c r="BQ22" s="5277"/>
      <c r="BR22" s="5277"/>
      <c r="BS22" s="5277"/>
      <c r="BT22" s="5283"/>
      <c r="BU22" s="5284"/>
      <c r="BV22" s="5284"/>
      <c r="BW22" s="5284"/>
      <c r="BX22" s="5285"/>
      <c r="BY22" s="5261"/>
      <c r="BZ22" s="5262"/>
      <c r="CA22" s="5262"/>
      <c r="CB22" s="5263"/>
    </row>
    <row r="23" spans="1:80" ht="150.75" thickBot="1" x14ac:dyDescent="0.25">
      <c r="A23" s="5296"/>
      <c r="B23" s="5297"/>
      <c r="C23" s="1382" t="s">
        <v>173</v>
      </c>
      <c r="D23" s="1499" t="s">
        <v>176</v>
      </c>
      <c r="E23" s="512" t="s">
        <v>177</v>
      </c>
      <c r="F23" s="1382" t="s">
        <v>173</v>
      </c>
      <c r="G23" s="1499" t="s">
        <v>176</v>
      </c>
      <c r="H23" s="1500" t="s">
        <v>177</v>
      </c>
      <c r="I23" s="1382" t="s">
        <v>173</v>
      </c>
      <c r="J23" s="1499" t="s">
        <v>176</v>
      </c>
      <c r="K23" s="1499" t="s">
        <v>178</v>
      </c>
      <c r="L23" s="1500" t="s">
        <v>177</v>
      </c>
      <c r="M23" s="1501" t="s">
        <v>173</v>
      </c>
      <c r="N23" s="1502" t="s">
        <v>176</v>
      </c>
      <c r="O23" s="1502" t="s">
        <v>177</v>
      </c>
      <c r="P23" s="1502" t="s">
        <v>245</v>
      </c>
      <c r="Q23" s="1503" t="s">
        <v>246</v>
      </c>
      <c r="R23" s="5287"/>
      <c r="S23" s="1501" t="s">
        <v>173</v>
      </c>
      <c r="T23" s="1502" t="s">
        <v>176</v>
      </c>
      <c r="U23" s="1502" t="s">
        <v>177</v>
      </c>
      <c r="V23" s="1502" t="s">
        <v>245</v>
      </c>
      <c r="W23" s="1504" t="s">
        <v>246</v>
      </c>
      <c r="X23" s="1501" t="s">
        <v>173</v>
      </c>
      <c r="Y23" s="1502" t="s">
        <v>176</v>
      </c>
      <c r="Z23" s="1502" t="s">
        <v>177</v>
      </c>
      <c r="AA23" s="1502" t="s">
        <v>245</v>
      </c>
      <c r="AB23" s="1503" t="s">
        <v>246</v>
      </c>
      <c r="AC23" s="513"/>
      <c r="AD23" s="513"/>
      <c r="AE23" s="513"/>
      <c r="AF23" s="513"/>
      <c r="AG23" s="513"/>
      <c r="AH23" s="513"/>
      <c r="AI23" s="513"/>
      <c r="AJ23" s="513"/>
      <c r="AK23" s="513"/>
      <c r="AL23" s="1501" t="s">
        <v>173</v>
      </c>
      <c r="AM23" s="1502" t="s">
        <v>176</v>
      </c>
      <c r="AN23" s="1502" t="s">
        <v>177</v>
      </c>
      <c r="AO23" s="1502" t="s">
        <v>245</v>
      </c>
      <c r="AP23" s="1505"/>
      <c r="AQ23" s="1501" t="s">
        <v>173</v>
      </c>
      <c r="AR23" s="1502" t="s">
        <v>176</v>
      </c>
      <c r="AS23" s="1502" t="s">
        <v>177</v>
      </c>
      <c r="AT23" s="1502" t="s">
        <v>245</v>
      </c>
      <c r="AU23" s="1501" t="s">
        <v>173</v>
      </c>
      <c r="AV23" s="1502" t="s">
        <v>176</v>
      </c>
      <c r="AW23" s="1502" t="s">
        <v>177</v>
      </c>
      <c r="AX23" s="1502" t="s">
        <v>245</v>
      </c>
      <c r="AY23" s="1503" t="s">
        <v>435</v>
      </c>
      <c r="AZ23" s="1501" t="s">
        <v>173</v>
      </c>
      <c r="BA23" s="1502" t="s">
        <v>176</v>
      </c>
      <c r="BB23" s="1502" t="s">
        <v>177</v>
      </c>
      <c r="BC23" s="1502" t="s">
        <v>245</v>
      </c>
      <c r="BD23" s="1505"/>
      <c r="BE23" s="1501" t="s">
        <v>173</v>
      </c>
      <c r="BF23" s="1502" t="s">
        <v>176</v>
      </c>
      <c r="BG23" s="1502" t="s">
        <v>177</v>
      </c>
      <c r="BH23" s="1502" t="s">
        <v>245</v>
      </c>
      <c r="BI23" s="1501" t="s">
        <v>173</v>
      </c>
      <c r="BJ23" s="1502" t="s">
        <v>176</v>
      </c>
      <c r="BK23" s="1502" t="s">
        <v>177</v>
      </c>
      <c r="BL23" s="1502" t="s">
        <v>245</v>
      </c>
      <c r="BM23" s="1501" t="s">
        <v>173</v>
      </c>
      <c r="BN23" s="1502" t="s">
        <v>176</v>
      </c>
      <c r="BO23" s="1502" t="s">
        <v>177</v>
      </c>
      <c r="BP23" s="1501" t="s">
        <v>173</v>
      </c>
      <c r="BQ23" s="1502" t="s">
        <v>176</v>
      </c>
      <c r="BR23" s="1502" t="s">
        <v>177</v>
      </c>
      <c r="BS23" s="1502" t="s">
        <v>245</v>
      </c>
      <c r="BT23" s="1501" t="s">
        <v>173</v>
      </c>
      <c r="BU23" s="1502" t="s">
        <v>176</v>
      </c>
      <c r="BV23" s="1502" t="s">
        <v>177</v>
      </c>
      <c r="BW23" s="1502" t="s">
        <v>245</v>
      </c>
      <c r="BX23" s="1506" t="s">
        <v>1023</v>
      </c>
      <c r="BY23" s="5264"/>
      <c r="BZ23" s="4552"/>
      <c r="CA23" s="4552"/>
      <c r="CB23" s="5265"/>
    </row>
    <row r="24" spans="1:80" ht="72.75" customHeight="1" x14ac:dyDescent="0.2">
      <c r="A24" s="1507" t="s">
        <v>183</v>
      </c>
      <c r="B24" s="1508" t="s">
        <v>195</v>
      </c>
      <c r="C24" s="1509">
        <v>840</v>
      </c>
      <c r="D24" s="1510">
        <v>12146</v>
      </c>
      <c r="E24" s="1435">
        <v>122429.8</v>
      </c>
      <c r="F24" s="1511">
        <f>F25+F26</f>
        <v>813</v>
      </c>
      <c r="G24" s="1510">
        <f>(G25*F25+G26*F26)/(F25+F26)</f>
        <v>12443.442804428045</v>
      </c>
      <c r="H24" s="1443">
        <f>H26+H25</f>
        <v>121398.228</v>
      </c>
      <c r="I24" s="1512">
        <v>799</v>
      </c>
      <c r="J24" s="1510">
        <v>13361</v>
      </c>
      <c r="K24" s="1513">
        <f>J24/G24</f>
        <v>1.07373820975377</v>
      </c>
      <c r="L24" s="1443">
        <v>128108.9</v>
      </c>
      <c r="M24" s="1512">
        <f>M25+M26+M27+M28</f>
        <v>155</v>
      </c>
      <c r="N24" s="1510">
        <f t="shared" ref="N24:N33" si="3">O24/M24/12*1000</f>
        <v>25754.516129032254</v>
      </c>
      <c r="O24" s="1439">
        <f>O25+O26+O27+O28</f>
        <v>47903.399999999994</v>
      </c>
      <c r="P24" s="1514">
        <f>N24/AM8</f>
        <v>2.7583455187985857</v>
      </c>
      <c r="Q24" s="1505"/>
      <c r="R24" s="5287"/>
      <c r="S24" s="1515">
        <f>SUM(S25:S28)</f>
        <v>155</v>
      </c>
      <c r="T24" s="1516">
        <f>U24/S24/12*1000</f>
        <v>9859.8122849032261</v>
      </c>
      <c r="U24" s="1517">
        <f>SUM(U25:U28)</f>
        <v>18339.250849920001</v>
      </c>
      <c r="V24" s="1514">
        <f>T24/AM8</f>
        <v>1.056</v>
      </c>
      <c r="W24" s="1518"/>
      <c r="X24" s="1512">
        <f>X25+X26+X27+X28</f>
        <v>148.32999999999998</v>
      </c>
      <c r="Y24" s="1510">
        <f t="shared" ref="Y24:Y33" si="4">Z24/X24/6*1000</f>
        <v>21580.822040944742</v>
      </c>
      <c r="Z24" s="1439">
        <f>Z25+Z26+Z27+Z28</f>
        <v>19206.5</v>
      </c>
      <c r="AA24" s="1514">
        <f>Y24/BB8</f>
        <v>0.95562481208041816</v>
      </c>
      <c r="AB24" s="1505"/>
      <c r="AC24" s="513"/>
      <c r="AD24" s="513"/>
      <c r="AE24" s="513"/>
      <c r="AF24" s="513"/>
      <c r="AG24" s="513"/>
      <c r="AH24" s="513"/>
      <c r="AI24" s="513"/>
      <c r="AJ24" s="513"/>
      <c r="AK24" s="513"/>
      <c r="AL24" s="1512">
        <f>AL25+AL26+AL27+AL28</f>
        <v>148</v>
      </c>
      <c r="AM24" s="1510">
        <f t="shared" ref="AM24:AM33" si="5">AN24/AL24/9*1000</f>
        <v>22609.909909909911</v>
      </c>
      <c r="AN24" s="1439">
        <f>AN25+AN26+AN27+AN28</f>
        <v>30116.400000000001</v>
      </c>
      <c r="AO24" s="1514">
        <f>AM24/BB8</f>
        <v>1.0011940633132144</v>
      </c>
      <c r="AP24" s="1505"/>
      <c r="AQ24" s="1512">
        <f>AQ25+AQ26+AQ27+AQ28</f>
        <v>148</v>
      </c>
      <c r="AR24" s="1510">
        <f t="shared" ref="AR24:AR33" si="6">AS24/AQ24/12*1000</f>
        <v>22770.326576576579</v>
      </c>
      <c r="AS24" s="1439">
        <f>AS25+AS26+AS27+AS28</f>
        <v>40440.100000000006</v>
      </c>
      <c r="AT24" s="1514">
        <f>AR24/T24</f>
        <v>2.3094077167616249</v>
      </c>
      <c r="AU24" s="1512">
        <f>AU25+AU26+AU27+AU28</f>
        <v>155</v>
      </c>
      <c r="AV24" s="1510">
        <f t="shared" ref="AV24:AV33" si="7">AW24/AU24/12*1000</f>
        <v>23460.37634408602</v>
      </c>
      <c r="AW24" s="1439">
        <f>AW25+AW26+AW27+AW28</f>
        <v>43636.299999999996</v>
      </c>
      <c r="AX24" s="1514">
        <f>AV24/T24</f>
        <v>2.3793938125989671</v>
      </c>
      <c r="AY24" s="1519">
        <f>AV24/BB8</f>
        <v>1.0388537421149895</v>
      </c>
      <c r="AZ24" s="1515">
        <f>SUM(AZ25:AZ28)</f>
        <v>150</v>
      </c>
      <c r="BA24" s="1516">
        <f>BB24/AZ24/12*1000</f>
        <v>23530.113691896189</v>
      </c>
      <c r="BB24" s="1517">
        <f>SUM(BB25:BB28)</f>
        <v>42354.204645413141</v>
      </c>
      <c r="BC24" s="1514">
        <f t="shared" ref="BC24:BC33" si="8">BA24/T24</f>
        <v>2.3864667005805109</v>
      </c>
      <c r="BD24" s="1505"/>
      <c r="BE24" s="1512">
        <f>BE25+BE26+BE27+BE28</f>
        <v>144</v>
      </c>
      <c r="BF24" s="1510">
        <f t="shared" ref="BF24:BF33" si="9">BG24/BE24/6*1000</f>
        <v>22832.175925925923</v>
      </c>
      <c r="BG24" s="1439">
        <f>BG25+BG26+BG27+BG28</f>
        <v>19727</v>
      </c>
      <c r="BH24" s="1514">
        <f>BF24/AV24</f>
        <v>0.9732229181260148</v>
      </c>
      <c r="BI24" s="1512">
        <f>BI25+BI26+BI27+BI28</f>
        <v>148</v>
      </c>
      <c r="BJ24" s="1510">
        <f t="shared" ref="BJ24:BJ33" si="10">BK24/BI24/9*1000</f>
        <v>22988.888888888887</v>
      </c>
      <c r="BK24" s="1439">
        <f>BK25+BK26+BK27+BK28</f>
        <v>30621.199999999997</v>
      </c>
      <c r="BL24" s="1514">
        <f>BJ24/BA24</f>
        <v>0.9769986320468268</v>
      </c>
      <c r="BM24" s="1512">
        <f>(BI24+BE24)/2</f>
        <v>146</v>
      </c>
      <c r="BN24" s="1510">
        <f>BO24/BM24/3*1000</f>
        <v>24872.602739726019</v>
      </c>
      <c r="BO24" s="1439">
        <f>BK24-BG24</f>
        <v>10894.199999999997</v>
      </c>
      <c r="BP24" s="1512">
        <f>BP25+BP26+BP27+BP28</f>
        <v>155</v>
      </c>
      <c r="BQ24" s="1516">
        <f>BR24/BP24/12*1000</f>
        <v>25806.413978494627</v>
      </c>
      <c r="BR24" s="1517">
        <f>SUM(BR25:BR28)</f>
        <v>47999.930000000008</v>
      </c>
      <c r="BS24" s="1514">
        <f>BQ24/BA24</f>
        <v>1.0967398762455789</v>
      </c>
      <c r="BT24" s="1512">
        <f>BT25+BT26+BT27+BT28</f>
        <v>148</v>
      </c>
      <c r="BU24" s="1516">
        <f>BV24/BT24/12*1000</f>
        <v>26725.298409525822</v>
      </c>
      <c r="BV24" s="1517">
        <f>SUM(BV25:BV28)</f>
        <v>47464.129975317854</v>
      </c>
      <c r="BW24" s="1514">
        <f>BU24/BA24</f>
        <v>1.1357912995860304</v>
      </c>
      <c r="BX24" s="1294"/>
      <c r="BY24" s="5298" t="s">
        <v>558</v>
      </c>
      <c r="BZ24" s="5299"/>
      <c r="CA24" s="5299"/>
      <c r="CB24" s="5300"/>
    </row>
    <row r="25" spans="1:80" ht="37.5" customHeight="1" x14ac:dyDescent="0.2">
      <c r="A25" s="1520" t="s">
        <v>184</v>
      </c>
      <c r="B25" s="1521" t="s">
        <v>83</v>
      </c>
      <c r="C25" s="1522">
        <v>456</v>
      </c>
      <c r="D25" s="1523">
        <v>12405</v>
      </c>
      <c r="E25" s="1464">
        <v>67882.600000000006</v>
      </c>
      <c r="F25" s="1524">
        <v>444</v>
      </c>
      <c r="G25" s="1523">
        <v>12620</v>
      </c>
      <c r="H25" s="1472">
        <f>F25*G25*12/1000</f>
        <v>67239.360000000001</v>
      </c>
      <c r="I25" s="1525">
        <v>435</v>
      </c>
      <c r="J25" s="1523">
        <v>13646</v>
      </c>
      <c r="K25" s="1513">
        <f>J25/G25</f>
        <v>1.0812995245641839</v>
      </c>
      <c r="L25" s="1472">
        <v>71232.100000000006</v>
      </c>
      <c r="M25" s="1525">
        <v>26.5</v>
      </c>
      <c r="N25" s="1523">
        <f t="shared" si="3"/>
        <v>22554.402515723272</v>
      </c>
      <c r="O25" s="1467">
        <v>7172.3</v>
      </c>
      <c r="P25" s="1514">
        <f>N25/AM9</f>
        <v>14.036523573308315</v>
      </c>
      <c r="Q25" s="1505"/>
      <c r="R25" s="5287"/>
      <c r="S25" s="1526">
        <f>AL9</f>
        <v>26.5</v>
      </c>
      <c r="T25" s="1523">
        <f>AM9*1.056</f>
        <v>1696.8196528301887</v>
      </c>
      <c r="U25" s="1467">
        <f>S25*T25*12/1000</f>
        <v>539.58864960000005</v>
      </c>
      <c r="V25" s="1514">
        <f>T25/AM9</f>
        <v>1.056</v>
      </c>
      <c r="W25" s="1514">
        <f>T25/AY9</f>
        <v>7.1834571575877137E-2</v>
      </c>
      <c r="X25" s="1527">
        <v>23.5</v>
      </c>
      <c r="Y25" s="1523">
        <f t="shared" si="4"/>
        <v>20790.070921985814</v>
      </c>
      <c r="Z25" s="1467">
        <v>2931.4</v>
      </c>
      <c r="AA25" s="1514">
        <f>Y25/BB9</f>
        <v>0.98254215345308094</v>
      </c>
      <c r="AB25" s="1519" t="e">
        <f>Y25/#REF!</f>
        <v>#REF!</v>
      </c>
      <c r="AC25" s="513"/>
      <c r="AD25" s="513"/>
      <c r="AE25" s="513"/>
      <c r="AF25" s="513"/>
      <c r="AG25" s="513"/>
      <c r="AH25" s="513"/>
      <c r="AI25" s="513"/>
      <c r="AJ25" s="513"/>
      <c r="AK25" s="513"/>
      <c r="AL25" s="1525">
        <v>24</v>
      </c>
      <c r="AM25" s="1523">
        <f t="shared" si="5"/>
        <v>21343.981481481482</v>
      </c>
      <c r="AN25" s="1467">
        <v>4610.3</v>
      </c>
      <c r="AO25" s="1514">
        <f>AM25/BB9</f>
        <v>1.0087200571259218</v>
      </c>
      <c r="AP25" s="1505"/>
      <c r="AQ25" s="1525">
        <v>24</v>
      </c>
      <c r="AR25" s="1523">
        <f t="shared" si="6"/>
        <v>21852.430555555558</v>
      </c>
      <c r="AS25" s="1467">
        <v>6293.5</v>
      </c>
      <c r="AT25" s="1514">
        <f t="shared" ref="AT25:AT37" si="11">AR25/T25</f>
        <v>12.878463848003573</v>
      </c>
      <c r="AU25" s="1525">
        <v>26.5</v>
      </c>
      <c r="AV25" s="1523">
        <f t="shared" si="7"/>
        <v>21298.113207547172</v>
      </c>
      <c r="AW25" s="1467">
        <v>6772.8</v>
      </c>
      <c r="AX25" s="1514">
        <f t="shared" ref="AX25:AX33" si="12">AV25/T25</f>
        <v>12.551783668949883</v>
      </c>
      <c r="AY25" s="1519">
        <f>AV25/BB9</f>
        <v>1.0065523149948004</v>
      </c>
      <c r="AZ25" s="1528">
        <f>BA9</f>
        <v>22</v>
      </c>
      <c r="BA25" s="1523">
        <f>AV25</f>
        <v>21298.113207547172</v>
      </c>
      <c r="BB25" s="1467">
        <f>AZ25*BA25*12/1000</f>
        <v>5622.7018867924526</v>
      </c>
      <c r="BC25" s="1514">
        <f t="shared" si="8"/>
        <v>12.551783668949883</v>
      </c>
      <c r="BD25" s="1505"/>
      <c r="BE25" s="1525">
        <v>24</v>
      </c>
      <c r="BF25" s="1523">
        <f t="shared" si="9"/>
        <v>21190.972222222223</v>
      </c>
      <c r="BG25" s="1467">
        <v>3051.5</v>
      </c>
      <c r="BH25" s="1514">
        <f t="shared" ref="BH25:BH37" si="13">BF25/AV25</f>
        <v>0.99496946117804541</v>
      </c>
      <c r="BI25" s="1525">
        <v>24</v>
      </c>
      <c r="BJ25" s="1523">
        <f t="shared" si="10"/>
        <v>21644.444444444442</v>
      </c>
      <c r="BK25" s="1467">
        <v>4675.2</v>
      </c>
      <c r="BL25" s="1514">
        <f t="shared" ref="BL25:BL37" si="14">BJ25/BA25</f>
        <v>1.0162611229230645</v>
      </c>
      <c r="BM25" s="1512">
        <f t="shared" ref="BM25:BM33" si="15">(BI25+BE25)/2</f>
        <v>24</v>
      </c>
      <c r="BN25" s="1523">
        <f>BO25/BM25/3*1000</f>
        <v>22551.388888888883</v>
      </c>
      <c r="BO25" s="1439">
        <f t="shared" ref="BO25:BO33" si="16">BK25-BG25</f>
        <v>1623.6999999999998</v>
      </c>
      <c r="BP25" s="1525">
        <v>26.5</v>
      </c>
      <c r="BQ25" s="1523">
        <f>SUM(BA25*1.1)</f>
        <v>23427.92452830189</v>
      </c>
      <c r="BR25" s="1467">
        <f>BP25*BQ25*12/1000</f>
        <v>7450.0800000000017</v>
      </c>
      <c r="BS25" s="1514">
        <f t="shared" ref="BS25:BS37" si="17">BQ25/BA25</f>
        <v>1.1000000000000001</v>
      </c>
      <c r="BT25" s="1525">
        <f>AQ25</f>
        <v>24</v>
      </c>
      <c r="BU25" s="1523">
        <f>BN25*1.074</f>
        <v>24220.191666666662</v>
      </c>
      <c r="BV25" s="1467">
        <f>BT25*BU25*12/1000</f>
        <v>6975.4151999999985</v>
      </c>
      <c r="BW25" s="1514">
        <f t="shared" ref="BW25:BW37" si="18">BU25/BA25</f>
        <v>1.1371989354476726</v>
      </c>
      <c r="BX25" s="1295">
        <f>BU25/BJ25</f>
        <v>1.1190026950718686</v>
      </c>
      <c r="BY25" s="5301"/>
      <c r="BZ25" s="5302"/>
      <c r="CA25" s="5302"/>
      <c r="CB25" s="5303"/>
    </row>
    <row r="26" spans="1:80" ht="37.5" customHeight="1" x14ac:dyDescent="0.2">
      <c r="A26" s="1520" t="s">
        <v>185</v>
      </c>
      <c r="B26" s="1521" t="s">
        <v>84</v>
      </c>
      <c r="C26" s="1522">
        <v>384</v>
      </c>
      <c r="D26" s="1523">
        <v>11838</v>
      </c>
      <c r="E26" s="1464">
        <v>54547.199999999997</v>
      </c>
      <c r="F26" s="1524">
        <v>369</v>
      </c>
      <c r="G26" s="1523">
        <v>12231</v>
      </c>
      <c r="H26" s="1472">
        <f>F26*G26*12/1000</f>
        <v>54158.868000000002</v>
      </c>
      <c r="I26" s="1525">
        <v>364</v>
      </c>
      <c r="J26" s="1523">
        <v>13021</v>
      </c>
      <c r="K26" s="1513">
        <f>J26/G26</f>
        <v>1.0645899762897555</v>
      </c>
      <c r="L26" s="1472">
        <v>56876.800000000003</v>
      </c>
      <c r="M26" s="1527">
        <v>72.5</v>
      </c>
      <c r="N26" s="1523">
        <f t="shared" si="3"/>
        <v>24945.172413793101</v>
      </c>
      <c r="O26" s="1467">
        <v>21702.3</v>
      </c>
      <c r="P26" s="1514">
        <f>N26/AM10</f>
        <v>23.43152802286502</v>
      </c>
      <c r="Q26" s="1505"/>
      <c r="R26" s="5287"/>
      <c r="S26" s="1526">
        <f>AL10</f>
        <v>72.5</v>
      </c>
      <c r="T26" s="1523">
        <f>AM10*1.056</f>
        <v>1124.2161434482757</v>
      </c>
      <c r="U26" s="1467">
        <f>S26*T26*12/1000</f>
        <v>978.06804479999983</v>
      </c>
      <c r="V26" s="1514">
        <f>T26/AM10</f>
        <v>1.056</v>
      </c>
      <c r="W26" s="1514">
        <f>T26/AY10</f>
        <v>4.753370531747006E-2</v>
      </c>
      <c r="X26" s="1527">
        <v>73.5</v>
      </c>
      <c r="Y26" s="1523">
        <f t="shared" si="4"/>
        <v>19868.934240362814</v>
      </c>
      <c r="Z26" s="1467">
        <v>8762.2000000000007</v>
      </c>
      <c r="AA26" s="1514">
        <f>Y26/BB10</f>
        <v>0.9283594723885823</v>
      </c>
      <c r="AB26" s="1519" t="e">
        <f>Y26/#REF!</f>
        <v>#REF!</v>
      </c>
      <c r="AC26" s="513"/>
      <c r="AD26" s="513"/>
      <c r="AE26" s="513"/>
      <c r="AF26" s="513"/>
      <c r="AG26" s="513"/>
      <c r="AH26" s="513"/>
      <c r="AI26" s="513"/>
      <c r="AJ26" s="513"/>
      <c r="AK26" s="513"/>
      <c r="AL26" s="1527">
        <v>75</v>
      </c>
      <c r="AM26" s="1523">
        <f t="shared" si="5"/>
        <v>20413.185185185186</v>
      </c>
      <c r="AN26" s="1467">
        <v>13778.9</v>
      </c>
      <c r="AO26" s="1514">
        <f>AM26/BB10</f>
        <v>0.95378914636454581</v>
      </c>
      <c r="AP26" s="1505"/>
      <c r="AQ26" s="1527">
        <v>74</v>
      </c>
      <c r="AR26" s="1523">
        <f t="shared" si="6"/>
        <v>20925.33783783784</v>
      </c>
      <c r="AS26" s="1467">
        <v>18581.7</v>
      </c>
      <c r="AT26" s="1514">
        <f t="shared" si="11"/>
        <v>18.61326930749647</v>
      </c>
      <c r="AU26" s="1527">
        <v>72.5</v>
      </c>
      <c r="AV26" s="1523">
        <f t="shared" si="7"/>
        <v>21999.540229885057</v>
      </c>
      <c r="AW26" s="1467">
        <v>19139.599999999999</v>
      </c>
      <c r="AX26" s="1514">
        <f t="shared" si="12"/>
        <v>19.568781642297452</v>
      </c>
      <c r="AY26" s="1519">
        <f>AV26/BB10</f>
        <v>1.0279102700495193</v>
      </c>
      <c r="AZ26" s="1528">
        <f>BA10</f>
        <v>72</v>
      </c>
      <c r="BA26" s="1523">
        <f>AV26</f>
        <v>21999.540229885057</v>
      </c>
      <c r="BB26" s="1467">
        <f>AZ26*BA26*12/1000</f>
        <v>19007.602758620687</v>
      </c>
      <c r="BC26" s="1514">
        <f t="shared" si="8"/>
        <v>19.568781642297452</v>
      </c>
      <c r="BD26" s="1505"/>
      <c r="BE26" s="1527">
        <v>72</v>
      </c>
      <c r="BF26" s="1523">
        <f t="shared" si="9"/>
        <v>21250.231481481482</v>
      </c>
      <c r="BG26" s="1467">
        <v>9180.1</v>
      </c>
      <c r="BH26" s="1514">
        <f t="shared" si="13"/>
        <v>0.965939799624281</v>
      </c>
      <c r="BI26" s="1527">
        <v>74</v>
      </c>
      <c r="BJ26" s="1523">
        <f t="shared" si="10"/>
        <v>21538.138138138136</v>
      </c>
      <c r="BK26" s="1467">
        <v>14344.4</v>
      </c>
      <c r="BL26" s="1514">
        <f t="shared" si="14"/>
        <v>0.97902673933520967</v>
      </c>
      <c r="BM26" s="1512">
        <f t="shared" si="15"/>
        <v>73</v>
      </c>
      <c r="BN26" s="1523">
        <f t="shared" ref="BN26:BN33" si="19">BO26/BM26/3*1000</f>
        <v>23581.278538812781</v>
      </c>
      <c r="BO26" s="1439">
        <f t="shared" si="16"/>
        <v>5164.2999999999993</v>
      </c>
      <c r="BP26" s="1527">
        <v>72.5</v>
      </c>
      <c r="BQ26" s="1523">
        <f t="shared" ref="BQ26:BQ33" si="20">SUM(BA26*1.1)</f>
        <v>24199.494252873563</v>
      </c>
      <c r="BR26" s="1467">
        <f>BP26*BQ26*12/1000</f>
        <v>21053.56</v>
      </c>
      <c r="BS26" s="1514">
        <f t="shared" si="17"/>
        <v>1.1000000000000001</v>
      </c>
      <c r="BT26" s="1525">
        <f t="shared" ref="BT26:BT28" si="21">AQ26</f>
        <v>74</v>
      </c>
      <c r="BU26" s="1523">
        <f t="shared" ref="BU26:BU28" si="22">BN26*1.074</f>
        <v>25326.293150684927</v>
      </c>
      <c r="BV26" s="1467">
        <f>BT26*BU26*12/1000</f>
        <v>22489.748317808218</v>
      </c>
      <c r="BW26" s="1514">
        <f t="shared" si="18"/>
        <v>1.1512192021304462</v>
      </c>
      <c r="BX26" s="1295">
        <f t="shared" ref="BX26:BX37" si="23">BU26/BJ26</f>
        <v>1.1758812664423861</v>
      </c>
      <c r="BY26" s="5301"/>
      <c r="BZ26" s="5302"/>
      <c r="CA26" s="5302"/>
      <c r="CB26" s="5303"/>
    </row>
    <row r="27" spans="1:80" ht="37.5" customHeight="1" x14ac:dyDescent="0.2">
      <c r="A27" s="1520" t="s">
        <v>193</v>
      </c>
      <c r="B27" s="1521" t="s">
        <v>85</v>
      </c>
      <c r="C27" s="1522"/>
      <c r="D27" s="1523"/>
      <c r="E27" s="1464"/>
      <c r="F27" s="1524"/>
      <c r="G27" s="1523"/>
      <c r="H27" s="1472"/>
      <c r="I27" s="1525"/>
      <c r="J27" s="1523"/>
      <c r="K27" s="1513"/>
      <c r="L27" s="1472"/>
      <c r="M27" s="1525">
        <v>31</v>
      </c>
      <c r="N27" s="1523">
        <f t="shared" si="3"/>
        <v>30275.806451612905</v>
      </c>
      <c r="O27" s="1467">
        <v>11262.6</v>
      </c>
      <c r="P27" s="1514">
        <f>N27/AM11</f>
        <v>1.2088401473413275</v>
      </c>
      <c r="Q27" s="1505"/>
      <c r="R27" s="5287"/>
      <c r="S27" s="1526">
        <f>AL11</f>
        <v>31</v>
      </c>
      <c r="T27" s="1523">
        <f>AM11*1.056</f>
        <v>26447.873759999999</v>
      </c>
      <c r="U27" s="1467">
        <f>S27*T27*12/1000</f>
        <v>9838.6090387200002</v>
      </c>
      <c r="V27" s="1514">
        <f>T27/AM11</f>
        <v>1.056</v>
      </c>
      <c r="W27" s="1514">
        <f>T27/AY11</f>
        <v>0.92042627549755296</v>
      </c>
      <c r="X27" s="1527">
        <v>29.33</v>
      </c>
      <c r="Y27" s="1523">
        <f t="shared" si="4"/>
        <v>25010.796681441076</v>
      </c>
      <c r="Z27" s="1467">
        <v>4401.3999999999996</v>
      </c>
      <c r="AA27" s="1514">
        <f>Y27/BB11</f>
        <v>0.95682926073099828</v>
      </c>
      <c r="AB27" s="1519" t="e">
        <f>Y27/#REF!</f>
        <v>#REF!</v>
      </c>
      <c r="AC27" s="513"/>
      <c r="AD27" s="513"/>
      <c r="AE27" s="513"/>
      <c r="AF27" s="513"/>
      <c r="AG27" s="513"/>
      <c r="AH27" s="513"/>
      <c r="AI27" s="513"/>
      <c r="AJ27" s="513"/>
      <c r="AK27" s="513"/>
      <c r="AL27" s="1525">
        <v>28</v>
      </c>
      <c r="AM27" s="1523">
        <f t="shared" si="5"/>
        <v>27159.920634920636</v>
      </c>
      <c r="AN27" s="1467">
        <v>6844.3</v>
      </c>
      <c r="AO27" s="1514">
        <f>AM27/BB11</f>
        <v>1.039047540692988</v>
      </c>
      <c r="AP27" s="1505"/>
      <c r="AQ27" s="1525">
        <v>29</v>
      </c>
      <c r="AR27" s="1523">
        <f t="shared" si="6"/>
        <v>26195.689655172417</v>
      </c>
      <c r="AS27" s="1467">
        <v>9116.1</v>
      </c>
      <c r="AT27" s="1514">
        <f t="shared" si="11"/>
        <v>0.99046486280462409</v>
      </c>
      <c r="AU27" s="1525">
        <v>31</v>
      </c>
      <c r="AV27" s="1523">
        <f t="shared" si="7"/>
        <v>27862.365591397847</v>
      </c>
      <c r="AW27" s="1467">
        <v>10364.799999999999</v>
      </c>
      <c r="AX27" s="1514">
        <f t="shared" si="12"/>
        <v>1.0534822513232478</v>
      </c>
      <c r="AY27" s="1519">
        <f>AV27/BB11</f>
        <v>1.0659207305785803</v>
      </c>
      <c r="AZ27" s="1528">
        <f>BA11</f>
        <v>31</v>
      </c>
      <c r="BA27" s="1523">
        <f>AV27</f>
        <v>27862.365591397847</v>
      </c>
      <c r="BB27" s="1467">
        <f>AZ27*BA27*12/1000</f>
        <v>10364.799999999999</v>
      </c>
      <c r="BC27" s="1514">
        <f t="shared" si="8"/>
        <v>1.0534822513232478</v>
      </c>
      <c r="BD27" s="1505"/>
      <c r="BE27" s="1525">
        <v>28</v>
      </c>
      <c r="BF27" s="1523">
        <f t="shared" si="9"/>
        <v>26782.738095238099</v>
      </c>
      <c r="BG27" s="1467">
        <v>4499.5</v>
      </c>
      <c r="BH27" s="1514">
        <f t="shared" si="13"/>
        <v>0.96125140585718716</v>
      </c>
      <c r="BI27" s="1525">
        <v>29</v>
      </c>
      <c r="BJ27" s="1523">
        <f t="shared" si="10"/>
        <v>26555.938697318008</v>
      </c>
      <c r="BK27" s="1467">
        <v>6931.1</v>
      </c>
      <c r="BL27" s="1514">
        <f t="shared" si="14"/>
        <v>0.95311141511677022</v>
      </c>
      <c r="BM27" s="1512">
        <f t="shared" si="15"/>
        <v>28.5</v>
      </c>
      <c r="BN27" s="1523">
        <f t="shared" si="19"/>
        <v>28439.766081871352</v>
      </c>
      <c r="BO27" s="1439">
        <f t="shared" si="16"/>
        <v>2431.6000000000004</v>
      </c>
      <c r="BP27" s="1525">
        <v>31</v>
      </c>
      <c r="BQ27" s="1523">
        <f t="shared" si="20"/>
        <v>30648.602150537634</v>
      </c>
      <c r="BR27" s="1467">
        <f>BP27*BQ27*12/1000</f>
        <v>11401.28</v>
      </c>
      <c r="BS27" s="1514">
        <f t="shared" si="17"/>
        <v>1.1000000000000001</v>
      </c>
      <c r="BT27" s="1525">
        <f t="shared" si="21"/>
        <v>29</v>
      </c>
      <c r="BU27" s="1523">
        <f t="shared" si="22"/>
        <v>30544.308771929835</v>
      </c>
      <c r="BV27" s="1467">
        <f>BT27*BU27*12/1000</f>
        <v>10629.419452631584</v>
      </c>
      <c r="BW27" s="1514">
        <f t="shared" si="18"/>
        <v>1.0962568369054781</v>
      </c>
      <c r="BX27" s="1295">
        <f t="shared" si="23"/>
        <v>1.1501875011864908</v>
      </c>
      <c r="BY27" s="5301"/>
      <c r="BZ27" s="5302"/>
      <c r="CA27" s="5302"/>
      <c r="CB27" s="5303"/>
    </row>
    <row r="28" spans="1:80" ht="37.5" customHeight="1" x14ac:dyDescent="0.2">
      <c r="A28" s="1520" t="s">
        <v>194</v>
      </c>
      <c r="B28" s="1521" t="s">
        <v>86</v>
      </c>
      <c r="C28" s="1522"/>
      <c r="D28" s="1523"/>
      <c r="E28" s="1464"/>
      <c r="F28" s="1524"/>
      <c r="G28" s="1523"/>
      <c r="H28" s="1472"/>
      <c r="I28" s="1525"/>
      <c r="J28" s="1523"/>
      <c r="K28" s="1513"/>
      <c r="L28" s="1472"/>
      <c r="M28" s="1525">
        <v>25</v>
      </c>
      <c r="N28" s="1523">
        <f t="shared" si="3"/>
        <v>25887.333333333332</v>
      </c>
      <c r="O28" s="1467">
        <v>7766.2</v>
      </c>
      <c r="P28" s="1514">
        <f>N28/AM12</f>
        <v>1.174441454882867</v>
      </c>
      <c r="Q28" s="1505"/>
      <c r="R28" s="5287"/>
      <c r="S28" s="1526">
        <f>AL12</f>
        <v>25</v>
      </c>
      <c r="T28" s="1523">
        <f>AM12*1.056</f>
        <v>23276.617056000003</v>
      </c>
      <c r="U28" s="1467">
        <f>S28*T28*12/1000</f>
        <v>6982.9851168000005</v>
      </c>
      <c r="V28" s="1514">
        <f>T28/AM12</f>
        <v>1.056</v>
      </c>
      <c r="W28" s="1514">
        <f>T28/AY12</f>
        <v>0.90490684179970982</v>
      </c>
      <c r="X28" s="1527">
        <v>22</v>
      </c>
      <c r="Y28" s="1523">
        <f t="shared" si="4"/>
        <v>23571.9696969697</v>
      </c>
      <c r="Z28" s="1467">
        <v>3111.5</v>
      </c>
      <c r="AA28" s="1514">
        <f>Y28/BB12</f>
        <v>1.0326656214446632</v>
      </c>
      <c r="AB28" s="1519" t="e">
        <f>Y28/#REF!</f>
        <v>#REF!</v>
      </c>
      <c r="AC28" s="513"/>
      <c r="AD28" s="513"/>
      <c r="AE28" s="513"/>
      <c r="AF28" s="513"/>
      <c r="AG28" s="513"/>
      <c r="AH28" s="513"/>
      <c r="AI28" s="513"/>
      <c r="AJ28" s="513"/>
      <c r="AK28" s="513"/>
      <c r="AL28" s="1525">
        <v>21</v>
      </c>
      <c r="AM28" s="1523">
        <f t="shared" si="5"/>
        <v>25835.449735449733</v>
      </c>
      <c r="AN28" s="1467">
        <v>4882.8999999999996</v>
      </c>
      <c r="AO28" s="1514">
        <f>AM28/BB12</f>
        <v>1.1318265337745761</v>
      </c>
      <c r="AP28" s="1505"/>
      <c r="AQ28" s="1525">
        <v>21</v>
      </c>
      <c r="AR28" s="1523">
        <f t="shared" si="6"/>
        <v>25590.476190476191</v>
      </c>
      <c r="AS28" s="1467">
        <v>6448.8</v>
      </c>
      <c r="AT28" s="1514">
        <f t="shared" si="11"/>
        <v>1.0994070198822017</v>
      </c>
      <c r="AU28" s="1525">
        <v>25</v>
      </c>
      <c r="AV28" s="1523">
        <f t="shared" si="7"/>
        <v>24530.333333333336</v>
      </c>
      <c r="AW28" s="1467">
        <v>7359.1</v>
      </c>
      <c r="AX28" s="1514">
        <f t="shared" si="12"/>
        <v>1.0538616189078114</v>
      </c>
      <c r="AY28" s="1519">
        <f>AV28/BB12</f>
        <v>1.0746506228186743</v>
      </c>
      <c r="AZ28" s="1528">
        <f>BA12</f>
        <v>25</v>
      </c>
      <c r="BA28" s="1523">
        <f>AV28</f>
        <v>24530.333333333336</v>
      </c>
      <c r="BB28" s="1467">
        <f>AZ28*BA28*12/1000</f>
        <v>7359.1</v>
      </c>
      <c r="BC28" s="1514">
        <f t="shared" si="8"/>
        <v>1.0538616189078114</v>
      </c>
      <c r="BD28" s="1505"/>
      <c r="BE28" s="1525">
        <v>20</v>
      </c>
      <c r="BF28" s="1523">
        <f t="shared" si="9"/>
        <v>24965.833333333336</v>
      </c>
      <c r="BG28" s="1467">
        <v>2995.9</v>
      </c>
      <c r="BH28" s="1514">
        <f t="shared" si="13"/>
        <v>1.0177535296435705</v>
      </c>
      <c r="BI28" s="1525">
        <v>21</v>
      </c>
      <c r="BJ28" s="1523">
        <f t="shared" si="10"/>
        <v>24711.640211640213</v>
      </c>
      <c r="BK28" s="1467">
        <v>4670.5</v>
      </c>
      <c r="BL28" s="1514">
        <f t="shared" si="14"/>
        <v>1.0073911298245795</v>
      </c>
      <c r="BM28" s="1512">
        <f t="shared" si="15"/>
        <v>20.5</v>
      </c>
      <c r="BN28" s="1523">
        <f t="shared" si="19"/>
        <v>27229.268292682929</v>
      </c>
      <c r="BO28" s="1439">
        <f t="shared" si="16"/>
        <v>1674.6</v>
      </c>
      <c r="BP28" s="1525">
        <v>25</v>
      </c>
      <c r="BQ28" s="1523">
        <f t="shared" si="20"/>
        <v>26983.366666666672</v>
      </c>
      <c r="BR28" s="1467">
        <f>BP28*BQ28*12/1000</f>
        <v>8095.010000000002</v>
      </c>
      <c r="BS28" s="1514">
        <f t="shared" si="17"/>
        <v>1.1000000000000001</v>
      </c>
      <c r="BT28" s="1525">
        <f t="shared" si="21"/>
        <v>21</v>
      </c>
      <c r="BU28" s="1523">
        <f t="shared" si="22"/>
        <v>29244.234146341467</v>
      </c>
      <c r="BV28" s="1467">
        <f>BT28*BU28*12/1000</f>
        <v>7369.5470048780498</v>
      </c>
      <c r="BW28" s="1514">
        <f t="shared" si="18"/>
        <v>1.1921661947659958</v>
      </c>
      <c r="BX28" s="1295">
        <f t="shared" si="23"/>
        <v>1.183419388429191</v>
      </c>
      <c r="BY28" s="5301"/>
      <c r="BZ28" s="5302"/>
      <c r="CA28" s="5302"/>
      <c r="CB28" s="5303"/>
    </row>
    <row r="29" spans="1:80" ht="63" customHeight="1" x14ac:dyDescent="0.2">
      <c r="A29" s="1507" t="s">
        <v>186</v>
      </c>
      <c r="B29" s="1508" t="s">
        <v>196</v>
      </c>
      <c r="C29" s="1509">
        <v>840</v>
      </c>
      <c r="D29" s="1510">
        <v>12146</v>
      </c>
      <c r="E29" s="1435">
        <v>122429.8</v>
      </c>
      <c r="F29" s="1511">
        <f>F30+F31</f>
        <v>813</v>
      </c>
      <c r="G29" s="1510">
        <f>(G30*F30+G31*F31)/(F30+F31)</f>
        <v>12443.442804428045</v>
      </c>
      <c r="H29" s="1443">
        <f>H31+H30</f>
        <v>121398.228</v>
      </c>
      <c r="I29" s="1512">
        <v>799</v>
      </c>
      <c r="J29" s="1510">
        <v>13361</v>
      </c>
      <c r="K29" s="1513">
        <f>J29/G29</f>
        <v>1.07373820975377</v>
      </c>
      <c r="L29" s="1443">
        <v>128108.9</v>
      </c>
      <c r="M29" s="1512">
        <f>M30+M31+M32+M33</f>
        <v>105</v>
      </c>
      <c r="N29" s="1510">
        <f t="shared" si="3"/>
        <v>28668.650793650795</v>
      </c>
      <c r="O29" s="1439">
        <f>O30+O31+O32+O33</f>
        <v>36122.5</v>
      </c>
      <c r="P29" s="1514">
        <f>N29/AM14</f>
        <v>1.2088032234986785</v>
      </c>
      <c r="Q29" s="1505"/>
      <c r="R29" s="5287"/>
      <c r="S29" s="1515">
        <f>SUM(S30:S33)</f>
        <v>96</v>
      </c>
      <c r="T29" s="1516">
        <f>U29/S29/12*1000</f>
        <v>25224.382875999996</v>
      </c>
      <c r="U29" s="1517">
        <f>SUM(U30:U33)</f>
        <v>29058.489073151999</v>
      </c>
      <c r="V29" s="1514">
        <f>T29/AM14</f>
        <v>1.0635769206839176</v>
      </c>
      <c r="W29" s="1518"/>
      <c r="X29" s="1512">
        <f>X30+X31+X32+X33</f>
        <v>95</v>
      </c>
      <c r="Y29" s="1510">
        <f t="shared" si="4"/>
        <v>22836.666666666668</v>
      </c>
      <c r="Z29" s="1439">
        <f>Z30+Z31+Z32+Z33</f>
        <v>13016.900000000001</v>
      </c>
      <c r="AA29" s="1514">
        <f>Y29/BB14</f>
        <v>0.92274432731820633</v>
      </c>
      <c r="AB29" s="1505"/>
      <c r="AC29" s="513"/>
      <c r="AD29" s="513"/>
      <c r="AE29" s="513"/>
      <c r="AF29" s="513"/>
      <c r="AG29" s="513"/>
      <c r="AH29" s="513"/>
      <c r="AI29" s="513"/>
      <c r="AJ29" s="513"/>
      <c r="AK29" s="513"/>
      <c r="AL29" s="1512">
        <f>AL30+AL31+AL32+AL33</f>
        <v>94</v>
      </c>
      <c r="AM29" s="1510">
        <f t="shared" si="5"/>
        <v>23876.59574468085</v>
      </c>
      <c r="AN29" s="1439">
        <f>AN30+AN31+AN32+AN33</f>
        <v>20199.599999999999</v>
      </c>
      <c r="AO29" s="1514">
        <f>AM29/BB14</f>
        <v>0.96476397368592659</v>
      </c>
      <c r="AP29" s="1505"/>
      <c r="AQ29" s="1512">
        <f>AQ30+AQ31+AQ32+AQ33</f>
        <v>94</v>
      </c>
      <c r="AR29" s="1510">
        <f t="shared" si="6"/>
        <v>24074.734042553187</v>
      </c>
      <c r="AS29" s="1439">
        <f>AS30+AS31+AS32+AS33</f>
        <v>27156.3</v>
      </c>
      <c r="AT29" s="1514">
        <f t="shared" si="11"/>
        <v>0.95442311357632248</v>
      </c>
      <c r="AU29" s="1512">
        <f>AU30+AU31+AU32+AU33</f>
        <v>105</v>
      </c>
      <c r="AV29" s="1510">
        <f t="shared" si="7"/>
        <v>28668.650793650795</v>
      </c>
      <c r="AW29" s="1439">
        <f>AW30+AW31+AW32+AW33</f>
        <v>36122.5</v>
      </c>
      <c r="AX29" s="1514">
        <f t="shared" si="12"/>
        <v>1.1365451806921265</v>
      </c>
      <c r="AY29" s="1529">
        <f>AV29/BB14</f>
        <v>1.1583930035779242</v>
      </c>
      <c r="AZ29" s="1515">
        <f>SUM(AZ30:AZ33)</f>
        <v>98</v>
      </c>
      <c r="BA29" s="1516">
        <f>BB29/AZ29/12*1000</f>
        <v>28763.121622082414</v>
      </c>
      <c r="BB29" s="1517">
        <f>SUM(BB30:BB33)</f>
        <v>33825.43102756892</v>
      </c>
      <c r="BC29" s="1514">
        <f t="shared" si="8"/>
        <v>1.1402903993123807</v>
      </c>
      <c r="BD29" s="1505"/>
      <c r="BE29" s="1512">
        <f>BE30+BE31+BE32+BE33</f>
        <v>94</v>
      </c>
      <c r="BF29" s="1510">
        <f t="shared" si="9"/>
        <v>23914.007092198586</v>
      </c>
      <c r="BG29" s="1439">
        <f>BG30+BG31+BG32+BG33</f>
        <v>13487.5</v>
      </c>
      <c r="BH29" s="1514">
        <f t="shared" si="13"/>
        <v>0.83415181496768542</v>
      </c>
      <c r="BI29" s="1512">
        <f>BI30+BI31+BI32+BI33</f>
        <v>94</v>
      </c>
      <c r="BJ29" s="1510">
        <f t="shared" si="10"/>
        <v>24833.096926713952</v>
      </c>
      <c r="BK29" s="1439">
        <f>BK30+BK31+BK32+BK33</f>
        <v>21008.800000000003</v>
      </c>
      <c r="BL29" s="1514">
        <f t="shared" si="14"/>
        <v>0.86336584926334103</v>
      </c>
      <c r="BM29" s="1512">
        <f t="shared" si="15"/>
        <v>94</v>
      </c>
      <c r="BN29" s="1510">
        <f t="shared" si="19"/>
        <v>26671.27659574469</v>
      </c>
      <c r="BO29" s="1439">
        <f t="shared" si="16"/>
        <v>7521.3000000000029</v>
      </c>
      <c r="BP29" s="1512">
        <f>BP30+BP31+BP32+BP33</f>
        <v>105</v>
      </c>
      <c r="BQ29" s="1516">
        <f>BR29/BP29/12*1000</f>
        <v>31535.515873015873</v>
      </c>
      <c r="BR29" s="1517">
        <f>SUM(BR30:BR33)</f>
        <v>39734.75</v>
      </c>
      <c r="BS29" s="1514">
        <f t="shared" si="17"/>
        <v>1.0963871128926772</v>
      </c>
      <c r="BT29" s="1512">
        <f>BT30+BT31+BT32+BT33</f>
        <v>94</v>
      </c>
      <c r="BU29" s="1516">
        <f>BV29/BT29/12*1000</f>
        <v>28606.666659040642</v>
      </c>
      <c r="BV29" s="1517">
        <f>SUM(BV30:BV33)</f>
        <v>32268.319991397846</v>
      </c>
      <c r="BW29" s="1514">
        <f t="shared" si="18"/>
        <v>0.99456057082060056</v>
      </c>
      <c r="BX29" s="1295"/>
      <c r="BY29" s="5301"/>
      <c r="BZ29" s="5302"/>
      <c r="CA29" s="5302"/>
      <c r="CB29" s="5303"/>
    </row>
    <row r="30" spans="1:80" ht="37.5" customHeight="1" x14ac:dyDescent="0.2">
      <c r="A30" s="1520" t="s">
        <v>187</v>
      </c>
      <c r="B30" s="1521" t="s">
        <v>88</v>
      </c>
      <c r="C30" s="1522">
        <v>456</v>
      </c>
      <c r="D30" s="1523">
        <v>12405</v>
      </c>
      <c r="E30" s="1464">
        <v>67882.600000000006</v>
      </c>
      <c r="F30" s="1524">
        <v>444</v>
      </c>
      <c r="G30" s="1523">
        <v>12620</v>
      </c>
      <c r="H30" s="1472">
        <f>F30*G30*12/1000</f>
        <v>67239.360000000001</v>
      </c>
      <c r="I30" s="1525">
        <v>435</v>
      </c>
      <c r="J30" s="1523">
        <v>13646</v>
      </c>
      <c r="K30" s="1513">
        <f>J30/G30</f>
        <v>1.0812995245641839</v>
      </c>
      <c r="L30" s="1472">
        <v>71232.100000000006</v>
      </c>
      <c r="M30" s="1525">
        <v>30</v>
      </c>
      <c r="N30" s="1523">
        <f t="shared" si="3"/>
        <v>25154.444444444449</v>
      </c>
      <c r="O30" s="1467">
        <v>9055.6</v>
      </c>
      <c r="P30" s="1514">
        <f>N30/AM15</f>
        <v>1.2528746934240285</v>
      </c>
      <c r="Q30" s="1505"/>
      <c r="R30" s="5287"/>
      <c r="S30" s="1530">
        <v>26</v>
      </c>
      <c r="T30" s="1523">
        <f>AM15*1.056</f>
        <v>21201.715919999995</v>
      </c>
      <c r="U30" s="1467">
        <f>S30*T30*12/1000</f>
        <v>6614.9353670399987</v>
      </c>
      <c r="V30" s="1514">
        <f>T30/AM15</f>
        <v>1.056</v>
      </c>
      <c r="W30" s="1518"/>
      <c r="X30" s="1525">
        <v>25</v>
      </c>
      <c r="Y30" s="1523">
        <f t="shared" si="4"/>
        <v>21835.333333333336</v>
      </c>
      <c r="Z30" s="1467">
        <v>3275.3</v>
      </c>
      <c r="AA30" s="1514">
        <f>Y30/BB15</f>
        <v>0.9662474115678098</v>
      </c>
      <c r="AB30" s="1505"/>
      <c r="AC30" s="513"/>
      <c r="AD30" s="513"/>
      <c r="AE30" s="513"/>
      <c r="AF30" s="513"/>
      <c r="AG30" s="513"/>
      <c r="AH30" s="513"/>
      <c r="AI30" s="513"/>
      <c r="AJ30" s="513"/>
      <c r="AK30" s="513"/>
      <c r="AL30" s="1525">
        <v>25</v>
      </c>
      <c r="AM30" s="1523">
        <f t="shared" si="5"/>
        <v>22584.444444444445</v>
      </c>
      <c r="AN30" s="1467">
        <v>5081.5</v>
      </c>
      <c r="AO30" s="1514">
        <f>AM30/BB15</f>
        <v>0.99939674164846481</v>
      </c>
      <c r="AP30" s="1505"/>
      <c r="AQ30" s="1525">
        <v>25</v>
      </c>
      <c r="AR30" s="1523">
        <f t="shared" si="6"/>
        <v>23072.333333333332</v>
      </c>
      <c r="AS30" s="1467">
        <v>6921.7</v>
      </c>
      <c r="AT30" s="1514">
        <f t="shared" si="11"/>
        <v>1.0882295291754545</v>
      </c>
      <c r="AU30" s="1525">
        <v>30</v>
      </c>
      <c r="AV30" s="1523">
        <f t="shared" si="7"/>
        <v>25154.444444444449</v>
      </c>
      <c r="AW30" s="1467">
        <v>9055.6</v>
      </c>
      <c r="AX30" s="1514">
        <f t="shared" si="12"/>
        <v>1.1864343687727543</v>
      </c>
      <c r="AY30" s="1529">
        <f>AV30/BB15</f>
        <v>1.1131232330109022</v>
      </c>
      <c r="AZ30" s="1528">
        <f>BA15</f>
        <v>26</v>
      </c>
      <c r="BA30" s="1523">
        <f>AV30</f>
        <v>25154.444444444449</v>
      </c>
      <c r="BB30" s="1467">
        <f>AZ30*BA30*12/1000</f>
        <v>7848.1866666666683</v>
      </c>
      <c r="BC30" s="1514">
        <f t="shared" si="8"/>
        <v>1.1864343687727543</v>
      </c>
      <c r="BD30" s="1505"/>
      <c r="BE30" s="1525">
        <v>25</v>
      </c>
      <c r="BF30" s="1523">
        <f t="shared" si="9"/>
        <v>22802.666666666668</v>
      </c>
      <c r="BG30" s="1467">
        <v>3420.4</v>
      </c>
      <c r="BH30" s="1514">
        <f t="shared" si="13"/>
        <v>0.90650647113388394</v>
      </c>
      <c r="BI30" s="1525">
        <v>25</v>
      </c>
      <c r="BJ30" s="1523">
        <f t="shared" si="10"/>
        <v>23330.666666666664</v>
      </c>
      <c r="BK30" s="1467">
        <v>5249.4</v>
      </c>
      <c r="BL30" s="1514">
        <f t="shared" si="14"/>
        <v>0.92749679756172954</v>
      </c>
      <c r="BM30" s="1512">
        <f t="shared" si="15"/>
        <v>25</v>
      </c>
      <c r="BN30" s="1523">
        <f t="shared" si="19"/>
        <v>24386.666666666661</v>
      </c>
      <c r="BO30" s="1439">
        <f t="shared" si="16"/>
        <v>1828.9999999999995</v>
      </c>
      <c r="BP30" s="1525">
        <v>30</v>
      </c>
      <c r="BQ30" s="1523">
        <f t="shared" si="20"/>
        <v>27669.888888888898</v>
      </c>
      <c r="BR30" s="1467">
        <f>BP30*BQ30*12/1000</f>
        <v>9961.1600000000035</v>
      </c>
      <c r="BS30" s="1514">
        <f t="shared" si="17"/>
        <v>1.1000000000000001</v>
      </c>
      <c r="BT30" s="1525">
        <f>AQ30</f>
        <v>25</v>
      </c>
      <c r="BU30" s="1523">
        <f>BN30*1.074</f>
        <v>26191.279999999995</v>
      </c>
      <c r="BV30" s="1467">
        <f>BT30*BU30*12/1000</f>
        <v>7857.3839999999982</v>
      </c>
      <c r="BW30" s="1514">
        <f t="shared" si="18"/>
        <v>1.0412187817483101</v>
      </c>
      <c r="BX30" s="1295">
        <f t="shared" si="23"/>
        <v>1.1226117270545204</v>
      </c>
      <c r="BY30" s="5301"/>
      <c r="BZ30" s="5302"/>
      <c r="CA30" s="5302"/>
      <c r="CB30" s="5303"/>
    </row>
    <row r="31" spans="1:80" ht="37.5" customHeight="1" x14ac:dyDescent="0.2">
      <c r="A31" s="1520" t="s">
        <v>188</v>
      </c>
      <c r="B31" s="1521" t="s">
        <v>89</v>
      </c>
      <c r="C31" s="1522">
        <v>384</v>
      </c>
      <c r="D31" s="1523">
        <v>11838</v>
      </c>
      <c r="E31" s="1464">
        <v>54547.199999999997</v>
      </c>
      <c r="F31" s="1524">
        <v>369</v>
      </c>
      <c r="G31" s="1523">
        <v>12231</v>
      </c>
      <c r="H31" s="1472">
        <f>F31*G31*12/1000</f>
        <v>54158.868000000002</v>
      </c>
      <c r="I31" s="1525">
        <v>364</v>
      </c>
      <c r="J31" s="1523">
        <v>13021</v>
      </c>
      <c r="K31" s="1513">
        <f>J31/G31</f>
        <v>1.0645899762897555</v>
      </c>
      <c r="L31" s="1472">
        <v>56876.800000000003</v>
      </c>
      <c r="M31" s="1525">
        <v>49</v>
      </c>
      <c r="N31" s="1523">
        <f t="shared" si="3"/>
        <v>30026.530612244896</v>
      </c>
      <c r="O31" s="1467">
        <v>17655.599999999999</v>
      </c>
      <c r="P31" s="1514">
        <f>N31/AM16</f>
        <v>1.1443255630726537</v>
      </c>
      <c r="Q31" s="1505"/>
      <c r="R31" s="5287"/>
      <c r="S31" s="1530">
        <v>48</v>
      </c>
      <c r="T31" s="1523">
        <f>AM16*1.056</f>
        <v>27708.912</v>
      </c>
      <c r="U31" s="1467">
        <f>S31*T31*12/1000</f>
        <v>15960.333312000001</v>
      </c>
      <c r="V31" s="1514">
        <f>T31/AM16</f>
        <v>1.056</v>
      </c>
      <c r="W31" s="1518"/>
      <c r="X31" s="1525">
        <v>49</v>
      </c>
      <c r="Y31" s="1523">
        <f t="shared" si="4"/>
        <v>23665.306122448983</v>
      </c>
      <c r="Z31" s="1467">
        <v>6957.6</v>
      </c>
      <c r="AA31" s="1514">
        <f>Y31/BB16</f>
        <v>0.90954964376756653</v>
      </c>
      <c r="AB31" s="1505"/>
      <c r="AC31" s="513"/>
      <c r="AD31" s="513"/>
      <c r="AE31" s="513"/>
      <c r="AF31" s="513"/>
      <c r="AG31" s="513"/>
      <c r="AH31" s="513"/>
      <c r="AI31" s="513"/>
      <c r="AJ31" s="513"/>
      <c r="AK31" s="513"/>
      <c r="AL31" s="1525">
        <v>49</v>
      </c>
      <c r="AM31" s="1523">
        <f t="shared" si="5"/>
        <v>24274.149659863946</v>
      </c>
      <c r="AN31" s="1467">
        <v>10704.9</v>
      </c>
      <c r="AO31" s="1514">
        <f>AM31/BB16</f>
        <v>0.93294986600431395</v>
      </c>
      <c r="AP31" s="1505"/>
      <c r="AQ31" s="1525">
        <v>49</v>
      </c>
      <c r="AR31" s="1523">
        <f t="shared" si="6"/>
        <v>24466.496598639456</v>
      </c>
      <c r="AS31" s="1467">
        <v>14386.3</v>
      </c>
      <c r="AT31" s="1514">
        <f t="shared" si="11"/>
        <v>0.88298294060190652</v>
      </c>
      <c r="AU31" s="1525">
        <v>49</v>
      </c>
      <c r="AV31" s="1523">
        <f t="shared" si="7"/>
        <v>30026.530612244896</v>
      </c>
      <c r="AW31" s="1467">
        <v>17655.599999999999</v>
      </c>
      <c r="AX31" s="1514">
        <f t="shared" si="12"/>
        <v>1.0836416316975888</v>
      </c>
      <c r="AY31" s="1529">
        <f>AV31/BB16</f>
        <v>1.1540362115170926</v>
      </c>
      <c r="AZ31" s="1528">
        <f>BA16</f>
        <v>49</v>
      </c>
      <c r="BA31" s="1523">
        <f>AV31</f>
        <v>30026.530612244896</v>
      </c>
      <c r="BB31" s="1467">
        <f>AZ31*BA31*12/1000</f>
        <v>17655.599999999999</v>
      </c>
      <c r="BC31" s="1514">
        <f t="shared" si="8"/>
        <v>1.0836416316975888</v>
      </c>
      <c r="BD31" s="1505"/>
      <c r="BE31" s="1525">
        <v>49</v>
      </c>
      <c r="BF31" s="1523">
        <f t="shared" si="9"/>
        <v>24546.938775510203</v>
      </c>
      <c r="BG31" s="1467">
        <v>7216.8</v>
      </c>
      <c r="BH31" s="1514">
        <f t="shared" si="13"/>
        <v>0.81750832597023038</v>
      </c>
      <c r="BI31" s="1525">
        <v>49</v>
      </c>
      <c r="BJ31" s="1523">
        <f t="shared" si="10"/>
        <v>25629.25170068027</v>
      </c>
      <c r="BK31" s="1467">
        <v>11302.5</v>
      </c>
      <c r="BL31" s="1514">
        <f t="shared" si="14"/>
        <v>0.85355354675003958</v>
      </c>
      <c r="BM31" s="1512">
        <f t="shared" si="15"/>
        <v>49</v>
      </c>
      <c r="BN31" s="1523">
        <f t="shared" si="19"/>
        <v>27793.877551020403</v>
      </c>
      <c r="BO31" s="1439">
        <f t="shared" si="16"/>
        <v>4085.7</v>
      </c>
      <c r="BP31" s="1525">
        <v>49</v>
      </c>
      <c r="BQ31" s="1523">
        <f t="shared" si="20"/>
        <v>33029.183673469386</v>
      </c>
      <c r="BR31" s="1467">
        <f>BP31*BQ31*12/1000</f>
        <v>19421.16</v>
      </c>
      <c r="BS31" s="1514">
        <f t="shared" si="17"/>
        <v>1.1000000000000001</v>
      </c>
      <c r="BT31" s="1525">
        <f t="shared" ref="BT31:BT33" si="24">AQ31</f>
        <v>49</v>
      </c>
      <c r="BU31" s="1523">
        <f t="shared" ref="BU31:BU33" si="25">BN31*1.074</f>
        <v>29850.624489795915</v>
      </c>
      <c r="BV31" s="1467">
        <f>BT31*BU31*12/1000</f>
        <v>17552.1672</v>
      </c>
      <c r="BW31" s="1514">
        <f t="shared" si="18"/>
        <v>0.99414164344457279</v>
      </c>
      <c r="BX31" s="1295">
        <f t="shared" si="23"/>
        <v>1.1647091705374917</v>
      </c>
      <c r="BY31" s="5301"/>
      <c r="BZ31" s="5302"/>
      <c r="CA31" s="5302"/>
      <c r="CB31" s="5303"/>
    </row>
    <row r="32" spans="1:80" ht="75" x14ac:dyDescent="0.2">
      <c r="A32" s="1520" t="s">
        <v>197</v>
      </c>
      <c r="B32" s="1521" t="s">
        <v>199</v>
      </c>
      <c r="C32" s="1522"/>
      <c r="D32" s="1523"/>
      <c r="E32" s="1464"/>
      <c r="F32" s="1524"/>
      <c r="G32" s="1523"/>
      <c r="H32" s="1472"/>
      <c r="I32" s="1525"/>
      <c r="J32" s="1523"/>
      <c r="K32" s="1513"/>
      <c r="L32" s="1472"/>
      <c r="M32" s="1525">
        <v>7</v>
      </c>
      <c r="N32" s="1523">
        <f t="shared" si="3"/>
        <v>31347.619047619046</v>
      </c>
      <c r="O32" s="1467">
        <v>2633.2</v>
      </c>
      <c r="P32" s="1514">
        <f>N32/AM17</f>
        <v>1.2757479654799539</v>
      </c>
      <c r="Q32" s="1505"/>
      <c r="R32" s="5287"/>
      <c r="S32" s="1531">
        <v>7</v>
      </c>
      <c r="T32" s="1523">
        <f>AM17*1.056</f>
        <v>25947.982367999997</v>
      </c>
      <c r="U32" s="1467">
        <f>S32*T32*12/1000</f>
        <v>2179.6305189119998</v>
      </c>
      <c r="V32" s="1514">
        <f>T32/AM17</f>
        <v>1.056</v>
      </c>
      <c r="W32" s="1518"/>
      <c r="X32" s="1525">
        <v>4</v>
      </c>
      <c r="Y32" s="1523">
        <f t="shared" si="4"/>
        <v>22329.166666666664</v>
      </c>
      <c r="Z32" s="1467">
        <v>535.9</v>
      </c>
      <c r="AA32" s="1514">
        <f>Y32/BB17</f>
        <v>0.91450511945392476</v>
      </c>
      <c r="AB32" s="1505"/>
      <c r="AC32" s="513"/>
      <c r="AD32" s="513"/>
      <c r="AE32" s="513"/>
      <c r="AF32" s="513"/>
      <c r="AG32" s="513"/>
      <c r="AH32" s="513"/>
      <c r="AI32" s="513"/>
      <c r="AJ32" s="513"/>
      <c r="AK32" s="513"/>
      <c r="AL32" s="1525">
        <v>4</v>
      </c>
      <c r="AM32" s="1523">
        <f t="shared" si="5"/>
        <v>23575.000000000004</v>
      </c>
      <c r="AN32" s="1467">
        <v>848.7</v>
      </c>
      <c r="AO32" s="1514">
        <f>AM32/BB17</f>
        <v>0.96552901023890791</v>
      </c>
      <c r="AP32" s="1505"/>
      <c r="AQ32" s="1525">
        <v>4</v>
      </c>
      <c r="AR32" s="1523">
        <f t="shared" si="6"/>
        <v>24131.249999999996</v>
      </c>
      <c r="AS32" s="1467">
        <v>1158.3</v>
      </c>
      <c r="AT32" s="1514">
        <f t="shared" si="11"/>
        <v>0.92998560187706691</v>
      </c>
      <c r="AU32" s="1525">
        <v>7</v>
      </c>
      <c r="AV32" s="1523">
        <f t="shared" si="7"/>
        <v>31347.619047619046</v>
      </c>
      <c r="AW32" s="1467">
        <v>2633.2</v>
      </c>
      <c r="AX32" s="1514">
        <f t="shared" si="12"/>
        <v>1.2080946642802595</v>
      </c>
      <c r="AY32" s="1529">
        <f>AV32/BB17</f>
        <v>1.283861530960507</v>
      </c>
      <c r="AZ32" s="1528">
        <f>BA17</f>
        <v>6</v>
      </c>
      <c r="BA32" s="1523">
        <f>AV32</f>
        <v>31347.619047619046</v>
      </c>
      <c r="BB32" s="1467">
        <f>AZ32*BA32*12/1000</f>
        <v>2257.028571428571</v>
      </c>
      <c r="BC32" s="1514">
        <f t="shared" si="8"/>
        <v>1.2080946642802595</v>
      </c>
      <c r="BD32" s="1505"/>
      <c r="BE32" s="1525">
        <v>5</v>
      </c>
      <c r="BF32" s="1523">
        <f t="shared" si="9"/>
        <v>22876.666666666664</v>
      </c>
      <c r="BG32" s="1467">
        <v>686.3</v>
      </c>
      <c r="BH32" s="1514">
        <f t="shared" si="13"/>
        <v>0.72977365942579364</v>
      </c>
      <c r="BI32" s="1525">
        <v>4</v>
      </c>
      <c r="BJ32" s="1523">
        <f t="shared" si="10"/>
        <v>31052.777777777781</v>
      </c>
      <c r="BK32" s="1467">
        <v>1117.9000000000001</v>
      </c>
      <c r="BL32" s="1514">
        <f t="shared" si="14"/>
        <v>0.99059446047901178</v>
      </c>
      <c r="BM32" s="1512">
        <f t="shared" si="15"/>
        <v>4.5</v>
      </c>
      <c r="BN32" s="1523">
        <f t="shared" si="19"/>
        <v>31970.37037037038</v>
      </c>
      <c r="BO32" s="1439">
        <f t="shared" si="16"/>
        <v>431.60000000000014</v>
      </c>
      <c r="BP32" s="1525">
        <v>7</v>
      </c>
      <c r="BQ32" s="1523">
        <f t="shared" si="20"/>
        <v>34482.380952380954</v>
      </c>
      <c r="BR32" s="1467">
        <f>BP32*BQ32*12/1000</f>
        <v>2896.52</v>
      </c>
      <c r="BS32" s="1514">
        <f t="shared" si="17"/>
        <v>1.1000000000000001</v>
      </c>
      <c r="BT32" s="1525">
        <f t="shared" si="24"/>
        <v>4</v>
      </c>
      <c r="BU32" s="1523">
        <f t="shared" si="25"/>
        <v>34336.17777777779</v>
      </c>
      <c r="BV32" s="1467">
        <f>BT32*BU32*12/1000</f>
        <v>1648.136533333334</v>
      </c>
      <c r="BW32" s="1514">
        <f t="shared" si="18"/>
        <v>1.0953360676489954</v>
      </c>
      <c r="BX32" s="1295">
        <f t="shared" si="23"/>
        <v>1.1057361123535203</v>
      </c>
      <c r="BY32" s="5301"/>
      <c r="BZ32" s="5302"/>
      <c r="CA32" s="5302"/>
      <c r="CB32" s="5303"/>
    </row>
    <row r="33" spans="1:80" ht="24.95" customHeight="1" thickBot="1" x14ac:dyDescent="0.25">
      <c r="A33" s="1532" t="s">
        <v>198</v>
      </c>
      <c r="B33" s="1533" t="s">
        <v>86</v>
      </c>
      <c r="C33" s="1534"/>
      <c r="D33" s="1535"/>
      <c r="E33" s="1536"/>
      <c r="F33" s="1537"/>
      <c r="G33" s="1535"/>
      <c r="H33" s="1538"/>
      <c r="I33" s="1539"/>
      <c r="J33" s="1535"/>
      <c r="K33" s="1540"/>
      <c r="L33" s="1538"/>
      <c r="M33" s="1539">
        <v>19</v>
      </c>
      <c r="N33" s="1535">
        <f t="shared" si="3"/>
        <v>29728.508771929824</v>
      </c>
      <c r="O33" s="1541">
        <v>6778.1</v>
      </c>
      <c r="P33" s="1542">
        <f>N33/AM18</f>
        <v>1.3130421604372358</v>
      </c>
      <c r="Q33" s="1543"/>
      <c r="R33" s="5287"/>
      <c r="S33" s="1544">
        <v>15</v>
      </c>
      <c r="T33" s="1535">
        <f>AM18*1.056</f>
        <v>23908.832640000001</v>
      </c>
      <c r="U33" s="1541">
        <f>S33*T33*12/1000</f>
        <v>4303.5898752000003</v>
      </c>
      <c r="V33" s="1542">
        <f>T33/AM18</f>
        <v>1.056</v>
      </c>
      <c r="W33" s="1545"/>
      <c r="X33" s="1539">
        <v>17</v>
      </c>
      <c r="Y33" s="1535">
        <f t="shared" si="4"/>
        <v>22040.196078431374</v>
      </c>
      <c r="Z33" s="1541">
        <v>2248.1</v>
      </c>
      <c r="AA33" s="1542">
        <f>Y33/BB18</f>
        <v>0.8998158821645853</v>
      </c>
      <c r="AB33" s="1543"/>
      <c r="AC33" s="513"/>
      <c r="AD33" s="513"/>
      <c r="AE33" s="513"/>
      <c r="AF33" s="513"/>
      <c r="AG33" s="513"/>
      <c r="AH33" s="513"/>
      <c r="AI33" s="513"/>
      <c r="AJ33" s="513"/>
      <c r="AK33" s="513"/>
      <c r="AL33" s="1539">
        <v>16</v>
      </c>
      <c r="AM33" s="1535">
        <f t="shared" si="5"/>
        <v>24753.472222222223</v>
      </c>
      <c r="AN33" s="1541">
        <v>3564.5</v>
      </c>
      <c r="AO33" s="1542">
        <f>AM33/BB18</f>
        <v>1.0105884432703596</v>
      </c>
      <c r="AP33" s="1543"/>
      <c r="AQ33" s="1539">
        <v>16</v>
      </c>
      <c r="AR33" s="1535">
        <f t="shared" si="6"/>
        <v>24427.083333333332</v>
      </c>
      <c r="AS33" s="1541">
        <v>4690</v>
      </c>
      <c r="AT33" s="1542">
        <f t="shared" si="11"/>
        <v>1.0216761186602765</v>
      </c>
      <c r="AU33" s="1539">
        <v>19</v>
      </c>
      <c r="AV33" s="1535">
        <f t="shared" si="7"/>
        <v>29728.508771929824</v>
      </c>
      <c r="AW33" s="1541">
        <v>6778.1</v>
      </c>
      <c r="AX33" s="1542">
        <f t="shared" si="12"/>
        <v>1.2434111367776852</v>
      </c>
      <c r="AY33" s="1546">
        <f>AV33/BB18</f>
        <v>1.2136999258472789</v>
      </c>
      <c r="AZ33" s="1547">
        <f>BA18</f>
        <v>17</v>
      </c>
      <c r="BA33" s="1535">
        <f>AV33</f>
        <v>29728.508771929824</v>
      </c>
      <c r="BB33" s="1541">
        <f>AZ33*BA33*12/1000</f>
        <v>6064.6157894736843</v>
      </c>
      <c r="BC33" s="1542">
        <f t="shared" si="8"/>
        <v>1.2434111367776852</v>
      </c>
      <c r="BD33" s="1543"/>
      <c r="BE33" s="1539">
        <v>15</v>
      </c>
      <c r="BF33" s="1535">
        <f t="shared" si="9"/>
        <v>24044.444444444449</v>
      </c>
      <c r="BG33" s="1541">
        <v>2164</v>
      </c>
      <c r="BH33" s="1542">
        <f t="shared" si="13"/>
        <v>0.80880089307229674</v>
      </c>
      <c r="BI33" s="1539">
        <v>16</v>
      </c>
      <c r="BJ33" s="1535">
        <f t="shared" si="10"/>
        <v>23187.5</v>
      </c>
      <c r="BK33" s="1541">
        <v>3339</v>
      </c>
      <c r="BL33" s="1542">
        <f t="shared" si="14"/>
        <v>0.77997521429309102</v>
      </c>
      <c r="BM33" s="1512">
        <f t="shared" si="15"/>
        <v>15.5</v>
      </c>
      <c r="BN33" s="1523">
        <f t="shared" si="19"/>
        <v>25268.817204301075</v>
      </c>
      <c r="BO33" s="1439">
        <f t="shared" si="16"/>
        <v>1175</v>
      </c>
      <c r="BP33" s="1539">
        <v>19</v>
      </c>
      <c r="BQ33" s="1535">
        <f t="shared" si="20"/>
        <v>32701.359649122809</v>
      </c>
      <c r="BR33" s="1541">
        <f>BP33*BQ33*12/1000</f>
        <v>7455.91</v>
      </c>
      <c r="BS33" s="1542">
        <f t="shared" si="17"/>
        <v>1.1000000000000001</v>
      </c>
      <c r="BT33" s="1539">
        <f t="shared" si="24"/>
        <v>16</v>
      </c>
      <c r="BU33" s="1523">
        <f t="shared" si="25"/>
        <v>27138.709677419356</v>
      </c>
      <c r="BV33" s="1541">
        <f>BT33*BU33*12/1000</f>
        <v>5210.6322580645156</v>
      </c>
      <c r="BW33" s="1542">
        <f t="shared" si="18"/>
        <v>0.91288499822245361</v>
      </c>
      <c r="BX33" s="1295">
        <f t="shared" si="23"/>
        <v>1.1704025736892445</v>
      </c>
      <c r="BY33" s="5301"/>
      <c r="BZ33" s="5302"/>
      <c r="CA33" s="5302"/>
      <c r="CB33" s="5303"/>
    </row>
    <row r="34" spans="1:80" ht="19.5" thickBot="1" x14ac:dyDescent="0.25">
      <c r="A34" s="4331" t="s">
        <v>842</v>
      </c>
      <c r="B34" s="5307"/>
      <c r="C34" s="5307"/>
      <c r="D34" s="5307"/>
      <c r="E34" s="5307"/>
      <c r="F34" s="5307"/>
      <c r="G34" s="5307"/>
      <c r="H34" s="5307"/>
      <c r="I34" s="5307"/>
      <c r="J34" s="5307"/>
      <c r="K34" s="5307"/>
      <c r="L34" s="5307"/>
      <c r="M34" s="5307"/>
      <c r="N34" s="5307"/>
      <c r="O34" s="5307"/>
      <c r="P34" s="5307"/>
      <c r="Q34" s="5307"/>
      <c r="R34" s="5307"/>
      <c r="S34" s="5307"/>
      <c r="T34" s="5307"/>
      <c r="U34" s="5307"/>
      <c r="V34" s="5307"/>
      <c r="W34" s="5307"/>
      <c r="X34" s="5307"/>
      <c r="Y34" s="5307"/>
      <c r="Z34" s="5307"/>
      <c r="AA34" s="5307"/>
      <c r="AB34" s="5307"/>
      <c r="AC34" s="5307"/>
      <c r="AD34" s="5307"/>
      <c r="AE34" s="5307"/>
      <c r="AF34" s="5307"/>
      <c r="AG34" s="5307"/>
      <c r="AH34" s="5307"/>
      <c r="AI34" s="5307"/>
      <c r="AJ34" s="5307"/>
      <c r="AK34" s="5307"/>
      <c r="AL34" s="5307"/>
      <c r="AM34" s="5307"/>
      <c r="AN34" s="5307"/>
      <c r="AO34" s="5307"/>
      <c r="AP34" s="5307"/>
      <c r="AQ34" s="5307"/>
      <c r="AR34" s="5307"/>
      <c r="AS34" s="5307"/>
      <c r="AT34" s="5307"/>
      <c r="AU34" s="5307"/>
      <c r="AV34" s="5307"/>
      <c r="AW34" s="5307"/>
      <c r="AX34" s="5307"/>
      <c r="AY34" s="5307"/>
      <c r="AZ34" s="5307"/>
      <c r="BA34" s="5307"/>
      <c r="BB34" s="5307"/>
      <c r="BC34" s="5307"/>
      <c r="BD34" s="5307"/>
      <c r="BE34" s="5307"/>
      <c r="BF34" s="5307"/>
      <c r="BG34" s="5307"/>
      <c r="BH34" s="5307"/>
      <c r="BI34" s="5307"/>
      <c r="BJ34" s="5307"/>
      <c r="BK34" s="5307"/>
      <c r="BL34" s="5307"/>
      <c r="BM34" s="5307"/>
      <c r="BN34" s="5307"/>
      <c r="BO34" s="5307"/>
      <c r="BP34" s="5307"/>
      <c r="BQ34" s="5307"/>
      <c r="BR34" s="5307"/>
      <c r="BS34" s="5307"/>
      <c r="BT34" s="5307"/>
      <c r="BU34" s="5307"/>
      <c r="BV34" s="5307"/>
      <c r="BW34" s="5307"/>
      <c r="BX34" s="5308"/>
      <c r="BY34" s="5301"/>
      <c r="BZ34" s="5302"/>
      <c r="CA34" s="5302"/>
      <c r="CB34" s="5303"/>
    </row>
    <row r="35" spans="1:80" ht="37.5" customHeight="1" x14ac:dyDescent="0.2">
      <c r="A35" s="5309" t="s">
        <v>249</v>
      </c>
      <c r="B35" s="5310"/>
      <c r="C35" s="832"/>
      <c r="D35" s="515"/>
      <c r="E35" s="515"/>
      <c r="F35" s="515"/>
      <c r="G35" s="515"/>
      <c r="H35" s="515"/>
      <c r="I35" s="515"/>
      <c r="J35" s="515"/>
      <c r="K35" s="515"/>
      <c r="L35" s="833"/>
      <c r="M35" s="830"/>
      <c r="N35" s="516">
        <f>(O24+O29)/(M24+M29)/12*1000</f>
        <v>26931.3782051282</v>
      </c>
      <c r="O35" s="515"/>
      <c r="P35" s="514"/>
      <c r="Q35" s="832"/>
      <c r="R35" s="5311"/>
      <c r="S35" s="830"/>
      <c r="T35" s="516">
        <f>(U24+U29)/(S24+S29)/12*1000</f>
        <v>15736.30143528287</v>
      </c>
      <c r="U35" s="515"/>
      <c r="V35" s="515"/>
      <c r="W35" s="514"/>
      <c r="X35" s="855"/>
      <c r="Y35" s="516">
        <f>(Z24+Z29)/(X24+X29)/6*1000</f>
        <v>22071.124261976194</v>
      </c>
      <c r="Z35" s="517"/>
      <c r="AA35" s="514"/>
      <c r="AB35" s="832"/>
      <c r="AC35" s="515"/>
      <c r="AD35" s="515"/>
      <c r="AE35" s="515"/>
      <c r="AF35" s="515"/>
      <c r="AG35" s="515"/>
      <c r="AH35" s="515"/>
      <c r="AI35" s="515"/>
      <c r="AJ35" s="515"/>
      <c r="AK35" s="833"/>
      <c r="AL35" s="855"/>
      <c r="AM35" s="516">
        <f>(AN24+AN29)/(AL24+AL29)/9*1000</f>
        <v>23101.92837465565</v>
      </c>
      <c r="AN35" s="517"/>
      <c r="AO35" s="514"/>
      <c r="AP35" s="827"/>
      <c r="AQ35" s="855"/>
      <c r="AR35" s="516">
        <f>(AS24+AS29)/(AQ24+AQ29)/12*1000</f>
        <v>23276.997245179064</v>
      </c>
      <c r="AS35" s="517"/>
      <c r="AT35" s="829">
        <f t="shared" si="11"/>
        <v>1.4791911136748408</v>
      </c>
      <c r="AU35" s="830"/>
      <c r="AV35" s="516">
        <f>(AW24+AW29)/(AU24+AU29)/12*1000</f>
        <v>25563.717948717946</v>
      </c>
      <c r="AW35" s="515"/>
      <c r="AX35" s="515"/>
      <c r="AY35" s="514"/>
      <c r="AZ35" s="830"/>
      <c r="BA35" s="516">
        <f>(BB24+BB29)/(AZ24+AZ29)/12*1000</f>
        <v>25597.995857856873</v>
      </c>
      <c r="BB35" s="515"/>
      <c r="BC35" s="856">
        <f>BA35/T35</f>
        <v>1.6266843872514274</v>
      </c>
      <c r="BD35" s="828"/>
      <c r="BE35" s="855"/>
      <c r="BF35" s="516">
        <f>(BG24+BG29)/(BE24+BE29)/6*1000</f>
        <v>23259.453781512606</v>
      </c>
      <c r="BG35" s="517"/>
      <c r="BH35" s="829">
        <f t="shared" si="13"/>
        <v>0.90986193120156444</v>
      </c>
      <c r="BI35" s="855"/>
      <c r="BJ35" s="516">
        <f>(BK24+BK29)/(BI24+BI29)/9*1000</f>
        <v>23705.234159779615</v>
      </c>
      <c r="BK35" s="517"/>
      <c r="BL35" s="829">
        <f t="shared" si="14"/>
        <v>0.9260582075023539</v>
      </c>
      <c r="BM35" s="1548"/>
      <c r="BN35" s="516">
        <f>(BO24+BO29)/(BM24+BM29)/3*1000</f>
        <v>25577.083333333336</v>
      </c>
      <c r="BO35" s="1548"/>
      <c r="BP35" s="830"/>
      <c r="BQ35" s="516">
        <f>(BR24+BR29)/(BP24+BP29)/12*1000</f>
        <v>28120.089743589746</v>
      </c>
      <c r="BR35" s="515"/>
      <c r="BS35" s="829">
        <f t="shared" si="17"/>
        <v>1.0985270057756791</v>
      </c>
      <c r="BT35" s="830"/>
      <c r="BU35" s="516">
        <f>(BV24+BV29)/(BT24+BT29)/12*1000</f>
        <v>27456.077812229923</v>
      </c>
      <c r="BV35" s="515"/>
      <c r="BW35" s="829">
        <f t="shared" si="18"/>
        <v>1.0725870089475285</v>
      </c>
      <c r="BX35" s="1295">
        <f t="shared" si="23"/>
        <v>1.1582285003880839</v>
      </c>
      <c r="BY35" s="5301"/>
      <c r="BZ35" s="5302"/>
      <c r="CA35" s="5302"/>
      <c r="CB35" s="5303"/>
    </row>
    <row r="36" spans="1:80" ht="37.5" customHeight="1" x14ac:dyDescent="0.2">
      <c r="A36" s="5313" t="s">
        <v>247</v>
      </c>
      <c r="B36" s="5314"/>
      <c r="C36" s="1549"/>
      <c r="D36" s="1550"/>
      <c r="E36" s="1550"/>
      <c r="F36" s="1550"/>
      <c r="G36" s="1550"/>
      <c r="H36" s="1550"/>
      <c r="I36" s="1550"/>
      <c r="J36" s="1550"/>
      <c r="K36" s="1550"/>
      <c r="L36" s="1518"/>
      <c r="M36" s="1551"/>
      <c r="N36" s="1552">
        <f>N24</f>
        <v>25754.516129032254</v>
      </c>
      <c r="O36" s="1550"/>
      <c r="P36" s="1529">
        <f>N36/AM8</f>
        <v>2.7583455187985857</v>
      </c>
      <c r="Q36" s="1549"/>
      <c r="R36" s="5311"/>
      <c r="S36" s="1551"/>
      <c r="T36" s="1552">
        <f>T24</f>
        <v>9859.8122849032261</v>
      </c>
      <c r="U36" s="1550"/>
      <c r="V36" s="1348">
        <f>T36/AM8</f>
        <v>1.056</v>
      </c>
      <c r="W36" s="1505"/>
      <c r="X36" s="1553"/>
      <c r="Y36" s="1552">
        <f>Y24</f>
        <v>21580.822040944742</v>
      </c>
      <c r="Z36" s="1523"/>
      <c r="AA36" s="1519">
        <f>Y36/T36</f>
        <v>2.1887660147433077</v>
      </c>
      <c r="AB36" s="1549"/>
      <c r="AC36" s="1550"/>
      <c r="AD36" s="1550"/>
      <c r="AE36" s="1550"/>
      <c r="AF36" s="1550"/>
      <c r="AG36" s="1550"/>
      <c r="AH36" s="1550"/>
      <c r="AI36" s="1550"/>
      <c r="AJ36" s="1550"/>
      <c r="AK36" s="1518"/>
      <c r="AL36" s="1553"/>
      <c r="AM36" s="1552">
        <f>AM24</f>
        <v>22609.909909909911</v>
      </c>
      <c r="AN36" s="1523"/>
      <c r="AO36" s="1519">
        <f>AM36/T36</f>
        <v>2.2931379682074575</v>
      </c>
      <c r="AP36" s="1554"/>
      <c r="AQ36" s="1553"/>
      <c r="AR36" s="1552">
        <f>AR24</f>
        <v>22770.326576576579</v>
      </c>
      <c r="AS36" s="1523"/>
      <c r="AT36" s="1514">
        <f t="shared" si="11"/>
        <v>2.3094077167616249</v>
      </c>
      <c r="AU36" s="1551"/>
      <c r="AV36" s="1552">
        <f>AV24</f>
        <v>23460.37634408602</v>
      </c>
      <c r="AW36" s="1550"/>
      <c r="AX36" s="1348">
        <f>AV36/T36</f>
        <v>2.3793938125989671</v>
      </c>
      <c r="AY36" s="1505"/>
      <c r="AZ36" s="1551"/>
      <c r="BA36" s="1552">
        <f>BA24</f>
        <v>23530.113691896189</v>
      </c>
      <c r="BB36" s="1550"/>
      <c r="BC36" s="1529">
        <f>BA36/T36</f>
        <v>2.3864667005805109</v>
      </c>
      <c r="BD36" s="1555"/>
      <c r="BE36" s="1553"/>
      <c r="BF36" s="1552">
        <f>BF24</f>
        <v>22832.175925925923</v>
      </c>
      <c r="BG36" s="1523"/>
      <c r="BH36" s="1514">
        <f t="shared" si="13"/>
        <v>0.9732229181260148</v>
      </c>
      <c r="BI36" s="1553"/>
      <c r="BJ36" s="1552">
        <f>BJ24</f>
        <v>22988.888888888887</v>
      </c>
      <c r="BK36" s="1523"/>
      <c r="BL36" s="1514">
        <f t="shared" si="14"/>
        <v>0.9769986320468268</v>
      </c>
      <c r="BM36" s="1556"/>
      <c r="BN36" s="1552">
        <f>BN24</f>
        <v>24872.602739726019</v>
      </c>
      <c r="BO36" s="1556"/>
      <c r="BP36" s="1551"/>
      <c r="BQ36" s="1552">
        <f>BQ24</f>
        <v>25806.413978494627</v>
      </c>
      <c r="BR36" s="1550"/>
      <c r="BS36" s="1514">
        <f t="shared" si="17"/>
        <v>1.0967398762455789</v>
      </c>
      <c r="BT36" s="1551"/>
      <c r="BU36" s="1552">
        <f>BU24</f>
        <v>26725.298409525822</v>
      </c>
      <c r="BV36" s="1550"/>
      <c r="BW36" s="1514">
        <f t="shared" si="18"/>
        <v>1.1357912995860304</v>
      </c>
      <c r="BX36" s="1295">
        <f t="shared" si="23"/>
        <v>1.1625311052959517</v>
      </c>
      <c r="BY36" s="5301"/>
      <c r="BZ36" s="5302"/>
      <c r="CA36" s="5302"/>
      <c r="CB36" s="5303"/>
    </row>
    <row r="37" spans="1:80" ht="37.5" customHeight="1" thickBot="1" x14ac:dyDescent="0.25">
      <c r="A37" s="518" t="s">
        <v>248</v>
      </c>
      <c r="B37" s="519"/>
      <c r="C37" s="831"/>
      <c r="D37" s="1557"/>
      <c r="E37" s="1557"/>
      <c r="F37" s="1557"/>
      <c r="G37" s="1557"/>
      <c r="H37" s="1557"/>
      <c r="I37" s="1557"/>
      <c r="J37" s="1557"/>
      <c r="K37" s="1557"/>
      <c r="L37" s="1558"/>
      <c r="M37" s="518"/>
      <c r="N37" s="1559">
        <f>N29</f>
        <v>28668.650793650795</v>
      </c>
      <c r="O37" s="1557"/>
      <c r="P37" s="849">
        <f>N37/AM14</f>
        <v>1.2088032234986785</v>
      </c>
      <c r="Q37" s="831"/>
      <c r="R37" s="5312"/>
      <c r="S37" s="518"/>
      <c r="T37" s="1559">
        <f>T29</f>
        <v>25224.382875999996</v>
      </c>
      <c r="U37" s="1557"/>
      <c r="V37" s="1560">
        <f>T37/AM14</f>
        <v>1.0635769206839176</v>
      </c>
      <c r="W37" s="519"/>
      <c r="X37" s="850"/>
      <c r="Y37" s="1559">
        <f>Y29</f>
        <v>22836.666666666668</v>
      </c>
      <c r="Z37" s="1561"/>
      <c r="AA37" s="851">
        <f>Y37/T37</f>
        <v>0.90534094645363372</v>
      </c>
      <c r="AB37" s="831"/>
      <c r="AC37" s="1557"/>
      <c r="AD37" s="1557"/>
      <c r="AE37" s="1557"/>
      <c r="AF37" s="1557"/>
      <c r="AG37" s="1557"/>
      <c r="AH37" s="1557"/>
      <c r="AI37" s="1557"/>
      <c r="AJ37" s="1557"/>
      <c r="AK37" s="1558"/>
      <c r="AL37" s="850"/>
      <c r="AM37" s="1559">
        <f>AM29</f>
        <v>23876.59574468085</v>
      </c>
      <c r="AN37" s="1561"/>
      <c r="AO37" s="851">
        <f>AM37/T37</f>
        <v>0.94656808303518447</v>
      </c>
      <c r="AP37" s="825"/>
      <c r="AQ37" s="850"/>
      <c r="AR37" s="1559">
        <f>AR29</f>
        <v>24074.734042553187</v>
      </c>
      <c r="AS37" s="1561"/>
      <c r="AT37" s="1562">
        <f t="shared" si="11"/>
        <v>0.95442311357632248</v>
      </c>
      <c r="AU37" s="518"/>
      <c r="AV37" s="1559">
        <f>AV29</f>
        <v>28668.650793650795</v>
      </c>
      <c r="AW37" s="1557"/>
      <c r="AX37" s="1560">
        <f>AV37/T37</f>
        <v>1.1365451806921265</v>
      </c>
      <c r="AY37" s="519"/>
      <c r="AZ37" s="518"/>
      <c r="BA37" s="1559">
        <f>BA29</f>
        <v>28763.121622082414</v>
      </c>
      <c r="BB37" s="1557"/>
      <c r="BC37" s="849">
        <f>BA37/T37</f>
        <v>1.1402903993123807</v>
      </c>
      <c r="BD37" s="826"/>
      <c r="BE37" s="850"/>
      <c r="BF37" s="1559">
        <f>BF29</f>
        <v>23914.007092198586</v>
      </c>
      <c r="BG37" s="1561"/>
      <c r="BH37" s="1562">
        <f t="shared" si="13"/>
        <v>0.83415181496768542</v>
      </c>
      <c r="BI37" s="850"/>
      <c r="BJ37" s="1559">
        <f>BJ29</f>
        <v>24833.096926713952</v>
      </c>
      <c r="BK37" s="1561"/>
      <c r="BL37" s="1562">
        <f t="shared" si="14"/>
        <v>0.86336584926334103</v>
      </c>
      <c r="BM37" s="1563"/>
      <c r="BN37" s="1559">
        <f>BN29</f>
        <v>26671.27659574469</v>
      </c>
      <c r="BO37" s="1563"/>
      <c r="BP37" s="518"/>
      <c r="BQ37" s="1559">
        <f>BQ29</f>
        <v>31535.515873015873</v>
      </c>
      <c r="BR37" s="1557"/>
      <c r="BS37" s="1562">
        <f t="shared" si="17"/>
        <v>1.0963871128926772</v>
      </c>
      <c r="BT37" s="518"/>
      <c r="BU37" s="1559">
        <f>BU29</f>
        <v>28606.666659040642</v>
      </c>
      <c r="BV37" s="1557"/>
      <c r="BW37" s="1562">
        <f t="shared" si="18"/>
        <v>0.99456057082060056</v>
      </c>
      <c r="BX37" s="1295">
        <f t="shared" si="23"/>
        <v>1.1519572747395559</v>
      </c>
      <c r="BY37" s="5304"/>
      <c r="BZ37" s="5305"/>
      <c r="CA37" s="5305"/>
      <c r="CB37" s="5306"/>
    </row>
    <row r="40" spans="1:80" ht="50.25" customHeight="1" x14ac:dyDescent="0.3">
      <c r="A40" s="5272" t="s">
        <v>1024</v>
      </c>
      <c r="B40" s="5272"/>
      <c r="C40" s="5272"/>
      <c r="D40" s="5272"/>
      <c r="E40" s="5272"/>
      <c r="F40" s="5272"/>
      <c r="G40" s="5272"/>
      <c r="H40" s="5272"/>
      <c r="I40" s="5272"/>
      <c r="J40" s="5272"/>
      <c r="K40" s="5272"/>
      <c r="L40" s="5272"/>
      <c r="M40" s="5272"/>
      <c r="N40" s="5272"/>
      <c r="O40" s="5272"/>
      <c r="P40" s="5272"/>
      <c r="Q40" s="5272"/>
      <c r="R40" s="5272"/>
      <c r="S40" s="5272"/>
      <c r="T40" s="5272"/>
      <c r="U40" s="5272"/>
      <c r="V40" s="5272"/>
      <c r="W40" s="5272"/>
      <c r="X40" s="5272"/>
      <c r="Y40" s="5272"/>
      <c r="Z40" s="5272"/>
      <c r="AA40" s="5272"/>
      <c r="AB40" s="5272"/>
      <c r="AC40" s="5272"/>
      <c r="AD40" s="5272"/>
      <c r="AE40" s="5272"/>
      <c r="AF40" s="5272"/>
      <c r="AG40" s="5272"/>
      <c r="AH40" s="5272"/>
      <c r="AI40" s="5272"/>
      <c r="AJ40" s="5272"/>
      <c r="AK40" s="5272"/>
      <c r="AL40" s="5272"/>
      <c r="AM40" s="5272"/>
      <c r="AN40" s="5272"/>
      <c r="AO40" s="5272"/>
      <c r="AP40" s="5272"/>
      <c r="AQ40" s="5272"/>
      <c r="AR40" s="5272"/>
      <c r="AS40" s="5272"/>
      <c r="AT40" s="5272"/>
      <c r="AU40" s="5272"/>
      <c r="AV40" s="5272"/>
      <c r="AW40" s="5272"/>
      <c r="AX40" s="5272"/>
      <c r="AY40" s="5272"/>
      <c r="AZ40" s="5272"/>
      <c r="BA40" s="5272"/>
      <c r="BB40" s="5272"/>
      <c r="BC40" s="5272"/>
      <c r="BD40" s="5272"/>
      <c r="BE40" s="5272"/>
      <c r="BF40" s="5272"/>
      <c r="BG40" s="5272"/>
      <c r="BH40" s="5272"/>
      <c r="BI40" s="5272"/>
      <c r="BJ40" s="5272"/>
      <c r="BK40" s="5272"/>
      <c r="BL40" s="5272"/>
      <c r="BM40" s="5272"/>
      <c r="BN40" s="5272"/>
      <c r="BO40" s="5272"/>
      <c r="BP40" s="5272"/>
      <c r="BQ40" s="5272"/>
      <c r="BR40" s="5272"/>
      <c r="BS40" s="5272"/>
      <c r="BT40" s="5272"/>
      <c r="BU40" s="5272"/>
      <c r="BV40" s="5272"/>
      <c r="BW40" s="5272"/>
      <c r="BX40" s="5272"/>
      <c r="BY40" s="5272"/>
      <c r="BZ40" s="5272"/>
      <c r="CA40" s="5272"/>
      <c r="CB40" s="5272"/>
    </row>
    <row r="47" spans="1:80" x14ac:dyDescent="0.2">
      <c r="BJ47" s="1293"/>
    </row>
  </sheetData>
  <mergeCells count="50">
    <mergeCell ref="BY24:CB37"/>
    <mergeCell ref="A34:BX34"/>
    <mergeCell ref="A35:B35"/>
    <mergeCell ref="R35:R37"/>
    <mergeCell ref="A36:B36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AU20:BO20"/>
    <mergeCell ref="BP20:BX20"/>
    <mergeCell ref="BY20:CB23"/>
    <mergeCell ref="C21:E22"/>
    <mergeCell ref="F21:H22"/>
    <mergeCell ref="I21:L21"/>
    <mergeCell ref="M21:Q22"/>
    <mergeCell ref="BA4:BC5"/>
    <mergeCell ref="BD4:BD6"/>
    <mergeCell ref="AG5:AG6"/>
    <mergeCell ref="AH5:AI5"/>
    <mergeCell ref="AJ5:AK5"/>
    <mergeCell ref="AU4:AW5"/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46"/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337</v>
      </c>
    </row>
    <row r="6" spans="1:5" x14ac:dyDescent="0.2">
      <c r="A6" s="5" t="s">
        <v>612</v>
      </c>
    </row>
    <row r="7" spans="1:5" x14ac:dyDescent="0.2">
      <c r="A7" s="5" t="s">
        <v>3496</v>
      </c>
    </row>
    <row r="8" spans="1:5" x14ac:dyDescent="0.2">
      <c r="A8" s="5" t="s">
        <v>3497</v>
      </c>
    </row>
    <row r="11" spans="1:5" x14ac:dyDescent="0.2">
      <c r="B11" s="4474" t="s">
        <v>1850</v>
      </c>
      <c r="C11" s="4474"/>
      <c r="D11" s="4474"/>
      <c r="E11" s="4474"/>
    </row>
    <row r="12" spans="1:5" x14ac:dyDescent="0.2">
      <c r="B12" s="4474" t="s">
        <v>1851</v>
      </c>
      <c r="C12" s="4474"/>
      <c r="D12" s="4474" t="s">
        <v>1852</v>
      </c>
      <c r="E12" s="4474"/>
    </row>
    <row r="13" spans="1:5" x14ac:dyDescent="0.2">
      <c r="B13" s="2378" t="s">
        <v>361</v>
      </c>
      <c r="C13" s="2378" t="s">
        <v>1021</v>
      </c>
      <c r="D13" s="2378" t="s">
        <v>361</v>
      </c>
      <c r="E13" s="2378" t="s">
        <v>1021</v>
      </c>
    </row>
    <row r="14" spans="1:5" x14ac:dyDescent="0.2">
      <c r="A14" s="5" t="s">
        <v>347</v>
      </c>
    </row>
    <row r="15" spans="1:5" x14ac:dyDescent="0.2">
      <c r="A15" s="5" t="s">
        <v>151</v>
      </c>
      <c r="B15" s="5">
        <f>SUM(B16:B19)</f>
        <v>21</v>
      </c>
      <c r="C15" s="2390">
        <f>(B16*C16+B17*C17+B18*C18+B19*C19)/B15</f>
        <v>3.3333333333333335</v>
      </c>
      <c r="D15" s="5">
        <f>SUM(D16:D19)</f>
        <v>21</v>
      </c>
      <c r="E15" s="2390">
        <f>(D16*E16+D17*E17+D18*E18+D19*E19)/D15</f>
        <v>3.0952380952380953</v>
      </c>
    </row>
    <row r="16" spans="1:5" x14ac:dyDescent="0.2">
      <c r="A16" s="5" t="s">
        <v>3498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3498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3498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1967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3499</v>
      </c>
      <c r="B20" s="5">
        <f>SUM(B21:B33)</f>
        <v>47</v>
      </c>
      <c r="C20" s="2390">
        <f>(B21*C21+B22*C22+B23*C23+B24*C24+B25*C25+B26*C26+B27*C27+B28*C28+B29*C29+B30*C30+B31*C31+B32*C32+B33*C33)/B20</f>
        <v>3.2765957446808511</v>
      </c>
      <c r="D20" s="5">
        <f>SUM(D21:D33)</f>
        <v>47</v>
      </c>
      <c r="E20" s="2390">
        <f>(D21*E21+D22*E22+D23*E23+D24*E24+D25*E25+D26*E26+D27*E27+D28*E28+D29*E29+D30*E30+D31*E31+D32*E32+D33*E33)/D20</f>
        <v>3.1063829787234041</v>
      </c>
    </row>
    <row r="21" spans="1:5" x14ac:dyDescent="0.2">
      <c r="A21" s="5" t="s">
        <v>3500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3501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3502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3502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1967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1967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3500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3503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3504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3505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3505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3506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3507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3508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47">
    <tabColor rgb="FFFFFF00"/>
    <pageSetUpPr fitToPage="1"/>
  </sheetPr>
  <dimension ref="A1:AE76"/>
  <sheetViews>
    <sheetView workbookViewId="0">
      <selection activeCell="Z21" sqref="Z21"/>
    </sheetView>
  </sheetViews>
  <sheetFormatPr defaultRowHeight="12.75" x14ac:dyDescent="0.2"/>
  <cols>
    <col min="1" max="1" width="19.140625" style="5" customWidth="1"/>
    <col min="2" max="4" width="8.7109375" style="2106" customWidth="1"/>
    <col min="5" max="5" width="8.7109375" style="2231" customWidth="1"/>
    <col min="6" max="7" width="8.7109375" style="2501" customWidth="1"/>
    <col min="8" max="18" width="8.7109375" style="2231" customWidth="1"/>
    <col min="19" max="19" width="10.7109375" style="2501" customWidth="1"/>
    <col min="20" max="20" width="11.140625" style="2764" customWidth="1"/>
    <col min="21" max="23" width="9.5703125" style="2581" customWidth="1"/>
    <col min="24" max="24" width="15.42578125" style="2231" hidden="1" customWidth="1"/>
    <col min="25" max="25" width="12.42578125" style="3500" customWidth="1"/>
    <col min="26" max="26" width="13" style="3500" customWidth="1"/>
    <col min="27" max="29" width="9.5703125" style="3912" customWidth="1"/>
    <col min="30" max="30" width="13" style="3912" customWidth="1"/>
    <col min="31" max="16384" width="9.140625" style="5"/>
  </cols>
  <sheetData>
    <row r="1" spans="1:31" ht="18.75" customHeight="1" x14ac:dyDescent="0.3">
      <c r="A1" s="5316" t="s">
        <v>3915</v>
      </c>
      <c r="B1" s="4242"/>
      <c r="C1" s="4242"/>
      <c r="D1" s="4242"/>
      <c r="E1" s="4242"/>
      <c r="F1" s="4242"/>
      <c r="G1" s="4242"/>
      <c r="H1" s="4242"/>
      <c r="I1" s="4242"/>
      <c r="J1" s="4242"/>
      <c r="K1" s="4242"/>
      <c r="L1" s="4242"/>
      <c r="M1" s="4242"/>
      <c r="N1" s="4242"/>
      <c r="O1" s="4242"/>
      <c r="P1" s="4242"/>
      <c r="Q1" s="4242"/>
      <c r="R1" s="4242"/>
      <c r="S1" s="4242"/>
      <c r="T1" s="4242"/>
      <c r="U1" s="4242"/>
      <c r="V1" s="4242"/>
      <c r="W1" s="4242"/>
      <c r="X1" s="4242"/>
      <c r="Y1" s="4242"/>
      <c r="Z1" s="4242"/>
      <c r="AA1" s="4242"/>
      <c r="AB1" s="4242"/>
      <c r="AC1" s="4242"/>
      <c r="AD1" s="3911"/>
    </row>
    <row r="4" spans="1:31" x14ac:dyDescent="0.2">
      <c r="A4" s="4487" t="s">
        <v>527</v>
      </c>
      <c r="B4" s="4476" t="s">
        <v>648</v>
      </c>
      <c r="C4" s="4476"/>
      <c r="D4" s="4487" t="s">
        <v>2041</v>
      </c>
      <c r="E4" s="4487"/>
      <c r="F4" s="4487" t="s">
        <v>3552</v>
      </c>
      <c r="G4" s="4487"/>
      <c r="H4" s="3504" t="s">
        <v>1802</v>
      </c>
      <c r="I4" s="3504" t="s">
        <v>1808</v>
      </c>
      <c r="J4" s="3504" t="s">
        <v>1809</v>
      </c>
      <c r="K4" s="3504" t="s">
        <v>1810</v>
      </c>
      <c r="L4" s="3504" t="s">
        <v>1811</v>
      </c>
      <c r="M4" s="3504" t="s">
        <v>1802</v>
      </c>
      <c r="N4" s="3504" t="s">
        <v>1808</v>
      </c>
      <c r="O4" s="3504" t="s">
        <v>1809</v>
      </c>
      <c r="P4" s="3504" t="s">
        <v>1810</v>
      </c>
      <c r="Q4" s="3504" t="s">
        <v>1811</v>
      </c>
      <c r="R4" s="3504" t="s">
        <v>1812</v>
      </c>
      <c r="S4" s="4487" t="s">
        <v>3694</v>
      </c>
      <c r="T4" s="5317"/>
      <c r="U4" s="5015" t="s">
        <v>3648</v>
      </c>
      <c r="V4" s="5015" t="s">
        <v>3649</v>
      </c>
      <c r="W4" s="5015" t="s">
        <v>3650</v>
      </c>
      <c r="X4" s="4487" t="s">
        <v>237</v>
      </c>
      <c r="Y4" s="4487" t="s">
        <v>3888</v>
      </c>
      <c r="Z4" s="5317"/>
      <c r="AA4" s="5015" t="s">
        <v>3943</v>
      </c>
      <c r="AB4" s="5015" t="s">
        <v>3944</v>
      </c>
      <c r="AC4" s="5015" t="s">
        <v>3953</v>
      </c>
      <c r="AD4" s="3947"/>
    </row>
    <row r="5" spans="1:31" ht="24.75" customHeight="1" x14ac:dyDescent="0.2">
      <c r="A5" s="4487"/>
      <c r="B5" s="3501" t="s">
        <v>1588</v>
      </c>
      <c r="C5" s="3501" t="s">
        <v>60</v>
      </c>
      <c r="D5" s="3501" t="s">
        <v>1588</v>
      </c>
      <c r="E5" s="3504" t="s">
        <v>60</v>
      </c>
      <c r="F5" s="3501" t="s">
        <v>1588</v>
      </c>
      <c r="G5" s="3504" t="s">
        <v>60</v>
      </c>
      <c r="H5" s="4487" t="s">
        <v>119</v>
      </c>
      <c r="I5" s="4487"/>
      <c r="J5" s="4487"/>
      <c r="K5" s="4487"/>
      <c r="L5" s="4487"/>
      <c r="M5" s="4487" t="s">
        <v>1524</v>
      </c>
      <c r="N5" s="4487"/>
      <c r="O5" s="4487"/>
      <c r="P5" s="4487"/>
      <c r="Q5" s="4487"/>
      <c r="R5" s="4487"/>
      <c r="S5" s="3504" t="s">
        <v>3706</v>
      </c>
      <c r="T5" s="3504" t="s">
        <v>1902</v>
      </c>
      <c r="U5" s="5315"/>
      <c r="V5" s="5315"/>
      <c r="W5" s="5315"/>
      <c r="X5" s="4487"/>
      <c r="Y5" s="3504" t="s">
        <v>3706</v>
      </c>
      <c r="Z5" s="3504" t="s">
        <v>1902</v>
      </c>
      <c r="AA5" s="5315"/>
      <c r="AB5" s="5315"/>
      <c r="AC5" s="5315"/>
      <c r="AD5" s="3946"/>
    </row>
    <row r="6" spans="1:31" x14ac:dyDescent="0.2">
      <c r="A6" s="2601" t="s">
        <v>95</v>
      </c>
      <c r="B6" s="3312"/>
      <c r="C6" s="3312"/>
      <c r="D6" s="3312"/>
      <c r="E6" s="3511"/>
      <c r="F6" s="3312"/>
      <c r="G6" s="3511"/>
      <c r="H6" s="3511"/>
      <c r="I6" s="3511"/>
      <c r="J6" s="3511"/>
      <c r="K6" s="3511"/>
      <c r="L6" s="3511"/>
      <c r="M6" s="3511"/>
      <c r="N6" s="3511"/>
      <c r="O6" s="3511"/>
      <c r="P6" s="3511"/>
      <c r="Q6" s="3511"/>
      <c r="R6" s="3511"/>
      <c r="S6" s="3511"/>
      <c r="T6" s="3511"/>
      <c r="U6" s="3511"/>
      <c r="V6" s="3511"/>
      <c r="W6" s="3511"/>
      <c r="X6" s="3511"/>
      <c r="Y6" s="3515"/>
      <c r="Z6" s="4082"/>
      <c r="AA6" s="3515"/>
      <c r="AB6" s="3515"/>
      <c r="AC6" s="3459"/>
      <c r="AD6" s="2458"/>
    </row>
    <row r="7" spans="1:31" x14ac:dyDescent="0.2">
      <c r="A7" s="2601" t="s">
        <v>46</v>
      </c>
      <c r="B7" s="3533">
        <f>'вода 2019-2021 коррект'!F17</f>
        <v>216.27343999999999</v>
      </c>
      <c r="C7" s="2225">
        <f>'вода 2019-2021 коррект'!H17</f>
        <v>128.16</v>
      </c>
      <c r="D7" s="2225">
        <f>B7</f>
        <v>216.27343999999999</v>
      </c>
      <c r="E7" s="3512">
        <f>'вода 2019-2021 коррект'!L17</f>
        <v>156.02000000000001</v>
      </c>
      <c r="F7" s="2225">
        <v>82.14</v>
      </c>
      <c r="G7" s="2606">
        <f>SUM(G9:G12)</f>
        <v>136.50051999999999</v>
      </c>
      <c r="H7" s="3512">
        <f>'вода 2019-2021 коррект'!R17</f>
        <v>222.75</v>
      </c>
      <c r="I7" s="3512">
        <f>'вода 2019-2021 коррект'!S17</f>
        <v>229.44</v>
      </c>
      <c r="J7" s="3512">
        <f>'вода 2019-2021 коррект'!T17</f>
        <v>236.32</v>
      </c>
      <c r="K7" s="3512">
        <f>'вода 2019-2021 коррект'!U17</f>
        <v>243.41</v>
      </c>
      <c r="L7" s="3512">
        <f>'вода 2019-2021 коррект'!V17</f>
        <v>250.71</v>
      </c>
      <c r="M7" s="2127">
        <f>D37/1000</f>
        <v>63.916885499999999</v>
      </c>
      <c r="N7" s="2127">
        <f>M7*1.034</f>
        <v>66.090059607000001</v>
      </c>
      <c r="O7" s="2127">
        <f>N7*1.04</f>
        <v>68.733661991280002</v>
      </c>
      <c r="P7" s="2127">
        <f t="shared" ref="P7:R13" si="0">O7*1.04</f>
        <v>71.48300847093121</v>
      </c>
      <c r="Q7" s="2127">
        <f t="shared" si="0"/>
        <v>74.34232880976846</v>
      </c>
      <c r="R7" s="2127">
        <f t="shared" si="0"/>
        <v>77.316021962159198</v>
      </c>
      <c r="S7" s="2606">
        <f>SUM(S9:S12)</f>
        <v>147.08531632288</v>
      </c>
      <c r="T7" s="2606">
        <f>128.069*1.047*1.03</f>
        <v>138.11089028999999</v>
      </c>
      <c r="U7" s="2606">
        <f>SUM(U9+U12)</f>
        <v>44.824379999999998</v>
      </c>
      <c r="V7" s="2606">
        <f>SUM(V9+V12)</f>
        <v>67.213049999999996</v>
      </c>
      <c r="W7" s="2606">
        <f>SUM(W9+W12)</f>
        <v>89.509</v>
      </c>
      <c r="X7" s="3511"/>
      <c r="Y7" s="2506">
        <f>SUM(T7)</f>
        <v>138.11089028999999</v>
      </c>
      <c r="Z7" s="4064">
        <f>SUM(Z9)</f>
        <v>86.286980999999997</v>
      </c>
      <c r="AA7" s="2506">
        <f>SUM(AA9+AA12)</f>
        <v>65.471580000000003</v>
      </c>
      <c r="AB7" s="2506">
        <f>SUM(AB9+AB12)</f>
        <v>98.133319999999998</v>
      </c>
      <c r="AC7" s="4014">
        <f>SUM(AC9+AC12)</f>
        <v>89.509</v>
      </c>
      <c r="AD7" s="3948"/>
    </row>
    <row r="8" spans="1:31" x14ac:dyDescent="0.2">
      <c r="A8" s="2601" t="s">
        <v>50</v>
      </c>
      <c r="B8" s="3533"/>
      <c r="C8" s="2225"/>
      <c r="D8" s="2225"/>
      <c r="E8" s="3512"/>
      <c r="F8" s="2225"/>
      <c r="G8" s="2606"/>
      <c r="H8" s="3512"/>
      <c r="I8" s="3512"/>
      <c r="J8" s="3512"/>
      <c r="K8" s="3512"/>
      <c r="L8" s="3512"/>
      <c r="M8" s="2127"/>
      <c r="N8" s="2127"/>
      <c r="O8" s="2127"/>
      <c r="P8" s="2127"/>
      <c r="Q8" s="2127"/>
      <c r="R8" s="2127"/>
      <c r="S8" s="2127"/>
      <c r="T8" s="2127"/>
      <c r="U8" s="2127"/>
      <c r="V8" s="2127"/>
      <c r="W8" s="2127"/>
      <c r="X8" s="3511"/>
      <c r="Y8" s="2507"/>
      <c r="Z8" s="4080"/>
      <c r="AA8" s="2507"/>
      <c r="AB8" s="2507"/>
      <c r="AC8" s="4013"/>
      <c r="AD8" s="3949"/>
    </row>
    <row r="9" spans="1:31" s="1873" customFormat="1" x14ac:dyDescent="0.2">
      <c r="A9" s="3371" t="s">
        <v>3666</v>
      </c>
      <c r="B9" s="3534"/>
      <c r="C9" s="3461"/>
      <c r="D9" s="3461"/>
      <c r="E9" s="2697"/>
      <c r="F9" s="3461"/>
      <c r="G9" s="2606">
        <v>136.5</v>
      </c>
      <c r="H9" s="2697"/>
      <c r="I9" s="2697"/>
      <c r="J9" s="2697"/>
      <c r="K9" s="2697"/>
      <c r="L9" s="2697"/>
      <c r="M9" s="3535">
        <f>вода!BW59</f>
        <v>63.885995088205725</v>
      </c>
      <c r="N9" s="2127">
        <f>M9*1.034</f>
        <v>66.058118921204724</v>
      </c>
      <c r="O9" s="2127">
        <f t="shared" ref="O9:R9" si="1">N9*1.04</f>
        <v>68.70044367805292</v>
      </c>
      <c r="P9" s="2127">
        <f t="shared" si="1"/>
        <v>71.44846142517504</v>
      </c>
      <c r="Q9" s="2127">
        <f t="shared" si="1"/>
        <v>74.306399882182049</v>
      </c>
      <c r="R9" s="2127">
        <f t="shared" si="1"/>
        <v>77.278655877469333</v>
      </c>
      <c r="S9" s="2608">
        <f>SUM(G9*1.0361*1.04)</f>
        <v>147.084756</v>
      </c>
      <c r="T9" s="2608"/>
      <c r="U9" s="2608">
        <f>SUM(U10:U11)</f>
        <v>44.822929999999999</v>
      </c>
      <c r="V9" s="2608">
        <f>SUM(V10:V11)</f>
        <v>67.210719999999995</v>
      </c>
      <c r="W9" s="2608">
        <f>SUM(W10:W11)</f>
        <v>89.506</v>
      </c>
      <c r="X9" s="2697"/>
      <c r="Y9" s="2508">
        <f>SUM(Y7)</f>
        <v>138.11089028999999</v>
      </c>
      <c r="Z9" s="4128">
        <v>86.286980999999997</v>
      </c>
      <c r="AA9" s="2508">
        <f>SUM(AA10:AA11)</f>
        <v>65.468450000000004</v>
      </c>
      <c r="AB9" s="2508">
        <f>SUM(AB10:AB11)</f>
        <v>98.12679</v>
      </c>
      <c r="AC9" s="4015">
        <f>SUM(AC10:AC11)</f>
        <v>89.506</v>
      </c>
      <c r="AD9" s="3950"/>
      <c r="AE9" s="2269">
        <f>имущество!O34</f>
        <v>0.99971703324065575</v>
      </c>
    </row>
    <row r="10" spans="1:31" s="1873" customFormat="1" x14ac:dyDescent="0.2">
      <c r="A10" s="3536" t="s">
        <v>3667</v>
      </c>
      <c r="B10" s="3534"/>
      <c r="C10" s="3461"/>
      <c r="D10" s="3461"/>
      <c r="E10" s="2697"/>
      <c r="F10" s="3461"/>
      <c r="G10" s="2606"/>
      <c r="H10" s="2697"/>
      <c r="I10" s="2697"/>
      <c r="J10" s="2697"/>
      <c r="K10" s="2697"/>
      <c r="L10" s="2697"/>
      <c r="M10" s="3535"/>
      <c r="N10" s="2127"/>
      <c r="O10" s="2127"/>
      <c r="P10" s="2127"/>
      <c r="Q10" s="2127"/>
      <c r="R10" s="2127"/>
      <c r="S10" s="2608"/>
      <c r="T10" s="2608"/>
      <c r="U10" s="2672">
        <v>40.353000000000002</v>
      </c>
      <c r="V10" s="2672">
        <v>60.529499999999999</v>
      </c>
      <c r="W10" s="2672">
        <v>80.706000000000003</v>
      </c>
      <c r="X10" s="2697"/>
      <c r="Y10" s="2508"/>
      <c r="Z10" s="4128"/>
      <c r="AA10" s="3976">
        <v>52.128</v>
      </c>
      <c r="AB10" s="3976">
        <v>78.191999999999993</v>
      </c>
      <c r="AC10" s="4016">
        <v>80.706000000000003</v>
      </c>
      <c r="AD10" s="3950"/>
      <c r="AE10" s="2269"/>
    </row>
    <row r="11" spans="1:31" s="1873" customFormat="1" x14ac:dyDescent="0.2">
      <c r="A11" s="3536" t="s">
        <v>3668</v>
      </c>
      <c r="B11" s="3534"/>
      <c r="C11" s="3461"/>
      <c r="D11" s="3461"/>
      <c r="E11" s="2697"/>
      <c r="F11" s="3461"/>
      <c r="G11" s="2606"/>
      <c r="H11" s="2697"/>
      <c r="I11" s="2697"/>
      <c r="J11" s="2697"/>
      <c r="K11" s="2697"/>
      <c r="L11" s="2697"/>
      <c r="M11" s="3535"/>
      <c r="N11" s="2127"/>
      <c r="O11" s="2127"/>
      <c r="P11" s="2127"/>
      <c r="Q11" s="2127"/>
      <c r="R11" s="2127"/>
      <c r="S11" s="2608"/>
      <c r="T11" s="2608"/>
      <c r="U11" s="2672">
        <v>4.4699299999999997</v>
      </c>
      <c r="V11" s="2672">
        <v>6.6812199999999997</v>
      </c>
      <c r="W11" s="2672">
        <v>8.8000000000000007</v>
      </c>
      <c r="X11" s="2697"/>
      <c r="Y11" s="2508"/>
      <c r="Z11" s="4128"/>
      <c r="AA11" s="3976">
        <v>13.340450000000001</v>
      </c>
      <c r="AB11" s="3976">
        <v>19.93479</v>
      </c>
      <c r="AC11" s="4016">
        <v>8.8000000000000007</v>
      </c>
      <c r="AD11" s="3950"/>
      <c r="AE11" s="2269"/>
    </row>
    <row r="12" spans="1:31" s="1873" customFormat="1" x14ac:dyDescent="0.2">
      <c r="A12" s="3371" t="s">
        <v>3669</v>
      </c>
      <c r="B12" s="3534"/>
      <c r="C12" s="3461"/>
      <c r="D12" s="3461"/>
      <c r="E12" s="2697"/>
      <c r="F12" s="3461"/>
      <c r="G12" s="2607">
        <v>5.1999999999999995E-4</v>
      </c>
      <c r="H12" s="2697"/>
      <c r="I12" s="2697"/>
      <c r="J12" s="2697"/>
      <c r="K12" s="2697"/>
      <c r="L12" s="2697"/>
      <c r="M12" s="3535">
        <f>вода!BX59</f>
        <v>3.0890411794274542E-2</v>
      </c>
      <c r="N12" s="2127">
        <f>M12*1.034</f>
        <v>3.194068579527988E-2</v>
      </c>
      <c r="O12" s="2127">
        <f t="shared" ref="O12:R12" si="2">N12*1.04</f>
        <v>3.3218313227091074E-2</v>
      </c>
      <c r="P12" s="2127">
        <f t="shared" si="2"/>
        <v>3.4547045756174719E-2</v>
      </c>
      <c r="Q12" s="2127">
        <f t="shared" si="2"/>
        <v>3.5928927586421709E-2</v>
      </c>
      <c r="R12" s="2127">
        <f t="shared" si="2"/>
        <v>3.7366084689878579E-2</v>
      </c>
      <c r="S12" s="2609">
        <f>SUM(G12*1.0361*1.04)</f>
        <v>5.6032287999999999E-4</v>
      </c>
      <c r="T12" s="2609"/>
      <c r="U12" s="2609">
        <v>1.4499999999999999E-3</v>
      </c>
      <c r="V12" s="2609">
        <v>2.33E-3</v>
      </c>
      <c r="W12" s="2609">
        <v>3.0000000000000001E-3</v>
      </c>
      <c r="X12" s="3537"/>
      <c r="Y12" s="2509"/>
      <c r="Z12" s="4129"/>
      <c r="AA12" s="2509">
        <v>3.13E-3</v>
      </c>
      <c r="AB12" s="2509">
        <v>6.5300000000000002E-3</v>
      </c>
      <c r="AC12" s="4017">
        <v>3.0000000000000001E-3</v>
      </c>
      <c r="AD12" s="3951"/>
      <c r="AE12" s="2269">
        <f>имущество!O35</f>
        <v>2.8296675934412632E-4</v>
      </c>
    </row>
    <row r="13" spans="1:31" x14ac:dyDescent="0.2">
      <c r="A13" s="2601" t="s">
        <v>2093</v>
      </c>
      <c r="B13" s="3533">
        <f>'стоки 2019-2021'!F16</f>
        <v>152.0548</v>
      </c>
      <c r="C13" s="3533">
        <f>'стоки 2019-2021'!G16</f>
        <v>157.80000000000001</v>
      </c>
      <c r="D13" s="3533">
        <f>B13</f>
        <v>152.0548</v>
      </c>
      <c r="E13" s="3512">
        <f>'стоки 2019-2021'!M16</f>
        <v>165.87</v>
      </c>
      <c r="F13" s="3538">
        <v>65.55</v>
      </c>
      <c r="G13" s="2606">
        <f>SUM(G15:G18)</f>
        <v>92.365989999999996</v>
      </c>
      <c r="H13" s="3512">
        <f>'стоки 2019-2021'!T16</f>
        <v>175.97</v>
      </c>
      <c r="I13" s="3512">
        <f>'стоки 2019-2021'!U16</f>
        <v>181.25</v>
      </c>
      <c r="J13" s="3512">
        <f>'стоки 2019-2021'!V16</f>
        <v>186.68</v>
      </c>
      <c r="K13" s="3512">
        <f>'стоки 2019-2021'!W16</f>
        <v>192.28</v>
      </c>
      <c r="L13" s="3512">
        <f>'стоки 2019-2021'!X16</f>
        <v>198.05</v>
      </c>
      <c r="M13" s="2127">
        <f>D38/1000</f>
        <v>105.48881849999999</v>
      </c>
      <c r="N13" s="2127">
        <f>M13*1.034</f>
        <v>109.07543832899999</v>
      </c>
      <c r="O13" s="2127">
        <f>N13*1.04</f>
        <v>113.43845586216</v>
      </c>
      <c r="P13" s="2127">
        <f t="shared" si="0"/>
        <v>117.9759940966464</v>
      </c>
      <c r="Q13" s="2127">
        <f t="shared" si="0"/>
        <v>122.69503386051227</v>
      </c>
      <c r="R13" s="2127">
        <f t="shared" si="0"/>
        <v>127.60283521493277</v>
      </c>
      <c r="S13" s="2606">
        <f>SUM(S15:S18)</f>
        <v>98.942473800559995</v>
      </c>
      <c r="T13" s="2606">
        <f>86.34*1.047*1.03</f>
        <v>93.10991940000001</v>
      </c>
      <c r="U13" s="2606">
        <f>SUM(U15+U18)</f>
        <v>47.806010000000001</v>
      </c>
      <c r="V13" s="2606">
        <f>SUM(V15+V18)</f>
        <v>71.728929999999991</v>
      </c>
      <c r="W13" s="2606">
        <f>SUM(W15+W18)</f>
        <v>95.605999999999995</v>
      </c>
      <c r="X13" s="3511"/>
      <c r="Y13" s="2506">
        <f>SUM(T13)</f>
        <v>93.10991940000001</v>
      </c>
      <c r="Z13" s="4064">
        <f>SUM(Z16)</f>
        <v>93.109919000000005</v>
      </c>
      <c r="AA13" s="2506">
        <f>SUM(AA15+AA18)</f>
        <v>37.905550000000005</v>
      </c>
      <c r="AB13" s="2506">
        <f>SUM(AB15+AB18)</f>
        <v>56.961390000000002</v>
      </c>
      <c r="AC13" s="4014">
        <f>SUM(AC15+AC18)</f>
        <v>95.605999999999995</v>
      </c>
      <c r="AD13" s="3948"/>
    </row>
    <row r="14" spans="1:31" x14ac:dyDescent="0.2">
      <c r="A14" s="2601" t="s">
        <v>50</v>
      </c>
      <c r="B14" s="3312"/>
      <c r="C14" s="3312"/>
      <c r="D14" s="3312"/>
      <c r="E14" s="3511"/>
      <c r="F14" s="3312"/>
      <c r="G14" s="2606"/>
      <c r="H14" s="3511"/>
      <c r="I14" s="3511"/>
      <c r="J14" s="3511"/>
      <c r="K14" s="3511"/>
      <c r="L14" s="3511"/>
      <c r="M14" s="3511"/>
      <c r="N14" s="3511"/>
      <c r="O14" s="3511"/>
      <c r="P14" s="3511"/>
      <c r="Q14" s="3511"/>
      <c r="R14" s="3511"/>
      <c r="S14" s="3511"/>
      <c r="T14" s="3511"/>
      <c r="U14" s="3511"/>
      <c r="V14" s="3511"/>
      <c r="W14" s="3511"/>
      <c r="X14" s="3511"/>
      <c r="Y14" s="3515"/>
      <c r="Z14" s="4082"/>
      <c r="AA14" s="3515"/>
      <c r="AB14" s="3515"/>
      <c r="AC14" s="3459"/>
      <c r="AD14" s="2458"/>
    </row>
    <row r="15" spans="1:31" x14ac:dyDescent="0.2">
      <c r="A15" s="3371" t="s">
        <v>3670</v>
      </c>
      <c r="B15" s="3312"/>
      <c r="C15" s="3312"/>
      <c r="D15" s="3312"/>
      <c r="E15" s="3511"/>
      <c r="F15" s="3312"/>
      <c r="G15" s="2606">
        <v>92.361999999999995</v>
      </c>
      <c r="H15" s="3511"/>
      <c r="I15" s="3511"/>
      <c r="J15" s="3511"/>
      <c r="K15" s="3511"/>
      <c r="L15" s="3511"/>
      <c r="M15" s="2127">
        <f>M13</f>
        <v>105.48881849999999</v>
      </c>
      <c r="N15" s="2127">
        <f t="shared" ref="N15:R15" si="3">N13</f>
        <v>109.07543832899999</v>
      </c>
      <c r="O15" s="2127">
        <f t="shared" si="3"/>
        <v>113.43845586216</v>
      </c>
      <c r="P15" s="2127">
        <f t="shared" si="3"/>
        <v>117.9759940966464</v>
      </c>
      <c r="Q15" s="2127">
        <f t="shared" si="3"/>
        <v>122.69503386051227</v>
      </c>
      <c r="R15" s="2127">
        <f t="shared" si="3"/>
        <v>127.60283521493277</v>
      </c>
      <c r="S15" s="2608">
        <f>SUM(G15*1.03*1.04)</f>
        <v>98.938174399999994</v>
      </c>
      <c r="T15" s="2608"/>
      <c r="U15" s="2608">
        <f>SUM(U16:U17)</f>
        <v>47.794029999999999</v>
      </c>
      <c r="V15" s="2608">
        <f>SUM(V16:V17)</f>
        <v>71.712869999999995</v>
      </c>
      <c r="W15" s="2608">
        <f>SUM(W16:W17)</f>
        <v>95.585999999999999</v>
      </c>
      <c r="X15" s="3511"/>
      <c r="Y15" s="2508"/>
      <c r="Z15" s="4128"/>
      <c r="AA15" s="2508">
        <f>SUM(AA16:AA17)</f>
        <v>37.875640000000004</v>
      </c>
      <c r="AB15" s="2508">
        <f>SUM(AB16:AB17)</f>
        <v>56.916460000000001</v>
      </c>
      <c r="AC15" s="4015">
        <f>SUM(AC16:AC17)</f>
        <v>95.585999999999999</v>
      </c>
      <c r="AD15" s="3950"/>
    </row>
    <row r="16" spans="1:31" x14ac:dyDescent="0.2">
      <c r="A16" s="3536" t="s">
        <v>3667</v>
      </c>
      <c r="B16" s="3312"/>
      <c r="C16" s="3312"/>
      <c r="D16" s="3312"/>
      <c r="E16" s="3511"/>
      <c r="F16" s="3312"/>
      <c r="G16" s="2606"/>
      <c r="H16" s="3511"/>
      <c r="I16" s="3511"/>
      <c r="J16" s="3511"/>
      <c r="K16" s="3511"/>
      <c r="L16" s="3511"/>
      <c r="M16" s="2127"/>
      <c r="N16" s="2127"/>
      <c r="O16" s="2127"/>
      <c r="P16" s="2127"/>
      <c r="Q16" s="2127"/>
      <c r="R16" s="2127"/>
      <c r="S16" s="2608"/>
      <c r="T16" s="2608"/>
      <c r="U16" s="2672">
        <v>44.8675</v>
      </c>
      <c r="V16" s="2608">
        <v>67.301249999999996</v>
      </c>
      <c r="W16" s="2608">
        <v>89.734999999999999</v>
      </c>
      <c r="X16" s="3511"/>
      <c r="Y16" s="2508">
        <f>SUM(Y13)</f>
        <v>93.10991940000001</v>
      </c>
      <c r="Z16" s="4128">
        <v>93.109919000000005</v>
      </c>
      <c r="AA16" s="3976">
        <v>28.192</v>
      </c>
      <c r="AB16" s="2508">
        <v>42.287999999999997</v>
      </c>
      <c r="AC16" s="4015">
        <v>89.734999999999999</v>
      </c>
      <c r="AD16" s="3950"/>
    </row>
    <row r="17" spans="1:30" x14ac:dyDescent="0.2">
      <c r="A17" s="3536" t="s">
        <v>3668</v>
      </c>
      <c r="B17" s="3312"/>
      <c r="C17" s="3312"/>
      <c r="D17" s="3312"/>
      <c r="E17" s="3511"/>
      <c r="F17" s="3312"/>
      <c r="G17" s="2606"/>
      <c r="H17" s="3511"/>
      <c r="I17" s="3511"/>
      <c r="J17" s="3511"/>
      <c r="K17" s="3511"/>
      <c r="L17" s="3511"/>
      <c r="M17" s="2127"/>
      <c r="N17" s="2127"/>
      <c r="O17" s="2127"/>
      <c r="P17" s="2127"/>
      <c r="Q17" s="2127"/>
      <c r="R17" s="2127"/>
      <c r="S17" s="2608"/>
      <c r="T17" s="2608"/>
      <c r="U17" s="2672">
        <v>2.9265300000000001</v>
      </c>
      <c r="V17" s="2608">
        <v>4.4116200000000001</v>
      </c>
      <c r="W17" s="2608">
        <v>5.851</v>
      </c>
      <c r="X17" s="3511"/>
      <c r="Y17" s="2508"/>
      <c r="Z17" s="4128"/>
      <c r="AA17" s="3976">
        <v>9.6836400000000005</v>
      </c>
      <c r="AB17" s="2508">
        <v>14.62846</v>
      </c>
      <c r="AC17" s="4015">
        <v>5.851</v>
      </c>
      <c r="AD17" s="3950"/>
    </row>
    <row r="18" spans="1:30" x14ac:dyDescent="0.2">
      <c r="A18" s="3371" t="s">
        <v>3671</v>
      </c>
      <c r="B18" s="3312"/>
      <c r="C18" s="3312"/>
      <c r="D18" s="3312"/>
      <c r="E18" s="3511"/>
      <c r="F18" s="3312"/>
      <c r="G18" s="2607">
        <v>3.9899999999999996E-3</v>
      </c>
      <c r="H18" s="3511"/>
      <c r="I18" s="3511"/>
      <c r="J18" s="3511"/>
      <c r="K18" s="3511"/>
      <c r="L18" s="3511"/>
      <c r="M18" s="3511"/>
      <c r="N18" s="3511"/>
      <c r="O18" s="3511"/>
      <c r="P18" s="3511"/>
      <c r="Q18" s="3511"/>
      <c r="R18" s="3511"/>
      <c r="S18" s="2608">
        <f>SUM(G18*1.0361*1.04)</f>
        <v>4.2994005600000005E-3</v>
      </c>
      <c r="T18" s="2608"/>
      <c r="U18" s="2608">
        <v>1.1979999999999999E-2</v>
      </c>
      <c r="V18" s="2608">
        <v>1.6060000000000001E-2</v>
      </c>
      <c r="W18" s="2608">
        <v>0.02</v>
      </c>
      <c r="X18" s="3511"/>
      <c r="Y18" s="2508"/>
      <c r="Z18" s="4128"/>
      <c r="AA18" s="2508">
        <v>2.9909999999999999E-2</v>
      </c>
      <c r="AB18" s="2508">
        <v>4.4929999999999998E-2</v>
      </c>
      <c r="AC18" s="4015">
        <v>0.02</v>
      </c>
      <c r="AD18" s="3950"/>
    </row>
    <row r="19" spans="1:30" ht="51" x14ac:dyDescent="0.2">
      <c r="A19" s="3312" t="s">
        <v>3553</v>
      </c>
      <c r="B19" s="3312"/>
      <c r="C19" s="3312"/>
      <c r="D19" s="3312"/>
      <c r="E19" s="3511"/>
      <c r="F19" s="3511"/>
      <c r="G19" s="2606">
        <v>5.16E-2</v>
      </c>
      <c r="H19" s="3511"/>
      <c r="I19" s="3511"/>
      <c r="J19" s="3511"/>
      <c r="K19" s="3511"/>
      <c r="L19" s="3511"/>
      <c r="M19" s="3511"/>
      <c r="N19" s="3511"/>
      <c r="O19" s="3511"/>
      <c r="P19" s="3511"/>
      <c r="Q19" s="3511"/>
      <c r="R19" s="3511"/>
      <c r="S19" s="2608">
        <f>SUM(G19*1.0361*1.04)</f>
        <v>5.56012704E-2</v>
      </c>
      <c r="T19" s="2608"/>
      <c r="U19" s="2608">
        <v>0</v>
      </c>
      <c r="V19" s="2608">
        <v>0</v>
      </c>
      <c r="W19" s="2608">
        <v>0</v>
      </c>
      <c r="X19" s="3511"/>
      <c r="Y19" s="2508"/>
      <c r="Z19" s="4128"/>
      <c r="AA19" s="2508">
        <v>0</v>
      </c>
      <c r="AB19" s="2508">
        <v>0</v>
      </c>
      <c r="AC19" s="4015">
        <v>0</v>
      </c>
      <c r="AD19" s="3950"/>
    </row>
    <row r="20" spans="1:30" ht="25.5" x14ac:dyDescent="0.2">
      <c r="A20" s="3312" t="s">
        <v>3672</v>
      </c>
      <c r="B20" s="3312"/>
      <c r="C20" s="3312"/>
      <c r="D20" s="3312"/>
      <c r="E20" s="3511"/>
      <c r="F20" s="3511"/>
      <c r="G20" s="2606">
        <v>4.2000000000000003E-2</v>
      </c>
      <c r="H20" s="3511"/>
      <c r="I20" s="3511"/>
      <c r="J20" s="3511"/>
      <c r="K20" s="3511"/>
      <c r="L20" s="3511"/>
      <c r="M20" s="3511"/>
      <c r="N20" s="3511"/>
      <c r="O20" s="3511"/>
      <c r="P20" s="3511"/>
      <c r="Q20" s="3511"/>
      <c r="R20" s="3511"/>
      <c r="S20" s="2608">
        <f>SUM(G20*1.0361*1.04)</f>
        <v>4.5256848000000009E-2</v>
      </c>
      <c r="T20" s="2608"/>
      <c r="U20" s="2608">
        <v>0.15361</v>
      </c>
      <c r="V20" s="2608">
        <v>0.23402000000000001</v>
      </c>
      <c r="W20" s="2608">
        <v>0.373</v>
      </c>
      <c r="X20" s="3511"/>
      <c r="Y20" s="2508"/>
      <c r="Z20" s="4128"/>
      <c r="AA20" s="2508">
        <v>0.62968999999999997</v>
      </c>
      <c r="AB20" s="2508">
        <v>1.7062999999999999</v>
      </c>
      <c r="AC20" s="4015">
        <v>0.373</v>
      </c>
      <c r="AD20" s="3950"/>
    </row>
    <row r="21" spans="1:30" x14ac:dyDescent="0.2">
      <c r="A21" s="3312" t="s">
        <v>616</v>
      </c>
      <c r="B21" s="2606">
        <f t="shared" ref="B21:F21" si="4">SUM(B7+B13+B19+B20)</f>
        <v>368.32823999999999</v>
      </c>
      <c r="C21" s="2606">
        <f t="shared" si="4"/>
        <v>285.96000000000004</v>
      </c>
      <c r="D21" s="2606">
        <f t="shared" si="4"/>
        <v>368.32823999999999</v>
      </c>
      <c r="E21" s="2606">
        <f t="shared" si="4"/>
        <v>321.89</v>
      </c>
      <c r="F21" s="2606">
        <f t="shared" si="4"/>
        <v>147.69</v>
      </c>
      <c r="G21" s="2606">
        <f>SUM(G7+G13+G19+G20)</f>
        <v>228.96011000000001</v>
      </c>
      <c r="H21" s="2606">
        <f t="shared" ref="H21" si="5">SUM(H7+H13+H19+H20)</f>
        <v>398.72</v>
      </c>
      <c r="I21" s="2606">
        <f t="shared" ref="I21" si="6">SUM(I7+I13+I19+I20)</f>
        <v>410.69</v>
      </c>
      <c r="J21" s="2606">
        <f t="shared" ref="J21" si="7">SUM(J7+J13+J19+J20)</f>
        <v>423</v>
      </c>
      <c r="K21" s="2606">
        <f t="shared" ref="K21" si="8">SUM(K7+K13+K19+K20)</f>
        <v>435.69</v>
      </c>
      <c r="L21" s="2606">
        <f t="shared" ref="L21" si="9">SUM(L7+L13+L19+L20)</f>
        <v>448.76</v>
      </c>
      <c r="M21" s="2606">
        <f t="shared" ref="M21" si="10">SUM(M7+M13+M19+M20)</f>
        <v>169.40570399999999</v>
      </c>
      <c r="N21" s="2606">
        <f t="shared" ref="N21" si="11">SUM(N7+N13+N19+N20)</f>
        <v>175.16549793600001</v>
      </c>
      <c r="O21" s="2606">
        <f t="shared" ref="O21" si="12">SUM(O7+O13+O19+O20)</f>
        <v>182.17211785344</v>
      </c>
      <c r="P21" s="2606">
        <f t="shared" ref="P21" si="13">SUM(P7+P13+P19+P20)</f>
        <v>189.45900256757761</v>
      </c>
      <c r="Q21" s="2606">
        <f t="shared" ref="Q21" si="14">SUM(Q7+Q13+Q19+Q20)</f>
        <v>197.03736267028074</v>
      </c>
      <c r="R21" s="2606">
        <f t="shared" ref="R21" si="15">SUM(R7+R13+R19+R20)</f>
        <v>204.91885717709198</v>
      </c>
      <c r="S21" s="2606">
        <f>SUM(S7+S13+S19+S20)</f>
        <v>246.12864824184001</v>
      </c>
      <c r="T21" s="2606">
        <f>SUM(T7+T13+T19+T20)</f>
        <v>231.22080969000001</v>
      </c>
      <c r="U21" s="2606">
        <f>SUM(U7+U13+U19+U20)</f>
        <v>92.784000000000006</v>
      </c>
      <c r="V21" s="2606">
        <f>SUM(V7+V13+V19+V20)</f>
        <v>139.17599999999999</v>
      </c>
      <c r="W21" s="2606">
        <f>SUM(W7+W13+W19+W20)</f>
        <v>185.488</v>
      </c>
      <c r="X21" s="3511"/>
      <c r="Y21" s="2506">
        <f>SUM(Y7+Y13+Y19+Y20)</f>
        <v>231.22080969000001</v>
      </c>
      <c r="Z21" s="4064">
        <f>SUM(Z7+Z13+Z19+Z20)</f>
        <v>179.39690000000002</v>
      </c>
      <c r="AA21" s="2506">
        <f>SUM(AA7+AA13+AA19+AA20)</f>
        <v>104.00682</v>
      </c>
      <c r="AB21" s="2425">
        <f>SUM(AB7+AB13+AB19+AB20)</f>
        <v>156.80100999999999</v>
      </c>
      <c r="AC21" s="4014">
        <f>SUM(AC7+AC13+AC19+AC20)</f>
        <v>185.488</v>
      </c>
      <c r="AD21" s="3948"/>
    </row>
    <row r="23" spans="1:30" x14ac:dyDescent="0.2">
      <c r="E23" s="2501"/>
      <c r="H23" s="2501"/>
      <c r="I23" s="2501"/>
      <c r="J23" s="2501"/>
      <c r="K23" s="2501"/>
      <c r="L23" s="2501"/>
      <c r="M23" s="2501"/>
      <c r="N23" s="2501"/>
      <c r="O23" s="2501"/>
      <c r="P23" s="2501"/>
      <c r="Q23" s="2501"/>
      <c r="R23" s="2501"/>
      <c r="X23" s="2501"/>
    </row>
    <row r="24" spans="1:30" x14ac:dyDescent="0.2">
      <c r="E24" s="2501"/>
      <c r="H24" s="2501"/>
      <c r="I24" s="2501"/>
      <c r="J24" s="2501"/>
      <c r="K24" s="2501"/>
      <c r="L24" s="2501"/>
      <c r="M24" s="2501"/>
      <c r="N24" s="2501"/>
      <c r="O24" s="2501"/>
      <c r="P24" s="2501"/>
      <c r="Q24" s="2501"/>
      <c r="R24" s="2501"/>
      <c r="X24" s="2501"/>
    </row>
    <row r="25" spans="1:30" ht="20.25" x14ac:dyDescent="0.3">
      <c r="A25" s="2476" t="s">
        <v>3554</v>
      </c>
      <c r="E25" s="2501"/>
      <c r="H25" s="2501"/>
      <c r="I25" s="2501"/>
      <c r="J25" s="2501"/>
      <c r="K25" s="2501"/>
      <c r="L25" s="2501"/>
      <c r="M25" s="2501"/>
      <c r="N25" s="2501"/>
      <c r="O25" s="2501"/>
      <c r="P25" s="2501"/>
      <c r="Q25" s="2501"/>
      <c r="R25" s="2501"/>
      <c r="X25" s="2501"/>
    </row>
    <row r="27" spans="1:30" s="2275" customFormat="1" ht="79.5" customHeight="1" x14ac:dyDescent="0.2">
      <c r="A27" s="2271" t="s">
        <v>2097</v>
      </c>
      <c r="B27" s="2270" t="s">
        <v>2099</v>
      </c>
      <c r="C27" s="2270"/>
      <c r="D27" s="2270" t="s">
        <v>2112</v>
      </c>
      <c r="F27" s="2501"/>
      <c r="G27" s="2501"/>
      <c r="S27" s="2501"/>
      <c r="T27" s="2764"/>
      <c r="U27" s="2581"/>
      <c r="V27" s="2581"/>
      <c r="W27" s="2581"/>
      <c r="Y27" s="3500"/>
      <c r="Z27" s="3500"/>
      <c r="AA27" s="3912"/>
      <c r="AB27" s="3912"/>
      <c r="AC27" s="3912"/>
      <c r="AD27" s="3912"/>
    </row>
    <row r="28" spans="1:30" x14ac:dyDescent="0.2">
      <c r="A28" s="2273" t="s">
        <v>2098</v>
      </c>
      <c r="B28" s="2279">
        <v>14554</v>
      </c>
      <c r="C28" s="2188" t="s">
        <v>2107</v>
      </c>
      <c r="D28" s="2279">
        <f>B28*1.027</f>
        <v>14946.957999999999</v>
      </c>
    </row>
    <row r="29" spans="1:30" ht="25.5" x14ac:dyDescent="0.2">
      <c r="A29" s="2273" t="s">
        <v>2100</v>
      </c>
      <c r="B29" s="2279">
        <v>49500</v>
      </c>
      <c r="C29" s="2188" t="s">
        <v>2109</v>
      </c>
      <c r="D29" s="2279">
        <f t="shared" ref="D29:D34" si="16">B29*1.027</f>
        <v>50836.499999999993</v>
      </c>
    </row>
    <row r="30" spans="1:30" ht="25.5" x14ac:dyDescent="0.2">
      <c r="A30" s="2273" t="s">
        <v>2101</v>
      </c>
      <c r="B30" s="2279">
        <v>72832</v>
      </c>
      <c r="C30" s="2188" t="s">
        <v>2110</v>
      </c>
      <c r="D30" s="2279">
        <f t="shared" si="16"/>
        <v>74798.463999999993</v>
      </c>
    </row>
    <row r="31" spans="1:30" ht="51" x14ac:dyDescent="0.2">
      <c r="A31" s="2273" t="s">
        <v>2102</v>
      </c>
      <c r="B31" s="2279">
        <v>1541</v>
      </c>
      <c r="C31" s="2188" t="s">
        <v>2111</v>
      </c>
      <c r="D31" s="2279">
        <f t="shared" si="16"/>
        <v>1582.607</v>
      </c>
    </row>
    <row r="32" spans="1:30" ht="38.25" x14ac:dyDescent="0.2">
      <c r="A32" s="2273" t="s">
        <v>2103</v>
      </c>
      <c r="B32" s="2279">
        <v>11966</v>
      </c>
      <c r="C32" s="2188" t="s">
        <v>2108</v>
      </c>
      <c r="D32" s="2279">
        <f t="shared" si="16"/>
        <v>12289.081999999999</v>
      </c>
    </row>
    <row r="33" spans="1:30" ht="25.5" x14ac:dyDescent="0.2">
      <c r="A33" s="2273" t="s">
        <v>2104</v>
      </c>
      <c r="B33" s="2279">
        <v>28977</v>
      </c>
      <c r="C33" s="2188" t="s">
        <v>2110</v>
      </c>
      <c r="D33" s="2279">
        <f t="shared" si="16"/>
        <v>29759.378999999997</v>
      </c>
    </row>
    <row r="34" spans="1:30" ht="25.5" x14ac:dyDescent="0.2">
      <c r="A34" s="2273" t="s">
        <v>2105</v>
      </c>
      <c r="B34" s="2279">
        <v>136</v>
      </c>
      <c r="C34" s="2188" t="s">
        <v>2110</v>
      </c>
      <c r="D34" s="2279">
        <f t="shared" si="16"/>
        <v>139.672</v>
      </c>
    </row>
    <row r="35" spans="1:30" s="1926" customFormat="1" x14ac:dyDescent="0.2">
      <c r="A35" s="1832"/>
      <c r="B35" s="2280">
        <f>SUM(B28:B34)</f>
        <v>179506</v>
      </c>
      <c r="C35" s="1833"/>
      <c r="D35" s="2280">
        <f>SUM(D28:D34)</f>
        <v>184352.66199999992</v>
      </c>
      <c r="E35" s="2274"/>
      <c r="F35" s="2503"/>
      <c r="G35" s="2503"/>
      <c r="H35" s="2274"/>
      <c r="I35" s="2274"/>
      <c r="J35" s="2274"/>
      <c r="K35" s="2274"/>
      <c r="L35" s="2274"/>
      <c r="M35" s="2274"/>
      <c r="N35" s="2274"/>
      <c r="O35" s="2274"/>
      <c r="P35" s="2274"/>
      <c r="Q35" s="2274"/>
      <c r="R35" s="2274"/>
      <c r="S35" s="2503"/>
      <c r="T35" s="2766"/>
      <c r="U35" s="2589"/>
      <c r="V35" s="2589"/>
      <c r="W35" s="2589"/>
      <c r="X35" s="2274"/>
      <c r="Y35" s="3508"/>
      <c r="Z35" s="3508"/>
      <c r="AA35" s="3919"/>
      <c r="AB35" s="3919"/>
      <c r="AC35" s="3919"/>
      <c r="AD35" s="3919"/>
    </row>
    <row r="36" spans="1:30" x14ac:dyDescent="0.2">
      <c r="A36" s="2273" t="s">
        <v>50</v>
      </c>
      <c r="B36" s="2108"/>
      <c r="C36" s="2108"/>
      <c r="D36" s="2108"/>
      <c r="E36" s="2275"/>
      <c r="H36" s="2275"/>
      <c r="I36" s="2275"/>
      <c r="J36" s="2275"/>
      <c r="K36" s="2275"/>
      <c r="L36" s="2275"/>
      <c r="M36" s="2275"/>
      <c r="N36" s="2275"/>
      <c r="O36" s="2275"/>
      <c r="P36" s="2275"/>
      <c r="Q36" s="2275"/>
      <c r="R36" s="2275"/>
      <c r="X36" s="2275"/>
    </row>
    <row r="37" spans="1:30" ht="19.5" customHeight="1" x14ac:dyDescent="0.2">
      <c r="A37" s="2273" t="s">
        <v>46</v>
      </c>
      <c r="B37" s="2281">
        <f>B29+B32+B31/2</f>
        <v>62236.5</v>
      </c>
      <c r="C37" s="2272"/>
      <c r="D37" s="2281">
        <f>D29+D32+D31/2</f>
        <v>63916.885499999997</v>
      </c>
      <c r="E37" s="2275"/>
      <c r="H37" s="2275"/>
      <c r="I37" s="2275"/>
      <c r="J37" s="2275"/>
      <c r="K37" s="2275"/>
      <c r="L37" s="2275"/>
      <c r="M37" s="2275"/>
      <c r="N37" s="2275"/>
      <c r="O37" s="2275"/>
      <c r="P37" s="2275"/>
      <c r="Q37" s="2275"/>
      <c r="R37" s="2275"/>
      <c r="X37" s="2275"/>
    </row>
    <row r="38" spans="1:30" ht="20.25" customHeight="1" x14ac:dyDescent="0.2">
      <c r="A38" s="2273" t="s">
        <v>47</v>
      </c>
      <c r="B38" s="2281">
        <f>B30+B33+B34+B31/2</f>
        <v>102715.5</v>
      </c>
      <c r="C38" s="2272"/>
      <c r="D38" s="2281">
        <f>D30+D33+D34+D31/2</f>
        <v>105488.81849999999</v>
      </c>
      <c r="E38" s="2275"/>
      <c r="H38" s="2275"/>
      <c r="I38" s="2275"/>
      <c r="J38" s="2275"/>
      <c r="K38" s="2275"/>
      <c r="L38" s="2275"/>
      <c r="M38" s="2275"/>
      <c r="N38" s="2275"/>
      <c r="O38" s="2275"/>
      <c r="P38" s="2275"/>
      <c r="Q38" s="2275"/>
      <c r="R38" s="2275"/>
      <c r="X38" s="2275"/>
    </row>
    <row r="39" spans="1:30" ht="18.75" customHeight="1" x14ac:dyDescent="0.2">
      <c r="A39" s="2273" t="s">
        <v>2113</v>
      </c>
      <c r="B39" s="2281">
        <f>B28</f>
        <v>14554</v>
      </c>
      <c r="C39" s="2281"/>
      <c r="D39" s="2281">
        <f>D28</f>
        <v>14946.957999999999</v>
      </c>
      <c r="E39" s="2275"/>
      <c r="H39" s="2275"/>
      <c r="I39" s="2275"/>
      <c r="J39" s="2275"/>
      <c r="K39" s="2275"/>
      <c r="L39" s="2275"/>
      <c r="M39" s="2275"/>
      <c r="N39" s="2275"/>
      <c r="O39" s="2275"/>
      <c r="P39" s="2275"/>
      <c r="Q39" s="2275"/>
      <c r="R39" s="2275"/>
      <c r="X39" s="2275"/>
    </row>
    <row r="40" spans="1:30" x14ac:dyDescent="0.2">
      <c r="B40" s="2278">
        <f>SUM(B37:B39)</f>
        <v>179506</v>
      </c>
      <c r="C40" s="2278"/>
      <c r="D40" s="2278">
        <f t="shared" ref="D40" si="17">SUM(D37:D39)</f>
        <v>184352.66200000001</v>
      </c>
      <c r="E40" s="2275"/>
      <c r="H40" s="2275"/>
      <c r="I40" s="2275"/>
      <c r="J40" s="2275"/>
      <c r="K40" s="2275"/>
      <c r="L40" s="2275"/>
      <c r="M40" s="2275"/>
      <c r="N40" s="2275"/>
      <c r="O40" s="2275"/>
      <c r="P40" s="2275"/>
      <c r="Q40" s="2275"/>
      <c r="R40" s="2275"/>
      <c r="X40" s="2275"/>
    </row>
    <row r="41" spans="1:30" x14ac:dyDescent="0.2">
      <c r="E41" s="2275"/>
      <c r="H41" s="2275"/>
      <c r="I41" s="2275"/>
      <c r="J41" s="2275"/>
      <c r="K41" s="2275"/>
      <c r="L41" s="2275"/>
      <c r="M41" s="2275"/>
      <c r="N41" s="2275"/>
      <c r="O41" s="2275"/>
      <c r="P41" s="2275"/>
      <c r="Q41" s="2275"/>
      <c r="R41" s="2275"/>
      <c r="X41" s="2275"/>
    </row>
    <row r="42" spans="1:30" x14ac:dyDescent="0.2">
      <c r="E42" s="2275"/>
      <c r="H42" s="2275"/>
      <c r="I42" s="2275"/>
      <c r="J42" s="2275"/>
      <c r="K42" s="2275"/>
      <c r="L42" s="2275"/>
      <c r="M42" s="2275"/>
      <c r="N42" s="2275"/>
      <c r="O42" s="2275"/>
      <c r="P42" s="2275"/>
      <c r="Q42" s="2275"/>
      <c r="R42" s="2275"/>
      <c r="X42" s="2275"/>
    </row>
    <row r="43" spans="1:30" x14ac:dyDescent="0.2">
      <c r="E43" s="2275"/>
      <c r="H43" s="2275"/>
      <c r="I43" s="2275"/>
      <c r="J43" s="2275"/>
      <c r="K43" s="2275"/>
      <c r="L43" s="2275"/>
      <c r="M43" s="2275"/>
      <c r="N43" s="2275"/>
      <c r="O43" s="2275"/>
      <c r="P43" s="2275"/>
      <c r="Q43" s="2275"/>
      <c r="R43" s="2275"/>
      <c r="X43" s="2275"/>
    </row>
    <row r="44" spans="1:30" x14ac:dyDescent="0.2">
      <c r="E44" s="2275"/>
      <c r="H44" s="2275"/>
      <c r="I44" s="2275"/>
      <c r="J44" s="2275"/>
      <c r="K44" s="2275"/>
      <c r="L44" s="2275"/>
      <c r="M44" s="2275"/>
      <c r="N44" s="2275"/>
      <c r="O44" s="2275"/>
      <c r="P44" s="2275"/>
      <c r="Q44" s="2275"/>
      <c r="R44" s="2275"/>
      <c r="X44" s="2275"/>
    </row>
    <row r="45" spans="1:30" x14ac:dyDescent="0.2">
      <c r="E45" s="2275"/>
      <c r="H45" s="2275"/>
      <c r="I45" s="2275"/>
      <c r="J45" s="2275"/>
      <c r="K45" s="2275"/>
      <c r="L45" s="2275"/>
      <c r="M45" s="2275"/>
      <c r="N45" s="2275"/>
      <c r="O45" s="2275"/>
      <c r="P45" s="2275"/>
      <c r="Q45" s="2275"/>
      <c r="R45" s="2275"/>
      <c r="X45" s="2275"/>
    </row>
    <row r="46" spans="1:30" x14ac:dyDescent="0.2">
      <c r="E46" s="2275"/>
      <c r="H46" s="2275"/>
      <c r="I46" s="2275"/>
      <c r="J46" s="2275"/>
      <c r="K46" s="2275"/>
      <c r="L46" s="2275"/>
      <c r="M46" s="2275"/>
      <c r="N46" s="2275"/>
      <c r="O46" s="2275"/>
      <c r="P46" s="2275"/>
      <c r="Q46" s="2275"/>
      <c r="R46" s="2275"/>
      <c r="X46" s="2275"/>
    </row>
    <row r="47" spans="1:30" x14ac:dyDescent="0.2">
      <c r="E47" s="2275"/>
      <c r="H47" s="2275"/>
      <c r="I47" s="2275"/>
      <c r="J47" s="2275"/>
      <c r="K47" s="2275"/>
      <c r="L47" s="2275"/>
      <c r="M47" s="2275"/>
      <c r="N47" s="2275"/>
      <c r="O47" s="2275"/>
      <c r="P47" s="2275"/>
      <c r="Q47" s="2275"/>
      <c r="R47" s="2275"/>
      <c r="X47" s="2275"/>
    </row>
    <row r="48" spans="1:30" x14ac:dyDescent="0.2">
      <c r="E48" s="2275"/>
      <c r="H48" s="2275"/>
      <c r="I48" s="2275"/>
      <c r="J48" s="2275"/>
      <c r="K48" s="2275"/>
      <c r="L48" s="2275"/>
      <c r="M48" s="2275"/>
      <c r="N48" s="2275"/>
      <c r="O48" s="2275"/>
      <c r="P48" s="2275"/>
      <c r="Q48" s="2275"/>
      <c r="R48" s="2275"/>
      <c r="X48" s="2275"/>
    </row>
    <row r="49" spans="1:24" x14ac:dyDescent="0.2">
      <c r="E49" s="2275"/>
      <c r="H49" s="2275"/>
      <c r="I49" s="2275"/>
      <c r="J49" s="2275"/>
      <c r="K49" s="2275"/>
      <c r="L49" s="2275"/>
      <c r="M49" s="2275"/>
      <c r="N49" s="2275"/>
      <c r="O49" s="2275"/>
      <c r="P49" s="2275"/>
      <c r="Q49" s="2275"/>
      <c r="R49" s="2275"/>
      <c r="X49" s="2275"/>
    </row>
    <row r="52" spans="1:24" x14ac:dyDescent="0.2">
      <c r="A52" s="5" t="s">
        <v>1935</v>
      </c>
      <c r="B52" s="2106">
        <v>23.18</v>
      </c>
    </row>
    <row r="53" spans="1:24" x14ac:dyDescent="0.2">
      <c r="A53" s="5" t="s">
        <v>46</v>
      </c>
    </row>
    <row r="54" spans="1:24" x14ac:dyDescent="0.2">
      <c r="B54" s="2106">
        <v>989.91</v>
      </c>
    </row>
    <row r="55" spans="1:24" x14ac:dyDescent="0.2">
      <c r="B55" s="2106">
        <v>242.96</v>
      </c>
    </row>
    <row r="56" spans="1:24" x14ac:dyDescent="0.2">
      <c r="B56" s="2106">
        <v>964.85</v>
      </c>
    </row>
    <row r="57" spans="1:24" x14ac:dyDescent="0.2">
      <c r="B57" s="2106">
        <v>83550.570000000007</v>
      </c>
    </row>
    <row r="58" spans="1:24" x14ac:dyDescent="0.2">
      <c r="B58" s="2106">
        <v>1445.5</v>
      </c>
      <c r="E58" s="2275"/>
      <c r="H58" s="2275"/>
      <c r="I58" s="2275"/>
      <c r="J58" s="2275"/>
      <c r="K58" s="2275"/>
      <c r="L58" s="2275"/>
      <c r="M58" s="2275"/>
      <c r="N58" s="2275"/>
      <c r="O58" s="2275"/>
      <c r="P58" s="2275"/>
      <c r="Q58" s="2275"/>
      <c r="R58" s="2275"/>
      <c r="X58" s="2275"/>
    </row>
    <row r="59" spans="1:24" x14ac:dyDescent="0.2">
      <c r="B59" s="2106">
        <v>30390.560000000001</v>
      </c>
      <c r="E59" s="2275"/>
      <c r="H59" s="2275"/>
      <c r="I59" s="2275"/>
      <c r="J59" s="2275"/>
      <c r="K59" s="2275"/>
      <c r="L59" s="2275"/>
      <c r="M59" s="2275"/>
      <c r="N59" s="2275"/>
      <c r="O59" s="2275"/>
      <c r="P59" s="2275"/>
      <c r="Q59" s="2275"/>
      <c r="R59" s="2275"/>
      <c r="X59" s="2275"/>
    </row>
    <row r="60" spans="1:24" x14ac:dyDescent="0.2">
      <c r="B60" s="2106">
        <v>30.29</v>
      </c>
      <c r="E60" s="2275"/>
      <c r="H60" s="2275"/>
      <c r="I60" s="2275"/>
      <c r="J60" s="2275"/>
      <c r="K60" s="2275"/>
      <c r="L60" s="2275"/>
      <c r="M60" s="2275"/>
      <c r="N60" s="2275"/>
      <c r="O60" s="2275"/>
      <c r="P60" s="2275"/>
      <c r="Q60" s="2275"/>
      <c r="R60" s="2275"/>
      <c r="X60" s="2275"/>
    </row>
    <row r="61" spans="1:24" x14ac:dyDescent="0.2">
      <c r="B61" s="2276">
        <f>SUM(B52:B60)</f>
        <v>117637.81999999999</v>
      </c>
      <c r="E61" s="2275"/>
      <c r="H61" s="2275"/>
      <c r="I61" s="2275"/>
      <c r="J61" s="2275"/>
      <c r="K61" s="2275"/>
      <c r="L61" s="2275"/>
      <c r="M61" s="2275"/>
      <c r="N61" s="2275"/>
      <c r="O61" s="2275"/>
      <c r="P61" s="2275"/>
      <c r="Q61" s="2275"/>
      <c r="R61" s="2275"/>
      <c r="X61" s="2275"/>
    </row>
    <row r="62" spans="1:24" x14ac:dyDescent="0.2">
      <c r="E62" s="2275"/>
      <c r="H62" s="2275"/>
      <c r="I62" s="2275"/>
      <c r="J62" s="2275"/>
      <c r="K62" s="2275"/>
      <c r="L62" s="2275"/>
      <c r="M62" s="2275"/>
      <c r="N62" s="2275"/>
      <c r="O62" s="2275"/>
      <c r="P62" s="2275"/>
      <c r="Q62" s="2275"/>
      <c r="R62" s="2275"/>
      <c r="X62" s="2275"/>
    </row>
    <row r="63" spans="1:24" x14ac:dyDescent="0.2">
      <c r="E63" s="2275"/>
      <c r="H63" s="2275"/>
      <c r="I63" s="2275"/>
      <c r="J63" s="2275"/>
      <c r="K63" s="2275"/>
      <c r="L63" s="2275"/>
      <c r="M63" s="2275"/>
      <c r="N63" s="2275"/>
      <c r="O63" s="2275"/>
      <c r="P63" s="2275"/>
      <c r="Q63" s="2275"/>
      <c r="R63" s="2275"/>
      <c r="X63" s="2275"/>
    </row>
    <row r="64" spans="1:24" x14ac:dyDescent="0.2">
      <c r="E64" s="2275"/>
      <c r="H64" s="2275"/>
      <c r="I64" s="2275"/>
      <c r="J64" s="2275"/>
      <c r="K64" s="2275"/>
      <c r="L64" s="2275"/>
      <c r="M64" s="2275"/>
      <c r="N64" s="2275"/>
      <c r="O64" s="2275"/>
      <c r="P64" s="2275"/>
      <c r="Q64" s="2275"/>
      <c r="R64" s="2275"/>
      <c r="X64" s="2275"/>
    </row>
    <row r="65" spans="1:30" x14ac:dyDescent="0.2">
      <c r="A65" s="5" t="s">
        <v>47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" t="s">
        <v>2106</v>
      </c>
      <c r="B66" s="2276">
        <v>594.78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B67" s="2276">
        <v>302.64999999999998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B68" s="2276">
        <v>842.18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B69" s="2276">
        <v>1477.03</v>
      </c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B70" s="2276">
        <v>88959.62</v>
      </c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B71" s="2276">
        <v>246.76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B72" s="2276">
        <f>SUM(B66:B71)</f>
        <v>92423.01999999999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4" spans="1:30" x14ac:dyDescent="0.2">
      <c r="B74" s="2276">
        <f>B72+B61</f>
        <v>210060.83999999997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6" spans="1:30" x14ac:dyDescent="0.2">
      <c r="A76" s="5" t="s">
        <v>2107</v>
      </c>
      <c r="B76" s="2106">
        <v>14554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</sheetData>
  <mergeCells count="16">
    <mergeCell ref="AA4:AA5"/>
    <mergeCell ref="AB4:AB5"/>
    <mergeCell ref="AC4:AC5"/>
    <mergeCell ref="A1:AC1"/>
    <mergeCell ref="Y4:Z4"/>
    <mergeCell ref="X4:X5"/>
    <mergeCell ref="H5:L5"/>
    <mergeCell ref="M5:R5"/>
    <mergeCell ref="A4:A5"/>
    <mergeCell ref="B4:C4"/>
    <mergeCell ref="D4:E4"/>
    <mergeCell ref="F4:G4"/>
    <mergeCell ref="U4:U5"/>
    <mergeCell ref="V4:V5"/>
    <mergeCell ref="W4:W5"/>
    <mergeCell ref="S4:T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2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48"/>
  <dimension ref="A3:J31"/>
  <sheetViews>
    <sheetView workbookViewId="0">
      <selection activeCell="M30" sqref="M30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1875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272</v>
      </c>
    </row>
    <row r="4" spans="1:10" s="1875" customFormat="1" ht="25.5" x14ac:dyDescent="0.2">
      <c r="A4" s="2222"/>
      <c r="B4" s="2222" t="s">
        <v>1970</v>
      </c>
      <c r="C4" s="2222" t="s">
        <v>1021</v>
      </c>
      <c r="D4" s="2221" t="s">
        <v>1971</v>
      </c>
      <c r="E4" s="2221" t="s">
        <v>1972</v>
      </c>
      <c r="F4" s="2222" t="s">
        <v>1973</v>
      </c>
    </row>
    <row r="5" spans="1:10" x14ac:dyDescent="0.2">
      <c r="A5" s="1754" t="s">
        <v>1966</v>
      </c>
      <c r="B5" s="2222">
        <v>5</v>
      </c>
      <c r="C5" s="2222">
        <v>4</v>
      </c>
      <c r="D5" s="1759">
        <v>36990.29</v>
      </c>
      <c r="E5" s="1759">
        <f>B5*D5</f>
        <v>184951.45</v>
      </c>
      <c r="F5" s="1759">
        <f>E5*12</f>
        <v>2219417.4000000004</v>
      </c>
    </row>
    <row r="6" spans="1:10" x14ac:dyDescent="0.2">
      <c r="A6" s="1754" t="s">
        <v>1967</v>
      </c>
      <c r="B6" s="2222">
        <v>1</v>
      </c>
      <c r="C6" s="2222">
        <v>5</v>
      </c>
      <c r="D6" s="1759">
        <v>35898.44</v>
      </c>
      <c r="E6" s="1759">
        <f t="shared" ref="E6:E8" si="0">B6*D6</f>
        <v>35898.44</v>
      </c>
      <c r="F6" s="1759">
        <f t="shared" ref="F6:F8" si="1">E6*12</f>
        <v>430781.28</v>
      </c>
    </row>
    <row r="7" spans="1:10" x14ac:dyDescent="0.2">
      <c r="A7" s="1754" t="s">
        <v>1968</v>
      </c>
      <c r="B7" s="2222">
        <v>1</v>
      </c>
      <c r="C7" s="2222">
        <v>5</v>
      </c>
      <c r="D7" s="1759">
        <v>35898.44</v>
      </c>
      <c r="E7" s="1759">
        <f t="shared" si="0"/>
        <v>35898.44</v>
      </c>
      <c r="F7" s="1759">
        <f t="shared" si="1"/>
        <v>430781.28</v>
      </c>
    </row>
    <row r="8" spans="1:10" x14ac:dyDescent="0.2">
      <c r="A8" s="1754" t="s">
        <v>1969</v>
      </c>
      <c r="B8" s="2222">
        <v>1</v>
      </c>
      <c r="C8" s="2222">
        <v>2</v>
      </c>
      <c r="D8" s="1759">
        <v>23959.8</v>
      </c>
      <c r="E8" s="1759">
        <f t="shared" si="0"/>
        <v>23959.8</v>
      </c>
      <c r="F8" s="1759">
        <f t="shared" si="1"/>
        <v>287517.59999999998</v>
      </c>
    </row>
    <row r="9" spans="1:10" x14ac:dyDescent="0.2">
      <c r="A9" s="1754"/>
      <c r="B9" s="2222">
        <f>SUM(B5:B8)</f>
        <v>8</v>
      </c>
      <c r="C9" s="2222">
        <f>(B5*C5+B6*C6+B7*C7+B8*C8)/B9</f>
        <v>4</v>
      </c>
      <c r="D9" s="1755">
        <f>E9/B9</f>
        <v>35088.516250000001</v>
      </c>
      <c r="E9" s="1755">
        <f>SUM(E5:E8)</f>
        <v>280708.13</v>
      </c>
      <c r="F9" s="1755">
        <f>SUM(F5:F8)</f>
        <v>3368497.560000001</v>
      </c>
    </row>
    <row r="11" spans="1:10" x14ac:dyDescent="0.2">
      <c r="A11" s="5" t="s">
        <v>1974</v>
      </c>
    </row>
    <row r="12" spans="1:10" x14ac:dyDescent="0.2">
      <c r="A12" s="5" t="s">
        <v>1975</v>
      </c>
    </row>
    <row r="13" spans="1:10" s="2228" customFormat="1" ht="25.5" x14ac:dyDescent="0.2">
      <c r="A13" s="2134" t="s">
        <v>1976</v>
      </c>
      <c r="B13" s="2183" t="s">
        <v>1977</v>
      </c>
      <c r="C13" s="2185" t="s">
        <v>1978</v>
      </c>
      <c r="D13" s="4487" t="s">
        <v>1986</v>
      </c>
      <c r="E13" s="4487"/>
      <c r="F13" s="4487"/>
      <c r="G13" s="4487" t="s">
        <v>1987</v>
      </c>
      <c r="H13" s="4487"/>
      <c r="I13" s="4487"/>
      <c r="J13" s="4487"/>
    </row>
    <row r="14" spans="1:10" x14ac:dyDescent="0.2">
      <c r="A14" s="1754" t="s">
        <v>1979</v>
      </c>
      <c r="B14" s="2184"/>
      <c r="C14" s="2185"/>
      <c r="D14" s="5318" t="s">
        <v>1985</v>
      </c>
      <c r="E14" s="5319"/>
      <c r="F14" s="5320"/>
      <c r="G14" s="5327" t="s">
        <v>1988</v>
      </c>
      <c r="H14" s="5328"/>
      <c r="I14" s="5328"/>
      <c r="J14" s="5329"/>
    </row>
    <row r="15" spans="1:10" x14ac:dyDescent="0.2">
      <c r="A15" s="1754" t="s">
        <v>1980</v>
      </c>
      <c r="B15" s="1941">
        <f>'ЭЭ вода'!T23</f>
        <v>1900</v>
      </c>
      <c r="C15" s="2185"/>
      <c r="D15" s="5321"/>
      <c r="E15" s="5322"/>
      <c r="F15" s="5323"/>
      <c r="G15" s="5330"/>
      <c r="H15" s="5331"/>
      <c r="I15" s="5331"/>
      <c r="J15" s="5332"/>
    </row>
    <row r="16" spans="1:10" x14ac:dyDescent="0.2">
      <c r="A16" s="1754" t="s">
        <v>1981</v>
      </c>
      <c r="B16" s="2233">
        <f>B15/365</f>
        <v>5.2054794520547949</v>
      </c>
      <c r="C16" s="2185"/>
      <c r="D16" s="5321"/>
      <c r="E16" s="5322"/>
      <c r="F16" s="5323"/>
      <c r="G16" s="5330"/>
      <c r="H16" s="5331"/>
      <c r="I16" s="5331"/>
      <c r="J16" s="5332"/>
    </row>
    <row r="17" spans="1:10" ht="25.5" x14ac:dyDescent="0.2">
      <c r="A17" s="2108" t="s">
        <v>1982</v>
      </c>
      <c r="B17" s="2233">
        <f>5+((6-5)/15)*B16</f>
        <v>5.3470319634703198</v>
      </c>
      <c r="C17" s="2185"/>
      <c r="D17" s="5321"/>
      <c r="E17" s="5322"/>
      <c r="F17" s="5323"/>
      <c r="G17" s="5330"/>
      <c r="H17" s="5331"/>
      <c r="I17" s="5331"/>
      <c r="J17" s="5332"/>
    </row>
    <row r="18" spans="1:10" x14ac:dyDescent="0.2">
      <c r="A18" s="1754" t="s">
        <v>1983</v>
      </c>
      <c r="B18" s="2233">
        <v>1.1599999999999999</v>
      </c>
      <c r="C18" s="2185"/>
      <c r="D18" s="5321"/>
      <c r="E18" s="5322"/>
      <c r="F18" s="5323"/>
      <c r="G18" s="5330"/>
      <c r="H18" s="5331"/>
      <c r="I18" s="5331"/>
      <c r="J18" s="5332"/>
    </row>
    <row r="19" spans="1:10" ht="37.5" customHeight="1" x14ac:dyDescent="0.2">
      <c r="A19" s="2108" t="s">
        <v>1984</v>
      </c>
      <c r="B19" s="2234">
        <f>B17*B18</f>
        <v>6.2025570776255705</v>
      </c>
      <c r="C19" s="2185"/>
      <c r="D19" s="5324"/>
      <c r="E19" s="5325"/>
      <c r="F19" s="5326"/>
      <c r="G19" s="5333"/>
      <c r="H19" s="5334"/>
      <c r="I19" s="5334"/>
      <c r="J19" s="5335"/>
    </row>
    <row r="22" spans="1:10" x14ac:dyDescent="0.2">
      <c r="A22" s="1926" t="s">
        <v>1998</v>
      </c>
    </row>
    <row r="23" spans="1:10" x14ac:dyDescent="0.2">
      <c r="A23" s="5" t="s">
        <v>1937</v>
      </c>
    </row>
    <row r="24" spans="1:10" x14ac:dyDescent="0.2">
      <c r="A24" s="5" t="s">
        <v>1999</v>
      </c>
    </row>
    <row r="26" spans="1:10" x14ac:dyDescent="0.2">
      <c r="A26" s="2379"/>
      <c r="B26" s="2379" t="s">
        <v>1970</v>
      </c>
      <c r="C26" s="2379" t="s">
        <v>1021</v>
      </c>
    </row>
    <row r="27" spans="1:10" x14ac:dyDescent="0.2">
      <c r="A27" s="1754" t="s">
        <v>1966</v>
      </c>
      <c r="B27" s="2379">
        <v>4</v>
      </c>
      <c r="C27" s="2379">
        <v>3</v>
      </c>
    </row>
    <row r="28" spans="1:10" x14ac:dyDescent="0.2">
      <c r="A28" s="1754" t="s">
        <v>1967</v>
      </c>
      <c r="B28" s="2379">
        <v>0.9</v>
      </c>
      <c r="C28" s="2379">
        <v>5</v>
      </c>
    </row>
    <row r="29" spans="1:10" x14ac:dyDescent="0.2">
      <c r="A29" s="1754" t="s">
        <v>1968</v>
      </c>
      <c r="B29" s="2379">
        <v>0.9</v>
      </c>
      <c r="C29" s="2379">
        <v>5</v>
      </c>
    </row>
    <row r="30" spans="1:10" x14ac:dyDescent="0.2">
      <c r="A30" s="1754" t="s">
        <v>1969</v>
      </c>
      <c r="B30" s="2379">
        <v>0.4</v>
      </c>
      <c r="C30" s="2379">
        <v>1</v>
      </c>
    </row>
    <row r="31" spans="1:10" x14ac:dyDescent="0.2">
      <c r="A31" s="1754"/>
      <c r="B31" s="2379">
        <f>SUM(B27:B30)</f>
        <v>6.2000000000000011</v>
      </c>
      <c r="C31" s="2391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49"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264" customWidth="1"/>
    <col min="2" max="2" width="24.140625" style="1264" customWidth="1"/>
    <col min="3" max="3" width="43.7109375" style="1264" customWidth="1"/>
    <col min="4" max="4" width="9" style="1264" customWidth="1"/>
    <col min="5" max="5" width="11.85546875" style="1264" customWidth="1"/>
    <col min="6" max="16384" width="9.140625" style="1264"/>
  </cols>
  <sheetData>
    <row r="1" spans="1:5" hidden="1" x14ac:dyDescent="0.25"/>
    <row r="2" spans="1:5" hidden="1" x14ac:dyDescent="0.25">
      <c r="A2" s="1296"/>
      <c r="B2" s="1297" t="s">
        <v>1025</v>
      </c>
      <c r="C2" s="1296"/>
      <c r="D2" s="1298"/>
      <c r="E2" s="1298"/>
    </row>
    <row r="3" spans="1:5" hidden="1" x14ac:dyDescent="0.25">
      <c r="A3" s="1298"/>
      <c r="B3" s="1297" t="s">
        <v>1026</v>
      </c>
      <c r="C3" s="1298"/>
      <c r="D3" s="1298"/>
      <c r="E3" s="1298"/>
    </row>
    <row r="4" spans="1:5" hidden="1" x14ac:dyDescent="0.25">
      <c r="A4" s="1299" t="s">
        <v>1027</v>
      </c>
      <c r="B4" s="1299" t="s">
        <v>1028</v>
      </c>
      <c r="C4" s="1299" t="s">
        <v>1029</v>
      </c>
      <c r="D4" s="1299" t="s">
        <v>1030</v>
      </c>
      <c r="E4" s="1299" t="s">
        <v>45</v>
      </c>
    </row>
    <row r="5" spans="1:5" hidden="1" x14ac:dyDescent="0.25">
      <c r="A5" s="1300" t="s">
        <v>1031</v>
      </c>
      <c r="B5" s="1300" t="s">
        <v>1032</v>
      </c>
      <c r="C5" s="1300"/>
      <c r="D5" s="1300"/>
      <c r="E5" s="1300" t="s">
        <v>181</v>
      </c>
    </row>
    <row r="6" spans="1:5" hidden="1" x14ac:dyDescent="0.25">
      <c r="A6" s="1301"/>
      <c r="B6" s="1301"/>
      <c r="C6" s="1301"/>
      <c r="D6" s="1301"/>
      <c r="E6" s="1301"/>
    </row>
    <row r="7" spans="1:5" hidden="1" x14ac:dyDescent="0.25">
      <c r="A7" s="1301" t="s">
        <v>1033</v>
      </c>
      <c r="B7" s="1301" t="s">
        <v>1034</v>
      </c>
      <c r="C7" s="1301" t="s">
        <v>1035</v>
      </c>
      <c r="D7" s="1301">
        <v>3.5</v>
      </c>
      <c r="E7" s="1301">
        <v>5655</v>
      </c>
    </row>
    <row r="8" spans="1:5" hidden="1" x14ac:dyDescent="0.25">
      <c r="A8" s="1301" t="s">
        <v>1036</v>
      </c>
      <c r="B8" s="1301" t="s">
        <v>1037</v>
      </c>
      <c r="C8" s="1302" t="s">
        <v>1038</v>
      </c>
      <c r="D8" s="1301">
        <v>4</v>
      </c>
      <c r="E8" s="1301">
        <v>10800</v>
      </c>
    </row>
    <row r="9" spans="1:5" hidden="1" x14ac:dyDescent="0.25">
      <c r="A9" s="1301" t="s">
        <v>1036</v>
      </c>
      <c r="B9" s="1301" t="s">
        <v>1039</v>
      </c>
      <c r="C9" s="1302" t="s">
        <v>1038</v>
      </c>
      <c r="D9" s="1301">
        <v>27</v>
      </c>
      <c r="E9" s="1301">
        <v>24300</v>
      </c>
    </row>
    <row r="10" spans="1:5" hidden="1" x14ac:dyDescent="0.25">
      <c r="A10" s="1301" t="s">
        <v>1036</v>
      </c>
      <c r="B10" s="1301" t="s">
        <v>1040</v>
      </c>
      <c r="C10" s="1302" t="s">
        <v>1038</v>
      </c>
      <c r="D10" s="1301">
        <v>24</v>
      </c>
      <c r="E10" s="1301">
        <v>21600</v>
      </c>
    </row>
    <row r="11" spans="1:5" hidden="1" x14ac:dyDescent="0.25">
      <c r="A11" s="1301" t="s">
        <v>1036</v>
      </c>
      <c r="B11" s="1301" t="s">
        <v>1041</v>
      </c>
      <c r="C11" s="1302" t="s">
        <v>1042</v>
      </c>
      <c r="D11" s="1301">
        <v>8</v>
      </c>
      <c r="E11" s="1301">
        <v>7200</v>
      </c>
    </row>
    <row r="12" spans="1:5" hidden="1" x14ac:dyDescent="0.25">
      <c r="A12" s="1301" t="s">
        <v>1036</v>
      </c>
      <c r="B12" s="1301" t="s">
        <v>1041</v>
      </c>
      <c r="C12" s="1302"/>
      <c r="D12" s="1301">
        <v>5</v>
      </c>
      <c r="E12" s="1301">
        <v>4500</v>
      </c>
    </row>
    <row r="13" spans="1:5" hidden="1" x14ac:dyDescent="0.25">
      <c r="A13" s="1301" t="s">
        <v>1036</v>
      </c>
      <c r="B13" s="1301" t="s">
        <v>1043</v>
      </c>
      <c r="C13" s="1302"/>
      <c r="D13" s="1301">
        <v>7</v>
      </c>
      <c r="E13" s="1301">
        <v>6300</v>
      </c>
    </row>
    <row r="14" spans="1:5" hidden="1" x14ac:dyDescent="0.25">
      <c r="A14" s="1301" t="s">
        <v>1044</v>
      </c>
      <c r="B14" s="1301" t="s">
        <v>1045</v>
      </c>
      <c r="C14" s="1302"/>
      <c r="D14" s="1301">
        <v>0.5</v>
      </c>
      <c r="E14" s="1301">
        <v>627.12</v>
      </c>
    </row>
    <row r="15" spans="1:5" hidden="1" x14ac:dyDescent="0.25">
      <c r="A15" s="1301" t="s">
        <v>1046</v>
      </c>
      <c r="B15" s="1301" t="s">
        <v>1047</v>
      </c>
      <c r="C15" s="1302"/>
      <c r="D15" s="1301">
        <v>7</v>
      </c>
      <c r="E15" s="1301">
        <v>11186</v>
      </c>
    </row>
    <row r="16" spans="1:5" hidden="1" x14ac:dyDescent="0.25">
      <c r="A16" s="1301" t="s">
        <v>1046</v>
      </c>
      <c r="B16" s="1301" t="s">
        <v>1048</v>
      </c>
      <c r="C16" s="1302"/>
      <c r="D16" s="1301">
        <v>13</v>
      </c>
      <c r="E16" s="1301">
        <v>20774</v>
      </c>
    </row>
    <row r="17" spans="1:5" hidden="1" x14ac:dyDescent="0.25">
      <c r="A17" s="1301" t="s">
        <v>1049</v>
      </c>
      <c r="B17" s="1301" t="s">
        <v>1050</v>
      </c>
      <c r="C17" s="1302"/>
      <c r="D17" s="1301">
        <v>3</v>
      </c>
      <c r="E17" s="1301">
        <v>1779.66</v>
      </c>
    </row>
    <row r="18" spans="1:5" hidden="1" x14ac:dyDescent="0.25">
      <c r="A18" s="1301" t="s">
        <v>1044</v>
      </c>
      <c r="B18" s="1301" t="s">
        <v>1051</v>
      </c>
      <c r="C18" s="1302"/>
      <c r="D18" s="1301">
        <v>0.5</v>
      </c>
      <c r="E18" s="1301">
        <v>711.86</v>
      </c>
    </row>
    <row r="19" spans="1:5" hidden="1" x14ac:dyDescent="0.25">
      <c r="A19" s="1301" t="s">
        <v>1046</v>
      </c>
      <c r="B19" s="1301" t="s">
        <v>1052</v>
      </c>
      <c r="C19" s="1302"/>
      <c r="D19" s="1301">
        <v>8</v>
      </c>
      <c r="E19" s="1301">
        <v>12784</v>
      </c>
    </row>
    <row r="20" spans="1:5" hidden="1" x14ac:dyDescent="0.25">
      <c r="A20" s="1301" t="s">
        <v>1049</v>
      </c>
      <c r="B20" s="1301" t="s">
        <v>1053</v>
      </c>
      <c r="C20" s="1302"/>
      <c r="D20" s="1301">
        <v>0.3</v>
      </c>
      <c r="E20" s="1301">
        <v>395.48</v>
      </c>
    </row>
    <row r="21" spans="1:5" hidden="1" x14ac:dyDescent="0.25">
      <c r="A21" s="1301" t="s">
        <v>1036</v>
      </c>
      <c r="B21" s="1301" t="s">
        <v>1054</v>
      </c>
      <c r="C21" s="1302"/>
      <c r="D21" s="1301">
        <v>18</v>
      </c>
      <c r="E21" s="1301">
        <v>16200</v>
      </c>
    </row>
    <row r="22" spans="1:5" hidden="1" x14ac:dyDescent="0.25">
      <c r="A22" s="1301" t="s">
        <v>1036</v>
      </c>
      <c r="B22" s="1301" t="s">
        <v>1055</v>
      </c>
      <c r="C22" s="1302"/>
      <c r="D22" s="1301">
        <v>23</v>
      </c>
      <c r="E22" s="1301">
        <v>20700</v>
      </c>
    </row>
    <row r="23" spans="1:5" hidden="1" x14ac:dyDescent="0.25">
      <c r="A23" s="1301" t="s">
        <v>1036</v>
      </c>
      <c r="B23" s="1301" t="s">
        <v>1056</v>
      </c>
      <c r="C23" s="1302"/>
      <c r="D23" s="1301">
        <v>17</v>
      </c>
      <c r="E23" s="1301">
        <v>15300</v>
      </c>
    </row>
    <row r="24" spans="1:5" hidden="1" x14ac:dyDescent="0.25">
      <c r="A24" s="1301" t="s">
        <v>1057</v>
      </c>
      <c r="B24" s="1301" t="s">
        <v>1058</v>
      </c>
      <c r="C24" s="1302"/>
      <c r="D24" s="1301"/>
      <c r="E24" s="1301">
        <v>120.13</v>
      </c>
    </row>
    <row r="25" spans="1:5" hidden="1" x14ac:dyDescent="0.25">
      <c r="A25" s="1301" t="s">
        <v>1059</v>
      </c>
      <c r="B25" s="1301" t="s">
        <v>1060</v>
      </c>
      <c r="C25" s="1302"/>
      <c r="D25" s="1301">
        <v>3</v>
      </c>
      <c r="E25" s="1301">
        <v>4237.29</v>
      </c>
    </row>
    <row r="26" spans="1:5" hidden="1" x14ac:dyDescent="0.25">
      <c r="A26" s="1301" t="s">
        <v>1046</v>
      </c>
      <c r="B26" s="1301" t="s">
        <v>1061</v>
      </c>
      <c r="C26" s="1302"/>
      <c r="D26" s="1301">
        <v>6</v>
      </c>
      <c r="E26" s="1301">
        <v>9588</v>
      </c>
    </row>
    <row r="27" spans="1:5" hidden="1" x14ac:dyDescent="0.25">
      <c r="A27" s="1301" t="s">
        <v>1046</v>
      </c>
      <c r="B27" s="1301" t="s">
        <v>1062</v>
      </c>
      <c r="C27" s="1302"/>
      <c r="D27" s="1301">
        <v>4</v>
      </c>
      <c r="E27" s="1301">
        <v>6392</v>
      </c>
    </row>
    <row r="28" spans="1:5" hidden="1" x14ac:dyDescent="0.25">
      <c r="A28" s="1301" t="s">
        <v>1046</v>
      </c>
      <c r="B28" s="1301" t="s">
        <v>1063</v>
      </c>
      <c r="C28" s="1302"/>
      <c r="D28" s="1301">
        <v>8.4</v>
      </c>
      <c r="E28" s="1301">
        <v>13448</v>
      </c>
    </row>
    <row r="29" spans="1:5" hidden="1" x14ac:dyDescent="0.25">
      <c r="A29" s="1301" t="s">
        <v>1046</v>
      </c>
      <c r="B29" s="1301" t="s">
        <v>1064</v>
      </c>
      <c r="C29" s="1302"/>
      <c r="D29" s="1301">
        <v>6</v>
      </c>
      <c r="E29" s="1301">
        <v>9588</v>
      </c>
    </row>
    <row r="30" spans="1:5" hidden="1" x14ac:dyDescent="0.25">
      <c r="A30" s="1301" t="s">
        <v>1036</v>
      </c>
      <c r="B30" s="1301" t="s">
        <v>1065</v>
      </c>
      <c r="C30" s="1302"/>
      <c r="D30" s="1301">
        <v>7</v>
      </c>
      <c r="E30" s="1301">
        <v>6300</v>
      </c>
    </row>
    <row r="31" spans="1:5" hidden="1" x14ac:dyDescent="0.25">
      <c r="A31" s="1301" t="s">
        <v>1036</v>
      </c>
      <c r="B31" s="1301" t="s">
        <v>1040</v>
      </c>
      <c r="C31" s="1302"/>
      <c r="D31" s="1301">
        <v>16</v>
      </c>
      <c r="E31" s="1301">
        <v>14400</v>
      </c>
    </row>
    <row r="32" spans="1:5" hidden="1" x14ac:dyDescent="0.25">
      <c r="A32" s="1301" t="s">
        <v>1049</v>
      </c>
      <c r="B32" s="1301" t="s">
        <v>1066</v>
      </c>
      <c r="C32" s="1302"/>
      <c r="D32" s="1301">
        <v>0.25</v>
      </c>
      <c r="E32" s="1301">
        <v>296.61</v>
      </c>
    </row>
    <row r="33" spans="1:5" hidden="1" x14ac:dyDescent="0.25">
      <c r="A33" s="1301" t="s">
        <v>1046</v>
      </c>
      <c r="B33" s="1301" t="s">
        <v>1067</v>
      </c>
      <c r="C33" s="1302"/>
      <c r="D33" s="1301">
        <v>3.5</v>
      </c>
      <c r="E33" s="1301">
        <v>5593</v>
      </c>
    </row>
    <row r="34" spans="1:5" hidden="1" x14ac:dyDescent="0.25">
      <c r="A34" s="1301" t="s">
        <v>1049</v>
      </c>
      <c r="B34" s="1301" t="s">
        <v>1068</v>
      </c>
      <c r="C34" s="1302"/>
      <c r="D34" s="1301">
        <v>1</v>
      </c>
      <c r="E34" s="1301">
        <v>1186.44</v>
      </c>
    </row>
    <row r="35" spans="1:5" hidden="1" x14ac:dyDescent="0.25">
      <c r="A35" s="1303" t="s">
        <v>1069</v>
      </c>
      <c r="B35" s="1303"/>
      <c r="C35" s="1304"/>
      <c r="D35" s="1303">
        <f>SUM(D7:D34)</f>
        <v>223.95000000000002</v>
      </c>
      <c r="E35" s="1303">
        <f>SUM(E7:E34)</f>
        <v>251962.59</v>
      </c>
    </row>
    <row r="36" spans="1:5" hidden="1" x14ac:dyDescent="0.25">
      <c r="A36" s="1296"/>
      <c r="B36" s="1305" t="s">
        <v>1070</v>
      </c>
      <c r="C36" s="1306"/>
      <c r="D36" s="1298"/>
      <c r="E36" s="1298"/>
    </row>
    <row r="37" spans="1:5" hidden="1" x14ac:dyDescent="0.25">
      <c r="A37" s="1299" t="s">
        <v>1027</v>
      </c>
      <c r="B37" s="1299" t="s">
        <v>1028</v>
      </c>
      <c r="C37" s="1299" t="s">
        <v>1029</v>
      </c>
      <c r="D37" s="1299" t="s">
        <v>45</v>
      </c>
      <c r="E37" s="1299" t="s">
        <v>45</v>
      </c>
    </row>
    <row r="38" spans="1:5" hidden="1" x14ac:dyDescent="0.25">
      <c r="A38" s="1300" t="s">
        <v>1031</v>
      </c>
      <c r="B38" s="1300" t="s">
        <v>1032</v>
      </c>
      <c r="C38" s="1300"/>
      <c r="D38" s="1300" t="s">
        <v>181</v>
      </c>
      <c r="E38" s="1300" t="s">
        <v>181</v>
      </c>
    </row>
    <row r="39" spans="1:5" hidden="1" x14ac:dyDescent="0.25">
      <c r="A39" s="1301" t="s">
        <v>1033</v>
      </c>
      <c r="B39" s="1301" t="s">
        <v>1071</v>
      </c>
      <c r="C39" s="1302" t="s">
        <v>1072</v>
      </c>
      <c r="D39" s="1301">
        <v>8</v>
      </c>
      <c r="E39" s="1301">
        <v>9048</v>
      </c>
    </row>
    <row r="40" spans="1:5" hidden="1" x14ac:dyDescent="0.25">
      <c r="A40" s="1301" t="s">
        <v>1033</v>
      </c>
      <c r="B40" s="1301" t="s">
        <v>1073</v>
      </c>
      <c r="C40" s="1302" t="s">
        <v>1072</v>
      </c>
      <c r="D40" s="1301">
        <v>2.5</v>
      </c>
      <c r="E40" s="1301">
        <v>2827.5</v>
      </c>
    </row>
    <row r="41" spans="1:5" hidden="1" x14ac:dyDescent="0.25">
      <c r="A41" s="1301" t="s">
        <v>1033</v>
      </c>
      <c r="B41" s="1301" t="s">
        <v>1074</v>
      </c>
      <c r="C41" s="1302" t="s">
        <v>1075</v>
      </c>
      <c r="D41" s="1301">
        <v>16</v>
      </c>
      <c r="E41" s="1301">
        <v>18096</v>
      </c>
    </row>
    <row r="42" spans="1:5" hidden="1" x14ac:dyDescent="0.25">
      <c r="A42" s="1301" t="s">
        <v>1076</v>
      </c>
      <c r="B42" s="1301" t="s">
        <v>1077</v>
      </c>
      <c r="C42" s="1302" t="s">
        <v>1078</v>
      </c>
      <c r="D42" s="1301">
        <v>7</v>
      </c>
      <c r="E42" s="1301">
        <v>6300</v>
      </c>
    </row>
    <row r="43" spans="1:5" hidden="1" x14ac:dyDescent="0.25">
      <c r="A43" s="1301" t="s">
        <v>1079</v>
      </c>
      <c r="B43" s="1301" t="s">
        <v>1080</v>
      </c>
      <c r="C43" s="1302" t="s">
        <v>1081</v>
      </c>
      <c r="D43" s="1301">
        <v>3</v>
      </c>
      <c r="E43" s="1301">
        <v>4200</v>
      </c>
    </row>
    <row r="44" spans="1:5" hidden="1" x14ac:dyDescent="0.25">
      <c r="A44" s="1301" t="s">
        <v>1082</v>
      </c>
      <c r="B44" s="1301" t="s">
        <v>1083</v>
      </c>
      <c r="C44" s="1302" t="s">
        <v>1084</v>
      </c>
      <c r="D44" s="1301">
        <v>27</v>
      </c>
      <c r="E44" s="1301">
        <v>31872.15</v>
      </c>
    </row>
    <row r="45" spans="1:5" hidden="1" x14ac:dyDescent="0.25">
      <c r="A45" s="1301" t="s">
        <v>1085</v>
      </c>
      <c r="B45" s="1301" t="s">
        <v>1086</v>
      </c>
      <c r="C45" s="1302" t="s">
        <v>1078</v>
      </c>
      <c r="D45" s="1301">
        <v>40</v>
      </c>
      <c r="E45" s="1301">
        <v>47218</v>
      </c>
    </row>
    <row r="46" spans="1:5" hidden="1" x14ac:dyDescent="0.25">
      <c r="A46" s="1301" t="s">
        <v>1076</v>
      </c>
      <c r="B46" s="1301" t="s">
        <v>1087</v>
      </c>
      <c r="C46" s="1302" t="s">
        <v>1078</v>
      </c>
      <c r="D46" s="1301">
        <v>9</v>
      </c>
      <c r="E46" s="1301">
        <v>8100</v>
      </c>
    </row>
    <row r="47" spans="1:5" hidden="1" x14ac:dyDescent="0.25">
      <c r="A47" s="1301" t="s">
        <v>1082</v>
      </c>
      <c r="B47" s="1301" t="s">
        <v>1088</v>
      </c>
      <c r="C47" s="1302" t="s">
        <v>1084</v>
      </c>
      <c r="D47" s="1301">
        <v>7</v>
      </c>
      <c r="E47" s="1301">
        <v>8400</v>
      </c>
    </row>
    <row r="48" spans="1:5" hidden="1" x14ac:dyDescent="0.25">
      <c r="A48" s="1301" t="s">
        <v>1089</v>
      </c>
      <c r="B48" s="1301" t="s">
        <v>1090</v>
      </c>
      <c r="C48" s="1302" t="s">
        <v>1078</v>
      </c>
      <c r="D48" s="1301">
        <v>168</v>
      </c>
      <c r="E48" s="1301">
        <v>102656.4</v>
      </c>
    </row>
    <row r="49" spans="1:5" hidden="1" x14ac:dyDescent="0.25">
      <c r="A49" s="1301" t="s">
        <v>1089</v>
      </c>
      <c r="B49" s="1301" t="s">
        <v>1091</v>
      </c>
      <c r="C49" s="1302" t="s">
        <v>1078</v>
      </c>
      <c r="D49" s="1301">
        <v>176</v>
      </c>
      <c r="E49" s="1301">
        <v>211200</v>
      </c>
    </row>
    <row r="50" spans="1:5" hidden="1" x14ac:dyDescent="0.25">
      <c r="A50" s="1301" t="s">
        <v>1092</v>
      </c>
      <c r="B50" s="1301" t="s">
        <v>1093</v>
      </c>
      <c r="C50" s="1302" t="s">
        <v>1094</v>
      </c>
      <c r="D50" s="1301">
        <v>0.5</v>
      </c>
      <c r="E50" s="1301">
        <v>593.22</v>
      </c>
    </row>
    <row r="51" spans="1:5" hidden="1" x14ac:dyDescent="0.25">
      <c r="A51" s="1301" t="s">
        <v>1095</v>
      </c>
      <c r="B51" s="1301" t="s">
        <v>1096</v>
      </c>
      <c r="C51" s="1302" t="s">
        <v>1097</v>
      </c>
      <c r="D51" s="1301">
        <v>2</v>
      </c>
      <c r="E51" s="1301">
        <v>465.76</v>
      </c>
    </row>
    <row r="52" spans="1:5" hidden="1" x14ac:dyDescent="0.25">
      <c r="A52" s="1301" t="s">
        <v>1033</v>
      </c>
      <c r="B52" s="1301" t="s">
        <v>1098</v>
      </c>
      <c r="C52" s="1302" t="s">
        <v>1099</v>
      </c>
      <c r="D52" s="1301">
        <v>4</v>
      </c>
      <c r="E52" s="1301">
        <v>6392</v>
      </c>
    </row>
    <row r="53" spans="1:5" hidden="1" x14ac:dyDescent="0.25">
      <c r="A53" s="1301" t="s">
        <v>1076</v>
      </c>
      <c r="B53" s="1301" t="s">
        <v>1100</v>
      </c>
      <c r="C53" s="1302" t="s">
        <v>1101</v>
      </c>
      <c r="D53" s="1301">
        <v>2</v>
      </c>
      <c r="E53" s="1301">
        <v>1800</v>
      </c>
    </row>
    <row r="54" spans="1:5" hidden="1" x14ac:dyDescent="0.25">
      <c r="A54" s="1301" t="s">
        <v>1033</v>
      </c>
      <c r="B54" s="1301" t="s">
        <v>1102</v>
      </c>
      <c r="C54" s="1302" t="s">
        <v>1103</v>
      </c>
      <c r="D54" s="1301">
        <v>21</v>
      </c>
      <c r="E54" s="1301">
        <v>2262</v>
      </c>
    </row>
    <row r="55" spans="1:5" hidden="1" x14ac:dyDescent="0.25">
      <c r="A55" s="1301" t="s">
        <v>1059</v>
      </c>
      <c r="B55" s="1301" t="s">
        <v>1104</v>
      </c>
      <c r="C55" s="1302" t="s">
        <v>1105</v>
      </c>
      <c r="D55" s="1301">
        <v>3</v>
      </c>
      <c r="E55" s="1301">
        <v>6355.93</v>
      </c>
    </row>
    <row r="56" spans="1:5" hidden="1" x14ac:dyDescent="0.25">
      <c r="A56" s="1301" t="s">
        <v>1059</v>
      </c>
      <c r="B56" s="1301" t="s">
        <v>1104</v>
      </c>
      <c r="C56" s="1302" t="s">
        <v>1106</v>
      </c>
      <c r="D56" s="1301">
        <v>14</v>
      </c>
      <c r="E56" s="1301">
        <v>29661.02</v>
      </c>
    </row>
    <row r="57" spans="1:5" hidden="1" x14ac:dyDescent="0.25">
      <c r="A57" s="1301" t="s">
        <v>1092</v>
      </c>
      <c r="B57" s="1301" t="s">
        <v>1107</v>
      </c>
      <c r="C57" s="1302" t="s">
        <v>1108</v>
      </c>
      <c r="D57" s="1301">
        <v>1</v>
      </c>
      <c r="E57" s="1301">
        <v>677.97</v>
      </c>
    </row>
    <row r="58" spans="1:5" hidden="1" x14ac:dyDescent="0.25">
      <c r="A58" s="1301" t="s">
        <v>1033</v>
      </c>
      <c r="B58" s="1301" t="s">
        <v>1109</v>
      </c>
      <c r="C58" s="1302" t="s">
        <v>1110</v>
      </c>
      <c r="D58" s="1301">
        <v>1</v>
      </c>
      <c r="E58" s="1301">
        <v>1131</v>
      </c>
    </row>
    <row r="59" spans="1:5" hidden="1" x14ac:dyDescent="0.25">
      <c r="A59" s="1301" t="s">
        <v>1076</v>
      </c>
      <c r="B59" s="1301" t="s">
        <v>1111</v>
      </c>
      <c r="C59" s="1302" t="s">
        <v>1110</v>
      </c>
      <c r="D59" s="1301">
        <v>12</v>
      </c>
      <c r="E59" s="1301">
        <v>10800</v>
      </c>
    </row>
    <row r="60" spans="1:5" hidden="1" x14ac:dyDescent="0.25">
      <c r="A60" s="1301" t="s">
        <v>1076</v>
      </c>
      <c r="B60" s="1301" t="s">
        <v>1112</v>
      </c>
      <c r="C60" s="1302" t="s">
        <v>1110</v>
      </c>
      <c r="D60" s="1301">
        <v>3</v>
      </c>
      <c r="E60" s="1301">
        <v>2700</v>
      </c>
    </row>
    <row r="61" spans="1:5" hidden="1" x14ac:dyDescent="0.25">
      <c r="A61" s="1301" t="s">
        <v>1082</v>
      </c>
      <c r="B61" s="1301" t="s">
        <v>1113</v>
      </c>
      <c r="C61" s="1302" t="s">
        <v>1108</v>
      </c>
      <c r="D61" s="1301">
        <v>8</v>
      </c>
      <c r="E61" s="1301">
        <v>9600</v>
      </c>
    </row>
    <row r="62" spans="1:5" hidden="1" x14ac:dyDescent="0.25">
      <c r="A62" s="1301" t="s">
        <v>1092</v>
      </c>
      <c r="B62" s="1301" t="s">
        <v>1114</v>
      </c>
      <c r="C62" s="1302" t="s">
        <v>1115</v>
      </c>
      <c r="D62" s="1301">
        <v>3</v>
      </c>
      <c r="E62" s="1301">
        <v>2033.9</v>
      </c>
    </row>
    <row r="63" spans="1:5" hidden="1" x14ac:dyDescent="0.25">
      <c r="A63" s="1301" t="s">
        <v>1033</v>
      </c>
      <c r="B63" s="1301" t="s">
        <v>1116</v>
      </c>
      <c r="C63" s="1302" t="s">
        <v>1117</v>
      </c>
      <c r="D63" s="1307">
        <v>2.5</v>
      </c>
      <c r="E63" s="1301">
        <v>2827.5</v>
      </c>
    </row>
    <row r="64" spans="1:5" hidden="1" x14ac:dyDescent="0.25">
      <c r="A64" s="1303" t="s">
        <v>1118</v>
      </c>
      <c r="B64" s="1303"/>
      <c r="C64" s="1303"/>
      <c r="D64" s="1303">
        <f>SUM(D39:D63)</f>
        <v>540.5</v>
      </c>
      <c r="E64" s="1303">
        <f>SUM(E39:E63)</f>
        <v>527218.35</v>
      </c>
    </row>
    <row r="65" spans="1:5" hidden="1" x14ac:dyDescent="0.25">
      <c r="A65" s="1308" t="s">
        <v>1119</v>
      </c>
      <c r="B65" s="1303"/>
      <c r="C65" s="1303"/>
      <c r="D65" s="1303">
        <f>D35+D64</f>
        <v>764.45</v>
      </c>
      <c r="E65" s="1303">
        <f>E35+E64</f>
        <v>779180.94</v>
      </c>
    </row>
    <row r="66" spans="1:5" hidden="1" x14ac:dyDescent="0.25">
      <c r="B66" s="1305" t="s">
        <v>1120</v>
      </c>
    </row>
    <row r="67" spans="1:5" hidden="1" x14ac:dyDescent="0.25">
      <c r="A67" s="1299" t="s">
        <v>1027</v>
      </c>
      <c r="B67" s="1299" t="s">
        <v>1028</v>
      </c>
      <c r="C67" s="1299" t="s">
        <v>1029</v>
      </c>
      <c r="D67" s="1299" t="s">
        <v>1030</v>
      </c>
      <c r="E67" s="1299" t="s">
        <v>45</v>
      </c>
    </row>
    <row r="68" spans="1:5" hidden="1" x14ac:dyDescent="0.25">
      <c r="A68" s="1300" t="s">
        <v>1031</v>
      </c>
      <c r="B68" s="1300" t="s">
        <v>1032</v>
      </c>
      <c r="C68" s="1300"/>
      <c r="D68" s="1300"/>
      <c r="E68" s="1300" t="s">
        <v>181</v>
      </c>
    </row>
    <row r="69" spans="1:5" hidden="1" x14ac:dyDescent="0.25">
      <c r="A69" s="1301"/>
      <c r="B69" s="1301"/>
      <c r="C69" s="1301"/>
      <c r="D69" s="1301"/>
      <c r="E69" s="1301"/>
    </row>
    <row r="70" spans="1:5" hidden="1" x14ac:dyDescent="0.25">
      <c r="A70" s="1301" t="s">
        <v>1121</v>
      </c>
      <c r="B70" s="1301" t="s">
        <v>1122</v>
      </c>
      <c r="C70" s="1301" t="s">
        <v>1035</v>
      </c>
      <c r="D70" s="1301">
        <v>48</v>
      </c>
      <c r="E70" s="1301">
        <v>29330.400000000001</v>
      </c>
    </row>
    <row r="71" spans="1:5" hidden="1" x14ac:dyDescent="0.25">
      <c r="A71" s="1301" t="s">
        <v>1082</v>
      </c>
      <c r="B71" s="1301" t="s">
        <v>1123</v>
      </c>
      <c r="C71" s="1302" t="s">
        <v>1038</v>
      </c>
      <c r="D71" s="1301">
        <v>7.5</v>
      </c>
      <c r="E71" s="1301">
        <v>9000</v>
      </c>
    </row>
    <row r="72" spans="1:5" hidden="1" x14ac:dyDescent="0.25">
      <c r="A72" s="1301" t="s">
        <v>1082</v>
      </c>
      <c r="B72" s="1301" t="s">
        <v>1123</v>
      </c>
      <c r="C72" s="1302" t="s">
        <v>1038</v>
      </c>
      <c r="D72" s="1301">
        <v>2</v>
      </c>
      <c r="E72" s="1301">
        <v>2400</v>
      </c>
    </row>
    <row r="73" spans="1:5" hidden="1" x14ac:dyDescent="0.25">
      <c r="A73" s="1301" t="s">
        <v>1124</v>
      </c>
      <c r="B73" s="1301" t="s">
        <v>1125</v>
      </c>
      <c r="C73" s="1302" t="s">
        <v>1038</v>
      </c>
      <c r="D73" s="1301">
        <v>2</v>
      </c>
      <c r="E73" s="1301">
        <v>1800</v>
      </c>
    </row>
    <row r="74" spans="1:5" hidden="1" x14ac:dyDescent="0.25">
      <c r="A74" s="1301" t="s">
        <v>1126</v>
      </c>
      <c r="B74" s="1301" t="s">
        <v>1127</v>
      </c>
      <c r="C74" s="1302" t="s">
        <v>1128</v>
      </c>
      <c r="D74" s="1301">
        <v>15</v>
      </c>
      <c r="E74" s="1301">
        <v>30000</v>
      </c>
    </row>
    <row r="75" spans="1:5" hidden="1" x14ac:dyDescent="0.25">
      <c r="A75" s="1301" t="s">
        <v>1129</v>
      </c>
      <c r="B75" s="1301" t="s">
        <v>1130</v>
      </c>
      <c r="C75" s="1302" t="s">
        <v>1131</v>
      </c>
      <c r="D75" s="1301">
        <v>8</v>
      </c>
      <c r="E75" s="1301">
        <v>12000</v>
      </c>
    </row>
    <row r="76" spans="1:5" hidden="1" x14ac:dyDescent="0.25">
      <c r="A76" s="1301" t="s">
        <v>1095</v>
      </c>
      <c r="B76" s="1301" t="s">
        <v>1132</v>
      </c>
      <c r="C76" s="1302" t="s">
        <v>1133</v>
      </c>
      <c r="D76" s="1301">
        <v>2</v>
      </c>
      <c r="E76" s="1301">
        <v>550.79999999999995</v>
      </c>
    </row>
    <row r="77" spans="1:5" hidden="1" x14ac:dyDescent="0.25">
      <c r="A77" s="1301" t="s">
        <v>1076</v>
      </c>
      <c r="B77" s="1301" t="s">
        <v>1134</v>
      </c>
      <c r="C77" s="1302" t="s">
        <v>1135</v>
      </c>
      <c r="D77" s="1301">
        <v>4</v>
      </c>
      <c r="E77" s="1301">
        <v>3600</v>
      </c>
    </row>
    <row r="78" spans="1:5" hidden="1" x14ac:dyDescent="0.25">
      <c r="A78" s="1301" t="s">
        <v>1082</v>
      </c>
      <c r="B78" s="1301" t="s">
        <v>1123</v>
      </c>
      <c r="C78" s="1302" t="s">
        <v>1136</v>
      </c>
      <c r="D78" s="1301">
        <v>15.5</v>
      </c>
      <c r="E78" s="1301">
        <v>18600</v>
      </c>
    </row>
    <row r="79" spans="1:5" hidden="1" x14ac:dyDescent="0.25">
      <c r="A79" s="1301" t="s">
        <v>1137</v>
      </c>
      <c r="B79" s="1301" t="s">
        <v>1125</v>
      </c>
      <c r="C79" s="1302" t="s">
        <v>1138</v>
      </c>
      <c r="D79" s="1301">
        <v>8</v>
      </c>
      <c r="E79" s="1301">
        <v>7200</v>
      </c>
    </row>
    <row r="80" spans="1:5" hidden="1" x14ac:dyDescent="0.25">
      <c r="A80" s="1301" t="s">
        <v>1139</v>
      </c>
      <c r="B80" s="1301" t="s">
        <v>1140</v>
      </c>
      <c r="C80" s="1302" t="s">
        <v>1141</v>
      </c>
      <c r="D80" s="1301">
        <v>14</v>
      </c>
      <c r="E80" s="1301">
        <v>16572.849999999999</v>
      </c>
    </row>
    <row r="81" spans="1:5" hidden="1" x14ac:dyDescent="0.25">
      <c r="A81" s="1301" t="s">
        <v>1137</v>
      </c>
      <c r="B81" s="1301" t="s">
        <v>1142</v>
      </c>
      <c r="C81" s="1302" t="s">
        <v>1136</v>
      </c>
      <c r="D81" s="1301">
        <v>2</v>
      </c>
      <c r="E81" s="1301">
        <v>1800</v>
      </c>
    </row>
    <row r="82" spans="1:5" hidden="1" x14ac:dyDescent="0.25">
      <c r="A82" s="1301" t="s">
        <v>1033</v>
      </c>
      <c r="B82" s="1301" t="s">
        <v>1143</v>
      </c>
      <c r="C82" s="1302" t="s">
        <v>1144</v>
      </c>
      <c r="D82" s="1301">
        <v>29</v>
      </c>
      <c r="E82" s="1301">
        <v>32799</v>
      </c>
    </row>
    <row r="83" spans="1:5" hidden="1" x14ac:dyDescent="0.25">
      <c r="A83" s="1301" t="s">
        <v>1137</v>
      </c>
      <c r="B83" s="1301" t="s">
        <v>1145</v>
      </c>
      <c r="C83" s="1302" t="s">
        <v>1136</v>
      </c>
      <c r="D83" s="1301">
        <v>11</v>
      </c>
      <c r="E83" s="1301">
        <v>9900</v>
      </c>
    </row>
    <row r="84" spans="1:5" hidden="1" x14ac:dyDescent="0.25">
      <c r="A84" s="1301" t="s">
        <v>1033</v>
      </c>
      <c r="B84" s="1301" t="s">
        <v>1146</v>
      </c>
      <c r="C84" s="1302" t="s">
        <v>1147</v>
      </c>
      <c r="D84" s="1301">
        <v>3</v>
      </c>
      <c r="E84" s="1301">
        <v>3393</v>
      </c>
    </row>
    <row r="85" spans="1:5" hidden="1" x14ac:dyDescent="0.25">
      <c r="A85" s="1301" t="s">
        <v>1137</v>
      </c>
      <c r="B85" s="1301" t="s">
        <v>1148</v>
      </c>
      <c r="C85" s="1302" t="s">
        <v>1136</v>
      </c>
      <c r="D85" s="1301">
        <v>15</v>
      </c>
      <c r="E85" s="1301">
        <v>13500</v>
      </c>
    </row>
    <row r="86" spans="1:5" hidden="1" x14ac:dyDescent="0.25">
      <c r="A86" s="1301" t="s">
        <v>1137</v>
      </c>
      <c r="B86" s="1301" t="s">
        <v>1149</v>
      </c>
      <c r="C86" s="1302" t="s">
        <v>1136</v>
      </c>
      <c r="D86" s="1301">
        <v>9</v>
      </c>
      <c r="E86" s="1301">
        <v>8100</v>
      </c>
    </row>
    <row r="87" spans="1:5" hidden="1" x14ac:dyDescent="0.25">
      <c r="A87" s="1301" t="s">
        <v>1137</v>
      </c>
      <c r="B87" s="1301" t="s">
        <v>1150</v>
      </c>
      <c r="C87" s="1302" t="s">
        <v>1136</v>
      </c>
      <c r="D87" s="1301">
        <v>2</v>
      </c>
      <c r="E87" s="1301">
        <v>1800</v>
      </c>
    </row>
    <row r="88" spans="1:5" hidden="1" x14ac:dyDescent="0.25">
      <c r="A88" s="1301" t="s">
        <v>1129</v>
      </c>
      <c r="B88" s="1301" t="s">
        <v>1151</v>
      </c>
      <c r="C88" s="1302" t="s">
        <v>1141</v>
      </c>
      <c r="D88" s="1301">
        <v>3</v>
      </c>
      <c r="E88" s="1301">
        <v>5100</v>
      </c>
    </row>
    <row r="89" spans="1:5" hidden="1" x14ac:dyDescent="0.25">
      <c r="A89" s="1303" t="s">
        <v>1152</v>
      </c>
      <c r="B89" s="1303"/>
      <c r="C89" s="1304"/>
      <c r="D89" s="1303">
        <f>SUM(D70:D88)</f>
        <v>200</v>
      </c>
      <c r="E89" s="1303">
        <f>SUM(E70:E88)</f>
        <v>207446.05</v>
      </c>
    </row>
    <row r="90" spans="1:5" hidden="1" x14ac:dyDescent="0.25">
      <c r="A90" s="1308" t="s">
        <v>1153</v>
      </c>
      <c r="B90" s="1303"/>
      <c r="C90" s="1303"/>
      <c r="D90" s="1303">
        <f>D65+D89</f>
        <v>964.45</v>
      </c>
      <c r="E90" s="1303">
        <f>E65+E89</f>
        <v>986626.99</v>
      </c>
    </row>
    <row r="91" spans="1:5" hidden="1" x14ac:dyDescent="0.25">
      <c r="A91" s="1309"/>
      <c r="B91" s="1308" t="s">
        <v>1154</v>
      </c>
      <c r="C91" s="1309"/>
      <c r="D91" s="1309"/>
      <c r="E91" s="1309"/>
    </row>
    <row r="92" spans="1:5" hidden="1" x14ac:dyDescent="0.25">
      <c r="A92" s="1299" t="s">
        <v>1027</v>
      </c>
      <c r="B92" s="1299" t="s">
        <v>1028</v>
      </c>
      <c r="C92" s="1299" t="s">
        <v>1029</v>
      </c>
      <c r="D92" s="1299" t="s">
        <v>1030</v>
      </c>
      <c r="E92" s="1299" t="s">
        <v>45</v>
      </c>
    </row>
    <row r="93" spans="1:5" hidden="1" x14ac:dyDescent="0.25">
      <c r="A93" s="1300" t="s">
        <v>1031</v>
      </c>
      <c r="B93" s="1300" t="s">
        <v>1032</v>
      </c>
      <c r="C93" s="1300"/>
      <c r="D93" s="1300"/>
      <c r="E93" s="1300" t="s">
        <v>181</v>
      </c>
    </row>
    <row r="94" spans="1:5" hidden="1" x14ac:dyDescent="0.25">
      <c r="A94" s="1301"/>
      <c r="B94" s="1301"/>
      <c r="C94" s="1301"/>
      <c r="D94" s="1301"/>
      <c r="E94" s="1301"/>
    </row>
    <row r="95" spans="1:5" hidden="1" x14ac:dyDescent="0.25">
      <c r="A95" s="1301" t="s">
        <v>1079</v>
      </c>
      <c r="B95" s="1301" t="s">
        <v>1155</v>
      </c>
      <c r="C95" s="1301" t="s">
        <v>1035</v>
      </c>
      <c r="D95" s="1301">
        <v>1</v>
      </c>
      <c r="E95" s="1301">
        <v>1400</v>
      </c>
    </row>
    <row r="96" spans="1:5" hidden="1" x14ac:dyDescent="0.25">
      <c r="A96" s="1301" t="s">
        <v>1156</v>
      </c>
      <c r="B96" s="1301" t="s">
        <v>1157</v>
      </c>
      <c r="C96" s="1302" t="s">
        <v>1038</v>
      </c>
      <c r="D96" s="1301">
        <v>1</v>
      </c>
      <c r="E96" s="1301">
        <v>2118.64</v>
      </c>
    </row>
    <row r="97" spans="1:5" hidden="1" x14ac:dyDescent="0.25">
      <c r="A97" s="1301" t="s">
        <v>1082</v>
      </c>
      <c r="B97" s="1301" t="s">
        <v>1158</v>
      </c>
      <c r="C97" s="1302" t="s">
        <v>1038</v>
      </c>
      <c r="D97" s="1301">
        <v>2</v>
      </c>
      <c r="E97" s="1301">
        <v>2400</v>
      </c>
    </row>
    <row r="98" spans="1:5" hidden="1" x14ac:dyDescent="0.25">
      <c r="A98" s="1301" t="s">
        <v>1124</v>
      </c>
      <c r="B98" s="1301" t="s">
        <v>1159</v>
      </c>
      <c r="C98" s="1302"/>
      <c r="D98" s="1301">
        <v>18</v>
      </c>
      <c r="E98" s="1301">
        <v>16200</v>
      </c>
    </row>
    <row r="99" spans="1:5" hidden="1" x14ac:dyDescent="0.25">
      <c r="A99" s="1301" t="s">
        <v>1124</v>
      </c>
      <c r="B99" s="1301" t="s">
        <v>1160</v>
      </c>
      <c r="C99" s="1302"/>
      <c r="D99" s="1301">
        <v>12</v>
      </c>
      <c r="E99" s="1301">
        <v>10800</v>
      </c>
    </row>
    <row r="100" spans="1:5" hidden="1" x14ac:dyDescent="0.25">
      <c r="A100" s="1301" t="s">
        <v>1124</v>
      </c>
      <c r="B100" s="1301" t="s">
        <v>1161</v>
      </c>
      <c r="C100" s="1302"/>
      <c r="D100" s="1301">
        <v>4</v>
      </c>
      <c r="E100" s="1301">
        <v>3600</v>
      </c>
    </row>
    <row r="101" spans="1:5" hidden="1" x14ac:dyDescent="0.25">
      <c r="A101" s="1301" t="s">
        <v>1124</v>
      </c>
      <c r="B101" s="1301" t="s">
        <v>1162</v>
      </c>
      <c r="C101" s="1302"/>
      <c r="D101" s="1301">
        <v>3</v>
      </c>
      <c r="E101" s="1301">
        <v>2700</v>
      </c>
    </row>
    <row r="102" spans="1:5" hidden="1" x14ac:dyDescent="0.25">
      <c r="A102" s="1301" t="s">
        <v>1124</v>
      </c>
      <c r="B102" s="1301" t="s">
        <v>1163</v>
      </c>
      <c r="C102" s="1302"/>
      <c r="D102" s="1301">
        <v>3</v>
      </c>
      <c r="E102" s="1301">
        <v>2700</v>
      </c>
    </row>
    <row r="103" spans="1:5" hidden="1" x14ac:dyDescent="0.25">
      <c r="A103" s="1301" t="s">
        <v>1124</v>
      </c>
      <c r="B103" s="1301" t="s">
        <v>1164</v>
      </c>
      <c r="C103" s="1302"/>
      <c r="D103" s="1301">
        <v>2</v>
      </c>
      <c r="E103" s="1301">
        <v>1800</v>
      </c>
    </row>
    <row r="104" spans="1:5" hidden="1" x14ac:dyDescent="0.25">
      <c r="A104" s="1301" t="s">
        <v>1165</v>
      </c>
      <c r="B104" s="1301" t="s">
        <v>1166</v>
      </c>
      <c r="C104" s="1302"/>
      <c r="D104" s="1301">
        <v>5</v>
      </c>
      <c r="E104" s="1301">
        <v>7990</v>
      </c>
    </row>
    <row r="105" spans="1:5" hidden="1" x14ac:dyDescent="0.25">
      <c r="A105" s="1301" t="s">
        <v>1092</v>
      </c>
      <c r="B105" s="1301" t="s">
        <v>1167</v>
      </c>
      <c r="C105" s="1302"/>
      <c r="D105" s="1301">
        <v>1.5</v>
      </c>
      <c r="E105" s="1301">
        <v>1779.66</v>
      </c>
    </row>
    <row r="106" spans="1:5" hidden="1" x14ac:dyDescent="0.25">
      <c r="A106" s="1301" t="s">
        <v>1168</v>
      </c>
      <c r="B106" s="1301" t="s">
        <v>1169</v>
      </c>
      <c r="C106" s="1302"/>
      <c r="D106" s="1301">
        <v>0.5</v>
      </c>
      <c r="E106" s="1301">
        <v>550.79999999999995</v>
      </c>
    </row>
    <row r="107" spans="1:5" hidden="1" x14ac:dyDescent="0.25">
      <c r="A107" s="1301" t="s">
        <v>1170</v>
      </c>
      <c r="B107" s="1301" t="s">
        <v>1171</v>
      </c>
      <c r="C107" s="1302"/>
      <c r="D107" s="1301">
        <v>3</v>
      </c>
      <c r="E107" s="1301">
        <v>3393</v>
      </c>
    </row>
    <row r="108" spans="1:5" hidden="1" x14ac:dyDescent="0.25">
      <c r="A108" s="1301" t="s">
        <v>1092</v>
      </c>
      <c r="B108" s="1301" t="s">
        <v>1172</v>
      </c>
      <c r="C108" s="1302"/>
      <c r="D108" s="1301">
        <v>1.5</v>
      </c>
      <c r="E108" s="1301">
        <v>1779.66</v>
      </c>
    </row>
    <row r="109" spans="1:5" hidden="1" x14ac:dyDescent="0.25">
      <c r="A109" s="1301" t="s">
        <v>1092</v>
      </c>
      <c r="B109" s="1301" t="s">
        <v>1173</v>
      </c>
      <c r="C109" s="1302"/>
      <c r="D109" s="1301">
        <v>3.5</v>
      </c>
      <c r="E109" s="1301">
        <v>4152.54</v>
      </c>
    </row>
    <row r="110" spans="1:5" hidden="1" x14ac:dyDescent="0.25">
      <c r="A110" s="1301"/>
      <c r="B110" s="1301"/>
      <c r="C110" s="1302"/>
      <c r="D110" s="1301"/>
      <c r="E110" s="1301"/>
    </row>
    <row r="111" spans="1:5" hidden="1" x14ac:dyDescent="0.25">
      <c r="A111" s="1303" t="s">
        <v>1174</v>
      </c>
      <c r="B111" s="1303"/>
      <c r="C111" s="1304"/>
      <c r="D111" s="1303">
        <f>SUM(D95:D109)</f>
        <v>61</v>
      </c>
      <c r="E111" s="1303">
        <f>SUM(E95:E109)</f>
        <v>63364.30000000001</v>
      </c>
    </row>
    <row r="112" spans="1:5" hidden="1" x14ac:dyDescent="0.25">
      <c r="A112" s="1310" t="s">
        <v>1175</v>
      </c>
      <c r="B112" s="1303"/>
      <c r="C112" s="1303"/>
      <c r="D112" s="1303">
        <f>D90+D111</f>
        <v>1025.45</v>
      </c>
      <c r="E112" s="1303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296"/>
      <c r="B115" s="1297" t="s">
        <v>1176</v>
      </c>
      <c r="C115" s="1296"/>
      <c r="D115" s="1298"/>
      <c r="E115" s="1298"/>
    </row>
    <row r="116" spans="1:5" hidden="1" x14ac:dyDescent="0.25">
      <c r="A116" s="1298"/>
      <c r="B116" s="1298"/>
      <c r="C116" s="1298"/>
      <c r="D116" s="1298"/>
      <c r="E116" s="1298"/>
    </row>
    <row r="117" spans="1:5" hidden="1" x14ac:dyDescent="0.25">
      <c r="A117" s="1299" t="s">
        <v>1027</v>
      </c>
      <c r="B117" s="1299" t="s">
        <v>1028</v>
      </c>
      <c r="C117" s="1299" t="s">
        <v>1029</v>
      </c>
      <c r="D117" s="1299" t="s">
        <v>1030</v>
      </c>
      <c r="E117" s="1299" t="s">
        <v>45</v>
      </c>
    </row>
    <row r="118" spans="1:5" hidden="1" x14ac:dyDescent="0.25">
      <c r="A118" s="1300" t="s">
        <v>1031</v>
      </c>
      <c r="B118" s="1300" t="s">
        <v>1032</v>
      </c>
      <c r="C118" s="1300"/>
      <c r="D118" s="1300"/>
      <c r="E118" s="1300" t="s">
        <v>181</v>
      </c>
    </row>
    <row r="119" spans="1:5" hidden="1" x14ac:dyDescent="0.25">
      <c r="A119" s="1301"/>
      <c r="B119" s="1297" t="s">
        <v>1177</v>
      </c>
      <c r="C119" s="1301"/>
      <c r="D119" s="1301"/>
      <c r="E119" s="1301"/>
    </row>
    <row r="120" spans="1:5" hidden="1" x14ac:dyDescent="0.25">
      <c r="A120" s="1301" t="s">
        <v>1178</v>
      </c>
      <c r="B120" s="1301" t="s">
        <v>1179</v>
      </c>
      <c r="C120" s="1301" t="s">
        <v>1035</v>
      </c>
      <c r="D120" s="1301">
        <v>4</v>
      </c>
      <c r="E120" s="1301">
        <v>8474.57</v>
      </c>
    </row>
    <row r="121" spans="1:5" hidden="1" x14ac:dyDescent="0.25">
      <c r="A121" s="1301" t="s">
        <v>1092</v>
      </c>
      <c r="B121" s="1301" t="s">
        <v>1180</v>
      </c>
      <c r="C121" s="1302" t="s">
        <v>1038</v>
      </c>
      <c r="D121" s="1301">
        <v>0.5</v>
      </c>
      <c r="E121" s="1301">
        <v>593.22</v>
      </c>
    </row>
    <row r="122" spans="1:5" hidden="1" x14ac:dyDescent="0.25">
      <c r="A122" s="1301" t="s">
        <v>1092</v>
      </c>
      <c r="B122" s="1301" t="s">
        <v>1181</v>
      </c>
      <c r="C122" s="1302" t="s">
        <v>1038</v>
      </c>
      <c r="D122" s="1301">
        <v>1</v>
      </c>
      <c r="E122" s="1301">
        <v>1313.56</v>
      </c>
    </row>
    <row r="123" spans="1:5" hidden="1" x14ac:dyDescent="0.25">
      <c r="A123" s="1301" t="s">
        <v>1182</v>
      </c>
      <c r="B123" s="1301" t="s">
        <v>1183</v>
      </c>
      <c r="C123" s="1302" t="s">
        <v>1038</v>
      </c>
      <c r="D123" s="1301">
        <v>1</v>
      </c>
      <c r="E123" s="1301">
        <v>1356.67</v>
      </c>
    </row>
    <row r="124" spans="1:5" hidden="1" x14ac:dyDescent="0.25">
      <c r="A124" s="1301" t="s">
        <v>1137</v>
      </c>
      <c r="B124" s="1301" t="s">
        <v>1184</v>
      </c>
      <c r="C124" s="1302" t="s">
        <v>1042</v>
      </c>
      <c r="D124" s="1301">
        <v>28</v>
      </c>
      <c r="E124" s="1301">
        <v>30800</v>
      </c>
    </row>
    <row r="125" spans="1:5" hidden="1" x14ac:dyDescent="0.25">
      <c r="A125" s="1301" t="s">
        <v>1185</v>
      </c>
      <c r="B125" s="1301" t="s">
        <v>1186</v>
      </c>
      <c r="C125" s="1302" t="s">
        <v>1038</v>
      </c>
      <c r="D125" s="1301">
        <v>27</v>
      </c>
      <c r="E125" s="1301">
        <v>35059.5</v>
      </c>
    </row>
    <row r="126" spans="1:5" hidden="1" x14ac:dyDescent="0.25">
      <c r="A126" s="1301" t="s">
        <v>1187</v>
      </c>
      <c r="B126" s="1301" t="s">
        <v>1188</v>
      </c>
      <c r="C126" s="1302" t="s">
        <v>1189</v>
      </c>
      <c r="D126" s="1301">
        <v>2</v>
      </c>
      <c r="E126" s="1301">
        <v>1803.8</v>
      </c>
    </row>
    <row r="127" spans="1:5" hidden="1" x14ac:dyDescent="0.25">
      <c r="A127" s="1301" t="s">
        <v>1124</v>
      </c>
      <c r="B127" s="1301" t="s">
        <v>1184</v>
      </c>
      <c r="C127" s="1302" t="s">
        <v>1078</v>
      </c>
      <c r="D127" s="1301">
        <v>7</v>
      </c>
      <c r="E127" s="1301">
        <v>7000</v>
      </c>
    </row>
    <row r="128" spans="1:5" hidden="1" x14ac:dyDescent="0.25">
      <c r="A128" s="1301" t="s">
        <v>1082</v>
      </c>
      <c r="B128" s="1301" t="s">
        <v>1186</v>
      </c>
      <c r="C128" s="1302" t="s">
        <v>1038</v>
      </c>
      <c r="D128" s="1301">
        <v>4</v>
      </c>
      <c r="E128" s="1301">
        <v>5280</v>
      </c>
    </row>
    <row r="129" spans="1:5" hidden="1" x14ac:dyDescent="0.25">
      <c r="A129" s="1301" t="s">
        <v>1190</v>
      </c>
      <c r="B129" s="1301" t="s">
        <v>1191</v>
      </c>
      <c r="C129" s="1302" t="s">
        <v>1038</v>
      </c>
      <c r="D129" s="1301">
        <v>0.5</v>
      </c>
      <c r="E129" s="1301">
        <v>550.79999999999995</v>
      </c>
    </row>
    <row r="130" spans="1:5" hidden="1" x14ac:dyDescent="0.25">
      <c r="A130" s="1303" t="s">
        <v>1192</v>
      </c>
      <c r="B130" s="1303"/>
      <c r="C130" s="1304"/>
      <c r="D130" s="1303">
        <f>SUM(D120:D129)</f>
        <v>75</v>
      </c>
      <c r="E130" s="1303">
        <f>SUM(E120:E129)</f>
        <v>92232.12</v>
      </c>
    </row>
    <row r="131" spans="1:5" hidden="1" x14ac:dyDescent="0.25">
      <c r="A131" s="1311"/>
      <c r="B131" s="1308" t="s">
        <v>1193</v>
      </c>
      <c r="C131" s="1302"/>
      <c r="D131" s="1301"/>
      <c r="E131" s="1301"/>
    </row>
    <row r="132" spans="1:5" hidden="1" x14ac:dyDescent="0.25">
      <c r="A132" s="1299" t="s">
        <v>1027</v>
      </c>
      <c r="B132" s="1299" t="s">
        <v>1028</v>
      </c>
      <c r="C132" s="1299" t="s">
        <v>1029</v>
      </c>
      <c r="D132" s="1299" t="s">
        <v>45</v>
      </c>
      <c r="E132" s="1299" t="s">
        <v>45</v>
      </c>
    </row>
    <row r="133" spans="1:5" hidden="1" x14ac:dyDescent="0.25">
      <c r="A133" s="1300" t="s">
        <v>1031</v>
      </c>
      <c r="B133" s="1300" t="s">
        <v>1032</v>
      </c>
      <c r="C133" s="1300"/>
      <c r="D133" s="1300" t="s">
        <v>181</v>
      </c>
      <c r="E133" s="1300" t="s">
        <v>181</v>
      </c>
    </row>
    <row r="134" spans="1:5" hidden="1" x14ac:dyDescent="0.25">
      <c r="A134" s="1301" t="s">
        <v>1185</v>
      </c>
      <c r="B134" s="1301" t="s">
        <v>1194</v>
      </c>
      <c r="C134" s="1302" t="s">
        <v>1042</v>
      </c>
      <c r="D134" s="1301">
        <v>39</v>
      </c>
      <c r="E134" s="1301">
        <v>50641.5</v>
      </c>
    </row>
    <row r="135" spans="1:5" hidden="1" x14ac:dyDescent="0.25">
      <c r="A135" s="1301" t="s">
        <v>1124</v>
      </c>
      <c r="B135" s="1301" t="s">
        <v>1195</v>
      </c>
      <c r="C135" s="1302" t="s">
        <v>1042</v>
      </c>
      <c r="D135" s="1301">
        <v>49</v>
      </c>
      <c r="E135" s="1301">
        <v>53900</v>
      </c>
    </row>
    <row r="136" spans="1:5" hidden="1" x14ac:dyDescent="0.25">
      <c r="A136" s="1301" t="s">
        <v>1196</v>
      </c>
      <c r="B136" s="1301" t="s">
        <v>1197</v>
      </c>
      <c r="C136" s="1302" t="s">
        <v>1078</v>
      </c>
      <c r="D136" s="1301">
        <v>205</v>
      </c>
      <c r="E136" s="1301">
        <v>266192.5</v>
      </c>
    </row>
    <row r="137" spans="1:5" hidden="1" x14ac:dyDescent="0.25">
      <c r="A137" s="1301" t="s">
        <v>1185</v>
      </c>
      <c r="B137" s="1301" t="s">
        <v>1198</v>
      </c>
      <c r="C137" s="1302" t="s">
        <v>1042</v>
      </c>
      <c r="D137" s="1301">
        <v>79</v>
      </c>
      <c r="E137" s="1301">
        <v>102581.5</v>
      </c>
    </row>
    <row r="138" spans="1:5" hidden="1" x14ac:dyDescent="0.25">
      <c r="A138" s="1301" t="s">
        <v>1124</v>
      </c>
      <c r="B138" s="1301" t="s">
        <v>1086</v>
      </c>
      <c r="C138" s="1302" t="s">
        <v>1108</v>
      </c>
      <c r="D138" s="1301">
        <v>4</v>
      </c>
      <c r="E138" s="1301">
        <v>4000</v>
      </c>
    </row>
    <row r="139" spans="1:5" hidden="1" x14ac:dyDescent="0.25">
      <c r="A139" s="1301" t="s">
        <v>1124</v>
      </c>
      <c r="B139" s="1301" t="s">
        <v>1199</v>
      </c>
      <c r="C139" s="1302" t="s">
        <v>1108</v>
      </c>
      <c r="D139" s="1301">
        <v>8</v>
      </c>
      <c r="E139" s="1301">
        <v>8000</v>
      </c>
    </row>
    <row r="140" spans="1:5" hidden="1" x14ac:dyDescent="0.25">
      <c r="A140" s="1301" t="s">
        <v>1092</v>
      </c>
      <c r="B140" s="1301" t="s">
        <v>1200</v>
      </c>
      <c r="C140" s="1302" t="s">
        <v>1201</v>
      </c>
      <c r="D140" s="1301">
        <v>0.5</v>
      </c>
      <c r="E140" s="1301">
        <v>656.78</v>
      </c>
    </row>
    <row r="141" spans="1:5" hidden="1" x14ac:dyDescent="0.25">
      <c r="A141" s="1301" t="s">
        <v>1092</v>
      </c>
      <c r="B141" s="1301" t="s">
        <v>1202</v>
      </c>
      <c r="C141" s="1302" t="s">
        <v>1201</v>
      </c>
      <c r="D141" s="1301">
        <v>0.5</v>
      </c>
      <c r="E141" s="1301">
        <v>656.78</v>
      </c>
    </row>
    <row r="142" spans="1:5" hidden="1" x14ac:dyDescent="0.25">
      <c r="A142" s="1301" t="s">
        <v>1092</v>
      </c>
      <c r="B142" s="1301" t="s">
        <v>1203</v>
      </c>
      <c r="C142" s="1302" t="s">
        <v>1201</v>
      </c>
      <c r="D142" s="1301">
        <v>0.5</v>
      </c>
      <c r="E142" s="1301">
        <v>656.78</v>
      </c>
    </row>
    <row r="143" spans="1:5" hidden="1" x14ac:dyDescent="0.25">
      <c r="A143" s="1301" t="s">
        <v>1170</v>
      </c>
      <c r="B143" s="1301" t="s">
        <v>1204</v>
      </c>
      <c r="C143" s="1302" t="s">
        <v>1201</v>
      </c>
      <c r="D143" s="1301">
        <v>6</v>
      </c>
      <c r="E143" s="1301">
        <v>6176</v>
      </c>
    </row>
    <row r="144" spans="1:5" hidden="1" x14ac:dyDescent="0.25">
      <c r="A144" s="1301" t="s">
        <v>1205</v>
      </c>
      <c r="B144" s="1301" t="s">
        <v>1206</v>
      </c>
      <c r="C144" s="1302" t="s">
        <v>1201</v>
      </c>
      <c r="D144" s="1301">
        <v>0.5</v>
      </c>
      <c r="E144" s="1301">
        <v>550.79999999999995</v>
      </c>
    </row>
    <row r="145" spans="1:5" hidden="1" x14ac:dyDescent="0.25">
      <c r="A145" s="1301" t="s">
        <v>1124</v>
      </c>
      <c r="B145" s="1301" t="s">
        <v>1207</v>
      </c>
      <c r="C145" s="1302" t="s">
        <v>1201</v>
      </c>
      <c r="D145" s="1301">
        <v>7</v>
      </c>
      <c r="E145" s="1301">
        <v>7000</v>
      </c>
    </row>
    <row r="146" spans="1:5" hidden="1" x14ac:dyDescent="0.25">
      <c r="A146" s="1301" t="s">
        <v>1124</v>
      </c>
      <c r="B146" s="1301" t="s">
        <v>1086</v>
      </c>
      <c r="C146" s="1302" t="s">
        <v>1201</v>
      </c>
      <c r="D146" s="1301">
        <v>4</v>
      </c>
      <c r="E146" s="1301">
        <v>4000</v>
      </c>
    </row>
    <row r="147" spans="1:5" hidden="1" x14ac:dyDescent="0.25">
      <c r="A147" s="1303" t="s">
        <v>1208</v>
      </c>
      <c r="B147" s="1303"/>
      <c r="C147" s="1303"/>
      <c r="D147" s="1303">
        <f>SUM(D134:D146)</f>
        <v>403</v>
      </c>
      <c r="E147" s="1303">
        <f>SUM(E134:E146)</f>
        <v>505012.64000000007</v>
      </c>
    </row>
    <row r="148" spans="1:5" hidden="1" x14ac:dyDescent="0.25">
      <c r="A148" s="1308" t="s">
        <v>1209</v>
      </c>
      <c r="B148" s="1303"/>
      <c r="C148" s="1303"/>
      <c r="D148" s="1303">
        <f>D130+D147</f>
        <v>478</v>
      </c>
      <c r="E148" s="1303">
        <f>E130+E147</f>
        <v>597244.76</v>
      </c>
    </row>
    <row r="149" spans="1:5" hidden="1" x14ac:dyDescent="0.25">
      <c r="A149" s="1312" t="s">
        <v>1210</v>
      </c>
      <c r="B149" s="1313"/>
      <c r="C149" s="1313"/>
      <c r="D149" s="1313"/>
      <c r="E149" s="1313"/>
    </row>
    <row r="150" spans="1:5" hidden="1" x14ac:dyDescent="0.25">
      <c r="A150" s="1301" t="s">
        <v>1205</v>
      </c>
      <c r="B150" s="1301" t="s">
        <v>1211</v>
      </c>
      <c r="C150" s="1302" t="s">
        <v>1201</v>
      </c>
      <c r="D150" s="1301">
        <v>0.5</v>
      </c>
      <c r="E150" s="1301">
        <v>550.79999999999995</v>
      </c>
    </row>
    <row r="151" spans="1:5" hidden="1" x14ac:dyDescent="0.25">
      <c r="A151" s="1314" t="s">
        <v>1212</v>
      </c>
      <c r="B151" s="1314" t="s">
        <v>1213</v>
      </c>
      <c r="C151" s="1302" t="s">
        <v>1201</v>
      </c>
      <c r="D151" s="1313">
        <v>1</v>
      </c>
      <c r="E151" s="1314">
        <v>1351.7</v>
      </c>
    </row>
    <row r="152" spans="1:5" hidden="1" x14ac:dyDescent="0.25">
      <c r="A152" s="1314" t="s">
        <v>1214</v>
      </c>
      <c r="B152" s="1313" t="s">
        <v>1215</v>
      </c>
      <c r="C152" s="1315" t="s">
        <v>1078</v>
      </c>
      <c r="D152" s="1313">
        <v>89</v>
      </c>
      <c r="E152" s="1314">
        <v>115566.5</v>
      </c>
    </row>
    <row r="153" spans="1:5" hidden="1" x14ac:dyDescent="0.25">
      <c r="A153" s="1314" t="s">
        <v>1216</v>
      </c>
      <c r="B153" s="1314" t="s">
        <v>1217</v>
      </c>
      <c r="C153" s="1315" t="s">
        <v>1042</v>
      </c>
      <c r="D153" s="1314">
        <v>70</v>
      </c>
      <c r="E153" s="1314">
        <v>90895</v>
      </c>
    </row>
    <row r="154" spans="1:5" hidden="1" x14ac:dyDescent="0.25">
      <c r="A154" s="1301" t="s">
        <v>1218</v>
      </c>
      <c r="B154" s="1301" t="s">
        <v>1219</v>
      </c>
      <c r="C154" s="1302" t="s">
        <v>1108</v>
      </c>
      <c r="D154" s="1301">
        <v>1</v>
      </c>
      <c r="E154" s="1301">
        <v>1000</v>
      </c>
    </row>
    <row r="155" spans="1:5" hidden="1" x14ac:dyDescent="0.25">
      <c r="A155" s="1312" t="s">
        <v>1220</v>
      </c>
      <c r="B155" s="1311"/>
      <c r="C155" s="1311"/>
      <c r="D155" s="1311">
        <f>D150+D151+D152+D153+D154</f>
        <v>161.5</v>
      </c>
      <c r="E155" s="1311">
        <f>E150+E151+E152+E153+E154</f>
        <v>209364</v>
      </c>
    </row>
    <row r="156" spans="1:5" hidden="1" x14ac:dyDescent="0.25">
      <c r="A156" s="1312" t="s">
        <v>264</v>
      </c>
      <c r="B156" s="1301"/>
      <c r="C156" s="1301"/>
      <c r="D156" s="1301"/>
      <c r="E156" s="1301"/>
    </row>
    <row r="157" spans="1:5" hidden="1" x14ac:dyDescent="0.25">
      <c r="A157" s="1301" t="s">
        <v>1218</v>
      </c>
      <c r="B157" s="1301" t="s">
        <v>1221</v>
      </c>
      <c r="C157" s="1302" t="s">
        <v>1201</v>
      </c>
      <c r="D157" s="1301">
        <v>2</v>
      </c>
      <c r="E157" s="1301">
        <v>2000</v>
      </c>
    </row>
    <row r="158" spans="1:5" hidden="1" x14ac:dyDescent="0.25">
      <c r="A158" s="1301" t="s">
        <v>1218</v>
      </c>
      <c r="B158" s="1301" t="s">
        <v>1222</v>
      </c>
      <c r="C158" s="1302" t="s">
        <v>1108</v>
      </c>
      <c r="D158" s="1301">
        <v>12</v>
      </c>
      <c r="E158" s="1301">
        <v>12000</v>
      </c>
    </row>
    <row r="159" spans="1:5" hidden="1" x14ac:dyDescent="0.25">
      <c r="A159" s="1313" t="s">
        <v>1223</v>
      </c>
      <c r="B159" s="1313" t="s">
        <v>1224</v>
      </c>
      <c r="C159" s="1302" t="s">
        <v>1201</v>
      </c>
      <c r="D159" s="1313">
        <v>4</v>
      </c>
      <c r="E159" s="1313">
        <v>8800</v>
      </c>
    </row>
    <row r="160" spans="1:5" hidden="1" x14ac:dyDescent="0.25">
      <c r="A160" s="1301" t="s">
        <v>1190</v>
      </c>
      <c r="B160" s="1301" t="s">
        <v>1225</v>
      </c>
      <c r="C160" s="1302" t="s">
        <v>1201</v>
      </c>
      <c r="D160" s="1301">
        <v>0.5</v>
      </c>
      <c r="E160" s="1301">
        <v>550.79999999999995</v>
      </c>
    </row>
    <row r="161" spans="1:5" hidden="1" x14ac:dyDescent="0.25">
      <c r="A161" s="1313" t="s">
        <v>1170</v>
      </c>
      <c r="B161" s="1313" t="s">
        <v>1226</v>
      </c>
      <c r="C161" s="1313" t="s">
        <v>1103</v>
      </c>
      <c r="D161" s="1313">
        <v>5</v>
      </c>
      <c r="E161" s="1313">
        <v>5655</v>
      </c>
    </row>
    <row r="162" spans="1:5" hidden="1" x14ac:dyDescent="0.25">
      <c r="A162" s="1313" t="s">
        <v>1227</v>
      </c>
      <c r="B162" s="1313"/>
      <c r="C162" s="1313"/>
      <c r="D162" s="1313">
        <f>D157+D158+D159+D160+D161</f>
        <v>23.5</v>
      </c>
      <c r="E162" s="1313">
        <f>E157+E158+E159+E160+E161</f>
        <v>29005.8</v>
      </c>
    </row>
    <row r="163" spans="1:5" hidden="1" x14ac:dyDescent="0.25">
      <c r="A163" s="1316" t="s">
        <v>1228</v>
      </c>
      <c r="B163" s="1317"/>
      <c r="C163" s="1317"/>
      <c r="D163" s="1317">
        <v>0</v>
      </c>
      <c r="E163" s="1316">
        <v>0</v>
      </c>
    </row>
    <row r="164" spans="1:5" hidden="1" x14ac:dyDescent="0.25">
      <c r="A164" s="1316" t="s">
        <v>1229</v>
      </c>
      <c r="B164" s="1317"/>
      <c r="C164" s="1317"/>
      <c r="D164" s="1318">
        <f>D148+D155+D162+D163</f>
        <v>663</v>
      </c>
      <c r="E164" s="1317">
        <f>E148+E155+E162+E163</f>
        <v>835614.56</v>
      </c>
    </row>
    <row r="165" spans="1:5" hidden="1" x14ac:dyDescent="0.25">
      <c r="A165" s="1317" t="s">
        <v>265</v>
      </c>
      <c r="B165" s="1313"/>
      <c r="C165" s="1313"/>
      <c r="D165" s="1317">
        <f>D166+D167</f>
        <v>1.5</v>
      </c>
      <c r="E165" s="1317">
        <f>E166+E167</f>
        <v>2078.9300000000003</v>
      </c>
    </row>
    <row r="166" spans="1:5" hidden="1" x14ac:dyDescent="0.25">
      <c r="A166" s="1313" t="s">
        <v>1230</v>
      </c>
      <c r="B166" s="1313" t="s">
        <v>1231</v>
      </c>
      <c r="C166" s="1313" t="s">
        <v>1232</v>
      </c>
      <c r="D166" s="1313">
        <v>1</v>
      </c>
      <c r="E166" s="1313">
        <v>1528.13</v>
      </c>
    </row>
    <row r="167" spans="1:5" hidden="1" x14ac:dyDescent="0.25">
      <c r="A167" s="1313" t="s">
        <v>1205</v>
      </c>
      <c r="B167" s="1313" t="s">
        <v>1233</v>
      </c>
      <c r="C167" s="1313" t="s">
        <v>1234</v>
      </c>
      <c r="D167" s="1313">
        <v>0.5</v>
      </c>
      <c r="E167" s="1313">
        <v>550.79999999999995</v>
      </c>
    </row>
    <row r="168" spans="1:5" hidden="1" x14ac:dyDescent="0.25">
      <c r="A168" s="1317" t="s">
        <v>266</v>
      </c>
      <c r="B168" s="1313"/>
      <c r="C168" s="1313"/>
      <c r="D168" s="1317">
        <f>D169+D170</f>
        <v>9</v>
      </c>
      <c r="E168" s="1317">
        <f>E169+E170</f>
        <v>8791.41</v>
      </c>
    </row>
    <row r="169" spans="1:5" hidden="1" x14ac:dyDescent="0.25">
      <c r="A169" s="1313" t="s">
        <v>1235</v>
      </c>
      <c r="B169" s="1313" t="s">
        <v>1236</v>
      </c>
      <c r="C169" s="1313" t="s">
        <v>1237</v>
      </c>
      <c r="D169" s="1313">
        <v>9</v>
      </c>
      <c r="E169" s="1313">
        <v>10179</v>
      </c>
    </row>
    <row r="170" spans="1:5" hidden="1" x14ac:dyDescent="0.25">
      <c r="A170" s="1319" t="s">
        <v>1238</v>
      </c>
      <c r="B170" s="1309"/>
      <c r="C170" s="1309"/>
      <c r="D170" s="1309"/>
      <c r="E170" s="1319">
        <v>-1387.59</v>
      </c>
    </row>
    <row r="171" spans="1:5" hidden="1" x14ac:dyDescent="0.25">
      <c r="A171" s="1316" t="s">
        <v>1239</v>
      </c>
      <c r="B171" s="1309"/>
      <c r="C171" s="1309"/>
      <c r="D171" s="1320">
        <f>D172</f>
        <v>22</v>
      </c>
      <c r="E171" s="1320">
        <f>E172</f>
        <v>22000</v>
      </c>
    </row>
    <row r="172" spans="1:5" hidden="1" x14ac:dyDescent="0.25">
      <c r="A172" s="1319" t="s">
        <v>1137</v>
      </c>
      <c r="B172" s="1313" t="s">
        <v>1240</v>
      </c>
      <c r="C172" s="1313" t="s">
        <v>1241</v>
      </c>
      <c r="D172" s="1309">
        <v>22</v>
      </c>
      <c r="E172" s="1319">
        <v>22000</v>
      </c>
    </row>
    <row r="173" spans="1:5" hidden="1" x14ac:dyDescent="0.25">
      <c r="A173" s="1316" t="s">
        <v>1242</v>
      </c>
      <c r="B173" s="1320"/>
      <c r="C173" s="1320"/>
      <c r="D173" s="1320">
        <f>D164+D165+D168+D171</f>
        <v>695.5</v>
      </c>
      <c r="E173" s="1320">
        <f>E164+E165+E168+E171</f>
        <v>868484.90000000014</v>
      </c>
    </row>
    <row r="174" spans="1:5" hidden="1" x14ac:dyDescent="0.25"/>
    <row r="175" spans="1:5" hidden="1" x14ac:dyDescent="0.25">
      <c r="A175" s="1296"/>
      <c r="B175" s="1297" t="s">
        <v>1243</v>
      </c>
      <c r="C175" s="1296"/>
      <c r="D175" s="1298"/>
      <c r="E175" s="1298"/>
    </row>
    <row r="176" spans="1:5" hidden="1" x14ac:dyDescent="0.25">
      <c r="A176" s="1298"/>
      <c r="B176" s="1298"/>
      <c r="C176" s="1298"/>
      <c r="D176" s="1298"/>
      <c r="E176" s="1298"/>
    </row>
    <row r="177" spans="1:8" hidden="1" x14ac:dyDescent="0.25">
      <c r="A177" s="1299" t="s">
        <v>1027</v>
      </c>
      <c r="B177" s="1299" t="s">
        <v>1028</v>
      </c>
      <c r="C177" s="1299" t="s">
        <v>1029</v>
      </c>
      <c r="D177" s="1299" t="s">
        <v>1030</v>
      </c>
      <c r="E177" s="1299" t="s">
        <v>45</v>
      </c>
    </row>
    <row r="178" spans="1:8" hidden="1" x14ac:dyDescent="0.25">
      <c r="A178" s="1300" t="s">
        <v>1031</v>
      </c>
      <c r="B178" s="1300" t="s">
        <v>1032</v>
      </c>
      <c r="C178" s="1300"/>
      <c r="D178" s="1300"/>
      <c r="E178" s="1300" t="s">
        <v>181</v>
      </c>
    </row>
    <row r="179" spans="1:8" hidden="1" x14ac:dyDescent="0.25">
      <c r="A179" s="1301"/>
      <c r="B179" s="1297" t="s">
        <v>1244</v>
      </c>
      <c r="C179" s="1301"/>
      <c r="D179" s="1301"/>
      <c r="E179" s="1301"/>
    </row>
    <row r="180" spans="1:8" hidden="1" x14ac:dyDescent="0.25">
      <c r="A180" s="1301" t="s">
        <v>1245</v>
      </c>
      <c r="B180" s="1301" t="s">
        <v>1246</v>
      </c>
      <c r="C180" s="1321" t="s">
        <v>1110</v>
      </c>
      <c r="D180" s="1301">
        <v>44</v>
      </c>
      <c r="E180" s="1301">
        <v>57134</v>
      </c>
    </row>
    <row r="181" spans="1:8" hidden="1" x14ac:dyDescent="0.25">
      <c r="A181" s="1301" t="s">
        <v>1245</v>
      </c>
      <c r="B181" s="1301" t="s">
        <v>1247</v>
      </c>
      <c r="C181" s="1321" t="s">
        <v>1110</v>
      </c>
      <c r="D181" s="1301">
        <v>82</v>
      </c>
      <c r="E181" s="1301">
        <v>106477</v>
      </c>
    </row>
    <row r="182" spans="1:8" hidden="1" x14ac:dyDescent="0.25">
      <c r="A182" s="1301" t="s">
        <v>1092</v>
      </c>
      <c r="B182" s="1301" t="s">
        <v>1248</v>
      </c>
      <c r="C182" s="1321" t="s">
        <v>1249</v>
      </c>
      <c r="D182" s="1301">
        <v>3.2</v>
      </c>
      <c r="E182" s="1301">
        <v>4881.3599999999997</v>
      </c>
    </row>
    <row r="183" spans="1:8" hidden="1" x14ac:dyDescent="0.25">
      <c r="A183" s="1301" t="s">
        <v>1190</v>
      </c>
      <c r="B183" s="1301" t="s">
        <v>1250</v>
      </c>
      <c r="C183" s="1321" t="s">
        <v>1251</v>
      </c>
      <c r="D183" s="1301">
        <v>0.5</v>
      </c>
      <c r="E183" s="1301">
        <v>556.5</v>
      </c>
    </row>
    <row r="184" spans="1:8" hidden="1" x14ac:dyDescent="0.25">
      <c r="A184" s="1301" t="s">
        <v>1190</v>
      </c>
      <c r="B184" s="1301" t="s">
        <v>1252</v>
      </c>
      <c r="C184" s="1321" t="s">
        <v>1253</v>
      </c>
      <c r="D184" s="1301">
        <v>0.5</v>
      </c>
      <c r="E184" s="1301">
        <v>618.29999999999995</v>
      </c>
    </row>
    <row r="185" spans="1:8" hidden="1" x14ac:dyDescent="0.25">
      <c r="A185" s="1301" t="s">
        <v>1137</v>
      </c>
      <c r="B185" s="1301" t="s">
        <v>1254</v>
      </c>
      <c r="C185" s="1321" t="s">
        <v>1255</v>
      </c>
      <c r="D185" s="1301">
        <v>4</v>
      </c>
      <c r="E185" s="1301">
        <v>4000</v>
      </c>
    </row>
    <row r="186" spans="1:8" hidden="1" x14ac:dyDescent="0.25">
      <c r="A186" s="1301" t="s">
        <v>1256</v>
      </c>
      <c r="B186" s="1301" t="s">
        <v>1257</v>
      </c>
      <c r="C186" s="1321" t="s">
        <v>1258</v>
      </c>
      <c r="D186" s="1301">
        <v>37</v>
      </c>
      <c r="E186" s="1301">
        <v>48044.5</v>
      </c>
    </row>
    <row r="187" spans="1:8" hidden="1" x14ac:dyDescent="0.25">
      <c r="A187" s="1301" t="s">
        <v>1137</v>
      </c>
      <c r="B187" s="1301" t="s">
        <v>1259</v>
      </c>
      <c r="C187" s="1321" t="s">
        <v>1255</v>
      </c>
      <c r="D187" s="1301">
        <v>4</v>
      </c>
      <c r="E187" s="1301">
        <v>4000</v>
      </c>
    </row>
    <row r="188" spans="1:8" hidden="1" x14ac:dyDescent="0.25">
      <c r="A188" s="1301" t="s">
        <v>1260</v>
      </c>
      <c r="B188" s="1301" t="s">
        <v>1261</v>
      </c>
      <c r="C188" s="1321"/>
      <c r="D188" s="1301"/>
      <c r="E188" s="1301">
        <v>3573.08</v>
      </c>
    </row>
    <row r="189" spans="1:8" hidden="1" x14ac:dyDescent="0.25">
      <c r="A189" s="1303" t="s">
        <v>1262</v>
      </c>
      <c r="B189" s="1303"/>
      <c r="C189" s="1322"/>
      <c r="D189" s="1303">
        <f>SUM(D180:D188)</f>
        <v>175.2</v>
      </c>
      <c r="E189" s="1303">
        <f>SUM(E180:E188)</f>
        <v>229284.73999999996</v>
      </c>
    </row>
    <row r="190" spans="1:8" hidden="1" x14ac:dyDescent="0.25">
      <c r="A190" s="1312" t="s">
        <v>261</v>
      </c>
      <c r="B190" s="1309"/>
      <c r="C190" s="1323"/>
      <c r="D190" s="1309"/>
      <c r="E190" s="1309"/>
    </row>
    <row r="191" spans="1:8" hidden="1" x14ac:dyDescent="0.25">
      <c r="A191" s="1314" t="s">
        <v>1216</v>
      </c>
      <c r="B191" s="1314" t="s">
        <v>1263</v>
      </c>
      <c r="C191" s="1324" t="s">
        <v>1264</v>
      </c>
      <c r="D191" s="1313">
        <v>118</v>
      </c>
      <c r="E191" s="1314">
        <v>153481</v>
      </c>
      <c r="G191" s="1264">
        <f>E191+E192+E193+E194+E199+E200+E201+E204+E211+E213+E214</f>
        <v>770253.5</v>
      </c>
      <c r="H191" s="1264" t="s">
        <v>1265</v>
      </c>
    </row>
    <row r="192" spans="1:8" hidden="1" x14ac:dyDescent="0.25">
      <c r="A192" s="1314" t="s">
        <v>1245</v>
      </c>
      <c r="B192" s="1314" t="s">
        <v>1266</v>
      </c>
      <c r="C192" s="1324" t="s">
        <v>1264</v>
      </c>
      <c r="D192" s="1313">
        <v>65</v>
      </c>
      <c r="E192" s="1314">
        <v>84402.5</v>
      </c>
    </row>
    <row r="193" spans="1:5" hidden="1" x14ac:dyDescent="0.25">
      <c r="A193" s="1314" t="s">
        <v>1245</v>
      </c>
      <c r="B193" s="1314" t="s">
        <v>1267</v>
      </c>
      <c r="C193" s="1324" t="s">
        <v>1264</v>
      </c>
      <c r="D193" s="1313">
        <v>63</v>
      </c>
      <c r="E193" s="1314">
        <v>81805.5</v>
      </c>
    </row>
    <row r="194" spans="1:5" hidden="1" x14ac:dyDescent="0.25">
      <c r="A194" s="1314" t="s">
        <v>1216</v>
      </c>
      <c r="B194" s="1314" t="s">
        <v>1268</v>
      </c>
      <c r="C194" s="1324" t="s">
        <v>1264</v>
      </c>
      <c r="D194" s="1313">
        <v>48</v>
      </c>
      <c r="E194" s="1314">
        <v>63360</v>
      </c>
    </row>
    <row r="195" spans="1:5" hidden="1" x14ac:dyDescent="0.25">
      <c r="A195" s="1313" t="s">
        <v>1092</v>
      </c>
      <c r="B195" s="1313" t="s">
        <v>1269</v>
      </c>
      <c r="C195" s="1324" t="s">
        <v>1270</v>
      </c>
      <c r="D195" s="1313">
        <v>4</v>
      </c>
      <c r="E195" s="1313">
        <v>3288.14</v>
      </c>
    </row>
    <row r="196" spans="1:5" hidden="1" x14ac:dyDescent="0.25">
      <c r="A196" s="1313" t="s">
        <v>1092</v>
      </c>
      <c r="B196" s="1313" t="s">
        <v>1269</v>
      </c>
      <c r="C196" s="1324" t="s">
        <v>1271</v>
      </c>
      <c r="D196" s="1313">
        <v>2.67</v>
      </c>
      <c r="E196" s="1313">
        <v>4186.0200000000004</v>
      </c>
    </row>
    <row r="197" spans="1:5" hidden="1" x14ac:dyDescent="0.25">
      <c r="A197" s="1313" t="s">
        <v>1092</v>
      </c>
      <c r="B197" s="1313" t="s">
        <v>1272</v>
      </c>
      <c r="C197" s="1324" t="s">
        <v>1271</v>
      </c>
      <c r="D197" s="1313">
        <v>1.25</v>
      </c>
      <c r="E197" s="1313">
        <v>1959.75</v>
      </c>
    </row>
    <row r="198" spans="1:5" hidden="1" x14ac:dyDescent="0.25">
      <c r="A198" s="1313" t="s">
        <v>1092</v>
      </c>
      <c r="B198" s="1313" t="s">
        <v>1273</v>
      </c>
      <c r="C198" s="1324" t="s">
        <v>1274</v>
      </c>
      <c r="D198" s="1313">
        <v>1.5</v>
      </c>
      <c r="E198" s="1313">
        <v>2351.6999999999998</v>
      </c>
    </row>
    <row r="199" spans="1:5" hidden="1" x14ac:dyDescent="0.25">
      <c r="A199" s="1301" t="s">
        <v>1275</v>
      </c>
      <c r="B199" s="1301" t="s">
        <v>1276</v>
      </c>
      <c r="C199" s="1321" t="s">
        <v>1277</v>
      </c>
      <c r="D199" s="1301">
        <v>22</v>
      </c>
      <c r="E199" s="1301">
        <v>24200</v>
      </c>
    </row>
    <row r="200" spans="1:5" hidden="1" x14ac:dyDescent="0.25">
      <c r="A200" s="1301" t="s">
        <v>1275</v>
      </c>
      <c r="B200" s="1301" t="s">
        <v>1278</v>
      </c>
      <c r="C200" s="1321" t="s">
        <v>1277</v>
      </c>
      <c r="D200" s="1301">
        <v>32</v>
      </c>
      <c r="E200" s="1301">
        <v>32000</v>
      </c>
    </row>
    <row r="201" spans="1:5" hidden="1" x14ac:dyDescent="0.25">
      <c r="A201" s="1301" t="s">
        <v>1275</v>
      </c>
      <c r="B201" s="1301" t="s">
        <v>1279</v>
      </c>
      <c r="C201" s="1321" t="s">
        <v>1277</v>
      </c>
      <c r="D201" s="1301">
        <v>18</v>
      </c>
      <c r="E201" s="1301">
        <v>18000</v>
      </c>
    </row>
    <row r="202" spans="1:5" hidden="1" x14ac:dyDescent="0.25">
      <c r="A202" s="1317" t="s">
        <v>1280</v>
      </c>
      <c r="B202" s="1313"/>
      <c r="C202" s="1324"/>
      <c r="D202" s="1317">
        <f>D191+D192+D193+D194+D195+D196+D197+D198+D199+D200+D201</f>
        <v>375.42</v>
      </c>
      <c r="E202" s="1317">
        <f>E191+E192+E193+E194+E195+E196+E197+E198+E199+E200+E201</f>
        <v>469034.61000000004</v>
      </c>
    </row>
    <row r="203" spans="1:5" hidden="1" x14ac:dyDescent="0.25">
      <c r="A203" s="1317" t="s">
        <v>262</v>
      </c>
      <c r="B203" s="1313"/>
      <c r="C203" s="1324"/>
      <c r="D203" s="1313"/>
      <c r="E203" s="1313"/>
    </row>
    <row r="204" spans="1:5" hidden="1" x14ac:dyDescent="0.25">
      <c r="A204" s="1313" t="s">
        <v>1245</v>
      </c>
      <c r="B204" s="1313" t="s">
        <v>1281</v>
      </c>
      <c r="C204" s="1324" t="s">
        <v>1282</v>
      </c>
      <c r="D204" s="1313">
        <v>56</v>
      </c>
      <c r="E204" s="1313">
        <v>72716</v>
      </c>
    </row>
    <row r="205" spans="1:5" hidden="1" x14ac:dyDescent="0.25">
      <c r="A205" s="1313" t="s">
        <v>1283</v>
      </c>
      <c r="B205" s="1313" t="s">
        <v>1284</v>
      </c>
      <c r="C205" s="1324" t="s">
        <v>1285</v>
      </c>
      <c r="D205" s="1313">
        <v>8</v>
      </c>
      <c r="E205" s="1313">
        <v>12000</v>
      </c>
    </row>
    <row r="206" spans="1:5" hidden="1" x14ac:dyDescent="0.25">
      <c r="A206" s="1313" t="s">
        <v>1126</v>
      </c>
      <c r="B206" s="1313" t="s">
        <v>1286</v>
      </c>
      <c r="C206" s="1324" t="s">
        <v>1287</v>
      </c>
      <c r="D206" s="1313">
        <v>6</v>
      </c>
      <c r="E206" s="1313">
        <v>13200</v>
      </c>
    </row>
    <row r="207" spans="1:5" hidden="1" x14ac:dyDescent="0.25">
      <c r="A207" s="1316" t="s">
        <v>1288</v>
      </c>
      <c r="B207" s="1317"/>
      <c r="C207" s="1325"/>
      <c r="D207" s="1317">
        <f>D204+D205+D206</f>
        <v>70</v>
      </c>
      <c r="E207" s="1317">
        <f>E204+E205+E206</f>
        <v>97916</v>
      </c>
    </row>
    <row r="208" spans="1:5" hidden="1" x14ac:dyDescent="0.25">
      <c r="A208" s="1319" t="s">
        <v>263</v>
      </c>
      <c r="B208" s="1309"/>
      <c r="C208" s="1323"/>
      <c r="D208" s="1309"/>
      <c r="E208" s="1319">
        <v>0</v>
      </c>
    </row>
    <row r="209" spans="1:5" hidden="1" x14ac:dyDescent="0.25">
      <c r="A209" s="1326" t="s">
        <v>1289</v>
      </c>
      <c r="B209" s="1309"/>
      <c r="C209" s="1323"/>
      <c r="D209" s="1327">
        <f>D189+D202+D207+D208</f>
        <v>620.62</v>
      </c>
      <c r="E209" s="1327">
        <f>E189+E202+E207+E208</f>
        <v>796235.35</v>
      </c>
    </row>
    <row r="210" spans="1:5" hidden="1" x14ac:dyDescent="0.25">
      <c r="A210" s="1317" t="s">
        <v>1290</v>
      </c>
      <c r="B210" s="1313"/>
      <c r="C210" s="1324"/>
      <c r="D210" s="1313"/>
      <c r="E210" s="1313"/>
    </row>
    <row r="211" spans="1:5" hidden="1" x14ac:dyDescent="0.25">
      <c r="A211" s="1313" t="s">
        <v>1216</v>
      </c>
      <c r="B211" s="1313" t="s">
        <v>1291</v>
      </c>
      <c r="C211" s="1324" t="s">
        <v>1264</v>
      </c>
      <c r="D211" s="1313">
        <v>71</v>
      </c>
      <c r="E211" s="1313">
        <v>92193.5</v>
      </c>
    </row>
    <row r="212" spans="1:5" hidden="1" x14ac:dyDescent="0.25">
      <c r="A212" s="1313" t="s">
        <v>1275</v>
      </c>
      <c r="B212" s="1313" t="s">
        <v>1292</v>
      </c>
      <c r="C212" s="1324" t="s">
        <v>1293</v>
      </c>
      <c r="D212" s="1313">
        <v>29</v>
      </c>
      <c r="E212" s="1313">
        <v>29000</v>
      </c>
    </row>
    <row r="213" spans="1:5" hidden="1" x14ac:dyDescent="0.25">
      <c r="A213" s="1313" t="s">
        <v>1275</v>
      </c>
      <c r="B213" s="1313" t="s">
        <v>1294</v>
      </c>
      <c r="C213" s="1324" t="s">
        <v>1264</v>
      </c>
      <c r="D213" s="1313">
        <v>52</v>
      </c>
      <c r="E213" s="1313">
        <v>57200</v>
      </c>
    </row>
    <row r="214" spans="1:5" hidden="1" x14ac:dyDescent="0.25">
      <c r="A214" s="1313" t="s">
        <v>1216</v>
      </c>
      <c r="B214" s="1313" t="s">
        <v>1295</v>
      </c>
      <c r="C214" s="1324" t="s">
        <v>1264</v>
      </c>
      <c r="D214" s="1313">
        <v>70</v>
      </c>
      <c r="E214" s="1313">
        <v>90895</v>
      </c>
    </row>
    <row r="215" spans="1:5" hidden="1" x14ac:dyDescent="0.25">
      <c r="A215" s="1313" t="s">
        <v>1168</v>
      </c>
      <c r="B215" s="1313" t="s">
        <v>1296</v>
      </c>
      <c r="C215" s="1324" t="s">
        <v>1297</v>
      </c>
      <c r="D215" s="1313">
        <v>0.5</v>
      </c>
      <c r="E215" s="1313">
        <v>618.29999999999995</v>
      </c>
    </row>
    <row r="216" spans="1:5" hidden="1" x14ac:dyDescent="0.25">
      <c r="A216" s="1313" t="s">
        <v>1126</v>
      </c>
      <c r="B216" s="1313" t="s">
        <v>1298</v>
      </c>
      <c r="C216" s="1324" t="s">
        <v>1299</v>
      </c>
      <c r="D216" s="1313">
        <v>2</v>
      </c>
      <c r="E216" s="1313">
        <v>4400</v>
      </c>
    </row>
    <row r="217" spans="1:5" hidden="1" x14ac:dyDescent="0.25">
      <c r="A217" s="1317" t="s">
        <v>1300</v>
      </c>
      <c r="B217" s="1317"/>
      <c r="C217" s="1325"/>
      <c r="D217" s="1317">
        <f>D211+D212+D213+D214+D215+D216</f>
        <v>224.5</v>
      </c>
      <c r="E217" s="1317">
        <f>E211+E212+E213+E214+E215+E216</f>
        <v>274306.8</v>
      </c>
    </row>
    <row r="218" spans="1:5" hidden="1" x14ac:dyDescent="0.25">
      <c r="A218" s="1313" t="s">
        <v>264</v>
      </c>
      <c r="B218" s="1313"/>
      <c r="C218" s="1324"/>
      <c r="D218" s="1313"/>
      <c r="E218" s="1313"/>
    </row>
    <row r="219" spans="1:5" hidden="1" x14ac:dyDescent="0.25">
      <c r="A219" s="1313" t="s">
        <v>1168</v>
      </c>
      <c r="B219" s="1313" t="s">
        <v>1301</v>
      </c>
      <c r="C219" s="1324" t="s">
        <v>1302</v>
      </c>
      <c r="D219" s="1313">
        <v>0.5</v>
      </c>
      <c r="E219" s="1313">
        <v>618.29999999999995</v>
      </c>
    </row>
    <row r="220" spans="1:5" hidden="1" x14ac:dyDescent="0.25">
      <c r="A220" s="1313" t="s">
        <v>1216</v>
      </c>
      <c r="B220" s="1313" t="s">
        <v>1303</v>
      </c>
      <c r="C220" s="1324" t="s">
        <v>1304</v>
      </c>
      <c r="D220" s="1313">
        <v>47</v>
      </c>
      <c r="E220" s="1313">
        <v>61029.5</v>
      </c>
    </row>
    <row r="221" spans="1:5" hidden="1" x14ac:dyDescent="0.25">
      <c r="A221" s="1313" t="s">
        <v>1305</v>
      </c>
      <c r="B221" s="1313" t="s">
        <v>1306</v>
      </c>
      <c r="C221" s="1324" t="s">
        <v>1307</v>
      </c>
      <c r="D221" s="1313">
        <v>4</v>
      </c>
      <c r="E221" s="1313">
        <v>6800</v>
      </c>
    </row>
    <row r="222" spans="1:5" hidden="1" x14ac:dyDescent="0.25">
      <c r="A222" s="1313" t="s">
        <v>1092</v>
      </c>
      <c r="B222" s="1313" t="s">
        <v>1308</v>
      </c>
      <c r="C222" s="1324" t="s">
        <v>1309</v>
      </c>
      <c r="D222" s="1313">
        <v>5.09</v>
      </c>
      <c r="E222" s="1313">
        <v>8058.13</v>
      </c>
    </row>
    <row r="223" spans="1:5" hidden="1" x14ac:dyDescent="0.25">
      <c r="A223" s="1317" t="s">
        <v>1310</v>
      </c>
      <c r="B223" s="1317"/>
      <c r="C223" s="1325"/>
      <c r="D223" s="1317">
        <f>D219+D220+D221+D222</f>
        <v>56.59</v>
      </c>
      <c r="E223" s="1317">
        <f>E219+E220+E221+E222</f>
        <v>76505.930000000008</v>
      </c>
    </row>
    <row r="224" spans="1:5" hidden="1" x14ac:dyDescent="0.25">
      <c r="A224" s="1317" t="s">
        <v>1311</v>
      </c>
      <c r="B224" s="1313"/>
      <c r="C224" s="1324"/>
      <c r="D224" s="1313">
        <f>D223+D217+D209</f>
        <v>901.71</v>
      </c>
      <c r="E224" s="1317">
        <f>E223+E217+E209</f>
        <v>1147048.08</v>
      </c>
    </row>
    <row r="225" spans="1:5" hidden="1" x14ac:dyDescent="0.25">
      <c r="A225" s="1317" t="s">
        <v>265</v>
      </c>
      <c r="B225" s="1313"/>
      <c r="C225" s="1324"/>
      <c r="D225" s="1313"/>
      <c r="E225" s="1317"/>
    </row>
    <row r="226" spans="1:5" hidden="1" x14ac:dyDescent="0.25">
      <c r="A226" s="1313" t="s">
        <v>1168</v>
      </c>
      <c r="B226" s="1313" t="s">
        <v>1312</v>
      </c>
      <c r="C226" s="1324" t="s">
        <v>1297</v>
      </c>
      <c r="D226" s="1313">
        <v>0.5</v>
      </c>
      <c r="E226" s="1313">
        <v>618.29999999999995</v>
      </c>
    </row>
    <row r="227" spans="1:5" hidden="1" x14ac:dyDescent="0.25">
      <c r="A227" s="1319" t="s">
        <v>1216</v>
      </c>
      <c r="B227" s="1319" t="s">
        <v>1313</v>
      </c>
      <c r="C227" s="1328" t="s">
        <v>1304</v>
      </c>
      <c r="D227" s="1319">
        <v>2</v>
      </c>
      <c r="E227" s="1319">
        <v>2640</v>
      </c>
    </row>
    <row r="228" spans="1:5" hidden="1" x14ac:dyDescent="0.25">
      <c r="A228" s="1319" t="s">
        <v>1216</v>
      </c>
      <c r="B228" s="1319" t="s">
        <v>1313</v>
      </c>
      <c r="C228" s="1328" t="s">
        <v>1314</v>
      </c>
      <c r="D228" s="1319">
        <v>1</v>
      </c>
      <c r="E228" s="1319">
        <v>1320</v>
      </c>
    </row>
    <row r="229" spans="1:5" hidden="1" x14ac:dyDescent="0.25">
      <c r="A229" s="1319" t="s">
        <v>1315</v>
      </c>
      <c r="B229" s="1319" t="s">
        <v>1316</v>
      </c>
      <c r="C229" s="1328" t="s">
        <v>1317</v>
      </c>
      <c r="D229" s="1319">
        <v>4</v>
      </c>
      <c r="E229" s="1319">
        <v>6800</v>
      </c>
    </row>
    <row r="230" spans="1:5" hidden="1" x14ac:dyDescent="0.25">
      <c r="A230" s="1317" t="s">
        <v>1318</v>
      </c>
      <c r="B230" s="1317"/>
      <c r="C230" s="1325"/>
      <c r="D230" s="1317">
        <f>D226+D227+D228+D229</f>
        <v>7.5</v>
      </c>
      <c r="E230" s="1317">
        <f>E226+E227+E228+E229</f>
        <v>11378.3</v>
      </c>
    </row>
    <row r="231" spans="1:5" hidden="1" x14ac:dyDescent="0.25">
      <c r="A231" s="1317" t="s">
        <v>1319</v>
      </c>
      <c r="B231" s="1313"/>
      <c r="C231" s="1324"/>
      <c r="D231" s="1313"/>
      <c r="E231" s="1313"/>
    </row>
    <row r="232" spans="1:5" hidden="1" x14ac:dyDescent="0.25">
      <c r="A232" s="1313" t="s">
        <v>1168</v>
      </c>
      <c r="B232" s="1313" t="s">
        <v>1320</v>
      </c>
      <c r="C232" s="1324" t="s">
        <v>1297</v>
      </c>
      <c r="D232" s="1313">
        <v>0.5</v>
      </c>
      <c r="E232" s="1313">
        <v>618.29999999999995</v>
      </c>
    </row>
    <row r="233" spans="1:5" hidden="1" x14ac:dyDescent="0.25">
      <c r="A233" s="1313" t="s">
        <v>1245</v>
      </c>
      <c r="B233" s="1313" t="s">
        <v>1321</v>
      </c>
      <c r="C233" s="1324" t="s">
        <v>1322</v>
      </c>
      <c r="D233" s="1313">
        <v>31</v>
      </c>
      <c r="E233" s="1313">
        <v>40253.5</v>
      </c>
    </row>
    <row r="234" spans="1:5" hidden="1" x14ac:dyDescent="0.25">
      <c r="A234" s="1313" t="s">
        <v>1323</v>
      </c>
      <c r="B234" s="1313"/>
      <c r="C234" s="1324"/>
      <c r="D234" s="1313"/>
      <c r="E234" s="1313">
        <v>-10050.89</v>
      </c>
    </row>
    <row r="235" spans="1:5" hidden="1" x14ac:dyDescent="0.25">
      <c r="A235" s="1313" t="s">
        <v>1324</v>
      </c>
      <c r="B235" s="1313"/>
      <c r="C235" s="1324"/>
      <c r="D235" s="1313">
        <f>D232+D233+D234</f>
        <v>31.5</v>
      </c>
      <c r="E235" s="1313">
        <f>E232+E233+E234</f>
        <v>30820.910000000003</v>
      </c>
    </row>
    <row r="236" spans="1:5" hidden="1" x14ac:dyDescent="0.25">
      <c r="A236" s="1313" t="s">
        <v>1325</v>
      </c>
      <c r="B236" s="1313"/>
      <c r="C236" s="1324"/>
      <c r="D236" s="1313">
        <f>D224+D230+D235</f>
        <v>940.71</v>
      </c>
      <c r="E236" s="1317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296"/>
      <c r="B239" s="1297" t="s">
        <v>1326</v>
      </c>
      <c r="C239" s="1296"/>
      <c r="D239" s="1298"/>
      <c r="E239" s="1298"/>
    </row>
    <row r="240" spans="1:5" hidden="1" x14ac:dyDescent="0.25">
      <c r="A240" s="1298"/>
      <c r="B240" s="1298"/>
      <c r="C240" s="1298"/>
      <c r="D240" s="1298"/>
      <c r="E240" s="1298"/>
    </row>
    <row r="241" spans="1:5" hidden="1" x14ac:dyDescent="0.25">
      <c r="A241" s="1329" t="s">
        <v>1027</v>
      </c>
      <c r="B241" s="1329" t="s">
        <v>1028</v>
      </c>
      <c r="C241" s="1329" t="s">
        <v>1029</v>
      </c>
      <c r="D241" s="1329" t="s">
        <v>1030</v>
      </c>
      <c r="E241" s="1329" t="s">
        <v>45</v>
      </c>
    </row>
    <row r="242" spans="1:5" hidden="1" x14ac:dyDescent="0.25">
      <c r="A242" s="1330" t="s">
        <v>1031</v>
      </c>
      <c r="B242" s="1330" t="s">
        <v>1032</v>
      </c>
      <c r="C242" s="1330"/>
      <c r="D242" s="1330"/>
      <c r="E242" s="1330" t="s">
        <v>181</v>
      </c>
    </row>
    <row r="243" spans="1:5" hidden="1" x14ac:dyDescent="0.25">
      <c r="A243" s="1311" t="s">
        <v>1327</v>
      </c>
      <c r="B243" s="1297"/>
      <c r="C243" s="1301"/>
      <c r="D243" s="1301"/>
      <c r="E243" s="1301"/>
    </row>
    <row r="244" spans="1:5" hidden="1" x14ac:dyDescent="0.25">
      <c r="A244" s="1301" t="s">
        <v>1328</v>
      </c>
      <c r="B244" s="1302" t="s">
        <v>1329</v>
      </c>
      <c r="C244" s="1302" t="s">
        <v>1330</v>
      </c>
      <c r="D244" s="1302">
        <v>0.83</v>
      </c>
      <c r="E244" s="1302">
        <v>1355.39</v>
      </c>
    </row>
    <row r="245" spans="1:5" hidden="1" x14ac:dyDescent="0.25">
      <c r="A245" s="1312" t="s">
        <v>1331</v>
      </c>
      <c r="B245" s="1331"/>
      <c r="C245" s="1331"/>
      <c r="D245" s="1331"/>
      <c r="E245" s="1331"/>
    </row>
    <row r="246" spans="1:5" hidden="1" x14ac:dyDescent="0.25">
      <c r="A246" s="1314" t="s">
        <v>1245</v>
      </c>
      <c r="B246" s="1315" t="s">
        <v>1332</v>
      </c>
      <c r="C246" s="1332" t="s">
        <v>1333</v>
      </c>
      <c r="D246" s="1332">
        <v>1</v>
      </c>
      <c r="E246" s="1332">
        <v>1500</v>
      </c>
    </row>
    <row r="247" spans="1:5" hidden="1" x14ac:dyDescent="0.25">
      <c r="A247" s="1314" t="s">
        <v>1245</v>
      </c>
      <c r="B247" s="1315" t="s">
        <v>1334</v>
      </c>
      <c r="C247" s="1332" t="s">
        <v>1335</v>
      </c>
      <c r="D247" s="1332">
        <v>32</v>
      </c>
      <c r="E247" s="1332">
        <v>49492.480000000003</v>
      </c>
    </row>
    <row r="248" spans="1:5" hidden="1" x14ac:dyDescent="0.25">
      <c r="A248" s="1312" t="s">
        <v>1336</v>
      </c>
      <c r="B248" s="1333"/>
      <c r="C248" s="1333"/>
      <c r="D248" s="1334">
        <f>D246+D247</f>
        <v>33</v>
      </c>
      <c r="E248" s="1334">
        <f>E246+E247</f>
        <v>50992.480000000003</v>
      </c>
    </row>
    <row r="249" spans="1:5" hidden="1" x14ac:dyDescent="0.25">
      <c r="A249" s="1317" t="s">
        <v>260</v>
      </c>
      <c r="B249" s="1332"/>
      <c r="C249" s="1332"/>
      <c r="D249" s="1332"/>
      <c r="E249" s="1332"/>
    </row>
    <row r="250" spans="1:5" hidden="1" x14ac:dyDescent="0.25">
      <c r="A250" s="1301" t="s">
        <v>1328</v>
      </c>
      <c r="B250" s="1332" t="s">
        <v>1337</v>
      </c>
      <c r="C250" s="1302" t="s">
        <v>1309</v>
      </c>
      <c r="D250" s="1332">
        <v>1</v>
      </c>
      <c r="E250" s="1332">
        <v>1627.12</v>
      </c>
    </row>
    <row r="251" spans="1:5" hidden="1" x14ac:dyDescent="0.25">
      <c r="A251" s="1313" t="s">
        <v>1338</v>
      </c>
      <c r="B251" s="1332" t="s">
        <v>1339</v>
      </c>
      <c r="C251" s="1332" t="s">
        <v>1277</v>
      </c>
      <c r="D251" s="1332">
        <v>64</v>
      </c>
      <c r="E251" s="1332">
        <v>81355.929999999993</v>
      </c>
    </row>
    <row r="252" spans="1:5" hidden="1" x14ac:dyDescent="0.25">
      <c r="A252" s="1312" t="s">
        <v>1340</v>
      </c>
      <c r="B252" s="1334"/>
      <c r="C252" s="1334"/>
      <c r="D252" s="1334">
        <f>D250+D251</f>
        <v>65</v>
      </c>
      <c r="E252" s="1334">
        <f>E250+E251</f>
        <v>82983.049999999988</v>
      </c>
    </row>
    <row r="253" spans="1:5" hidden="1" x14ac:dyDescent="0.25">
      <c r="A253" s="1317" t="s">
        <v>1341</v>
      </c>
      <c r="B253" s="1334"/>
      <c r="C253" s="1334"/>
      <c r="D253" s="1334">
        <f>D244+D248+D252</f>
        <v>98.83</v>
      </c>
      <c r="E253" s="1334">
        <f>E244+E248+E252</f>
        <v>135330.91999999998</v>
      </c>
    </row>
    <row r="254" spans="1:5" hidden="1" x14ac:dyDescent="0.25">
      <c r="A254" s="1317" t="s">
        <v>1342</v>
      </c>
      <c r="B254" s="1332"/>
      <c r="C254" s="1332"/>
      <c r="D254" s="1332"/>
      <c r="E254" s="1332"/>
    </row>
    <row r="255" spans="1:5" ht="24.75" hidden="1" customHeight="1" x14ac:dyDescent="0.25">
      <c r="A255" s="1313" t="s">
        <v>1328</v>
      </c>
      <c r="B255" s="1332" t="s">
        <v>1343</v>
      </c>
      <c r="C255" s="1335" t="s">
        <v>1344</v>
      </c>
      <c r="D255" s="1332">
        <v>0.57999999999999996</v>
      </c>
      <c r="E255" s="1332">
        <v>949.15</v>
      </c>
    </row>
    <row r="256" spans="1:5" hidden="1" x14ac:dyDescent="0.25">
      <c r="A256" s="1317" t="s">
        <v>1345</v>
      </c>
      <c r="B256" s="1332"/>
      <c r="C256" s="1332"/>
      <c r="D256" s="1332"/>
      <c r="E256" s="1332"/>
    </row>
    <row r="257" spans="1:5" ht="23.25" hidden="1" x14ac:dyDescent="0.25">
      <c r="A257" s="1313" t="s">
        <v>1044</v>
      </c>
      <c r="B257" s="1332" t="s">
        <v>1346</v>
      </c>
      <c r="C257" s="1335" t="s">
        <v>1347</v>
      </c>
      <c r="D257" s="1332"/>
      <c r="E257" s="1332">
        <v>625</v>
      </c>
    </row>
    <row r="258" spans="1:5" hidden="1" x14ac:dyDescent="0.25">
      <c r="A258" s="1313" t="s">
        <v>1283</v>
      </c>
      <c r="B258" s="1332" t="s">
        <v>1348</v>
      </c>
      <c r="C258" s="1332" t="s">
        <v>1349</v>
      </c>
      <c r="D258" s="1332">
        <v>1</v>
      </c>
      <c r="E258" s="1332">
        <v>1200</v>
      </c>
    </row>
    <row r="259" spans="1:5" hidden="1" x14ac:dyDescent="0.25">
      <c r="A259" s="1317" t="s">
        <v>1350</v>
      </c>
      <c r="B259" s="1332"/>
      <c r="C259" s="1332"/>
      <c r="D259" s="1334">
        <f>D257+D258</f>
        <v>1</v>
      </c>
      <c r="E259" s="1334">
        <f>E257+E258</f>
        <v>1825</v>
      </c>
    </row>
    <row r="260" spans="1:5" hidden="1" x14ac:dyDescent="0.25">
      <c r="A260" s="1317" t="s">
        <v>263</v>
      </c>
      <c r="B260" s="1332"/>
      <c r="C260" s="1332"/>
      <c r="D260" s="1332"/>
      <c r="E260" s="1332"/>
    </row>
    <row r="261" spans="1:5" hidden="1" x14ac:dyDescent="0.25">
      <c r="A261" s="1313" t="s">
        <v>1351</v>
      </c>
      <c r="B261" s="1332" t="s">
        <v>1352</v>
      </c>
      <c r="C261" s="1332" t="s">
        <v>1302</v>
      </c>
      <c r="D261" s="1332"/>
      <c r="E261" s="1332">
        <v>699.3</v>
      </c>
    </row>
    <row r="262" spans="1:5" hidden="1" x14ac:dyDescent="0.25">
      <c r="A262" s="1313" t="s">
        <v>1351</v>
      </c>
      <c r="B262" s="1332" t="s">
        <v>1353</v>
      </c>
      <c r="C262" s="1332" t="s">
        <v>1302</v>
      </c>
      <c r="D262" s="1332"/>
      <c r="E262" s="1332">
        <v>699.3</v>
      </c>
    </row>
    <row r="263" spans="1:5" hidden="1" x14ac:dyDescent="0.25">
      <c r="A263" s="1313" t="s">
        <v>1245</v>
      </c>
      <c r="B263" s="1332" t="s">
        <v>1354</v>
      </c>
      <c r="C263" s="1332" t="s">
        <v>1355</v>
      </c>
      <c r="D263" s="1332">
        <v>10</v>
      </c>
      <c r="E263" s="1332">
        <v>10000</v>
      </c>
    </row>
    <row r="264" spans="1:5" hidden="1" x14ac:dyDescent="0.25">
      <c r="A264" s="1313" t="s">
        <v>1092</v>
      </c>
      <c r="B264" s="1332" t="s">
        <v>1356</v>
      </c>
      <c r="C264" s="1332" t="s">
        <v>1357</v>
      </c>
      <c r="D264" s="1332">
        <v>0.5</v>
      </c>
      <c r="E264" s="1332">
        <v>813.56</v>
      </c>
    </row>
    <row r="265" spans="1:5" hidden="1" x14ac:dyDescent="0.25">
      <c r="A265" s="1317" t="s">
        <v>1358</v>
      </c>
      <c r="B265" s="1334"/>
      <c r="C265" s="1334"/>
      <c r="D265" s="1334">
        <f>D261+D262+D263+D264</f>
        <v>10.5</v>
      </c>
      <c r="E265" s="1334">
        <f>E261+E264+E262+E263</f>
        <v>12212.16</v>
      </c>
    </row>
    <row r="266" spans="1:5" hidden="1" x14ac:dyDescent="0.25">
      <c r="A266" s="1316" t="s">
        <v>1359</v>
      </c>
      <c r="B266" s="1331"/>
      <c r="C266" s="1331"/>
      <c r="D266" s="1334">
        <f>D253+D255+D259+D265</f>
        <v>110.91</v>
      </c>
      <c r="E266" s="1334">
        <f>E253+E255+E259+E265</f>
        <v>150317.22999999998</v>
      </c>
    </row>
    <row r="267" spans="1:5" hidden="1" x14ac:dyDescent="0.25">
      <c r="A267" s="1336" t="s">
        <v>1360</v>
      </c>
      <c r="B267" s="1332"/>
      <c r="C267" s="1332"/>
      <c r="D267" s="1332"/>
      <c r="E267" s="1332"/>
    </row>
    <row r="268" spans="1:5" hidden="1" x14ac:dyDescent="0.25">
      <c r="A268" s="1313" t="s">
        <v>1361</v>
      </c>
      <c r="B268" s="1332" t="s">
        <v>1362</v>
      </c>
      <c r="C268" s="1332" t="s">
        <v>1264</v>
      </c>
      <c r="D268" s="1332">
        <v>49</v>
      </c>
      <c r="E268" s="1332">
        <v>49000</v>
      </c>
    </row>
    <row r="269" spans="1:5" hidden="1" x14ac:dyDescent="0.25">
      <c r="A269" s="1313" t="s">
        <v>1351</v>
      </c>
      <c r="B269" s="1332" t="s">
        <v>1363</v>
      </c>
      <c r="C269" s="1332" t="s">
        <v>1302</v>
      </c>
      <c r="D269" s="1332"/>
      <c r="E269" s="1332">
        <v>-618.29999999999995</v>
      </c>
    </row>
    <row r="270" spans="1:5" hidden="1" x14ac:dyDescent="0.25">
      <c r="A270" s="1317" t="s">
        <v>1364</v>
      </c>
      <c r="B270" s="1334"/>
      <c r="C270" s="1334"/>
      <c r="D270" s="1334">
        <f>D268+D269</f>
        <v>49</v>
      </c>
      <c r="E270" s="1334">
        <f>E268+E269</f>
        <v>48381.7</v>
      </c>
    </row>
    <row r="271" spans="1:5" hidden="1" x14ac:dyDescent="0.25">
      <c r="A271" s="1317" t="s">
        <v>264</v>
      </c>
      <c r="B271" s="1332"/>
      <c r="C271" s="1332"/>
      <c r="D271" s="1332"/>
      <c r="E271" s="1332"/>
    </row>
    <row r="272" spans="1:5" ht="23.25" hidden="1" x14ac:dyDescent="0.25">
      <c r="A272" s="1313" t="s">
        <v>1223</v>
      </c>
      <c r="B272" s="1332" t="s">
        <v>1365</v>
      </c>
      <c r="C272" s="1335" t="s">
        <v>1366</v>
      </c>
      <c r="D272" s="1332">
        <v>3</v>
      </c>
      <c r="E272" s="1332">
        <v>8400</v>
      </c>
    </row>
    <row r="273" spans="1:5" ht="23.25" hidden="1" x14ac:dyDescent="0.25">
      <c r="A273" s="1313" t="s">
        <v>1367</v>
      </c>
      <c r="B273" s="1332" t="s">
        <v>1368</v>
      </c>
      <c r="C273" s="1335" t="s">
        <v>1369</v>
      </c>
      <c r="D273" s="1332">
        <v>1</v>
      </c>
      <c r="E273" s="1332">
        <v>1500</v>
      </c>
    </row>
    <row r="274" spans="1:5" hidden="1" x14ac:dyDescent="0.25">
      <c r="A274" s="1313" t="s">
        <v>1370</v>
      </c>
      <c r="B274" s="1332" t="s">
        <v>1371</v>
      </c>
      <c r="C274" s="1332" t="s">
        <v>1264</v>
      </c>
      <c r="D274" s="1332">
        <v>19</v>
      </c>
      <c r="E274" s="1332">
        <v>24152.54</v>
      </c>
    </row>
    <row r="275" spans="1:5" hidden="1" x14ac:dyDescent="0.25">
      <c r="A275" s="1317" t="s">
        <v>1227</v>
      </c>
      <c r="B275" s="1332"/>
      <c r="C275" s="1332"/>
      <c r="D275" s="1334">
        <f>D272+D273+D274</f>
        <v>23</v>
      </c>
      <c r="E275" s="1334">
        <f>E272+E273+E274</f>
        <v>34052.54</v>
      </c>
    </row>
    <row r="276" spans="1:5" hidden="1" x14ac:dyDescent="0.25">
      <c r="A276" s="1317" t="s">
        <v>1228</v>
      </c>
      <c r="B276" s="1332"/>
      <c r="C276" s="1332"/>
      <c r="D276" s="1332"/>
      <c r="E276" s="1332"/>
    </row>
    <row r="277" spans="1:5" hidden="1" x14ac:dyDescent="0.25">
      <c r="A277" s="1313" t="s">
        <v>1372</v>
      </c>
      <c r="B277" s="1332" t="s">
        <v>1373</v>
      </c>
      <c r="C277" s="1332" t="s">
        <v>1374</v>
      </c>
      <c r="D277" s="1332">
        <v>2</v>
      </c>
      <c r="E277" s="1332">
        <v>2881.36</v>
      </c>
    </row>
    <row r="278" spans="1:5" hidden="1" x14ac:dyDescent="0.25">
      <c r="A278" s="1317" t="s">
        <v>1375</v>
      </c>
      <c r="B278" s="1332"/>
      <c r="C278" s="1332"/>
      <c r="D278" s="1334">
        <f>SUM(D277)</f>
        <v>2</v>
      </c>
      <c r="E278" s="1334">
        <f>SUM(E277)</f>
        <v>2881.36</v>
      </c>
    </row>
    <row r="279" spans="1:5" hidden="1" x14ac:dyDescent="0.25">
      <c r="A279" s="1317" t="s">
        <v>1376</v>
      </c>
      <c r="B279" s="1332"/>
      <c r="C279" s="1332"/>
      <c r="D279" s="1334">
        <f>D266+D270+D275+D278</f>
        <v>184.91</v>
      </c>
      <c r="E279" s="1334">
        <f>E266+E270+E275+E278</f>
        <v>235632.83</v>
      </c>
    </row>
    <row r="280" spans="1:5" hidden="1" x14ac:dyDescent="0.25">
      <c r="A280" s="1317" t="s">
        <v>1377</v>
      </c>
      <c r="B280" s="1332"/>
      <c r="C280" s="1332"/>
      <c r="D280" s="1332"/>
      <c r="E280" s="1332"/>
    </row>
    <row r="281" spans="1:5" hidden="1" x14ac:dyDescent="0.25">
      <c r="A281" s="1317" t="s">
        <v>266</v>
      </c>
      <c r="B281" s="1332" t="s">
        <v>1378</v>
      </c>
      <c r="C281" s="1332" t="s">
        <v>1379</v>
      </c>
      <c r="D281" s="1332"/>
      <c r="E281" s="1332">
        <v>699.3</v>
      </c>
    </row>
    <row r="282" spans="1:5" hidden="1" x14ac:dyDescent="0.25">
      <c r="A282" s="1317" t="s">
        <v>1319</v>
      </c>
      <c r="B282" s="1332"/>
      <c r="C282" s="1332"/>
      <c r="D282" s="1332"/>
      <c r="E282" s="1332"/>
    </row>
    <row r="283" spans="1:5" hidden="1" x14ac:dyDescent="0.25">
      <c r="A283" s="1313" t="s">
        <v>1245</v>
      </c>
      <c r="B283" s="1332" t="s">
        <v>1380</v>
      </c>
      <c r="C283" s="1332" t="s">
        <v>1381</v>
      </c>
      <c r="D283" s="1332">
        <v>2</v>
      </c>
      <c r="E283" s="1332">
        <v>2000</v>
      </c>
    </row>
    <row r="284" spans="1:5" hidden="1" x14ac:dyDescent="0.25">
      <c r="A284" s="1313" t="s">
        <v>1044</v>
      </c>
      <c r="B284" s="1332" t="s">
        <v>1382</v>
      </c>
      <c r="C284" s="1332" t="s">
        <v>1383</v>
      </c>
      <c r="D284" s="1332"/>
      <c r="E284" s="1332">
        <v>279.66000000000003</v>
      </c>
    </row>
    <row r="285" spans="1:5" hidden="1" x14ac:dyDescent="0.25">
      <c r="A285" s="1313" t="s">
        <v>1092</v>
      </c>
      <c r="B285" s="1332" t="s">
        <v>1384</v>
      </c>
      <c r="C285" s="1332" t="s">
        <v>1385</v>
      </c>
      <c r="D285" s="1332">
        <v>3</v>
      </c>
      <c r="E285" s="1332">
        <v>4881.3599999999997</v>
      </c>
    </row>
    <row r="286" spans="1:5" hidden="1" x14ac:dyDescent="0.25">
      <c r="A286" s="1313" t="s">
        <v>1386</v>
      </c>
      <c r="B286" s="1332" t="s">
        <v>1387</v>
      </c>
      <c r="C286" s="1332" t="s">
        <v>1388</v>
      </c>
      <c r="D286" s="1332">
        <v>7</v>
      </c>
      <c r="E286" s="1332">
        <v>14830.51</v>
      </c>
    </row>
    <row r="287" spans="1:5" hidden="1" x14ac:dyDescent="0.25">
      <c r="A287" s="1313" t="s">
        <v>1386</v>
      </c>
      <c r="B287" s="1332" t="s">
        <v>1387</v>
      </c>
      <c r="C287" s="1332" t="s">
        <v>1389</v>
      </c>
      <c r="D287" s="1332">
        <v>1</v>
      </c>
      <c r="E287" s="1332">
        <v>2400</v>
      </c>
    </row>
    <row r="288" spans="1:5" hidden="1" x14ac:dyDescent="0.25">
      <c r="A288" s="1317" t="s">
        <v>1390</v>
      </c>
      <c r="B288" s="1334"/>
      <c r="C288" s="1334"/>
      <c r="D288" s="1334">
        <f>D283+D284+D285+D286+D287</f>
        <v>13</v>
      </c>
      <c r="E288" s="1334">
        <f>E283+E284+E285+E286+E287</f>
        <v>24391.53</v>
      </c>
    </row>
    <row r="289" spans="1:5" hidden="1" x14ac:dyDescent="0.25">
      <c r="A289" s="1317" t="s">
        <v>1391</v>
      </c>
      <c r="B289" s="1334"/>
      <c r="C289" s="1334"/>
      <c r="D289" s="1334">
        <f>D244+D248+D252+D255+D259+D265+D270+D275+D278+D281+D288</f>
        <v>197.91</v>
      </c>
      <c r="E289" s="1334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264" t="s">
        <v>1392</v>
      </c>
      <c r="D291" s="1264" t="s">
        <v>1393</v>
      </c>
    </row>
    <row r="292" spans="1:5" x14ac:dyDescent="0.25">
      <c r="A292" s="5336" t="s">
        <v>1451</v>
      </c>
      <c r="B292" s="5337"/>
      <c r="C292" s="5337"/>
      <c r="D292" s="5337"/>
      <c r="E292" s="5337"/>
    </row>
    <row r="293" spans="1:5" x14ac:dyDescent="0.25">
      <c r="A293" s="1299" t="s">
        <v>1027</v>
      </c>
      <c r="B293" s="1329" t="s">
        <v>1028</v>
      </c>
      <c r="C293" s="1329" t="s">
        <v>1029</v>
      </c>
      <c r="D293" s="1329" t="s">
        <v>1030</v>
      </c>
      <c r="E293" s="1329" t="s">
        <v>45</v>
      </c>
    </row>
    <row r="294" spans="1:5" x14ac:dyDescent="0.25">
      <c r="A294" s="1300" t="s">
        <v>1031</v>
      </c>
      <c r="B294" s="1330" t="s">
        <v>1032</v>
      </c>
      <c r="C294" s="1330"/>
      <c r="D294" s="1330"/>
      <c r="E294" s="1330" t="s">
        <v>181</v>
      </c>
    </row>
    <row r="295" spans="1:5" x14ac:dyDescent="0.25">
      <c r="A295" s="1311" t="s">
        <v>1327</v>
      </c>
      <c r="B295" s="1304"/>
      <c r="C295" s="1302"/>
      <c r="D295" s="1302"/>
      <c r="E295" s="1302"/>
    </row>
    <row r="296" spans="1:5" x14ac:dyDescent="0.25">
      <c r="A296" s="1313" t="s">
        <v>1394</v>
      </c>
      <c r="B296" s="1332" t="s">
        <v>1395</v>
      </c>
      <c r="C296" s="1324" t="s">
        <v>1396</v>
      </c>
      <c r="D296" s="1332">
        <v>2.5</v>
      </c>
      <c r="E296" s="1332">
        <v>4067.8</v>
      </c>
    </row>
    <row r="297" spans="1:5" x14ac:dyDescent="0.25">
      <c r="A297" s="1317" t="s">
        <v>259</v>
      </c>
      <c r="B297" s="1332"/>
      <c r="C297" s="1324"/>
      <c r="D297" s="1332"/>
      <c r="E297" s="1332"/>
    </row>
    <row r="298" spans="1:5" x14ac:dyDescent="0.25">
      <c r="A298" s="1313" t="s">
        <v>1394</v>
      </c>
      <c r="B298" s="1332" t="s">
        <v>1397</v>
      </c>
      <c r="C298" s="1324" t="s">
        <v>1398</v>
      </c>
      <c r="D298" s="1332">
        <v>0.5</v>
      </c>
      <c r="E298" s="1332">
        <v>622.88</v>
      </c>
    </row>
    <row r="299" spans="1:5" x14ac:dyDescent="0.25">
      <c r="A299" s="1317" t="s">
        <v>260</v>
      </c>
      <c r="B299" s="1332"/>
      <c r="C299" s="1324"/>
      <c r="D299" s="1332"/>
      <c r="E299" s="1332"/>
    </row>
    <row r="300" spans="1:5" x14ac:dyDescent="0.25">
      <c r="A300" s="1317" t="s">
        <v>261</v>
      </c>
      <c r="B300" s="1332"/>
      <c r="C300" s="1324"/>
      <c r="D300" s="1332"/>
      <c r="E300" s="1332"/>
    </row>
    <row r="301" spans="1:5" x14ac:dyDescent="0.25">
      <c r="A301" s="1313" t="s">
        <v>1399</v>
      </c>
      <c r="B301" s="1332" t="s">
        <v>1400</v>
      </c>
      <c r="C301" s="1324" t="s">
        <v>1401</v>
      </c>
      <c r="D301" s="1332">
        <v>9</v>
      </c>
      <c r="E301" s="1332">
        <v>9000</v>
      </c>
    </row>
    <row r="302" spans="1:5" x14ac:dyDescent="0.25">
      <c r="A302" s="1313" t="s">
        <v>1168</v>
      </c>
      <c r="B302" s="1332" t="s">
        <v>1402</v>
      </c>
      <c r="C302" s="1324" t="s">
        <v>1403</v>
      </c>
      <c r="D302" s="1332"/>
      <c r="E302" s="1332">
        <v>792.5</v>
      </c>
    </row>
    <row r="303" spans="1:5" x14ac:dyDescent="0.25">
      <c r="A303" s="1317" t="s">
        <v>262</v>
      </c>
      <c r="B303" s="1332"/>
      <c r="C303" s="1324"/>
      <c r="D303" s="1332"/>
      <c r="E303" s="1332"/>
    </row>
    <row r="304" spans="1:5" x14ac:dyDescent="0.25">
      <c r="A304" s="1313" t="s">
        <v>1404</v>
      </c>
      <c r="B304" s="1332" t="s">
        <v>1405</v>
      </c>
      <c r="C304" s="1324" t="s">
        <v>1406</v>
      </c>
      <c r="D304" s="1332"/>
      <c r="E304" s="1332">
        <v>9000</v>
      </c>
    </row>
    <row r="305" spans="1:5" x14ac:dyDescent="0.25">
      <c r="A305" s="1313" t="s">
        <v>1404</v>
      </c>
      <c r="B305" s="1332" t="s">
        <v>1407</v>
      </c>
      <c r="C305" s="1324" t="s">
        <v>1406</v>
      </c>
      <c r="D305" s="1332"/>
      <c r="E305" s="1332">
        <v>9000</v>
      </c>
    </row>
    <row r="306" spans="1:5" x14ac:dyDescent="0.25">
      <c r="A306" s="1317" t="s">
        <v>263</v>
      </c>
      <c r="B306" s="1332"/>
      <c r="C306" s="1324"/>
      <c r="D306" s="1332"/>
      <c r="E306" s="1332"/>
    </row>
    <row r="307" spans="1:5" x14ac:dyDescent="0.25">
      <c r="A307" s="1313" t="s">
        <v>1399</v>
      </c>
      <c r="B307" s="1332" t="s">
        <v>1408</v>
      </c>
      <c r="C307" s="1324" t="s">
        <v>1409</v>
      </c>
      <c r="D307" s="1332">
        <v>5</v>
      </c>
      <c r="E307" s="1332">
        <v>6000</v>
      </c>
    </row>
    <row r="308" spans="1:5" x14ac:dyDescent="0.25">
      <c r="A308" s="1313" t="s">
        <v>1410</v>
      </c>
      <c r="B308" s="1332" t="s">
        <v>1411</v>
      </c>
      <c r="C308" s="1324" t="s">
        <v>1412</v>
      </c>
      <c r="D308" s="1332">
        <v>3</v>
      </c>
      <c r="E308" s="1332">
        <v>7200</v>
      </c>
    </row>
    <row r="309" spans="1:5" x14ac:dyDescent="0.25">
      <c r="A309" s="1313" t="s">
        <v>1410</v>
      </c>
      <c r="B309" s="1332" t="s">
        <v>1411</v>
      </c>
      <c r="C309" s="1324" t="s">
        <v>1413</v>
      </c>
      <c r="D309" s="1332">
        <v>6</v>
      </c>
      <c r="E309" s="1332">
        <v>12711.86</v>
      </c>
    </row>
    <row r="310" spans="1:5" ht="23.25" x14ac:dyDescent="0.25">
      <c r="A310" s="1313" t="s">
        <v>1139</v>
      </c>
      <c r="B310" s="1332" t="s">
        <v>1414</v>
      </c>
      <c r="C310" s="1337" t="s">
        <v>1415</v>
      </c>
      <c r="D310" s="1332">
        <v>1</v>
      </c>
      <c r="E310" s="1332">
        <v>1391.81</v>
      </c>
    </row>
    <row r="311" spans="1:5" x14ac:dyDescent="0.25">
      <c r="A311" s="1317" t="s">
        <v>1416</v>
      </c>
      <c r="B311" s="1334"/>
      <c r="C311" s="1334"/>
      <c r="D311" s="1334">
        <f>D296+D298+D301+D304+D305+D307+D308+D309+D310+D302</f>
        <v>27</v>
      </c>
      <c r="E311" s="1334">
        <f>E296+E298+E301+E304+E305+E307+E308+E309+E310+E302</f>
        <v>59786.85</v>
      </c>
    </row>
    <row r="312" spans="1:5" x14ac:dyDescent="0.25">
      <c r="A312" s="1317" t="s">
        <v>1290</v>
      </c>
      <c r="B312" s="1313"/>
      <c r="C312" s="1313"/>
      <c r="D312" s="1313"/>
      <c r="E312" s="1332"/>
    </row>
    <row r="313" spans="1:5" x14ac:dyDescent="0.25">
      <c r="A313" s="1313" t="s">
        <v>1417</v>
      </c>
      <c r="B313" s="1313" t="s">
        <v>1418</v>
      </c>
      <c r="C313" s="1313" t="s">
        <v>1419</v>
      </c>
      <c r="D313" s="1313"/>
      <c r="E313" s="1332">
        <v>1697.03</v>
      </c>
    </row>
    <row r="314" spans="1:5" x14ac:dyDescent="0.25">
      <c r="A314" s="1317" t="s">
        <v>264</v>
      </c>
      <c r="B314" s="1313"/>
      <c r="C314" s="1313"/>
      <c r="D314" s="1313"/>
      <c r="E314" s="1332"/>
    </row>
    <row r="315" spans="1:5" ht="23.25" x14ac:dyDescent="0.25">
      <c r="A315" s="1313" t="s">
        <v>1420</v>
      </c>
      <c r="B315" s="1313" t="s">
        <v>1421</v>
      </c>
      <c r="C315" s="1338" t="s">
        <v>1422</v>
      </c>
      <c r="D315" s="1313">
        <v>1</v>
      </c>
      <c r="E315" s="1332">
        <v>4237.29</v>
      </c>
    </row>
    <row r="316" spans="1:5" ht="23.25" x14ac:dyDescent="0.25">
      <c r="A316" s="1338" t="s">
        <v>1423</v>
      </c>
      <c r="B316" s="1313" t="s">
        <v>1424</v>
      </c>
      <c r="C316" s="1313" t="s">
        <v>1425</v>
      </c>
      <c r="D316" s="1313">
        <v>2</v>
      </c>
      <c r="E316" s="1332">
        <v>3000</v>
      </c>
    </row>
    <row r="317" spans="1:5" ht="23.25" x14ac:dyDescent="0.25">
      <c r="A317" s="1338" t="s">
        <v>1423</v>
      </c>
      <c r="B317" s="1313" t="s">
        <v>1426</v>
      </c>
      <c r="C317" s="1313" t="s">
        <v>1427</v>
      </c>
      <c r="D317" s="1313">
        <v>3.5</v>
      </c>
      <c r="E317" s="1332">
        <v>5250</v>
      </c>
    </row>
    <row r="318" spans="1:5" x14ac:dyDescent="0.25">
      <c r="A318" s="1316" t="s">
        <v>1428</v>
      </c>
      <c r="B318" s="1313"/>
      <c r="C318" s="1313"/>
      <c r="D318" s="1313"/>
      <c r="E318" s="1334">
        <f>E315+E316+E317</f>
        <v>12487.29</v>
      </c>
    </row>
    <row r="319" spans="1:5" x14ac:dyDescent="0.25">
      <c r="A319" s="1319" t="s">
        <v>1429</v>
      </c>
      <c r="B319" s="1313" t="s">
        <v>1430</v>
      </c>
      <c r="C319" s="1313" t="s">
        <v>1431</v>
      </c>
      <c r="D319" s="1313">
        <v>40</v>
      </c>
      <c r="E319" s="1332">
        <v>40680</v>
      </c>
    </row>
    <row r="320" spans="1:5" x14ac:dyDescent="0.25">
      <c r="A320" s="1319" t="s">
        <v>1429</v>
      </c>
      <c r="B320" s="1313" t="s">
        <v>1430</v>
      </c>
      <c r="C320" s="1313" t="s">
        <v>1432</v>
      </c>
      <c r="D320" s="1313">
        <v>40</v>
      </c>
      <c r="E320" s="1332">
        <v>40680</v>
      </c>
    </row>
    <row r="321" spans="1:5" x14ac:dyDescent="0.25">
      <c r="A321" s="1313" t="s">
        <v>1433</v>
      </c>
      <c r="B321" s="1313" t="s">
        <v>1434</v>
      </c>
      <c r="C321" s="1313" t="s">
        <v>1435</v>
      </c>
      <c r="D321" s="1313">
        <v>2</v>
      </c>
      <c r="E321" s="1332">
        <v>2400</v>
      </c>
    </row>
    <row r="322" spans="1:5" ht="23.25" x14ac:dyDescent="0.25">
      <c r="A322" s="1338" t="s">
        <v>1436</v>
      </c>
      <c r="B322" s="1313" t="s">
        <v>1437</v>
      </c>
      <c r="C322" s="1313" t="s">
        <v>1438</v>
      </c>
      <c r="D322" s="1313">
        <v>1</v>
      </c>
      <c r="E322" s="1332">
        <v>1500</v>
      </c>
    </row>
    <row r="323" spans="1:5" x14ac:dyDescent="0.25">
      <c r="A323" s="1319" t="s">
        <v>1429</v>
      </c>
      <c r="B323" s="1313" t="s">
        <v>1439</v>
      </c>
      <c r="C323" s="1313" t="s">
        <v>1431</v>
      </c>
      <c r="D323" s="1313">
        <v>40</v>
      </c>
      <c r="E323" s="1332">
        <v>40680</v>
      </c>
    </row>
    <row r="324" spans="1:5" x14ac:dyDescent="0.25">
      <c r="A324" s="1319" t="s">
        <v>1429</v>
      </c>
      <c r="B324" s="1313" t="s">
        <v>1439</v>
      </c>
      <c r="C324" s="1313" t="s">
        <v>1432</v>
      </c>
      <c r="D324" s="1313">
        <v>40</v>
      </c>
      <c r="E324" s="1332">
        <v>40680</v>
      </c>
    </row>
    <row r="325" spans="1:5" x14ac:dyDescent="0.25">
      <c r="A325" s="1313" t="s">
        <v>1440</v>
      </c>
      <c r="B325" s="1313" t="s">
        <v>1441</v>
      </c>
      <c r="C325" s="1313" t="s">
        <v>1442</v>
      </c>
      <c r="D325" s="1313">
        <v>2</v>
      </c>
      <c r="E325" s="1332">
        <v>3000</v>
      </c>
    </row>
    <row r="326" spans="1:5" x14ac:dyDescent="0.25">
      <c r="A326" s="1313" t="s">
        <v>1139</v>
      </c>
      <c r="B326" s="1313" t="s">
        <v>1443</v>
      </c>
      <c r="C326" s="1313" t="s">
        <v>1444</v>
      </c>
      <c r="D326" s="1313">
        <v>3</v>
      </c>
      <c r="E326" s="1332">
        <v>4034.16</v>
      </c>
    </row>
    <row r="327" spans="1:5" ht="23.25" x14ac:dyDescent="0.25">
      <c r="A327" s="1338" t="s">
        <v>1436</v>
      </c>
      <c r="B327" s="1313" t="s">
        <v>1445</v>
      </c>
      <c r="C327" s="1313" t="s">
        <v>1446</v>
      </c>
      <c r="D327" s="1313">
        <v>2</v>
      </c>
      <c r="E327" s="1332">
        <v>3000</v>
      </c>
    </row>
    <row r="328" spans="1:5" x14ac:dyDescent="0.25">
      <c r="A328" s="1317" t="s">
        <v>1428</v>
      </c>
      <c r="B328" s="1317"/>
      <c r="C328" s="1317"/>
      <c r="D328" s="1317">
        <f>SUM(D319:D327)</f>
        <v>170</v>
      </c>
      <c r="E328" s="1334">
        <f>SUM(E319:E327)</f>
        <v>176654.16</v>
      </c>
    </row>
    <row r="329" spans="1:5" x14ac:dyDescent="0.25">
      <c r="A329" s="1317" t="s">
        <v>1447</v>
      </c>
      <c r="B329" s="1317"/>
      <c r="C329" s="1317"/>
      <c r="D329" s="1317">
        <f>D311+D313+D318+D328</f>
        <v>197</v>
      </c>
      <c r="E329" s="1334">
        <f>E311+E313+E318+E328</f>
        <v>250625.33000000002</v>
      </c>
    </row>
    <row r="330" spans="1:5" x14ac:dyDescent="0.25">
      <c r="A330" s="1313" t="s">
        <v>46</v>
      </c>
      <c r="B330" s="5338"/>
      <c r="C330" s="5339"/>
      <c r="D330" s="5339"/>
      <c r="E330" s="1313">
        <f>SUM(E296+E298+E301+E302+E304+E305+E307+E308+E309+E310+E313+E315+E316+E325+E326)</f>
        <v>75755.33</v>
      </c>
    </row>
    <row r="331" spans="1:5" x14ac:dyDescent="0.25">
      <c r="A331" s="1313" t="s">
        <v>47</v>
      </c>
      <c r="B331" s="5339"/>
      <c r="C331" s="5339"/>
      <c r="D331" s="5339"/>
      <c r="E331" s="1339">
        <f>SUM(E317+E319+E320+E321+E322+E323+E324+E327)</f>
        <v>174870</v>
      </c>
    </row>
    <row r="332" spans="1:5" x14ac:dyDescent="0.25">
      <c r="A332" s="1317" t="s">
        <v>1448</v>
      </c>
      <c r="B332" s="5339"/>
      <c r="C332" s="5339"/>
      <c r="D332" s="5339"/>
      <c r="E332" s="1340">
        <f>SUM(E329/9*12)</f>
        <v>334167.10666666669</v>
      </c>
    </row>
    <row r="333" spans="1:5" x14ac:dyDescent="0.25">
      <c r="A333" s="1316" t="s">
        <v>46</v>
      </c>
      <c r="B333" s="5339"/>
      <c r="C333" s="5339"/>
      <c r="D333" s="5339"/>
      <c r="E333" s="1339">
        <f>SUM(E330/E329)*E332</f>
        <v>101007.10666666666</v>
      </c>
    </row>
    <row r="334" spans="1:5" x14ac:dyDescent="0.25">
      <c r="A334" s="1316" t="s">
        <v>47</v>
      </c>
      <c r="B334" s="5339"/>
      <c r="C334" s="5339"/>
      <c r="D334" s="5339"/>
      <c r="E334" s="1341">
        <f>SUM(E331/E329)*E332</f>
        <v>233160</v>
      </c>
    </row>
    <row r="335" spans="1:5" x14ac:dyDescent="0.25">
      <c r="A335" s="5340" t="s">
        <v>1450</v>
      </c>
      <c r="B335" s="5341"/>
      <c r="C335" s="5341"/>
      <c r="D335" s="5341"/>
      <c r="E335" s="5341"/>
    </row>
    <row r="336" spans="1:5" x14ac:dyDescent="0.25">
      <c r="A336" s="1316" t="s">
        <v>1449</v>
      </c>
      <c r="B336" s="5339"/>
      <c r="C336" s="5339"/>
      <c r="D336" s="5339"/>
      <c r="E336" s="1341">
        <v>0</v>
      </c>
    </row>
    <row r="337" spans="1:5" x14ac:dyDescent="0.25">
      <c r="A337" s="1316" t="s">
        <v>46</v>
      </c>
      <c r="B337" s="5339"/>
      <c r="C337" s="5339"/>
      <c r="D337" s="5339"/>
      <c r="E337" s="1339">
        <v>0</v>
      </c>
    </row>
    <row r="338" spans="1:5" x14ac:dyDescent="0.25">
      <c r="A338" s="1316" t="s">
        <v>47</v>
      </c>
      <c r="B338" s="5339"/>
      <c r="C338" s="5339"/>
      <c r="D338" s="5339"/>
      <c r="E338" s="1339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0"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1503</v>
      </c>
    </row>
    <row r="2" spans="1:11" ht="18.75" x14ac:dyDescent="0.3">
      <c r="A2" s="5387" t="s">
        <v>652</v>
      </c>
      <c r="B2" s="5388"/>
      <c r="C2" s="5388"/>
      <c r="D2" s="5388"/>
      <c r="E2" s="5388"/>
      <c r="F2" s="5388"/>
      <c r="G2" s="5388"/>
      <c r="H2" s="5388"/>
      <c r="I2" s="5388"/>
      <c r="J2" s="5388"/>
      <c r="K2" s="5393"/>
    </row>
    <row r="3" spans="1:11" ht="13.5" x14ac:dyDescent="0.25">
      <c r="A3" s="5389" t="s">
        <v>653</v>
      </c>
      <c r="B3" s="5262"/>
      <c r="C3" s="5262"/>
      <c r="D3" s="5262"/>
      <c r="E3" s="5262"/>
      <c r="F3" s="5262"/>
      <c r="G3" s="5262"/>
      <c r="H3" s="5262"/>
      <c r="I3" s="5262"/>
      <c r="J3" s="5262"/>
      <c r="K3" s="5263"/>
    </row>
    <row r="4" spans="1:11" ht="18.75" x14ac:dyDescent="0.3">
      <c r="A4" s="618"/>
      <c r="B4" s="279"/>
      <c r="C4" s="279"/>
      <c r="D4" s="279"/>
      <c r="E4" s="279"/>
      <c r="F4" s="279"/>
      <c r="G4" s="279"/>
      <c r="H4" s="279"/>
      <c r="I4" s="279"/>
      <c r="J4" s="279"/>
      <c r="K4" s="619"/>
    </row>
    <row r="5" spans="1:11" ht="18.75" x14ac:dyDescent="0.3">
      <c r="A5" s="5390" t="s">
        <v>654</v>
      </c>
      <c r="B5" s="5262"/>
      <c r="C5" s="5262"/>
      <c r="D5" s="5262"/>
      <c r="E5" s="5262"/>
      <c r="F5" s="5262"/>
      <c r="G5" s="5262"/>
      <c r="H5" s="5262"/>
      <c r="I5" s="5262"/>
      <c r="J5" s="5262"/>
      <c r="K5" s="5263"/>
    </row>
    <row r="6" spans="1:11" ht="18" x14ac:dyDescent="0.25">
      <c r="A6" s="620" t="s">
        <v>655</v>
      </c>
      <c r="B6" s="279"/>
      <c r="C6" s="279"/>
      <c r="D6" s="279"/>
      <c r="E6" s="279"/>
      <c r="F6" s="279"/>
      <c r="G6" s="279"/>
      <c r="H6" s="279"/>
      <c r="I6" s="279"/>
      <c r="J6" s="279"/>
      <c r="K6" s="619"/>
    </row>
    <row r="7" spans="1:11" ht="15" x14ac:dyDescent="0.2">
      <c r="A7" s="5378" t="s">
        <v>477</v>
      </c>
      <c r="B7" s="5262"/>
      <c r="C7" s="5262"/>
      <c r="D7" s="5262"/>
      <c r="E7" s="5262"/>
      <c r="F7" s="5262"/>
      <c r="G7" s="5262"/>
      <c r="H7" s="5262"/>
      <c r="I7" s="5262"/>
      <c r="J7" s="5262"/>
      <c r="K7" s="5263"/>
    </row>
    <row r="8" spans="1:11" ht="18.75" x14ac:dyDescent="0.3">
      <c r="A8" s="960"/>
      <c r="B8" s="279"/>
      <c r="C8" s="279"/>
      <c r="D8" s="279"/>
      <c r="E8" s="279"/>
      <c r="F8" s="279"/>
      <c r="G8" s="279"/>
      <c r="H8" s="279"/>
      <c r="I8" s="279"/>
      <c r="J8" s="279"/>
      <c r="K8" s="619"/>
    </row>
    <row r="9" spans="1:11" x14ac:dyDescent="0.2">
      <c r="A9" s="5394" t="s">
        <v>656</v>
      </c>
      <c r="B9" s="5262"/>
      <c r="C9" s="5262"/>
      <c r="D9" s="5262"/>
      <c r="E9" s="5262"/>
      <c r="F9" s="5262"/>
      <c r="G9" s="5262"/>
      <c r="H9" s="5262"/>
      <c r="I9" s="5262"/>
      <c r="J9" s="5262"/>
      <c r="K9" s="5263"/>
    </row>
    <row r="10" spans="1:11" ht="15" customHeight="1" x14ac:dyDescent="0.2">
      <c r="A10" s="5375" t="s">
        <v>657</v>
      </c>
      <c r="B10" s="5262"/>
      <c r="C10" s="5262"/>
      <c r="D10" s="622" t="s">
        <v>658</v>
      </c>
      <c r="E10" s="958"/>
      <c r="F10" s="958"/>
      <c r="G10" s="958"/>
      <c r="H10" s="958"/>
      <c r="I10" s="958"/>
      <c r="J10" s="958"/>
      <c r="K10" s="959"/>
    </row>
    <row r="11" spans="1:11" ht="15" customHeight="1" x14ac:dyDescent="0.2">
      <c r="A11" s="5384" t="s">
        <v>659</v>
      </c>
      <c r="B11" s="5262"/>
      <c r="C11" s="5262"/>
      <c r="D11" s="5262"/>
      <c r="E11" s="5262"/>
      <c r="F11" s="5262"/>
      <c r="G11" s="5385" t="s">
        <v>660</v>
      </c>
      <c r="H11" s="5386" t="s">
        <v>661</v>
      </c>
      <c r="I11" s="279"/>
      <c r="J11" s="279"/>
      <c r="K11" s="619"/>
    </row>
    <row r="12" spans="1:11" ht="5.25" customHeight="1" x14ac:dyDescent="0.2">
      <c r="A12" s="5384"/>
      <c r="B12" s="5262"/>
      <c r="C12" s="5262"/>
      <c r="D12" s="5262"/>
      <c r="E12" s="5262"/>
      <c r="F12" s="5262"/>
      <c r="G12" s="5385"/>
      <c r="H12" s="5386"/>
      <c r="I12" s="279"/>
      <c r="J12" s="279"/>
      <c r="K12" s="619"/>
    </row>
    <row r="13" spans="1:11" ht="11.25" customHeight="1" x14ac:dyDescent="0.2">
      <c r="A13" s="5375" t="s">
        <v>662</v>
      </c>
      <c r="B13" s="5262"/>
      <c r="C13" s="5262"/>
      <c r="D13" s="5262"/>
      <c r="E13" s="5262"/>
      <c r="F13" s="5262"/>
      <c r="G13" s="5376">
        <v>584</v>
      </c>
      <c r="H13" s="5377" t="s">
        <v>663</v>
      </c>
      <c r="I13" s="279"/>
      <c r="J13" s="279"/>
      <c r="K13" s="619"/>
    </row>
    <row r="14" spans="1:11" ht="6.75" customHeight="1" x14ac:dyDescent="0.2">
      <c r="A14" s="5375"/>
      <c r="B14" s="5262"/>
      <c r="C14" s="5262"/>
      <c r="D14" s="5262"/>
      <c r="E14" s="5262"/>
      <c r="F14" s="5262"/>
      <c r="G14" s="5376"/>
      <c r="H14" s="5377"/>
      <c r="I14" s="279"/>
      <c r="J14" s="279"/>
      <c r="K14" s="619"/>
    </row>
    <row r="15" spans="1:11" ht="15.75" customHeight="1" x14ac:dyDescent="0.2">
      <c r="A15" s="5375" t="s">
        <v>664</v>
      </c>
      <c r="B15" s="5262"/>
      <c r="C15" s="5262"/>
      <c r="D15" s="5262"/>
      <c r="E15" s="5262"/>
      <c r="F15" s="5262"/>
      <c r="G15" s="5376" t="s">
        <v>665</v>
      </c>
      <c r="H15" s="5377" t="s">
        <v>661</v>
      </c>
      <c r="I15" s="279"/>
      <c r="J15" s="279"/>
      <c r="K15" s="619"/>
    </row>
    <row r="16" spans="1:11" ht="13.5" thickBot="1" x14ac:dyDescent="0.25">
      <c r="A16" s="5375"/>
      <c r="B16" s="5262"/>
      <c r="C16" s="5262"/>
      <c r="D16" s="5262"/>
      <c r="E16" s="5262"/>
      <c r="F16" s="5262"/>
      <c r="G16" s="5376"/>
      <c r="H16" s="5377"/>
      <c r="I16" s="279"/>
      <c r="J16" s="279"/>
      <c r="K16" s="619"/>
    </row>
    <row r="17" spans="1:11" ht="23.25" customHeight="1" thickBot="1" x14ac:dyDescent="0.25">
      <c r="A17" s="954" t="s">
        <v>166</v>
      </c>
      <c r="B17" s="954" t="s">
        <v>439</v>
      </c>
      <c r="C17" s="954" t="s">
        <v>358</v>
      </c>
      <c r="D17" s="337"/>
      <c r="E17" s="5365" t="s">
        <v>440</v>
      </c>
      <c r="F17" s="5366"/>
      <c r="G17" s="5365" t="s">
        <v>441</v>
      </c>
      <c r="H17" s="5367"/>
      <c r="I17" s="5366"/>
      <c r="J17" s="5368" t="s">
        <v>442</v>
      </c>
      <c r="K17" s="5369"/>
    </row>
    <row r="18" spans="1:11" ht="23.25" customHeight="1" thickBot="1" x14ac:dyDescent="0.25">
      <c r="A18" s="340" t="s">
        <v>443</v>
      </c>
      <c r="B18" s="340" t="s">
        <v>444</v>
      </c>
      <c r="C18" s="340" t="s">
        <v>445</v>
      </c>
      <c r="D18" s="341" t="s">
        <v>446</v>
      </c>
      <c r="E18" s="953" t="s">
        <v>447</v>
      </c>
      <c r="F18" s="956" t="s">
        <v>448</v>
      </c>
      <c r="G18" s="340" t="s">
        <v>447</v>
      </c>
      <c r="H18" s="341" t="s">
        <v>449</v>
      </c>
      <c r="I18" s="343" t="s">
        <v>448</v>
      </c>
      <c r="J18" s="5370" t="s">
        <v>450</v>
      </c>
      <c r="K18" s="5371"/>
    </row>
    <row r="19" spans="1:11" ht="13.5" thickBot="1" x14ac:dyDescent="0.25">
      <c r="A19" s="952"/>
      <c r="B19" s="952" t="s">
        <v>451</v>
      </c>
      <c r="C19" s="952"/>
      <c r="D19" s="345"/>
      <c r="E19" s="953" t="s">
        <v>449</v>
      </c>
      <c r="F19" s="343" t="s">
        <v>452</v>
      </c>
      <c r="G19" s="955"/>
      <c r="H19" s="346"/>
      <c r="I19" s="343" t="s">
        <v>452</v>
      </c>
      <c r="J19" s="952" t="s">
        <v>453</v>
      </c>
      <c r="K19" s="345" t="s">
        <v>447</v>
      </c>
    </row>
    <row r="20" spans="1:11" ht="13.5" thickBot="1" x14ac:dyDescent="0.25">
      <c r="A20" s="625"/>
      <c r="B20" s="279"/>
      <c r="C20" s="279"/>
      <c r="D20" s="279"/>
      <c r="E20" s="279"/>
      <c r="F20" s="279"/>
      <c r="G20" s="279"/>
      <c r="H20" s="279"/>
      <c r="I20" s="279"/>
      <c r="J20" s="279"/>
      <c r="K20" s="619"/>
    </row>
    <row r="21" spans="1:11" ht="13.5" thickBot="1" x14ac:dyDescent="0.25">
      <c r="A21" s="348">
        <v>1</v>
      </c>
      <c r="B21" s="349">
        <v>2</v>
      </c>
      <c r="C21" s="349">
        <v>3</v>
      </c>
      <c r="D21" s="349">
        <v>4</v>
      </c>
      <c r="E21" s="349">
        <v>5</v>
      </c>
      <c r="F21" s="349">
        <v>6</v>
      </c>
      <c r="G21" s="349">
        <v>7</v>
      </c>
      <c r="H21" s="349">
        <v>8</v>
      </c>
      <c r="I21" s="349">
        <v>9</v>
      </c>
      <c r="J21" s="349">
        <v>10</v>
      </c>
      <c r="K21" s="349">
        <v>11</v>
      </c>
    </row>
    <row r="22" spans="1:11" ht="13.5" thickBot="1" x14ac:dyDescent="0.25">
      <c r="A22" s="611"/>
      <c r="B22" s="612"/>
      <c r="C22" s="612"/>
      <c r="D22" s="612"/>
      <c r="E22" s="612"/>
      <c r="F22" s="612"/>
      <c r="G22" s="612"/>
      <c r="H22" s="612"/>
      <c r="I22" s="612"/>
      <c r="J22" s="612"/>
      <c r="K22" s="612"/>
    </row>
    <row r="23" spans="1:11" ht="13.5" thickBot="1" x14ac:dyDescent="0.25">
      <c r="A23" s="5348"/>
      <c r="B23" s="5349"/>
      <c r="C23" s="5349"/>
      <c r="D23" s="5349"/>
      <c r="E23" s="5349"/>
      <c r="F23" s="5349"/>
      <c r="G23" s="5349"/>
      <c r="H23" s="5349"/>
      <c r="I23" s="5349"/>
      <c r="J23" s="5349"/>
      <c r="K23" s="5350"/>
    </row>
    <row r="24" spans="1:11" ht="13.5" thickBot="1" x14ac:dyDescent="0.25">
      <c r="A24" s="5372" t="s">
        <v>666</v>
      </c>
      <c r="B24" s="5373"/>
      <c r="C24" s="5373"/>
      <c r="D24" s="5373"/>
      <c r="E24" s="5373"/>
      <c r="F24" s="5373"/>
      <c r="G24" s="5373"/>
      <c r="H24" s="5373"/>
      <c r="I24" s="5373"/>
      <c r="J24" s="5373"/>
      <c r="K24" s="5374"/>
    </row>
    <row r="25" spans="1:11" ht="13.5" thickBot="1" x14ac:dyDescent="0.25">
      <c r="A25" s="5348"/>
      <c r="B25" s="5349"/>
      <c r="C25" s="5349"/>
      <c r="D25" s="5349"/>
      <c r="E25" s="5349"/>
      <c r="F25" s="5349"/>
      <c r="G25" s="5349"/>
      <c r="H25" s="5349"/>
      <c r="I25" s="5349"/>
      <c r="J25" s="5349"/>
      <c r="K25" s="5350"/>
    </row>
    <row r="26" spans="1:11" ht="34.5" customHeight="1" x14ac:dyDescent="0.2">
      <c r="A26" s="5358">
        <v>1</v>
      </c>
      <c r="B26" s="5360" t="s">
        <v>667</v>
      </c>
      <c r="C26" s="355" t="s">
        <v>668</v>
      </c>
      <c r="D26" s="356">
        <v>0.26</v>
      </c>
      <c r="E26" s="357">
        <v>40328.97</v>
      </c>
      <c r="F26" s="357">
        <v>37757.160000000003</v>
      </c>
      <c r="G26" s="5358">
        <v>10486</v>
      </c>
      <c r="H26" s="5358">
        <v>669</v>
      </c>
      <c r="I26" s="357">
        <v>9817</v>
      </c>
      <c r="J26" s="357">
        <v>13.22</v>
      </c>
      <c r="K26" s="357">
        <v>3.44</v>
      </c>
    </row>
    <row r="27" spans="1:11" ht="35.25" customHeight="1" thickBot="1" x14ac:dyDescent="0.25">
      <c r="A27" s="5359"/>
      <c r="B27" s="5361"/>
      <c r="C27" s="353" t="s">
        <v>669</v>
      </c>
      <c r="D27" s="354" t="s">
        <v>670</v>
      </c>
      <c r="E27" s="354">
        <v>2571.81</v>
      </c>
      <c r="F27" s="354">
        <v>9733.83</v>
      </c>
      <c r="G27" s="5359"/>
      <c r="H27" s="5359"/>
      <c r="I27" s="354">
        <v>2531</v>
      </c>
      <c r="J27" s="354">
        <v>28.91</v>
      </c>
      <c r="K27" s="354">
        <v>7.52</v>
      </c>
    </row>
    <row r="28" spans="1:11" ht="24" customHeight="1" x14ac:dyDescent="0.2">
      <c r="A28" s="5358">
        <v>2</v>
      </c>
      <c r="B28" s="5360" t="s">
        <v>671</v>
      </c>
      <c r="C28" s="355" t="s">
        <v>672</v>
      </c>
      <c r="D28" s="356">
        <v>0.16</v>
      </c>
      <c r="E28" s="357">
        <v>79627.929999999993</v>
      </c>
      <c r="F28" s="357">
        <v>0</v>
      </c>
      <c r="G28" s="5358">
        <v>12740</v>
      </c>
      <c r="H28" s="5358">
        <v>12740</v>
      </c>
      <c r="I28" s="357">
        <v>0</v>
      </c>
      <c r="J28" s="357">
        <v>381</v>
      </c>
      <c r="K28" s="357">
        <v>60.96</v>
      </c>
    </row>
    <row r="29" spans="1:11" ht="34.5" customHeight="1" thickBot="1" x14ac:dyDescent="0.25">
      <c r="A29" s="5359"/>
      <c r="B29" s="5361"/>
      <c r="C29" s="353" t="s">
        <v>669</v>
      </c>
      <c r="D29" s="354" t="s">
        <v>673</v>
      </c>
      <c r="E29" s="354">
        <v>79627.929999999993</v>
      </c>
      <c r="F29" s="354">
        <v>0</v>
      </c>
      <c r="G29" s="5359"/>
      <c r="H29" s="5359"/>
      <c r="I29" s="354">
        <v>0</v>
      </c>
      <c r="J29" s="354">
        <v>0</v>
      </c>
      <c r="K29" s="354">
        <v>0</v>
      </c>
    </row>
    <row r="30" spans="1:11" ht="12" customHeight="1" x14ac:dyDescent="0.2">
      <c r="A30" s="5358">
        <v>3</v>
      </c>
      <c r="B30" s="5360" t="s">
        <v>674</v>
      </c>
      <c r="C30" s="355" t="s">
        <v>675</v>
      </c>
      <c r="D30" s="356">
        <v>0.5</v>
      </c>
      <c r="E30" s="357">
        <v>19221.080000000002</v>
      </c>
      <c r="F30" s="357">
        <v>19221.080000000002</v>
      </c>
      <c r="G30" s="5358">
        <v>9611</v>
      </c>
      <c r="H30" s="5358">
        <v>0</v>
      </c>
      <c r="I30" s="357">
        <v>9611</v>
      </c>
      <c r="J30" s="357">
        <v>0</v>
      </c>
      <c r="K30" s="357">
        <v>0</v>
      </c>
    </row>
    <row r="31" spans="1:11" ht="34.5" customHeight="1" thickBot="1" x14ac:dyDescent="0.25">
      <c r="A31" s="5359"/>
      <c r="B31" s="5361"/>
      <c r="C31" s="353" t="s">
        <v>669</v>
      </c>
      <c r="D31" s="354" t="s">
        <v>676</v>
      </c>
      <c r="E31" s="354">
        <v>0</v>
      </c>
      <c r="F31" s="354">
        <v>24389.57</v>
      </c>
      <c r="G31" s="5359"/>
      <c r="H31" s="5359"/>
      <c r="I31" s="354">
        <v>12195</v>
      </c>
      <c r="J31" s="354">
        <v>97.21</v>
      </c>
      <c r="K31" s="354">
        <v>48.61</v>
      </c>
    </row>
    <row r="32" spans="1:11" ht="21" customHeight="1" x14ac:dyDescent="0.2">
      <c r="A32" s="5358">
        <v>4</v>
      </c>
      <c r="B32" s="5360" t="s">
        <v>677</v>
      </c>
      <c r="C32" s="355" t="s">
        <v>678</v>
      </c>
      <c r="D32" s="356">
        <v>1</v>
      </c>
      <c r="E32" s="357">
        <v>12431.39</v>
      </c>
      <c r="F32" s="357">
        <v>726.88</v>
      </c>
      <c r="G32" s="5358">
        <v>12431</v>
      </c>
      <c r="H32" s="5358">
        <v>5531</v>
      </c>
      <c r="I32" s="357">
        <v>727</v>
      </c>
      <c r="J32" s="357">
        <v>26</v>
      </c>
      <c r="K32" s="357">
        <v>26</v>
      </c>
    </row>
    <row r="33" spans="1:11" ht="33" customHeight="1" thickBot="1" x14ac:dyDescent="0.25">
      <c r="A33" s="5359"/>
      <c r="B33" s="5361"/>
      <c r="C33" s="353" t="s">
        <v>669</v>
      </c>
      <c r="D33" s="354" t="s">
        <v>679</v>
      </c>
      <c r="E33" s="354">
        <v>5531.19</v>
      </c>
      <c r="F33" s="354">
        <v>97.76</v>
      </c>
      <c r="G33" s="5359"/>
      <c r="H33" s="5359"/>
      <c r="I33" s="354">
        <v>98</v>
      </c>
      <c r="J33" s="354">
        <v>0.72</v>
      </c>
      <c r="K33" s="354">
        <v>0.72</v>
      </c>
    </row>
    <row r="34" spans="1:11" ht="11.25" customHeight="1" x14ac:dyDescent="0.2">
      <c r="A34" s="5358">
        <v>5</v>
      </c>
      <c r="B34" s="5360" t="s">
        <v>680</v>
      </c>
      <c r="C34" s="355" t="s">
        <v>681</v>
      </c>
      <c r="D34" s="356">
        <v>2</v>
      </c>
      <c r="E34" s="357">
        <v>5195.62</v>
      </c>
      <c r="F34" s="357">
        <v>327.29000000000002</v>
      </c>
      <c r="G34" s="5358">
        <v>10391</v>
      </c>
      <c r="H34" s="5358">
        <v>4156</v>
      </c>
      <c r="I34" s="357">
        <v>655</v>
      </c>
      <c r="J34" s="357">
        <v>10.199999999999999</v>
      </c>
      <c r="K34" s="357">
        <v>20.399999999999999</v>
      </c>
    </row>
    <row r="35" spans="1:11" ht="32.25" customHeight="1" thickBot="1" x14ac:dyDescent="0.25">
      <c r="A35" s="5359"/>
      <c r="B35" s="5361"/>
      <c r="C35" s="353" t="s">
        <v>669</v>
      </c>
      <c r="D35" s="354" t="s">
        <v>682</v>
      </c>
      <c r="E35" s="354">
        <v>2078.25</v>
      </c>
      <c r="F35" s="354">
        <v>87.79</v>
      </c>
      <c r="G35" s="5359"/>
      <c r="H35" s="5359"/>
      <c r="I35" s="354">
        <v>176</v>
      </c>
      <c r="J35" s="354">
        <v>0.35</v>
      </c>
      <c r="K35" s="354">
        <v>0.7</v>
      </c>
    </row>
    <row r="36" spans="1:11" ht="32.25" customHeight="1" x14ac:dyDescent="0.2">
      <c r="A36" s="5358">
        <v>6</v>
      </c>
      <c r="B36" s="5360" t="s">
        <v>683</v>
      </c>
      <c r="C36" s="355" t="s">
        <v>684</v>
      </c>
      <c r="D36" s="356">
        <v>6</v>
      </c>
      <c r="E36" s="357">
        <v>904.33</v>
      </c>
      <c r="F36" s="357">
        <v>310.14</v>
      </c>
      <c r="G36" s="5358">
        <v>5426</v>
      </c>
      <c r="H36" s="5358">
        <v>1634</v>
      </c>
      <c r="I36" s="357">
        <v>1861</v>
      </c>
      <c r="J36" s="357">
        <v>1.28</v>
      </c>
      <c r="K36" s="357">
        <v>7.68</v>
      </c>
    </row>
    <row r="37" spans="1:11" ht="34.5" customHeight="1" thickBot="1" x14ac:dyDescent="0.25">
      <c r="A37" s="5359"/>
      <c r="B37" s="5361"/>
      <c r="C37" s="353" t="s">
        <v>669</v>
      </c>
      <c r="D37" s="354" t="s">
        <v>685</v>
      </c>
      <c r="E37" s="354">
        <v>272.33999999999997</v>
      </c>
      <c r="F37" s="354">
        <v>39.409999999999997</v>
      </c>
      <c r="G37" s="5359"/>
      <c r="H37" s="5359"/>
      <c r="I37" s="354">
        <v>236</v>
      </c>
      <c r="J37" s="354">
        <v>0.26</v>
      </c>
      <c r="K37" s="354">
        <v>1.56</v>
      </c>
    </row>
    <row r="38" spans="1:11" ht="33" customHeight="1" x14ac:dyDescent="0.2">
      <c r="A38" s="5358">
        <v>7</v>
      </c>
      <c r="B38" s="5360" t="s">
        <v>686</v>
      </c>
      <c r="C38" s="355" t="s">
        <v>687</v>
      </c>
      <c r="D38" s="356">
        <v>0.27</v>
      </c>
      <c r="E38" s="357">
        <v>7223.86</v>
      </c>
      <c r="F38" s="357">
        <v>7223.86</v>
      </c>
      <c r="G38" s="5358">
        <v>1950</v>
      </c>
      <c r="H38" s="5358">
        <v>0</v>
      </c>
      <c r="I38" s="357">
        <v>1950</v>
      </c>
      <c r="J38" s="357">
        <v>0</v>
      </c>
      <c r="K38" s="357">
        <v>0</v>
      </c>
    </row>
    <row r="39" spans="1:11" ht="33.75" customHeight="1" thickBot="1" x14ac:dyDescent="0.25">
      <c r="A39" s="5359"/>
      <c r="B39" s="5361"/>
      <c r="C39" s="353" t="s">
        <v>669</v>
      </c>
      <c r="D39" s="354" t="s">
        <v>670</v>
      </c>
      <c r="E39" s="354">
        <v>0</v>
      </c>
      <c r="F39" s="354">
        <v>2650.37</v>
      </c>
      <c r="G39" s="5359"/>
      <c r="H39" s="5359"/>
      <c r="I39" s="354">
        <v>716</v>
      </c>
      <c r="J39" s="354">
        <v>7.38</v>
      </c>
      <c r="K39" s="354">
        <v>1.99</v>
      </c>
    </row>
    <row r="40" spans="1:11" ht="24" customHeight="1" x14ac:dyDescent="0.2">
      <c r="A40" s="5358">
        <v>8</v>
      </c>
      <c r="B40" s="5360" t="s">
        <v>688</v>
      </c>
      <c r="C40" s="355" t="s">
        <v>689</v>
      </c>
      <c r="D40" s="356">
        <v>0.16500000000000001</v>
      </c>
      <c r="E40" s="357">
        <v>22633.05</v>
      </c>
      <c r="F40" s="357">
        <v>0</v>
      </c>
      <c r="G40" s="5358">
        <v>3734</v>
      </c>
      <c r="H40" s="5358">
        <v>3734</v>
      </c>
      <c r="I40" s="357">
        <v>0</v>
      </c>
      <c r="J40" s="357">
        <v>121</v>
      </c>
      <c r="K40" s="357">
        <v>19.97</v>
      </c>
    </row>
    <row r="41" spans="1:11" ht="34.5" customHeight="1" thickBot="1" x14ac:dyDescent="0.25">
      <c r="A41" s="5359"/>
      <c r="B41" s="5361"/>
      <c r="C41" s="353" t="s">
        <v>669</v>
      </c>
      <c r="D41" s="354" t="s">
        <v>673</v>
      </c>
      <c r="E41" s="354">
        <v>22633.05</v>
      </c>
      <c r="F41" s="354">
        <v>0</v>
      </c>
      <c r="G41" s="5359"/>
      <c r="H41" s="5359"/>
      <c r="I41" s="354">
        <v>0</v>
      </c>
      <c r="J41" s="354">
        <v>0</v>
      </c>
      <c r="K41" s="354">
        <v>0</v>
      </c>
    </row>
    <row r="42" spans="1:11" ht="12" customHeight="1" x14ac:dyDescent="0.2">
      <c r="A42" s="5358">
        <v>9</v>
      </c>
      <c r="B42" s="5360" t="s">
        <v>478</v>
      </c>
      <c r="C42" s="355" t="s">
        <v>479</v>
      </c>
      <c r="D42" s="356">
        <v>15</v>
      </c>
      <c r="E42" s="357">
        <v>4006.63</v>
      </c>
      <c r="F42" s="357">
        <v>751.4</v>
      </c>
      <c r="G42" s="5358">
        <v>60099</v>
      </c>
      <c r="H42" s="5358">
        <v>20123</v>
      </c>
      <c r="I42" s="357">
        <v>11271</v>
      </c>
      <c r="J42" s="357">
        <v>5.86</v>
      </c>
      <c r="K42" s="357">
        <v>87.9</v>
      </c>
    </row>
    <row r="43" spans="1:11" ht="33.75" customHeight="1" thickBot="1" x14ac:dyDescent="0.25">
      <c r="A43" s="5359"/>
      <c r="B43" s="5361"/>
      <c r="C43" s="353" t="s">
        <v>669</v>
      </c>
      <c r="D43" s="354" t="s">
        <v>480</v>
      </c>
      <c r="E43" s="354">
        <v>1341.52</v>
      </c>
      <c r="F43" s="354">
        <v>138.16999999999999</v>
      </c>
      <c r="G43" s="5359"/>
      <c r="H43" s="5359"/>
      <c r="I43" s="354">
        <v>2073</v>
      </c>
      <c r="J43" s="354">
        <v>0.55000000000000004</v>
      </c>
      <c r="K43" s="354">
        <v>8.25</v>
      </c>
    </row>
    <row r="44" spans="1:11" ht="10.5" customHeight="1" x14ac:dyDescent="0.2">
      <c r="A44" s="5358">
        <v>10</v>
      </c>
      <c r="B44" s="5360" t="s">
        <v>481</v>
      </c>
      <c r="C44" s="355" t="s">
        <v>482</v>
      </c>
      <c r="D44" s="356">
        <v>12</v>
      </c>
      <c r="E44" s="357">
        <v>8765.59</v>
      </c>
      <c r="F44" s="357">
        <v>936.14</v>
      </c>
      <c r="G44" s="5358">
        <v>105187</v>
      </c>
      <c r="H44" s="5358">
        <v>26923</v>
      </c>
      <c r="I44" s="357">
        <v>11234</v>
      </c>
      <c r="J44" s="357">
        <v>9.8000000000000007</v>
      </c>
      <c r="K44" s="357">
        <v>117.6</v>
      </c>
    </row>
    <row r="45" spans="1:11" ht="35.25" customHeight="1" thickBot="1" x14ac:dyDescent="0.25">
      <c r="A45" s="5359"/>
      <c r="B45" s="5361"/>
      <c r="C45" s="353" t="s">
        <v>669</v>
      </c>
      <c r="D45" s="354" t="s">
        <v>480</v>
      </c>
      <c r="E45" s="354">
        <v>2243.6</v>
      </c>
      <c r="F45" s="354">
        <v>138.16999999999999</v>
      </c>
      <c r="G45" s="5359"/>
      <c r="H45" s="5359"/>
      <c r="I45" s="354">
        <v>1658</v>
      </c>
      <c r="J45" s="354">
        <v>0.55000000000000004</v>
      </c>
      <c r="K45" s="354">
        <v>6.6</v>
      </c>
    </row>
    <row r="46" spans="1:11" ht="12" customHeight="1" x14ac:dyDescent="0.2">
      <c r="A46" s="5358">
        <v>11</v>
      </c>
      <c r="B46" s="5360" t="s">
        <v>483</v>
      </c>
      <c r="C46" s="355" t="s">
        <v>484</v>
      </c>
      <c r="D46" s="356">
        <v>3</v>
      </c>
      <c r="E46" s="357">
        <v>14254.95</v>
      </c>
      <c r="F46" s="357">
        <v>1157.76</v>
      </c>
      <c r="G46" s="5358">
        <v>42765</v>
      </c>
      <c r="H46" s="5358">
        <v>9272</v>
      </c>
      <c r="I46" s="357">
        <v>3473</v>
      </c>
      <c r="J46" s="357">
        <v>13.5</v>
      </c>
      <c r="K46" s="357">
        <v>40.5</v>
      </c>
    </row>
    <row r="47" spans="1:11" ht="34.5" customHeight="1" thickBot="1" x14ac:dyDescent="0.25">
      <c r="A47" s="5359"/>
      <c r="B47" s="5361"/>
      <c r="C47" s="353" t="s">
        <v>669</v>
      </c>
      <c r="D47" s="354" t="s">
        <v>480</v>
      </c>
      <c r="E47" s="354">
        <v>3090.81</v>
      </c>
      <c r="F47" s="354">
        <v>138.16999999999999</v>
      </c>
      <c r="G47" s="5359"/>
      <c r="H47" s="5359"/>
      <c r="I47" s="354">
        <v>415</v>
      </c>
      <c r="J47" s="354">
        <v>0.55000000000000004</v>
      </c>
      <c r="K47" s="354">
        <v>1.65</v>
      </c>
    </row>
    <row r="48" spans="1:11" ht="10.5" customHeight="1" x14ac:dyDescent="0.2">
      <c r="A48" s="5358">
        <v>12</v>
      </c>
      <c r="B48" s="5360" t="s">
        <v>690</v>
      </c>
      <c r="C48" s="355" t="s">
        <v>691</v>
      </c>
      <c r="D48" s="356">
        <v>0.6</v>
      </c>
      <c r="E48" s="357">
        <v>145994.18</v>
      </c>
      <c r="F48" s="357">
        <v>103149.95</v>
      </c>
      <c r="G48" s="5358">
        <v>87597</v>
      </c>
      <c r="H48" s="5358">
        <v>24932</v>
      </c>
      <c r="I48" s="357">
        <v>61890</v>
      </c>
      <c r="J48" s="357">
        <v>128.96</v>
      </c>
      <c r="K48" s="357">
        <v>77.38</v>
      </c>
    </row>
    <row r="49" spans="1:11" ht="36" customHeight="1" thickBot="1" x14ac:dyDescent="0.25">
      <c r="A49" s="5359"/>
      <c r="B49" s="5361"/>
      <c r="C49" s="353" t="s">
        <v>669</v>
      </c>
      <c r="D49" s="354" t="s">
        <v>504</v>
      </c>
      <c r="E49" s="354">
        <v>41554.03</v>
      </c>
      <c r="F49" s="354">
        <v>12446.06</v>
      </c>
      <c r="G49" s="5359"/>
      <c r="H49" s="5359"/>
      <c r="I49" s="354">
        <v>7468</v>
      </c>
      <c r="J49" s="354">
        <v>55.8</v>
      </c>
      <c r="K49" s="354">
        <v>33.479999999999997</v>
      </c>
    </row>
    <row r="50" spans="1:11" ht="12.75" customHeight="1" x14ac:dyDescent="0.2">
      <c r="A50" s="5358">
        <v>13</v>
      </c>
      <c r="B50" s="5360" t="s">
        <v>692</v>
      </c>
      <c r="C50" s="355" t="s">
        <v>693</v>
      </c>
      <c r="D50" s="356">
        <v>0.72</v>
      </c>
      <c r="E50" s="357">
        <v>190490.87</v>
      </c>
      <c r="F50" s="357">
        <v>134224.35999999999</v>
      </c>
      <c r="G50" s="5358">
        <v>137153</v>
      </c>
      <c r="H50" s="5358">
        <v>39273</v>
      </c>
      <c r="I50" s="357">
        <v>96642</v>
      </c>
      <c r="J50" s="357">
        <v>169.28</v>
      </c>
      <c r="K50" s="357">
        <v>121.88</v>
      </c>
    </row>
    <row r="51" spans="1:11" ht="33.75" customHeight="1" thickBot="1" x14ac:dyDescent="0.25">
      <c r="A51" s="5359"/>
      <c r="B51" s="5361"/>
      <c r="C51" s="353" t="s">
        <v>669</v>
      </c>
      <c r="D51" s="354" t="s">
        <v>504</v>
      </c>
      <c r="E51" s="354">
        <v>54546.27</v>
      </c>
      <c r="F51" s="354">
        <v>16418</v>
      </c>
      <c r="G51" s="5359"/>
      <c r="H51" s="5359"/>
      <c r="I51" s="354">
        <v>11821</v>
      </c>
      <c r="J51" s="354">
        <v>73.400000000000006</v>
      </c>
      <c r="K51" s="354">
        <v>52.85</v>
      </c>
    </row>
    <row r="52" spans="1:11" ht="13.5" thickBot="1" x14ac:dyDescent="0.25">
      <c r="A52" s="5348"/>
      <c r="B52" s="5349"/>
      <c r="C52" s="5349"/>
      <c r="D52" s="5349"/>
      <c r="E52" s="5349"/>
      <c r="F52" s="5349"/>
      <c r="G52" s="5349"/>
      <c r="H52" s="5349"/>
      <c r="I52" s="5349"/>
      <c r="J52" s="5349"/>
      <c r="K52" s="5350"/>
    </row>
    <row r="53" spans="1:11" x14ac:dyDescent="0.2">
      <c r="A53" s="5351" t="s">
        <v>694</v>
      </c>
      <c r="B53" s="5352"/>
      <c r="C53" s="5352"/>
      <c r="D53" s="5352"/>
      <c r="E53" s="5352"/>
      <c r="F53" s="5354"/>
      <c r="G53" s="5354">
        <v>499570</v>
      </c>
      <c r="H53" s="5354">
        <v>148987</v>
      </c>
      <c r="I53" s="626">
        <v>209131</v>
      </c>
      <c r="J53" s="5354"/>
      <c r="K53" s="357">
        <v>583.70000000000005</v>
      </c>
    </row>
    <row r="54" spans="1:11" ht="13.5" thickBot="1" x14ac:dyDescent="0.25">
      <c r="A54" s="5353"/>
      <c r="B54" s="5346"/>
      <c r="C54" s="5346"/>
      <c r="D54" s="5346"/>
      <c r="E54" s="5346"/>
      <c r="F54" s="5355"/>
      <c r="G54" s="5355"/>
      <c r="H54" s="5355"/>
      <c r="I54" s="957">
        <v>39387</v>
      </c>
      <c r="J54" s="5355"/>
      <c r="K54" s="354">
        <v>163.92</v>
      </c>
    </row>
    <row r="55" spans="1:11" ht="24" thickBot="1" x14ac:dyDescent="0.25">
      <c r="A55" s="5391" t="s">
        <v>872</v>
      </c>
      <c r="B55" s="5392"/>
      <c r="C55" s="5392"/>
      <c r="D55" s="5392"/>
      <c r="E55" s="5392"/>
      <c r="F55" s="5392"/>
      <c r="G55" s="1399"/>
      <c r="H55" s="1399"/>
      <c r="I55" s="1568">
        <f>G53-H53-I53-I54</f>
        <v>102065</v>
      </c>
      <c r="J55" s="957"/>
      <c r="K55" s="354"/>
    </row>
    <row r="56" spans="1:11" ht="13.5" thickBot="1" x14ac:dyDescent="0.25">
      <c r="A56" s="5348"/>
      <c r="B56" s="5349"/>
      <c r="C56" s="5349"/>
      <c r="D56" s="5349"/>
      <c r="E56" s="5349"/>
      <c r="F56" s="5349"/>
      <c r="G56" s="5349"/>
      <c r="H56" s="5349"/>
      <c r="I56" s="5349"/>
      <c r="J56" s="5349"/>
      <c r="K56" s="5350"/>
    </row>
    <row r="57" spans="1:11" hidden="1" x14ac:dyDescent="0.2">
      <c r="A57" s="5351" t="s">
        <v>695</v>
      </c>
      <c r="B57" s="5352"/>
      <c r="C57" s="5352"/>
      <c r="D57" s="5352"/>
      <c r="E57" s="5352"/>
      <c r="F57" s="5354"/>
      <c r="G57" s="5354">
        <v>499570</v>
      </c>
      <c r="H57" s="5354">
        <v>148987</v>
      </c>
      <c r="I57" s="626">
        <v>209131</v>
      </c>
      <c r="J57" s="5354"/>
      <c r="K57" s="357">
        <v>583.70000000000005</v>
      </c>
    </row>
    <row r="58" spans="1:11" ht="13.5" hidden="1" thickBot="1" x14ac:dyDescent="0.25">
      <c r="A58" s="5353"/>
      <c r="B58" s="5346"/>
      <c r="C58" s="5346"/>
      <c r="D58" s="5346"/>
      <c r="E58" s="5346"/>
      <c r="F58" s="5355"/>
      <c r="G58" s="5355"/>
      <c r="H58" s="5355"/>
      <c r="I58" s="957">
        <v>39387</v>
      </c>
      <c r="J58" s="5355"/>
      <c r="K58" s="354">
        <v>163.92</v>
      </c>
    </row>
    <row r="59" spans="1:11" ht="13.5" hidden="1" thickBot="1" x14ac:dyDescent="0.25">
      <c r="A59" s="611"/>
      <c r="B59" s="612"/>
      <c r="C59" s="612"/>
      <c r="D59" s="612"/>
      <c r="E59" s="612"/>
      <c r="F59" s="612"/>
      <c r="G59" s="612"/>
      <c r="H59" s="612"/>
      <c r="I59" s="612"/>
      <c r="J59" s="612"/>
      <c r="K59" s="612"/>
    </row>
    <row r="60" spans="1:11" hidden="1" x14ac:dyDescent="0.2">
      <c r="A60" s="627"/>
      <c r="B60" s="279"/>
      <c r="C60" s="279"/>
      <c r="D60" s="279"/>
      <c r="E60" s="279"/>
      <c r="F60" s="279"/>
      <c r="G60" s="279"/>
      <c r="H60" s="279"/>
      <c r="I60" s="279"/>
      <c r="J60" s="279"/>
      <c r="K60" s="619"/>
    </row>
    <row r="61" spans="1:11" hidden="1" x14ac:dyDescent="0.2">
      <c r="A61" s="628"/>
      <c r="B61" s="279"/>
      <c r="C61" s="279"/>
      <c r="D61" s="279"/>
      <c r="E61" s="279"/>
      <c r="F61" s="279"/>
      <c r="G61" s="279"/>
      <c r="H61" s="279"/>
      <c r="I61" s="279"/>
      <c r="J61" s="279"/>
      <c r="K61" s="619"/>
    </row>
    <row r="62" spans="1:11" hidden="1" x14ac:dyDescent="0.2">
      <c r="A62" s="628"/>
      <c r="B62" s="279"/>
      <c r="C62" s="5343" t="s">
        <v>696</v>
      </c>
      <c r="D62" s="5262"/>
      <c r="E62" s="5262"/>
      <c r="F62" s="5262"/>
      <c r="G62" s="5262"/>
      <c r="H62" s="5262"/>
      <c r="I62" s="5343" t="s">
        <v>697</v>
      </c>
      <c r="J62" s="5343" t="s">
        <v>698</v>
      </c>
      <c r="K62" s="355" t="s">
        <v>561</v>
      </c>
    </row>
    <row r="63" spans="1:11" hidden="1" x14ac:dyDescent="0.2">
      <c r="A63" s="628"/>
      <c r="B63" s="279"/>
      <c r="C63" s="5343"/>
      <c r="D63" s="5262"/>
      <c r="E63" s="5262"/>
      <c r="F63" s="5262"/>
      <c r="G63" s="5262"/>
      <c r="H63" s="5262"/>
      <c r="I63" s="5343"/>
      <c r="J63" s="5343"/>
      <c r="K63" s="355" t="s">
        <v>699</v>
      </c>
    </row>
    <row r="64" spans="1:11" ht="13.5" hidden="1" thickBot="1" x14ac:dyDescent="0.25">
      <c r="A64" s="628"/>
      <c r="B64" s="279"/>
      <c r="C64" s="5343" t="s">
        <v>54</v>
      </c>
      <c r="D64" s="5262"/>
      <c r="E64" s="5262"/>
      <c r="F64" s="5262"/>
      <c r="G64" s="5262"/>
      <c r="H64" s="5262"/>
      <c r="I64" s="957"/>
      <c r="J64" s="957"/>
      <c r="K64" s="354" t="s">
        <v>700</v>
      </c>
    </row>
    <row r="65" spans="1:11" ht="13.5" hidden="1" thickBot="1" x14ac:dyDescent="0.25">
      <c r="A65" s="628"/>
      <c r="B65" s="279"/>
      <c r="C65" s="5343" t="s">
        <v>701</v>
      </c>
      <c r="D65" s="5262"/>
      <c r="E65" s="5262"/>
      <c r="F65" s="5262"/>
      <c r="G65" s="5262"/>
      <c r="H65" s="5262"/>
      <c r="I65" s="957">
        <v>0.6</v>
      </c>
      <c r="J65" s="957">
        <v>85</v>
      </c>
      <c r="K65" s="354" t="s">
        <v>702</v>
      </c>
    </row>
    <row r="66" spans="1:11" ht="13.5" hidden="1" thickBot="1" x14ac:dyDescent="0.25">
      <c r="A66" s="628"/>
      <c r="B66" s="279"/>
      <c r="C66" s="5343" t="s">
        <v>703</v>
      </c>
      <c r="D66" s="5262"/>
      <c r="E66" s="5262"/>
      <c r="F66" s="5262"/>
      <c r="G66" s="5262"/>
      <c r="H66" s="5262"/>
      <c r="I66" s="957">
        <v>0.6</v>
      </c>
      <c r="J66" s="957">
        <v>71</v>
      </c>
      <c r="K66" s="354" t="s">
        <v>704</v>
      </c>
    </row>
    <row r="67" spans="1:11" ht="13.5" hidden="1" thickBot="1" x14ac:dyDescent="0.25">
      <c r="A67" s="628"/>
      <c r="B67" s="279"/>
      <c r="C67" s="5343" t="s">
        <v>705</v>
      </c>
      <c r="D67" s="5262"/>
      <c r="E67" s="5262"/>
      <c r="F67" s="5262"/>
      <c r="G67" s="5262"/>
      <c r="H67" s="5262"/>
      <c r="I67" s="957">
        <v>0.6</v>
      </c>
      <c r="J67" s="957">
        <v>71</v>
      </c>
      <c r="K67" s="354" t="s">
        <v>706</v>
      </c>
    </row>
    <row r="68" spans="1:11" ht="13.5" hidden="1" thickBot="1" x14ac:dyDescent="0.25">
      <c r="A68" s="628"/>
      <c r="B68" s="279"/>
      <c r="C68" s="5343" t="s">
        <v>707</v>
      </c>
      <c r="D68" s="5262"/>
      <c r="E68" s="5262"/>
      <c r="F68" s="5262"/>
      <c r="G68" s="5262"/>
      <c r="H68" s="5262"/>
      <c r="I68" s="957">
        <v>0.6</v>
      </c>
      <c r="J68" s="957">
        <v>116</v>
      </c>
      <c r="K68" s="354" t="s">
        <v>708</v>
      </c>
    </row>
    <row r="69" spans="1:11" ht="13.5" hidden="1" thickBot="1" x14ac:dyDescent="0.25">
      <c r="A69" s="628"/>
      <c r="B69" s="279"/>
      <c r="C69" s="5343" t="s">
        <v>709</v>
      </c>
      <c r="D69" s="5262"/>
      <c r="E69" s="5262"/>
      <c r="F69" s="5262"/>
      <c r="G69" s="5262"/>
      <c r="H69" s="5262"/>
      <c r="I69" s="957">
        <v>0.6</v>
      </c>
      <c r="J69" s="957">
        <v>92</v>
      </c>
      <c r="K69" s="354" t="s">
        <v>710</v>
      </c>
    </row>
    <row r="70" spans="1:11" ht="13.5" hidden="1" thickBot="1" x14ac:dyDescent="0.25">
      <c r="A70" s="628"/>
      <c r="B70" s="279"/>
      <c r="C70" s="5343" t="s">
        <v>711</v>
      </c>
      <c r="D70" s="5262"/>
      <c r="E70" s="5262"/>
      <c r="F70" s="5262"/>
      <c r="G70" s="5262"/>
      <c r="H70" s="5262"/>
      <c r="I70" s="957"/>
      <c r="J70" s="957"/>
      <c r="K70" s="354" t="s">
        <v>712</v>
      </c>
    </row>
    <row r="71" spans="1:11" ht="13.5" hidden="1" thickBot="1" x14ac:dyDescent="0.25">
      <c r="A71" s="628"/>
      <c r="B71" s="279"/>
      <c r="C71" s="5343" t="s">
        <v>54</v>
      </c>
      <c r="D71" s="5262"/>
      <c r="E71" s="5262"/>
      <c r="F71" s="5262"/>
      <c r="G71" s="5262"/>
      <c r="H71" s="5262"/>
      <c r="I71" s="957"/>
      <c r="J71" s="957"/>
      <c r="K71" s="354" t="s">
        <v>713</v>
      </c>
    </row>
    <row r="72" spans="1:11" ht="13.5" hidden="1" thickBot="1" x14ac:dyDescent="0.25">
      <c r="A72" s="628"/>
      <c r="B72" s="279"/>
      <c r="C72" s="5343" t="s">
        <v>714</v>
      </c>
      <c r="D72" s="5262"/>
      <c r="E72" s="5262"/>
      <c r="F72" s="5262"/>
      <c r="G72" s="5262"/>
      <c r="H72" s="5262"/>
      <c r="I72" s="957"/>
      <c r="J72" s="957">
        <v>40</v>
      </c>
      <c r="K72" s="354" t="s">
        <v>715</v>
      </c>
    </row>
    <row r="73" spans="1:11" ht="13.5" hidden="1" thickBot="1" x14ac:dyDescent="0.25">
      <c r="A73" s="628"/>
      <c r="B73" s="279"/>
      <c r="C73" s="5343" t="s">
        <v>716</v>
      </c>
      <c r="D73" s="5262"/>
      <c r="E73" s="5262"/>
      <c r="F73" s="5262"/>
      <c r="G73" s="5262"/>
      <c r="H73" s="5262"/>
      <c r="I73" s="957"/>
      <c r="J73" s="957">
        <v>36</v>
      </c>
      <c r="K73" s="354" t="s">
        <v>717</v>
      </c>
    </row>
    <row r="74" spans="1:11" ht="13.5" hidden="1" thickBot="1" x14ac:dyDescent="0.25">
      <c r="A74" s="628"/>
      <c r="B74" s="279"/>
      <c r="C74" s="5343" t="s">
        <v>718</v>
      </c>
      <c r="D74" s="5262"/>
      <c r="E74" s="5262"/>
      <c r="F74" s="5262"/>
      <c r="G74" s="5262"/>
      <c r="H74" s="5262"/>
      <c r="I74" s="957"/>
      <c r="J74" s="957">
        <v>36</v>
      </c>
      <c r="K74" s="354" t="s">
        <v>719</v>
      </c>
    </row>
    <row r="75" spans="1:11" ht="13.5" hidden="1" thickBot="1" x14ac:dyDescent="0.25">
      <c r="A75" s="628"/>
      <c r="B75" s="279"/>
      <c r="C75" s="5343" t="s">
        <v>720</v>
      </c>
      <c r="D75" s="5262"/>
      <c r="E75" s="5262"/>
      <c r="F75" s="5262"/>
      <c r="G75" s="5262"/>
      <c r="H75" s="5262"/>
      <c r="I75" s="957"/>
      <c r="J75" s="957">
        <v>71</v>
      </c>
      <c r="K75" s="354" t="s">
        <v>721</v>
      </c>
    </row>
    <row r="76" spans="1:11" ht="13.5" hidden="1" thickBot="1" x14ac:dyDescent="0.25">
      <c r="A76" s="628"/>
      <c r="B76" s="279"/>
      <c r="C76" s="5343" t="s">
        <v>722</v>
      </c>
      <c r="D76" s="5262"/>
      <c r="E76" s="5262"/>
      <c r="F76" s="5262"/>
      <c r="G76" s="5262"/>
      <c r="H76" s="5262"/>
      <c r="I76" s="957"/>
      <c r="J76" s="957">
        <v>54</v>
      </c>
      <c r="K76" s="354" t="s">
        <v>723</v>
      </c>
    </row>
    <row r="77" spans="1:11" ht="13.5" hidden="1" thickBot="1" x14ac:dyDescent="0.25">
      <c r="A77" s="628"/>
      <c r="B77" s="279"/>
      <c r="C77" s="5343" t="s">
        <v>724</v>
      </c>
      <c r="D77" s="5262"/>
      <c r="E77" s="5262"/>
      <c r="F77" s="5262"/>
      <c r="G77" s="5262"/>
      <c r="H77" s="5262"/>
      <c r="I77" s="957"/>
      <c r="J77" s="957"/>
      <c r="K77" s="354" t="s">
        <v>725</v>
      </c>
    </row>
    <row r="78" spans="1:11" ht="13.5" hidden="1" thickBot="1" x14ac:dyDescent="0.25">
      <c r="A78" s="628"/>
      <c r="B78" s="279"/>
      <c r="C78" s="5343" t="s">
        <v>54</v>
      </c>
      <c r="D78" s="5262"/>
      <c r="E78" s="5262"/>
      <c r="F78" s="5262"/>
      <c r="G78" s="5262"/>
      <c r="H78" s="5262"/>
      <c r="I78" s="957"/>
      <c r="J78" s="957"/>
      <c r="K78" s="354" t="s">
        <v>726</v>
      </c>
    </row>
    <row r="79" spans="1:11" ht="13.5" hidden="1" thickBot="1" x14ac:dyDescent="0.25">
      <c r="A79" s="628"/>
      <c r="B79" s="279"/>
      <c r="C79" s="5343" t="s">
        <v>727</v>
      </c>
      <c r="D79" s="5262"/>
      <c r="E79" s="5262"/>
      <c r="F79" s="5262"/>
      <c r="G79" s="5262"/>
      <c r="H79" s="5262"/>
      <c r="I79" s="957"/>
      <c r="J79" s="957">
        <v>18</v>
      </c>
      <c r="K79" s="354" t="s">
        <v>728</v>
      </c>
    </row>
    <row r="80" spans="1:11" ht="13.5" hidden="1" thickBot="1" x14ac:dyDescent="0.25">
      <c r="A80" s="628"/>
      <c r="B80" s="279"/>
      <c r="C80" s="5343" t="s">
        <v>282</v>
      </c>
      <c r="D80" s="5262"/>
      <c r="E80" s="5262"/>
      <c r="F80" s="5262"/>
      <c r="G80" s="5262"/>
      <c r="H80" s="5262"/>
      <c r="I80" s="957"/>
      <c r="J80" s="957"/>
      <c r="K80" s="354" t="s">
        <v>660</v>
      </c>
    </row>
    <row r="81" spans="1:12" ht="13.5" hidden="1" thickBot="1" x14ac:dyDescent="0.25">
      <c r="A81" s="615"/>
      <c r="B81" s="614"/>
      <c r="C81" s="5346" t="s">
        <v>729</v>
      </c>
      <c r="D81" s="4243"/>
      <c r="E81" s="4243"/>
      <c r="F81" s="4243"/>
      <c r="G81" s="4243"/>
      <c r="H81" s="4243"/>
      <c r="I81" s="957"/>
      <c r="J81" s="957"/>
      <c r="K81" s="354" t="s">
        <v>660</v>
      </c>
    </row>
    <row r="82" spans="1:12" ht="15.75" hidden="1" x14ac:dyDescent="0.25">
      <c r="K82" s="638">
        <v>821297</v>
      </c>
    </row>
    <row r="83" spans="1:12" ht="13.5" thickBot="1" x14ac:dyDescent="0.25"/>
    <row r="84" spans="1:12" ht="18.75" x14ac:dyDescent="0.3">
      <c r="A84" s="5387" t="s">
        <v>730</v>
      </c>
      <c r="B84" s="5388"/>
      <c r="C84" s="5388"/>
      <c r="D84" s="5388"/>
      <c r="E84" s="5388"/>
      <c r="F84" s="5388"/>
      <c r="G84" s="5388"/>
      <c r="H84" s="5388"/>
      <c r="I84" s="5388"/>
      <c r="J84" s="5388"/>
      <c r="K84" s="5388"/>
      <c r="L84" s="629"/>
    </row>
    <row r="85" spans="1:12" ht="13.5" x14ac:dyDescent="0.25">
      <c r="A85" s="5389" t="s">
        <v>653</v>
      </c>
      <c r="B85" s="5031"/>
      <c r="C85" s="5031"/>
      <c r="D85" s="5031"/>
      <c r="E85" s="5031"/>
      <c r="F85" s="5031"/>
      <c r="G85" s="5031"/>
      <c r="H85" s="5031"/>
      <c r="I85" s="5031"/>
      <c r="J85" s="5031"/>
      <c r="K85" s="5031"/>
      <c r="L85" s="965"/>
    </row>
    <row r="86" spans="1:12" ht="18.75" x14ac:dyDescent="0.3">
      <c r="A86" s="631"/>
      <c r="B86" s="964"/>
      <c r="C86" s="964"/>
      <c r="D86" s="964"/>
      <c r="E86" s="964"/>
      <c r="F86" s="964"/>
      <c r="G86" s="964"/>
      <c r="H86" s="964"/>
      <c r="I86" s="964"/>
      <c r="J86" s="964"/>
      <c r="K86" s="964"/>
      <c r="L86" s="965"/>
    </row>
    <row r="87" spans="1:12" ht="18.75" x14ac:dyDescent="0.3">
      <c r="A87" s="5390" t="s">
        <v>731</v>
      </c>
      <c r="B87" s="5031"/>
      <c r="C87" s="5031"/>
      <c r="D87" s="5031"/>
      <c r="E87" s="5031"/>
      <c r="F87" s="5031"/>
      <c r="G87" s="5031"/>
      <c r="H87" s="5031"/>
      <c r="I87" s="5031"/>
      <c r="J87" s="5031"/>
      <c r="K87" s="5031"/>
      <c r="L87" s="5379"/>
    </row>
    <row r="88" spans="1:12" ht="18" x14ac:dyDescent="0.25">
      <c r="A88" s="620" t="s">
        <v>655</v>
      </c>
      <c r="B88" s="964"/>
      <c r="C88" s="964"/>
      <c r="D88" s="964"/>
      <c r="E88" s="964"/>
      <c r="F88" s="964"/>
      <c r="G88" s="964"/>
      <c r="H88" s="964"/>
      <c r="I88" s="964"/>
      <c r="J88" s="964"/>
      <c r="K88" s="964"/>
      <c r="L88" s="965"/>
    </row>
    <row r="89" spans="1:12" x14ac:dyDescent="0.2">
      <c r="A89" s="5378" t="s">
        <v>732</v>
      </c>
      <c r="B89" s="5031"/>
      <c r="C89" s="5031"/>
      <c r="D89" s="5031"/>
      <c r="E89" s="5031"/>
      <c r="F89" s="5031"/>
      <c r="G89" s="5031"/>
      <c r="H89" s="5031"/>
      <c r="I89" s="5031"/>
      <c r="J89" s="5031"/>
      <c r="K89" s="5031"/>
      <c r="L89" s="5379"/>
    </row>
    <row r="90" spans="1:12" x14ac:dyDescent="0.2">
      <c r="A90" s="5380"/>
      <c r="B90" s="5031"/>
      <c r="C90" s="5031"/>
      <c r="D90" s="5031"/>
      <c r="E90" s="5031"/>
      <c r="F90" s="5031"/>
      <c r="G90" s="5031"/>
      <c r="H90" s="5031"/>
      <c r="I90" s="5031"/>
      <c r="J90" s="5031"/>
      <c r="K90" s="5031"/>
      <c r="L90" s="5379"/>
    </row>
    <row r="91" spans="1:12" x14ac:dyDescent="0.2">
      <c r="A91" s="5381" t="s">
        <v>656</v>
      </c>
      <c r="B91" s="5382"/>
      <c r="C91" s="964"/>
      <c r="D91" s="964"/>
      <c r="E91" s="964"/>
      <c r="F91" s="964"/>
      <c r="G91" s="964"/>
      <c r="H91" s="964"/>
      <c r="I91" s="964"/>
      <c r="J91" s="964"/>
      <c r="K91" s="964"/>
      <c r="L91" s="965"/>
    </row>
    <row r="92" spans="1:12" ht="13.5" x14ac:dyDescent="0.2">
      <c r="A92" s="633"/>
      <c r="B92" s="634"/>
      <c r="C92" s="964"/>
      <c r="D92" s="964"/>
      <c r="E92" s="964"/>
      <c r="F92" s="964"/>
      <c r="G92" s="964"/>
      <c r="H92" s="964"/>
      <c r="I92" s="964"/>
      <c r="J92" s="964"/>
      <c r="K92" s="964"/>
      <c r="L92" s="965"/>
    </row>
    <row r="93" spans="1:12" x14ac:dyDescent="0.2">
      <c r="A93" s="5381" t="s">
        <v>657</v>
      </c>
      <c r="B93" s="5031"/>
      <c r="C93" s="5031"/>
      <c r="D93" s="5383" t="s">
        <v>733</v>
      </c>
      <c r="E93" s="5031"/>
      <c r="F93" s="5031"/>
      <c r="G93" s="5031"/>
      <c r="H93" s="5031"/>
      <c r="I93" s="5031"/>
      <c r="J93" s="5031"/>
      <c r="K93" s="5031"/>
      <c r="L93" s="5379"/>
    </row>
    <row r="94" spans="1:12" ht="18.75" x14ac:dyDescent="0.3">
      <c r="A94" s="960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619"/>
    </row>
    <row r="95" spans="1:12" ht="12.75" customHeight="1" x14ac:dyDescent="0.2">
      <c r="A95" s="5384" t="s">
        <v>659</v>
      </c>
      <c r="B95" s="5262"/>
      <c r="C95" s="5262"/>
      <c r="D95" s="5262"/>
      <c r="E95" s="5262"/>
      <c r="F95" s="5385" t="s">
        <v>734</v>
      </c>
      <c r="G95" s="5386" t="s">
        <v>661</v>
      </c>
      <c r="H95" s="279"/>
      <c r="I95" s="279"/>
      <c r="J95" s="279"/>
      <c r="K95" s="279"/>
      <c r="L95" s="619"/>
    </row>
    <row r="96" spans="1:12" x14ac:dyDescent="0.2">
      <c r="A96" s="5384"/>
      <c r="B96" s="5262"/>
      <c r="C96" s="5262"/>
      <c r="D96" s="5262"/>
      <c r="E96" s="5262"/>
      <c r="F96" s="5385"/>
      <c r="G96" s="5386"/>
      <c r="H96" s="279"/>
      <c r="I96" s="279"/>
      <c r="J96" s="279"/>
      <c r="K96" s="279"/>
      <c r="L96" s="619"/>
    </row>
    <row r="97" spans="1:12" ht="13.5" customHeight="1" x14ac:dyDescent="0.2">
      <c r="A97" s="5375" t="s">
        <v>662</v>
      </c>
      <c r="B97" s="5262"/>
      <c r="C97" s="5262"/>
      <c r="D97" s="5262"/>
      <c r="E97" s="5262"/>
      <c r="F97" s="5376">
        <v>951</v>
      </c>
      <c r="G97" s="5377" t="s">
        <v>663</v>
      </c>
      <c r="H97" s="279"/>
      <c r="I97" s="279"/>
      <c r="J97" s="279"/>
      <c r="K97" s="279"/>
      <c r="L97" s="619"/>
    </row>
    <row r="98" spans="1:12" x14ac:dyDescent="0.2">
      <c r="A98" s="5375"/>
      <c r="B98" s="5262"/>
      <c r="C98" s="5262"/>
      <c r="D98" s="5262"/>
      <c r="E98" s="5262"/>
      <c r="F98" s="5376"/>
      <c r="G98" s="5377"/>
      <c r="H98" s="279"/>
      <c r="I98" s="279"/>
      <c r="J98" s="279"/>
      <c r="K98" s="279"/>
      <c r="L98" s="619"/>
    </row>
    <row r="99" spans="1:12" ht="13.5" customHeight="1" x14ac:dyDescent="0.2">
      <c r="A99" s="5375" t="s">
        <v>664</v>
      </c>
      <c r="B99" s="5262"/>
      <c r="C99" s="5262"/>
      <c r="D99" s="5262"/>
      <c r="E99" s="5262"/>
      <c r="F99" s="5376" t="s">
        <v>735</v>
      </c>
      <c r="G99" s="5377" t="s">
        <v>661</v>
      </c>
      <c r="H99" s="279"/>
      <c r="I99" s="279"/>
      <c r="J99" s="279"/>
      <c r="K99" s="279"/>
      <c r="L99" s="619"/>
    </row>
    <row r="100" spans="1:12" ht="13.5" thickBot="1" x14ac:dyDescent="0.25">
      <c r="A100" s="5375"/>
      <c r="B100" s="5262"/>
      <c r="C100" s="5262"/>
      <c r="D100" s="5262"/>
      <c r="E100" s="5262"/>
      <c r="F100" s="5376"/>
      <c r="G100" s="5377"/>
      <c r="H100" s="279"/>
      <c r="I100" s="279"/>
      <c r="J100" s="279"/>
      <c r="K100" s="279"/>
      <c r="L100" s="619"/>
    </row>
    <row r="101" spans="1:12" ht="13.5" thickBot="1" x14ac:dyDescent="0.25">
      <c r="A101" s="954" t="s">
        <v>166</v>
      </c>
      <c r="B101" s="954" t="s">
        <v>439</v>
      </c>
      <c r="C101" s="954" t="s">
        <v>358</v>
      </c>
      <c r="D101" s="337"/>
      <c r="E101" s="5365" t="s">
        <v>440</v>
      </c>
      <c r="F101" s="5366"/>
      <c r="G101" s="5365" t="s">
        <v>441</v>
      </c>
      <c r="H101" s="5367"/>
      <c r="I101" s="5366"/>
      <c r="J101" s="5368" t="s">
        <v>442</v>
      </c>
      <c r="K101" s="5369"/>
      <c r="L101" s="619"/>
    </row>
    <row r="102" spans="1:12" ht="13.5" thickBot="1" x14ac:dyDescent="0.25">
      <c r="A102" s="340" t="s">
        <v>443</v>
      </c>
      <c r="B102" s="340" t="s">
        <v>444</v>
      </c>
      <c r="C102" s="340" t="s">
        <v>445</v>
      </c>
      <c r="D102" s="341" t="s">
        <v>446</v>
      </c>
      <c r="E102" s="953" t="s">
        <v>447</v>
      </c>
      <c r="F102" s="956" t="s">
        <v>448</v>
      </c>
      <c r="G102" s="340" t="s">
        <v>447</v>
      </c>
      <c r="H102" s="341" t="s">
        <v>449</v>
      </c>
      <c r="I102" s="343" t="s">
        <v>448</v>
      </c>
      <c r="J102" s="5370" t="s">
        <v>450</v>
      </c>
      <c r="K102" s="5371"/>
      <c r="L102" s="619"/>
    </row>
    <row r="103" spans="1:12" ht="13.5" thickBot="1" x14ac:dyDescent="0.25">
      <c r="A103" s="952"/>
      <c r="B103" s="952" t="s">
        <v>451</v>
      </c>
      <c r="C103" s="952"/>
      <c r="D103" s="345"/>
      <c r="E103" s="953" t="s">
        <v>449</v>
      </c>
      <c r="F103" s="343" t="s">
        <v>452</v>
      </c>
      <c r="G103" s="955"/>
      <c r="H103" s="346"/>
      <c r="I103" s="343" t="s">
        <v>452</v>
      </c>
      <c r="J103" s="952" t="s">
        <v>453</v>
      </c>
      <c r="K103" s="345" t="s">
        <v>447</v>
      </c>
      <c r="L103" s="619"/>
    </row>
    <row r="104" spans="1:12" ht="13.5" thickBot="1" x14ac:dyDescent="0.25">
      <c r="A104" s="625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619"/>
    </row>
    <row r="105" spans="1:12" ht="13.5" thickBot="1" x14ac:dyDescent="0.25">
      <c r="A105" s="348">
        <v>1</v>
      </c>
      <c r="B105" s="349">
        <v>2</v>
      </c>
      <c r="C105" s="349">
        <v>3</v>
      </c>
      <c r="D105" s="349">
        <v>4</v>
      </c>
      <c r="E105" s="349">
        <v>5</v>
      </c>
      <c r="F105" s="349">
        <v>6</v>
      </c>
      <c r="G105" s="349">
        <v>7</v>
      </c>
      <c r="H105" s="349">
        <v>8</v>
      </c>
      <c r="I105" s="349">
        <v>9</v>
      </c>
      <c r="J105" s="349">
        <v>10</v>
      </c>
      <c r="K105" s="349">
        <v>11</v>
      </c>
      <c r="L105" s="635"/>
    </row>
    <row r="106" spans="1:12" ht="13.5" thickBot="1" x14ac:dyDescent="0.25">
      <c r="A106" s="611"/>
      <c r="B106" s="612"/>
      <c r="C106" s="612"/>
      <c r="D106" s="612"/>
      <c r="E106" s="612"/>
      <c r="F106" s="612"/>
      <c r="G106" s="612"/>
      <c r="H106" s="612"/>
      <c r="I106" s="612"/>
      <c r="J106" s="612"/>
      <c r="K106" s="612"/>
      <c r="L106" s="635"/>
    </row>
    <row r="107" spans="1:12" ht="13.5" thickBot="1" x14ac:dyDescent="0.25">
      <c r="A107" s="5348"/>
      <c r="B107" s="5349"/>
      <c r="C107" s="5349"/>
      <c r="D107" s="5349"/>
      <c r="E107" s="5349"/>
      <c r="F107" s="5349"/>
      <c r="G107" s="5349"/>
      <c r="H107" s="5349"/>
      <c r="I107" s="5349"/>
      <c r="J107" s="5349"/>
      <c r="K107" s="5350"/>
      <c r="L107" s="635"/>
    </row>
    <row r="108" spans="1:12" ht="13.5" thickBot="1" x14ac:dyDescent="0.25">
      <c r="A108" s="5372" t="s">
        <v>736</v>
      </c>
      <c r="B108" s="5373"/>
      <c r="C108" s="5373"/>
      <c r="D108" s="5373"/>
      <c r="E108" s="5373"/>
      <c r="F108" s="5373"/>
      <c r="G108" s="5373"/>
      <c r="H108" s="5373"/>
      <c r="I108" s="5373"/>
      <c r="J108" s="5373"/>
      <c r="K108" s="5374"/>
      <c r="L108" s="635"/>
    </row>
    <row r="109" spans="1:12" ht="13.5" thickBot="1" x14ac:dyDescent="0.25">
      <c r="A109" s="5348"/>
      <c r="B109" s="5349"/>
      <c r="C109" s="5349"/>
      <c r="D109" s="5349"/>
      <c r="E109" s="5349"/>
      <c r="F109" s="5349"/>
      <c r="G109" s="5349"/>
      <c r="H109" s="5349"/>
      <c r="I109" s="5349"/>
      <c r="J109" s="5349"/>
      <c r="K109" s="5350"/>
      <c r="L109" s="636"/>
    </row>
    <row r="110" spans="1:12" ht="33.75" x14ac:dyDescent="0.2">
      <c r="A110" s="5358">
        <v>1</v>
      </c>
      <c r="B110" s="5360" t="s">
        <v>737</v>
      </c>
      <c r="C110" s="5360" t="s">
        <v>674</v>
      </c>
      <c r="D110" s="355" t="s">
        <v>738</v>
      </c>
      <c r="E110" s="356">
        <v>0.8</v>
      </c>
      <c r="F110" s="357">
        <v>19221.080000000002</v>
      </c>
      <c r="G110" s="357">
        <v>19221.080000000002</v>
      </c>
      <c r="H110" s="5358">
        <v>15377</v>
      </c>
      <c r="I110" s="5358">
        <v>0</v>
      </c>
      <c r="J110" s="357">
        <v>15377</v>
      </c>
      <c r="K110" s="357">
        <v>0</v>
      </c>
      <c r="L110" s="357">
        <v>0</v>
      </c>
    </row>
    <row r="111" spans="1:12" ht="169.5" thickBot="1" x14ac:dyDescent="0.25">
      <c r="A111" s="5359"/>
      <c r="B111" s="5361"/>
      <c r="C111" s="5361"/>
      <c r="D111" s="353" t="s">
        <v>669</v>
      </c>
      <c r="E111" s="354" t="s">
        <v>676</v>
      </c>
      <c r="F111" s="354">
        <v>0</v>
      </c>
      <c r="G111" s="354">
        <v>24389.57</v>
      </c>
      <c r="H111" s="5359"/>
      <c r="I111" s="5359"/>
      <c r="J111" s="354">
        <v>19512</v>
      </c>
      <c r="K111" s="354">
        <v>97.21</v>
      </c>
      <c r="L111" s="354">
        <v>77.77</v>
      </c>
    </row>
    <row r="112" spans="1:12" ht="22.5" x14ac:dyDescent="0.2">
      <c r="A112" s="5358">
        <v>2</v>
      </c>
      <c r="B112" s="5360" t="s">
        <v>739</v>
      </c>
      <c r="C112" s="355" t="s">
        <v>740</v>
      </c>
      <c r="D112" s="356">
        <v>0.2</v>
      </c>
      <c r="E112" s="357">
        <v>110221.54</v>
      </c>
      <c r="F112" s="357">
        <v>49699.94</v>
      </c>
      <c r="G112" s="5358">
        <v>22044</v>
      </c>
      <c r="H112" s="5358">
        <v>12104</v>
      </c>
      <c r="I112" s="357">
        <v>9940</v>
      </c>
      <c r="J112" s="357">
        <v>292.02</v>
      </c>
      <c r="K112" s="357">
        <v>58.4</v>
      </c>
      <c r="L112" s="5364"/>
    </row>
    <row r="113" spans="1:12" ht="33.75" x14ac:dyDescent="0.2">
      <c r="A113" s="5362"/>
      <c r="B113" s="5363"/>
      <c r="C113" s="355" t="s">
        <v>493</v>
      </c>
      <c r="D113" s="357" t="s">
        <v>742</v>
      </c>
      <c r="E113" s="357">
        <v>60521.599999999999</v>
      </c>
      <c r="F113" s="357">
        <v>12684.38</v>
      </c>
      <c r="G113" s="5362"/>
      <c r="H113" s="5362"/>
      <c r="I113" s="357">
        <v>2537</v>
      </c>
      <c r="J113" s="357">
        <v>49.67</v>
      </c>
      <c r="K113" s="357">
        <v>9.93</v>
      </c>
      <c r="L113" s="5347"/>
    </row>
    <row r="114" spans="1:12" ht="34.5" thickBot="1" x14ac:dyDescent="0.25">
      <c r="A114" s="5359"/>
      <c r="B114" s="5361"/>
      <c r="C114" s="353" t="s">
        <v>741</v>
      </c>
      <c r="D114" s="358"/>
      <c r="E114" s="358"/>
      <c r="F114" s="358"/>
      <c r="G114" s="5359"/>
      <c r="H114" s="5359"/>
      <c r="I114" s="358"/>
      <c r="J114" s="358"/>
      <c r="K114" s="358"/>
      <c r="L114" s="5347"/>
    </row>
    <row r="115" spans="1:12" x14ac:dyDescent="0.2">
      <c r="A115" s="5358">
        <v>3</v>
      </c>
      <c r="B115" s="5360" t="s">
        <v>743</v>
      </c>
      <c r="C115" s="355" t="s">
        <v>744</v>
      </c>
      <c r="D115" s="356">
        <v>20</v>
      </c>
      <c r="E115" s="357">
        <v>534.51</v>
      </c>
      <c r="F115" s="357">
        <v>0</v>
      </c>
      <c r="G115" s="5358">
        <v>10690</v>
      </c>
      <c r="H115" s="5358">
        <v>10690</v>
      </c>
      <c r="I115" s="357">
        <v>0</v>
      </c>
      <c r="J115" s="357">
        <v>2.72</v>
      </c>
      <c r="K115" s="357">
        <v>54.48</v>
      </c>
      <c r="L115" s="5347"/>
    </row>
    <row r="116" spans="1:12" x14ac:dyDescent="0.2">
      <c r="A116" s="5362"/>
      <c r="B116" s="5363"/>
      <c r="C116" s="355" t="s">
        <v>493</v>
      </c>
      <c r="D116" s="357" t="s">
        <v>457</v>
      </c>
      <c r="E116" s="357">
        <v>534.51</v>
      </c>
      <c r="F116" s="357">
        <v>0</v>
      </c>
      <c r="G116" s="5362"/>
      <c r="H116" s="5362"/>
      <c r="I116" s="357">
        <v>0</v>
      </c>
      <c r="J116" s="357">
        <v>0</v>
      </c>
      <c r="K116" s="357">
        <v>0</v>
      </c>
      <c r="L116" s="5347"/>
    </row>
    <row r="117" spans="1:12" ht="34.5" thickBot="1" x14ac:dyDescent="0.25">
      <c r="A117" s="5359"/>
      <c r="B117" s="5361"/>
      <c r="C117" s="353" t="s">
        <v>741</v>
      </c>
      <c r="D117" s="358"/>
      <c r="E117" s="358"/>
      <c r="F117" s="358"/>
      <c r="G117" s="5359"/>
      <c r="H117" s="5359"/>
      <c r="I117" s="358"/>
      <c r="J117" s="358"/>
      <c r="K117" s="358"/>
      <c r="L117" s="5347"/>
    </row>
    <row r="118" spans="1:12" x14ac:dyDescent="0.2">
      <c r="A118" s="5358">
        <v>4</v>
      </c>
      <c r="B118" s="5360" t="s">
        <v>745</v>
      </c>
      <c r="C118" s="355" t="s">
        <v>746</v>
      </c>
      <c r="D118" s="356">
        <v>10</v>
      </c>
      <c r="E118" s="357">
        <v>345.7</v>
      </c>
      <c r="F118" s="357">
        <v>63.38</v>
      </c>
      <c r="G118" s="5358">
        <v>3457</v>
      </c>
      <c r="H118" s="5358">
        <v>2823</v>
      </c>
      <c r="I118" s="357">
        <v>634</v>
      </c>
      <c r="J118" s="357">
        <v>1.31</v>
      </c>
      <c r="K118" s="357">
        <v>13.1</v>
      </c>
      <c r="L118" s="5347"/>
    </row>
    <row r="119" spans="1:12" ht="34.5" thickBot="1" x14ac:dyDescent="0.25">
      <c r="A119" s="5359"/>
      <c r="B119" s="5361"/>
      <c r="C119" s="353" t="s">
        <v>669</v>
      </c>
      <c r="D119" s="354" t="s">
        <v>747</v>
      </c>
      <c r="E119" s="354">
        <v>282.32</v>
      </c>
      <c r="F119" s="354">
        <v>0</v>
      </c>
      <c r="G119" s="5359"/>
      <c r="H119" s="5359"/>
      <c r="I119" s="354">
        <v>0</v>
      </c>
      <c r="J119" s="354">
        <v>7.0000000000000007E-2</v>
      </c>
      <c r="K119" s="354">
        <v>0.7</v>
      </c>
      <c r="L119" s="5347"/>
    </row>
    <row r="120" spans="1:12" ht="33.75" x14ac:dyDescent="0.2">
      <c r="A120" s="5358">
        <v>5</v>
      </c>
      <c r="B120" s="5360" t="s">
        <v>491</v>
      </c>
      <c r="C120" s="355" t="s">
        <v>492</v>
      </c>
      <c r="D120" s="356">
        <v>0.8</v>
      </c>
      <c r="E120" s="357">
        <v>64165.23</v>
      </c>
      <c r="F120" s="357">
        <v>8630.9699999999993</v>
      </c>
      <c r="G120" s="5358">
        <v>51332</v>
      </c>
      <c r="H120" s="5358">
        <v>15897</v>
      </c>
      <c r="I120" s="357">
        <v>6905</v>
      </c>
      <c r="J120" s="357">
        <v>95.88</v>
      </c>
      <c r="K120" s="357">
        <v>76.7</v>
      </c>
      <c r="L120" s="5347"/>
    </row>
    <row r="121" spans="1:12" x14ac:dyDescent="0.2">
      <c r="A121" s="5362"/>
      <c r="B121" s="5363"/>
      <c r="C121" s="355" t="s">
        <v>493</v>
      </c>
      <c r="D121" s="357" t="s">
        <v>494</v>
      </c>
      <c r="E121" s="357">
        <v>19871.29</v>
      </c>
      <c r="F121" s="357">
        <v>2421.77</v>
      </c>
      <c r="G121" s="5362"/>
      <c r="H121" s="5362"/>
      <c r="I121" s="357">
        <v>1937</v>
      </c>
      <c r="J121" s="357">
        <v>7.81</v>
      </c>
      <c r="K121" s="357">
        <v>6.25</v>
      </c>
      <c r="L121" s="5347"/>
    </row>
    <row r="122" spans="1:12" ht="34.5" thickBot="1" x14ac:dyDescent="0.25">
      <c r="A122" s="5359"/>
      <c r="B122" s="5361"/>
      <c r="C122" s="353" t="s">
        <v>741</v>
      </c>
      <c r="D122" s="358"/>
      <c r="E122" s="358"/>
      <c r="F122" s="358"/>
      <c r="G122" s="5359"/>
      <c r="H122" s="5359"/>
      <c r="I122" s="358"/>
      <c r="J122" s="358"/>
      <c r="K122" s="358"/>
      <c r="L122" s="5347"/>
    </row>
    <row r="123" spans="1:12" x14ac:dyDescent="0.2">
      <c r="A123" s="5358">
        <v>6</v>
      </c>
      <c r="B123" s="5360" t="s">
        <v>496</v>
      </c>
      <c r="C123" s="355" t="s">
        <v>497</v>
      </c>
      <c r="D123" s="356">
        <v>4.5</v>
      </c>
      <c r="E123" s="357">
        <v>11932</v>
      </c>
      <c r="F123" s="357">
        <v>307.44</v>
      </c>
      <c r="G123" s="5358">
        <v>53694</v>
      </c>
      <c r="H123" s="5358">
        <v>35040</v>
      </c>
      <c r="I123" s="357">
        <v>1383</v>
      </c>
      <c r="J123" s="357">
        <v>38.93</v>
      </c>
      <c r="K123" s="357">
        <v>175.18</v>
      </c>
      <c r="L123" s="5347"/>
    </row>
    <row r="124" spans="1:12" x14ac:dyDescent="0.2">
      <c r="A124" s="5362"/>
      <c r="B124" s="5363"/>
      <c r="C124" s="355" t="s">
        <v>498</v>
      </c>
      <c r="D124" s="357" t="s">
        <v>499</v>
      </c>
      <c r="E124" s="357">
        <v>7786.59</v>
      </c>
      <c r="F124" s="357">
        <v>133.93</v>
      </c>
      <c r="G124" s="5362"/>
      <c r="H124" s="5362"/>
      <c r="I124" s="357">
        <v>603</v>
      </c>
      <c r="J124" s="357">
        <v>0.43</v>
      </c>
      <c r="K124" s="357">
        <v>1.94</v>
      </c>
      <c r="L124" s="5347"/>
    </row>
    <row r="125" spans="1:12" ht="34.5" thickBot="1" x14ac:dyDescent="0.25">
      <c r="A125" s="5359"/>
      <c r="B125" s="5361"/>
      <c r="C125" s="353" t="s">
        <v>741</v>
      </c>
      <c r="D125" s="358"/>
      <c r="E125" s="358"/>
      <c r="F125" s="358"/>
      <c r="G125" s="5359"/>
      <c r="H125" s="5359"/>
      <c r="I125" s="358"/>
      <c r="J125" s="358"/>
      <c r="K125" s="358"/>
      <c r="L125" s="5347"/>
    </row>
    <row r="126" spans="1:12" x14ac:dyDescent="0.2">
      <c r="A126" s="5358">
        <v>7</v>
      </c>
      <c r="B126" s="5360" t="s">
        <v>500</v>
      </c>
      <c r="C126" s="355" t="s">
        <v>501</v>
      </c>
      <c r="D126" s="356">
        <v>3.4</v>
      </c>
      <c r="E126" s="357">
        <v>13649.9</v>
      </c>
      <c r="F126" s="357">
        <v>54.34</v>
      </c>
      <c r="G126" s="5358">
        <v>46410</v>
      </c>
      <c r="H126" s="5358">
        <v>25063</v>
      </c>
      <c r="I126" s="357">
        <v>185</v>
      </c>
      <c r="J126" s="357">
        <v>34.65</v>
      </c>
      <c r="K126" s="357">
        <v>117.81</v>
      </c>
      <c r="L126" s="5347"/>
    </row>
    <row r="127" spans="1:12" x14ac:dyDescent="0.2">
      <c r="A127" s="5362"/>
      <c r="B127" s="5363"/>
      <c r="C127" s="355" t="s">
        <v>498</v>
      </c>
      <c r="D127" s="357" t="s">
        <v>494</v>
      </c>
      <c r="E127" s="357">
        <v>7371.52</v>
      </c>
      <c r="F127" s="357">
        <v>0</v>
      </c>
      <c r="G127" s="5362"/>
      <c r="H127" s="5362"/>
      <c r="I127" s="357">
        <v>0</v>
      </c>
      <c r="J127" s="357">
        <v>0.06</v>
      </c>
      <c r="K127" s="357">
        <v>0.2</v>
      </c>
      <c r="L127" s="5347"/>
    </row>
    <row r="128" spans="1:12" ht="34.5" thickBot="1" x14ac:dyDescent="0.25">
      <c r="A128" s="5359"/>
      <c r="B128" s="5361"/>
      <c r="C128" s="353" t="s">
        <v>741</v>
      </c>
      <c r="D128" s="358"/>
      <c r="E128" s="358"/>
      <c r="F128" s="358"/>
      <c r="G128" s="5359"/>
      <c r="H128" s="5359"/>
      <c r="I128" s="358"/>
      <c r="J128" s="358"/>
      <c r="K128" s="358"/>
      <c r="L128" s="5347"/>
    </row>
    <row r="129" spans="1:12" ht="22.5" x14ac:dyDescent="0.2">
      <c r="A129" s="5358">
        <v>8</v>
      </c>
      <c r="B129" s="5360" t="s">
        <v>748</v>
      </c>
      <c r="C129" s="355" t="s">
        <v>749</v>
      </c>
      <c r="D129" s="356">
        <v>20</v>
      </c>
      <c r="E129" s="357">
        <v>1297.83</v>
      </c>
      <c r="F129" s="357">
        <v>27.64</v>
      </c>
      <c r="G129" s="5358">
        <v>25957</v>
      </c>
      <c r="H129" s="5358">
        <v>25404</v>
      </c>
      <c r="I129" s="357">
        <v>553</v>
      </c>
      <c r="J129" s="357">
        <v>6.58</v>
      </c>
      <c r="K129" s="357">
        <v>131.6</v>
      </c>
      <c r="L129" s="5347"/>
    </row>
    <row r="130" spans="1:12" ht="34.5" thickBot="1" x14ac:dyDescent="0.25">
      <c r="A130" s="5359"/>
      <c r="B130" s="5361"/>
      <c r="C130" s="353" t="s">
        <v>669</v>
      </c>
      <c r="D130" s="354" t="s">
        <v>750</v>
      </c>
      <c r="E130" s="354">
        <v>1270.19</v>
      </c>
      <c r="F130" s="354">
        <v>0</v>
      </c>
      <c r="G130" s="5359"/>
      <c r="H130" s="5359"/>
      <c r="I130" s="354">
        <v>0</v>
      </c>
      <c r="J130" s="354">
        <v>0</v>
      </c>
      <c r="K130" s="354">
        <v>0</v>
      </c>
      <c r="L130" s="5347"/>
    </row>
    <row r="131" spans="1:12" x14ac:dyDescent="0.2">
      <c r="A131" s="5358">
        <v>9</v>
      </c>
      <c r="B131" s="5360" t="s">
        <v>751</v>
      </c>
      <c r="C131" s="355" t="s">
        <v>752</v>
      </c>
      <c r="D131" s="356">
        <v>25</v>
      </c>
      <c r="E131" s="357">
        <v>336.26</v>
      </c>
      <c r="F131" s="357">
        <v>90.6</v>
      </c>
      <c r="G131" s="5358">
        <v>8406</v>
      </c>
      <c r="H131" s="5358">
        <v>6142</v>
      </c>
      <c r="I131" s="357">
        <v>2265</v>
      </c>
      <c r="J131" s="357">
        <v>1.1399999999999999</v>
      </c>
      <c r="K131" s="357">
        <v>28.5</v>
      </c>
      <c r="L131" s="5347"/>
    </row>
    <row r="132" spans="1:12" ht="34.5" thickBot="1" x14ac:dyDescent="0.25">
      <c r="A132" s="5359"/>
      <c r="B132" s="5361"/>
      <c r="C132" s="353" t="s">
        <v>669</v>
      </c>
      <c r="D132" s="354" t="s">
        <v>753</v>
      </c>
      <c r="E132" s="354">
        <v>245.66</v>
      </c>
      <c r="F132" s="354">
        <v>0</v>
      </c>
      <c r="G132" s="5359"/>
      <c r="H132" s="5359"/>
      <c r="I132" s="354">
        <v>0</v>
      </c>
      <c r="J132" s="354">
        <v>0.1</v>
      </c>
      <c r="K132" s="354">
        <v>2.5</v>
      </c>
      <c r="L132" s="5347"/>
    </row>
    <row r="133" spans="1:12" x14ac:dyDescent="0.2">
      <c r="A133" s="5358">
        <v>10</v>
      </c>
      <c r="B133" s="5360" t="s">
        <v>754</v>
      </c>
      <c r="C133" s="355" t="s">
        <v>755</v>
      </c>
      <c r="D133" s="356">
        <v>10</v>
      </c>
      <c r="E133" s="357">
        <v>491.39</v>
      </c>
      <c r="F133" s="357">
        <v>90.6</v>
      </c>
      <c r="G133" s="5358">
        <v>4914</v>
      </c>
      <c r="H133" s="5358">
        <v>4008</v>
      </c>
      <c r="I133" s="357">
        <v>906</v>
      </c>
      <c r="J133" s="357">
        <v>1.86</v>
      </c>
      <c r="K133" s="357">
        <v>18.600000000000001</v>
      </c>
      <c r="L133" s="5347"/>
    </row>
    <row r="134" spans="1:12" ht="34.5" thickBot="1" x14ac:dyDescent="0.25">
      <c r="A134" s="5359"/>
      <c r="B134" s="5361"/>
      <c r="C134" s="353" t="s">
        <v>669</v>
      </c>
      <c r="D134" s="354" t="s">
        <v>753</v>
      </c>
      <c r="E134" s="354">
        <v>400.79</v>
      </c>
      <c r="F134" s="354">
        <v>0</v>
      </c>
      <c r="G134" s="5359"/>
      <c r="H134" s="5359"/>
      <c r="I134" s="354">
        <v>0</v>
      </c>
      <c r="J134" s="354">
        <v>0.1</v>
      </c>
      <c r="K134" s="354">
        <v>1</v>
      </c>
      <c r="L134" s="5347"/>
    </row>
    <row r="135" spans="1:12" x14ac:dyDescent="0.2">
      <c r="A135" s="5358">
        <v>11</v>
      </c>
      <c r="B135" s="5360" t="s">
        <v>756</v>
      </c>
      <c r="C135" s="355" t="s">
        <v>757</v>
      </c>
      <c r="D135" s="356">
        <v>10</v>
      </c>
      <c r="E135" s="357">
        <v>1049.04</v>
      </c>
      <c r="F135" s="357">
        <v>521.05999999999995</v>
      </c>
      <c r="G135" s="5358">
        <v>10490</v>
      </c>
      <c r="H135" s="5358">
        <v>5280</v>
      </c>
      <c r="I135" s="357">
        <v>5211</v>
      </c>
      <c r="J135" s="357">
        <v>2.4500000000000002</v>
      </c>
      <c r="K135" s="357">
        <v>24.5</v>
      </c>
      <c r="L135" s="5347"/>
    </row>
    <row r="136" spans="1:12" ht="34.5" thickBot="1" x14ac:dyDescent="0.25">
      <c r="A136" s="5359"/>
      <c r="B136" s="5361"/>
      <c r="C136" s="353" t="s">
        <v>669</v>
      </c>
      <c r="D136" s="354" t="s">
        <v>753</v>
      </c>
      <c r="E136" s="354">
        <v>527.98</v>
      </c>
      <c r="F136" s="354">
        <v>124.7</v>
      </c>
      <c r="G136" s="5359"/>
      <c r="H136" s="5359"/>
      <c r="I136" s="354">
        <v>1247</v>
      </c>
      <c r="J136" s="354">
        <v>0.47</v>
      </c>
      <c r="K136" s="354">
        <v>4.7</v>
      </c>
      <c r="L136" s="5347"/>
    </row>
    <row r="137" spans="1:12" ht="22.5" x14ac:dyDescent="0.2">
      <c r="A137" s="5358">
        <v>12</v>
      </c>
      <c r="B137" s="5360" t="s">
        <v>454</v>
      </c>
      <c r="C137" s="355" t="s">
        <v>455</v>
      </c>
      <c r="D137" s="356">
        <v>10</v>
      </c>
      <c r="E137" s="357">
        <v>4803.8100000000004</v>
      </c>
      <c r="F137" s="357">
        <v>90.6</v>
      </c>
      <c r="G137" s="5358">
        <v>48038</v>
      </c>
      <c r="H137" s="5358">
        <v>9637</v>
      </c>
      <c r="I137" s="357">
        <v>906</v>
      </c>
      <c r="J137" s="357">
        <v>4.53</v>
      </c>
      <c r="K137" s="357">
        <v>45.3</v>
      </c>
      <c r="L137" s="5347"/>
    </row>
    <row r="138" spans="1:12" ht="34.5" thickBot="1" x14ac:dyDescent="0.25">
      <c r="A138" s="5359"/>
      <c r="B138" s="5361"/>
      <c r="C138" s="353" t="s">
        <v>669</v>
      </c>
      <c r="D138" s="354" t="s">
        <v>457</v>
      </c>
      <c r="E138" s="354">
        <v>963.68</v>
      </c>
      <c r="F138" s="354">
        <v>0</v>
      </c>
      <c r="G138" s="5359"/>
      <c r="H138" s="5359"/>
      <c r="I138" s="354">
        <v>0</v>
      </c>
      <c r="J138" s="354">
        <v>0.1</v>
      </c>
      <c r="K138" s="354">
        <v>1</v>
      </c>
      <c r="L138" s="5347"/>
    </row>
    <row r="139" spans="1:12" ht="22.5" x14ac:dyDescent="0.2">
      <c r="A139" s="5358">
        <v>13</v>
      </c>
      <c r="B139" s="5360" t="s">
        <v>458</v>
      </c>
      <c r="C139" s="355" t="s">
        <v>459</v>
      </c>
      <c r="D139" s="356">
        <v>6</v>
      </c>
      <c r="E139" s="357">
        <v>1472.01</v>
      </c>
      <c r="F139" s="357">
        <v>9.0399999999999991</v>
      </c>
      <c r="G139" s="5358">
        <v>8832</v>
      </c>
      <c r="H139" s="5358">
        <v>1339</v>
      </c>
      <c r="I139" s="357">
        <v>54</v>
      </c>
      <c r="J139" s="357">
        <v>1.01</v>
      </c>
      <c r="K139" s="357">
        <v>6.06</v>
      </c>
      <c r="L139" s="5347"/>
    </row>
    <row r="140" spans="1:12" ht="57" thickBot="1" x14ac:dyDescent="0.25">
      <c r="A140" s="5359"/>
      <c r="B140" s="5361"/>
      <c r="C140" s="353" t="s">
        <v>669</v>
      </c>
      <c r="D140" s="354" t="s">
        <v>460</v>
      </c>
      <c r="E140" s="354">
        <v>223.21</v>
      </c>
      <c r="F140" s="354">
        <v>0</v>
      </c>
      <c r="G140" s="5359"/>
      <c r="H140" s="5359"/>
      <c r="I140" s="354">
        <v>0</v>
      </c>
      <c r="J140" s="354">
        <v>0.01</v>
      </c>
      <c r="K140" s="354">
        <v>0.06</v>
      </c>
      <c r="L140" s="5347"/>
    </row>
    <row r="141" spans="1:12" ht="22.5" x14ac:dyDescent="0.2">
      <c r="A141" s="5358">
        <v>14</v>
      </c>
      <c r="B141" s="5360" t="s">
        <v>461</v>
      </c>
      <c r="C141" s="355" t="s">
        <v>462</v>
      </c>
      <c r="D141" s="356">
        <v>6</v>
      </c>
      <c r="E141" s="357">
        <v>2364.29</v>
      </c>
      <c r="F141" s="357">
        <v>27.22</v>
      </c>
      <c r="G141" s="5358">
        <v>14186</v>
      </c>
      <c r="H141" s="5358">
        <v>2215</v>
      </c>
      <c r="I141" s="357">
        <v>163</v>
      </c>
      <c r="J141" s="357">
        <v>1.67</v>
      </c>
      <c r="K141" s="357">
        <v>10.02</v>
      </c>
      <c r="L141" s="5347"/>
    </row>
    <row r="142" spans="1:12" ht="57" thickBot="1" x14ac:dyDescent="0.25">
      <c r="A142" s="5359"/>
      <c r="B142" s="5361"/>
      <c r="C142" s="353" t="s">
        <v>669</v>
      </c>
      <c r="D142" s="354" t="s">
        <v>460</v>
      </c>
      <c r="E142" s="354">
        <v>369.11</v>
      </c>
      <c r="F142" s="354">
        <v>0</v>
      </c>
      <c r="G142" s="5359"/>
      <c r="H142" s="5359"/>
      <c r="I142" s="354">
        <v>0</v>
      </c>
      <c r="J142" s="354">
        <v>0.03</v>
      </c>
      <c r="K142" s="354">
        <v>0.18</v>
      </c>
      <c r="L142" s="5347"/>
    </row>
    <row r="143" spans="1:12" ht="22.5" x14ac:dyDescent="0.2">
      <c r="A143" s="5358">
        <v>15</v>
      </c>
      <c r="B143" s="5360" t="s">
        <v>463</v>
      </c>
      <c r="C143" s="355" t="s">
        <v>464</v>
      </c>
      <c r="D143" s="356">
        <v>5</v>
      </c>
      <c r="E143" s="357">
        <v>2703.56</v>
      </c>
      <c r="F143" s="357">
        <v>27.22</v>
      </c>
      <c r="G143" s="5358">
        <v>13518</v>
      </c>
      <c r="H143" s="5358">
        <v>1878</v>
      </c>
      <c r="I143" s="357">
        <v>136</v>
      </c>
      <c r="J143" s="357">
        <v>1.7</v>
      </c>
      <c r="K143" s="357">
        <v>8.5</v>
      </c>
      <c r="L143" s="5347"/>
    </row>
    <row r="144" spans="1:12" ht="57" thickBot="1" x14ac:dyDescent="0.25">
      <c r="A144" s="5359"/>
      <c r="B144" s="5361"/>
      <c r="C144" s="353" t="s">
        <v>669</v>
      </c>
      <c r="D144" s="354" t="s">
        <v>460</v>
      </c>
      <c r="E144" s="354">
        <v>375.6</v>
      </c>
      <c r="F144" s="354">
        <v>0</v>
      </c>
      <c r="G144" s="5359"/>
      <c r="H144" s="5359"/>
      <c r="I144" s="354">
        <v>0</v>
      </c>
      <c r="J144" s="354">
        <v>0.03</v>
      </c>
      <c r="K144" s="354">
        <v>0.15</v>
      </c>
      <c r="L144" s="5347"/>
    </row>
    <row r="145" spans="1:12" ht="22.5" x14ac:dyDescent="0.2">
      <c r="A145" s="5358">
        <v>16</v>
      </c>
      <c r="B145" s="5360" t="s">
        <v>465</v>
      </c>
      <c r="C145" s="355" t="s">
        <v>466</v>
      </c>
      <c r="D145" s="356">
        <v>4</v>
      </c>
      <c r="E145" s="357">
        <v>4736.55</v>
      </c>
      <c r="F145" s="357">
        <v>63.38</v>
      </c>
      <c r="G145" s="5358">
        <v>18946</v>
      </c>
      <c r="H145" s="5358">
        <v>2515</v>
      </c>
      <c r="I145" s="357">
        <v>254</v>
      </c>
      <c r="J145" s="357">
        <v>2.78</v>
      </c>
      <c r="K145" s="357">
        <v>11.12</v>
      </c>
      <c r="L145" s="5347"/>
    </row>
    <row r="146" spans="1:12" ht="57" thickBot="1" x14ac:dyDescent="0.25">
      <c r="A146" s="5359"/>
      <c r="B146" s="5361"/>
      <c r="C146" s="353" t="s">
        <v>669</v>
      </c>
      <c r="D146" s="354" t="s">
        <v>460</v>
      </c>
      <c r="E146" s="354">
        <v>628.74</v>
      </c>
      <c r="F146" s="354">
        <v>0</v>
      </c>
      <c r="G146" s="5359"/>
      <c r="H146" s="5359"/>
      <c r="I146" s="354">
        <v>0</v>
      </c>
      <c r="J146" s="354">
        <v>7.0000000000000007E-2</v>
      </c>
      <c r="K146" s="354">
        <v>0.28000000000000003</v>
      </c>
      <c r="L146" s="5347"/>
    </row>
    <row r="147" spans="1:12" ht="22.5" x14ac:dyDescent="0.2">
      <c r="A147" s="5358">
        <v>17</v>
      </c>
      <c r="B147" s="5360" t="s">
        <v>467</v>
      </c>
      <c r="C147" s="355" t="s">
        <v>468</v>
      </c>
      <c r="D147" s="356">
        <v>4</v>
      </c>
      <c r="E147" s="357">
        <v>7296.17</v>
      </c>
      <c r="F147" s="357">
        <v>500.38</v>
      </c>
      <c r="G147" s="5358">
        <v>29185</v>
      </c>
      <c r="H147" s="5358">
        <v>3599</v>
      </c>
      <c r="I147" s="357">
        <v>2002</v>
      </c>
      <c r="J147" s="357">
        <v>3.93</v>
      </c>
      <c r="K147" s="357">
        <v>15.72</v>
      </c>
      <c r="L147" s="5347"/>
    </row>
    <row r="148" spans="1:12" ht="57" thickBot="1" x14ac:dyDescent="0.25">
      <c r="A148" s="5359"/>
      <c r="B148" s="5361"/>
      <c r="C148" s="353" t="s">
        <v>669</v>
      </c>
      <c r="D148" s="354" t="s">
        <v>460</v>
      </c>
      <c r="E148" s="354">
        <v>899.84</v>
      </c>
      <c r="F148" s="354">
        <v>89.04</v>
      </c>
      <c r="G148" s="5359"/>
      <c r="H148" s="5359"/>
      <c r="I148" s="354">
        <v>356</v>
      </c>
      <c r="J148" s="354">
        <v>0.36</v>
      </c>
      <c r="K148" s="354">
        <v>1.44</v>
      </c>
      <c r="L148" s="5347"/>
    </row>
    <row r="149" spans="1:12" ht="22.5" x14ac:dyDescent="0.2">
      <c r="A149" s="5358">
        <v>18</v>
      </c>
      <c r="B149" s="5360" t="s">
        <v>469</v>
      </c>
      <c r="C149" s="355" t="s">
        <v>470</v>
      </c>
      <c r="D149" s="356">
        <v>0.1</v>
      </c>
      <c r="E149" s="357">
        <v>127224.66</v>
      </c>
      <c r="F149" s="357">
        <v>36.26</v>
      </c>
      <c r="G149" s="5358">
        <v>12722</v>
      </c>
      <c r="H149" s="5358">
        <v>11222</v>
      </c>
      <c r="I149" s="357">
        <v>4</v>
      </c>
      <c r="J149" s="357">
        <v>520.79999999999995</v>
      </c>
      <c r="K149" s="357">
        <v>52.08</v>
      </c>
      <c r="L149" s="5347"/>
    </row>
    <row r="150" spans="1:12" ht="34.5" thickBot="1" x14ac:dyDescent="0.25">
      <c r="A150" s="5359"/>
      <c r="B150" s="5361"/>
      <c r="C150" s="353" t="s">
        <v>669</v>
      </c>
      <c r="D150" s="354" t="s">
        <v>471</v>
      </c>
      <c r="E150" s="354">
        <v>112222.52</v>
      </c>
      <c r="F150" s="354">
        <v>0</v>
      </c>
      <c r="G150" s="5359"/>
      <c r="H150" s="5359"/>
      <c r="I150" s="354">
        <v>0</v>
      </c>
      <c r="J150" s="354">
        <v>0.04</v>
      </c>
      <c r="K150" s="354">
        <v>0</v>
      </c>
      <c r="L150" s="5347"/>
    </row>
    <row r="151" spans="1:12" ht="22.5" x14ac:dyDescent="0.2">
      <c r="A151" s="5358">
        <v>19</v>
      </c>
      <c r="B151" s="5360" t="s">
        <v>472</v>
      </c>
      <c r="C151" s="355" t="s">
        <v>473</v>
      </c>
      <c r="D151" s="356">
        <v>0.06</v>
      </c>
      <c r="E151" s="357">
        <v>184530.95</v>
      </c>
      <c r="F151" s="357">
        <v>63.38</v>
      </c>
      <c r="G151" s="5358">
        <v>11072</v>
      </c>
      <c r="H151" s="5358">
        <v>9479</v>
      </c>
      <c r="I151" s="357">
        <v>4</v>
      </c>
      <c r="J151" s="357">
        <v>733.2</v>
      </c>
      <c r="K151" s="357">
        <v>43.99</v>
      </c>
      <c r="L151" s="5347"/>
    </row>
    <row r="152" spans="1:12" ht="34.5" thickBot="1" x14ac:dyDescent="0.25">
      <c r="A152" s="5359"/>
      <c r="B152" s="5361"/>
      <c r="C152" s="353" t="s">
        <v>669</v>
      </c>
      <c r="D152" s="354" t="s">
        <v>471</v>
      </c>
      <c r="E152" s="354">
        <v>157991.16</v>
      </c>
      <c r="F152" s="354">
        <v>0</v>
      </c>
      <c r="G152" s="5359"/>
      <c r="H152" s="5359"/>
      <c r="I152" s="354">
        <v>0</v>
      </c>
      <c r="J152" s="354">
        <v>7.0000000000000007E-2</v>
      </c>
      <c r="K152" s="354">
        <v>0</v>
      </c>
      <c r="L152" s="5347"/>
    </row>
    <row r="153" spans="1:12" ht="22.5" x14ac:dyDescent="0.2">
      <c r="A153" s="5358">
        <v>20</v>
      </c>
      <c r="B153" s="5360" t="s">
        <v>474</v>
      </c>
      <c r="C153" s="355" t="s">
        <v>475</v>
      </c>
      <c r="D153" s="356">
        <v>0.06</v>
      </c>
      <c r="E153" s="357">
        <v>249630.38</v>
      </c>
      <c r="F153" s="357">
        <v>81.56</v>
      </c>
      <c r="G153" s="5358">
        <v>14978</v>
      </c>
      <c r="H153" s="5358">
        <v>12766</v>
      </c>
      <c r="I153" s="357">
        <v>5</v>
      </c>
      <c r="J153" s="357">
        <v>987.4</v>
      </c>
      <c r="K153" s="357">
        <v>59.24</v>
      </c>
      <c r="L153" s="5347"/>
    </row>
    <row r="154" spans="1:12" ht="34.5" thickBot="1" x14ac:dyDescent="0.25">
      <c r="A154" s="5359"/>
      <c r="B154" s="5361"/>
      <c r="C154" s="353" t="s">
        <v>669</v>
      </c>
      <c r="D154" s="354" t="s">
        <v>471</v>
      </c>
      <c r="E154" s="354">
        <v>212766.63</v>
      </c>
      <c r="F154" s="354">
        <v>0</v>
      </c>
      <c r="G154" s="5359"/>
      <c r="H154" s="5359"/>
      <c r="I154" s="354">
        <v>0</v>
      </c>
      <c r="J154" s="354">
        <v>0.09</v>
      </c>
      <c r="K154" s="354">
        <v>0.01</v>
      </c>
      <c r="L154" s="5347"/>
    </row>
    <row r="155" spans="1:12" ht="13.5" thickBot="1" x14ac:dyDescent="0.25">
      <c r="A155" s="5348"/>
      <c r="B155" s="5349"/>
      <c r="C155" s="5349"/>
      <c r="D155" s="5349"/>
      <c r="E155" s="5349"/>
      <c r="F155" s="5349"/>
      <c r="G155" s="5349"/>
      <c r="H155" s="5349"/>
      <c r="I155" s="5349"/>
      <c r="J155" s="5349"/>
      <c r="K155" s="5350"/>
      <c r="L155" s="635"/>
    </row>
    <row r="156" spans="1:12" x14ac:dyDescent="0.2">
      <c r="A156" s="5351" t="s">
        <v>694</v>
      </c>
      <c r="B156" s="5352"/>
      <c r="C156" s="5352"/>
      <c r="D156" s="5352"/>
      <c r="E156" s="5352"/>
      <c r="F156" s="5354"/>
      <c r="G156" s="5354">
        <v>424248</v>
      </c>
      <c r="H156" s="5354">
        <v>197101</v>
      </c>
      <c r="I156" s="626">
        <v>46887</v>
      </c>
      <c r="J156" s="5354"/>
      <c r="K156" s="357">
        <v>950.91</v>
      </c>
      <c r="L156" s="5347"/>
    </row>
    <row r="157" spans="1:12" ht="13.5" thickBot="1" x14ac:dyDescent="0.25">
      <c r="A157" s="5353"/>
      <c r="B157" s="5346"/>
      <c r="C157" s="5346"/>
      <c r="D157" s="5346"/>
      <c r="E157" s="5346"/>
      <c r="F157" s="5355"/>
      <c r="G157" s="5355"/>
      <c r="H157" s="5355"/>
      <c r="I157" s="957">
        <v>26192</v>
      </c>
      <c r="J157" s="5355"/>
      <c r="K157" s="354">
        <v>108.11</v>
      </c>
      <c r="L157" s="5347"/>
    </row>
    <row r="158" spans="1:12" ht="26.25" thickBot="1" x14ac:dyDescent="0.25">
      <c r="A158" s="5356" t="s">
        <v>872</v>
      </c>
      <c r="B158" s="5357"/>
      <c r="C158" s="5357"/>
      <c r="D158" s="5357"/>
      <c r="E158" s="5357"/>
      <c r="F158" s="5357"/>
      <c r="G158" s="1400"/>
      <c r="H158" s="1400"/>
      <c r="I158" s="1569">
        <f>G156-H156-I156-I157</f>
        <v>154068</v>
      </c>
      <c r="J158" s="957"/>
      <c r="K158" s="354"/>
      <c r="L158" s="635"/>
    </row>
    <row r="159" spans="1:12" ht="13.5" thickBot="1" x14ac:dyDescent="0.25">
      <c r="A159" s="5348"/>
      <c r="B159" s="5349"/>
      <c r="C159" s="5349"/>
      <c r="D159" s="5349"/>
      <c r="E159" s="5349"/>
      <c r="F159" s="5349"/>
      <c r="G159" s="5349"/>
      <c r="H159" s="5349"/>
      <c r="I159" s="5349"/>
      <c r="J159" s="5349"/>
      <c r="K159" s="5350"/>
      <c r="L159" s="635"/>
    </row>
    <row r="160" spans="1:12" hidden="1" x14ac:dyDescent="0.2">
      <c r="A160" s="5351" t="s">
        <v>695</v>
      </c>
      <c r="B160" s="5352"/>
      <c r="C160" s="5352"/>
      <c r="D160" s="5352"/>
      <c r="E160" s="5352"/>
      <c r="F160" s="5354"/>
      <c r="G160" s="5354">
        <v>424248</v>
      </c>
      <c r="H160" s="5354">
        <v>197101</v>
      </c>
      <c r="I160" s="626">
        <v>46887</v>
      </c>
      <c r="J160" s="5354"/>
      <c r="K160" s="357">
        <v>950.91</v>
      </c>
      <c r="L160" s="5347"/>
    </row>
    <row r="161" spans="1:12" ht="13.5" hidden="1" thickBot="1" x14ac:dyDescent="0.25">
      <c r="A161" s="5353"/>
      <c r="B161" s="5346"/>
      <c r="C161" s="5346"/>
      <c r="D161" s="5346"/>
      <c r="E161" s="5346"/>
      <c r="F161" s="5355"/>
      <c r="G161" s="5355"/>
      <c r="H161" s="5355"/>
      <c r="I161" s="957">
        <v>26192</v>
      </c>
      <c r="J161" s="5355"/>
      <c r="K161" s="354">
        <v>108.11</v>
      </c>
      <c r="L161" s="5347"/>
    </row>
    <row r="162" spans="1:12" ht="13.5" hidden="1" thickBot="1" x14ac:dyDescent="0.25">
      <c r="A162" s="611"/>
      <c r="B162" s="612"/>
      <c r="C162" s="612"/>
      <c r="D162" s="612"/>
      <c r="E162" s="612"/>
      <c r="F162" s="612"/>
      <c r="G162" s="612"/>
      <c r="H162" s="612"/>
      <c r="I162" s="612"/>
      <c r="J162" s="612"/>
      <c r="K162" s="612"/>
      <c r="L162" s="635"/>
    </row>
    <row r="163" spans="1:12" hidden="1" x14ac:dyDescent="0.2">
      <c r="A163" s="628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619"/>
    </row>
    <row r="164" spans="1:12" hidden="1" x14ac:dyDescent="0.2">
      <c r="A164" s="628"/>
      <c r="B164" s="279"/>
      <c r="C164" s="5343" t="s">
        <v>696</v>
      </c>
      <c r="D164" s="5262"/>
      <c r="E164" s="5262"/>
      <c r="F164" s="5262"/>
      <c r="G164" s="5262"/>
      <c r="H164" s="5262"/>
      <c r="I164" s="5343" t="s">
        <v>697</v>
      </c>
      <c r="J164" s="5343" t="s">
        <v>698</v>
      </c>
      <c r="K164" s="961" t="s">
        <v>561</v>
      </c>
      <c r="L164" s="619"/>
    </row>
    <row r="165" spans="1:12" hidden="1" x14ac:dyDescent="0.2">
      <c r="A165" s="628"/>
      <c r="B165" s="279"/>
      <c r="C165" s="5343"/>
      <c r="D165" s="5262"/>
      <c r="E165" s="5262"/>
      <c r="F165" s="5262"/>
      <c r="G165" s="5262"/>
      <c r="H165" s="5262"/>
      <c r="I165" s="5343"/>
      <c r="J165" s="5343"/>
      <c r="K165" s="961" t="s">
        <v>699</v>
      </c>
      <c r="L165" s="619"/>
    </row>
    <row r="166" spans="1:12" ht="13.5" hidden="1" thickBot="1" x14ac:dyDescent="0.25">
      <c r="A166" s="628"/>
      <c r="B166" s="279"/>
      <c r="C166" s="963"/>
      <c r="D166" s="963"/>
      <c r="E166" s="963"/>
      <c r="F166" s="963"/>
      <c r="G166" s="279"/>
      <c r="H166" s="279"/>
      <c r="I166" s="963"/>
      <c r="J166" s="963"/>
      <c r="K166" s="963"/>
      <c r="L166" s="619"/>
    </row>
    <row r="167" spans="1:12" ht="13.5" hidden="1" thickBot="1" x14ac:dyDescent="0.25">
      <c r="A167" s="628"/>
      <c r="B167" s="279"/>
      <c r="C167" s="5343" t="s">
        <v>54</v>
      </c>
      <c r="D167" s="5262"/>
      <c r="E167" s="5262"/>
      <c r="F167" s="5262"/>
      <c r="G167" s="5262"/>
      <c r="H167" s="5262"/>
      <c r="I167" s="957"/>
      <c r="J167" s="957"/>
      <c r="K167" s="957" t="s">
        <v>758</v>
      </c>
      <c r="L167" s="619"/>
    </row>
    <row r="168" spans="1:12" ht="13.5" hidden="1" thickBot="1" x14ac:dyDescent="0.25">
      <c r="A168" s="628"/>
      <c r="B168" s="279"/>
      <c r="C168" s="5343" t="s">
        <v>705</v>
      </c>
      <c r="D168" s="5262"/>
      <c r="E168" s="5262"/>
      <c r="F168" s="5262"/>
      <c r="G168" s="5262"/>
      <c r="H168" s="5262"/>
      <c r="I168" s="957">
        <v>0.6</v>
      </c>
      <c r="J168" s="957">
        <v>71</v>
      </c>
      <c r="K168" s="957" t="s">
        <v>759</v>
      </c>
      <c r="L168" s="619"/>
    </row>
    <row r="169" spans="1:12" ht="13.5" hidden="1" thickBot="1" x14ac:dyDescent="0.25">
      <c r="A169" s="628"/>
      <c r="B169" s="279"/>
      <c r="C169" s="5343" t="s">
        <v>760</v>
      </c>
      <c r="D169" s="5262"/>
      <c r="E169" s="5262"/>
      <c r="F169" s="5262"/>
      <c r="G169" s="5262"/>
      <c r="H169" s="5262"/>
      <c r="I169" s="957">
        <v>0.6</v>
      </c>
      <c r="J169" s="957">
        <v>93</v>
      </c>
      <c r="K169" s="957" t="s">
        <v>761</v>
      </c>
      <c r="L169" s="619"/>
    </row>
    <row r="170" spans="1:12" ht="13.5" hidden="1" thickBot="1" x14ac:dyDescent="0.25">
      <c r="A170" s="628"/>
      <c r="B170" s="279"/>
      <c r="C170" s="5343" t="s">
        <v>709</v>
      </c>
      <c r="D170" s="5262"/>
      <c r="E170" s="5262"/>
      <c r="F170" s="5262"/>
      <c r="G170" s="5262"/>
      <c r="H170" s="5262"/>
      <c r="I170" s="957">
        <v>0.6</v>
      </c>
      <c r="J170" s="957">
        <v>92</v>
      </c>
      <c r="K170" s="957" t="s">
        <v>762</v>
      </c>
      <c r="L170" s="619"/>
    </row>
    <row r="171" spans="1:12" ht="13.5" hidden="1" thickBot="1" x14ac:dyDescent="0.25">
      <c r="A171" s="628"/>
      <c r="B171" s="279"/>
      <c r="C171" s="5343" t="s">
        <v>707</v>
      </c>
      <c r="D171" s="5262"/>
      <c r="E171" s="5262"/>
      <c r="F171" s="5262"/>
      <c r="G171" s="5262"/>
      <c r="H171" s="5262"/>
      <c r="I171" s="957">
        <v>0.6</v>
      </c>
      <c r="J171" s="957">
        <v>116</v>
      </c>
      <c r="K171" s="957" t="s">
        <v>763</v>
      </c>
      <c r="L171" s="619"/>
    </row>
    <row r="172" spans="1:12" ht="13.5" hidden="1" thickBot="1" x14ac:dyDescent="0.25">
      <c r="A172" s="628"/>
      <c r="B172" s="279"/>
      <c r="C172" s="5343" t="s">
        <v>764</v>
      </c>
      <c r="D172" s="5262"/>
      <c r="E172" s="5262"/>
      <c r="F172" s="5262"/>
      <c r="G172" s="5262"/>
      <c r="H172" s="5262"/>
      <c r="I172" s="957">
        <v>0.6</v>
      </c>
      <c r="J172" s="957">
        <v>77</v>
      </c>
      <c r="K172" s="957" t="s">
        <v>765</v>
      </c>
      <c r="L172" s="619"/>
    </row>
    <row r="173" spans="1:12" ht="13.5" hidden="1" thickBot="1" x14ac:dyDescent="0.25">
      <c r="A173" s="628"/>
      <c r="B173" s="279"/>
      <c r="C173" s="5343" t="s">
        <v>766</v>
      </c>
      <c r="D173" s="5262"/>
      <c r="E173" s="5262"/>
      <c r="F173" s="5262"/>
      <c r="G173" s="5262"/>
      <c r="H173" s="5262"/>
      <c r="I173" s="957">
        <v>0.6</v>
      </c>
      <c r="J173" s="957">
        <v>83</v>
      </c>
      <c r="K173" s="957" t="s">
        <v>767</v>
      </c>
      <c r="L173" s="619"/>
    </row>
    <row r="174" spans="1:12" ht="13.5" hidden="1" thickBot="1" x14ac:dyDescent="0.25">
      <c r="A174" s="628"/>
      <c r="B174" s="279"/>
      <c r="C174" s="5343" t="s">
        <v>768</v>
      </c>
      <c r="D174" s="5262"/>
      <c r="E174" s="5262"/>
      <c r="F174" s="5262"/>
      <c r="G174" s="5262"/>
      <c r="H174" s="5262"/>
      <c r="I174" s="957">
        <v>0.7</v>
      </c>
      <c r="J174" s="957">
        <v>66</v>
      </c>
      <c r="K174" s="957" t="s">
        <v>769</v>
      </c>
      <c r="L174" s="619"/>
    </row>
    <row r="175" spans="1:12" ht="13.5" hidden="1" thickBot="1" x14ac:dyDescent="0.25">
      <c r="A175" s="628"/>
      <c r="B175" s="279"/>
      <c r="C175" s="5343" t="s">
        <v>770</v>
      </c>
      <c r="D175" s="5262"/>
      <c r="E175" s="5262"/>
      <c r="F175" s="5262"/>
      <c r="G175" s="5262"/>
      <c r="H175" s="5262"/>
      <c r="I175" s="957">
        <v>0.6</v>
      </c>
      <c r="J175" s="957">
        <v>92</v>
      </c>
      <c r="K175" s="957" t="s">
        <v>771</v>
      </c>
      <c r="L175" s="619"/>
    </row>
    <row r="176" spans="1:12" ht="13.5" hidden="1" thickBot="1" x14ac:dyDescent="0.25">
      <c r="A176" s="628"/>
      <c r="B176" s="279"/>
      <c r="C176" s="5343" t="s">
        <v>711</v>
      </c>
      <c r="D176" s="5262"/>
      <c r="E176" s="5262"/>
      <c r="F176" s="5262"/>
      <c r="G176" s="5262"/>
      <c r="H176" s="5262"/>
      <c r="I176" s="957"/>
      <c r="J176" s="957"/>
      <c r="K176" s="957" t="s">
        <v>772</v>
      </c>
      <c r="L176" s="619"/>
    </row>
    <row r="177" spans="1:12" ht="13.5" hidden="1" thickBot="1" x14ac:dyDescent="0.25">
      <c r="A177" s="628"/>
      <c r="B177" s="279"/>
      <c r="C177" s="5343" t="s">
        <v>54</v>
      </c>
      <c r="D177" s="5262"/>
      <c r="E177" s="5262"/>
      <c r="F177" s="5262"/>
      <c r="G177" s="5262"/>
      <c r="H177" s="5262"/>
      <c r="I177" s="957"/>
      <c r="J177" s="957"/>
      <c r="K177" s="957" t="s">
        <v>773</v>
      </c>
      <c r="L177" s="619"/>
    </row>
    <row r="178" spans="1:12" ht="13.5" hidden="1" thickBot="1" x14ac:dyDescent="0.25">
      <c r="A178" s="628"/>
      <c r="B178" s="279"/>
      <c r="C178" s="5343" t="s">
        <v>718</v>
      </c>
      <c r="D178" s="5262"/>
      <c r="E178" s="5262"/>
      <c r="F178" s="5262"/>
      <c r="G178" s="5262"/>
      <c r="H178" s="5262"/>
      <c r="I178" s="957"/>
      <c r="J178" s="957">
        <v>36</v>
      </c>
      <c r="K178" s="957" t="s">
        <v>774</v>
      </c>
      <c r="L178" s="619"/>
    </row>
    <row r="179" spans="1:12" ht="13.5" hidden="1" thickBot="1" x14ac:dyDescent="0.25">
      <c r="A179" s="628"/>
      <c r="B179" s="279"/>
      <c r="C179" s="5343" t="s">
        <v>775</v>
      </c>
      <c r="D179" s="5262"/>
      <c r="E179" s="5262"/>
      <c r="F179" s="5262"/>
      <c r="G179" s="5262"/>
      <c r="H179" s="5262"/>
      <c r="I179" s="957"/>
      <c r="J179" s="957">
        <v>48</v>
      </c>
      <c r="K179" s="957" t="s">
        <v>776</v>
      </c>
      <c r="L179" s="619"/>
    </row>
    <row r="180" spans="1:12" ht="13.5" hidden="1" thickBot="1" x14ac:dyDescent="0.25">
      <c r="A180" s="628"/>
      <c r="B180" s="279"/>
      <c r="C180" s="5343" t="s">
        <v>722</v>
      </c>
      <c r="D180" s="5262"/>
      <c r="E180" s="5262"/>
      <c r="F180" s="5262"/>
      <c r="G180" s="5262"/>
      <c r="H180" s="5262"/>
      <c r="I180" s="957"/>
      <c r="J180" s="957">
        <v>54</v>
      </c>
      <c r="K180" s="957" t="s">
        <v>777</v>
      </c>
      <c r="L180" s="619"/>
    </row>
    <row r="181" spans="1:12" ht="13.5" hidden="1" thickBot="1" x14ac:dyDescent="0.25">
      <c r="A181" s="628"/>
      <c r="B181" s="279"/>
      <c r="C181" s="5343" t="s">
        <v>720</v>
      </c>
      <c r="D181" s="5262"/>
      <c r="E181" s="5262"/>
      <c r="F181" s="5262"/>
      <c r="G181" s="5262"/>
      <c r="H181" s="5262"/>
      <c r="I181" s="957"/>
      <c r="J181" s="957">
        <v>61</v>
      </c>
      <c r="K181" s="957" t="s">
        <v>778</v>
      </c>
      <c r="L181" s="619"/>
    </row>
    <row r="182" spans="1:12" ht="13.5" hidden="1" thickBot="1" x14ac:dyDescent="0.25">
      <c r="A182" s="628"/>
      <c r="B182" s="279"/>
      <c r="C182" s="5343" t="s">
        <v>779</v>
      </c>
      <c r="D182" s="5262"/>
      <c r="E182" s="5262"/>
      <c r="F182" s="5262"/>
      <c r="G182" s="5262"/>
      <c r="H182" s="5262"/>
      <c r="I182" s="957"/>
      <c r="J182" s="957">
        <v>56</v>
      </c>
      <c r="K182" s="957" t="s">
        <v>780</v>
      </c>
      <c r="L182" s="619"/>
    </row>
    <row r="183" spans="1:12" ht="13.5" hidden="1" thickBot="1" x14ac:dyDescent="0.25">
      <c r="A183" s="628"/>
      <c r="B183" s="279"/>
      <c r="C183" s="5343" t="s">
        <v>781</v>
      </c>
      <c r="D183" s="5262"/>
      <c r="E183" s="5262"/>
      <c r="F183" s="5262"/>
      <c r="G183" s="5262"/>
      <c r="H183" s="5262"/>
      <c r="I183" s="957"/>
      <c r="J183" s="957">
        <v>60</v>
      </c>
      <c r="K183" s="957" t="s">
        <v>782</v>
      </c>
      <c r="L183" s="619"/>
    </row>
    <row r="184" spans="1:12" ht="13.5" hidden="1" thickBot="1" x14ac:dyDescent="0.25">
      <c r="A184" s="628"/>
      <c r="B184" s="279"/>
      <c r="C184" s="5343" t="s">
        <v>783</v>
      </c>
      <c r="D184" s="5262"/>
      <c r="E184" s="5262"/>
      <c r="F184" s="5262"/>
      <c r="G184" s="5262"/>
      <c r="H184" s="5262"/>
      <c r="I184" s="957"/>
      <c r="J184" s="957">
        <v>40</v>
      </c>
      <c r="K184" s="957" t="s">
        <v>784</v>
      </c>
      <c r="L184" s="619"/>
    </row>
    <row r="185" spans="1:12" ht="13.5" hidden="1" thickBot="1" x14ac:dyDescent="0.25">
      <c r="A185" s="628"/>
      <c r="B185" s="279"/>
      <c r="C185" s="5343" t="s">
        <v>720</v>
      </c>
      <c r="D185" s="5262"/>
      <c r="E185" s="5262"/>
      <c r="F185" s="5262"/>
      <c r="G185" s="5262"/>
      <c r="H185" s="5262"/>
      <c r="I185" s="957"/>
      <c r="J185" s="957">
        <v>71</v>
      </c>
      <c r="K185" s="957" t="s">
        <v>785</v>
      </c>
      <c r="L185" s="619"/>
    </row>
    <row r="186" spans="1:12" ht="13.5" hidden="1" thickBot="1" x14ac:dyDescent="0.25">
      <c r="A186" s="628"/>
      <c r="B186" s="279"/>
      <c r="C186" s="5343" t="s">
        <v>786</v>
      </c>
      <c r="D186" s="5262"/>
      <c r="E186" s="5262"/>
      <c r="F186" s="5262"/>
      <c r="G186" s="5262"/>
      <c r="H186" s="5262"/>
      <c r="I186" s="957"/>
      <c r="J186" s="957">
        <v>48</v>
      </c>
      <c r="K186" s="957" t="s">
        <v>787</v>
      </c>
      <c r="L186" s="619"/>
    </row>
    <row r="187" spans="1:12" ht="13.5" hidden="1" thickBot="1" x14ac:dyDescent="0.25">
      <c r="A187" s="628"/>
      <c r="B187" s="279"/>
      <c r="C187" s="5343" t="s">
        <v>724</v>
      </c>
      <c r="D187" s="5262"/>
      <c r="E187" s="5262"/>
      <c r="F187" s="5262"/>
      <c r="G187" s="5262"/>
      <c r="H187" s="5262"/>
      <c r="I187" s="957"/>
      <c r="J187" s="957"/>
      <c r="K187" s="957" t="s">
        <v>788</v>
      </c>
      <c r="L187" s="619"/>
    </row>
    <row r="188" spans="1:12" ht="13.5" hidden="1" thickBot="1" x14ac:dyDescent="0.25">
      <c r="A188" s="628"/>
      <c r="B188" s="279"/>
      <c r="C188" s="5343" t="s">
        <v>54</v>
      </c>
      <c r="D188" s="5262"/>
      <c r="E188" s="5262"/>
      <c r="F188" s="5262"/>
      <c r="G188" s="5262"/>
      <c r="H188" s="5262"/>
      <c r="I188" s="957"/>
      <c r="J188" s="957"/>
      <c r="K188" s="957" t="s">
        <v>789</v>
      </c>
      <c r="L188" s="619"/>
    </row>
    <row r="189" spans="1:12" ht="13.5" hidden="1" thickBot="1" x14ac:dyDescent="0.25">
      <c r="A189" s="628"/>
      <c r="B189" s="279"/>
      <c r="C189" s="5343" t="s">
        <v>282</v>
      </c>
      <c r="D189" s="5262"/>
      <c r="E189" s="5262"/>
      <c r="F189" s="5262"/>
      <c r="G189" s="5262"/>
      <c r="H189" s="5262"/>
      <c r="I189" s="957"/>
      <c r="J189" s="957"/>
      <c r="K189" s="957" t="s">
        <v>789</v>
      </c>
      <c r="L189" s="619"/>
    </row>
    <row r="190" spans="1:12" ht="13.5" hidden="1" thickBot="1" x14ac:dyDescent="0.25">
      <c r="A190" s="628"/>
      <c r="B190" s="279"/>
      <c r="C190" s="5343" t="s">
        <v>727</v>
      </c>
      <c r="D190" s="5262"/>
      <c r="E190" s="5262"/>
      <c r="F190" s="5262"/>
      <c r="G190" s="5262"/>
      <c r="H190" s="5262"/>
      <c r="I190" s="957"/>
      <c r="J190" s="957">
        <v>18</v>
      </c>
      <c r="K190" s="957" t="s">
        <v>790</v>
      </c>
      <c r="L190" s="619"/>
    </row>
    <row r="191" spans="1:12" ht="13.5" hidden="1" thickBot="1" x14ac:dyDescent="0.25">
      <c r="A191" s="628"/>
      <c r="B191" s="279"/>
      <c r="C191" s="5343" t="s">
        <v>282</v>
      </c>
      <c r="D191" s="5262"/>
      <c r="E191" s="5262"/>
      <c r="F191" s="5262"/>
      <c r="G191" s="5262"/>
      <c r="H191" s="5262"/>
      <c r="I191" s="957"/>
      <c r="J191" s="957"/>
      <c r="K191" s="957" t="s">
        <v>734</v>
      </c>
      <c r="L191" s="619"/>
    </row>
    <row r="192" spans="1:12" ht="13.5" hidden="1" thickBot="1" x14ac:dyDescent="0.25">
      <c r="A192" s="615"/>
      <c r="B192" s="614"/>
      <c r="C192" s="5346" t="s">
        <v>729</v>
      </c>
      <c r="D192" s="4243"/>
      <c r="E192" s="4243"/>
      <c r="F192" s="4243"/>
      <c r="G192" s="4243"/>
      <c r="H192" s="4243"/>
      <c r="I192" s="957"/>
      <c r="J192" s="957"/>
      <c r="K192" s="957" t="s">
        <v>734</v>
      </c>
      <c r="L192" s="610"/>
    </row>
    <row r="193" spans="1:12" ht="15.75" hidden="1" x14ac:dyDescent="0.25">
      <c r="C193" s="613"/>
      <c r="D193" s="613"/>
      <c r="E193" s="613"/>
      <c r="F193" s="613"/>
      <c r="K193" s="638">
        <v>772319</v>
      </c>
    </row>
    <row r="194" spans="1:12" ht="15.75" x14ac:dyDescent="0.25">
      <c r="A194" s="639" t="s">
        <v>873</v>
      </c>
      <c r="B194" s="639"/>
      <c r="C194" s="639"/>
      <c r="D194" s="639"/>
      <c r="E194" s="639"/>
      <c r="F194" s="639"/>
      <c r="G194" s="639"/>
      <c r="H194" s="639"/>
      <c r="I194" s="5342">
        <f>SUM(K82+K193)</f>
        <v>1593616</v>
      </c>
      <c r="J194" s="5342"/>
      <c r="K194" s="5342"/>
      <c r="L194" s="639"/>
    </row>
    <row r="196" spans="1:12" ht="13.5" thickBot="1" x14ac:dyDescent="0.25"/>
    <row r="197" spans="1:12" ht="27" thickBot="1" x14ac:dyDescent="0.45">
      <c r="A197" s="5344" t="s">
        <v>874</v>
      </c>
      <c r="B197" s="5345"/>
      <c r="C197" s="5345"/>
      <c r="D197" s="5345"/>
      <c r="E197" s="5345"/>
      <c r="F197" s="5345"/>
      <c r="G197" s="1570"/>
      <c r="H197" s="1570"/>
      <c r="I197" s="1571">
        <f>I158+I55</f>
        <v>256133</v>
      </c>
      <c r="J197" s="1398"/>
      <c r="K197" s="1398"/>
      <c r="L197" s="1398"/>
    </row>
  </sheetData>
  <mergeCells count="277"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1"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1504</v>
      </c>
    </row>
    <row r="2" spans="1:11" ht="18.75" x14ac:dyDescent="0.3">
      <c r="A2" s="5387" t="s">
        <v>792</v>
      </c>
      <c r="B2" s="5388"/>
      <c r="C2" s="5388"/>
      <c r="D2" s="5388"/>
      <c r="E2" s="5388"/>
      <c r="F2" s="5388"/>
      <c r="G2" s="5388"/>
      <c r="H2" s="5388"/>
      <c r="I2" s="5388"/>
      <c r="J2" s="5388"/>
      <c r="K2" s="5393"/>
    </row>
    <row r="3" spans="1:11" ht="13.5" x14ac:dyDescent="0.25">
      <c r="A3" s="5389" t="s">
        <v>653</v>
      </c>
      <c r="B3" s="5262"/>
      <c r="C3" s="5262"/>
      <c r="D3" s="5262"/>
      <c r="E3" s="5262"/>
      <c r="F3" s="5262"/>
      <c r="G3" s="5262"/>
      <c r="H3" s="5262"/>
      <c r="I3" s="5262"/>
      <c r="J3" s="5262"/>
      <c r="K3" s="5263"/>
    </row>
    <row r="4" spans="1:11" ht="18.75" x14ac:dyDescent="0.3">
      <c r="A4" s="618"/>
      <c r="B4" s="279"/>
      <c r="C4" s="279"/>
      <c r="D4" s="279"/>
      <c r="E4" s="279"/>
      <c r="F4" s="279"/>
      <c r="G4" s="279"/>
      <c r="H4" s="279"/>
      <c r="I4" s="279"/>
      <c r="J4" s="279"/>
      <c r="K4" s="619"/>
    </row>
    <row r="5" spans="1:11" ht="18.75" x14ac:dyDescent="0.3">
      <c r="A5" s="5390" t="s">
        <v>793</v>
      </c>
      <c r="B5" s="5262"/>
      <c r="C5" s="5262"/>
      <c r="D5" s="5262"/>
      <c r="E5" s="5262"/>
      <c r="F5" s="5262"/>
      <c r="G5" s="5262"/>
      <c r="H5" s="5262"/>
      <c r="I5" s="5262"/>
      <c r="J5" s="5262"/>
      <c r="K5" s="5263"/>
    </row>
    <row r="6" spans="1:11" ht="18" x14ac:dyDescent="0.25">
      <c r="A6" s="620" t="s">
        <v>655</v>
      </c>
      <c r="B6" s="279"/>
      <c r="C6" s="279"/>
      <c r="D6" s="279"/>
      <c r="E6" s="279"/>
      <c r="F6" s="279"/>
      <c r="G6" s="279"/>
      <c r="H6" s="279"/>
      <c r="I6" s="279"/>
      <c r="J6" s="279"/>
      <c r="K6" s="619"/>
    </row>
    <row r="7" spans="1:11" ht="15" x14ac:dyDescent="0.2">
      <c r="A7" s="5378" t="s">
        <v>489</v>
      </c>
      <c r="B7" s="5262"/>
      <c r="C7" s="5262"/>
      <c r="D7" s="5262"/>
      <c r="E7" s="5262"/>
      <c r="F7" s="5262"/>
      <c r="G7" s="5262"/>
      <c r="H7" s="5262"/>
      <c r="I7" s="5262"/>
      <c r="J7" s="5262"/>
      <c r="K7" s="5263"/>
    </row>
    <row r="8" spans="1:11" ht="18.75" x14ac:dyDescent="0.3">
      <c r="A8" s="960"/>
      <c r="B8" s="279"/>
      <c r="C8" s="279"/>
      <c r="D8" s="279"/>
      <c r="E8" s="279"/>
      <c r="F8" s="279"/>
      <c r="G8" s="279"/>
      <c r="H8" s="279"/>
      <c r="I8" s="279"/>
      <c r="J8" s="279"/>
      <c r="K8" s="619"/>
    </row>
    <row r="9" spans="1:11" x14ac:dyDescent="0.2">
      <c r="A9" s="5375" t="s">
        <v>656</v>
      </c>
      <c r="B9" s="5262"/>
      <c r="C9" s="5262"/>
      <c r="D9" s="5262"/>
      <c r="E9" s="5262"/>
      <c r="F9" s="5262"/>
      <c r="G9" s="5262"/>
      <c r="H9" s="5262"/>
      <c r="I9" s="5262"/>
      <c r="J9" s="5262"/>
      <c r="K9" s="5263"/>
    </row>
    <row r="10" spans="1:11" ht="13.5" x14ac:dyDescent="0.2">
      <c r="A10" s="962"/>
      <c r="B10" s="634"/>
      <c r="C10" s="279"/>
      <c r="D10" s="279"/>
      <c r="E10" s="279"/>
      <c r="F10" s="279"/>
      <c r="G10" s="279"/>
      <c r="H10" s="279"/>
      <c r="I10" s="279"/>
      <c r="J10" s="279"/>
      <c r="K10" s="619"/>
    </row>
    <row r="11" spans="1:11" x14ac:dyDescent="0.2">
      <c r="A11" s="5375" t="s">
        <v>657</v>
      </c>
      <c r="B11" s="5262"/>
      <c r="C11" s="5262"/>
      <c r="D11" s="5377" t="s">
        <v>794</v>
      </c>
      <c r="E11" s="5262"/>
      <c r="F11" s="5262"/>
      <c r="G11" s="5262"/>
      <c r="H11" s="5262"/>
      <c r="I11" s="5262"/>
      <c r="J11" s="5262"/>
      <c r="K11" s="5263"/>
    </row>
    <row r="12" spans="1:11" ht="18.75" x14ac:dyDescent="0.3">
      <c r="A12" s="960"/>
      <c r="B12" s="279"/>
      <c r="C12" s="279"/>
      <c r="D12" s="279"/>
      <c r="E12" s="279"/>
      <c r="F12" s="279"/>
      <c r="G12" s="279"/>
      <c r="H12" s="279"/>
      <c r="I12" s="279"/>
      <c r="J12" s="279"/>
      <c r="K12" s="619"/>
    </row>
    <row r="13" spans="1:11" ht="12.75" customHeight="1" x14ac:dyDescent="0.2">
      <c r="A13" s="5384" t="s">
        <v>659</v>
      </c>
      <c r="B13" s="5262"/>
      <c r="C13" s="5262"/>
      <c r="D13" s="5262"/>
      <c r="E13" s="5262"/>
      <c r="F13" s="5262"/>
      <c r="G13" s="5385" t="s">
        <v>795</v>
      </c>
      <c r="H13" s="5386" t="s">
        <v>661</v>
      </c>
      <c r="I13" s="279"/>
      <c r="J13" s="279"/>
      <c r="K13" s="619"/>
    </row>
    <row r="14" spans="1:11" x14ac:dyDescent="0.2">
      <c r="A14" s="5384"/>
      <c r="B14" s="5262"/>
      <c r="C14" s="5262"/>
      <c r="D14" s="5262"/>
      <c r="E14" s="5262"/>
      <c r="F14" s="5262"/>
      <c r="G14" s="5385"/>
      <c r="H14" s="5386"/>
      <c r="I14" s="279"/>
      <c r="J14" s="279"/>
      <c r="K14" s="619"/>
    </row>
    <row r="15" spans="1:11" ht="15" customHeight="1" x14ac:dyDescent="0.2">
      <c r="A15" s="5375" t="s">
        <v>662</v>
      </c>
      <c r="B15" s="5262"/>
      <c r="C15" s="5262"/>
      <c r="D15" s="5262"/>
      <c r="E15" s="5262"/>
      <c r="F15" s="5262"/>
      <c r="G15" s="5376">
        <v>854</v>
      </c>
      <c r="H15" s="5377" t="s">
        <v>663</v>
      </c>
      <c r="I15" s="279"/>
      <c r="J15" s="279"/>
      <c r="K15" s="619"/>
    </row>
    <row r="16" spans="1:11" x14ac:dyDescent="0.2">
      <c r="A16" s="5375"/>
      <c r="B16" s="5262"/>
      <c r="C16" s="5262"/>
      <c r="D16" s="5262"/>
      <c r="E16" s="5262"/>
      <c r="F16" s="5262"/>
      <c r="G16" s="5376"/>
      <c r="H16" s="5377"/>
      <c r="I16" s="279"/>
      <c r="J16" s="279"/>
      <c r="K16" s="619"/>
    </row>
    <row r="17" spans="1:11" ht="13.5" customHeight="1" x14ac:dyDescent="0.2">
      <c r="A17" s="5375" t="s">
        <v>664</v>
      </c>
      <c r="B17" s="5262"/>
      <c r="C17" s="5262"/>
      <c r="D17" s="5262"/>
      <c r="E17" s="5262"/>
      <c r="F17" s="5262"/>
      <c r="G17" s="5376" t="s">
        <v>796</v>
      </c>
      <c r="H17" s="5377" t="s">
        <v>661</v>
      </c>
      <c r="I17" s="279"/>
      <c r="J17" s="279"/>
      <c r="K17" s="619"/>
    </row>
    <row r="18" spans="1:11" ht="3.75" customHeight="1" x14ac:dyDescent="0.2">
      <c r="A18" s="5375"/>
      <c r="B18" s="5262"/>
      <c r="C18" s="5262"/>
      <c r="D18" s="5262"/>
      <c r="E18" s="5262"/>
      <c r="F18" s="5262"/>
      <c r="G18" s="5376"/>
      <c r="H18" s="5377"/>
      <c r="I18" s="279"/>
      <c r="J18" s="279"/>
      <c r="K18" s="619"/>
    </row>
    <row r="19" spans="1:11" ht="19.5" thickBot="1" x14ac:dyDescent="0.35">
      <c r="A19" s="641" t="s">
        <v>241</v>
      </c>
      <c r="B19" s="279"/>
      <c r="C19" s="279"/>
      <c r="D19" s="279"/>
      <c r="E19" s="279"/>
      <c r="F19" s="279"/>
      <c r="G19" s="279"/>
      <c r="H19" s="279"/>
      <c r="I19" s="279"/>
      <c r="J19" s="279"/>
      <c r="K19" s="619"/>
    </row>
    <row r="20" spans="1:11" ht="13.5" thickBot="1" x14ac:dyDescent="0.25">
      <c r="A20" s="954" t="s">
        <v>166</v>
      </c>
      <c r="B20" s="954" t="s">
        <v>439</v>
      </c>
      <c r="C20" s="954" t="s">
        <v>358</v>
      </c>
      <c r="D20" s="337"/>
      <c r="E20" s="5365" t="s">
        <v>440</v>
      </c>
      <c r="F20" s="5366"/>
      <c r="G20" s="5365" t="s">
        <v>441</v>
      </c>
      <c r="H20" s="5367"/>
      <c r="I20" s="5366"/>
      <c r="J20" s="5368" t="s">
        <v>442</v>
      </c>
      <c r="K20" s="5369"/>
    </row>
    <row r="21" spans="1:11" ht="13.5" thickBot="1" x14ac:dyDescent="0.25">
      <c r="A21" s="340" t="s">
        <v>443</v>
      </c>
      <c r="B21" s="340" t="s">
        <v>444</v>
      </c>
      <c r="C21" s="340" t="s">
        <v>445</v>
      </c>
      <c r="D21" s="341" t="s">
        <v>446</v>
      </c>
      <c r="E21" s="953" t="s">
        <v>447</v>
      </c>
      <c r="F21" s="956" t="s">
        <v>448</v>
      </c>
      <c r="G21" s="340" t="s">
        <v>447</v>
      </c>
      <c r="H21" s="341" t="s">
        <v>449</v>
      </c>
      <c r="I21" s="343" t="s">
        <v>448</v>
      </c>
      <c r="J21" s="5370" t="s">
        <v>450</v>
      </c>
      <c r="K21" s="5371"/>
    </row>
    <row r="22" spans="1:11" ht="13.5" thickBot="1" x14ac:dyDescent="0.25">
      <c r="A22" s="952"/>
      <c r="B22" s="952" t="s">
        <v>451</v>
      </c>
      <c r="C22" s="952"/>
      <c r="D22" s="345"/>
      <c r="E22" s="953" t="s">
        <v>449</v>
      </c>
      <c r="F22" s="343" t="s">
        <v>452</v>
      </c>
      <c r="G22" s="955"/>
      <c r="H22" s="346"/>
      <c r="I22" s="343" t="s">
        <v>452</v>
      </c>
      <c r="J22" s="952" t="s">
        <v>453</v>
      </c>
      <c r="K22" s="345" t="s">
        <v>447</v>
      </c>
    </row>
    <row r="23" spans="1:11" ht="13.5" thickBot="1" x14ac:dyDescent="0.25">
      <c r="A23" s="625"/>
      <c r="B23" s="279"/>
      <c r="C23" s="279"/>
      <c r="D23" s="279"/>
      <c r="E23" s="279"/>
      <c r="F23" s="279"/>
      <c r="G23" s="279"/>
      <c r="H23" s="279"/>
      <c r="I23" s="279"/>
      <c r="J23" s="279"/>
      <c r="K23" s="619"/>
    </row>
    <row r="24" spans="1:11" ht="13.5" thickBot="1" x14ac:dyDescent="0.25">
      <c r="A24" s="348">
        <v>1</v>
      </c>
      <c r="B24" s="349">
        <v>2</v>
      </c>
      <c r="C24" s="349">
        <v>3</v>
      </c>
      <c r="D24" s="349">
        <v>4</v>
      </c>
      <c r="E24" s="349">
        <v>5</v>
      </c>
      <c r="F24" s="349">
        <v>6</v>
      </c>
      <c r="G24" s="349">
        <v>7</v>
      </c>
      <c r="H24" s="349">
        <v>8</v>
      </c>
      <c r="I24" s="349">
        <v>9</v>
      </c>
      <c r="J24" s="349">
        <v>10</v>
      </c>
      <c r="K24" s="349">
        <v>11</v>
      </c>
    </row>
    <row r="25" spans="1:11" ht="13.5" thickBot="1" x14ac:dyDescent="0.25">
      <c r="A25" s="611"/>
      <c r="B25" s="612"/>
      <c r="C25" s="612"/>
      <c r="D25" s="612"/>
      <c r="E25" s="612"/>
      <c r="F25" s="612"/>
      <c r="G25" s="612"/>
      <c r="H25" s="612"/>
      <c r="I25" s="612"/>
      <c r="J25" s="612"/>
      <c r="K25" s="612"/>
    </row>
    <row r="26" spans="1:11" ht="13.5" thickBot="1" x14ac:dyDescent="0.25">
      <c r="A26" s="5348"/>
      <c r="B26" s="5349"/>
      <c r="C26" s="5349"/>
      <c r="D26" s="5349"/>
      <c r="E26" s="5349"/>
      <c r="F26" s="5349"/>
      <c r="G26" s="5349"/>
      <c r="H26" s="5349"/>
      <c r="I26" s="5349"/>
      <c r="J26" s="5349"/>
      <c r="K26" s="5350"/>
    </row>
    <row r="27" spans="1:11" ht="13.5" thickBot="1" x14ac:dyDescent="0.25">
      <c r="A27" s="5372" t="s">
        <v>797</v>
      </c>
      <c r="B27" s="5373"/>
      <c r="C27" s="5373"/>
      <c r="D27" s="5373"/>
      <c r="E27" s="5373"/>
      <c r="F27" s="5373"/>
      <c r="G27" s="5373"/>
      <c r="H27" s="5373"/>
      <c r="I27" s="5373"/>
      <c r="J27" s="5373"/>
      <c r="K27" s="5374"/>
    </row>
    <row r="28" spans="1:11" ht="13.5" thickBot="1" x14ac:dyDescent="0.25">
      <c r="A28" s="5348"/>
      <c r="B28" s="5349"/>
      <c r="C28" s="5349"/>
      <c r="D28" s="5349"/>
      <c r="E28" s="5349"/>
      <c r="F28" s="5349"/>
      <c r="G28" s="5349"/>
      <c r="H28" s="5349"/>
      <c r="I28" s="5349"/>
      <c r="J28" s="5349"/>
      <c r="K28" s="5350"/>
    </row>
    <row r="29" spans="1:11" x14ac:dyDescent="0.2">
      <c r="A29" s="5358">
        <v>1</v>
      </c>
      <c r="B29" s="5360" t="s">
        <v>674</v>
      </c>
      <c r="C29" s="355" t="s">
        <v>738</v>
      </c>
      <c r="D29" s="356">
        <v>0.8</v>
      </c>
      <c r="E29" s="357">
        <v>21330.04</v>
      </c>
      <c r="F29" s="357">
        <v>21330.04</v>
      </c>
      <c r="G29" s="5358">
        <v>17064</v>
      </c>
      <c r="H29" s="5358">
        <v>0</v>
      </c>
      <c r="I29" s="357">
        <v>17064</v>
      </c>
      <c r="J29" s="357">
        <v>0</v>
      </c>
      <c r="K29" s="357">
        <v>0</v>
      </c>
    </row>
    <row r="30" spans="1:11" ht="34.5" customHeight="1" thickBot="1" x14ac:dyDescent="0.25">
      <c r="A30" s="5359"/>
      <c r="B30" s="5361"/>
      <c r="C30" s="353" t="s">
        <v>798</v>
      </c>
      <c r="D30" s="354" t="s">
        <v>676</v>
      </c>
      <c r="E30" s="354">
        <v>0</v>
      </c>
      <c r="F30" s="354">
        <v>24389.57</v>
      </c>
      <c r="G30" s="5359"/>
      <c r="H30" s="5359"/>
      <c r="I30" s="354">
        <v>19512</v>
      </c>
      <c r="J30" s="354">
        <v>97.21</v>
      </c>
      <c r="K30" s="354">
        <v>77.77</v>
      </c>
    </row>
    <row r="31" spans="1:11" ht="22.5" customHeight="1" x14ac:dyDescent="0.2">
      <c r="A31" s="5358">
        <v>2</v>
      </c>
      <c r="B31" s="5360" t="s">
        <v>748</v>
      </c>
      <c r="C31" s="355" t="s">
        <v>749</v>
      </c>
      <c r="D31" s="356">
        <v>20</v>
      </c>
      <c r="E31" s="357">
        <v>1300.8599999999999</v>
      </c>
      <c r="F31" s="357">
        <v>30.67</v>
      </c>
      <c r="G31" s="5358">
        <v>26017</v>
      </c>
      <c r="H31" s="5358">
        <v>25404</v>
      </c>
      <c r="I31" s="357">
        <v>613</v>
      </c>
      <c r="J31" s="357">
        <v>6.58</v>
      </c>
      <c r="K31" s="357">
        <v>131.6</v>
      </c>
    </row>
    <row r="32" spans="1:11" ht="33" customHeight="1" thickBot="1" x14ac:dyDescent="0.25">
      <c r="A32" s="5359"/>
      <c r="B32" s="5361"/>
      <c r="C32" s="353" t="s">
        <v>798</v>
      </c>
      <c r="D32" s="354" t="s">
        <v>750</v>
      </c>
      <c r="E32" s="354">
        <v>1270.19</v>
      </c>
      <c r="F32" s="354">
        <v>0</v>
      </c>
      <c r="G32" s="5359"/>
      <c r="H32" s="5359"/>
      <c r="I32" s="354">
        <v>0</v>
      </c>
      <c r="J32" s="354">
        <v>0</v>
      </c>
      <c r="K32" s="354">
        <v>0</v>
      </c>
    </row>
    <row r="33" spans="1:11" ht="22.5" customHeight="1" x14ac:dyDescent="0.2">
      <c r="A33" s="5358">
        <v>3</v>
      </c>
      <c r="B33" s="5360" t="s">
        <v>739</v>
      </c>
      <c r="C33" s="355" t="s">
        <v>740</v>
      </c>
      <c r="D33" s="356">
        <v>0.2</v>
      </c>
      <c r="E33" s="357">
        <v>115674.66</v>
      </c>
      <c r="F33" s="357">
        <v>55153.06</v>
      </c>
      <c r="G33" s="5358">
        <v>23135</v>
      </c>
      <c r="H33" s="5358">
        <v>12104</v>
      </c>
      <c r="I33" s="357">
        <v>11031</v>
      </c>
      <c r="J33" s="357">
        <v>292.02</v>
      </c>
      <c r="K33" s="357">
        <v>58.4</v>
      </c>
    </row>
    <row r="34" spans="1:11" ht="33.75" customHeight="1" x14ac:dyDescent="0.2">
      <c r="A34" s="5362"/>
      <c r="B34" s="5363"/>
      <c r="C34" s="355" t="s">
        <v>493</v>
      </c>
      <c r="D34" s="357" t="s">
        <v>742</v>
      </c>
      <c r="E34" s="357">
        <v>60521.599999999999</v>
      </c>
      <c r="F34" s="357">
        <v>12684.38</v>
      </c>
      <c r="G34" s="5362"/>
      <c r="H34" s="5362"/>
      <c r="I34" s="357">
        <v>2537</v>
      </c>
      <c r="J34" s="357">
        <v>49.67</v>
      </c>
      <c r="K34" s="357">
        <v>9.93</v>
      </c>
    </row>
    <row r="35" spans="1:11" ht="33.75" customHeight="1" thickBot="1" x14ac:dyDescent="0.25">
      <c r="A35" s="5359"/>
      <c r="B35" s="5361"/>
      <c r="C35" s="353" t="s">
        <v>799</v>
      </c>
      <c r="D35" s="358"/>
      <c r="E35" s="358"/>
      <c r="F35" s="358"/>
      <c r="G35" s="5359"/>
      <c r="H35" s="5359"/>
      <c r="I35" s="358"/>
      <c r="J35" s="358"/>
      <c r="K35" s="358"/>
    </row>
    <row r="36" spans="1:11" ht="10.5" customHeight="1" x14ac:dyDescent="0.2">
      <c r="A36" s="5358">
        <v>4</v>
      </c>
      <c r="B36" s="5360" t="s">
        <v>743</v>
      </c>
      <c r="C36" s="355" t="s">
        <v>744</v>
      </c>
      <c r="D36" s="356">
        <v>20</v>
      </c>
      <c r="E36" s="357">
        <v>534.51</v>
      </c>
      <c r="F36" s="357">
        <v>0</v>
      </c>
      <c r="G36" s="5358">
        <v>10690</v>
      </c>
      <c r="H36" s="5358">
        <v>10690</v>
      </c>
      <c r="I36" s="357">
        <v>0</v>
      </c>
      <c r="J36" s="357">
        <v>2.72</v>
      </c>
      <c r="K36" s="357">
        <v>54.48</v>
      </c>
    </row>
    <row r="37" spans="1:11" ht="10.5" customHeight="1" x14ac:dyDescent="0.2">
      <c r="A37" s="5362"/>
      <c r="B37" s="5363"/>
      <c r="C37" s="355" t="s">
        <v>493</v>
      </c>
      <c r="D37" s="357" t="s">
        <v>457</v>
      </c>
      <c r="E37" s="357">
        <v>534.51</v>
      </c>
      <c r="F37" s="357">
        <v>0</v>
      </c>
      <c r="G37" s="5362"/>
      <c r="H37" s="5362"/>
      <c r="I37" s="357">
        <v>0</v>
      </c>
      <c r="J37" s="357">
        <v>0</v>
      </c>
      <c r="K37" s="357">
        <v>0</v>
      </c>
    </row>
    <row r="38" spans="1:11" ht="33.75" customHeight="1" thickBot="1" x14ac:dyDescent="0.25">
      <c r="A38" s="5359"/>
      <c r="B38" s="5361"/>
      <c r="C38" s="353" t="s">
        <v>799</v>
      </c>
      <c r="D38" s="358"/>
      <c r="E38" s="358"/>
      <c r="F38" s="358"/>
      <c r="G38" s="5359"/>
      <c r="H38" s="5359"/>
      <c r="I38" s="358"/>
      <c r="J38" s="358"/>
      <c r="K38" s="358"/>
    </row>
    <row r="39" spans="1:11" ht="10.5" customHeight="1" x14ac:dyDescent="0.2">
      <c r="A39" s="5358">
        <v>5</v>
      </c>
      <c r="B39" s="5360" t="s">
        <v>745</v>
      </c>
      <c r="C39" s="355" t="s">
        <v>746</v>
      </c>
      <c r="D39" s="356">
        <v>12</v>
      </c>
      <c r="E39" s="357">
        <v>352.65</v>
      </c>
      <c r="F39" s="357">
        <v>70.33</v>
      </c>
      <c r="G39" s="5358">
        <v>4232</v>
      </c>
      <c r="H39" s="5358">
        <v>3388</v>
      </c>
      <c r="I39" s="357">
        <v>844</v>
      </c>
      <c r="J39" s="357">
        <v>1.31</v>
      </c>
      <c r="K39" s="357">
        <v>15.72</v>
      </c>
    </row>
    <row r="40" spans="1:11" ht="33" customHeight="1" thickBot="1" x14ac:dyDescent="0.25">
      <c r="A40" s="5359"/>
      <c r="B40" s="5361"/>
      <c r="C40" s="353" t="s">
        <v>798</v>
      </c>
      <c r="D40" s="354" t="s">
        <v>747</v>
      </c>
      <c r="E40" s="354">
        <v>282.32</v>
      </c>
      <c r="F40" s="354">
        <v>0</v>
      </c>
      <c r="G40" s="5359"/>
      <c r="H40" s="5359"/>
      <c r="I40" s="354">
        <v>0</v>
      </c>
      <c r="J40" s="354">
        <v>7.0000000000000007E-2</v>
      </c>
      <c r="K40" s="354">
        <v>0.84</v>
      </c>
    </row>
    <row r="41" spans="1:11" ht="9.75" customHeight="1" x14ac:dyDescent="0.2">
      <c r="A41" s="5358">
        <v>6</v>
      </c>
      <c r="B41" s="5360" t="s">
        <v>454</v>
      </c>
      <c r="C41" s="355" t="s">
        <v>455</v>
      </c>
      <c r="D41" s="356">
        <v>8</v>
      </c>
      <c r="E41" s="357">
        <v>7190.9</v>
      </c>
      <c r="F41" s="357">
        <v>100.54</v>
      </c>
      <c r="G41" s="5358">
        <v>57527</v>
      </c>
      <c r="H41" s="5358">
        <v>7709</v>
      </c>
      <c r="I41" s="357">
        <v>804</v>
      </c>
      <c r="J41" s="357">
        <v>4.53</v>
      </c>
      <c r="K41" s="357">
        <v>36.24</v>
      </c>
    </row>
    <row r="42" spans="1:11" ht="34.5" customHeight="1" thickBot="1" x14ac:dyDescent="0.25">
      <c r="A42" s="5359"/>
      <c r="B42" s="5361"/>
      <c r="C42" s="353" t="s">
        <v>798</v>
      </c>
      <c r="D42" s="354" t="s">
        <v>457</v>
      </c>
      <c r="E42" s="354">
        <v>963.68</v>
      </c>
      <c r="F42" s="354">
        <v>0</v>
      </c>
      <c r="G42" s="5359"/>
      <c r="H42" s="5359"/>
      <c r="I42" s="354">
        <v>0</v>
      </c>
      <c r="J42" s="354">
        <v>0.1</v>
      </c>
      <c r="K42" s="354">
        <v>0.8</v>
      </c>
    </row>
    <row r="43" spans="1:11" ht="23.25" customHeight="1" x14ac:dyDescent="0.2">
      <c r="A43" s="5358">
        <v>7</v>
      </c>
      <c r="B43" s="5360" t="s">
        <v>491</v>
      </c>
      <c r="C43" s="355" t="s">
        <v>492</v>
      </c>
      <c r="D43" s="356">
        <v>0.5</v>
      </c>
      <c r="E43" s="357">
        <v>87722.08</v>
      </c>
      <c r="F43" s="357">
        <v>9577.9699999999993</v>
      </c>
      <c r="G43" s="5358">
        <v>43861</v>
      </c>
      <c r="H43" s="5358">
        <v>9936</v>
      </c>
      <c r="I43" s="357">
        <v>4789</v>
      </c>
      <c r="J43" s="357">
        <v>95.88</v>
      </c>
      <c r="K43" s="357">
        <v>47.94</v>
      </c>
    </row>
    <row r="44" spans="1:11" ht="10.5" customHeight="1" x14ac:dyDescent="0.2">
      <c r="A44" s="5362"/>
      <c r="B44" s="5363"/>
      <c r="C44" s="355" t="s">
        <v>493</v>
      </c>
      <c r="D44" s="357" t="s">
        <v>494</v>
      </c>
      <c r="E44" s="357">
        <v>19871.29</v>
      </c>
      <c r="F44" s="357">
        <v>2421.77</v>
      </c>
      <c r="G44" s="5362"/>
      <c r="H44" s="5362"/>
      <c r="I44" s="357">
        <v>1211</v>
      </c>
      <c r="J44" s="357">
        <v>7.81</v>
      </c>
      <c r="K44" s="357">
        <v>3.91</v>
      </c>
    </row>
    <row r="45" spans="1:11" ht="32.25" customHeight="1" thickBot="1" x14ac:dyDescent="0.25">
      <c r="A45" s="5359"/>
      <c r="B45" s="5361"/>
      <c r="C45" s="353" t="s">
        <v>799</v>
      </c>
      <c r="D45" s="358"/>
      <c r="E45" s="358"/>
      <c r="F45" s="358"/>
      <c r="G45" s="5359"/>
      <c r="H45" s="5359"/>
      <c r="I45" s="358"/>
      <c r="J45" s="358"/>
      <c r="K45" s="358"/>
    </row>
    <row r="46" spans="1:11" ht="10.5" customHeight="1" x14ac:dyDescent="0.2">
      <c r="A46" s="5358">
        <v>8</v>
      </c>
      <c r="B46" s="5360" t="s">
        <v>496</v>
      </c>
      <c r="C46" s="355" t="s">
        <v>497</v>
      </c>
      <c r="D46" s="356">
        <v>3.5</v>
      </c>
      <c r="E46" s="357">
        <v>14398.96</v>
      </c>
      <c r="F46" s="357">
        <v>341.17</v>
      </c>
      <c r="G46" s="5358">
        <v>50396</v>
      </c>
      <c r="H46" s="5358">
        <v>27253</v>
      </c>
      <c r="I46" s="357">
        <v>1194</v>
      </c>
      <c r="J46" s="357">
        <v>38.93</v>
      </c>
      <c r="K46" s="357">
        <v>136.25</v>
      </c>
    </row>
    <row r="47" spans="1:11" ht="12.75" customHeight="1" x14ac:dyDescent="0.2">
      <c r="A47" s="5362"/>
      <c r="B47" s="5363"/>
      <c r="C47" s="355" t="s">
        <v>498</v>
      </c>
      <c r="D47" s="357" t="s">
        <v>499</v>
      </c>
      <c r="E47" s="357">
        <v>7786.59</v>
      </c>
      <c r="F47" s="357">
        <v>133.93</v>
      </c>
      <c r="G47" s="5362"/>
      <c r="H47" s="5362"/>
      <c r="I47" s="357">
        <v>469</v>
      </c>
      <c r="J47" s="357">
        <v>0.43</v>
      </c>
      <c r="K47" s="357">
        <v>1.51</v>
      </c>
    </row>
    <row r="48" spans="1:11" ht="32.25" customHeight="1" thickBot="1" x14ac:dyDescent="0.25">
      <c r="A48" s="5359"/>
      <c r="B48" s="5361"/>
      <c r="C48" s="353" t="s">
        <v>799</v>
      </c>
      <c r="D48" s="358"/>
      <c r="E48" s="358"/>
      <c r="F48" s="358"/>
      <c r="G48" s="5359"/>
      <c r="H48" s="5359"/>
      <c r="I48" s="358"/>
      <c r="J48" s="358"/>
      <c r="K48" s="358"/>
    </row>
    <row r="49" spans="1:11" ht="11.25" customHeight="1" x14ac:dyDescent="0.2">
      <c r="A49" s="5358">
        <v>9</v>
      </c>
      <c r="B49" s="5360" t="s">
        <v>500</v>
      </c>
      <c r="C49" s="355" t="s">
        <v>501</v>
      </c>
      <c r="D49" s="356">
        <v>2.5</v>
      </c>
      <c r="E49" s="357">
        <v>17601.82</v>
      </c>
      <c r="F49" s="357">
        <v>60.3</v>
      </c>
      <c r="G49" s="5358">
        <v>44005</v>
      </c>
      <c r="H49" s="5358">
        <v>18429</v>
      </c>
      <c r="I49" s="357">
        <v>151</v>
      </c>
      <c r="J49" s="357">
        <v>34.65</v>
      </c>
      <c r="K49" s="357">
        <v>86.63</v>
      </c>
    </row>
    <row r="50" spans="1:11" ht="12.75" customHeight="1" x14ac:dyDescent="0.2">
      <c r="A50" s="5362"/>
      <c r="B50" s="5363"/>
      <c r="C50" s="355" t="s">
        <v>498</v>
      </c>
      <c r="D50" s="357" t="s">
        <v>494</v>
      </c>
      <c r="E50" s="357">
        <v>7371.52</v>
      </c>
      <c r="F50" s="357">
        <v>0</v>
      </c>
      <c r="G50" s="5362"/>
      <c r="H50" s="5362"/>
      <c r="I50" s="357">
        <v>0</v>
      </c>
      <c r="J50" s="357">
        <v>0.06</v>
      </c>
      <c r="K50" s="357">
        <v>0.15</v>
      </c>
    </row>
    <row r="51" spans="1:11" ht="33.75" customHeight="1" thickBot="1" x14ac:dyDescent="0.25">
      <c r="A51" s="5359"/>
      <c r="B51" s="5361"/>
      <c r="C51" s="353" t="s">
        <v>799</v>
      </c>
      <c r="D51" s="358"/>
      <c r="E51" s="358"/>
      <c r="F51" s="358"/>
      <c r="G51" s="5359"/>
      <c r="H51" s="5359"/>
      <c r="I51" s="358"/>
      <c r="J51" s="358"/>
      <c r="K51" s="358"/>
    </row>
    <row r="52" spans="1:11" ht="24.75" customHeight="1" x14ac:dyDescent="0.2">
      <c r="A52" s="5358">
        <v>10</v>
      </c>
      <c r="B52" s="5360" t="s">
        <v>502</v>
      </c>
      <c r="C52" s="355" t="s">
        <v>503</v>
      </c>
      <c r="D52" s="356">
        <v>2.2000000000000002</v>
      </c>
      <c r="E52" s="357">
        <v>182869.16</v>
      </c>
      <c r="F52" s="357">
        <v>149723.85</v>
      </c>
      <c r="G52" s="5358">
        <v>402312</v>
      </c>
      <c r="H52" s="5358">
        <v>69900</v>
      </c>
      <c r="I52" s="357">
        <v>329392</v>
      </c>
      <c r="J52" s="357">
        <v>130.53</v>
      </c>
      <c r="K52" s="357">
        <v>287.17</v>
      </c>
    </row>
    <row r="53" spans="1:11" ht="33.75" customHeight="1" thickBot="1" x14ac:dyDescent="0.25">
      <c r="A53" s="5359"/>
      <c r="B53" s="5361"/>
      <c r="C53" s="353" t="s">
        <v>798</v>
      </c>
      <c r="D53" s="354" t="s">
        <v>504</v>
      </c>
      <c r="E53" s="354">
        <v>31772.81</v>
      </c>
      <c r="F53" s="354">
        <v>10028.870000000001</v>
      </c>
      <c r="G53" s="5359"/>
      <c r="H53" s="5359"/>
      <c r="I53" s="354">
        <v>22064</v>
      </c>
      <c r="J53" s="354">
        <v>47.81</v>
      </c>
      <c r="K53" s="354">
        <v>105.18</v>
      </c>
    </row>
    <row r="54" spans="1:11" ht="13.5" thickBot="1" x14ac:dyDescent="0.25">
      <c r="A54" s="5348"/>
      <c r="B54" s="5349"/>
      <c r="C54" s="5349"/>
      <c r="D54" s="5349"/>
      <c r="E54" s="5349"/>
      <c r="F54" s="5349"/>
      <c r="G54" s="5349"/>
      <c r="H54" s="5349"/>
      <c r="I54" s="5349"/>
      <c r="J54" s="5349"/>
      <c r="K54" s="5350"/>
    </row>
    <row r="55" spans="1:11" x14ac:dyDescent="0.2">
      <c r="A55" s="5351" t="s">
        <v>694</v>
      </c>
      <c r="B55" s="5352"/>
      <c r="C55" s="5352"/>
      <c r="D55" s="5352"/>
      <c r="E55" s="5352"/>
      <c r="F55" s="5354"/>
      <c r="G55" s="5354">
        <v>679239</v>
      </c>
      <c r="H55" s="5354">
        <v>184813</v>
      </c>
      <c r="I55" s="626">
        <v>365882</v>
      </c>
      <c r="J55" s="5354"/>
      <c r="K55" s="357">
        <v>854.43</v>
      </c>
    </row>
    <row r="56" spans="1:11" ht="13.5" thickBot="1" x14ac:dyDescent="0.25">
      <c r="A56" s="5353"/>
      <c r="B56" s="5346"/>
      <c r="C56" s="5346"/>
      <c r="D56" s="5346"/>
      <c r="E56" s="5346"/>
      <c r="F56" s="5355"/>
      <c r="G56" s="5355"/>
      <c r="H56" s="5355"/>
      <c r="I56" s="957">
        <v>45793</v>
      </c>
      <c r="J56" s="5355"/>
      <c r="K56" s="354">
        <v>200.08</v>
      </c>
    </row>
    <row r="57" spans="1:11" ht="13.5" thickBot="1" x14ac:dyDescent="0.25">
      <c r="A57" s="5348"/>
      <c r="B57" s="5349"/>
      <c r="C57" s="5349"/>
      <c r="D57" s="5349"/>
      <c r="E57" s="5349"/>
      <c r="F57" s="5349"/>
      <c r="G57" s="5349"/>
      <c r="H57" s="5349"/>
      <c r="I57" s="5349"/>
      <c r="J57" s="5349"/>
      <c r="K57" s="5350"/>
    </row>
    <row r="58" spans="1:11" hidden="1" x14ac:dyDescent="0.2">
      <c r="A58" s="5351" t="s">
        <v>695</v>
      </c>
      <c r="B58" s="5352"/>
      <c r="C58" s="5352"/>
      <c r="D58" s="5352"/>
      <c r="E58" s="5352"/>
      <c r="F58" s="5354"/>
      <c r="G58" s="5354">
        <v>679239</v>
      </c>
      <c r="H58" s="5354">
        <v>184813</v>
      </c>
      <c r="I58" s="626">
        <v>365882</v>
      </c>
      <c r="J58" s="5354"/>
      <c r="K58" s="357">
        <v>854.43</v>
      </c>
    </row>
    <row r="59" spans="1:11" ht="13.5" hidden="1" thickBot="1" x14ac:dyDescent="0.25">
      <c r="A59" s="5353"/>
      <c r="B59" s="5346"/>
      <c r="C59" s="5346"/>
      <c r="D59" s="5346"/>
      <c r="E59" s="5346"/>
      <c r="F59" s="5355"/>
      <c r="G59" s="5355"/>
      <c r="H59" s="5355"/>
      <c r="I59" s="957">
        <v>45793</v>
      </c>
      <c r="J59" s="5355"/>
      <c r="K59" s="354">
        <v>200.08</v>
      </c>
    </row>
    <row r="60" spans="1:11" ht="13.5" hidden="1" thickBot="1" x14ac:dyDescent="0.25">
      <c r="A60" s="611"/>
      <c r="B60" s="612"/>
      <c r="C60" s="612"/>
      <c r="D60" s="612"/>
      <c r="E60" s="612"/>
      <c r="F60" s="612"/>
      <c r="G60" s="612"/>
      <c r="H60" s="612"/>
      <c r="I60" s="612"/>
      <c r="J60" s="612"/>
      <c r="K60" s="612"/>
    </row>
    <row r="61" spans="1:11" hidden="1" x14ac:dyDescent="0.2">
      <c r="A61" s="642"/>
      <c r="B61" s="279"/>
      <c r="C61" s="279"/>
      <c r="D61" s="279"/>
      <c r="E61" s="279"/>
      <c r="F61" s="279"/>
      <c r="G61" s="279"/>
      <c r="H61" s="279"/>
      <c r="I61" s="279"/>
      <c r="J61" s="279"/>
      <c r="K61" s="619"/>
    </row>
    <row r="62" spans="1:11" hidden="1" x14ac:dyDescent="0.2">
      <c r="A62" s="628"/>
      <c r="B62" s="279"/>
      <c r="C62" s="279"/>
      <c r="D62" s="279"/>
      <c r="E62" s="279"/>
      <c r="F62" s="279"/>
      <c r="G62" s="279"/>
      <c r="H62" s="279"/>
      <c r="I62" s="279"/>
      <c r="J62" s="279"/>
      <c r="K62" s="619"/>
    </row>
    <row r="63" spans="1:11" hidden="1" x14ac:dyDescent="0.2">
      <c r="A63" s="628"/>
      <c r="B63" s="279"/>
      <c r="C63" s="5343" t="s">
        <v>696</v>
      </c>
      <c r="D63" s="5262"/>
      <c r="E63" s="5262"/>
      <c r="F63" s="5262"/>
      <c r="G63" s="5262"/>
      <c r="H63" s="5262"/>
      <c r="I63" s="5343" t="s">
        <v>697</v>
      </c>
      <c r="J63" s="5343" t="s">
        <v>698</v>
      </c>
      <c r="K63" s="355" t="s">
        <v>561</v>
      </c>
    </row>
    <row r="64" spans="1:11" hidden="1" x14ac:dyDescent="0.2">
      <c r="A64" s="628"/>
      <c r="B64" s="279"/>
      <c r="C64" s="5343"/>
      <c r="D64" s="5262"/>
      <c r="E64" s="5262"/>
      <c r="F64" s="5262"/>
      <c r="G64" s="5262"/>
      <c r="H64" s="5262"/>
      <c r="I64" s="5343"/>
      <c r="J64" s="5343"/>
      <c r="K64" s="355" t="s">
        <v>699</v>
      </c>
    </row>
    <row r="65" spans="1:11" ht="13.5" hidden="1" thickBot="1" x14ac:dyDescent="0.25">
      <c r="A65" s="628"/>
      <c r="B65" s="279"/>
      <c r="C65" s="963"/>
      <c r="D65" s="963"/>
      <c r="E65" s="963"/>
      <c r="F65" s="963"/>
      <c r="G65" s="279"/>
      <c r="H65" s="279"/>
      <c r="I65" s="963"/>
      <c r="J65" s="963"/>
      <c r="K65" s="353"/>
    </row>
    <row r="66" spans="1:11" ht="13.5" hidden="1" thickBot="1" x14ac:dyDescent="0.25">
      <c r="A66" s="628"/>
      <c r="B66" s="279"/>
      <c r="C66" s="5343" t="s">
        <v>54</v>
      </c>
      <c r="D66" s="5262"/>
      <c r="E66" s="5262"/>
      <c r="F66" s="5262"/>
      <c r="G66" s="5262"/>
      <c r="H66" s="5262"/>
      <c r="I66" s="957"/>
      <c r="J66" s="957"/>
      <c r="K66" s="354" t="s">
        <v>800</v>
      </c>
    </row>
    <row r="67" spans="1:11" ht="13.5" hidden="1" thickBot="1" x14ac:dyDescent="0.25">
      <c r="A67" s="628"/>
      <c r="B67" s="279"/>
      <c r="C67" s="5343" t="s">
        <v>705</v>
      </c>
      <c r="D67" s="5262"/>
      <c r="E67" s="5262"/>
      <c r="F67" s="5262"/>
      <c r="G67" s="5262"/>
      <c r="H67" s="5262"/>
      <c r="I67" s="957">
        <v>0.6</v>
      </c>
      <c r="J67" s="957">
        <v>71</v>
      </c>
      <c r="K67" s="354" t="s">
        <v>759</v>
      </c>
    </row>
    <row r="68" spans="1:11" ht="13.5" hidden="1" thickBot="1" x14ac:dyDescent="0.25">
      <c r="A68" s="628"/>
      <c r="B68" s="279"/>
      <c r="C68" s="5343" t="s">
        <v>768</v>
      </c>
      <c r="D68" s="5262"/>
      <c r="E68" s="5262"/>
      <c r="F68" s="5262"/>
      <c r="G68" s="5262"/>
      <c r="H68" s="5262"/>
      <c r="I68" s="957">
        <v>0.7</v>
      </c>
      <c r="J68" s="957">
        <v>66</v>
      </c>
      <c r="K68" s="354" t="s">
        <v>769</v>
      </c>
    </row>
    <row r="69" spans="1:11" ht="13.5" hidden="1" thickBot="1" x14ac:dyDescent="0.25">
      <c r="A69" s="628"/>
      <c r="B69" s="279"/>
      <c r="C69" s="5343" t="s">
        <v>760</v>
      </c>
      <c r="D69" s="5262"/>
      <c r="E69" s="5262"/>
      <c r="F69" s="5262"/>
      <c r="G69" s="5262"/>
      <c r="H69" s="5262"/>
      <c r="I69" s="957">
        <v>0.6</v>
      </c>
      <c r="J69" s="957">
        <v>93</v>
      </c>
      <c r="K69" s="354" t="s">
        <v>801</v>
      </c>
    </row>
    <row r="70" spans="1:11" ht="13.5" hidden="1" thickBot="1" x14ac:dyDescent="0.25">
      <c r="A70" s="628"/>
      <c r="B70" s="279"/>
      <c r="C70" s="5343" t="s">
        <v>709</v>
      </c>
      <c r="D70" s="5262"/>
      <c r="E70" s="5262"/>
      <c r="F70" s="5262"/>
      <c r="G70" s="5262"/>
      <c r="H70" s="5262"/>
      <c r="I70" s="957">
        <v>0.6</v>
      </c>
      <c r="J70" s="957">
        <v>92</v>
      </c>
      <c r="K70" s="354" t="s">
        <v>802</v>
      </c>
    </row>
    <row r="71" spans="1:11" ht="13.5" hidden="1" thickBot="1" x14ac:dyDescent="0.25">
      <c r="A71" s="628"/>
      <c r="B71" s="279"/>
      <c r="C71" s="5343" t="s">
        <v>707</v>
      </c>
      <c r="D71" s="5262"/>
      <c r="E71" s="5262"/>
      <c r="F71" s="5262"/>
      <c r="G71" s="5262"/>
      <c r="H71" s="5262"/>
      <c r="I71" s="957">
        <v>0.6</v>
      </c>
      <c r="J71" s="957">
        <v>116</v>
      </c>
      <c r="K71" s="354" t="s">
        <v>803</v>
      </c>
    </row>
    <row r="72" spans="1:11" ht="13.5" hidden="1" thickBot="1" x14ac:dyDescent="0.25">
      <c r="A72" s="628"/>
      <c r="B72" s="279"/>
      <c r="C72" s="5343" t="s">
        <v>764</v>
      </c>
      <c r="D72" s="5262"/>
      <c r="E72" s="5262"/>
      <c r="F72" s="5262"/>
      <c r="G72" s="5262"/>
      <c r="H72" s="5262"/>
      <c r="I72" s="957">
        <v>0.6</v>
      </c>
      <c r="J72" s="957">
        <v>77</v>
      </c>
      <c r="K72" s="354" t="s">
        <v>804</v>
      </c>
    </row>
    <row r="73" spans="1:11" ht="13.5" hidden="1" thickBot="1" x14ac:dyDescent="0.25">
      <c r="A73" s="628"/>
      <c r="B73" s="279"/>
      <c r="C73" s="5343" t="s">
        <v>766</v>
      </c>
      <c r="D73" s="5262"/>
      <c r="E73" s="5262"/>
      <c r="F73" s="5262"/>
      <c r="G73" s="5262"/>
      <c r="H73" s="5262"/>
      <c r="I73" s="957">
        <v>0.6</v>
      </c>
      <c r="J73" s="957">
        <v>83</v>
      </c>
      <c r="K73" s="354" t="s">
        <v>805</v>
      </c>
    </row>
    <row r="74" spans="1:11" ht="13.5" hidden="1" thickBot="1" x14ac:dyDescent="0.25">
      <c r="A74" s="628"/>
      <c r="B74" s="279"/>
      <c r="C74" s="5343" t="s">
        <v>711</v>
      </c>
      <c r="D74" s="5262"/>
      <c r="E74" s="5262"/>
      <c r="F74" s="5262"/>
      <c r="G74" s="5262"/>
      <c r="H74" s="5262"/>
      <c r="I74" s="957"/>
      <c r="J74" s="957"/>
      <c r="K74" s="354" t="s">
        <v>806</v>
      </c>
    </row>
    <row r="75" spans="1:11" ht="13.5" hidden="1" thickBot="1" x14ac:dyDescent="0.25">
      <c r="A75" s="628"/>
      <c r="B75" s="279"/>
      <c r="C75" s="5343" t="s">
        <v>54</v>
      </c>
      <c r="D75" s="5262"/>
      <c r="E75" s="5262"/>
      <c r="F75" s="5262"/>
      <c r="G75" s="5262"/>
      <c r="H75" s="5262"/>
      <c r="I75" s="957"/>
      <c r="J75" s="957"/>
      <c r="K75" s="354" t="s">
        <v>807</v>
      </c>
    </row>
    <row r="76" spans="1:11" ht="13.5" hidden="1" thickBot="1" x14ac:dyDescent="0.25">
      <c r="A76" s="628"/>
      <c r="B76" s="279"/>
      <c r="C76" s="5343" t="s">
        <v>718</v>
      </c>
      <c r="D76" s="5262"/>
      <c r="E76" s="5262"/>
      <c r="F76" s="5262"/>
      <c r="G76" s="5262"/>
      <c r="H76" s="5262"/>
      <c r="I76" s="957"/>
      <c r="J76" s="957">
        <v>36</v>
      </c>
      <c r="K76" s="354" t="s">
        <v>774</v>
      </c>
    </row>
    <row r="77" spans="1:11" ht="13.5" hidden="1" thickBot="1" x14ac:dyDescent="0.25">
      <c r="A77" s="628"/>
      <c r="B77" s="279"/>
      <c r="C77" s="5343" t="s">
        <v>783</v>
      </c>
      <c r="D77" s="5262"/>
      <c r="E77" s="5262"/>
      <c r="F77" s="5262"/>
      <c r="G77" s="5262"/>
      <c r="H77" s="5262"/>
      <c r="I77" s="957"/>
      <c r="J77" s="957">
        <v>40</v>
      </c>
      <c r="K77" s="354" t="s">
        <v>784</v>
      </c>
    </row>
    <row r="78" spans="1:11" ht="13.5" hidden="1" thickBot="1" x14ac:dyDescent="0.25">
      <c r="A78" s="628"/>
      <c r="B78" s="279"/>
      <c r="C78" s="5343" t="s">
        <v>775</v>
      </c>
      <c r="D78" s="5262"/>
      <c r="E78" s="5262"/>
      <c r="F78" s="5262"/>
      <c r="G78" s="5262"/>
      <c r="H78" s="5262"/>
      <c r="I78" s="957"/>
      <c r="J78" s="957">
        <v>48</v>
      </c>
      <c r="K78" s="354" t="s">
        <v>808</v>
      </c>
    </row>
    <row r="79" spans="1:11" ht="13.5" hidden="1" thickBot="1" x14ac:dyDescent="0.25">
      <c r="A79" s="628"/>
      <c r="B79" s="279"/>
      <c r="C79" s="5343" t="s">
        <v>722</v>
      </c>
      <c r="D79" s="5262"/>
      <c r="E79" s="5262"/>
      <c r="F79" s="5262"/>
      <c r="G79" s="5262"/>
      <c r="H79" s="5262"/>
      <c r="I79" s="957"/>
      <c r="J79" s="957">
        <v>54</v>
      </c>
      <c r="K79" s="354" t="s">
        <v>809</v>
      </c>
    </row>
    <row r="80" spans="1:11" ht="13.5" hidden="1" thickBot="1" x14ac:dyDescent="0.25">
      <c r="A80" s="628"/>
      <c r="B80" s="279"/>
      <c r="C80" s="5343" t="s">
        <v>720</v>
      </c>
      <c r="D80" s="5262"/>
      <c r="E80" s="5262"/>
      <c r="F80" s="5262"/>
      <c r="G80" s="5262"/>
      <c r="H80" s="5262"/>
      <c r="I80" s="957"/>
      <c r="J80" s="957">
        <v>61</v>
      </c>
      <c r="K80" s="354" t="s">
        <v>810</v>
      </c>
    </row>
    <row r="81" spans="1:11" ht="13.5" hidden="1" thickBot="1" x14ac:dyDescent="0.25">
      <c r="A81" s="628"/>
      <c r="B81" s="279"/>
      <c r="C81" s="5343" t="s">
        <v>779</v>
      </c>
      <c r="D81" s="5262"/>
      <c r="E81" s="5262"/>
      <c r="F81" s="5262"/>
      <c r="G81" s="5262"/>
      <c r="H81" s="5262"/>
      <c r="I81" s="957"/>
      <c r="J81" s="957">
        <v>56</v>
      </c>
      <c r="K81" s="354" t="s">
        <v>811</v>
      </c>
    </row>
    <row r="82" spans="1:11" ht="13.5" hidden="1" thickBot="1" x14ac:dyDescent="0.25">
      <c r="A82" s="628"/>
      <c r="B82" s="279"/>
      <c r="C82" s="5343" t="s">
        <v>781</v>
      </c>
      <c r="D82" s="5262"/>
      <c r="E82" s="5262"/>
      <c r="F82" s="5262"/>
      <c r="G82" s="5262"/>
      <c r="H82" s="5262"/>
      <c r="I82" s="957"/>
      <c r="J82" s="957">
        <v>60</v>
      </c>
      <c r="K82" s="354" t="s">
        <v>812</v>
      </c>
    </row>
    <row r="83" spans="1:11" ht="13.5" hidden="1" thickBot="1" x14ac:dyDescent="0.25">
      <c r="A83" s="628"/>
      <c r="B83" s="279"/>
      <c r="C83" s="5343" t="s">
        <v>724</v>
      </c>
      <c r="D83" s="5262"/>
      <c r="E83" s="5262"/>
      <c r="F83" s="5262"/>
      <c r="G83" s="5262"/>
      <c r="H83" s="5262"/>
      <c r="I83" s="957"/>
      <c r="J83" s="957"/>
      <c r="K83" s="354" t="s">
        <v>813</v>
      </c>
    </row>
    <row r="84" spans="1:11" ht="13.5" hidden="1" thickBot="1" x14ac:dyDescent="0.25">
      <c r="A84" s="628"/>
      <c r="B84" s="279"/>
      <c r="C84" s="5343" t="s">
        <v>54</v>
      </c>
      <c r="D84" s="5262"/>
      <c r="E84" s="5262"/>
      <c r="F84" s="5262"/>
      <c r="G84" s="5262"/>
      <c r="H84" s="5262"/>
      <c r="I84" s="957"/>
      <c r="J84" s="957"/>
      <c r="K84" s="354" t="s">
        <v>814</v>
      </c>
    </row>
    <row r="85" spans="1:11" ht="13.5" hidden="1" thickBot="1" x14ac:dyDescent="0.25">
      <c r="A85" s="628"/>
      <c r="B85" s="279"/>
      <c r="C85" s="5343" t="s">
        <v>282</v>
      </c>
      <c r="D85" s="5262"/>
      <c r="E85" s="5262"/>
      <c r="F85" s="5262"/>
      <c r="G85" s="5262"/>
      <c r="H85" s="5262"/>
      <c r="I85" s="957"/>
      <c r="J85" s="957"/>
      <c r="K85" s="354" t="s">
        <v>814</v>
      </c>
    </row>
    <row r="86" spans="1:11" ht="13.5" hidden="1" thickBot="1" x14ac:dyDescent="0.25">
      <c r="A86" s="628"/>
      <c r="B86" s="279"/>
      <c r="C86" s="5343" t="s">
        <v>727</v>
      </c>
      <c r="D86" s="5262"/>
      <c r="E86" s="5262"/>
      <c r="F86" s="5262"/>
      <c r="G86" s="5262"/>
      <c r="H86" s="5262"/>
      <c r="I86" s="957"/>
      <c r="J86" s="957">
        <v>18</v>
      </c>
      <c r="K86" s="354" t="s">
        <v>815</v>
      </c>
    </row>
    <row r="87" spans="1:11" ht="13.5" hidden="1" thickBot="1" x14ac:dyDescent="0.25">
      <c r="A87" s="628"/>
      <c r="B87" s="279"/>
      <c r="C87" s="5343" t="s">
        <v>282</v>
      </c>
      <c r="D87" s="5262"/>
      <c r="E87" s="5262"/>
      <c r="F87" s="5262"/>
      <c r="G87" s="5262"/>
      <c r="H87" s="5262"/>
      <c r="I87" s="957"/>
      <c r="J87" s="957"/>
      <c r="K87" s="354" t="s">
        <v>795</v>
      </c>
    </row>
    <row r="88" spans="1:11" ht="13.5" hidden="1" thickBot="1" x14ac:dyDescent="0.25">
      <c r="A88" s="615"/>
      <c r="B88" s="614"/>
      <c r="C88" s="5346" t="s">
        <v>729</v>
      </c>
      <c r="D88" s="4243"/>
      <c r="E88" s="4243"/>
      <c r="F88" s="4243"/>
      <c r="G88" s="4243"/>
      <c r="H88" s="4243"/>
      <c r="I88" s="957"/>
      <c r="J88" s="957"/>
      <c r="K88" s="354" t="s">
        <v>795</v>
      </c>
    </row>
    <row r="89" spans="1:11" ht="12.75" customHeight="1" x14ac:dyDescent="0.25">
      <c r="A89" s="643" t="s">
        <v>816</v>
      </c>
      <c r="B89" s="385"/>
      <c r="C89" s="385"/>
      <c r="D89" s="385"/>
      <c r="E89" s="385"/>
      <c r="F89" s="385"/>
      <c r="G89" s="385"/>
      <c r="H89" s="385"/>
      <c r="I89" s="5395">
        <v>1081767</v>
      </c>
      <c r="J89" s="5395"/>
      <c r="K89" s="5395"/>
    </row>
    <row r="90" spans="1:11" ht="13.5" thickBot="1" x14ac:dyDescent="0.25"/>
    <row r="91" spans="1:11" ht="27" thickBot="1" x14ac:dyDescent="0.45">
      <c r="A91" s="5396" t="s">
        <v>874</v>
      </c>
      <c r="B91" s="5397"/>
      <c r="C91" s="5397"/>
      <c r="D91" s="5397"/>
      <c r="E91" s="5397"/>
      <c r="F91" s="5397"/>
      <c r="G91" s="1397"/>
      <c r="H91" s="1397"/>
      <c r="I91" s="1571">
        <f>57527-7709+43861-9936+50396-27253+44005-18429</f>
        <v>132462</v>
      </c>
    </row>
  </sheetData>
  <mergeCells count="103"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2"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1505</v>
      </c>
    </row>
    <row r="2" spans="1:10" ht="25.5" customHeight="1" x14ac:dyDescent="0.2">
      <c r="A2" s="5399" t="s">
        <v>957</v>
      </c>
      <c r="B2" s="5399"/>
      <c r="C2" s="5399"/>
      <c r="D2" s="5399"/>
      <c r="E2" s="5399"/>
      <c r="F2" s="5399"/>
      <c r="G2" s="5399"/>
      <c r="H2" s="5399"/>
      <c r="I2" s="5399"/>
      <c r="J2" s="5399"/>
    </row>
    <row r="3" spans="1:10" ht="22.5" customHeight="1" x14ac:dyDescent="0.2"/>
    <row r="4" spans="1:10" x14ac:dyDescent="0.2">
      <c r="A4" s="5401" t="s">
        <v>953</v>
      </c>
      <c r="B4" s="5400" t="s">
        <v>272</v>
      </c>
      <c r="C4" s="5400"/>
      <c r="D4" s="5400"/>
      <c r="E4" s="5400"/>
      <c r="F4" s="5400" t="s">
        <v>377</v>
      </c>
      <c r="G4" s="5400"/>
      <c r="H4" s="5400"/>
      <c r="I4" s="5400"/>
      <c r="J4" s="5400"/>
    </row>
    <row r="5" spans="1:10" ht="25.5" x14ac:dyDescent="0.2">
      <c r="A5" s="5402"/>
      <c r="B5" s="1250" t="s">
        <v>952</v>
      </c>
      <c r="C5" s="1251">
        <v>2016</v>
      </c>
      <c r="D5" s="1251">
        <v>2017</v>
      </c>
      <c r="E5" s="1251">
        <v>2018</v>
      </c>
      <c r="F5" s="1250" t="s">
        <v>952</v>
      </c>
      <c r="G5" s="1251">
        <v>2016</v>
      </c>
      <c r="H5" s="1251">
        <v>2017</v>
      </c>
      <c r="I5" s="1251">
        <v>2018</v>
      </c>
      <c r="J5" s="1251" t="s">
        <v>237</v>
      </c>
    </row>
    <row r="6" spans="1:10" ht="18" x14ac:dyDescent="0.25">
      <c r="A6" s="5398" t="s">
        <v>347</v>
      </c>
      <c r="B6" s="5398"/>
      <c r="C6" s="5398"/>
      <c r="D6" s="5398"/>
      <c r="E6" s="5398"/>
      <c r="F6" s="5398"/>
      <c r="G6" s="5398"/>
      <c r="H6" s="5398"/>
      <c r="I6" s="5398"/>
      <c r="J6" s="5398"/>
    </row>
    <row r="7" spans="1:10" ht="57.75" customHeight="1" x14ac:dyDescent="0.2">
      <c r="A7" s="1191" t="s">
        <v>949</v>
      </c>
      <c r="B7" s="1189">
        <f>10407.5/1.18</f>
        <v>8819.9152542372885</v>
      </c>
      <c r="C7" s="1189">
        <f>2316.1/1.18</f>
        <v>1962.7966101694915</v>
      </c>
      <c r="D7" s="1189">
        <f>4045.7/1.18</f>
        <v>3428.5593220338983</v>
      </c>
      <c r="E7" s="1189">
        <f>4045.7/1.18</f>
        <v>3428.5593220338983</v>
      </c>
      <c r="F7" s="1189">
        <f>G7+H7+I7</f>
        <v>0</v>
      </c>
      <c r="G7" s="1189">
        <v>0</v>
      </c>
      <c r="H7" s="1189">
        <v>0</v>
      </c>
      <c r="I7" s="1189">
        <v>0</v>
      </c>
      <c r="J7" s="1191" t="s">
        <v>954</v>
      </c>
    </row>
    <row r="8" spans="1:10" ht="26.25" customHeight="1" x14ac:dyDescent="0.2">
      <c r="A8" s="1191" t="s">
        <v>950</v>
      </c>
      <c r="B8" s="1189">
        <f>835.7/1.18</f>
        <v>708.22033898305096</v>
      </c>
      <c r="C8" s="1189">
        <f>278.5/1.18</f>
        <v>236.0169491525424</v>
      </c>
      <c r="D8" s="1189">
        <f>278.6/1.18</f>
        <v>236.10169491525426</v>
      </c>
      <c r="E8" s="1189">
        <f>278.6/1.18</f>
        <v>236.10169491525426</v>
      </c>
      <c r="F8" s="1189">
        <f t="shared" ref="F8:F9" si="0">G8+H8+I8</f>
        <v>0</v>
      </c>
      <c r="G8" s="1189">
        <v>0</v>
      </c>
      <c r="H8" s="1189">
        <v>0</v>
      </c>
      <c r="I8" s="1189">
        <v>0</v>
      </c>
      <c r="J8" s="1191" t="s">
        <v>955</v>
      </c>
    </row>
    <row r="9" spans="1:10" ht="24.75" customHeight="1" x14ac:dyDescent="0.2">
      <c r="A9" s="1191" t="s">
        <v>951</v>
      </c>
      <c r="B9" s="1189">
        <f>865.4/1.18</f>
        <v>733.38983050847457</v>
      </c>
      <c r="C9" s="1189">
        <f>288.4/1.18</f>
        <v>244.40677966101694</v>
      </c>
      <c r="D9" s="1189">
        <f>288.5/1.18</f>
        <v>244.49152542372883</v>
      </c>
      <c r="E9" s="1189">
        <f>288.5/1.18</f>
        <v>244.49152542372883</v>
      </c>
      <c r="F9" s="1189">
        <f t="shared" si="0"/>
        <v>733.38983050847457</v>
      </c>
      <c r="G9" s="1189">
        <f>C9</f>
        <v>244.40677966101694</v>
      </c>
      <c r="H9" s="1189">
        <f t="shared" ref="H9:I9" si="1">D9</f>
        <v>244.49152542372883</v>
      </c>
      <c r="I9" s="1189">
        <f t="shared" si="1"/>
        <v>244.49152542372883</v>
      </c>
      <c r="J9" s="1191" t="s">
        <v>286</v>
      </c>
    </row>
    <row r="10" spans="1:10" x14ac:dyDescent="0.2">
      <c r="A10" s="1191" t="s">
        <v>956</v>
      </c>
      <c r="B10" s="1189">
        <f>SUM(B7:B9)</f>
        <v>10261.525423728814</v>
      </c>
      <c r="C10" s="1189">
        <f t="shared" ref="C10:I10" si="2">SUM(C7:C9)</f>
        <v>2443.2203389830511</v>
      </c>
      <c r="D10" s="1189">
        <f t="shared" si="2"/>
        <v>3909.1525423728813</v>
      </c>
      <c r="E10" s="1189">
        <f t="shared" si="2"/>
        <v>3909.1525423728813</v>
      </c>
      <c r="F10" s="1189">
        <f t="shared" si="2"/>
        <v>733.38983050847457</v>
      </c>
      <c r="G10" s="1189">
        <f t="shared" si="2"/>
        <v>244.40677966101694</v>
      </c>
      <c r="H10" s="1189">
        <f t="shared" si="2"/>
        <v>244.49152542372883</v>
      </c>
      <c r="I10" s="1189">
        <f t="shared" si="2"/>
        <v>244.49152542372883</v>
      </c>
      <c r="J10" s="1188"/>
    </row>
    <row r="11" spans="1:10" ht="18" x14ac:dyDescent="0.25">
      <c r="A11" s="5398" t="s">
        <v>337</v>
      </c>
      <c r="B11" s="5398"/>
      <c r="C11" s="5398"/>
      <c r="D11" s="5398"/>
      <c r="E11" s="5398"/>
      <c r="F11" s="5398"/>
      <c r="G11" s="5398"/>
      <c r="H11" s="5398"/>
      <c r="I11" s="5398"/>
      <c r="J11" s="5398"/>
    </row>
    <row r="12" spans="1:10" ht="25.5" x14ac:dyDescent="0.2">
      <c r="A12" s="1191" t="s">
        <v>986</v>
      </c>
      <c r="B12" s="1189">
        <f>1286.5/1.18</f>
        <v>1090.2542372881358</v>
      </c>
      <c r="C12" s="1189">
        <f>428.8/1.18</f>
        <v>363.38983050847463</v>
      </c>
      <c r="D12" s="1189">
        <f t="shared" ref="D12" si="3">428.8/1.18</f>
        <v>363.38983050847463</v>
      </c>
      <c r="E12" s="1189">
        <f>428.9/1.18</f>
        <v>363.47457627118644</v>
      </c>
      <c r="F12" s="1189">
        <f t="shared" ref="F12:F15" si="4">G12+H12+I12</f>
        <v>0</v>
      </c>
      <c r="G12" s="1189">
        <v>0</v>
      </c>
      <c r="H12" s="1189">
        <v>0</v>
      </c>
      <c r="I12" s="1189">
        <v>0</v>
      </c>
      <c r="J12" s="1191" t="s">
        <v>955</v>
      </c>
    </row>
    <row r="13" spans="1:10" ht="38.25" x14ac:dyDescent="0.2">
      <c r="A13" s="1191" t="s">
        <v>958</v>
      </c>
      <c r="B13" s="1189">
        <f>597.7/1.18</f>
        <v>506.52542372881362</v>
      </c>
      <c r="C13" s="1189">
        <f>199.2/1.18</f>
        <v>168.81355932203391</v>
      </c>
      <c r="D13" s="1189">
        <f t="shared" ref="D13" si="5">199.2/1.18</f>
        <v>168.81355932203391</v>
      </c>
      <c r="E13" s="1189">
        <f>199.3/1.18</f>
        <v>168.89830508474577</v>
      </c>
      <c r="F13" s="1189">
        <f t="shared" si="4"/>
        <v>506.52542372881362</v>
      </c>
      <c r="G13" s="1189">
        <f>C13</f>
        <v>168.81355932203391</v>
      </c>
      <c r="H13" s="1189">
        <f t="shared" ref="H13:I13" si="6">D13</f>
        <v>168.81355932203391</v>
      </c>
      <c r="I13" s="1189">
        <f t="shared" si="6"/>
        <v>168.89830508474577</v>
      </c>
      <c r="J13" s="1188" t="s">
        <v>286</v>
      </c>
    </row>
    <row r="14" spans="1:10" ht="38.25" x14ac:dyDescent="0.2">
      <c r="A14" s="1191" t="s">
        <v>959</v>
      </c>
      <c r="B14" s="1189">
        <f>2278/1.18</f>
        <v>1930.5084745762713</v>
      </c>
      <c r="C14" s="1189">
        <f>759.3/1.18</f>
        <v>643.47457627118649</v>
      </c>
      <c r="D14" s="1189">
        <f t="shared" ref="D14" si="7">759.3/1.18</f>
        <v>643.47457627118649</v>
      </c>
      <c r="E14" s="1189">
        <f>759.4/1.18</f>
        <v>643.5593220338983</v>
      </c>
      <c r="F14" s="1189">
        <f t="shared" si="4"/>
        <v>0</v>
      </c>
      <c r="G14" s="1189">
        <v>0</v>
      </c>
      <c r="H14" s="1189">
        <v>0</v>
      </c>
      <c r="I14" s="1189">
        <v>0</v>
      </c>
      <c r="J14" s="1191" t="s">
        <v>962</v>
      </c>
    </row>
    <row r="15" spans="1:10" ht="38.25" x14ac:dyDescent="0.2">
      <c r="A15" s="1191" t="s">
        <v>960</v>
      </c>
      <c r="B15" s="1189">
        <f>9697/1.18</f>
        <v>8217.7966101694929</v>
      </c>
      <c r="C15" s="1189">
        <f>3232.3/1.18</f>
        <v>2739.2372881355936</v>
      </c>
      <c r="D15" s="1189">
        <f t="shared" ref="D15:E15" si="8">3232.3/1.18</f>
        <v>2739.2372881355936</v>
      </c>
      <c r="E15" s="1189">
        <f t="shared" si="8"/>
        <v>2739.2372881355936</v>
      </c>
      <c r="F15" s="1189">
        <f t="shared" si="4"/>
        <v>0</v>
      </c>
      <c r="G15" s="1189">
        <v>0</v>
      </c>
      <c r="H15" s="1189">
        <v>0</v>
      </c>
      <c r="I15" s="1189">
        <v>0</v>
      </c>
      <c r="J15" s="1191" t="s">
        <v>962</v>
      </c>
    </row>
    <row r="16" spans="1:10" x14ac:dyDescent="0.2">
      <c r="A16" s="1191" t="s">
        <v>961</v>
      </c>
      <c r="B16" s="1189">
        <f>SUM(B12:B15)</f>
        <v>11745.084745762713</v>
      </c>
      <c r="C16" s="1189">
        <f t="shared" ref="C16:I16" si="9">SUM(C12:C15)</f>
        <v>3914.9152542372885</v>
      </c>
      <c r="D16" s="1189">
        <f t="shared" si="9"/>
        <v>3914.9152542372885</v>
      </c>
      <c r="E16" s="1189">
        <f t="shared" si="9"/>
        <v>3915.1694915254243</v>
      </c>
      <c r="F16" s="1189">
        <f t="shared" si="9"/>
        <v>506.52542372881362</v>
      </c>
      <c r="G16" s="1189">
        <f t="shared" si="9"/>
        <v>168.81355932203391</v>
      </c>
      <c r="H16" s="1189">
        <f t="shared" si="9"/>
        <v>168.81355932203391</v>
      </c>
      <c r="I16" s="1189">
        <f t="shared" si="9"/>
        <v>168.89830508474577</v>
      </c>
      <c r="J16" s="1188"/>
    </row>
    <row r="17" spans="1:10" x14ac:dyDescent="0.2">
      <c r="A17" s="1191"/>
      <c r="B17" s="1188"/>
      <c r="C17" s="1188"/>
      <c r="D17" s="1188"/>
      <c r="E17" s="1188"/>
      <c r="F17" s="1188"/>
      <c r="G17" s="1188"/>
      <c r="H17" s="1188"/>
      <c r="I17" s="1188"/>
      <c r="J17" s="1188"/>
    </row>
    <row r="18" spans="1:10" x14ac:dyDescent="0.2">
      <c r="A18" s="1191"/>
      <c r="B18" s="1188"/>
      <c r="C18" s="1188"/>
      <c r="D18" s="1188"/>
      <c r="E18" s="1188"/>
      <c r="F18" s="1188"/>
      <c r="G18" s="1188"/>
      <c r="H18" s="1188"/>
      <c r="I18" s="1188"/>
      <c r="J18" s="1188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3"/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350" customWidth="1"/>
    <col min="2" max="7" width="0" style="1350" hidden="1" customWidth="1"/>
    <col min="8" max="8" width="10.28515625" style="1350" customWidth="1"/>
    <col min="9" max="9" width="9.42578125" style="1350" customWidth="1"/>
    <col min="10" max="10" width="9.140625" style="1350"/>
    <col min="11" max="11" width="11.140625" style="1350" customWidth="1"/>
    <col min="12" max="12" width="11.42578125" style="1350" customWidth="1"/>
    <col min="13" max="13" width="10.42578125" style="1350" customWidth="1"/>
    <col min="14" max="14" width="10.85546875" style="1350" customWidth="1"/>
    <col min="15" max="15" width="10" style="1350" customWidth="1"/>
    <col min="16" max="16" width="9.140625" style="1350"/>
    <col min="17" max="17" width="11.140625" style="1350" customWidth="1"/>
    <col min="18" max="18" width="10.42578125" style="1350" customWidth="1"/>
    <col min="19" max="19" width="9.140625" style="1350"/>
    <col min="20" max="20" width="11" style="1350" customWidth="1"/>
    <col min="21" max="21" width="11.85546875" style="1350" customWidth="1"/>
    <col min="22" max="22" width="14.85546875" style="1350" customWidth="1"/>
    <col min="23" max="23" width="14.28515625" style="1350" customWidth="1"/>
    <col min="24" max="16384" width="9.140625" style="1350"/>
  </cols>
  <sheetData>
    <row r="1" spans="1:23" x14ac:dyDescent="0.25">
      <c r="U1" s="1396" t="s">
        <v>1506</v>
      </c>
    </row>
    <row r="3" spans="1:23" ht="28.5" x14ac:dyDescent="0.45">
      <c r="A3" s="5403" t="s">
        <v>1474</v>
      </c>
      <c r="B3" s="5403"/>
      <c r="C3" s="5403"/>
      <c r="D3" s="5403"/>
      <c r="E3" s="5403"/>
      <c r="F3" s="5403"/>
      <c r="G3" s="5403"/>
      <c r="H3" s="5403"/>
      <c r="I3" s="5403"/>
      <c r="J3" s="5403"/>
      <c r="K3" s="5403"/>
      <c r="L3" s="5403"/>
      <c r="M3" s="5403"/>
      <c r="N3" s="5403"/>
      <c r="O3" s="5403"/>
      <c r="P3" s="5403"/>
      <c r="Q3" s="5403"/>
      <c r="R3" s="5403"/>
      <c r="S3" s="5403"/>
      <c r="T3" s="5403"/>
      <c r="U3" s="5403"/>
      <c r="V3" s="5403"/>
    </row>
    <row r="5" spans="1:23" x14ac:dyDescent="0.25">
      <c r="A5" s="1349"/>
      <c r="B5" s="5413" t="s">
        <v>66</v>
      </c>
      <c r="C5" s="5413"/>
      <c r="D5" s="5413"/>
      <c r="E5" s="5413" t="s">
        <v>92</v>
      </c>
      <c r="F5" s="5413"/>
      <c r="G5" s="5413"/>
      <c r="H5" s="5413" t="s">
        <v>117</v>
      </c>
      <c r="I5" s="5413"/>
      <c r="J5" s="5413"/>
      <c r="K5" s="5413" t="s">
        <v>155</v>
      </c>
      <c r="L5" s="5413"/>
      <c r="M5" s="5413"/>
      <c r="N5" s="5413" t="s">
        <v>229</v>
      </c>
      <c r="O5" s="5413"/>
      <c r="P5" s="5413"/>
      <c r="Q5" s="5413" t="s">
        <v>364</v>
      </c>
      <c r="R5" s="5413"/>
      <c r="S5" s="5413"/>
      <c r="T5" s="5413" t="s">
        <v>818</v>
      </c>
      <c r="U5" s="5413"/>
      <c r="V5" s="5414"/>
      <c r="W5" s="5404" t="s">
        <v>1476</v>
      </c>
    </row>
    <row r="6" spans="1:23" x14ac:dyDescent="0.25">
      <c r="A6" s="1349"/>
      <c r="B6" s="1351" t="s">
        <v>288</v>
      </c>
      <c r="C6" s="1351" t="s">
        <v>316</v>
      </c>
      <c r="D6" s="1351" t="s">
        <v>289</v>
      </c>
      <c r="E6" s="1351" t="s">
        <v>288</v>
      </c>
      <c r="F6" s="1351" t="s">
        <v>316</v>
      </c>
      <c r="G6" s="1351" t="s">
        <v>289</v>
      </c>
      <c r="H6" s="1351" t="s">
        <v>288</v>
      </c>
      <c r="I6" s="1351" t="s">
        <v>316</v>
      </c>
      <c r="J6" s="1351" t="s">
        <v>289</v>
      </c>
      <c r="K6" s="1351" t="s">
        <v>288</v>
      </c>
      <c r="L6" s="1351" t="s">
        <v>316</v>
      </c>
      <c r="M6" s="1351" t="s">
        <v>289</v>
      </c>
      <c r="N6" s="1351" t="s">
        <v>288</v>
      </c>
      <c r="O6" s="1351" t="s">
        <v>316</v>
      </c>
      <c r="P6" s="1351" t="s">
        <v>289</v>
      </c>
      <c r="Q6" s="1351" t="s">
        <v>288</v>
      </c>
      <c r="R6" s="1351" t="s">
        <v>316</v>
      </c>
      <c r="S6" s="1351" t="s">
        <v>289</v>
      </c>
      <c r="T6" s="1351" t="s">
        <v>288</v>
      </c>
      <c r="U6" s="1351" t="s">
        <v>316</v>
      </c>
      <c r="V6" s="1355" t="s">
        <v>289</v>
      </c>
      <c r="W6" s="5404"/>
    </row>
    <row r="7" spans="1:23" x14ac:dyDescent="0.25">
      <c r="A7" s="5404" t="s">
        <v>1463</v>
      </c>
      <c r="B7" s="5404"/>
      <c r="C7" s="5404"/>
      <c r="D7" s="5404"/>
      <c r="E7" s="5404"/>
      <c r="F7" s="5404"/>
      <c r="G7" s="5404"/>
      <c r="H7" s="5404"/>
      <c r="I7" s="5404"/>
      <c r="J7" s="5404"/>
      <c r="K7" s="5404"/>
      <c r="L7" s="5404"/>
      <c r="M7" s="5404"/>
      <c r="N7" s="5404"/>
      <c r="O7" s="5404"/>
      <c r="P7" s="5404"/>
      <c r="Q7" s="5404"/>
      <c r="R7" s="5404"/>
      <c r="S7" s="5404"/>
      <c r="T7" s="5404"/>
      <c r="U7" s="5404"/>
      <c r="V7" s="5415"/>
      <c r="W7" s="1353"/>
    </row>
    <row r="8" spans="1:23" ht="37.5" customHeight="1" x14ac:dyDescent="0.25">
      <c r="A8" s="1349" t="s">
        <v>1472</v>
      </c>
      <c r="B8" s="1352"/>
      <c r="C8" s="1352"/>
      <c r="D8" s="1352"/>
      <c r="E8" s="1352"/>
      <c r="F8" s="1352"/>
      <c r="G8" s="1352"/>
      <c r="H8" s="1352">
        <v>4099</v>
      </c>
      <c r="I8" s="1352">
        <v>3507.9</v>
      </c>
      <c r="J8" s="1352">
        <v>299.7</v>
      </c>
      <c r="K8" s="1352">
        <v>7199</v>
      </c>
      <c r="L8" s="1352">
        <v>3538.9</v>
      </c>
      <c r="M8" s="1352">
        <v>216.9</v>
      </c>
      <c r="N8" s="1352">
        <f>7295.1</f>
        <v>7295.1</v>
      </c>
      <c r="O8" s="1352">
        <f>4787.73</f>
        <v>4787.7299999999996</v>
      </c>
      <c r="P8" s="1352">
        <f>'ОХР '!W24+'ОХР '!X24</f>
        <v>189.15722480612965</v>
      </c>
      <c r="Q8" s="1352">
        <f>7550.3+1287.3</f>
        <v>8837.6</v>
      </c>
      <c r="R8" s="1352">
        <f>4822.1+1355.2</f>
        <v>6177.3</v>
      </c>
      <c r="S8" s="1352">
        <v>192.15</v>
      </c>
      <c r="T8" s="1352">
        <f>7550.3+1785.8</f>
        <v>9336.1</v>
      </c>
      <c r="U8" s="1352">
        <v>4822.1000000000004</v>
      </c>
      <c r="V8" s="1356">
        <v>192.66</v>
      </c>
      <c r="W8" s="1352">
        <f>SUM(H8:V8)</f>
        <v>60691.297224806134</v>
      </c>
    </row>
    <row r="9" spans="1:23" s="1363" customFormat="1" ht="30" x14ac:dyDescent="0.25">
      <c r="A9" s="1359" t="s">
        <v>1477</v>
      </c>
      <c r="B9" s="1360">
        <f>2944</f>
        <v>2944</v>
      </c>
      <c r="C9" s="1360">
        <v>2430.6999999999998</v>
      </c>
      <c r="D9" s="1360"/>
      <c r="E9" s="1360">
        <v>5065.2</v>
      </c>
      <c r="F9" s="1360">
        <v>4702.8</v>
      </c>
      <c r="G9" s="1360"/>
      <c r="H9" s="1360">
        <v>7172.1</v>
      </c>
      <c r="I9" s="1360">
        <v>4863.1000000000004</v>
      </c>
      <c r="J9" s="1360">
        <v>206.6</v>
      </c>
      <c r="K9" s="1360">
        <v>7355</v>
      </c>
      <c r="L9" s="1360">
        <v>4787.7299999999996</v>
      </c>
      <c r="M9" s="1360">
        <v>192.4</v>
      </c>
      <c r="N9" s="1360">
        <v>7609.8</v>
      </c>
      <c r="O9" s="1360">
        <v>4702.5</v>
      </c>
      <c r="P9" s="1360">
        <f>'ОХР '!AA24</f>
        <v>182.16</v>
      </c>
      <c r="Q9" s="1360">
        <v>6102.07</v>
      </c>
      <c r="R9" s="1360">
        <v>3628.35</v>
      </c>
      <c r="S9" s="1360">
        <v>112.52</v>
      </c>
      <c r="T9" s="1360"/>
      <c r="U9" s="1360"/>
      <c r="V9" s="1361"/>
      <c r="W9" s="1362"/>
    </row>
    <row r="10" spans="1:23" ht="30" x14ac:dyDescent="0.25">
      <c r="A10" s="1349" t="s">
        <v>1464</v>
      </c>
      <c r="B10" s="1352"/>
      <c r="C10" s="1352"/>
      <c r="D10" s="1352"/>
      <c r="E10" s="1352"/>
      <c r="F10" s="1352"/>
      <c r="G10" s="1352"/>
      <c r="H10" s="1352">
        <f>477.1+864.8+583.2+1667.9</f>
        <v>3593</v>
      </c>
      <c r="I10" s="1352">
        <f>430+841.5+196.9+735.9</f>
        <v>2204.3000000000002</v>
      </c>
      <c r="J10" s="1352"/>
      <c r="K10" s="1352">
        <f>124.5+300</f>
        <v>424.5</v>
      </c>
      <c r="L10" s="1352">
        <f>451+882.7+206.7+771.96</f>
        <v>2312.36</v>
      </c>
      <c r="M10" s="1352"/>
      <c r="N10" s="1352">
        <f>780</f>
        <v>780</v>
      </c>
      <c r="O10" s="1352">
        <f>стоки!Z12+стоки!Y22+стоки!Y28+стоки!Y37</f>
        <v>699.72213333333343</v>
      </c>
      <c r="P10" s="1352"/>
      <c r="Q10" s="1352">
        <v>215.85</v>
      </c>
      <c r="R10" s="1352">
        <f>стоки!AI12+стоки!AI22+стоки!AI28+стоки!AI37</f>
        <v>361.53</v>
      </c>
      <c r="S10" s="1352"/>
      <c r="T10" s="1352">
        <f>вода!BD12+вода!BD22+вода!BD28+вода!BD38</f>
        <v>500.53977966101695</v>
      </c>
      <c r="U10" s="1352">
        <f>стоки!AZ12+стоки!AZ22+стоки!AZ28+стоки!AZ37</f>
        <v>301.27555932203393</v>
      </c>
      <c r="V10" s="1356"/>
      <c r="W10" s="1352">
        <f>SUM(H10:V10)</f>
        <v>11393.077472316385</v>
      </c>
    </row>
    <row r="11" spans="1:23" x14ac:dyDescent="0.25">
      <c r="A11" s="1349" t="s">
        <v>1470</v>
      </c>
      <c r="B11" s="1352"/>
      <c r="C11" s="1352"/>
      <c r="D11" s="1352"/>
      <c r="E11" s="1352"/>
      <c r="F11" s="1352"/>
      <c r="G11" s="1352"/>
      <c r="H11" s="1352"/>
      <c r="I11" s="1352"/>
      <c r="J11" s="1352"/>
      <c r="K11" s="1352"/>
      <c r="L11" s="1352"/>
      <c r="M11" s="1352"/>
      <c r="N11" s="1352">
        <f>вода!AA84</f>
        <v>4665</v>
      </c>
      <c r="O11" s="1352">
        <f>стоки!Y73</f>
        <v>4947</v>
      </c>
      <c r="P11" s="1352"/>
      <c r="Q11" s="1352">
        <f>вода!AN84</f>
        <v>4444</v>
      </c>
      <c r="R11" s="1352">
        <f>стоки!AI73</f>
        <v>3568.1</v>
      </c>
      <c r="S11" s="1352"/>
      <c r="T11" s="1352">
        <f>вода!BD84</f>
        <v>3976</v>
      </c>
      <c r="U11" s="1352">
        <f>стоки!AZ73</f>
        <v>0.9</v>
      </c>
      <c r="V11" s="1356"/>
      <c r="W11" s="1352">
        <f t="shared" ref="W11:W12" si="0">SUM(H11:V11)</f>
        <v>21601</v>
      </c>
    </row>
    <row r="12" spans="1:23" x14ac:dyDescent="0.25">
      <c r="A12" s="1349" t="s">
        <v>1467</v>
      </c>
      <c r="B12" s="1352">
        <f t="shared" ref="B12:G12" si="1">B8+B10</f>
        <v>0</v>
      </c>
      <c r="C12" s="1352">
        <f t="shared" si="1"/>
        <v>0</v>
      </c>
      <c r="D12" s="1352">
        <f t="shared" si="1"/>
        <v>0</v>
      </c>
      <c r="E12" s="1352">
        <f t="shared" si="1"/>
        <v>0</v>
      </c>
      <c r="F12" s="1352">
        <f t="shared" si="1"/>
        <v>0</v>
      </c>
      <c r="G12" s="1352">
        <f t="shared" si="1"/>
        <v>0</v>
      </c>
      <c r="H12" s="1352">
        <f t="shared" ref="H12:V12" si="2">H8+H10+H11</f>
        <v>7692</v>
      </c>
      <c r="I12" s="1352">
        <f t="shared" si="2"/>
        <v>5712.2000000000007</v>
      </c>
      <c r="J12" s="1352">
        <f t="shared" si="2"/>
        <v>299.7</v>
      </c>
      <c r="K12" s="1352">
        <f t="shared" si="2"/>
        <v>7623.5</v>
      </c>
      <c r="L12" s="1352">
        <f t="shared" si="2"/>
        <v>5851.26</v>
      </c>
      <c r="M12" s="1352">
        <f t="shared" si="2"/>
        <v>216.9</v>
      </c>
      <c r="N12" s="1352">
        <f t="shared" si="2"/>
        <v>12740.1</v>
      </c>
      <c r="O12" s="1352">
        <f t="shared" si="2"/>
        <v>10434.452133333332</v>
      </c>
      <c r="P12" s="1352">
        <f t="shared" si="2"/>
        <v>189.15722480612965</v>
      </c>
      <c r="Q12" s="1352">
        <f t="shared" si="2"/>
        <v>13497.45</v>
      </c>
      <c r="R12" s="1352">
        <f t="shared" si="2"/>
        <v>10106.93</v>
      </c>
      <c r="S12" s="1352">
        <f t="shared" si="2"/>
        <v>192.15</v>
      </c>
      <c r="T12" s="1352">
        <f t="shared" si="2"/>
        <v>13812.639779661018</v>
      </c>
      <c r="U12" s="1352">
        <f t="shared" si="2"/>
        <v>5124.2755593220336</v>
      </c>
      <c r="V12" s="1356">
        <f t="shared" si="2"/>
        <v>192.66</v>
      </c>
      <c r="W12" s="1352">
        <f t="shared" si="0"/>
        <v>93685.374697122519</v>
      </c>
    </row>
    <row r="13" spans="1:23" x14ac:dyDescent="0.25">
      <c r="A13" s="5405"/>
      <c r="B13" s="5406"/>
      <c r="C13" s="5406"/>
      <c r="D13" s="5406"/>
      <c r="E13" s="5406"/>
      <c r="F13" s="5406"/>
      <c r="G13" s="5406"/>
      <c r="H13" s="5406"/>
      <c r="I13" s="5406"/>
      <c r="J13" s="5406"/>
      <c r="K13" s="5406"/>
      <c r="L13" s="5406"/>
      <c r="M13" s="5406"/>
      <c r="N13" s="5406"/>
      <c r="O13" s="5406"/>
      <c r="P13" s="5406"/>
      <c r="Q13" s="5406"/>
      <c r="R13" s="5406"/>
      <c r="S13" s="5406"/>
      <c r="T13" s="5406"/>
      <c r="U13" s="5406"/>
      <c r="V13" s="5406"/>
      <c r="W13" s="5407"/>
    </row>
    <row r="14" spans="1:23" ht="30" x14ac:dyDescent="0.25">
      <c r="A14" s="1349" t="s">
        <v>1465</v>
      </c>
      <c r="B14" s="1352"/>
      <c r="C14" s="1352"/>
      <c r="D14" s="1352"/>
      <c r="E14" s="1352"/>
      <c r="F14" s="1352"/>
      <c r="G14" s="1352"/>
      <c r="H14" s="5410">
        <f>3801.4</f>
        <v>3801.4</v>
      </c>
      <c r="I14" s="5411"/>
      <c r="J14" s="5412"/>
      <c r="K14" s="5410">
        <v>3970.2</v>
      </c>
      <c r="L14" s="5411"/>
      <c r="M14" s="5412"/>
      <c r="N14" s="5410">
        <v>3057.9</v>
      </c>
      <c r="O14" s="5411"/>
      <c r="P14" s="5412"/>
      <c r="Q14" s="1352"/>
      <c r="R14" s="1352"/>
      <c r="S14" s="1352"/>
      <c r="T14" s="1352"/>
      <c r="U14" s="1352"/>
      <c r="V14" s="1356"/>
      <c r="W14" s="1352">
        <f>SUM(H14:V14)</f>
        <v>10829.5</v>
      </c>
    </row>
    <row r="15" spans="1:23" x14ac:dyDescent="0.25">
      <c r="A15" s="1349" t="s">
        <v>1466</v>
      </c>
      <c r="B15" s="1352">
        <f>196.7+1504.8+562.4+1300.3</f>
        <v>3564.2</v>
      </c>
      <c r="C15" s="1352"/>
      <c r="D15" s="1352"/>
      <c r="E15" s="1352">
        <f>430.7+822.8+623.8+3074.9</f>
        <v>4952.2</v>
      </c>
      <c r="F15" s="1352"/>
      <c r="G15" s="1352"/>
      <c r="H15" s="1352">
        <f>94.7+1076.6+710+2187.1</f>
        <v>4068.3999999999996</v>
      </c>
      <c r="I15" s="1352">
        <f>427+279.7+300.6+250.9</f>
        <v>1258.2</v>
      </c>
      <c r="J15" s="1352"/>
      <c r="K15" s="1352">
        <f>20+1500+300+1238.7</f>
        <v>3058.7</v>
      </c>
      <c r="L15" s="1352"/>
      <c r="M15" s="1352"/>
      <c r="N15" s="1352">
        <v>2797.4</v>
      </c>
      <c r="O15" s="1352">
        <f>стоки!AB12+стоки!AB22+стоки!AB28+стоки!AB37</f>
        <v>658.1</v>
      </c>
      <c r="P15" s="1352"/>
      <c r="Q15" s="1352">
        <v>2859.9</v>
      </c>
      <c r="R15" s="1352">
        <f>стоки!AS12+стоки!AS22+стоки!AS28+стоки!AS37</f>
        <v>0</v>
      </c>
      <c r="S15" s="1352"/>
      <c r="T15" s="1352"/>
      <c r="U15" s="1352"/>
      <c r="V15" s="1356"/>
      <c r="W15" s="1352">
        <f>SUM(H15:V15)</f>
        <v>14700.699999999999</v>
      </c>
    </row>
    <row r="16" spans="1:23" x14ac:dyDescent="0.25">
      <c r="A16" s="1349" t="s">
        <v>1471</v>
      </c>
      <c r="B16" s="1352"/>
      <c r="C16" s="1352"/>
      <c r="D16" s="1352"/>
      <c r="E16" s="1352"/>
      <c r="F16" s="1352"/>
      <c r="G16" s="1352"/>
      <c r="H16" s="1352"/>
      <c r="I16" s="1352"/>
      <c r="J16" s="1352"/>
      <c r="K16" s="1352"/>
      <c r="L16" s="1352"/>
      <c r="M16" s="1352"/>
      <c r="N16" s="1352">
        <v>824.7</v>
      </c>
      <c r="O16" s="1352">
        <v>1044.8800000000001</v>
      </c>
      <c r="P16" s="1352"/>
      <c r="Q16" s="1352"/>
      <c r="R16" s="1352"/>
      <c r="S16" s="1352"/>
      <c r="T16" s="1352"/>
      <c r="U16" s="1352"/>
      <c r="V16" s="1356"/>
      <c r="W16" s="1352">
        <f>SUM(H16:V16)</f>
        <v>1869.5800000000002</v>
      </c>
    </row>
    <row r="17" spans="1:23" x14ac:dyDescent="0.25">
      <c r="A17" s="5408"/>
      <c r="B17" s="5408"/>
      <c r="C17" s="5408"/>
      <c r="D17" s="5408"/>
      <c r="E17" s="5408"/>
      <c r="F17" s="5408"/>
      <c r="G17" s="5408"/>
      <c r="H17" s="5408"/>
      <c r="I17" s="5408"/>
      <c r="J17" s="5408"/>
      <c r="K17" s="5408"/>
      <c r="L17" s="5408"/>
      <c r="M17" s="5408"/>
      <c r="N17" s="5408"/>
      <c r="O17" s="5408"/>
      <c r="P17" s="5408"/>
      <c r="Q17" s="5408"/>
      <c r="R17" s="5408"/>
      <c r="S17" s="5408"/>
      <c r="T17" s="5408"/>
      <c r="U17" s="5408"/>
      <c r="V17" s="5408"/>
      <c r="W17" s="5409"/>
    </row>
    <row r="18" spans="1:23" x14ac:dyDescent="0.25">
      <c r="A18" s="1349"/>
      <c r="B18" s="1352"/>
      <c r="C18" s="1352"/>
      <c r="D18" s="1352"/>
      <c r="E18" s="1352"/>
      <c r="F18" s="1352"/>
      <c r="G18" s="1352"/>
      <c r="H18" s="1352"/>
      <c r="I18" s="1352"/>
      <c r="J18" s="1352"/>
      <c r="K18" s="1352"/>
      <c r="L18" s="1352"/>
      <c r="M18" s="1352"/>
      <c r="N18" s="1352"/>
      <c r="O18" s="1352"/>
      <c r="P18" s="1352"/>
      <c r="Q18" s="1352"/>
      <c r="R18" s="1352"/>
      <c r="S18" s="1352"/>
      <c r="T18" s="1352"/>
      <c r="U18" s="1352"/>
      <c r="V18" s="1356"/>
      <c r="W18" s="1353"/>
    </row>
    <row r="19" spans="1:23" ht="30" x14ac:dyDescent="0.25">
      <c r="A19" s="1349" t="s">
        <v>1468</v>
      </c>
      <c r="B19" s="1352">
        <f t="shared" ref="B19:G19" si="3">B14+B15</f>
        <v>3564.2</v>
      </c>
      <c r="C19" s="1352">
        <f t="shared" si="3"/>
        <v>0</v>
      </c>
      <c r="D19" s="1352">
        <f t="shared" si="3"/>
        <v>0</v>
      </c>
      <c r="E19" s="1352">
        <f t="shared" si="3"/>
        <v>4952.2</v>
      </c>
      <c r="F19" s="1352">
        <f t="shared" si="3"/>
        <v>0</v>
      </c>
      <c r="G19" s="1352">
        <f t="shared" si="3"/>
        <v>0</v>
      </c>
      <c r="H19" s="1352">
        <f>H14+H15+H16</f>
        <v>7869.7999999999993</v>
      </c>
      <c r="I19" s="1352">
        <f t="shared" ref="I19:V19" si="4">I14+I15+I16</f>
        <v>1258.2</v>
      </c>
      <c r="J19" s="1352">
        <f t="shared" si="4"/>
        <v>0</v>
      </c>
      <c r="K19" s="1352">
        <f t="shared" si="4"/>
        <v>7028.9</v>
      </c>
      <c r="L19" s="1352">
        <f t="shared" si="4"/>
        <v>0</v>
      </c>
      <c r="M19" s="1352">
        <f t="shared" si="4"/>
        <v>0</v>
      </c>
      <c r="N19" s="1352">
        <f t="shared" si="4"/>
        <v>6680</v>
      </c>
      <c r="O19" s="1352">
        <f t="shared" si="4"/>
        <v>1702.98</v>
      </c>
      <c r="P19" s="1352">
        <f t="shared" si="4"/>
        <v>0</v>
      </c>
      <c r="Q19" s="1352">
        <f t="shared" si="4"/>
        <v>2859.9</v>
      </c>
      <c r="R19" s="1352">
        <f t="shared" si="4"/>
        <v>0</v>
      </c>
      <c r="S19" s="1352">
        <f t="shared" si="4"/>
        <v>0</v>
      </c>
      <c r="T19" s="1352">
        <f t="shared" si="4"/>
        <v>0</v>
      </c>
      <c r="U19" s="1352">
        <f t="shared" si="4"/>
        <v>0</v>
      </c>
      <c r="V19" s="1356">
        <f t="shared" si="4"/>
        <v>0</v>
      </c>
      <c r="W19" s="1352">
        <f>SUM(H19:V19)</f>
        <v>27399.780000000002</v>
      </c>
    </row>
    <row r="20" spans="1:23" x14ac:dyDescent="0.25">
      <c r="A20" s="1349" t="s">
        <v>1469</v>
      </c>
      <c r="B20" s="1353"/>
      <c r="C20" s="1353"/>
      <c r="D20" s="1353"/>
      <c r="E20" s="1353"/>
      <c r="F20" s="1353"/>
      <c r="G20" s="1353"/>
      <c r="H20" s="1352">
        <f t="shared" ref="H20:V20" si="5">H12-H19</f>
        <v>-177.79999999999927</v>
      </c>
      <c r="I20" s="1352">
        <f t="shared" si="5"/>
        <v>4454.0000000000009</v>
      </c>
      <c r="J20" s="1352">
        <f t="shared" si="5"/>
        <v>299.7</v>
      </c>
      <c r="K20" s="1352">
        <f t="shared" si="5"/>
        <v>594.60000000000036</v>
      </c>
      <c r="L20" s="1352">
        <f t="shared" si="5"/>
        <v>5851.26</v>
      </c>
      <c r="M20" s="1352">
        <f t="shared" si="5"/>
        <v>216.9</v>
      </c>
      <c r="N20" s="1352">
        <f t="shared" si="5"/>
        <v>6060.1</v>
      </c>
      <c r="O20" s="1352">
        <f t="shared" si="5"/>
        <v>8731.4721333333327</v>
      </c>
      <c r="P20" s="1352">
        <f t="shared" si="5"/>
        <v>189.15722480612965</v>
      </c>
      <c r="Q20" s="1352">
        <f t="shared" si="5"/>
        <v>10637.550000000001</v>
      </c>
      <c r="R20" s="1352">
        <f t="shared" si="5"/>
        <v>10106.93</v>
      </c>
      <c r="S20" s="1352">
        <f t="shared" si="5"/>
        <v>192.15</v>
      </c>
      <c r="T20" s="1352">
        <f t="shared" si="5"/>
        <v>13812.639779661018</v>
      </c>
      <c r="U20" s="1352">
        <f t="shared" si="5"/>
        <v>5124.2755593220336</v>
      </c>
      <c r="V20" s="1356">
        <f t="shared" si="5"/>
        <v>192.66</v>
      </c>
      <c r="W20" s="1354">
        <f>SUM(H20:V20)</f>
        <v>66285.59469712252</v>
      </c>
    </row>
    <row r="21" spans="1:23" ht="30" customHeight="1" x14ac:dyDescent="0.35">
      <c r="A21" s="5416" t="s">
        <v>1475</v>
      </c>
      <c r="B21" s="5417"/>
      <c r="C21" s="5417"/>
      <c r="D21" s="5417"/>
      <c r="E21" s="5417"/>
      <c r="F21" s="5417"/>
      <c r="G21" s="5417"/>
      <c r="H21" s="5417"/>
      <c r="I21" s="5417"/>
      <c r="J21" s="5417"/>
      <c r="K21" s="5417"/>
      <c r="L21" s="5417"/>
      <c r="M21" s="5417"/>
      <c r="N21" s="5417"/>
      <c r="O21" s="5417"/>
      <c r="P21" s="5417"/>
      <c r="Q21" s="5417"/>
      <c r="R21" s="5417"/>
      <c r="S21" s="5417"/>
      <c r="T21" s="5417"/>
      <c r="U21" s="5418"/>
      <c r="V21" s="1357">
        <f>SUM(H20:V20)</f>
        <v>66285.59469712252</v>
      </c>
      <c r="W21" s="1353"/>
    </row>
    <row r="22" spans="1:23" x14ac:dyDescent="0.25">
      <c r="A22" s="5406"/>
      <c r="B22" s="5406"/>
      <c r="C22" s="5406"/>
      <c r="D22" s="5406"/>
      <c r="E22" s="5406"/>
      <c r="F22" s="5406"/>
      <c r="G22" s="5406"/>
      <c r="H22" s="5406"/>
      <c r="I22" s="5406"/>
      <c r="J22" s="5406"/>
      <c r="K22" s="5406"/>
      <c r="L22" s="5406"/>
      <c r="M22" s="5406"/>
      <c r="N22" s="5406"/>
      <c r="O22" s="5406"/>
      <c r="P22" s="5406"/>
      <c r="Q22" s="5406"/>
      <c r="R22" s="5406"/>
      <c r="S22" s="5406"/>
      <c r="T22" s="5406"/>
      <c r="U22" s="5406"/>
      <c r="V22" s="5406"/>
      <c r="W22" s="5407"/>
    </row>
    <row r="23" spans="1:23" x14ac:dyDescent="0.25">
      <c r="A23" s="5404" t="s">
        <v>1473</v>
      </c>
      <c r="B23" s="5404"/>
      <c r="C23" s="5404"/>
      <c r="D23" s="5404"/>
      <c r="E23" s="5404"/>
      <c r="F23" s="5404"/>
      <c r="G23" s="5404"/>
      <c r="H23" s="5404"/>
      <c r="I23" s="5404"/>
      <c r="J23" s="5404"/>
      <c r="K23" s="5404"/>
      <c r="L23" s="5404"/>
      <c r="M23" s="5404"/>
      <c r="N23" s="5404"/>
      <c r="O23" s="5404"/>
      <c r="P23" s="5404"/>
      <c r="Q23" s="5404"/>
      <c r="R23" s="5404"/>
      <c r="S23" s="5404"/>
      <c r="T23" s="5404"/>
      <c r="U23" s="5404"/>
      <c r="V23" s="5415"/>
      <c r="W23" s="1353"/>
    </row>
    <row r="24" spans="1:23" ht="30" x14ac:dyDescent="0.25">
      <c r="A24" s="1349" t="s">
        <v>1478</v>
      </c>
      <c r="B24" s="1353"/>
      <c r="C24" s="1353"/>
      <c r="D24" s="1353"/>
      <c r="E24" s="1353"/>
      <c r="F24" s="1353"/>
      <c r="G24" s="1353"/>
      <c r="H24" s="1353"/>
      <c r="I24" s="1353"/>
      <c r="J24" s="1353"/>
      <c r="K24" s="1353"/>
      <c r="L24" s="1353"/>
      <c r="M24" s="1353"/>
      <c r="N24" s="1353"/>
      <c r="O24" s="1353"/>
      <c r="P24" s="1353"/>
      <c r="Q24" s="1353"/>
      <c r="R24" s="1353"/>
      <c r="S24" s="1353"/>
      <c r="T24" s="1352">
        <f>10+15+4100.22+5000+5000</f>
        <v>14125.220000000001</v>
      </c>
      <c r="U24" s="1352">
        <f>1497.7+1500+1500</f>
        <v>4497.7</v>
      </c>
      <c r="V24" s="1358"/>
      <c r="W24" s="1352">
        <f>SUM(H24:V24)</f>
        <v>18622.920000000002</v>
      </c>
    </row>
    <row r="25" spans="1:23" ht="30" x14ac:dyDescent="0.25">
      <c r="A25" s="1349" t="s">
        <v>1479</v>
      </c>
      <c r="B25" s="1353"/>
      <c r="C25" s="1353"/>
      <c r="D25" s="1353"/>
      <c r="E25" s="1353"/>
      <c r="F25" s="1353"/>
      <c r="G25" s="1353"/>
      <c r="H25" s="1353"/>
      <c r="I25" s="1353"/>
      <c r="J25" s="1353"/>
      <c r="K25" s="1353"/>
      <c r="L25" s="1353"/>
      <c r="M25" s="1353"/>
      <c r="N25" s="1353"/>
      <c r="O25" s="1353"/>
      <c r="P25" s="1353"/>
      <c r="Q25" s="1353"/>
      <c r="R25" s="1353"/>
      <c r="S25" s="1353"/>
      <c r="T25" s="1353">
        <v>4735.2</v>
      </c>
      <c r="U25" s="1353">
        <v>4491.5</v>
      </c>
      <c r="V25" s="1358"/>
      <c r="W25" s="1352">
        <f>SUM(H25:V25)</f>
        <v>9226.7000000000007</v>
      </c>
    </row>
  </sheetData>
  <mergeCells count="18">
    <mergeCell ref="A23:V23"/>
    <mergeCell ref="B5:D5"/>
    <mergeCell ref="E5:G5"/>
    <mergeCell ref="H5:J5"/>
    <mergeCell ref="K5:M5"/>
    <mergeCell ref="N5:P5"/>
    <mergeCell ref="Q5:S5"/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</mergeCells>
  <pageMargins left="0.7" right="0.7" top="0.75" bottom="0.75" header="0.3" footer="0.3"/>
  <pageSetup paperSize="9" scale="5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1926" customFormat="1" x14ac:dyDescent="0.2">
      <c r="A2" s="1928" t="s">
        <v>1695</v>
      </c>
    </row>
    <row r="3" spans="1:5" ht="15" x14ac:dyDescent="0.2">
      <c r="A3" s="4450" t="s">
        <v>527</v>
      </c>
      <c r="B3" s="4450" t="s">
        <v>1689</v>
      </c>
      <c r="C3" s="4450"/>
      <c r="D3" s="4450"/>
      <c r="E3" s="4450"/>
    </row>
    <row r="4" spans="1:5" ht="14.25" customHeight="1" x14ac:dyDescent="0.2">
      <c r="A4" s="4450"/>
      <c r="B4" s="1923" t="s">
        <v>155</v>
      </c>
      <c r="C4" s="1923" t="s">
        <v>229</v>
      </c>
      <c r="D4" s="1923" t="s">
        <v>364</v>
      </c>
      <c r="E4" s="1923" t="s">
        <v>818</v>
      </c>
    </row>
    <row r="5" spans="1:5" ht="28.5" customHeight="1" x14ac:dyDescent="0.2">
      <c r="A5" s="1924" t="s">
        <v>1690</v>
      </c>
      <c r="B5" s="1925">
        <v>4181.7077200000003</v>
      </c>
      <c r="C5" s="1925">
        <f>объемы!K49-объемы!K51</f>
        <v>3989.2</v>
      </c>
      <c r="D5" s="1925">
        <f>объемы!R49</f>
        <v>3762.2000000000003</v>
      </c>
      <c r="E5" s="1925">
        <f>объемы!W49</f>
        <v>3566.34</v>
      </c>
    </row>
    <row r="6" spans="1:5" ht="23.25" customHeight="1" x14ac:dyDescent="0.2">
      <c r="A6" s="1924" t="s">
        <v>1691</v>
      </c>
      <c r="B6" s="4451">
        <f>1/3*((E5-D5)/D5+(D5-C5)/C5+(C5-B5)/B5)</f>
        <v>-5.1666425182175194E-2</v>
      </c>
      <c r="C6" s="4451"/>
      <c r="D6" s="4451"/>
      <c r="E6" s="4451"/>
    </row>
    <row r="7" spans="1:5" ht="31.5" customHeight="1" x14ac:dyDescent="0.2">
      <c r="A7" s="1924" t="s">
        <v>1692</v>
      </c>
      <c r="B7" s="4452">
        <f>E5*(1-0.05)*(1-0.05)</f>
        <v>3218.62185</v>
      </c>
      <c r="C7" s="4452"/>
      <c r="D7" s="4452"/>
      <c r="E7" s="4452"/>
    </row>
    <row r="8" spans="1:5" ht="13.5" customHeight="1" x14ac:dyDescent="0.2">
      <c r="A8" s="1927" t="s">
        <v>1696</v>
      </c>
    </row>
    <row r="9" spans="1:5" ht="19.5" customHeight="1" x14ac:dyDescent="0.2">
      <c r="A9" s="1924" t="s">
        <v>1693</v>
      </c>
      <c r="B9" s="1925">
        <v>46.051000000000002</v>
      </c>
      <c r="C9" s="1925">
        <f>объемы!K51</f>
        <v>49.8</v>
      </c>
      <c r="D9" s="1925">
        <f>объемы!S49</f>
        <v>18.22</v>
      </c>
      <c r="E9" s="1925">
        <f>объемы!X49</f>
        <v>2.4</v>
      </c>
    </row>
    <row r="10" spans="1:5" ht="19.5" customHeight="1" x14ac:dyDescent="0.2">
      <c r="A10" s="1924" t="s">
        <v>1691</v>
      </c>
      <c r="B10" s="4453">
        <f>1/3*((E9-D9)/D9+(D9-C9)/C9+(C9-B9)/B9)</f>
        <v>-0.47366780797031161</v>
      </c>
      <c r="C10" s="4454"/>
      <c r="D10" s="4454"/>
      <c r="E10" s="4455"/>
    </row>
    <row r="11" spans="1:5" ht="33" customHeight="1" x14ac:dyDescent="0.2">
      <c r="A11" s="1924" t="s">
        <v>1694</v>
      </c>
      <c r="B11" s="4447">
        <f>E9*(1-0.05)*(1-0.05)</f>
        <v>2.1659999999999999</v>
      </c>
      <c r="C11" s="4448"/>
      <c r="D11" s="4448"/>
      <c r="E11" s="4449"/>
    </row>
    <row r="12" spans="1:5" x14ac:dyDescent="0.2">
      <c r="A12" s="1927" t="s">
        <v>337</v>
      </c>
    </row>
    <row r="13" spans="1:5" ht="21.75" customHeight="1" x14ac:dyDescent="0.2">
      <c r="A13" s="1924" t="s">
        <v>1693</v>
      </c>
      <c r="B13" s="1925">
        <v>3771.0683899999999</v>
      </c>
      <c r="C13" s="1925">
        <f>объемы!K63</f>
        <v>3476.2</v>
      </c>
      <c r="D13" s="1925">
        <f>объемы!R63</f>
        <v>3186.5699999999997</v>
      </c>
      <c r="E13" s="1925">
        <f>объемы!W63</f>
        <v>4196.72</v>
      </c>
    </row>
    <row r="14" spans="1:5" ht="15" x14ac:dyDescent="0.2">
      <c r="A14" s="1924" t="s">
        <v>1691</v>
      </c>
      <c r="B14" s="4453">
        <f>1/3*((E13-D13)/D13+(D13-C13)/C13+(C13-B13)/B13)</f>
        <v>5.1830678381774548E-2</v>
      </c>
      <c r="C14" s="4454"/>
      <c r="D14" s="4454"/>
      <c r="E14" s="4455"/>
    </row>
    <row r="15" spans="1:5" ht="33" customHeight="1" x14ac:dyDescent="0.2">
      <c r="A15" s="1924" t="s">
        <v>1694</v>
      </c>
      <c r="B15" s="4447">
        <f>E13*(1-0.05)*(1-0.05)</f>
        <v>3787.5398</v>
      </c>
      <c r="C15" s="4448"/>
      <c r="D15" s="4448"/>
      <c r="E15" s="4449"/>
    </row>
    <row r="16" spans="1:5" x14ac:dyDescent="0.2">
      <c r="A16" s="1927" t="s">
        <v>1697</v>
      </c>
    </row>
    <row r="17" spans="1:5" ht="30" x14ac:dyDescent="0.2">
      <c r="A17" s="1924" t="s">
        <v>1693</v>
      </c>
      <c r="B17" s="1925">
        <v>30.195530000000002</v>
      </c>
      <c r="C17" s="1925">
        <f>объемы!K70</f>
        <v>30.2</v>
      </c>
      <c r="D17" s="1925">
        <f>объемы!S70</f>
        <v>23.38</v>
      </c>
      <c r="E17" s="1925">
        <f>объемы!Z70</f>
        <v>20.65</v>
      </c>
    </row>
    <row r="18" spans="1:5" ht="15" x14ac:dyDescent="0.2">
      <c r="A18" s="1924" t="s">
        <v>1691</v>
      </c>
      <c r="B18" s="4453">
        <f>1/3*((E17-D17)/D17+(D17-C17)/C17+(C17-B17)/B17)</f>
        <v>-0.11414874882640261</v>
      </c>
      <c r="C18" s="4454"/>
      <c r="D18" s="4454"/>
      <c r="E18" s="4455"/>
    </row>
    <row r="19" spans="1:5" ht="30" x14ac:dyDescent="0.2">
      <c r="A19" s="1924" t="s">
        <v>1694</v>
      </c>
      <c r="B19" s="4447">
        <f>E17*(1-0.05)*(1-0.05)</f>
        <v>18.636624999999995</v>
      </c>
      <c r="C19" s="4448"/>
      <c r="D19" s="4448"/>
      <c r="E19" s="4449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54">
    <tabColor rgb="FFFFFF00"/>
    <pageSetUpPr fitToPage="1"/>
  </sheetPr>
  <dimension ref="A1:F60"/>
  <sheetViews>
    <sheetView topLeftCell="A26" zoomScale="80" zoomScaleNormal="80" workbookViewId="0">
      <selection activeCell="I30" sqref="I30"/>
    </sheetView>
  </sheetViews>
  <sheetFormatPr defaultRowHeight="15" x14ac:dyDescent="0.25"/>
  <cols>
    <col min="1" max="1" width="6.42578125" style="2565" customWidth="1"/>
    <col min="2" max="2" width="32.140625" style="2565" customWidth="1"/>
    <col min="3" max="3" width="9.42578125" style="2565" customWidth="1"/>
    <col min="4" max="6" width="18.7109375" style="2565" customWidth="1"/>
    <col min="7" max="16384" width="9.140625" style="2565"/>
  </cols>
  <sheetData>
    <row r="1" spans="1:6" ht="29.25" hidden="1" customHeight="1" x14ac:dyDescent="0.25">
      <c r="A1" s="5422" t="s">
        <v>3608</v>
      </c>
      <c r="B1" s="5422"/>
      <c r="C1" s="5422"/>
      <c r="D1" s="5422"/>
      <c r="E1" s="5422"/>
      <c r="F1" s="5422"/>
    </row>
    <row r="2" spans="1:6" hidden="1" x14ac:dyDescent="0.25">
      <c r="A2" s="5423" t="s">
        <v>347</v>
      </c>
      <c r="B2" s="5420"/>
      <c r="C2" s="5420"/>
      <c r="D2" s="5420"/>
      <c r="E2" s="5420"/>
      <c r="F2" s="5421"/>
    </row>
    <row r="3" spans="1:6" ht="41.25" hidden="1" customHeight="1" x14ac:dyDescent="0.25">
      <c r="A3" s="2566" t="s">
        <v>3609</v>
      </c>
      <c r="B3" s="2566" t="s">
        <v>3610</v>
      </c>
      <c r="C3" s="2566" t="s">
        <v>1523</v>
      </c>
      <c r="D3" s="2566" t="s">
        <v>3611</v>
      </c>
      <c r="E3" s="2566" t="s">
        <v>3612</v>
      </c>
      <c r="F3" s="2566" t="s">
        <v>3613</v>
      </c>
    </row>
    <row r="4" spans="1:6" ht="30" hidden="1" customHeight="1" x14ac:dyDescent="0.25">
      <c r="A4" s="2567" t="s">
        <v>183</v>
      </c>
      <c r="B4" s="2568" t="s">
        <v>2</v>
      </c>
      <c r="C4" s="2568" t="s">
        <v>902</v>
      </c>
      <c r="D4" s="2568">
        <v>8206.25</v>
      </c>
      <c r="E4" s="2568">
        <v>8576.67</v>
      </c>
      <c r="F4" s="2568">
        <f>SUM(E4-D4)</f>
        <v>370.42000000000007</v>
      </c>
    </row>
    <row r="5" spans="1:6" ht="30" hidden="1" customHeight="1" x14ac:dyDescent="0.25">
      <c r="A5" s="2567" t="s">
        <v>186</v>
      </c>
      <c r="B5" s="2568" t="s">
        <v>8</v>
      </c>
      <c r="C5" s="2568" t="s">
        <v>902</v>
      </c>
      <c r="D5" s="2568">
        <v>6985.43</v>
      </c>
      <c r="E5" s="2568">
        <v>8877.36</v>
      </c>
      <c r="F5" s="2568">
        <f t="shared" ref="F5:F12" si="0">SUM(E5-D5)</f>
        <v>1891.9300000000003</v>
      </c>
    </row>
    <row r="6" spans="1:6" ht="30" hidden="1" customHeight="1" x14ac:dyDescent="0.25">
      <c r="A6" s="2567" t="s">
        <v>939</v>
      </c>
      <c r="B6" s="2568" t="s">
        <v>3614</v>
      </c>
      <c r="C6" s="2568" t="s">
        <v>902</v>
      </c>
      <c r="D6" s="2568">
        <f>SUM(D7:D9)</f>
        <v>1228.1999999999998</v>
      </c>
      <c r="E6" s="2568">
        <f>SUM(E7:E9)</f>
        <v>1818.6399999999999</v>
      </c>
      <c r="F6" s="2568">
        <f t="shared" si="0"/>
        <v>590.44000000000005</v>
      </c>
    </row>
    <row r="7" spans="1:6" ht="30" hidden="1" customHeight="1" x14ac:dyDescent="0.25">
      <c r="A7" s="2567" t="s">
        <v>3615</v>
      </c>
      <c r="B7" s="2569" t="s">
        <v>3616</v>
      </c>
      <c r="C7" s="2569" t="s">
        <v>902</v>
      </c>
      <c r="D7" s="2569">
        <v>794.8</v>
      </c>
      <c r="E7" s="2569">
        <v>891.16</v>
      </c>
      <c r="F7" s="2569">
        <f t="shared" si="0"/>
        <v>96.360000000000014</v>
      </c>
    </row>
    <row r="8" spans="1:6" ht="30" hidden="1" customHeight="1" x14ac:dyDescent="0.25">
      <c r="A8" s="2567" t="s">
        <v>3617</v>
      </c>
      <c r="B8" s="2570" t="s">
        <v>3618</v>
      </c>
      <c r="C8" s="2569" t="s">
        <v>902</v>
      </c>
      <c r="D8" s="2569">
        <v>132.88</v>
      </c>
      <c r="E8" s="2569">
        <v>386.93</v>
      </c>
      <c r="F8" s="2569">
        <f t="shared" si="0"/>
        <v>254.05</v>
      </c>
    </row>
    <row r="9" spans="1:6" ht="30" hidden="1" customHeight="1" x14ac:dyDescent="0.25">
      <c r="A9" s="2567" t="s">
        <v>3619</v>
      </c>
      <c r="B9" s="2570" t="s">
        <v>3620</v>
      </c>
      <c r="C9" s="2569" t="s">
        <v>902</v>
      </c>
      <c r="D9" s="2569">
        <v>300.52</v>
      </c>
      <c r="E9" s="2569">
        <v>540.54999999999995</v>
      </c>
      <c r="F9" s="2569">
        <f t="shared" si="0"/>
        <v>240.02999999999997</v>
      </c>
    </row>
    <row r="10" spans="1:6" ht="30" hidden="1" customHeight="1" x14ac:dyDescent="0.25">
      <c r="A10" s="2567" t="s">
        <v>945</v>
      </c>
      <c r="B10" s="2568" t="s">
        <v>3621</v>
      </c>
      <c r="C10" s="2568" t="s">
        <v>902</v>
      </c>
      <c r="D10" s="2568">
        <f>SUM(D11:D12)</f>
        <v>3036.26</v>
      </c>
      <c r="E10" s="2568">
        <f>SUM(E11:E12)</f>
        <v>4888.22</v>
      </c>
      <c r="F10" s="2568">
        <f>SUM(F11:F12)</f>
        <v>1851.96</v>
      </c>
    </row>
    <row r="11" spans="1:6" ht="30" hidden="1" customHeight="1" x14ac:dyDescent="0.25">
      <c r="A11" s="2571" t="s">
        <v>3622</v>
      </c>
      <c r="B11" s="2569" t="s">
        <v>3623</v>
      </c>
      <c r="C11" s="2569" t="s">
        <v>902</v>
      </c>
      <c r="D11" s="2569">
        <v>1193.47</v>
      </c>
      <c r="E11" s="2569">
        <v>2891.98</v>
      </c>
      <c r="F11" s="2569">
        <f t="shared" si="0"/>
        <v>1698.51</v>
      </c>
    </row>
    <row r="12" spans="1:6" ht="30" hidden="1" customHeight="1" x14ac:dyDescent="0.25">
      <c r="A12" s="2571" t="s">
        <v>3624</v>
      </c>
      <c r="B12" s="2569" t="s">
        <v>526</v>
      </c>
      <c r="C12" s="2569" t="s">
        <v>902</v>
      </c>
      <c r="D12" s="2569">
        <v>1842.79</v>
      </c>
      <c r="E12" s="2569">
        <v>1996.24</v>
      </c>
      <c r="F12" s="2569">
        <f t="shared" si="0"/>
        <v>153.45000000000005</v>
      </c>
    </row>
    <row r="13" spans="1:6" ht="30" hidden="1" customHeight="1" x14ac:dyDescent="0.25">
      <c r="A13" s="2567"/>
      <c r="B13" s="2572" t="s">
        <v>616</v>
      </c>
      <c r="C13" s="2572" t="s">
        <v>902</v>
      </c>
      <c r="D13" s="2572">
        <f>SUM(D4:D6)+D10</f>
        <v>19456.14</v>
      </c>
      <c r="E13" s="2572">
        <f>SUM(E4:E6)+E10</f>
        <v>24160.89</v>
      </c>
      <c r="F13" s="2572">
        <f>SUM(F4:F6)+F10</f>
        <v>4704.75</v>
      </c>
    </row>
    <row r="14" spans="1:6" hidden="1" x14ac:dyDescent="0.25">
      <c r="A14" s="5419" t="s">
        <v>337</v>
      </c>
      <c r="B14" s="5420"/>
      <c r="C14" s="5420"/>
      <c r="D14" s="5420"/>
      <c r="E14" s="5420"/>
      <c r="F14" s="5421"/>
    </row>
    <row r="15" spans="1:6" ht="41.25" hidden="1" customHeight="1" x14ac:dyDescent="0.25">
      <c r="A15" s="2573" t="s">
        <v>3625</v>
      </c>
      <c r="B15" s="2573" t="s">
        <v>3610</v>
      </c>
      <c r="C15" s="2573" t="s">
        <v>1523</v>
      </c>
      <c r="D15" s="2573" t="s">
        <v>3611</v>
      </c>
      <c r="E15" s="2573" t="s">
        <v>3612</v>
      </c>
      <c r="F15" s="2573" t="s">
        <v>3613</v>
      </c>
    </row>
    <row r="16" spans="1:6" ht="30" hidden="1" customHeight="1" x14ac:dyDescent="0.25">
      <c r="A16" s="2567" t="s">
        <v>183</v>
      </c>
      <c r="B16" s="2568" t="s">
        <v>2</v>
      </c>
      <c r="C16" s="2568" t="s">
        <v>902</v>
      </c>
      <c r="D16" s="2574">
        <v>4904.1000000000004</v>
      </c>
      <c r="E16" s="2568">
        <v>5089.3900000000003</v>
      </c>
      <c r="F16" s="2568">
        <f>SUM(E16-D16)</f>
        <v>185.28999999999996</v>
      </c>
    </row>
    <row r="17" spans="1:6" ht="30" hidden="1" customHeight="1" x14ac:dyDescent="0.25">
      <c r="A17" s="2567" t="s">
        <v>186</v>
      </c>
      <c r="B17" s="2568" t="s">
        <v>8</v>
      </c>
      <c r="C17" s="2568" t="s">
        <v>902</v>
      </c>
      <c r="D17" s="2568">
        <v>229.76</v>
      </c>
      <c r="E17" s="2568">
        <v>652.05999999999995</v>
      </c>
      <c r="F17" s="2568">
        <f t="shared" ref="F17:F21" si="1">SUM(E17-D17)</f>
        <v>422.29999999999995</v>
      </c>
    </row>
    <row r="18" spans="1:6" ht="30" hidden="1" customHeight="1" x14ac:dyDescent="0.25">
      <c r="A18" s="2567" t="s">
        <v>939</v>
      </c>
      <c r="B18" s="2568" t="s">
        <v>3614</v>
      </c>
      <c r="C18" s="2568" t="s">
        <v>902</v>
      </c>
      <c r="D18" s="2568">
        <f>SUM(D19:D21)</f>
        <v>951.03</v>
      </c>
      <c r="E18" s="2568">
        <f>SUM(E19:E21)</f>
        <v>1634.64</v>
      </c>
      <c r="F18" s="2568">
        <f t="shared" si="1"/>
        <v>683.61000000000013</v>
      </c>
    </row>
    <row r="19" spans="1:6" ht="30" hidden="1" customHeight="1" x14ac:dyDescent="0.25">
      <c r="A19" s="2567" t="s">
        <v>3615</v>
      </c>
      <c r="B19" s="2569" t="s">
        <v>3616</v>
      </c>
      <c r="C19" s="2569" t="s">
        <v>902</v>
      </c>
      <c r="D19" s="2569">
        <v>710.16</v>
      </c>
      <c r="E19" s="2569">
        <v>783.85</v>
      </c>
      <c r="F19" s="2568">
        <f t="shared" si="1"/>
        <v>73.690000000000055</v>
      </c>
    </row>
    <row r="20" spans="1:6" ht="30" hidden="1" customHeight="1" x14ac:dyDescent="0.25">
      <c r="A20" s="2567" t="s">
        <v>3617</v>
      </c>
      <c r="B20" s="2570" t="s">
        <v>3618</v>
      </c>
      <c r="C20" s="2569" t="s">
        <v>902</v>
      </c>
      <c r="D20" s="2569">
        <v>36.71</v>
      </c>
      <c r="E20" s="2569">
        <v>469.97</v>
      </c>
      <c r="F20" s="2569">
        <f t="shared" si="1"/>
        <v>433.26000000000005</v>
      </c>
    </row>
    <row r="21" spans="1:6" ht="30" hidden="1" customHeight="1" x14ac:dyDescent="0.25">
      <c r="A21" s="2567" t="s">
        <v>3619</v>
      </c>
      <c r="B21" s="2570" t="s">
        <v>3620</v>
      </c>
      <c r="C21" s="2569" t="s">
        <v>902</v>
      </c>
      <c r="D21" s="2569">
        <v>204.16</v>
      </c>
      <c r="E21" s="2569">
        <v>380.82</v>
      </c>
      <c r="F21" s="2568">
        <f t="shared" si="1"/>
        <v>176.66</v>
      </c>
    </row>
    <row r="22" spans="1:6" ht="30" hidden="1" customHeight="1" x14ac:dyDescent="0.25">
      <c r="A22" s="2567"/>
      <c r="B22" s="2572" t="s">
        <v>616</v>
      </c>
      <c r="C22" s="2572" t="s">
        <v>902</v>
      </c>
      <c r="D22" s="2575">
        <f>SUM(D16:D18)</f>
        <v>6084.89</v>
      </c>
      <c r="E22" s="2575">
        <f>SUM(E16:E18)</f>
        <v>7376.0900000000011</v>
      </c>
      <c r="F22" s="2575">
        <f>SUM(F16:F18)</f>
        <v>1291.2</v>
      </c>
    </row>
    <row r="23" spans="1:6" hidden="1" x14ac:dyDescent="0.25"/>
    <row r="24" spans="1:6" hidden="1" x14ac:dyDescent="0.25"/>
    <row r="25" spans="1:6" hidden="1" x14ac:dyDescent="0.25"/>
    <row r="26" spans="1:6" ht="30" customHeight="1" x14ac:dyDescent="0.25">
      <c r="A26" s="5424" t="s">
        <v>3936</v>
      </c>
      <c r="B26" s="5424"/>
      <c r="C26" s="5424"/>
      <c r="D26" s="5424"/>
      <c r="E26" s="5424"/>
      <c r="F26" s="5424"/>
    </row>
    <row r="27" spans="1:6" x14ac:dyDescent="0.25">
      <c r="A27" s="5419" t="s">
        <v>347</v>
      </c>
      <c r="B27" s="5420"/>
      <c r="C27" s="5420"/>
      <c r="D27" s="5420"/>
      <c r="E27" s="5420"/>
      <c r="F27" s="5421"/>
    </row>
    <row r="28" spans="1:6" ht="45" x14ac:dyDescent="0.25">
      <c r="A28" s="2573" t="s">
        <v>3609</v>
      </c>
      <c r="B28" s="2573" t="s">
        <v>3610</v>
      </c>
      <c r="C28" s="2573" t="s">
        <v>1523</v>
      </c>
      <c r="D28" s="2573" t="s">
        <v>3937</v>
      </c>
      <c r="E28" s="2573" t="s">
        <v>3938</v>
      </c>
      <c r="F28" s="2573" t="s">
        <v>3613</v>
      </c>
    </row>
    <row r="29" spans="1:6" ht="30" customHeight="1" x14ac:dyDescent="0.25">
      <c r="A29" s="2592" t="s">
        <v>183</v>
      </c>
      <c r="B29" s="2572" t="s">
        <v>2</v>
      </c>
      <c r="C29" s="2572" t="s">
        <v>902</v>
      </c>
      <c r="D29" s="2593">
        <v>9984.3799999999992</v>
      </c>
      <c r="E29" s="2593">
        <v>11708.98</v>
      </c>
      <c r="F29" s="2572">
        <f>SUM(E29-D29)</f>
        <v>1724.6000000000004</v>
      </c>
    </row>
    <row r="30" spans="1:6" ht="30" customHeight="1" x14ac:dyDescent="0.25">
      <c r="A30" s="2592" t="s">
        <v>186</v>
      </c>
      <c r="B30" s="2572" t="s">
        <v>8</v>
      </c>
      <c r="C30" s="2572" t="s">
        <v>902</v>
      </c>
      <c r="D30" s="2593">
        <v>11981.83</v>
      </c>
      <c r="E30" s="2593">
        <v>12289.24</v>
      </c>
      <c r="F30" s="2575">
        <f t="shared" ref="F30:F42" si="2">SUM(E30-D30)</f>
        <v>307.40999999999985</v>
      </c>
    </row>
    <row r="31" spans="1:6" ht="30" customHeight="1" x14ac:dyDescent="0.25">
      <c r="A31" s="2592" t="s">
        <v>3626</v>
      </c>
      <c r="B31" s="2572" t="s">
        <v>3627</v>
      </c>
      <c r="C31" s="2572" t="s">
        <v>902</v>
      </c>
      <c r="D31" s="2593">
        <f>SUM(D32:D40)</f>
        <v>1939.81</v>
      </c>
      <c r="E31" s="2593">
        <f>SUM(E32:E40)</f>
        <v>3360.2599999999998</v>
      </c>
      <c r="F31" s="2593">
        <f>SUM(F32:F40)</f>
        <v>1420.45</v>
      </c>
    </row>
    <row r="32" spans="1:6" ht="30" customHeight="1" x14ac:dyDescent="0.25">
      <c r="A32" s="2571" t="s">
        <v>3615</v>
      </c>
      <c r="B32" s="2570" t="s">
        <v>52</v>
      </c>
      <c r="C32" s="2569" t="s">
        <v>902</v>
      </c>
      <c r="D32" s="2576">
        <v>162.03</v>
      </c>
      <c r="E32" s="2576">
        <v>203.41</v>
      </c>
      <c r="F32" s="2577">
        <f t="shared" ref="F32" si="3">SUM(E32-D32)</f>
        <v>41.379999999999995</v>
      </c>
    </row>
    <row r="33" spans="1:6" ht="30" customHeight="1" x14ac:dyDescent="0.25">
      <c r="A33" s="2571" t="s">
        <v>3617</v>
      </c>
      <c r="B33" s="2570" t="s">
        <v>42</v>
      </c>
      <c r="C33" s="2569" t="s">
        <v>902</v>
      </c>
      <c r="D33" s="2576">
        <v>0.2</v>
      </c>
      <c r="E33" s="2576">
        <v>71.78</v>
      </c>
      <c r="F33" s="2577">
        <f t="shared" ref="F33:F38" si="4">SUM(E33-D33)</f>
        <v>71.58</v>
      </c>
    </row>
    <row r="34" spans="1:6" ht="30" customHeight="1" x14ac:dyDescent="0.25">
      <c r="A34" s="2571" t="s">
        <v>3619</v>
      </c>
      <c r="B34" s="2570" t="s">
        <v>3637</v>
      </c>
      <c r="C34" s="2569" t="s">
        <v>902</v>
      </c>
      <c r="D34" s="2576">
        <v>153.36000000000001</v>
      </c>
      <c r="E34" s="2576">
        <v>252.67</v>
      </c>
      <c r="F34" s="2577">
        <f t="shared" si="4"/>
        <v>99.309999999999974</v>
      </c>
    </row>
    <row r="35" spans="1:6" ht="30" customHeight="1" x14ac:dyDescent="0.25">
      <c r="A35" s="2571" t="s">
        <v>3629</v>
      </c>
      <c r="B35" s="2570" t="s">
        <v>32</v>
      </c>
      <c r="C35" s="2569" t="s">
        <v>902</v>
      </c>
      <c r="D35" s="2576">
        <v>96.9</v>
      </c>
      <c r="E35" s="2576">
        <v>140.88</v>
      </c>
      <c r="F35" s="2577">
        <f t="shared" si="4"/>
        <v>43.97999999999999</v>
      </c>
    </row>
    <row r="36" spans="1:6" ht="30" customHeight="1" x14ac:dyDescent="0.25">
      <c r="A36" s="2571" t="s">
        <v>3630</v>
      </c>
      <c r="B36" s="2570" t="s">
        <v>3939</v>
      </c>
      <c r="C36" s="2569" t="s">
        <v>902</v>
      </c>
      <c r="D36" s="2576">
        <v>62.17</v>
      </c>
      <c r="E36" s="2576">
        <v>132.04</v>
      </c>
      <c r="F36" s="2577">
        <f t="shared" si="4"/>
        <v>69.86999999999999</v>
      </c>
    </row>
    <row r="37" spans="1:6" ht="30" customHeight="1" x14ac:dyDescent="0.25">
      <c r="A37" s="2571" t="s">
        <v>3632</v>
      </c>
      <c r="B37" s="2570" t="s">
        <v>3633</v>
      </c>
      <c r="C37" s="2569" t="s">
        <v>902</v>
      </c>
      <c r="D37" s="2576">
        <v>63.48</v>
      </c>
      <c r="E37" s="2576">
        <v>335.86</v>
      </c>
      <c r="F37" s="2577">
        <f t="shared" si="4"/>
        <v>272.38</v>
      </c>
    </row>
    <row r="38" spans="1:6" ht="30" customHeight="1" x14ac:dyDescent="0.25">
      <c r="A38" s="2571" t="s">
        <v>3634</v>
      </c>
      <c r="B38" s="2569" t="s">
        <v>590</v>
      </c>
      <c r="C38" s="2569" t="s">
        <v>902</v>
      </c>
      <c r="D38" s="2576">
        <v>865.61</v>
      </c>
      <c r="E38" s="2576">
        <v>1000.58</v>
      </c>
      <c r="F38" s="2577">
        <f t="shared" si="4"/>
        <v>134.97000000000003</v>
      </c>
    </row>
    <row r="39" spans="1:6" ht="30" customHeight="1" x14ac:dyDescent="0.25">
      <c r="A39" s="2571" t="s">
        <v>3635</v>
      </c>
      <c r="B39" s="2570" t="s">
        <v>614</v>
      </c>
      <c r="C39" s="2569" t="s">
        <v>902</v>
      </c>
      <c r="D39" s="2576">
        <v>481.58</v>
      </c>
      <c r="E39" s="2576">
        <v>823.56</v>
      </c>
      <c r="F39" s="2577">
        <f t="shared" si="2"/>
        <v>341.97999999999996</v>
      </c>
    </row>
    <row r="40" spans="1:6" ht="30" customHeight="1" x14ac:dyDescent="0.25">
      <c r="A40" s="2571" t="s">
        <v>3636</v>
      </c>
      <c r="B40" s="2570" t="s">
        <v>3638</v>
      </c>
      <c r="C40" s="2569" t="s">
        <v>902</v>
      </c>
      <c r="D40" s="2576">
        <v>54.48</v>
      </c>
      <c r="E40" s="2576">
        <v>399.48</v>
      </c>
      <c r="F40" s="2577">
        <f t="shared" si="2"/>
        <v>345</v>
      </c>
    </row>
    <row r="41" spans="1:6" ht="30" customHeight="1" x14ac:dyDescent="0.25">
      <c r="A41" s="2592" t="s">
        <v>945</v>
      </c>
      <c r="B41" s="2572" t="s">
        <v>3621</v>
      </c>
      <c r="C41" s="2572" t="s">
        <v>902</v>
      </c>
      <c r="D41" s="2572">
        <f>SUM(D42)</f>
        <v>2303.6</v>
      </c>
      <c r="E41" s="2572">
        <f>SUM(E42)</f>
        <v>3048.76</v>
      </c>
      <c r="F41" s="2575">
        <f>SUM(F42)</f>
        <v>745.16000000000031</v>
      </c>
    </row>
    <row r="42" spans="1:6" ht="30" customHeight="1" x14ac:dyDescent="0.25">
      <c r="A42" s="2571" t="s">
        <v>3622</v>
      </c>
      <c r="B42" s="2569" t="s">
        <v>400</v>
      </c>
      <c r="C42" s="2569" t="s">
        <v>902</v>
      </c>
      <c r="D42" s="2569">
        <v>2303.6</v>
      </c>
      <c r="E42" s="2569">
        <v>3048.76</v>
      </c>
      <c r="F42" s="2577">
        <f t="shared" si="2"/>
        <v>745.16000000000031</v>
      </c>
    </row>
    <row r="43" spans="1:6" ht="30" customHeight="1" x14ac:dyDescent="0.25">
      <c r="A43" s="2567"/>
      <c r="B43" s="2572" t="s">
        <v>616</v>
      </c>
      <c r="C43" s="2572" t="s">
        <v>902</v>
      </c>
      <c r="D43" s="2575">
        <f>SUM(D29:D31)+D41</f>
        <v>26209.62</v>
      </c>
      <c r="E43" s="2575">
        <f>SUM(E29:E31)+E41</f>
        <v>30407.239999999998</v>
      </c>
      <c r="F43" s="2575">
        <f>SUM(F29:F31)+F41</f>
        <v>4197.6200000000008</v>
      </c>
    </row>
    <row r="44" spans="1:6" x14ac:dyDescent="0.25">
      <c r="A44" s="5419" t="s">
        <v>337</v>
      </c>
      <c r="B44" s="5420"/>
      <c r="C44" s="5420"/>
      <c r="D44" s="5420"/>
      <c r="E44" s="5420"/>
      <c r="F44" s="5421"/>
    </row>
    <row r="45" spans="1:6" ht="45" x14ac:dyDescent="0.25">
      <c r="A45" s="2573" t="s">
        <v>3625</v>
      </c>
      <c r="B45" s="2573" t="s">
        <v>3610</v>
      </c>
      <c r="C45" s="2573" t="s">
        <v>1523</v>
      </c>
      <c r="D45" s="2573" t="s">
        <v>3937</v>
      </c>
      <c r="E45" s="2573" t="s">
        <v>3938</v>
      </c>
      <c r="F45" s="2573" t="s">
        <v>3613</v>
      </c>
    </row>
    <row r="46" spans="1:6" ht="30" customHeight="1" x14ac:dyDescent="0.25">
      <c r="A46" s="2592" t="s">
        <v>183</v>
      </c>
      <c r="B46" s="2572" t="s">
        <v>2</v>
      </c>
      <c r="C46" s="2572" t="s">
        <v>902</v>
      </c>
      <c r="D46" s="2593">
        <v>5006.29</v>
      </c>
      <c r="E46" s="2593">
        <v>5144.6099999999997</v>
      </c>
      <c r="F46" s="2575">
        <f t="shared" ref="F46" si="5">SUM(E46-D46)</f>
        <v>138.31999999999971</v>
      </c>
    </row>
    <row r="47" spans="1:6" ht="30" customHeight="1" x14ac:dyDescent="0.25">
      <c r="A47" s="2592" t="s">
        <v>3628</v>
      </c>
      <c r="B47" s="2572" t="s">
        <v>3627</v>
      </c>
      <c r="C47" s="2572" t="s">
        <v>902</v>
      </c>
      <c r="D47" s="2593">
        <f>SUM(D48:D54)</f>
        <v>7088.52</v>
      </c>
      <c r="E47" s="2593">
        <f>SUM(E48:E54)</f>
        <v>9183.81</v>
      </c>
      <c r="F47" s="2593">
        <f>SUM(F48:F54)</f>
        <v>2095.2899999999995</v>
      </c>
    </row>
    <row r="48" spans="1:6" ht="30" customHeight="1" x14ac:dyDescent="0.25">
      <c r="A48" s="2571" t="s">
        <v>187</v>
      </c>
      <c r="B48" s="2569" t="s">
        <v>31</v>
      </c>
      <c r="C48" s="2569" t="s">
        <v>902</v>
      </c>
      <c r="D48" s="2576">
        <v>739.02</v>
      </c>
      <c r="E48" s="2576">
        <v>1426.98</v>
      </c>
      <c r="F48" s="2577">
        <f t="shared" ref="F48:F54" si="6">SUM(E48-D48)</f>
        <v>687.96</v>
      </c>
    </row>
    <row r="49" spans="1:6" ht="30" customHeight="1" x14ac:dyDescent="0.25">
      <c r="A49" s="2594" t="s">
        <v>188</v>
      </c>
      <c r="B49" s="3926" t="s">
        <v>52</v>
      </c>
      <c r="C49" s="3926" t="s">
        <v>902</v>
      </c>
      <c r="D49" s="3927">
        <v>66.3</v>
      </c>
      <c r="E49" s="3927">
        <v>151.79</v>
      </c>
      <c r="F49" s="2577">
        <f t="shared" si="6"/>
        <v>85.49</v>
      </c>
    </row>
    <row r="50" spans="1:6" ht="30" customHeight="1" x14ac:dyDescent="0.25">
      <c r="A50" s="2594" t="s">
        <v>197</v>
      </c>
      <c r="B50" s="2570" t="s">
        <v>3939</v>
      </c>
      <c r="C50" s="3926" t="s">
        <v>902</v>
      </c>
      <c r="D50" s="3927">
        <v>17.78</v>
      </c>
      <c r="E50" s="3927">
        <v>141.76</v>
      </c>
      <c r="F50" s="2577">
        <f t="shared" si="6"/>
        <v>123.97999999999999</v>
      </c>
    </row>
    <row r="51" spans="1:6" ht="30" customHeight="1" x14ac:dyDescent="0.25">
      <c r="A51" s="2594" t="s">
        <v>198</v>
      </c>
      <c r="B51" s="3928" t="s">
        <v>3633</v>
      </c>
      <c r="C51" s="3926" t="s">
        <v>902</v>
      </c>
      <c r="D51" s="3927">
        <v>132.07</v>
      </c>
      <c r="E51" s="3927">
        <v>549.05999999999995</v>
      </c>
      <c r="F51" s="2577">
        <f t="shared" si="6"/>
        <v>416.98999999999995</v>
      </c>
    </row>
    <row r="52" spans="1:6" ht="30" customHeight="1" x14ac:dyDescent="0.25">
      <c r="A52" s="2571" t="s">
        <v>3639</v>
      </c>
      <c r="B52" s="2569" t="s">
        <v>34</v>
      </c>
      <c r="C52" s="2569" t="s">
        <v>902</v>
      </c>
      <c r="D52" s="2576">
        <v>564.03</v>
      </c>
      <c r="E52" s="2576">
        <v>1112.24</v>
      </c>
      <c r="F52" s="2577">
        <f t="shared" si="6"/>
        <v>548.21</v>
      </c>
    </row>
    <row r="53" spans="1:6" ht="30" customHeight="1" x14ac:dyDescent="0.25">
      <c r="A53" s="2571" t="s">
        <v>3640</v>
      </c>
      <c r="B53" s="2570" t="s">
        <v>614</v>
      </c>
      <c r="C53" s="2569" t="s">
        <v>902</v>
      </c>
      <c r="D53" s="2576">
        <v>376.76</v>
      </c>
      <c r="E53" s="2576">
        <v>401.87</v>
      </c>
      <c r="F53" s="2577">
        <f t="shared" si="6"/>
        <v>25.110000000000014</v>
      </c>
    </row>
    <row r="54" spans="1:6" ht="30" customHeight="1" x14ac:dyDescent="0.25">
      <c r="A54" s="2594" t="s">
        <v>3641</v>
      </c>
      <c r="B54" s="3928" t="s">
        <v>71</v>
      </c>
      <c r="C54" s="3926" t="s">
        <v>902</v>
      </c>
      <c r="D54" s="3927">
        <v>5192.5600000000004</v>
      </c>
      <c r="E54" s="3927">
        <v>5400.11</v>
      </c>
      <c r="F54" s="2577">
        <f t="shared" si="6"/>
        <v>207.54999999999927</v>
      </c>
    </row>
    <row r="55" spans="1:6" x14ac:dyDescent="0.25">
      <c r="A55" s="2567"/>
      <c r="B55" s="2572" t="s">
        <v>616</v>
      </c>
      <c r="C55" s="2572" t="s">
        <v>902</v>
      </c>
      <c r="D55" s="2575">
        <f>SUM(D46:D47)</f>
        <v>12094.810000000001</v>
      </c>
      <c r="E55" s="2575">
        <f>SUM(E46:E47)</f>
        <v>14328.419999999998</v>
      </c>
      <c r="F55" s="2575">
        <f>SUM(F46:F47)</f>
        <v>2233.6099999999992</v>
      </c>
    </row>
    <row r="60" spans="1:6" ht="18.75" x14ac:dyDescent="0.3">
      <c r="A60" s="2578" t="s">
        <v>3550</v>
      </c>
    </row>
  </sheetData>
  <mergeCells count="6">
    <mergeCell ref="A44:F44"/>
    <mergeCell ref="A1:F1"/>
    <mergeCell ref="A2:F2"/>
    <mergeCell ref="A14:F14"/>
    <mergeCell ref="A26:F26"/>
    <mergeCell ref="A27:F27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81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55">
    <tabColor rgb="FFFFFF00"/>
    <pageSetUpPr fitToPage="1"/>
  </sheetPr>
  <dimension ref="A2:AG44"/>
  <sheetViews>
    <sheetView zoomScale="80" zoomScaleNormal="80" workbookViewId="0">
      <pane xSplit="4" ySplit="6" topLeftCell="S7" activePane="bottomRight" state="frozen"/>
      <selection pane="topRight" activeCell="E1" sqref="E1"/>
      <selection pane="bottomLeft" activeCell="A7" sqref="A7"/>
      <selection pane="bottomRight" activeCell="Y27" sqref="Y27"/>
    </sheetView>
  </sheetViews>
  <sheetFormatPr defaultRowHeight="12.75" x14ac:dyDescent="0.2"/>
  <cols>
    <col min="1" max="1" width="30.28515625" style="2107" customWidth="1"/>
    <col min="2" max="2" width="10.7109375" style="1821" hidden="1" customWidth="1"/>
    <col min="3" max="3" width="15.140625" style="1821" hidden="1" customWidth="1"/>
    <col min="4" max="4" width="10.7109375" style="1821" hidden="1" customWidth="1"/>
    <col min="5" max="5" width="10.7109375" style="2500" customWidth="1"/>
    <col min="6" max="6" width="14.7109375" style="2500" customWidth="1"/>
    <col min="7" max="18" width="10.7109375" style="5" customWidth="1"/>
    <col min="19" max="20" width="14" style="5" customWidth="1"/>
    <col min="21" max="21" width="12.42578125" style="5" bestFit="1" customWidth="1"/>
    <col min="22" max="22" width="12.42578125" style="5" customWidth="1"/>
    <col min="23" max="23" width="9.140625" style="5"/>
    <col min="24" max="24" width="13.85546875" style="5" customWidth="1"/>
    <col min="25" max="25" width="14" style="5" customWidth="1"/>
    <col min="26" max="28" width="10.7109375" style="5" customWidth="1"/>
    <col min="29" max="16384" width="9.140625" style="5"/>
  </cols>
  <sheetData>
    <row r="2" spans="1:33" ht="25.5" customHeight="1" x14ac:dyDescent="0.2">
      <c r="A2" s="5225" t="s">
        <v>3920</v>
      </c>
      <c r="B2" s="5225"/>
      <c r="C2" s="5225"/>
      <c r="D2" s="5225"/>
      <c r="E2" s="5225"/>
      <c r="F2" s="5225"/>
      <c r="G2" s="5225"/>
      <c r="H2" s="5225"/>
      <c r="I2" s="5225"/>
      <c r="J2" s="5225"/>
      <c r="K2" s="5225"/>
      <c r="L2" s="5225"/>
      <c r="M2" s="5225"/>
      <c r="N2" s="5225"/>
      <c r="O2" s="5225"/>
      <c r="P2" s="5225"/>
      <c r="Q2" s="5225"/>
      <c r="R2" s="5225"/>
      <c r="S2" s="4242"/>
      <c r="T2" s="4242"/>
      <c r="U2" s="4242"/>
      <c r="V2" s="4242"/>
      <c r="W2" s="4242"/>
      <c r="X2" s="4242"/>
      <c r="Y2" s="4242"/>
      <c r="Z2" s="4242"/>
      <c r="AA2" s="4242"/>
      <c r="AB2" s="4242"/>
      <c r="AC2" s="3498"/>
      <c r="AD2" s="3498"/>
      <c r="AE2" s="3498"/>
    </row>
    <row r="3" spans="1:33" s="2229" customFormat="1" x14ac:dyDescent="0.2">
      <c r="B3" s="2150"/>
      <c r="C3" s="2150"/>
      <c r="D3" s="2150"/>
      <c r="E3" s="2150"/>
      <c r="F3" s="2150"/>
      <c r="T3" s="2732"/>
      <c r="X3" s="3508"/>
      <c r="Y3" s="3508"/>
      <c r="Z3" s="3508"/>
      <c r="AA3" s="3508"/>
      <c r="AB3" s="3508"/>
      <c r="AC3" s="3508"/>
      <c r="AD3" s="3508"/>
      <c r="AE3" s="3508"/>
    </row>
    <row r="4" spans="1:33" ht="31.5" customHeight="1" x14ac:dyDescent="0.2">
      <c r="A4" s="4476" t="s">
        <v>1721</v>
      </c>
      <c r="B4" s="4476" t="s">
        <v>895</v>
      </c>
      <c r="C4" s="4476"/>
      <c r="D4" s="4476"/>
      <c r="E4" s="4476" t="s">
        <v>896</v>
      </c>
      <c r="F4" s="4739"/>
      <c r="G4" s="3914" t="s">
        <v>1802</v>
      </c>
      <c r="H4" s="3914" t="s">
        <v>1808</v>
      </c>
      <c r="I4" s="3914" t="s">
        <v>1809</v>
      </c>
      <c r="J4" s="3914" t="s">
        <v>1810</v>
      </c>
      <c r="K4" s="3914" t="s">
        <v>1811</v>
      </c>
      <c r="L4" s="3914" t="s">
        <v>1812</v>
      </c>
      <c r="M4" s="3914" t="s">
        <v>1802</v>
      </c>
      <c r="N4" s="3914" t="s">
        <v>1808</v>
      </c>
      <c r="O4" s="3914" t="s">
        <v>1809</v>
      </c>
      <c r="P4" s="3914" t="s">
        <v>1810</v>
      </c>
      <c r="Q4" s="3914" t="s">
        <v>1811</v>
      </c>
      <c r="R4" s="3914" t="s">
        <v>1812</v>
      </c>
      <c r="S4" s="5018" t="s">
        <v>3694</v>
      </c>
      <c r="T4" s="4875"/>
      <c r="U4" s="4476" t="s">
        <v>3643</v>
      </c>
      <c r="V4" s="4476" t="s">
        <v>3644</v>
      </c>
      <c r="W4" s="4476" t="s">
        <v>3647</v>
      </c>
      <c r="X4" s="5018" t="s">
        <v>3888</v>
      </c>
      <c r="Y4" s="4875"/>
      <c r="Z4" s="4476" t="s">
        <v>3940</v>
      </c>
      <c r="AA4" s="4476" t="s">
        <v>3941</v>
      </c>
      <c r="AB4" s="4476" t="s">
        <v>3954</v>
      </c>
      <c r="AC4" s="2511"/>
      <c r="AD4" s="2511"/>
      <c r="AE4" s="2511"/>
    </row>
    <row r="5" spans="1:33" ht="38.25" x14ac:dyDescent="0.2">
      <c r="A5" s="4476"/>
      <c r="B5" s="3913" t="s">
        <v>1588</v>
      </c>
      <c r="C5" s="3913" t="s">
        <v>2040</v>
      </c>
      <c r="D5" s="3913" t="s">
        <v>1825</v>
      </c>
      <c r="E5" s="3913" t="s">
        <v>1588</v>
      </c>
      <c r="F5" s="3913" t="s">
        <v>2040</v>
      </c>
      <c r="G5" s="4487" t="s">
        <v>1801</v>
      </c>
      <c r="H5" s="4487"/>
      <c r="I5" s="4487"/>
      <c r="J5" s="4487"/>
      <c r="K5" s="4487"/>
      <c r="L5" s="4487"/>
      <c r="M5" s="4487" t="s">
        <v>1524</v>
      </c>
      <c r="N5" s="4487"/>
      <c r="O5" s="4487"/>
      <c r="P5" s="4487"/>
      <c r="Q5" s="4487"/>
      <c r="R5" s="4487"/>
      <c r="S5" s="3913" t="s">
        <v>3516</v>
      </c>
      <c r="T5" s="3913" t="s">
        <v>3695</v>
      </c>
      <c r="U5" s="4753"/>
      <c r="V5" s="4753"/>
      <c r="W5" s="4753"/>
      <c r="X5" s="3913" t="s">
        <v>3516</v>
      </c>
      <c r="Y5" s="3913" t="s">
        <v>3695</v>
      </c>
      <c r="Z5" s="4753"/>
      <c r="AA5" s="4753"/>
      <c r="AB5" s="4753"/>
      <c r="AC5" s="3514"/>
      <c r="AD5" s="3514"/>
      <c r="AE5" s="3514"/>
    </row>
    <row r="6" spans="1:33" s="1926" customFormat="1" x14ac:dyDescent="0.2">
      <c r="A6" s="5425" t="s">
        <v>1695</v>
      </c>
      <c r="B6" s="5426"/>
      <c r="C6" s="5426"/>
      <c r="D6" s="5426"/>
      <c r="E6" s="5426"/>
      <c r="F6" s="5426"/>
      <c r="G6" s="5426"/>
      <c r="H6" s="5426"/>
      <c r="I6" s="5426"/>
      <c r="J6" s="5426"/>
      <c r="K6" s="5426"/>
      <c r="L6" s="5426"/>
      <c r="M6" s="5426"/>
      <c r="N6" s="5426"/>
      <c r="O6" s="5426"/>
      <c r="P6" s="5426"/>
      <c r="Q6" s="5426"/>
      <c r="R6" s="5426"/>
      <c r="S6" s="5427"/>
      <c r="T6" s="5427"/>
      <c r="U6" s="5427"/>
      <c r="V6" s="5427"/>
      <c r="W6" s="5427"/>
      <c r="X6" s="5427"/>
      <c r="Y6" s="5427"/>
      <c r="Z6" s="4794"/>
      <c r="AA6" s="4794"/>
      <c r="AB6" s="4795"/>
      <c r="AC6" s="3514"/>
      <c r="AD6" s="3514"/>
      <c r="AE6" s="3514"/>
    </row>
    <row r="7" spans="1:33" x14ac:dyDescent="0.2">
      <c r="A7" s="4051" t="s">
        <v>2032</v>
      </c>
      <c r="B7" s="2225">
        <v>0</v>
      </c>
      <c r="C7" s="2225">
        <v>0</v>
      </c>
      <c r="D7" s="2225">
        <v>0</v>
      </c>
      <c r="E7" s="2225"/>
      <c r="F7" s="2225"/>
      <c r="G7" s="2225">
        <v>0</v>
      </c>
      <c r="H7" s="2225">
        <v>0</v>
      </c>
      <c r="I7" s="2225">
        <v>0</v>
      </c>
      <c r="J7" s="2225">
        <v>0</v>
      </c>
      <c r="K7" s="2225">
        <v>0</v>
      </c>
      <c r="L7" s="2225">
        <v>0</v>
      </c>
      <c r="M7" s="2225">
        <v>0</v>
      </c>
      <c r="N7" s="2225">
        <v>0</v>
      </c>
      <c r="O7" s="2225">
        <v>0</v>
      </c>
      <c r="P7" s="2225">
        <v>0</v>
      </c>
      <c r="Q7" s="2225">
        <v>0</v>
      </c>
      <c r="R7" s="2225">
        <v>0</v>
      </c>
      <c r="S7" s="2225">
        <v>0</v>
      </c>
      <c r="T7" s="2225"/>
      <c r="U7" s="2601"/>
      <c r="V7" s="2601"/>
      <c r="W7" s="2601"/>
      <c r="X7" s="2498">
        <v>0</v>
      </c>
      <c r="Y7" s="4088">
        <v>0</v>
      </c>
      <c r="Z7" s="2477"/>
      <c r="AA7" s="2477"/>
      <c r="AB7" s="2601"/>
      <c r="AC7" s="29"/>
      <c r="AD7" s="29"/>
      <c r="AE7" s="29"/>
      <c r="AG7" s="2769" t="s">
        <v>3697</v>
      </c>
    </row>
    <row r="8" spans="1:33" x14ac:dyDescent="0.2">
      <c r="A8" s="4051" t="s">
        <v>2033</v>
      </c>
      <c r="B8" s="2225">
        <v>2164.89</v>
      </c>
      <c r="C8" s="2225">
        <v>1843.87</v>
      </c>
      <c r="D8" s="2225">
        <f>C8</f>
        <v>1843.87</v>
      </c>
      <c r="E8" s="2225">
        <v>1985.51</v>
      </c>
      <c r="F8" s="2225">
        <v>1981.31</v>
      </c>
      <c r="G8" s="4053">
        <v>4895.75</v>
      </c>
      <c r="H8" s="4053">
        <v>4880.42</v>
      </c>
      <c r="I8" s="4053">
        <v>4713.67</v>
      </c>
      <c r="J8" s="4053">
        <v>4628.63</v>
      </c>
      <c r="K8" s="4053">
        <v>4411.41</v>
      </c>
      <c r="L8" s="4053"/>
      <c r="M8" s="4053">
        <f>имущество!G34/1000</f>
        <v>4732.6363873577757</v>
      </c>
      <c r="N8" s="4053">
        <f>имущество!H34/1000</f>
        <v>4454.7312990978162</v>
      </c>
      <c r="O8" s="4053">
        <f>имущество!I34/1000</f>
        <v>4176.8262108378576</v>
      </c>
      <c r="P8" s="4053">
        <f>имущество!J34/1000</f>
        <v>3898.9211225778981</v>
      </c>
      <c r="Q8" s="4053">
        <f>имущество!K34/1000</f>
        <v>3621.0160343179396</v>
      </c>
      <c r="R8" s="4053">
        <f>имущество!L34/1000</f>
        <v>3343.1109460579792</v>
      </c>
      <c r="S8" s="4053">
        <f>SUM(имущество!M34/1000)</f>
        <v>4454.7312990978162</v>
      </c>
      <c r="T8" s="4053">
        <f>SUM(имущество!P34)/1000</f>
        <v>4454.7312990978162</v>
      </c>
      <c r="U8" s="3567">
        <f>SUM(имущество!Q33)/1000</f>
        <v>1613.2</v>
      </c>
      <c r="V8" s="2602">
        <f>SUM(имущество!R33)/1000</f>
        <v>2419.8000000000002</v>
      </c>
      <c r="W8" s="2602">
        <f>SUM(имущество!T33)/1000</f>
        <v>3226.41</v>
      </c>
      <c r="X8" s="3335">
        <f>SUM(имущество!T33)/1000</f>
        <v>3226.41</v>
      </c>
      <c r="Y8" s="4063">
        <f>SUM(имущество!U33)/1000</f>
        <v>2522.7223199999999</v>
      </c>
      <c r="Z8" s="3977">
        <v>1603.0740000000001</v>
      </c>
      <c r="AA8" s="2461">
        <v>2400.2489999999998</v>
      </c>
      <c r="AB8" s="2602">
        <f>SUM(имущество!AB33)/1000</f>
        <v>0</v>
      </c>
      <c r="AC8" s="3560"/>
      <c r="AD8" s="3560"/>
      <c r="AE8" s="3560"/>
    </row>
    <row r="9" spans="1:33" ht="25.5" x14ac:dyDescent="0.2">
      <c r="A9" s="4051" t="s">
        <v>2034</v>
      </c>
      <c r="B9" s="2225">
        <v>0</v>
      </c>
      <c r="C9" s="2225">
        <v>0</v>
      </c>
      <c r="D9" s="2225">
        <v>0</v>
      </c>
      <c r="E9" s="2225"/>
      <c r="F9" s="2225"/>
      <c r="G9" s="4053">
        <v>0</v>
      </c>
      <c r="H9" s="4053">
        <v>0</v>
      </c>
      <c r="I9" s="4053">
        <v>0</v>
      </c>
      <c r="J9" s="4053">
        <v>0</v>
      </c>
      <c r="K9" s="4053">
        <v>0</v>
      </c>
      <c r="L9" s="4053">
        <v>0</v>
      </c>
      <c r="M9" s="4053">
        <v>0</v>
      </c>
      <c r="N9" s="4053">
        <v>0</v>
      </c>
      <c r="O9" s="4053">
        <v>0</v>
      </c>
      <c r="P9" s="4053">
        <v>0</v>
      </c>
      <c r="Q9" s="4053">
        <v>0</v>
      </c>
      <c r="R9" s="4053">
        <v>0</v>
      </c>
      <c r="S9" s="4053">
        <v>0</v>
      </c>
      <c r="T9" s="4053">
        <v>0</v>
      </c>
      <c r="U9" s="2601"/>
      <c r="V9" s="2601"/>
      <c r="W9" s="2601"/>
      <c r="X9" s="3335">
        <v>0</v>
      </c>
      <c r="Y9" s="4063">
        <v>0</v>
      </c>
      <c r="Z9" s="2477"/>
      <c r="AA9" s="2477"/>
      <c r="AB9" s="2601"/>
      <c r="AC9" s="29"/>
      <c r="AD9" s="29"/>
      <c r="AE9" s="29"/>
    </row>
    <row r="10" spans="1:33" ht="30.75" customHeight="1" x14ac:dyDescent="0.2">
      <c r="A10" s="4051" t="s">
        <v>2039</v>
      </c>
      <c r="B10" s="2225">
        <v>1349.53</v>
      </c>
      <c r="C10" s="2225">
        <v>2303.6</v>
      </c>
      <c r="D10" s="2225">
        <f>вод.налог!D73</f>
        <v>1466.3579869907844</v>
      </c>
      <c r="E10" s="2225">
        <v>1426.75</v>
      </c>
      <c r="F10" s="2225">
        <v>2651.04</v>
      </c>
      <c r="G10" s="4053">
        <v>2303.6</v>
      </c>
      <c r="H10" s="4053">
        <v>2303.6</v>
      </c>
      <c r="I10" s="4053">
        <v>2303.6</v>
      </c>
      <c r="J10" s="4053">
        <v>2303.6</v>
      </c>
      <c r="K10" s="4053">
        <v>2303.6</v>
      </c>
      <c r="L10" s="4053"/>
      <c r="M10" s="4053">
        <f>вод.налог!M73</f>
        <v>1826.9639063780155</v>
      </c>
      <c r="N10" s="4053">
        <f>вод.налог!S73</f>
        <v>2213.5064213035557</v>
      </c>
      <c r="O10" s="4053">
        <f>вод.налог!V73</f>
        <v>2590.328598696281</v>
      </c>
      <c r="P10" s="4053">
        <f>вод.налог!Y73</f>
        <v>2979.9539693283837</v>
      </c>
      <c r="Q10" s="4053">
        <f>вод.налог!AB73</f>
        <v>3427.3430295480966</v>
      </c>
      <c r="R10" s="4053">
        <f>вод.налог!AE73</f>
        <v>3943.2565876320309</v>
      </c>
      <c r="S10" s="4053">
        <f>SUM(вод.налог!AH73)</f>
        <v>3505.5423818584377</v>
      </c>
      <c r="T10" s="4053">
        <f>SUM(вод.налог!AK73)</f>
        <v>1901.52</v>
      </c>
      <c r="U10" s="4053">
        <f>SUM(вод.налог!AN73)</f>
        <v>1524.0771764999997</v>
      </c>
      <c r="V10" s="2597">
        <f>SUM(вод.налог!AQ73)</f>
        <v>2286.1356703499991</v>
      </c>
      <c r="W10" s="2597">
        <f>SUM(вод.налог!AT70)</f>
        <v>3048.7639378799995</v>
      </c>
      <c r="X10" s="3335">
        <f>SUM(вод.налог!AW70)</f>
        <v>4461.8279739999998</v>
      </c>
      <c r="Y10" s="4063">
        <f>SUM(вод.налог!AZ73)</f>
        <v>2468.25</v>
      </c>
      <c r="Z10" s="3335">
        <v>898.32899999999995</v>
      </c>
      <c r="AA10" s="4018">
        <v>1773.6849999999999</v>
      </c>
      <c r="AB10" s="2597">
        <f>SUM(вод.налог!AY70)</f>
        <v>0</v>
      </c>
      <c r="AC10" s="3562"/>
      <c r="AD10" s="3562"/>
      <c r="AE10" s="3562"/>
      <c r="AG10" s="2769" t="s">
        <v>3698</v>
      </c>
    </row>
    <row r="11" spans="1:33" x14ac:dyDescent="0.2">
      <c r="A11" s="4051" t="s">
        <v>2035</v>
      </c>
      <c r="B11" s="2225">
        <v>88.75</v>
      </c>
      <c r="C11" s="2225">
        <v>87.07</v>
      </c>
      <c r="D11" s="2225">
        <v>87.07</v>
      </c>
      <c r="E11" s="2225">
        <v>90.67</v>
      </c>
      <c r="F11" s="2225">
        <v>84.24</v>
      </c>
      <c r="G11" s="4053">
        <v>87.07</v>
      </c>
      <c r="H11" s="4053">
        <v>87.07</v>
      </c>
      <c r="I11" s="4053">
        <v>87.07</v>
      </c>
      <c r="J11" s="4053">
        <v>87.07</v>
      </c>
      <c r="K11" s="4053">
        <v>87.07</v>
      </c>
      <c r="L11" s="4053"/>
      <c r="M11" s="4053">
        <v>87.07</v>
      </c>
      <c r="N11" s="4053">
        <v>87.07</v>
      </c>
      <c r="O11" s="4053">
        <v>87.07</v>
      </c>
      <c r="P11" s="4053">
        <v>87.07</v>
      </c>
      <c r="Q11" s="4053">
        <v>87.07</v>
      </c>
      <c r="R11" s="4053">
        <v>87.07</v>
      </c>
      <c r="S11" s="4053">
        <f>SUM(N11)</f>
        <v>87.07</v>
      </c>
      <c r="T11" s="4053">
        <f>SUM(S11)</f>
        <v>87.07</v>
      </c>
      <c r="U11" s="4052">
        <v>39.44</v>
      </c>
      <c r="V11" s="2601">
        <v>59.67</v>
      </c>
      <c r="W11" s="2601">
        <v>79.16</v>
      </c>
      <c r="X11" s="3335">
        <f>SUM(T11)</f>
        <v>87.07</v>
      </c>
      <c r="Y11" s="4063">
        <v>79.16</v>
      </c>
      <c r="Z11" s="3515">
        <v>35.857999999999997</v>
      </c>
      <c r="AA11" s="2477">
        <v>53.784999999999997</v>
      </c>
      <c r="AB11" s="2601">
        <v>79.16</v>
      </c>
      <c r="AC11" s="29"/>
      <c r="AD11" s="29"/>
      <c r="AE11" s="29"/>
    </row>
    <row r="12" spans="1:33" x14ac:dyDescent="0.2">
      <c r="A12" s="4051" t="s">
        <v>2036</v>
      </c>
      <c r="B12" s="2225">
        <v>0</v>
      </c>
      <c r="C12" s="2225">
        <v>0</v>
      </c>
      <c r="D12" s="2225">
        <v>0</v>
      </c>
      <c r="E12" s="2225"/>
      <c r="F12" s="2225"/>
      <c r="G12" s="2225">
        <v>0</v>
      </c>
      <c r="H12" s="2225">
        <v>0</v>
      </c>
      <c r="I12" s="2225">
        <v>0</v>
      </c>
      <c r="J12" s="2225">
        <v>0</v>
      </c>
      <c r="K12" s="2225">
        <v>0</v>
      </c>
      <c r="L12" s="2225">
        <v>0</v>
      </c>
      <c r="M12" s="2225">
        <v>0</v>
      </c>
      <c r="N12" s="2225">
        <v>0</v>
      </c>
      <c r="O12" s="2225">
        <v>0</v>
      </c>
      <c r="P12" s="2225">
        <v>0</v>
      </c>
      <c r="Q12" s="2225">
        <v>0</v>
      </c>
      <c r="R12" s="2225">
        <v>0</v>
      </c>
      <c r="S12" s="2225">
        <v>0</v>
      </c>
      <c r="T12" s="2225">
        <v>0</v>
      </c>
      <c r="U12" s="2601"/>
      <c r="V12" s="2601"/>
      <c r="W12" s="2601"/>
      <c r="X12" s="2498">
        <v>0</v>
      </c>
      <c r="Y12" s="4088">
        <v>0</v>
      </c>
      <c r="Z12" s="2477"/>
      <c r="AA12" s="2477"/>
      <c r="AB12" s="2601"/>
      <c r="AC12" s="29"/>
      <c r="AD12" s="29"/>
      <c r="AE12" s="29"/>
    </row>
    <row r="13" spans="1:33" x14ac:dyDescent="0.2">
      <c r="A13" s="4051" t="s">
        <v>2037</v>
      </c>
      <c r="B13" s="2225">
        <v>0</v>
      </c>
      <c r="C13" s="2225">
        <v>0</v>
      </c>
      <c r="D13" s="2225">
        <v>0</v>
      </c>
      <c r="E13" s="2225"/>
      <c r="F13" s="2225"/>
      <c r="G13" s="2225">
        <v>0</v>
      </c>
      <c r="H13" s="2225">
        <v>0</v>
      </c>
      <c r="I13" s="2225">
        <v>0</v>
      </c>
      <c r="J13" s="2225">
        <v>0</v>
      </c>
      <c r="K13" s="2225">
        <v>0</v>
      </c>
      <c r="L13" s="2225">
        <v>0</v>
      </c>
      <c r="M13" s="2225">
        <v>0</v>
      </c>
      <c r="N13" s="2225">
        <v>0</v>
      </c>
      <c r="O13" s="2225">
        <v>0</v>
      </c>
      <c r="P13" s="2225">
        <v>0</v>
      </c>
      <c r="Q13" s="2225">
        <v>0</v>
      </c>
      <c r="R13" s="2225">
        <v>0</v>
      </c>
      <c r="S13" s="2225">
        <v>0</v>
      </c>
      <c r="T13" s="2225">
        <v>0</v>
      </c>
      <c r="U13" s="2601"/>
      <c r="V13" s="2601"/>
      <c r="W13" s="2601"/>
      <c r="X13" s="2498">
        <v>0</v>
      </c>
      <c r="Y13" s="4088">
        <v>0</v>
      </c>
      <c r="Z13" s="2477"/>
      <c r="AA13" s="2477"/>
      <c r="AB13" s="2601"/>
      <c r="AC13" s="29"/>
      <c r="AD13" s="29"/>
      <c r="AE13" s="29"/>
    </row>
    <row r="14" spans="1:33" s="1926" customFormat="1" ht="24.75" customHeight="1" x14ac:dyDescent="0.2">
      <c r="A14" s="3441" t="s">
        <v>54</v>
      </c>
      <c r="B14" s="1598">
        <f>SUM(B7:B13)</f>
        <v>3603.17</v>
      </c>
      <c r="C14" s="1598">
        <f t="shared" ref="C14:R14" si="0">SUM(C7:C13)</f>
        <v>4234.5399999999991</v>
      </c>
      <c r="D14" s="1598">
        <f t="shared" si="0"/>
        <v>3397.2979869907845</v>
      </c>
      <c r="E14" s="1598">
        <f t="shared" si="0"/>
        <v>3502.9300000000003</v>
      </c>
      <c r="F14" s="1598">
        <f t="shared" si="0"/>
        <v>4716.59</v>
      </c>
      <c r="G14" s="1598">
        <f t="shared" si="0"/>
        <v>7286.42</v>
      </c>
      <c r="H14" s="1598">
        <f t="shared" si="0"/>
        <v>7271.09</v>
      </c>
      <c r="I14" s="1598">
        <f t="shared" si="0"/>
        <v>7104.34</v>
      </c>
      <c r="J14" s="1598">
        <f t="shared" si="0"/>
        <v>7019.2999999999993</v>
      </c>
      <c r="K14" s="1598">
        <f t="shared" si="0"/>
        <v>6802.08</v>
      </c>
      <c r="L14" s="1598">
        <f t="shared" si="0"/>
        <v>0</v>
      </c>
      <c r="M14" s="1598">
        <f t="shared" si="0"/>
        <v>6646.6702937357913</v>
      </c>
      <c r="N14" s="1598">
        <f t="shared" si="0"/>
        <v>6755.3077204013716</v>
      </c>
      <c r="O14" s="1598">
        <f t="shared" si="0"/>
        <v>6854.2248095341383</v>
      </c>
      <c r="P14" s="1598">
        <f t="shared" si="0"/>
        <v>6965.945091906282</v>
      </c>
      <c r="Q14" s="1598">
        <f t="shared" si="0"/>
        <v>7135.4290638660359</v>
      </c>
      <c r="R14" s="1598">
        <f t="shared" si="0"/>
        <v>7373.4375336900102</v>
      </c>
      <c r="S14" s="1598">
        <f t="shared" ref="S14:V14" si="1">SUM(S7:S13)</f>
        <v>8047.3436809562536</v>
      </c>
      <c r="T14" s="1598">
        <f t="shared" si="1"/>
        <v>6443.3212990978154</v>
      </c>
      <c r="U14" s="1598">
        <f t="shared" si="1"/>
        <v>3176.7171764999998</v>
      </c>
      <c r="V14" s="1598">
        <f t="shared" si="1"/>
        <v>4765.6056703499999</v>
      </c>
      <c r="W14" s="1598">
        <f t="shared" ref="W14:X14" si="2">SUM(W7:W13)</f>
        <v>6354.3339378799992</v>
      </c>
      <c r="X14" s="2372">
        <f t="shared" si="2"/>
        <v>7775.3079739999994</v>
      </c>
      <c r="Y14" s="4084">
        <f t="shared" ref="Y14" si="3">SUM(Y7:Y13)</f>
        <v>5070.1323199999997</v>
      </c>
      <c r="Z14" s="2372">
        <f t="shared" ref="Z14:AB14" si="4">SUM(Z7:Z13)</f>
        <v>2537.2610000000004</v>
      </c>
      <c r="AA14" s="2372">
        <f t="shared" si="4"/>
        <v>4227.7189999999991</v>
      </c>
      <c r="AB14" s="1598">
        <f t="shared" si="4"/>
        <v>79.16</v>
      </c>
      <c r="AC14" s="3563"/>
      <c r="AD14" s="3563"/>
      <c r="AE14" s="3563"/>
    </row>
    <row r="15" spans="1:33" s="1926" customFormat="1" x14ac:dyDescent="0.2">
      <c r="A15" s="5425" t="s">
        <v>1696</v>
      </c>
      <c r="B15" s="5426"/>
      <c r="C15" s="5426"/>
      <c r="D15" s="5426"/>
      <c r="E15" s="5426"/>
      <c r="F15" s="5426"/>
      <c r="G15" s="5426"/>
      <c r="H15" s="5426"/>
      <c r="I15" s="5426"/>
      <c r="J15" s="5426"/>
      <c r="K15" s="5426"/>
      <c r="L15" s="5426"/>
      <c r="M15" s="5426"/>
      <c r="N15" s="5426"/>
      <c r="O15" s="5426"/>
      <c r="P15" s="5426"/>
      <c r="Q15" s="5426"/>
      <c r="R15" s="5426"/>
      <c r="S15" s="5427"/>
      <c r="T15" s="5427"/>
      <c r="U15" s="5427"/>
      <c r="V15" s="5427"/>
      <c r="W15" s="5427"/>
      <c r="X15" s="5427"/>
      <c r="Y15" s="5427"/>
      <c r="Z15" s="5428"/>
      <c r="AA15" s="5428"/>
      <c r="AB15" s="5429"/>
      <c r="AC15" s="3514"/>
      <c r="AD15" s="3514"/>
      <c r="AE15" s="3514"/>
    </row>
    <row r="16" spans="1:33" x14ac:dyDescent="0.2">
      <c r="A16" s="4051" t="s">
        <v>2032</v>
      </c>
      <c r="B16" s="2225">
        <v>0</v>
      </c>
      <c r="C16" s="2225">
        <v>0</v>
      </c>
      <c r="D16" s="2225">
        <v>0</v>
      </c>
      <c r="E16" s="2225"/>
      <c r="F16" s="2225"/>
      <c r="G16" s="3538">
        <v>0</v>
      </c>
      <c r="H16" s="3538">
        <v>0</v>
      </c>
      <c r="I16" s="3538">
        <v>0</v>
      </c>
      <c r="J16" s="3538">
        <v>0</v>
      </c>
      <c r="K16" s="3538">
        <v>0</v>
      </c>
      <c r="L16" s="3538">
        <v>0</v>
      </c>
      <c r="M16" s="3538">
        <v>0</v>
      </c>
      <c r="N16" s="3538">
        <v>0</v>
      </c>
      <c r="O16" s="3538">
        <v>0</v>
      </c>
      <c r="P16" s="3538">
        <v>0</v>
      </c>
      <c r="Q16" s="3538">
        <v>0</v>
      </c>
      <c r="R16" s="3538">
        <v>0</v>
      </c>
      <c r="S16" s="3538">
        <v>0</v>
      </c>
      <c r="T16" s="3538">
        <v>0</v>
      </c>
      <c r="U16" s="2601"/>
      <c r="V16" s="2601"/>
      <c r="W16" s="2601"/>
      <c r="X16" s="2522">
        <v>0</v>
      </c>
      <c r="Y16" s="4089">
        <v>0</v>
      </c>
      <c r="Z16" s="2477"/>
      <c r="AA16" s="2477"/>
      <c r="AB16" s="2601"/>
      <c r="AC16" s="29"/>
      <c r="AD16" s="29"/>
      <c r="AE16" s="29"/>
    </row>
    <row r="17" spans="1:31" x14ac:dyDescent="0.2">
      <c r="A17" s="4051" t="s">
        <v>2033</v>
      </c>
      <c r="B17" s="2225">
        <v>10.33</v>
      </c>
      <c r="C17" s="2225">
        <v>0.89</v>
      </c>
      <c r="D17" s="2225">
        <f>C17</f>
        <v>0.89</v>
      </c>
      <c r="E17" s="2225">
        <v>10.73</v>
      </c>
      <c r="F17" s="2225">
        <v>0.72</v>
      </c>
      <c r="G17" s="4053">
        <v>6.8</v>
      </c>
      <c r="H17" s="4053">
        <v>6.78</v>
      </c>
      <c r="I17" s="4053">
        <v>6.55</v>
      </c>
      <c r="J17" s="4053">
        <v>6.43</v>
      </c>
      <c r="K17" s="4053">
        <v>6.13</v>
      </c>
      <c r="L17" s="4053"/>
      <c r="M17" s="4053">
        <f>имущество!G35/1000</f>
        <v>1.3395578320234052</v>
      </c>
      <c r="N17" s="4053">
        <f>имущество!H35/1000</f>
        <v>1.2608976715825515</v>
      </c>
      <c r="O17" s="4053">
        <f>имущество!I35/1000</f>
        <v>1.1822375111416983</v>
      </c>
      <c r="P17" s="4053">
        <f>имущество!J35/1000</f>
        <v>1.1035773507008444</v>
      </c>
      <c r="Q17" s="4053">
        <f>имущество!K35/1000</f>
        <v>1.024917190259991</v>
      </c>
      <c r="R17" s="4053">
        <f>имущество!L35/1000</f>
        <v>0.94625702981913729</v>
      </c>
      <c r="S17" s="4053">
        <f>SUM(имущество!M35/1000)</f>
        <v>1.2608976715825515</v>
      </c>
      <c r="T17" s="4053">
        <f>SUM(S17)</f>
        <v>1.2608976715825515</v>
      </c>
      <c r="U17" s="2601"/>
      <c r="V17" s="2601"/>
      <c r="W17" s="2601"/>
      <c r="X17" s="3335">
        <f>SUM(имущество!R35/1000)</f>
        <v>0</v>
      </c>
      <c r="Y17" s="4063">
        <f>SUM(имущество!S35/1000)</f>
        <v>0</v>
      </c>
      <c r="Z17" s="2477"/>
      <c r="AA17" s="2477"/>
      <c r="AB17" s="2601"/>
      <c r="AC17" s="29"/>
      <c r="AD17" s="29"/>
      <c r="AE17" s="29"/>
    </row>
    <row r="18" spans="1:31" ht="25.5" x14ac:dyDescent="0.2">
      <c r="A18" s="4051" t="s">
        <v>2034</v>
      </c>
      <c r="B18" s="2225">
        <v>0</v>
      </c>
      <c r="C18" s="2225">
        <v>0</v>
      </c>
      <c r="D18" s="2225">
        <v>0</v>
      </c>
      <c r="E18" s="2225"/>
      <c r="F18" s="2225"/>
      <c r="G18" s="2225">
        <v>0</v>
      </c>
      <c r="H18" s="2225">
        <v>0</v>
      </c>
      <c r="I18" s="2225">
        <v>0</v>
      </c>
      <c r="J18" s="2225">
        <v>0</v>
      </c>
      <c r="K18" s="2225">
        <v>0</v>
      </c>
      <c r="L18" s="2225">
        <v>0</v>
      </c>
      <c r="M18" s="2225">
        <v>0</v>
      </c>
      <c r="N18" s="2225">
        <v>0</v>
      </c>
      <c r="O18" s="2225">
        <v>0</v>
      </c>
      <c r="P18" s="2225">
        <v>0</v>
      </c>
      <c r="Q18" s="2225">
        <v>0</v>
      </c>
      <c r="R18" s="2225">
        <v>0</v>
      </c>
      <c r="S18" s="2225">
        <v>0</v>
      </c>
      <c r="T18" s="2225"/>
      <c r="U18" s="2601"/>
      <c r="V18" s="2601"/>
      <c r="W18" s="2601"/>
      <c r="X18" s="2498">
        <v>0</v>
      </c>
      <c r="Y18" s="4088">
        <v>0</v>
      </c>
      <c r="Z18" s="2477"/>
      <c r="AA18" s="2477"/>
      <c r="AB18" s="2601"/>
      <c r="AC18" s="29"/>
      <c r="AD18" s="29"/>
      <c r="AE18" s="29"/>
    </row>
    <row r="19" spans="1:31" ht="30" customHeight="1" x14ac:dyDescent="0.2">
      <c r="A19" s="4051" t="s">
        <v>2039</v>
      </c>
      <c r="B19" s="2225">
        <v>7.98</v>
      </c>
      <c r="C19" s="2225">
        <v>1.1200000000000001</v>
      </c>
      <c r="D19" s="2225">
        <f>вод.налог!D72</f>
        <v>0.69412320000000005</v>
      </c>
      <c r="E19" s="2225">
        <v>9.67</v>
      </c>
      <c r="F19" s="2225">
        <v>0.96</v>
      </c>
      <c r="G19" s="4053">
        <v>1.1200000000000001</v>
      </c>
      <c r="H19" s="4053">
        <v>1.1200000000000001</v>
      </c>
      <c r="I19" s="4053">
        <v>1.1200000000000001</v>
      </c>
      <c r="J19" s="4053">
        <v>1.1200000000000001</v>
      </c>
      <c r="K19" s="4053">
        <v>1.1200000000000001</v>
      </c>
      <c r="L19" s="4053"/>
      <c r="M19" s="4053">
        <f>вод.налог!M72</f>
        <v>0.91788659999999989</v>
      </c>
      <c r="N19" s="4053">
        <f>вод.налог!S72</f>
        <v>1.0548846000000001</v>
      </c>
      <c r="O19" s="4053">
        <f>вод.налог!V72</f>
        <v>1.2147156000000001</v>
      </c>
      <c r="P19" s="4053">
        <f>вод.налог!Y72</f>
        <v>1.3973796000000001</v>
      </c>
      <c r="Q19" s="4053">
        <f>вод.налог!AB72</f>
        <v>1.6074431999999998</v>
      </c>
      <c r="R19" s="4053">
        <f>вод.налог!AE72</f>
        <v>1.8494729999999997</v>
      </c>
      <c r="S19" s="4053">
        <f>SUM(вод.налог!AH72)</f>
        <v>1.0548846000000001</v>
      </c>
      <c r="T19" s="4053">
        <f>SUM(вод.налог!AK72)</f>
        <v>0.56999999999999995</v>
      </c>
      <c r="U19" s="4053">
        <f>SUM(вод.налог!AN72)</f>
        <v>0.28960200000000003</v>
      </c>
      <c r="V19" s="2597">
        <f>SUM(вод.налог!AQ72)</f>
        <v>0.42990281999999991</v>
      </c>
      <c r="W19" s="2597">
        <v>0.59</v>
      </c>
      <c r="X19" s="3335">
        <f>SUM(W19)</f>
        <v>0.59</v>
      </c>
      <c r="Y19" s="4063">
        <f>SUM(вод.налог!AZ72)</f>
        <v>0.73399999999999999</v>
      </c>
      <c r="Z19" s="3335">
        <f>SUM(вод.налог!AS72)</f>
        <v>0</v>
      </c>
      <c r="AA19" s="2505">
        <f>SUM(вод.налог!AV72)</f>
        <v>0</v>
      </c>
      <c r="AB19" s="2597">
        <v>0.59</v>
      </c>
      <c r="AC19" s="3562"/>
      <c r="AD19" s="3562"/>
      <c r="AE19" s="3562"/>
    </row>
    <row r="20" spans="1:31" x14ac:dyDescent="0.2">
      <c r="A20" s="4051" t="s">
        <v>2035</v>
      </c>
      <c r="B20" s="2225">
        <v>0.42</v>
      </c>
      <c r="C20" s="2225">
        <v>0.04</v>
      </c>
      <c r="D20" s="2225">
        <f>C20</f>
        <v>0.04</v>
      </c>
      <c r="E20" s="2225">
        <v>0.49</v>
      </c>
      <c r="F20" s="2225">
        <v>0.03</v>
      </c>
      <c r="G20" s="4053">
        <v>0.04</v>
      </c>
      <c r="H20" s="4053">
        <v>0.04</v>
      </c>
      <c r="I20" s="4053">
        <v>0.04</v>
      </c>
      <c r="J20" s="4053">
        <v>0.04</v>
      </c>
      <c r="K20" s="4053">
        <v>0.04</v>
      </c>
      <c r="L20" s="4053"/>
      <c r="M20" s="4053">
        <f>K20</f>
        <v>0.04</v>
      </c>
      <c r="N20" s="4053">
        <f t="shared" ref="N20:S20" si="5">L20</f>
        <v>0</v>
      </c>
      <c r="O20" s="4053">
        <f t="shared" si="5"/>
        <v>0.04</v>
      </c>
      <c r="P20" s="4053">
        <f t="shared" si="5"/>
        <v>0</v>
      </c>
      <c r="Q20" s="4053">
        <f t="shared" si="5"/>
        <v>0.04</v>
      </c>
      <c r="R20" s="4053">
        <f t="shared" si="5"/>
        <v>0</v>
      </c>
      <c r="S20" s="4053">
        <f t="shared" si="5"/>
        <v>0.04</v>
      </c>
      <c r="T20" s="4053">
        <f>SUM(S20)</f>
        <v>0.04</v>
      </c>
      <c r="U20" s="2601"/>
      <c r="V20" s="2601"/>
      <c r="W20" s="2601"/>
      <c r="X20" s="3335">
        <f t="shared" ref="X20:Y20" si="6">V20</f>
        <v>0</v>
      </c>
      <c r="Y20" s="4063">
        <f t="shared" si="6"/>
        <v>0</v>
      </c>
      <c r="Z20" s="2477"/>
      <c r="AA20" s="2477"/>
      <c r="AB20" s="2601"/>
      <c r="AC20" s="29"/>
      <c r="AD20" s="29"/>
      <c r="AE20" s="29"/>
    </row>
    <row r="21" spans="1:31" x14ac:dyDescent="0.2">
      <c r="A21" s="4051" t="s">
        <v>2036</v>
      </c>
      <c r="B21" s="2225">
        <v>0</v>
      </c>
      <c r="C21" s="2225">
        <v>0</v>
      </c>
      <c r="D21" s="2225">
        <v>0</v>
      </c>
      <c r="E21" s="2225"/>
      <c r="F21" s="2225"/>
      <c r="G21" s="4053">
        <v>0</v>
      </c>
      <c r="H21" s="4053">
        <v>0</v>
      </c>
      <c r="I21" s="4053">
        <v>0</v>
      </c>
      <c r="J21" s="4053">
        <v>0</v>
      </c>
      <c r="K21" s="4053">
        <v>0</v>
      </c>
      <c r="L21" s="4053">
        <v>0</v>
      </c>
      <c r="M21" s="4053">
        <v>0</v>
      </c>
      <c r="N21" s="4053">
        <v>0</v>
      </c>
      <c r="O21" s="4053">
        <v>0</v>
      </c>
      <c r="P21" s="4053">
        <v>0</v>
      </c>
      <c r="Q21" s="4053">
        <v>0</v>
      </c>
      <c r="R21" s="4053">
        <v>0</v>
      </c>
      <c r="S21" s="4053">
        <v>0</v>
      </c>
      <c r="T21" s="4053">
        <v>0</v>
      </c>
      <c r="U21" s="2601"/>
      <c r="V21" s="2601"/>
      <c r="W21" s="2601"/>
      <c r="X21" s="3335">
        <v>0</v>
      </c>
      <c r="Y21" s="4063">
        <v>0</v>
      </c>
      <c r="Z21" s="2477"/>
      <c r="AA21" s="2477"/>
      <c r="AB21" s="2601"/>
      <c r="AC21" s="29"/>
      <c r="AD21" s="29"/>
      <c r="AE21" s="29"/>
    </row>
    <row r="22" spans="1:31" x14ac:dyDescent="0.2">
      <c r="A22" s="4051" t="s">
        <v>2037</v>
      </c>
      <c r="B22" s="2225">
        <v>0</v>
      </c>
      <c r="C22" s="2225">
        <v>0</v>
      </c>
      <c r="D22" s="2225">
        <v>0</v>
      </c>
      <c r="E22" s="2225"/>
      <c r="F22" s="2225"/>
      <c r="G22" s="4053">
        <v>0</v>
      </c>
      <c r="H22" s="4053">
        <v>0</v>
      </c>
      <c r="I22" s="4053">
        <v>0</v>
      </c>
      <c r="J22" s="4053">
        <v>0</v>
      </c>
      <c r="K22" s="4053">
        <v>0</v>
      </c>
      <c r="L22" s="4053">
        <v>0</v>
      </c>
      <c r="M22" s="4053">
        <v>0</v>
      </c>
      <c r="N22" s="4053">
        <v>0</v>
      </c>
      <c r="O22" s="4053">
        <v>0</v>
      </c>
      <c r="P22" s="4053">
        <v>0</v>
      </c>
      <c r="Q22" s="4053">
        <v>0</v>
      </c>
      <c r="R22" s="4053">
        <v>0</v>
      </c>
      <c r="S22" s="4053">
        <v>0</v>
      </c>
      <c r="T22" s="4053">
        <v>0</v>
      </c>
      <c r="U22" s="2601"/>
      <c r="V22" s="2601"/>
      <c r="W22" s="2601"/>
      <c r="X22" s="3335">
        <v>0</v>
      </c>
      <c r="Y22" s="4063">
        <v>0</v>
      </c>
      <c r="Z22" s="2477"/>
      <c r="AA22" s="2477"/>
      <c r="AB22" s="2601"/>
      <c r="AC22" s="29"/>
      <c r="AD22" s="29"/>
      <c r="AE22" s="29"/>
    </row>
    <row r="23" spans="1:31" s="1926" customFormat="1" ht="20.25" customHeight="1" x14ac:dyDescent="0.2">
      <c r="A23" s="3441" t="s">
        <v>54</v>
      </c>
      <c r="B23" s="1598">
        <f>SUM(B16:B22)</f>
        <v>18.730000000000004</v>
      </c>
      <c r="C23" s="1598">
        <f t="shared" ref="C23:R23" si="7">SUM(C16:C22)</f>
        <v>2.0500000000000003</v>
      </c>
      <c r="D23" s="1598">
        <f t="shared" si="7"/>
        <v>1.6241232000000001</v>
      </c>
      <c r="E23" s="1598">
        <f t="shared" si="7"/>
        <v>20.889999999999997</v>
      </c>
      <c r="F23" s="1598">
        <f t="shared" si="7"/>
        <v>1.71</v>
      </c>
      <c r="G23" s="1598">
        <f t="shared" si="7"/>
        <v>7.96</v>
      </c>
      <c r="H23" s="1598">
        <f t="shared" si="7"/>
        <v>7.94</v>
      </c>
      <c r="I23" s="1598">
        <f t="shared" si="7"/>
        <v>7.71</v>
      </c>
      <c r="J23" s="1598">
        <f t="shared" si="7"/>
        <v>7.59</v>
      </c>
      <c r="K23" s="1598">
        <f t="shared" si="7"/>
        <v>7.29</v>
      </c>
      <c r="L23" s="1598">
        <f t="shared" si="7"/>
        <v>0</v>
      </c>
      <c r="M23" s="1598">
        <f t="shared" si="7"/>
        <v>2.2974444320234051</v>
      </c>
      <c r="N23" s="1598">
        <f t="shared" si="7"/>
        <v>2.3157822715825516</v>
      </c>
      <c r="O23" s="1598">
        <f t="shared" si="7"/>
        <v>2.4369531111416984</v>
      </c>
      <c r="P23" s="1598">
        <f t="shared" si="7"/>
        <v>2.5009569507008447</v>
      </c>
      <c r="Q23" s="1598">
        <f t="shared" si="7"/>
        <v>2.6723603902599908</v>
      </c>
      <c r="R23" s="1598">
        <f t="shared" si="7"/>
        <v>2.7957300298191372</v>
      </c>
      <c r="S23" s="1598">
        <f t="shared" ref="S23:V23" si="8">SUM(S16:S22)</f>
        <v>2.3557822715825516</v>
      </c>
      <c r="T23" s="1598">
        <f t="shared" si="8"/>
        <v>1.8708976715825516</v>
      </c>
      <c r="U23" s="1598">
        <f t="shared" si="8"/>
        <v>0.28960200000000003</v>
      </c>
      <c r="V23" s="1598">
        <f t="shared" si="8"/>
        <v>0.42990281999999991</v>
      </c>
      <c r="W23" s="1598">
        <f t="shared" ref="W23:X23" si="9">SUM(W16:W22)</f>
        <v>0.59</v>
      </c>
      <c r="X23" s="2372">
        <f t="shared" si="9"/>
        <v>0.59</v>
      </c>
      <c r="Y23" s="4084">
        <f t="shared" ref="Y23" si="10">SUM(Y16:Y22)</f>
        <v>0.73399999999999999</v>
      </c>
      <c r="Z23" s="2372">
        <f t="shared" ref="Z23:AB23" si="11">SUM(Z16:Z22)</f>
        <v>0</v>
      </c>
      <c r="AA23" s="2372">
        <f t="shared" si="11"/>
        <v>0</v>
      </c>
      <c r="AB23" s="1598">
        <f t="shared" si="11"/>
        <v>0.59</v>
      </c>
      <c r="AC23" s="3563"/>
      <c r="AD23" s="3563"/>
      <c r="AE23" s="3563"/>
    </row>
    <row r="24" spans="1:31" s="1926" customFormat="1" x14ac:dyDescent="0.2">
      <c r="A24" s="5425" t="s">
        <v>337</v>
      </c>
      <c r="B24" s="5426"/>
      <c r="C24" s="5426"/>
      <c r="D24" s="5426"/>
      <c r="E24" s="5426"/>
      <c r="F24" s="5426"/>
      <c r="G24" s="5426"/>
      <c r="H24" s="5426"/>
      <c r="I24" s="5426"/>
      <c r="J24" s="5426"/>
      <c r="K24" s="5426"/>
      <c r="L24" s="5426"/>
      <c r="M24" s="5426"/>
      <c r="N24" s="5426"/>
      <c r="O24" s="5426"/>
      <c r="P24" s="5426"/>
      <c r="Q24" s="5426"/>
      <c r="R24" s="5426"/>
      <c r="S24" s="5427"/>
      <c r="T24" s="5427"/>
      <c r="U24" s="5427"/>
      <c r="V24" s="5427"/>
      <c r="W24" s="5427"/>
      <c r="X24" s="5427"/>
      <c r="Y24" s="5427"/>
      <c r="Z24" s="5428"/>
      <c r="AA24" s="5428"/>
      <c r="AB24" s="5429"/>
      <c r="AC24" s="3514"/>
      <c r="AD24" s="3514"/>
      <c r="AE24" s="3514"/>
    </row>
    <row r="25" spans="1:31" x14ac:dyDescent="0.2">
      <c r="A25" s="4051" t="s">
        <v>2032</v>
      </c>
      <c r="B25" s="2225">
        <v>0</v>
      </c>
      <c r="C25" s="2225">
        <v>0</v>
      </c>
      <c r="D25" s="2225">
        <v>0</v>
      </c>
      <c r="E25" s="2225"/>
      <c r="F25" s="2225"/>
      <c r="G25" s="2225">
        <v>0</v>
      </c>
      <c r="H25" s="2225">
        <v>0</v>
      </c>
      <c r="I25" s="2225">
        <v>0</v>
      </c>
      <c r="J25" s="2225">
        <v>0</v>
      </c>
      <c r="K25" s="2225">
        <v>0</v>
      </c>
      <c r="L25" s="2225">
        <v>0</v>
      </c>
      <c r="M25" s="2225">
        <v>0</v>
      </c>
      <c r="N25" s="2225">
        <v>0</v>
      </c>
      <c r="O25" s="2225">
        <v>0</v>
      </c>
      <c r="P25" s="2225">
        <v>0</v>
      </c>
      <c r="Q25" s="2225">
        <v>0</v>
      </c>
      <c r="R25" s="2225">
        <v>0</v>
      </c>
      <c r="S25" s="2225">
        <v>0</v>
      </c>
      <c r="T25" s="2225">
        <v>0</v>
      </c>
      <c r="U25" s="2601"/>
      <c r="V25" s="2601"/>
      <c r="W25" s="2601"/>
      <c r="X25" s="2498">
        <v>0</v>
      </c>
      <c r="Y25" s="4088">
        <v>0</v>
      </c>
      <c r="Z25" s="2477"/>
      <c r="AA25" s="2477"/>
      <c r="AB25" s="2601"/>
      <c r="AC25" s="29"/>
      <c r="AD25" s="29"/>
      <c r="AE25" s="29"/>
    </row>
    <row r="26" spans="1:31" x14ac:dyDescent="0.2">
      <c r="A26" s="4051" t="s">
        <v>2033</v>
      </c>
      <c r="B26" s="2225">
        <v>1409.39</v>
      </c>
      <c r="C26" s="2225">
        <v>1222.45</v>
      </c>
      <c r="D26" s="2225">
        <f>C26</f>
        <v>1222.45</v>
      </c>
      <c r="E26" s="2225">
        <v>1321.42</v>
      </c>
      <c r="F26" s="2225">
        <v>1313.7</v>
      </c>
      <c r="G26" s="4053">
        <v>1176.49</v>
      </c>
      <c r="H26" s="4053">
        <v>1124.6500000000001</v>
      </c>
      <c r="I26" s="4053">
        <v>1042.08</v>
      </c>
      <c r="J26" s="4053">
        <v>999.98</v>
      </c>
      <c r="K26" s="4053">
        <v>905.34</v>
      </c>
      <c r="L26" s="4053"/>
      <c r="M26" s="4053">
        <f>имущество!G37/1000</f>
        <v>942.55959939862851</v>
      </c>
      <c r="N26" s="4053">
        <f>M26</f>
        <v>942.55959939862851</v>
      </c>
      <c r="O26" s="4053">
        <f t="shared" ref="O26:R26" si="12">N26</f>
        <v>942.55959939862851</v>
      </c>
      <c r="P26" s="4053">
        <f t="shared" si="12"/>
        <v>942.55959939862851</v>
      </c>
      <c r="Q26" s="4053">
        <f t="shared" si="12"/>
        <v>942.55959939862851</v>
      </c>
      <c r="R26" s="4053">
        <f t="shared" si="12"/>
        <v>942.55959939862851</v>
      </c>
      <c r="S26" s="4053">
        <f>SUM(N26)</f>
        <v>942.55959939862851</v>
      </c>
      <c r="T26" s="4053">
        <f>SUM(S26)</f>
        <v>942.55959939862851</v>
      </c>
      <c r="U26" s="3567">
        <f>SUM(имущество!Q36)/1000</f>
        <v>1075.47</v>
      </c>
      <c r="V26" s="2671">
        <f>SUM(имущество!R36/1000)</f>
        <v>1613.2</v>
      </c>
      <c r="W26" s="2671">
        <f>SUM(имущество!T36)/1000</f>
        <v>2150.94</v>
      </c>
      <c r="X26" s="3335">
        <f>SUM(имущество!T36)/1000</f>
        <v>2150.94</v>
      </c>
      <c r="Y26" s="4063">
        <f>SUM(имущество!U36)/1000</f>
        <v>1745.3302200000001</v>
      </c>
      <c r="Z26" s="3977">
        <v>1068.7159999999999</v>
      </c>
      <c r="AA26" s="2478">
        <v>1600.1659999999999</v>
      </c>
      <c r="AB26" s="2671">
        <f>SUM(имущество!AB36)/1000</f>
        <v>0</v>
      </c>
      <c r="AC26" s="3564"/>
      <c r="AD26" s="3564"/>
      <c r="AE26" s="3564"/>
    </row>
    <row r="27" spans="1:31" ht="25.5" x14ac:dyDescent="0.2">
      <c r="A27" s="4051" t="s">
        <v>2034</v>
      </c>
      <c r="B27" s="2225">
        <v>348.31</v>
      </c>
      <c r="C27" s="2225">
        <v>4081.96</v>
      </c>
      <c r="D27" s="2225">
        <v>0</v>
      </c>
      <c r="E27" s="2225">
        <v>151.65</v>
      </c>
      <c r="F27" s="2225">
        <v>2.71</v>
      </c>
      <c r="G27" s="4053">
        <v>4610.3999999999996</v>
      </c>
      <c r="H27" s="4053">
        <v>4610.3999999999996</v>
      </c>
      <c r="I27" s="4053">
        <v>4610.3999999999996</v>
      </c>
      <c r="J27" s="4053">
        <v>4610.3999999999996</v>
      </c>
      <c r="K27" s="4053">
        <v>4610.3999999999996</v>
      </c>
      <c r="L27" s="4053"/>
      <c r="M27" s="4053">
        <f>НВОС!G16</f>
        <v>18.330848375909873</v>
      </c>
      <c r="N27" s="4053">
        <f>M27*1.04</f>
        <v>19.064082310946269</v>
      </c>
      <c r="O27" s="4053">
        <f t="shared" ref="O27:R27" si="13">N27*1.04</f>
        <v>19.826645603384119</v>
      </c>
      <c r="P27" s="4053">
        <f t="shared" si="13"/>
        <v>20.619711427519483</v>
      </c>
      <c r="Q27" s="4053">
        <f t="shared" si="13"/>
        <v>21.444499884620264</v>
      </c>
      <c r="R27" s="4053">
        <f t="shared" si="13"/>
        <v>22.302279880005074</v>
      </c>
      <c r="S27" s="4053">
        <f>SUM(N27)</f>
        <v>19.064082310946269</v>
      </c>
      <c r="T27" s="4053">
        <f>SUM(НВОС!I16)</f>
        <v>2.9224911000000002</v>
      </c>
      <c r="U27" s="2127">
        <f>SUM(НВОС!J16)</f>
        <v>17.12</v>
      </c>
      <c r="V27" s="3535">
        <f>SUM(НВОС!K16)</f>
        <v>25.67</v>
      </c>
      <c r="W27" s="3535">
        <f>SUM(НВОС!L16)</f>
        <v>525.82000000000005</v>
      </c>
      <c r="X27" s="3335">
        <f>SUM(НВОС!M16)</f>
        <v>525.82000000000005</v>
      </c>
      <c r="Y27" s="4063">
        <f>SUM(W27)</f>
        <v>525.82000000000005</v>
      </c>
      <c r="Z27" s="2507">
        <v>262.90699999999998</v>
      </c>
      <c r="AA27" s="4019">
        <v>394.36</v>
      </c>
      <c r="AB27" s="3535">
        <f>SUM(НВОС!Q16)</f>
        <v>525.82000000000005</v>
      </c>
      <c r="AC27" s="3565"/>
      <c r="AD27" s="3565"/>
      <c r="AE27" s="3565"/>
    </row>
    <row r="28" spans="1:31" x14ac:dyDescent="0.2">
      <c r="A28" s="4051" t="s">
        <v>2035</v>
      </c>
      <c r="B28" s="2225">
        <v>25.87</v>
      </c>
      <c r="C28" s="2225">
        <v>42.86</v>
      </c>
      <c r="D28" s="2225">
        <f>C28</f>
        <v>42.86</v>
      </c>
      <c r="E28" s="2225">
        <v>29.69</v>
      </c>
      <c r="F28" s="2225">
        <v>48.29</v>
      </c>
      <c r="G28" s="4053">
        <v>42.86</v>
      </c>
      <c r="H28" s="4053">
        <v>42.86</v>
      </c>
      <c r="I28" s="4053">
        <v>42.86</v>
      </c>
      <c r="J28" s="4053">
        <v>42.86</v>
      </c>
      <c r="K28" s="4053">
        <v>42.86</v>
      </c>
      <c r="L28" s="4053"/>
      <c r="M28" s="4053">
        <f>D28</f>
        <v>42.86</v>
      </c>
      <c r="N28" s="4053">
        <f>G28</f>
        <v>42.86</v>
      </c>
      <c r="O28" s="4053">
        <f t="shared" ref="O28:R28" si="14">H28</f>
        <v>42.86</v>
      </c>
      <c r="P28" s="4053">
        <f t="shared" si="14"/>
        <v>42.86</v>
      </c>
      <c r="Q28" s="4053">
        <f t="shared" si="14"/>
        <v>42.86</v>
      </c>
      <c r="R28" s="4053">
        <f t="shared" si="14"/>
        <v>42.86</v>
      </c>
      <c r="S28" s="4053">
        <f>SUM(F28)</f>
        <v>48.29</v>
      </c>
      <c r="T28" s="4053">
        <f>SUM(S28)</f>
        <v>48.29</v>
      </c>
      <c r="U28" s="4052">
        <v>35.979999999999997</v>
      </c>
      <c r="V28" s="2601">
        <v>55.14</v>
      </c>
      <c r="W28" s="2601">
        <v>74.290000000000006</v>
      </c>
      <c r="X28" s="3335">
        <f>SUM(W28)</f>
        <v>74.290000000000006</v>
      </c>
      <c r="Y28" s="4063">
        <f>SUM(X28)</f>
        <v>74.290000000000006</v>
      </c>
      <c r="Z28" s="3515">
        <v>40.716000000000001</v>
      </c>
      <c r="AA28" s="2477">
        <v>61.08</v>
      </c>
      <c r="AB28" s="2601">
        <v>74.290000000000006</v>
      </c>
      <c r="AC28" s="29"/>
      <c r="AD28" s="29"/>
      <c r="AE28" s="29"/>
    </row>
    <row r="29" spans="1:31" x14ac:dyDescent="0.2">
      <c r="A29" s="4051" t="s">
        <v>2036</v>
      </c>
      <c r="B29" s="2225">
        <v>0</v>
      </c>
      <c r="C29" s="2225">
        <v>0</v>
      </c>
      <c r="D29" s="2225">
        <v>0</v>
      </c>
      <c r="E29" s="2225"/>
      <c r="F29" s="2225"/>
      <c r="G29" s="4053">
        <v>0</v>
      </c>
      <c r="H29" s="4053">
        <v>0</v>
      </c>
      <c r="I29" s="4053">
        <v>0</v>
      </c>
      <c r="J29" s="4053">
        <v>0</v>
      </c>
      <c r="K29" s="4053">
        <v>0</v>
      </c>
      <c r="L29" s="4053">
        <v>0</v>
      </c>
      <c r="M29" s="4053">
        <v>0</v>
      </c>
      <c r="N29" s="4053">
        <v>0</v>
      </c>
      <c r="O29" s="4053">
        <v>0</v>
      </c>
      <c r="P29" s="4053">
        <v>0</v>
      </c>
      <c r="Q29" s="4053">
        <v>0</v>
      </c>
      <c r="R29" s="4053">
        <v>0</v>
      </c>
      <c r="S29" s="4053">
        <v>0</v>
      </c>
      <c r="T29" s="4053">
        <v>0</v>
      </c>
      <c r="U29" s="2601"/>
      <c r="V29" s="2601"/>
      <c r="W29" s="2601"/>
      <c r="X29" s="3335">
        <v>0</v>
      </c>
      <c r="Y29" s="4063">
        <v>0</v>
      </c>
      <c r="Z29" s="2477"/>
      <c r="AA29" s="2477"/>
      <c r="AB29" s="2601"/>
      <c r="AC29" s="29"/>
      <c r="AD29" s="29"/>
      <c r="AE29" s="29"/>
    </row>
    <row r="30" spans="1:31" x14ac:dyDescent="0.2">
      <c r="A30" s="4051" t="s">
        <v>2037</v>
      </c>
      <c r="B30" s="2225">
        <v>0</v>
      </c>
      <c r="C30" s="2225">
        <v>0</v>
      </c>
      <c r="D30" s="2225">
        <v>0</v>
      </c>
      <c r="E30" s="2225"/>
      <c r="F30" s="2225"/>
      <c r="G30" s="4053">
        <v>0</v>
      </c>
      <c r="H30" s="4053">
        <v>0</v>
      </c>
      <c r="I30" s="4053">
        <v>0</v>
      </c>
      <c r="J30" s="4053">
        <v>0</v>
      </c>
      <c r="K30" s="4053">
        <v>0</v>
      </c>
      <c r="L30" s="4053">
        <v>0</v>
      </c>
      <c r="M30" s="4053">
        <v>0</v>
      </c>
      <c r="N30" s="4053">
        <v>0</v>
      </c>
      <c r="O30" s="4053">
        <v>0</v>
      </c>
      <c r="P30" s="4053">
        <v>0</v>
      </c>
      <c r="Q30" s="4053">
        <v>0</v>
      </c>
      <c r="R30" s="4053">
        <v>0</v>
      </c>
      <c r="S30" s="4053">
        <v>0</v>
      </c>
      <c r="T30" s="4053">
        <v>0</v>
      </c>
      <c r="U30" s="2601"/>
      <c r="V30" s="2601"/>
      <c r="W30" s="2601"/>
      <c r="X30" s="3335">
        <v>0</v>
      </c>
      <c r="Y30" s="4063">
        <v>0</v>
      </c>
      <c r="Z30" s="2477"/>
      <c r="AA30" s="2477"/>
      <c r="AB30" s="2601"/>
      <c r="AC30" s="29"/>
      <c r="AD30" s="29"/>
      <c r="AE30" s="29"/>
    </row>
    <row r="31" spans="1:31" s="1926" customFormat="1" ht="18.75" customHeight="1" x14ac:dyDescent="0.2">
      <c r="A31" s="3441" t="s">
        <v>54</v>
      </c>
      <c r="B31" s="1598">
        <f>SUM(B25:B30)</f>
        <v>1783.57</v>
      </c>
      <c r="C31" s="1598">
        <f t="shared" ref="C31:R31" si="15">SUM(C25:C30)</f>
        <v>5347.2699999999995</v>
      </c>
      <c r="D31" s="1598">
        <f t="shared" si="15"/>
        <v>1265.31</v>
      </c>
      <c r="E31" s="1598">
        <f t="shared" si="15"/>
        <v>1502.7600000000002</v>
      </c>
      <c r="F31" s="1598">
        <f t="shared" si="15"/>
        <v>1364.7</v>
      </c>
      <c r="G31" s="1598">
        <f t="shared" si="15"/>
        <v>5829.7499999999991</v>
      </c>
      <c r="H31" s="1598">
        <f t="shared" si="15"/>
        <v>5777.9099999999989</v>
      </c>
      <c r="I31" s="1598">
        <f t="shared" si="15"/>
        <v>5695.3399999999992</v>
      </c>
      <c r="J31" s="1598">
        <f t="shared" si="15"/>
        <v>5653.2399999999989</v>
      </c>
      <c r="K31" s="1598">
        <f t="shared" si="15"/>
        <v>5558.5999999999995</v>
      </c>
      <c r="L31" s="1598">
        <f t="shared" si="15"/>
        <v>0</v>
      </c>
      <c r="M31" s="1598">
        <f t="shared" si="15"/>
        <v>1003.7504477745384</v>
      </c>
      <c r="N31" s="1598">
        <f t="shared" si="15"/>
        <v>1004.4836817095747</v>
      </c>
      <c r="O31" s="1598">
        <f t="shared" si="15"/>
        <v>1005.2462450020126</v>
      </c>
      <c r="P31" s="1598">
        <f t="shared" si="15"/>
        <v>1006.039310826148</v>
      </c>
      <c r="Q31" s="1598">
        <f t="shared" si="15"/>
        <v>1006.8640992832488</v>
      </c>
      <c r="R31" s="1598">
        <f t="shared" si="15"/>
        <v>1007.7218792786335</v>
      </c>
      <c r="S31" s="1598">
        <f t="shared" ref="S31:V31" si="16">SUM(S25:S30)</f>
        <v>1009.9136817095747</v>
      </c>
      <c r="T31" s="1598">
        <f t="shared" si="16"/>
        <v>993.77209049862847</v>
      </c>
      <c r="U31" s="1598">
        <f t="shared" si="16"/>
        <v>1128.57</v>
      </c>
      <c r="V31" s="1598">
        <f t="shared" si="16"/>
        <v>1694.0100000000002</v>
      </c>
      <c r="W31" s="1598">
        <f t="shared" ref="W31:X31" si="17">SUM(W25:W30)</f>
        <v>2751.05</v>
      </c>
      <c r="X31" s="2372">
        <f t="shared" si="17"/>
        <v>2751.05</v>
      </c>
      <c r="Y31" s="4084">
        <f t="shared" ref="Y31" si="18">SUM(Y25:Y30)</f>
        <v>2345.44022</v>
      </c>
      <c r="Z31" s="2372">
        <f t="shared" ref="Z31:AB31" si="19">SUM(Z25:Z30)</f>
        <v>1372.3389999999997</v>
      </c>
      <c r="AA31" s="2372">
        <f t="shared" si="19"/>
        <v>2055.6059999999998</v>
      </c>
      <c r="AB31" s="1598">
        <f t="shared" si="19"/>
        <v>600.11</v>
      </c>
      <c r="AC31" s="3563"/>
      <c r="AD31" s="3563"/>
      <c r="AE31" s="3563"/>
    </row>
    <row r="32" spans="1:31" s="1926" customFormat="1" x14ac:dyDescent="0.2">
      <c r="A32" s="5425" t="s">
        <v>2038</v>
      </c>
      <c r="B32" s="5426"/>
      <c r="C32" s="5426"/>
      <c r="D32" s="5426"/>
      <c r="E32" s="5426"/>
      <c r="F32" s="5426"/>
      <c r="G32" s="5426"/>
      <c r="H32" s="5426"/>
      <c r="I32" s="5426"/>
      <c r="J32" s="5426"/>
      <c r="K32" s="5426"/>
      <c r="L32" s="5426"/>
      <c r="M32" s="5426"/>
      <c r="N32" s="5426"/>
      <c r="O32" s="5426"/>
      <c r="P32" s="5426"/>
      <c r="Q32" s="5426"/>
      <c r="R32" s="5426"/>
      <c r="S32" s="5427"/>
      <c r="T32" s="5427"/>
      <c r="U32" s="5427"/>
      <c r="V32" s="5427"/>
      <c r="W32" s="5427"/>
      <c r="X32" s="5427"/>
      <c r="Y32" s="5427"/>
      <c r="Z32" s="5428"/>
      <c r="AA32" s="5428"/>
      <c r="AB32" s="5429"/>
      <c r="AC32" s="3514"/>
      <c r="AD32" s="3514"/>
      <c r="AE32" s="3514"/>
    </row>
    <row r="33" spans="1:31" x14ac:dyDescent="0.2">
      <c r="A33" s="4051" t="s">
        <v>2032</v>
      </c>
      <c r="B33" s="3568">
        <v>0</v>
      </c>
      <c r="C33" s="3568">
        <v>0</v>
      </c>
      <c r="D33" s="3568">
        <v>0</v>
      </c>
      <c r="E33" s="3568"/>
      <c r="F33" s="3568"/>
      <c r="G33" s="3568">
        <v>0</v>
      </c>
      <c r="H33" s="3568">
        <v>0</v>
      </c>
      <c r="I33" s="3568">
        <v>0</v>
      </c>
      <c r="J33" s="3568">
        <v>0</v>
      </c>
      <c r="K33" s="3568">
        <v>0</v>
      </c>
      <c r="L33" s="3568">
        <v>0</v>
      </c>
      <c r="M33" s="3568">
        <v>0</v>
      </c>
      <c r="N33" s="3568">
        <v>0</v>
      </c>
      <c r="O33" s="3568">
        <v>0</v>
      </c>
      <c r="P33" s="3568">
        <v>0</v>
      </c>
      <c r="Q33" s="3568">
        <v>0</v>
      </c>
      <c r="R33" s="3568">
        <v>0</v>
      </c>
      <c r="S33" s="3568">
        <v>0</v>
      </c>
      <c r="T33" s="3568">
        <v>0</v>
      </c>
      <c r="U33" s="2601"/>
      <c r="V33" s="2601"/>
      <c r="W33" s="2601"/>
      <c r="X33" s="2523">
        <v>0</v>
      </c>
      <c r="Y33" s="4090">
        <v>0</v>
      </c>
      <c r="Z33" s="2477"/>
      <c r="AA33" s="2477"/>
      <c r="AB33" s="2601"/>
      <c r="AC33" s="29"/>
      <c r="AD33" s="29"/>
      <c r="AE33" s="29"/>
    </row>
    <row r="34" spans="1:31" x14ac:dyDescent="0.2">
      <c r="A34" s="4051" t="s">
        <v>2033</v>
      </c>
      <c r="B34" s="3568">
        <v>10.29</v>
      </c>
      <c r="C34" s="3568">
        <v>7.39</v>
      </c>
      <c r="D34" s="3568">
        <f>C34</f>
        <v>7.39</v>
      </c>
      <c r="E34" s="3568">
        <v>9.41</v>
      </c>
      <c r="F34" s="3568">
        <v>7.65</v>
      </c>
      <c r="G34" s="2127">
        <v>6.9</v>
      </c>
      <c r="H34" s="2127">
        <v>6.59</v>
      </c>
      <c r="I34" s="2127">
        <v>6.11</v>
      </c>
      <c r="J34" s="2127">
        <v>5.86</v>
      </c>
      <c r="K34" s="2127">
        <v>5.31</v>
      </c>
      <c r="L34" s="2127"/>
      <c r="M34" s="2127">
        <f>имущество!G38/1000</f>
        <v>5.5463082213716168</v>
      </c>
      <c r="N34" s="2127">
        <f>имущество!H38/1000</f>
        <v>4.9020116321688594</v>
      </c>
      <c r="O34" s="2127">
        <f>имущество!I38/1000</f>
        <v>4.2577150429661001</v>
      </c>
      <c r="P34" s="2127">
        <f>имущество!J38/1000</f>
        <v>3.6134184537633427</v>
      </c>
      <c r="Q34" s="2127">
        <f>имущество!K38/1000</f>
        <v>2.9691218645605844</v>
      </c>
      <c r="R34" s="2127">
        <f>имущество!L38/1000</f>
        <v>2.3248252753578265</v>
      </c>
      <c r="S34" s="2127">
        <f>SUM(имущество!M38/1000)</f>
        <v>4.9020116321688594</v>
      </c>
      <c r="T34" s="2127">
        <f>SUM(S34)</f>
        <v>4.9020116321688594</v>
      </c>
      <c r="U34" s="2601"/>
      <c r="V34" s="2601"/>
      <c r="W34" s="2601"/>
      <c r="X34" s="2507">
        <f t="shared" ref="X34:Y36" si="20">SUM(T34)</f>
        <v>4.9020116321688594</v>
      </c>
      <c r="Y34" s="4080">
        <f t="shared" si="20"/>
        <v>0</v>
      </c>
      <c r="Z34" s="2477"/>
      <c r="AA34" s="2477"/>
      <c r="AB34" s="2601"/>
      <c r="AC34" s="29"/>
      <c r="AD34" s="29"/>
      <c r="AE34" s="29"/>
    </row>
    <row r="35" spans="1:31" ht="25.5" x14ac:dyDescent="0.2">
      <c r="A35" s="4051" t="s">
        <v>2034</v>
      </c>
      <c r="B35" s="3568">
        <v>0</v>
      </c>
      <c r="C35" s="3568">
        <v>24.69</v>
      </c>
      <c r="D35" s="3568">
        <v>0</v>
      </c>
      <c r="E35" s="3568">
        <v>1.08</v>
      </c>
      <c r="F35" s="3568">
        <v>0.02</v>
      </c>
      <c r="G35" s="2127">
        <v>27.02</v>
      </c>
      <c r="H35" s="2127">
        <v>27.02</v>
      </c>
      <c r="I35" s="2127">
        <v>27.02</v>
      </c>
      <c r="J35" s="2127">
        <v>27.02</v>
      </c>
      <c r="K35" s="2127">
        <v>27.02</v>
      </c>
      <c r="L35" s="2127">
        <v>27.02</v>
      </c>
      <c r="M35" s="2127">
        <f>НВОС!G17</f>
        <v>0.10786430387732723</v>
      </c>
      <c r="N35" s="4053">
        <f>M35*1.04</f>
        <v>0.11217887603242033</v>
      </c>
      <c r="O35" s="4053">
        <f t="shared" ref="O35:R35" si="21">N35*1.04</f>
        <v>0.11666603107371715</v>
      </c>
      <c r="P35" s="4053">
        <f t="shared" si="21"/>
        <v>0.12133267231666583</v>
      </c>
      <c r="Q35" s="4053">
        <f t="shared" si="21"/>
        <v>0.12618597920933247</v>
      </c>
      <c r="R35" s="4053">
        <f t="shared" si="21"/>
        <v>0.13123341837770577</v>
      </c>
      <c r="S35" s="4053">
        <f>SUM(НВОС!H17)</f>
        <v>0.10786430387732723</v>
      </c>
      <c r="T35" s="4053">
        <f>SUM(S35)</f>
        <v>0.10786430387732723</v>
      </c>
      <c r="U35" s="2127">
        <f>SUM(НВОС!J17)</f>
        <v>0</v>
      </c>
      <c r="V35" s="2601"/>
      <c r="W35" s="2601"/>
      <c r="X35" s="3335">
        <f t="shared" si="20"/>
        <v>0.10786430387732723</v>
      </c>
      <c r="Y35" s="4063">
        <f t="shared" si="20"/>
        <v>0</v>
      </c>
      <c r="Z35" s="2507">
        <f>SUM(НВОС!O17)</f>
        <v>0</v>
      </c>
      <c r="AA35" s="2507">
        <v>0</v>
      </c>
      <c r="AB35" s="2601"/>
      <c r="AC35" s="29"/>
      <c r="AD35" s="29"/>
      <c r="AE35" s="29"/>
    </row>
    <row r="36" spans="1:31" x14ac:dyDescent="0.2">
      <c r="A36" s="4051" t="s">
        <v>2035</v>
      </c>
      <c r="B36" s="3568">
        <v>0.18</v>
      </c>
      <c r="C36" s="3568">
        <v>0.26</v>
      </c>
      <c r="D36" s="3568">
        <f>C36</f>
        <v>0.26</v>
      </c>
      <c r="E36" s="3568">
        <v>0.21</v>
      </c>
      <c r="F36" s="3568">
        <v>0.28000000000000003</v>
      </c>
      <c r="G36" s="2127">
        <v>0.26</v>
      </c>
      <c r="H36" s="2127">
        <v>0.26</v>
      </c>
      <c r="I36" s="2127">
        <v>0.26</v>
      </c>
      <c r="J36" s="2127">
        <v>0.26</v>
      </c>
      <c r="K36" s="2127">
        <v>0.26</v>
      </c>
      <c r="L36" s="2127">
        <v>0.26</v>
      </c>
      <c r="M36" s="2127">
        <f>D36</f>
        <v>0.26</v>
      </c>
      <c r="N36" s="2127">
        <f>G36</f>
        <v>0.26</v>
      </c>
      <c r="O36" s="2127">
        <f t="shared" ref="O36:R36" si="22">H36</f>
        <v>0.26</v>
      </c>
      <c r="P36" s="2127">
        <f t="shared" si="22"/>
        <v>0.26</v>
      </c>
      <c r="Q36" s="2127">
        <f t="shared" si="22"/>
        <v>0.26</v>
      </c>
      <c r="R36" s="2127">
        <f t="shared" si="22"/>
        <v>0.26</v>
      </c>
      <c r="S36" s="2127">
        <f>SUM(F36)</f>
        <v>0.28000000000000003</v>
      </c>
      <c r="T36" s="2127">
        <f>SUM(S36)</f>
        <v>0.28000000000000003</v>
      </c>
      <c r="U36" s="2601"/>
      <c r="V36" s="2601"/>
      <c r="W36" s="2601"/>
      <c r="X36" s="2507">
        <f t="shared" si="20"/>
        <v>0.28000000000000003</v>
      </c>
      <c r="Y36" s="4080">
        <f t="shared" si="20"/>
        <v>0</v>
      </c>
      <c r="Z36" s="2477"/>
      <c r="AA36" s="2477"/>
      <c r="AB36" s="2601"/>
      <c r="AC36" s="29"/>
      <c r="AD36" s="29"/>
      <c r="AE36" s="29"/>
    </row>
    <row r="37" spans="1:31" x14ac:dyDescent="0.2">
      <c r="A37" s="4051" t="s">
        <v>2036</v>
      </c>
      <c r="B37" s="3568">
        <v>0</v>
      </c>
      <c r="C37" s="3568">
        <v>0</v>
      </c>
      <c r="D37" s="3568">
        <v>0</v>
      </c>
      <c r="E37" s="3568"/>
      <c r="F37" s="3568"/>
      <c r="G37" s="3568">
        <v>0</v>
      </c>
      <c r="H37" s="3568">
        <v>0</v>
      </c>
      <c r="I37" s="3568">
        <v>0</v>
      </c>
      <c r="J37" s="3568">
        <v>0</v>
      </c>
      <c r="K37" s="3568">
        <v>0</v>
      </c>
      <c r="L37" s="3568">
        <v>0</v>
      </c>
      <c r="M37" s="3568">
        <v>0</v>
      </c>
      <c r="N37" s="3568">
        <v>0</v>
      </c>
      <c r="O37" s="3568">
        <v>0</v>
      </c>
      <c r="P37" s="3568">
        <v>0</v>
      </c>
      <c r="Q37" s="3568">
        <v>0</v>
      </c>
      <c r="R37" s="3568">
        <v>0</v>
      </c>
      <c r="S37" s="3568">
        <v>0</v>
      </c>
      <c r="T37" s="3568">
        <v>0</v>
      </c>
      <c r="U37" s="2601"/>
      <c r="V37" s="2601"/>
      <c r="W37" s="2601"/>
      <c r="X37" s="2523">
        <v>0</v>
      </c>
      <c r="Y37" s="4090">
        <v>0</v>
      </c>
      <c r="Z37" s="2477"/>
      <c r="AA37" s="2477"/>
      <c r="AB37" s="2601"/>
      <c r="AC37" s="29"/>
      <c r="AD37" s="29"/>
      <c r="AE37" s="29"/>
    </row>
    <row r="38" spans="1:31" x14ac:dyDescent="0.2">
      <c r="A38" s="4051" t="s">
        <v>2037</v>
      </c>
      <c r="B38" s="3568">
        <v>0</v>
      </c>
      <c r="C38" s="3568">
        <v>0</v>
      </c>
      <c r="D38" s="3568">
        <v>0</v>
      </c>
      <c r="E38" s="3568"/>
      <c r="F38" s="3568"/>
      <c r="G38" s="3568">
        <v>0</v>
      </c>
      <c r="H38" s="3568">
        <v>0</v>
      </c>
      <c r="I38" s="3568">
        <v>0</v>
      </c>
      <c r="J38" s="3568">
        <v>0</v>
      </c>
      <c r="K38" s="3568">
        <v>0</v>
      </c>
      <c r="L38" s="3568">
        <v>0</v>
      </c>
      <c r="M38" s="3568">
        <v>0</v>
      </c>
      <c r="N38" s="3568">
        <v>0</v>
      </c>
      <c r="O38" s="3568">
        <v>0</v>
      </c>
      <c r="P38" s="3568">
        <v>0</v>
      </c>
      <c r="Q38" s="3568">
        <v>0</v>
      </c>
      <c r="R38" s="3568">
        <v>0</v>
      </c>
      <c r="S38" s="3568">
        <v>0</v>
      </c>
      <c r="T38" s="3568">
        <v>0</v>
      </c>
      <c r="U38" s="2601"/>
      <c r="V38" s="2601"/>
      <c r="W38" s="2601"/>
      <c r="X38" s="2523">
        <v>0</v>
      </c>
      <c r="Y38" s="4090">
        <v>0</v>
      </c>
      <c r="Z38" s="2477"/>
      <c r="AA38" s="2477"/>
      <c r="AB38" s="2601"/>
      <c r="AC38" s="29"/>
      <c r="AD38" s="29"/>
      <c r="AE38" s="29"/>
    </row>
    <row r="39" spans="1:31" s="1926" customFormat="1" ht="23.25" customHeight="1" x14ac:dyDescent="0.2">
      <c r="A39" s="3441" t="s">
        <v>54</v>
      </c>
      <c r="B39" s="2678">
        <f>SUM(B33:B38)</f>
        <v>10.469999999999999</v>
      </c>
      <c r="C39" s="2678">
        <f t="shared" ref="C39:R39" si="23">SUM(C33:C38)</f>
        <v>32.339999999999996</v>
      </c>
      <c r="D39" s="2678">
        <f t="shared" si="23"/>
        <v>7.6499999999999995</v>
      </c>
      <c r="E39" s="2678">
        <f t="shared" si="23"/>
        <v>10.700000000000001</v>
      </c>
      <c r="F39" s="2678">
        <f t="shared" si="23"/>
        <v>7.95</v>
      </c>
      <c r="G39" s="2678">
        <f t="shared" si="23"/>
        <v>34.18</v>
      </c>
      <c r="H39" s="2678">
        <f t="shared" si="23"/>
        <v>33.869999999999997</v>
      </c>
      <c r="I39" s="2678">
        <f t="shared" si="23"/>
        <v>33.39</v>
      </c>
      <c r="J39" s="2678">
        <f t="shared" si="23"/>
        <v>33.14</v>
      </c>
      <c r="K39" s="2678">
        <f t="shared" si="23"/>
        <v>32.589999999999996</v>
      </c>
      <c r="L39" s="2678">
        <f t="shared" si="23"/>
        <v>27.28</v>
      </c>
      <c r="M39" s="2678">
        <f t="shared" si="23"/>
        <v>5.9141725252489437</v>
      </c>
      <c r="N39" s="2678">
        <f t="shared" si="23"/>
        <v>5.2741905082012792</v>
      </c>
      <c r="O39" s="2678">
        <f t="shared" si="23"/>
        <v>4.6343810740398172</v>
      </c>
      <c r="P39" s="2678">
        <f t="shared" si="23"/>
        <v>3.9947511260800086</v>
      </c>
      <c r="Q39" s="2678">
        <f t="shared" si="23"/>
        <v>3.3553078437699169</v>
      </c>
      <c r="R39" s="2678">
        <f t="shared" si="23"/>
        <v>2.7160586937355324</v>
      </c>
      <c r="S39" s="2678">
        <f t="shared" ref="S39:U39" si="24">SUM(S33:S38)</f>
        <v>5.2898759360461867</v>
      </c>
      <c r="T39" s="2678">
        <f t="shared" si="24"/>
        <v>5.2898759360461867</v>
      </c>
      <c r="U39" s="2678">
        <f t="shared" si="24"/>
        <v>0</v>
      </c>
      <c r="V39" s="3569"/>
      <c r="W39" s="3569"/>
      <c r="X39" s="2524">
        <f t="shared" ref="X39:Y39" si="25">SUM(X33:X38)</f>
        <v>5.2898759360461867</v>
      </c>
      <c r="Y39" s="4085">
        <f t="shared" si="25"/>
        <v>0</v>
      </c>
      <c r="Z39" s="2524">
        <f t="shared" ref="Z39:AA39" si="26">SUM(Z33:Z38)</f>
        <v>0</v>
      </c>
      <c r="AA39" s="2524">
        <f t="shared" si="26"/>
        <v>0</v>
      </c>
      <c r="AB39" s="3569"/>
      <c r="AC39" s="529"/>
      <c r="AD39" s="529"/>
      <c r="AE39" s="529"/>
    </row>
    <row r="40" spans="1:31" x14ac:dyDescent="0.2">
      <c r="B40" s="3499"/>
      <c r="C40" s="3499"/>
      <c r="D40" s="3499"/>
      <c r="E40" s="3499"/>
      <c r="F40" s="3499"/>
    </row>
    <row r="41" spans="1:31" x14ac:dyDescent="0.2">
      <c r="B41" s="3499"/>
      <c r="C41" s="3499"/>
      <c r="D41" s="3499"/>
      <c r="E41" s="3499"/>
      <c r="F41" s="3499"/>
    </row>
    <row r="42" spans="1:31" x14ac:dyDescent="0.2">
      <c r="B42" s="3499"/>
      <c r="C42" s="3499"/>
      <c r="D42" s="3499"/>
      <c r="E42" s="3499"/>
      <c r="F42" s="3499"/>
    </row>
    <row r="43" spans="1:31" x14ac:dyDescent="0.2">
      <c r="B43" s="3499"/>
      <c r="C43" s="3499"/>
      <c r="D43" s="3499"/>
      <c r="E43" s="3499"/>
      <c r="F43" s="3499"/>
    </row>
    <row r="44" spans="1:31" ht="20.25" x14ac:dyDescent="0.2">
      <c r="A44" s="3566" t="s">
        <v>3564</v>
      </c>
      <c r="B44" s="3499"/>
      <c r="C44" s="3499"/>
      <c r="D44" s="3499"/>
      <c r="E44" s="3499"/>
      <c r="F44" s="3499"/>
    </row>
  </sheetData>
  <mergeCells count="18">
    <mergeCell ref="A15:AB15"/>
    <mergeCell ref="A24:AB24"/>
    <mergeCell ref="A32:AB32"/>
    <mergeCell ref="Z4:Z5"/>
    <mergeCell ref="AA4:AA5"/>
    <mergeCell ref="AB4:AB5"/>
    <mergeCell ref="A2:AB2"/>
    <mergeCell ref="A6:AB6"/>
    <mergeCell ref="U4:U5"/>
    <mergeCell ref="V4:V5"/>
    <mergeCell ref="W4:W5"/>
    <mergeCell ref="B4:D4"/>
    <mergeCell ref="G5:L5"/>
    <mergeCell ref="M5:R5"/>
    <mergeCell ref="A4:A5"/>
    <mergeCell ref="E4:F4"/>
    <mergeCell ref="S4:T4"/>
    <mergeCell ref="X4:Y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56">
    <tabColor rgb="FFFFFF00"/>
    <pageSetUpPr fitToPage="1"/>
  </sheetPr>
  <dimension ref="A2:BI79"/>
  <sheetViews>
    <sheetView zoomScaleNormal="100" workbookViewId="0">
      <pane xSplit="1" ySplit="60" topLeftCell="AT61" activePane="bottomRight" state="frozen"/>
      <selection pane="topRight" activeCell="B1" sqref="B1"/>
      <selection pane="bottomLeft" activeCell="A60" sqref="A60"/>
      <selection pane="bottomRight" activeCell="AZ73" sqref="AZ73"/>
    </sheetView>
  </sheetViews>
  <sheetFormatPr defaultRowHeight="12.75" x14ac:dyDescent="0.2"/>
  <cols>
    <col min="1" max="1" width="25" style="5" customWidth="1"/>
    <col min="2" max="2" width="7.7109375" style="5" hidden="1" customWidth="1"/>
    <col min="3" max="3" width="7.42578125" style="5" hidden="1" customWidth="1"/>
    <col min="4" max="4" width="8.28515625" style="5" hidden="1" customWidth="1"/>
    <col min="5" max="5" width="7.7109375" style="5" hidden="1" customWidth="1"/>
    <col min="6" max="6" width="7.42578125" style="5" hidden="1" customWidth="1"/>
    <col min="7" max="7" width="8.28515625" style="5" hidden="1" customWidth="1"/>
    <col min="8" max="8" width="7.7109375" style="5" hidden="1" customWidth="1"/>
    <col min="9" max="9" width="7.42578125" style="5" hidden="1" customWidth="1"/>
    <col min="10" max="10" width="8.28515625" style="5" hidden="1" customWidth="1"/>
    <col min="11" max="11" width="7.7109375" style="5" hidden="1" customWidth="1"/>
    <col min="12" max="12" width="7.42578125" style="5" hidden="1" customWidth="1"/>
    <col min="13" max="13" width="8.28515625" style="5" hidden="1" customWidth="1"/>
    <col min="14" max="14" width="11" style="5" hidden="1" customWidth="1"/>
    <col min="15" max="15" width="0" style="5" hidden="1" customWidth="1"/>
    <col min="16" max="16" width="15.85546875" style="5" hidden="1" customWidth="1"/>
    <col min="17" max="17" width="7.7109375" style="5" customWidth="1"/>
    <col min="18" max="18" width="7.42578125" style="5" customWidth="1"/>
    <col min="19" max="19" width="8.28515625" style="5" customWidth="1"/>
    <col min="20" max="20" width="7.7109375" style="5" customWidth="1"/>
    <col min="21" max="21" width="7.42578125" style="5" customWidth="1"/>
    <col min="22" max="22" width="8.28515625" style="5" customWidth="1"/>
    <col min="23" max="23" width="7.7109375" style="5" customWidth="1"/>
    <col min="24" max="24" width="7.42578125" style="5" customWidth="1"/>
    <col min="25" max="25" width="8.28515625" style="5" customWidth="1"/>
    <col min="26" max="26" width="7.7109375" style="5" customWidth="1"/>
    <col min="27" max="27" width="7.42578125" style="5" customWidth="1"/>
    <col min="28" max="28" width="8.28515625" style="5" customWidth="1"/>
    <col min="29" max="29" width="7.7109375" style="5" customWidth="1"/>
    <col min="30" max="30" width="7.42578125" style="5" customWidth="1"/>
    <col min="31" max="31" width="8.28515625" style="5" customWidth="1"/>
    <col min="32" max="32" width="7.7109375" style="5" customWidth="1"/>
    <col min="33" max="33" width="7.42578125" style="5" customWidth="1"/>
    <col min="34" max="36" width="8.28515625" style="5" customWidth="1"/>
    <col min="37" max="37" width="8.85546875" style="5" customWidth="1"/>
    <col min="38" max="16384" width="9.140625" style="5"/>
  </cols>
  <sheetData>
    <row r="2" spans="1:61" ht="59.25" customHeight="1" x14ac:dyDescent="0.2">
      <c r="A2" s="5436" t="s">
        <v>3921</v>
      </c>
      <c r="B2" s="5436"/>
      <c r="C2" s="5436"/>
      <c r="D2" s="5436"/>
      <c r="E2" s="5436"/>
      <c r="F2" s="5436"/>
      <c r="G2" s="5436"/>
      <c r="H2" s="5436"/>
      <c r="I2" s="5436"/>
      <c r="J2" s="5436"/>
      <c r="K2" s="5436"/>
      <c r="L2" s="5436"/>
      <c r="M2" s="5436"/>
      <c r="N2" s="5436"/>
      <c r="O2" s="5436"/>
      <c r="P2" s="5436"/>
      <c r="Q2" s="5436"/>
      <c r="R2" s="5436"/>
      <c r="S2" s="5436"/>
      <c r="T2" s="5436"/>
      <c r="U2" s="5436"/>
      <c r="V2" s="5436"/>
      <c r="W2" s="5436"/>
      <c r="X2" s="5436"/>
      <c r="Y2" s="5436"/>
      <c r="Z2" s="5436"/>
      <c r="AA2" s="5436"/>
      <c r="AB2" s="5436"/>
      <c r="AC2" s="5436"/>
      <c r="AD2" s="5436"/>
      <c r="AE2" s="5436"/>
      <c r="AF2" s="5262"/>
      <c r="AG2" s="5262"/>
      <c r="AH2" s="5262"/>
      <c r="AI2" s="5262"/>
      <c r="AJ2" s="5262"/>
      <c r="AK2" s="5262"/>
      <c r="AL2" s="5262"/>
      <c r="AM2" s="5262"/>
      <c r="AN2" s="5262"/>
      <c r="AO2" s="5262"/>
      <c r="AP2" s="5262"/>
      <c r="AQ2" s="5262"/>
      <c r="AR2" s="5262"/>
      <c r="AS2" s="5262"/>
      <c r="AT2" s="5262"/>
      <c r="AU2" s="5262"/>
      <c r="AV2" s="5262"/>
      <c r="AW2" s="5262"/>
      <c r="AX2" s="5262"/>
      <c r="AY2" s="5262"/>
      <c r="AZ2" s="5262"/>
      <c r="BA2" s="4242"/>
      <c r="BB2" s="4242"/>
      <c r="BC2" s="4242"/>
      <c r="BD2" s="4242"/>
      <c r="BE2" s="4242"/>
      <c r="BF2" s="4242"/>
      <c r="BG2" s="4242"/>
      <c r="BH2" s="4242"/>
      <c r="BI2" s="4242"/>
    </row>
    <row r="3" spans="1:61" hidden="1" x14ac:dyDescent="0.2">
      <c r="A3" s="5438" t="s">
        <v>286</v>
      </c>
      <c r="B3" s="4475"/>
      <c r="C3" s="4475"/>
      <c r="D3" s="4475"/>
      <c r="E3" s="4475"/>
      <c r="F3" s="4475"/>
      <c r="G3" s="4475"/>
      <c r="H3" s="4475"/>
      <c r="I3" s="4475"/>
      <c r="J3" s="4475"/>
      <c r="K3" s="4475"/>
      <c r="L3" s="4475"/>
      <c r="M3" s="4475"/>
      <c r="N3" s="4475"/>
      <c r="O3" s="4475"/>
      <c r="P3" s="4475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</row>
    <row r="4" spans="1:61" ht="15.75" hidden="1" x14ac:dyDescent="0.25">
      <c r="A4" s="4849" t="s">
        <v>358</v>
      </c>
      <c r="B4" s="4480" t="s">
        <v>641</v>
      </c>
      <c r="C4" s="4480"/>
      <c r="D4" s="4480"/>
      <c r="E4" s="3503"/>
      <c r="F4" s="3503"/>
      <c r="G4" s="3503"/>
      <c r="H4" s="3503"/>
      <c r="I4" s="3503"/>
      <c r="J4" s="3503"/>
      <c r="K4" s="4480" t="s">
        <v>649</v>
      </c>
      <c r="L4" s="4480"/>
      <c r="M4" s="4480"/>
      <c r="N4" s="4480" t="s">
        <v>1529</v>
      </c>
      <c r="O4" s="4480"/>
      <c r="P4" s="4480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</row>
    <row r="5" spans="1:61" ht="30" hidden="1" customHeight="1" x14ac:dyDescent="0.2">
      <c r="A5" s="4849"/>
      <c r="B5" s="3501" t="s">
        <v>398</v>
      </c>
      <c r="C5" s="3501" t="s">
        <v>650</v>
      </c>
      <c r="D5" s="3501" t="s">
        <v>400</v>
      </c>
      <c r="E5" s="3501"/>
      <c r="F5" s="3501"/>
      <c r="G5" s="3501"/>
      <c r="H5" s="3501"/>
      <c r="I5" s="3501"/>
      <c r="J5" s="3501"/>
      <c r="K5" s="3501" t="s">
        <v>398</v>
      </c>
      <c r="L5" s="3501" t="s">
        <v>650</v>
      </c>
      <c r="M5" s="3501" t="s">
        <v>400</v>
      </c>
      <c r="N5" s="3501" t="s">
        <v>398</v>
      </c>
      <c r="O5" s="3501" t="s">
        <v>650</v>
      </c>
      <c r="P5" s="3501" t="s">
        <v>400</v>
      </c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</row>
    <row r="6" spans="1:61" ht="15" hidden="1" customHeight="1" x14ac:dyDescent="0.2">
      <c r="A6" s="3552" t="s">
        <v>651</v>
      </c>
      <c r="B6" s="1750">
        <f>объемы!L39</f>
        <v>5800.03</v>
      </c>
      <c r="C6" s="1619"/>
      <c r="D6" s="1619"/>
      <c r="E6" s="1619"/>
      <c r="F6" s="1619"/>
      <c r="G6" s="1619"/>
      <c r="H6" s="1619"/>
      <c r="I6" s="1619"/>
      <c r="J6" s="1619"/>
      <c r="K6" s="1751">
        <f>SUM(объемы!T39)</f>
        <v>5779.357</v>
      </c>
      <c r="L6" s="1619"/>
      <c r="M6" s="1619"/>
      <c r="N6" s="1678"/>
      <c r="O6" s="1608"/>
      <c r="P6" s="1608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</row>
    <row r="7" spans="1:61" ht="15" hidden="1" customHeight="1" x14ac:dyDescent="0.2">
      <c r="A7" s="3552" t="s">
        <v>24</v>
      </c>
      <c r="B7" s="1750">
        <f>объемы!L50</f>
        <v>2800</v>
      </c>
      <c r="C7" s="1619">
        <v>70</v>
      </c>
      <c r="D7" s="1751">
        <f>B7*C7/1000</f>
        <v>196</v>
      </c>
      <c r="E7" s="1751"/>
      <c r="F7" s="1751"/>
      <c r="G7" s="1751"/>
      <c r="H7" s="1751"/>
      <c r="I7" s="1751"/>
      <c r="J7" s="1751"/>
      <c r="K7" s="1751">
        <f>SUM(объемы!T50)</f>
        <v>2428.56</v>
      </c>
      <c r="L7" s="1619">
        <v>93</v>
      </c>
      <c r="M7" s="1751">
        <f>K7*L7/1000</f>
        <v>225.85607999999999</v>
      </c>
      <c r="N7" s="1678"/>
      <c r="O7" s="1608"/>
      <c r="P7" s="1678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</row>
    <row r="8" spans="1:61" ht="15" hidden="1" customHeight="1" x14ac:dyDescent="0.2">
      <c r="A8" s="3552" t="s">
        <v>256</v>
      </c>
      <c r="B8" s="1750">
        <f>объемы!L52</f>
        <v>1192</v>
      </c>
      <c r="C8" s="1619">
        <v>306</v>
      </c>
      <c r="D8" s="1751">
        <f>B8*C8/1000</f>
        <v>364.75200000000001</v>
      </c>
      <c r="E8" s="1751"/>
      <c r="F8" s="1751"/>
      <c r="G8" s="1751"/>
      <c r="H8" s="1751"/>
      <c r="I8" s="1751"/>
      <c r="J8" s="1751"/>
      <c r="K8" s="1751">
        <f>SUM(объемы!T52+объемы!T51+объемы!T57)</f>
        <v>1582.077</v>
      </c>
      <c r="L8" s="1619">
        <v>341</v>
      </c>
      <c r="M8" s="1751">
        <f>K8*L8/1000</f>
        <v>539.48825699999998</v>
      </c>
      <c r="N8" s="1678"/>
      <c r="O8" s="1608"/>
      <c r="P8" s="1678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</row>
    <row r="9" spans="1:61" ht="15" hidden="1" customHeight="1" x14ac:dyDescent="0.2">
      <c r="A9" s="3552" t="s">
        <v>394</v>
      </c>
      <c r="B9" s="1750">
        <f>объемы!L42</f>
        <v>754</v>
      </c>
      <c r="C9" s="1619">
        <v>306</v>
      </c>
      <c r="D9" s="1751">
        <f>B9*C9/1000</f>
        <v>230.72399999999999</v>
      </c>
      <c r="E9" s="1751"/>
      <c r="F9" s="1751"/>
      <c r="G9" s="1751"/>
      <c r="H9" s="1751"/>
      <c r="I9" s="1751"/>
      <c r="J9" s="1751"/>
      <c r="K9" s="1751">
        <f>SUM(объемы!T42)</f>
        <v>750</v>
      </c>
      <c r="L9" s="1619">
        <v>341</v>
      </c>
      <c r="M9" s="1751">
        <f>K9*L9/1000</f>
        <v>255.75</v>
      </c>
      <c r="N9" s="1678"/>
      <c r="O9" s="1608"/>
      <c r="P9" s="1678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</row>
    <row r="10" spans="1:61" ht="15" hidden="1" customHeight="1" x14ac:dyDescent="0.2">
      <c r="A10" s="3552" t="s">
        <v>395</v>
      </c>
      <c r="B10" s="1750">
        <f>объемы!L47</f>
        <v>1007.9</v>
      </c>
      <c r="C10" s="1619"/>
      <c r="D10" s="1751"/>
      <c r="E10" s="1751"/>
      <c r="F10" s="1751"/>
      <c r="G10" s="1751"/>
      <c r="H10" s="1751"/>
      <c r="I10" s="1751"/>
      <c r="J10" s="1751"/>
      <c r="K10" s="1751">
        <f>SUM(объемы!T47)</f>
        <v>997.3</v>
      </c>
      <c r="L10" s="1619"/>
      <c r="M10" s="1751"/>
      <c r="N10" s="1678"/>
      <c r="O10" s="1608"/>
      <c r="P10" s="1678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</row>
    <row r="11" spans="1:61" ht="15" hidden="1" customHeight="1" x14ac:dyDescent="0.2">
      <c r="A11" s="3552" t="s">
        <v>396</v>
      </c>
      <c r="B11" s="3506">
        <f>B10*B7/(B7+B8)</f>
        <v>706.94388777555105</v>
      </c>
      <c r="C11" s="1619">
        <f>C7</f>
        <v>70</v>
      </c>
      <c r="D11" s="1751">
        <f>B11*C11/1000</f>
        <v>49.48607214428857</v>
      </c>
      <c r="E11" s="1751"/>
      <c r="F11" s="1751"/>
      <c r="G11" s="1751"/>
      <c r="H11" s="1751"/>
      <c r="I11" s="1751"/>
      <c r="J11" s="1751"/>
      <c r="K11" s="1619">
        <f>K10*K7/(K7+K8)</f>
        <v>603.89481471397187</v>
      </c>
      <c r="L11" s="1619">
        <v>93</v>
      </c>
      <c r="M11" s="1751">
        <f>K11*L11/1000</f>
        <v>56.162217768399387</v>
      </c>
      <c r="N11" s="1608"/>
      <c r="O11" s="1608"/>
      <c r="P11" s="1678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61" ht="15" hidden="1" customHeight="1" x14ac:dyDescent="0.2">
      <c r="A12" s="3552" t="s">
        <v>397</v>
      </c>
      <c r="B12" s="1750">
        <f>B10-B11</f>
        <v>300.95611222444893</v>
      </c>
      <c r="C12" s="1619">
        <v>306</v>
      </c>
      <c r="D12" s="1751">
        <f>B12*C12/1000</f>
        <v>92.092570340681377</v>
      </c>
      <c r="E12" s="1751"/>
      <c r="F12" s="1751"/>
      <c r="G12" s="1751"/>
      <c r="H12" s="1751"/>
      <c r="I12" s="1751"/>
      <c r="J12" s="1751"/>
      <c r="K12" s="1751">
        <f>K10-K11</f>
        <v>393.40518528602809</v>
      </c>
      <c r="L12" s="1619">
        <v>341</v>
      </c>
      <c r="M12" s="1751">
        <f>K12*L12/1000</f>
        <v>134.1511681825356</v>
      </c>
      <c r="N12" s="1678"/>
      <c r="O12" s="1608"/>
      <c r="P12" s="1678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61" ht="15" hidden="1" customHeight="1" x14ac:dyDescent="0.2">
      <c r="A13" s="3553" t="s">
        <v>850</v>
      </c>
      <c r="B13" s="1683"/>
      <c r="C13" s="1681"/>
      <c r="D13" s="1684">
        <f>SUM(D7:D12)</f>
        <v>933.0546424849698</v>
      </c>
      <c r="E13" s="1684"/>
      <c r="F13" s="1684"/>
      <c r="G13" s="1684"/>
      <c r="H13" s="1684"/>
      <c r="I13" s="1684"/>
      <c r="J13" s="1684"/>
      <c r="K13" s="1681"/>
      <c r="L13" s="1681"/>
      <c r="M13" s="1684">
        <f>SUM(M7:M12)</f>
        <v>1211.4077229509351</v>
      </c>
      <c r="N13" s="1612"/>
      <c r="O13" s="1612"/>
      <c r="P13" s="1613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61" ht="58.5" hidden="1" customHeight="1" x14ac:dyDescent="0.2">
      <c r="A14" s="3554" t="s">
        <v>851</v>
      </c>
      <c r="B14" s="1617"/>
      <c r="C14" s="1748"/>
      <c r="D14" s="1749"/>
      <c r="E14" s="1749"/>
      <c r="F14" s="1749"/>
      <c r="G14" s="1749"/>
      <c r="H14" s="1749"/>
      <c r="I14" s="1749"/>
      <c r="J14" s="1749"/>
      <c r="K14" s="1748"/>
      <c r="L14" s="1748"/>
      <c r="M14" s="1749">
        <v>1455.14</v>
      </c>
      <c r="N14" s="1612"/>
      <c r="O14" s="1612"/>
      <c r="P14" s="1613">
        <v>1455.14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61" ht="58.5" hidden="1" customHeight="1" x14ac:dyDescent="0.2">
      <c r="A15" s="3554" t="s">
        <v>851</v>
      </c>
      <c r="B15" s="1617"/>
      <c r="C15" s="1748"/>
      <c r="D15" s="1749"/>
      <c r="E15" s="1749"/>
      <c r="F15" s="1749"/>
      <c r="G15" s="1749"/>
      <c r="H15" s="1749"/>
      <c r="I15" s="1749"/>
      <c r="J15" s="1749"/>
      <c r="K15" s="1748"/>
      <c r="L15" s="1748"/>
      <c r="M15" s="1749">
        <v>60.06</v>
      </c>
      <c r="N15" s="1612"/>
      <c r="O15" s="1612"/>
      <c r="P15" s="1613">
        <v>60.06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61" ht="58.5" hidden="1" customHeight="1" x14ac:dyDescent="0.2">
      <c r="A16" s="3555" t="s">
        <v>852</v>
      </c>
      <c r="B16" s="1617"/>
      <c r="C16" s="1748"/>
      <c r="D16" s="1749"/>
      <c r="E16" s="1749"/>
      <c r="F16" s="1749"/>
      <c r="G16" s="1749"/>
      <c r="H16" s="1749"/>
      <c r="I16" s="1749"/>
      <c r="J16" s="1749"/>
      <c r="K16" s="1748"/>
      <c r="L16" s="1748"/>
      <c r="M16" s="1749">
        <f>SUM(M14:M15)</f>
        <v>1515.2</v>
      </c>
      <c r="N16" s="1612"/>
      <c r="O16" s="1612"/>
      <c r="P16" s="1613">
        <f>SUM(P14:P15)</f>
        <v>1515.2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52" ht="15" hidden="1" customHeight="1" x14ac:dyDescent="0.2">
      <c r="A17" s="5438" t="s">
        <v>401</v>
      </c>
      <c r="B17" s="4475"/>
      <c r="C17" s="4475"/>
      <c r="D17" s="4475"/>
      <c r="E17" s="4475"/>
      <c r="F17" s="4475"/>
      <c r="G17" s="4475"/>
      <c r="H17" s="4475"/>
      <c r="I17" s="4475"/>
      <c r="J17" s="4475"/>
      <c r="K17" s="4475"/>
      <c r="L17" s="4475"/>
      <c r="M17" s="4475"/>
      <c r="N17" s="4475"/>
      <c r="O17" s="4475"/>
      <c r="P17" s="4475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52" ht="38.25" hidden="1" customHeight="1" x14ac:dyDescent="0.2">
      <c r="A18" s="3546" t="s">
        <v>358</v>
      </c>
      <c r="B18" s="3517" t="s">
        <v>398</v>
      </c>
      <c r="C18" s="3517" t="s">
        <v>650</v>
      </c>
      <c r="D18" s="3517" t="s">
        <v>400</v>
      </c>
      <c r="E18" s="3517"/>
      <c r="F18" s="3517"/>
      <c r="G18" s="3517"/>
      <c r="H18" s="3517"/>
      <c r="I18" s="3517"/>
      <c r="J18" s="3517"/>
      <c r="K18" s="3517" t="s">
        <v>398</v>
      </c>
      <c r="L18" s="3517" t="s">
        <v>650</v>
      </c>
      <c r="M18" s="3517" t="s">
        <v>400</v>
      </c>
      <c r="N18" s="1675"/>
      <c r="O18" s="1675"/>
      <c r="P18" s="1675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52" ht="15" hidden="1" customHeight="1" x14ac:dyDescent="0.2">
      <c r="A19" s="3556" t="s">
        <v>651</v>
      </c>
      <c r="B19" s="1676">
        <f>объемы!M39</f>
        <v>5561.39</v>
      </c>
      <c r="C19" s="1579"/>
      <c r="D19" s="1579"/>
      <c r="E19" s="1579"/>
      <c r="F19" s="1579"/>
      <c r="G19" s="1579"/>
      <c r="H19" s="1579"/>
      <c r="I19" s="1579"/>
      <c r="J19" s="1579"/>
      <c r="K19" s="1676">
        <f>SUM(объемы!AA39)</f>
        <v>5654.317</v>
      </c>
      <c r="L19" s="1579"/>
      <c r="M19" s="1579"/>
      <c r="N19" s="1675"/>
      <c r="O19" s="1675"/>
      <c r="P19" s="1675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52" ht="15" hidden="1" customHeight="1" x14ac:dyDescent="0.2">
      <c r="A20" s="3556" t="s">
        <v>24</v>
      </c>
      <c r="B20" s="1676">
        <v>2800</v>
      </c>
      <c r="C20" s="1579">
        <v>70</v>
      </c>
      <c r="D20" s="1676">
        <f>B20*C20/1000</f>
        <v>196</v>
      </c>
      <c r="E20" s="1676"/>
      <c r="F20" s="1676"/>
      <c r="G20" s="1676"/>
      <c r="H20" s="1676"/>
      <c r="I20" s="1676"/>
      <c r="J20" s="1676"/>
      <c r="K20" s="1676">
        <f>SUM(объемы!AA50)</f>
        <v>2428.56</v>
      </c>
      <c r="L20" s="1579">
        <v>93</v>
      </c>
      <c r="M20" s="1676">
        <f>K20*L20/1000</f>
        <v>225.85607999999999</v>
      </c>
      <c r="N20" s="1675"/>
      <c r="O20" s="1675"/>
      <c r="P20" s="1675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52" ht="15" hidden="1" customHeight="1" x14ac:dyDescent="0.2">
      <c r="A21" s="3556" t="s">
        <v>256</v>
      </c>
      <c r="B21" s="1676">
        <v>1206.27</v>
      </c>
      <c r="C21" s="1579">
        <v>258</v>
      </c>
      <c r="D21" s="1676">
        <f>B21*C21/1000</f>
        <v>311.21765999999997</v>
      </c>
      <c r="E21" s="1676"/>
      <c r="F21" s="1676"/>
      <c r="G21" s="1676"/>
      <c r="H21" s="1676"/>
      <c r="I21" s="1676"/>
      <c r="J21" s="1676"/>
      <c r="K21" s="1676">
        <f>SUM(объемы!AA52+объемы!AA51+объемы!AA57)</f>
        <v>1560.6570000000002</v>
      </c>
      <c r="L21" s="1579">
        <v>341</v>
      </c>
      <c r="M21" s="1676">
        <f>K21*L21/1000</f>
        <v>532.18403699999999</v>
      </c>
      <c r="N21" s="1675"/>
      <c r="O21" s="1675"/>
      <c r="P21" s="1675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52" ht="15" hidden="1" customHeight="1" x14ac:dyDescent="0.2">
      <c r="A22" s="3556" t="s">
        <v>394</v>
      </c>
      <c r="B22" s="1676">
        <f>объемы!M42</f>
        <v>557.12</v>
      </c>
      <c r="C22" s="1579">
        <v>258</v>
      </c>
      <c r="D22" s="1676">
        <f>B22*C22/1000</f>
        <v>143.73695999999998</v>
      </c>
      <c r="E22" s="1676"/>
      <c r="F22" s="1676"/>
      <c r="G22" s="1676"/>
      <c r="H22" s="1676"/>
      <c r="I22" s="1676"/>
      <c r="J22" s="1676"/>
      <c r="K22" s="1676">
        <f>SUM(объемы!AA42)</f>
        <v>686.4</v>
      </c>
      <c r="L22" s="1579">
        <v>341</v>
      </c>
      <c r="M22" s="1676">
        <f>K22*L22/1000</f>
        <v>234.0624</v>
      </c>
      <c r="N22" s="1675"/>
      <c r="O22" s="1675"/>
      <c r="P22" s="1675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52" ht="15" hidden="1" customHeight="1" x14ac:dyDescent="0.2">
      <c r="A23" s="3556" t="s">
        <v>395</v>
      </c>
      <c r="B23" s="1676">
        <f>объемы!M47</f>
        <v>998</v>
      </c>
      <c r="C23" s="1579"/>
      <c r="D23" s="1676"/>
      <c r="E23" s="1676"/>
      <c r="F23" s="1676"/>
      <c r="G23" s="1676"/>
      <c r="H23" s="1676"/>
      <c r="I23" s="1676"/>
      <c r="J23" s="1676"/>
      <c r="K23" s="1676">
        <f>SUM(объемы!AA47)</f>
        <v>978.7</v>
      </c>
      <c r="L23" s="1579"/>
      <c r="M23" s="1676"/>
      <c r="N23" s="1675"/>
      <c r="O23" s="1675"/>
      <c r="P23" s="1675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52" ht="15" hidden="1" customHeight="1" x14ac:dyDescent="0.2">
      <c r="A24" s="3556" t="s">
        <v>396</v>
      </c>
      <c r="B24" s="1579">
        <f>B23*B20/(B20+B21)</f>
        <v>697.50665831309425</v>
      </c>
      <c r="C24" s="1579">
        <f>C20</f>
        <v>70</v>
      </c>
      <c r="D24" s="1676">
        <f>B24*C24/1000</f>
        <v>48.825466081916595</v>
      </c>
      <c r="E24" s="1676"/>
      <c r="F24" s="1676"/>
      <c r="G24" s="1676"/>
      <c r="H24" s="1676"/>
      <c r="I24" s="1676"/>
      <c r="J24" s="1676"/>
      <c r="K24" s="1579">
        <f>K23*K20/(K20+K21)</f>
        <v>595.81408381644826</v>
      </c>
      <c r="L24" s="1579">
        <f>L20</f>
        <v>93</v>
      </c>
      <c r="M24" s="1676">
        <f>K24*L24/1000</f>
        <v>55.410709794929687</v>
      </c>
      <c r="N24" s="1675"/>
      <c r="O24" s="1675"/>
      <c r="P24" s="1675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52" ht="15" hidden="1" customHeight="1" x14ac:dyDescent="0.2">
      <c r="A25" s="3556" t="s">
        <v>397</v>
      </c>
      <c r="B25" s="1676">
        <f>B23-B24</f>
        <v>300.49334168690575</v>
      </c>
      <c r="C25" s="1579">
        <v>258</v>
      </c>
      <c r="D25" s="1676">
        <f>B25*C25/1000</f>
        <v>77.527282155221684</v>
      </c>
      <c r="E25" s="1676"/>
      <c r="F25" s="1676"/>
      <c r="G25" s="1676"/>
      <c r="H25" s="1676"/>
      <c r="I25" s="1676"/>
      <c r="J25" s="1676"/>
      <c r="K25" s="1676">
        <f>K23-K24</f>
        <v>382.88591618355179</v>
      </c>
      <c r="L25" s="1579">
        <v>341</v>
      </c>
      <c r="M25" s="1676">
        <f>K25*L25/1000</f>
        <v>130.56409741859116</v>
      </c>
      <c r="N25" s="1675"/>
      <c r="O25" s="1675"/>
      <c r="P25" s="1675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52" ht="15" hidden="1" customHeight="1" thickBot="1" x14ac:dyDescent="0.25">
      <c r="A26" s="3557" t="s">
        <v>399</v>
      </c>
      <c r="B26" s="1607"/>
      <c r="C26" s="1607"/>
      <c r="D26" s="1677">
        <f>SUM(D20:D25)</f>
        <v>777.30736823713823</v>
      </c>
      <c r="E26" s="1677"/>
      <c r="F26" s="1677"/>
      <c r="G26" s="1677"/>
      <c r="H26" s="1677"/>
      <c r="I26" s="1677"/>
      <c r="J26" s="1677"/>
      <c r="K26" s="1607"/>
      <c r="L26" s="1607"/>
      <c r="M26" s="1677">
        <f>SUM(M20:M25)</f>
        <v>1178.077324213521</v>
      </c>
      <c r="N26" s="1675"/>
      <c r="O26" s="1675"/>
      <c r="P26" s="1675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</row>
    <row r="27" spans="1:52" ht="15.75" hidden="1" x14ac:dyDescent="0.25">
      <c r="A27" s="4849" t="s">
        <v>358</v>
      </c>
      <c r="B27" s="4477" t="s">
        <v>649</v>
      </c>
      <c r="C27" s="4478"/>
      <c r="D27" s="4479"/>
      <c r="E27" s="3502"/>
      <c r="F27" s="3502"/>
      <c r="G27" s="3502"/>
      <c r="H27" s="3502"/>
      <c r="I27" s="3502"/>
      <c r="J27" s="3502"/>
      <c r="K27" s="4480" t="s">
        <v>870</v>
      </c>
      <c r="L27" s="4480"/>
      <c r="M27" s="4480"/>
      <c r="N27" s="4481" t="s">
        <v>871</v>
      </c>
      <c r="O27" s="4481"/>
      <c r="P27" s="4481"/>
      <c r="Q27" s="4477" t="s">
        <v>871</v>
      </c>
      <c r="R27" s="4478"/>
      <c r="S27" s="4478"/>
      <c r="T27" s="4478"/>
      <c r="U27" s="4478"/>
      <c r="V27" s="447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52" ht="38.25" hidden="1" x14ac:dyDescent="0.2">
      <c r="A28" s="4849"/>
      <c r="B28" s="3501" t="s">
        <v>398</v>
      </c>
      <c r="C28" s="3501" t="s">
        <v>650</v>
      </c>
      <c r="D28" s="3501" t="s">
        <v>400</v>
      </c>
      <c r="E28" s="3501"/>
      <c r="F28" s="3501"/>
      <c r="G28" s="3501"/>
      <c r="H28" s="3501"/>
      <c r="I28" s="3501"/>
      <c r="J28" s="3501"/>
      <c r="K28" s="3501" t="s">
        <v>398</v>
      </c>
      <c r="L28" s="3501" t="s">
        <v>650</v>
      </c>
      <c r="M28" s="3501" t="s">
        <v>400</v>
      </c>
      <c r="N28" s="3517" t="s">
        <v>398</v>
      </c>
      <c r="O28" s="3517" t="s">
        <v>650</v>
      </c>
      <c r="P28" s="3517" t="s">
        <v>400</v>
      </c>
      <c r="Q28" s="3501" t="s">
        <v>398</v>
      </c>
      <c r="R28" s="3501" t="s">
        <v>650</v>
      </c>
      <c r="S28" s="3501" t="s">
        <v>400</v>
      </c>
      <c r="T28" s="3501" t="s">
        <v>398</v>
      </c>
      <c r="U28" s="3501" t="s">
        <v>650</v>
      </c>
      <c r="V28" s="3501" t="s">
        <v>400</v>
      </c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52" hidden="1" x14ac:dyDescent="0.2">
      <c r="A29" s="3552" t="s">
        <v>651</v>
      </c>
      <c r="B29" s="1752">
        <f>объемы!L72</f>
        <v>0</v>
      </c>
      <c r="C29" s="1619"/>
      <c r="D29" s="1619"/>
      <c r="E29" s="1619"/>
      <c r="F29" s="1619"/>
      <c r="G29" s="1619"/>
      <c r="H29" s="1619"/>
      <c r="I29" s="1619"/>
      <c r="J29" s="1619"/>
      <c r="K29" s="1751">
        <f>K30+K31+K32+K33</f>
        <v>5570.6852214411947</v>
      </c>
      <c r="L29" s="1619"/>
      <c r="M29" s="1619"/>
      <c r="N29" s="1678">
        <f>SUM(объемы!AC72)</f>
        <v>0</v>
      </c>
      <c r="O29" s="1608"/>
      <c r="P29" s="1608"/>
      <c r="Q29" s="1751">
        <f>Q30+Q31+Q32+Q33</f>
        <v>5570</v>
      </c>
      <c r="R29" s="1619"/>
      <c r="S29" s="1619"/>
      <c r="T29" s="1751">
        <f>T30+T31+T32+T33</f>
        <v>5326.2811437166174</v>
      </c>
      <c r="U29" s="1619"/>
      <c r="V29" s="161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52" hidden="1" x14ac:dyDescent="0.2">
      <c r="A30" s="3552" t="s">
        <v>24</v>
      </c>
      <c r="B30" s="1752">
        <f>объемы!AA50</f>
        <v>2428.56</v>
      </c>
      <c r="C30" s="1619">
        <v>93</v>
      </c>
      <c r="D30" s="1751">
        <f>B30*C30/1000</f>
        <v>225.85607999999999</v>
      </c>
      <c r="E30" s="1751"/>
      <c r="F30" s="1751"/>
      <c r="G30" s="1751"/>
      <c r="H30" s="1751"/>
      <c r="I30" s="1751"/>
      <c r="J30" s="1751"/>
      <c r="K30" s="1751">
        <f>объемы!AJ50</f>
        <v>2380</v>
      </c>
      <c r="L30" s="1619">
        <f>107</f>
        <v>107</v>
      </c>
      <c r="M30" s="1751">
        <f>K30*L30/1000</f>
        <v>254.66</v>
      </c>
      <c r="N30" s="1678">
        <f>K30</f>
        <v>2380</v>
      </c>
      <c r="O30" s="1608">
        <v>122</v>
      </c>
      <c r="P30" s="1678">
        <f>N30*O30/1000</f>
        <v>290.36</v>
      </c>
      <c r="Q30" s="1751">
        <v>2360</v>
      </c>
      <c r="R30" s="1619">
        <v>122</v>
      </c>
      <c r="S30" s="1751">
        <f>Q30*R30/1000</f>
        <v>287.92</v>
      </c>
      <c r="T30" s="1751">
        <f>объемы!AR50</f>
        <v>2360</v>
      </c>
      <c r="U30" s="1619">
        <v>122</v>
      </c>
      <c r="V30" s="1751">
        <f>T30*U30/1000</f>
        <v>287.92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52" hidden="1" x14ac:dyDescent="0.2">
      <c r="A31" s="3552" t="s">
        <v>256</v>
      </c>
      <c r="B31" s="1752">
        <f>объемы!AA52+объемы!AB51+объемы!AA57</f>
        <v>1582.077</v>
      </c>
      <c r="C31" s="1619">
        <v>341</v>
      </c>
      <c r="D31" s="1751">
        <f>B31*C31/1000</f>
        <v>539.48825699999998</v>
      </c>
      <c r="E31" s="1751"/>
      <c r="F31" s="1751"/>
      <c r="G31" s="1751"/>
      <c r="H31" s="1751"/>
      <c r="I31" s="1751"/>
      <c r="J31" s="1751"/>
      <c r="K31" s="1751">
        <f>объемы!AJ52+объемы!AK39+объемы!AJ57</f>
        <v>1411.3490000000002</v>
      </c>
      <c r="L31" s="1619">
        <v>392</v>
      </c>
      <c r="M31" s="1751">
        <f>K31*L31/1000</f>
        <v>553.24880800000005</v>
      </c>
      <c r="N31" s="1678">
        <f t="shared" ref="N31:N35" si="0">K31</f>
        <v>1411.3490000000002</v>
      </c>
      <c r="O31" s="1608">
        <v>452</v>
      </c>
      <c r="P31" s="1678">
        <f>N31*O31/1000</f>
        <v>637.92974800000002</v>
      </c>
      <c r="Q31" s="1751">
        <v>1360</v>
      </c>
      <c r="R31" s="1619">
        <v>452</v>
      </c>
      <c r="S31" s="1751">
        <f>Q31*R31/1000</f>
        <v>614.72</v>
      </c>
      <c r="T31" s="1751">
        <f>объемы!AS51+объемы!AR52+объемы!AR57</f>
        <v>1261.42</v>
      </c>
      <c r="U31" s="1619">
        <f>258*1.75</f>
        <v>451.5</v>
      </c>
      <c r="V31" s="1751">
        <f>T31*U31/1000</f>
        <v>569.53112999999996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52" hidden="1" x14ac:dyDescent="0.2">
      <c r="A32" s="3552" t="s">
        <v>394</v>
      </c>
      <c r="B32" s="1752">
        <f>объемы!AA42</f>
        <v>686.4</v>
      </c>
      <c r="C32" s="1619">
        <v>341</v>
      </c>
      <c r="D32" s="1751">
        <f>B32*C32/1000</f>
        <v>234.0624</v>
      </c>
      <c r="E32" s="1751"/>
      <c r="F32" s="1751"/>
      <c r="G32" s="1751"/>
      <c r="H32" s="1751"/>
      <c r="I32" s="1751"/>
      <c r="J32" s="1751"/>
      <c r="K32" s="1751">
        <f>объемы!AJ42</f>
        <v>854.19674447979992</v>
      </c>
      <c r="L32" s="1619">
        <f>L31</f>
        <v>392</v>
      </c>
      <c r="M32" s="1751">
        <f>K32*L32/1000</f>
        <v>334.8451238360816</v>
      </c>
      <c r="N32" s="1678">
        <f t="shared" si="0"/>
        <v>854.19674447979992</v>
      </c>
      <c r="O32" s="1608">
        <f>O31</f>
        <v>452</v>
      </c>
      <c r="P32" s="1678">
        <f>N32*O32/1000</f>
        <v>386.0969285048696</v>
      </c>
      <c r="Q32" s="1751">
        <v>920</v>
      </c>
      <c r="R32" s="1619">
        <v>452</v>
      </c>
      <c r="S32" s="1751">
        <f>Q32*R32/1000</f>
        <v>415.84</v>
      </c>
      <c r="T32" s="1751">
        <f>объемы!AR42</f>
        <v>816.41813001798744</v>
      </c>
      <c r="U32" s="1619">
        <f>U31</f>
        <v>451.5</v>
      </c>
      <c r="V32" s="1751">
        <f>T32*U32/1000</f>
        <v>368.61278570312135</v>
      </c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hidden="1" x14ac:dyDescent="0.2">
      <c r="A33" s="3552" t="s">
        <v>395</v>
      </c>
      <c r="B33" s="1752">
        <f>объемы!AA47</f>
        <v>978.7</v>
      </c>
      <c r="C33" s="1619"/>
      <c r="D33" s="1751"/>
      <c r="E33" s="1751"/>
      <c r="F33" s="1751"/>
      <c r="G33" s="1751"/>
      <c r="H33" s="1751"/>
      <c r="I33" s="1751"/>
      <c r="J33" s="1751"/>
      <c r="K33" s="1751">
        <f>объемы!AJ47+объемы!AK47</f>
        <v>925.13947696139473</v>
      </c>
      <c r="L33" s="1619"/>
      <c r="M33" s="1751"/>
      <c r="N33" s="1678">
        <f t="shared" si="0"/>
        <v>925.13947696139473</v>
      </c>
      <c r="O33" s="1608"/>
      <c r="P33" s="1678"/>
      <c r="Q33" s="1751">
        <v>930</v>
      </c>
      <c r="R33" s="1619"/>
      <c r="S33" s="1751"/>
      <c r="T33" s="1751">
        <f>объемы!AR47</f>
        <v>888.44301369863024</v>
      </c>
      <c r="U33" s="1619"/>
      <c r="V33" s="1751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hidden="1" x14ac:dyDescent="0.2">
      <c r="A34" s="3552" t="s">
        <v>396</v>
      </c>
      <c r="B34" s="1752">
        <f>B33*B30/(B30+B31)</f>
        <v>592.63196145649692</v>
      </c>
      <c r="C34" s="1619">
        <f>C30</f>
        <v>93</v>
      </c>
      <c r="D34" s="1751">
        <f>B34*C34/1000</f>
        <v>55.114772415454219</v>
      </c>
      <c r="E34" s="1751"/>
      <c r="F34" s="1751"/>
      <c r="G34" s="1751"/>
      <c r="H34" s="1751"/>
      <c r="I34" s="1751"/>
      <c r="J34" s="1751"/>
      <c r="K34" s="1751">
        <f t="shared" ref="K34:K35" si="1">B34</f>
        <v>592.63196145649692</v>
      </c>
      <c r="L34" s="1619">
        <f>L30</f>
        <v>107</v>
      </c>
      <c r="M34" s="1751">
        <f>K34*L34/1000</f>
        <v>63.411619875845169</v>
      </c>
      <c r="N34" s="1678">
        <f t="shared" si="0"/>
        <v>592.63196145649692</v>
      </c>
      <c r="O34" s="1608">
        <f>O30</f>
        <v>122</v>
      </c>
      <c r="P34" s="1678">
        <f>N34*O34/1000</f>
        <v>72.301099297692616</v>
      </c>
      <c r="Q34" s="1752">
        <f>Q33*Q30/(Q30+Q31)</f>
        <v>590</v>
      </c>
      <c r="R34" s="1619">
        <v>122</v>
      </c>
      <c r="S34" s="1751">
        <f>Q34*R34/1000</f>
        <v>71.98</v>
      </c>
      <c r="T34" s="1752">
        <f>T33*T30/(T30+T31)</f>
        <v>578.97882938978842</v>
      </c>
      <c r="U34" s="1619">
        <f>U30</f>
        <v>122</v>
      </c>
      <c r="V34" s="1751">
        <f>T34*U34/1000</f>
        <v>70.635417185554189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hidden="1" x14ac:dyDescent="0.2">
      <c r="A35" s="3552" t="s">
        <v>397</v>
      </c>
      <c r="B35" s="1752">
        <f>B33-B34</f>
        <v>386.06803854350312</v>
      </c>
      <c r="C35" s="1619">
        <v>341</v>
      </c>
      <c r="D35" s="1751">
        <f>B35*C35/1000</f>
        <v>131.64920114333455</v>
      </c>
      <c r="E35" s="1751"/>
      <c r="F35" s="1751"/>
      <c r="G35" s="1751"/>
      <c r="H35" s="1751"/>
      <c r="I35" s="1751"/>
      <c r="J35" s="1751"/>
      <c r="K35" s="1751">
        <f t="shared" si="1"/>
        <v>386.06803854350312</v>
      </c>
      <c r="L35" s="1619">
        <f>L32</f>
        <v>392</v>
      </c>
      <c r="M35" s="1751">
        <f>K35*L35/1000</f>
        <v>151.33867110905322</v>
      </c>
      <c r="N35" s="1678">
        <f t="shared" si="0"/>
        <v>386.06803854350312</v>
      </c>
      <c r="O35" s="1608">
        <f>O32</f>
        <v>452</v>
      </c>
      <c r="P35" s="1678">
        <f>N35*O35/1000</f>
        <v>174.50275342166341</v>
      </c>
      <c r="Q35" s="1752">
        <f>Q33-Q34</f>
        <v>340</v>
      </c>
      <c r="R35" s="1619">
        <f>R32</f>
        <v>452</v>
      </c>
      <c r="S35" s="1751">
        <f>Q35*R35/1000</f>
        <v>153.68</v>
      </c>
      <c r="T35" s="1752">
        <f>T33-T34</f>
        <v>309.46418430884182</v>
      </c>
      <c r="U35" s="1619">
        <f>U32</f>
        <v>451.5</v>
      </c>
      <c r="V35" s="1751">
        <f>T35*U35/1000</f>
        <v>139.72307921544208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hidden="1" x14ac:dyDescent="0.2">
      <c r="A36" s="3553" t="s">
        <v>850</v>
      </c>
      <c r="B36" s="1753"/>
      <c r="C36" s="1681"/>
      <c r="D36" s="1684">
        <f>SUM(D30:D35)</f>
        <v>1186.1707105587886</v>
      </c>
      <c r="E36" s="1684"/>
      <c r="F36" s="1684"/>
      <c r="G36" s="1684"/>
      <c r="H36" s="1684"/>
      <c r="I36" s="1684"/>
      <c r="J36" s="1684"/>
      <c r="K36" s="1681"/>
      <c r="L36" s="1681"/>
      <c r="M36" s="1684">
        <f>SUM(M30:M35)</f>
        <v>1357.50422282098</v>
      </c>
      <c r="N36" s="1612"/>
      <c r="O36" s="1612"/>
      <c r="P36" s="1613">
        <f>SUM(P30:P35)</f>
        <v>1561.1905292242257</v>
      </c>
      <c r="Q36" s="1681"/>
      <c r="R36" s="1681"/>
      <c r="S36" s="1684">
        <f>SUM(S30:S35)</f>
        <v>1544.14</v>
      </c>
      <c r="T36" s="1681"/>
      <c r="U36" s="1681"/>
      <c r="V36" s="1684">
        <f>SUM(V30:V35)</f>
        <v>1436.4224121041175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hidden="1" x14ac:dyDescent="0.2">
      <c r="A37" s="3558" t="s">
        <v>1538</v>
      </c>
      <c r="B37" s="1757"/>
      <c r="C37" s="1757"/>
      <c r="D37" s="1757"/>
      <c r="E37" s="1757"/>
      <c r="F37" s="1757"/>
      <c r="G37" s="1757"/>
      <c r="H37" s="1757"/>
      <c r="I37" s="1757"/>
      <c r="J37" s="1757"/>
      <c r="K37" s="1757"/>
      <c r="L37" s="1757"/>
      <c r="M37" s="1758"/>
      <c r="N37" s="29"/>
      <c r="O37" s="29"/>
      <c r="P37" s="3559">
        <f>P36/M36</f>
        <v>1.1500446945056073</v>
      </c>
      <c r="Q37" s="1757"/>
      <c r="R37" s="1757"/>
      <c r="S37" s="1758"/>
      <c r="T37" s="1757"/>
      <c r="U37" s="1757"/>
      <c r="V37" s="1758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hidden="1" x14ac:dyDescent="0.2">
      <c r="A38" s="3558" t="s">
        <v>1539</v>
      </c>
      <c r="B38" s="1757"/>
      <c r="C38" s="1757"/>
      <c r="D38" s="1757"/>
      <c r="E38" s="1757"/>
      <c r="F38" s="1757"/>
      <c r="G38" s="1757"/>
      <c r="H38" s="1757"/>
      <c r="I38" s="1757"/>
      <c r="J38" s="1757"/>
      <c r="K38" s="1757">
        <f>объемы!AK39</f>
        <v>20.349</v>
      </c>
      <c r="L38" s="1757">
        <f>L35</f>
        <v>392</v>
      </c>
      <c r="M38" s="1762">
        <f>K38*L38/1000</f>
        <v>7.9768080000000001</v>
      </c>
      <c r="N38" s="29"/>
      <c r="O38" s="29"/>
      <c r="P38" s="29"/>
      <c r="Q38" s="1757" t="e">
        <f>объемы!#REF!</f>
        <v>#REF!</v>
      </c>
      <c r="R38" s="1757">
        <f>R35</f>
        <v>452</v>
      </c>
      <c r="S38" s="1762" t="e">
        <f>Q38*R38/1000</f>
        <v>#REF!</v>
      </c>
      <c r="T38" s="1757">
        <f>объемы!AS51</f>
        <v>21.42</v>
      </c>
      <c r="U38" s="1757">
        <f>U35</f>
        <v>451.5</v>
      </c>
      <c r="V38" s="1762">
        <f>T38*U38/1000</f>
        <v>9.6711300000000016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hidden="1" x14ac:dyDescent="0.2">
      <c r="A39" s="3558" t="s">
        <v>1540</v>
      </c>
      <c r="B39" s="1757"/>
      <c r="C39" s="1757"/>
      <c r="D39" s="1757"/>
      <c r="E39" s="1757"/>
      <c r="F39" s="1757"/>
      <c r="G39" s="1757"/>
      <c r="H39" s="1757"/>
      <c r="I39" s="1757"/>
      <c r="J39" s="1757"/>
      <c r="K39" s="1759"/>
      <c r="L39" s="1757"/>
      <c r="M39" s="1762">
        <f>M36-M38</f>
        <v>1349.5274148209801</v>
      </c>
      <c r="N39" s="29"/>
      <c r="O39" s="29"/>
      <c r="P39" s="29"/>
      <c r="Q39" s="1759"/>
      <c r="R39" s="1757"/>
      <c r="S39" s="1762" t="e">
        <f>S36-S38</f>
        <v>#REF!</v>
      </c>
      <c r="T39" s="1759"/>
      <c r="U39" s="1757"/>
      <c r="V39" s="1762">
        <f>V36-V38</f>
        <v>1426.7512821041175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hidden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3560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ht="15.75" hidden="1" x14ac:dyDescent="0.25">
      <c r="A41" s="4849" t="s">
        <v>358</v>
      </c>
      <c r="B41" s="4477" t="s">
        <v>1706</v>
      </c>
      <c r="C41" s="4478"/>
      <c r="D41" s="4479"/>
      <c r="E41" s="2510"/>
      <c r="F41" s="2510"/>
      <c r="G41" s="2510"/>
      <c r="H41" s="2510"/>
      <c r="I41" s="2510"/>
      <c r="J41" s="2510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ht="38.25" hidden="1" x14ac:dyDescent="0.2">
      <c r="A42" s="4849"/>
      <c r="B42" s="3501" t="s">
        <v>398</v>
      </c>
      <c r="C42" s="3501" t="s">
        <v>650</v>
      </c>
      <c r="D42" s="3501" t="s">
        <v>400</v>
      </c>
      <c r="E42" s="2511"/>
      <c r="F42" s="2511"/>
      <c r="G42" s="2511"/>
      <c r="H42" s="2511"/>
      <c r="I42" s="2511"/>
      <c r="J42" s="2511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hidden="1" x14ac:dyDescent="0.2">
      <c r="A43" s="3552" t="s">
        <v>651</v>
      </c>
      <c r="B43" s="1752">
        <f>объемы!Y39+объемы!Z39</f>
        <v>5629.6590286425908</v>
      </c>
      <c r="C43" s="1619"/>
      <c r="D43" s="1619"/>
      <c r="E43" s="2512"/>
      <c r="F43" s="2512"/>
      <c r="G43" s="2512"/>
      <c r="H43" s="2512"/>
      <c r="I43" s="2512"/>
      <c r="J43" s="2512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hidden="1" x14ac:dyDescent="0.2">
      <c r="A44" s="3552" t="s">
        <v>24</v>
      </c>
      <c r="B44" s="1752">
        <f>объемы!Y50</f>
        <v>2311.15</v>
      </c>
      <c r="C44" s="1619">
        <v>93</v>
      </c>
      <c r="D44" s="1751">
        <f>B44*C44/1000</f>
        <v>214.93695000000002</v>
      </c>
      <c r="E44" s="2513"/>
      <c r="F44" s="2513"/>
      <c r="G44" s="2513"/>
      <c r="H44" s="2513"/>
      <c r="I44" s="2513"/>
      <c r="J44" s="2513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hidden="1" x14ac:dyDescent="0.2">
      <c r="A45" s="3552" t="s">
        <v>256</v>
      </c>
      <c r="B45" s="1752">
        <f>объемы!Z51+объемы!Y52+объемы!Y57</f>
        <v>1257.5899999999999</v>
      </c>
      <c r="C45" s="1619">
        <v>341</v>
      </c>
      <c r="D45" s="1751">
        <f>B45*C45/1000</f>
        <v>428.83818999999994</v>
      </c>
      <c r="E45" s="2513"/>
      <c r="F45" s="2513"/>
      <c r="G45" s="2513"/>
      <c r="H45" s="2513"/>
      <c r="I45" s="2513"/>
      <c r="J45" s="2513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hidden="1" x14ac:dyDescent="0.2">
      <c r="A46" s="3552" t="s">
        <v>394</v>
      </c>
      <c r="B46" s="1752">
        <f>объемы!Y42</f>
        <v>1185.4000000000001</v>
      </c>
      <c r="C46" s="1619">
        <v>341</v>
      </c>
      <c r="D46" s="1751">
        <f>B46*C46/1000</f>
        <v>404.22140000000002</v>
      </c>
      <c r="E46" s="2513"/>
      <c r="F46" s="2513"/>
      <c r="G46" s="2513"/>
      <c r="H46" s="2513"/>
      <c r="I46" s="2513"/>
      <c r="J46" s="2513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hidden="1" x14ac:dyDescent="0.2">
      <c r="A47" s="3552" t="s">
        <v>395</v>
      </c>
      <c r="B47" s="1752">
        <f>объемы!Y47</f>
        <v>875.51902864259023</v>
      </c>
      <c r="C47" s="1619"/>
      <c r="D47" s="1751"/>
      <c r="E47" s="2513"/>
      <c r="F47" s="2513"/>
      <c r="G47" s="2513"/>
      <c r="H47" s="2513"/>
      <c r="I47" s="2513"/>
      <c r="J47" s="2513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hidden="1" x14ac:dyDescent="0.2">
      <c r="A48" s="3552" t="s">
        <v>396</v>
      </c>
      <c r="B48" s="1752">
        <f>B47*B44/(B44+B45)</f>
        <v>566.99445828144462</v>
      </c>
      <c r="C48" s="1619">
        <f>C44</f>
        <v>93</v>
      </c>
      <c r="D48" s="1751">
        <f>B48*C48/1000</f>
        <v>52.730484620174352</v>
      </c>
      <c r="E48" s="2513"/>
      <c r="F48" s="2513"/>
      <c r="G48" s="2513"/>
      <c r="H48" s="2513"/>
      <c r="I48" s="2513"/>
      <c r="J48" s="2513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61" hidden="1" x14ac:dyDescent="0.2">
      <c r="A49" s="3552" t="s">
        <v>397</v>
      </c>
      <c r="B49" s="1752">
        <f>B47-B48</f>
        <v>308.52457036114561</v>
      </c>
      <c r="C49" s="1619">
        <v>341</v>
      </c>
      <c r="D49" s="1751">
        <f>B49*C49/1000</f>
        <v>105.20687849315065</v>
      </c>
      <c r="E49" s="2513"/>
      <c r="F49" s="2513"/>
      <c r="G49" s="2513"/>
      <c r="H49" s="2513"/>
      <c r="I49" s="2513"/>
      <c r="J49" s="2513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61" hidden="1" x14ac:dyDescent="0.2">
      <c r="A50" s="3553" t="s">
        <v>850</v>
      </c>
      <c r="B50" s="1753"/>
      <c r="C50" s="1681"/>
      <c r="D50" s="1684">
        <f>SUM(D44:D49)</f>
        <v>1205.9339031133252</v>
      </c>
      <c r="E50" s="2514"/>
      <c r="F50" s="2514"/>
      <c r="G50" s="2514"/>
      <c r="H50" s="2514"/>
      <c r="I50" s="2514"/>
      <c r="J50" s="2514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61" hidden="1" x14ac:dyDescent="0.2">
      <c r="A51" s="3558" t="s">
        <v>1538</v>
      </c>
      <c r="B51" s="1757"/>
      <c r="C51" s="1757"/>
      <c r="D51" s="1757"/>
      <c r="E51" s="2515"/>
      <c r="F51" s="2515"/>
      <c r="G51" s="2515"/>
      <c r="H51" s="2515"/>
      <c r="I51" s="2515"/>
      <c r="J51" s="2515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61" hidden="1" x14ac:dyDescent="0.2">
      <c r="A52" s="3558" t="s">
        <v>1539</v>
      </c>
      <c r="B52" s="1759">
        <f>объемы!Z39</f>
        <v>2.4</v>
      </c>
      <c r="C52" s="1757">
        <f>C49</f>
        <v>341</v>
      </c>
      <c r="D52" s="1762">
        <f>B52*C52/1000</f>
        <v>0.81840000000000002</v>
      </c>
      <c r="E52" s="2516"/>
      <c r="F52" s="2516"/>
      <c r="G52" s="2516"/>
      <c r="H52" s="2516"/>
      <c r="I52" s="2516"/>
      <c r="J52" s="2516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61" hidden="1" x14ac:dyDescent="0.2">
      <c r="A53" s="3558" t="s">
        <v>1540</v>
      </c>
      <c r="B53" s="1757"/>
      <c r="C53" s="1757"/>
      <c r="D53" s="1762">
        <f>D50-D52</f>
        <v>1205.1155031133251</v>
      </c>
      <c r="E53" s="2516"/>
      <c r="F53" s="2516"/>
      <c r="G53" s="2516"/>
      <c r="H53" s="2516"/>
      <c r="I53" s="2516"/>
      <c r="J53" s="2516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61" hidden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61" hidden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61" hidden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61" x14ac:dyDescent="0.2">
      <c r="A57" s="3561"/>
      <c r="B57" s="3561"/>
      <c r="C57" s="3561"/>
      <c r="D57" s="3561"/>
      <c r="E57" s="3561"/>
      <c r="F57" s="3561"/>
      <c r="G57" s="3561"/>
      <c r="H57" s="3561"/>
      <c r="I57" s="3561"/>
      <c r="J57" s="3561"/>
      <c r="K57" s="3561"/>
      <c r="L57" s="3561"/>
      <c r="M57" s="3561"/>
      <c r="N57" s="3561"/>
      <c r="O57" s="3561"/>
      <c r="P57" s="3561"/>
      <c r="Q57" s="3561"/>
      <c r="R57" s="3561"/>
      <c r="S57" s="3561"/>
      <c r="T57" s="3561"/>
      <c r="U57" s="3561"/>
      <c r="V57" s="3561"/>
      <c r="W57" s="3561"/>
      <c r="X57" s="3561"/>
      <c r="Y57" s="3561"/>
      <c r="Z57" s="3561"/>
      <c r="AA57" s="3561"/>
      <c r="AB57" s="3561"/>
      <c r="AC57" s="3561"/>
      <c r="AD57" s="3561"/>
      <c r="AE57" s="3561"/>
      <c r="AF57" s="3561"/>
      <c r="AG57" s="3561"/>
      <c r="AH57" s="3561"/>
      <c r="AI57" s="3561"/>
      <c r="AJ57" s="3561"/>
      <c r="AK57" s="3561"/>
      <c r="AL57" s="3561"/>
      <c r="AM57" s="3561"/>
      <c r="AN57" s="3561"/>
      <c r="AO57" s="3561"/>
      <c r="AP57" s="3561"/>
      <c r="AQ57" s="3561"/>
      <c r="AR57" s="3561"/>
      <c r="AS57" s="3561"/>
      <c r="AT57" s="3561"/>
      <c r="AU57" s="3561"/>
      <c r="AV57" s="3561"/>
      <c r="AW57" s="3561"/>
      <c r="AX57" s="3561"/>
      <c r="AY57" s="3561"/>
      <c r="AZ57" s="3561"/>
    </row>
    <row r="58" spans="1:61" ht="15.75" customHeight="1" x14ac:dyDescent="0.25">
      <c r="A58" s="4476" t="s">
        <v>358</v>
      </c>
      <c r="B58" s="5430" t="s">
        <v>1989</v>
      </c>
      <c r="C58" s="5431"/>
      <c r="D58" s="5432"/>
      <c r="E58" s="5430" t="s">
        <v>3558</v>
      </c>
      <c r="F58" s="5431"/>
      <c r="G58" s="5432"/>
      <c r="H58" s="5430" t="s">
        <v>3559</v>
      </c>
      <c r="I58" s="5431"/>
      <c r="J58" s="5432"/>
      <c r="K58" s="5437" t="s">
        <v>1990</v>
      </c>
      <c r="L58" s="5437"/>
      <c r="M58" s="5437"/>
      <c r="N58" s="5437" t="s">
        <v>871</v>
      </c>
      <c r="O58" s="5437"/>
      <c r="P58" s="5437"/>
      <c r="Q58" s="5437" t="s">
        <v>1991</v>
      </c>
      <c r="R58" s="5437"/>
      <c r="S58" s="5437"/>
      <c r="T58" s="5437" t="s">
        <v>1992</v>
      </c>
      <c r="U58" s="5437"/>
      <c r="V58" s="5437"/>
      <c r="W58" s="5430" t="s">
        <v>1993</v>
      </c>
      <c r="X58" s="5431"/>
      <c r="Y58" s="5432"/>
      <c r="Z58" s="5430" t="s">
        <v>1995</v>
      </c>
      <c r="AA58" s="5431"/>
      <c r="AB58" s="5432"/>
      <c r="AC58" s="5430" t="s">
        <v>1994</v>
      </c>
      <c r="AD58" s="5431"/>
      <c r="AE58" s="5432"/>
      <c r="AF58" s="5430" t="s">
        <v>3919</v>
      </c>
      <c r="AG58" s="5431"/>
      <c r="AH58" s="5432"/>
      <c r="AI58" s="5430" t="s">
        <v>3699</v>
      </c>
      <c r="AJ58" s="5431"/>
      <c r="AK58" s="5432"/>
      <c r="AL58" s="5430" t="s">
        <v>3643</v>
      </c>
      <c r="AM58" s="5431"/>
      <c r="AN58" s="5432"/>
      <c r="AO58" s="5430" t="s">
        <v>3644</v>
      </c>
      <c r="AP58" s="5431"/>
      <c r="AQ58" s="5432"/>
      <c r="AR58" s="5430" t="s">
        <v>3642</v>
      </c>
      <c r="AS58" s="5431"/>
      <c r="AT58" s="5432"/>
      <c r="AU58" s="4480" t="s">
        <v>3888</v>
      </c>
      <c r="AV58" s="4480"/>
      <c r="AW58" s="4480"/>
      <c r="AX58" s="4814"/>
      <c r="AY58" s="4814"/>
      <c r="AZ58" s="4814"/>
      <c r="BA58" s="5430" t="s">
        <v>3940</v>
      </c>
      <c r="BB58" s="5431"/>
      <c r="BC58" s="5432"/>
      <c r="BD58" s="5430" t="s">
        <v>3941</v>
      </c>
      <c r="BE58" s="5431"/>
      <c r="BF58" s="5432"/>
      <c r="BG58" s="5430" t="s">
        <v>3942</v>
      </c>
      <c r="BH58" s="5431"/>
      <c r="BI58" s="5432"/>
    </row>
    <row r="59" spans="1:61" ht="15.75" customHeight="1" x14ac:dyDescent="0.25">
      <c r="A59" s="4476"/>
      <c r="B59" s="5433"/>
      <c r="C59" s="5434"/>
      <c r="D59" s="5435"/>
      <c r="E59" s="5433"/>
      <c r="F59" s="5434"/>
      <c r="G59" s="5435"/>
      <c r="H59" s="5433"/>
      <c r="I59" s="5434"/>
      <c r="J59" s="5435"/>
      <c r="K59" s="5317"/>
      <c r="L59" s="5317"/>
      <c r="M59" s="5317"/>
      <c r="N59" s="3551"/>
      <c r="O59" s="3551"/>
      <c r="P59" s="3551"/>
      <c r="Q59" s="5317"/>
      <c r="R59" s="5317"/>
      <c r="S59" s="5317"/>
      <c r="T59" s="5317"/>
      <c r="U59" s="5317"/>
      <c r="V59" s="5317"/>
      <c r="W59" s="5433"/>
      <c r="X59" s="5434"/>
      <c r="Y59" s="5435"/>
      <c r="Z59" s="5433"/>
      <c r="AA59" s="5434"/>
      <c r="AB59" s="5435"/>
      <c r="AC59" s="5433"/>
      <c r="AD59" s="5434"/>
      <c r="AE59" s="5435"/>
      <c r="AF59" s="5433"/>
      <c r="AG59" s="5434"/>
      <c r="AH59" s="5435"/>
      <c r="AI59" s="5433"/>
      <c r="AJ59" s="5434"/>
      <c r="AK59" s="5435"/>
      <c r="AL59" s="5433"/>
      <c r="AM59" s="5434"/>
      <c r="AN59" s="5435"/>
      <c r="AO59" s="5433"/>
      <c r="AP59" s="5434"/>
      <c r="AQ59" s="5435"/>
      <c r="AR59" s="5433"/>
      <c r="AS59" s="5434"/>
      <c r="AT59" s="5435"/>
      <c r="AU59" s="5439" t="s">
        <v>3706</v>
      </c>
      <c r="AV59" s="5440"/>
      <c r="AW59" s="5440"/>
      <c r="AX59" s="5439" t="s">
        <v>3693</v>
      </c>
      <c r="AY59" s="5441"/>
      <c r="AZ59" s="5441"/>
      <c r="BA59" s="5433"/>
      <c r="BB59" s="5434"/>
      <c r="BC59" s="5435"/>
      <c r="BD59" s="5433"/>
      <c r="BE59" s="5434"/>
      <c r="BF59" s="5435"/>
      <c r="BG59" s="5433"/>
      <c r="BH59" s="5434"/>
      <c r="BI59" s="5435"/>
    </row>
    <row r="60" spans="1:61" ht="38.25" x14ac:dyDescent="0.2">
      <c r="A60" s="4476"/>
      <c r="B60" s="3501" t="s">
        <v>398</v>
      </c>
      <c r="C60" s="3501" t="s">
        <v>650</v>
      </c>
      <c r="D60" s="3501" t="s">
        <v>400</v>
      </c>
      <c r="E60" s="3501" t="s">
        <v>398</v>
      </c>
      <c r="F60" s="3501" t="s">
        <v>650</v>
      </c>
      <c r="G60" s="3501" t="s">
        <v>400</v>
      </c>
      <c r="H60" s="3501" t="s">
        <v>398</v>
      </c>
      <c r="I60" s="3501" t="s">
        <v>650</v>
      </c>
      <c r="J60" s="3501" t="s">
        <v>400</v>
      </c>
      <c r="K60" s="3501" t="s">
        <v>398</v>
      </c>
      <c r="L60" s="3501" t="s">
        <v>650</v>
      </c>
      <c r="M60" s="3501" t="s">
        <v>400</v>
      </c>
      <c r="N60" s="3501" t="s">
        <v>398</v>
      </c>
      <c r="O60" s="3501" t="s">
        <v>650</v>
      </c>
      <c r="P60" s="3501" t="s">
        <v>400</v>
      </c>
      <c r="Q60" s="3501" t="s">
        <v>398</v>
      </c>
      <c r="R60" s="3501" t="s">
        <v>650</v>
      </c>
      <c r="S60" s="3501" t="s">
        <v>400</v>
      </c>
      <c r="T60" s="3501" t="s">
        <v>398</v>
      </c>
      <c r="U60" s="3501" t="s">
        <v>650</v>
      </c>
      <c r="V60" s="3501" t="s">
        <v>400</v>
      </c>
      <c r="W60" s="3501" t="s">
        <v>398</v>
      </c>
      <c r="X60" s="3501" t="s">
        <v>650</v>
      </c>
      <c r="Y60" s="3501" t="s">
        <v>400</v>
      </c>
      <c r="Z60" s="3501" t="s">
        <v>398</v>
      </c>
      <c r="AA60" s="3501" t="s">
        <v>650</v>
      </c>
      <c r="AB60" s="3501" t="s">
        <v>400</v>
      </c>
      <c r="AC60" s="3501" t="s">
        <v>398</v>
      </c>
      <c r="AD60" s="3501" t="s">
        <v>650</v>
      </c>
      <c r="AE60" s="3501" t="s">
        <v>400</v>
      </c>
      <c r="AF60" s="3501" t="s">
        <v>398</v>
      </c>
      <c r="AG60" s="3501" t="s">
        <v>650</v>
      </c>
      <c r="AH60" s="3501" t="s">
        <v>400</v>
      </c>
      <c r="AI60" s="3501" t="s">
        <v>398</v>
      </c>
      <c r="AJ60" s="3501" t="s">
        <v>650</v>
      </c>
      <c r="AK60" s="3501" t="s">
        <v>400</v>
      </c>
      <c r="AL60" s="3501" t="s">
        <v>398</v>
      </c>
      <c r="AM60" s="3501" t="s">
        <v>650</v>
      </c>
      <c r="AN60" s="3501" t="s">
        <v>400</v>
      </c>
      <c r="AO60" s="3501" t="s">
        <v>398</v>
      </c>
      <c r="AP60" s="3501" t="s">
        <v>650</v>
      </c>
      <c r="AQ60" s="3501" t="s">
        <v>400</v>
      </c>
      <c r="AR60" s="3501" t="s">
        <v>398</v>
      </c>
      <c r="AS60" s="3501" t="s">
        <v>650</v>
      </c>
      <c r="AT60" s="3501" t="s">
        <v>400</v>
      </c>
      <c r="AU60" s="3501" t="s">
        <v>398</v>
      </c>
      <c r="AV60" s="3501" t="s">
        <v>650</v>
      </c>
      <c r="AW60" s="3501" t="s">
        <v>400</v>
      </c>
      <c r="AX60" s="3501" t="s">
        <v>398</v>
      </c>
      <c r="AY60" s="3501" t="s">
        <v>650</v>
      </c>
      <c r="AZ60" s="3501" t="s">
        <v>400</v>
      </c>
      <c r="BA60" s="3913" t="s">
        <v>398</v>
      </c>
      <c r="BB60" s="3913" t="s">
        <v>650</v>
      </c>
      <c r="BC60" s="3913" t="s">
        <v>400</v>
      </c>
      <c r="BD60" s="3913" t="s">
        <v>398</v>
      </c>
      <c r="BE60" s="3913" t="s">
        <v>650</v>
      </c>
      <c r="BF60" s="3913" t="s">
        <v>400</v>
      </c>
      <c r="BG60" s="3913" t="s">
        <v>398</v>
      </c>
      <c r="BH60" s="3913" t="s">
        <v>650</v>
      </c>
      <c r="BI60" s="3913" t="s">
        <v>400</v>
      </c>
    </row>
    <row r="61" spans="1:61" ht="20.100000000000001" customHeight="1" x14ac:dyDescent="0.2">
      <c r="A61" s="1732" t="s">
        <v>651</v>
      </c>
      <c r="B61" s="2598">
        <f>B62+B63+B64+B65+B66</f>
        <v>5957.5174595267745</v>
      </c>
      <c r="C61" s="1732"/>
      <c r="D61" s="1732"/>
      <c r="E61" s="1732"/>
      <c r="F61" s="1732"/>
      <c r="G61" s="1732"/>
      <c r="H61" s="2597">
        <f>SUM(H62:H66)</f>
        <v>7137.7139999999999</v>
      </c>
      <c r="I61" s="1732"/>
      <c r="J61" s="1732"/>
      <c r="K61" s="2597">
        <f>K62+K63+K64+K66+K65</f>
        <v>6255.1516796622673</v>
      </c>
      <c r="L61" s="1732"/>
      <c r="M61" s="1732"/>
      <c r="N61" s="2597">
        <f>SUM(объемы!AC104)</f>
        <v>0</v>
      </c>
      <c r="O61" s="1732"/>
      <c r="P61" s="1732"/>
      <c r="Q61" s="2597">
        <f>Q62+Q63+Q64+Q66+Q65</f>
        <v>6255.1516796622673</v>
      </c>
      <c r="R61" s="1732"/>
      <c r="S61" s="1732"/>
      <c r="T61" s="2597">
        <f>T62+T63+T64+T66+T65</f>
        <v>6255.1516796622673</v>
      </c>
      <c r="U61" s="1732"/>
      <c r="V61" s="1732"/>
      <c r="W61" s="2597">
        <f>W62+W63+W64+W66+W65</f>
        <v>6255.1516796622673</v>
      </c>
      <c r="X61" s="1732"/>
      <c r="Y61" s="1732"/>
      <c r="Z61" s="2597">
        <f>Z62+Z63+Z64+Z66+Z65</f>
        <v>6255.1516796622673</v>
      </c>
      <c r="AA61" s="1732"/>
      <c r="AB61" s="1732"/>
      <c r="AC61" s="2597">
        <f>AC62+AC63+AC64+AC66+AC65</f>
        <v>6255.1516796622673</v>
      </c>
      <c r="AD61" s="1732"/>
      <c r="AE61" s="1732"/>
      <c r="AF61" s="2597">
        <f>AF62+AF63+AF64+AF66+AF65</f>
        <v>6255.1516796622673</v>
      </c>
      <c r="AG61" s="1732"/>
      <c r="AH61" s="1732"/>
      <c r="AI61" s="1732">
        <f>SUM(объемы!BD39+объемы!BE39)</f>
        <v>5935.5559999999996</v>
      </c>
      <c r="AJ61" s="1732"/>
      <c r="AK61" s="1732"/>
      <c r="AL61" s="2597">
        <f>AL62+AL63+AL64+AL66+AL65</f>
        <v>3480.9450000000002</v>
      </c>
      <c r="AM61" s="1732"/>
      <c r="AN61" s="1732"/>
      <c r="AO61" s="2597">
        <f>AO62+AO63+AO64+AO66+AO65</f>
        <v>5263.652</v>
      </c>
      <c r="AP61" s="1732"/>
      <c r="AQ61" s="1732"/>
      <c r="AR61" s="2597">
        <f>AR62+AR63+AR64+AR66+AR65</f>
        <v>6959.1130000000003</v>
      </c>
      <c r="AS61" s="1732"/>
      <c r="AT61" s="1732"/>
      <c r="AU61" s="2505">
        <f>AU62+AU63+AU64+AU66+AU65</f>
        <v>5935.5560000000005</v>
      </c>
      <c r="AV61" s="2480"/>
      <c r="AW61" s="2480"/>
      <c r="AX61" s="4091">
        <f>SUM(объемы!BN39+объемы!BO39)</f>
        <v>5989.6898000000001</v>
      </c>
      <c r="AY61" s="4092"/>
      <c r="AZ61" s="4092"/>
      <c r="BA61" s="2505">
        <f>BA62+BA63+BA64+BA66+BA65</f>
        <v>3251.7140000000004</v>
      </c>
      <c r="BB61" s="2480"/>
      <c r="BC61" s="2480"/>
      <c r="BD61" s="2505">
        <f>BD62+BD63+BD64+BD66+BD65</f>
        <v>4711.6249999999991</v>
      </c>
      <c r="BE61" s="2480"/>
      <c r="BF61" s="2480"/>
      <c r="BG61" s="3547">
        <f>BG62+BG63+BG64+BG66+BG65</f>
        <v>6959.1130000000003</v>
      </c>
      <c r="BH61" s="3994"/>
      <c r="BI61" s="3994"/>
    </row>
    <row r="62" spans="1:61" ht="20.100000000000001" customHeight="1" x14ac:dyDescent="0.2">
      <c r="A62" s="1732" t="s">
        <v>24</v>
      </c>
      <c r="B62" s="2598">
        <f>объемы!AP50</f>
        <v>2447.77</v>
      </c>
      <c r="C62" s="1732">
        <v>107</v>
      </c>
      <c r="D62" s="2597">
        <f>B62*C62/1000</f>
        <v>261.91138999999998</v>
      </c>
      <c r="E62" s="2597">
        <v>2360</v>
      </c>
      <c r="F62" s="2597">
        <v>122</v>
      </c>
      <c r="G62" s="2597">
        <f>E62*F62/1000</f>
        <v>287.92</v>
      </c>
      <c r="H62" s="2597">
        <v>2423.98</v>
      </c>
      <c r="I62" s="2597">
        <v>122</v>
      </c>
      <c r="J62" s="2597">
        <f>H62*I62/1000</f>
        <v>295.72555999999997</v>
      </c>
      <c r="K62" s="2597">
        <f>объемы!AZ50</f>
        <v>2460.5733333333333</v>
      </c>
      <c r="L62" s="1732">
        <v>141</v>
      </c>
      <c r="M62" s="2597">
        <f>K62*L62/1000</f>
        <v>346.94083999999998</v>
      </c>
      <c r="N62" s="2597">
        <f>K62</f>
        <v>2460.5733333333333</v>
      </c>
      <c r="O62" s="1732">
        <v>122</v>
      </c>
      <c r="P62" s="2597">
        <f>N62*O62/1000</f>
        <v>300.18994666666663</v>
      </c>
      <c r="Q62" s="2597">
        <f>K62</f>
        <v>2460.5733333333333</v>
      </c>
      <c r="R62" s="1732">
        <v>162</v>
      </c>
      <c r="S62" s="2597">
        <f>Q62*R62/1000</f>
        <v>398.61288000000002</v>
      </c>
      <c r="T62" s="2597">
        <f>Q62</f>
        <v>2460.5733333333333</v>
      </c>
      <c r="U62" s="1732">
        <v>186</v>
      </c>
      <c r="V62" s="2597">
        <f>T62*U62/1000</f>
        <v>457.66664000000003</v>
      </c>
      <c r="W62" s="2597">
        <f>T62</f>
        <v>2460.5733333333333</v>
      </c>
      <c r="X62" s="1732">
        <v>214</v>
      </c>
      <c r="Y62" s="2597">
        <f>W62*X62/1000</f>
        <v>526.56269333333341</v>
      </c>
      <c r="Z62" s="2597">
        <f>W62</f>
        <v>2460.5733333333333</v>
      </c>
      <c r="AA62" s="1732">
        <v>246</v>
      </c>
      <c r="AB62" s="2597">
        <f>Z62*AA62/1000</f>
        <v>605.30104000000006</v>
      </c>
      <c r="AC62" s="2597">
        <f>Z62</f>
        <v>2460.5733333333333</v>
      </c>
      <c r="AD62" s="1732">
        <v>283</v>
      </c>
      <c r="AE62" s="2597">
        <f>AC62*AD62/1000</f>
        <v>696.34225333333325</v>
      </c>
      <c r="AF62" s="2597">
        <f>SUM(Q62)</f>
        <v>2460.5733333333333</v>
      </c>
      <c r="AG62" s="2597">
        <f>SUM(R62)</f>
        <v>162</v>
      </c>
      <c r="AH62" s="2597">
        <f>AF62*AG62/1000</f>
        <v>398.61288000000002</v>
      </c>
      <c r="AI62" s="2597">
        <f>SUM(объемы!BD50)</f>
        <v>2302.7809999999999</v>
      </c>
      <c r="AJ62" s="2597">
        <f>SUM(AG62)</f>
        <v>162</v>
      </c>
      <c r="AK62" s="2597">
        <f>AI62*AJ62/1000</f>
        <v>373.050522</v>
      </c>
      <c r="AL62" s="2597">
        <f>SUM(объемы!BF50)</f>
        <v>1191.5940000000001</v>
      </c>
      <c r="AM62" s="1732">
        <v>141</v>
      </c>
      <c r="AN62" s="2597">
        <f>AL62*AM62/1000</f>
        <v>168.01475400000001</v>
      </c>
      <c r="AO62" s="2597">
        <f>SUM(объемы!BH50)</f>
        <v>1796.0029999999999</v>
      </c>
      <c r="AP62" s="1732">
        <v>141</v>
      </c>
      <c r="AQ62" s="2597">
        <f>AO62*AP62/1000</f>
        <v>253.23642299999997</v>
      </c>
      <c r="AR62" s="2597">
        <v>2389.7370000000001</v>
      </c>
      <c r="AS62" s="1732">
        <v>141</v>
      </c>
      <c r="AT62" s="2597">
        <f>AR62*AS62/1000</f>
        <v>336.95291700000001</v>
      </c>
      <c r="AU62" s="2505">
        <f>SUM(объемы!BL50)</f>
        <v>2302.7809999999999</v>
      </c>
      <c r="AV62" s="2480">
        <v>186</v>
      </c>
      <c r="AW62" s="2505">
        <f>AU62*AV62/1000</f>
        <v>428.31726600000002</v>
      </c>
      <c r="AX62" s="4091">
        <f>SUM(объемы!BN50)</f>
        <v>2374.02</v>
      </c>
      <c r="AY62" s="4092">
        <v>186</v>
      </c>
      <c r="AZ62" s="4091">
        <f>AX62*AY62/1000</f>
        <v>441.56771999999995</v>
      </c>
      <c r="BA62" s="2505">
        <f>SUM(объемы!BQ50)</f>
        <v>1221.021</v>
      </c>
      <c r="BB62" s="2480">
        <v>162</v>
      </c>
      <c r="BC62" s="2505">
        <f>BA62*BB62/1000</f>
        <v>197.80540200000002</v>
      </c>
      <c r="BD62" s="2505">
        <f>SUM(объемы!BS50)</f>
        <v>1813.961</v>
      </c>
      <c r="BE62" s="2480">
        <v>162</v>
      </c>
      <c r="BF62" s="2505">
        <f>BD62*BE62/1000</f>
        <v>293.86168200000003</v>
      </c>
      <c r="BG62" s="3547">
        <v>2389.7370000000001</v>
      </c>
      <c r="BH62" s="3994">
        <v>141</v>
      </c>
      <c r="BI62" s="3547">
        <f>BG62*BH62/1000</f>
        <v>336.95291700000001</v>
      </c>
    </row>
    <row r="63" spans="1:61" ht="20.100000000000001" customHeight="1" x14ac:dyDescent="0.2">
      <c r="A63" s="1732" t="s">
        <v>256</v>
      </c>
      <c r="B63" s="2598">
        <f>объемы!AP52+объемы!AP57</f>
        <v>1208.03</v>
      </c>
      <c r="C63" s="2603">
        <f>258*1.52</f>
        <v>392.16</v>
      </c>
      <c r="D63" s="2597">
        <f>B63*C63/1000</f>
        <v>473.74104480000005</v>
      </c>
      <c r="E63" s="2597">
        <v>1240</v>
      </c>
      <c r="F63" s="2597">
        <v>452</v>
      </c>
      <c r="G63" s="2597">
        <f>E63*F63/1000</f>
        <v>560.48</v>
      </c>
      <c r="H63" s="2597">
        <v>1234.55</v>
      </c>
      <c r="I63" s="2597">
        <v>452</v>
      </c>
      <c r="J63" s="2597">
        <f>H63*I63/1000</f>
        <v>558.01659999999993</v>
      </c>
      <c r="K63" s="2597">
        <f>объемы!AZ52+объемы!AZ57</f>
        <v>1200.05159</v>
      </c>
      <c r="L63" s="2603">
        <f>258*2.01</f>
        <v>518.57999999999993</v>
      </c>
      <c r="M63" s="2597">
        <f>K63*L63/1000</f>
        <v>622.32275354219996</v>
      </c>
      <c r="N63" s="2597">
        <f t="shared" ref="N63:N68" si="2">K63</f>
        <v>1200.05159</v>
      </c>
      <c r="O63" s="1732">
        <v>452</v>
      </c>
      <c r="P63" s="2597">
        <f>N63*O63/1000</f>
        <v>542.42331868000008</v>
      </c>
      <c r="Q63" s="2597">
        <f>K63</f>
        <v>1200.05159</v>
      </c>
      <c r="R63" s="1732">
        <f>258*2.31</f>
        <v>595.98</v>
      </c>
      <c r="S63" s="2597">
        <f>Q63*R63/1000</f>
        <v>715.20674660819998</v>
      </c>
      <c r="T63" s="2597">
        <f t="shared" ref="T63:T65" si="3">Q63</f>
        <v>1200.05159</v>
      </c>
      <c r="U63" s="1732">
        <f>258*2.66</f>
        <v>686.28000000000009</v>
      </c>
      <c r="V63" s="2597">
        <f>T63*U63/1000</f>
        <v>823.57140518520021</v>
      </c>
      <c r="W63" s="2597">
        <f t="shared" ref="W63:W66" si="4">T63</f>
        <v>1200.05159</v>
      </c>
      <c r="X63" s="1732">
        <f>258*3.06</f>
        <v>789.48</v>
      </c>
      <c r="Y63" s="2597">
        <f>W63*X63/1000</f>
        <v>947.41672927320008</v>
      </c>
      <c r="Z63" s="2597">
        <f t="shared" ref="Z63:Z66" si="5">W63</f>
        <v>1200.05159</v>
      </c>
      <c r="AA63" s="1732">
        <f>258*3.52</f>
        <v>908.16</v>
      </c>
      <c r="AB63" s="2597">
        <f>Z63*AA63/1000</f>
        <v>1089.8388519744001</v>
      </c>
      <c r="AC63" s="2597">
        <f t="shared" ref="AC63:AC66" si="6">Z63</f>
        <v>1200.05159</v>
      </c>
      <c r="AD63" s="1732">
        <f>258*4.05</f>
        <v>1044.8999999999999</v>
      </c>
      <c r="AE63" s="2597">
        <f>AC63*AD63/1000</f>
        <v>1253.9339063909999</v>
      </c>
      <c r="AF63" s="2597">
        <f t="shared" ref="AF63:AG68" si="7">SUM(Q63)</f>
        <v>1200.05159</v>
      </c>
      <c r="AG63" s="2597">
        <f t="shared" si="7"/>
        <v>595.98</v>
      </c>
      <c r="AH63" s="2597">
        <f>AF63*AG63/1000</f>
        <v>715.20674660819998</v>
      </c>
      <c r="AI63" s="2597">
        <f>SUM(объемы!BD52-объемы!BD53+объемы!BD57)</f>
        <v>869.37499999999989</v>
      </c>
      <c r="AJ63" s="2597">
        <f>SUM(AG63)</f>
        <v>595.98</v>
      </c>
      <c r="AK63" s="2597">
        <f>AI63*AJ63/1000</f>
        <v>518.13011249999988</v>
      </c>
      <c r="AL63" s="2597">
        <f>SUM(объемы!BF52+объемы!BF57)</f>
        <v>559.33699999999999</v>
      </c>
      <c r="AM63" s="2603">
        <v>519</v>
      </c>
      <c r="AN63" s="2597">
        <f>AL63*AM63/1000</f>
        <v>290.29590300000001</v>
      </c>
      <c r="AO63" s="2597">
        <f>SUM(объемы!BH52+объемы!BH57)</f>
        <v>842.42499999999995</v>
      </c>
      <c r="AP63" s="2603">
        <f>258*2.01</f>
        <v>518.57999999999993</v>
      </c>
      <c r="AQ63" s="2597">
        <f>AO63*AP63/1000</f>
        <v>436.86475649999988</v>
      </c>
      <c r="AR63" s="2597">
        <v>1138.136</v>
      </c>
      <c r="AS63" s="2603">
        <f>258*2.01</f>
        <v>518.57999999999993</v>
      </c>
      <c r="AT63" s="2597">
        <f>AR63*AS63/1000</f>
        <v>590.21456687999989</v>
      </c>
      <c r="AU63" s="2505">
        <f>SUM(объемы!BL52+объемы!BL57)</f>
        <v>1170.1790000000001</v>
      </c>
      <c r="AV63" s="3548">
        <v>686</v>
      </c>
      <c r="AW63" s="2505">
        <f>AU63*AV63/1000</f>
        <v>802.74279400000012</v>
      </c>
      <c r="AX63" s="4091">
        <f>SUM(объемы!BN52+объемы!BN57)</f>
        <v>1130.6500000000001</v>
      </c>
      <c r="AY63" s="4093">
        <v>686.28</v>
      </c>
      <c r="AZ63" s="4091">
        <f>AX63*AY63/1000</f>
        <v>775.94248200000004</v>
      </c>
      <c r="BA63" s="2505">
        <f>SUM(объемы!BQ52+объемы!BQ57)</f>
        <v>547.36099999999999</v>
      </c>
      <c r="BB63" s="3548">
        <v>596</v>
      </c>
      <c r="BC63" s="2505">
        <f>BA63*BB63/1000</f>
        <v>326.22715600000004</v>
      </c>
      <c r="BD63" s="2505">
        <f>SUM(объемы!BS52+объемы!BS57)</f>
        <v>818.36</v>
      </c>
      <c r="BE63" s="3548">
        <v>596</v>
      </c>
      <c r="BF63" s="2505">
        <f>BD63*BE63/1000</f>
        <v>487.74256000000003</v>
      </c>
      <c r="BG63" s="3547">
        <v>1138.136</v>
      </c>
      <c r="BH63" s="4020">
        <f>258*2.01</f>
        <v>518.57999999999993</v>
      </c>
      <c r="BI63" s="3547">
        <f>BG63*BH63/1000</f>
        <v>590.21456687999989</v>
      </c>
    </row>
    <row r="64" spans="1:61" ht="20.100000000000001" customHeight="1" x14ac:dyDescent="0.2">
      <c r="A64" s="1732" t="s">
        <v>394</v>
      </c>
      <c r="B64" s="2598">
        <f>объемы!AP42</f>
        <v>1403.07</v>
      </c>
      <c r="C64" s="2603">
        <f>258*1.52</f>
        <v>392.16</v>
      </c>
      <c r="D64" s="2597">
        <f>B64*C64/1000</f>
        <v>550.22793119999994</v>
      </c>
      <c r="E64" s="2597">
        <v>816.42</v>
      </c>
      <c r="F64" s="2597">
        <v>452</v>
      </c>
      <c r="G64" s="2597">
        <f>E64*F64/1000</f>
        <v>369.02183999999994</v>
      </c>
      <c r="H64" s="2597">
        <v>1314.2739999999999</v>
      </c>
      <c r="I64" s="2597">
        <v>452</v>
      </c>
      <c r="J64" s="2597">
        <f>H64*I64/1000</f>
        <v>594.05184799999995</v>
      </c>
      <c r="K64" s="2597">
        <f>объемы!AZ42</f>
        <v>1194.2973333333332</v>
      </c>
      <c r="L64" s="2603">
        <f>L63</f>
        <v>518.57999999999993</v>
      </c>
      <c r="M64" s="2597">
        <f>K64*L64/1000</f>
        <v>619.33871111999986</v>
      </c>
      <c r="N64" s="2597">
        <f t="shared" si="2"/>
        <v>1194.2973333333332</v>
      </c>
      <c r="O64" s="1732">
        <f>O63</f>
        <v>452</v>
      </c>
      <c r="P64" s="2597">
        <f>N64*O64/1000</f>
        <v>539.82239466666658</v>
      </c>
      <c r="Q64" s="2597">
        <f>K64</f>
        <v>1194.2973333333332</v>
      </c>
      <c r="R64" s="1732">
        <f t="shared" ref="R64:R65" si="8">258*2.31</f>
        <v>595.98</v>
      </c>
      <c r="S64" s="2597">
        <f>Q64*R64/1000</f>
        <v>711.77732471999991</v>
      </c>
      <c r="T64" s="2597">
        <f t="shared" si="3"/>
        <v>1194.2973333333332</v>
      </c>
      <c r="U64" s="1732">
        <f>U63</f>
        <v>686.28000000000009</v>
      </c>
      <c r="V64" s="2597">
        <f>T64*U64/1000</f>
        <v>819.62237392000009</v>
      </c>
      <c r="W64" s="2597">
        <f t="shared" si="4"/>
        <v>1194.2973333333332</v>
      </c>
      <c r="X64" s="1732">
        <f>X63</f>
        <v>789.48</v>
      </c>
      <c r="Y64" s="2597">
        <f>W64*X64/1000</f>
        <v>942.87385871999993</v>
      </c>
      <c r="Z64" s="2597">
        <f t="shared" si="5"/>
        <v>1194.2973333333332</v>
      </c>
      <c r="AA64" s="1732">
        <f>AA63</f>
        <v>908.16</v>
      </c>
      <c r="AB64" s="2597">
        <f>Z64*AA64/1000</f>
        <v>1084.6130662399999</v>
      </c>
      <c r="AC64" s="2597">
        <f t="shared" si="6"/>
        <v>1194.2973333333332</v>
      </c>
      <c r="AD64" s="1732">
        <f t="shared" ref="AD64:AD65" si="9">258*4.05</f>
        <v>1044.8999999999999</v>
      </c>
      <c r="AE64" s="2597">
        <f>AC64*AD64/1000</f>
        <v>1247.9212835999997</v>
      </c>
      <c r="AF64" s="2597">
        <f t="shared" si="7"/>
        <v>1194.2973333333332</v>
      </c>
      <c r="AG64" s="2597">
        <f t="shared" si="7"/>
        <v>595.98</v>
      </c>
      <c r="AH64" s="2597">
        <f>AF64*AG64/1000</f>
        <v>711.77732471999991</v>
      </c>
      <c r="AI64" s="2597">
        <f>SUM(объемы!BD42)</f>
        <v>1133.3530000000001</v>
      </c>
      <c r="AJ64" s="2597">
        <f t="shared" ref="AJ64:AJ68" si="10">SUM(AG64)</f>
        <v>595.98</v>
      </c>
      <c r="AK64" s="2597">
        <f>AI64*AJ64/1000</f>
        <v>675.45572093999999</v>
      </c>
      <c r="AL64" s="2597">
        <f>SUM(объемы!BF42)</f>
        <v>494.08300000000003</v>
      </c>
      <c r="AM64" s="2603">
        <v>519</v>
      </c>
      <c r="AN64" s="2597">
        <f>AL64*AM64/1000</f>
        <v>256.42907700000001</v>
      </c>
      <c r="AO64" s="2597">
        <f>объемы!BH42</f>
        <v>989.60299999999995</v>
      </c>
      <c r="AP64" s="2603">
        <f>AP63</f>
        <v>518.57999999999993</v>
      </c>
      <c r="AQ64" s="2597">
        <f>AO64*AP64/1000</f>
        <v>513.18832373999987</v>
      </c>
      <c r="AR64" s="2597">
        <v>1446.14</v>
      </c>
      <c r="AS64" s="2603">
        <f>AS63</f>
        <v>518.57999999999993</v>
      </c>
      <c r="AT64" s="2597">
        <f>AR64*AS64/1000</f>
        <v>749.93928119999998</v>
      </c>
      <c r="AU64" s="2505">
        <f>SUM(объемы!BL42)</f>
        <v>1133.3530000000001</v>
      </c>
      <c r="AV64" s="3548">
        <f>AV63</f>
        <v>686</v>
      </c>
      <c r="AW64" s="2505">
        <f>AU64*AV64/1000</f>
        <v>777.48015800000007</v>
      </c>
      <c r="AX64" s="4091">
        <f>SUM(объемы!BN42)</f>
        <v>1143.693</v>
      </c>
      <c r="AY64" s="4093">
        <f>AY63</f>
        <v>686.28</v>
      </c>
      <c r="AZ64" s="4091">
        <f>AX64*AY64/1000</f>
        <v>784.89363203999994</v>
      </c>
      <c r="BA64" s="2505">
        <f>SUM(объемы!BQ42)</f>
        <v>780.14200000000005</v>
      </c>
      <c r="BB64" s="3548">
        <v>596</v>
      </c>
      <c r="BC64" s="2505">
        <f>BA64*BB64/1000</f>
        <v>464.96463200000005</v>
      </c>
      <c r="BD64" s="2505">
        <f>объемы!BS42</f>
        <v>987.29700000000003</v>
      </c>
      <c r="BE64" s="3548">
        <v>596</v>
      </c>
      <c r="BF64" s="2505">
        <f>BD64*BE64/1000</f>
        <v>588.42901199999994</v>
      </c>
      <c r="BG64" s="3547">
        <v>1446.14</v>
      </c>
      <c r="BH64" s="4020">
        <f>BH63</f>
        <v>518.57999999999993</v>
      </c>
      <c r="BI64" s="3547">
        <f>BG64*BH64/1000</f>
        <v>749.93928119999998</v>
      </c>
    </row>
    <row r="65" spans="1:61" ht="20.100000000000001" customHeight="1" x14ac:dyDescent="0.2">
      <c r="A65" s="1732" t="s">
        <v>25</v>
      </c>
      <c r="B65" s="2598">
        <f>объемы!AQ51</f>
        <v>1.77</v>
      </c>
      <c r="C65" s="2603">
        <f>C64</f>
        <v>392.16</v>
      </c>
      <c r="D65" s="2597">
        <f>B65*C65/1000</f>
        <v>0.69412320000000005</v>
      </c>
      <c r="E65" s="2597">
        <v>21.42</v>
      </c>
      <c r="F65" s="2597">
        <v>452</v>
      </c>
      <c r="G65" s="2597">
        <f>E65*F65/1000</f>
        <v>9.6818399999999993</v>
      </c>
      <c r="H65" s="2597">
        <v>1.33</v>
      </c>
      <c r="I65" s="2597">
        <v>452</v>
      </c>
      <c r="J65" s="2597">
        <f>H65*I65/1000</f>
        <v>0.60116000000000003</v>
      </c>
      <c r="K65" s="2597">
        <f>объемы!BA49</f>
        <v>1.77</v>
      </c>
      <c r="L65" s="2603">
        <f>L64</f>
        <v>518.57999999999993</v>
      </c>
      <c r="M65" s="2597">
        <f>K65*L65/1000</f>
        <v>0.91788659999999989</v>
      </c>
      <c r="N65" s="2597"/>
      <c r="O65" s="1732"/>
      <c r="P65" s="2597"/>
      <c r="Q65" s="2597">
        <f>K65</f>
        <v>1.77</v>
      </c>
      <c r="R65" s="1732">
        <f t="shared" si="8"/>
        <v>595.98</v>
      </c>
      <c r="S65" s="2597">
        <f>Q65*R65/1000</f>
        <v>1.0548846000000001</v>
      </c>
      <c r="T65" s="2597">
        <f t="shared" si="3"/>
        <v>1.77</v>
      </c>
      <c r="U65" s="1732">
        <f>U64</f>
        <v>686.28000000000009</v>
      </c>
      <c r="V65" s="2597">
        <f>T65*U65/1000</f>
        <v>1.2147156000000001</v>
      </c>
      <c r="W65" s="2597">
        <f t="shared" si="4"/>
        <v>1.77</v>
      </c>
      <c r="X65" s="1732">
        <f>X64</f>
        <v>789.48</v>
      </c>
      <c r="Y65" s="2597">
        <f>W65*X65/1000</f>
        <v>1.3973796000000001</v>
      </c>
      <c r="Z65" s="2597">
        <f t="shared" si="5"/>
        <v>1.77</v>
      </c>
      <c r="AA65" s="1732">
        <f>AA64</f>
        <v>908.16</v>
      </c>
      <c r="AB65" s="2597">
        <f>Z65*AA65/1000</f>
        <v>1.6074431999999998</v>
      </c>
      <c r="AC65" s="2597">
        <f t="shared" si="6"/>
        <v>1.77</v>
      </c>
      <c r="AD65" s="1732">
        <f t="shared" si="9"/>
        <v>1044.8999999999999</v>
      </c>
      <c r="AE65" s="2597">
        <f>AC65*AD65/1000</f>
        <v>1.8494729999999997</v>
      </c>
      <c r="AF65" s="2597">
        <f t="shared" si="7"/>
        <v>1.77</v>
      </c>
      <c r="AG65" s="2597">
        <f t="shared" si="7"/>
        <v>595.98</v>
      </c>
      <c r="AH65" s="2597">
        <f>AF65*AG65/1000</f>
        <v>1.0548846000000001</v>
      </c>
      <c r="AI65" s="2597">
        <f>SUM(объемы!BE39)</f>
        <v>1.77</v>
      </c>
      <c r="AJ65" s="2597">
        <f t="shared" si="10"/>
        <v>595.98</v>
      </c>
      <c r="AK65" s="2597">
        <f>AI65*AJ65/1000</f>
        <v>1.0548846000000001</v>
      </c>
      <c r="AL65" s="2597">
        <f>SUM(объемы!BG49)</f>
        <v>0.55800000000000005</v>
      </c>
      <c r="AM65" s="2603">
        <f>AM64</f>
        <v>519</v>
      </c>
      <c r="AN65" s="2597">
        <f>AL65*AM65/1000</f>
        <v>0.28960200000000003</v>
      </c>
      <c r="AO65" s="2597">
        <f>SUM(объемы!BI49)</f>
        <v>0.82899999999999996</v>
      </c>
      <c r="AP65" s="2603">
        <f>AP64</f>
        <v>518.57999999999993</v>
      </c>
      <c r="AQ65" s="2597">
        <f>AO65*AP65/1000</f>
        <v>0.42990281999999991</v>
      </c>
      <c r="AR65" s="2597">
        <v>1.1299999999999999</v>
      </c>
      <c r="AS65" s="2603">
        <f>AS64</f>
        <v>518.57999999999993</v>
      </c>
      <c r="AT65" s="2597">
        <f>AR65*AS65/1000</f>
        <v>0.58599539999999994</v>
      </c>
      <c r="AU65" s="2505">
        <f>SUM(объемы!BM39)</f>
        <v>1.77</v>
      </c>
      <c r="AV65" s="3548">
        <f>AV64</f>
        <v>686</v>
      </c>
      <c r="AW65" s="2505">
        <f>AU65*AV65/1000</f>
        <v>1.2142200000000001</v>
      </c>
      <c r="AX65" s="4091">
        <f>SUM(объемы!BO39)</f>
        <v>1.7698</v>
      </c>
      <c r="AY65" s="4093">
        <f>AY64</f>
        <v>686.28</v>
      </c>
      <c r="AZ65" s="4091">
        <f>AX65*AY65/1000</f>
        <v>1.214578344</v>
      </c>
      <c r="BA65" s="2505">
        <f>SUM(объемы!BR49)</f>
        <v>0.54100000000000004</v>
      </c>
      <c r="BB65" s="3548">
        <f>BB64</f>
        <v>596</v>
      </c>
      <c r="BC65" s="2505">
        <f>BA65*BB65/1000</f>
        <v>0.32243600000000006</v>
      </c>
      <c r="BD65" s="2505">
        <f>SUM(объемы!BT49)</f>
        <v>0.72599999999999998</v>
      </c>
      <c r="BE65" s="3548">
        <v>596</v>
      </c>
      <c r="BF65" s="2505">
        <f>BD65*BE65/1000</f>
        <v>0.43269599999999997</v>
      </c>
      <c r="BG65" s="3547">
        <v>1.1299999999999999</v>
      </c>
      <c r="BH65" s="4020">
        <f>BH64</f>
        <v>518.57999999999993</v>
      </c>
      <c r="BI65" s="3547">
        <f>BG65*BH65/1000</f>
        <v>0.58599539999999994</v>
      </c>
    </row>
    <row r="66" spans="1:61" ht="20.100000000000001" customHeight="1" x14ac:dyDescent="0.2">
      <c r="A66" s="1732" t="s">
        <v>395</v>
      </c>
      <c r="B66" s="2598">
        <f>объемы!AP47</f>
        <v>896.8774595267746</v>
      </c>
      <c r="C66" s="1732"/>
      <c r="D66" s="2597"/>
      <c r="E66" s="2597">
        <v>888.44</v>
      </c>
      <c r="F66" s="2597"/>
      <c r="G66" s="2597"/>
      <c r="H66" s="2597">
        <v>2163.58</v>
      </c>
      <c r="I66" s="2597"/>
      <c r="J66" s="2597"/>
      <c r="K66" s="2597">
        <f>объемы!AZ47</f>
        <v>1398.4594229955999</v>
      </c>
      <c r="L66" s="1732"/>
      <c r="M66" s="2597"/>
      <c r="N66" s="2597">
        <f t="shared" si="2"/>
        <v>1398.4594229955999</v>
      </c>
      <c r="O66" s="1732"/>
      <c r="P66" s="2597"/>
      <c r="Q66" s="2597">
        <f>K66</f>
        <v>1398.4594229955999</v>
      </c>
      <c r="R66" s="1732"/>
      <c r="S66" s="2597"/>
      <c r="T66" s="2597">
        <f>Q66</f>
        <v>1398.4594229955999</v>
      </c>
      <c r="U66" s="1732"/>
      <c r="V66" s="2597"/>
      <c r="W66" s="2597">
        <f t="shared" si="4"/>
        <v>1398.4594229955999</v>
      </c>
      <c r="X66" s="1732"/>
      <c r="Y66" s="2597"/>
      <c r="Z66" s="2597">
        <f t="shared" si="5"/>
        <v>1398.4594229955999</v>
      </c>
      <c r="AA66" s="1732"/>
      <c r="AB66" s="2597"/>
      <c r="AC66" s="2597">
        <f t="shared" si="6"/>
        <v>1398.4594229955999</v>
      </c>
      <c r="AD66" s="1732"/>
      <c r="AE66" s="2597"/>
      <c r="AF66" s="2597">
        <f t="shared" si="7"/>
        <v>1398.4594229955999</v>
      </c>
      <c r="AG66" s="2597"/>
      <c r="AH66" s="2597"/>
      <c r="AI66" s="2597">
        <f>SUM(объемы!BD47)</f>
        <v>1327.473</v>
      </c>
      <c r="AJ66" s="2597"/>
      <c r="AK66" s="2597"/>
      <c r="AL66" s="2597">
        <f>SUM(объемы!BF47)</f>
        <v>1235.373</v>
      </c>
      <c r="AM66" s="1732"/>
      <c r="AN66" s="2597"/>
      <c r="AO66" s="2597">
        <f>объемы!BH47</f>
        <v>1634.7919999999999</v>
      </c>
      <c r="AP66" s="1732"/>
      <c r="AQ66" s="2597"/>
      <c r="AR66" s="2597">
        <v>1983.97</v>
      </c>
      <c r="AS66" s="1732"/>
      <c r="AT66" s="2597"/>
      <c r="AU66" s="2505">
        <f>SUM(объемы!BL47)</f>
        <v>1327.473</v>
      </c>
      <c r="AV66" s="2480"/>
      <c r="AW66" s="2505"/>
      <c r="AX66" s="4091">
        <f>SUM(объемы!BN47)</f>
        <v>1339.557</v>
      </c>
      <c r="AY66" s="4092"/>
      <c r="AZ66" s="4091"/>
      <c r="BA66" s="2505">
        <f>SUM(объемы!BQ47)</f>
        <v>702.649</v>
      </c>
      <c r="BB66" s="2480"/>
      <c r="BC66" s="2505"/>
      <c r="BD66" s="2505">
        <f>объемы!BS47</f>
        <v>1091.2809999999999</v>
      </c>
      <c r="BE66" s="2480"/>
      <c r="BF66" s="2505"/>
      <c r="BG66" s="3547">
        <v>1983.97</v>
      </c>
      <c r="BH66" s="3994"/>
      <c r="BI66" s="3547"/>
    </row>
    <row r="67" spans="1:61" ht="20.100000000000001" customHeight="1" x14ac:dyDescent="0.2">
      <c r="A67" s="1732" t="s">
        <v>396</v>
      </c>
      <c r="B67" s="2598">
        <f>B66*B62/(B62+B63)</f>
        <v>600.51144458281442</v>
      </c>
      <c r="C67" s="1732">
        <f>C62</f>
        <v>107</v>
      </c>
      <c r="D67" s="2597">
        <f>B67*C67/1000</f>
        <v>64.254724570361134</v>
      </c>
      <c r="E67" s="2598">
        <f>E66*E62/(E62+E63)</f>
        <v>582.42177777777783</v>
      </c>
      <c r="F67" s="2597">
        <v>122</v>
      </c>
      <c r="G67" s="2597">
        <f>E67*F67/1000</f>
        <v>71.055456888888884</v>
      </c>
      <c r="H67" s="2598">
        <f>H66*H62/(H62+H63)</f>
        <v>1433.492317515505</v>
      </c>
      <c r="I67" s="2597">
        <v>122</v>
      </c>
      <c r="J67" s="2597">
        <f>H67*I67/1000</f>
        <v>174.88606273689163</v>
      </c>
      <c r="K67" s="2597">
        <f t="shared" ref="K67:K68" si="11">B67</f>
        <v>600.51144458281442</v>
      </c>
      <c r="L67" s="1732">
        <f>L62</f>
        <v>141</v>
      </c>
      <c r="M67" s="2597">
        <f>K67*L67/1000</f>
        <v>84.672113686176829</v>
      </c>
      <c r="N67" s="2597">
        <f t="shared" si="2"/>
        <v>600.51144458281442</v>
      </c>
      <c r="O67" s="1732">
        <f>O62</f>
        <v>122</v>
      </c>
      <c r="P67" s="2597">
        <f>N67*O67/1000</f>
        <v>73.262396239103353</v>
      </c>
      <c r="Q67" s="2598">
        <f>Q66*Q62/(Q62+Q63)</f>
        <v>940.00670269117256</v>
      </c>
      <c r="R67" s="1732">
        <v>122</v>
      </c>
      <c r="S67" s="2597">
        <f>Q67*R67/1000</f>
        <v>114.68081772832305</v>
      </c>
      <c r="T67" s="2598">
        <f>T66*T62/(T62+T63)</f>
        <v>940.00670269117256</v>
      </c>
      <c r="U67" s="1732">
        <f>U62</f>
        <v>186</v>
      </c>
      <c r="V67" s="2597">
        <f>T67*U67/1000</f>
        <v>174.84124670055809</v>
      </c>
      <c r="W67" s="2598">
        <f>W66*W62/(W62+W63)</f>
        <v>940.00670269117256</v>
      </c>
      <c r="X67" s="1732">
        <f>X62</f>
        <v>214</v>
      </c>
      <c r="Y67" s="2597">
        <f>W67*X67/1000</f>
        <v>201.16143437591094</v>
      </c>
      <c r="Z67" s="2598">
        <f>Z66*Z62/(Z62+Z63)</f>
        <v>940.00670269117256</v>
      </c>
      <c r="AA67" s="1732">
        <f>AA62</f>
        <v>246</v>
      </c>
      <c r="AB67" s="2597">
        <f>Z67*AA67/1000</f>
        <v>231.24164886202843</v>
      </c>
      <c r="AC67" s="2598">
        <f>AC66*AC62/(AC62+AC63)</f>
        <v>940.00670269117256</v>
      </c>
      <c r="AD67" s="1732">
        <f>AD62</f>
        <v>283</v>
      </c>
      <c r="AE67" s="2597">
        <f>AC67*AD67/1000</f>
        <v>266.02189686160187</v>
      </c>
      <c r="AF67" s="2597">
        <f t="shared" si="7"/>
        <v>940.00670269117256</v>
      </c>
      <c r="AG67" s="2597">
        <f t="shared" si="7"/>
        <v>122</v>
      </c>
      <c r="AH67" s="2597">
        <f>AF67*AG67/1000</f>
        <v>114.68081772832305</v>
      </c>
      <c r="AI67" s="2598">
        <f>AI66*AI62/(AI62+AI63)</f>
        <v>963.65992164729596</v>
      </c>
      <c r="AJ67" s="2597">
        <f t="shared" si="10"/>
        <v>122</v>
      </c>
      <c r="AK67" s="2597">
        <f>AI67*AJ67/1000</f>
        <v>117.56651044097011</v>
      </c>
      <c r="AL67" s="2598">
        <v>558.19200000000001</v>
      </c>
      <c r="AM67" s="1732">
        <f>AM62</f>
        <v>141</v>
      </c>
      <c r="AN67" s="2597">
        <f>AL67*AM67/1000</f>
        <v>78.705072000000001</v>
      </c>
      <c r="AO67" s="2597">
        <v>1176.2</v>
      </c>
      <c r="AP67" s="1732">
        <f>AP62</f>
        <v>141</v>
      </c>
      <c r="AQ67" s="2597">
        <f>AO67*AP67/1000</f>
        <v>165.8442</v>
      </c>
      <c r="AR67" s="2597">
        <v>1573.24</v>
      </c>
      <c r="AS67" s="1732">
        <f>AS62</f>
        <v>141</v>
      </c>
      <c r="AT67" s="2597">
        <f>AR67*AS67/1000</f>
        <v>221.82684</v>
      </c>
      <c r="AU67" s="2505">
        <v>796.48</v>
      </c>
      <c r="AV67" s="2480">
        <f>AV62</f>
        <v>186</v>
      </c>
      <c r="AW67" s="2505">
        <f>AU67*AV67/1000</f>
        <v>148.14527999999999</v>
      </c>
      <c r="AX67" s="4094">
        <f>AX66*AX62/(AX62+AX63)</f>
        <v>907.39930125803562</v>
      </c>
      <c r="AY67" s="4092">
        <f>AY62</f>
        <v>186</v>
      </c>
      <c r="AZ67" s="4091">
        <f>AX67*AY67/1000</f>
        <v>168.77627003399462</v>
      </c>
      <c r="BA67" s="2770">
        <v>558.19200000000001</v>
      </c>
      <c r="BB67" s="2480">
        <f>BB62</f>
        <v>162</v>
      </c>
      <c r="BC67" s="2505">
        <f>BA67*BB67/1000</f>
        <v>90.427104</v>
      </c>
      <c r="BD67" s="2505">
        <v>837.28800000000001</v>
      </c>
      <c r="BE67" s="2480">
        <f>BE62</f>
        <v>162</v>
      </c>
      <c r="BF67" s="2505">
        <f>BD67*BE67/1000</f>
        <v>135.64065599999998</v>
      </c>
      <c r="BG67" s="3547">
        <v>1573.24</v>
      </c>
      <c r="BH67" s="3994">
        <f>BH62</f>
        <v>141</v>
      </c>
      <c r="BI67" s="3547">
        <f>BG67*BH67/1000</f>
        <v>221.82684</v>
      </c>
    </row>
    <row r="68" spans="1:61" ht="20.100000000000001" customHeight="1" x14ac:dyDescent="0.2">
      <c r="A68" s="1732" t="s">
        <v>397</v>
      </c>
      <c r="B68" s="2598">
        <f>B66-B67</f>
        <v>296.36601494396018</v>
      </c>
      <c r="C68" s="2603">
        <f>C64</f>
        <v>392.16</v>
      </c>
      <c r="D68" s="2597">
        <f>B68*C68/1000</f>
        <v>116.22289642042344</v>
      </c>
      <c r="E68" s="2598">
        <f>E66-E67</f>
        <v>306.01822222222222</v>
      </c>
      <c r="F68" s="2597">
        <v>452</v>
      </c>
      <c r="G68" s="2597">
        <f>E68*F68/1000</f>
        <v>138.32023644444445</v>
      </c>
      <c r="H68" s="2598">
        <f>H66-H67</f>
        <v>730.08768248449496</v>
      </c>
      <c r="I68" s="2597">
        <v>452</v>
      </c>
      <c r="J68" s="2597">
        <f>H68*I68/1000</f>
        <v>329.99963248299173</v>
      </c>
      <c r="K68" s="2597">
        <f t="shared" si="11"/>
        <v>296.36601494396018</v>
      </c>
      <c r="L68" s="1732">
        <f>L64</f>
        <v>518.57999999999993</v>
      </c>
      <c r="M68" s="2597">
        <f>K68*L68/1000</f>
        <v>153.68948802963885</v>
      </c>
      <c r="N68" s="2597">
        <f t="shared" si="2"/>
        <v>296.36601494396018</v>
      </c>
      <c r="O68" s="1732">
        <f>O64</f>
        <v>452</v>
      </c>
      <c r="P68" s="2597">
        <f>N68*O68/1000</f>
        <v>133.95743875466999</v>
      </c>
      <c r="Q68" s="2598">
        <f>Q66-Q67</f>
        <v>458.45272030442732</v>
      </c>
      <c r="R68" s="1732">
        <f>R64</f>
        <v>595.98</v>
      </c>
      <c r="S68" s="2597">
        <f>Q68*R68/1000</f>
        <v>273.22865224703264</v>
      </c>
      <c r="T68" s="2598">
        <f>T66-T67</f>
        <v>458.45272030442732</v>
      </c>
      <c r="U68" s="1732">
        <f>U64</f>
        <v>686.28000000000009</v>
      </c>
      <c r="V68" s="2597">
        <f>T68*U68/1000</f>
        <v>314.62693289052243</v>
      </c>
      <c r="W68" s="2598">
        <f>W66-W67</f>
        <v>458.45272030442732</v>
      </c>
      <c r="X68" s="1732">
        <f>X64</f>
        <v>789.48</v>
      </c>
      <c r="Y68" s="2597">
        <f>W68*X68/1000</f>
        <v>361.93925362593933</v>
      </c>
      <c r="Z68" s="2598">
        <f>Z66-Z67</f>
        <v>458.45272030442732</v>
      </c>
      <c r="AA68" s="1732">
        <f>AA64</f>
        <v>908.16</v>
      </c>
      <c r="AB68" s="2597">
        <f>Z68*AA68/1000</f>
        <v>416.3484224716687</v>
      </c>
      <c r="AC68" s="2598">
        <f>AC66-AC67</f>
        <v>458.45272030442732</v>
      </c>
      <c r="AD68" s="1732">
        <f>AD64</f>
        <v>1044.8999999999999</v>
      </c>
      <c r="AE68" s="2597">
        <f>AC68*AD68/1000</f>
        <v>479.03724744609605</v>
      </c>
      <c r="AF68" s="2597">
        <f t="shared" si="7"/>
        <v>458.45272030442732</v>
      </c>
      <c r="AG68" s="2597">
        <f t="shared" si="7"/>
        <v>595.98</v>
      </c>
      <c r="AH68" s="2597">
        <f>AF68*AG68/1000</f>
        <v>273.22865224703264</v>
      </c>
      <c r="AI68" s="2598">
        <f>AI66-AI67</f>
        <v>363.813078352704</v>
      </c>
      <c r="AJ68" s="2597">
        <f t="shared" si="10"/>
        <v>595.98</v>
      </c>
      <c r="AK68" s="2597">
        <f>AI68*AJ68/1000</f>
        <v>216.82531843664452</v>
      </c>
      <c r="AL68" s="2598">
        <f>AL66-AL67</f>
        <v>677.18100000000004</v>
      </c>
      <c r="AM68" s="1732">
        <f>AM64</f>
        <v>519</v>
      </c>
      <c r="AN68" s="2597">
        <f>AL68*AM68/1000</f>
        <v>351.45693900000003</v>
      </c>
      <c r="AO68" s="2598">
        <f>AO66-AO67</f>
        <v>458.59199999999987</v>
      </c>
      <c r="AP68" s="2603">
        <f>AP64</f>
        <v>518.57999999999993</v>
      </c>
      <c r="AQ68" s="2597">
        <f>AO68*AP68/1000</f>
        <v>237.81663935999993</v>
      </c>
      <c r="AR68" s="2598">
        <f>AR66-AR67</f>
        <v>410.73</v>
      </c>
      <c r="AS68" s="2603">
        <f>AS64</f>
        <v>518.57999999999993</v>
      </c>
      <c r="AT68" s="2597">
        <f>AR68*AS68/1000</f>
        <v>212.99636339999998</v>
      </c>
      <c r="AU68" s="2770">
        <f>AU66-AU67</f>
        <v>530.99299999999994</v>
      </c>
      <c r="AV68" s="3548">
        <f>AV64</f>
        <v>686</v>
      </c>
      <c r="AW68" s="2505">
        <f>AU68*AV68/1000</f>
        <v>364.26119799999998</v>
      </c>
      <c r="AX68" s="4094">
        <f>AX66-AX67</f>
        <v>432.1576987419644</v>
      </c>
      <c r="AY68" s="4093">
        <f>AY64</f>
        <v>686.28</v>
      </c>
      <c r="AZ68" s="4091">
        <f>AX68*AY68/1000</f>
        <v>296.58118549263531</v>
      </c>
      <c r="BA68" s="2770">
        <f>BA66-BA67</f>
        <v>144.45699999999999</v>
      </c>
      <c r="BB68" s="2480">
        <f>BB64</f>
        <v>596</v>
      </c>
      <c r="BC68" s="2505">
        <f>BA68*BB68/1000</f>
        <v>86.096372000000002</v>
      </c>
      <c r="BD68" s="2770">
        <f>BD66-BD67</f>
        <v>253.99299999999994</v>
      </c>
      <c r="BE68" s="3548">
        <f>BE64</f>
        <v>596</v>
      </c>
      <c r="BF68" s="2505">
        <f>BD68*BE68/1000</f>
        <v>151.37982799999995</v>
      </c>
      <c r="BG68" s="4021">
        <f>BG66-BG67</f>
        <v>410.73</v>
      </c>
      <c r="BH68" s="4020">
        <f>BH64</f>
        <v>518.57999999999993</v>
      </c>
      <c r="BI68" s="3547">
        <f>BG68*BH68/1000</f>
        <v>212.99636339999998</v>
      </c>
    </row>
    <row r="69" spans="1:61" ht="38.25" x14ac:dyDescent="0.2">
      <c r="A69" s="3505" t="s">
        <v>3684</v>
      </c>
      <c r="B69" s="2598"/>
      <c r="C69" s="2603"/>
      <c r="D69" s="2597"/>
      <c r="E69" s="2598"/>
      <c r="F69" s="2597"/>
      <c r="G69" s="2597"/>
      <c r="H69" s="2599">
        <f>SUM(8423.067-H62-H63-H64-H65-H66)</f>
        <v>1285.3529999999996</v>
      </c>
      <c r="I69" s="2597">
        <v>452</v>
      </c>
      <c r="J69" s="2597">
        <v>698.72</v>
      </c>
      <c r="K69" s="2597"/>
      <c r="L69" s="1732"/>
      <c r="M69" s="2597"/>
      <c r="N69" s="2597"/>
      <c r="O69" s="1732"/>
      <c r="P69" s="2597"/>
      <c r="Q69" s="2598"/>
      <c r="R69" s="1732"/>
      <c r="S69" s="2597"/>
      <c r="T69" s="2598"/>
      <c r="U69" s="1732"/>
      <c r="V69" s="2597"/>
      <c r="W69" s="2598"/>
      <c r="X69" s="1732"/>
      <c r="Y69" s="2597"/>
      <c r="Z69" s="2598"/>
      <c r="AA69" s="1732"/>
      <c r="AB69" s="2597"/>
      <c r="AC69" s="2598"/>
      <c r="AD69" s="1732"/>
      <c r="AE69" s="2597"/>
      <c r="AF69" s="2599">
        <f>SUM(8423.07-AF61)</f>
        <v>2167.9183203377324</v>
      </c>
      <c r="AG69" s="2597">
        <f>SUM(AG68)</f>
        <v>595.98</v>
      </c>
      <c r="AH69" s="2597">
        <f>AF69*AG69/1000</f>
        <v>1292.0359605548817</v>
      </c>
      <c r="AI69" s="2597"/>
      <c r="AJ69" s="2597"/>
      <c r="AK69" s="2597">
        <f>AI69*AJ69/1000</f>
        <v>0</v>
      </c>
      <c r="AL69" s="2599">
        <f>SUM(8423.067/2-AL62-AL63-AL64-AL65-AL66)</f>
        <v>730.58849999999939</v>
      </c>
      <c r="AM69" s="1732">
        <v>519</v>
      </c>
      <c r="AN69" s="2597">
        <f>AL69*AM69/1000</f>
        <v>379.17543149999966</v>
      </c>
      <c r="AO69" s="2599">
        <f>SUM((8423.067+339.992)/4*3-AO62-AO63-AO64-AO65-AO66)</f>
        <v>1308.642249999999</v>
      </c>
      <c r="AP69" s="1732">
        <v>519</v>
      </c>
      <c r="AQ69" s="2597">
        <f>AO69*AP69/1000</f>
        <v>679.18532774999949</v>
      </c>
      <c r="AR69" s="2599">
        <f>SUM((8423.067+339.992)/4*4-AR62-AR63-AR64-AR65-AR66)</f>
        <v>1803.9459999999992</v>
      </c>
      <c r="AS69" s="1732">
        <v>519</v>
      </c>
      <c r="AT69" s="2597">
        <f>AR69*AS69/1000</f>
        <v>936.24797399999954</v>
      </c>
      <c r="AU69" s="2517">
        <f>SUM((8423.067+339.992)/4*4-AU62-AU63-AU64-AU65-AU66)</f>
        <v>2827.5029999999988</v>
      </c>
      <c r="AV69" s="2480">
        <v>686</v>
      </c>
      <c r="AW69" s="2505">
        <f>AU69*AV69/1000</f>
        <v>1939.6670579999993</v>
      </c>
      <c r="AX69" s="4095">
        <v>0</v>
      </c>
      <c r="AY69" s="4092">
        <v>686</v>
      </c>
      <c r="AZ69" s="4091">
        <f>AX69*AY69/1000</f>
        <v>0</v>
      </c>
      <c r="BA69" s="2517">
        <f>SUM(8763.059/2-BA62-BA63-BA64-BA65-BA66)-1578.66</f>
        <v>-448.84449999999993</v>
      </c>
      <c r="BB69" s="2480">
        <v>596</v>
      </c>
      <c r="BC69" s="2505">
        <f>BA69*BB69/1000</f>
        <v>-267.51132199999995</v>
      </c>
      <c r="BD69" s="2517">
        <f>SUM(BD61-(8423.067+339.992)/4*3)+2055.65</f>
        <v>194.98075000000017</v>
      </c>
      <c r="BE69" s="2480">
        <v>596</v>
      </c>
      <c r="BF69" s="2505">
        <f>BD69*BE69/1000</f>
        <v>116.2085270000001</v>
      </c>
      <c r="BG69" s="4022">
        <f>SUM((8423.067+339.992)/4*4-BG62-BG63-BG64-BG65-BG66)</f>
        <v>1803.9459999999992</v>
      </c>
      <c r="BH69" s="3994">
        <v>519</v>
      </c>
      <c r="BI69" s="3547">
        <f>BG69*BH69/1000</f>
        <v>936.24797399999954</v>
      </c>
    </row>
    <row r="70" spans="1:61" ht="20.100000000000001" customHeight="1" x14ac:dyDescent="0.2">
      <c r="A70" s="2604" t="s">
        <v>850</v>
      </c>
      <c r="B70" s="3549"/>
      <c r="C70" s="2604"/>
      <c r="D70" s="2600">
        <f>SUM(D62:D68)</f>
        <v>1467.0521101907843</v>
      </c>
      <c r="E70" s="2600"/>
      <c r="F70" s="2600"/>
      <c r="G70" s="2600">
        <f>SUM(G62:G68)</f>
        <v>1436.4793733333331</v>
      </c>
      <c r="H70" s="2600">
        <f>SUM(H62+H63+H64+H65+H66+H69)</f>
        <v>8423.0669999999991</v>
      </c>
      <c r="I70" s="2600"/>
      <c r="J70" s="2600">
        <f>SUM(J62:J69)</f>
        <v>2652.0008632198833</v>
      </c>
      <c r="K70" s="2604"/>
      <c r="L70" s="2604"/>
      <c r="M70" s="2600">
        <f>SUM(M62:M68)</f>
        <v>1827.8817929780155</v>
      </c>
      <c r="N70" s="2604"/>
      <c r="O70" s="2604"/>
      <c r="P70" s="2600">
        <f>SUM(P62:P68)</f>
        <v>1589.6554950071065</v>
      </c>
      <c r="Q70" s="2604"/>
      <c r="R70" s="2604"/>
      <c r="S70" s="2600">
        <f>SUM(S62:S68)</f>
        <v>2214.5613059035554</v>
      </c>
      <c r="T70" s="2604"/>
      <c r="U70" s="2604"/>
      <c r="V70" s="2600">
        <f>SUM(V62:V68)</f>
        <v>2591.5433142962811</v>
      </c>
      <c r="W70" s="2604"/>
      <c r="X70" s="2604"/>
      <c r="Y70" s="2600">
        <f>SUM(Y62:Y68)</f>
        <v>2981.3513489283837</v>
      </c>
      <c r="Z70" s="2604"/>
      <c r="AA70" s="2604"/>
      <c r="AB70" s="2600">
        <f>SUM(AB62:AB68)</f>
        <v>3428.9504727480967</v>
      </c>
      <c r="AC70" s="2604"/>
      <c r="AD70" s="2604"/>
      <c r="AE70" s="2600">
        <f>SUM(AE62:AE68)</f>
        <v>3945.1060606320311</v>
      </c>
      <c r="AF70" s="2600">
        <f>SUM(AF61+AF69)</f>
        <v>8423.07</v>
      </c>
      <c r="AG70" s="2604"/>
      <c r="AH70" s="2600">
        <f>SUM(AH62:AH69)</f>
        <v>3506.5972664584369</v>
      </c>
      <c r="AI70" s="2600"/>
      <c r="AJ70" s="2600"/>
      <c r="AK70" s="2600">
        <f>SUM(AK62:AK69)</f>
        <v>1902.0830689176146</v>
      </c>
      <c r="AL70" s="2600">
        <f>SUM(AL61)</f>
        <v>3480.9450000000002</v>
      </c>
      <c r="AM70" s="2604"/>
      <c r="AN70" s="2600">
        <f>SUM(AN62:AN69)</f>
        <v>1524.3667784999996</v>
      </c>
      <c r="AO70" s="2600">
        <f>SUM(AO61)</f>
        <v>5263.652</v>
      </c>
      <c r="AP70" s="2604"/>
      <c r="AQ70" s="2600">
        <f>SUM(AQ62:AQ69)</f>
        <v>2286.565573169999</v>
      </c>
      <c r="AR70" s="2600">
        <f>SUM(AR61)</f>
        <v>6959.1130000000003</v>
      </c>
      <c r="AS70" s="2604"/>
      <c r="AT70" s="2600">
        <f>SUM(AT62:AT69)</f>
        <v>3048.7639378799995</v>
      </c>
      <c r="AU70" s="2424">
        <f>SUM(AU61)</f>
        <v>5935.5560000000005</v>
      </c>
      <c r="AV70" s="2518"/>
      <c r="AW70" s="2424">
        <f>SUM(AW62:AW69)</f>
        <v>4461.8279739999998</v>
      </c>
      <c r="AX70" s="4079">
        <f>SUM(AX61)</f>
        <v>5989.6898000000001</v>
      </c>
      <c r="AY70" s="4096"/>
      <c r="AZ70" s="4079">
        <f>SUM(AZ62:AZ69)</f>
        <v>2468.9758679106299</v>
      </c>
      <c r="BA70" s="2424">
        <f>SUM(BA61)</f>
        <v>3251.7140000000004</v>
      </c>
      <c r="BB70" s="2518"/>
      <c r="BC70" s="2424">
        <f>SUM(BC62:BC69)</f>
        <v>898.33178000000032</v>
      </c>
      <c r="BD70" s="2424">
        <f>SUM(BD61)</f>
        <v>4711.6249999999991</v>
      </c>
      <c r="BE70" s="2518"/>
      <c r="BF70" s="2424">
        <f>SUM(BF62:BF69)</f>
        <v>1773.6949609999999</v>
      </c>
      <c r="BG70" s="3340">
        <f>SUM(BG61)</f>
        <v>6959.1130000000003</v>
      </c>
      <c r="BH70" s="4023"/>
      <c r="BI70" s="3340">
        <f>SUM(BI62:BI69)</f>
        <v>3048.7639378799995</v>
      </c>
    </row>
    <row r="71" spans="1:61" ht="20.100000000000001" customHeight="1" x14ac:dyDescent="0.2">
      <c r="A71" s="2601" t="s">
        <v>1538</v>
      </c>
      <c r="B71" s="2601"/>
      <c r="C71" s="2601"/>
      <c r="D71" s="2601"/>
      <c r="E71" s="2601"/>
      <c r="F71" s="2601"/>
      <c r="G71" s="2601"/>
      <c r="H71" s="2601"/>
      <c r="I71" s="2601"/>
      <c r="J71" s="2601"/>
      <c r="K71" s="2601"/>
      <c r="L71" s="2601"/>
      <c r="M71" s="2605"/>
      <c r="N71" s="394"/>
      <c r="O71" s="394"/>
      <c r="P71" s="3550">
        <f>P70/M70</f>
        <v>0.86967084037595965</v>
      </c>
      <c r="Q71" s="2601"/>
      <c r="R71" s="2601"/>
      <c r="S71" s="2605"/>
      <c r="T71" s="2601"/>
      <c r="U71" s="2601"/>
      <c r="V71" s="2605"/>
      <c r="W71" s="2601"/>
      <c r="X71" s="2601"/>
      <c r="Y71" s="2605"/>
      <c r="Z71" s="2601"/>
      <c r="AA71" s="2601"/>
      <c r="AB71" s="2605"/>
      <c r="AC71" s="2601"/>
      <c r="AD71" s="2601"/>
      <c r="AE71" s="2605"/>
      <c r="AF71" s="2601"/>
      <c r="AG71" s="2601"/>
      <c r="AH71" s="2605"/>
      <c r="AI71" s="2605"/>
      <c r="AJ71" s="2605"/>
      <c r="AK71" s="2605"/>
      <c r="AL71" s="2601"/>
      <c r="AM71" s="2601"/>
      <c r="AN71" s="2605"/>
      <c r="AO71" s="2601"/>
      <c r="AP71" s="2601"/>
      <c r="AQ71" s="2605"/>
      <c r="AR71" s="2601"/>
      <c r="AS71" s="2601"/>
      <c r="AT71" s="2605"/>
      <c r="AU71" s="2477"/>
      <c r="AV71" s="2477"/>
      <c r="AW71" s="2519"/>
      <c r="AX71" s="4083"/>
      <c r="AY71" s="4083"/>
      <c r="AZ71" s="4097"/>
      <c r="BA71" s="2477"/>
      <c r="BB71" s="2477"/>
      <c r="BC71" s="2519"/>
      <c r="BD71" s="2477"/>
      <c r="BE71" s="2477"/>
      <c r="BF71" s="2519"/>
      <c r="BG71" s="3361"/>
      <c r="BH71" s="3361"/>
      <c r="BI71" s="4024"/>
    </row>
    <row r="72" spans="1:61" ht="20.100000000000001" customHeight="1" x14ac:dyDescent="0.2">
      <c r="A72" s="2601" t="s">
        <v>1539</v>
      </c>
      <c r="B72" s="2601"/>
      <c r="C72" s="2601"/>
      <c r="D72" s="2602">
        <f>D65</f>
        <v>0.69412320000000005</v>
      </c>
      <c r="E72" s="2602"/>
      <c r="F72" s="2602"/>
      <c r="G72" s="2602">
        <f>G65</f>
        <v>9.6818399999999993</v>
      </c>
      <c r="H72" s="2602"/>
      <c r="I72" s="2602"/>
      <c r="J72" s="2602">
        <f>J65</f>
        <v>0.60116000000000003</v>
      </c>
      <c r="K72" s="2602"/>
      <c r="L72" s="2602"/>
      <c r="M72" s="2602">
        <f t="shared" ref="M72:AE72" si="12">M65</f>
        <v>0.91788659999999989</v>
      </c>
      <c r="N72" s="2602">
        <f t="shared" si="12"/>
        <v>0</v>
      </c>
      <c r="O72" s="2602">
        <f t="shared" si="12"/>
        <v>0</v>
      </c>
      <c r="P72" s="2602">
        <f t="shared" si="12"/>
        <v>0</v>
      </c>
      <c r="Q72" s="2602"/>
      <c r="R72" s="2602"/>
      <c r="S72" s="2602">
        <f t="shared" si="12"/>
        <v>1.0548846000000001</v>
      </c>
      <c r="T72" s="2602"/>
      <c r="U72" s="2602"/>
      <c r="V72" s="2602">
        <f t="shared" si="12"/>
        <v>1.2147156000000001</v>
      </c>
      <c r="W72" s="2602"/>
      <c r="X72" s="2602"/>
      <c r="Y72" s="2602">
        <f t="shared" si="12"/>
        <v>1.3973796000000001</v>
      </c>
      <c r="Z72" s="2602"/>
      <c r="AA72" s="2602"/>
      <c r="AB72" s="2602">
        <f t="shared" si="12"/>
        <v>1.6074431999999998</v>
      </c>
      <c r="AC72" s="2602"/>
      <c r="AD72" s="2602"/>
      <c r="AE72" s="2602">
        <f t="shared" si="12"/>
        <v>1.8494729999999997</v>
      </c>
      <c r="AF72" s="2602"/>
      <c r="AG72" s="2602"/>
      <c r="AH72" s="2602">
        <f t="shared" ref="AH72" si="13">AH65</f>
        <v>1.0548846000000001</v>
      </c>
      <c r="AI72" s="2602"/>
      <c r="AJ72" s="2602"/>
      <c r="AK72" s="2602">
        <v>0.56999999999999995</v>
      </c>
      <c r="AL72" s="2602"/>
      <c r="AM72" s="2602"/>
      <c r="AN72" s="2602">
        <f t="shared" ref="AN72" si="14">AN65</f>
        <v>0.28960200000000003</v>
      </c>
      <c r="AO72" s="2602"/>
      <c r="AP72" s="2602"/>
      <c r="AQ72" s="2602">
        <f t="shared" ref="AQ72" si="15">AQ65</f>
        <v>0.42990281999999991</v>
      </c>
      <c r="AR72" s="2602"/>
      <c r="AS72" s="2602"/>
      <c r="AT72" s="2602">
        <f t="shared" ref="AT72" si="16">AT65</f>
        <v>0.58599539999999994</v>
      </c>
      <c r="AU72" s="2461"/>
      <c r="AV72" s="2461"/>
      <c r="AW72" s="2461">
        <f t="shared" ref="AW72" si="17">AW65</f>
        <v>1.2142200000000001</v>
      </c>
      <c r="AX72" s="4098"/>
      <c r="AY72" s="4098"/>
      <c r="AZ72" s="4098">
        <v>0.73399999999999999</v>
      </c>
      <c r="BA72" s="2461"/>
      <c r="BB72" s="2461"/>
      <c r="BC72" s="2461">
        <f t="shared" ref="BC72" si="18">BC65</f>
        <v>0.32243600000000006</v>
      </c>
      <c r="BD72" s="2461"/>
      <c r="BE72" s="2461"/>
      <c r="BF72" s="2461">
        <f t="shared" ref="BF72" si="19">BF65</f>
        <v>0.43269599999999997</v>
      </c>
      <c r="BG72" s="3318"/>
      <c r="BH72" s="3318"/>
      <c r="BI72" s="3318">
        <f t="shared" ref="BI72" si="20">BI65</f>
        <v>0.58599539999999994</v>
      </c>
    </row>
    <row r="73" spans="1:61" ht="20.100000000000001" customHeight="1" x14ac:dyDescent="0.2">
      <c r="A73" s="2601" t="s">
        <v>1540</v>
      </c>
      <c r="B73" s="2601"/>
      <c r="C73" s="2601"/>
      <c r="D73" s="2602">
        <f>D62+D63+D64+D67+D68</f>
        <v>1466.3579869907844</v>
      </c>
      <c r="E73" s="2602"/>
      <c r="F73" s="2602"/>
      <c r="G73" s="2602">
        <f>G62+G63+G64+G67+G68</f>
        <v>1426.7975333333331</v>
      </c>
      <c r="H73" s="2602"/>
      <c r="I73" s="2602"/>
      <c r="J73" s="2602">
        <f>J62+J63+J64+J67+J68+J69</f>
        <v>2651.3997032198831</v>
      </c>
      <c r="K73" s="2602"/>
      <c r="L73" s="2602"/>
      <c r="M73" s="2602">
        <f t="shared" ref="M73:AE73" si="21">M62+M63+M64+M67+M68</f>
        <v>1826.9639063780155</v>
      </c>
      <c r="N73" s="2602">
        <f t="shared" si="21"/>
        <v>5751.7997161934418</v>
      </c>
      <c r="O73" s="2602">
        <f t="shared" si="21"/>
        <v>1600</v>
      </c>
      <c r="P73" s="2602">
        <f t="shared" si="21"/>
        <v>1589.6554950071065</v>
      </c>
      <c r="Q73" s="2602"/>
      <c r="R73" s="2602"/>
      <c r="S73" s="2602">
        <f t="shared" si="21"/>
        <v>2213.5064213035557</v>
      </c>
      <c r="T73" s="2602"/>
      <c r="U73" s="2602"/>
      <c r="V73" s="2602">
        <f t="shared" si="21"/>
        <v>2590.328598696281</v>
      </c>
      <c r="W73" s="2602"/>
      <c r="X73" s="2602"/>
      <c r="Y73" s="2602">
        <f t="shared" si="21"/>
        <v>2979.9539693283837</v>
      </c>
      <c r="Z73" s="2602"/>
      <c r="AA73" s="2602"/>
      <c r="AB73" s="2602">
        <f t="shared" si="21"/>
        <v>3427.3430295480966</v>
      </c>
      <c r="AC73" s="2602"/>
      <c r="AD73" s="2602"/>
      <c r="AE73" s="2602">
        <f t="shared" si="21"/>
        <v>3943.2565876320309</v>
      </c>
      <c r="AF73" s="2602"/>
      <c r="AG73" s="2602"/>
      <c r="AH73" s="2602">
        <f>AH62+AH63+AH64+AH67+AH68+AH69</f>
        <v>3505.5423818584377</v>
      </c>
      <c r="AI73" s="2602"/>
      <c r="AJ73" s="2602"/>
      <c r="AK73" s="2602">
        <v>1901.52</v>
      </c>
      <c r="AL73" s="2602"/>
      <c r="AM73" s="2602"/>
      <c r="AN73" s="2602">
        <f>AN62+AN63+AN64+AN67+AN68+AN69</f>
        <v>1524.0771764999997</v>
      </c>
      <c r="AO73" s="2602"/>
      <c r="AP73" s="2602"/>
      <c r="AQ73" s="2602">
        <f>AQ62+AQ63+AQ64+AQ67+AQ68+AQ69</f>
        <v>2286.1356703499991</v>
      </c>
      <c r="AR73" s="2602"/>
      <c r="AS73" s="2602"/>
      <c r="AT73" s="2602">
        <f>AT62+AT63+AT64+AT67+AT68+AT69</f>
        <v>3048.1779424799993</v>
      </c>
      <c r="AU73" s="2461"/>
      <c r="AV73" s="2461"/>
      <c r="AW73" s="2461">
        <f>AW62+AW63+AW64+AW67+AW68+AW69</f>
        <v>4460.613754</v>
      </c>
      <c r="AX73" s="4098"/>
      <c r="AY73" s="4098"/>
      <c r="AZ73" s="4098">
        <v>2468.25</v>
      </c>
      <c r="BA73" s="2461"/>
      <c r="BB73" s="2461"/>
      <c r="BC73" s="2461">
        <f>BC62+BC63+BC64+BC67+BC68+BC69</f>
        <v>898.00934400000017</v>
      </c>
      <c r="BD73" s="2461"/>
      <c r="BE73" s="2461"/>
      <c r="BF73" s="2461">
        <f>BF62+BF63+BF64+BF67+BF68+BF69</f>
        <v>1773.2622649999998</v>
      </c>
      <c r="BG73" s="3318"/>
      <c r="BH73" s="3318"/>
      <c r="BI73" s="3318">
        <f>BI62+BI63+BI64+BI67+BI68+BI69</f>
        <v>3048.1779424799993</v>
      </c>
    </row>
    <row r="77" spans="1:61" ht="20.25" x14ac:dyDescent="0.3">
      <c r="A77" s="2476" t="s">
        <v>3560</v>
      </c>
      <c r="AI77" s="2769" t="s">
        <v>3698</v>
      </c>
    </row>
    <row r="79" spans="1:61" x14ac:dyDescent="0.2">
      <c r="AL79" s="2670"/>
    </row>
  </sheetData>
  <mergeCells count="36">
    <mergeCell ref="Z58:AB59"/>
    <mergeCell ref="W58:Y59"/>
    <mergeCell ref="A41:A42"/>
    <mergeCell ref="B41:D41"/>
    <mergeCell ref="AO58:AQ59"/>
    <mergeCell ref="AI58:AK59"/>
    <mergeCell ref="AF58:AH59"/>
    <mergeCell ref="AC58:AE59"/>
    <mergeCell ref="A3:P3"/>
    <mergeCell ref="B58:D59"/>
    <mergeCell ref="T58:V59"/>
    <mergeCell ref="Q58:S59"/>
    <mergeCell ref="K58:M59"/>
    <mergeCell ref="H58:J59"/>
    <mergeCell ref="E58:G59"/>
    <mergeCell ref="BA58:BC59"/>
    <mergeCell ref="AU59:AW59"/>
    <mergeCell ref="AX59:AZ59"/>
    <mergeCell ref="AU58:AZ58"/>
    <mergeCell ref="AR58:AT59"/>
    <mergeCell ref="BD58:BF59"/>
    <mergeCell ref="BG58:BI59"/>
    <mergeCell ref="A2:BI2"/>
    <mergeCell ref="B4:D4"/>
    <mergeCell ref="A4:A5"/>
    <mergeCell ref="N58:P58"/>
    <mergeCell ref="K4:M4"/>
    <mergeCell ref="Q27:V27"/>
    <mergeCell ref="A58:A60"/>
    <mergeCell ref="N4:P4"/>
    <mergeCell ref="B27:D27"/>
    <mergeCell ref="A27:A28"/>
    <mergeCell ref="K27:M27"/>
    <mergeCell ref="N27:P27"/>
    <mergeCell ref="A17:P17"/>
    <mergeCell ref="AL58:AN59"/>
  </mergeCells>
  <phoneticPr fontId="9" type="noConversion"/>
  <printOptions horizontalCentered="1"/>
  <pageMargins left="0.15748031496062992" right="0.15748031496062992" top="1.1023622047244095" bottom="0.55118110236220474" header="0.51181102362204722" footer="0.51181102362204722"/>
  <pageSetup paperSize="9" scale="35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57">
    <tabColor rgb="FFFFFF00"/>
    <pageSetUpPr fitToPage="1"/>
  </sheetPr>
  <dimension ref="A1:Y42"/>
  <sheetViews>
    <sheetView workbookViewId="0">
      <pane xSplit="4" ySplit="5" topLeftCell="R9" activePane="bottomRight" state="frozen"/>
      <selection pane="topRight" activeCell="E1" sqref="E1"/>
      <selection pane="bottomLeft" activeCell="A6" sqref="A6"/>
      <selection pane="bottomRight" activeCell="U33" sqref="U33:U36"/>
    </sheetView>
  </sheetViews>
  <sheetFormatPr defaultRowHeight="12.75" x14ac:dyDescent="0.2"/>
  <cols>
    <col min="1" max="1" width="19.28515625" style="2106" customWidth="1"/>
    <col min="2" max="4" width="12.7109375" style="2231" hidden="1" customWidth="1"/>
    <col min="5" max="5" width="12.7109375" style="2501" customWidth="1"/>
    <col min="6" max="6" width="14" style="2501" customWidth="1"/>
    <col min="7" max="12" width="12.7109375" style="2231" customWidth="1"/>
    <col min="13" max="13" width="12.7109375" style="2501" customWidth="1"/>
    <col min="14" max="15" width="0" style="5" hidden="1" customWidth="1"/>
    <col min="16" max="16" width="12.7109375" style="5" customWidth="1"/>
    <col min="17" max="18" width="13.85546875" style="5" customWidth="1"/>
    <col min="19" max="21" width="14.28515625" style="5" customWidth="1"/>
    <col min="22" max="24" width="13.7109375" style="5" customWidth="1"/>
    <col min="25" max="16384" width="9.140625" style="5"/>
  </cols>
  <sheetData>
    <row r="1" spans="1:24" ht="22.5" customHeight="1" x14ac:dyDescent="0.3">
      <c r="A1" s="5442" t="s">
        <v>3916</v>
      </c>
      <c r="B1" s="4492"/>
      <c r="C1" s="4492"/>
      <c r="D1" s="4492"/>
      <c r="E1" s="4492"/>
      <c r="F1" s="4492"/>
      <c r="G1" s="4492"/>
      <c r="H1" s="4492"/>
      <c r="I1" s="4492"/>
      <c r="J1" s="4492"/>
      <c r="K1" s="4492"/>
      <c r="L1" s="4492"/>
      <c r="M1" s="4492"/>
      <c r="N1" s="4242"/>
      <c r="O1" s="4242"/>
      <c r="P1" s="4242"/>
      <c r="Q1" s="4242"/>
      <c r="R1" s="4242"/>
      <c r="S1" s="4242"/>
      <c r="T1" s="4242"/>
      <c r="U1" s="4242"/>
      <c r="V1" s="4242"/>
      <c r="W1" s="4242"/>
      <c r="X1" s="4242"/>
    </row>
    <row r="4" spans="1:24" ht="25.5" x14ac:dyDescent="0.2">
      <c r="A4" s="3501" t="s">
        <v>527</v>
      </c>
      <c r="B4" s="3504" t="s">
        <v>818</v>
      </c>
      <c r="C4" s="3504" t="s">
        <v>895</v>
      </c>
      <c r="D4" s="3504" t="s">
        <v>896</v>
      </c>
      <c r="E4" s="3504" t="s">
        <v>3561</v>
      </c>
      <c r="F4" s="3504" t="s">
        <v>3529</v>
      </c>
      <c r="G4" s="3504" t="s">
        <v>1802</v>
      </c>
      <c r="H4" s="3504" t="s">
        <v>1808</v>
      </c>
      <c r="I4" s="3504" t="s">
        <v>1809</v>
      </c>
      <c r="J4" s="3504" t="s">
        <v>1810</v>
      </c>
      <c r="K4" s="3504" t="s">
        <v>1811</v>
      </c>
      <c r="L4" s="3504" t="s">
        <v>1812</v>
      </c>
      <c r="M4" s="5024" t="s">
        <v>3556</v>
      </c>
      <c r="N4" s="5453"/>
      <c r="O4" s="5453"/>
      <c r="P4" s="5454"/>
      <c r="Q4" s="3501" t="s">
        <v>3643</v>
      </c>
      <c r="R4" s="3501" t="s">
        <v>3644</v>
      </c>
      <c r="S4" s="3501" t="s">
        <v>3646</v>
      </c>
      <c r="T4" s="5024" t="s">
        <v>3918</v>
      </c>
      <c r="U4" s="5026"/>
      <c r="V4" s="3913" t="s">
        <v>3940</v>
      </c>
      <c r="W4" s="3913" t="s">
        <v>3941</v>
      </c>
      <c r="X4" s="3913" t="s">
        <v>3955</v>
      </c>
    </row>
    <row r="5" spans="1:24" x14ac:dyDescent="0.2">
      <c r="A5" s="3501"/>
      <c r="B5" s="3504"/>
      <c r="C5" s="3504"/>
      <c r="D5" s="3504"/>
      <c r="E5" s="3504"/>
      <c r="F5" s="3504"/>
      <c r="G5" s="3504"/>
      <c r="H5" s="3504"/>
      <c r="I5" s="3504"/>
      <c r="J5" s="3504"/>
      <c r="K5" s="3504"/>
      <c r="L5" s="3504"/>
      <c r="M5" s="3501" t="s">
        <v>122</v>
      </c>
      <c r="N5" s="2056"/>
      <c r="O5" s="2056"/>
      <c r="P5" s="3501" t="s">
        <v>1852</v>
      </c>
      <c r="Q5" s="3501"/>
      <c r="R5" s="3501"/>
      <c r="S5" s="3501"/>
      <c r="T5" s="3501" t="s">
        <v>122</v>
      </c>
      <c r="U5" s="3501" t="s">
        <v>1852</v>
      </c>
      <c r="V5" s="3913"/>
      <c r="W5" s="3913"/>
      <c r="X5" s="3913"/>
    </row>
    <row r="6" spans="1:24" ht="25.5" x14ac:dyDescent="0.2">
      <c r="A6" s="3312" t="s">
        <v>2084</v>
      </c>
      <c r="B6" s="3512">
        <f>SUM(B7:B10)</f>
        <v>158771271.90000001</v>
      </c>
      <c r="C6" s="3512">
        <f t="shared" ref="C6:L6" si="0">SUM(C7:C10)</f>
        <v>148204708.53999999</v>
      </c>
      <c r="D6" s="3512">
        <f t="shared" si="0"/>
        <v>135728911.88999999</v>
      </c>
      <c r="E6" s="3512"/>
      <c r="F6" s="3512">
        <f t="shared" ref="F6" si="1">SUM(F7:F10)</f>
        <v>138498621.51000002</v>
      </c>
      <c r="G6" s="3512">
        <f t="shared" si="0"/>
        <v>135728911.88999999</v>
      </c>
      <c r="H6" s="3512">
        <f t="shared" si="0"/>
        <v>119544488.90909091</v>
      </c>
      <c r="I6" s="3512">
        <f t="shared" si="0"/>
        <v>104553818.90909091</v>
      </c>
      <c r="J6" s="3512">
        <f t="shared" si="0"/>
        <v>89563148.909090906</v>
      </c>
      <c r="K6" s="3512">
        <f t="shared" si="0"/>
        <v>74572478.909090906</v>
      </c>
      <c r="L6" s="3512">
        <f t="shared" si="0"/>
        <v>59581808.909090899</v>
      </c>
      <c r="M6" s="3512">
        <f t="shared" ref="M6" si="2">SUM(M7:M10)</f>
        <v>119544488.90909091</v>
      </c>
      <c r="N6" s="394"/>
      <c r="O6" s="394"/>
      <c r="P6" s="3512">
        <f t="shared" ref="P6" si="3">SUM(P7:P10)</f>
        <v>119544488.90909091</v>
      </c>
      <c r="Q6" s="3512">
        <f t="shared" ref="Q6:R6" si="4">SUM(Q7:Q10)</f>
        <v>261340675.66</v>
      </c>
      <c r="R6" s="3512">
        <f t="shared" si="4"/>
        <v>261340675.66</v>
      </c>
      <c r="S6" s="3512">
        <f t="shared" ref="S6" si="5">SUM(S7:S10)</f>
        <v>261340675.66</v>
      </c>
      <c r="T6" s="3335">
        <f t="shared" ref="T6:U6" si="6">SUM(T7:T10)</f>
        <v>261340675.66</v>
      </c>
      <c r="U6" s="4063">
        <f t="shared" si="6"/>
        <v>261340675.66</v>
      </c>
      <c r="V6" s="3335">
        <f t="shared" ref="V6:X6" si="7">SUM(V7:V10)</f>
        <v>257910037.88</v>
      </c>
      <c r="W6" s="3335">
        <f t="shared" si="7"/>
        <v>257910037.88</v>
      </c>
      <c r="X6" s="3307">
        <f t="shared" si="7"/>
        <v>261340675.66</v>
      </c>
    </row>
    <row r="7" spans="1:24" s="1769" customFormat="1" x14ac:dyDescent="0.2">
      <c r="A7" s="3540" t="s">
        <v>46</v>
      </c>
      <c r="B7" s="3541">
        <v>85365891.739999995</v>
      </c>
      <c r="C7" s="3541">
        <f t="shared" ref="C7:D9" si="8">B15</f>
        <v>78769163.709999993</v>
      </c>
      <c r="D7" s="3541">
        <f t="shared" si="8"/>
        <v>88936290.835454538</v>
      </c>
      <c r="E7" s="3541"/>
      <c r="F7" s="3541">
        <v>71294474.209999993</v>
      </c>
      <c r="G7" s="3541">
        <f>C15</f>
        <v>88936290.835454538</v>
      </c>
      <c r="H7" s="3541">
        <f>G15</f>
        <v>78951910.835454538</v>
      </c>
      <c r="I7" s="3541">
        <f t="shared" ref="I7:J8" si="9">H15</f>
        <v>68967530.835454538</v>
      </c>
      <c r="J7" s="3541">
        <f t="shared" si="9"/>
        <v>58983150.835454538</v>
      </c>
      <c r="K7" s="3541">
        <f t="shared" ref="K7:L7" si="10">J15</f>
        <v>48998770.835454538</v>
      </c>
      <c r="L7" s="3541">
        <f t="shared" si="10"/>
        <v>39014390.835454538</v>
      </c>
      <c r="M7" s="3541">
        <f>SUM(H7)</f>
        <v>78951910.835454538</v>
      </c>
      <c r="N7" s="3542"/>
      <c r="O7" s="3542"/>
      <c r="P7" s="3541">
        <f>SUM(M7)</f>
        <v>78951910.835454538</v>
      </c>
      <c r="Q7" s="3541">
        <v>196489453.84</v>
      </c>
      <c r="R7" s="3541">
        <v>196489453.84</v>
      </c>
      <c r="S7" s="3541">
        <v>196489453.84</v>
      </c>
      <c r="T7" s="2520">
        <v>196489453.84</v>
      </c>
      <c r="U7" s="4086">
        <v>196489453.84</v>
      </c>
      <c r="V7" s="2520">
        <v>194615190.40000001</v>
      </c>
      <c r="W7" s="2520">
        <v>194615190.40000001</v>
      </c>
      <c r="X7" s="4025">
        <v>196489453.84</v>
      </c>
    </row>
    <row r="8" spans="1:24" s="1769" customFormat="1" x14ac:dyDescent="0.2">
      <c r="A8" s="3540" t="s">
        <v>47</v>
      </c>
      <c r="B8" s="3541">
        <v>70013130.239999995</v>
      </c>
      <c r="C8" s="3541">
        <f t="shared" si="8"/>
        <v>66204768.289999999</v>
      </c>
      <c r="D8" s="3541">
        <f t="shared" si="8"/>
        <v>45598868.07363636</v>
      </c>
      <c r="E8" s="3541"/>
      <c r="F8" s="3541">
        <v>64262345.340000004</v>
      </c>
      <c r="G8" s="3541">
        <f>C16</f>
        <v>45598868.07363636</v>
      </c>
      <c r="H8" s="3541">
        <f>G16</f>
        <v>40592578.07363636</v>
      </c>
      <c r="I8" s="3541">
        <f t="shared" si="9"/>
        <v>35586288.07363636</v>
      </c>
      <c r="J8" s="3541">
        <f t="shared" si="9"/>
        <v>30579998.07363636</v>
      </c>
      <c r="K8" s="3541">
        <f t="shared" ref="K8:L8" si="11">J16</f>
        <v>25573708.07363636</v>
      </c>
      <c r="L8" s="3541">
        <f t="shared" si="11"/>
        <v>20567418.07363636</v>
      </c>
      <c r="M8" s="3541">
        <f>SUM(H8)</f>
        <v>40592578.07363636</v>
      </c>
      <c r="N8" s="3542"/>
      <c r="O8" s="3542"/>
      <c r="P8" s="3541">
        <f>SUM(M8)</f>
        <v>40592578.07363636</v>
      </c>
      <c r="Q8" s="3541">
        <v>61851554.719999999</v>
      </c>
      <c r="R8" s="3541">
        <v>61851554.719999999</v>
      </c>
      <c r="S8" s="3541">
        <v>61851554.719999999</v>
      </c>
      <c r="T8" s="2520">
        <v>61851554.719999999</v>
      </c>
      <c r="U8" s="4086">
        <v>61851554.719999999</v>
      </c>
      <c r="V8" s="2520">
        <v>60162732.109999999</v>
      </c>
      <c r="W8" s="2520">
        <v>60162732.109999999</v>
      </c>
      <c r="X8" s="4025">
        <v>61851554.719999999</v>
      </c>
    </row>
    <row r="9" spans="1:24" s="1769" customFormat="1" x14ac:dyDescent="0.2">
      <c r="A9" s="3540" t="s">
        <v>1461</v>
      </c>
      <c r="B9" s="3541">
        <v>3133514.56</v>
      </c>
      <c r="C9" s="3541">
        <f t="shared" si="8"/>
        <v>3037658.2</v>
      </c>
      <c r="D9" s="5455">
        <f t="shared" si="8"/>
        <v>1193752.9809090903</v>
      </c>
      <c r="E9" s="3543"/>
      <c r="F9" s="5455">
        <v>2941801.96</v>
      </c>
      <c r="G9" s="5455">
        <f>C17</f>
        <v>1193752.9809090903</v>
      </c>
      <c r="H9" s="3541"/>
      <c r="I9" s="3541"/>
      <c r="J9" s="3541"/>
      <c r="K9" s="3541"/>
      <c r="L9" s="3541"/>
      <c r="M9" s="5451"/>
      <c r="N9" s="3542"/>
      <c r="O9" s="3542"/>
      <c r="P9" s="5451"/>
      <c r="Q9" s="5455">
        <v>2999667.1</v>
      </c>
      <c r="R9" s="5455">
        <v>2999667.1</v>
      </c>
      <c r="S9" s="5455">
        <v>2999667.1</v>
      </c>
      <c r="T9" s="5447">
        <v>2999667.1</v>
      </c>
      <c r="U9" s="5460">
        <v>2999667.1</v>
      </c>
      <c r="V9" s="5447">
        <v>3132115.37</v>
      </c>
      <c r="W9" s="5447">
        <v>3132115.37</v>
      </c>
      <c r="X9" s="5449">
        <v>2999667.1</v>
      </c>
    </row>
    <row r="10" spans="1:24" s="1769" customFormat="1" ht="25.5" x14ac:dyDescent="0.2">
      <c r="A10" s="3540" t="s">
        <v>2087</v>
      </c>
      <c r="B10" s="3541">
        <v>258735.35999999999</v>
      </c>
      <c r="C10" s="3541">
        <f>B18</f>
        <v>193118.34</v>
      </c>
      <c r="D10" s="5456"/>
      <c r="E10" s="3544"/>
      <c r="F10" s="5456"/>
      <c r="G10" s="5456"/>
      <c r="H10" s="3541"/>
      <c r="I10" s="3541"/>
      <c r="J10" s="3541"/>
      <c r="K10" s="3541"/>
      <c r="L10" s="3541"/>
      <c r="M10" s="5452"/>
      <c r="N10" s="3542"/>
      <c r="O10" s="3542"/>
      <c r="P10" s="5452"/>
      <c r="Q10" s="5457"/>
      <c r="R10" s="5457"/>
      <c r="S10" s="5457"/>
      <c r="T10" s="5459"/>
      <c r="U10" s="5461"/>
      <c r="V10" s="5448"/>
      <c r="W10" s="5448"/>
      <c r="X10" s="5450"/>
    </row>
    <row r="11" spans="1:24" s="1769" customFormat="1" ht="12.75" hidden="1" customHeight="1" x14ac:dyDescent="0.2">
      <c r="A11" s="3545" t="s">
        <v>1458</v>
      </c>
      <c r="B11" s="3541"/>
      <c r="C11" s="3541"/>
      <c r="D11" s="3544"/>
      <c r="E11" s="3544"/>
      <c r="F11" s="3544"/>
      <c r="G11" s="3544"/>
      <c r="H11" s="3541"/>
      <c r="I11" s="3541"/>
      <c r="J11" s="3541"/>
      <c r="K11" s="3541"/>
      <c r="L11" s="3541"/>
      <c r="M11" s="3541"/>
      <c r="N11" s="3542"/>
      <c r="O11" s="3542"/>
      <c r="P11" s="3541"/>
      <c r="Q11" s="3544"/>
      <c r="R11" s="3544"/>
      <c r="S11" s="3544"/>
      <c r="T11" s="3539"/>
      <c r="U11" s="4087"/>
      <c r="V11" s="3952"/>
      <c r="W11" s="3952"/>
      <c r="X11" s="4026"/>
    </row>
    <row r="12" spans="1:24" s="1769" customFormat="1" ht="12.75" hidden="1" customHeight="1" x14ac:dyDescent="0.2">
      <c r="A12" s="3540" t="s">
        <v>46</v>
      </c>
      <c r="B12" s="3541"/>
      <c r="C12" s="3541"/>
      <c r="D12" s="3544"/>
      <c r="E12" s="3544"/>
      <c r="F12" s="3544"/>
      <c r="G12" s="3544"/>
      <c r="H12" s="3541"/>
      <c r="I12" s="3541"/>
      <c r="J12" s="3541"/>
      <c r="K12" s="3541"/>
      <c r="L12" s="3541"/>
      <c r="M12" s="3541"/>
      <c r="N12" s="3542"/>
      <c r="O12" s="3542"/>
      <c r="P12" s="3541"/>
      <c r="Q12" s="3544"/>
      <c r="R12" s="3544"/>
      <c r="S12" s="3544"/>
      <c r="T12" s="3539"/>
      <c r="U12" s="4087"/>
      <c r="V12" s="3952"/>
      <c r="W12" s="3952"/>
      <c r="X12" s="4026"/>
    </row>
    <row r="13" spans="1:24" s="1769" customFormat="1" ht="38.25" hidden="1" customHeight="1" x14ac:dyDescent="0.2">
      <c r="A13" s="3540" t="s">
        <v>2089</v>
      </c>
      <c r="B13" s="3541"/>
      <c r="C13" s="3541"/>
      <c r="D13" s="3544"/>
      <c r="E13" s="3544"/>
      <c r="F13" s="3544"/>
      <c r="G13" s="3544"/>
      <c r="H13" s="3541"/>
      <c r="I13" s="3541"/>
      <c r="J13" s="3541"/>
      <c r="K13" s="3541"/>
      <c r="L13" s="3541"/>
      <c r="M13" s="3541"/>
      <c r="N13" s="3542"/>
      <c r="O13" s="3542"/>
      <c r="P13" s="3541"/>
      <c r="Q13" s="3544"/>
      <c r="R13" s="3544"/>
      <c r="S13" s="3544"/>
      <c r="T13" s="3539"/>
      <c r="U13" s="4087"/>
      <c r="V13" s="3952"/>
      <c r="W13" s="3952"/>
      <c r="X13" s="4026"/>
    </row>
    <row r="14" spans="1:24" ht="25.5" x14ac:dyDescent="0.2">
      <c r="A14" s="3312" t="s">
        <v>2083</v>
      </c>
      <c r="B14" s="3512">
        <f>SUM(B15:B18)</f>
        <v>148204708.53999999</v>
      </c>
      <c r="C14" s="3512">
        <v>135728911.88999999</v>
      </c>
      <c r="D14" s="3512">
        <f>SUM(D15:D18)</f>
        <v>135728910.88999999</v>
      </c>
      <c r="E14" s="3512"/>
      <c r="F14" s="3512">
        <f t="shared" ref="F14:G14" si="12">SUM(F15:F18)</f>
        <v>258341008.56</v>
      </c>
      <c r="G14" s="3512">
        <f t="shared" si="12"/>
        <v>119544488.90909091</v>
      </c>
      <c r="H14" s="3512">
        <f t="shared" ref="H14" si="13">SUM(H15:H18)</f>
        <v>104553818.90909091</v>
      </c>
      <c r="I14" s="3512">
        <f t="shared" ref="I14" si="14">SUM(I15:I18)</f>
        <v>89563148.909090906</v>
      </c>
      <c r="J14" s="3512">
        <f t="shared" ref="J14" si="15">SUM(J15:J18)</f>
        <v>74572478.909090906</v>
      </c>
      <c r="K14" s="3512">
        <f t="shared" ref="K14" si="16">SUM(K15:K18)</f>
        <v>59581808.909090899</v>
      </c>
      <c r="L14" s="3512">
        <f t="shared" ref="L14:M14" si="17">SUM(L15:L18)</f>
        <v>44591138.909090899</v>
      </c>
      <c r="M14" s="3512">
        <f t="shared" si="17"/>
        <v>104553818.90909091</v>
      </c>
      <c r="N14" s="394"/>
      <c r="O14" s="394"/>
      <c r="P14" s="3512">
        <f t="shared" ref="P14" si="18">SUM(P15:P18)</f>
        <v>104553818.90909091</v>
      </c>
      <c r="Q14" s="3512">
        <f t="shared" ref="Q14:R14" si="19">SUM(Q15:Q18)</f>
        <v>261512218.87</v>
      </c>
      <c r="R14" s="3512">
        <f t="shared" si="19"/>
        <v>250535078.49000001</v>
      </c>
      <c r="S14" s="3512">
        <f t="shared" ref="S14" si="20">SUM(S15:S18)</f>
        <v>255999025.98000002</v>
      </c>
      <c r="T14" s="3335">
        <f t="shared" ref="T14:U14" si="21">SUM(T15:T18)</f>
        <v>255999025.98000002</v>
      </c>
      <c r="U14" s="4063">
        <f t="shared" si="21"/>
        <v>255999025.98000002</v>
      </c>
      <c r="V14" s="3335">
        <f t="shared" ref="V14:X14" si="22">SUM(V15:V18)</f>
        <v>254357952.22000003</v>
      </c>
      <c r="W14" s="3335">
        <f t="shared" si="22"/>
        <v>249032337.10000002</v>
      </c>
      <c r="X14" s="3307">
        <f t="shared" si="22"/>
        <v>255999025.98000002</v>
      </c>
    </row>
    <row r="15" spans="1:24" s="1769" customFormat="1" x14ac:dyDescent="0.2">
      <c r="A15" s="3540" t="s">
        <v>46</v>
      </c>
      <c r="B15" s="3541">
        <v>78769163.709999993</v>
      </c>
      <c r="C15" s="3541">
        <f>C20*2-C7</f>
        <v>88936290.835454538</v>
      </c>
      <c r="D15" s="3541">
        <v>81437346.530000001</v>
      </c>
      <c r="E15" s="3541"/>
      <c r="F15" s="3541">
        <v>196489453.84</v>
      </c>
      <c r="G15" s="3541">
        <f>G7-Аморт!AM13*1000-Аморт!AM11*1000</f>
        <v>78951910.835454538</v>
      </c>
      <c r="H15" s="3541">
        <f>H7-Аморт!AN13*1000-Аморт!AN11*1000</f>
        <v>68967530.835454538</v>
      </c>
      <c r="I15" s="3541">
        <f>I7-G39</f>
        <v>58983150.835454538</v>
      </c>
      <c r="J15" s="3541">
        <f>J7-G39</f>
        <v>48998770.835454538</v>
      </c>
      <c r="K15" s="3541">
        <f>K7-G39</f>
        <v>39014390.835454538</v>
      </c>
      <c r="L15" s="3541">
        <f>L7-G39</f>
        <v>29030010.835454538</v>
      </c>
      <c r="M15" s="3541">
        <f t="shared" ref="M15:M16" si="23">SUM(H15)</f>
        <v>68967530.835454538</v>
      </c>
      <c r="N15" s="3542"/>
      <c r="O15" s="3542"/>
      <c r="P15" s="3541">
        <f>SUM(M15)</f>
        <v>68967530.835454538</v>
      </c>
      <c r="Q15" s="3541">
        <v>198164000.25</v>
      </c>
      <c r="R15" s="3541">
        <v>185898470.68000001</v>
      </c>
      <c r="S15" s="3541">
        <v>192704178.5</v>
      </c>
      <c r="T15" s="2520">
        <v>192704178.5</v>
      </c>
      <c r="U15" s="4086">
        <v>192704178.5</v>
      </c>
      <c r="V15" s="2520">
        <v>193312198.99000001</v>
      </c>
      <c r="W15" s="2520">
        <v>189397788.83000001</v>
      </c>
      <c r="X15" s="4025">
        <v>192704178.5</v>
      </c>
    </row>
    <row r="16" spans="1:24" s="1769" customFormat="1" x14ac:dyDescent="0.2">
      <c r="A16" s="3540" t="s">
        <v>47</v>
      </c>
      <c r="B16" s="3541">
        <v>66204768.289999999</v>
      </c>
      <c r="C16" s="3541">
        <f>C21*2-C8</f>
        <v>45598868.07363636</v>
      </c>
      <c r="D16" s="3541">
        <v>54291564.359999999</v>
      </c>
      <c r="E16" s="3541"/>
      <c r="F16" s="3541">
        <v>61851554.719999999</v>
      </c>
      <c r="G16" s="3541">
        <f>G8-Аморт!AM18*1000</f>
        <v>40592578.07363636</v>
      </c>
      <c r="H16" s="3541">
        <f>H8-Аморт!AN18*1000</f>
        <v>35586288.07363636</v>
      </c>
      <c r="I16" s="3541">
        <f>I8-G40</f>
        <v>30579998.07363636</v>
      </c>
      <c r="J16" s="3541">
        <f>J8-G40</f>
        <v>25573708.07363636</v>
      </c>
      <c r="K16" s="3541">
        <f>K8-G40</f>
        <v>20567418.07363636</v>
      </c>
      <c r="L16" s="3541">
        <f>L8-G40</f>
        <v>15561128.07363636</v>
      </c>
      <c r="M16" s="3541">
        <f t="shared" si="23"/>
        <v>35586288.07363636</v>
      </c>
      <c r="N16" s="3542"/>
      <c r="O16" s="3542"/>
      <c r="P16" s="3541">
        <f>SUM(M16)</f>
        <v>35586288.07363636</v>
      </c>
      <c r="Q16" s="3541">
        <v>60131972.990000002</v>
      </c>
      <c r="R16" s="3541">
        <v>61462441.109999999</v>
      </c>
      <c r="S16" s="3541">
        <v>60162732.109999999</v>
      </c>
      <c r="T16" s="2520">
        <v>60162732.109999999</v>
      </c>
      <c r="U16" s="4086">
        <v>60162732.109999999</v>
      </c>
      <c r="V16" s="2520">
        <v>57997740.520000003</v>
      </c>
      <c r="W16" s="2520">
        <v>56628586.890000001</v>
      </c>
      <c r="X16" s="4025">
        <v>60162732.109999999</v>
      </c>
    </row>
    <row r="17" spans="1:25" s="1769" customFormat="1" x14ac:dyDescent="0.2">
      <c r="A17" s="3540" t="s">
        <v>1461</v>
      </c>
      <c r="B17" s="3541">
        <v>3037658.2</v>
      </c>
      <c r="C17" s="5455">
        <f>C22*2-C9-C10</f>
        <v>1193752.9809090903</v>
      </c>
      <c r="D17" s="3541"/>
      <c r="E17" s="3541"/>
      <c r="F17" s="3541"/>
      <c r="G17" s="3541"/>
      <c r="H17" s="3541"/>
      <c r="I17" s="3541"/>
      <c r="J17" s="3541"/>
      <c r="K17" s="3541"/>
      <c r="L17" s="3541"/>
      <c r="M17" s="3541"/>
      <c r="N17" s="3542"/>
      <c r="O17" s="3542"/>
      <c r="P17" s="3541"/>
      <c r="Q17" s="5451">
        <v>3216245.63</v>
      </c>
      <c r="R17" s="5451">
        <v>3174166.7</v>
      </c>
      <c r="S17" s="5451">
        <v>3132115.37</v>
      </c>
      <c r="T17" s="5443">
        <v>3132115.37</v>
      </c>
      <c r="U17" s="5462">
        <v>3132115.37</v>
      </c>
      <c r="V17" s="5443">
        <v>3048012.71</v>
      </c>
      <c r="W17" s="5443">
        <v>3005961.38</v>
      </c>
      <c r="X17" s="5445">
        <v>3132115.37</v>
      </c>
    </row>
    <row r="18" spans="1:25" s="1769" customFormat="1" ht="25.5" x14ac:dyDescent="0.2">
      <c r="A18" s="3540" t="s">
        <v>2087</v>
      </c>
      <c r="B18" s="3541">
        <v>193118.34</v>
      </c>
      <c r="C18" s="5456"/>
      <c r="D18" s="3541"/>
      <c r="E18" s="3541"/>
      <c r="F18" s="3541"/>
      <c r="G18" s="3541"/>
      <c r="H18" s="3541"/>
      <c r="I18" s="3541"/>
      <c r="J18" s="3541"/>
      <c r="K18" s="3541"/>
      <c r="L18" s="3541"/>
      <c r="M18" s="3541"/>
      <c r="N18" s="3542"/>
      <c r="O18" s="3542"/>
      <c r="P18" s="3541"/>
      <c r="Q18" s="5452"/>
      <c r="R18" s="5452"/>
      <c r="S18" s="5452"/>
      <c r="T18" s="5458"/>
      <c r="U18" s="5463"/>
      <c r="V18" s="5444"/>
      <c r="W18" s="5444"/>
      <c r="X18" s="5446"/>
    </row>
    <row r="19" spans="1:25" ht="25.5" x14ac:dyDescent="0.2">
      <c r="A19" s="3312" t="s">
        <v>2085</v>
      </c>
      <c r="B19" s="3512">
        <f>SUM(B20:B23)</f>
        <v>153487990.22</v>
      </c>
      <c r="C19" s="3512">
        <f>(C6+C14)/2</f>
        <v>141966810.21499997</v>
      </c>
      <c r="D19" s="3512">
        <f t="shared" ref="D19:G19" si="24">SUM(D20:D23)</f>
        <v>135728911.39000002</v>
      </c>
      <c r="E19" s="3512"/>
      <c r="F19" s="3512">
        <f t="shared" ref="F19" si="25">SUM(F20:F23)</f>
        <v>196948914.05500001</v>
      </c>
      <c r="G19" s="3512">
        <f t="shared" si="24"/>
        <v>127039823.90909091</v>
      </c>
      <c r="H19" s="3512">
        <f t="shared" ref="H19" si="26">SUM(H20:H23)</f>
        <v>112049153.90909091</v>
      </c>
      <c r="I19" s="3512">
        <f t="shared" ref="I19" si="27">SUM(I20:I23)</f>
        <v>97058483.909090906</v>
      </c>
      <c r="J19" s="3512">
        <f t="shared" ref="J19" si="28">SUM(J20:J23)</f>
        <v>82067813.909090906</v>
      </c>
      <c r="K19" s="3512">
        <f t="shared" ref="K19" si="29">SUM(K20:K23)</f>
        <v>67077143.909090899</v>
      </c>
      <c r="L19" s="3512">
        <f t="shared" ref="L19:M19" si="30">SUM(L20:L23)</f>
        <v>52086473.909090899</v>
      </c>
      <c r="M19" s="3512">
        <f t="shared" si="30"/>
        <v>112049153.90909091</v>
      </c>
      <c r="N19" s="394"/>
      <c r="O19" s="394"/>
      <c r="P19" s="3512">
        <f t="shared" ref="P19" si="31">SUM(P20:P23)</f>
        <v>112049153.90909091</v>
      </c>
      <c r="Q19" s="3512">
        <f t="shared" ref="Q19:R19" si="32">SUM(Q20:Q23)</f>
        <v>261426447.26500005</v>
      </c>
      <c r="R19" s="3512">
        <f t="shared" si="32"/>
        <v>255937877.07499999</v>
      </c>
      <c r="S19" s="3512">
        <f t="shared" ref="S19" si="33">SUM(S20:S23)</f>
        <v>258669850.82000002</v>
      </c>
      <c r="T19" s="3335">
        <f t="shared" ref="T19:U19" si="34">SUM(T20:T23)</f>
        <v>258669850.82000002</v>
      </c>
      <c r="U19" s="4063">
        <f t="shared" si="34"/>
        <v>258669850.82000002</v>
      </c>
      <c r="V19" s="3335">
        <f t="shared" ref="V19:X19" si="35">SUM(V20:V23)</f>
        <v>256133995.04999998</v>
      </c>
      <c r="W19" s="3335">
        <f t="shared" si="35"/>
        <v>253471187.49000001</v>
      </c>
      <c r="X19" s="3307">
        <f t="shared" si="35"/>
        <v>258669850.82000002</v>
      </c>
    </row>
    <row r="20" spans="1:25" s="1769" customFormat="1" x14ac:dyDescent="0.2">
      <c r="A20" s="3540" t="s">
        <v>46</v>
      </c>
      <c r="B20" s="3541">
        <f>(B7+B15)/2</f>
        <v>82067527.724999994</v>
      </c>
      <c r="C20" s="3541">
        <f>C26/C24*100</f>
        <v>83852727.272727266</v>
      </c>
      <c r="D20" s="3541">
        <f t="shared" ref="D20:L21" si="36">(D7+D15)/2</f>
        <v>85186818.682727277</v>
      </c>
      <c r="E20" s="3541"/>
      <c r="F20" s="3541">
        <f t="shared" ref="F20" si="37">(F7+F15)/2</f>
        <v>133891964.02500001</v>
      </c>
      <c r="G20" s="3541">
        <f t="shared" si="36"/>
        <v>83944100.835454538</v>
      </c>
      <c r="H20" s="3541">
        <f t="shared" si="36"/>
        <v>73959720.835454538</v>
      </c>
      <c r="I20" s="3541">
        <f t="shared" si="36"/>
        <v>63975340.835454538</v>
      </c>
      <c r="J20" s="3541">
        <f t="shared" si="36"/>
        <v>53990960.835454538</v>
      </c>
      <c r="K20" s="3541">
        <f t="shared" si="36"/>
        <v>44006580.835454538</v>
      </c>
      <c r="L20" s="3541">
        <f t="shared" si="36"/>
        <v>34022200.835454538</v>
      </c>
      <c r="M20" s="3541">
        <f t="shared" ref="M20" si="38">(M7+M15)/2</f>
        <v>73959720.835454538</v>
      </c>
      <c r="N20" s="3542"/>
      <c r="O20" s="3542"/>
      <c r="P20" s="3541">
        <f>SUM(M20)</f>
        <v>73959720.835454538</v>
      </c>
      <c r="Q20" s="3541">
        <f t="shared" ref="Q20:R20" si="39">(Q7+Q15)/2</f>
        <v>197326727.04500002</v>
      </c>
      <c r="R20" s="3541">
        <f t="shared" si="39"/>
        <v>191193962.25999999</v>
      </c>
      <c r="S20" s="3541">
        <f t="shared" ref="S20" si="40">(S7+S15)/2</f>
        <v>194596816.17000002</v>
      </c>
      <c r="T20" s="2520">
        <f t="shared" ref="T20:U20" si="41">(T7+T15)/2</f>
        <v>194596816.17000002</v>
      </c>
      <c r="U20" s="4086">
        <f t="shared" si="41"/>
        <v>194596816.17000002</v>
      </c>
      <c r="V20" s="2520">
        <f t="shared" ref="V20:X20" si="42">(V7+V15)/2</f>
        <v>193963694.69499999</v>
      </c>
      <c r="W20" s="2520">
        <f t="shared" si="42"/>
        <v>192006489.61500001</v>
      </c>
      <c r="X20" s="4025">
        <f t="shared" si="42"/>
        <v>194596816.17000002</v>
      </c>
    </row>
    <row r="21" spans="1:25" s="1769" customFormat="1" x14ac:dyDescent="0.2">
      <c r="A21" s="3540" t="s">
        <v>47</v>
      </c>
      <c r="B21" s="3541">
        <f>(B8+B16)/2</f>
        <v>68108949.265000001</v>
      </c>
      <c r="C21" s="3541">
        <f>C27/C24*100</f>
        <v>55901818.18181818</v>
      </c>
      <c r="D21" s="3541">
        <f t="shared" si="36"/>
        <v>49945216.216818184</v>
      </c>
      <c r="E21" s="3541"/>
      <c r="F21" s="3541">
        <f t="shared" ref="F21" si="43">(F8+F16)/2</f>
        <v>63056950.030000001</v>
      </c>
      <c r="G21" s="3541">
        <f t="shared" si="36"/>
        <v>43095723.07363636</v>
      </c>
      <c r="H21" s="3541">
        <f t="shared" si="36"/>
        <v>38089433.07363636</v>
      </c>
      <c r="I21" s="3541">
        <f t="shared" si="36"/>
        <v>33083143.07363636</v>
      </c>
      <c r="J21" s="3541">
        <f t="shared" si="36"/>
        <v>28076853.07363636</v>
      </c>
      <c r="K21" s="3541">
        <f t="shared" si="36"/>
        <v>23070563.07363636</v>
      </c>
      <c r="L21" s="3541">
        <f t="shared" si="36"/>
        <v>18064273.07363636</v>
      </c>
      <c r="M21" s="3541">
        <f t="shared" ref="M21" si="44">(M8+M16)/2</f>
        <v>38089433.07363636</v>
      </c>
      <c r="N21" s="3542"/>
      <c r="O21" s="3542"/>
      <c r="P21" s="3541">
        <f>SUM(M21)</f>
        <v>38089433.07363636</v>
      </c>
      <c r="Q21" s="3541">
        <f t="shared" ref="Q21:R21" si="45">(Q8+Q16)/2</f>
        <v>60991763.855000004</v>
      </c>
      <c r="R21" s="3541">
        <f t="shared" si="45"/>
        <v>61656997.914999999</v>
      </c>
      <c r="S21" s="3541">
        <f t="shared" ref="S21:T21" si="46">(S8+S16)/2</f>
        <v>61007143.414999999</v>
      </c>
      <c r="T21" s="2520">
        <f t="shared" si="46"/>
        <v>61007143.414999999</v>
      </c>
      <c r="U21" s="4086">
        <f t="shared" ref="U21" si="47">(U8+U16)/2</f>
        <v>61007143.414999999</v>
      </c>
      <c r="V21" s="2520">
        <f t="shared" ref="V21:X21" si="48">(V8+V16)/2</f>
        <v>59080236.314999998</v>
      </c>
      <c r="W21" s="2520">
        <f t="shared" si="48"/>
        <v>58395659.5</v>
      </c>
      <c r="X21" s="4025">
        <f t="shared" si="48"/>
        <v>61007143.414999999</v>
      </c>
    </row>
    <row r="22" spans="1:25" s="1769" customFormat="1" x14ac:dyDescent="0.2">
      <c r="A22" s="3540" t="s">
        <v>1461</v>
      </c>
      <c r="B22" s="3541">
        <f>(B9+B17)/2</f>
        <v>3085586.38</v>
      </c>
      <c r="C22" s="5455">
        <f>C28/C24*100</f>
        <v>2212264.7604545453</v>
      </c>
      <c r="D22" s="3541">
        <f>(D9+D17)/2</f>
        <v>596876.49045454513</v>
      </c>
      <c r="E22" s="3541"/>
      <c r="F22" s="3541"/>
      <c r="G22" s="3541"/>
      <c r="H22" s="3541">
        <f t="shared" ref="H22:L23" si="49">(H9+H17)/2</f>
        <v>0</v>
      </c>
      <c r="I22" s="3541">
        <f t="shared" si="49"/>
        <v>0</v>
      </c>
      <c r="J22" s="3541">
        <f t="shared" si="49"/>
        <v>0</v>
      </c>
      <c r="K22" s="3541">
        <f t="shared" si="49"/>
        <v>0</v>
      </c>
      <c r="L22" s="3541">
        <f t="shared" si="49"/>
        <v>0</v>
      </c>
      <c r="M22" s="3541"/>
      <c r="N22" s="3542"/>
      <c r="O22" s="3542"/>
      <c r="P22" s="3541"/>
      <c r="Q22" s="5451">
        <f t="shared" ref="Q22:R22" si="50">(Q9+Q17)/2</f>
        <v>3107956.3650000002</v>
      </c>
      <c r="R22" s="5451">
        <f t="shared" si="50"/>
        <v>3086916.9000000004</v>
      </c>
      <c r="S22" s="5451">
        <f t="shared" ref="S22:T22" si="51">(S9+S17)/2</f>
        <v>3065891.2350000003</v>
      </c>
      <c r="T22" s="5443">
        <f t="shared" si="51"/>
        <v>3065891.2350000003</v>
      </c>
      <c r="U22" s="5462">
        <f t="shared" ref="U22" si="52">(U9+U17)/2</f>
        <v>3065891.2350000003</v>
      </c>
      <c r="V22" s="5443">
        <f t="shared" ref="V22:X22" si="53">(V9+V17)/2</f>
        <v>3090064.04</v>
      </c>
      <c r="W22" s="5443">
        <f t="shared" si="53"/>
        <v>3069038.375</v>
      </c>
      <c r="X22" s="5445">
        <f t="shared" si="53"/>
        <v>3065891.2350000003</v>
      </c>
    </row>
    <row r="23" spans="1:25" s="1769" customFormat="1" ht="25.5" x14ac:dyDescent="0.2">
      <c r="A23" s="3540" t="s">
        <v>2087</v>
      </c>
      <c r="B23" s="3541">
        <f>(B10+B18)/2</f>
        <v>225926.84999999998</v>
      </c>
      <c r="C23" s="5456"/>
      <c r="D23" s="3541">
        <f>(D10+D18)/2</f>
        <v>0</v>
      </c>
      <c r="E23" s="3541"/>
      <c r="F23" s="3541"/>
      <c r="G23" s="3541"/>
      <c r="H23" s="3541">
        <f t="shared" si="49"/>
        <v>0</v>
      </c>
      <c r="I23" s="3541">
        <f t="shared" si="49"/>
        <v>0</v>
      </c>
      <c r="J23" s="3541">
        <f t="shared" si="49"/>
        <v>0</v>
      </c>
      <c r="K23" s="3541">
        <f t="shared" si="49"/>
        <v>0</v>
      </c>
      <c r="L23" s="3541">
        <f t="shared" si="49"/>
        <v>0</v>
      </c>
      <c r="M23" s="3541"/>
      <c r="N23" s="3542"/>
      <c r="O23" s="3542"/>
      <c r="P23" s="3541"/>
      <c r="Q23" s="5452"/>
      <c r="R23" s="5452"/>
      <c r="S23" s="5452"/>
      <c r="T23" s="5458"/>
      <c r="U23" s="5463"/>
      <c r="V23" s="5444"/>
      <c r="W23" s="5444"/>
      <c r="X23" s="5446"/>
    </row>
    <row r="24" spans="1:25" x14ac:dyDescent="0.2">
      <c r="A24" s="3312" t="s">
        <v>2088</v>
      </c>
      <c r="B24" s="3511">
        <v>2.2000000000000002</v>
      </c>
      <c r="C24" s="3511">
        <v>2.2000000000000002</v>
      </c>
      <c r="D24" s="3511">
        <v>2.2000000000000002</v>
      </c>
      <c r="E24" s="3511"/>
      <c r="F24" s="3511">
        <v>2.2000000000000002</v>
      </c>
      <c r="G24" s="3511">
        <v>2.2000000000000002</v>
      </c>
      <c r="H24" s="3511">
        <v>2.2000000000000002</v>
      </c>
      <c r="I24" s="3511">
        <v>2.2000000000000002</v>
      </c>
      <c r="J24" s="3511">
        <v>2.2000000000000002</v>
      </c>
      <c r="K24" s="3511">
        <v>2.2000000000000002</v>
      </c>
      <c r="L24" s="3511">
        <v>2.2000000000000002</v>
      </c>
      <c r="M24" s="3511">
        <v>2.2000000000000002</v>
      </c>
      <c r="N24" s="394"/>
      <c r="O24" s="394"/>
      <c r="P24" s="3511">
        <v>2.2000000000000002</v>
      </c>
      <c r="Q24" s="3511">
        <v>2.2000000000000002</v>
      </c>
      <c r="R24" s="3511">
        <v>2.2000000000000002</v>
      </c>
      <c r="S24" s="3511">
        <v>2.2000000000000002</v>
      </c>
      <c r="T24" s="3515">
        <v>2.2000000000000002</v>
      </c>
      <c r="U24" s="4082">
        <v>2.2000000000000002</v>
      </c>
      <c r="V24" s="3515">
        <v>2.2000000000000002</v>
      </c>
      <c r="W24" s="3515">
        <v>2.2000000000000002</v>
      </c>
      <c r="X24" s="3459">
        <v>2.2000000000000002</v>
      </c>
    </row>
    <row r="25" spans="1:25" x14ac:dyDescent="0.2">
      <c r="A25" s="3312" t="s">
        <v>2086</v>
      </c>
      <c r="B25" s="3512">
        <f>SUM(B26:B29)</f>
        <v>3376735.7848399999</v>
      </c>
      <c r="C25" s="3512">
        <f>C19*C24/100</f>
        <v>3123269.82473</v>
      </c>
      <c r="D25" s="3512">
        <f t="shared" ref="D25:G25" si="54">SUM(D26:D29)</f>
        <v>2986036.0505800005</v>
      </c>
      <c r="E25" s="3512"/>
      <c r="F25" s="3512">
        <f t="shared" ref="F25" si="55">SUM(F26:F29)</f>
        <v>4332876.1092100004</v>
      </c>
      <c r="G25" s="3512">
        <f t="shared" si="54"/>
        <v>2794876.1260000002</v>
      </c>
      <c r="H25" s="3512">
        <f t="shared" ref="H25" si="56">SUM(H26:H29)</f>
        <v>2465081.3859999999</v>
      </c>
      <c r="I25" s="3512">
        <f t="shared" ref="I25" si="57">SUM(I26:I29)</f>
        <v>2135286.6459999997</v>
      </c>
      <c r="J25" s="3512">
        <f t="shared" ref="J25" si="58">SUM(J26:J29)</f>
        <v>1805491.906</v>
      </c>
      <c r="K25" s="3512">
        <f t="shared" ref="K25" si="59">SUM(K26:K29)</f>
        <v>1475697.166</v>
      </c>
      <c r="L25" s="3512">
        <f t="shared" ref="L25:M25" si="60">SUM(L26:L29)</f>
        <v>1145902.4259999997</v>
      </c>
      <c r="M25" s="3512">
        <f t="shared" si="60"/>
        <v>2465081.3859999999</v>
      </c>
      <c r="N25" s="394"/>
      <c r="O25" s="394"/>
      <c r="P25" s="3512">
        <f t="shared" ref="P25" si="61">SUM(P26:P29)</f>
        <v>2465081.3859999999</v>
      </c>
      <c r="Q25" s="3512">
        <f t="shared" ref="Q25:R25" si="62">SUM(Q26:Q29)</f>
        <v>2875690.9199150004</v>
      </c>
      <c r="R25" s="3512">
        <f t="shared" si="62"/>
        <v>4222974.9717375003</v>
      </c>
      <c r="S25" s="3512">
        <f t="shared" ref="S25" si="63">SUM(S26:S29)</f>
        <v>4268052.5385300005</v>
      </c>
      <c r="T25" s="3335">
        <f t="shared" ref="T25:U25" si="64">SUM(T26:T29)</f>
        <v>4268052.5385300005</v>
      </c>
      <c r="U25" s="4063">
        <f t="shared" si="64"/>
        <v>4268052.5385300005</v>
      </c>
      <c r="V25" s="3335">
        <f t="shared" ref="V25:X25" si="65">SUM(V26:V29)</f>
        <v>2817473.9455499998</v>
      </c>
      <c r="W25" s="3335">
        <f t="shared" si="65"/>
        <v>4182274.5935850004</v>
      </c>
      <c r="X25" s="3307">
        <f t="shared" si="65"/>
        <v>4268052.5385300005</v>
      </c>
    </row>
    <row r="26" spans="1:25" s="1769" customFormat="1" x14ac:dyDescent="0.2">
      <c r="A26" s="3540" t="s">
        <v>46</v>
      </c>
      <c r="B26" s="3541">
        <f>B20*B24/100</f>
        <v>1805485.60995</v>
      </c>
      <c r="C26" s="3541">
        <f>'Н 2019-2024'!D8*1000+'Н 2019-2024'!D17*1000</f>
        <v>1844760</v>
      </c>
      <c r="D26" s="3541">
        <f t="shared" ref="D26" si="66">D20*D24/100</f>
        <v>1874110.0110200003</v>
      </c>
      <c r="E26" s="3541"/>
      <c r="F26" s="3541">
        <f t="shared" ref="F26" si="67">F20*F24/100</f>
        <v>2945623.2085500001</v>
      </c>
      <c r="G26" s="3541">
        <f t="shared" ref="G26:L26" si="68">G20*G24/100</f>
        <v>1846770.21838</v>
      </c>
      <c r="H26" s="3541">
        <f t="shared" si="68"/>
        <v>1627113.8583800001</v>
      </c>
      <c r="I26" s="3541">
        <f t="shared" si="68"/>
        <v>1407457.49838</v>
      </c>
      <c r="J26" s="3541">
        <f t="shared" si="68"/>
        <v>1187801.1383799999</v>
      </c>
      <c r="K26" s="3541">
        <f t="shared" si="68"/>
        <v>968144.77838000003</v>
      </c>
      <c r="L26" s="3541">
        <f t="shared" si="68"/>
        <v>748488.41837999981</v>
      </c>
      <c r="M26" s="3541">
        <f t="shared" ref="M26" si="69">M20*M24/100</f>
        <v>1627113.8583800001</v>
      </c>
      <c r="N26" s="3542"/>
      <c r="O26" s="3542"/>
      <c r="P26" s="3541">
        <f>SUM(M26)</f>
        <v>1627113.8583800001</v>
      </c>
      <c r="Q26" s="3541">
        <f>Q20*Q24/100/2</f>
        <v>2170593.9974950003</v>
      </c>
      <c r="R26" s="3541">
        <f>R20*R24/100/4*3</f>
        <v>3154700.3772899997</v>
      </c>
      <c r="S26" s="3541">
        <f>S20*S24/100/4*3</f>
        <v>3210847.4668050008</v>
      </c>
      <c r="T26" s="2520">
        <f>T20*T24/100/4*3</f>
        <v>3210847.4668050008</v>
      </c>
      <c r="U26" s="4086">
        <f>U20*U24/100/4*3</f>
        <v>3210847.4668050008</v>
      </c>
      <c r="V26" s="2520">
        <f>V20*V24/100/2</f>
        <v>2133600.6416449999</v>
      </c>
      <c r="W26" s="2520">
        <f>W20*W24/100/4*3</f>
        <v>3168107.0786475004</v>
      </c>
      <c r="X26" s="4025">
        <f>X20*X24/100/4*3</f>
        <v>3210847.4668050008</v>
      </c>
    </row>
    <row r="27" spans="1:25" s="1769" customFormat="1" x14ac:dyDescent="0.2">
      <c r="A27" s="3540" t="s">
        <v>47</v>
      </c>
      <c r="B27" s="3541">
        <f>B21*B24/100</f>
        <v>1498396.8838300002</v>
      </c>
      <c r="C27" s="3541">
        <f>'Н 2019-2024'!D26*1000+'Н 2019-2024'!D34*1000</f>
        <v>1229840</v>
      </c>
      <c r="D27" s="3541">
        <f t="shared" ref="D27" si="70">D21*D24/100</f>
        <v>1098794.7567700001</v>
      </c>
      <c r="E27" s="3541"/>
      <c r="F27" s="3541">
        <f t="shared" ref="F27" si="71">F21*F24/100</f>
        <v>1387252.90066</v>
      </c>
      <c r="G27" s="3541">
        <f t="shared" ref="G27:L27" si="72">G21*G24/100</f>
        <v>948105.90761999995</v>
      </c>
      <c r="H27" s="3541">
        <f t="shared" si="72"/>
        <v>837967.52761999995</v>
      </c>
      <c r="I27" s="3541">
        <f t="shared" si="72"/>
        <v>727829.14761999995</v>
      </c>
      <c r="J27" s="3541">
        <f t="shared" si="72"/>
        <v>617690.76761999994</v>
      </c>
      <c r="K27" s="3541">
        <f t="shared" si="72"/>
        <v>507552.38761999994</v>
      </c>
      <c r="L27" s="3541">
        <f t="shared" si="72"/>
        <v>397414.00761999993</v>
      </c>
      <c r="M27" s="3541">
        <f t="shared" ref="M27" si="73">M21*M24/100</f>
        <v>837967.52761999995</v>
      </c>
      <c r="N27" s="3542"/>
      <c r="O27" s="3542"/>
      <c r="P27" s="3541">
        <f t="shared" ref="P27:P29" si="74">SUM(M27)</f>
        <v>837967.52761999995</v>
      </c>
      <c r="Q27" s="3541">
        <f>Q21*Q24/100/2</f>
        <v>670909.40240500006</v>
      </c>
      <c r="R27" s="3541">
        <f>R21*R24/100/4*3</f>
        <v>1017340.4655975001</v>
      </c>
      <c r="S27" s="3541">
        <f>S21*S24/100/4*3</f>
        <v>1006617.8663475001</v>
      </c>
      <c r="T27" s="2520">
        <f>T21*T24/100/4*3</f>
        <v>1006617.8663475001</v>
      </c>
      <c r="U27" s="4086">
        <f>U21*U24/100/4*3</f>
        <v>1006617.8663475001</v>
      </c>
      <c r="V27" s="2520">
        <f>V21*V24/100/2</f>
        <v>649882.59946499998</v>
      </c>
      <c r="W27" s="2520">
        <f>W21*W24/100/4*3</f>
        <v>963528.38175000006</v>
      </c>
      <c r="X27" s="4025">
        <f>X21*X24/100/4*3</f>
        <v>1006617.8663475001</v>
      </c>
    </row>
    <row r="28" spans="1:25" s="1769" customFormat="1" x14ac:dyDescent="0.2">
      <c r="A28" s="3540" t="s">
        <v>1461</v>
      </c>
      <c r="B28" s="3541">
        <f>B22*B24/100</f>
        <v>67882.90036</v>
      </c>
      <c r="C28" s="5455">
        <f>C25-C26-C27</f>
        <v>48669.824729999993</v>
      </c>
      <c r="D28" s="3541">
        <f t="shared" ref="D28" si="75">D22*D24/100</f>
        <v>13131.282789999994</v>
      </c>
      <c r="E28" s="3541"/>
      <c r="F28" s="3541"/>
      <c r="G28" s="3541"/>
      <c r="H28" s="3541">
        <f t="shared" ref="H28:L28" si="76">H22*H24/100</f>
        <v>0</v>
      </c>
      <c r="I28" s="3541">
        <f t="shared" si="76"/>
        <v>0</v>
      </c>
      <c r="J28" s="3541">
        <f t="shared" si="76"/>
        <v>0</v>
      </c>
      <c r="K28" s="3541">
        <f t="shared" si="76"/>
        <v>0</v>
      </c>
      <c r="L28" s="3541">
        <f t="shared" si="76"/>
        <v>0</v>
      </c>
      <c r="M28" s="3541">
        <f t="shared" ref="M28" si="77">M22*M24/100</f>
        <v>0</v>
      </c>
      <c r="N28" s="3542"/>
      <c r="O28" s="3542"/>
      <c r="P28" s="3541">
        <f t="shared" si="74"/>
        <v>0</v>
      </c>
      <c r="Q28" s="5451">
        <f>Q22*Q24/100/2</f>
        <v>34187.520015000009</v>
      </c>
      <c r="R28" s="5451">
        <f>R22*R24/100/4*3</f>
        <v>50934.128850000008</v>
      </c>
      <c r="S28" s="5451">
        <f>S22*S24/100/4*3</f>
        <v>50587.205377500009</v>
      </c>
      <c r="T28" s="5443">
        <f>T22*T24/100/4*3</f>
        <v>50587.205377500009</v>
      </c>
      <c r="U28" s="5462">
        <f>U22*U24/100/4*3</f>
        <v>50587.205377500009</v>
      </c>
      <c r="V28" s="5443">
        <f>V22*V24/100/2</f>
        <v>33990.704440000001</v>
      </c>
      <c r="W28" s="5443">
        <f>W22*W24/100/4*3</f>
        <v>50639.133187500003</v>
      </c>
      <c r="X28" s="5445">
        <f>X22*X24/100/4*3</f>
        <v>50587.205377500009</v>
      </c>
    </row>
    <row r="29" spans="1:25" s="1769" customFormat="1" ht="25.5" x14ac:dyDescent="0.2">
      <c r="A29" s="3540" t="s">
        <v>2087</v>
      </c>
      <c r="B29" s="3541">
        <f>B23*B24/100</f>
        <v>4970.3906999999999</v>
      </c>
      <c r="C29" s="5456"/>
      <c r="D29" s="3541">
        <f t="shared" ref="D29" si="78">D23*D24/100</f>
        <v>0</v>
      </c>
      <c r="E29" s="3541"/>
      <c r="F29" s="3541"/>
      <c r="G29" s="3541"/>
      <c r="H29" s="3541">
        <f t="shared" ref="H29:L29" si="79">H23*H24/100</f>
        <v>0</v>
      </c>
      <c r="I29" s="3541">
        <f t="shared" si="79"/>
        <v>0</v>
      </c>
      <c r="J29" s="3541">
        <f t="shared" si="79"/>
        <v>0</v>
      </c>
      <c r="K29" s="3541">
        <f t="shared" si="79"/>
        <v>0</v>
      </c>
      <c r="L29" s="3541">
        <f t="shared" si="79"/>
        <v>0</v>
      </c>
      <c r="M29" s="3541">
        <f t="shared" ref="M29" si="80">M23*M24/100</f>
        <v>0</v>
      </c>
      <c r="N29" s="3542"/>
      <c r="O29" s="3542"/>
      <c r="P29" s="3541">
        <f t="shared" si="74"/>
        <v>0</v>
      </c>
      <c r="Q29" s="5452"/>
      <c r="R29" s="5452"/>
      <c r="S29" s="5452"/>
      <c r="T29" s="5458"/>
      <c r="U29" s="5463"/>
      <c r="V29" s="5444"/>
      <c r="W29" s="5444"/>
      <c r="X29" s="5446"/>
    </row>
    <row r="30" spans="1:25" ht="25.5" x14ac:dyDescent="0.2">
      <c r="A30" s="3312" t="s">
        <v>2090</v>
      </c>
      <c r="B30" s="3511"/>
      <c r="C30" s="3511"/>
      <c r="D30" s="3511"/>
      <c r="E30" s="3511"/>
      <c r="F30" s="3512">
        <f>Аморт!T87</f>
        <v>0</v>
      </c>
      <c r="G30" s="3512">
        <f>Аморт!U87</f>
        <v>2887205.7268098001</v>
      </c>
      <c r="H30" s="3512">
        <f>Аморт!W87</f>
        <v>2828878.3383893995</v>
      </c>
      <c r="I30" s="3512">
        <f>Аморт!X87</f>
        <v>2770550.9499689997</v>
      </c>
      <c r="J30" s="3512">
        <f>Аморт!AA87</f>
        <v>2712223.5615485995</v>
      </c>
      <c r="K30" s="3512">
        <f>Аморт!AB87</f>
        <v>2653896.1731281998</v>
      </c>
      <c r="L30" s="3512">
        <f>Аморт!AC87</f>
        <v>2595568.7847077991</v>
      </c>
      <c r="M30" s="3512">
        <f>SUM(H30)</f>
        <v>2828878.3383893995</v>
      </c>
      <c r="N30" s="394"/>
      <c r="O30" s="394"/>
      <c r="P30" s="3512">
        <f>SUM(M30)</f>
        <v>2828878.3383893995</v>
      </c>
      <c r="Q30" s="3512"/>
      <c r="R30" s="3512"/>
      <c r="S30" s="3512"/>
      <c r="T30" s="3335"/>
      <c r="U30" s="4063"/>
      <c r="V30" s="3335"/>
      <c r="W30" s="3335"/>
      <c r="X30" s="3307"/>
    </row>
    <row r="31" spans="1:25" x14ac:dyDescent="0.2">
      <c r="A31" s="3312" t="s">
        <v>2091</v>
      </c>
      <c r="B31" s="3511"/>
      <c r="C31" s="3511"/>
      <c r="D31" s="3511"/>
      <c r="E31" s="3511"/>
      <c r="F31" s="3511"/>
      <c r="G31" s="3511"/>
      <c r="H31" s="3511"/>
      <c r="I31" s="3511"/>
      <c r="J31" s="3511"/>
      <c r="K31" s="3511"/>
      <c r="L31" s="3511"/>
      <c r="M31" s="3511"/>
      <c r="N31" s="394"/>
      <c r="O31" s="394"/>
      <c r="P31" s="3511"/>
      <c r="Q31" s="3512">
        <f>SUM(Q33:Q36)</f>
        <v>2688670</v>
      </c>
      <c r="R31" s="3512">
        <f>SUM(R33:R36)</f>
        <v>4033000</v>
      </c>
      <c r="S31" s="3512">
        <v>5377350</v>
      </c>
      <c r="T31" s="3335">
        <v>5377350</v>
      </c>
      <c r="U31" s="4063">
        <f>SUM(U25)</f>
        <v>4268052.5385300005</v>
      </c>
      <c r="V31" s="3335">
        <v>2671790</v>
      </c>
      <c r="W31" s="3335">
        <f>SUM(W33:W36)</f>
        <v>4000415</v>
      </c>
      <c r="X31" s="3307">
        <v>5377350</v>
      </c>
      <c r="Y31" s="2677">
        <v>1</v>
      </c>
    </row>
    <row r="32" spans="1:25" x14ac:dyDescent="0.2">
      <c r="A32" s="3312" t="s">
        <v>50</v>
      </c>
      <c r="B32" s="3511"/>
      <c r="C32" s="3511"/>
      <c r="D32" s="3511"/>
      <c r="E32" s="3511"/>
      <c r="F32" s="3511"/>
      <c r="G32" s="3511"/>
      <c r="H32" s="3511"/>
      <c r="I32" s="3511"/>
      <c r="J32" s="3511"/>
      <c r="K32" s="3511"/>
      <c r="L32" s="3511"/>
      <c r="M32" s="3511"/>
      <c r="N32" s="394"/>
      <c r="O32" s="394"/>
      <c r="P32" s="3511"/>
      <c r="Q32" s="3511"/>
      <c r="R32" s="3511"/>
      <c r="S32" s="3511"/>
      <c r="T32" s="3515"/>
      <c r="U32" s="4082"/>
      <c r="V32" s="3515"/>
      <c r="W32" s="3515"/>
      <c r="X32" s="3459"/>
    </row>
    <row r="33" spans="1:25" x14ac:dyDescent="0.2">
      <c r="A33" s="2601" t="s">
        <v>2092</v>
      </c>
      <c r="B33" s="3511"/>
      <c r="C33" s="3511"/>
      <c r="D33" s="3511"/>
      <c r="E33" s="3511">
        <f>1996.24*1000</f>
        <v>1996240</v>
      </c>
      <c r="F33" s="3512">
        <f>SUM(F34:F35)</f>
        <v>1982030</v>
      </c>
      <c r="G33" s="3512">
        <f>G26+G30</f>
        <v>4733975.9451898001</v>
      </c>
      <c r="H33" s="3512">
        <f t="shared" ref="H33:L33" si="81">H26+H30</f>
        <v>4455992.1967693996</v>
      </c>
      <c r="I33" s="3512">
        <f t="shared" si="81"/>
        <v>4178008.448349</v>
      </c>
      <c r="J33" s="3512">
        <f t="shared" si="81"/>
        <v>3900024.6999285994</v>
      </c>
      <c r="K33" s="3512">
        <f t="shared" si="81"/>
        <v>3622040.9515081998</v>
      </c>
      <c r="L33" s="3512">
        <f t="shared" si="81"/>
        <v>3344057.2030877988</v>
      </c>
      <c r="M33" s="3512">
        <f t="shared" ref="M33" si="82">M26+M30</f>
        <v>4455992.1967693996</v>
      </c>
      <c r="N33" s="394"/>
      <c r="O33" s="394"/>
      <c r="P33" s="3512">
        <f t="shared" ref="P33" si="83">P26+P30</f>
        <v>4455992.1967693996</v>
      </c>
      <c r="Q33" s="3512">
        <v>1613200</v>
      </c>
      <c r="R33" s="3512">
        <v>2419800</v>
      </c>
      <c r="S33" s="3512">
        <f>SUM(S31*60%)</f>
        <v>3226410</v>
      </c>
      <c r="T33" s="3335">
        <f>SUM(T31*60%)</f>
        <v>3226410</v>
      </c>
      <c r="U33" s="4063">
        <v>2522722.3199999998</v>
      </c>
      <c r="V33" s="3335">
        <f>SUM(V31*60%)</f>
        <v>1603074</v>
      </c>
      <c r="W33" s="3335">
        <v>2400249</v>
      </c>
      <c r="X33" s="3307">
        <f>SUM(X31*60%)</f>
        <v>3226410</v>
      </c>
      <c r="Y33" s="2677">
        <v>0.6</v>
      </c>
    </row>
    <row r="34" spans="1:25" x14ac:dyDescent="0.2">
      <c r="A34" s="2601" t="s">
        <v>368</v>
      </c>
      <c r="B34" s="3511"/>
      <c r="C34" s="3511"/>
      <c r="D34" s="3511"/>
      <c r="E34" s="3511"/>
      <c r="F34" s="3512">
        <f>1981.31*1000</f>
        <v>1981310</v>
      </c>
      <c r="G34" s="3512">
        <f>G33*$O$34</f>
        <v>4732636.3873577761</v>
      </c>
      <c r="H34" s="3512">
        <f t="shared" ref="H34:L34" si="84">H33*$O$34</f>
        <v>4454731.2990978165</v>
      </c>
      <c r="I34" s="3512">
        <f t="shared" si="84"/>
        <v>4176826.2108378578</v>
      </c>
      <c r="J34" s="3512">
        <f t="shared" si="84"/>
        <v>3898921.1225778982</v>
      </c>
      <c r="K34" s="3512">
        <f t="shared" si="84"/>
        <v>3621016.0343179395</v>
      </c>
      <c r="L34" s="3512">
        <f t="shared" si="84"/>
        <v>3343110.946057979</v>
      </c>
      <c r="M34" s="3512">
        <f t="shared" ref="M34" si="85">M33*$O$34</f>
        <v>4454731.2990978165</v>
      </c>
      <c r="N34" s="394">
        <f>объемы!AZ39</f>
        <v>6253.3816796622659</v>
      </c>
      <c r="O34" s="395">
        <f>N34/N36</f>
        <v>0.99971703324065575</v>
      </c>
      <c r="P34" s="3512">
        <f t="shared" ref="P34" si="86">P33*$O$34</f>
        <v>4454731.2990978165</v>
      </c>
      <c r="Q34" s="3512"/>
      <c r="R34" s="3512"/>
      <c r="S34" s="3512"/>
      <c r="T34" s="3335"/>
      <c r="U34" s="4063"/>
      <c r="V34" s="3335"/>
      <c r="W34" s="3335"/>
      <c r="X34" s="3307"/>
    </row>
    <row r="35" spans="1:25" x14ac:dyDescent="0.2">
      <c r="A35" s="2601" t="s">
        <v>157</v>
      </c>
      <c r="B35" s="3511"/>
      <c r="C35" s="3511"/>
      <c r="D35" s="3511"/>
      <c r="E35" s="3511"/>
      <c r="F35" s="3512">
        <f>0.72*1000</f>
        <v>720</v>
      </c>
      <c r="G35" s="3512">
        <f>G33*$O$35</f>
        <v>1339.5578320234051</v>
      </c>
      <c r="H35" s="3512">
        <f t="shared" ref="H35:L35" si="87">H33*$O$35</f>
        <v>1260.8976715825515</v>
      </c>
      <c r="I35" s="3512">
        <f t="shared" si="87"/>
        <v>1182.2375111416982</v>
      </c>
      <c r="J35" s="3512">
        <f t="shared" si="87"/>
        <v>1103.5773507008444</v>
      </c>
      <c r="K35" s="3512">
        <f t="shared" si="87"/>
        <v>1024.917190259991</v>
      </c>
      <c r="L35" s="3512">
        <f t="shared" si="87"/>
        <v>946.2570298191373</v>
      </c>
      <c r="M35" s="3512">
        <f t="shared" ref="M35" si="88">M33*$O$35</f>
        <v>1260.8976715825515</v>
      </c>
      <c r="N35" s="394">
        <f>объемы!BA39</f>
        <v>1.77</v>
      </c>
      <c r="O35" s="395">
        <f>N35/N36</f>
        <v>2.8296675934412632E-4</v>
      </c>
      <c r="P35" s="3512">
        <f t="shared" ref="P35" si="89">P33*$O$35</f>
        <v>1260.8976715825515</v>
      </c>
      <c r="Q35" s="3512"/>
      <c r="R35" s="3512"/>
      <c r="S35" s="3512"/>
      <c r="T35" s="3335"/>
      <c r="U35" s="4063"/>
      <c r="V35" s="3335"/>
      <c r="W35" s="3335"/>
      <c r="X35" s="3307"/>
    </row>
    <row r="36" spans="1:25" x14ac:dyDescent="0.2">
      <c r="A36" s="3312" t="s">
        <v>47</v>
      </c>
      <c r="B36" s="3511"/>
      <c r="C36" s="3511"/>
      <c r="D36" s="3511"/>
      <c r="E36" s="3511">
        <f>1330.83*1000</f>
        <v>1330830</v>
      </c>
      <c r="F36" s="3512">
        <f>F27</f>
        <v>1387252.90066</v>
      </c>
      <c r="G36" s="3512">
        <f>G27</f>
        <v>948105.90761999995</v>
      </c>
      <c r="H36" s="3512">
        <f t="shared" ref="H36:L36" si="90">H27</f>
        <v>837967.52761999995</v>
      </c>
      <c r="I36" s="3512">
        <f t="shared" si="90"/>
        <v>727829.14761999995</v>
      </c>
      <c r="J36" s="3512">
        <f t="shared" si="90"/>
        <v>617690.76761999994</v>
      </c>
      <c r="K36" s="3512">
        <f t="shared" si="90"/>
        <v>507552.38761999994</v>
      </c>
      <c r="L36" s="3512">
        <f t="shared" si="90"/>
        <v>397414.00761999993</v>
      </c>
      <c r="M36" s="3512">
        <f t="shared" ref="M36" si="91">M27</f>
        <v>837967.52761999995</v>
      </c>
      <c r="N36" s="394">
        <f>SUM(N34:N35)</f>
        <v>6255.1516796622664</v>
      </c>
      <c r="O36" s="394"/>
      <c r="P36" s="3512">
        <f t="shared" ref="P36" si="92">P27</f>
        <v>837967.52761999995</v>
      </c>
      <c r="Q36" s="3512">
        <v>1075470</v>
      </c>
      <c r="R36" s="3512">
        <v>1613200</v>
      </c>
      <c r="S36" s="3512">
        <f>SUM(S31*40%)</f>
        <v>2150940</v>
      </c>
      <c r="T36" s="3335">
        <f>SUM(T31*40%)</f>
        <v>2150940</v>
      </c>
      <c r="U36" s="4063">
        <v>1745330.22</v>
      </c>
      <c r="V36" s="3335">
        <f>SUM(V31*40%)</f>
        <v>1068716</v>
      </c>
      <c r="W36" s="3335">
        <v>1600166</v>
      </c>
      <c r="X36" s="3307">
        <f>SUM(X31*40%)</f>
        <v>2150940</v>
      </c>
      <c r="Y36" s="2677">
        <v>0.4</v>
      </c>
    </row>
    <row r="37" spans="1:25" x14ac:dyDescent="0.2">
      <c r="A37" s="3312" t="s">
        <v>47</v>
      </c>
      <c r="B37" s="3511"/>
      <c r="C37" s="3511"/>
      <c r="D37" s="3511"/>
      <c r="E37" s="3511"/>
      <c r="F37" s="3512">
        <f>1313.7*1000</f>
        <v>1313700</v>
      </c>
      <c r="G37" s="3512">
        <f>G36*$O$37</f>
        <v>942559.59939862846</v>
      </c>
      <c r="H37" s="3512">
        <f t="shared" ref="H37:L37" si="93">H36*$O$37</f>
        <v>833065.51598783117</v>
      </c>
      <c r="I37" s="3512">
        <f t="shared" si="93"/>
        <v>723571.43257703388</v>
      </c>
      <c r="J37" s="3512">
        <f t="shared" si="93"/>
        <v>614077.3491662367</v>
      </c>
      <c r="K37" s="3512">
        <f t="shared" si="93"/>
        <v>504583.26575543941</v>
      </c>
      <c r="L37" s="3512">
        <f t="shared" si="93"/>
        <v>395089.18234464212</v>
      </c>
      <c r="M37" s="3512">
        <f t="shared" ref="M37" si="94">M36*$O$37</f>
        <v>833065.51598783117</v>
      </c>
      <c r="N37" s="394">
        <f>объемы!AZ63</f>
        <v>3002.3369764914323</v>
      </c>
      <c r="O37" s="395">
        <f>N37/N39</f>
        <v>0.99415011743224524</v>
      </c>
      <c r="P37" s="3512">
        <f t="shared" ref="P37" si="95">P36*$O$37</f>
        <v>833065.51598783117</v>
      </c>
      <c r="Q37" s="3512"/>
      <c r="R37" s="3512"/>
      <c r="S37" s="3512"/>
      <c r="T37" s="3335"/>
      <c r="U37" s="4063"/>
      <c r="V37" s="3953"/>
      <c r="W37" s="3335"/>
      <c r="X37" s="3307"/>
    </row>
    <row r="38" spans="1:25" x14ac:dyDescent="0.2">
      <c r="A38" s="3312" t="s">
        <v>89</v>
      </c>
      <c r="B38" s="3511"/>
      <c r="C38" s="3511"/>
      <c r="D38" s="3511"/>
      <c r="E38" s="3511"/>
      <c r="F38" s="3512">
        <f>7.65*1000</f>
        <v>7650</v>
      </c>
      <c r="G38" s="3512">
        <f>G36*$O$38</f>
        <v>5546.308221371617</v>
      </c>
      <c r="H38" s="3512">
        <f t="shared" ref="H38:L38" si="96">H36*$O$38</f>
        <v>4902.0116321688593</v>
      </c>
      <c r="I38" s="3512">
        <f t="shared" si="96"/>
        <v>4257.7150429661006</v>
      </c>
      <c r="J38" s="3512">
        <f t="shared" si="96"/>
        <v>3613.4184537633428</v>
      </c>
      <c r="K38" s="3512">
        <f t="shared" si="96"/>
        <v>2969.1218645605845</v>
      </c>
      <c r="L38" s="3512">
        <f t="shared" si="96"/>
        <v>2324.8252753578263</v>
      </c>
      <c r="M38" s="3512">
        <f t="shared" ref="M38" si="97">M36*$O$38</f>
        <v>4902.0116321688593</v>
      </c>
      <c r="N38" s="394">
        <f>объемы!BA63</f>
        <v>17.666666666666668</v>
      </c>
      <c r="O38" s="395">
        <f>N38/N39</f>
        <v>5.8498825677548386E-3</v>
      </c>
      <c r="P38" s="3512">
        <f t="shared" ref="P38" si="98">P36*$O$38</f>
        <v>4902.0116321688593</v>
      </c>
      <c r="Q38" s="3512"/>
      <c r="R38" s="3512"/>
      <c r="S38" s="3512"/>
      <c r="T38" s="3335"/>
      <c r="U38" s="4063"/>
      <c r="V38" s="3953"/>
      <c r="W38" s="3335"/>
      <c r="X38" s="3307"/>
    </row>
    <row r="39" spans="1:25" x14ac:dyDescent="0.2">
      <c r="G39" s="2521">
        <f>(Аморт!AN13-Аморт!AN11)*1000</f>
        <v>9984380</v>
      </c>
      <c r="N39" s="5">
        <f>N37+N38</f>
        <v>3020.0036431580988</v>
      </c>
    </row>
    <row r="40" spans="1:25" x14ac:dyDescent="0.2">
      <c r="G40" s="2521">
        <f>Аморт!AN18*1000</f>
        <v>5006290</v>
      </c>
    </row>
    <row r="42" spans="1:25" ht="20.25" x14ac:dyDescent="0.3">
      <c r="A42" s="3320" t="s">
        <v>3562</v>
      </c>
    </row>
  </sheetData>
  <mergeCells count="43">
    <mergeCell ref="S22:S23"/>
    <mergeCell ref="S28:S29"/>
    <mergeCell ref="T28:T29"/>
    <mergeCell ref="S9:S10"/>
    <mergeCell ref="T4:U4"/>
    <mergeCell ref="T9:T10"/>
    <mergeCell ref="U9:U10"/>
    <mergeCell ref="T17:T18"/>
    <mergeCell ref="T22:T23"/>
    <mergeCell ref="U17:U18"/>
    <mergeCell ref="U22:U23"/>
    <mergeCell ref="U28:U29"/>
    <mergeCell ref="R9:R10"/>
    <mergeCell ref="D9:D10"/>
    <mergeCell ref="Q9:Q10"/>
    <mergeCell ref="P9:P10"/>
    <mergeCell ref="S17:S18"/>
    <mergeCell ref="M4:P4"/>
    <mergeCell ref="C28:C29"/>
    <mergeCell ref="C22:C23"/>
    <mergeCell ref="C17:C18"/>
    <mergeCell ref="Q17:Q18"/>
    <mergeCell ref="Q22:Q23"/>
    <mergeCell ref="Q28:Q29"/>
    <mergeCell ref="F9:F10"/>
    <mergeCell ref="M9:M10"/>
    <mergeCell ref="G9:G10"/>
    <mergeCell ref="A1:X1"/>
    <mergeCell ref="V22:V23"/>
    <mergeCell ref="W22:W23"/>
    <mergeCell ref="X22:X23"/>
    <mergeCell ref="V28:V29"/>
    <mergeCell ref="W28:W29"/>
    <mergeCell ref="X28:X29"/>
    <mergeCell ref="V9:V10"/>
    <mergeCell ref="W9:W10"/>
    <mergeCell ref="X9:X10"/>
    <mergeCell ref="V17:V18"/>
    <mergeCell ref="W17:W18"/>
    <mergeCell ref="X17:X18"/>
    <mergeCell ref="R17:R18"/>
    <mergeCell ref="R22:R23"/>
    <mergeCell ref="R28:R2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58"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685" customWidth="1"/>
    <col min="2" max="2" width="10.140625" style="1685" customWidth="1"/>
    <col min="3" max="3" width="17.42578125" style="1721" customWidth="1"/>
    <col min="4" max="4" width="18.28515625" style="1721" customWidth="1"/>
    <col min="5" max="5" width="16" style="1721" customWidth="1"/>
    <col min="6" max="6" width="16.5703125" style="1685" customWidth="1"/>
    <col min="7" max="16384" width="9.140625" style="1685"/>
  </cols>
  <sheetData>
    <row r="1" spans="1:6" x14ac:dyDescent="0.25">
      <c r="E1" s="1721" t="s">
        <v>1507</v>
      </c>
    </row>
    <row r="2" spans="1:6" ht="33.75" customHeight="1" x14ac:dyDescent="0.25">
      <c r="A2" s="5468" t="s">
        <v>2078</v>
      </c>
      <c r="B2" s="5468"/>
      <c r="C2" s="5468"/>
      <c r="D2" s="5468"/>
      <c r="E2" s="5468"/>
      <c r="F2" s="5468"/>
    </row>
    <row r="3" spans="1:6" hidden="1" x14ac:dyDescent="0.25">
      <c r="A3" s="5464" t="s">
        <v>988</v>
      </c>
      <c r="B3" s="5464" t="s">
        <v>989</v>
      </c>
      <c r="C3" s="1720" t="s">
        <v>347</v>
      </c>
      <c r="D3" s="1720" t="s">
        <v>337</v>
      </c>
      <c r="E3" s="1720" t="s">
        <v>1461</v>
      </c>
      <c r="F3" s="5466" t="s">
        <v>237</v>
      </c>
    </row>
    <row r="4" spans="1:6" hidden="1" x14ac:dyDescent="0.25">
      <c r="A4" s="5465"/>
      <c r="B4" s="5465"/>
      <c r="C4" s="1720" t="s">
        <v>990</v>
      </c>
      <c r="D4" s="1720" t="s">
        <v>990</v>
      </c>
      <c r="E4" s="1720" t="s">
        <v>990</v>
      </c>
      <c r="F4" s="5467"/>
    </row>
    <row r="5" spans="1:6" ht="30" hidden="1" x14ac:dyDescent="0.25">
      <c r="A5" s="1267" t="s">
        <v>1452</v>
      </c>
      <c r="B5" s="1265" t="s">
        <v>991</v>
      </c>
      <c r="C5" s="1722">
        <v>94861.048999999999</v>
      </c>
      <c r="D5" s="1723">
        <v>71225.517999999996</v>
      </c>
      <c r="E5" s="1723">
        <v>3130.4870000000001</v>
      </c>
      <c r="F5" s="1265" t="s">
        <v>1459</v>
      </c>
    </row>
    <row r="6" spans="1:6" ht="23.25" hidden="1" customHeight="1" x14ac:dyDescent="0.25">
      <c r="A6" s="1344" t="s">
        <v>1458</v>
      </c>
      <c r="B6" s="1265" t="s">
        <v>991</v>
      </c>
      <c r="C6" s="1723">
        <v>1106.2370000000001</v>
      </c>
      <c r="D6" s="1723">
        <v>1538.848</v>
      </c>
      <c r="E6" s="1723">
        <v>99.817999999999998</v>
      </c>
      <c r="F6" s="1345" t="s">
        <v>1459</v>
      </c>
    </row>
    <row r="7" spans="1:6" ht="45" hidden="1" x14ac:dyDescent="0.25">
      <c r="A7" s="1267" t="s">
        <v>1460</v>
      </c>
      <c r="B7" s="1265" t="s">
        <v>991</v>
      </c>
      <c r="C7" s="1722">
        <f>6102.07/3*4</f>
        <v>8136.0933333333332</v>
      </c>
      <c r="D7" s="1723">
        <f>3628.35/3*4</f>
        <v>4837.8</v>
      </c>
      <c r="E7" s="1723">
        <f>'ОХР '!AI24/3*4</f>
        <v>150.02666666666667</v>
      </c>
      <c r="F7" s="1265" t="s">
        <v>1462</v>
      </c>
    </row>
    <row r="8" spans="1:6" ht="41.25" hidden="1" customHeight="1" x14ac:dyDescent="0.25">
      <c r="A8" s="1886" t="s">
        <v>992</v>
      </c>
      <c r="B8" s="1265" t="s">
        <v>991</v>
      </c>
      <c r="C8" s="1722">
        <f>C5+C6-C7</f>
        <v>87831.192666666655</v>
      </c>
      <c r="D8" s="1722">
        <f>D5+D6-D7</f>
        <v>67926.565999999992</v>
      </c>
      <c r="E8" s="1722">
        <f>E5+E6-E7</f>
        <v>3080.2783333333336</v>
      </c>
      <c r="F8" s="1266"/>
    </row>
    <row r="9" spans="1:6" ht="30" hidden="1" x14ac:dyDescent="0.25">
      <c r="A9" s="1707" t="s">
        <v>993</v>
      </c>
      <c r="B9" s="1708" t="s">
        <v>991</v>
      </c>
      <c r="C9" s="1724">
        <f>C8</f>
        <v>87831.192666666655</v>
      </c>
      <c r="D9" s="1724">
        <f>D8</f>
        <v>67926.565999999992</v>
      </c>
      <c r="E9" s="1724">
        <f>E8</f>
        <v>3080.2783333333336</v>
      </c>
      <c r="F9" s="1710"/>
    </row>
    <row r="10" spans="1:6" hidden="1" x14ac:dyDescent="0.25">
      <c r="A10" s="1711" t="s">
        <v>1458</v>
      </c>
      <c r="B10" s="1712"/>
      <c r="C10" s="1725">
        <v>0</v>
      </c>
      <c r="D10" s="1725">
        <v>0</v>
      </c>
      <c r="E10" s="1725">
        <v>0</v>
      </c>
      <c r="F10" s="1714"/>
    </row>
    <row r="11" spans="1:6" ht="45" hidden="1" x14ac:dyDescent="0.25">
      <c r="A11" s="1707" t="s">
        <v>1460</v>
      </c>
      <c r="B11" s="1708" t="s">
        <v>991</v>
      </c>
      <c r="C11" s="1724">
        <f>Аморт!U13</f>
        <v>8136.1</v>
      </c>
      <c r="D11" s="1724">
        <f>Аморт!U18</f>
        <v>4822.1000000000004</v>
      </c>
      <c r="E11" s="1724">
        <f>'ОХР '!AO24</f>
        <v>193.7</v>
      </c>
      <c r="F11" s="1708" t="s">
        <v>377</v>
      </c>
    </row>
    <row r="12" spans="1:6" ht="30" hidden="1" x14ac:dyDescent="0.25">
      <c r="A12" s="1707" t="s">
        <v>994</v>
      </c>
      <c r="B12" s="1708" t="s">
        <v>991</v>
      </c>
      <c r="C12" s="1724">
        <f>C9-C11</f>
        <v>79695.092666666649</v>
      </c>
      <c r="D12" s="1724">
        <f>D9-D11</f>
        <v>63104.465999999993</v>
      </c>
      <c r="E12" s="1724">
        <f>E9-E11</f>
        <v>2886.5783333333338</v>
      </c>
      <c r="F12" s="1710"/>
    </row>
    <row r="13" spans="1:6" ht="45" hidden="1" x14ac:dyDescent="0.25">
      <c r="A13" s="1707" t="s">
        <v>1453</v>
      </c>
      <c r="B13" s="1708" t="s">
        <v>991</v>
      </c>
      <c r="C13" s="1724">
        <f>(C9+C12)/2</f>
        <v>83763.142666666652</v>
      </c>
      <c r="D13" s="1724">
        <f>(D9+D12)/2</f>
        <v>65515.515999999989</v>
      </c>
      <c r="E13" s="1724">
        <f>(E9+E12)/2</f>
        <v>2983.4283333333337</v>
      </c>
      <c r="F13" s="1710"/>
    </row>
    <row r="14" spans="1:6" hidden="1" x14ac:dyDescent="0.25">
      <c r="A14" s="1707" t="s">
        <v>995</v>
      </c>
      <c r="B14" s="1708" t="s">
        <v>44</v>
      </c>
      <c r="C14" s="1726">
        <v>2.2000000000000002</v>
      </c>
      <c r="D14" s="1726">
        <v>2.2000000000000002</v>
      </c>
      <c r="E14" s="1726">
        <v>2.2000000000000002</v>
      </c>
      <c r="F14" s="1710"/>
    </row>
    <row r="15" spans="1:6" ht="45" hidden="1" x14ac:dyDescent="0.25">
      <c r="A15" s="1707" t="s">
        <v>1454</v>
      </c>
      <c r="B15" s="1708" t="s">
        <v>991</v>
      </c>
      <c r="C15" s="1724">
        <f>C13*C14/100</f>
        <v>1842.7891386666663</v>
      </c>
      <c r="D15" s="1724">
        <f>D13*D14/100</f>
        <v>1441.3413519999999</v>
      </c>
      <c r="E15" s="1724">
        <f>E13*E14/100</f>
        <v>65.63542333333335</v>
      </c>
      <c r="F15" s="1710"/>
    </row>
    <row r="16" spans="1:6" hidden="1" x14ac:dyDescent="0.25"/>
    <row r="17" spans="1:6" hidden="1" x14ac:dyDescent="0.25"/>
    <row r="18" spans="1:6" hidden="1" x14ac:dyDescent="0.25">
      <c r="C18" s="1727">
        <v>79695.100000000006</v>
      </c>
      <c r="D18" s="1721">
        <f>Лист4!C8</f>
        <v>8296.6500000000015</v>
      </c>
    </row>
    <row r="20" spans="1:6" ht="25.5" customHeight="1" x14ac:dyDescent="0.25">
      <c r="A20" s="5469" t="s">
        <v>988</v>
      </c>
      <c r="B20" s="5469" t="s">
        <v>989</v>
      </c>
      <c r="C20" s="2261" t="s">
        <v>347</v>
      </c>
      <c r="D20" s="2261" t="s">
        <v>337</v>
      </c>
      <c r="E20" s="2261" t="s">
        <v>1461</v>
      </c>
      <c r="F20" s="5470" t="s">
        <v>237</v>
      </c>
    </row>
    <row r="21" spans="1:6" x14ac:dyDescent="0.25">
      <c r="A21" s="5469"/>
      <c r="B21" s="5469"/>
      <c r="C21" s="2261" t="s">
        <v>990</v>
      </c>
      <c r="D21" s="2261" t="s">
        <v>990</v>
      </c>
      <c r="E21" s="2261" t="s">
        <v>990</v>
      </c>
      <c r="F21" s="5470"/>
    </row>
    <row r="22" spans="1:6" ht="30" x14ac:dyDescent="0.25">
      <c r="A22" s="2262" t="s">
        <v>2079</v>
      </c>
      <c r="B22" s="2263" t="s">
        <v>991</v>
      </c>
      <c r="C22" s="2264">
        <v>81437346.530000001</v>
      </c>
      <c r="D22" s="2264">
        <v>54291564.359999999</v>
      </c>
      <c r="E22" s="2264">
        <v>0</v>
      </c>
      <c r="F22" s="2263" t="s">
        <v>1459</v>
      </c>
    </row>
    <row r="23" spans="1:6" x14ac:dyDescent="0.25">
      <c r="A23" s="2262" t="s">
        <v>1458</v>
      </c>
      <c r="B23" s="2263" t="s">
        <v>991</v>
      </c>
      <c r="C23" s="2260">
        <v>1106.2370000000001</v>
      </c>
      <c r="D23" s="2260">
        <v>1538.848</v>
      </c>
      <c r="E23" s="2260">
        <v>99.817999999999998</v>
      </c>
      <c r="F23" s="2259" t="s">
        <v>1459</v>
      </c>
    </row>
    <row r="24" spans="1:6" ht="45" x14ac:dyDescent="0.25">
      <c r="A24" s="2262" t="s">
        <v>1460</v>
      </c>
      <c r="B24" s="2263" t="s">
        <v>991</v>
      </c>
      <c r="C24" s="2260">
        <f>6102.07/3*4</f>
        <v>8136.0933333333332</v>
      </c>
      <c r="D24" s="2260">
        <f>3628.35/3*4</f>
        <v>4837.8</v>
      </c>
      <c r="E24" s="2260">
        <f>'ОХР '!AI41/3*4</f>
        <v>17.333333333333332</v>
      </c>
      <c r="F24" s="2259" t="s">
        <v>1462</v>
      </c>
    </row>
    <row r="25" spans="1:6" ht="30" x14ac:dyDescent="0.25">
      <c r="A25" s="2265" t="s">
        <v>2080</v>
      </c>
      <c r="B25" s="2263" t="s">
        <v>991</v>
      </c>
      <c r="C25" s="2264">
        <f>C22+C23-C24</f>
        <v>81430316.673666671</v>
      </c>
      <c r="D25" s="2264">
        <f>D22+D23-D24</f>
        <v>54288265.408</v>
      </c>
      <c r="E25" s="2264">
        <f>E22+E23-E24</f>
        <v>82.484666666666669</v>
      </c>
      <c r="F25" s="2266"/>
    </row>
    <row r="26" spans="1:6" ht="30" x14ac:dyDescent="0.25">
      <c r="A26" s="2262" t="s">
        <v>2081</v>
      </c>
      <c r="B26" s="2263" t="s">
        <v>991</v>
      </c>
      <c r="C26" s="2264">
        <f>C25</f>
        <v>81430316.673666671</v>
      </c>
      <c r="D26" s="2264">
        <f>D25</f>
        <v>54288265.408</v>
      </c>
      <c r="E26" s="2264">
        <f>E25</f>
        <v>82.484666666666669</v>
      </c>
      <c r="F26" s="2266"/>
    </row>
    <row r="27" spans="1:6" x14ac:dyDescent="0.25">
      <c r="A27" s="2262" t="s">
        <v>1458</v>
      </c>
      <c r="B27" s="2263"/>
      <c r="C27" s="2264">
        <v>0</v>
      </c>
      <c r="D27" s="2264">
        <v>0</v>
      </c>
      <c r="E27" s="2264">
        <v>0</v>
      </c>
      <c r="F27" s="2266"/>
    </row>
    <row r="28" spans="1:6" ht="45" x14ac:dyDescent="0.25">
      <c r="A28" s="2262" t="s">
        <v>1460</v>
      </c>
      <c r="B28" s="2263" t="s">
        <v>991</v>
      </c>
      <c r="C28" s="2264">
        <f>Аморт!U33</f>
        <v>0</v>
      </c>
      <c r="D28" s="2264">
        <f>Аморт!U38</f>
        <v>0</v>
      </c>
      <c r="E28" s="2264">
        <f>'ОХР '!AO41</f>
        <v>17.333333333333332</v>
      </c>
      <c r="F28" s="2263" t="s">
        <v>377</v>
      </c>
    </row>
    <row r="29" spans="1:6" ht="30" x14ac:dyDescent="0.25">
      <c r="A29" s="2262" t="s">
        <v>2082</v>
      </c>
      <c r="B29" s="2263" t="s">
        <v>991</v>
      </c>
      <c r="C29" s="2264">
        <f>C26-C28</f>
        <v>81430316.673666671</v>
      </c>
      <c r="D29" s="2264">
        <f>D26-D28</f>
        <v>54288265.408</v>
      </c>
      <c r="E29" s="2264">
        <f>E26-E28</f>
        <v>65.151333333333341</v>
      </c>
      <c r="F29" s="2266"/>
    </row>
    <row r="30" spans="1:6" ht="45" x14ac:dyDescent="0.25">
      <c r="A30" s="2262" t="s">
        <v>1453</v>
      </c>
      <c r="B30" s="2263" t="s">
        <v>991</v>
      </c>
      <c r="C30" s="2264">
        <f>(C26+C29)/2</f>
        <v>81430316.673666671</v>
      </c>
      <c r="D30" s="2264">
        <f>(D26+D29)/2</f>
        <v>54288265.408</v>
      </c>
      <c r="E30" s="2264">
        <f>(E26+E29)/2</f>
        <v>73.818000000000012</v>
      </c>
      <c r="F30" s="2266"/>
    </row>
    <row r="31" spans="1:6" x14ac:dyDescent="0.25">
      <c r="A31" s="2262" t="s">
        <v>995</v>
      </c>
      <c r="B31" s="2263" t="s">
        <v>44</v>
      </c>
      <c r="C31" s="2267">
        <v>2.2000000000000002</v>
      </c>
      <c r="D31" s="2267">
        <v>2.2000000000000002</v>
      </c>
      <c r="E31" s="2267">
        <v>2.2000000000000002</v>
      </c>
      <c r="F31" s="2266"/>
    </row>
    <row r="32" spans="1:6" ht="45" x14ac:dyDescent="0.25">
      <c r="A32" s="2262" t="s">
        <v>1454</v>
      </c>
      <c r="B32" s="2263" t="s">
        <v>991</v>
      </c>
      <c r="C32" s="2264">
        <f>C30*C31/100</f>
        <v>1791466.9668206668</v>
      </c>
      <c r="D32" s="2264">
        <f>D30*D31/100</f>
        <v>1194341.8389760002</v>
      </c>
      <c r="E32" s="2264">
        <f>E30*E31/100</f>
        <v>1.6239960000000004</v>
      </c>
      <c r="F32" s="2266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59"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1508</v>
      </c>
    </row>
    <row r="2" spans="1:6" ht="18.75" x14ac:dyDescent="0.3">
      <c r="A2" s="4408" t="s">
        <v>1480</v>
      </c>
      <c r="B2" s="4408"/>
      <c r="C2" s="4408"/>
      <c r="D2" s="4408"/>
      <c r="E2" s="4408"/>
      <c r="F2" s="4408"/>
    </row>
    <row r="3" spans="1:6" ht="18.75" x14ac:dyDescent="0.3">
      <c r="A3" s="1572"/>
      <c r="B3" s="1572"/>
      <c r="C3" s="1572"/>
      <c r="D3" s="1572"/>
      <c r="E3" s="1572"/>
    </row>
    <row r="4" spans="1:6" ht="27.75" customHeight="1" x14ac:dyDescent="0.2">
      <c r="A4" s="5484"/>
      <c r="B4" s="5486" t="s">
        <v>1481</v>
      </c>
      <c r="C4" s="5487"/>
      <c r="D4" s="5488"/>
      <c r="E4" s="5489" t="s">
        <v>1483</v>
      </c>
      <c r="F4" s="5471" t="s">
        <v>1485</v>
      </c>
    </row>
    <row r="5" spans="1:6" ht="33.75" customHeight="1" x14ac:dyDescent="0.2">
      <c r="A5" s="5485"/>
      <c r="B5" s="1647" t="s">
        <v>975</v>
      </c>
      <c r="C5" s="1647" t="s">
        <v>976</v>
      </c>
      <c r="D5" s="1647" t="s">
        <v>54</v>
      </c>
      <c r="E5" s="5489"/>
      <c r="F5" s="5472"/>
    </row>
    <row r="6" spans="1:6" ht="18.75" x14ac:dyDescent="0.3">
      <c r="A6" s="5473" t="s">
        <v>967</v>
      </c>
      <c r="B6" s="5474"/>
      <c r="C6" s="5474"/>
      <c r="D6" s="5474"/>
      <c r="E6" s="5474"/>
      <c r="F6" s="5475"/>
    </row>
    <row r="7" spans="1:6" x14ac:dyDescent="0.2">
      <c r="A7" s="1648" t="s">
        <v>972</v>
      </c>
      <c r="B7" s="1649">
        <v>19.14</v>
      </c>
      <c r="C7" s="1649">
        <v>22.66</v>
      </c>
      <c r="D7" s="1649"/>
      <c r="E7" s="1648"/>
      <c r="F7" s="5479">
        <f>$E$38*D10/$D$38</f>
        <v>395.92549126618718</v>
      </c>
    </row>
    <row r="8" spans="1:6" x14ac:dyDescent="0.2">
      <c r="A8" s="1648" t="s">
        <v>973</v>
      </c>
      <c r="B8" s="1649">
        <f>2780.7/2</f>
        <v>1390.35</v>
      </c>
      <c r="C8" s="1649">
        <f>B8</f>
        <v>1390.35</v>
      </c>
      <c r="D8" s="1649">
        <f>C8+B8</f>
        <v>2780.7</v>
      </c>
      <c r="E8" s="1648"/>
      <c r="F8" s="5480"/>
    </row>
    <row r="9" spans="1:6" x14ac:dyDescent="0.2">
      <c r="A9" s="1648" t="s">
        <v>974</v>
      </c>
      <c r="B9" s="1649">
        <f>B7*B8</f>
        <v>26611.298999999999</v>
      </c>
      <c r="C9" s="1649">
        <f>C7*C8</f>
        <v>31505.330999999998</v>
      </c>
      <c r="D9" s="1649">
        <f>C9+B9</f>
        <v>58116.63</v>
      </c>
      <c r="E9" s="1648"/>
      <c r="F9" s="5480"/>
    </row>
    <row r="10" spans="1:6" x14ac:dyDescent="0.2">
      <c r="A10" s="1648" t="s">
        <v>971</v>
      </c>
      <c r="B10" s="1649">
        <f>B9*0.02</f>
        <v>532.22597999999994</v>
      </c>
      <c r="C10" s="1649">
        <f>C9*0.02</f>
        <v>630.10662000000002</v>
      </c>
      <c r="D10" s="1649">
        <f>C10+B10</f>
        <v>1162.3326</v>
      </c>
      <c r="E10" s="1648"/>
      <c r="F10" s="5481"/>
    </row>
    <row r="11" spans="1:6" ht="18.75" x14ac:dyDescent="0.3">
      <c r="A11" s="5473" t="s">
        <v>968</v>
      </c>
      <c r="B11" s="5474"/>
      <c r="C11" s="5474"/>
      <c r="D11" s="5474"/>
      <c r="E11" s="5474"/>
      <c r="F11" s="5475"/>
    </row>
    <row r="12" spans="1:6" x14ac:dyDescent="0.2">
      <c r="A12" s="1648" t="s">
        <v>330</v>
      </c>
      <c r="B12" s="1649">
        <v>15.5</v>
      </c>
      <c r="C12" s="1649">
        <v>18.350000000000001</v>
      </c>
      <c r="D12" s="1649"/>
      <c r="E12" s="1648"/>
      <c r="F12" s="5479">
        <f>$E$39*D15/$D$39</f>
        <v>286.40476017160813</v>
      </c>
    </row>
    <row r="13" spans="1:6" x14ac:dyDescent="0.2">
      <c r="A13" s="1648" t="s">
        <v>965</v>
      </c>
      <c r="B13" s="1649">
        <f>2448.7/2</f>
        <v>1224.3499999999999</v>
      </c>
      <c r="C13" s="1649">
        <f>B13</f>
        <v>1224.3499999999999</v>
      </c>
      <c r="D13" s="1649">
        <f>C13+B13</f>
        <v>2448.6999999999998</v>
      </c>
      <c r="E13" s="1648"/>
      <c r="F13" s="5480"/>
    </row>
    <row r="14" spans="1:6" x14ac:dyDescent="0.2">
      <c r="A14" s="1648" t="s">
        <v>966</v>
      </c>
      <c r="B14" s="1649">
        <f>B12*B13</f>
        <v>18977.424999999999</v>
      </c>
      <c r="C14" s="1649">
        <f>C12*C13</f>
        <v>22466.822499999998</v>
      </c>
      <c r="D14" s="1649">
        <f>C14+B14</f>
        <v>41444.247499999998</v>
      </c>
      <c r="E14" s="1648"/>
      <c r="F14" s="5480"/>
    </row>
    <row r="15" spans="1:6" x14ac:dyDescent="0.2">
      <c r="A15" s="1648" t="s">
        <v>971</v>
      </c>
      <c r="B15" s="1649">
        <f>B14*0.02</f>
        <v>379.54849999999999</v>
      </c>
      <c r="C15" s="1649">
        <f>C14*0.02</f>
        <v>449.33644999999996</v>
      </c>
      <c r="D15" s="1649">
        <f>C15+B15</f>
        <v>828.88494999999989</v>
      </c>
      <c r="E15" s="1648"/>
      <c r="F15" s="5481"/>
    </row>
    <row r="16" spans="1:6" ht="18.75" x14ac:dyDescent="0.3">
      <c r="A16" s="5476" t="s">
        <v>969</v>
      </c>
      <c r="B16" s="5477"/>
      <c r="C16" s="5477"/>
      <c r="D16" s="5477"/>
      <c r="E16" s="5477"/>
      <c r="F16" s="5478"/>
    </row>
    <row r="17" spans="1:7" x14ac:dyDescent="0.2">
      <c r="A17" s="1657" t="s">
        <v>977</v>
      </c>
      <c r="B17" s="1658">
        <v>22.66</v>
      </c>
      <c r="C17" s="1658">
        <v>25.95</v>
      </c>
      <c r="D17" s="1658"/>
      <c r="E17" s="1657"/>
      <c r="F17" s="5490">
        <f>$E$38*D20/$D$38</f>
        <v>404.91337869180882</v>
      </c>
    </row>
    <row r="18" spans="1:7" x14ac:dyDescent="0.2">
      <c r="A18" s="1657" t="s">
        <v>978</v>
      </c>
      <c r="B18" s="1658">
        <f>объемы!M50/2</f>
        <v>1222.71</v>
      </c>
      <c r="C18" s="1658">
        <f>B18</f>
        <v>1222.71</v>
      </c>
      <c r="D18" s="1658">
        <f>C18+B18</f>
        <v>2445.42</v>
      </c>
      <c r="E18" s="1657"/>
      <c r="F18" s="5491"/>
    </row>
    <row r="19" spans="1:7" x14ac:dyDescent="0.2">
      <c r="A19" s="1657" t="s">
        <v>979</v>
      </c>
      <c r="B19" s="1658">
        <f>B17*B18</f>
        <v>27706.6086</v>
      </c>
      <c r="C19" s="1658">
        <f>C17*C18</f>
        <v>31729.324499999999</v>
      </c>
      <c r="D19" s="1658">
        <f>C19+B19</f>
        <v>59435.933099999995</v>
      </c>
      <c r="E19" s="1657"/>
      <c r="F19" s="5491"/>
    </row>
    <row r="20" spans="1:7" x14ac:dyDescent="0.2">
      <c r="A20" s="1657" t="s">
        <v>971</v>
      </c>
      <c r="B20" s="1658">
        <f>B19*0.02</f>
        <v>554.13217199999997</v>
      </c>
      <c r="C20" s="1658">
        <f>C19*0.02</f>
        <v>634.58649000000003</v>
      </c>
      <c r="D20" s="1658">
        <f>C20+B20</f>
        <v>1188.718662</v>
      </c>
      <c r="E20" s="1657"/>
      <c r="F20" s="5492"/>
    </row>
    <row r="21" spans="1:7" ht="18.75" x14ac:dyDescent="0.3">
      <c r="A21" s="5476" t="s">
        <v>970</v>
      </c>
      <c r="B21" s="5477"/>
      <c r="C21" s="5477"/>
      <c r="D21" s="5477"/>
      <c r="E21" s="5477"/>
      <c r="F21" s="5478"/>
    </row>
    <row r="22" spans="1:7" x14ac:dyDescent="0.2">
      <c r="A22" s="1657" t="s">
        <v>977</v>
      </c>
      <c r="B22" s="1658">
        <v>18.350000000000001</v>
      </c>
      <c r="C22" s="1658">
        <v>21.01</v>
      </c>
      <c r="D22" s="1658"/>
      <c r="E22" s="1657"/>
      <c r="F22" s="5490">
        <f>$E$39*D25/$D$39</f>
        <v>353.60175784252925</v>
      </c>
    </row>
    <row r="23" spans="1:7" x14ac:dyDescent="0.2">
      <c r="A23" s="1657" t="s">
        <v>978</v>
      </c>
      <c r="B23" s="1658">
        <f>объемы!M64/2</f>
        <v>1300</v>
      </c>
      <c r="C23" s="1658">
        <f>B23</f>
        <v>1300</v>
      </c>
      <c r="D23" s="1658">
        <f>C23+B23</f>
        <v>2600</v>
      </c>
      <c r="E23" s="1657"/>
      <c r="F23" s="5491"/>
    </row>
    <row r="24" spans="1:7" x14ac:dyDescent="0.2">
      <c r="A24" s="1657" t="s">
        <v>979</v>
      </c>
      <c r="B24" s="1658">
        <f>B22*B23</f>
        <v>23855.000000000004</v>
      </c>
      <c r="C24" s="1658">
        <f>C22*C23</f>
        <v>27313.000000000004</v>
      </c>
      <c r="D24" s="1658">
        <f>C24+B24</f>
        <v>51168.000000000007</v>
      </c>
      <c r="E24" s="1657"/>
      <c r="F24" s="5491"/>
      <c r="G24" s="1674"/>
    </row>
    <row r="25" spans="1:7" x14ac:dyDescent="0.2">
      <c r="A25" s="1657" t="s">
        <v>971</v>
      </c>
      <c r="B25" s="1658">
        <f>B24*0.02</f>
        <v>477.10000000000008</v>
      </c>
      <c r="C25" s="1658">
        <f>C24*0.02</f>
        <v>546.2600000000001</v>
      </c>
      <c r="D25" s="1658">
        <f>C25+B25</f>
        <v>1023.3600000000001</v>
      </c>
      <c r="E25" s="1657"/>
      <c r="F25" s="5492"/>
    </row>
    <row r="26" spans="1:7" ht="18.75" x14ac:dyDescent="0.3">
      <c r="A26" s="5473" t="s">
        <v>980</v>
      </c>
      <c r="B26" s="5474"/>
      <c r="C26" s="5474"/>
      <c r="D26" s="5474"/>
      <c r="E26" s="5474"/>
      <c r="F26" s="5475"/>
    </row>
    <row r="27" spans="1:7" x14ac:dyDescent="0.2">
      <c r="A27" s="1648" t="s">
        <v>982</v>
      </c>
      <c r="B27" s="1649">
        <f>C17</f>
        <v>25.95</v>
      </c>
      <c r="C27" s="1649">
        <v>28.6</v>
      </c>
      <c r="D27" s="1649"/>
      <c r="E27" s="1648"/>
      <c r="F27" s="5479">
        <f>$E$38*D30/$D$38</f>
        <v>451.25979124939289</v>
      </c>
    </row>
    <row r="28" spans="1:7" x14ac:dyDescent="0.2">
      <c r="A28" s="1648" t="s">
        <v>978</v>
      </c>
      <c r="B28" s="1649">
        <f>объемы!AA50/2</f>
        <v>1214.28</v>
      </c>
      <c r="C28" s="1649">
        <f>B28</f>
        <v>1214.28</v>
      </c>
      <c r="D28" s="1649">
        <f>C28+B28</f>
        <v>2428.56</v>
      </c>
      <c r="E28" s="1648"/>
      <c r="F28" s="5480"/>
    </row>
    <row r="29" spans="1:7" x14ac:dyDescent="0.2">
      <c r="A29" s="1648" t="s">
        <v>979</v>
      </c>
      <c r="B29" s="1649">
        <f>B27*B28</f>
        <v>31510.565999999999</v>
      </c>
      <c r="C29" s="1649">
        <f>C27*C28</f>
        <v>34728.408000000003</v>
      </c>
      <c r="D29" s="1649">
        <f>C29+B29</f>
        <v>66238.974000000002</v>
      </c>
      <c r="E29" s="1648"/>
      <c r="F29" s="5480"/>
    </row>
    <row r="30" spans="1:7" x14ac:dyDescent="0.2">
      <c r="A30" s="1648" t="s">
        <v>971</v>
      </c>
      <c r="B30" s="1649">
        <f>B29*0.02</f>
        <v>630.21132</v>
      </c>
      <c r="C30" s="1649">
        <f>C29*0.02</f>
        <v>694.56816000000003</v>
      </c>
      <c r="D30" s="1649">
        <f>C30+B30</f>
        <v>1324.7794800000001</v>
      </c>
      <c r="E30" s="1648"/>
      <c r="F30" s="5481"/>
    </row>
    <row r="31" spans="1:7" ht="18.75" x14ac:dyDescent="0.3">
      <c r="A31" s="5473" t="s">
        <v>981</v>
      </c>
      <c r="B31" s="5474"/>
      <c r="C31" s="5474"/>
      <c r="D31" s="5474"/>
      <c r="E31" s="5474"/>
      <c r="F31" s="5475"/>
    </row>
    <row r="32" spans="1:7" x14ac:dyDescent="0.2">
      <c r="A32" s="1648" t="s">
        <v>982</v>
      </c>
      <c r="B32" s="1649">
        <f>C22</f>
        <v>21.01</v>
      </c>
      <c r="C32" s="1649">
        <v>23.2</v>
      </c>
      <c r="D32" s="1649"/>
      <c r="E32" s="1648"/>
      <c r="F32" s="5479">
        <f>$E$39*D35/$D$39</f>
        <v>373.95376145643951</v>
      </c>
    </row>
    <row r="33" spans="1:7" x14ac:dyDescent="0.2">
      <c r="A33" s="1648" t="s">
        <v>978</v>
      </c>
      <c r="B33" s="1649">
        <f>объемы!AA64/2</f>
        <v>1224</v>
      </c>
      <c r="C33" s="1649">
        <f>B33</f>
        <v>1224</v>
      </c>
      <c r="D33" s="1649">
        <f>C33+B33</f>
        <v>2448</v>
      </c>
      <c r="E33" s="1648"/>
      <c r="F33" s="5480"/>
    </row>
    <row r="34" spans="1:7" x14ac:dyDescent="0.2">
      <c r="A34" s="1648" t="s">
        <v>979</v>
      </c>
      <c r="B34" s="1649">
        <f>B32*B33</f>
        <v>25716.240000000002</v>
      </c>
      <c r="C34" s="1649">
        <f>C32*C33</f>
        <v>28396.799999999999</v>
      </c>
      <c r="D34" s="1649">
        <f>C34+B34</f>
        <v>54113.04</v>
      </c>
      <c r="E34" s="1648"/>
      <c r="F34" s="5480"/>
      <c r="G34" s="1674">
        <f>F32</f>
        <v>373.95376145643951</v>
      </c>
    </row>
    <row r="35" spans="1:7" x14ac:dyDescent="0.2">
      <c r="A35" s="1648" t="s">
        <v>971</v>
      </c>
      <c r="B35" s="1649">
        <f>B34*0.02</f>
        <v>514.3248000000001</v>
      </c>
      <c r="C35" s="1649">
        <f>C34*0.02</f>
        <v>567.93600000000004</v>
      </c>
      <c r="D35" s="1649">
        <f>C35+B35</f>
        <v>1082.2608</v>
      </c>
      <c r="E35" s="1648"/>
      <c r="F35" s="5481"/>
    </row>
    <row r="36" spans="1:7" ht="18.75" customHeight="1" x14ac:dyDescent="0.2">
      <c r="A36" s="1650" t="s">
        <v>616</v>
      </c>
      <c r="B36" s="1651"/>
      <c r="C36" s="1651"/>
      <c r="D36" s="1652">
        <f>D10+D15+D20+D25+D30+D35</f>
        <v>6610.3364919999995</v>
      </c>
      <c r="E36" s="1652">
        <f>(1993.71255+680.237)/1.18</f>
        <v>2266.0589406779659</v>
      </c>
      <c r="F36" s="1652">
        <f>F7+F12+F17+F22+F27+F32</f>
        <v>2266.0589406779659</v>
      </c>
    </row>
    <row r="37" spans="1:7" x14ac:dyDescent="0.2">
      <c r="A37" s="1653" t="s">
        <v>230</v>
      </c>
      <c r="B37" s="1648"/>
      <c r="C37" s="1648"/>
      <c r="D37" s="1654"/>
      <c r="E37" s="1654"/>
      <c r="F37" s="1648"/>
    </row>
    <row r="38" spans="1:7" ht="19.5" customHeight="1" x14ac:dyDescent="0.2">
      <c r="A38" s="1653" t="s">
        <v>46</v>
      </c>
      <c r="B38" s="1648"/>
      <c r="C38" s="1648"/>
      <c r="D38" s="1655">
        <f>D10+D20+D30</f>
        <v>3675.8307420000001</v>
      </c>
      <c r="E38" s="1655">
        <f>E36*D43/(D43+D44)</f>
        <v>1252.0986612073889</v>
      </c>
      <c r="F38" s="5482" t="s">
        <v>1484</v>
      </c>
    </row>
    <row r="39" spans="1:7" ht="19.5" customHeight="1" x14ac:dyDescent="0.2">
      <c r="A39" s="1653" t="s">
        <v>47</v>
      </c>
      <c r="B39" s="1648"/>
      <c r="C39" s="1648"/>
      <c r="D39" s="1655">
        <f>D15+D25+D35</f>
        <v>2934.5057500000003</v>
      </c>
      <c r="E39" s="1655">
        <f>E36-E38</f>
        <v>1013.960279470577</v>
      </c>
      <c r="F39" s="5483"/>
    </row>
    <row r="42" spans="1:7" x14ac:dyDescent="0.2">
      <c r="C42" s="5" t="s">
        <v>1482</v>
      </c>
    </row>
    <row r="43" spans="1:7" x14ac:dyDescent="0.2">
      <c r="C43" s="5" t="s">
        <v>288</v>
      </c>
      <c r="D43" s="1656">
        <f>(19.14+22.66)/2</f>
        <v>20.9</v>
      </c>
    </row>
    <row r="44" spans="1:7" x14ac:dyDescent="0.2">
      <c r="C44" s="5" t="s">
        <v>316</v>
      </c>
      <c r="D44" s="5">
        <f>(15.5+18.35)/2</f>
        <v>16.925000000000001</v>
      </c>
    </row>
  </sheetData>
  <mergeCells count="18"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  <mergeCell ref="A2:F2"/>
    <mergeCell ref="F4:F5"/>
    <mergeCell ref="A6:F6"/>
    <mergeCell ref="A11:F11"/>
    <mergeCell ref="A16:F16"/>
    <mergeCell ref="F7:F10"/>
    <mergeCell ref="F12:F15"/>
  </mergeCells>
  <pageMargins left="0.7" right="0.7" top="0.75" bottom="0.75" header="0.3" footer="0.3"/>
  <pageSetup paperSize="9" scale="76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0"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1509</v>
      </c>
    </row>
    <row r="2" spans="1:9" ht="18" x14ac:dyDescent="0.25">
      <c r="A2" s="5506" t="s">
        <v>507</v>
      </c>
      <c r="B2" s="5506"/>
      <c r="C2" s="5506"/>
      <c r="D2" s="5506"/>
      <c r="E2" s="5506"/>
      <c r="F2" s="5507"/>
      <c r="G2" s="5507"/>
      <c r="H2" s="5507"/>
      <c r="I2" s="5507"/>
    </row>
    <row r="3" spans="1:9" ht="13.5" thickBot="1" x14ac:dyDescent="0.25">
      <c r="A3" s="836"/>
      <c r="B3" s="836"/>
      <c r="C3" s="836"/>
      <c r="D3" s="836"/>
      <c r="E3" s="836"/>
      <c r="F3" s="782"/>
      <c r="G3" s="782"/>
      <c r="H3" s="782"/>
      <c r="I3" s="782"/>
    </row>
    <row r="4" spans="1:9" ht="13.5" thickBot="1" x14ac:dyDescent="0.25">
      <c r="A4" s="5501" t="s">
        <v>386</v>
      </c>
      <c r="B4" s="5508"/>
      <c r="C4" s="5508"/>
      <c r="D4" s="5508"/>
      <c r="E4" s="5508"/>
      <c r="F4" s="5508"/>
      <c r="G4" s="5508"/>
      <c r="H4" s="5508"/>
      <c r="I4" s="5509"/>
    </row>
    <row r="5" spans="1:9" ht="51" x14ac:dyDescent="0.2">
      <c r="A5" s="837" t="s">
        <v>386</v>
      </c>
      <c r="B5" s="840" t="s">
        <v>508</v>
      </c>
      <c r="C5" s="781" t="s">
        <v>509</v>
      </c>
      <c r="D5" s="5497" t="s">
        <v>237</v>
      </c>
      <c r="E5" s="5498"/>
      <c r="F5" s="840" t="s">
        <v>853</v>
      </c>
      <c r="G5" s="781" t="s">
        <v>841</v>
      </c>
      <c r="H5" s="5497" t="s">
        <v>237</v>
      </c>
      <c r="I5" s="5498"/>
    </row>
    <row r="6" spans="1:9" x14ac:dyDescent="0.2">
      <c r="A6" s="838" t="s">
        <v>274</v>
      </c>
      <c r="B6" s="841">
        <v>2243</v>
      </c>
      <c r="C6" s="819"/>
      <c r="D6" s="5493"/>
      <c r="E6" s="5494"/>
      <c r="F6" s="859">
        <v>0</v>
      </c>
      <c r="G6" s="819"/>
      <c r="H6" s="5493"/>
      <c r="I6" s="5494"/>
    </row>
    <row r="7" spans="1:9" x14ac:dyDescent="0.2">
      <c r="A7" s="838" t="s">
        <v>275</v>
      </c>
      <c r="B7" s="841">
        <v>3073.1</v>
      </c>
      <c r="C7" s="834">
        <v>1287.3</v>
      </c>
      <c r="D7" s="5499" t="s">
        <v>241</v>
      </c>
      <c r="E7" s="5500"/>
      <c r="F7" s="859">
        <v>0</v>
      </c>
      <c r="G7" s="834">
        <f>B7-C7</f>
        <v>1785.8</v>
      </c>
      <c r="H7" s="5499" t="s">
        <v>241</v>
      </c>
      <c r="I7" s="5500"/>
    </row>
    <row r="8" spans="1:9" x14ac:dyDescent="0.2">
      <c r="A8" s="838" t="s">
        <v>276</v>
      </c>
      <c r="B8" s="841">
        <v>212.2</v>
      </c>
      <c r="C8" s="819"/>
      <c r="D8" s="5493"/>
      <c r="E8" s="5494"/>
      <c r="F8" s="859">
        <v>0</v>
      </c>
      <c r="G8" s="819"/>
      <c r="H8" s="5493"/>
      <c r="I8" s="5494"/>
    </row>
    <row r="9" spans="1:9" x14ac:dyDescent="0.2">
      <c r="A9" s="838" t="s">
        <v>277</v>
      </c>
      <c r="B9" s="841">
        <v>475.4</v>
      </c>
      <c r="C9" s="819"/>
      <c r="D9" s="5493"/>
      <c r="E9" s="5494"/>
      <c r="F9" s="859">
        <v>0</v>
      </c>
      <c r="G9" s="819"/>
      <c r="H9" s="5493"/>
      <c r="I9" s="5494"/>
    </row>
    <row r="10" spans="1:9" ht="52.5" customHeight="1" x14ac:dyDescent="0.2">
      <c r="A10" s="838" t="s">
        <v>278</v>
      </c>
      <c r="B10" s="841">
        <v>2249.5</v>
      </c>
      <c r="C10" s="819"/>
      <c r="D10" s="5493"/>
      <c r="E10" s="5494"/>
      <c r="F10" s="859">
        <v>2840.9</v>
      </c>
      <c r="G10" s="819"/>
      <c r="H10" s="5504" t="s">
        <v>983</v>
      </c>
      <c r="I10" s="5505"/>
    </row>
    <row r="11" spans="1:9" x14ac:dyDescent="0.2">
      <c r="A11" s="838" t="s">
        <v>279</v>
      </c>
      <c r="B11" s="841">
        <v>3333.9</v>
      </c>
      <c r="C11" s="819"/>
      <c r="D11" s="5493"/>
      <c r="E11" s="5494"/>
      <c r="F11" s="859">
        <v>0</v>
      </c>
      <c r="G11" s="819"/>
      <c r="H11" s="5493"/>
      <c r="I11" s="5494"/>
    </row>
    <row r="12" spans="1:9" x14ac:dyDescent="0.2">
      <c r="A12" s="838" t="s">
        <v>280</v>
      </c>
      <c r="B12" s="841">
        <v>2188.5</v>
      </c>
      <c r="C12" s="819"/>
      <c r="D12" s="5493"/>
      <c r="E12" s="5494"/>
      <c r="F12" s="859">
        <v>0</v>
      </c>
      <c r="G12" s="819"/>
      <c r="H12" s="5493"/>
      <c r="I12" s="5494"/>
    </row>
    <row r="13" spans="1:9" x14ac:dyDescent="0.2">
      <c r="A13" s="838" t="s">
        <v>281</v>
      </c>
      <c r="B13" s="841">
        <v>557.1</v>
      </c>
      <c r="C13" s="819"/>
      <c r="D13" s="5493"/>
      <c r="E13" s="5494"/>
      <c r="F13" s="859">
        <v>0</v>
      </c>
      <c r="G13" s="834"/>
      <c r="H13" s="5493"/>
      <c r="I13" s="5494"/>
    </row>
    <row r="14" spans="1:9" ht="13.5" thickBot="1" x14ac:dyDescent="0.25">
      <c r="A14" s="839" t="s">
        <v>282</v>
      </c>
      <c r="B14" s="842">
        <f>SUM(B6:B13)</f>
        <v>14332.7</v>
      </c>
      <c r="C14" s="835">
        <f>SUM(C6:C13)</f>
        <v>1287.3</v>
      </c>
      <c r="D14" s="5495"/>
      <c r="E14" s="5496"/>
      <c r="F14" s="842">
        <f>SUM(F6:F13)</f>
        <v>2840.9</v>
      </c>
      <c r="G14" s="835">
        <f>SUM(G6:G13)</f>
        <v>1785.8</v>
      </c>
      <c r="H14" s="5495"/>
      <c r="I14" s="5496"/>
    </row>
    <row r="15" spans="1:9" ht="13.5" thickBot="1" x14ac:dyDescent="0.25">
      <c r="A15" s="5501" t="s">
        <v>390</v>
      </c>
      <c r="B15" s="5502"/>
      <c r="C15" s="5502"/>
      <c r="D15" s="5502"/>
      <c r="E15" s="5502"/>
      <c r="F15" s="5502"/>
      <c r="G15" s="5502"/>
      <c r="H15" s="5502"/>
      <c r="I15" s="5503"/>
    </row>
    <row r="16" spans="1:9" ht="51" x14ac:dyDescent="0.2">
      <c r="A16" s="837" t="s">
        <v>390</v>
      </c>
      <c r="B16" s="840" t="s">
        <v>508</v>
      </c>
      <c r="C16" s="781" t="s">
        <v>509</v>
      </c>
      <c r="D16" s="5497" t="s">
        <v>237</v>
      </c>
      <c r="E16" s="5498"/>
      <c r="F16" s="840" t="s">
        <v>508</v>
      </c>
      <c r="G16" s="858" t="s">
        <v>841</v>
      </c>
      <c r="H16" s="5497" t="s">
        <v>237</v>
      </c>
      <c r="I16" s="5498"/>
    </row>
    <row r="17" spans="1:9" x14ac:dyDescent="0.2">
      <c r="A17" s="838" t="s">
        <v>274</v>
      </c>
      <c r="B17" s="841">
        <v>0</v>
      </c>
      <c r="C17" s="819"/>
      <c r="D17" s="5493"/>
      <c r="E17" s="5494"/>
      <c r="F17" s="859">
        <v>0</v>
      </c>
      <c r="G17" s="819"/>
      <c r="H17" s="5493"/>
      <c r="I17" s="5494"/>
    </row>
    <row r="18" spans="1:9" x14ac:dyDescent="0.2">
      <c r="A18" s="838" t="s">
        <v>275</v>
      </c>
      <c r="B18" s="841">
        <v>1355.2</v>
      </c>
      <c r="C18" s="834">
        <f>B18</f>
        <v>1355.2</v>
      </c>
      <c r="D18" s="5499" t="s">
        <v>241</v>
      </c>
      <c r="E18" s="5500"/>
      <c r="F18" s="859">
        <v>0</v>
      </c>
      <c r="G18" s="819"/>
      <c r="H18" s="5499" t="s">
        <v>241</v>
      </c>
      <c r="I18" s="5500"/>
    </row>
    <row r="19" spans="1:9" x14ac:dyDescent="0.2">
      <c r="A19" s="838" t="s">
        <v>276</v>
      </c>
      <c r="B19" s="841">
        <v>93.8</v>
      </c>
      <c r="C19" s="819"/>
      <c r="D19" s="5493"/>
      <c r="E19" s="5494"/>
      <c r="F19" s="859">
        <v>0</v>
      </c>
      <c r="G19" s="819"/>
      <c r="H19" s="5493"/>
      <c r="I19" s="5494"/>
    </row>
    <row r="20" spans="1:9" x14ac:dyDescent="0.2">
      <c r="A20" s="838" t="s">
        <v>277</v>
      </c>
      <c r="B20" s="841">
        <v>0</v>
      </c>
      <c r="C20" s="819"/>
      <c r="D20" s="5493"/>
      <c r="E20" s="5494"/>
      <c r="F20" s="859">
        <v>0</v>
      </c>
      <c r="G20" s="819"/>
      <c r="H20" s="5493"/>
      <c r="I20" s="5494"/>
    </row>
    <row r="21" spans="1:9" x14ac:dyDescent="0.2">
      <c r="A21" s="838" t="s">
        <v>278</v>
      </c>
      <c r="B21" s="841">
        <v>0</v>
      </c>
      <c r="C21" s="819"/>
      <c r="D21" s="5493"/>
      <c r="E21" s="5494"/>
      <c r="F21" s="859">
        <v>0</v>
      </c>
      <c r="G21" s="819"/>
      <c r="H21" s="5493"/>
      <c r="I21" s="5494"/>
    </row>
    <row r="22" spans="1:9" x14ac:dyDescent="0.2">
      <c r="A22" s="838" t="s">
        <v>279</v>
      </c>
      <c r="B22" s="841">
        <v>1153.4000000000001</v>
      </c>
      <c r="C22" s="819"/>
      <c r="D22" s="5493"/>
      <c r="E22" s="5494"/>
      <c r="F22" s="859">
        <v>0</v>
      </c>
      <c r="G22" s="819"/>
      <c r="H22" s="5493"/>
      <c r="I22" s="5494"/>
    </row>
    <row r="23" spans="1:9" x14ac:dyDescent="0.2">
      <c r="A23" s="838" t="s">
        <v>280</v>
      </c>
      <c r="B23" s="841">
        <v>0</v>
      </c>
      <c r="C23" s="819"/>
      <c r="D23" s="5493"/>
      <c r="E23" s="5494"/>
      <c r="F23" s="859">
        <f>SUM('ОХР '!AD57-'ОХР '!Z57)</f>
        <v>1048.3951981855334</v>
      </c>
      <c r="G23" s="819"/>
      <c r="H23" s="5493"/>
      <c r="I23" s="5494"/>
    </row>
    <row r="24" spans="1:9" x14ac:dyDescent="0.2">
      <c r="A24" s="838" t="s">
        <v>281</v>
      </c>
      <c r="B24" s="841">
        <v>121.2</v>
      </c>
      <c r="C24" s="819">
        <f>95.1</f>
        <v>95.1</v>
      </c>
      <c r="D24" s="5493"/>
      <c r="E24" s="5494"/>
      <c r="F24" s="841">
        <v>0</v>
      </c>
      <c r="G24" s="834">
        <f>B24-C24</f>
        <v>26.100000000000009</v>
      </c>
      <c r="H24" s="5493"/>
      <c r="I24" s="5494"/>
    </row>
    <row r="25" spans="1:9" ht="13.5" thickBot="1" x14ac:dyDescent="0.25">
      <c r="A25" s="839" t="s">
        <v>282</v>
      </c>
      <c r="B25" s="842">
        <f>SUM(B17:B24)</f>
        <v>2723.6</v>
      </c>
      <c r="C25" s="835">
        <f>SUM(C17:C24)</f>
        <v>1450.3</v>
      </c>
      <c r="D25" s="5495"/>
      <c r="E25" s="5496"/>
      <c r="F25" s="842">
        <f>SUM(F17:F24)</f>
        <v>1048.3951981855334</v>
      </c>
      <c r="G25" s="835">
        <f>SUM(G17:G24)</f>
        <v>26.100000000000009</v>
      </c>
      <c r="H25" s="5495"/>
      <c r="I25" s="5496"/>
    </row>
  </sheetData>
  <mergeCells count="43">
    <mergeCell ref="D10:E10"/>
    <mergeCell ref="D11:E11"/>
    <mergeCell ref="D12:E12"/>
    <mergeCell ref="A2:I2"/>
    <mergeCell ref="D5:E5"/>
    <mergeCell ref="D7:E7"/>
    <mergeCell ref="D8:E8"/>
    <mergeCell ref="A4:I4"/>
    <mergeCell ref="H5:I5"/>
    <mergeCell ref="D25:E25"/>
    <mergeCell ref="D16:E16"/>
    <mergeCell ref="D17:E17"/>
    <mergeCell ref="D18:E18"/>
    <mergeCell ref="D19:E19"/>
    <mergeCell ref="D23:E23"/>
    <mergeCell ref="D20:E20"/>
    <mergeCell ref="D22:E22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</mergeCells>
  <phoneticPr fontId="9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1"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5387" t="s">
        <v>792</v>
      </c>
      <c r="B1" s="5388"/>
      <c r="C1" s="5388"/>
      <c r="D1" s="5388"/>
      <c r="E1" s="5388"/>
      <c r="F1" s="5388"/>
      <c r="G1" s="5388"/>
      <c r="H1" s="5388"/>
      <c r="I1" s="5388"/>
      <c r="J1" s="5388"/>
      <c r="K1" s="5393"/>
    </row>
    <row r="2" spans="1:11" ht="13.5" x14ac:dyDescent="0.25">
      <c r="A2" s="5389" t="s">
        <v>653</v>
      </c>
      <c r="B2" s="5262"/>
      <c r="C2" s="5262"/>
      <c r="D2" s="5262"/>
      <c r="E2" s="5262"/>
      <c r="F2" s="5262"/>
      <c r="G2" s="5262"/>
      <c r="H2" s="5262"/>
      <c r="I2" s="5262"/>
      <c r="J2" s="5262"/>
      <c r="K2" s="5263"/>
    </row>
    <row r="3" spans="1:11" ht="18.75" x14ac:dyDescent="0.3">
      <c r="A3" s="618"/>
      <c r="B3" s="279"/>
      <c r="C3" s="279"/>
      <c r="D3" s="279"/>
      <c r="E3" s="279"/>
      <c r="F3" s="279"/>
      <c r="G3" s="279"/>
      <c r="H3" s="279"/>
      <c r="I3" s="279"/>
      <c r="J3" s="279"/>
      <c r="K3" s="619"/>
    </row>
    <row r="4" spans="1:11" ht="18.75" x14ac:dyDescent="0.3">
      <c r="A4" s="5390" t="s">
        <v>793</v>
      </c>
      <c r="B4" s="5262"/>
      <c r="C4" s="5262"/>
      <c r="D4" s="5262"/>
      <c r="E4" s="5262"/>
      <c r="F4" s="5262"/>
      <c r="G4" s="5262"/>
      <c r="H4" s="5262"/>
      <c r="I4" s="5262"/>
      <c r="J4" s="5262"/>
      <c r="K4" s="5263"/>
    </row>
    <row r="5" spans="1:11" ht="18" x14ac:dyDescent="0.25">
      <c r="A5" s="620" t="s">
        <v>655</v>
      </c>
      <c r="B5" s="279"/>
      <c r="C5" s="279"/>
      <c r="D5" s="279"/>
      <c r="E5" s="279"/>
      <c r="F5" s="279"/>
      <c r="G5" s="279"/>
      <c r="H5" s="279"/>
      <c r="I5" s="279"/>
      <c r="J5" s="279"/>
      <c r="K5" s="619"/>
    </row>
    <row r="6" spans="1:11" ht="15" x14ac:dyDescent="0.2">
      <c r="A6" s="5378" t="s">
        <v>489</v>
      </c>
      <c r="B6" s="5262"/>
      <c r="C6" s="5262"/>
      <c r="D6" s="5262"/>
      <c r="E6" s="5262"/>
      <c r="F6" s="5262"/>
      <c r="G6" s="5262"/>
      <c r="H6" s="5262"/>
      <c r="I6" s="5262"/>
      <c r="J6" s="5262"/>
      <c r="K6" s="5263"/>
    </row>
    <row r="7" spans="1:11" ht="18.75" x14ac:dyDescent="0.3">
      <c r="A7" s="621"/>
      <c r="B7" s="279"/>
      <c r="C7" s="279"/>
      <c r="D7" s="279"/>
      <c r="E7" s="279"/>
      <c r="F7" s="279"/>
      <c r="G7" s="279"/>
      <c r="H7" s="279"/>
      <c r="I7" s="279"/>
      <c r="J7" s="279"/>
      <c r="K7" s="619"/>
    </row>
    <row r="8" spans="1:11" x14ac:dyDescent="0.2">
      <c r="A8" s="5375" t="s">
        <v>656</v>
      </c>
      <c r="B8" s="5262"/>
      <c r="C8" s="5262"/>
      <c r="D8" s="5262"/>
      <c r="E8" s="5262"/>
      <c r="F8" s="5262"/>
      <c r="G8" s="5262"/>
      <c r="H8" s="5262"/>
      <c r="I8" s="5262"/>
      <c r="J8" s="5262"/>
      <c r="K8" s="5263"/>
    </row>
    <row r="9" spans="1:11" ht="13.5" x14ac:dyDescent="0.2">
      <c r="A9" s="640"/>
      <c r="B9" s="634"/>
      <c r="C9" s="279"/>
      <c r="D9" s="279"/>
      <c r="E9" s="279"/>
      <c r="F9" s="279"/>
      <c r="G9" s="279"/>
      <c r="H9" s="279"/>
      <c r="I9" s="279"/>
      <c r="J9" s="279"/>
      <c r="K9" s="619"/>
    </row>
    <row r="10" spans="1:11" x14ac:dyDescent="0.2">
      <c r="A10" s="5375" t="s">
        <v>657</v>
      </c>
      <c r="B10" s="5262"/>
      <c r="C10" s="5262"/>
      <c r="D10" s="5377" t="s">
        <v>794</v>
      </c>
      <c r="E10" s="5262"/>
      <c r="F10" s="5262"/>
      <c r="G10" s="5262"/>
      <c r="H10" s="5262"/>
      <c r="I10" s="5262"/>
      <c r="J10" s="5262"/>
      <c r="K10" s="5263"/>
    </row>
    <row r="11" spans="1:11" ht="18.75" x14ac:dyDescent="0.3">
      <c r="A11" s="621"/>
      <c r="B11" s="279"/>
      <c r="C11" s="279"/>
      <c r="D11" s="279"/>
      <c r="E11" s="279"/>
      <c r="F11" s="279"/>
      <c r="G11" s="279"/>
      <c r="H11" s="279"/>
      <c r="I11" s="279"/>
      <c r="J11" s="279"/>
      <c r="K11" s="619"/>
    </row>
    <row r="12" spans="1:11" ht="12.75" customHeight="1" x14ac:dyDescent="0.2">
      <c r="A12" s="5384" t="s">
        <v>659</v>
      </c>
      <c r="B12" s="5262"/>
      <c r="C12" s="5262"/>
      <c r="D12" s="5262"/>
      <c r="E12" s="5262"/>
      <c r="F12" s="5262"/>
      <c r="G12" s="5385" t="s">
        <v>795</v>
      </c>
      <c r="H12" s="5386" t="s">
        <v>661</v>
      </c>
      <c r="I12" s="279"/>
      <c r="J12" s="279"/>
      <c r="K12" s="619"/>
    </row>
    <row r="13" spans="1:11" x14ac:dyDescent="0.2">
      <c r="A13" s="5384"/>
      <c r="B13" s="5262"/>
      <c r="C13" s="5262"/>
      <c r="D13" s="5262"/>
      <c r="E13" s="5262"/>
      <c r="F13" s="5262"/>
      <c r="G13" s="5385"/>
      <c r="H13" s="5386"/>
      <c r="I13" s="279"/>
      <c r="J13" s="279"/>
      <c r="K13" s="619"/>
    </row>
    <row r="14" spans="1:11" ht="15" customHeight="1" x14ac:dyDescent="0.2">
      <c r="A14" s="5375" t="s">
        <v>662</v>
      </c>
      <c r="B14" s="5262"/>
      <c r="C14" s="5262"/>
      <c r="D14" s="5262"/>
      <c r="E14" s="5262"/>
      <c r="F14" s="5262"/>
      <c r="G14" s="5376">
        <v>854</v>
      </c>
      <c r="H14" s="5377" t="s">
        <v>663</v>
      </c>
      <c r="I14" s="279"/>
      <c r="J14" s="279"/>
      <c r="K14" s="619"/>
    </row>
    <row r="15" spans="1:11" x14ac:dyDescent="0.2">
      <c r="A15" s="5375"/>
      <c r="B15" s="5262"/>
      <c r="C15" s="5262"/>
      <c r="D15" s="5262"/>
      <c r="E15" s="5262"/>
      <c r="F15" s="5262"/>
      <c r="G15" s="5376"/>
      <c r="H15" s="5377"/>
      <c r="I15" s="279"/>
      <c r="J15" s="279"/>
      <c r="K15" s="619"/>
    </row>
    <row r="16" spans="1:11" ht="13.5" customHeight="1" x14ac:dyDescent="0.2">
      <c r="A16" s="5375" t="s">
        <v>664</v>
      </c>
      <c r="B16" s="5262"/>
      <c r="C16" s="5262"/>
      <c r="D16" s="5262"/>
      <c r="E16" s="5262"/>
      <c r="F16" s="5262"/>
      <c r="G16" s="5376" t="s">
        <v>796</v>
      </c>
      <c r="H16" s="5377" t="s">
        <v>661</v>
      </c>
      <c r="I16" s="279"/>
      <c r="J16" s="279"/>
      <c r="K16" s="619"/>
    </row>
    <row r="17" spans="1:11" ht="3.75" customHeight="1" x14ac:dyDescent="0.2">
      <c r="A17" s="5375"/>
      <c r="B17" s="5262"/>
      <c r="C17" s="5262"/>
      <c r="D17" s="5262"/>
      <c r="E17" s="5262"/>
      <c r="F17" s="5262"/>
      <c r="G17" s="5376"/>
      <c r="H17" s="5377"/>
      <c r="I17" s="279"/>
      <c r="J17" s="279"/>
      <c r="K17" s="619"/>
    </row>
    <row r="18" spans="1:11" ht="19.5" thickBot="1" x14ac:dyDescent="0.35">
      <c r="A18" s="641" t="s">
        <v>241</v>
      </c>
      <c r="B18" s="279"/>
      <c r="C18" s="279"/>
      <c r="D18" s="279"/>
      <c r="E18" s="279"/>
      <c r="F18" s="279"/>
      <c r="G18" s="279"/>
      <c r="H18" s="279"/>
      <c r="I18" s="279"/>
      <c r="J18" s="279"/>
      <c r="K18" s="619"/>
    </row>
    <row r="19" spans="1:11" ht="13.5" thickBot="1" x14ac:dyDescent="0.25">
      <c r="A19" s="587" t="s">
        <v>166</v>
      </c>
      <c r="B19" s="587" t="s">
        <v>439</v>
      </c>
      <c r="C19" s="587" t="s">
        <v>358</v>
      </c>
      <c r="D19" s="337"/>
      <c r="E19" s="5365" t="s">
        <v>440</v>
      </c>
      <c r="F19" s="5366"/>
      <c r="G19" s="5365" t="s">
        <v>441</v>
      </c>
      <c r="H19" s="5367"/>
      <c r="I19" s="5366"/>
      <c r="J19" s="5368" t="s">
        <v>442</v>
      </c>
      <c r="K19" s="5369"/>
    </row>
    <row r="20" spans="1:11" ht="13.5" thickBot="1" x14ac:dyDescent="0.25">
      <c r="A20" s="340" t="s">
        <v>443</v>
      </c>
      <c r="B20" s="340" t="s">
        <v>444</v>
      </c>
      <c r="C20" s="340" t="s">
        <v>445</v>
      </c>
      <c r="D20" s="341" t="s">
        <v>446</v>
      </c>
      <c r="E20" s="589" t="s">
        <v>447</v>
      </c>
      <c r="F20" s="586" t="s">
        <v>448</v>
      </c>
      <c r="G20" s="340" t="s">
        <v>447</v>
      </c>
      <c r="H20" s="341" t="s">
        <v>449</v>
      </c>
      <c r="I20" s="343" t="s">
        <v>448</v>
      </c>
      <c r="J20" s="5370" t="s">
        <v>450</v>
      </c>
      <c r="K20" s="5371"/>
    </row>
    <row r="21" spans="1:11" ht="13.5" thickBot="1" x14ac:dyDescent="0.25">
      <c r="A21" s="588"/>
      <c r="B21" s="588" t="s">
        <v>451</v>
      </c>
      <c r="C21" s="588"/>
      <c r="D21" s="345"/>
      <c r="E21" s="589" t="s">
        <v>449</v>
      </c>
      <c r="F21" s="343" t="s">
        <v>452</v>
      </c>
      <c r="G21" s="585"/>
      <c r="H21" s="346"/>
      <c r="I21" s="343" t="s">
        <v>452</v>
      </c>
      <c r="J21" s="588" t="s">
        <v>453</v>
      </c>
      <c r="K21" s="345" t="s">
        <v>447</v>
      </c>
    </row>
    <row r="22" spans="1:11" ht="13.5" thickBot="1" x14ac:dyDescent="0.25">
      <c r="A22" s="625"/>
      <c r="B22" s="279"/>
      <c r="C22" s="279"/>
      <c r="D22" s="279"/>
      <c r="E22" s="279"/>
      <c r="F22" s="279"/>
      <c r="G22" s="279"/>
      <c r="H22" s="279"/>
      <c r="I22" s="279"/>
      <c r="J22" s="279"/>
      <c r="K22" s="619"/>
    </row>
    <row r="23" spans="1:11" ht="13.5" thickBot="1" x14ac:dyDescent="0.25">
      <c r="A23" s="348">
        <v>1</v>
      </c>
      <c r="B23" s="349">
        <v>2</v>
      </c>
      <c r="C23" s="349">
        <v>3</v>
      </c>
      <c r="D23" s="349">
        <v>4</v>
      </c>
      <c r="E23" s="349">
        <v>5</v>
      </c>
      <c r="F23" s="349">
        <v>6</v>
      </c>
      <c r="G23" s="349">
        <v>7</v>
      </c>
      <c r="H23" s="349">
        <v>8</v>
      </c>
      <c r="I23" s="349">
        <v>9</v>
      </c>
      <c r="J23" s="349">
        <v>10</v>
      </c>
      <c r="K23" s="349">
        <v>11</v>
      </c>
    </row>
    <row r="24" spans="1:11" ht="13.5" thickBot="1" x14ac:dyDescent="0.25">
      <c r="A24" s="611"/>
      <c r="B24" s="612"/>
      <c r="C24" s="612"/>
      <c r="D24" s="612"/>
      <c r="E24" s="612"/>
      <c r="F24" s="612"/>
      <c r="G24" s="612"/>
      <c r="H24" s="612"/>
      <c r="I24" s="612"/>
      <c r="J24" s="612"/>
      <c r="K24" s="612"/>
    </row>
    <row r="25" spans="1:11" ht="13.5" thickBot="1" x14ac:dyDescent="0.25">
      <c r="A25" s="5348"/>
      <c r="B25" s="5349"/>
      <c r="C25" s="5349"/>
      <c r="D25" s="5349"/>
      <c r="E25" s="5349"/>
      <c r="F25" s="5349"/>
      <c r="G25" s="5349"/>
      <c r="H25" s="5349"/>
      <c r="I25" s="5349"/>
      <c r="J25" s="5349"/>
      <c r="K25" s="5350"/>
    </row>
    <row r="26" spans="1:11" ht="13.5" thickBot="1" x14ac:dyDescent="0.25">
      <c r="A26" s="5372" t="s">
        <v>797</v>
      </c>
      <c r="B26" s="5373"/>
      <c r="C26" s="5373"/>
      <c r="D26" s="5373"/>
      <c r="E26" s="5373"/>
      <c r="F26" s="5373"/>
      <c r="G26" s="5373"/>
      <c r="H26" s="5373"/>
      <c r="I26" s="5373"/>
      <c r="J26" s="5373"/>
      <c r="K26" s="5374"/>
    </row>
    <row r="27" spans="1:11" ht="13.5" thickBot="1" x14ac:dyDescent="0.25">
      <c r="A27" s="5348"/>
      <c r="B27" s="5349"/>
      <c r="C27" s="5349"/>
      <c r="D27" s="5349"/>
      <c r="E27" s="5349"/>
      <c r="F27" s="5349"/>
      <c r="G27" s="5349"/>
      <c r="H27" s="5349"/>
      <c r="I27" s="5349"/>
      <c r="J27" s="5349"/>
      <c r="K27" s="5350"/>
    </row>
    <row r="28" spans="1:11" x14ac:dyDescent="0.2">
      <c r="A28" s="5358">
        <v>1</v>
      </c>
      <c r="B28" s="5360" t="s">
        <v>674</v>
      </c>
      <c r="C28" s="355" t="s">
        <v>738</v>
      </c>
      <c r="D28" s="356">
        <v>0.8</v>
      </c>
      <c r="E28" s="357">
        <v>21330.04</v>
      </c>
      <c r="F28" s="357">
        <v>21330.04</v>
      </c>
      <c r="G28" s="5358">
        <v>17064</v>
      </c>
      <c r="H28" s="5358">
        <v>0</v>
      </c>
      <c r="I28" s="357">
        <v>17064</v>
      </c>
      <c r="J28" s="357">
        <v>0</v>
      </c>
      <c r="K28" s="357">
        <v>0</v>
      </c>
    </row>
    <row r="29" spans="1:11" ht="34.5" customHeight="1" thickBot="1" x14ac:dyDescent="0.25">
      <c r="A29" s="5359"/>
      <c r="B29" s="5361"/>
      <c r="C29" s="353" t="s">
        <v>798</v>
      </c>
      <c r="D29" s="354" t="s">
        <v>676</v>
      </c>
      <c r="E29" s="354">
        <v>0</v>
      </c>
      <c r="F29" s="354">
        <v>24389.57</v>
      </c>
      <c r="G29" s="5359"/>
      <c r="H29" s="5359"/>
      <c r="I29" s="354">
        <v>19512</v>
      </c>
      <c r="J29" s="354">
        <v>97.21</v>
      </c>
      <c r="K29" s="354">
        <v>77.77</v>
      </c>
    </row>
    <row r="30" spans="1:11" ht="22.5" customHeight="1" x14ac:dyDescent="0.2">
      <c r="A30" s="5358">
        <v>2</v>
      </c>
      <c r="B30" s="5360" t="s">
        <v>748</v>
      </c>
      <c r="C30" s="355" t="s">
        <v>749</v>
      </c>
      <c r="D30" s="356">
        <v>20</v>
      </c>
      <c r="E30" s="357">
        <v>1300.8599999999999</v>
      </c>
      <c r="F30" s="357">
        <v>30.67</v>
      </c>
      <c r="G30" s="5358">
        <v>26017</v>
      </c>
      <c r="H30" s="5358">
        <v>25404</v>
      </c>
      <c r="I30" s="357">
        <v>613</v>
      </c>
      <c r="J30" s="357">
        <v>6.58</v>
      </c>
      <c r="K30" s="357">
        <v>131.6</v>
      </c>
    </row>
    <row r="31" spans="1:11" ht="33" customHeight="1" thickBot="1" x14ac:dyDescent="0.25">
      <c r="A31" s="5359"/>
      <c r="B31" s="5361"/>
      <c r="C31" s="353" t="s">
        <v>798</v>
      </c>
      <c r="D31" s="354" t="s">
        <v>750</v>
      </c>
      <c r="E31" s="354">
        <v>1270.19</v>
      </c>
      <c r="F31" s="354">
        <v>0</v>
      </c>
      <c r="G31" s="5359"/>
      <c r="H31" s="5359"/>
      <c r="I31" s="354">
        <v>0</v>
      </c>
      <c r="J31" s="354">
        <v>0</v>
      </c>
      <c r="K31" s="354">
        <v>0</v>
      </c>
    </row>
    <row r="32" spans="1:11" ht="22.5" customHeight="1" x14ac:dyDescent="0.2">
      <c r="A32" s="5358">
        <v>3</v>
      </c>
      <c r="B32" s="5360" t="s">
        <v>739</v>
      </c>
      <c r="C32" s="355" t="s">
        <v>740</v>
      </c>
      <c r="D32" s="356">
        <v>0.2</v>
      </c>
      <c r="E32" s="357">
        <v>115674.66</v>
      </c>
      <c r="F32" s="357">
        <v>55153.06</v>
      </c>
      <c r="G32" s="5358">
        <v>23135</v>
      </c>
      <c r="H32" s="5358">
        <v>12104</v>
      </c>
      <c r="I32" s="357">
        <v>11031</v>
      </c>
      <c r="J32" s="357">
        <v>292.02</v>
      </c>
      <c r="K32" s="357">
        <v>58.4</v>
      </c>
    </row>
    <row r="33" spans="1:11" ht="33.75" customHeight="1" x14ac:dyDescent="0.2">
      <c r="A33" s="5362"/>
      <c r="B33" s="5363"/>
      <c r="C33" s="355" t="s">
        <v>493</v>
      </c>
      <c r="D33" s="357" t="s">
        <v>742</v>
      </c>
      <c r="E33" s="357">
        <v>60521.599999999999</v>
      </c>
      <c r="F33" s="357">
        <v>12684.38</v>
      </c>
      <c r="G33" s="5362"/>
      <c r="H33" s="5362"/>
      <c r="I33" s="357">
        <v>2537</v>
      </c>
      <c r="J33" s="357">
        <v>49.67</v>
      </c>
      <c r="K33" s="357">
        <v>9.93</v>
      </c>
    </row>
    <row r="34" spans="1:11" ht="33.75" customHeight="1" thickBot="1" x14ac:dyDescent="0.25">
      <c r="A34" s="5359"/>
      <c r="B34" s="5361"/>
      <c r="C34" s="353" t="s">
        <v>799</v>
      </c>
      <c r="D34" s="358"/>
      <c r="E34" s="358"/>
      <c r="F34" s="358"/>
      <c r="G34" s="5359"/>
      <c r="H34" s="5359"/>
      <c r="I34" s="358"/>
      <c r="J34" s="358"/>
      <c r="K34" s="358"/>
    </row>
    <row r="35" spans="1:11" ht="10.5" customHeight="1" x14ac:dyDescent="0.2">
      <c r="A35" s="5358">
        <v>4</v>
      </c>
      <c r="B35" s="5360" t="s">
        <v>743</v>
      </c>
      <c r="C35" s="355" t="s">
        <v>744</v>
      </c>
      <c r="D35" s="356">
        <v>20</v>
      </c>
      <c r="E35" s="357">
        <v>534.51</v>
      </c>
      <c r="F35" s="357">
        <v>0</v>
      </c>
      <c r="G35" s="5358">
        <v>10690</v>
      </c>
      <c r="H35" s="5358">
        <v>10690</v>
      </c>
      <c r="I35" s="357">
        <v>0</v>
      </c>
      <c r="J35" s="357">
        <v>2.72</v>
      </c>
      <c r="K35" s="357">
        <v>54.48</v>
      </c>
    </row>
    <row r="36" spans="1:11" ht="10.5" customHeight="1" x14ac:dyDescent="0.2">
      <c r="A36" s="5362"/>
      <c r="B36" s="5363"/>
      <c r="C36" s="355" t="s">
        <v>493</v>
      </c>
      <c r="D36" s="357" t="s">
        <v>457</v>
      </c>
      <c r="E36" s="357">
        <v>534.51</v>
      </c>
      <c r="F36" s="357">
        <v>0</v>
      </c>
      <c r="G36" s="5362"/>
      <c r="H36" s="5362"/>
      <c r="I36" s="357">
        <v>0</v>
      </c>
      <c r="J36" s="357">
        <v>0</v>
      </c>
      <c r="K36" s="357">
        <v>0</v>
      </c>
    </row>
    <row r="37" spans="1:11" ht="33.75" customHeight="1" thickBot="1" x14ac:dyDescent="0.25">
      <c r="A37" s="5359"/>
      <c r="B37" s="5361"/>
      <c r="C37" s="353" t="s">
        <v>799</v>
      </c>
      <c r="D37" s="358"/>
      <c r="E37" s="358"/>
      <c r="F37" s="358"/>
      <c r="G37" s="5359"/>
      <c r="H37" s="5359"/>
      <c r="I37" s="358"/>
      <c r="J37" s="358"/>
      <c r="K37" s="358"/>
    </row>
    <row r="38" spans="1:11" ht="10.5" customHeight="1" x14ac:dyDescent="0.2">
      <c r="A38" s="5358">
        <v>5</v>
      </c>
      <c r="B38" s="5360" t="s">
        <v>745</v>
      </c>
      <c r="C38" s="355" t="s">
        <v>746</v>
      </c>
      <c r="D38" s="356">
        <v>12</v>
      </c>
      <c r="E38" s="357">
        <v>352.65</v>
      </c>
      <c r="F38" s="357">
        <v>70.33</v>
      </c>
      <c r="G38" s="5358">
        <v>4232</v>
      </c>
      <c r="H38" s="5358">
        <v>3388</v>
      </c>
      <c r="I38" s="357">
        <v>844</v>
      </c>
      <c r="J38" s="357">
        <v>1.31</v>
      </c>
      <c r="K38" s="357">
        <v>15.72</v>
      </c>
    </row>
    <row r="39" spans="1:11" ht="33" customHeight="1" thickBot="1" x14ac:dyDescent="0.25">
      <c r="A39" s="5359"/>
      <c r="B39" s="5361"/>
      <c r="C39" s="353" t="s">
        <v>798</v>
      </c>
      <c r="D39" s="354" t="s">
        <v>747</v>
      </c>
      <c r="E39" s="354">
        <v>282.32</v>
      </c>
      <c r="F39" s="354">
        <v>0</v>
      </c>
      <c r="G39" s="5359"/>
      <c r="H39" s="5359"/>
      <c r="I39" s="354">
        <v>0</v>
      </c>
      <c r="J39" s="354">
        <v>7.0000000000000007E-2</v>
      </c>
      <c r="K39" s="354">
        <v>0.84</v>
      </c>
    </row>
    <row r="40" spans="1:11" ht="9.75" customHeight="1" x14ac:dyDescent="0.2">
      <c r="A40" s="5358">
        <v>6</v>
      </c>
      <c r="B40" s="5360" t="s">
        <v>454</v>
      </c>
      <c r="C40" s="355" t="s">
        <v>455</v>
      </c>
      <c r="D40" s="356">
        <v>8</v>
      </c>
      <c r="E40" s="357">
        <v>7190.9</v>
      </c>
      <c r="F40" s="357">
        <v>100.54</v>
      </c>
      <c r="G40" s="5358">
        <v>57527</v>
      </c>
      <c r="H40" s="5358">
        <v>7709</v>
      </c>
      <c r="I40" s="357">
        <v>804</v>
      </c>
      <c r="J40" s="357">
        <v>4.53</v>
      </c>
      <c r="K40" s="357">
        <v>36.24</v>
      </c>
    </row>
    <row r="41" spans="1:11" ht="34.5" customHeight="1" thickBot="1" x14ac:dyDescent="0.25">
      <c r="A41" s="5359"/>
      <c r="B41" s="5361"/>
      <c r="C41" s="353" t="s">
        <v>798</v>
      </c>
      <c r="D41" s="354" t="s">
        <v>457</v>
      </c>
      <c r="E41" s="354">
        <v>963.68</v>
      </c>
      <c r="F41" s="354">
        <v>0</v>
      </c>
      <c r="G41" s="5359"/>
      <c r="H41" s="5359"/>
      <c r="I41" s="354">
        <v>0</v>
      </c>
      <c r="J41" s="354">
        <v>0.1</v>
      </c>
      <c r="K41" s="354">
        <v>0.8</v>
      </c>
    </row>
    <row r="42" spans="1:11" ht="23.25" customHeight="1" x14ac:dyDescent="0.2">
      <c r="A42" s="5358">
        <v>7</v>
      </c>
      <c r="B42" s="5360" t="s">
        <v>491</v>
      </c>
      <c r="C42" s="355" t="s">
        <v>492</v>
      </c>
      <c r="D42" s="356">
        <v>0.5</v>
      </c>
      <c r="E42" s="357">
        <v>87722.08</v>
      </c>
      <c r="F42" s="357">
        <v>9577.9699999999993</v>
      </c>
      <c r="G42" s="5358">
        <v>43861</v>
      </c>
      <c r="H42" s="5358">
        <v>9936</v>
      </c>
      <c r="I42" s="357">
        <v>4789</v>
      </c>
      <c r="J42" s="357">
        <v>95.88</v>
      </c>
      <c r="K42" s="357">
        <v>47.94</v>
      </c>
    </row>
    <row r="43" spans="1:11" ht="10.5" customHeight="1" x14ac:dyDescent="0.2">
      <c r="A43" s="5362"/>
      <c r="B43" s="5363"/>
      <c r="C43" s="355" t="s">
        <v>493</v>
      </c>
      <c r="D43" s="357" t="s">
        <v>494</v>
      </c>
      <c r="E43" s="357">
        <v>19871.29</v>
      </c>
      <c r="F43" s="357">
        <v>2421.77</v>
      </c>
      <c r="G43" s="5362"/>
      <c r="H43" s="5362"/>
      <c r="I43" s="357">
        <v>1211</v>
      </c>
      <c r="J43" s="357">
        <v>7.81</v>
      </c>
      <c r="K43" s="357">
        <v>3.91</v>
      </c>
    </row>
    <row r="44" spans="1:11" ht="32.25" customHeight="1" thickBot="1" x14ac:dyDescent="0.25">
      <c r="A44" s="5359"/>
      <c r="B44" s="5361"/>
      <c r="C44" s="353" t="s">
        <v>799</v>
      </c>
      <c r="D44" s="358"/>
      <c r="E44" s="358"/>
      <c r="F44" s="358"/>
      <c r="G44" s="5359"/>
      <c r="H44" s="5359"/>
      <c r="I44" s="358"/>
      <c r="J44" s="358"/>
      <c r="K44" s="358"/>
    </row>
    <row r="45" spans="1:11" ht="10.5" customHeight="1" x14ac:dyDescent="0.2">
      <c r="A45" s="5358">
        <v>8</v>
      </c>
      <c r="B45" s="5360" t="s">
        <v>496</v>
      </c>
      <c r="C45" s="355" t="s">
        <v>497</v>
      </c>
      <c r="D45" s="356">
        <v>3.5</v>
      </c>
      <c r="E45" s="357">
        <v>14398.96</v>
      </c>
      <c r="F45" s="357">
        <v>341.17</v>
      </c>
      <c r="G45" s="5358">
        <v>50396</v>
      </c>
      <c r="H45" s="5358">
        <v>27253</v>
      </c>
      <c r="I45" s="357">
        <v>1194</v>
      </c>
      <c r="J45" s="357">
        <v>38.93</v>
      </c>
      <c r="K45" s="357">
        <v>136.25</v>
      </c>
    </row>
    <row r="46" spans="1:11" ht="12.75" customHeight="1" x14ac:dyDescent="0.2">
      <c r="A46" s="5362"/>
      <c r="B46" s="5363"/>
      <c r="C46" s="355" t="s">
        <v>498</v>
      </c>
      <c r="D46" s="357" t="s">
        <v>499</v>
      </c>
      <c r="E46" s="357">
        <v>7786.59</v>
      </c>
      <c r="F46" s="357">
        <v>133.93</v>
      </c>
      <c r="G46" s="5362"/>
      <c r="H46" s="5362"/>
      <c r="I46" s="357">
        <v>469</v>
      </c>
      <c r="J46" s="357">
        <v>0.43</v>
      </c>
      <c r="K46" s="357">
        <v>1.51</v>
      </c>
    </row>
    <row r="47" spans="1:11" ht="32.25" customHeight="1" thickBot="1" x14ac:dyDescent="0.25">
      <c r="A47" s="5359"/>
      <c r="B47" s="5361"/>
      <c r="C47" s="353" t="s">
        <v>799</v>
      </c>
      <c r="D47" s="358"/>
      <c r="E47" s="358"/>
      <c r="F47" s="358"/>
      <c r="G47" s="5359"/>
      <c r="H47" s="5359"/>
      <c r="I47" s="358"/>
      <c r="J47" s="358"/>
      <c r="K47" s="358"/>
    </row>
    <row r="48" spans="1:11" ht="11.25" customHeight="1" x14ac:dyDescent="0.2">
      <c r="A48" s="5358">
        <v>9</v>
      </c>
      <c r="B48" s="5360" t="s">
        <v>500</v>
      </c>
      <c r="C48" s="355" t="s">
        <v>501</v>
      </c>
      <c r="D48" s="356">
        <v>2.5</v>
      </c>
      <c r="E48" s="357">
        <v>17601.82</v>
      </c>
      <c r="F48" s="357">
        <v>60.3</v>
      </c>
      <c r="G48" s="5358">
        <v>44005</v>
      </c>
      <c r="H48" s="5358">
        <v>18429</v>
      </c>
      <c r="I48" s="357">
        <v>151</v>
      </c>
      <c r="J48" s="357">
        <v>34.65</v>
      </c>
      <c r="K48" s="357">
        <v>86.63</v>
      </c>
    </row>
    <row r="49" spans="1:11" ht="12.75" customHeight="1" x14ac:dyDescent="0.2">
      <c r="A49" s="5362"/>
      <c r="B49" s="5363"/>
      <c r="C49" s="355" t="s">
        <v>498</v>
      </c>
      <c r="D49" s="357" t="s">
        <v>494</v>
      </c>
      <c r="E49" s="357">
        <v>7371.52</v>
      </c>
      <c r="F49" s="357">
        <v>0</v>
      </c>
      <c r="G49" s="5362"/>
      <c r="H49" s="5362"/>
      <c r="I49" s="357">
        <v>0</v>
      </c>
      <c r="J49" s="357">
        <v>0.06</v>
      </c>
      <c r="K49" s="357">
        <v>0.15</v>
      </c>
    </row>
    <row r="50" spans="1:11" ht="33.75" customHeight="1" thickBot="1" x14ac:dyDescent="0.25">
      <c r="A50" s="5359"/>
      <c r="B50" s="5361"/>
      <c r="C50" s="353" t="s">
        <v>799</v>
      </c>
      <c r="D50" s="358"/>
      <c r="E50" s="358"/>
      <c r="F50" s="358"/>
      <c r="G50" s="5359"/>
      <c r="H50" s="5359"/>
      <c r="I50" s="358"/>
      <c r="J50" s="358"/>
      <c r="K50" s="358"/>
    </row>
    <row r="51" spans="1:11" ht="24.75" customHeight="1" x14ac:dyDescent="0.2">
      <c r="A51" s="5358">
        <v>10</v>
      </c>
      <c r="B51" s="5360" t="s">
        <v>502</v>
      </c>
      <c r="C51" s="355" t="s">
        <v>503</v>
      </c>
      <c r="D51" s="356">
        <v>2.2000000000000002</v>
      </c>
      <c r="E51" s="357">
        <v>182869.16</v>
      </c>
      <c r="F51" s="357">
        <v>149723.85</v>
      </c>
      <c r="G51" s="5358">
        <v>402312</v>
      </c>
      <c r="H51" s="5358">
        <v>69900</v>
      </c>
      <c r="I51" s="357">
        <v>329392</v>
      </c>
      <c r="J51" s="357">
        <v>130.53</v>
      </c>
      <c r="K51" s="357">
        <v>287.17</v>
      </c>
    </row>
    <row r="52" spans="1:11" ht="33.75" customHeight="1" thickBot="1" x14ac:dyDescent="0.25">
      <c r="A52" s="5359"/>
      <c r="B52" s="5361"/>
      <c r="C52" s="353" t="s">
        <v>798</v>
      </c>
      <c r="D52" s="354" t="s">
        <v>504</v>
      </c>
      <c r="E52" s="354">
        <v>31772.81</v>
      </c>
      <c r="F52" s="354">
        <v>10028.870000000001</v>
      </c>
      <c r="G52" s="5359"/>
      <c r="H52" s="5359"/>
      <c r="I52" s="354">
        <v>22064</v>
      </c>
      <c r="J52" s="354">
        <v>47.81</v>
      </c>
      <c r="K52" s="354">
        <v>105.18</v>
      </c>
    </row>
    <row r="53" spans="1:11" ht="13.5" thickBot="1" x14ac:dyDescent="0.25">
      <c r="A53" s="5348"/>
      <c r="B53" s="5349"/>
      <c r="C53" s="5349"/>
      <c r="D53" s="5349"/>
      <c r="E53" s="5349"/>
      <c r="F53" s="5349"/>
      <c r="G53" s="5349"/>
      <c r="H53" s="5349"/>
      <c r="I53" s="5349"/>
      <c r="J53" s="5349"/>
      <c r="K53" s="5350"/>
    </row>
    <row r="54" spans="1:11" x14ac:dyDescent="0.2">
      <c r="A54" s="5351" t="s">
        <v>694</v>
      </c>
      <c r="B54" s="5352"/>
      <c r="C54" s="5352"/>
      <c r="D54" s="5352"/>
      <c r="E54" s="5352"/>
      <c r="F54" s="5354"/>
      <c r="G54" s="5354">
        <v>679239</v>
      </c>
      <c r="H54" s="5354">
        <v>184813</v>
      </c>
      <c r="I54" s="626">
        <v>365882</v>
      </c>
      <c r="J54" s="5354"/>
      <c r="K54" s="357">
        <v>854.43</v>
      </c>
    </row>
    <row r="55" spans="1:11" ht="13.5" thickBot="1" x14ac:dyDescent="0.25">
      <c r="A55" s="5353"/>
      <c r="B55" s="5346"/>
      <c r="C55" s="5346"/>
      <c r="D55" s="5346"/>
      <c r="E55" s="5346"/>
      <c r="F55" s="5355"/>
      <c r="G55" s="5355"/>
      <c r="H55" s="5355"/>
      <c r="I55" s="616">
        <v>45793</v>
      </c>
      <c r="J55" s="5355"/>
      <c r="K55" s="354">
        <v>200.08</v>
      </c>
    </row>
    <row r="56" spans="1:11" ht="13.5" thickBot="1" x14ac:dyDescent="0.25">
      <c r="A56" s="5348"/>
      <c r="B56" s="5349"/>
      <c r="C56" s="5349"/>
      <c r="D56" s="5349"/>
      <c r="E56" s="5349"/>
      <c r="F56" s="5349"/>
      <c r="G56" s="5349"/>
      <c r="H56" s="5349"/>
      <c r="I56" s="5349"/>
      <c r="J56" s="5349"/>
      <c r="K56" s="5350"/>
    </row>
    <row r="57" spans="1:11" x14ac:dyDescent="0.2">
      <c r="A57" s="5351" t="s">
        <v>695</v>
      </c>
      <c r="B57" s="5352"/>
      <c r="C57" s="5352"/>
      <c r="D57" s="5352"/>
      <c r="E57" s="5352"/>
      <c r="F57" s="5354"/>
      <c r="G57" s="5354">
        <v>679239</v>
      </c>
      <c r="H57" s="5354">
        <v>184813</v>
      </c>
      <c r="I57" s="626">
        <v>365882</v>
      </c>
      <c r="J57" s="5354"/>
      <c r="K57" s="357">
        <v>854.43</v>
      </c>
    </row>
    <row r="58" spans="1:11" ht="13.5" thickBot="1" x14ac:dyDescent="0.25">
      <c r="A58" s="5353"/>
      <c r="B58" s="5346"/>
      <c r="C58" s="5346"/>
      <c r="D58" s="5346"/>
      <c r="E58" s="5346"/>
      <c r="F58" s="5355"/>
      <c r="G58" s="5355"/>
      <c r="H58" s="5355"/>
      <c r="I58" s="616">
        <v>45793</v>
      </c>
      <c r="J58" s="5355"/>
      <c r="K58" s="354">
        <v>200.08</v>
      </c>
    </row>
    <row r="59" spans="1:11" ht="13.5" thickBot="1" x14ac:dyDescent="0.25">
      <c r="A59" s="611"/>
      <c r="B59" s="612"/>
      <c r="C59" s="612"/>
      <c r="D59" s="612"/>
      <c r="E59" s="612"/>
      <c r="F59" s="612"/>
      <c r="G59" s="612"/>
      <c r="H59" s="612"/>
      <c r="I59" s="612"/>
      <c r="J59" s="612"/>
      <c r="K59" s="612"/>
    </row>
    <row r="60" spans="1:11" x14ac:dyDescent="0.2">
      <c r="A60" s="642"/>
      <c r="B60" s="279"/>
      <c r="C60" s="279"/>
      <c r="D60" s="279"/>
      <c r="E60" s="279"/>
      <c r="F60" s="279"/>
      <c r="G60" s="279"/>
      <c r="H60" s="279"/>
      <c r="I60" s="279"/>
      <c r="J60" s="279"/>
      <c r="K60" s="619"/>
    </row>
    <row r="61" spans="1:11" x14ac:dyDescent="0.2">
      <c r="A61" s="628"/>
      <c r="B61" s="279"/>
      <c r="C61" s="279"/>
      <c r="D61" s="279"/>
      <c r="E61" s="279"/>
      <c r="F61" s="279"/>
      <c r="G61" s="279"/>
      <c r="H61" s="279"/>
      <c r="I61" s="279"/>
      <c r="J61" s="279"/>
      <c r="K61" s="619"/>
    </row>
    <row r="62" spans="1:11" x14ac:dyDescent="0.2">
      <c r="A62" s="628"/>
      <c r="B62" s="279"/>
      <c r="C62" s="5343" t="s">
        <v>696</v>
      </c>
      <c r="D62" s="5262"/>
      <c r="E62" s="5262"/>
      <c r="F62" s="5262"/>
      <c r="G62" s="5262"/>
      <c r="H62" s="5262"/>
      <c r="I62" s="5343" t="s">
        <v>697</v>
      </c>
      <c r="J62" s="5343" t="s">
        <v>698</v>
      </c>
      <c r="K62" s="355" t="s">
        <v>561</v>
      </c>
    </row>
    <row r="63" spans="1:11" x14ac:dyDescent="0.2">
      <c r="A63" s="628"/>
      <c r="B63" s="279"/>
      <c r="C63" s="5343"/>
      <c r="D63" s="5262"/>
      <c r="E63" s="5262"/>
      <c r="F63" s="5262"/>
      <c r="G63" s="5262"/>
      <c r="H63" s="5262"/>
      <c r="I63" s="5343"/>
      <c r="J63" s="5343"/>
      <c r="K63" s="355" t="s">
        <v>699</v>
      </c>
    </row>
    <row r="64" spans="1:11" ht="13.5" thickBot="1" x14ac:dyDescent="0.25">
      <c r="A64" s="628"/>
      <c r="B64" s="279"/>
      <c r="C64" s="617"/>
      <c r="D64" s="617"/>
      <c r="E64" s="617"/>
      <c r="F64" s="617"/>
      <c r="G64" s="279"/>
      <c r="H64" s="279"/>
      <c r="I64" s="617"/>
      <c r="J64" s="617"/>
      <c r="K64" s="353"/>
    </row>
    <row r="65" spans="1:11" ht="13.5" thickBot="1" x14ac:dyDescent="0.25">
      <c r="A65" s="628"/>
      <c r="B65" s="279"/>
      <c r="C65" s="5343" t="s">
        <v>54</v>
      </c>
      <c r="D65" s="5262"/>
      <c r="E65" s="5262"/>
      <c r="F65" s="5262"/>
      <c r="G65" s="5262"/>
      <c r="H65" s="5262"/>
      <c r="I65" s="616"/>
      <c r="J65" s="616"/>
      <c r="K65" s="354" t="s">
        <v>800</v>
      </c>
    </row>
    <row r="66" spans="1:11" ht="13.5" thickBot="1" x14ac:dyDescent="0.25">
      <c r="A66" s="628"/>
      <c r="B66" s="279"/>
      <c r="C66" s="5343" t="s">
        <v>705</v>
      </c>
      <c r="D66" s="5262"/>
      <c r="E66" s="5262"/>
      <c r="F66" s="5262"/>
      <c r="G66" s="5262"/>
      <c r="H66" s="5262"/>
      <c r="I66" s="616">
        <v>0.6</v>
      </c>
      <c r="J66" s="616">
        <v>71</v>
      </c>
      <c r="K66" s="354" t="s">
        <v>759</v>
      </c>
    </row>
    <row r="67" spans="1:11" ht="13.5" thickBot="1" x14ac:dyDescent="0.25">
      <c r="A67" s="628"/>
      <c r="B67" s="279"/>
      <c r="C67" s="5343" t="s">
        <v>768</v>
      </c>
      <c r="D67" s="5262"/>
      <c r="E67" s="5262"/>
      <c r="F67" s="5262"/>
      <c r="G67" s="5262"/>
      <c r="H67" s="5262"/>
      <c r="I67" s="616">
        <v>0.7</v>
      </c>
      <c r="J67" s="616">
        <v>66</v>
      </c>
      <c r="K67" s="354" t="s">
        <v>769</v>
      </c>
    </row>
    <row r="68" spans="1:11" ht="13.5" thickBot="1" x14ac:dyDescent="0.25">
      <c r="A68" s="628"/>
      <c r="B68" s="279"/>
      <c r="C68" s="5343" t="s">
        <v>760</v>
      </c>
      <c r="D68" s="5262"/>
      <c r="E68" s="5262"/>
      <c r="F68" s="5262"/>
      <c r="G68" s="5262"/>
      <c r="H68" s="5262"/>
      <c r="I68" s="616">
        <v>0.6</v>
      </c>
      <c r="J68" s="616">
        <v>93</v>
      </c>
      <c r="K68" s="354" t="s">
        <v>801</v>
      </c>
    </row>
    <row r="69" spans="1:11" ht="13.5" thickBot="1" x14ac:dyDescent="0.25">
      <c r="A69" s="628"/>
      <c r="B69" s="279"/>
      <c r="C69" s="5343" t="s">
        <v>709</v>
      </c>
      <c r="D69" s="5262"/>
      <c r="E69" s="5262"/>
      <c r="F69" s="5262"/>
      <c r="G69" s="5262"/>
      <c r="H69" s="5262"/>
      <c r="I69" s="616">
        <v>0.6</v>
      </c>
      <c r="J69" s="616">
        <v>92</v>
      </c>
      <c r="K69" s="354" t="s">
        <v>802</v>
      </c>
    </row>
    <row r="70" spans="1:11" ht="13.5" thickBot="1" x14ac:dyDescent="0.25">
      <c r="A70" s="628"/>
      <c r="B70" s="279"/>
      <c r="C70" s="5343" t="s">
        <v>707</v>
      </c>
      <c r="D70" s="5262"/>
      <c r="E70" s="5262"/>
      <c r="F70" s="5262"/>
      <c r="G70" s="5262"/>
      <c r="H70" s="5262"/>
      <c r="I70" s="616">
        <v>0.6</v>
      </c>
      <c r="J70" s="616">
        <v>116</v>
      </c>
      <c r="K70" s="354" t="s">
        <v>803</v>
      </c>
    </row>
    <row r="71" spans="1:11" ht="13.5" thickBot="1" x14ac:dyDescent="0.25">
      <c r="A71" s="628"/>
      <c r="B71" s="279"/>
      <c r="C71" s="5343" t="s">
        <v>764</v>
      </c>
      <c r="D71" s="5262"/>
      <c r="E71" s="5262"/>
      <c r="F71" s="5262"/>
      <c r="G71" s="5262"/>
      <c r="H71" s="5262"/>
      <c r="I71" s="616">
        <v>0.6</v>
      </c>
      <c r="J71" s="616">
        <v>77</v>
      </c>
      <c r="K71" s="354" t="s">
        <v>804</v>
      </c>
    </row>
    <row r="72" spans="1:11" ht="13.5" thickBot="1" x14ac:dyDescent="0.25">
      <c r="A72" s="628"/>
      <c r="B72" s="279"/>
      <c r="C72" s="5343" t="s">
        <v>766</v>
      </c>
      <c r="D72" s="5262"/>
      <c r="E72" s="5262"/>
      <c r="F72" s="5262"/>
      <c r="G72" s="5262"/>
      <c r="H72" s="5262"/>
      <c r="I72" s="616">
        <v>0.6</v>
      </c>
      <c r="J72" s="616">
        <v>83</v>
      </c>
      <c r="K72" s="354" t="s">
        <v>805</v>
      </c>
    </row>
    <row r="73" spans="1:11" ht="13.5" thickBot="1" x14ac:dyDescent="0.25">
      <c r="A73" s="628"/>
      <c r="B73" s="279"/>
      <c r="C73" s="5343" t="s">
        <v>711</v>
      </c>
      <c r="D73" s="5262"/>
      <c r="E73" s="5262"/>
      <c r="F73" s="5262"/>
      <c r="G73" s="5262"/>
      <c r="H73" s="5262"/>
      <c r="I73" s="616"/>
      <c r="J73" s="616"/>
      <c r="K73" s="354" t="s">
        <v>806</v>
      </c>
    </row>
    <row r="74" spans="1:11" ht="13.5" thickBot="1" x14ac:dyDescent="0.25">
      <c r="A74" s="628"/>
      <c r="B74" s="279"/>
      <c r="C74" s="5343" t="s">
        <v>54</v>
      </c>
      <c r="D74" s="5262"/>
      <c r="E74" s="5262"/>
      <c r="F74" s="5262"/>
      <c r="G74" s="5262"/>
      <c r="H74" s="5262"/>
      <c r="I74" s="616"/>
      <c r="J74" s="616"/>
      <c r="K74" s="354" t="s">
        <v>807</v>
      </c>
    </row>
    <row r="75" spans="1:11" ht="13.5" thickBot="1" x14ac:dyDescent="0.25">
      <c r="A75" s="628"/>
      <c r="B75" s="279"/>
      <c r="C75" s="5343" t="s">
        <v>718</v>
      </c>
      <c r="D75" s="5262"/>
      <c r="E75" s="5262"/>
      <c r="F75" s="5262"/>
      <c r="G75" s="5262"/>
      <c r="H75" s="5262"/>
      <c r="I75" s="616"/>
      <c r="J75" s="616">
        <v>36</v>
      </c>
      <c r="K75" s="354" t="s">
        <v>774</v>
      </c>
    </row>
    <row r="76" spans="1:11" ht="13.5" thickBot="1" x14ac:dyDescent="0.25">
      <c r="A76" s="628"/>
      <c r="B76" s="279"/>
      <c r="C76" s="5343" t="s">
        <v>783</v>
      </c>
      <c r="D76" s="5262"/>
      <c r="E76" s="5262"/>
      <c r="F76" s="5262"/>
      <c r="G76" s="5262"/>
      <c r="H76" s="5262"/>
      <c r="I76" s="616"/>
      <c r="J76" s="616">
        <v>40</v>
      </c>
      <c r="K76" s="354" t="s">
        <v>784</v>
      </c>
    </row>
    <row r="77" spans="1:11" ht="13.5" thickBot="1" x14ac:dyDescent="0.25">
      <c r="A77" s="628"/>
      <c r="B77" s="279"/>
      <c r="C77" s="5343" t="s">
        <v>775</v>
      </c>
      <c r="D77" s="5262"/>
      <c r="E77" s="5262"/>
      <c r="F77" s="5262"/>
      <c r="G77" s="5262"/>
      <c r="H77" s="5262"/>
      <c r="I77" s="616"/>
      <c r="J77" s="616">
        <v>48</v>
      </c>
      <c r="K77" s="354" t="s">
        <v>808</v>
      </c>
    </row>
    <row r="78" spans="1:11" ht="13.5" thickBot="1" x14ac:dyDescent="0.25">
      <c r="A78" s="628"/>
      <c r="B78" s="279"/>
      <c r="C78" s="5343" t="s">
        <v>722</v>
      </c>
      <c r="D78" s="5262"/>
      <c r="E78" s="5262"/>
      <c r="F78" s="5262"/>
      <c r="G78" s="5262"/>
      <c r="H78" s="5262"/>
      <c r="I78" s="616"/>
      <c r="J78" s="616">
        <v>54</v>
      </c>
      <c r="K78" s="354" t="s">
        <v>809</v>
      </c>
    </row>
    <row r="79" spans="1:11" ht="13.5" thickBot="1" x14ac:dyDescent="0.25">
      <c r="A79" s="628"/>
      <c r="B79" s="279"/>
      <c r="C79" s="5343" t="s">
        <v>720</v>
      </c>
      <c r="D79" s="5262"/>
      <c r="E79" s="5262"/>
      <c r="F79" s="5262"/>
      <c r="G79" s="5262"/>
      <c r="H79" s="5262"/>
      <c r="I79" s="616"/>
      <c r="J79" s="616">
        <v>61</v>
      </c>
      <c r="K79" s="354" t="s">
        <v>810</v>
      </c>
    </row>
    <row r="80" spans="1:11" ht="13.5" thickBot="1" x14ac:dyDescent="0.25">
      <c r="A80" s="628"/>
      <c r="B80" s="279"/>
      <c r="C80" s="5343" t="s">
        <v>779</v>
      </c>
      <c r="D80" s="5262"/>
      <c r="E80" s="5262"/>
      <c r="F80" s="5262"/>
      <c r="G80" s="5262"/>
      <c r="H80" s="5262"/>
      <c r="I80" s="616"/>
      <c r="J80" s="616">
        <v>56</v>
      </c>
      <c r="K80" s="354" t="s">
        <v>811</v>
      </c>
    </row>
    <row r="81" spans="1:11" ht="13.5" thickBot="1" x14ac:dyDescent="0.25">
      <c r="A81" s="628"/>
      <c r="B81" s="279"/>
      <c r="C81" s="5343" t="s">
        <v>781</v>
      </c>
      <c r="D81" s="5262"/>
      <c r="E81" s="5262"/>
      <c r="F81" s="5262"/>
      <c r="G81" s="5262"/>
      <c r="H81" s="5262"/>
      <c r="I81" s="616"/>
      <c r="J81" s="616">
        <v>60</v>
      </c>
      <c r="K81" s="354" t="s">
        <v>812</v>
      </c>
    </row>
    <row r="82" spans="1:11" ht="13.5" thickBot="1" x14ac:dyDescent="0.25">
      <c r="A82" s="628"/>
      <c r="B82" s="279"/>
      <c r="C82" s="5343" t="s">
        <v>724</v>
      </c>
      <c r="D82" s="5262"/>
      <c r="E82" s="5262"/>
      <c r="F82" s="5262"/>
      <c r="G82" s="5262"/>
      <c r="H82" s="5262"/>
      <c r="I82" s="616"/>
      <c r="J82" s="616"/>
      <c r="K82" s="354" t="s">
        <v>813</v>
      </c>
    </row>
    <row r="83" spans="1:11" ht="13.5" thickBot="1" x14ac:dyDescent="0.25">
      <c r="A83" s="628"/>
      <c r="B83" s="279"/>
      <c r="C83" s="5343" t="s">
        <v>54</v>
      </c>
      <c r="D83" s="5262"/>
      <c r="E83" s="5262"/>
      <c r="F83" s="5262"/>
      <c r="G83" s="5262"/>
      <c r="H83" s="5262"/>
      <c r="I83" s="616"/>
      <c r="J83" s="616"/>
      <c r="K83" s="354" t="s">
        <v>814</v>
      </c>
    </row>
    <row r="84" spans="1:11" ht="13.5" thickBot="1" x14ac:dyDescent="0.25">
      <c r="A84" s="628"/>
      <c r="B84" s="279"/>
      <c r="C84" s="5343" t="s">
        <v>282</v>
      </c>
      <c r="D84" s="5262"/>
      <c r="E84" s="5262"/>
      <c r="F84" s="5262"/>
      <c r="G84" s="5262"/>
      <c r="H84" s="5262"/>
      <c r="I84" s="616"/>
      <c r="J84" s="616"/>
      <c r="K84" s="354" t="s">
        <v>814</v>
      </c>
    </row>
    <row r="85" spans="1:11" ht="13.5" thickBot="1" x14ac:dyDescent="0.25">
      <c r="A85" s="628"/>
      <c r="B85" s="279"/>
      <c r="C85" s="5343" t="s">
        <v>727</v>
      </c>
      <c r="D85" s="5262"/>
      <c r="E85" s="5262"/>
      <c r="F85" s="5262"/>
      <c r="G85" s="5262"/>
      <c r="H85" s="5262"/>
      <c r="I85" s="616"/>
      <c r="J85" s="616">
        <v>18</v>
      </c>
      <c r="K85" s="354" t="s">
        <v>815</v>
      </c>
    </row>
    <row r="86" spans="1:11" ht="13.5" thickBot="1" x14ac:dyDescent="0.25">
      <c r="A86" s="628"/>
      <c r="B86" s="279"/>
      <c r="C86" s="5343" t="s">
        <v>282</v>
      </c>
      <c r="D86" s="5262"/>
      <c r="E86" s="5262"/>
      <c r="F86" s="5262"/>
      <c r="G86" s="5262"/>
      <c r="H86" s="5262"/>
      <c r="I86" s="616"/>
      <c r="J86" s="616"/>
      <c r="K86" s="354" t="s">
        <v>795</v>
      </c>
    </row>
    <row r="87" spans="1:11" ht="13.5" thickBot="1" x14ac:dyDescent="0.25">
      <c r="A87" s="615"/>
      <c r="B87" s="614"/>
      <c r="C87" s="5346" t="s">
        <v>729</v>
      </c>
      <c r="D87" s="4243"/>
      <c r="E87" s="4243"/>
      <c r="F87" s="4243"/>
      <c r="G87" s="4243"/>
      <c r="H87" s="4243"/>
      <c r="I87" s="616"/>
      <c r="J87" s="616"/>
      <c r="K87" s="354" t="s">
        <v>795</v>
      </c>
    </row>
    <row r="88" spans="1:11" ht="15.75" x14ac:dyDescent="0.25">
      <c r="A88" s="643" t="s">
        <v>816</v>
      </c>
      <c r="B88" s="385"/>
      <c r="C88" s="385"/>
      <c r="D88" s="385"/>
      <c r="E88" s="385"/>
      <c r="F88" s="385"/>
      <c r="G88" s="385"/>
      <c r="H88" s="385"/>
      <c r="I88" s="385"/>
      <c r="J88" s="385"/>
      <c r="K88" s="639">
        <v>1081767</v>
      </c>
    </row>
  </sheetData>
  <mergeCells count="101"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62"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5387" t="s">
        <v>652</v>
      </c>
      <c r="B1" s="5388"/>
      <c r="C1" s="5388"/>
      <c r="D1" s="5388"/>
      <c r="E1" s="5388"/>
      <c r="F1" s="5388"/>
      <c r="G1" s="5388"/>
      <c r="H1" s="5388"/>
      <c r="I1" s="5388"/>
      <c r="J1" s="5388"/>
      <c r="K1" s="5393"/>
    </row>
    <row r="2" spans="1:11" ht="13.5" x14ac:dyDescent="0.25">
      <c r="A2" s="5389" t="s">
        <v>653</v>
      </c>
      <c r="B2" s="5262"/>
      <c r="C2" s="5262"/>
      <c r="D2" s="5262"/>
      <c r="E2" s="5262"/>
      <c r="F2" s="5262"/>
      <c r="G2" s="5262"/>
      <c r="H2" s="5262"/>
      <c r="I2" s="5262"/>
      <c r="J2" s="5262"/>
      <c r="K2" s="5263"/>
    </row>
    <row r="3" spans="1:11" ht="18.75" x14ac:dyDescent="0.3">
      <c r="A3" s="618"/>
      <c r="B3" s="279"/>
      <c r="C3" s="279"/>
      <c r="D3" s="279"/>
      <c r="E3" s="279"/>
      <c r="F3" s="279"/>
      <c r="G3" s="279"/>
      <c r="H3" s="279"/>
      <c r="I3" s="279"/>
      <c r="J3" s="279"/>
      <c r="K3" s="619"/>
    </row>
    <row r="4" spans="1:11" ht="18.75" x14ac:dyDescent="0.3">
      <c r="A4" s="5390" t="s">
        <v>654</v>
      </c>
      <c r="B4" s="5262"/>
      <c r="C4" s="5262"/>
      <c r="D4" s="5262"/>
      <c r="E4" s="5262"/>
      <c r="F4" s="5262"/>
      <c r="G4" s="5262"/>
      <c r="H4" s="5262"/>
      <c r="I4" s="5262"/>
      <c r="J4" s="5262"/>
      <c r="K4" s="5263"/>
    </row>
    <row r="5" spans="1:11" ht="18" x14ac:dyDescent="0.25">
      <c r="A5" s="620" t="s">
        <v>655</v>
      </c>
      <c r="B5" s="279"/>
      <c r="C5" s="279"/>
      <c r="D5" s="279"/>
      <c r="E5" s="279"/>
      <c r="F5" s="279"/>
      <c r="G5" s="279"/>
      <c r="H5" s="279"/>
      <c r="I5" s="279"/>
      <c r="J5" s="279"/>
      <c r="K5" s="619"/>
    </row>
    <row r="6" spans="1:11" ht="15" x14ac:dyDescent="0.2">
      <c r="A6" s="5378" t="s">
        <v>477</v>
      </c>
      <c r="B6" s="5262"/>
      <c r="C6" s="5262"/>
      <c r="D6" s="5262"/>
      <c r="E6" s="5262"/>
      <c r="F6" s="5262"/>
      <c r="G6" s="5262"/>
      <c r="H6" s="5262"/>
      <c r="I6" s="5262"/>
      <c r="J6" s="5262"/>
      <c r="K6" s="5263"/>
    </row>
    <row r="7" spans="1:11" ht="18.75" x14ac:dyDescent="0.3">
      <c r="A7" s="621"/>
      <c r="B7" s="279"/>
      <c r="C7" s="279"/>
      <c r="D7" s="279"/>
      <c r="E7" s="279"/>
      <c r="F7" s="279"/>
      <c r="G7" s="279"/>
      <c r="H7" s="279"/>
      <c r="I7" s="279"/>
      <c r="J7" s="279"/>
      <c r="K7" s="619"/>
    </row>
    <row r="8" spans="1:11" x14ac:dyDescent="0.2">
      <c r="A8" s="5394" t="s">
        <v>656</v>
      </c>
      <c r="B8" s="5262"/>
      <c r="C8" s="5262"/>
      <c r="D8" s="5262"/>
      <c r="E8" s="5262"/>
      <c r="F8" s="5262"/>
      <c r="G8" s="5262"/>
      <c r="H8" s="5262"/>
      <c r="I8" s="5262"/>
      <c r="J8" s="5262"/>
      <c r="K8" s="5263"/>
    </row>
    <row r="9" spans="1:11" ht="15" customHeight="1" x14ac:dyDescent="0.2">
      <c r="A9" s="5375" t="s">
        <v>657</v>
      </c>
      <c r="B9" s="5262"/>
      <c r="C9" s="5262"/>
      <c r="D9" s="622" t="s">
        <v>658</v>
      </c>
      <c r="E9" s="623"/>
      <c r="F9" s="623"/>
      <c r="G9" s="623"/>
      <c r="H9" s="623"/>
      <c r="I9" s="623"/>
      <c r="J9" s="623"/>
      <c r="K9" s="624"/>
    </row>
    <row r="10" spans="1:11" ht="15" customHeight="1" x14ac:dyDescent="0.2">
      <c r="A10" s="5384" t="s">
        <v>659</v>
      </c>
      <c r="B10" s="5262"/>
      <c r="C10" s="5262"/>
      <c r="D10" s="5262"/>
      <c r="E10" s="5262"/>
      <c r="F10" s="5262"/>
      <c r="G10" s="5385" t="s">
        <v>660</v>
      </c>
      <c r="H10" s="5386" t="s">
        <v>661</v>
      </c>
      <c r="I10" s="279"/>
      <c r="J10" s="279"/>
      <c r="K10" s="619"/>
    </row>
    <row r="11" spans="1:11" ht="5.25" customHeight="1" x14ac:dyDescent="0.2">
      <c r="A11" s="5384"/>
      <c r="B11" s="5262"/>
      <c r="C11" s="5262"/>
      <c r="D11" s="5262"/>
      <c r="E11" s="5262"/>
      <c r="F11" s="5262"/>
      <c r="G11" s="5385"/>
      <c r="H11" s="5386"/>
      <c r="I11" s="279"/>
      <c r="J11" s="279"/>
      <c r="K11" s="619"/>
    </row>
    <row r="12" spans="1:11" ht="11.25" customHeight="1" x14ac:dyDescent="0.2">
      <c r="A12" s="5375" t="s">
        <v>662</v>
      </c>
      <c r="B12" s="5262"/>
      <c r="C12" s="5262"/>
      <c r="D12" s="5262"/>
      <c r="E12" s="5262"/>
      <c r="F12" s="5262"/>
      <c r="G12" s="5376">
        <v>584</v>
      </c>
      <c r="H12" s="5377" t="s">
        <v>663</v>
      </c>
      <c r="I12" s="279"/>
      <c r="J12" s="279"/>
      <c r="K12" s="619"/>
    </row>
    <row r="13" spans="1:11" ht="6.75" customHeight="1" x14ac:dyDescent="0.2">
      <c r="A13" s="5375"/>
      <c r="B13" s="5262"/>
      <c r="C13" s="5262"/>
      <c r="D13" s="5262"/>
      <c r="E13" s="5262"/>
      <c r="F13" s="5262"/>
      <c r="G13" s="5376"/>
      <c r="H13" s="5377"/>
      <c r="I13" s="279"/>
      <c r="J13" s="279"/>
      <c r="K13" s="619"/>
    </row>
    <row r="14" spans="1:11" ht="15.75" customHeight="1" x14ac:dyDescent="0.2">
      <c r="A14" s="5375" t="s">
        <v>664</v>
      </c>
      <c r="B14" s="5262"/>
      <c r="C14" s="5262"/>
      <c r="D14" s="5262"/>
      <c r="E14" s="5262"/>
      <c r="F14" s="5262"/>
      <c r="G14" s="5376" t="s">
        <v>665</v>
      </c>
      <c r="H14" s="5377" t="s">
        <v>661</v>
      </c>
      <c r="I14" s="279"/>
      <c r="J14" s="279"/>
      <c r="K14" s="619"/>
    </row>
    <row r="15" spans="1:11" ht="13.5" thickBot="1" x14ac:dyDescent="0.25">
      <c r="A15" s="5375"/>
      <c r="B15" s="5262"/>
      <c r="C15" s="5262"/>
      <c r="D15" s="5262"/>
      <c r="E15" s="5262"/>
      <c r="F15" s="5262"/>
      <c r="G15" s="5376"/>
      <c r="H15" s="5377"/>
      <c r="I15" s="279"/>
      <c r="J15" s="279"/>
      <c r="K15" s="619"/>
    </row>
    <row r="16" spans="1:11" ht="23.25" customHeight="1" thickBot="1" x14ac:dyDescent="0.25">
      <c r="A16" s="587" t="s">
        <v>166</v>
      </c>
      <c r="B16" s="587" t="s">
        <v>439</v>
      </c>
      <c r="C16" s="587" t="s">
        <v>358</v>
      </c>
      <c r="D16" s="337"/>
      <c r="E16" s="5365" t="s">
        <v>440</v>
      </c>
      <c r="F16" s="5366"/>
      <c r="G16" s="5365" t="s">
        <v>441</v>
      </c>
      <c r="H16" s="5367"/>
      <c r="I16" s="5366"/>
      <c r="J16" s="5368" t="s">
        <v>442</v>
      </c>
      <c r="K16" s="5369"/>
    </row>
    <row r="17" spans="1:11" ht="23.25" customHeight="1" thickBot="1" x14ac:dyDescent="0.25">
      <c r="A17" s="340" t="s">
        <v>443</v>
      </c>
      <c r="B17" s="340" t="s">
        <v>444</v>
      </c>
      <c r="C17" s="340" t="s">
        <v>445</v>
      </c>
      <c r="D17" s="341" t="s">
        <v>446</v>
      </c>
      <c r="E17" s="589" t="s">
        <v>447</v>
      </c>
      <c r="F17" s="586" t="s">
        <v>448</v>
      </c>
      <c r="G17" s="340" t="s">
        <v>447</v>
      </c>
      <c r="H17" s="341" t="s">
        <v>449</v>
      </c>
      <c r="I17" s="343" t="s">
        <v>448</v>
      </c>
      <c r="J17" s="5370" t="s">
        <v>450</v>
      </c>
      <c r="K17" s="5371"/>
    </row>
    <row r="18" spans="1:11" ht="13.5" thickBot="1" x14ac:dyDescent="0.25">
      <c r="A18" s="588"/>
      <c r="B18" s="588" t="s">
        <v>451</v>
      </c>
      <c r="C18" s="588"/>
      <c r="D18" s="345"/>
      <c r="E18" s="589" t="s">
        <v>449</v>
      </c>
      <c r="F18" s="343" t="s">
        <v>452</v>
      </c>
      <c r="G18" s="585"/>
      <c r="H18" s="346"/>
      <c r="I18" s="343" t="s">
        <v>452</v>
      </c>
      <c r="J18" s="588" t="s">
        <v>453</v>
      </c>
      <c r="K18" s="345" t="s">
        <v>447</v>
      </c>
    </row>
    <row r="19" spans="1:11" ht="13.5" thickBot="1" x14ac:dyDescent="0.25">
      <c r="A19" s="625"/>
      <c r="B19" s="279"/>
      <c r="C19" s="279"/>
      <c r="D19" s="279"/>
      <c r="E19" s="279"/>
      <c r="F19" s="279"/>
      <c r="G19" s="279"/>
      <c r="H19" s="279"/>
      <c r="I19" s="279"/>
      <c r="J19" s="279"/>
      <c r="K19" s="619"/>
    </row>
    <row r="20" spans="1:11" ht="13.5" thickBot="1" x14ac:dyDescent="0.25">
      <c r="A20" s="348">
        <v>1</v>
      </c>
      <c r="B20" s="349">
        <v>2</v>
      </c>
      <c r="C20" s="349">
        <v>3</v>
      </c>
      <c r="D20" s="349">
        <v>4</v>
      </c>
      <c r="E20" s="349">
        <v>5</v>
      </c>
      <c r="F20" s="349">
        <v>6</v>
      </c>
      <c r="G20" s="349">
        <v>7</v>
      </c>
      <c r="H20" s="349">
        <v>8</v>
      </c>
      <c r="I20" s="349">
        <v>9</v>
      </c>
      <c r="J20" s="349">
        <v>10</v>
      </c>
      <c r="K20" s="349">
        <v>11</v>
      </c>
    </row>
    <row r="21" spans="1:11" ht="13.5" thickBot="1" x14ac:dyDescent="0.25">
      <c r="A21" s="611"/>
      <c r="B21" s="612"/>
      <c r="C21" s="612"/>
      <c r="D21" s="612"/>
      <c r="E21" s="612"/>
      <c r="F21" s="612"/>
      <c r="G21" s="612"/>
      <c r="H21" s="612"/>
      <c r="I21" s="612"/>
      <c r="J21" s="612"/>
      <c r="K21" s="612"/>
    </row>
    <row r="22" spans="1:11" ht="13.5" thickBot="1" x14ac:dyDescent="0.25">
      <c r="A22" s="5348"/>
      <c r="B22" s="5349"/>
      <c r="C22" s="5349"/>
      <c r="D22" s="5349"/>
      <c r="E22" s="5349"/>
      <c r="F22" s="5349"/>
      <c r="G22" s="5349"/>
      <c r="H22" s="5349"/>
      <c r="I22" s="5349"/>
      <c r="J22" s="5349"/>
      <c r="K22" s="5350"/>
    </row>
    <row r="23" spans="1:11" ht="13.5" thickBot="1" x14ac:dyDescent="0.25">
      <c r="A23" s="5372" t="s">
        <v>666</v>
      </c>
      <c r="B23" s="5373"/>
      <c r="C23" s="5373"/>
      <c r="D23" s="5373"/>
      <c r="E23" s="5373"/>
      <c r="F23" s="5373"/>
      <c r="G23" s="5373"/>
      <c r="H23" s="5373"/>
      <c r="I23" s="5373"/>
      <c r="J23" s="5373"/>
      <c r="K23" s="5374"/>
    </row>
    <row r="24" spans="1:11" ht="13.5" thickBot="1" x14ac:dyDescent="0.25">
      <c r="A24" s="5348"/>
      <c r="B24" s="5349"/>
      <c r="C24" s="5349"/>
      <c r="D24" s="5349"/>
      <c r="E24" s="5349"/>
      <c r="F24" s="5349"/>
      <c r="G24" s="5349"/>
      <c r="H24" s="5349"/>
      <c r="I24" s="5349"/>
      <c r="J24" s="5349"/>
      <c r="K24" s="5350"/>
    </row>
    <row r="25" spans="1:11" ht="34.5" customHeight="1" x14ac:dyDescent="0.2">
      <c r="A25" s="5358">
        <v>1</v>
      </c>
      <c r="B25" s="5360" t="s">
        <v>667</v>
      </c>
      <c r="C25" s="355" t="s">
        <v>668</v>
      </c>
      <c r="D25" s="356">
        <v>0.26</v>
      </c>
      <c r="E25" s="357">
        <v>40328.97</v>
      </c>
      <c r="F25" s="357">
        <v>37757.160000000003</v>
      </c>
      <c r="G25" s="5358">
        <v>10486</v>
      </c>
      <c r="H25" s="5358">
        <v>669</v>
      </c>
      <c r="I25" s="357">
        <v>9817</v>
      </c>
      <c r="J25" s="357">
        <v>13.22</v>
      </c>
      <c r="K25" s="357">
        <v>3.44</v>
      </c>
    </row>
    <row r="26" spans="1:11" ht="35.25" customHeight="1" thickBot="1" x14ac:dyDescent="0.25">
      <c r="A26" s="5359"/>
      <c r="B26" s="5361"/>
      <c r="C26" s="353" t="s">
        <v>669</v>
      </c>
      <c r="D26" s="354" t="s">
        <v>670</v>
      </c>
      <c r="E26" s="354">
        <v>2571.81</v>
      </c>
      <c r="F26" s="354">
        <v>9733.83</v>
      </c>
      <c r="G26" s="5359"/>
      <c r="H26" s="5359"/>
      <c r="I26" s="354">
        <v>2531</v>
      </c>
      <c r="J26" s="354">
        <v>28.91</v>
      </c>
      <c r="K26" s="354">
        <v>7.52</v>
      </c>
    </row>
    <row r="27" spans="1:11" ht="24" customHeight="1" x14ac:dyDescent="0.2">
      <c r="A27" s="5358">
        <v>2</v>
      </c>
      <c r="B27" s="5360" t="s">
        <v>671</v>
      </c>
      <c r="C27" s="355" t="s">
        <v>672</v>
      </c>
      <c r="D27" s="356">
        <v>0.16</v>
      </c>
      <c r="E27" s="357">
        <v>79627.929999999993</v>
      </c>
      <c r="F27" s="357">
        <v>0</v>
      </c>
      <c r="G27" s="5358">
        <v>12740</v>
      </c>
      <c r="H27" s="5358">
        <v>12740</v>
      </c>
      <c r="I27" s="357">
        <v>0</v>
      </c>
      <c r="J27" s="357">
        <v>381</v>
      </c>
      <c r="K27" s="357">
        <v>60.96</v>
      </c>
    </row>
    <row r="28" spans="1:11" ht="34.5" customHeight="1" thickBot="1" x14ac:dyDescent="0.25">
      <c r="A28" s="5359"/>
      <c r="B28" s="5361"/>
      <c r="C28" s="353" t="s">
        <v>669</v>
      </c>
      <c r="D28" s="354" t="s">
        <v>673</v>
      </c>
      <c r="E28" s="354">
        <v>79627.929999999993</v>
      </c>
      <c r="F28" s="354">
        <v>0</v>
      </c>
      <c r="G28" s="5359"/>
      <c r="H28" s="5359"/>
      <c r="I28" s="354">
        <v>0</v>
      </c>
      <c r="J28" s="354">
        <v>0</v>
      </c>
      <c r="K28" s="354">
        <v>0</v>
      </c>
    </row>
    <row r="29" spans="1:11" ht="12" customHeight="1" x14ac:dyDescent="0.2">
      <c r="A29" s="5358">
        <v>3</v>
      </c>
      <c r="B29" s="5360" t="s">
        <v>674</v>
      </c>
      <c r="C29" s="355" t="s">
        <v>675</v>
      </c>
      <c r="D29" s="356">
        <v>0.5</v>
      </c>
      <c r="E29" s="357">
        <v>19221.080000000002</v>
      </c>
      <c r="F29" s="357">
        <v>19221.080000000002</v>
      </c>
      <c r="G29" s="5358">
        <v>9611</v>
      </c>
      <c r="H29" s="5358">
        <v>0</v>
      </c>
      <c r="I29" s="357">
        <v>9611</v>
      </c>
      <c r="J29" s="357">
        <v>0</v>
      </c>
      <c r="K29" s="357">
        <v>0</v>
      </c>
    </row>
    <row r="30" spans="1:11" ht="34.5" customHeight="1" thickBot="1" x14ac:dyDescent="0.25">
      <c r="A30" s="5359"/>
      <c r="B30" s="5361"/>
      <c r="C30" s="353" t="s">
        <v>669</v>
      </c>
      <c r="D30" s="354" t="s">
        <v>676</v>
      </c>
      <c r="E30" s="354">
        <v>0</v>
      </c>
      <c r="F30" s="354">
        <v>24389.57</v>
      </c>
      <c r="G30" s="5359"/>
      <c r="H30" s="5359"/>
      <c r="I30" s="354">
        <v>12195</v>
      </c>
      <c r="J30" s="354">
        <v>97.21</v>
      </c>
      <c r="K30" s="354">
        <v>48.61</v>
      </c>
    </row>
    <row r="31" spans="1:11" ht="21" customHeight="1" x14ac:dyDescent="0.2">
      <c r="A31" s="5358">
        <v>4</v>
      </c>
      <c r="B31" s="5360" t="s">
        <v>677</v>
      </c>
      <c r="C31" s="355" t="s">
        <v>678</v>
      </c>
      <c r="D31" s="356">
        <v>1</v>
      </c>
      <c r="E31" s="357">
        <v>12431.39</v>
      </c>
      <c r="F31" s="357">
        <v>726.88</v>
      </c>
      <c r="G31" s="5358">
        <v>12431</v>
      </c>
      <c r="H31" s="5358">
        <v>5531</v>
      </c>
      <c r="I31" s="357">
        <v>727</v>
      </c>
      <c r="J31" s="357">
        <v>26</v>
      </c>
      <c r="K31" s="357">
        <v>26</v>
      </c>
    </row>
    <row r="32" spans="1:11" ht="33" customHeight="1" thickBot="1" x14ac:dyDescent="0.25">
      <c r="A32" s="5359"/>
      <c r="B32" s="5361"/>
      <c r="C32" s="353" t="s">
        <v>669</v>
      </c>
      <c r="D32" s="354" t="s">
        <v>679</v>
      </c>
      <c r="E32" s="354">
        <v>5531.19</v>
      </c>
      <c r="F32" s="354">
        <v>97.76</v>
      </c>
      <c r="G32" s="5359"/>
      <c r="H32" s="5359"/>
      <c r="I32" s="354">
        <v>98</v>
      </c>
      <c r="J32" s="354">
        <v>0.72</v>
      </c>
      <c r="K32" s="354">
        <v>0.72</v>
      </c>
    </row>
    <row r="33" spans="1:11" ht="11.25" customHeight="1" x14ac:dyDescent="0.2">
      <c r="A33" s="5358">
        <v>5</v>
      </c>
      <c r="B33" s="5360" t="s">
        <v>680</v>
      </c>
      <c r="C33" s="355" t="s">
        <v>681</v>
      </c>
      <c r="D33" s="356">
        <v>2</v>
      </c>
      <c r="E33" s="357">
        <v>5195.62</v>
      </c>
      <c r="F33" s="357">
        <v>327.29000000000002</v>
      </c>
      <c r="G33" s="5358">
        <v>10391</v>
      </c>
      <c r="H33" s="5358">
        <v>4156</v>
      </c>
      <c r="I33" s="357">
        <v>655</v>
      </c>
      <c r="J33" s="357">
        <v>10.199999999999999</v>
      </c>
      <c r="K33" s="357">
        <v>20.399999999999999</v>
      </c>
    </row>
    <row r="34" spans="1:11" ht="32.25" customHeight="1" thickBot="1" x14ac:dyDescent="0.25">
      <c r="A34" s="5359"/>
      <c r="B34" s="5361"/>
      <c r="C34" s="353" t="s">
        <v>669</v>
      </c>
      <c r="D34" s="354" t="s">
        <v>682</v>
      </c>
      <c r="E34" s="354">
        <v>2078.25</v>
      </c>
      <c r="F34" s="354">
        <v>87.79</v>
      </c>
      <c r="G34" s="5359"/>
      <c r="H34" s="5359"/>
      <c r="I34" s="354">
        <v>176</v>
      </c>
      <c r="J34" s="354">
        <v>0.35</v>
      </c>
      <c r="K34" s="354">
        <v>0.7</v>
      </c>
    </row>
    <row r="35" spans="1:11" ht="32.25" customHeight="1" x14ac:dyDescent="0.2">
      <c r="A35" s="5358">
        <v>6</v>
      </c>
      <c r="B35" s="5360" t="s">
        <v>683</v>
      </c>
      <c r="C35" s="355" t="s">
        <v>684</v>
      </c>
      <c r="D35" s="356">
        <v>6</v>
      </c>
      <c r="E35" s="357">
        <v>904.33</v>
      </c>
      <c r="F35" s="357">
        <v>310.14</v>
      </c>
      <c r="G35" s="5358">
        <v>5426</v>
      </c>
      <c r="H35" s="5358">
        <v>1634</v>
      </c>
      <c r="I35" s="357">
        <v>1861</v>
      </c>
      <c r="J35" s="357">
        <v>1.28</v>
      </c>
      <c r="K35" s="357">
        <v>7.68</v>
      </c>
    </row>
    <row r="36" spans="1:11" ht="34.5" customHeight="1" thickBot="1" x14ac:dyDescent="0.25">
      <c r="A36" s="5359"/>
      <c r="B36" s="5361"/>
      <c r="C36" s="353" t="s">
        <v>669</v>
      </c>
      <c r="D36" s="354" t="s">
        <v>685</v>
      </c>
      <c r="E36" s="354">
        <v>272.33999999999997</v>
      </c>
      <c r="F36" s="354">
        <v>39.409999999999997</v>
      </c>
      <c r="G36" s="5359"/>
      <c r="H36" s="5359"/>
      <c r="I36" s="354">
        <v>236</v>
      </c>
      <c r="J36" s="354">
        <v>0.26</v>
      </c>
      <c r="K36" s="354">
        <v>1.56</v>
      </c>
    </row>
    <row r="37" spans="1:11" ht="33" customHeight="1" x14ac:dyDescent="0.2">
      <c r="A37" s="5358">
        <v>7</v>
      </c>
      <c r="B37" s="5360" t="s">
        <v>686</v>
      </c>
      <c r="C37" s="355" t="s">
        <v>687</v>
      </c>
      <c r="D37" s="356">
        <v>0.27</v>
      </c>
      <c r="E37" s="357">
        <v>7223.86</v>
      </c>
      <c r="F37" s="357">
        <v>7223.86</v>
      </c>
      <c r="G37" s="5358">
        <v>1950</v>
      </c>
      <c r="H37" s="5358">
        <v>0</v>
      </c>
      <c r="I37" s="357">
        <v>1950</v>
      </c>
      <c r="J37" s="357">
        <v>0</v>
      </c>
      <c r="K37" s="357">
        <v>0</v>
      </c>
    </row>
    <row r="38" spans="1:11" ht="33.75" customHeight="1" thickBot="1" x14ac:dyDescent="0.25">
      <c r="A38" s="5359"/>
      <c r="B38" s="5361"/>
      <c r="C38" s="353" t="s">
        <v>669</v>
      </c>
      <c r="D38" s="354" t="s">
        <v>670</v>
      </c>
      <c r="E38" s="354">
        <v>0</v>
      </c>
      <c r="F38" s="354">
        <v>2650.37</v>
      </c>
      <c r="G38" s="5359"/>
      <c r="H38" s="5359"/>
      <c r="I38" s="354">
        <v>716</v>
      </c>
      <c r="J38" s="354">
        <v>7.38</v>
      </c>
      <c r="K38" s="354">
        <v>1.99</v>
      </c>
    </row>
    <row r="39" spans="1:11" ht="24" customHeight="1" x14ac:dyDescent="0.2">
      <c r="A39" s="5358">
        <v>8</v>
      </c>
      <c r="B39" s="5360" t="s">
        <v>688</v>
      </c>
      <c r="C39" s="355" t="s">
        <v>689</v>
      </c>
      <c r="D39" s="356">
        <v>0.16500000000000001</v>
      </c>
      <c r="E39" s="357">
        <v>22633.05</v>
      </c>
      <c r="F39" s="357">
        <v>0</v>
      </c>
      <c r="G39" s="5358">
        <v>3734</v>
      </c>
      <c r="H39" s="5358">
        <v>3734</v>
      </c>
      <c r="I39" s="357">
        <v>0</v>
      </c>
      <c r="J39" s="357">
        <v>121</v>
      </c>
      <c r="K39" s="357">
        <v>19.97</v>
      </c>
    </row>
    <row r="40" spans="1:11" ht="34.5" customHeight="1" thickBot="1" x14ac:dyDescent="0.25">
      <c r="A40" s="5359"/>
      <c r="B40" s="5361"/>
      <c r="C40" s="353" t="s">
        <v>669</v>
      </c>
      <c r="D40" s="354" t="s">
        <v>673</v>
      </c>
      <c r="E40" s="354">
        <v>22633.05</v>
      </c>
      <c r="F40" s="354">
        <v>0</v>
      </c>
      <c r="G40" s="5359"/>
      <c r="H40" s="5359"/>
      <c r="I40" s="354">
        <v>0</v>
      </c>
      <c r="J40" s="354">
        <v>0</v>
      </c>
      <c r="K40" s="354">
        <v>0</v>
      </c>
    </row>
    <row r="41" spans="1:11" ht="12" customHeight="1" x14ac:dyDescent="0.2">
      <c r="A41" s="5358">
        <v>9</v>
      </c>
      <c r="B41" s="5360" t="s">
        <v>478</v>
      </c>
      <c r="C41" s="355" t="s">
        <v>479</v>
      </c>
      <c r="D41" s="356">
        <v>15</v>
      </c>
      <c r="E41" s="357">
        <v>4006.63</v>
      </c>
      <c r="F41" s="357">
        <v>751.4</v>
      </c>
      <c r="G41" s="5358">
        <v>60099</v>
      </c>
      <c r="H41" s="5358">
        <v>20123</v>
      </c>
      <c r="I41" s="357">
        <v>11271</v>
      </c>
      <c r="J41" s="357">
        <v>5.86</v>
      </c>
      <c r="K41" s="357">
        <v>87.9</v>
      </c>
    </row>
    <row r="42" spans="1:11" ht="33.75" customHeight="1" thickBot="1" x14ac:dyDescent="0.25">
      <c r="A42" s="5359"/>
      <c r="B42" s="5361"/>
      <c r="C42" s="353" t="s">
        <v>669</v>
      </c>
      <c r="D42" s="354" t="s">
        <v>480</v>
      </c>
      <c r="E42" s="354">
        <v>1341.52</v>
      </c>
      <c r="F42" s="354">
        <v>138.16999999999999</v>
      </c>
      <c r="G42" s="5359"/>
      <c r="H42" s="5359"/>
      <c r="I42" s="354">
        <v>2073</v>
      </c>
      <c r="J42" s="354">
        <v>0.55000000000000004</v>
      </c>
      <c r="K42" s="354">
        <v>8.25</v>
      </c>
    </row>
    <row r="43" spans="1:11" ht="10.5" customHeight="1" x14ac:dyDescent="0.2">
      <c r="A43" s="5358">
        <v>10</v>
      </c>
      <c r="B43" s="5360" t="s">
        <v>481</v>
      </c>
      <c r="C43" s="355" t="s">
        <v>482</v>
      </c>
      <c r="D43" s="356">
        <v>12</v>
      </c>
      <c r="E43" s="357">
        <v>8765.59</v>
      </c>
      <c r="F43" s="357">
        <v>936.14</v>
      </c>
      <c r="G43" s="5358">
        <v>105187</v>
      </c>
      <c r="H43" s="5358">
        <v>26923</v>
      </c>
      <c r="I43" s="357">
        <v>11234</v>
      </c>
      <c r="J43" s="357">
        <v>9.8000000000000007</v>
      </c>
      <c r="K43" s="357">
        <v>117.6</v>
      </c>
    </row>
    <row r="44" spans="1:11" ht="35.25" customHeight="1" thickBot="1" x14ac:dyDescent="0.25">
      <c r="A44" s="5359"/>
      <c r="B44" s="5361"/>
      <c r="C44" s="353" t="s">
        <v>669</v>
      </c>
      <c r="D44" s="354" t="s">
        <v>480</v>
      </c>
      <c r="E44" s="354">
        <v>2243.6</v>
      </c>
      <c r="F44" s="354">
        <v>138.16999999999999</v>
      </c>
      <c r="G44" s="5359"/>
      <c r="H44" s="5359"/>
      <c r="I44" s="354">
        <v>1658</v>
      </c>
      <c r="J44" s="354">
        <v>0.55000000000000004</v>
      </c>
      <c r="K44" s="354">
        <v>6.6</v>
      </c>
    </row>
    <row r="45" spans="1:11" ht="12" customHeight="1" x14ac:dyDescent="0.2">
      <c r="A45" s="5358">
        <v>11</v>
      </c>
      <c r="B45" s="5360" t="s">
        <v>483</v>
      </c>
      <c r="C45" s="355" t="s">
        <v>484</v>
      </c>
      <c r="D45" s="356">
        <v>3</v>
      </c>
      <c r="E45" s="357">
        <v>14254.95</v>
      </c>
      <c r="F45" s="357">
        <v>1157.76</v>
      </c>
      <c r="G45" s="5358">
        <v>42765</v>
      </c>
      <c r="H45" s="5358">
        <v>9272</v>
      </c>
      <c r="I45" s="357">
        <v>3473</v>
      </c>
      <c r="J45" s="357">
        <v>13.5</v>
      </c>
      <c r="K45" s="357">
        <v>40.5</v>
      </c>
    </row>
    <row r="46" spans="1:11" ht="34.5" customHeight="1" thickBot="1" x14ac:dyDescent="0.25">
      <c r="A46" s="5359"/>
      <c r="B46" s="5361"/>
      <c r="C46" s="353" t="s">
        <v>669</v>
      </c>
      <c r="D46" s="354" t="s">
        <v>480</v>
      </c>
      <c r="E46" s="354">
        <v>3090.81</v>
      </c>
      <c r="F46" s="354">
        <v>138.16999999999999</v>
      </c>
      <c r="G46" s="5359"/>
      <c r="H46" s="5359"/>
      <c r="I46" s="354">
        <v>415</v>
      </c>
      <c r="J46" s="354">
        <v>0.55000000000000004</v>
      </c>
      <c r="K46" s="354">
        <v>1.65</v>
      </c>
    </row>
    <row r="47" spans="1:11" ht="10.5" customHeight="1" x14ac:dyDescent="0.2">
      <c r="A47" s="5358">
        <v>12</v>
      </c>
      <c r="B47" s="5360" t="s">
        <v>690</v>
      </c>
      <c r="C47" s="355" t="s">
        <v>691</v>
      </c>
      <c r="D47" s="356">
        <v>0.6</v>
      </c>
      <c r="E47" s="357">
        <v>145994.18</v>
      </c>
      <c r="F47" s="357">
        <v>103149.95</v>
      </c>
      <c r="G47" s="5358">
        <v>87597</v>
      </c>
      <c r="H47" s="5358">
        <v>24932</v>
      </c>
      <c r="I47" s="357">
        <v>61890</v>
      </c>
      <c r="J47" s="357">
        <v>128.96</v>
      </c>
      <c r="K47" s="357">
        <v>77.38</v>
      </c>
    </row>
    <row r="48" spans="1:11" ht="36" customHeight="1" thickBot="1" x14ac:dyDescent="0.25">
      <c r="A48" s="5359"/>
      <c r="B48" s="5361"/>
      <c r="C48" s="353" t="s">
        <v>669</v>
      </c>
      <c r="D48" s="354" t="s">
        <v>504</v>
      </c>
      <c r="E48" s="354">
        <v>41554.03</v>
      </c>
      <c r="F48" s="354">
        <v>12446.06</v>
      </c>
      <c r="G48" s="5359"/>
      <c r="H48" s="5359"/>
      <c r="I48" s="354">
        <v>7468</v>
      </c>
      <c r="J48" s="354">
        <v>55.8</v>
      </c>
      <c r="K48" s="354">
        <v>33.479999999999997</v>
      </c>
    </row>
    <row r="49" spans="1:11" ht="12.75" customHeight="1" x14ac:dyDescent="0.2">
      <c r="A49" s="5358">
        <v>13</v>
      </c>
      <c r="B49" s="5360" t="s">
        <v>692</v>
      </c>
      <c r="C49" s="355" t="s">
        <v>693</v>
      </c>
      <c r="D49" s="356">
        <v>0.72</v>
      </c>
      <c r="E49" s="357">
        <v>190490.87</v>
      </c>
      <c r="F49" s="357">
        <v>134224.35999999999</v>
      </c>
      <c r="G49" s="5358">
        <v>137153</v>
      </c>
      <c r="H49" s="5358">
        <v>39273</v>
      </c>
      <c r="I49" s="357">
        <v>96642</v>
      </c>
      <c r="J49" s="357">
        <v>169.28</v>
      </c>
      <c r="K49" s="357">
        <v>121.88</v>
      </c>
    </row>
    <row r="50" spans="1:11" ht="33.75" customHeight="1" thickBot="1" x14ac:dyDescent="0.25">
      <c r="A50" s="5359"/>
      <c r="B50" s="5361"/>
      <c r="C50" s="353" t="s">
        <v>669</v>
      </c>
      <c r="D50" s="354" t="s">
        <v>504</v>
      </c>
      <c r="E50" s="354">
        <v>54546.27</v>
      </c>
      <c r="F50" s="354">
        <v>16418</v>
      </c>
      <c r="G50" s="5359"/>
      <c r="H50" s="5359"/>
      <c r="I50" s="354">
        <v>11821</v>
      </c>
      <c r="J50" s="354">
        <v>73.400000000000006</v>
      </c>
      <c r="K50" s="354">
        <v>52.85</v>
      </c>
    </row>
    <row r="51" spans="1:11" ht="13.5" thickBot="1" x14ac:dyDescent="0.25">
      <c r="A51" s="5348"/>
      <c r="B51" s="5349"/>
      <c r="C51" s="5349"/>
      <c r="D51" s="5349"/>
      <c r="E51" s="5349"/>
      <c r="F51" s="5349"/>
      <c r="G51" s="5349"/>
      <c r="H51" s="5349"/>
      <c r="I51" s="5349"/>
      <c r="J51" s="5349"/>
      <c r="K51" s="5350"/>
    </row>
    <row r="52" spans="1:11" x14ac:dyDescent="0.2">
      <c r="A52" s="5351" t="s">
        <v>694</v>
      </c>
      <c r="B52" s="5352"/>
      <c r="C52" s="5352"/>
      <c r="D52" s="5352"/>
      <c r="E52" s="5352"/>
      <c r="F52" s="5354"/>
      <c r="G52" s="5354">
        <v>499570</v>
      </c>
      <c r="H52" s="5354">
        <v>148987</v>
      </c>
      <c r="I52" s="626">
        <v>209131</v>
      </c>
      <c r="J52" s="5354"/>
      <c r="K52" s="357">
        <v>583.70000000000005</v>
      </c>
    </row>
    <row r="53" spans="1:11" ht="13.5" thickBot="1" x14ac:dyDescent="0.25">
      <c r="A53" s="5353"/>
      <c r="B53" s="5346"/>
      <c r="C53" s="5346"/>
      <c r="D53" s="5346"/>
      <c r="E53" s="5346"/>
      <c r="F53" s="5355"/>
      <c r="G53" s="5355"/>
      <c r="H53" s="5355"/>
      <c r="I53" s="616">
        <v>39387</v>
      </c>
      <c r="J53" s="5355"/>
      <c r="K53" s="354">
        <v>163.92</v>
      </c>
    </row>
    <row r="54" spans="1:11" ht="13.5" thickBot="1" x14ac:dyDescent="0.25">
      <c r="A54" s="5348"/>
      <c r="B54" s="5349"/>
      <c r="C54" s="5349"/>
      <c r="D54" s="5349"/>
      <c r="E54" s="5349"/>
      <c r="F54" s="5349"/>
      <c r="G54" s="5349"/>
      <c r="H54" s="5349"/>
      <c r="I54" s="5349"/>
      <c r="J54" s="5349"/>
      <c r="K54" s="5350"/>
    </row>
    <row r="55" spans="1:11" x14ac:dyDescent="0.2">
      <c r="A55" s="5351" t="s">
        <v>695</v>
      </c>
      <c r="B55" s="5352"/>
      <c r="C55" s="5352"/>
      <c r="D55" s="5352"/>
      <c r="E55" s="5352"/>
      <c r="F55" s="5354"/>
      <c r="G55" s="5354">
        <v>499570</v>
      </c>
      <c r="H55" s="5354">
        <v>148987</v>
      </c>
      <c r="I55" s="626">
        <v>209131</v>
      </c>
      <c r="J55" s="5354"/>
      <c r="K55" s="357">
        <v>583.70000000000005</v>
      </c>
    </row>
    <row r="56" spans="1:11" ht="13.5" thickBot="1" x14ac:dyDescent="0.25">
      <c r="A56" s="5353"/>
      <c r="B56" s="5346"/>
      <c r="C56" s="5346"/>
      <c r="D56" s="5346"/>
      <c r="E56" s="5346"/>
      <c r="F56" s="5355"/>
      <c r="G56" s="5355"/>
      <c r="H56" s="5355"/>
      <c r="I56" s="616">
        <v>39387</v>
      </c>
      <c r="J56" s="5355"/>
      <c r="K56" s="354">
        <v>163.92</v>
      </c>
    </row>
    <row r="57" spans="1:11" ht="13.5" thickBot="1" x14ac:dyDescent="0.25">
      <c r="A57" s="611"/>
      <c r="B57" s="612"/>
      <c r="C57" s="612"/>
      <c r="D57" s="612"/>
      <c r="E57" s="612"/>
      <c r="F57" s="612"/>
      <c r="G57" s="612"/>
      <c r="H57" s="612"/>
      <c r="I57" s="612"/>
      <c r="J57" s="612"/>
      <c r="K57" s="612"/>
    </row>
    <row r="58" spans="1:11" x14ac:dyDescent="0.2">
      <c r="A58" s="627"/>
      <c r="B58" s="279"/>
      <c r="C58" s="279"/>
      <c r="D58" s="279"/>
      <c r="E58" s="279"/>
      <c r="F58" s="279"/>
      <c r="G58" s="279"/>
      <c r="H58" s="279"/>
      <c r="I58" s="279"/>
      <c r="J58" s="279"/>
      <c r="K58" s="619"/>
    </row>
    <row r="59" spans="1:11" x14ac:dyDescent="0.2">
      <c r="A59" s="628"/>
      <c r="B59" s="279"/>
      <c r="C59" s="279"/>
      <c r="D59" s="279"/>
      <c r="E59" s="279"/>
      <c r="F59" s="279"/>
      <c r="G59" s="279"/>
      <c r="H59" s="279"/>
      <c r="I59" s="279"/>
      <c r="J59" s="279"/>
      <c r="K59" s="619"/>
    </row>
    <row r="60" spans="1:11" x14ac:dyDescent="0.2">
      <c r="A60" s="628"/>
      <c r="B60" s="279"/>
      <c r="C60" s="5343" t="s">
        <v>696</v>
      </c>
      <c r="D60" s="5262"/>
      <c r="E60" s="5262"/>
      <c r="F60" s="5262"/>
      <c r="G60" s="5262"/>
      <c r="H60" s="5262"/>
      <c r="I60" s="5343" t="s">
        <v>697</v>
      </c>
      <c r="J60" s="5343" t="s">
        <v>698</v>
      </c>
      <c r="K60" s="355" t="s">
        <v>561</v>
      </c>
    </row>
    <row r="61" spans="1:11" x14ac:dyDescent="0.2">
      <c r="A61" s="628"/>
      <c r="B61" s="279"/>
      <c r="C61" s="5343"/>
      <c r="D61" s="5262"/>
      <c r="E61" s="5262"/>
      <c r="F61" s="5262"/>
      <c r="G61" s="5262"/>
      <c r="H61" s="5262"/>
      <c r="I61" s="5343"/>
      <c r="J61" s="5343"/>
      <c r="K61" s="355" t="s">
        <v>699</v>
      </c>
    </row>
    <row r="62" spans="1:11" ht="13.5" thickBot="1" x14ac:dyDescent="0.25">
      <c r="A62" s="628"/>
      <c r="B62" s="279"/>
      <c r="C62" s="5343" t="s">
        <v>54</v>
      </c>
      <c r="D62" s="5262"/>
      <c r="E62" s="5262"/>
      <c r="F62" s="5262"/>
      <c r="G62" s="5262"/>
      <c r="H62" s="5262"/>
      <c r="I62" s="616"/>
      <c r="J62" s="616"/>
      <c r="K62" s="354" t="s">
        <v>700</v>
      </c>
    </row>
    <row r="63" spans="1:11" ht="13.5" thickBot="1" x14ac:dyDescent="0.25">
      <c r="A63" s="628"/>
      <c r="B63" s="279"/>
      <c r="C63" s="5343" t="s">
        <v>701</v>
      </c>
      <c r="D63" s="5262"/>
      <c r="E63" s="5262"/>
      <c r="F63" s="5262"/>
      <c r="G63" s="5262"/>
      <c r="H63" s="5262"/>
      <c r="I63" s="616">
        <v>0.6</v>
      </c>
      <c r="J63" s="616">
        <v>85</v>
      </c>
      <c r="K63" s="354" t="s">
        <v>702</v>
      </c>
    </row>
    <row r="64" spans="1:11" ht="13.5" thickBot="1" x14ac:dyDescent="0.25">
      <c r="A64" s="628"/>
      <c r="B64" s="279"/>
      <c r="C64" s="5343" t="s">
        <v>703</v>
      </c>
      <c r="D64" s="5262"/>
      <c r="E64" s="5262"/>
      <c r="F64" s="5262"/>
      <c r="G64" s="5262"/>
      <c r="H64" s="5262"/>
      <c r="I64" s="616">
        <v>0.6</v>
      </c>
      <c r="J64" s="616">
        <v>71</v>
      </c>
      <c r="K64" s="354" t="s">
        <v>704</v>
      </c>
    </row>
    <row r="65" spans="1:11" ht="13.5" thickBot="1" x14ac:dyDescent="0.25">
      <c r="A65" s="628"/>
      <c r="B65" s="279"/>
      <c r="C65" s="5343" t="s">
        <v>705</v>
      </c>
      <c r="D65" s="5262"/>
      <c r="E65" s="5262"/>
      <c r="F65" s="5262"/>
      <c r="G65" s="5262"/>
      <c r="H65" s="5262"/>
      <c r="I65" s="616">
        <v>0.6</v>
      </c>
      <c r="J65" s="616">
        <v>71</v>
      </c>
      <c r="K65" s="354" t="s">
        <v>706</v>
      </c>
    </row>
    <row r="66" spans="1:11" ht="13.5" thickBot="1" x14ac:dyDescent="0.25">
      <c r="A66" s="628"/>
      <c r="B66" s="279"/>
      <c r="C66" s="5343" t="s">
        <v>707</v>
      </c>
      <c r="D66" s="5262"/>
      <c r="E66" s="5262"/>
      <c r="F66" s="5262"/>
      <c r="G66" s="5262"/>
      <c r="H66" s="5262"/>
      <c r="I66" s="616">
        <v>0.6</v>
      </c>
      <c r="J66" s="616">
        <v>116</v>
      </c>
      <c r="K66" s="354" t="s">
        <v>708</v>
      </c>
    </row>
    <row r="67" spans="1:11" ht="13.5" thickBot="1" x14ac:dyDescent="0.25">
      <c r="A67" s="628"/>
      <c r="B67" s="279"/>
      <c r="C67" s="5343" t="s">
        <v>709</v>
      </c>
      <c r="D67" s="5262"/>
      <c r="E67" s="5262"/>
      <c r="F67" s="5262"/>
      <c r="G67" s="5262"/>
      <c r="H67" s="5262"/>
      <c r="I67" s="616">
        <v>0.6</v>
      </c>
      <c r="J67" s="616">
        <v>92</v>
      </c>
      <c r="K67" s="354" t="s">
        <v>710</v>
      </c>
    </row>
    <row r="68" spans="1:11" ht="13.5" thickBot="1" x14ac:dyDescent="0.25">
      <c r="A68" s="628"/>
      <c r="B68" s="279"/>
      <c r="C68" s="5343" t="s">
        <v>711</v>
      </c>
      <c r="D68" s="5262"/>
      <c r="E68" s="5262"/>
      <c r="F68" s="5262"/>
      <c r="G68" s="5262"/>
      <c r="H68" s="5262"/>
      <c r="I68" s="616"/>
      <c r="J68" s="616"/>
      <c r="K68" s="354" t="s">
        <v>712</v>
      </c>
    </row>
    <row r="69" spans="1:11" ht="13.5" thickBot="1" x14ac:dyDescent="0.25">
      <c r="A69" s="628"/>
      <c r="B69" s="279"/>
      <c r="C69" s="5343" t="s">
        <v>54</v>
      </c>
      <c r="D69" s="5262"/>
      <c r="E69" s="5262"/>
      <c r="F69" s="5262"/>
      <c r="G69" s="5262"/>
      <c r="H69" s="5262"/>
      <c r="I69" s="616"/>
      <c r="J69" s="616"/>
      <c r="K69" s="354" t="s">
        <v>713</v>
      </c>
    </row>
    <row r="70" spans="1:11" ht="13.5" thickBot="1" x14ac:dyDescent="0.25">
      <c r="A70" s="628"/>
      <c r="B70" s="279"/>
      <c r="C70" s="5343" t="s">
        <v>714</v>
      </c>
      <c r="D70" s="5262"/>
      <c r="E70" s="5262"/>
      <c r="F70" s="5262"/>
      <c r="G70" s="5262"/>
      <c r="H70" s="5262"/>
      <c r="I70" s="616"/>
      <c r="J70" s="616">
        <v>40</v>
      </c>
      <c r="K70" s="354" t="s">
        <v>715</v>
      </c>
    </row>
    <row r="71" spans="1:11" ht="13.5" thickBot="1" x14ac:dyDescent="0.25">
      <c r="A71" s="628"/>
      <c r="B71" s="279"/>
      <c r="C71" s="5343" t="s">
        <v>716</v>
      </c>
      <c r="D71" s="5262"/>
      <c r="E71" s="5262"/>
      <c r="F71" s="5262"/>
      <c r="G71" s="5262"/>
      <c r="H71" s="5262"/>
      <c r="I71" s="616"/>
      <c r="J71" s="616">
        <v>36</v>
      </c>
      <c r="K71" s="354" t="s">
        <v>717</v>
      </c>
    </row>
    <row r="72" spans="1:11" ht="13.5" thickBot="1" x14ac:dyDescent="0.25">
      <c r="A72" s="628"/>
      <c r="B72" s="279"/>
      <c r="C72" s="5343" t="s">
        <v>718</v>
      </c>
      <c r="D72" s="5262"/>
      <c r="E72" s="5262"/>
      <c r="F72" s="5262"/>
      <c r="G72" s="5262"/>
      <c r="H72" s="5262"/>
      <c r="I72" s="616"/>
      <c r="J72" s="616">
        <v>36</v>
      </c>
      <c r="K72" s="354" t="s">
        <v>719</v>
      </c>
    </row>
    <row r="73" spans="1:11" ht="13.5" thickBot="1" x14ac:dyDescent="0.25">
      <c r="A73" s="628"/>
      <c r="B73" s="279"/>
      <c r="C73" s="5343" t="s">
        <v>720</v>
      </c>
      <c r="D73" s="5262"/>
      <c r="E73" s="5262"/>
      <c r="F73" s="5262"/>
      <c r="G73" s="5262"/>
      <c r="H73" s="5262"/>
      <c r="I73" s="616"/>
      <c r="J73" s="616">
        <v>71</v>
      </c>
      <c r="K73" s="354" t="s">
        <v>721</v>
      </c>
    </row>
    <row r="74" spans="1:11" ht="13.5" thickBot="1" x14ac:dyDescent="0.25">
      <c r="A74" s="628"/>
      <c r="B74" s="279"/>
      <c r="C74" s="5343" t="s">
        <v>722</v>
      </c>
      <c r="D74" s="5262"/>
      <c r="E74" s="5262"/>
      <c r="F74" s="5262"/>
      <c r="G74" s="5262"/>
      <c r="H74" s="5262"/>
      <c r="I74" s="616"/>
      <c r="J74" s="616">
        <v>54</v>
      </c>
      <c r="K74" s="354" t="s">
        <v>723</v>
      </c>
    </row>
    <row r="75" spans="1:11" ht="13.5" thickBot="1" x14ac:dyDescent="0.25">
      <c r="A75" s="628"/>
      <c r="B75" s="279"/>
      <c r="C75" s="5343" t="s">
        <v>724</v>
      </c>
      <c r="D75" s="5262"/>
      <c r="E75" s="5262"/>
      <c r="F75" s="5262"/>
      <c r="G75" s="5262"/>
      <c r="H75" s="5262"/>
      <c r="I75" s="616"/>
      <c r="J75" s="616"/>
      <c r="K75" s="354" t="s">
        <v>725</v>
      </c>
    </row>
    <row r="76" spans="1:11" ht="13.5" thickBot="1" x14ac:dyDescent="0.25">
      <c r="A76" s="628"/>
      <c r="B76" s="279"/>
      <c r="C76" s="5343" t="s">
        <v>54</v>
      </c>
      <c r="D76" s="5262"/>
      <c r="E76" s="5262"/>
      <c r="F76" s="5262"/>
      <c r="G76" s="5262"/>
      <c r="H76" s="5262"/>
      <c r="I76" s="616"/>
      <c r="J76" s="616"/>
      <c r="K76" s="354" t="s">
        <v>726</v>
      </c>
    </row>
    <row r="77" spans="1:11" ht="13.5" thickBot="1" x14ac:dyDescent="0.25">
      <c r="A77" s="628"/>
      <c r="B77" s="279"/>
      <c r="C77" s="5343" t="s">
        <v>727</v>
      </c>
      <c r="D77" s="5262"/>
      <c r="E77" s="5262"/>
      <c r="F77" s="5262"/>
      <c r="G77" s="5262"/>
      <c r="H77" s="5262"/>
      <c r="I77" s="616"/>
      <c r="J77" s="616">
        <v>18</v>
      </c>
      <c r="K77" s="354" t="s">
        <v>728</v>
      </c>
    </row>
    <row r="78" spans="1:11" ht="13.5" thickBot="1" x14ac:dyDescent="0.25">
      <c r="A78" s="628"/>
      <c r="B78" s="279"/>
      <c r="C78" s="5343" t="s">
        <v>282</v>
      </c>
      <c r="D78" s="5262"/>
      <c r="E78" s="5262"/>
      <c r="F78" s="5262"/>
      <c r="G78" s="5262"/>
      <c r="H78" s="5262"/>
      <c r="I78" s="616"/>
      <c r="J78" s="616"/>
      <c r="K78" s="354" t="s">
        <v>660</v>
      </c>
    </row>
    <row r="79" spans="1:11" ht="13.5" thickBot="1" x14ac:dyDescent="0.25">
      <c r="A79" s="615"/>
      <c r="B79" s="614"/>
      <c r="C79" s="5346" t="s">
        <v>729</v>
      </c>
      <c r="D79" s="4243"/>
      <c r="E79" s="4243"/>
      <c r="F79" s="4243"/>
      <c r="G79" s="4243"/>
      <c r="H79" s="4243"/>
      <c r="I79" s="616"/>
      <c r="J79" s="616"/>
      <c r="K79" s="354" t="s">
        <v>660</v>
      </c>
    </row>
    <row r="80" spans="1:11" ht="15.75" x14ac:dyDescent="0.25">
      <c r="K80" s="638">
        <v>821297</v>
      </c>
    </row>
    <row r="81" spans="1:12" ht="13.5" thickBot="1" x14ac:dyDescent="0.25"/>
    <row r="82" spans="1:12" ht="18.75" x14ac:dyDescent="0.3">
      <c r="A82" s="5387" t="s">
        <v>730</v>
      </c>
      <c r="B82" s="5388"/>
      <c r="C82" s="5388"/>
      <c r="D82" s="5388"/>
      <c r="E82" s="5388"/>
      <c r="F82" s="5388"/>
      <c r="G82" s="5388"/>
      <c r="H82" s="5388"/>
      <c r="I82" s="5388"/>
      <c r="J82" s="5388"/>
      <c r="K82" s="5388"/>
      <c r="L82" s="629"/>
    </row>
    <row r="83" spans="1:12" ht="13.5" x14ac:dyDescent="0.25">
      <c r="A83" s="5389" t="s">
        <v>653</v>
      </c>
      <c r="B83" s="5031"/>
      <c r="C83" s="5031"/>
      <c r="D83" s="5031"/>
      <c r="E83" s="5031"/>
      <c r="F83" s="5031"/>
      <c r="G83" s="5031"/>
      <c r="H83" s="5031"/>
      <c r="I83" s="5031"/>
      <c r="J83" s="5031"/>
      <c r="K83" s="5031"/>
      <c r="L83" s="630"/>
    </row>
    <row r="84" spans="1:12" ht="18.75" x14ac:dyDescent="0.3">
      <c r="A84" s="631"/>
      <c r="B84" s="632"/>
      <c r="C84" s="632"/>
      <c r="D84" s="632"/>
      <c r="E84" s="632"/>
      <c r="F84" s="632"/>
      <c r="G84" s="632"/>
      <c r="H84" s="632"/>
      <c r="I84" s="632"/>
      <c r="J84" s="632"/>
      <c r="K84" s="632"/>
      <c r="L84" s="630"/>
    </row>
    <row r="85" spans="1:12" ht="18.75" x14ac:dyDescent="0.3">
      <c r="A85" s="5390" t="s">
        <v>731</v>
      </c>
      <c r="B85" s="5031"/>
      <c r="C85" s="5031"/>
      <c r="D85" s="5031"/>
      <c r="E85" s="5031"/>
      <c r="F85" s="5031"/>
      <c r="G85" s="5031"/>
      <c r="H85" s="5031"/>
      <c r="I85" s="5031"/>
      <c r="J85" s="5031"/>
      <c r="K85" s="5031"/>
      <c r="L85" s="5379"/>
    </row>
    <row r="86" spans="1:12" ht="18" x14ac:dyDescent="0.25">
      <c r="A86" s="620" t="s">
        <v>655</v>
      </c>
      <c r="B86" s="632"/>
      <c r="C86" s="632"/>
      <c r="D86" s="632"/>
      <c r="E86" s="632"/>
      <c r="F86" s="632"/>
      <c r="G86" s="632"/>
      <c r="H86" s="632"/>
      <c r="I86" s="632"/>
      <c r="J86" s="632"/>
      <c r="K86" s="632"/>
      <c r="L86" s="630"/>
    </row>
    <row r="87" spans="1:12" x14ac:dyDescent="0.2">
      <c r="A87" s="5378" t="s">
        <v>732</v>
      </c>
      <c r="B87" s="5031"/>
      <c r="C87" s="5031"/>
      <c r="D87" s="5031"/>
      <c r="E87" s="5031"/>
      <c r="F87" s="5031"/>
      <c r="G87" s="5031"/>
      <c r="H87" s="5031"/>
      <c r="I87" s="5031"/>
      <c r="J87" s="5031"/>
      <c r="K87" s="5031"/>
      <c r="L87" s="5379"/>
    </row>
    <row r="88" spans="1:12" x14ac:dyDescent="0.2">
      <c r="A88" s="5380"/>
      <c r="B88" s="5031"/>
      <c r="C88" s="5031"/>
      <c r="D88" s="5031"/>
      <c r="E88" s="5031"/>
      <c r="F88" s="5031"/>
      <c r="G88" s="5031"/>
      <c r="H88" s="5031"/>
      <c r="I88" s="5031"/>
      <c r="J88" s="5031"/>
      <c r="K88" s="5031"/>
      <c r="L88" s="5379"/>
    </row>
    <row r="89" spans="1:12" x14ac:dyDescent="0.2">
      <c r="A89" s="5381" t="s">
        <v>656</v>
      </c>
      <c r="B89" s="5382"/>
      <c r="C89" s="632"/>
      <c r="D89" s="632"/>
      <c r="E89" s="632"/>
      <c r="F89" s="632"/>
      <c r="G89" s="632"/>
      <c r="H89" s="632"/>
      <c r="I89" s="632"/>
      <c r="J89" s="632"/>
      <c r="K89" s="632"/>
      <c r="L89" s="630"/>
    </row>
    <row r="90" spans="1:12" ht="13.5" x14ac:dyDescent="0.2">
      <c r="A90" s="633"/>
      <c r="B90" s="634"/>
      <c r="C90" s="632"/>
      <c r="D90" s="632"/>
      <c r="E90" s="632"/>
      <c r="F90" s="632"/>
      <c r="G90" s="632"/>
      <c r="H90" s="632"/>
      <c r="I90" s="632"/>
      <c r="J90" s="632"/>
      <c r="K90" s="632"/>
      <c r="L90" s="630"/>
    </row>
    <row r="91" spans="1:12" x14ac:dyDescent="0.2">
      <c r="A91" s="5381" t="s">
        <v>657</v>
      </c>
      <c r="B91" s="5031"/>
      <c r="C91" s="5031"/>
      <c r="D91" s="5383" t="s">
        <v>733</v>
      </c>
      <c r="E91" s="5031"/>
      <c r="F91" s="5031"/>
      <c r="G91" s="5031"/>
      <c r="H91" s="5031"/>
      <c r="I91" s="5031"/>
      <c r="J91" s="5031"/>
      <c r="K91" s="5031"/>
      <c r="L91" s="5379"/>
    </row>
    <row r="92" spans="1:12" ht="18.75" x14ac:dyDescent="0.3">
      <c r="A92" s="621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619"/>
    </row>
    <row r="93" spans="1:12" ht="12.75" customHeight="1" x14ac:dyDescent="0.2">
      <c r="A93" s="5384" t="s">
        <v>659</v>
      </c>
      <c r="B93" s="5262"/>
      <c r="C93" s="5262"/>
      <c r="D93" s="5262"/>
      <c r="E93" s="5262"/>
      <c r="F93" s="5385" t="s">
        <v>734</v>
      </c>
      <c r="G93" s="5386" t="s">
        <v>661</v>
      </c>
      <c r="H93" s="279"/>
      <c r="I93" s="279"/>
      <c r="J93" s="279"/>
      <c r="K93" s="279"/>
      <c r="L93" s="619"/>
    </row>
    <row r="94" spans="1:12" x14ac:dyDescent="0.2">
      <c r="A94" s="5384"/>
      <c r="B94" s="5262"/>
      <c r="C94" s="5262"/>
      <c r="D94" s="5262"/>
      <c r="E94" s="5262"/>
      <c r="F94" s="5385"/>
      <c r="G94" s="5386"/>
      <c r="H94" s="279"/>
      <c r="I94" s="279"/>
      <c r="J94" s="279"/>
      <c r="K94" s="279"/>
      <c r="L94" s="619"/>
    </row>
    <row r="95" spans="1:12" ht="13.5" customHeight="1" x14ac:dyDescent="0.2">
      <c r="A95" s="5375" t="s">
        <v>662</v>
      </c>
      <c r="B95" s="5262"/>
      <c r="C95" s="5262"/>
      <c r="D95" s="5262"/>
      <c r="E95" s="5262"/>
      <c r="F95" s="5376">
        <v>951</v>
      </c>
      <c r="G95" s="5377" t="s">
        <v>663</v>
      </c>
      <c r="H95" s="279"/>
      <c r="I95" s="279"/>
      <c r="J95" s="279"/>
      <c r="K95" s="279"/>
      <c r="L95" s="619"/>
    </row>
    <row r="96" spans="1:12" x14ac:dyDescent="0.2">
      <c r="A96" s="5375"/>
      <c r="B96" s="5262"/>
      <c r="C96" s="5262"/>
      <c r="D96" s="5262"/>
      <c r="E96" s="5262"/>
      <c r="F96" s="5376"/>
      <c r="G96" s="5377"/>
      <c r="H96" s="279"/>
      <c r="I96" s="279"/>
      <c r="J96" s="279"/>
      <c r="K96" s="279"/>
      <c r="L96" s="619"/>
    </row>
    <row r="97" spans="1:12" ht="13.5" customHeight="1" x14ac:dyDescent="0.2">
      <c r="A97" s="5375" t="s">
        <v>664</v>
      </c>
      <c r="B97" s="5262"/>
      <c r="C97" s="5262"/>
      <c r="D97" s="5262"/>
      <c r="E97" s="5262"/>
      <c r="F97" s="5376" t="s">
        <v>735</v>
      </c>
      <c r="G97" s="5377" t="s">
        <v>661</v>
      </c>
      <c r="H97" s="279"/>
      <c r="I97" s="279"/>
      <c r="J97" s="279"/>
      <c r="K97" s="279"/>
      <c r="L97" s="619"/>
    </row>
    <row r="98" spans="1:12" ht="13.5" thickBot="1" x14ac:dyDescent="0.25">
      <c r="A98" s="5375"/>
      <c r="B98" s="5262"/>
      <c r="C98" s="5262"/>
      <c r="D98" s="5262"/>
      <c r="E98" s="5262"/>
      <c r="F98" s="5376"/>
      <c r="G98" s="5377"/>
      <c r="H98" s="279"/>
      <c r="I98" s="279"/>
      <c r="J98" s="279"/>
      <c r="K98" s="279"/>
      <c r="L98" s="619"/>
    </row>
    <row r="99" spans="1:12" ht="13.5" thickBot="1" x14ac:dyDescent="0.25">
      <c r="A99" s="587" t="s">
        <v>166</v>
      </c>
      <c r="B99" s="587" t="s">
        <v>439</v>
      </c>
      <c r="C99" s="587" t="s">
        <v>358</v>
      </c>
      <c r="D99" s="337"/>
      <c r="E99" s="5365" t="s">
        <v>440</v>
      </c>
      <c r="F99" s="5366"/>
      <c r="G99" s="5365" t="s">
        <v>441</v>
      </c>
      <c r="H99" s="5367"/>
      <c r="I99" s="5366"/>
      <c r="J99" s="5368" t="s">
        <v>442</v>
      </c>
      <c r="K99" s="5369"/>
      <c r="L99" s="619"/>
    </row>
    <row r="100" spans="1:12" ht="13.5" thickBot="1" x14ac:dyDescent="0.25">
      <c r="A100" s="340" t="s">
        <v>443</v>
      </c>
      <c r="B100" s="340" t="s">
        <v>444</v>
      </c>
      <c r="C100" s="340" t="s">
        <v>445</v>
      </c>
      <c r="D100" s="341" t="s">
        <v>446</v>
      </c>
      <c r="E100" s="589" t="s">
        <v>447</v>
      </c>
      <c r="F100" s="586" t="s">
        <v>448</v>
      </c>
      <c r="G100" s="340" t="s">
        <v>447</v>
      </c>
      <c r="H100" s="341" t="s">
        <v>449</v>
      </c>
      <c r="I100" s="343" t="s">
        <v>448</v>
      </c>
      <c r="J100" s="5370" t="s">
        <v>450</v>
      </c>
      <c r="K100" s="5371"/>
      <c r="L100" s="619"/>
    </row>
    <row r="101" spans="1:12" ht="13.5" thickBot="1" x14ac:dyDescent="0.25">
      <c r="A101" s="588"/>
      <c r="B101" s="588" t="s">
        <v>451</v>
      </c>
      <c r="C101" s="588"/>
      <c r="D101" s="345"/>
      <c r="E101" s="589" t="s">
        <v>449</v>
      </c>
      <c r="F101" s="343" t="s">
        <v>452</v>
      </c>
      <c r="G101" s="585"/>
      <c r="H101" s="346"/>
      <c r="I101" s="343" t="s">
        <v>452</v>
      </c>
      <c r="J101" s="588" t="s">
        <v>453</v>
      </c>
      <c r="K101" s="345" t="s">
        <v>447</v>
      </c>
      <c r="L101" s="619"/>
    </row>
    <row r="102" spans="1:12" ht="13.5" thickBot="1" x14ac:dyDescent="0.25">
      <c r="A102" s="625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619"/>
    </row>
    <row r="103" spans="1:12" ht="13.5" thickBot="1" x14ac:dyDescent="0.25">
      <c r="A103" s="348">
        <v>1</v>
      </c>
      <c r="B103" s="349">
        <v>2</v>
      </c>
      <c r="C103" s="349">
        <v>3</v>
      </c>
      <c r="D103" s="349">
        <v>4</v>
      </c>
      <c r="E103" s="349">
        <v>5</v>
      </c>
      <c r="F103" s="349">
        <v>6</v>
      </c>
      <c r="G103" s="349">
        <v>7</v>
      </c>
      <c r="H103" s="349">
        <v>8</v>
      </c>
      <c r="I103" s="349">
        <v>9</v>
      </c>
      <c r="J103" s="349">
        <v>10</v>
      </c>
      <c r="K103" s="349">
        <v>11</v>
      </c>
      <c r="L103" s="635"/>
    </row>
    <row r="104" spans="1:12" ht="13.5" thickBot="1" x14ac:dyDescent="0.25">
      <c r="A104" s="611"/>
      <c r="B104" s="612"/>
      <c r="C104" s="612"/>
      <c r="D104" s="612"/>
      <c r="E104" s="612"/>
      <c r="F104" s="612"/>
      <c r="G104" s="612"/>
      <c r="H104" s="612"/>
      <c r="I104" s="612"/>
      <c r="J104" s="612"/>
      <c r="K104" s="612"/>
      <c r="L104" s="635"/>
    </row>
    <row r="105" spans="1:12" ht="13.5" thickBot="1" x14ac:dyDescent="0.25">
      <c r="A105" s="5348"/>
      <c r="B105" s="5349"/>
      <c r="C105" s="5349"/>
      <c r="D105" s="5349"/>
      <c r="E105" s="5349"/>
      <c r="F105" s="5349"/>
      <c r="G105" s="5349"/>
      <c r="H105" s="5349"/>
      <c r="I105" s="5349"/>
      <c r="J105" s="5349"/>
      <c r="K105" s="5350"/>
      <c r="L105" s="635"/>
    </row>
    <row r="106" spans="1:12" ht="13.5" thickBot="1" x14ac:dyDescent="0.25">
      <c r="A106" s="5372" t="s">
        <v>736</v>
      </c>
      <c r="B106" s="5373"/>
      <c r="C106" s="5373"/>
      <c r="D106" s="5373"/>
      <c r="E106" s="5373"/>
      <c r="F106" s="5373"/>
      <c r="G106" s="5373"/>
      <c r="H106" s="5373"/>
      <c r="I106" s="5373"/>
      <c r="J106" s="5373"/>
      <c r="K106" s="5374"/>
      <c r="L106" s="635"/>
    </row>
    <row r="107" spans="1:12" ht="13.5" thickBot="1" x14ac:dyDescent="0.25">
      <c r="A107" s="5348"/>
      <c r="B107" s="5349"/>
      <c r="C107" s="5349"/>
      <c r="D107" s="5349"/>
      <c r="E107" s="5349"/>
      <c r="F107" s="5349"/>
      <c r="G107" s="5349"/>
      <c r="H107" s="5349"/>
      <c r="I107" s="5349"/>
      <c r="J107" s="5349"/>
      <c r="K107" s="5350"/>
      <c r="L107" s="636"/>
    </row>
    <row r="108" spans="1:12" ht="33.75" x14ac:dyDescent="0.2">
      <c r="A108" s="5358">
        <v>1</v>
      </c>
      <c r="B108" s="5360" t="s">
        <v>737</v>
      </c>
      <c r="C108" s="5360" t="s">
        <v>674</v>
      </c>
      <c r="D108" s="355" t="s">
        <v>738</v>
      </c>
      <c r="E108" s="356">
        <v>0.8</v>
      </c>
      <c r="F108" s="357">
        <v>19221.080000000002</v>
      </c>
      <c r="G108" s="357">
        <v>19221.080000000002</v>
      </c>
      <c r="H108" s="5358">
        <v>15377</v>
      </c>
      <c r="I108" s="5358">
        <v>0</v>
      </c>
      <c r="J108" s="357">
        <v>15377</v>
      </c>
      <c r="K108" s="357">
        <v>0</v>
      </c>
      <c r="L108" s="357">
        <v>0</v>
      </c>
    </row>
    <row r="109" spans="1:12" ht="169.5" thickBot="1" x14ac:dyDescent="0.25">
      <c r="A109" s="5359"/>
      <c r="B109" s="5361"/>
      <c r="C109" s="5361"/>
      <c r="D109" s="353" t="s">
        <v>669</v>
      </c>
      <c r="E109" s="354" t="s">
        <v>676</v>
      </c>
      <c r="F109" s="354">
        <v>0</v>
      </c>
      <c r="G109" s="354">
        <v>24389.57</v>
      </c>
      <c r="H109" s="5359"/>
      <c r="I109" s="5359"/>
      <c r="J109" s="354">
        <v>19512</v>
      </c>
      <c r="K109" s="354">
        <v>97.21</v>
      </c>
      <c r="L109" s="354">
        <v>77.77</v>
      </c>
    </row>
    <row r="110" spans="1:12" ht="22.5" x14ac:dyDescent="0.2">
      <c r="A110" s="5358">
        <v>2</v>
      </c>
      <c r="B110" s="5360" t="s">
        <v>739</v>
      </c>
      <c r="C110" s="355" t="s">
        <v>740</v>
      </c>
      <c r="D110" s="356">
        <v>0.2</v>
      </c>
      <c r="E110" s="357">
        <v>110221.54</v>
      </c>
      <c r="F110" s="357">
        <v>49699.94</v>
      </c>
      <c r="G110" s="5358">
        <v>22044</v>
      </c>
      <c r="H110" s="5358">
        <v>12104</v>
      </c>
      <c r="I110" s="357">
        <v>9940</v>
      </c>
      <c r="J110" s="357">
        <v>292.02</v>
      </c>
      <c r="K110" s="357">
        <v>58.4</v>
      </c>
      <c r="L110" s="5364"/>
    </row>
    <row r="111" spans="1:12" ht="33.75" x14ac:dyDescent="0.2">
      <c r="A111" s="5362"/>
      <c r="B111" s="5363"/>
      <c r="C111" s="355" t="s">
        <v>493</v>
      </c>
      <c r="D111" s="357" t="s">
        <v>742</v>
      </c>
      <c r="E111" s="357">
        <v>60521.599999999999</v>
      </c>
      <c r="F111" s="357">
        <v>12684.38</v>
      </c>
      <c r="G111" s="5362"/>
      <c r="H111" s="5362"/>
      <c r="I111" s="357">
        <v>2537</v>
      </c>
      <c r="J111" s="357">
        <v>49.67</v>
      </c>
      <c r="K111" s="357">
        <v>9.93</v>
      </c>
      <c r="L111" s="5347"/>
    </row>
    <row r="112" spans="1:12" ht="34.5" thickBot="1" x14ac:dyDescent="0.25">
      <c r="A112" s="5359"/>
      <c r="B112" s="5361"/>
      <c r="C112" s="353" t="s">
        <v>741</v>
      </c>
      <c r="D112" s="358"/>
      <c r="E112" s="358"/>
      <c r="F112" s="358"/>
      <c r="G112" s="5359"/>
      <c r="H112" s="5359"/>
      <c r="I112" s="358"/>
      <c r="J112" s="358"/>
      <c r="K112" s="358"/>
      <c r="L112" s="5347"/>
    </row>
    <row r="113" spans="1:12" x14ac:dyDescent="0.2">
      <c r="A113" s="5358">
        <v>3</v>
      </c>
      <c r="B113" s="5360" t="s">
        <v>743</v>
      </c>
      <c r="C113" s="355" t="s">
        <v>744</v>
      </c>
      <c r="D113" s="356">
        <v>20</v>
      </c>
      <c r="E113" s="357">
        <v>534.51</v>
      </c>
      <c r="F113" s="357">
        <v>0</v>
      </c>
      <c r="G113" s="5358">
        <v>10690</v>
      </c>
      <c r="H113" s="5358">
        <v>10690</v>
      </c>
      <c r="I113" s="357">
        <v>0</v>
      </c>
      <c r="J113" s="357">
        <v>2.72</v>
      </c>
      <c r="K113" s="357">
        <v>54.48</v>
      </c>
      <c r="L113" s="5347"/>
    </row>
    <row r="114" spans="1:12" x14ac:dyDescent="0.2">
      <c r="A114" s="5362"/>
      <c r="B114" s="5363"/>
      <c r="C114" s="355" t="s">
        <v>493</v>
      </c>
      <c r="D114" s="357" t="s">
        <v>457</v>
      </c>
      <c r="E114" s="357">
        <v>534.51</v>
      </c>
      <c r="F114" s="357">
        <v>0</v>
      </c>
      <c r="G114" s="5362"/>
      <c r="H114" s="5362"/>
      <c r="I114" s="357">
        <v>0</v>
      </c>
      <c r="J114" s="357">
        <v>0</v>
      </c>
      <c r="K114" s="357">
        <v>0</v>
      </c>
      <c r="L114" s="5347"/>
    </row>
    <row r="115" spans="1:12" ht="34.5" thickBot="1" x14ac:dyDescent="0.25">
      <c r="A115" s="5359"/>
      <c r="B115" s="5361"/>
      <c r="C115" s="353" t="s">
        <v>741</v>
      </c>
      <c r="D115" s="358"/>
      <c r="E115" s="358"/>
      <c r="F115" s="358"/>
      <c r="G115" s="5359"/>
      <c r="H115" s="5359"/>
      <c r="I115" s="358"/>
      <c r="J115" s="358"/>
      <c r="K115" s="358"/>
      <c r="L115" s="5347"/>
    </row>
    <row r="116" spans="1:12" x14ac:dyDescent="0.2">
      <c r="A116" s="5358">
        <v>4</v>
      </c>
      <c r="B116" s="5360" t="s">
        <v>745</v>
      </c>
      <c r="C116" s="355" t="s">
        <v>746</v>
      </c>
      <c r="D116" s="356">
        <v>10</v>
      </c>
      <c r="E116" s="357">
        <v>345.7</v>
      </c>
      <c r="F116" s="357">
        <v>63.38</v>
      </c>
      <c r="G116" s="5358">
        <v>3457</v>
      </c>
      <c r="H116" s="5358">
        <v>2823</v>
      </c>
      <c r="I116" s="357">
        <v>634</v>
      </c>
      <c r="J116" s="357">
        <v>1.31</v>
      </c>
      <c r="K116" s="357">
        <v>13.1</v>
      </c>
      <c r="L116" s="5347"/>
    </row>
    <row r="117" spans="1:12" ht="34.5" thickBot="1" x14ac:dyDescent="0.25">
      <c r="A117" s="5359"/>
      <c r="B117" s="5361"/>
      <c r="C117" s="353" t="s">
        <v>669</v>
      </c>
      <c r="D117" s="354" t="s">
        <v>747</v>
      </c>
      <c r="E117" s="354">
        <v>282.32</v>
      </c>
      <c r="F117" s="354">
        <v>0</v>
      </c>
      <c r="G117" s="5359"/>
      <c r="H117" s="5359"/>
      <c r="I117" s="354">
        <v>0</v>
      </c>
      <c r="J117" s="354">
        <v>7.0000000000000007E-2</v>
      </c>
      <c r="K117" s="354">
        <v>0.7</v>
      </c>
      <c r="L117" s="5347"/>
    </row>
    <row r="118" spans="1:12" ht="33.75" x14ac:dyDescent="0.2">
      <c r="A118" s="5358">
        <v>5</v>
      </c>
      <c r="B118" s="5360" t="s">
        <v>491</v>
      </c>
      <c r="C118" s="355" t="s">
        <v>492</v>
      </c>
      <c r="D118" s="356">
        <v>0.8</v>
      </c>
      <c r="E118" s="357">
        <v>64165.23</v>
      </c>
      <c r="F118" s="357">
        <v>8630.9699999999993</v>
      </c>
      <c r="G118" s="5358">
        <v>51332</v>
      </c>
      <c r="H118" s="5358">
        <v>15897</v>
      </c>
      <c r="I118" s="357">
        <v>6905</v>
      </c>
      <c r="J118" s="357">
        <v>95.88</v>
      </c>
      <c r="K118" s="357">
        <v>76.7</v>
      </c>
      <c r="L118" s="5347"/>
    </row>
    <row r="119" spans="1:12" x14ac:dyDescent="0.2">
      <c r="A119" s="5362"/>
      <c r="B119" s="5363"/>
      <c r="C119" s="355" t="s">
        <v>493</v>
      </c>
      <c r="D119" s="357" t="s">
        <v>494</v>
      </c>
      <c r="E119" s="357">
        <v>19871.29</v>
      </c>
      <c r="F119" s="357">
        <v>2421.77</v>
      </c>
      <c r="G119" s="5362"/>
      <c r="H119" s="5362"/>
      <c r="I119" s="357">
        <v>1937</v>
      </c>
      <c r="J119" s="357">
        <v>7.81</v>
      </c>
      <c r="K119" s="357">
        <v>6.25</v>
      </c>
      <c r="L119" s="5347"/>
    </row>
    <row r="120" spans="1:12" ht="34.5" thickBot="1" x14ac:dyDescent="0.25">
      <c r="A120" s="5359"/>
      <c r="B120" s="5361"/>
      <c r="C120" s="353" t="s">
        <v>741</v>
      </c>
      <c r="D120" s="358"/>
      <c r="E120" s="358"/>
      <c r="F120" s="358"/>
      <c r="G120" s="5359"/>
      <c r="H120" s="5359"/>
      <c r="I120" s="358"/>
      <c r="J120" s="358"/>
      <c r="K120" s="358"/>
      <c r="L120" s="5347"/>
    </row>
    <row r="121" spans="1:12" x14ac:dyDescent="0.2">
      <c r="A121" s="5358">
        <v>6</v>
      </c>
      <c r="B121" s="5360" t="s">
        <v>496</v>
      </c>
      <c r="C121" s="355" t="s">
        <v>497</v>
      </c>
      <c r="D121" s="356">
        <v>4.5</v>
      </c>
      <c r="E121" s="357">
        <v>11932</v>
      </c>
      <c r="F121" s="357">
        <v>307.44</v>
      </c>
      <c r="G121" s="5358">
        <v>53694</v>
      </c>
      <c r="H121" s="5358">
        <v>35040</v>
      </c>
      <c r="I121" s="357">
        <v>1383</v>
      </c>
      <c r="J121" s="357">
        <v>38.93</v>
      </c>
      <c r="K121" s="357">
        <v>175.18</v>
      </c>
      <c r="L121" s="5347"/>
    </row>
    <row r="122" spans="1:12" x14ac:dyDescent="0.2">
      <c r="A122" s="5362"/>
      <c r="B122" s="5363"/>
      <c r="C122" s="355" t="s">
        <v>498</v>
      </c>
      <c r="D122" s="357" t="s">
        <v>499</v>
      </c>
      <c r="E122" s="357">
        <v>7786.59</v>
      </c>
      <c r="F122" s="357">
        <v>133.93</v>
      </c>
      <c r="G122" s="5362"/>
      <c r="H122" s="5362"/>
      <c r="I122" s="357">
        <v>603</v>
      </c>
      <c r="J122" s="357">
        <v>0.43</v>
      </c>
      <c r="K122" s="357">
        <v>1.94</v>
      </c>
      <c r="L122" s="5347"/>
    </row>
    <row r="123" spans="1:12" ht="34.5" thickBot="1" x14ac:dyDescent="0.25">
      <c r="A123" s="5359"/>
      <c r="B123" s="5361"/>
      <c r="C123" s="353" t="s">
        <v>741</v>
      </c>
      <c r="D123" s="358"/>
      <c r="E123" s="358"/>
      <c r="F123" s="358"/>
      <c r="G123" s="5359"/>
      <c r="H123" s="5359"/>
      <c r="I123" s="358"/>
      <c r="J123" s="358"/>
      <c r="K123" s="358"/>
      <c r="L123" s="5347"/>
    </row>
    <row r="124" spans="1:12" x14ac:dyDescent="0.2">
      <c r="A124" s="5358">
        <v>7</v>
      </c>
      <c r="B124" s="5360" t="s">
        <v>500</v>
      </c>
      <c r="C124" s="355" t="s">
        <v>501</v>
      </c>
      <c r="D124" s="356">
        <v>3.4</v>
      </c>
      <c r="E124" s="357">
        <v>13649.9</v>
      </c>
      <c r="F124" s="357">
        <v>54.34</v>
      </c>
      <c r="G124" s="5358">
        <v>46410</v>
      </c>
      <c r="H124" s="5358">
        <v>25063</v>
      </c>
      <c r="I124" s="357">
        <v>185</v>
      </c>
      <c r="J124" s="357">
        <v>34.65</v>
      </c>
      <c r="K124" s="357">
        <v>117.81</v>
      </c>
      <c r="L124" s="5347"/>
    </row>
    <row r="125" spans="1:12" x14ac:dyDescent="0.2">
      <c r="A125" s="5362"/>
      <c r="B125" s="5363"/>
      <c r="C125" s="355" t="s">
        <v>498</v>
      </c>
      <c r="D125" s="357" t="s">
        <v>494</v>
      </c>
      <c r="E125" s="357">
        <v>7371.52</v>
      </c>
      <c r="F125" s="357">
        <v>0</v>
      </c>
      <c r="G125" s="5362"/>
      <c r="H125" s="5362"/>
      <c r="I125" s="357">
        <v>0</v>
      </c>
      <c r="J125" s="357">
        <v>0.06</v>
      </c>
      <c r="K125" s="357">
        <v>0.2</v>
      </c>
      <c r="L125" s="5347"/>
    </row>
    <row r="126" spans="1:12" ht="34.5" thickBot="1" x14ac:dyDescent="0.25">
      <c r="A126" s="5359"/>
      <c r="B126" s="5361"/>
      <c r="C126" s="353" t="s">
        <v>741</v>
      </c>
      <c r="D126" s="358"/>
      <c r="E126" s="358"/>
      <c r="F126" s="358"/>
      <c r="G126" s="5359"/>
      <c r="H126" s="5359"/>
      <c r="I126" s="358"/>
      <c r="J126" s="358"/>
      <c r="K126" s="358"/>
      <c r="L126" s="5347"/>
    </row>
    <row r="127" spans="1:12" ht="22.5" x14ac:dyDescent="0.2">
      <c r="A127" s="5358">
        <v>8</v>
      </c>
      <c r="B127" s="5360" t="s">
        <v>748</v>
      </c>
      <c r="C127" s="355" t="s">
        <v>749</v>
      </c>
      <c r="D127" s="356">
        <v>20</v>
      </c>
      <c r="E127" s="357">
        <v>1297.83</v>
      </c>
      <c r="F127" s="357">
        <v>27.64</v>
      </c>
      <c r="G127" s="5358">
        <v>25957</v>
      </c>
      <c r="H127" s="5358">
        <v>25404</v>
      </c>
      <c r="I127" s="357">
        <v>553</v>
      </c>
      <c r="J127" s="357">
        <v>6.58</v>
      </c>
      <c r="K127" s="357">
        <v>131.6</v>
      </c>
      <c r="L127" s="5347"/>
    </row>
    <row r="128" spans="1:12" ht="34.5" thickBot="1" x14ac:dyDescent="0.25">
      <c r="A128" s="5359"/>
      <c r="B128" s="5361"/>
      <c r="C128" s="353" t="s">
        <v>669</v>
      </c>
      <c r="D128" s="354" t="s">
        <v>750</v>
      </c>
      <c r="E128" s="354">
        <v>1270.19</v>
      </c>
      <c r="F128" s="354">
        <v>0</v>
      </c>
      <c r="G128" s="5359"/>
      <c r="H128" s="5359"/>
      <c r="I128" s="354">
        <v>0</v>
      </c>
      <c r="J128" s="354">
        <v>0</v>
      </c>
      <c r="K128" s="354">
        <v>0</v>
      </c>
      <c r="L128" s="5347"/>
    </row>
    <row r="129" spans="1:12" x14ac:dyDescent="0.2">
      <c r="A129" s="5358">
        <v>9</v>
      </c>
      <c r="B129" s="5360" t="s">
        <v>751</v>
      </c>
      <c r="C129" s="355" t="s">
        <v>752</v>
      </c>
      <c r="D129" s="356">
        <v>25</v>
      </c>
      <c r="E129" s="357">
        <v>336.26</v>
      </c>
      <c r="F129" s="357">
        <v>90.6</v>
      </c>
      <c r="G129" s="5358">
        <v>8406</v>
      </c>
      <c r="H129" s="5358">
        <v>6142</v>
      </c>
      <c r="I129" s="357">
        <v>2265</v>
      </c>
      <c r="J129" s="357">
        <v>1.1399999999999999</v>
      </c>
      <c r="K129" s="357">
        <v>28.5</v>
      </c>
      <c r="L129" s="5347"/>
    </row>
    <row r="130" spans="1:12" ht="34.5" thickBot="1" x14ac:dyDescent="0.25">
      <c r="A130" s="5359"/>
      <c r="B130" s="5361"/>
      <c r="C130" s="353" t="s">
        <v>669</v>
      </c>
      <c r="D130" s="354" t="s">
        <v>753</v>
      </c>
      <c r="E130" s="354">
        <v>245.66</v>
      </c>
      <c r="F130" s="354">
        <v>0</v>
      </c>
      <c r="G130" s="5359"/>
      <c r="H130" s="5359"/>
      <c r="I130" s="354">
        <v>0</v>
      </c>
      <c r="J130" s="354">
        <v>0.1</v>
      </c>
      <c r="K130" s="354">
        <v>2.5</v>
      </c>
      <c r="L130" s="5347"/>
    </row>
    <row r="131" spans="1:12" x14ac:dyDescent="0.2">
      <c r="A131" s="5358">
        <v>10</v>
      </c>
      <c r="B131" s="5360" t="s">
        <v>754</v>
      </c>
      <c r="C131" s="355" t="s">
        <v>755</v>
      </c>
      <c r="D131" s="356">
        <v>10</v>
      </c>
      <c r="E131" s="357">
        <v>491.39</v>
      </c>
      <c r="F131" s="357">
        <v>90.6</v>
      </c>
      <c r="G131" s="5358">
        <v>4914</v>
      </c>
      <c r="H131" s="5358">
        <v>4008</v>
      </c>
      <c r="I131" s="357">
        <v>906</v>
      </c>
      <c r="J131" s="357">
        <v>1.86</v>
      </c>
      <c r="K131" s="357">
        <v>18.600000000000001</v>
      </c>
      <c r="L131" s="5347"/>
    </row>
    <row r="132" spans="1:12" ht="34.5" thickBot="1" x14ac:dyDescent="0.25">
      <c r="A132" s="5359"/>
      <c r="B132" s="5361"/>
      <c r="C132" s="353" t="s">
        <v>669</v>
      </c>
      <c r="D132" s="354" t="s">
        <v>753</v>
      </c>
      <c r="E132" s="354">
        <v>400.79</v>
      </c>
      <c r="F132" s="354">
        <v>0</v>
      </c>
      <c r="G132" s="5359"/>
      <c r="H132" s="5359"/>
      <c r="I132" s="354">
        <v>0</v>
      </c>
      <c r="J132" s="354">
        <v>0.1</v>
      </c>
      <c r="K132" s="354">
        <v>1</v>
      </c>
      <c r="L132" s="5347"/>
    </row>
    <row r="133" spans="1:12" x14ac:dyDescent="0.2">
      <c r="A133" s="5358">
        <v>11</v>
      </c>
      <c r="B133" s="5360" t="s">
        <v>756</v>
      </c>
      <c r="C133" s="355" t="s">
        <v>757</v>
      </c>
      <c r="D133" s="356">
        <v>10</v>
      </c>
      <c r="E133" s="357">
        <v>1049.04</v>
      </c>
      <c r="F133" s="357">
        <v>521.05999999999995</v>
      </c>
      <c r="G133" s="5358">
        <v>10490</v>
      </c>
      <c r="H133" s="5358">
        <v>5280</v>
      </c>
      <c r="I133" s="357">
        <v>5211</v>
      </c>
      <c r="J133" s="357">
        <v>2.4500000000000002</v>
      </c>
      <c r="K133" s="357">
        <v>24.5</v>
      </c>
      <c r="L133" s="5347"/>
    </row>
    <row r="134" spans="1:12" ht="34.5" thickBot="1" x14ac:dyDescent="0.25">
      <c r="A134" s="5359"/>
      <c r="B134" s="5361"/>
      <c r="C134" s="353" t="s">
        <v>669</v>
      </c>
      <c r="D134" s="354" t="s">
        <v>753</v>
      </c>
      <c r="E134" s="354">
        <v>527.98</v>
      </c>
      <c r="F134" s="354">
        <v>124.7</v>
      </c>
      <c r="G134" s="5359"/>
      <c r="H134" s="5359"/>
      <c r="I134" s="354">
        <v>1247</v>
      </c>
      <c r="J134" s="354">
        <v>0.47</v>
      </c>
      <c r="K134" s="354">
        <v>4.7</v>
      </c>
      <c r="L134" s="5347"/>
    </row>
    <row r="135" spans="1:12" ht="22.5" x14ac:dyDescent="0.2">
      <c r="A135" s="5358">
        <v>12</v>
      </c>
      <c r="B135" s="5360" t="s">
        <v>454</v>
      </c>
      <c r="C135" s="355" t="s">
        <v>455</v>
      </c>
      <c r="D135" s="356">
        <v>10</v>
      </c>
      <c r="E135" s="357">
        <v>4803.8100000000004</v>
      </c>
      <c r="F135" s="357">
        <v>90.6</v>
      </c>
      <c r="G135" s="5358">
        <v>48038</v>
      </c>
      <c r="H135" s="5358">
        <v>9637</v>
      </c>
      <c r="I135" s="357">
        <v>906</v>
      </c>
      <c r="J135" s="357">
        <v>4.53</v>
      </c>
      <c r="K135" s="357">
        <v>45.3</v>
      </c>
      <c r="L135" s="5347"/>
    </row>
    <row r="136" spans="1:12" ht="34.5" thickBot="1" x14ac:dyDescent="0.25">
      <c r="A136" s="5359"/>
      <c r="B136" s="5361"/>
      <c r="C136" s="353" t="s">
        <v>669</v>
      </c>
      <c r="D136" s="354" t="s">
        <v>457</v>
      </c>
      <c r="E136" s="354">
        <v>963.68</v>
      </c>
      <c r="F136" s="354">
        <v>0</v>
      </c>
      <c r="G136" s="5359"/>
      <c r="H136" s="5359"/>
      <c r="I136" s="354">
        <v>0</v>
      </c>
      <c r="J136" s="354">
        <v>0.1</v>
      </c>
      <c r="K136" s="354">
        <v>1</v>
      </c>
      <c r="L136" s="5347"/>
    </row>
    <row r="137" spans="1:12" ht="22.5" x14ac:dyDescent="0.2">
      <c r="A137" s="5358">
        <v>13</v>
      </c>
      <c r="B137" s="5360" t="s">
        <v>458</v>
      </c>
      <c r="C137" s="355" t="s">
        <v>459</v>
      </c>
      <c r="D137" s="356">
        <v>6</v>
      </c>
      <c r="E137" s="357">
        <v>1472.01</v>
      </c>
      <c r="F137" s="357">
        <v>9.0399999999999991</v>
      </c>
      <c r="G137" s="5358">
        <v>8832</v>
      </c>
      <c r="H137" s="5358">
        <v>1339</v>
      </c>
      <c r="I137" s="357">
        <v>54</v>
      </c>
      <c r="J137" s="357">
        <v>1.01</v>
      </c>
      <c r="K137" s="357">
        <v>6.06</v>
      </c>
      <c r="L137" s="5347"/>
    </row>
    <row r="138" spans="1:12" ht="57" thickBot="1" x14ac:dyDescent="0.25">
      <c r="A138" s="5359"/>
      <c r="B138" s="5361"/>
      <c r="C138" s="353" t="s">
        <v>669</v>
      </c>
      <c r="D138" s="354" t="s">
        <v>460</v>
      </c>
      <c r="E138" s="354">
        <v>223.21</v>
      </c>
      <c r="F138" s="354">
        <v>0</v>
      </c>
      <c r="G138" s="5359"/>
      <c r="H138" s="5359"/>
      <c r="I138" s="354">
        <v>0</v>
      </c>
      <c r="J138" s="354">
        <v>0.01</v>
      </c>
      <c r="K138" s="354">
        <v>0.06</v>
      </c>
      <c r="L138" s="5347"/>
    </row>
    <row r="139" spans="1:12" ht="22.5" x14ac:dyDescent="0.2">
      <c r="A139" s="5358">
        <v>14</v>
      </c>
      <c r="B139" s="5360" t="s">
        <v>461</v>
      </c>
      <c r="C139" s="355" t="s">
        <v>462</v>
      </c>
      <c r="D139" s="356">
        <v>6</v>
      </c>
      <c r="E139" s="357">
        <v>2364.29</v>
      </c>
      <c r="F139" s="357">
        <v>27.22</v>
      </c>
      <c r="G139" s="5358">
        <v>14186</v>
      </c>
      <c r="H139" s="5358">
        <v>2215</v>
      </c>
      <c r="I139" s="357">
        <v>163</v>
      </c>
      <c r="J139" s="357">
        <v>1.67</v>
      </c>
      <c r="K139" s="357">
        <v>10.02</v>
      </c>
      <c r="L139" s="5347"/>
    </row>
    <row r="140" spans="1:12" ht="57" thickBot="1" x14ac:dyDescent="0.25">
      <c r="A140" s="5359"/>
      <c r="B140" s="5361"/>
      <c r="C140" s="353" t="s">
        <v>669</v>
      </c>
      <c r="D140" s="354" t="s">
        <v>460</v>
      </c>
      <c r="E140" s="354">
        <v>369.11</v>
      </c>
      <c r="F140" s="354">
        <v>0</v>
      </c>
      <c r="G140" s="5359"/>
      <c r="H140" s="5359"/>
      <c r="I140" s="354">
        <v>0</v>
      </c>
      <c r="J140" s="354">
        <v>0.03</v>
      </c>
      <c r="K140" s="354">
        <v>0.18</v>
      </c>
      <c r="L140" s="5347"/>
    </row>
    <row r="141" spans="1:12" ht="22.5" x14ac:dyDescent="0.2">
      <c r="A141" s="5358">
        <v>15</v>
      </c>
      <c r="B141" s="5360" t="s">
        <v>463</v>
      </c>
      <c r="C141" s="355" t="s">
        <v>464</v>
      </c>
      <c r="D141" s="356">
        <v>5</v>
      </c>
      <c r="E141" s="357">
        <v>2703.56</v>
      </c>
      <c r="F141" s="357">
        <v>27.22</v>
      </c>
      <c r="G141" s="5358">
        <v>13518</v>
      </c>
      <c r="H141" s="5358">
        <v>1878</v>
      </c>
      <c r="I141" s="357">
        <v>136</v>
      </c>
      <c r="J141" s="357">
        <v>1.7</v>
      </c>
      <c r="K141" s="357">
        <v>8.5</v>
      </c>
      <c r="L141" s="5347"/>
    </row>
    <row r="142" spans="1:12" ht="57" thickBot="1" x14ac:dyDescent="0.25">
      <c r="A142" s="5359"/>
      <c r="B142" s="5361"/>
      <c r="C142" s="353" t="s">
        <v>669</v>
      </c>
      <c r="D142" s="354" t="s">
        <v>460</v>
      </c>
      <c r="E142" s="354">
        <v>375.6</v>
      </c>
      <c r="F142" s="354">
        <v>0</v>
      </c>
      <c r="G142" s="5359"/>
      <c r="H142" s="5359"/>
      <c r="I142" s="354">
        <v>0</v>
      </c>
      <c r="J142" s="354">
        <v>0.03</v>
      </c>
      <c r="K142" s="354">
        <v>0.15</v>
      </c>
      <c r="L142" s="5347"/>
    </row>
    <row r="143" spans="1:12" ht="22.5" x14ac:dyDescent="0.2">
      <c r="A143" s="5358">
        <v>16</v>
      </c>
      <c r="B143" s="5360" t="s">
        <v>465</v>
      </c>
      <c r="C143" s="355" t="s">
        <v>466</v>
      </c>
      <c r="D143" s="356">
        <v>4</v>
      </c>
      <c r="E143" s="357">
        <v>4736.55</v>
      </c>
      <c r="F143" s="357">
        <v>63.38</v>
      </c>
      <c r="G143" s="5358">
        <v>18946</v>
      </c>
      <c r="H143" s="5358">
        <v>2515</v>
      </c>
      <c r="I143" s="357">
        <v>254</v>
      </c>
      <c r="J143" s="357">
        <v>2.78</v>
      </c>
      <c r="K143" s="357">
        <v>11.12</v>
      </c>
      <c r="L143" s="5347"/>
    </row>
    <row r="144" spans="1:12" ht="57" thickBot="1" x14ac:dyDescent="0.25">
      <c r="A144" s="5359"/>
      <c r="B144" s="5361"/>
      <c r="C144" s="353" t="s">
        <v>669</v>
      </c>
      <c r="D144" s="354" t="s">
        <v>460</v>
      </c>
      <c r="E144" s="354">
        <v>628.74</v>
      </c>
      <c r="F144" s="354">
        <v>0</v>
      </c>
      <c r="G144" s="5359"/>
      <c r="H144" s="5359"/>
      <c r="I144" s="354">
        <v>0</v>
      </c>
      <c r="J144" s="354">
        <v>7.0000000000000007E-2</v>
      </c>
      <c r="K144" s="354">
        <v>0.28000000000000003</v>
      </c>
      <c r="L144" s="5347"/>
    </row>
    <row r="145" spans="1:12" ht="22.5" x14ac:dyDescent="0.2">
      <c r="A145" s="5358">
        <v>17</v>
      </c>
      <c r="B145" s="5360" t="s">
        <v>467</v>
      </c>
      <c r="C145" s="355" t="s">
        <v>468</v>
      </c>
      <c r="D145" s="356">
        <v>4</v>
      </c>
      <c r="E145" s="357">
        <v>7296.17</v>
      </c>
      <c r="F145" s="357">
        <v>500.38</v>
      </c>
      <c r="G145" s="5358">
        <v>29185</v>
      </c>
      <c r="H145" s="5358">
        <v>3599</v>
      </c>
      <c r="I145" s="357">
        <v>2002</v>
      </c>
      <c r="J145" s="357">
        <v>3.93</v>
      </c>
      <c r="K145" s="357">
        <v>15.72</v>
      </c>
      <c r="L145" s="5347"/>
    </row>
    <row r="146" spans="1:12" ht="57" thickBot="1" x14ac:dyDescent="0.25">
      <c r="A146" s="5359"/>
      <c r="B146" s="5361"/>
      <c r="C146" s="353" t="s">
        <v>669</v>
      </c>
      <c r="D146" s="354" t="s">
        <v>460</v>
      </c>
      <c r="E146" s="354">
        <v>899.84</v>
      </c>
      <c r="F146" s="354">
        <v>89.04</v>
      </c>
      <c r="G146" s="5359"/>
      <c r="H146" s="5359"/>
      <c r="I146" s="354">
        <v>356</v>
      </c>
      <c r="J146" s="354">
        <v>0.36</v>
      </c>
      <c r="K146" s="354">
        <v>1.44</v>
      </c>
      <c r="L146" s="5347"/>
    </row>
    <row r="147" spans="1:12" ht="22.5" x14ac:dyDescent="0.2">
      <c r="A147" s="5358">
        <v>18</v>
      </c>
      <c r="B147" s="5360" t="s">
        <v>469</v>
      </c>
      <c r="C147" s="355" t="s">
        <v>470</v>
      </c>
      <c r="D147" s="356">
        <v>0.1</v>
      </c>
      <c r="E147" s="357">
        <v>127224.66</v>
      </c>
      <c r="F147" s="357">
        <v>36.26</v>
      </c>
      <c r="G147" s="5358">
        <v>12722</v>
      </c>
      <c r="H147" s="5358">
        <v>11222</v>
      </c>
      <c r="I147" s="357">
        <v>4</v>
      </c>
      <c r="J147" s="357">
        <v>520.79999999999995</v>
      </c>
      <c r="K147" s="357">
        <v>52.08</v>
      </c>
      <c r="L147" s="5347"/>
    </row>
    <row r="148" spans="1:12" ht="34.5" thickBot="1" x14ac:dyDescent="0.25">
      <c r="A148" s="5359"/>
      <c r="B148" s="5361"/>
      <c r="C148" s="353" t="s">
        <v>669</v>
      </c>
      <c r="D148" s="354" t="s">
        <v>471</v>
      </c>
      <c r="E148" s="354">
        <v>112222.52</v>
      </c>
      <c r="F148" s="354">
        <v>0</v>
      </c>
      <c r="G148" s="5359"/>
      <c r="H148" s="5359"/>
      <c r="I148" s="354">
        <v>0</v>
      </c>
      <c r="J148" s="354">
        <v>0.04</v>
      </c>
      <c r="K148" s="354">
        <v>0</v>
      </c>
      <c r="L148" s="5347"/>
    </row>
    <row r="149" spans="1:12" ht="22.5" x14ac:dyDescent="0.2">
      <c r="A149" s="5358">
        <v>19</v>
      </c>
      <c r="B149" s="5360" t="s">
        <v>472</v>
      </c>
      <c r="C149" s="355" t="s">
        <v>473</v>
      </c>
      <c r="D149" s="356">
        <v>0.06</v>
      </c>
      <c r="E149" s="357">
        <v>184530.95</v>
      </c>
      <c r="F149" s="357">
        <v>63.38</v>
      </c>
      <c r="G149" s="5358">
        <v>11072</v>
      </c>
      <c r="H149" s="5358">
        <v>9479</v>
      </c>
      <c r="I149" s="357">
        <v>4</v>
      </c>
      <c r="J149" s="357">
        <v>733.2</v>
      </c>
      <c r="K149" s="357">
        <v>43.99</v>
      </c>
      <c r="L149" s="5347"/>
    </row>
    <row r="150" spans="1:12" ht="34.5" thickBot="1" x14ac:dyDescent="0.25">
      <c r="A150" s="5359"/>
      <c r="B150" s="5361"/>
      <c r="C150" s="353" t="s">
        <v>669</v>
      </c>
      <c r="D150" s="354" t="s">
        <v>471</v>
      </c>
      <c r="E150" s="354">
        <v>157991.16</v>
      </c>
      <c r="F150" s="354">
        <v>0</v>
      </c>
      <c r="G150" s="5359"/>
      <c r="H150" s="5359"/>
      <c r="I150" s="354">
        <v>0</v>
      </c>
      <c r="J150" s="354">
        <v>7.0000000000000007E-2</v>
      </c>
      <c r="K150" s="354">
        <v>0</v>
      </c>
      <c r="L150" s="5347"/>
    </row>
    <row r="151" spans="1:12" ht="22.5" x14ac:dyDescent="0.2">
      <c r="A151" s="5358">
        <v>20</v>
      </c>
      <c r="B151" s="5360" t="s">
        <v>474</v>
      </c>
      <c r="C151" s="355" t="s">
        <v>475</v>
      </c>
      <c r="D151" s="356">
        <v>0.06</v>
      </c>
      <c r="E151" s="357">
        <v>249630.38</v>
      </c>
      <c r="F151" s="357">
        <v>81.56</v>
      </c>
      <c r="G151" s="5358">
        <v>14978</v>
      </c>
      <c r="H151" s="5358">
        <v>12766</v>
      </c>
      <c r="I151" s="357">
        <v>5</v>
      </c>
      <c r="J151" s="357">
        <v>987.4</v>
      </c>
      <c r="K151" s="357">
        <v>59.24</v>
      </c>
      <c r="L151" s="5347"/>
    </row>
    <row r="152" spans="1:12" ht="34.5" thickBot="1" x14ac:dyDescent="0.25">
      <c r="A152" s="5359"/>
      <c r="B152" s="5361"/>
      <c r="C152" s="353" t="s">
        <v>669</v>
      </c>
      <c r="D152" s="354" t="s">
        <v>471</v>
      </c>
      <c r="E152" s="354">
        <v>212766.63</v>
      </c>
      <c r="F152" s="354">
        <v>0</v>
      </c>
      <c r="G152" s="5359"/>
      <c r="H152" s="5359"/>
      <c r="I152" s="354">
        <v>0</v>
      </c>
      <c r="J152" s="354">
        <v>0.09</v>
      </c>
      <c r="K152" s="354">
        <v>0.01</v>
      </c>
      <c r="L152" s="5347"/>
    </row>
    <row r="153" spans="1:12" ht="13.5" thickBot="1" x14ac:dyDescent="0.25">
      <c r="A153" s="5348"/>
      <c r="B153" s="5349"/>
      <c r="C153" s="5349"/>
      <c r="D153" s="5349"/>
      <c r="E153" s="5349"/>
      <c r="F153" s="5349"/>
      <c r="G153" s="5349"/>
      <c r="H153" s="5349"/>
      <c r="I153" s="5349"/>
      <c r="J153" s="5349"/>
      <c r="K153" s="5350"/>
      <c r="L153" s="635"/>
    </row>
    <row r="154" spans="1:12" x14ac:dyDescent="0.2">
      <c r="A154" s="5351" t="s">
        <v>694</v>
      </c>
      <c r="B154" s="5352"/>
      <c r="C154" s="5352"/>
      <c r="D154" s="5352"/>
      <c r="E154" s="5352"/>
      <c r="F154" s="5354"/>
      <c r="G154" s="5354">
        <v>424248</v>
      </c>
      <c r="H154" s="5354">
        <v>197101</v>
      </c>
      <c r="I154" s="626">
        <v>46887</v>
      </c>
      <c r="J154" s="5354"/>
      <c r="K154" s="357">
        <v>950.91</v>
      </c>
      <c r="L154" s="5347"/>
    </row>
    <row r="155" spans="1:12" ht="13.5" thickBot="1" x14ac:dyDescent="0.25">
      <c r="A155" s="5353"/>
      <c r="B155" s="5346"/>
      <c r="C155" s="5346"/>
      <c r="D155" s="5346"/>
      <c r="E155" s="5346"/>
      <c r="F155" s="5355"/>
      <c r="G155" s="5355"/>
      <c r="H155" s="5355"/>
      <c r="I155" s="616">
        <v>26192</v>
      </c>
      <c r="J155" s="5355"/>
      <c r="K155" s="354">
        <v>108.11</v>
      </c>
      <c r="L155" s="5347"/>
    </row>
    <row r="156" spans="1:12" ht="13.5" thickBot="1" x14ac:dyDescent="0.25">
      <c r="A156" s="5348"/>
      <c r="B156" s="5349"/>
      <c r="C156" s="5349"/>
      <c r="D156" s="5349"/>
      <c r="E156" s="5349"/>
      <c r="F156" s="5349"/>
      <c r="G156" s="5349"/>
      <c r="H156" s="5349"/>
      <c r="I156" s="5349"/>
      <c r="J156" s="5349"/>
      <c r="K156" s="5350"/>
      <c r="L156" s="635"/>
    </row>
    <row r="157" spans="1:12" x14ac:dyDescent="0.2">
      <c r="A157" s="5351" t="s">
        <v>695</v>
      </c>
      <c r="B157" s="5352"/>
      <c r="C157" s="5352"/>
      <c r="D157" s="5352"/>
      <c r="E157" s="5352"/>
      <c r="F157" s="5354"/>
      <c r="G157" s="5354">
        <v>424248</v>
      </c>
      <c r="H157" s="5354">
        <v>197101</v>
      </c>
      <c r="I157" s="626">
        <v>46887</v>
      </c>
      <c r="J157" s="5354"/>
      <c r="K157" s="357">
        <v>950.91</v>
      </c>
      <c r="L157" s="5347"/>
    </row>
    <row r="158" spans="1:12" ht="13.5" thickBot="1" x14ac:dyDescent="0.25">
      <c r="A158" s="5353"/>
      <c r="B158" s="5346"/>
      <c r="C158" s="5346"/>
      <c r="D158" s="5346"/>
      <c r="E158" s="5346"/>
      <c r="F158" s="5355"/>
      <c r="G158" s="5355"/>
      <c r="H158" s="5355"/>
      <c r="I158" s="616">
        <v>26192</v>
      </c>
      <c r="J158" s="5355"/>
      <c r="K158" s="354">
        <v>108.11</v>
      </c>
      <c r="L158" s="5347"/>
    </row>
    <row r="159" spans="1:12" ht="13.5" thickBot="1" x14ac:dyDescent="0.25">
      <c r="A159" s="611"/>
      <c r="B159" s="612"/>
      <c r="C159" s="612"/>
      <c r="D159" s="612"/>
      <c r="E159" s="612"/>
      <c r="F159" s="612"/>
      <c r="G159" s="612"/>
      <c r="H159" s="612"/>
      <c r="I159" s="612"/>
      <c r="J159" s="612"/>
      <c r="K159" s="612"/>
      <c r="L159" s="635"/>
    </row>
    <row r="160" spans="1:12" x14ac:dyDescent="0.2">
      <c r="A160" s="628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619"/>
    </row>
    <row r="161" spans="1:12" x14ac:dyDescent="0.2">
      <c r="A161" s="628"/>
      <c r="B161" s="279"/>
      <c r="C161" s="5343" t="s">
        <v>696</v>
      </c>
      <c r="D161" s="5262"/>
      <c r="E161" s="5262"/>
      <c r="F161" s="5262"/>
      <c r="G161" s="5262"/>
      <c r="H161" s="5262"/>
      <c r="I161" s="5343" t="s">
        <v>697</v>
      </c>
      <c r="J161" s="5343" t="s">
        <v>698</v>
      </c>
      <c r="K161" s="637" t="s">
        <v>561</v>
      </c>
      <c r="L161" s="619"/>
    </row>
    <row r="162" spans="1:12" x14ac:dyDescent="0.2">
      <c r="A162" s="628"/>
      <c r="B162" s="279"/>
      <c r="C162" s="5343"/>
      <c r="D162" s="5262"/>
      <c r="E162" s="5262"/>
      <c r="F162" s="5262"/>
      <c r="G162" s="5262"/>
      <c r="H162" s="5262"/>
      <c r="I162" s="5343"/>
      <c r="J162" s="5343"/>
      <c r="K162" s="637" t="s">
        <v>699</v>
      </c>
      <c r="L162" s="619"/>
    </row>
    <row r="163" spans="1:12" ht="13.5" thickBot="1" x14ac:dyDescent="0.25">
      <c r="A163" s="628"/>
      <c r="B163" s="279"/>
      <c r="C163" s="617"/>
      <c r="D163" s="617"/>
      <c r="E163" s="617"/>
      <c r="F163" s="617"/>
      <c r="G163" s="279"/>
      <c r="H163" s="279"/>
      <c r="I163" s="617"/>
      <c r="J163" s="617"/>
      <c r="K163" s="617"/>
      <c r="L163" s="619"/>
    </row>
    <row r="164" spans="1:12" ht="13.5" thickBot="1" x14ac:dyDescent="0.25">
      <c r="A164" s="628"/>
      <c r="B164" s="279"/>
      <c r="C164" s="5343" t="s">
        <v>54</v>
      </c>
      <c r="D164" s="5262"/>
      <c r="E164" s="5262"/>
      <c r="F164" s="5262"/>
      <c r="G164" s="5262"/>
      <c r="H164" s="5262"/>
      <c r="I164" s="616"/>
      <c r="J164" s="616"/>
      <c r="K164" s="616" t="s">
        <v>758</v>
      </c>
      <c r="L164" s="619"/>
    </row>
    <row r="165" spans="1:12" ht="13.5" thickBot="1" x14ac:dyDescent="0.25">
      <c r="A165" s="628"/>
      <c r="B165" s="279"/>
      <c r="C165" s="5343" t="s">
        <v>705</v>
      </c>
      <c r="D165" s="5262"/>
      <c r="E165" s="5262"/>
      <c r="F165" s="5262"/>
      <c r="G165" s="5262"/>
      <c r="H165" s="5262"/>
      <c r="I165" s="616">
        <v>0.6</v>
      </c>
      <c r="J165" s="616">
        <v>71</v>
      </c>
      <c r="K165" s="616" t="s">
        <v>759</v>
      </c>
      <c r="L165" s="619"/>
    </row>
    <row r="166" spans="1:12" ht="13.5" thickBot="1" x14ac:dyDescent="0.25">
      <c r="A166" s="628"/>
      <c r="B166" s="279"/>
      <c r="C166" s="5343" t="s">
        <v>760</v>
      </c>
      <c r="D166" s="5262"/>
      <c r="E166" s="5262"/>
      <c r="F166" s="5262"/>
      <c r="G166" s="5262"/>
      <c r="H166" s="5262"/>
      <c r="I166" s="616">
        <v>0.6</v>
      </c>
      <c r="J166" s="616">
        <v>93</v>
      </c>
      <c r="K166" s="616" t="s">
        <v>761</v>
      </c>
      <c r="L166" s="619"/>
    </row>
    <row r="167" spans="1:12" ht="13.5" thickBot="1" x14ac:dyDescent="0.25">
      <c r="A167" s="628"/>
      <c r="B167" s="279"/>
      <c r="C167" s="5343" t="s">
        <v>709</v>
      </c>
      <c r="D167" s="5262"/>
      <c r="E167" s="5262"/>
      <c r="F167" s="5262"/>
      <c r="G167" s="5262"/>
      <c r="H167" s="5262"/>
      <c r="I167" s="616">
        <v>0.6</v>
      </c>
      <c r="J167" s="616">
        <v>92</v>
      </c>
      <c r="K167" s="616" t="s">
        <v>762</v>
      </c>
      <c r="L167" s="619"/>
    </row>
    <row r="168" spans="1:12" ht="13.5" thickBot="1" x14ac:dyDescent="0.25">
      <c r="A168" s="628"/>
      <c r="B168" s="279"/>
      <c r="C168" s="5343" t="s">
        <v>707</v>
      </c>
      <c r="D168" s="5262"/>
      <c r="E168" s="5262"/>
      <c r="F168" s="5262"/>
      <c r="G168" s="5262"/>
      <c r="H168" s="5262"/>
      <c r="I168" s="616">
        <v>0.6</v>
      </c>
      <c r="J168" s="616">
        <v>116</v>
      </c>
      <c r="K168" s="616" t="s">
        <v>763</v>
      </c>
      <c r="L168" s="619"/>
    </row>
    <row r="169" spans="1:12" ht="13.5" thickBot="1" x14ac:dyDescent="0.25">
      <c r="A169" s="628"/>
      <c r="B169" s="279"/>
      <c r="C169" s="5343" t="s">
        <v>764</v>
      </c>
      <c r="D169" s="5262"/>
      <c r="E169" s="5262"/>
      <c r="F169" s="5262"/>
      <c r="G169" s="5262"/>
      <c r="H169" s="5262"/>
      <c r="I169" s="616">
        <v>0.6</v>
      </c>
      <c r="J169" s="616">
        <v>77</v>
      </c>
      <c r="K169" s="616" t="s">
        <v>765</v>
      </c>
      <c r="L169" s="619"/>
    </row>
    <row r="170" spans="1:12" ht="13.5" thickBot="1" x14ac:dyDescent="0.25">
      <c r="A170" s="628"/>
      <c r="B170" s="279"/>
      <c r="C170" s="5343" t="s">
        <v>766</v>
      </c>
      <c r="D170" s="5262"/>
      <c r="E170" s="5262"/>
      <c r="F170" s="5262"/>
      <c r="G170" s="5262"/>
      <c r="H170" s="5262"/>
      <c r="I170" s="616">
        <v>0.6</v>
      </c>
      <c r="J170" s="616">
        <v>83</v>
      </c>
      <c r="K170" s="616" t="s">
        <v>767</v>
      </c>
      <c r="L170" s="619"/>
    </row>
    <row r="171" spans="1:12" ht="13.5" thickBot="1" x14ac:dyDescent="0.25">
      <c r="A171" s="628"/>
      <c r="B171" s="279"/>
      <c r="C171" s="5343" t="s">
        <v>768</v>
      </c>
      <c r="D171" s="5262"/>
      <c r="E171" s="5262"/>
      <c r="F171" s="5262"/>
      <c r="G171" s="5262"/>
      <c r="H171" s="5262"/>
      <c r="I171" s="616">
        <v>0.7</v>
      </c>
      <c r="J171" s="616">
        <v>66</v>
      </c>
      <c r="K171" s="616" t="s">
        <v>769</v>
      </c>
      <c r="L171" s="619"/>
    </row>
    <row r="172" spans="1:12" ht="13.5" thickBot="1" x14ac:dyDescent="0.25">
      <c r="A172" s="628"/>
      <c r="B172" s="279"/>
      <c r="C172" s="5343" t="s">
        <v>770</v>
      </c>
      <c r="D172" s="5262"/>
      <c r="E172" s="5262"/>
      <c r="F172" s="5262"/>
      <c r="G172" s="5262"/>
      <c r="H172" s="5262"/>
      <c r="I172" s="616">
        <v>0.6</v>
      </c>
      <c r="J172" s="616">
        <v>92</v>
      </c>
      <c r="K172" s="616" t="s">
        <v>771</v>
      </c>
      <c r="L172" s="619"/>
    </row>
    <row r="173" spans="1:12" ht="13.5" thickBot="1" x14ac:dyDescent="0.25">
      <c r="A173" s="628"/>
      <c r="B173" s="279"/>
      <c r="C173" s="5343" t="s">
        <v>711</v>
      </c>
      <c r="D173" s="5262"/>
      <c r="E173" s="5262"/>
      <c r="F173" s="5262"/>
      <c r="G173" s="5262"/>
      <c r="H173" s="5262"/>
      <c r="I173" s="616"/>
      <c r="J173" s="616"/>
      <c r="K173" s="616" t="s">
        <v>772</v>
      </c>
      <c r="L173" s="619"/>
    </row>
    <row r="174" spans="1:12" ht="13.5" thickBot="1" x14ac:dyDescent="0.25">
      <c r="A174" s="628"/>
      <c r="B174" s="279"/>
      <c r="C174" s="5343" t="s">
        <v>54</v>
      </c>
      <c r="D174" s="5262"/>
      <c r="E174" s="5262"/>
      <c r="F174" s="5262"/>
      <c r="G174" s="5262"/>
      <c r="H174" s="5262"/>
      <c r="I174" s="616"/>
      <c r="J174" s="616"/>
      <c r="K174" s="616" t="s">
        <v>773</v>
      </c>
      <c r="L174" s="619"/>
    </row>
    <row r="175" spans="1:12" ht="13.5" thickBot="1" x14ac:dyDescent="0.25">
      <c r="A175" s="628"/>
      <c r="B175" s="279"/>
      <c r="C175" s="5343" t="s">
        <v>718</v>
      </c>
      <c r="D175" s="5262"/>
      <c r="E175" s="5262"/>
      <c r="F175" s="5262"/>
      <c r="G175" s="5262"/>
      <c r="H175" s="5262"/>
      <c r="I175" s="616"/>
      <c r="J175" s="616">
        <v>36</v>
      </c>
      <c r="K175" s="616" t="s">
        <v>774</v>
      </c>
      <c r="L175" s="619"/>
    </row>
    <row r="176" spans="1:12" ht="13.5" thickBot="1" x14ac:dyDescent="0.25">
      <c r="A176" s="628"/>
      <c r="B176" s="279"/>
      <c r="C176" s="5343" t="s">
        <v>775</v>
      </c>
      <c r="D176" s="5262"/>
      <c r="E176" s="5262"/>
      <c r="F176" s="5262"/>
      <c r="G176" s="5262"/>
      <c r="H176" s="5262"/>
      <c r="I176" s="616"/>
      <c r="J176" s="616">
        <v>48</v>
      </c>
      <c r="K176" s="616" t="s">
        <v>776</v>
      </c>
      <c r="L176" s="619"/>
    </row>
    <row r="177" spans="1:12" ht="13.5" thickBot="1" x14ac:dyDescent="0.25">
      <c r="A177" s="628"/>
      <c r="B177" s="279"/>
      <c r="C177" s="5343" t="s">
        <v>722</v>
      </c>
      <c r="D177" s="5262"/>
      <c r="E177" s="5262"/>
      <c r="F177" s="5262"/>
      <c r="G177" s="5262"/>
      <c r="H177" s="5262"/>
      <c r="I177" s="616"/>
      <c r="J177" s="616">
        <v>54</v>
      </c>
      <c r="K177" s="616" t="s">
        <v>777</v>
      </c>
      <c r="L177" s="619"/>
    </row>
    <row r="178" spans="1:12" ht="13.5" thickBot="1" x14ac:dyDescent="0.25">
      <c r="A178" s="628"/>
      <c r="B178" s="279"/>
      <c r="C178" s="5343" t="s">
        <v>720</v>
      </c>
      <c r="D178" s="5262"/>
      <c r="E178" s="5262"/>
      <c r="F178" s="5262"/>
      <c r="G178" s="5262"/>
      <c r="H178" s="5262"/>
      <c r="I178" s="616"/>
      <c r="J178" s="616">
        <v>61</v>
      </c>
      <c r="K178" s="616" t="s">
        <v>778</v>
      </c>
      <c r="L178" s="619"/>
    </row>
    <row r="179" spans="1:12" ht="13.5" thickBot="1" x14ac:dyDescent="0.25">
      <c r="A179" s="628"/>
      <c r="B179" s="279"/>
      <c r="C179" s="5343" t="s">
        <v>779</v>
      </c>
      <c r="D179" s="5262"/>
      <c r="E179" s="5262"/>
      <c r="F179" s="5262"/>
      <c r="G179" s="5262"/>
      <c r="H179" s="5262"/>
      <c r="I179" s="616"/>
      <c r="J179" s="616">
        <v>56</v>
      </c>
      <c r="K179" s="616" t="s">
        <v>780</v>
      </c>
      <c r="L179" s="619"/>
    </row>
    <row r="180" spans="1:12" ht="13.5" thickBot="1" x14ac:dyDescent="0.25">
      <c r="A180" s="628"/>
      <c r="B180" s="279"/>
      <c r="C180" s="5343" t="s">
        <v>781</v>
      </c>
      <c r="D180" s="5262"/>
      <c r="E180" s="5262"/>
      <c r="F180" s="5262"/>
      <c r="G180" s="5262"/>
      <c r="H180" s="5262"/>
      <c r="I180" s="616"/>
      <c r="J180" s="616">
        <v>60</v>
      </c>
      <c r="K180" s="616" t="s">
        <v>782</v>
      </c>
      <c r="L180" s="619"/>
    </row>
    <row r="181" spans="1:12" ht="13.5" thickBot="1" x14ac:dyDescent="0.25">
      <c r="A181" s="628"/>
      <c r="B181" s="279"/>
      <c r="C181" s="5343" t="s">
        <v>783</v>
      </c>
      <c r="D181" s="5262"/>
      <c r="E181" s="5262"/>
      <c r="F181" s="5262"/>
      <c r="G181" s="5262"/>
      <c r="H181" s="5262"/>
      <c r="I181" s="616"/>
      <c r="J181" s="616">
        <v>40</v>
      </c>
      <c r="K181" s="616" t="s">
        <v>784</v>
      </c>
      <c r="L181" s="619"/>
    </row>
    <row r="182" spans="1:12" ht="13.5" thickBot="1" x14ac:dyDescent="0.25">
      <c r="A182" s="628"/>
      <c r="B182" s="279"/>
      <c r="C182" s="5343" t="s">
        <v>720</v>
      </c>
      <c r="D182" s="5262"/>
      <c r="E182" s="5262"/>
      <c r="F182" s="5262"/>
      <c r="G182" s="5262"/>
      <c r="H182" s="5262"/>
      <c r="I182" s="616"/>
      <c r="J182" s="616">
        <v>71</v>
      </c>
      <c r="K182" s="616" t="s">
        <v>785</v>
      </c>
      <c r="L182" s="619"/>
    </row>
    <row r="183" spans="1:12" ht="13.5" thickBot="1" x14ac:dyDescent="0.25">
      <c r="A183" s="628"/>
      <c r="B183" s="279"/>
      <c r="C183" s="5343" t="s">
        <v>786</v>
      </c>
      <c r="D183" s="5262"/>
      <c r="E183" s="5262"/>
      <c r="F183" s="5262"/>
      <c r="G183" s="5262"/>
      <c r="H183" s="5262"/>
      <c r="I183" s="616"/>
      <c r="J183" s="616">
        <v>48</v>
      </c>
      <c r="K183" s="616" t="s">
        <v>787</v>
      </c>
      <c r="L183" s="619"/>
    </row>
    <row r="184" spans="1:12" ht="13.5" thickBot="1" x14ac:dyDescent="0.25">
      <c r="A184" s="628"/>
      <c r="B184" s="279"/>
      <c r="C184" s="5343" t="s">
        <v>724</v>
      </c>
      <c r="D184" s="5262"/>
      <c r="E184" s="5262"/>
      <c r="F184" s="5262"/>
      <c r="G184" s="5262"/>
      <c r="H184" s="5262"/>
      <c r="I184" s="616"/>
      <c r="J184" s="616"/>
      <c r="K184" s="616" t="s">
        <v>788</v>
      </c>
      <c r="L184" s="619"/>
    </row>
    <row r="185" spans="1:12" ht="13.5" thickBot="1" x14ac:dyDescent="0.25">
      <c r="A185" s="628"/>
      <c r="B185" s="279"/>
      <c r="C185" s="5343" t="s">
        <v>54</v>
      </c>
      <c r="D185" s="5262"/>
      <c r="E185" s="5262"/>
      <c r="F185" s="5262"/>
      <c r="G185" s="5262"/>
      <c r="H185" s="5262"/>
      <c r="I185" s="616"/>
      <c r="J185" s="616"/>
      <c r="K185" s="616" t="s">
        <v>789</v>
      </c>
      <c r="L185" s="619"/>
    </row>
    <row r="186" spans="1:12" ht="13.5" thickBot="1" x14ac:dyDescent="0.25">
      <c r="A186" s="628"/>
      <c r="B186" s="279"/>
      <c r="C186" s="5343" t="s">
        <v>282</v>
      </c>
      <c r="D186" s="5262"/>
      <c r="E186" s="5262"/>
      <c r="F186" s="5262"/>
      <c r="G186" s="5262"/>
      <c r="H186" s="5262"/>
      <c r="I186" s="616"/>
      <c r="J186" s="616"/>
      <c r="K186" s="616" t="s">
        <v>789</v>
      </c>
      <c r="L186" s="619"/>
    </row>
    <row r="187" spans="1:12" ht="13.5" thickBot="1" x14ac:dyDescent="0.25">
      <c r="A187" s="628"/>
      <c r="B187" s="279"/>
      <c r="C187" s="5343" t="s">
        <v>727</v>
      </c>
      <c r="D187" s="5262"/>
      <c r="E187" s="5262"/>
      <c r="F187" s="5262"/>
      <c r="G187" s="5262"/>
      <c r="H187" s="5262"/>
      <c r="I187" s="616"/>
      <c r="J187" s="616">
        <v>18</v>
      </c>
      <c r="K187" s="616" t="s">
        <v>790</v>
      </c>
      <c r="L187" s="619"/>
    </row>
    <row r="188" spans="1:12" ht="13.5" thickBot="1" x14ac:dyDescent="0.25">
      <c r="A188" s="628"/>
      <c r="B188" s="279"/>
      <c r="C188" s="5343" t="s">
        <v>282</v>
      </c>
      <c r="D188" s="5262"/>
      <c r="E188" s="5262"/>
      <c r="F188" s="5262"/>
      <c r="G188" s="5262"/>
      <c r="H188" s="5262"/>
      <c r="I188" s="616"/>
      <c r="J188" s="616"/>
      <c r="K188" s="616" t="s">
        <v>734</v>
      </c>
      <c r="L188" s="619"/>
    </row>
    <row r="189" spans="1:12" ht="13.5" thickBot="1" x14ac:dyDescent="0.25">
      <c r="A189" s="615"/>
      <c r="B189" s="614"/>
      <c r="C189" s="5346" t="s">
        <v>729</v>
      </c>
      <c r="D189" s="4243"/>
      <c r="E189" s="4243"/>
      <c r="F189" s="4243"/>
      <c r="G189" s="4243"/>
      <c r="H189" s="4243"/>
      <c r="I189" s="616"/>
      <c r="J189" s="616"/>
      <c r="K189" s="616" t="s">
        <v>734</v>
      </c>
      <c r="L189" s="610"/>
    </row>
    <row r="190" spans="1:12" ht="15.75" x14ac:dyDescent="0.25">
      <c r="C190" s="613"/>
      <c r="D190" s="613"/>
      <c r="E190" s="613"/>
      <c r="F190" s="613"/>
      <c r="K190" s="638">
        <v>772319</v>
      </c>
    </row>
    <row r="191" spans="1:12" ht="15.75" x14ac:dyDescent="0.25">
      <c r="A191" s="639" t="s">
        <v>791</v>
      </c>
      <c r="B191" s="639"/>
      <c r="C191" s="639"/>
      <c r="D191" s="639"/>
      <c r="E191" s="639"/>
      <c r="F191" s="639"/>
      <c r="G191" s="639"/>
      <c r="H191" s="639"/>
      <c r="I191" s="639"/>
      <c r="J191" s="639"/>
      <c r="K191" s="639">
        <f>SUM(K80+K190)</f>
        <v>1593616</v>
      </c>
      <c r="L191" s="639"/>
    </row>
  </sheetData>
  <mergeCells count="273"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3"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877</v>
      </c>
    </row>
    <row r="3" spans="1:7" x14ac:dyDescent="0.2">
      <c r="A3" s="5513" t="s">
        <v>507</v>
      </c>
      <c r="B3" s="5513"/>
      <c r="C3" s="5513"/>
      <c r="D3" s="5513"/>
      <c r="E3" s="5513"/>
      <c r="F3" s="5513"/>
      <c r="G3" s="5513"/>
    </row>
    <row r="4" spans="1:7" ht="51" x14ac:dyDescent="0.2">
      <c r="A4" s="974" t="s">
        <v>386</v>
      </c>
      <c r="B4" s="1000" t="s">
        <v>508</v>
      </c>
      <c r="C4" s="1000" t="s">
        <v>509</v>
      </c>
      <c r="D4" s="1000" t="s">
        <v>888</v>
      </c>
      <c r="E4" s="1000" t="s">
        <v>841</v>
      </c>
      <c r="F4" s="5510" t="s">
        <v>237</v>
      </c>
      <c r="G4" s="5510"/>
    </row>
    <row r="5" spans="1:7" x14ac:dyDescent="0.2">
      <c r="A5" s="974" t="s">
        <v>274</v>
      </c>
      <c r="B5" s="1001">
        <v>2243</v>
      </c>
      <c r="C5" s="974"/>
      <c r="D5" s="1188"/>
      <c r="E5" s="1179"/>
      <c r="F5" s="5510"/>
      <c r="G5" s="5510"/>
    </row>
    <row r="6" spans="1:7" x14ac:dyDescent="0.2">
      <c r="A6" s="974" t="s">
        <v>275</v>
      </c>
      <c r="B6" s="1001">
        <v>3073.1</v>
      </c>
      <c r="C6" s="1001">
        <v>1287.3</v>
      </c>
      <c r="D6" s="1192"/>
      <c r="E6" s="1180">
        <f>B6-C6</f>
        <v>1785.8</v>
      </c>
      <c r="F6" s="5511" t="s">
        <v>241</v>
      </c>
      <c r="G6" s="5512"/>
    </row>
    <row r="7" spans="1:7" x14ac:dyDescent="0.2">
      <c r="A7" s="974" t="s">
        <v>276</v>
      </c>
      <c r="B7" s="1001">
        <v>212.2</v>
      </c>
      <c r="C7" s="974"/>
      <c r="D7" s="1188"/>
      <c r="E7" s="1179"/>
      <c r="F7" s="5510"/>
      <c r="G7" s="5510"/>
    </row>
    <row r="8" spans="1:7" x14ac:dyDescent="0.2">
      <c r="A8" s="974" t="s">
        <v>277</v>
      </c>
      <c r="B8" s="1001">
        <v>475.4</v>
      </c>
      <c r="C8" s="974"/>
      <c r="D8" s="1188"/>
      <c r="E8" s="1179"/>
      <c r="F8" s="5510"/>
      <c r="G8" s="5510"/>
    </row>
    <row r="9" spans="1:7" x14ac:dyDescent="0.2">
      <c r="A9" s="974" t="s">
        <v>278</v>
      </c>
      <c r="B9" s="1001">
        <v>2249.5</v>
      </c>
      <c r="C9" s="974"/>
      <c r="D9" s="1188"/>
      <c r="E9" s="1179"/>
      <c r="F9" s="5510"/>
      <c r="G9" s="5510"/>
    </row>
    <row r="10" spans="1:7" x14ac:dyDescent="0.2">
      <c r="A10" s="974" t="s">
        <v>279</v>
      </c>
      <c r="B10" s="1001">
        <v>3333.9</v>
      </c>
      <c r="C10" s="974"/>
      <c r="D10" s="1188"/>
      <c r="E10" s="1179"/>
      <c r="F10" s="5510"/>
      <c r="G10" s="5510"/>
    </row>
    <row r="11" spans="1:7" x14ac:dyDescent="0.2">
      <c r="A11" s="974" t="s">
        <v>280</v>
      </c>
      <c r="B11" s="1001">
        <v>2188.5</v>
      </c>
      <c r="C11" s="974"/>
      <c r="D11" s="1188"/>
      <c r="E11" s="1179"/>
      <c r="F11" s="5510"/>
      <c r="G11" s="5510"/>
    </row>
    <row r="12" spans="1:7" x14ac:dyDescent="0.2">
      <c r="A12" s="974" t="s">
        <v>281</v>
      </c>
      <c r="B12" s="1001">
        <v>557.1</v>
      </c>
      <c r="C12" s="974"/>
      <c r="D12" s="1188"/>
      <c r="E12" s="1181">
        <v>0</v>
      </c>
      <c r="F12" s="5510"/>
      <c r="G12" s="5510"/>
    </row>
    <row r="13" spans="1:7" ht="25.5" x14ac:dyDescent="0.2">
      <c r="A13" s="1191" t="s">
        <v>887</v>
      </c>
      <c r="B13" s="1189"/>
      <c r="C13" s="1188"/>
      <c r="D13" s="1188"/>
      <c r="E13" s="1189"/>
      <c r="F13" s="1190"/>
      <c r="G13" s="1190"/>
    </row>
    <row r="14" spans="1:7" x14ac:dyDescent="0.2">
      <c r="A14" s="974" t="s">
        <v>282</v>
      </c>
      <c r="B14" s="1001">
        <f>SUM(B5:B12)</f>
        <v>14332.7</v>
      </c>
      <c r="C14" s="1001">
        <f>SUM(C5:C12)</f>
        <v>1287.3</v>
      </c>
      <c r="D14" s="1189"/>
      <c r="E14" s="1001">
        <f>SUM(E5:E12)</f>
        <v>1785.8</v>
      </c>
      <c r="F14" s="5510"/>
      <c r="G14" s="5510"/>
    </row>
    <row r="17" spans="1:7" ht="51" x14ac:dyDescent="0.2">
      <c r="A17" s="974" t="s">
        <v>390</v>
      </c>
      <c r="B17" s="1000" t="s">
        <v>508</v>
      </c>
      <c r="C17" s="1000" t="s">
        <v>509</v>
      </c>
      <c r="D17" s="1000" t="s">
        <v>888</v>
      </c>
      <c r="E17" s="1000" t="s">
        <v>841</v>
      </c>
      <c r="F17" s="5510" t="s">
        <v>237</v>
      </c>
      <c r="G17" s="5510"/>
    </row>
    <row r="18" spans="1:7" x14ac:dyDescent="0.2">
      <c r="A18" s="974" t="s">
        <v>274</v>
      </c>
      <c r="B18" s="1001">
        <v>0</v>
      </c>
      <c r="C18" s="974"/>
      <c r="D18" s="1188"/>
      <c r="E18" s="1179"/>
      <c r="F18" s="5510"/>
      <c r="G18" s="5510"/>
    </row>
    <row r="19" spans="1:7" x14ac:dyDescent="0.2">
      <c r="A19" s="974" t="s">
        <v>275</v>
      </c>
      <c r="B19" s="1001">
        <v>1355.2</v>
      </c>
      <c r="C19" s="974">
        <v>1355.2</v>
      </c>
      <c r="D19" s="1193"/>
      <c r="E19" s="1182"/>
      <c r="F19" s="5511" t="s">
        <v>241</v>
      </c>
      <c r="G19" s="5512"/>
    </row>
    <row r="20" spans="1:7" x14ac:dyDescent="0.2">
      <c r="A20" s="974" t="s">
        <v>276</v>
      </c>
      <c r="B20" s="1001">
        <v>93.8</v>
      </c>
      <c r="C20" s="974"/>
      <c r="D20" s="1188"/>
      <c r="E20" s="1179"/>
      <c r="F20" s="5510"/>
      <c r="G20" s="5510"/>
    </row>
    <row r="21" spans="1:7" x14ac:dyDescent="0.2">
      <c r="A21" s="974" t="s">
        <v>277</v>
      </c>
      <c r="B21" s="1001">
        <v>0</v>
      </c>
      <c r="C21" s="974"/>
      <c r="D21" s="1188"/>
      <c r="E21" s="1179"/>
      <c r="F21" s="5510"/>
      <c r="G21" s="5510"/>
    </row>
    <row r="22" spans="1:7" x14ac:dyDescent="0.2">
      <c r="A22" s="974" t="s">
        <v>278</v>
      </c>
      <c r="B22" s="1001">
        <v>0</v>
      </c>
      <c r="C22" s="974"/>
      <c r="D22" s="1188"/>
      <c r="E22" s="1179"/>
      <c r="F22" s="5510"/>
      <c r="G22" s="5510"/>
    </row>
    <row r="23" spans="1:7" x14ac:dyDescent="0.2">
      <c r="A23" s="974" t="s">
        <v>279</v>
      </c>
      <c r="B23" s="1001">
        <v>1153.4000000000001</v>
      </c>
      <c r="C23" s="974"/>
      <c r="D23" s="1188"/>
      <c r="E23" s="1179"/>
      <c r="F23" s="5510"/>
      <c r="G23" s="5510"/>
    </row>
    <row r="24" spans="1:7" x14ac:dyDescent="0.2">
      <c r="A24" s="974" t="s">
        <v>280</v>
      </c>
      <c r="B24" s="1001">
        <v>0</v>
      </c>
      <c r="C24" s="974"/>
      <c r="D24" s="1188"/>
      <c r="E24" s="1179"/>
      <c r="F24" s="5510"/>
      <c r="G24" s="5510"/>
    </row>
    <row r="25" spans="1:7" x14ac:dyDescent="0.2">
      <c r="A25" s="974" t="s">
        <v>281</v>
      </c>
      <c r="B25" s="1001">
        <v>121.2</v>
      </c>
      <c r="C25" s="974">
        <v>95.1</v>
      </c>
      <c r="D25" s="1188"/>
      <c r="E25" s="1181">
        <f>B25-C25</f>
        <v>26.100000000000009</v>
      </c>
      <c r="F25" s="5510"/>
      <c r="G25" s="5510"/>
    </row>
    <row r="26" spans="1:7" x14ac:dyDescent="0.2">
      <c r="A26" s="974" t="s">
        <v>282</v>
      </c>
      <c r="B26" s="1001">
        <f>SUM(B18:B25)</f>
        <v>2723.6</v>
      </c>
      <c r="C26" s="1001">
        <f>SUM(C18:C25)</f>
        <v>1450.3</v>
      </c>
      <c r="D26" s="1189"/>
      <c r="E26" s="1001">
        <f>SUM(E18:E25)</f>
        <v>26.100000000000009</v>
      </c>
      <c r="F26" s="5510"/>
      <c r="G26" s="5510"/>
    </row>
  </sheetData>
  <mergeCells count="21"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J72"/>
  <sheetViews>
    <sheetView topLeftCell="E1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1668</v>
      </c>
    </row>
    <row r="3" spans="1:10" hidden="1" x14ac:dyDescent="0.2">
      <c r="A3" t="s">
        <v>46</v>
      </c>
      <c r="B3">
        <f>объемы!AJ50</f>
        <v>2380</v>
      </c>
      <c r="C3" s="128">
        <f>'вода 2019-2021 коррект'!K46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объемы!AJ64</f>
        <v>2300</v>
      </c>
      <c r="C4" s="128">
        <f>'стоки 2019-2021'!K45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59" t="e">
        <f>#REF!/C5</f>
        <v>#REF!</v>
      </c>
    </row>
    <row r="6" spans="1:10" hidden="1" x14ac:dyDescent="0.2"/>
    <row r="7" spans="1:10" hidden="1" x14ac:dyDescent="0.2"/>
    <row r="9" spans="1:10" x14ac:dyDescent="0.2">
      <c r="A9" s="4456" t="s">
        <v>1707</v>
      </c>
      <c r="B9" s="4456"/>
      <c r="C9" s="4456"/>
      <c r="D9" s="4456"/>
      <c r="G9" s="4456" t="s">
        <v>1803</v>
      </c>
      <c r="H9" s="4456"/>
      <c r="I9" s="4456"/>
      <c r="J9" s="4456"/>
    </row>
    <row r="10" spans="1:10" ht="13.5" x14ac:dyDescent="0.2">
      <c r="A10" s="4457" t="s">
        <v>368</v>
      </c>
      <c r="B10" s="4457"/>
      <c r="C10" s="5"/>
      <c r="D10" s="5"/>
      <c r="G10" s="4457" t="s">
        <v>368</v>
      </c>
      <c r="H10" s="4457"/>
      <c r="I10" s="5"/>
      <c r="J10" s="5"/>
    </row>
    <row r="11" spans="1:10" ht="29.25" customHeight="1" x14ac:dyDescent="0.2">
      <c r="A11" s="1919" t="s">
        <v>1560</v>
      </c>
      <c r="B11" s="1919" t="s">
        <v>1708</v>
      </c>
      <c r="C11" s="1916" t="s">
        <v>1709</v>
      </c>
      <c r="D11" s="1916" t="s">
        <v>1710</v>
      </c>
      <c r="G11" s="2069" t="s">
        <v>1560</v>
      </c>
      <c r="H11" s="2069" t="s">
        <v>1708</v>
      </c>
      <c r="I11" s="2068" t="s">
        <v>1709</v>
      </c>
      <c r="J11" s="2068" t="s">
        <v>1710</v>
      </c>
    </row>
    <row r="12" spans="1:10" x14ac:dyDescent="0.2">
      <c r="A12" s="1754" t="s">
        <v>258</v>
      </c>
      <c r="B12" s="1747">
        <f>'факт шаблон вода'!A3</f>
        <v>316969.11</v>
      </c>
      <c r="C12" s="1837">
        <v>31.52</v>
      </c>
      <c r="D12" s="1941">
        <f>B12*C12/1000</f>
        <v>9990.8663471999989</v>
      </c>
      <c r="G12" s="1754" t="s">
        <v>258</v>
      </c>
      <c r="H12" s="1747">
        <v>297431.15999999997</v>
      </c>
      <c r="I12" s="1837">
        <v>33.72</v>
      </c>
      <c r="J12" s="1941">
        <f>H12*I12/1000</f>
        <v>10029.378715199999</v>
      </c>
    </row>
    <row r="13" spans="1:10" x14ac:dyDescent="0.2">
      <c r="A13" s="1754" t="s">
        <v>259</v>
      </c>
      <c r="B13" s="1747">
        <f>'факт шаблон вода'!A4</f>
        <v>317912.65999999997</v>
      </c>
      <c r="C13" s="1837">
        <v>31.52</v>
      </c>
      <c r="D13" s="1941">
        <f t="shared" ref="D13:D23" si="0">B13*C13/1000</f>
        <v>10020.6070432</v>
      </c>
      <c r="G13" s="1754" t="s">
        <v>259</v>
      </c>
      <c r="H13" s="1747">
        <v>313490.94</v>
      </c>
      <c r="I13" s="1837">
        <f>I12</f>
        <v>33.72</v>
      </c>
      <c r="J13" s="1941">
        <f t="shared" ref="J13:J23" si="1">H13*I13/1000</f>
        <v>10570.9144968</v>
      </c>
    </row>
    <row r="14" spans="1:10" x14ac:dyDescent="0.2">
      <c r="A14" s="1754" t="s">
        <v>260</v>
      </c>
      <c r="B14" s="1747">
        <f>'факт шаблон вода'!A5</f>
        <v>304216.37</v>
      </c>
      <c r="C14" s="1837">
        <v>31.52</v>
      </c>
      <c r="D14" s="1941">
        <f t="shared" si="0"/>
        <v>9588.8999824000002</v>
      </c>
      <c r="G14" s="1754" t="s">
        <v>260</v>
      </c>
      <c r="H14" s="1747">
        <v>300763.51</v>
      </c>
      <c r="I14" s="1837">
        <f t="shared" ref="I14:I17" si="2">I13</f>
        <v>33.72</v>
      </c>
      <c r="J14" s="1941">
        <f t="shared" si="1"/>
        <v>10141.7455572</v>
      </c>
    </row>
    <row r="15" spans="1:10" x14ac:dyDescent="0.2">
      <c r="A15" s="1754" t="s">
        <v>261</v>
      </c>
      <c r="B15" s="1747">
        <f>'факт шаблон вода'!A6</f>
        <v>304396.70999999996</v>
      </c>
      <c r="C15" s="1837">
        <v>31.52</v>
      </c>
      <c r="D15" s="1941">
        <f t="shared" si="0"/>
        <v>9594.584299199998</v>
      </c>
      <c r="G15" s="1754" t="s">
        <v>261</v>
      </c>
      <c r="H15" s="1747">
        <v>331898.13</v>
      </c>
      <c r="I15" s="1837">
        <f t="shared" si="2"/>
        <v>33.72</v>
      </c>
      <c r="J15" s="1941">
        <f t="shared" si="1"/>
        <v>11191.604943599999</v>
      </c>
    </row>
    <row r="16" spans="1:10" x14ac:dyDescent="0.2">
      <c r="A16" s="1754" t="s">
        <v>262</v>
      </c>
      <c r="B16" s="1747">
        <f>'факт шаблон вода'!A7</f>
        <v>291575.15000000002</v>
      </c>
      <c r="C16" s="1837">
        <v>31.52</v>
      </c>
      <c r="D16" s="1941">
        <f t="shared" si="0"/>
        <v>9190.4487279999994</v>
      </c>
      <c r="G16" s="1754" t="s">
        <v>262</v>
      </c>
      <c r="H16" s="1747">
        <v>308464.90000000002</v>
      </c>
      <c r="I16" s="1837">
        <f t="shared" si="2"/>
        <v>33.72</v>
      </c>
      <c r="J16" s="1941">
        <f t="shared" si="1"/>
        <v>10401.436428000001</v>
      </c>
    </row>
    <row r="17" spans="1:10" x14ac:dyDescent="0.2">
      <c r="A17" s="1754" t="s">
        <v>263</v>
      </c>
      <c r="B17" s="1747">
        <f>'факт шаблон вода'!A8</f>
        <v>286018.59999999998</v>
      </c>
      <c r="C17" s="1837">
        <v>31.52</v>
      </c>
      <c r="D17" s="1941">
        <f t="shared" si="0"/>
        <v>9015.3062719999998</v>
      </c>
      <c r="G17" s="1754" t="s">
        <v>263</v>
      </c>
      <c r="H17" s="1747">
        <v>299031.53000000003</v>
      </c>
      <c r="I17" s="1837">
        <f t="shared" si="2"/>
        <v>33.72</v>
      </c>
      <c r="J17" s="1941">
        <f t="shared" si="1"/>
        <v>10083.343191600001</v>
      </c>
    </row>
    <row r="18" spans="1:10" x14ac:dyDescent="0.2">
      <c r="A18" s="1754" t="s">
        <v>1210</v>
      </c>
      <c r="B18" s="1747">
        <f>'факт шаблон вода'!A9</f>
        <v>260188.14</v>
      </c>
      <c r="C18" s="1837">
        <v>33.72</v>
      </c>
      <c r="D18" s="1941">
        <f t="shared" si="0"/>
        <v>8773.5440808000003</v>
      </c>
      <c r="G18" s="1754" t="s">
        <v>1210</v>
      </c>
      <c r="H18" s="1747">
        <v>265486.43</v>
      </c>
      <c r="I18" s="1837">
        <v>36.03</v>
      </c>
      <c r="J18" s="1941">
        <f t="shared" si="1"/>
        <v>9565.4760729000009</v>
      </c>
    </row>
    <row r="19" spans="1:10" x14ac:dyDescent="0.2">
      <c r="A19" s="1754" t="s">
        <v>264</v>
      </c>
      <c r="B19" s="1747">
        <f>'факт шаблон вода'!A10</f>
        <v>290647.99</v>
      </c>
      <c r="C19" s="1837">
        <v>33.72</v>
      </c>
      <c r="D19" s="1941">
        <f t="shared" si="0"/>
        <v>9800.650222799999</v>
      </c>
      <c r="G19" s="1754" t="s">
        <v>264</v>
      </c>
      <c r="H19" s="1747">
        <v>278767.39</v>
      </c>
      <c r="I19" s="1837">
        <f>I18</f>
        <v>36.03</v>
      </c>
      <c r="J19" s="1941">
        <f t="shared" si="1"/>
        <v>10043.989061700002</v>
      </c>
    </row>
    <row r="20" spans="1:10" x14ac:dyDescent="0.2">
      <c r="A20" s="1754" t="s">
        <v>1228</v>
      </c>
      <c r="B20" s="1747">
        <f>'факт шаблон вода'!A11</f>
        <v>297249.68</v>
      </c>
      <c r="C20" s="1837">
        <v>33.72</v>
      </c>
      <c r="D20" s="1941">
        <f t="shared" si="0"/>
        <v>10023.259209599999</v>
      </c>
      <c r="G20" s="1754" t="s">
        <v>1228</v>
      </c>
      <c r="H20" s="1747">
        <v>311652.93</v>
      </c>
      <c r="I20" s="1837">
        <f t="shared" ref="I20:I23" si="3">I19</f>
        <v>36.03</v>
      </c>
      <c r="J20" s="1941">
        <f t="shared" si="1"/>
        <v>11228.8550679</v>
      </c>
    </row>
    <row r="21" spans="1:10" x14ac:dyDescent="0.2">
      <c r="A21" s="1754" t="s">
        <v>265</v>
      </c>
      <c r="B21" s="1747">
        <f>'факт шаблон вода'!A12</f>
        <v>296237.41000000003</v>
      </c>
      <c r="C21" s="1837">
        <v>33.72</v>
      </c>
      <c r="D21" s="1941">
        <f t="shared" si="0"/>
        <v>9989.1254652000007</v>
      </c>
      <c r="G21" s="1754" t="s">
        <v>265</v>
      </c>
      <c r="H21" s="1747">
        <v>330434.25</v>
      </c>
      <c r="I21" s="1837">
        <f t="shared" si="3"/>
        <v>36.03</v>
      </c>
      <c r="J21" s="1941">
        <f t="shared" si="1"/>
        <v>11905.5460275</v>
      </c>
    </row>
    <row r="22" spans="1:10" x14ac:dyDescent="0.2">
      <c r="A22" s="1754" t="s">
        <v>266</v>
      </c>
      <c r="B22" s="1747">
        <f>'факт шаблон вода'!A13</f>
        <v>308631.80000000005</v>
      </c>
      <c r="C22" s="1837">
        <v>33.72</v>
      </c>
      <c r="D22" s="1941">
        <f t="shared" si="0"/>
        <v>10407.064296000002</v>
      </c>
      <c r="G22" s="1754" t="s">
        <v>266</v>
      </c>
      <c r="H22" s="1747">
        <v>322945.25</v>
      </c>
      <c r="I22" s="1837">
        <f t="shared" si="3"/>
        <v>36.03</v>
      </c>
      <c r="J22" s="1941">
        <f t="shared" si="1"/>
        <v>11635.7173575</v>
      </c>
    </row>
    <row r="23" spans="1:10" x14ac:dyDescent="0.2">
      <c r="A23" s="1754" t="s">
        <v>1319</v>
      </c>
      <c r="B23" s="1747">
        <f>'факт шаблон вода'!A14</f>
        <v>292296.71999999997</v>
      </c>
      <c r="C23" s="1837">
        <v>33.72</v>
      </c>
      <c r="D23" s="1941">
        <f t="shared" si="0"/>
        <v>9856.2453983999985</v>
      </c>
      <c r="G23" s="1754" t="s">
        <v>1319</v>
      </c>
      <c r="H23" s="1747">
        <v>295429.2</v>
      </c>
      <c r="I23" s="1837">
        <f t="shared" si="3"/>
        <v>36.03</v>
      </c>
      <c r="J23" s="1941">
        <f t="shared" si="1"/>
        <v>10644.314076000001</v>
      </c>
    </row>
    <row r="24" spans="1:10" x14ac:dyDescent="0.2">
      <c r="A24" s="1754" t="s">
        <v>282</v>
      </c>
      <c r="B24" s="1755">
        <f>SUM(B12:B23)</f>
        <v>3566340.3400000008</v>
      </c>
      <c r="C24" s="1941">
        <f>D24/B24*1000</f>
        <v>32.596608921738515</v>
      </c>
      <c r="D24" s="1942">
        <f>SUM(D12:D23)</f>
        <v>116250.6013448</v>
      </c>
      <c r="G24" s="1754" t="s">
        <v>282</v>
      </c>
      <c r="H24" s="1755">
        <f>SUM(H12:H23)</f>
        <v>3655795.6200000006</v>
      </c>
      <c r="I24" s="1941">
        <f>J24/H24*1000</f>
        <v>34.860351683418223</v>
      </c>
      <c r="J24" s="1942">
        <f>SUM(J12:J23)</f>
        <v>127442.32099589999</v>
      </c>
    </row>
    <row r="26" spans="1:10" ht="13.5" x14ac:dyDescent="0.2">
      <c r="A26" s="4457" t="s">
        <v>25</v>
      </c>
      <c r="B26" s="4457"/>
      <c r="C26" s="5"/>
      <c r="D26" s="5"/>
      <c r="G26" s="4457" t="s">
        <v>25</v>
      </c>
      <c r="H26" s="4457"/>
      <c r="I26" s="5"/>
      <c r="J26" s="5"/>
    </row>
    <row r="27" spans="1:10" ht="36.75" customHeight="1" x14ac:dyDescent="0.2">
      <c r="A27" s="1919" t="s">
        <v>1560</v>
      </c>
      <c r="B27" s="1919" t="s">
        <v>1708</v>
      </c>
      <c r="C27" s="1916" t="s">
        <v>1709</v>
      </c>
      <c r="D27" s="1916" t="s">
        <v>1710</v>
      </c>
      <c r="G27" s="2069" t="s">
        <v>1560</v>
      </c>
      <c r="H27" s="2069" t="s">
        <v>1708</v>
      </c>
      <c r="I27" s="2068" t="s">
        <v>1709</v>
      </c>
      <c r="J27" s="2068" t="s">
        <v>1710</v>
      </c>
    </row>
    <row r="28" spans="1:10" x14ac:dyDescent="0.2">
      <c r="A28" s="1754" t="s">
        <v>258</v>
      </c>
      <c r="B28" s="1747">
        <f>'факт шаблон вода'!A31</f>
        <v>315</v>
      </c>
      <c r="C28" s="1837">
        <v>16.059999999999999</v>
      </c>
      <c r="D28" s="1941">
        <f>B28*C28/1000</f>
        <v>5.0588999999999995</v>
      </c>
      <c r="G28" s="1754" t="s">
        <v>258</v>
      </c>
      <c r="H28" s="1747">
        <v>276</v>
      </c>
      <c r="I28" s="1837">
        <v>16.059999999999999</v>
      </c>
      <c r="J28" s="1941">
        <f>H28*I28/1000</f>
        <v>4.4325599999999996</v>
      </c>
    </row>
    <row r="29" spans="1:10" x14ac:dyDescent="0.2">
      <c r="A29" s="1754" t="s">
        <v>259</v>
      </c>
      <c r="B29" s="1747">
        <f>'факт шаблон вода'!A32</f>
        <v>208</v>
      </c>
      <c r="C29" s="1837">
        <v>16.059999999999999</v>
      </c>
      <c r="D29" s="1941">
        <f t="shared" ref="D29:D39" si="4">B29*C29/1000</f>
        <v>3.3404799999999994</v>
      </c>
      <c r="G29" s="1754" t="s">
        <v>259</v>
      </c>
      <c r="H29" s="1747">
        <v>247</v>
      </c>
      <c r="I29" s="1837">
        <f>I28</f>
        <v>16.059999999999999</v>
      </c>
      <c r="J29" s="1941">
        <f t="shared" ref="J29:J39" si="5">H29*I29/1000</f>
        <v>3.9668199999999998</v>
      </c>
    </row>
    <row r="30" spans="1:10" x14ac:dyDescent="0.2">
      <c r="A30" s="1754" t="s">
        <v>260</v>
      </c>
      <c r="B30" s="1747">
        <f>'факт шаблон вода'!A33</f>
        <v>260</v>
      </c>
      <c r="C30" s="1837">
        <v>16.059999999999999</v>
      </c>
      <c r="D30" s="1941">
        <f t="shared" si="4"/>
        <v>4.1755999999999993</v>
      </c>
      <c r="G30" s="1754" t="s">
        <v>260</v>
      </c>
      <c r="H30" s="1747">
        <v>149</v>
      </c>
      <c r="I30" s="1837">
        <f t="shared" ref="I30:I33" si="6">I29</f>
        <v>16.059999999999999</v>
      </c>
      <c r="J30" s="1941">
        <f t="shared" si="5"/>
        <v>2.3929399999999994</v>
      </c>
    </row>
    <row r="31" spans="1:10" x14ac:dyDescent="0.2">
      <c r="A31" s="1754" t="s">
        <v>261</v>
      </c>
      <c r="B31" s="1747">
        <f>'факт шаблон вода'!A34</f>
        <v>305</v>
      </c>
      <c r="C31" s="1837">
        <v>16.059999999999999</v>
      </c>
      <c r="D31" s="1941">
        <f t="shared" si="4"/>
        <v>4.898299999999999</v>
      </c>
      <c r="G31" s="1754" t="s">
        <v>261</v>
      </c>
      <c r="H31" s="1747">
        <v>175</v>
      </c>
      <c r="I31" s="1837">
        <f t="shared" si="6"/>
        <v>16.059999999999999</v>
      </c>
      <c r="J31" s="1941">
        <f t="shared" si="5"/>
        <v>2.8105000000000002</v>
      </c>
    </row>
    <row r="32" spans="1:10" x14ac:dyDescent="0.2">
      <c r="A32" s="1754" t="s">
        <v>262</v>
      </c>
      <c r="B32" s="1747">
        <f>'факт шаблон вода'!A35</f>
        <v>181</v>
      </c>
      <c r="C32" s="1837">
        <v>16.059999999999999</v>
      </c>
      <c r="D32" s="1941">
        <f t="shared" si="4"/>
        <v>2.9068599999999996</v>
      </c>
      <c r="G32" s="1754" t="s">
        <v>262</v>
      </c>
      <c r="H32" s="1747">
        <v>104</v>
      </c>
      <c r="I32" s="1837">
        <f t="shared" si="6"/>
        <v>16.059999999999999</v>
      </c>
      <c r="J32" s="1941">
        <f t="shared" si="5"/>
        <v>1.6702399999999997</v>
      </c>
    </row>
    <row r="33" spans="1:10" x14ac:dyDescent="0.2">
      <c r="A33" s="1754" t="s">
        <v>263</v>
      </c>
      <c r="B33" s="1747">
        <f>'факт шаблон вода'!A36</f>
        <v>194</v>
      </c>
      <c r="C33" s="1837">
        <v>16.059999999999999</v>
      </c>
      <c r="D33" s="1941">
        <f t="shared" si="4"/>
        <v>3.11564</v>
      </c>
      <c r="G33" s="1754" t="s">
        <v>263</v>
      </c>
      <c r="H33" s="1747">
        <v>125</v>
      </c>
      <c r="I33" s="1837">
        <f t="shared" si="6"/>
        <v>16.059999999999999</v>
      </c>
      <c r="J33" s="1941">
        <f t="shared" si="5"/>
        <v>2.0074999999999998</v>
      </c>
    </row>
    <row r="34" spans="1:10" x14ac:dyDescent="0.2">
      <c r="A34" s="1754" t="s">
        <v>1210</v>
      </c>
      <c r="B34" s="1747">
        <f>'факт шаблон вода'!A37</f>
        <v>220</v>
      </c>
      <c r="C34" s="1837">
        <v>16.059999999999999</v>
      </c>
      <c r="D34" s="1941">
        <f t="shared" si="4"/>
        <v>3.5331999999999999</v>
      </c>
      <c r="G34" s="1754" t="s">
        <v>1210</v>
      </c>
      <c r="H34" s="1747">
        <v>140</v>
      </c>
      <c r="I34" s="1837">
        <v>17.93</v>
      </c>
      <c r="J34" s="1941">
        <f t="shared" si="5"/>
        <v>2.5101999999999998</v>
      </c>
    </row>
    <row r="35" spans="1:10" x14ac:dyDescent="0.2">
      <c r="A35" s="1754" t="s">
        <v>264</v>
      </c>
      <c r="B35" s="1747">
        <f>'факт шаблон вода'!A38</f>
        <v>134</v>
      </c>
      <c r="C35" s="1837">
        <v>16.059999999999999</v>
      </c>
      <c r="D35" s="1941">
        <f t="shared" si="4"/>
        <v>2.15204</v>
      </c>
      <c r="G35" s="1754" t="s">
        <v>264</v>
      </c>
      <c r="H35" s="1747">
        <v>174</v>
      </c>
      <c r="I35" s="1837">
        <f>I34</f>
        <v>17.93</v>
      </c>
      <c r="J35" s="1941">
        <f t="shared" si="5"/>
        <v>3.1198200000000003</v>
      </c>
    </row>
    <row r="36" spans="1:10" x14ac:dyDescent="0.2">
      <c r="A36" s="1754" t="s">
        <v>1228</v>
      </c>
      <c r="B36" s="1747">
        <f>'факт шаблон вода'!A39</f>
        <v>130</v>
      </c>
      <c r="C36" s="1837">
        <v>16.059999999999999</v>
      </c>
      <c r="D36" s="1941">
        <f t="shared" si="4"/>
        <v>2.0877999999999997</v>
      </c>
      <c r="G36" s="1754" t="s">
        <v>1228</v>
      </c>
      <c r="H36" s="1747">
        <v>0</v>
      </c>
      <c r="I36" s="1837">
        <f t="shared" ref="I36:I39" si="7">I35</f>
        <v>17.93</v>
      </c>
      <c r="J36" s="1941">
        <f t="shared" si="5"/>
        <v>0</v>
      </c>
    </row>
    <row r="37" spans="1:10" x14ac:dyDescent="0.2">
      <c r="A37" s="1754" t="s">
        <v>265</v>
      </c>
      <c r="B37" s="1747">
        <f>'факт шаблон вода'!A40</f>
        <v>113</v>
      </c>
      <c r="C37" s="1837">
        <v>16.059999999999999</v>
      </c>
      <c r="D37" s="1941">
        <f t="shared" si="4"/>
        <v>1.8147799999999998</v>
      </c>
      <c r="G37" s="1754" t="s">
        <v>265</v>
      </c>
      <c r="H37" s="1747">
        <v>64</v>
      </c>
      <c r="I37" s="1837">
        <f t="shared" si="7"/>
        <v>17.93</v>
      </c>
      <c r="J37" s="1941">
        <f t="shared" si="5"/>
        <v>1.1475199999999999</v>
      </c>
    </row>
    <row r="38" spans="1:10" x14ac:dyDescent="0.2">
      <c r="A38" s="1754" t="s">
        <v>266</v>
      </c>
      <c r="B38" s="1747">
        <f>'факт шаблон вода'!A41</f>
        <v>90</v>
      </c>
      <c r="C38" s="1837">
        <v>16.059999999999999</v>
      </c>
      <c r="D38" s="1941">
        <f t="shared" si="4"/>
        <v>1.4453999999999998</v>
      </c>
      <c r="G38" s="1754" t="s">
        <v>266</v>
      </c>
      <c r="H38" s="1747">
        <v>179</v>
      </c>
      <c r="I38" s="1837">
        <f t="shared" si="7"/>
        <v>17.93</v>
      </c>
      <c r="J38" s="1941">
        <f t="shared" si="5"/>
        <v>3.2094699999999996</v>
      </c>
    </row>
    <row r="39" spans="1:10" x14ac:dyDescent="0.2">
      <c r="A39" s="1754" t="s">
        <v>1319</v>
      </c>
      <c r="B39" s="1747">
        <f>'факт шаблон вода'!A42</f>
        <v>249</v>
      </c>
      <c r="C39" s="1837">
        <v>16.059999999999999</v>
      </c>
      <c r="D39" s="1941">
        <f t="shared" si="4"/>
        <v>3.9989399999999997</v>
      </c>
      <c r="G39" s="1754" t="s">
        <v>1319</v>
      </c>
      <c r="H39" s="1747">
        <v>140</v>
      </c>
      <c r="I39" s="1837">
        <f t="shared" si="7"/>
        <v>17.93</v>
      </c>
      <c r="J39" s="1941">
        <f t="shared" si="5"/>
        <v>2.5101999999999998</v>
      </c>
    </row>
    <row r="40" spans="1:10" x14ac:dyDescent="0.2">
      <c r="A40" s="1754" t="s">
        <v>282</v>
      </c>
      <c r="B40" s="1755">
        <f>SUM(B28:B39)</f>
        <v>2399</v>
      </c>
      <c r="C40" s="1941">
        <f>D40/B40*1000</f>
        <v>16.059999999999995</v>
      </c>
      <c r="D40" s="1942">
        <f>SUM(D28:D39)</f>
        <v>38.527939999999987</v>
      </c>
      <c r="G40" s="1754" t="s">
        <v>282</v>
      </c>
      <c r="H40" s="1755">
        <f>SUM(H28:H39)</f>
        <v>1773</v>
      </c>
      <c r="I40" s="1941">
        <f>J40/H40*1000</f>
        <v>16.795132543711222</v>
      </c>
      <c r="J40" s="1942">
        <f>SUM(J28:J39)</f>
        <v>29.77777</v>
      </c>
    </row>
    <row r="42" spans="1:10" ht="13.5" x14ac:dyDescent="0.2">
      <c r="A42" s="4457" t="s">
        <v>47</v>
      </c>
      <c r="B42" s="4457"/>
      <c r="C42" s="5"/>
      <c r="D42" s="5"/>
      <c r="G42" s="4457" t="s">
        <v>47</v>
      </c>
      <c r="H42" s="4457"/>
      <c r="I42" s="5"/>
      <c r="J42" s="5"/>
    </row>
    <row r="43" spans="1:10" ht="51" x14ac:dyDescent="0.2">
      <c r="A43" s="1919" t="s">
        <v>1560</v>
      </c>
      <c r="B43" s="1919" t="s">
        <v>1708</v>
      </c>
      <c r="C43" s="1916" t="s">
        <v>1709</v>
      </c>
      <c r="D43" s="1916" t="s">
        <v>1710</v>
      </c>
      <c r="G43" s="2069" t="s">
        <v>1560</v>
      </c>
      <c r="H43" s="2069" t="s">
        <v>1708</v>
      </c>
      <c r="I43" s="2068" t="s">
        <v>1709</v>
      </c>
      <c r="J43" s="2068" t="s">
        <v>1710</v>
      </c>
    </row>
    <row r="44" spans="1:10" x14ac:dyDescent="0.2">
      <c r="A44" s="1754" t="s">
        <v>258</v>
      </c>
      <c r="B44" s="1747">
        <f>'факт шаблон стоки'!A3</f>
        <v>271693.3</v>
      </c>
      <c r="C44" s="1836">
        <v>24.29</v>
      </c>
      <c r="D44" s="1941">
        <f>B44*C44/1000</f>
        <v>6599.4302569999991</v>
      </c>
      <c r="G44" s="1754" t="s">
        <v>258</v>
      </c>
      <c r="H44" s="1747">
        <v>256714.54</v>
      </c>
      <c r="I44" s="1836">
        <v>25.13</v>
      </c>
      <c r="J44" s="1941">
        <f>H44*I44/1000</f>
        <v>6451.2363902000006</v>
      </c>
    </row>
    <row r="45" spans="1:10" x14ac:dyDescent="0.2">
      <c r="A45" s="1754" t="s">
        <v>259</v>
      </c>
      <c r="B45" s="1747">
        <f>'факт шаблон стоки'!A4</f>
        <v>267880.98</v>
      </c>
      <c r="C45" s="1836">
        <v>24.29</v>
      </c>
      <c r="D45" s="1941">
        <f t="shared" ref="D45:D55" si="8">B45*C45/1000</f>
        <v>6506.829004199999</v>
      </c>
      <c r="G45" s="1754" t="s">
        <v>259</v>
      </c>
      <c r="H45" s="1747">
        <v>271358.69</v>
      </c>
      <c r="I45" s="1836">
        <f>I44</f>
        <v>25.13</v>
      </c>
      <c r="J45" s="1941">
        <f t="shared" ref="J45:J55" si="9">H45*I45/1000</f>
        <v>6819.2438796999995</v>
      </c>
    </row>
    <row r="46" spans="1:10" x14ac:dyDescent="0.2">
      <c r="A46" s="1754" t="s">
        <v>260</v>
      </c>
      <c r="B46" s="1747">
        <f>'факт шаблон стоки'!A5</f>
        <v>264651.92</v>
      </c>
      <c r="C46" s="1836">
        <v>24.29</v>
      </c>
      <c r="D46" s="1941">
        <f t="shared" si="8"/>
        <v>6428.3951367999998</v>
      </c>
      <c r="G46" s="1754" t="s">
        <v>260</v>
      </c>
      <c r="H46" s="1747">
        <v>258066.01</v>
      </c>
      <c r="I46" s="1836">
        <f t="shared" ref="I46:I49" si="10">I45</f>
        <v>25.13</v>
      </c>
      <c r="J46" s="1941">
        <f t="shared" si="9"/>
        <v>6485.1988313000002</v>
      </c>
    </row>
    <row r="47" spans="1:10" x14ac:dyDescent="0.2">
      <c r="A47" s="1754" t="s">
        <v>261</v>
      </c>
      <c r="B47" s="1747">
        <f>'факт шаблон стоки'!A6</f>
        <v>262160.76</v>
      </c>
      <c r="C47" s="1836">
        <v>24.29</v>
      </c>
      <c r="D47" s="1941">
        <f t="shared" si="8"/>
        <v>6367.8848603999995</v>
      </c>
      <c r="G47" s="1754" t="s">
        <v>261</v>
      </c>
      <c r="H47" s="1747">
        <v>284605.92</v>
      </c>
      <c r="I47" s="1836">
        <f t="shared" si="10"/>
        <v>25.13</v>
      </c>
      <c r="J47" s="1941">
        <f t="shared" si="9"/>
        <v>7152.1467695999991</v>
      </c>
    </row>
    <row r="48" spans="1:10" x14ac:dyDescent="0.2">
      <c r="A48" s="1754" t="s">
        <v>262</v>
      </c>
      <c r="B48" s="1747">
        <f>'факт шаблон стоки'!A7</f>
        <v>251481.02000000002</v>
      </c>
      <c r="C48" s="1836">
        <v>24.29</v>
      </c>
      <c r="D48" s="1941">
        <f t="shared" si="8"/>
        <v>6108.4739758000005</v>
      </c>
      <c r="G48" s="1754" t="s">
        <v>262</v>
      </c>
      <c r="H48" s="1747">
        <v>266109.43</v>
      </c>
      <c r="I48" s="1836">
        <f t="shared" si="10"/>
        <v>25.13</v>
      </c>
      <c r="J48" s="1941">
        <f t="shared" si="9"/>
        <v>6687.3299759000001</v>
      </c>
    </row>
    <row r="49" spans="1:10" x14ac:dyDescent="0.2">
      <c r="A49" s="1754" t="s">
        <v>263</v>
      </c>
      <c r="B49" s="1747">
        <f>'факт шаблон стоки'!A8</f>
        <v>249611.67</v>
      </c>
      <c r="C49" s="1836">
        <v>24.29</v>
      </c>
      <c r="D49" s="1941">
        <f t="shared" si="8"/>
        <v>6063.0674643000002</v>
      </c>
      <c r="G49" s="1754" t="s">
        <v>263</v>
      </c>
      <c r="H49" s="1747">
        <v>255710.26</v>
      </c>
      <c r="I49" s="1836">
        <f t="shared" si="10"/>
        <v>25.13</v>
      </c>
      <c r="J49" s="1941">
        <f t="shared" si="9"/>
        <v>6425.9988338000003</v>
      </c>
    </row>
    <row r="50" spans="1:10" x14ac:dyDescent="0.2">
      <c r="A50" s="1754" t="s">
        <v>1210</v>
      </c>
      <c r="B50" s="1747">
        <f>'факт шаблон стоки'!A9</f>
        <v>223476.73</v>
      </c>
      <c r="C50" s="1837">
        <v>25.13</v>
      </c>
      <c r="D50" s="1941">
        <f t="shared" si="8"/>
        <v>5615.9702249000002</v>
      </c>
      <c r="G50" s="1754" t="s">
        <v>1210</v>
      </c>
      <c r="H50" s="1747">
        <v>231700.75</v>
      </c>
      <c r="I50" s="1837">
        <f>26.64</f>
        <v>26.64</v>
      </c>
      <c r="J50" s="1941">
        <f t="shared" si="9"/>
        <v>6172.5079800000003</v>
      </c>
    </row>
    <row r="51" spans="1:10" x14ac:dyDescent="0.2">
      <c r="A51" s="1754" t="s">
        <v>264</v>
      </c>
      <c r="B51" s="1747">
        <f>'факт шаблон стоки'!A10</f>
        <v>244501.71000000002</v>
      </c>
      <c r="C51" s="1837">
        <v>25.13</v>
      </c>
      <c r="D51" s="1941">
        <f t="shared" si="8"/>
        <v>6144.3279723000005</v>
      </c>
      <c r="G51" s="1754" t="s">
        <v>264</v>
      </c>
      <c r="H51" s="1747">
        <v>243944.76</v>
      </c>
      <c r="I51" s="1837">
        <f>I50</f>
        <v>26.64</v>
      </c>
      <c r="J51" s="1941">
        <f t="shared" si="9"/>
        <v>6498.6884064000005</v>
      </c>
    </row>
    <row r="52" spans="1:10" x14ac:dyDescent="0.2">
      <c r="A52" s="1754" t="s">
        <v>1228</v>
      </c>
      <c r="B52" s="1747">
        <f>'факт шаблон стоки'!A11</f>
        <v>254060.72000000003</v>
      </c>
      <c r="C52" s="1837">
        <v>25.13</v>
      </c>
      <c r="D52" s="1941">
        <f t="shared" si="8"/>
        <v>6384.5458936000005</v>
      </c>
      <c r="G52" s="1754" t="s">
        <v>1228</v>
      </c>
      <c r="H52" s="1747">
        <v>256648.95</v>
      </c>
      <c r="I52" s="1837">
        <f t="shared" ref="I52:I55" si="11">I51</f>
        <v>26.64</v>
      </c>
      <c r="J52" s="1941">
        <f t="shared" si="9"/>
        <v>6837.128028000001</v>
      </c>
    </row>
    <row r="53" spans="1:10" x14ac:dyDescent="0.2">
      <c r="A53" s="1754" t="s">
        <v>265</v>
      </c>
      <c r="B53" s="1747">
        <f>'факт шаблон стоки'!A12</f>
        <v>246681.56999999998</v>
      </c>
      <c r="C53" s="1837">
        <v>25.13</v>
      </c>
      <c r="D53" s="1941">
        <f t="shared" si="8"/>
        <v>6199.1078540999988</v>
      </c>
      <c r="G53" s="1754" t="s">
        <v>265</v>
      </c>
      <c r="H53" s="1747">
        <v>301809.37</v>
      </c>
      <c r="I53" s="1837">
        <f t="shared" si="11"/>
        <v>26.64</v>
      </c>
      <c r="J53" s="1941">
        <f t="shared" si="9"/>
        <v>8040.2016168</v>
      </c>
    </row>
    <row r="54" spans="1:10" x14ac:dyDescent="0.2">
      <c r="A54" s="1754" t="s">
        <v>266</v>
      </c>
      <c r="B54" s="1747">
        <f>'факт шаблон стоки'!A13</f>
        <v>253925.40000000002</v>
      </c>
      <c r="C54" s="1837">
        <v>25.13</v>
      </c>
      <c r="D54" s="1941">
        <f t="shared" si="8"/>
        <v>6381.1453019999999</v>
      </c>
      <c r="G54" s="1754" t="s">
        <v>266</v>
      </c>
      <c r="H54" s="1747">
        <v>289260.95</v>
      </c>
      <c r="I54" s="1837">
        <f t="shared" si="11"/>
        <v>26.64</v>
      </c>
      <c r="J54" s="1941">
        <f t="shared" si="9"/>
        <v>7705.9117080000005</v>
      </c>
    </row>
    <row r="55" spans="1:10" x14ac:dyDescent="0.2">
      <c r="A55" s="1754" t="s">
        <v>1319</v>
      </c>
      <c r="B55" s="1747">
        <f>'факт шаблон стоки'!A14</f>
        <v>250714.08</v>
      </c>
      <c r="C55" s="1837">
        <v>25.13</v>
      </c>
      <c r="D55" s="1941">
        <f t="shared" si="8"/>
        <v>6300.4448303999998</v>
      </c>
      <c r="G55" s="1754" t="s">
        <v>1319</v>
      </c>
      <c r="H55" s="1747">
        <v>262166.58</v>
      </c>
      <c r="I55" s="1837">
        <f t="shared" si="11"/>
        <v>26.64</v>
      </c>
      <c r="J55" s="1941">
        <f t="shared" si="9"/>
        <v>6984.1176912000001</v>
      </c>
    </row>
    <row r="56" spans="1:10" x14ac:dyDescent="0.2">
      <c r="A56" s="1754" t="s">
        <v>282</v>
      </c>
      <c r="B56" s="1755">
        <f>SUM(B44:B55)</f>
        <v>3040839.86</v>
      </c>
      <c r="C56" s="1941">
        <f>D56/B56*1000</f>
        <v>24.697000247753923</v>
      </c>
      <c r="D56" s="1942">
        <f>SUM(D44:D55)</f>
        <v>75099.622775800002</v>
      </c>
      <c r="G56" s="1754" t="s">
        <v>282</v>
      </c>
      <c r="H56" s="1755">
        <f>SUM(H44:H55)</f>
        <v>3178096.2100000004</v>
      </c>
      <c r="I56" s="1941">
        <f>J56/H56*1000</f>
        <v>25.883329098743673</v>
      </c>
      <c r="J56" s="1942">
        <f>SUM(J44:J55)</f>
        <v>82259.710110899992</v>
      </c>
    </row>
    <row r="58" spans="1:10" ht="13.5" x14ac:dyDescent="0.2">
      <c r="A58" s="4457" t="s">
        <v>1752</v>
      </c>
      <c r="B58" s="4457"/>
      <c r="C58" s="5"/>
      <c r="D58" s="5"/>
      <c r="G58" s="4457" t="s">
        <v>1752</v>
      </c>
      <c r="H58" s="4457"/>
      <c r="I58" s="5"/>
      <c r="J58" s="5"/>
    </row>
    <row r="59" spans="1:10" ht="51" x14ac:dyDescent="0.2">
      <c r="A59" s="1919" t="s">
        <v>1560</v>
      </c>
      <c r="B59" s="1919" t="s">
        <v>1708</v>
      </c>
      <c r="C59" s="1916" t="s">
        <v>1709</v>
      </c>
      <c r="D59" s="1916" t="s">
        <v>1710</v>
      </c>
      <c r="G59" s="2069" t="s">
        <v>1560</v>
      </c>
      <c r="H59" s="2069" t="s">
        <v>1708</v>
      </c>
      <c r="I59" s="2068" t="s">
        <v>1709</v>
      </c>
      <c r="J59" s="2068" t="s">
        <v>1710</v>
      </c>
    </row>
    <row r="60" spans="1:10" x14ac:dyDescent="0.2">
      <c r="A60" s="1754" t="s">
        <v>258</v>
      </c>
      <c r="B60" s="1747">
        <f>'факт шаблон стоки'!A31</f>
        <v>251.25</v>
      </c>
      <c r="C60" s="1837">
        <v>13.79</v>
      </c>
      <c r="D60" s="1941">
        <f>B60*C60/1000</f>
        <v>3.4647374999999996</v>
      </c>
      <c r="G60" s="1754" t="s">
        <v>258</v>
      </c>
      <c r="H60" s="1747">
        <v>307.5</v>
      </c>
      <c r="I60" s="1837">
        <v>14.28</v>
      </c>
      <c r="J60" s="1941">
        <f>H60*I60/1000</f>
        <v>4.3910999999999998</v>
      </c>
    </row>
    <row r="61" spans="1:10" x14ac:dyDescent="0.2">
      <c r="A61" s="1754" t="s">
        <v>259</v>
      </c>
      <c r="B61" s="1747">
        <f>'факт шаблон стоки'!A32</f>
        <v>753.75</v>
      </c>
      <c r="C61" s="1837">
        <v>13.79</v>
      </c>
      <c r="D61" s="1941">
        <f t="shared" ref="D61:D71" si="12">B61*C61/1000</f>
        <v>10.3942125</v>
      </c>
      <c r="G61" s="1754" t="s">
        <v>259</v>
      </c>
      <c r="H61" s="1747">
        <v>318.75</v>
      </c>
      <c r="I61" s="1837">
        <f>I60</f>
        <v>14.28</v>
      </c>
      <c r="J61" s="1941">
        <f t="shared" ref="J61:J71" si="13">H61*I61/1000</f>
        <v>4.5517500000000002</v>
      </c>
    </row>
    <row r="62" spans="1:10" x14ac:dyDescent="0.2">
      <c r="A62" s="1754" t="s">
        <v>260</v>
      </c>
      <c r="B62" s="1747">
        <f>'факт шаблон стоки'!A33</f>
        <v>3772.71</v>
      </c>
      <c r="C62" s="1837">
        <v>13.79</v>
      </c>
      <c r="D62" s="1941">
        <f t="shared" si="12"/>
        <v>52.025670899999994</v>
      </c>
      <c r="G62" s="1754" t="s">
        <v>260</v>
      </c>
      <c r="H62" s="1747">
        <v>3768.96</v>
      </c>
      <c r="I62" s="1837">
        <f t="shared" ref="I62:I65" si="14">I61</f>
        <v>14.28</v>
      </c>
      <c r="J62" s="1941">
        <f t="shared" si="13"/>
        <v>53.820748800000004</v>
      </c>
    </row>
    <row r="63" spans="1:10" x14ac:dyDescent="0.2">
      <c r="A63" s="1754" t="s">
        <v>261</v>
      </c>
      <c r="B63" s="1747">
        <f>'факт шаблон стоки'!A34</f>
        <v>524.5</v>
      </c>
      <c r="C63" s="1837">
        <v>13.79</v>
      </c>
      <c r="D63" s="1941">
        <f t="shared" si="12"/>
        <v>7.2328549999999998</v>
      </c>
      <c r="G63" s="1754" t="s">
        <v>261</v>
      </c>
      <c r="H63" s="1747">
        <v>427.5</v>
      </c>
      <c r="I63" s="1837">
        <f t="shared" si="14"/>
        <v>14.28</v>
      </c>
      <c r="J63" s="1941">
        <f t="shared" si="13"/>
        <v>6.1047000000000002</v>
      </c>
    </row>
    <row r="64" spans="1:10" x14ac:dyDescent="0.2">
      <c r="A64" s="1754" t="s">
        <v>262</v>
      </c>
      <c r="B64" s="1747">
        <f>'факт шаблон стоки'!A35</f>
        <v>753.75</v>
      </c>
      <c r="C64" s="1837">
        <v>13.79</v>
      </c>
      <c r="D64" s="1941">
        <f t="shared" si="12"/>
        <v>10.3942125</v>
      </c>
      <c r="G64" s="1754" t="s">
        <v>262</v>
      </c>
      <c r="H64" s="1747">
        <v>384.5</v>
      </c>
      <c r="I64" s="1837">
        <f t="shared" si="14"/>
        <v>14.28</v>
      </c>
      <c r="J64" s="1941">
        <f t="shared" si="13"/>
        <v>5.4906600000000001</v>
      </c>
    </row>
    <row r="65" spans="1:10" x14ac:dyDescent="0.2">
      <c r="A65" s="1754" t="s">
        <v>263</v>
      </c>
      <c r="B65" s="1747">
        <f>'факт шаблон стоки'!A36</f>
        <v>4175.71</v>
      </c>
      <c r="C65" s="1837">
        <v>13.79</v>
      </c>
      <c r="D65" s="1941">
        <f t="shared" si="12"/>
        <v>57.5830409</v>
      </c>
      <c r="G65" s="1754" t="s">
        <v>263</v>
      </c>
      <c r="H65" s="1747">
        <v>4077.71</v>
      </c>
      <c r="I65" s="1837">
        <f t="shared" si="14"/>
        <v>14.28</v>
      </c>
      <c r="J65" s="1941">
        <f t="shared" si="13"/>
        <v>58.229698800000001</v>
      </c>
    </row>
    <row r="66" spans="1:10" x14ac:dyDescent="0.2">
      <c r="A66" s="1754" t="s">
        <v>1210</v>
      </c>
      <c r="B66" s="1747">
        <f>'факт шаблон стоки'!A37</f>
        <v>450</v>
      </c>
      <c r="C66" s="1837">
        <v>14.28</v>
      </c>
      <c r="D66" s="1941">
        <f t="shared" si="12"/>
        <v>6.4260000000000002</v>
      </c>
      <c r="G66" s="1754" t="s">
        <v>1210</v>
      </c>
      <c r="H66" s="1747">
        <v>461.25</v>
      </c>
      <c r="I66" s="1837">
        <v>14.87</v>
      </c>
      <c r="J66" s="1941">
        <f t="shared" si="13"/>
        <v>6.8587874999999991</v>
      </c>
    </row>
    <row r="67" spans="1:10" x14ac:dyDescent="0.2">
      <c r="A67" s="1754" t="s">
        <v>264</v>
      </c>
      <c r="B67" s="1747">
        <f>'факт шаблон стоки'!A38</f>
        <v>585</v>
      </c>
      <c r="C67" s="1837">
        <v>14.28</v>
      </c>
      <c r="D67" s="1941">
        <f t="shared" si="12"/>
        <v>8.3537999999999997</v>
      </c>
      <c r="G67" s="1754" t="s">
        <v>264</v>
      </c>
      <c r="H67" s="1747">
        <v>480</v>
      </c>
      <c r="I67" s="1837">
        <f>I66</f>
        <v>14.87</v>
      </c>
      <c r="J67" s="1941">
        <f t="shared" si="13"/>
        <v>7.1375999999999991</v>
      </c>
    </row>
    <row r="68" spans="1:10" x14ac:dyDescent="0.2">
      <c r="A68" s="1754" t="s">
        <v>1228</v>
      </c>
      <c r="B68" s="1747">
        <f>'факт шаблон стоки'!A39</f>
        <v>4072.71</v>
      </c>
      <c r="C68" s="1837">
        <v>14.28</v>
      </c>
      <c r="D68" s="1941">
        <f t="shared" si="12"/>
        <v>58.158298799999997</v>
      </c>
      <c r="G68" s="1754" t="s">
        <v>1228</v>
      </c>
      <c r="H68" s="1747">
        <v>3999.46</v>
      </c>
      <c r="I68" s="1837">
        <f t="shared" ref="I68:I71" si="15">I67</f>
        <v>14.87</v>
      </c>
      <c r="J68" s="1941">
        <f t="shared" si="13"/>
        <v>59.471970199999994</v>
      </c>
    </row>
    <row r="69" spans="1:10" x14ac:dyDescent="0.2">
      <c r="A69" s="1754" t="s">
        <v>265</v>
      </c>
      <c r="B69" s="1747">
        <f>'факт шаблон стоки'!A40</f>
        <v>611.25</v>
      </c>
      <c r="C69" s="1837">
        <v>14.28</v>
      </c>
      <c r="D69" s="1941">
        <f t="shared" si="12"/>
        <v>8.72865</v>
      </c>
      <c r="G69" s="1754" t="s">
        <v>265</v>
      </c>
      <c r="H69" s="1747">
        <v>236.25</v>
      </c>
      <c r="I69" s="1837">
        <f t="shared" si="15"/>
        <v>14.87</v>
      </c>
      <c r="J69" s="1941">
        <f t="shared" si="13"/>
        <v>3.5130374999999998</v>
      </c>
    </row>
    <row r="70" spans="1:10" x14ac:dyDescent="0.2">
      <c r="A70" s="1754" t="s">
        <v>266</v>
      </c>
      <c r="B70" s="1747">
        <f>'факт шаблон стоки'!A41</f>
        <v>810</v>
      </c>
      <c r="C70" s="1837">
        <v>14.28</v>
      </c>
      <c r="D70" s="1941">
        <f t="shared" si="12"/>
        <v>11.566799999999999</v>
      </c>
      <c r="G70" s="1754" t="s">
        <v>266</v>
      </c>
      <c r="H70" s="1747">
        <v>535.25</v>
      </c>
      <c r="I70" s="1837">
        <f t="shared" si="15"/>
        <v>14.87</v>
      </c>
      <c r="J70" s="1941">
        <f t="shared" si="13"/>
        <v>7.9591674999999995</v>
      </c>
    </row>
    <row r="71" spans="1:10" x14ac:dyDescent="0.2">
      <c r="A71" s="1754" t="s">
        <v>1319</v>
      </c>
      <c r="B71" s="1747">
        <f>'факт шаблон стоки'!A42</f>
        <v>3885.21</v>
      </c>
      <c r="C71" s="1837">
        <v>14.28</v>
      </c>
      <c r="D71" s="1941">
        <f t="shared" si="12"/>
        <v>55.480798799999995</v>
      </c>
      <c r="G71" s="1754" t="s">
        <v>1319</v>
      </c>
      <c r="H71" s="1747">
        <v>4226.46</v>
      </c>
      <c r="I71" s="1837">
        <f t="shared" si="15"/>
        <v>14.87</v>
      </c>
      <c r="J71" s="1941">
        <f t="shared" si="13"/>
        <v>62.847460199999993</v>
      </c>
    </row>
    <row r="72" spans="1:10" x14ac:dyDescent="0.2">
      <c r="A72" s="1754" t="s">
        <v>282</v>
      </c>
      <c r="B72" s="1755">
        <f>SUM(B60:B71)</f>
        <v>20645.84</v>
      </c>
      <c r="C72" s="1941">
        <f>D72/B72*1000</f>
        <v>14.03716569052167</v>
      </c>
      <c r="D72" s="1942">
        <f>SUM(D60:D71)</f>
        <v>289.80907689999992</v>
      </c>
      <c r="G72" s="1754" t="s">
        <v>282</v>
      </c>
      <c r="H72" s="1755">
        <f>SUM(H60:H71)</f>
        <v>19223.59</v>
      </c>
      <c r="I72" s="1941">
        <f>J72/H72*1000</f>
        <v>14.585032270247126</v>
      </c>
      <c r="J72" s="1942">
        <f>SUM(J60:J71)</f>
        <v>280.37668049999996</v>
      </c>
    </row>
  </sheetData>
  <mergeCells count="10">
    <mergeCell ref="A9:D9"/>
    <mergeCell ref="A10:B10"/>
    <mergeCell ref="A26:B26"/>
    <mergeCell ref="A42:B42"/>
    <mergeCell ref="A58:B58"/>
    <mergeCell ref="G9:J9"/>
    <mergeCell ref="G10:H10"/>
    <mergeCell ref="G26:H26"/>
    <mergeCell ref="G42:H42"/>
    <mergeCell ref="G58:H5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64"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3" customWidth="1"/>
    <col min="2" max="2" width="9.140625" style="333"/>
    <col min="3" max="3" width="87.140625" style="333" customWidth="1"/>
    <col min="4" max="6" width="9.28515625" style="333" bestFit="1" customWidth="1"/>
    <col min="7" max="7" width="9.5703125" style="333" bestFit="1" customWidth="1"/>
    <col min="8" max="15" width="9.28515625" style="333" bestFit="1" customWidth="1"/>
    <col min="16" max="16384" width="9.140625" style="333"/>
  </cols>
  <sheetData>
    <row r="2" spans="1:11" ht="23.25" x14ac:dyDescent="0.35">
      <c r="A2" s="5514" t="s">
        <v>436</v>
      </c>
      <c r="B2" s="5514"/>
      <c r="C2" s="5514"/>
      <c r="D2" s="5514"/>
      <c r="E2" s="5514"/>
      <c r="F2" s="5514"/>
      <c r="G2" s="5514"/>
      <c r="H2" s="5514"/>
      <c r="I2" s="5514"/>
      <c r="J2" s="5514"/>
      <c r="K2" s="5514"/>
    </row>
    <row r="4" spans="1:11" ht="15.75" x14ac:dyDescent="0.25">
      <c r="A4" s="5515" t="s">
        <v>347</v>
      </c>
      <c r="B4" s="5515"/>
      <c r="C4" s="5515"/>
      <c r="D4" s="5515"/>
      <c r="E4" s="5515"/>
      <c r="F4" s="5515"/>
      <c r="G4" s="5515"/>
      <c r="H4" s="5515"/>
      <c r="I4" s="5515"/>
      <c r="J4" s="5515"/>
      <c r="K4" s="5515"/>
    </row>
    <row r="5" spans="1:11" ht="18.75" x14ac:dyDescent="0.3">
      <c r="A5" s="4408" t="s">
        <v>437</v>
      </c>
      <c r="B5" s="4408"/>
      <c r="C5" s="4408"/>
      <c r="D5" s="4408"/>
      <c r="E5" s="4408"/>
      <c r="F5" s="4408"/>
      <c r="G5" s="4408"/>
    </row>
    <row r="6" spans="1:11" ht="18" x14ac:dyDescent="0.25">
      <c r="A6" s="334" t="s">
        <v>486</v>
      </c>
    </row>
    <row r="7" spans="1:11" ht="15.75" thickBot="1" x14ac:dyDescent="0.25">
      <c r="A7" s="335" t="s">
        <v>438</v>
      </c>
    </row>
    <row r="8" spans="1:11" ht="13.5" thickBot="1" x14ac:dyDescent="0.25">
      <c r="A8" s="336" t="s">
        <v>166</v>
      </c>
      <c r="B8" s="336" t="s">
        <v>439</v>
      </c>
      <c r="C8" s="336" t="s">
        <v>358</v>
      </c>
      <c r="D8" s="337"/>
      <c r="E8" s="5365" t="s">
        <v>440</v>
      </c>
      <c r="F8" s="5366"/>
      <c r="G8" s="5365" t="s">
        <v>441</v>
      </c>
      <c r="H8" s="5367"/>
      <c r="I8" s="5366"/>
      <c r="J8" s="5368" t="s">
        <v>442</v>
      </c>
      <c r="K8" s="5369"/>
    </row>
    <row r="9" spans="1:11" ht="13.5" thickBot="1" x14ac:dyDescent="0.25">
      <c r="A9" s="340" t="s">
        <v>443</v>
      </c>
      <c r="B9" s="340" t="s">
        <v>444</v>
      </c>
      <c r="C9" s="340" t="s">
        <v>445</v>
      </c>
      <c r="D9" s="341" t="s">
        <v>446</v>
      </c>
      <c r="E9" s="342" t="s">
        <v>447</v>
      </c>
      <c r="F9" s="339" t="s">
        <v>448</v>
      </c>
      <c r="G9" s="340" t="s">
        <v>447</v>
      </c>
      <c r="H9" s="341" t="s">
        <v>449</v>
      </c>
      <c r="I9" s="343" t="s">
        <v>448</v>
      </c>
      <c r="J9" s="5370" t="s">
        <v>450</v>
      </c>
      <c r="K9" s="5371"/>
    </row>
    <row r="10" spans="1:11" ht="13.5" thickBot="1" x14ac:dyDescent="0.25">
      <c r="A10" s="344"/>
      <c r="B10" s="344" t="s">
        <v>451</v>
      </c>
      <c r="C10" s="344"/>
      <c r="D10" s="345"/>
      <c r="E10" s="342" t="s">
        <v>449</v>
      </c>
      <c r="F10" s="343" t="s">
        <v>452</v>
      </c>
      <c r="G10" s="338"/>
      <c r="H10" s="346"/>
      <c r="I10" s="343" t="s">
        <v>452</v>
      </c>
      <c r="J10" s="344" t="s">
        <v>453</v>
      </c>
      <c r="K10" s="345" t="s">
        <v>447</v>
      </c>
    </row>
    <row r="11" spans="1:11" ht="13.5" thickBot="1" x14ac:dyDescent="0.25">
      <c r="A11" s="347"/>
    </row>
    <row r="12" spans="1:11" ht="25.5" customHeight="1" thickBot="1" x14ac:dyDescent="0.25">
      <c r="A12" s="348">
        <v>1</v>
      </c>
      <c r="B12" s="349">
        <v>2</v>
      </c>
      <c r="C12" s="349">
        <v>3</v>
      </c>
      <c r="D12" s="349">
        <v>4</v>
      </c>
      <c r="E12" s="349">
        <v>5</v>
      </c>
      <c r="F12" s="349">
        <v>6</v>
      </c>
      <c r="G12" s="349">
        <v>7</v>
      </c>
      <c r="H12" s="349">
        <v>8</v>
      </c>
      <c r="I12" s="349">
        <v>9</v>
      </c>
      <c r="J12" s="349">
        <v>10</v>
      </c>
      <c r="K12" s="349">
        <v>11</v>
      </c>
    </row>
    <row r="13" spans="1:11" ht="25.5" customHeight="1" x14ac:dyDescent="0.2">
      <c r="A13" s="5358">
        <v>12</v>
      </c>
      <c r="B13" s="5360" t="s">
        <v>454</v>
      </c>
      <c r="C13" s="350" t="s">
        <v>455</v>
      </c>
      <c r="D13" s="351">
        <v>10</v>
      </c>
      <c r="E13" s="352">
        <v>4852.8999999999996</v>
      </c>
      <c r="F13" s="352">
        <v>86.76</v>
      </c>
      <c r="G13" s="5358">
        <v>48529</v>
      </c>
      <c r="H13" s="5358">
        <v>9594</v>
      </c>
      <c r="I13" s="352">
        <v>868</v>
      </c>
      <c r="J13" s="352">
        <v>4.53</v>
      </c>
      <c r="K13" s="352">
        <v>45.3</v>
      </c>
    </row>
    <row r="14" spans="1:11" ht="25.5" customHeight="1" thickBot="1" x14ac:dyDescent="0.25">
      <c r="A14" s="5359"/>
      <c r="B14" s="5361"/>
      <c r="C14" s="353" t="s">
        <v>456</v>
      </c>
      <c r="D14" s="354" t="s">
        <v>457</v>
      </c>
      <c r="E14" s="354">
        <v>959.43</v>
      </c>
      <c r="F14" s="354">
        <v>0</v>
      </c>
      <c r="G14" s="5359"/>
      <c r="H14" s="5359"/>
      <c r="I14" s="354">
        <v>0</v>
      </c>
      <c r="J14" s="354">
        <v>0.1</v>
      </c>
      <c r="K14" s="354">
        <v>1</v>
      </c>
    </row>
    <row r="15" spans="1:11" ht="23.25" customHeight="1" x14ac:dyDescent="0.2">
      <c r="A15" s="5358">
        <v>13</v>
      </c>
      <c r="B15" s="5360" t="s">
        <v>458</v>
      </c>
      <c r="C15" s="355" t="s">
        <v>459</v>
      </c>
      <c r="D15" s="356">
        <v>6</v>
      </c>
      <c r="E15" s="357">
        <v>1489.56</v>
      </c>
      <c r="F15" s="357">
        <v>8.66</v>
      </c>
      <c r="G15" s="5358">
        <v>8937</v>
      </c>
      <c r="H15" s="5358">
        <v>1333</v>
      </c>
      <c r="I15" s="357">
        <v>52</v>
      </c>
      <c r="J15" s="357">
        <v>1.01</v>
      </c>
      <c r="K15" s="357">
        <v>6.06</v>
      </c>
    </row>
    <row r="16" spans="1:11" ht="36" customHeight="1" thickBot="1" x14ac:dyDescent="0.25">
      <c r="A16" s="5359"/>
      <c r="B16" s="5361"/>
      <c r="C16" s="353" t="s">
        <v>456</v>
      </c>
      <c r="D16" s="354" t="s">
        <v>460</v>
      </c>
      <c r="E16" s="354">
        <v>222.23</v>
      </c>
      <c r="F16" s="354">
        <v>0</v>
      </c>
      <c r="G16" s="5359"/>
      <c r="H16" s="5359"/>
      <c r="I16" s="354">
        <v>0</v>
      </c>
      <c r="J16" s="354">
        <v>0.01</v>
      </c>
      <c r="K16" s="354">
        <v>0.06</v>
      </c>
    </row>
    <row r="17" spans="1:11" ht="27" customHeight="1" x14ac:dyDescent="0.2">
      <c r="A17" s="5358">
        <v>14</v>
      </c>
      <c r="B17" s="5360" t="s">
        <v>461</v>
      </c>
      <c r="C17" s="355" t="s">
        <v>462</v>
      </c>
      <c r="D17" s="356">
        <v>6</v>
      </c>
      <c r="E17" s="357">
        <v>2391.5300000000002</v>
      </c>
      <c r="F17" s="357">
        <v>26.07</v>
      </c>
      <c r="G17" s="5358">
        <v>14349</v>
      </c>
      <c r="H17" s="5358">
        <v>2205</v>
      </c>
      <c r="I17" s="357">
        <v>156</v>
      </c>
      <c r="J17" s="357">
        <v>1.67</v>
      </c>
      <c r="K17" s="357">
        <v>10.02</v>
      </c>
    </row>
    <row r="18" spans="1:11" ht="44.25" customHeight="1" thickBot="1" x14ac:dyDescent="0.25">
      <c r="A18" s="5359"/>
      <c r="B18" s="5361"/>
      <c r="C18" s="353" t="s">
        <v>456</v>
      </c>
      <c r="D18" s="354" t="s">
        <v>460</v>
      </c>
      <c r="E18" s="354">
        <v>367.48</v>
      </c>
      <c r="F18" s="354">
        <v>0</v>
      </c>
      <c r="G18" s="5359"/>
      <c r="H18" s="5359"/>
      <c r="I18" s="354">
        <v>0</v>
      </c>
      <c r="J18" s="354">
        <v>0.03</v>
      </c>
      <c r="K18" s="354">
        <v>0.18</v>
      </c>
    </row>
    <row r="19" spans="1:11" ht="28.5" customHeight="1" x14ac:dyDescent="0.2">
      <c r="A19" s="5358">
        <v>15</v>
      </c>
      <c r="B19" s="5360" t="s">
        <v>463</v>
      </c>
      <c r="C19" s="355" t="s">
        <v>464</v>
      </c>
      <c r="D19" s="356">
        <v>5</v>
      </c>
      <c r="E19" s="357">
        <v>2735.83</v>
      </c>
      <c r="F19" s="357">
        <v>26.07</v>
      </c>
      <c r="G19" s="5358">
        <v>13679</v>
      </c>
      <c r="H19" s="5358">
        <v>1870</v>
      </c>
      <c r="I19" s="357">
        <v>130</v>
      </c>
      <c r="J19" s="357">
        <v>1.7</v>
      </c>
      <c r="K19" s="357">
        <v>8.5</v>
      </c>
    </row>
    <row r="20" spans="1:11" ht="42" customHeight="1" thickBot="1" x14ac:dyDescent="0.25">
      <c r="A20" s="5359"/>
      <c r="B20" s="5361"/>
      <c r="C20" s="353" t="s">
        <v>456</v>
      </c>
      <c r="D20" s="354" t="s">
        <v>460</v>
      </c>
      <c r="E20" s="354">
        <v>373.94</v>
      </c>
      <c r="F20" s="354">
        <v>0</v>
      </c>
      <c r="G20" s="5359"/>
      <c r="H20" s="5359"/>
      <c r="I20" s="354">
        <v>0</v>
      </c>
      <c r="J20" s="354">
        <v>0.03</v>
      </c>
      <c r="K20" s="354">
        <v>0.15</v>
      </c>
    </row>
    <row r="21" spans="1:11" ht="33" customHeight="1" x14ac:dyDescent="0.2">
      <c r="A21" s="5358">
        <v>16</v>
      </c>
      <c r="B21" s="5360" t="s">
        <v>465</v>
      </c>
      <c r="C21" s="355" t="s">
        <v>466</v>
      </c>
      <c r="D21" s="356">
        <v>4</v>
      </c>
      <c r="E21" s="357">
        <v>4792.7700000000004</v>
      </c>
      <c r="F21" s="357">
        <v>60.7</v>
      </c>
      <c r="G21" s="5358">
        <v>19171</v>
      </c>
      <c r="H21" s="5358">
        <v>2504</v>
      </c>
      <c r="I21" s="357">
        <v>243</v>
      </c>
      <c r="J21" s="357">
        <v>2.78</v>
      </c>
      <c r="K21" s="357">
        <v>11.12</v>
      </c>
    </row>
    <row r="22" spans="1:11" ht="42" customHeight="1" thickBot="1" x14ac:dyDescent="0.25">
      <c r="A22" s="5359"/>
      <c r="B22" s="5361"/>
      <c r="C22" s="353" t="s">
        <v>456</v>
      </c>
      <c r="D22" s="354" t="s">
        <v>460</v>
      </c>
      <c r="E22" s="354">
        <v>625.96</v>
      </c>
      <c r="F22" s="354">
        <v>0</v>
      </c>
      <c r="G22" s="5359"/>
      <c r="H22" s="5359"/>
      <c r="I22" s="354">
        <v>0</v>
      </c>
      <c r="J22" s="354">
        <v>7.0000000000000007E-2</v>
      </c>
      <c r="K22" s="354">
        <v>0.28000000000000003</v>
      </c>
    </row>
    <row r="23" spans="1:11" ht="30.75" customHeight="1" x14ac:dyDescent="0.2">
      <c r="A23" s="5358">
        <v>17</v>
      </c>
      <c r="B23" s="5360" t="s">
        <v>467</v>
      </c>
      <c r="C23" s="355" t="s">
        <v>468</v>
      </c>
      <c r="D23" s="356">
        <v>4</v>
      </c>
      <c r="E23" s="357">
        <v>7360.92</v>
      </c>
      <c r="F23" s="357">
        <v>479.19</v>
      </c>
      <c r="G23" s="5358">
        <v>29444</v>
      </c>
      <c r="H23" s="5358">
        <v>3583</v>
      </c>
      <c r="I23" s="357">
        <v>1917</v>
      </c>
      <c r="J23" s="357">
        <v>3.93</v>
      </c>
      <c r="K23" s="357">
        <v>15.72</v>
      </c>
    </row>
    <row r="24" spans="1:11" ht="35.25" customHeight="1" thickBot="1" x14ac:dyDescent="0.25">
      <c r="A24" s="5359"/>
      <c r="B24" s="5361"/>
      <c r="C24" s="353" t="s">
        <v>456</v>
      </c>
      <c r="D24" s="354" t="s">
        <v>460</v>
      </c>
      <c r="E24" s="354">
        <v>895.87</v>
      </c>
      <c r="F24" s="354">
        <v>88.64</v>
      </c>
      <c r="G24" s="5359"/>
      <c r="H24" s="5359"/>
      <c r="I24" s="354">
        <v>355</v>
      </c>
      <c r="J24" s="354">
        <v>0.36</v>
      </c>
      <c r="K24" s="354">
        <v>1.44</v>
      </c>
    </row>
    <row r="25" spans="1:11" ht="27.75" customHeight="1" x14ac:dyDescent="0.2">
      <c r="A25" s="5358">
        <v>18</v>
      </c>
      <c r="B25" s="5360" t="s">
        <v>469</v>
      </c>
      <c r="C25" s="355" t="s">
        <v>470</v>
      </c>
      <c r="D25" s="356">
        <v>0.1</v>
      </c>
      <c r="E25" s="357">
        <v>126956.4</v>
      </c>
      <c r="F25" s="357">
        <v>34.729999999999997</v>
      </c>
      <c r="G25" s="5358">
        <v>12696</v>
      </c>
      <c r="H25" s="5358">
        <v>11173</v>
      </c>
      <c r="I25" s="357">
        <v>3</v>
      </c>
      <c r="J25" s="357">
        <v>520.79999999999995</v>
      </c>
      <c r="K25" s="357">
        <v>52.08</v>
      </c>
    </row>
    <row r="26" spans="1:11" ht="40.5" customHeight="1" thickBot="1" x14ac:dyDescent="0.25">
      <c r="A26" s="5359"/>
      <c r="B26" s="5361"/>
      <c r="C26" s="353" t="s">
        <v>456</v>
      </c>
      <c r="D26" s="354" t="s">
        <v>471</v>
      </c>
      <c r="E26" s="354">
        <v>111727.55</v>
      </c>
      <c r="F26" s="354">
        <v>0</v>
      </c>
      <c r="G26" s="5359"/>
      <c r="H26" s="5359"/>
      <c r="I26" s="354">
        <v>0</v>
      </c>
      <c r="J26" s="354">
        <v>0.04</v>
      </c>
      <c r="K26" s="354">
        <v>0</v>
      </c>
    </row>
    <row r="27" spans="1:11" ht="27" customHeight="1" x14ac:dyDescent="0.2">
      <c r="A27" s="5358">
        <v>19</v>
      </c>
      <c r="B27" s="5360" t="s">
        <v>472</v>
      </c>
      <c r="C27" s="355" t="s">
        <v>473</v>
      </c>
      <c r="D27" s="356">
        <v>0.06</v>
      </c>
      <c r="E27" s="357">
        <v>184235.21</v>
      </c>
      <c r="F27" s="357">
        <v>60.7</v>
      </c>
      <c r="G27" s="5358">
        <v>11054</v>
      </c>
      <c r="H27" s="5358">
        <v>9438</v>
      </c>
      <c r="I27" s="357">
        <v>4</v>
      </c>
      <c r="J27" s="357">
        <v>733.2</v>
      </c>
      <c r="K27" s="357">
        <v>43.99</v>
      </c>
    </row>
    <row r="28" spans="1:11" ht="30.75" customHeight="1" thickBot="1" x14ac:dyDescent="0.25">
      <c r="A28" s="5359"/>
      <c r="B28" s="5361"/>
      <c r="C28" s="353" t="s">
        <v>456</v>
      </c>
      <c r="D28" s="354" t="s">
        <v>471</v>
      </c>
      <c r="E28" s="354">
        <v>157294.32999999999</v>
      </c>
      <c r="F28" s="354">
        <v>0</v>
      </c>
      <c r="G28" s="5359"/>
      <c r="H28" s="5359"/>
      <c r="I28" s="354">
        <v>0</v>
      </c>
      <c r="J28" s="354">
        <v>7.0000000000000007E-2</v>
      </c>
      <c r="K28" s="354">
        <v>0</v>
      </c>
    </row>
    <row r="29" spans="1:11" ht="27" customHeight="1" x14ac:dyDescent="0.2">
      <c r="A29" s="5358">
        <v>20</v>
      </c>
      <c r="B29" s="5360" t="s">
        <v>474</v>
      </c>
      <c r="C29" s="355" t="s">
        <v>475</v>
      </c>
      <c r="D29" s="356">
        <v>0.06</v>
      </c>
      <c r="E29" s="357">
        <v>249249.46</v>
      </c>
      <c r="F29" s="357">
        <v>78.11</v>
      </c>
      <c r="G29" s="5358">
        <v>14955</v>
      </c>
      <c r="H29" s="5358">
        <v>12710</v>
      </c>
      <c r="I29" s="357">
        <v>5</v>
      </c>
      <c r="J29" s="357">
        <v>987.4</v>
      </c>
      <c r="K29" s="357">
        <v>59.24</v>
      </c>
    </row>
    <row r="30" spans="1:11" ht="27.75" customHeight="1" thickBot="1" x14ac:dyDescent="0.25">
      <c r="A30" s="5359"/>
      <c r="B30" s="5361"/>
      <c r="C30" s="353" t="s">
        <v>456</v>
      </c>
      <c r="D30" s="354" t="s">
        <v>471</v>
      </c>
      <c r="E30" s="354">
        <v>211828.21</v>
      </c>
      <c r="F30" s="354">
        <v>0</v>
      </c>
      <c r="G30" s="5359"/>
      <c r="H30" s="5359"/>
      <c r="I30" s="354">
        <v>0</v>
      </c>
      <c r="J30" s="354">
        <v>0.09</v>
      </c>
      <c r="K30" s="354">
        <v>0.01</v>
      </c>
    </row>
    <row r="31" spans="1:11" x14ac:dyDescent="0.2">
      <c r="A31" s="5516" t="s">
        <v>476</v>
      </c>
      <c r="B31" s="5516"/>
      <c r="C31" s="5516"/>
      <c r="D31" s="5516"/>
      <c r="E31" s="5516"/>
      <c r="F31" s="5516"/>
      <c r="G31" s="333">
        <f>SUM(G13:G30)</f>
        <v>172814</v>
      </c>
    </row>
    <row r="33" spans="1:11" ht="18.75" x14ac:dyDescent="0.3">
      <c r="A33" s="4408" t="s">
        <v>487</v>
      </c>
      <c r="B33" s="4408"/>
      <c r="C33" s="4408"/>
      <c r="D33" s="4408"/>
      <c r="E33" s="4408"/>
      <c r="F33" s="4408"/>
      <c r="G33" s="4408"/>
      <c r="H33" s="4408"/>
      <c r="I33" s="4408"/>
      <c r="J33" s="4408"/>
      <c r="K33" s="4408"/>
    </row>
    <row r="34" spans="1:11" ht="18" x14ac:dyDescent="0.25">
      <c r="A34" s="5517" t="s">
        <v>488</v>
      </c>
      <c r="B34" s="5517"/>
    </row>
    <row r="35" spans="1:11" ht="15" x14ac:dyDescent="0.2">
      <c r="A35" s="5518" t="s">
        <v>477</v>
      </c>
      <c r="B35" s="5518"/>
      <c r="C35" s="5518"/>
      <c r="D35" s="5518"/>
      <c r="E35" s="5518"/>
      <c r="F35" s="5518"/>
      <c r="G35" s="5518"/>
      <c r="H35" s="5518"/>
      <c r="I35" s="5518"/>
      <c r="J35" s="5518"/>
      <c r="K35" s="5518"/>
    </row>
    <row r="36" spans="1:11" ht="13.5" thickBot="1" x14ac:dyDescent="0.25"/>
    <row r="37" spans="1:11" ht="13.5" thickBot="1" x14ac:dyDescent="0.25">
      <c r="A37" s="336" t="s">
        <v>166</v>
      </c>
      <c r="B37" s="336" t="s">
        <v>439</v>
      </c>
      <c r="C37" s="336" t="s">
        <v>358</v>
      </c>
      <c r="D37" s="337"/>
      <c r="E37" s="5365" t="s">
        <v>440</v>
      </c>
      <c r="F37" s="5366"/>
      <c r="G37" s="5365" t="s">
        <v>441</v>
      </c>
      <c r="H37" s="5367"/>
      <c r="I37" s="5366"/>
      <c r="J37" s="5368" t="s">
        <v>442</v>
      </c>
      <c r="K37" s="5369"/>
    </row>
    <row r="38" spans="1:11" ht="13.5" thickBot="1" x14ac:dyDescent="0.25">
      <c r="A38" s="340" t="s">
        <v>443</v>
      </c>
      <c r="B38" s="340" t="s">
        <v>444</v>
      </c>
      <c r="C38" s="340" t="s">
        <v>445</v>
      </c>
      <c r="D38" s="341" t="s">
        <v>446</v>
      </c>
      <c r="E38" s="342" t="s">
        <v>447</v>
      </c>
      <c r="F38" s="339" t="s">
        <v>448</v>
      </c>
      <c r="G38" s="340" t="s">
        <v>447</v>
      </c>
      <c r="H38" s="341" t="s">
        <v>449</v>
      </c>
      <c r="I38" s="343" t="s">
        <v>448</v>
      </c>
      <c r="J38" s="5370" t="s">
        <v>450</v>
      </c>
      <c r="K38" s="5371"/>
    </row>
    <row r="39" spans="1:11" ht="13.5" thickBot="1" x14ac:dyDescent="0.25">
      <c r="A39" s="344"/>
      <c r="B39" s="344" t="s">
        <v>451</v>
      </c>
      <c r="C39" s="344"/>
      <c r="D39" s="345"/>
      <c r="E39" s="342" t="s">
        <v>449</v>
      </c>
      <c r="F39" s="343" t="s">
        <v>452</v>
      </c>
      <c r="G39" s="338"/>
      <c r="H39" s="346"/>
      <c r="I39" s="343" t="s">
        <v>452</v>
      </c>
      <c r="J39" s="344" t="s">
        <v>453</v>
      </c>
      <c r="K39" s="345" t="s">
        <v>447</v>
      </c>
    </row>
    <row r="40" spans="1:11" ht="13.5" thickBot="1" x14ac:dyDescent="0.25">
      <c r="A40" s="347"/>
    </row>
    <row r="41" spans="1:11" ht="13.5" thickBot="1" x14ac:dyDescent="0.25">
      <c r="A41" s="348">
        <v>1</v>
      </c>
      <c r="B41" s="349">
        <v>2</v>
      </c>
      <c r="C41" s="349">
        <v>3</v>
      </c>
      <c r="D41" s="349">
        <v>4</v>
      </c>
      <c r="E41" s="349">
        <v>5</v>
      </c>
      <c r="F41" s="349">
        <v>6</v>
      </c>
      <c r="G41" s="349">
        <v>7</v>
      </c>
      <c r="H41" s="349">
        <v>8</v>
      </c>
      <c r="I41" s="349">
        <v>9</v>
      </c>
      <c r="J41" s="349">
        <v>10</v>
      </c>
      <c r="K41" s="349">
        <v>11</v>
      </c>
    </row>
    <row r="42" spans="1:11" x14ac:dyDescent="0.2">
      <c r="A42" s="5358">
        <v>9</v>
      </c>
      <c r="B42" s="5360" t="s">
        <v>478</v>
      </c>
      <c r="C42" s="350" t="s">
        <v>479</v>
      </c>
      <c r="D42" s="351">
        <v>15</v>
      </c>
      <c r="E42" s="352">
        <v>3998.08</v>
      </c>
      <c r="F42" s="352">
        <v>719.58</v>
      </c>
      <c r="G42" s="5358">
        <v>59971</v>
      </c>
      <c r="H42" s="5358">
        <v>20034</v>
      </c>
      <c r="I42" s="352">
        <v>10794</v>
      </c>
      <c r="J42" s="352">
        <v>5.86</v>
      </c>
      <c r="K42" s="352">
        <v>87.9</v>
      </c>
    </row>
    <row r="43" spans="1:11" ht="23.25" thickBot="1" x14ac:dyDescent="0.25">
      <c r="A43" s="5359"/>
      <c r="B43" s="5361"/>
      <c r="C43" s="353" t="s">
        <v>456</v>
      </c>
      <c r="D43" s="354" t="s">
        <v>480</v>
      </c>
      <c r="E43" s="354">
        <v>1335.61</v>
      </c>
      <c r="F43" s="354">
        <v>137.56</v>
      </c>
      <c r="G43" s="5359"/>
      <c r="H43" s="5359"/>
      <c r="I43" s="354">
        <v>2063</v>
      </c>
      <c r="J43" s="354">
        <v>0.55000000000000004</v>
      </c>
      <c r="K43" s="354">
        <v>8.25</v>
      </c>
    </row>
    <row r="44" spans="1:11" x14ac:dyDescent="0.2">
      <c r="A44" s="5358">
        <v>10</v>
      </c>
      <c r="B44" s="5360" t="s">
        <v>481</v>
      </c>
      <c r="C44" s="355" t="s">
        <v>482</v>
      </c>
      <c r="D44" s="356">
        <v>12</v>
      </c>
      <c r="E44" s="357">
        <v>8801.24</v>
      </c>
      <c r="F44" s="357">
        <v>896.5</v>
      </c>
      <c r="G44" s="5358">
        <v>105615</v>
      </c>
      <c r="H44" s="5358">
        <v>26805</v>
      </c>
      <c r="I44" s="357">
        <v>10758</v>
      </c>
      <c r="J44" s="357">
        <v>9.8000000000000007</v>
      </c>
      <c r="K44" s="357">
        <v>117.6</v>
      </c>
    </row>
    <row r="45" spans="1:11" ht="23.25" thickBot="1" x14ac:dyDescent="0.25">
      <c r="A45" s="5359"/>
      <c r="B45" s="5361"/>
      <c r="C45" s="353" t="s">
        <v>456</v>
      </c>
      <c r="D45" s="354" t="s">
        <v>480</v>
      </c>
      <c r="E45" s="354">
        <v>2233.71</v>
      </c>
      <c r="F45" s="354">
        <v>137.56</v>
      </c>
      <c r="G45" s="5359"/>
      <c r="H45" s="5359"/>
      <c r="I45" s="354">
        <v>1651</v>
      </c>
      <c r="J45" s="354">
        <v>0.55000000000000004</v>
      </c>
      <c r="K45" s="354">
        <v>6.6</v>
      </c>
    </row>
    <row r="46" spans="1:11" x14ac:dyDescent="0.2">
      <c r="A46" s="5358">
        <v>11</v>
      </c>
      <c r="B46" s="5360" t="s">
        <v>483</v>
      </c>
      <c r="C46" s="355" t="s">
        <v>484</v>
      </c>
      <c r="D46" s="356">
        <v>3</v>
      </c>
      <c r="E46" s="357">
        <v>14344.9</v>
      </c>
      <c r="F46" s="357">
        <v>1108.73</v>
      </c>
      <c r="G46" s="5358">
        <v>43035</v>
      </c>
      <c r="H46" s="5358">
        <v>9232</v>
      </c>
      <c r="I46" s="357">
        <v>3326</v>
      </c>
      <c r="J46" s="357">
        <v>13.5</v>
      </c>
      <c r="K46" s="357">
        <v>40.5</v>
      </c>
    </row>
    <row r="47" spans="1:11" ht="23.25" thickBot="1" x14ac:dyDescent="0.25">
      <c r="A47" s="5359"/>
      <c r="B47" s="5361"/>
      <c r="C47" s="353" t="s">
        <v>456</v>
      </c>
      <c r="D47" s="354" t="s">
        <v>480</v>
      </c>
      <c r="E47" s="354">
        <v>3077.18</v>
      </c>
      <c r="F47" s="354">
        <v>137.56</v>
      </c>
      <c r="G47" s="5359"/>
      <c r="H47" s="5359"/>
      <c r="I47" s="354">
        <v>413</v>
      </c>
      <c r="J47" s="354">
        <v>0.55000000000000004</v>
      </c>
      <c r="K47" s="354">
        <v>1.65</v>
      </c>
    </row>
    <row r="48" spans="1:11" x14ac:dyDescent="0.2">
      <c r="G48" s="333">
        <f>SUM(G46)</f>
        <v>43035</v>
      </c>
    </row>
    <row r="49" spans="3:17" x14ac:dyDescent="0.2">
      <c r="C49" s="333" t="s">
        <v>485</v>
      </c>
      <c r="G49" s="333">
        <f>G31+G48</f>
        <v>215849</v>
      </c>
    </row>
    <row r="54" spans="3:17" x14ac:dyDescent="0.2">
      <c r="D54" s="333">
        <v>1</v>
      </c>
      <c r="E54" s="333">
        <v>2</v>
      </c>
      <c r="F54" s="333">
        <v>3</v>
      </c>
      <c r="G54" s="565">
        <v>4</v>
      </c>
      <c r="H54" s="565">
        <v>5</v>
      </c>
      <c r="I54" s="565">
        <v>6</v>
      </c>
      <c r="J54" s="565">
        <v>7</v>
      </c>
      <c r="K54" s="565">
        <v>8</v>
      </c>
      <c r="L54" s="565">
        <v>9</v>
      </c>
      <c r="M54" s="565">
        <v>10</v>
      </c>
      <c r="N54" s="565">
        <v>11</v>
      </c>
      <c r="O54" s="565">
        <v>12</v>
      </c>
      <c r="P54" t="s">
        <v>54</v>
      </c>
      <c r="Q54" t="s">
        <v>586</v>
      </c>
    </row>
    <row r="55" spans="3:17" x14ac:dyDescent="0.2">
      <c r="C55" t="s">
        <v>602</v>
      </c>
      <c r="D55" s="333">
        <f>SUM(P55*D56)</f>
        <v>0</v>
      </c>
      <c r="E55" s="333">
        <f>SUM(P55*E56)</f>
        <v>0</v>
      </c>
      <c r="F55" s="333">
        <f>SUM(P55*F56)</f>
        <v>0</v>
      </c>
      <c r="G55" s="566">
        <f>SUM(P55*G56)</f>
        <v>5.3962250000000003</v>
      </c>
      <c r="H55" s="566">
        <f>SUM(P55*H56)</f>
        <v>43.169800000000002</v>
      </c>
      <c r="I55" s="333">
        <f>SUM(P55*I56)</f>
        <v>59.358474999999999</v>
      </c>
      <c r="J55" s="333">
        <f>SUM(P55*J56)</f>
        <v>59.358474999999999</v>
      </c>
      <c r="K55" s="566">
        <f>SUM(P55*K56)</f>
        <v>43.169800000000002</v>
      </c>
      <c r="L55" s="566">
        <f>SUM(P55*L56)</f>
        <v>5.3962250000000003</v>
      </c>
      <c r="M55" s="333">
        <f>SUM(P55*M56)</f>
        <v>0</v>
      </c>
      <c r="N55" s="333">
        <f>SUM(P55*N56)</f>
        <v>0</v>
      </c>
      <c r="O55" s="333">
        <f>SUM(P55*O56)</f>
        <v>0</v>
      </c>
      <c r="P55" s="333">
        <f>SUM(G49/1000)</f>
        <v>215.84899999999999</v>
      </c>
      <c r="Q55" s="333">
        <f>SUM(D55:O55)</f>
        <v>215.84899999999999</v>
      </c>
    </row>
    <row r="56" spans="3:17" x14ac:dyDescent="0.2">
      <c r="C56" t="s">
        <v>603</v>
      </c>
      <c r="D56" s="568">
        <v>0</v>
      </c>
      <c r="E56" s="568">
        <v>0</v>
      </c>
      <c r="F56" s="568">
        <v>0</v>
      </c>
      <c r="G56" s="568">
        <v>2.5000000000000001E-2</v>
      </c>
      <c r="H56" s="568">
        <v>0.2</v>
      </c>
      <c r="I56" s="568">
        <v>0.27500000000000002</v>
      </c>
      <c r="J56" s="568">
        <v>0.27500000000000002</v>
      </c>
      <c r="K56" s="568">
        <v>0.2</v>
      </c>
      <c r="L56" s="568">
        <v>2.5000000000000001E-2</v>
      </c>
      <c r="M56" s="568">
        <v>0</v>
      </c>
      <c r="N56" s="568">
        <v>0</v>
      </c>
      <c r="O56" s="568">
        <v>0</v>
      </c>
      <c r="P56" s="567">
        <f>SUM(D56:O56)</f>
        <v>1</v>
      </c>
    </row>
  </sheetData>
  <mergeCells count="63">
    <mergeCell ref="A5:G5"/>
    <mergeCell ref="E8:F8"/>
    <mergeCell ref="G8:I8"/>
    <mergeCell ref="A15:A16"/>
    <mergeCell ref="B15:B16"/>
    <mergeCell ref="G15:G16"/>
    <mergeCell ref="H15:H16"/>
    <mergeCell ref="A17:A18"/>
    <mergeCell ref="B17:B18"/>
    <mergeCell ref="G17:G18"/>
    <mergeCell ref="H17:H18"/>
    <mergeCell ref="A19:A20"/>
    <mergeCell ref="B19:B20"/>
    <mergeCell ref="G19:G20"/>
    <mergeCell ref="H19:H2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35:K35"/>
    <mergeCell ref="E37:F37"/>
    <mergeCell ref="G37:I37"/>
    <mergeCell ref="J37:K37"/>
    <mergeCell ref="A29:A30"/>
    <mergeCell ref="B29:B30"/>
    <mergeCell ref="G29:G30"/>
    <mergeCell ref="H29:H30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J38:K38"/>
    <mergeCell ref="A42:A43"/>
    <mergeCell ref="B42:B43"/>
    <mergeCell ref="G42:G43"/>
    <mergeCell ref="H42:H43"/>
    <mergeCell ref="A46:A47"/>
    <mergeCell ref="B46:B47"/>
    <mergeCell ref="G46:G47"/>
    <mergeCell ref="H46:H47"/>
    <mergeCell ref="A44:A45"/>
    <mergeCell ref="B44:B45"/>
    <mergeCell ref="G44:G45"/>
    <mergeCell ref="H44:H45"/>
  </mergeCells>
  <phoneticPr fontId="9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65"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4408" t="s">
        <v>505</v>
      </c>
      <c r="B2" s="4408"/>
      <c r="C2" s="4408"/>
      <c r="D2" s="4408"/>
      <c r="E2" s="4408"/>
    </row>
    <row r="3" spans="1:14" ht="18" x14ac:dyDescent="0.25">
      <c r="A3" s="5517" t="s">
        <v>486</v>
      </c>
      <c r="B3" s="5517"/>
    </row>
    <row r="4" spans="1:14" ht="15" x14ac:dyDescent="0.2">
      <c r="A4" s="5518" t="s">
        <v>489</v>
      </c>
      <c r="B4" s="5518"/>
      <c r="C4" s="5518"/>
      <c r="D4" s="5518"/>
      <c r="E4" s="5518"/>
      <c r="F4" s="5518"/>
      <c r="G4" s="5518"/>
      <c r="H4" s="5518"/>
      <c r="I4" s="5518"/>
      <c r="J4" s="5518"/>
      <c r="K4" s="5518"/>
      <c r="L4" s="5518"/>
      <c r="M4" s="5518"/>
      <c r="N4" s="5518"/>
    </row>
    <row r="5" spans="1:14" ht="13.5" thickBot="1" x14ac:dyDescent="0.25"/>
    <row r="6" spans="1:14" ht="23.25" customHeight="1" x14ac:dyDescent="0.2">
      <c r="A6" s="5358">
        <v>6</v>
      </c>
      <c r="B6" s="5360" t="s">
        <v>454</v>
      </c>
      <c r="C6" s="350" t="s">
        <v>455</v>
      </c>
      <c r="D6" s="351">
        <v>8</v>
      </c>
      <c r="E6" s="352">
        <v>7034.2</v>
      </c>
      <c r="F6" s="352">
        <v>95.14</v>
      </c>
      <c r="G6" s="5358">
        <v>56274</v>
      </c>
      <c r="H6" s="5358">
        <v>7675</v>
      </c>
      <c r="I6" s="352">
        <v>761</v>
      </c>
      <c r="J6" s="352">
        <v>4.53</v>
      </c>
      <c r="K6" s="352">
        <v>36.24</v>
      </c>
    </row>
    <row r="7" spans="1:14" ht="39" customHeight="1" thickBot="1" x14ac:dyDescent="0.25">
      <c r="A7" s="5359"/>
      <c r="B7" s="5361"/>
      <c r="C7" s="353" t="s">
        <v>490</v>
      </c>
      <c r="D7" s="354" t="s">
        <v>457</v>
      </c>
      <c r="E7" s="354">
        <v>959.43</v>
      </c>
      <c r="F7" s="354">
        <v>0</v>
      </c>
      <c r="G7" s="5359"/>
      <c r="H7" s="5359"/>
      <c r="I7" s="354">
        <v>0</v>
      </c>
      <c r="J7" s="354">
        <v>0.1</v>
      </c>
      <c r="K7" s="354">
        <v>0.8</v>
      </c>
    </row>
    <row r="8" spans="1:14" ht="18.75" customHeight="1" x14ac:dyDescent="0.2">
      <c r="A8" s="5358">
        <v>7</v>
      </c>
      <c r="B8" s="5360" t="s">
        <v>491</v>
      </c>
      <c r="C8" s="355" t="s">
        <v>492</v>
      </c>
      <c r="D8" s="356">
        <v>0.5</v>
      </c>
      <c r="E8" s="357">
        <v>85720.87</v>
      </c>
      <c r="F8" s="357">
        <v>9062.94</v>
      </c>
      <c r="G8" s="5358">
        <v>42860</v>
      </c>
      <c r="H8" s="5358">
        <v>9892</v>
      </c>
      <c r="I8" s="357">
        <v>4531</v>
      </c>
      <c r="J8" s="357">
        <v>95.88</v>
      </c>
      <c r="K8" s="357">
        <v>47.94</v>
      </c>
    </row>
    <row r="9" spans="1:14" x14ac:dyDescent="0.2">
      <c r="A9" s="5362"/>
      <c r="B9" s="5363"/>
      <c r="C9" s="355" t="s">
        <v>493</v>
      </c>
      <c r="D9" s="357" t="s">
        <v>494</v>
      </c>
      <c r="E9" s="357">
        <v>19783.650000000001</v>
      </c>
      <c r="F9" s="357">
        <v>2411.09</v>
      </c>
      <c r="G9" s="5362"/>
      <c r="H9" s="5362"/>
      <c r="I9" s="357">
        <v>1206</v>
      </c>
      <c r="J9" s="357">
        <v>7.81</v>
      </c>
      <c r="K9" s="357">
        <v>3.91</v>
      </c>
    </row>
    <row r="10" spans="1:14" ht="36.75" customHeight="1" thickBot="1" x14ac:dyDescent="0.25">
      <c r="A10" s="5359"/>
      <c r="B10" s="5361"/>
      <c r="C10" s="353" t="s">
        <v>495</v>
      </c>
      <c r="D10" s="358"/>
      <c r="E10" s="358"/>
      <c r="F10" s="358"/>
      <c r="G10" s="5359"/>
      <c r="H10" s="5359"/>
      <c r="I10" s="358"/>
      <c r="J10" s="358"/>
      <c r="K10" s="358"/>
    </row>
    <row r="11" spans="1:14" ht="21" customHeight="1" x14ac:dyDescent="0.2">
      <c r="A11" s="5358">
        <v>8</v>
      </c>
      <c r="B11" s="5360" t="s">
        <v>496</v>
      </c>
      <c r="C11" s="355" t="s">
        <v>497</v>
      </c>
      <c r="D11" s="356">
        <v>3.5</v>
      </c>
      <c r="E11" s="357">
        <v>14195.77</v>
      </c>
      <c r="F11" s="357">
        <v>322.83</v>
      </c>
      <c r="G11" s="5358">
        <v>49685</v>
      </c>
      <c r="H11" s="5358">
        <v>27133</v>
      </c>
      <c r="I11" s="357">
        <v>1130</v>
      </c>
      <c r="J11" s="357">
        <v>38.93</v>
      </c>
      <c r="K11" s="357">
        <v>136.25</v>
      </c>
    </row>
    <row r="12" spans="1:14" x14ac:dyDescent="0.2">
      <c r="A12" s="5362"/>
      <c r="B12" s="5363"/>
      <c r="C12" s="355" t="s">
        <v>498</v>
      </c>
      <c r="D12" s="357" t="s">
        <v>499</v>
      </c>
      <c r="E12" s="357">
        <v>7752.25</v>
      </c>
      <c r="F12" s="357">
        <v>133.34</v>
      </c>
      <c r="G12" s="5362"/>
      <c r="H12" s="5362"/>
      <c r="I12" s="357">
        <v>467</v>
      </c>
      <c r="J12" s="357">
        <v>0.43</v>
      </c>
      <c r="K12" s="357">
        <v>1.51</v>
      </c>
    </row>
    <row r="13" spans="1:14" ht="32.25" customHeight="1" thickBot="1" x14ac:dyDescent="0.25">
      <c r="A13" s="5359"/>
      <c r="B13" s="5361"/>
      <c r="C13" s="353" t="s">
        <v>495</v>
      </c>
      <c r="D13" s="358"/>
      <c r="E13" s="358"/>
      <c r="F13" s="358"/>
      <c r="G13" s="5359"/>
      <c r="H13" s="5359"/>
      <c r="I13" s="358"/>
      <c r="J13" s="358"/>
      <c r="K13" s="358"/>
    </row>
    <row r="14" spans="1:14" ht="16.5" customHeight="1" x14ac:dyDescent="0.2">
      <c r="A14" s="5358">
        <v>9</v>
      </c>
      <c r="B14" s="5360" t="s">
        <v>500</v>
      </c>
      <c r="C14" s="355" t="s">
        <v>501</v>
      </c>
      <c r="D14" s="356">
        <v>2.5</v>
      </c>
      <c r="E14" s="357">
        <v>17321.98</v>
      </c>
      <c r="F14" s="357">
        <v>57.06</v>
      </c>
      <c r="G14" s="5358">
        <v>43305</v>
      </c>
      <c r="H14" s="5358">
        <v>18348</v>
      </c>
      <c r="I14" s="357">
        <v>143</v>
      </c>
      <c r="J14" s="357">
        <v>34.65</v>
      </c>
      <c r="K14" s="357">
        <v>86.63</v>
      </c>
    </row>
    <row r="15" spans="1:14" x14ac:dyDescent="0.2">
      <c r="A15" s="5362"/>
      <c r="B15" s="5363"/>
      <c r="C15" s="355" t="s">
        <v>498</v>
      </c>
      <c r="D15" s="357" t="s">
        <v>494</v>
      </c>
      <c r="E15" s="357">
        <v>7339</v>
      </c>
      <c r="F15" s="357">
        <v>0</v>
      </c>
      <c r="G15" s="5362"/>
      <c r="H15" s="5362"/>
      <c r="I15" s="357">
        <v>0</v>
      </c>
      <c r="J15" s="357">
        <v>0.06</v>
      </c>
      <c r="K15" s="357">
        <v>0.15</v>
      </c>
    </row>
    <row r="16" spans="1:14" ht="31.5" customHeight="1" thickBot="1" x14ac:dyDescent="0.25">
      <c r="A16" s="5359"/>
      <c r="B16" s="5361"/>
      <c r="C16" s="353" t="s">
        <v>495</v>
      </c>
      <c r="D16" s="358"/>
      <c r="E16" s="358"/>
      <c r="F16" s="358"/>
      <c r="G16" s="5359"/>
      <c r="H16" s="5359"/>
      <c r="I16" s="358"/>
      <c r="J16" s="358"/>
      <c r="K16" s="358"/>
    </row>
    <row r="17" spans="1:17" ht="21" customHeight="1" x14ac:dyDescent="0.2">
      <c r="A17" s="5358">
        <v>10</v>
      </c>
      <c r="B17" s="5360" t="s">
        <v>502</v>
      </c>
      <c r="C17" s="355" t="s">
        <v>503</v>
      </c>
      <c r="D17" s="356">
        <v>0.97</v>
      </c>
      <c r="E17" s="357">
        <v>174645.03</v>
      </c>
      <c r="F17" s="357">
        <v>141672.79</v>
      </c>
      <c r="G17" s="5358">
        <v>169406</v>
      </c>
      <c r="H17" s="5358">
        <v>30684</v>
      </c>
      <c r="I17" s="357">
        <v>137423</v>
      </c>
      <c r="J17" s="357">
        <v>130.53</v>
      </c>
      <c r="K17" s="357">
        <v>126.61</v>
      </c>
    </row>
    <row r="18" spans="1:17" ht="35.25" customHeight="1" thickBot="1" x14ac:dyDescent="0.25">
      <c r="A18" s="5359"/>
      <c r="B18" s="5361"/>
      <c r="C18" s="353" t="s">
        <v>490</v>
      </c>
      <c r="D18" s="354" t="s">
        <v>504</v>
      </c>
      <c r="E18" s="354">
        <v>31632.68</v>
      </c>
      <c r="F18" s="354">
        <v>9984.64</v>
      </c>
      <c r="G18" s="5359"/>
      <c r="H18" s="5359"/>
      <c r="I18" s="354">
        <v>9685</v>
      </c>
      <c r="J18" s="354">
        <v>47.81</v>
      </c>
      <c r="K18" s="354">
        <v>46.38</v>
      </c>
    </row>
    <row r="19" spans="1:17" x14ac:dyDescent="0.2">
      <c r="G19">
        <f>SUM(G6:G18)</f>
        <v>361530</v>
      </c>
    </row>
    <row r="23" spans="1:17" x14ac:dyDescent="0.2">
      <c r="A23" s="333"/>
      <c r="B23" s="333"/>
      <c r="C23" s="333"/>
      <c r="D23" s="333">
        <v>1</v>
      </c>
      <c r="E23" s="333">
        <v>2</v>
      </c>
      <c r="F23" s="333">
        <v>3</v>
      </c>
      <c r="G23" s="565">
        <v>4</v>
      </c>
      <c r="H23" s="565">
        <v>5</v>
      </c>
      <c r="I23" s="565">
        <v>6</v>
      </c>
      <c r="J23" s="565">
        <v>7</v>
      </c>
      <c r="K23" s="565">
        <v>8</v>
      </c>
      <c r="L23" s="565">
        <v>9</v>
      </c>
      <c r="M23" s="565">
        <v>10</v>
      </c>
      <c r="N23" s="565">
        <v>11</v>
      </c>
      <c r="O23" s="565">
        <v>12</v>
      </c>
      <c r="P23" t="s">
        <v>54</v>
      </c>
      <c r="Q23" t="s">
        <v>586</v>
      </c>
    </row>
    <row r="24" spans="1:17" x14ac:dyDescent="0.2">
      <c r="A24" s="333"/>
      <c r="B24" s="333"/>
      <c r="C24" t="s">
        <v>602</v>
      </c>
      <c r="D24" s="333">
        <f>SUM(P24*D25)</f>
        <v>0</v>
      </c>
      <c r="E24" s="333">
        <f>SUM(P24*E25)</f>
        <v>0</v>
      </c>
      <c r="F24" s="333">
        <f>SUM(P24*F25)</f>
        <v>0</v>
      </c>
      <c r="G24" s="566">
        <f>SUM(P24*G25)</f>
        <v>9.0382499999999997</v>
      </c>
      <c r="H24" s="566">
        <f>SUM(P24*H25)</f>
        <v>72.305999999999997</v>
      </c>
      <c r="I24" s="333">
        <f>SUM(P24*I25)</f>
        <v>99.420749999999998</v>
      </c>
      <c r="J24" s="333">
        <f>SUM(P24*J25)</f>
        <v>99.420749999999998</v>
      </c>
      <c r="K24" s="566">
        <f>SUM(P24*K25)</f>
        <v>72.305999999999997</v>
      </c>
      <c r="L24" s="566">
        <f>SUM(P24*L25)</f>
        <v>9.0382499999999997</v>
      </c>
      <c r="M24" s="333">
        <f>SUM(P24*M25)</f>
        <v>0</v>
      </c>
      <c r="N24" s="333">
        <f>SUM(P24*N25)</f>
        <v>0</v>
      </c>
      <c r="O24" s="333">
        <f>SUM(P24*O25)</f>
        <v>0</v>
      </c>
      <c r="P24" s="333">
        <f>SUM(G19/1000)</f>
        <v>361.53</v>
      </c>
      <c r="Q24" s="333">
        <f>SUM(D24:O24)</f>
        <v>361.53</v>
      </c>
    </row>
    <row r="25" spans="1:17" x14ac:dyDescent="0.2">
      <c r="A25" s="333"/>
      <c r="B25" s="333"/>
      <c r="C25" t="s">
        <v>603</v>
      </c>
      <c r="D25" s="568">
        <v>0</v>
      </c>
      <c r="E25" s="568">
        <v>0</v>
      </c>
      <c r="F25" s="568">
        <v>0</v>
      </c>
      <c r="G25" s="568">
        <v>2.5000000000000001E-2</v>
      </c>
      <c r="H25" s="568">
        <v>0.2</v>
      </c>
      <c r="I25" s="568">
        <v>0.27500000000000002</v>
      </c>
      <c r="J25" s="568">
        <v>0.27500000000000002</v>
      </c>
      <c r="K25" s="568">
        <v>0.2</v>
      </c>
      <c r="L25" s="568">
        <v>2.5000000000000001E-2</v>
      </c>
      <c r="M25" s="568">
        <v>0</v>
      </c>
      <c r="N25" s="568">
        <v>0</v>
      </c>
      <c r="O25" s="568">
        <v>0</v>
      </c>
      <c r="P25" s="567">
        <f>SUM(D25:O25)</f>
        <v>1</v>
      </c>
      <c r="Q25" s="333"/>
    </row>
    <row r="26" spans="1:17" x14ac:dyDescent="0.2">
      <c r="A26" s="333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</row>
  </sheetData>
  <mergeCells count="23">
    <mergeCell ref="A3:B3"/>
    <mergeCell ref="A2:E2"/>
    <mergeCell ref="A4:N4"/>
    <mergeCell ref="A6:A7"/>
    <mergeCell ref="B6:B7"/>
    <mergeCell ref="G6:G7"/>
    <mergeCell ref="H6:H7"/>
    <mergeCell ref="A8:A10"/>
    <mergeCell ref="B8:B10"/>
    <mergeCell ref="G8:G10"/>
    <mergeCell ref="H8:H10"/>
    <mergeCell ref="A11:A13"/>
    <mergeCell ref="B11:B13"/>
    <mergeCell ref="G11:G13"/>
    <mergeCell ref="H11:H13"/>
    <mergeCell ref="A14:A16"/>
    <mergeCell ref="B14:B16"/>
    <mergeCell ref="G14:G16"/>
    <mergeCell ref="H14:H16"/>
    <mergeCell ref="A17:A18"/>
    <mergeCell ref="B17:B18"/>
    <mergeCell ref="G17:G18"/>
    <mergeCell ref="H17:H18"/>
  </mergeCells>
  <phoneticPr fontId="9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66"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5" customWidth="1"/>
    <col min="2" max="2" width="18.28515625" style="185" customWidth="1"/>
    <col min="3" max="3" width="12.85546875" style="185" customWidth="1"/>
    <col min="4" max="4" width="14.28515625" style="185" customWidth="1"/>
    <col min="5" max="6" width="15.5703125" style="185" customWidth="1"/>
    <col min="7" max="7" width="12.7109375" style="185" customWidth="1"/>
    <col min="8" max="8" width="20.5703125" style="185" customWidth="1"/>
    <col min="9" max="10" width="15.140625" style="185" customWidth="1"/>
    <col min="11" max="11" width="15.85546875" style="185" customWidth="1"/>
    <col min="12" max="12" width="15.42578125" style="185" customWidth="1"/>
    <col min="13" max="13" width="12.5703125" style="185" customWidth="1"/>
    <col min="14" max="14" width="15.5703125" style="185" customWidth="1"/>
    <col min="15" max="15" width="11.28515625" style="185" customWidth="1"/>
    <col min="16" max="16" width="13.5703125" style="185" customWidth="1"/>
    <col min="17" max="16384" width="9.140625" style="185"/>
  </cols>
  <sheetData>
    <row r="3" spans="1:16" x14ac:dyDescent="0.25">
      <c r="A3" s="5527" t="s">
        <v>322</v>
      </c>
      <c r="B3" s="5527"/>
      <c r="C3" s="5527"/>
      <c r="D3" s="5527"/>
      <c r="E3" s="5527"/>
      <c r="F3" s="5527"/>
      <c r="G3" s="5527"/>
      <c r="H3" s="5527"/>
      <c r="I3" s="5527"/>
      <c r="J3" s="5527"/>
      <c r="K3" s="5527"/>
    </row>
    <row r="4" spans="1:16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</row>
    <row r="5" spans="1:16" x14ac:dyDescent="0.25">
      <c r="A5" s="186" t="s">
        <v>323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</row>
    <row r="6" spans="1:16" ht="15.75" thickBot="1" x14ac:dyDescent="0.3">
      <c r="A6" s="186"/>
      <c r="B6" s="187"/>
      <c r="C6" s="187"/>
      <c r="D6" s="187"/>
      <c r="E6" s="187"/>
      <c r="F6" s="187"/>
      <c r="G6" s="187"/>
      <c r="H6" s="187"/>
      <c r="I6" s="187"/>
      <c r="J6" s="187"/>
      <c r="K6" s="187"/>
    </row>
    <row r="7" spans="1:16" x14ac:dyDescent="0.25">
      <c r="A7" s="5522" t="s">
        <v>324</v>
      </c>
      <c r="B7" s="5524" t="s">
        <v>325</v>
      </c>
      <c r="C7" s="5526" t="s">
        <v>326</v>
      </c>
      <c r="D7" s="5526"/>
      <c r="E7" s="5526"/>
      <c r="F7" s="5526"/>
      <c r="G7" s="5519" t="s">
        <v>327</v>
      </c>
      <c r="H7" s="5520"/>
      <c r="I7" s="5520"/>
      <c r="J7" s="5520"/>
      <c r="K7" s="5521"/>
      <c r="L7" s="5519" t="s">
        <v>328</v>
      </c>
      <c r="M7" s="5520"/>
      <c r="N7" s="5520"/>
      <c r="O7" s="5520"/>
      <c r="P7" s="5521"/>
    </row>
    <row r="8" spans="1:16" ht="60.75" thickBot="1" x14ac:dyDescent="0.3">
      <c r="A8" s="5523"/>
      <c r="B8" s="5525"/>
      <c r="C8" s="188" t="s">
        <v>329</v>
      </c>
      <c r="D8" s="189" t="s">
        <v>330</v>
      </c>
      <c r="E8" s="190" t="s">
        <v>331</v>
      </c>
      <c r="F8" s="191" t="s">
        <v>332</v>
      </c>
      <c r="G8" s="192" t="s">
        <v>329</v>
      </c>
      <c r="H8" s="190" t="s">
        <v>333</v>
      </c>
      <c r="I8" s="190" t="s">
        <v>331</v>
      </c>
      <c r="J8" s="190" t="s">
        <v>332</v>
      </c>
      <c r="K8" s="193" t="s">
        <v>334</v>
      </c>
      <c r="L8" s="192" t="s">
        <v>329</v>
      </c>
      <c r="M8" s="190" t="s">
        <v>333</v>
      </c>
      <c r="N8" s="190" t="s">
        <v>331</v>
      </c>
      <c r="O8" s="190" t="s">
        <v>332</v>
      </c>
      <c r="P8" s="193" t="s">
        <v>334</v>
      </c>
    </row>
    <row r="9" spans="1:16" x14ac:dyDescent="0.25">
      <c r="A9" s="194" t="s">
        <v>335</v>
      </c>
      <c r="B9" s="195" t="s">
        <v>336</v>
      </c>
      <c r="C9" s="196">
        <f>4.891</f>
        <v>4.891</v>
      </c>
      <c r="D9" s="197">
        <v>21.09</v>
      </c>
      <c r="E9" s="198">
        <f>C9*D9*3</f>
        <v>309.45357000000001</v>
      </c>
      <c r="F9" s="199">
        <f t="shared" ref="F9:F15" si="0">E9/$E$16*100</f>
        <v>7.0756249859786209</v>
      </c>
      <c r="G9" s="200">
        <v>4.7510000000000003</v>
      </c>
      <c r="H9" s="197">
        <v>22.59</v>
      </c>
      <c r="I9" s="198">
        <f>G9*H9*3</f>
        <v>321.97527000000002</v>
      </c>
      <c r="J9" s="201">
        <f t="shared" ref="J9:J15" si="1">I9/$I$16*100</f>
        <v>6.4865597299422166</v>
      </c>
      <c r="K9" s="202">
        <f t="shared" ref="K9:K16" si="2">I9/E9*100</f>
        <v>104.04639054576104</v>
      </c>
      <c r="L9" s="200">
        <f>G9</f>
        <v>4.7510000000000003</v>
      </c>
      <c r="M9" s="197">
        <f>вода!Z91*1.18</f>
        <v>26.740876799999999</v>
      </c>
      <c r="N9" s="198">
        <f>L9*M9*3</f>
        <v>381.13771703040004</v>
      </c>
      <c r="O9" s="201">
        <f t="shared" ref="O9:O15" si="3">N9/$N$16*100</f>
        <v>7.289571523132123</v>
      </c>
      <c r="P9" s="203">
        <f t="shared" ref="P9:P16" si="4">N9/I9</f>
        <v>1.1837484196547146</v>
      </c>
    </row>
    <row r="10" spans="1:16" x14ac:dyDescent="0.25">
      <c r="A10" s="204" t="s">
        <v>337</v>
      </c>
      <c r="B10" s="205" t="s">
        <v>336</v>
      </c>
      <c r="C10" s="206">
        <f>8.156</f>
        <v>8.1560000000000006</v>
      </c>
      <c r="D10" s="197">
        <v>17.07</v>
      </c>
      <c r="E10" s="207">
        <f>C10*D10*3</f>
        <v>417.66876000000002</v>
      </c>
      <c r="F10" s="199">
        <f t="shared" si="0"/>
        <v>9.5499545024434784</v>
      </c>
      <c r="G10" s="208">
        <f>8.156</f>
        <v>8.1560000000000006</v>
      </c>
      <c r="H10" s="197">
        <v>18.29</v>
      </c>
      <c r="I10" s="207">
        <f>G10*H10*3</f>
        <v>447.51972000000001</v>
      </c>
      <c r="J10" s="201">
        <f t="shared" si="1"/>
        <v>9.0157961327496245</v>
      </c>
      <c r="K10" s="202">
        <f t="shared" si="2"/>
        <v>107.14704159343877</v>
      </c>
      <c r="L10" s="208">
        <f>8.156</f>
        <v>8.1560000000000006</v>
      </c>
      <c r="M10" s="197">
        <f>вода!Z98*1.18</f>
        <v>21.655359999999998</v>
      </c>
      <c r="N10" s="207">
        <f>L10*M10*3</f>
        <v>529.86334848000001</v>
      </c>
      <c r="O10" s="201">
        <f t="shared" si="3"/>
        <v>10.134071238935306</v>
      </c>
      <c r="P10" s="203">
        <f t="shared" si="4"/>
        <v>1.1839999999999999</v>
      </c>
    </row>
    <row r="11" spans="1:16" x14ac:dyDescent="0.25">
      <c r="A11" s="204" t="s">
        <v>338</v>
      </c>
      <c r="B11" s="205" t="s">
        <v>339</v>
      </c>
      <c r="C11" s="206">
        <v>2.5613E-2</v>
      </c>
      <c r="D11" s="209">
        <v>1744.04</v>
      </c>
      <c r="E11" s="207">
        <f>C11*D11*54</f>
        <v>2412.1852120799999</v>
      </c>
      <c r="F11" s="199">
        <f t="shared" si="0"/>
        <v>55.154374071048473</v>
      </c>
      <c r="G11" s="208">
        <v>2.5613E-2</v>
      </c>
      <c r="H11" s="209">
        <v>2003.64</v>
      </c>
      <c r="I11" s="207">
        <f>G11*H11*54</f>
        <v>2771.2384912799998</v>
      </c>
      <c r="J11" s="201">
        <f t="shared" si="1"/>
        <v>55.82976605502239</v>
      </c>
      <c r="K11" s="202">
        <f t="shared" si="2"/>
        <v>114.8849797023004</v>
      </c>
      <c r="L11" s="208">
        <v>2.5613E-2</v>
      </c>
      <c r="M11" s="209">
        <f>H11*1.015</f>
        <v>2033.6945999999998</v>
      </c>
      <c r="N11" s="207">
        <f>L11*M11*54</f>
        <v>2812.8070686492001</v>
      </c>
      <c r="O11" s="201">
        <f t="shared" si="3"/>
        <v>53.797242811459967</v>
      </c>
      <c r="P11" s="203">
        <f t="shared" si="4"/>
        <v>1.0150000000000001</v>
      </c>
    </row>
    <row r="12" spans="1:16" x14ac:dyDescent="0.25">
      <c r="A12" s="204" t="s">
        <v>340</v>
      </c>
      <c r="B12" s="205" t="s">
        <v>341</v>
      </c>
      <c r="C12" s="206">
        <v>6.6209000000000004E-2</v>
      </c>
      <c r="D12" s="209">
        <v>1744.04</v>
      </c>
      <c r="E12" s="207">
        <f>C12*D12*3</f>
        <v>346.41343308</v>
      </c>
      <c r="F12" s="199">
        <f t="shared" si="0"/>
        <v>7.9207085656807283</v>
      </c>
      <c r="G12" s="208">
        <f>C12</f>
        <v>6.6209000000000004E-2</v>
      </c>
      <c r="H12" s="209">
        <v>2003.64</v>
      </c>
      <c r="I12" s="207">
        <f>G12*H12*3</f>
        <v>397.97700228000008</v>
      </c>
      <c r="J12" s="201">
        <f t="shared" si="1"/>
        <v>8.0177014726397147</v>
      </c>
      <c r="K12" s="202">
        <f t="shared" si="2"/>
        <v>114.88497970230043</v>
      </c>
      <c r="L12" s="208">
        <f>G12</f>
        <v>6.6209000000000004E-2</v>
      </c>
      <c r="M12" s="209">
        <f>H12*1.015</f>
        <v>2033.6945999999998</v>
      </c>
      <c r="N12" s="207">
        <f>L12*M12*3</f>
        <v>403.94665731419997</v>
      </c>
      <c r="O12" s="201">
        <f t="shared" si="3"/>
        <v>7.7258112184870358</v>
      </c>
      <c r="P12" s="203">
        <f t="shared" si="4"/>
        <v>1.0149999999999997</v>
      </c>
    </row>
    <row r="13" spans="1:16" x14ac:dyDescent="0.25">
      <c r="A13" s="204"/>
      <c r="B13" s="205"/>
      <c r="C13" s="206">
        <f>3.265</f>
        <v>3.2650000000000001</v>
      </c>
      <c r="D13" s="209">
        <f>D9</f>
        <v>21.09</v>
      </c>
      <c r="E13" s="207">
        <f>C13*D13*3</f>
        <v>206.57655</v>
      </c>
      <c r="F13" s="199">
        <f t="shared" si="0"/>
        <v>4.7233521936659573</v>
      </c>
      <c r="G13" s="208">
        <f>3.405</f>
        <v>3.4049999999999998</v>
      </c>
      <c r="H13" s="209">
        <f>H9</f>
        <v>22.59</v>
      </c>
      <c r="I13" s="207">
        <f>G13*H13*3</f>
        <v>230.75684999999999</v>
      </c>
      <c r="J13" s="201">
        <f t="shared" si="1"/>
        <v>4.6488604252690475</v>
      </c>
      <c r="K13" s="202">
        <f t="shared" si="2"/>
        <v>111.70524921633167</v>
      </c>
      <c r="L13" s="208">
        <f>G13</f>
        <v>3.4049999999999998</v>
      </c>
      <c r="M13" s="209">
        <f>M9</f>
        <v>26.740876799999999</v>
      </c>
      <c r="N13" s="207">
        <f>L13*M13*3</f>
        <v>273.15805651199997</v>
      </c>
      <c r="O13" s="201">
        <f t="shared" si="3"/>
        <v>5.2243719293337971</v>
      </c>
      <c r="P13" s="203">
        <f t="shared" si="4"/>
        <v>1.1837484196547143</v>
      </c>
    </row>
    <row r="14" spans="1:16" x14ac:dyDescent="0.25">
      <c r="A14" s="204" t="s">
        <v>342</v>
      </c>
      <c r="B14" s="205" t="s">
        <v>341</v>
      </c>
      <c r="C14" s="210">
        <v>13</v>
      </c>
      <c r="D14" s="209">
        <v>3.8466200000000002</v>
      </c>
      <c r="E14" s="211">
        <f>C14*D14*3</f>
        <v>150.01818000000003</v>
      </c>
      <c r="F14" s="199">
        <f t="shared" si="0"/>
        <v>3.4301507097140234</v>
      </c>
      <c r="G14" s="212">
        <v>13</v>
      </c>
      <c r="H14" s="209">
        <v>4.4887699999999997</v>
      </c>
      <c r="I14" s="211">
        <f>G14*H14*3</f>
        <v>175.06202999999999</v>
      </c>
      <c r="J14" s="201">
        <f t="shared" si="1"/>
        <v>3.5268246348234631</v>
      </c>
      <c r="K14" s="202">
        <f t="shared" si="2"/>
        <v>116.69387670214365</v>
      </c>
      <c r="L14" s="212">
        <v>13</v>
      </c>
      <c r="M14" s="209">
        <f>H14*1.042</f>
        <v>4.6772983400000001</v>
      </c>
      <c r="N14" s="211">
        <f>L14*M14*3</f>
        <v>182.41463526000001</v>
      </c>
      <c r="O14" s="201">
        <f t="shared" si="3"/>
        <v>3.4888295520953871</v>
      </c>
      <c r="P14" s="203">
        <f t="shared" si="4"/>
        <v>1.042</v>
      </c>
    </row>
    <row r="15" spans="1:16" x14ac:dyDescent="0.25">
      <c r="A15" s="204" t="s">
        <v>1</v>
      </c>
      <c r="B15" s="205" t="s">
        <v>343</v>
      </c>
      <c r="C15" s="210">
        <v>160</v>
      </c>
      <c r="D15" s="209">
        <v>3.32</v>
      </c>
      <c r="E15" s="211">
        <f>C15*D15</f>
        <v>531.19999999999993</v>
      </c>
      <c r="F15" s="199">
        <f t="shared" si="0"/>
        <v>12.145834971468716</v>
      </c>
      <c r="G15" s="212">
        <v>160</v>
      </c>
      <c r="H15" s="209">
        <v>3.87</v>
      </c>
      <c r="I15" s="211">
        <f>G15*H15</f>
        <v>619.20000000000005</v>
      </c>
      <c r="J15" s="201">
        <f t="shared" si="1"/>
        <v>12.474491549553543</v>
      </c>
      <c r="K15" s="202">
        <f t="shared" si="2"/>
        <v>116.56626506024099</v>
      </c>
      <c r="L15" s="212">
        <v>160</v>
      </c>
      <c r="M15" s="209">
        <f>H15*1.042</f>
        <v>4.03254</v>
      </c>
      <c r="N15" s="211">
        <f>L15*M15</f>
        <v>645.20640000000003</v>
      </c>
      <c r="O15" s="201">
        <f t="shared" si="3"/>
        <v>12.340101726556373</v>
      </c>
      <c r="P15" s="203">
        <f t="shared" si="4"/>
        <v>1.042</v>
      </c>
    </row>
    <row r="16" spans="1:16" ht="15.75" thickBot="1" x14ac:dyDescent="0.3">
      <c r="A16" s="213" t="s">
        <v>344</v>
      </c>
      <c r="B16" s="214"/>
      <c r="C16" s="215"/>
      <c r="D16" s="216"/>
      <c r="E16" s="217">
        <f>SUM(E9:E15)</f>
        <v>4373.5157051599999</v>
      </c>
      <c r="F16" s="218">
        <f>SUM(F9:F15)</f>
        <v>100</v>
      </c>
      <c r="G16" s="219"/>
      <c r="H16" s="216"/>
      <c r="I16" s="217">
        <f>SUM(I9:I15)</f>
        <v>4963.7293635599999</v>
      </c>
      <c r="J16" s="220">
        <f>SUM(J9:J15)</f>
        <v>100.00000000000001</v>
      </c>
      <c r="K16" s="221">
        <f t="shared" si="2"/>
        <v>113.4951763795806</v>
      </c>
      <c r="L16" s="219"/>
      <c r="M16" s="222"/>
      <c r="N16" s="217">
        <f>SUM(N9:N15)</f>
        <v>5228.533883245801</v>
      </c>
      <c r="O16" s="220">
        <f>SUM(O9:O15)</f>
        <v>99.999999999999986</v>
      </c>
      <c r="P16" s="223">
        <f t="shared" si="4"/>
        <v>1.0533478963679603</v>
      </c>
    </row>
    <row r="20" spans="1:16" x14ac:dyDescent="0.25">
      <c r="A20" s="185" t="s">
        <v>345</v>
      </c>
    </row>
    <row r="22" spans="1:16" ht="15.75" thickBot="1" x14ac:dyDescent="0.3"/>
    <row r="23" spans="1:16" x14ac:dyDescent="0.25">
      <c r="A23" s="5522" t="s">
        <v>324</v>
      </c>
      <c r="B23" s="5524" t="s">
        <v>325</v>
      </c>
      <c r="C23" s="5526" t="s">
        <v>418</v>
      </c>
      <c r="D23" s="5526"/>
      <c r="E23" s="5526"/>
      <c r="F23" s="5526"/>
      <c r="G23" s="5519" t="s">
        <v>328</v>
      </c>
      <c r="H23" s="5520"/>
      <c r="I23" s="5520"/>
      <c r="J23" s="5520"/>
      <c r="K23" s="5521"/>
      <c r="L23" s="5519" t="s">
        <v>419</v>
      </c>
      <c r="M23" s="5520"/>
      <c r="N23" s="5520"/>
      <c r="O23" s="5520"/>
      <c r="P23" s="5521"/>
    </row>
    <row r="24" spans="1:16" ht="60.75" thickBot="1" x14ac:dyDescent="0.3">
      <c r="A24" s="5523"/>
      <c r="B24" s="5525"/>
      <c r="C24" s="188" t="s">
        <v>329</v>
      </c>
      <c r="D24" s="189" t="s">
        <v>330</v>
      </c>
      <c r="E24" s="190" t="s">
        <v>331</v>
      </c>
      <c r="F24" s="191" t="s">
        <v>332</v>
      </c>
      <c r="G24" s="192" t="s">
        <v>329</v>
      </c>
      <c r="H24" s="190" t="s">
        <v>333</v>
      </c>
      <c r="I24" s="190" t="s">
        <v>331</v>
      </c>
      <c r="J24" s="190" t="s">
        <v>332</v>
      </c>
      <c r="K24" s="193" t="s">
        <v>334</v>
      </c>
      <c r="L24" s="192" t="s">
        <v>329</v>
      </c>
      <c r="M24" s="190" t="s">
        <v>333</v>
      </c>
      <c r="N24" s="190" t="s">
        <v>331</v>
      </c>
      <c r="O24" s="190" t="s">
        <v>332</v>
      </c>
      <c r="P24" s="193" t="s">
        <v>334</v>
      </c>
    </row>
    <row r="25" spans="1:16" x14ac:dyDescent="0.25">
      <c r="A25" s="194" t="s">
        <v>335</v>
      </c>
      <c r="B25" s="195" t="s">
        <v>336</v>
      </c>
      <c r="C25" s="196">
        <f>G9</f>
        <v>4.7510000000000003</v>
      </c>
      <c r="D25" s="196">
        <f>H9</f>
        <v>22.59</v>
      </c>
      <c r="E25" s="198">
        <f>C25*D25*3</f>
        <v>321.97527000000002</v>
      </c>
      <c r="F25" s="199">
        <f t="shared" ref="F25:F31" si="5">E25/$E$16*100</f>
        <v>7.3619324064647644</v>
      </c>
      <c r="G25" s="200">
        <f>L9</f>
        <v>4.7510000000000003</v>
      </c>
      <c r="H25" s="328">
        <f>M9</f>
        <v>26.740876799999999</v>
      </c>
      <c r="I25" s="198">
        <f>G25*H25*3</f>
        <v>381.13771703040004</v>
      </c>
      <c r="J25" s="201">
        <f t="shared" ref="J25:J31" si="6">I25/$I$16*100</f>
        <v>7.6784548293150108</v>
      </c>
      <c r="K25" s="202">
        <f t="shared" ref="K25:K32" si="7">I25/E25*100</f>
        <v>118.37484196547146</v>
      </c>
      <c r="L25" s="200">
        <f>G25</f>
        <v>4.7510000000000003</v>
      </c>
      <c r="M25" s="197" t="e">
        <f>#REF!*1.18</f>
        <v>#REF!</v>
      </c>
      <c r="N25" s="198" t="e">
        <f>L25*M25*3</f>
        <v>#REF!</v>
      </c>
      <c r="O25" s="201" t="e">
        <f t="shared" ref="O25:O31" si="8">N25/$N$16*100</f>
        <v>#REF!</v>
      </c>
      <c r="P25" s="203" t="e">
        <f t="shared" ref="P25:P32" si="9">N25/I25</f>
        <v>#REF!</v>
      </c>
    </row>
    <row r="26" spans="1:16" x14ac:dyDescent="0.25">
      <c r="A26" s="204" t="s">
        <v>337</v>
      </c>
      <c r="B26" s="205" t="s">
        <v>336</v>
      </c>
      <c r="C26" s="196">
        <f t="shared" ref="C26:D31" si="10">G10</f>
        <v>8.1560000000000006</v>
      </c>
      <c r="D26" s="196">
        <f t="shared" si="10"/>
        <v>18.29</v>
      </c>
      <c r="E26" s="207">
        <f>C26*D26*3</f>
        <v>447.51972000000001</v>
      </c>
      <c r="F26" s="199">
        <f t="shared" si="5"/>
        <v>10.232493722887593</v>
      </c>
      <c r="G26" s="200">
        <f t="shared" ref="G26:H31" si="11">L10</f>
        <v>8.1560000000000006</v>
      </c>
      <c r="H26" s="328">
        <f t="shared" si="11"/>
        <v>21.655359999999998</v>
      </c>
      <c r="I26" s="207">
        <f>G26*H26*3</f>
        <v>529.86334848000001</v>
      </c>
      <c r="J26" s="201">
        <f t="shared" si="6"/>
        <v>10.674702621175555</v>
      </c>
      <c r="K26" s="202">
        <f t="shared" si="7"/>
        <v>118.39999999999999</v>
      </c>
      <c r="L26" s="208">
        <f>8.156</f>
        <v>8.1560000000000006</v>
      </c>
      <c r="M26" s="197" t="e">
        <f>#REF!*1.18</f>
        <v>#REF!</v>
      </c>
      <c r="N26" s="207" t="e">
        <f>L26*M26*3</f>
        <v>#REF!</v>
      </c>
      <c r="O26" s="201" t="e">
        <f t="shared" si="8"/>
        <v>#REF!</v>
      </c>
      <c r="P26" s="203" t="e">
        <f t="shared" si="9"/>
        <v>#REF!</v>
      </c>
    </row>
    <row r="27" spans="1:16" x14ac:dyDescent="0.25">
      <c r="A27" s="204" t="s">
        <v>338</v>
      </c>
      <c r="B27" s="205" t="s">
        <v>339</v>
      </c>
      <c r="C27" s="196">
        <f t="shared" si="10"/>
        <v>2.5613E-2</v>
      </c>
      <c r="D27" s="196">
        <f t="shared" si="10"/>
        <v>2003.64</v>
      </c>
      <c r="E27" s="207">
        <f>C27*D27*54</f>
        <v>2771.2384912799998</v>
      </c>
      <c r="F27" s="199">
        <f t="shared" si="5"/>
        <v>63.364091456454872</v>
      </c>
      <c r="G27" s="200">
        <f t="shared" si="11"/>
        <v>2.5613E-2</v>
      </c>
      <c r="H27" s="328">
        <f t="shared" si="11"/>
        <v>2033.6945999999998</v>
      </c>
      <c r="I27" s="207">
        <f>G27*H27*54</f>
        <v>2812.8070686492001</v>
      </c>
      <c r="J27" s="201">
        <f t="shared" si="6"/>
        <v>56.667212545847732</v>
      </c>
      <c r="K27" s="202">
        <f t="shared" si="7"/>
        <v>101.50000000000001</v>
      </c>
      <c r="L27" s="208">
        <v>2.5613E-2</v>
      </c>
      <c r="M27" s="209">
        <f>H27*1.07</f>
        <v>2176.053222</v>
      </c>
      <c r="N27" s="207">
        <f>L27*M27*54</f>
        <v>3009.7035634546442</v>
      </c>
      <c r="O27" s="201">
        <f t="shared" si="8"/>
        <v>57.563049808262157</v>
      </c>
      <c r="P27" s="203">
        <f t="shared" si="9"/>
        <v>1.07</v>
      </c>
    </row>
    <row r="28" spans="1:16" x14ac:dyDescent="0.25">
      <c r="A28" s="204" t="s">
        <v>340</v>
      </c>
      <c r="B28" s="205" t="s">
        <v>341</v>
      </c>
      <c r="C28" s="196">
        <f t="shared" si="10"/>
        <v>6.6209000000000004E-2</v>
      </c>
      <c r="D28" s="196">
        <f t="shared" si="10"/>
        <v>2003.64</v>
      </c>
      <c r="E28" s="207">
        <f>C28*D28*3</f>
        <v>397.97700228000008</v>
      </c>
      <c r="F28" s="199">
        <f t="shared" si="5"/>
        <v>9.0997044279606758</v>
      </c>
      <c r="G28" s="200">
        <f t="shared" si="11"/>
        <v>6.6209000000000004E-2</v>
      </c>
      <c r="H28" s="328">
        <f t="shared" si="11"/>
        <v>2033.6945999999998</v>
      </c>
      <c r="I28" s="207">
        <f>G28*H28*3</f>
        <v>403.94665731419997</v>
      </c>
      <c r="J28" s="201">
        <f t="shared" si="6"/>
        <v>8.1379669947293092</v>
      </c>
      <c r="K28" s="202">
        <f t="shared" si="7"/>
        <v>101.49999999999997</v>
      </c>
      <c r="L28" s="208">
        <f>G28</f>
        <v>6.6209000000000004E-2</v>
      </c>
      <c r="M28" s="209">
        <f>H28*1.07</f>
        <v>2176.053222</v>
      </c>
      <c r="N28" s="207">
        <f>L28*M28*3</f>
        <v>432.22292332619406</v>
      </c>
      <c r="O28" s="201">
        <f t="shared" si="8"/>
        <v>8.2666180037811294</v>
      </c>
      <c r="P28" s="203">
        <f t="shared" si="9"/>
        <v>1.0700000000000003</v>
      </c>
    </row>
    <row r="29" spans="1:16" x14ac:dyDescent="0.25">
      <c r="A29" s="204"/>
      <c r="B29" s="205"/>
      <c r="C29" s="196">
        <f t="shared" si="10"/>
        <v>3.4049999999999998</v>
      </c>
      <c r="D29" s="196">
        <f t="shared" si="10"/>
        <v>22.59</v>
      </c>
      <c r="E29" s="207">
        <f>C29*D29*3</f>
        <v>230.75684999999999</v>
      </c>
      <c r="F29" s="199">
        <f t="shared" si="5"/>
        <v>5.276232339299626</v>
      </c>
      <c r="G29" s="200">
        <f t="shared" si="11"/>
        <v>3.4049999999999998</v>
      </c>
      <c r="H29" s="328">
        <f t="shared" si="11"/>
        <v>26.740876799999999</v>
      </c>
      <c r="I29" s="207">
        <f>G29*H29*3</f>
        <v>273.15805651199997</v>
      </c>
      <c r="J29" s="201">
        <f t="shared" si="6"/>
        <v>5.5030811816075786</v>
      </c>
      <c r="K29" s="202">
        <f t="shared" si="7"/>
        <v>118.37484196547143</v>
      </c>
      <c r="L29" s="208">
        <f>G29</f>
        <v>3.4049999999999998</v>
      </c>
      <c r="M29" s="209" t="e">
        <f>M25</f>
        <v>#REF!</v>
      </c>
      <c r="N29" s="207" t="e">
        <f>L29*M29*3</f>
        <v>#REF!</v>
      </c>
      <c r="O29" s="201" t="e">
        <f t="shared" si="8"/>
        <v>#REF!</v>
      </c>
      <c r="P29" s="203" t="e">
        <f t="shared" si="9"/>
        <v>#REF!</v>
      </c>
    </row>
    <row r="30" spans="1:16" x14ac:dyDescent="0.25">
      <c r="A30" s="204" t="s">
        <v>342</v>
      </c>
      <c r="B30" s="205" t="s">
        <v>341</v>
      </c>
      <c r="C30" s="196">
        <f t="shared" si="10"/>
        <v>13</v>
      </c>
      <c r="D30" s="196">
        <f t="shared" si="10"/>
        <v>4.4887699999999997</v>
      </c>
      <c r="E30" s="211">
        <f>C30*D30*3</f>
        <v>175.06202999999999</v>
      </c>
      <c r="F30" s="199">
        <f t="shared" si="5"/>
        <v>4.0027758398913891</v>
      </c>
      <c r="G30" s="200">
        <f t="shared" si="11"/>
        <v>13</v>
      </c>
      <c r="H30" s="328">
        <f t="shared" si="11"/>
        <v>4.6772983400000001</v>
      </c>
      <c r="I30" s="211">
        <f>G30*H30*3</f>
        <v>182.41463526000001</v>
      </c>
      <c r="J30" s="201">
        <f t="shared" si="6"/>
        <v>3.6749512694860496</v>
      </c>
      <c r="K30" s="202">
        <f t="shared" si="7"/>
        <v>104.2</v>
      </c>
      <c r="L30" s="212">
        <v>13</v>
      </c>
      <c r="M30" s="209">
        <f>H30*1.065</f>
        <v>4.9813227320999998</v>
      </c>
      <c r="N30" s="211">
        <f>L30*M30*3</f>
        <v>194.27158655189999</v>
      </c>
      <c r="O30" s="201">
        <f t="shared" si="8"/>
        <v>3.7156034729815866</v>
      </c>
      <c r="P30" s="203">
        <f t="shared" si="9"/>
        <v>1.0649999999999999</v>
      </c>
    </row>
    <row r="31" spans="1:16" x14ac:dyDescent="0.25">
      <c r="A31" s="204" t="s">
        <v>1</v>
      </c>
      <c r="B31" s="205" t="s">
        <v>343</v>
      </c>
      <c r="C31" s="196">
        <f t="shared" si="10"/>
        <v>160</v>
      </c>
      <c r="D31" s="196">
        <f t="shared" si="10"/>
        <v>3.87</v>
      </c>
      <c r="E31" s="211">
        <f>C31*D31</f>
        <v>619.20000000000005</v>
      </c>
      <c r="F31" s="199">
        <f t="shared" si="5"/>
        <v>14.15794618662167</v>
      </c>
      <c r="G31" s="200">
        <f t="shared" si="11"/>
        <v>160</v>
      </c>
      <c r="H31" s="328">
        <f t="shared" si="11"/>
        <v>4.03254</v>
      </c>
      <c r="I31" s="211">
        <f>G31*H31</f>
        <v>645.20640000000003</v>
      </c>
      <c r="J31" s="201">
        <f t="shared" si="6"/>
        <v>12.998420194634791</v>
      </c>
      <c r="K31" s="202">
        <f t="shared" si="7"/>
        <v>104.2</v>
      </c>
      <c r="L31" s="212">
        <v>160</v>
      </c>
      <c r="M31" s="209">
        <f>H31*1.056</f>
        <v>4.2583622400000003</v>
      </c>
      <c r="N31" s="211">
        <f>L31*M31</f>
        <v>681.33795840000005</v>
      </c>
      <c r="O31" s="201">
        <f t="shared" si="8"/>
        <v>13.03114742324353</v>
      </c>
      <c r="P31" s="203">
        <f t="shared" si="9"/>
        <v>1.056</v>
      </c>
    </row>
    <row r="32" spans="1:16" ht="15.75" thickBot="1" x14ac:dyDescent="0.3">
      <c r="A32" s="213" t="s">
        <v>344</v>
      </c>
      <c r="B32" s="214"/>
      <c r="C32" s="215"/>
      <c r="D32" s="216"/>
      <c r="E32" s="217">
        <f>SUM(E25:E31)</f>
        <v>4963.7293635599999</v>
      </c>
      <c r="F32" s="218">
        <f>SUM(F25:F31)</f>
        <v>113.49517637958058</v>
      </c>
      <c r="G32" s="219"/>
      <c r="H32" s="216"/>
      <c r="I32" s="217">
        <f>SUM(I25:I31)</f>
        <v>5228.533883245801</v>
      </c>
      <c r="J32" s="220">
        <f>SUM(J25:J31)</f>
        <v>105.33478963679603</v>
      </c>
      <c r="K32" s="221">
        <f t="shared" si="7"/>
        <v>105.33478963679603</v>
      </c>
      <c r="L32" s="219"/>
      <c r="M32" s="222"/>
      <c r="N32" s="217" t="e">
        <f>SUM(N25:N31)</f>
        <v>#REF!</v>
      </c>
      <c r="O32" s="220" t="e">
        <f>SUM(O25:O31)</f>
        <v>#REF!</v>
      </c>
      <c r="P32" s="223" t="e">
        <f t="shared" si="9"/>
        <v>#REF!</v>
      </c>
    </row>
  </sheetData>
  <mergeCells count="11">
    <mergeCell ref="A3:K3"/>
    <mergeCell ref="G7:K7"/>
    <mergeCell ref="A7:A8"/>
    <mergeCell ref="B7:B8"/>
    <mergeCell ref="C7:F7"/>
    <mergeCell ref="L23:P23"/>
    <mergeCell ref="L7:P7"/>
    <mergeCell ref="A23:A24"/>
    <mergeCell ref="B23:B24"/>
    <mergeCell ref="C23:F23"/>
    <mergeCell ref="G23:K23"/>
  </mergeCells>
  <phoneticPr fontId="53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67"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1669</v>
      </c>
    </row>
    <row r="2" spans="1:7" ht="18.75" x14ac:dyDescent="0.3">
      <c r="A2" s="4408" t="s">
        <v>1480</v>
      </c>
      <c r="B2" s="4408"/>
      <c r="C2" s="4408"/>
      <c r="D2" s="4408"/>
      <c r="E2" s="4408"/>
      <c r="F2" s="4408"/>
    </row>
    <row r="3" spans="1:7" ht="18.75" x14ac:dyDescent="0.3">
      <c r="A3" s="1572"/>
      <c r="B3" s="1572"/>
      <c r="C3" s="1572"/>
      <c r="D3" s="1572"/>
      <c r="E3" s="1572"/>
    </row>
    <row r="4" spans="1:7" ht="27.75" customHeight="1" x14ac:dyDescent="0.2">
      <c r="A4" s="5484"/>
      <c r="B4" s="5486" t="s">
        <v>1481</v>
      </c>
      <c r="C4" s="5487"/>
      <c r="D4" s="5488"/>
      <c r="E4" s="5489" t="s">
        <v>1483</v>
      </c>
      <c r="F4" s="5471" t="s">
        <v>1485</v>
      </c>
      <c r="G4" s="5528"/>
    </row>
    <row r="5" spans="1:7" ht="33.75" customHeight="1" x14ac:dyDescent="0.2">
      <c r="A5" s="5485"/>
      <c r="B5" s="1647" t="s">
        <v>975</v>
      </c>
      <c r="C5" s="1647" t="s">
        <v>976</v>
      </c>
      <c r="D5" s="1647" t="s">
        <v>54</v>
      </c>
      <c r="E5" s="5489"/>
      <c r="F5" s="5472"/>
      <c r="G5" s="5528"/>
    </row>
    <row r="6" spans="1:7" ht="18.75" x14ac:dyDescent="0.3">
      <c r="A6" s="5529" t="s">
        <v>967</v>
      </c>
      <c r="B6" s="5530"/>
      <c r="C6" s="5530"/>
      <c r="D6" s="5530"/>
      <c r="E6" s="5530"/>
      <c r="F6" s="5530"/>
      <c r="G6" s="5531"/>
    </row>
    <row r="7" spans="1:7" x14ac:dyDescent="0.2">
      <c r="A7" s="1648" t="s">
        <v>972</v>
      </c>
      <c r="B7" s="1649">
        <v>19.14</v>
      </c>
      <c r="C7" s="1649">
        <v>22.66</v>
      </c>
      <c r="D7" s="1649"/>
      <c r="E7" s="1648"/>
      <c r="F7" s="5537">
        <f>$E$48*D10/$D$48</f>
        <v>408.76453757043004</v>
      </c>
      <c r="G7" s="1913"/>
    </row>
    <row r="8" spans="1:7" x14ac:dyDescent="0.2">
      <c r="A8" s="1648" t="s">
        <v>973</v>
      </c>
      <c r="B8" s="1649">
        <f>2780.7/2</f>
        <v>1390.35</v>
      </c>
      <c r="C8" s="1649">
        <f>B8</f>
        <v>1390.35</v>
      </c>
      <c r="D8" s="1649">
        <f>C8+B8</f>
        <v>2780.7</v>
      </c>
      <c r="E8" s="1648"/>
      <c r="F8" s="5480"/>
      <c r="G8" s="1913"/>
    </row>
    <row r="9" spans="1:7" x14ac:dyDescent="0.2">
      <c r="A9" s="1648" t="s">
        <v>974</v>
      </c>
      <c r="B9" s="1649">
        <f>B7*B8</f>
        <v>26611.298999999999</v>
      </c>
      <c r="C9" s="1649">
        <f>C7*C8</f>
        <v>31505.330999999998</v>
      </c>
      <c r="D9" s="1649">
        <f>C9+B9</f>
        <v>58116.63</v>
      </c>
      <c r="E9" s="1648"/>
      <c r="F9" s="5480"/>
      <c r="G9" s="1913"/>
    </row>
    <row r="10" spans="1:7" x14ac:dyDescent="0.2">
      <c r="A10" s="1648" t="s">
        <v>971</v>
      </c>
      <c r="B10" s="1649">
        <f>B9*0.02</f>
        <v>532.22597999999994</v>
      </c>
      <c r="C10" s="1649">
        <f>C9*0.02</f>
        <v>630.10662000000002</v>
      </c>
      <c r="D10" s="1649">
        <f>C10+B10</f>
        <v>1162.3326</v>
      </c>
      <c r="E10" s="1648"/>
      <c r="F10" s="5481"/>
      <c r="G10" s="1913"/>
    </row>
    <row r="11" spans="1:7" ht="18.75" x14ac:dyDescent="0.3">
      <c r="A11" s="5538" t="s">
        <v>968</v>
      </c>
      <c r="B11" s="5539"/>
      <c r="C11" s="5539"/>
      <c r="D11" s="5539"/>
      <c r="E11" s="5539"/>
      <c r="F11" s="5540"/>
      <c r="G11" s="1913"/>
    </row>
    <row r="12" spans="1:7" x14ac:dyDescent="0.2">
      <c r="A12" s="1648" t="s">
        <v>330</v>
      </c>
      <c r="B12" s="1649">
        <v>15.5</v>
      </c>
      <c r="C12" s="1649">
        <v>18.350000000000001</v>
      </c>
      <c r="D12" s="1649"/>
      <c r="E12" s="1648"/>
      <c r="F12" s="5537">
        <f>$E$49*D15/$D$49</f>
        <v>310.74886990256181</v>
      </c>
      <c r="G12" s="1913"/>
    </row>
    <row r="13" spans="1:7" x14ac:dyDescent="0.2">
      <c r="A13" s="1648" t="s">
        <v>965</v>
      </c>
      <c r="B13" s="1649">
        <f>2448.7/2</f>
        <v>1224.3499999999999</v>
      </c>
      <c r="C13" s="1649">
        <f>B13</f>
        <v>1224.3499999999999</v>
      </c>
      <c r="D13" s="1649">
        <f>C13+B13</f>
        <v>2448.6999999999998</v>
      </c>
      <c r="E13" s="1648"/>
      <c r="F13" s="5480"/>
      <c r="G13" s="1913"/>
    </row>
    <row r="14" spans="1:7" x14ac:dyDescent="0.2">
      <c r="A14" s="1648" t="s">
        <v>966</v>
      </c>
      <c r="B14" s="1649">
        <f>B12*B13</f>
        <v>18977.424999999999</v>
      </c>
      <c r="C14" s="1649">
        <f>C12*C13</f>
        <v>22466.822499999998</v>
      </c>
      <c r="D14" s="1649">
        <f>C14+B14</f>
        <v>41444.247499999998</v>
      </c>
      <c r="E14" s="1648"/>
      <c r="F14" s="5480"/>
      <c r="G14" s="1913"/>
    </row>
    <row r="15" spans="1:7" x14ac:dyDescent="0.2">
      <c r="A15" s="1648" t="s">
        <v>971</v>
      </c>
      <c r="B15" s="1649">
        <f>B14*0.02</f>
        <v>379.54849999999999</v>
      </c>
      <c r="C15" s="1649">
        <f>C14*0.02</f>
        <v>449.33644999999996</v>
      </c>
      <c r="D15" s="1649">
        <f>C15+B15</f>
        <v>828.88494999999989</v>
      </c>
      <c r="E15" s="1648"/>
      <c r="F15" s="5481"/>
      <c r="G15" s="1913"/>
    </row>
    <row r="16" spans="1:7" ht="18.75" x14ac:dyDescent="0.3">
      <c r="A16" s="5532" t="s">
        <v>1675</v>
      </c>
      <c r="B16" s="5533"/>
      <c r="C16" s="5533"/>
      <c r="D16" s="5533"/>
      <c r="E16" s="5533"/>
      <c r="F16" s="5533"/>
      <c r="G16" s="5534"/>
    </row>
    <row r="17" spans="1:7" x14ac:dyDescent="0.2">
      <c r="A17" s="1657" t="s">
        <v>977</v>
      </c>
      <c r="B17" s="1658">
        <v>22.66</v>
      </c>
      <c r="C17" s="1658">
        <v>25.95</v>
      </c>
      <c r="D17" s="1658"/>
      <c r="E17" s="1657"/>
      <c r="F17" s="5490">
        <f>$E$48*D20/$D$48</f>
        <v>406.49452001229344</v>
      </c>
      <c r="G17" s="1913"/>
    </row>
    <row r="18" spans="1:7" x14ac:dyDescent="0.2">
      <c r="A18" s="1657" t="s">
        <v>978</v>
      </c>
      <c r="B18" s="1658">
        <f>D18/2</f>
        <v>1188.93</v>
      </c>
      <c r="C18" s="1658">
        <f>B18</f>
        <v>1188.93</v>
      </c>
      <c r="D18" s="1658">
        <f>объемы!R50</f>
        <v>2377.86</v>
      </c>
      <c r="E18" s="1657"/>
      <c r="F18" s="5491"/>
      <c r="G18" s="1913"/>
    </row>
    <row r="19" spans="1:7" x14ac:dyDescent="0.2">
      <c r="A19" s="1657" t="s">
        <v>979</v>
      </c>
      <c r="B19" s="1658">
        <f>B17*B18</f>
        <v>26941.1538</v>
      </c>
      <c r="C19" s="1658">
        <f>C17*C18</f>
        <v>30852.733500000002</v>
      </c>
      <c r="D19" s="1658">
        <f>C19+B19</f>
        <v>57793.887300000002</v>
      </c>
      <c r="E19" s="1657"/>
      <c r="F19" s="5491"/>
      <c r="G19" s="1913"/>
    </row>
    <row r="20" spans="1:7" x14ac:dyDescent="0.2">
      <c r="A20" s="1657" t="s">
        <v>971</v>
      </c>
      <c r="B20" s="1658">
        <f>B19*0.02</f>
        <v>538.82307600000001</v>
      </c>
      <c r="C20" s="1658">
        <f>C19*0.02</f>
        <v>617.0546700000001</v>
      </c>
      <c r="D20" s="1658">
        <f>C20+B20</f>
        <v>1155.8777460000001</v>
      </c>
      <c r="E20" s="1657"/>
      <c r="F20" s="5492"/>
      <c r="G20" s="1913"/>
    </row>
    <row r="21" spans="1:7" ht="18.75" x14ac:dyDescent="0.3">
      <c r="A21" s="5476" t="s">
        <v>970</v>
      </c>
      <c r="B21" s="5477"/>
      <c r="C21" s="5477"/>
      <c r="D21" s="5477"/>
      <c r="E21" s="5477"/>
      <c r="F21" s="5478"/>
      <c r="G21" s="1913"/>
    </row>
    <row r="22" spans="1:7" x14ac:dyDescent="0.2">
      <c r="A22" s="1657" t="s">
        <v>977</v>
      </c>
      <c r="B22" s="1658">
        <v>18.350000000000001</v>
      </c>
      <c r="C22" s="1658">
        <v>21.01</v>
      </c>
      <c r="D22" s="1658"/>
      <c r="E22" s="1657"/>
      <c r="F22" s="5490">
        <f>$E$49*D25/$D$49</f>
        <v>337.84293010864991</v>
      </c>
      <c r="G22" s="1913"/>
    </row>
    <row r="23" spans="1:7" x14ac:dyDescent="0.2">
      <c r="A23" s="1657" t="s">
        <v>978</v>
      </c>
      <c r="B23" s="1658">
        <f>D23/2</f>
        <v>1144.76</v>
      </c>
      <c r="C23" s="1658">
        <f>B23</f>
        <v>1144.76</v>
      </c>
      <c r="D23" s="1658">
        <f>объемы!R64</f>
        <v>2289.52</v>
      </c>
      <c r="E23" s="1657"/>
      <c r="F23" s="5491"/>
      <c r="G23" s="1913"/>
    </row>
    <row r="24" spans="1:7" x14ac:dyDescent="0.2">
      <c r="A24" s="1657" t="s">
        <v>979</v>
      </c>
      <c r="B24" s="1658">
        <f>B22*B23</f>
        <v>21006.346000000001</v>
      </c>
      <c r="C24" s="1658">
        <f>C22*C23</f>
        <v>24051.407600000002</v>
      </c>
      <c r="D24" s="1658">
        <f>C24+B24</f>
        <v>45057.753600000004</v>
      </c>
      <c r="E24" s="1657"/>
      <c r="F24" s="5491"/>
      <c r="G24" s="1913"/>
    </row>
    <row r="25" spans="1:7" x14ac:dyDescent="0.2">
      <c r="A25" s="1657" t="s">
        <v>971</v>
      </c>
      <c r="B25" s="1658">
        <f>B24*0.02</f>
        <v>420.12692000000004</v>
      </c>
      <c r="C25" s="1658">
        <f>C24*0.02</f>
        <v>481.02815200000003</v>
      </c>
      <c r="D25" s="1658">
        <f>C25+B25</f>
        <v>901.15507200000002</v>
      </c>
      <c r="E25" s="1657"/>
      <c r="F25" s="5492"/>
      <c r="G25" s="1913"/>
    </row>
    <row r="26" spans="1:7" ht="18.75" x14ac:dyDescent="0.3">
      <c r="A26" s="5529" t="s">
        <v>980</v>
      </c>
      <c r="B26" s="5530"/>
      <c r="C26" s="5530"/>
      <c r="D26" s="5530"/>
      <c r="E26" s="5530"/>
      <c r="F26" s="5530"/>
      <c r="G26" s="5531"/>
    </row>
    <row r="27" spans="1:7" x14ac:dyDescent="0.2">
      <c r="A27" s="1648" t="s">
        <v>982</v>
      </c>
      <c r="B27" s="1649">
        <f>C17</f>
        <v>25.95</v>
      </c>
      <c r="C27" s="1649">
        <v>28.6</v>
      </c>
      <c r="D27" s="1649"/>
      <c r="E27" s="1648"/>
      <c r="F27" s="5479">
        <f>$E$48*D30/$D$48</f>
        <v>465.89321466591826</v>
      </c>
      <c r="G27" s="1913"/>
    </row>
    <row r="28" spans="1:7" x14ac:dyDescent="0.2">
      <c r="A28" s="1648" t="s">
        <v>978</v>
      </c>
      <c r="B28" s="1649">
        <f>объемы!AA50/2</f>
        <v>1214.28</v>
      </c>
      <c r="C28" s="1649">
        <f>B28</f>
        <v>1214.28</v>
      </c>
      <c r="D28" s="1649">
        <f>C28+B28</f>
        <v>2428.56</v>
      </c>
      <c r="E28" s="1648"/>
      <c r="F28" s="5480"/>
      <c r="G28" s="1913"/>
    </row>
    <row r="29" spans="1:7" x14ac:dyDescent="0.2">
      <c r="A29" s="1648" t="s">
        <v>979</v>
      </c>
      <c r="B29" s="1649">
        <f>B27*B28</f>
        <v>31510.565999999999</v>
      </c>
      <c r="C29" s="1649">
        <f>C27*C28</f>
        <v>34728.408000000003</v>
      </c>
      <c r="D29" s="1649">
        <f>C29+B29</f>
        <v>66238.974000000002</v>
      </c>
      <c r="E29" s="1648"/>
      <c r="F29" s="5480"/>
      <c r="G29" s="1913"/>
    </row>
    <row r="30" spans="1:7" x14ac:dyDescent="0.2">
      <c r="A30" s="1648" t="s">
        <v>971</v>
      </c>
      <c r="B30" s="1649">
        <f>B29*0.02</f>
        <v>630.21132</v>
      </c>
      <c r="C30" s="1649">
        <f>C29*0.02</f>
        <v>694.56816000000003</v>
      </c>
      <c r="D30" s="1649">
        <f>C30+B30</f>
        <v>1324.7794800000001</v>
      </c>
      <c r="E30" s="1648"/>
      <c r="F30" s="5481"/>
      <c r="G30" s="1913"/>
    </row>
    <row r="31" spans="1:7" ht="18.75" x14ac:dyDescent="0.3">
      <c r="A31" s="5473" t="s">
        <v>981</v>
      </c>
      <c r="B31" s="5474"/>
      <c r="C31" s="5474"/>
      <c r="D31" s="5474"/>
      <c r="E31" s="5474"/>
      <c r="F31" s="5475"/>
      <c r="G31" s="1913"/>
    </row>
    <row r="32" spans="1:7" x14ac:dyDescent="0.2">
      <c r="A32" s="1648" t="s">
        <v>982</v>
      </c>
      <c r="B32" s="1649">
        <f>C22</f>
        <v>21.01</v>
      </c>
      <c r="C32" s="1649">
        <v>23.2</v>
      </c>
      <c r="D32" s="1649"/>
      <c r="E32" s="1648"/>
      <c r="F32" s="5479">
        <f>$E$49*D35/$D$49</f>
        <v>405.73944615575715</v>
      </c>
      <c r="G32" s="1913"/>
    </row>
    <row r="33" spans="1:7" x14ac:dyDescent="0.2">
      <c r="A33" s="1648" t="s">
        <v>978</v>
      </c>
      <c r="B33" s="1649">
        <f>объемы!AA64/2</f>
        <v>1224</v>
      </c>
      <c r="C33" s="1649">
        <f>B33</f>
        <v>1224</v>
      </c>
      <c r="D33" s="1649">
        <f>C33+B33</f>
        <v>2448</v>
      </c>
      <c r="E33" s="1648"/>
      <c r="F33" s="5480"/>
      <c r="G33" s="1913"/>
    </row>
    <row r="34" spans="1:7" x14ac:dyDescent="0.2">
      <c r="A34" s="1648" t="s">
        <v>979</v>
      </c>
      <c r="B34" s="1649">
        <f>B32*B33</f>
        <v>25716.240000000002</v>
      </c>
      <c r="C34" s="1649">
        <f>C32*C33</f>
        <v>28396.799999999999</v>
      </c>
      <c r="D34" s="1649">
        <f>C34+B34</f>
        <v>54113.04</v>
      </c>
      <c r="E34" s="1648"/>
      <c r="F34" s="5480"/>
      <c r="G34" s="1913"/>
    </row>
    <row r="35" spans="1:7" x14ac:dyDescent="0.2">
      <c r="A35" s="1648" t="s">
        <v>971</v>
      </c>
      <c r="B35" s="1649">
        <f>B34*0.02</f>
        <v>514.3248000000001</v>
      </c>
      <c r="C35" s="1649">
        <f>C34*0.02</f>
        <v>567.93600000000004</v>
      </c>
      <c r="D35" s="1649">
        <f>C35+B35</f>
        <v>1082.2608</v>
      </c>
      <c r="E35" s="1648"/>
      <c r="F35" s="5481"/>
      <c r="G35" s="1913"/>
    </row>
    <row r="36" spans="1:7" ht="18.75" x14ac:dyDescent="0.3">
      <c r="A36" s="5476" t="s">
        <v>1686</v>
      </c>
      <c r="B36" s="5477"/>
      <c r="C36" s="5477"/>
      <c r="D36" s="5477"/>
      <c r="E36" s="5477"/>
      <c r="F36" s="5478"/>
      <c r="G36" s="1913"/>
    </row>
    <row r="37" spans="1:7" x14ac:dyDescent="0.2">
      <c r="A37" s="1657" t="s">
        <v>982</v>
      </c>
      <c r="B37" s="1658">
        <f>'вода 2019-2021 коррект'!F46</f>
        <v>25.95</v>
      </c>
      <c r="C37" s="1658">
        <f>'вода 2019-2021 коррект'!F47</f>
        <v>27.796610169491526</v>
      </c>
      <c r="D37" s="1658"/>
      <c r="E37" s="1657"/>
      <c r="F37" s="5490">
        <f>$E$48*D40/$D$48</f>
        <v>436.83960362466541</v>
      </c>
      <c r="G37" s="1913"/>
    </row>
    <row r="38" spans="1:7" x14ac:dyDescent="0.2">
      <c r="A38" s="1657" t="s">
        <v>1685</v>
      </c>
      <c r="B38" s="1658">
        <f>D38/2</f>
        <v>1155.575</v>
      </c>
      <c r="C38" s="1658">
        <f>B38</f>
        <v>1155.575</v>
      </c>
      <c r="D38" s="1658">
        <f>объемы!Y50</f>
        <v>2311.15</v>
      </c>
      <c r="E38" s="1657"/>
      <c r="F38" s="5491"/>
      <c r="G38" s="1914">
        <f>F37</f>
        <v>436.83960362466541</v>
      </c>
    </row>
    <row r="39" spans="1:7" x14ac:dyDescent="0.2">
      <c r="A39" s="1657" t="s">
        <v>1684</v>
      </c>
      <c r="B39" s="1658">
        <f>B37*B38</f>
        <v>29987.171249999999</v>
      </c>
      <c r="C39" s="1658">
        <f>C37*C38</f>
        <v>32121.067796610172</v>
      </c>
      <c r="D39" s="1658">
        <f>C39+B39</f>
        <v>62108.239046610171</v>
      </c>
      <c r="E39" s="1657"/>
      <c r="F39" s="5491"/>
      <c r="G39" s="1913"/>
    </row>
    <row r="40" spans="1:7" x14ac:dyDescent="0.2">
      <c r="A40" s="1657" t="s">
        <v>971</v>
      </c>
      <c r="B40" s="1658">
        <f>B39*0.02</f>
        <v>599.743425</v>
      </c>
      <c r="C40" s="1658">
        <f>C39*0.02</f>
        <v>642.42135593220348</v>
      </c>
      <c r="D40" s="1658">
        <f>C40+B40</f>
        <v>1242.1647809322035</v>
      </c>
      <c r="E40" s="1657"/>
      <c r="F40" s="5492"/>
      <c r="G40" s="1913"/>
    </row>
    <row r="41" spans="1:7" ht="18.75" x14ac:dyDescent="0.3">
      <c r="A41" s="5476" t="s">
        <v>1796</v>
      </c>
      <c r="B41" s="5477"/>
      <c r="C41" s="5477"/>
      <c r="D41" s="5477"/>
      <c r="E41" s="5477"/>
      <c r="F41" s="5478"/>
      <c r="G41" s="1913"/>
    </row>
    <row r="42" spans="1:7" x14ac:dyDescent="0.2">
      <c r="A42" s="1657" t="s">
        <v>977</v>
      </c>
      <c r="B42" s="1658">
        <v>21.01</v>
      </c>
      <c r="C42" s="1658">
        <v>22.5</v>
      </c>
      <c r="D42" s="1658"/>
      <c r="E42" s="1657"/>
      <c r="F42" s="5490">
        <f>$E$49*D45/$D$49</f>
        <v>365.36847945936529</v>
      </c>
      <c r="G42" s="1913"/>
    </row>
    <row r="43" spans="1:7" x14ac:dyDescent="0.2">
      <c r="A43" s="1657" t="s">
        <v>1685</v>
      </c>
      <c r="B43" s="1658">
        <f>D43/2</f>
        <v>1119.9449999999999</v>
      </c>
      <c r="C43" s="1658">
        <f>B43</f>
        <v>1119.9449999999999</v>
      </c>
      <c r="D43" s="1658">
        <f>объемы!Y64</f>
        <v>2239.89</v>
      </c>
      <c r="E43" s="1657"/>
      <c r="F43" s="5491"/>
      <c r="G43" s="1914">
        <f>F42</f>
        <v>365.36847945936529</v>
      </c>
    </row>
    <row r="44" spans="1:7" x14ac:dyDescent="0.2">
      <c r="A44" s="1657" t="s">
        <v>979</v>
      </c>
      <c r="B44" s="1658">
        <f>B42*B43</f>
        <v>23530.044450000001</v>
      </c>
      <c r="C44" s="1658">
        <f>C42*C43</f>
        <v>25198.762499999997</v>
      </c>
      <c r="D44" s="1658">
        <f>C44+B44</f>
        <v>48728.806949999998</v>
      </c>
      <c r="E44" s="1657"/>
      <c r="F44" s="5491"/>
      <c r="G44" s="1913"/>
    </row>
    <row r="45" spans="1:7" x14ac:dyDescent="0.2">
      <c r="A45" s="1657" t="s">
        <v>971</v>
      </c>
      <c r="B45" s="1658">
        <f>B44*0.02</f>
        <v>470.60088900000005</v>
      </c>
      <c r="C45" s="1658">
        <f>C44*0.02</f>
        <v>503.97524999999996</v>
      </c>
      <c r="D45" s="1658">
        <f>C45+B45</f>
        <v>974.57613900000001</v>
      </c>
      <c r="E45" s="1657"/>
      <c r="F45" s="5492"/>
      <c r="G45" s="1913"/>
    </row>
    <row r="46" spans="1:7" x14ac:dyDescent="0.2">
      <c r="A46" s="1650" t="s">
        <v>616</v>
      </c>
      <c r="B46" s="1651"/>
      <c r="C46" s="1651"/>
      <c r="D46" s="1652">
        <f>D10+D15+D20+D25+D40+D45</f>
        <v>6264.9912879322028</v>
      </c>
      <c r="E46" s="1652">
        <f>(1993.71255+680.237)/1.18</f>
        <v>2266.0589406779659</v>
      </c>
      <c r="F46" s="1652">
        <f>F7+F12+F17+F22+F27+F32</f>
        <v>2335.4835184156109</v>
      </c>
      <c r="G46" s="1913"/>
    </row>
    <row r="47" spans="1:7" x14ac:dyDescent="0.2">
      <c r="A47" s="1653" t="s">
        <v>230</v>
      </c>
      <c r="B47" s="1648"/>
      <c r="C47" s="1648"/>
      <c r="D47" s="1654"/>
      <c r="E47" s="1654"/>
      <c r="F47" s="1648"/>
      <c r="G47" s="1913"/>
    </row>
    <row r="48" spans="1:7" x14ac:dyDescent="0.2">
      <c r="A48" s="1653" t="s">
        <v>46</v>
      </c>
      <c r="B48" s="1648"/>
      <c r="C48" s="1648"/>
      <c r="D48" s="1655">
        <f>D10+D20+D40</f>
        <v>3560.3751269322033</v>
      </c>
      <c r="E48" s="1655">
        <f>'Резерв ДЗ'!E38</f>
        <v>1252.0986612073889</v>
      </c>
      <c r="F48" s="5535" t="s">
        <v>1484</v>
      </c>
      <c r="G48" s="1913"/>
    </row>
    <row r="49" spans="1:7" x14ac:dyDescent="0.2">
      <c r="A49" s="1653" t="s">
        <v>47</v>
      </c>
      <c r="B49" s="1648"/>
      <c r="C49" s="1648"/>
      <c r="D49" s="1655">
        <f>D15+D25+D45</f>
        <v>2704.6161609999999</v>
      </c>
      <c r="E49" s="1655">
        <f>E46-E48</f>
        <v>1013.960279470577</v>
      </c>
      <c r="F49" s="5536"/>
      <c r="G49" s="1913"/>
    </row>
  </sheetData>
  <mergeCells count="23">
    <mergeCell ref="A41:F41"/>
    <mergeCell ref="F42:F45"/>
    <mergeCell ref="A2:F2"/>
    <mergeCell ref="A4:A5"/>
    <mergeCell ref="B4:D4"/>
    <mergeCell ref="E4:E5"/>
    <mergeCell ref="F4:F5"/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68">
    <tabColor rgb="FFFFFF00"/>
    <pageSetUpPr fitToPage="1"/>
  </sheetPr>
  <dimension ref="A4:Z45"/>
  <sheetViews>
    <sheetView workbookViewId="0">
      <selection activeCell="N16" sqref="N16"/>
    </sheetView>
  </sheetViews>
  <sheetFormatPr defaultRowHeight="12.75" x14ac:dyDescent="0.2"/>
  <cols>
    <col min="1" max="1" width="31.85546875" style="5" customWidth="1"/>
    <col min="2" max="2" width="9.140625" style="5" customWidth="1"/>
    <col min="3" max="3" width="9" style="1674" hidden="1" customWidth="1"/>
    <col min="4" max="4" width="18.28515625" style="5" hidden="1" customWidth="1"/>
    <col min="5" max="5" width="10.28515625" style="5" customWidth="1"/>
    <col min="6" max="6" width="11.42578125" style="5" customWidth="1"/>
    <col min="7" max="7" width="11.140625" style="5" customWidth="1"/>
    <col min="8" max="12" width="11" style="5" customWidth="1"/>
    <col min="13" max="17" width="11.140625" style="5" customWidth="1"/>
    <col min="18" max="18" width="10.140625" style="5" customWidth="1"/>
    <col min="19" max="19" width="11.28515625" style="5" customWidth="1"/>
    <col min="20" max="20" width="10" style="5" hidden="1" customWidth="1"/>
    <col min="21" max="21" width="13.28515625" style="5" hidden="1" customWidth="1"/>
    <col min="22" max="22" width="13.140625" style="5" hidden="1" customWidth="1"/>
    <col min="23" max="23" width="0" style="5" hidden="1" customWidth="1"/>
    <col min="24" max="24" width="10" style="5" hidden="1" customWidth="1"/>
    <col min="25" max="25" width="9.140625" style="5"/>
    <col min="26" max="26" width="12.42578125" style="5" customWidth="1"/>
    <col min="27" max="16384" width="9.140625" style="5"/>
  </cols>
  <sheetData>
    <row r="4" spans="1:24" s="1659" customFormat="1" ht="15.75" x14ac:dyDescent="0.25">
      <c r="A4" s="5541" t="s">
        <v>3917</v>
      </c>
      <c r="B4" s="4492"/>
      <c r="C4" s="4492"/>
      <c r="D4" s="4492"/>
      <c r="E4" s="4492"/>
      <c r="F4" s="4492"/>
      <c r="G4" s="4492"/>
      <c r="H4" s="4492"/>
      <c r="I4" s="4492"/>
      <c r="J4" s="4492"/>
      <c r="K4" s="4492"/>
      <c r="L4" s="4492"/>
      <c r="M4" s="4242"/>
      <c r="N4" s="4242"/>
      <c r="O4" s="4242"/>
      <c r="P4" s="4242"/>
      <c r="Q4" s="4242"/>
    </row>
    <row r="5" spans="1:24" s="1659" customFormat="1" ht="15.75" x14ac:dyDescent="0.25">
      <c r="C5" s="2048"/>
    </row>
    <row r="6" spans="1:24" ht="25.5" customHeight="1" x14ac:dyDescent="0.2">
      <c r="A6" s="3504"/>
      <c r="B6" s="3504"/>
      <c r="C6" s="3504" t="s">
        <v>818</v>
      </c>
      <c r="D6" s="3507" t="s">
        <v>895</v>
      </c>
      <c r="E6" s="3504" t="s">
        <v>896</v>
      </c>
      <c r="F6" s="3504" t="s">
        <v>1788</v>
      </c>
      <c r="G6" s="3504" t="s">
        <v>1802</v>
      </c>
      <c r="H6" s="4847" t="s">
        <v>3556</v>
      </c>
      <c r="I6" s="5542"/>
      <c r="J6" s="3501" t="s">
        <v>3643</v>
      </c>
      <c r="K6" s="3501" t="s">
        <v>3644</v>
      </c>
      <c r="L6" s="3501" t="s">
        <v>3645</v>
      </c>
      <c r="M6" s="4847" t="s">
        <v>3918</v>
      </c>
      <c r="N6" s="5542"/>
      <c r="O6" s="3913" t="s">
        <v>3940</v>
      </c>
      <c r="P6" s="3913" t="s">
        <v>3941</v>
      </c>
      <c r="Q6" s="3913" t="s">
        <v>3956</v>
      </c>
      <c r="R6" s="1675"/>
      <c r="S6" s="1675"/>
      <c r="T6" s="5" t="s">
        <v>1808</v>
      </c>
      <c r="U6" s="5" t="s">
        <v>1809</v>
      </c>
      <c r="V6" s="5" t="s">
        <v>1810</v>
      </c>
      <c r="W6" s="5" t="s">
        <v>1811</v>
      </c>
      <c r="X6" s="5" t="s">
        <v>1812</v>
      </c>
    </row>
    <row r="7" spans="1:24" ht="25.5" x14ac:dyDescent="0.2">
      <c r="A7" s="3504"/>
      <c r="B7" s="3504"/>
      <c r="C7" s="3504"/>
      <c r="D7" s="3507"/>
      <c r="E7" s="3504"/>
      <c r="F7" s="3504"/>
      <c r="G7" s="3504"/>
      <c r="H7" s="3501" t="s">
        <v>122</v>
      </c>
      <c r="I7" s="3501" t="s">
        <v>1852</v>
      </c>
      <c r="J7" s="3501"/>
      <c r="K7" s="3501"/>
      <c r="L7" s="3501"/>
      <c r="M7" s="3501" t="s">
        <v>122</v>
      </c>
      <c r="N7" s="3501" t="s">
        <v>1852</v>
      </c>
      <c r="O7" s="3913"/>
      <c r="P7" s="3913"/>
      <c r="Q7" s="3913"/>
      <c r="R7" s="1675"/>
      <c r="S7" s="1675"/>
    </row>
    <row r="8" spans="1:24" x14ac:dyDescent="0.2">
      <c r="A8" s="2601" t="s">
        <v>1754</v>
      </c>
      <c r="B8" s="2601" t="s">
        <v>902</v>
      </c>
      <c r="C8" s="2602">
        <v>2169.9934800000001</v>
      </c>
      <c r="D8" s="2601"/>
      <c r="E8" s="2602">
        <v>3551.4250499999998</v>
      </c>
      <c r="F8" s="2602">
        <f>F10+F11+F12</f>
        <v>17.627832389853918</v>
      </c>
      <c r="G8" s="2671">
        <f>F8*1.046</f>
        <v>18.438712679787198</v>
      </c>
      <c r="H8" s="2671">
        <v>19.059999999999999</v>
      </c>
      <c r="I8" s="2671"/>
      <c r="J8" s="2671">
        <f>SUM(J10:J12)</f>
        <v>2381.2199999999998</v>
      </c>
      <c r="K8" s="2671">
        <f>SUM(K10:K12)</f>
        <v>3571.83</v>
      </c>
      <c r="L8" s="2671">
        <f>SUM(L10:L12)</f>
        <v>6070.34</v>
      </c>
      <c r="M8" s="2478">
        <f>SUM(M10:M12)</f>
        <v>525.82000000000005</v>
      </c>
      <c r="N8" s="4099"/>
      <c r="O8" s="2478">
        <f>SUM(O10:O12)</f>
        <v>262.89999999999998</v>
      </c>
      <c r="P8" s="2478">
        <f>SUM(P10:P12)</f>
        <v>394.36</v>
      </c>
      <c r="Q8" s="3365">
        <f>SUM(Q10:Q12)</f>
        <v>6070.34</v>
      </c>
      <c r="R8" s="1675"/>
      <c r="S8" s="1675"/>
      <c r="T8" s="5">
        <f>G8*1.04</f>
        <v>19.176261186978685</v>
      </c>
      <c r="U8" s="5">
        <f>R8*1.04</f>
        <v>0</v>
      </c>
      <c r="V8" s="5">
        <f>S8*1.04</f>
        <v>0</v>
      </c>
      <c r="W8" s="5">
        <f t="shared" ref="W8:X8" si="0">T8*1.04</f>
        <v>19.943311634457832</v>
      </c>
      <c r="X8" s="5">
        <f t="shared" si="0"/>
        <v>0</v>
      </c>
    </row>
    <row r="9" spans="1:24" x14ac:dyDescent="0.2">
      <c r="A9" s="2601" t="s">
        <v>50</v>
      </c>
      <c r="B9" s="2601"/>
      <c r="C9" s="2602"/>
      <c r="D9" s="2601"/>
      <c r="E9" s="2602"/>
      <c r="F9" s="2602"/>
      <c r="G9" s="2601"/>
      <c r="H9" s="2601"/>
      <c r="I9" s="2601"/>
      <c r="J9" s="2601"/>
      <c r="K9" s="2601"/>
      <c r="L9" s="2601"/>
      <c r="M9" s="2477"/>
      <c r="N9" s="4083"/>
      <c r="O9" s="2477"/>
      <c r="P9" s="2477"/>
      <c r="Q9" s="3361"/>
      <c r="R9" s="1675"/>
      <c r="S9" s="1675"/>
    </row>
    <row r="10" spans="1:24" x14ac:dyDescent="0.2">
      <c r="A10" s="2601" t="s">
        <v>1755</v>
      </c>
      <c r="B10" s="2601" t="s">
        <v>902</v>
      </c>
      <c r="C10" s="2602">
        <v>16.91282</v>
      </c>
      <c r="D10" s="2601"/>
      <c r="E10" s="2602">
        <v>0</v>
      </c>
      <c r="F10" s="2602">
        <f>X38/1000</f>
        <v>17.627832389853918</v>
      </c>
      <c r="G10" s="2671">
        <f>G8</f>
        <v>18.438712679787198</v>
      </c>
      <c r="H10" s="2671">
        <f>H8</f>
        <v>19.059999999999999</v>
      </c>
      <c r="I10" s="2671"/>
      <c r="J10" s="2671">
        <v>17.12</v>
      </c>
      <c r="K10" s="2671">
        <v>25.67</v>
      </c>
      <c r="L10" s="2671">
        <v>525.82000000000005</v>
      </c>
      <c r="M10" s="2478">
        <f>SUM(L10)</f>
        <v>525.82000000000005</v>
      </c>
      <c r="N10" s="4099"/>
      <c r="O10" s="2478">
        <v>262.89999999999998</v>
      </c>
      <c r="P10" s="2478">
        <v>394.36</v>
      </c>
      <c r="Q10" s="3365">
        <v>525.82000000000005</v>
      </c>
      <c r="R10" s="1675"/>
      <c r="S10" s="1675"/>
    </row>
    <row r="11" spans="1:24" x14ac:dyDescent="0.2">
      <c r="A11" s="2601" t="s">
        <v>1756</v>
      </c>
      <c r="B11" s="2601" t="s">
        <v>902</v>
      </c>
      <c r="C11" s="2602">
        <v>0</v>
      </c>
      <c r="D11" s="2601"/>
      <c r="E11" s="2602">
        <v>0</v>
      </c>
      <c r="F11" s="2602">
        <v>0</v>
      </c>
      <c r="G11" s="2601">
        <v>0</v>
      </c>
      <c r="H11" s="2601">
        <v>0</v>
      </c>
      <c r="I11" s="2601"/>
      <c r="J11" s="2601"/>
      <c r="K11" s="2601"/>
      <c r="L11" s="2601"/>
      <c r="M11" s="2477">
        <v>0</v>
      </c>
      <c r="N11" s="4083"/>
      <c r="O11" s="2477"/>
      <c r="P11" s="2477"/>
      <c r="Q11" s="3361"/>
      <c r="R11" s="1675"/>
      <c r="S11" s="1675"/>
    </row>
    <row r="12" spans="1:24" x14ac:dyDescent="0.2">
      <c r="A12" s="2601" t="s">
        <v>1757</v>
      </c>
      <c r="B12" s="2601" t="s">
        <v>902</v>
      </c>
      <c r="C12" s="2602">
        <v>2153.0806600000001</v>
      </c>
      <c r="D12" s="2601"/>
      <c r="E12" s="2602">
        <v>3551.4250499999998</v>
      </c>
      <c r="F12" s="2602">
        <v>0</v>
      </c>
      <c r="G12" s="2601">
        <v>0</v>
      </c>
      <c r="H12" s="2601">
        <v>0</v>
      </c>
      <c r="I12" s="2601"/>
      <c r="J12" s="2601">
        <v>2364.1</v>
      </c>
      <c r="K12" s="2601">
        <v>3546.16</v>
      </c>
      <c r="L12" s="2601">
        <v>5544.52</v>
      </c>
      <c r="M12" s="2477">
        <v>0</v>
      </c>
      <c r="N12" s="4083"/>
      <c r="O12" s="2477"/>
      <c r="P12" s="2477"/>
      <c r="Q12" s="3361">
        <v>5544.52</v>
      </c>
      <c r="R12" s="1675"/>
      <c r="S12" s="1675"/>
    </row>
    <row r="13" spans="1:24" x14ac:dyDescent="0.2">
      <c r="A13" s="2601" t="s">
        <v>1758</v>
      </c>
      <c r="B13" s="2601" t="s">
        <v>902</v>
      </c>
      <c r="C13" s="2602">
        <v>82.269549999999995</v>
      </c>
      <c r="D13" s="2601"/>
      <c r="E13" s="2602">
        <v>135.10650000000001</v>
      </c>
      <c r="F13" s="2602">
        <f>E13</f>
        <v>135.10650000000001</v>
      </c>
      <c r="G13" s="2601">
        <v>0</v>
      </c>
      <c r="H13" s="2601">
        <v>0</v>
      </c>
      <c r="I13" s="2601"/>
      <c r="J13" s="2601"/>
      <c r="K13" s="2601"/>
      <c r="L13" s="2601"/>
      <c r="M13" s="2477">
        <v>0</v>
      </c>
      <c r="N13" s="4083"/>
      <c r="O13" s="2477"/>
      <c r="P13" s="2477"/>
      <c r="Q13" s="3361"/>
      <c r="R13" s="1675"/>
      <c r="S13" s="1675"/>
    </row>
    <row r="14" spans="1:24" x14ac:dyDescent="0.2">
      <c r="A14" s="2601" t="s">
        <v>1759</v>
      </c>
      <c r="B14" s="2601" t="s">
        <v>902</v>
      </c>
      <c r="C14" s="2602">
        <f t="shared" ref="C14:K14" si="1">C13+C8</f>
        <v>2252.2630300000001</v>
      </c>
      <c r="D14" s="2602">
        <f t="shared" si="1"/>
        <v>0</v>
      </c>
      <c r="E14" s="2602">
        <f t="shared" si="1"/>
        <v>3686.5315499999997</v>
      </c>
      <c r="F14" s="2602">
        <f t="shared" si="1"/>
        <v>152.73433238985393</v>
      </c>
      <c r="G14" s="2602">
        <f t="shared" si="1"/>
        <v>18.438712679787198</v>
      </c>
      <c r="H14" s="2602">
        <f t="shared" si="1"/>
        <v>19.059999999999999</v>
      </c>
      <c r="I14" s="2602"/>
      <c r="J14" s="2602">
        <f t="shared" si="1"/>
        <v>2381.2199999999998</v>
      </c>
      <c r="K14" s="2602">
        <f t="shared" si="1"/>
        <v>3571.83</v>
      </c>
      <c r="L14" s="2602">
        <f t="shared" ref="L14:M14" si="2">L13+L8</f>
        <v>6070.34</v>
      </c>
      <c r="M14" s="2461">
        <f t="shared" si="2"/>
        <v>525.82000000000005</v>
      </c>
      <c r="N14" s="4098"/>
      <c r="O14" s="2461">
        <f t="shared" ref="O14:Q14" si="3">O13+O8</f>
        <v>262.89999999999998</v>
      </c>
      <c r="P14" s="2461">
        <f t="shared" si="3"/>
        <v>394.36</v>
      </c>
      <c r="Q14" s="3318">
        <f t="shared" si="3"/>
        <v>6070.34</v>
      </c>
      <c r="R14" s="1675"/>
      <c r="S14" s="1675"/>
    </row>
    <row r="15" spans="1:24" x14ac:dyDescent="0.2">
      <c r="A15" s="2601" t="s">
        <v>1763</v>
      </c>
      <c r="B15" s="2601">
        <f>B16+B17</f>
        <v>3061.4900000000002</v>
      </c>
      <c r="C15" s="2602">
        <f>C10+C13</f>
        <v>99.182369999999992</v>
      </c>
      <c r="D15" s="2601"/>
      <c r="E15" s="2601">
        <f>E16+E17</f>
        <v>3253</v>
      </c>
      <c r="F15" s="2601"/>
      <c r="G15" s="2601"/>
      <c r="H15" s="2601"/>
      <c r="I15" s="2601"/>
      <c r="J15" s="2601"/>
      <c r="K15" s="2601"/>
      <c r="L15" s="2601"/>
      <c r="M15" s="2477"/>
      <c r="N15" s="4083"/>
      <c r="O15" s="2477"/>
      <c r="P15" s="2477"/>
      <c r="Q15" s="3361"/>
      <c r="R15" s="2268">
        <f>R16+R17</f>
        <v>3020.0036431580988</v>
      </c>
      <c r="S15" s="1675"/>
    </row>
    <row r="16" spans="1:24" x14ac:dyDescent="0.2">
      <c r="A16" s="2601" t="s">
        <v>47</v>
      </c>
      <c r="B16" s="2601">
        <f>объемы!Y63</f>
        <v>3040.84</v>
      </c>
      <c r="C16" s="2602">
        <f>B16/B15*C15</f>
        <v>98.513376816778745</v>
      </c>
      <c r="D16" s="2601"/>
      <c r="E16" s="2601">
        <v>3230</v>
      </c>
      <c r="F16" s="2671">
        <f>E16/E15*F14</f>
        <v>151.65444009198532</v>
      </c>
      <c r="G16" s="2671">
        <f>G14*S16</f>
        <v>18.330848375909873</v>
      </c>
      <c r="H16" s="2671">
        <f>SUM(H14)</f>
        <v>19.059999999999999</v>
      </c>
      <c r="I16" s="2671">
        <f>2.71*1.047*1.03</f>
        <v>2.9224911000000002</v>
      </c>
      <c r="J16" s="2671">
        <v>17.12</v>
      </c>
      <c r="K16" s="2671">
        <v>25.67</v>
      </c>
      <c r="L16" s="2671">
        <f>SUM(L10)</f>
        <v>525.82000000000005</v>
      </c>
      <c r="M16" s="2478">
        <f>SUM(M14)</f>
        <v>525.82000000000005</v>
      </c>
      <c r="N16" s="4099">
        <f>SUM('Н 2019-2024'!Y27)</f>
        <v>525.82000000000005</v>
      </c>
      <c r="O16" s="2478">
        <v>262.89999999999998</v>
      </c>
      <c r="P16" s="2478">
        <v>394.36</v>
      </c>
      <c r="Q16" s="3365">
        <f>SUM(Q10)</f>
        <v>525.82000000000005</v>
      </c>
      <c r="R16" s="2268">
        <f>имущество!N37</f>
        <v>3002.3369764914323</v>
      </c>
      <c r="S16" s="2268">
        <f>имущество!O37</f>
        <v>0.99415011743224524</v>
      </c>
    </row>
    <row r="17" spans="1:26" x14ac:dyDescent="0.2">
      <c r="A17" s="2601" t="s">
        <v>148</v>
      </c>
      <c r="B17" s="2601">
        <f>объемы!Z63</f>
        <v>20.65</v>
      </c>
      <c r="C17" s="2602">
        <f>C15-C16</f>
        <v>0.66899318322124657</v>
      </c>
      <c r="D17" s="2601"/>
      <c r="E17" s="2601">
        <v>23</v>
      </c>
      <c r="F17" s="2602">
        <f>F14-F16</f>
        <v>1.0798922978686107</v>
      </c>
      <c r="G17" s="2602">
        <f>G14*S17</f>
        <v>0.10786430387732723</v>
      </c>
      <c r="H17" s="2671">
        <f>SUM(G17)</f>
        <v>0.10786430387732723</v>
      </c>
      <c r="I17" s="2671">
        <f>SUM(H17)</f>
        <v>0.10786430387732723</v>
      </c>
      <c r="J17" s="2671">
        <v>0</v>
      </c>
      <c r="K17" s="2602">
        <v>0</v>
      </c>
      <c r="L17" s="2602">
        <v>0</v>
      </c>
      <c r="M17" s="2478">
        <f>SUM(L17)</f>
        <v>0</v>
      </c>
      <c r="N17" s="4099"/>
      <c r="O17" s="2478">
        <v>0</v>
      </c>
      <c r="P17" s="2461">
        <v>0</v>
      </c>
      <c r="Q17" s="3318">
        <v>0</v>
      </c>
      <c r="R17" s="2268">
        <f>имущество!N38</f>
        <v>17.666666666666668</v>
      </c>
      <c r="S17" s="2268">
        <f>имущество!O38</f>
        <v>5.8498825677548386E-3</v>
      </c>
    </row>
    <row r="19" spans="1:26" hidden="1" x14ac:dyDescent="0.2">
      <c r="A19" s="2051" t="s">
        <v>1760</v>
      </c>
      <c r="C19" s="5"/>
    </row>
    <row r="20" spans="1:26" s="2056" customFormat="1" ht="12.75" hidden="1" customHeight="1" x14ac:dyDescent="0.2">
      <c r="A20" s="5548" t="s">
        <v>1761</v>
      </c>
      <c r="B20" s="2054" t="s">
        <v>1779</v>
      </c>
      <c r="C20" s="2055"/>
      <c r="D20" s="5548" t="s">
        <v>1781</v>
      </c>
      <c r="E20" s="5549" t="s">
        <v>50</v>
      </c>
      <c r="F20" s="5549"/>
      <c r="G20" s="5549"/>
      <c r="H20" s="2504"/>
      <c r="I20" s="2737"/>
      <c r="J20" s="2591"/>
      <c r="K20" s="2591"/>
      <c r="L20" s="2591"/>
      <c r="M20" s="2504"/>
      <c r="N20" s="3516"/>
      <c r="O20" s="3516"/>
      <c r="P20" s="3516"/>
      <c r="Q20" s="3516"/>
      <c r="R20" s="5550" t="s">
        <v>1783</v>
      </c>
      <c r="S20" s="5545" t="s">
        <v>1784</v>
      </c>
      <c r="T20" s="5546"/>
      <c r="U20" s="5547"/>
      <c r="V20" s="5551" t="s">
        <v>1785</v>
      </c>
      <c r="W20" s="5543" t="s">
        <v>1786</v>
      </c>
      <c r="X20" s="5545" t="s">
        <v>1787</v>
      </c>
      <c r="Y20" s="5546"/>
      <c r="Z20" s="5547"/>
    </row>
    <row r="21" spans="1:26" s="2056" customFormat="1" ht="12.75" hidden="1" customHeight="1" x14ac:dyDescent="0.2">
      <c r="A21" s="5548"/>
      <c r="B21" s="2054" t="s">
        <v>727</v>
      </c>
      <c r="C21" s="2055" t="s">
        <v>1780</v>
      </c>
      <c r="D21" s="5548"/>
      <c r="E21" s="2054" t="s">
        <v>727</v>
      </c>
      <c r="F21" s="2054" t="s">
        <v>1780</v>
      </c>
      <c r="G21" s="2054" t="s">
        <v>1782</v>
      </c>
      <c r="H21" s="2054"/>
      <c r="I21" s="2054"/>
      <c r="J21" s="2054"/>
      <c r="K21" s="2054"/>
      <c r="L21" s="2054"/>
      <c r="M21" s="2054"/>
      <c r="N21" s="2054"/>
      <c r="O21" s="2054"/>
      <c r="P21" s="2054"/>
      <c r="Q21" s="2054"/>
      <c r="R21" s="5550"/>
      <c r="S21" s="2054" t="s">
        <v>727</v>
      </c>
      <c r="T21" s="2054" t="s">
        <v>1780</v>
      </c>
      <c r="U21" s="2054" t="s">
        <v>1782</v>
      </c>
      <c r="V21" s="5552"/>
      <c r="W21" s="5544"/>
      <c r="X21" s="2058" t="s">
        <v>727</v>
      </c>
      <c r="Y21" s="2058" t="s">
        <v>1780</v>
      </c>
      <c r="Z21" s="2058" t="s">
        <v>1782</v>
      </c>
    </row>
    <row r="22" spans="1:26" hidden="1" x14ac:dyDescent="0.2">
      <c r="A22" s="2057" t="s">
        <v>1764</v>
      </c>
      <c r="B22" s="2052">
        <v>5.0616387999999998E-2</v>
      </c>
      <c r="C22" s="2053">
        <f>B22</f>
        <v>5.0616387999999998E-2</v>
      </c>
      <c r="D22" s="2052">
        <v>3.7999999999999999E-2</v>
      </c>
      <c r="E22" s="2052">
        <v>9.4480899999999993E-3</v>
      </c>
      <c r="F22" s="2052">
        <v>0</v>
      </c>
      <c r="G22" s="2052">
        <v>2.8551913000000002E-2</v>
      </c>
      <c r="H22" s="2052"/>
      <c r="I22" s="2052"/>
      <c r="J22" s="2052"/>
      <c r="K22" s="2052"/>
      <c r="L22" s="2052"/>
      <c r="M22" s="2052"/>
      <c r="N22" s="2052"/>
      <c r="O22" s="2052"/>
      <c r="P22" s="2052"/>
      <c r="Q22" s="2052"/>
      <c r="R22" s="2054">
        <v>29751.8</v>
      </c>
      <c r="S22" s="2052">
        <v>1</v>
      </c>
      <c r="T22" s="2052">
        <v>5</v>
      </c>
      <c r="U22" s="2052">
        <v>25</v>
      </c>
      <c r="V22" s="2052">
        <v>1</v>
      </c>
      <c r="W22" s="2052">
        <v>1</v>
      </c>
      <c r="X22" s="2054">
        <f t="shared" ref="X22:X37" si="4">E22*R22*S22*V22*W22</f>
        <v>281.09768406199998</v>
      </c>
      <c r="Y22" s="2054">
        <f t="shared" ref="Y22:Y37" si="5">F22*T22*V22*W22</f>
        <v>0</v>
      </c>
      <c r="Z22" s="2054">
        <v>0</v>
      </c>
    </row>
    <row r="23" spans="1:26" hidden="1" x14ac:dyDescent="0.2">
      <c r="A23" s="2054" t="s">
        <v>1765</v>
      </c>
      <c r="B23" s="2052">
        <v>2.252429265</v>
      </c>
      <c r="C23" s="2053">
        <f>B23</f>
        <v>2.252429265</v>
      </c>
      <c r="D23" s="2052">
        <v>2.3239999999999998</v>
      </c>
      <c r="E23" s="2052">
        <v>0.57782513999999996</v>
      </c>
      <c r="F23" s="2052">
        <v>0</v>
      </c>
      <c r="G23" s="2052">
        <v>1.746174863</v>
      </c>
      <c r="H23" s="2052"/>
      <c r="I23" s="2052"/>
      <c r="J23" s="2052"/>
      <c r="K23" s="2052"/>
      <c r="L23" s="2052"/>
      <c r="M23" s="2052"/>
      <c r="N23" s="2052"/>
      <c r="O23" s="2052"/>
      <c r="P23" s="2052"/>
      <c r="Q23" s="2052"/>
      <c r="R23" s="2054">
        <v>5950.8</v>
      </c>
      <c r="S23" s="2052">
        <v>1</v>
      </c>
      <c r="T23" s="2052">
        <v>5</v>
      </c>
      <c r="U23" s="2052">
        <v>25</v>
      </c>
      <c r="V23" s="2052">
        <v>1</v>
      </c>
      <c r="W23" s="2052">
        <v>1</v>
      </c>
      <c r="X23" s="2054">
        <f t="shared" si="4"/>
        <v>3438.5218431119997</v>
      </c>
      <c r="Y23" s="2054">
        <f t="shared" si="5"/>
        <v>0</v>
      </c>
      <c r="Z23" s="2054">
        <v>0</v>
      </c>
    </row>
    <row r="24" spans="1:26" hidden="1" x14ac:dyDescent="0.2">
      <c r="A24" s="2054" t="s">
        <v>1766</v>
      </c>
      <c r="B24" s="2052">
        <v>9.1615662239999995</v>
      </c>
      <c r="C24" s="2053">
        <f t="shared" ref="C24:C37" si="6">B24</f>
        <v>9.1615662239999995</v>
      </c>
      <c r="D24" s="2052">
        <v>29.445</v>
      </c>
      <c r="E24" s="2052">
        <v>7.3210245900000004</v>
      </c>
      <c r="F24" s="2052">
        <v>0</v>
      </c>
      <c r="G24" s="2052">
        <v>22.12397541</v>
      </c>
      <c r="H24" s="2052"/>
      <c r="I24" s="2052"/>
      <c r="J24" s="2052"/>
      <c r="K24" s="2052"/>
      <c r="L24" s="2052"/>
      <c r="M24" s="2052"/>
      <c r="N24" s="2052"/>
      <c r="O24" s="2052"/>
      <c r="P24" s="2052"/>
      <c r="Q24" s="2052"/>
      <c r="R24" s="2054">
        <v>243</v>
      </c>
      <c r="S24" s="2052">
        <v>1</v>
      </c>
      <c r="T24" s="2052">
        <v>5</v>
      </c>
      <c r="U24" s="2052">
        <v>25</v>
      </c>
      <c r="V24" s="2052">
        <v>1</v>
      </c>
      <c r="W24" s="2052">
        <v>1</v>
      </c>
      <c r="X24" s="2054">
        <f t="shared" si="4"/>
        <v>1779.0089753700001</v>
      </c>
      <c r="Y24" s="2054">
        <f t="shared" si="5"/>
        <v>0</v>
      </c>
      <c r="Z24" s="2054">
        <v>0</v>
      </c>
    </row>
    <row r="25" spans="1:26" hidden="1" x14ac:dyDescent="0.2">
      <c r="A25" s="2054" t="s">
        <v>1767</v>
      </c>
      <c r="B25" s="2052">
        <v>1.2654096990000001</v>
      </c>
      <c r="C25" s="2053">
        <f t="shared" si="6"/>
        <v>1.2654096990000001</v>
      </c>
      <c r="D25" s="2052">
        <v>11.446</v>
      </c>
      <c r="E25" s="2052">
        <v>1.2654097</v>
      </c>
      <c r="F25" s="2052">
        <v>0</v>
      </c>
      <c r="G25" s="2052">
        <v>10.1805903</v>
      </c>
      <c r="H25" s="2052"/>
      <c r="I25" s="2052"/>
      <c r="J25" s="2052"/>
      <c r="K25" s="2052"/>
      <c r="L25" s="2052"/>
      <c r="M25" s="2052"/>
      <c r="N25" s="2052"/>
      <c r="O25" s="2052"/>
      <c r="P25" s="2052"/>
      <c r="Q25" s="2052"/>
      <c r="R25" s="2054">
        <v>1190.2</v>
      </c>
      <c r="S25" s="2052">
        <v>1</v>
      </c>
      <c r="T25" s="2052">
        <v>5</v>
      </c>
      <c r="U25" s="2052">
        <v>25</v>
      </c>
      <c r="V25" s="2052">
        <v>1</v>
      </c>
      <c r="W25" s="2052">
        <v>1</v>
      </c>
      <c r="X25" s="2054">
        <f t="shared" si="4"/>
        <v>1506.09062494</v>
      </c>
      <c r="Y25" s="2054">
        <f t="shared" si="5"/>
        <v>0</v>
      </c>
      <c r="Z25" s="2054">
        <v>0</v>
      </c>
    </row>
    <row r="26" spans="1:26" hidden="1" x14ac:dyDescent="0.2">
      <c r="A26" s="2054" t="s">
        <v>1762</v>
      </c>
      <c r="B26" s="2052">
        <v>20.853951850000001</v>
      </c>
      <c r="C26" s="2053">
        <f t="shared" si="6"/>
        <v>20.853951850000001</v>
      </c>
      <c r="D26" s="2052">
        <v>40.332999999999998</v>
      </c>
      <c r="E26" s="2052">
        <v>10.0281503</v>
      </c>
      <c r="F26" s="2052">
        <v>0</v>
      </c>
      <c r="G26" s="2052">
        <v>30.304849730000001</v>
      </c>
      <c r="H26" s="2052"/>
      <c r="I26" s="2052"/>
      <c r="J26" s="2052"/>
      <c r="K26" s="2052"/>
      <c r="L26" s="2052"/>
      <c r="M26" s="2052"/>
      <c r="N26" s="2052"/>
      <c r="O26" s="2052"/>
      <c r="P26" s="2052"/>
      <c r="Q26" s="2052"/>
      <c r="R26" s="2054">
        <v>977.2</v>
      </c>
      <c r="S26" s="2052">
        <v>1</v>
      </c>
      <c r="T26" s="2052">
        <v>5</v>
      </c>
      <c r="U26" s="2052">
        <v>25</v>
      </c>
      <c r="V26" s="2052">
        <v>0.1213592</v>
      </c>
      <c r="W26" s="2052">
        <v>1</v>
      </c>
      <c r="X26" s="2054">
        <f t="shared" si="4"/>
        <v>1189.260508695919</v>
      </c>
      <c r="Y26" s="2054">
        <f t="shared" si="5"/>
        <v>0</v>
      </c>
      <c r="Z26" s="2054">
        <v>0</v>
      </c>
    </row>
    <row r="27" spans="1:26" hidden="1" x14ac:dyDescent="0.2">
      <c r="A27" s="2054" t="s">
        <v>1768</v>
      </c>
      <c r="B27" s="2052">
        <v>0.15184916400000001</v>
      </c>
      <c r="C27" s="2053">
        <f t="shared" si="6"/>
        <v>0.15184916400000001</v>
      </c>
      <c r="D27" s="2052">
        <v>0.13100000000000001</v>
      </c>
      <c r="E27" s="2052">
        <v>3.2571040000000002E-2</v>
      </c>
      <c r="F27" s="2052">
        <v>0</v>
      </c>
      <c r="G27" s="2052">
        <v>0.98428961999999998</v>
      </c>
      <c r="H27" s="2052"/>
      <c r="I27" s="2052"/>
      <c r="J27" s="2052"/>
      <c r="K27" s="2052"/>
      <c r="L27" s="2052"/>
      <c r="M27" s="2052"/>
      <c r="N27" s="2052"/>
      <c r="O27" s="2052"/>
      <c r="P27" s="2052"/>
      <c r="Q27" s="2052"/>
      <c r="R27" s="2054">
        <v>73553.2</v>
      </c>
      <c r="S27" s="2052">
        <v>1</v>
      </c>
      <c r="T27" s="2052">
        <v>5</v>
      </c>
      <c r="U27" s="2052">
        <v>25</v>
      </c>
      <c r="V27" s="2052">
        <v>1</v>
      </c>
      <c r="W27" s="2052">
        <v>1</v>
      </c>
      <c r="X27" s="2054">
        <f t="shared" si="4"/>
        <v>2395.7042193279999</v>
      </c>
      <c r="Y27" s="2054">
        <f t="shared" si="5"/>
        <v>0</v>
      </c>
      <c r="Z27" s="2054">
        <v>0</v>
      </c>
    </row>
    <row r="28" spans="1:26" hidden="1" x14ac:dyDescent="0.2">
      <c r="A28" s="2054" t="s">
        <v>1769</v>
      </c>
      <c r="B28" s="2052">
        <v>7.5925330000000003E-3</v>
      </c>
      <c r="C28" s="2053">
        <f t="shared" si="6"/>
        <v>7.5925330000000003E-3</v>
      </c>
      <c r="D28" s="2052">
        <v>0</v>
      </c>
      <c r="E28" s="2052">
        <v>0</v>
      </c>
      <c r="F28" s="2052">
        <v>0</v>
      </c>
      <c r="G28" s="2052">
        <v>0</v>
      </c>
      <c r="H28" s="2052"/>
      <c r="I28" s="2052"/>
      <c r="J28" s="2052"/>
      <c r="K28" s="2052"/>
      <c r="L28" s="2052"/>
      <c r="M28" s="2052"/>
      <c r="N28" s="2052"/>
      <c r="O28" s="2052"/>
      <c r="P28" s="2052"/>
      <c r="Q28" s="2052"/>
      <c r="R28" s="2054">
        <v>73534.3</v>
      </c>
      <c r="S28" s="2052">
        <v>1</v>
      </c>
      <c r="T28" s="2052">
        <v>5</v>
      </c>
      <c r="U28" s="2052">
        <v>25</v>
      </c>
      <c r="V28" s="2052">
        <v>1</v>
      </c>
      <c r="W28" s="2052">
        <v>1</v>
      </c>
      <c r="X28" s="2054">
        <f t="shared" si="4"/>
        <v>0</v>
      </c>
      <c r="Y28" s="2054">
        <f t="shared" si="5"/>
        <v>0</v>
      </c>
      <c r="Z28" s="2054">
        <v>0</v>
      </c>
    </row>
    <row r="29" spans="1:26" hidden="1" x14ac:dyDescent="0.2">
      <c r="A29" s="2054" t="s">
        <v>1770</v>
      </c>
      <c r="B29" s="2052">
        <v>253.08193990000001</v>
      </c>
      <c r="C29" s="2053">
        <f t="shared" si="6"/>
        <v>253.08193990000001</v>
      </c>
      <c r="D29" s="2052">
        <v>265.32900000000001</v>
      </c>
      <c r="E29" s="2052">
        <v>65.969778700000006</v>
      </c>
      <c r="F29" s="2052">
        <v>0</v>
      </c>
      <c r="G29" s="2052">
        <v>199.3592213</v>
      </c>
      <c r="H29" s="2052"/>
      <c r="I29" s="2052"/>
      <c r="J29" s="2052"/>
      <c r="K29" s="2052"/>
      <c r="L29" s="2052"/>
      <c r="M29" s="2052"/>
      <c r="N29" s="2052"/>
      <c r="O29" s="2052"/>
      <c r="P29" s="2052"/>
      <c r="Q29" s="2052"/>
      <c r="R29" s="2054">
        <v>2.4</v>
      </c>
      <c r="S29" s="2052">
        <v>1</v>
      </c>
      <c r="T29" s="2052">
        <v>5</v>
      </c>
      <c r="U29" s="2052">
        <v>25</v>
      </c>
      <c r="V29" s="2052">
        <v>1</v>
      </c>
      <c r="W29" s="2052">
        <v>1</v>
      </c>
      <c r="X29" s="2054">
        <f t="shared" si="4"/>
        <v>158.32746888</v>
      </c>
      <c r="Y29" s="2054">
        <f t="shared" si="5"/>
        <v>0</v>
      </c>
      <c r="Z29" s="2054">
        <v>0</v>
      </c>
    </row>
    <row r="30" spans="1:26" hidden="1" x14ac:dyDescent="0.2">
      <c r="A30" s="2054" t="s">
        <v>1771</v>
      </c>
      <c r="B30" s="2052">
        <v>101.232776</v>
      </c>
      <c r="C30" s="2053">
        <f t="shared" si="6"/>
        <v>101.232776</v>
      </c>
      <c r="D30" s="2052">
        <v>224.11099999999999</v>
      </c>
      <c r="E30" s="2052">
        <v>55.721587399999997</v>
      </c>
      <c r="F30" s="2052">
        <v>0</v>
      </c>
      <c r="G30" s="2052">
        <v>168.38941260000001</v>
      </c>
      <c r="H30" s="2052"/>
      <c r="I30" s="2052"/>
      <c r="J30" s="2052"/>
      <c r="K30" s="2052"/>
      <c r="L30" s="2052"/>
      <c r="M30" s="2052"/>
      <c r="N30" s="2052"/>
      <c r="O30" s="2052"/>
      <c r="P30" s="2052"/>
      <c r="Q30" s="2052"/>
      <c r="R30" s="2054">
        <v>14.9</v>
      </c>
      <c r="S30" s="2052">
        <v>1</v>
      </c>
      <c r="T30" s="2052">
        <v>5</v>
      </c>
      <c r="U30" s="2052">
        <v>25</v>
      </c>
      <c r="V30" s="2052">
        <v>1</v>
      </c>
      <c r="W30" s="2052">
        <v>1</v>
      </c>
      <c r="X30" s="2054">
        <f t="shared" si="4"/>
        <v>830.25165226000001</v>
      </c>
      <c r="Y30" s="2054">
        <f t="shared" si="5"/>
        <v>0</v>
      </c>
      <c r="Z30" s="2054">
        <v>0</v>
      </c>
    </row>
    <row r="31" spans="1:26" hidden="1" x14ac:dyDescent="0.2">
      <c r="A31" s="2054" t="s">
        <v>1772</v>
      </c>
      <c r="B31" s="2052">
        <v>0.12654097</v>
      </c>
      <c r="C31" s="2053">
        <f t="shared" si="6"/>
        <v>0.12654097</v>
      </c>
      <c r="D31" s="2052">
        <v>0.93500000000000005</v>
      </c>
      <c r="E31" s="2052">
        <v>0.12654097</v>
      </c>
      <c r="F31" s="2052">
        <v>0</v>
      </c>
      <c r="G31" s="2052">
        <v>0.80845902999999997</v>
      </c>
      <c r="H31" s="2052"/>
      <c r="I31" s="2052"/>
      <c r="J31" s="2052"/>
      <c r="K31" s="2052"/>
      <c r="L31" s="2052"/>
      <c r="M31" s="2052"/>
      <c r="N31" s="2052"/>
      <c r="O31" s="2052"/>
      <c r="P31" s="2052"/>
      <c r="Q31" s="2052"/>
      <c r="R31" s="2054">
        <v>14711.7</v>
      </c>
      <c r="S31" s="2052">
        <v>1</v>
      </c>
      <c r="T31" s="2052">
        <v>5</v>
      </c>
      <c r="U31" s="2052">
        <v>25</v>
      </c>
      <c r="V31" s="2052">
        <v>1</v>
      </c>
      <c r="W31" s="2052">
        <v>1</v>
      </c>
      <c r="X31" s="2054">
        <f t="shared" si="4"/>
        <v>1861.6327883490001</v>
      </c>
      <c r="Y31" s="2054">
        <f t="shared" si="5"/>
        <v>0</v>
      </c>
      <c r="Z31" s="2054">
        <v>0</v>
      </c>
    </row>
    <row r="32" spans="1:26" hidden="1" x14ac:dyDescent="0.2">
      <c r="A32" s="2054" t="s">
        <v>1773</v>
      </c>
      <c r="B32" s="2052">
        <v>1265.409699</v>
      </c>
      <c r="C32" s="2053">
        <f t="shared" si="6"/>
        <v>1265.409699</v>
      </c>
      <c r="D32" s="2052">
        <v>2111.107</v>
      </c>
      <c r="E32" s="2052">
        <v>524.89272400000004</v>
      </c>
      <c r="F32" s="2052">
        <v>0</v>
      </c>
      <c r="G32" s="2052">
        <v>1586.2142759999999</v>
      </c>
      <c r="H32" s="2052"/>
      <c r="I32" s="2052"/>
      <c r="J32" s="2052"/>
      <c r="K32" s="2052"/>
      <c r="L32" s="2052"/>
      <c r="M32" s="2052"/>
      <c r="N32" s="2052"/>
      <c r="O32" s="2052"/>
      <c r="P32" s="2052"/>
      <c r="Q32" s="2052"/>
      <c r="R32" s="2054">
        <v>0.5</v>
      </c>
      <c r="S32" s="2052">
        <v>1</v>
      </c>
      <c r="T32" s="2052">
        <v>5</v>
      </c>
      <c r="U32" s="2052">
        <v>25</v>
      </c>
      <c r="V32" s="2052">
        <v>1</v>
      </c>
      <c r="W32" s="2052">
        <v>1</v>
      </c>
      <c r="X32" s="2054">
        <f t="shared" si="4"/>
        <v>262.44636200000002</v>
      </c>
      <c r="Y32" s="2054">
        <f t="shared" si="5"/>
        <v>0</v>
      </c>
      <c r="Z32" s="2054">
        <v>0</v>
      </c>
    </row>
    <row r="33" spans="1:26" hidden="1" x14ac:dyDescent="0.2">
      <c r="A33" s="2054" t="s">
        <v>1774</v>
      </c>
      <c r="B33" s="2052">
        <v>0.50616388000000001</v>
      </c>
      <c r="C33" s="2053">
        <f t="shared" si="6"/>
        <v>0.50616388000000001</v>
      </c>
      <c r="D33" s="2052">
        <v>4.452</v>
      </c>
      <c r="E33" s="2052">
        <v>0.50616388000000001</v>
      </c>
      <c r="F33" s="2052">
        <v>0</v>
      </c>
      <c r="G33" s="2052">
        <v>3.9458361200000001</v>
      </c>
      <c r="H33" s="2052"/>
      <c r="I33" s="2052"/>
      <c r="J33" s="2052"/>
      <c r="K33" s="2052"/>
      <c r="L33" s="2052"/>
      <c r="M33" s="2052"/>
      <c r="N33" s="2052"/>
      <c r="O33" s="2052"/>
      <c r="P33" s="2052"/>
      <c r="Q33" s="2052"/>
      <c r="R33" s="2054">
        <v>3679.3</v>
      </c>
      <c r="S33" s="2052">
        <v>1</v>
      </c>
      <c r="T33" s="2052">
        <v>5</v>
      </c>
      <c r="U33" s="2052">
        <v>25</v>
      </c>
      <c r="V33" s="2052">
        <v>1</v>
      </c>
      <c r="W33" s="2052">
        <v>1</v>
      </c>
      <c r="X33" s="2054">
        <f t="shared" si="4"/>
        <v>1862.328763684</v>
      </c>
      <c r="Y33" s="2054">
        <f t="shared" si="5"/>
        <v>0</v>
      </c>
      <c r="Z33" s="2054">
        <v>0</v>
      </c>
    </row>
    <row r="34" spans="1:26" hidden="1" x14ac:dyDescent="0.2">
      <c r="A34" s="2054" t="s">
        <v>1775</v>
      </c>
      <c r="B34" s="2052">
        <v>2.5308193999999999E-2</v>
      </c>
      <c r="C34" s="2053">
        <f t="shared" si="6"/>
        <v>2.5308193999999999E-2</v>
      </c>
      <c r="D34" s="2052">
        <v>0</v>
      </c>
      <c r="E34" s="2052">
        <v>0</v>
      </c>
      <c r="F34" s="2052">
        <v>0</v>
      </c>
      <c r="G34" s="2052">
        <v>0</v>
      </c>
      <c r="H34" s="2052"/>
      <c r="I34" s="2052"/>
      <c r="J34" s="2052"/>
      <c r="K34" s="2052"/>
      <c r="L34" s="2052"/>
      <c r="M34" s="2052"/>
      <c r="N34" s="2052"/>
      <c r="O34" s="2052"/>
      <c r="P34" s="2052"/>
      <c r="Q34" s="2052"/>
      <c r="R34" s="2054">
        <v>73553.2</v>
      </c>
      <c r="S34" s="2052">
        <v>1</v>
      </c>
      <c r="T34" s="2052">
        <v>5</v>
      </c>
      <c r="U34" s="2052">
        <v>25</v>
      </c>
      <c r="V34" s="2052">
        <v>1</v>
      </c>
      <c r="W34" s="2052">
        <v>1</v>
      </c>
      <c r="X34" s="2054">
        <f t="shared" si="4"/>
        <v>0</v>
      </c>
      <c r="Y34" s="2054">
        <f t="shared" si="5"/>
        <v>0</v>
      </c>
      <c r="Z34" s="2054">
        <v>0</v>
      </c>
    </row>
    <row r="35" spans="1:26" hidden="1" x14ac:dyDescent="0.2">
      <c r="A35" s="2054" t="s">
        <v>1776</v>
      </c>
      <c r="B35" s="2052">
        <v>0.20246555199999999</v>
      </c>
      <c r="C35" s="2053">
        <f t="shared" si="6"/>
        <v>0.20246555199999999</v>
      </c>
      <c r="D35" s="2052">
        <v>2.67</v>
      </c>
      <c r="E35" s="2052">
        <v>0.20246554999999999</v>
      </c>
      <c r="F35" s="2052">
        <v>0</v>
      </c>
      <c r="G35" s="2052">
        <v>2.4675344479999999</v>
      </c>
      <c r="H35" s="2052"/>
      <c r="I35" s="2052"/>
      <c r="J35" s="2052"/>
      <c r="K35" s="2052"/>
      <c r="L35" s="2052"/>
      <c r="M35" s="2052"/>
      <c r="N35" s="2052"/>
      <c r="O35" s="2052"/>
      <c r="P35" s="2052"/>
      <c r="Q35" s="2052"/>
      <c r="R35" s="2054">
        <v>7439</v>
      </c>
      <c r="S35" s="2052">
        <v>1</v>
      </c>
      <c r="T35" s="2052">
        <v>5</v>
      </c>
      <c r="U35" s="2052">
        <v>25</v>
      </c>
      <c r="V35" s="2052">
        <v>1</v>
      </c>
      <c r="W35" s="2052">
        <v>1</v>
      </c>
      <c r="X35" s="2054">
        <f t="shared" si="4"/>
        <v>1506.14122645</v>
      </c>
      <c r="Y35" s="2054">
        <f t="shared" si="5"/>
        <v>0</v>
      </c>
      <c r="Z35" s="2054">
        <v>0</v>
      </c>
    </row>
    <row r="36" spans="1:26" hidden="1" x14ac:dyDescent="0.2">
      <c r="A36" s="2054" t="s">
        <v>1777</v>
      </c>
      <c r="B36" s="2052">
        <v>253.08193990000001</v>
      </c>
      <c r="C36" s="2053">
        <f t="shared" si="6"/>
        <v>253.08193990000001</v>
      </c>
      <c r="D36" s="2052">
        <v>236.07400000000001</v>
      </c>
      <c r="E36" s="2052">
        <v>58.695994499999998</v>
      </c>
      <c r="F36" s="2052">
        <v>0</v>
      </c>
      <c r="G36" s="2052">
        <v>177.3780055</v>
      </c>
      <c r="H36" s="2052"/>
      <c r="I36" s="2052"/>
      <c r="J36" s="2052"/>
      <c r="K36" s="2052"/>
      <c r="L36" s="2052"/>
      <c r="M36" s="2052"/>
      <c r="N36" s="2052"/>
      <c r="O36" s="2052"/>
      <c r="P36" s="2052"/>
      <c r="Q36" s="2052"/>
      <c r="R36" s="2054">
        <v>6</v>
      </c>
      <c r="S36" s="2052">
        <v>1</v>
      </c>
      <c r="T36" s="2052">
        <v>5</v>
      </c>
      <c r="U36" s="2052">
        <v>25</v>
      </c>
      <c r="V36" s="2052">
        <v>1</v>
      </c>
      <c r="W36" s="2052">
        <v>1</v>
      </c>
      <c r="X36" s="2054">
        <f t="shared" si="4"/>
        <v>352.17596700000001</v>
      </c>
      <c r="Y36" s="2054">
        <f t="shared" si="5"/>
        <v>0</v>
      </c>
      <c r="Z36" s="2054">
        <v>0</v>
      </c>
    </row>
    <row r="37" spans="1:26" hidden="1" x14ac:dyDescent="0.2">
      <c r="A37" s="2054" t="s">
        <v>1778</v>
      </c>
      <c r="B37" s="2052">
        <v>1.2654096990000001</v>
      </c>
      <c r="C37" s="2053">
        <f t="shared" si="6"/>
        <v>1.2654096990000001</v>
      </c>
      <c r="D37" s="2052">
        <v>0.69099999999999995</v>
      </c>
      <c r="E37" s="2052">
        <v>0.17180601000000001</v>
      </c>
      <c r="F37" s="2052"/>
      <c r="G37" s="2052">
        <v>0.51919398900000002</v>
      </c>
      <c r="H37" s="2052"/>
      <c r="I37" s="2052"/>
      <c r="J37" s="2052"/>
      <c r="K37" s="2052"/>
      <c r="L37" s="2052"/>
      <c r="M37" s="2052"/>
      <c r="N37" s="2052"/>
      <c r="O37" s="2052"/>
      <c r="P37" s="2052"/>
      <c r="Q37" s="2052"/>
      <c r="R37" s="2054">
        <v>1192.3</v>
      </c>
      <c r="S37" s="2052">
        <v>1</v>
      </c>
      <c r="T37" s="2052">
        <v>5</v>
      </c>
      <c r="U37" s="2052">
        <v>25</v>
      </c>
      <c r="V37" s="2052">
        <v>1</v>
      </c>
      <c r="W37" s="2052">
        <v>1</v>
      </c>
      <c r="X37" s="2054">
        <f t="shared" si="4"/>
        <v>204.84430572299999</v>
      </c>
      <c r="Y37" s="2054">
        <f t="shared" si="5"/>
        <v>0</v>
      </c>
      <c r="Z37" s="2054">
        <v>0</v>
      </c>
    </row>
    <row r="38" spans="1:26" s="2056" customFormat="1" hidden="1" x14ac:dyDescent="0.2">
      <c r="A38" s="2054" t="s">
        <v>282</v>
      </c>
      <c r="B38" s="2054"/>
      <c r="C38" s="2055"/>
      <c r="D38" s="2054"/>
      <c r="E38" s="2054"/>
      <c r="F38" s="2054"/>
      <c r="G38" s="2054"/>
      <c r="H38" s="2054"/>
      <c r="I38" s="2054"/>
      <c r="J38" s="2054"/>
      <c r="K38" s="2054"/>
      <c r="L38" s="2054"/>
      <c r="M38" s="2054"/>
      <c r="N38" s="2054"/>
      <c r="O38" s="2054"/>
      <c r="P38" s="2054"/>
      <c r="Q38" s="2054"/>
      <c r="R38" s="2054"/>
      <c r="S38" s="2054"/>
      <c r="T38" s="2054"/>
      <c r="U38" s="2054"/>
      <c r="V38" s="2054"/>
      <c r="W38" s="2054"/>
      <c r="X38" s="2054">
        <f>SUM(X22:X37)</f>
        <v>17627.832389853917</v>
      </c>
      <c r="Y38" s="2054">
        <f t="shared" ref="Y38:Z38" si="7">SUM(Y22:Y37)</f>
        <v>0</v>
      </c>
      <c r="Z38" s="2054">
        <f t="shared" si="7"/>
        <v>0</v>
      </c>
    </row>
    <row r="39" spans="1:26" hidden="1" x14ac:dyDescent="0.2">
      <c r="X39" s="1656">
        <f>E13*1000</f>
        <v>135106.5</v>
      </c>
    </row>
    <row r="40" spans="1:26" hidden="1" x14ac:dyDescent="0.2">
      <c r="W40" s="5">
        <f>W41+W42</f>
        <v>3253</v>
      </c>
      <c r="X40" s="1656">
        <f>X38+X39</f>
        <v>152734.33238985392</v>
      </c>
    </row>
    <row r="41" spans="1:26" hidden="1" x14ac:dyDescent="0.2">
      <c r="W41" s="5">
        <v>3230</v>
      </c>
      <c r="X41" s="5">
        <f>W41/W40*X40</f>
        <v>151654.44009198531</v>
      </c>
    </row>
    <row r="42" spans="1:26" hidden="1" x14ac:dyDescent="0.2">
      <c r="W42" s="5">
        <v>23</v>
      </c>
      <c r="X42" s="1656">
        <f>X40-X41</f>
        <v>1079.8922978686169</v>
      </c>
    </row>
    <row r="45" spans="1:26" ht="20.25" x14ac:dyDescent="0.3">
      <c r="A45" s="2476" t="s">
        <v>3563</v>
      </c>
    </row>
  </sheetData>
  <mergeCells count="11">
    <mergeCell ref="A4:Q4"/>
    <mergeCell ref="H6:I6"/>
    <mergeCell ref="M6:N6"/>
    <mergeCell ref="W20:W21"/>
    <mergeCell ref="X20:Z20"/>
    <mergeCell ref="A20:A21"/>
    <mergeCell ref="D20:D21"/>
    <mergeCell ref="E20:G20"/>
    <mergeCell ref="R20:R21"/>
    <mergeCell ref="S20:U20"/>
    <mergeCell ref="V20:V21"/>
  </mergeCells>
  <printOptions horizontalCentered="1"/>
  <pageMargins left="0.51181102362204722" right="0.51181102362204722" top="1.1417322834645669" bottom="0.74803149606299213" header="0.31496062992125984" footer="0.31496062992125984"/>
  <pageSetup paperSize="9" scale="75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69">
    <tabColor rgb="FFFFFF00"/>
    <pageSetUpPr fitToPage="1"/>
  </sheetPr>
  <dimension ref="A1:G118"/>
  <sheetViews>
    <sheetView topLeftCell="A52" workbookViewId="0">
      <selection activeCell="F64" sqref="F64:F6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1669</v>
      </c>
    </row>
    <row r="2" spans="1:7" ht="18.75" hidden="1" x14ac:dyDescent="0.3">
      <c r="A2" s="4408" t="s">
        <v>1480</v>
      </c>
      <c r="B2" s="4408"/>
      <c r="C2" s="4408"/>
      <c r="D2" s="4408"/>
      <c r="E2" s="4408"/>
      <c r="F2" s="4408"/>
    </row>
    <row r="3" spans="1:7" ht="18.75" hidden="1" x14ac:dyDescent="0.3">
      <c r="A3" s="2762"/>
      <c r="B3" s="2762"/>
      <c r="C3" s="2762"/>
      <c r="D3" s="2762"/>
      <c r="E3" s="2762"/>
    </row>
    <row r="4" spans="1:7" ht="27.75" hidden="1" customHeight="1" x14ac:dyDescent="0.2">
      <c r="A4" s="5564"/>
      <c r="B4" s="5565" t="s">
        <v>1481</v>
      </c>
      <c r="C4" s="5566"/>
      <c r="D4" s="5567"/>
      <c r="E4" s="5568" t="s">
        <v>1483</v>
      </c>
      <c r="F4" s="5569" t="s">
        <v>1485</v>
      </c>
      <c r="G4" s="5578"/>
    </row>
    <row r="5" spans="1:7" ht="33.75" hidden="1" customHeight="1" x14ac:dyDescent="0.2">
      <c r="A5" s="5485"/>
      <c r="B5" s="2780" t="s">
        <v>975</v>
      </c>
      <c r="C5" s="2780" t="s">
        <v>976</v>
      </c>
      <c r="D5" s="2780" t="s">
        <v>54</v>
      </c>
      <c r="E5" s="5568"/>
      <c r="F5" s="5472"/>
      <c r="G5" s="5578"/>
    </row>
    <row r="6" spans="1:7" ht="18.75" hidden="1" x14ac:dyDescent="0.3">
      <c r="A6" s="5574" t="s">
        <v>967</v>
      </c>
      <c r="B6" s="5575"/>
      <c r="C6" s="5575"/>
      <c r="D6" s="5575"/>
      <c r="E6" s="5575"/>
      <c r="F6" s="5575"/>
      <c r="G6" s="5576"/>
    </row>
    <row r="7" spans="1:7" hidden="1" x14ac:dyDescent="0.2">
      <c r="A7" s="2781" t="s">
        <v>972</v>
      </c>
      <c r="B7" s="2782">
        <v>19.14</v>
      </c>
      <c r="C7" s="2782">
        <v>22.66</v>
      </c>
      <c r="D7" s="2782"/>
      <c r="E7" s="2781"/>
      <c r="F7" s="5577">
        <f>$E$48*D10/$D$48</f>
        <v>408.76453757043004</v>
      </c>
      <c r="G7" s="2781"/>
    </row>
    <row r="8" spans="1:7" hidden="1" x14ac:dyDescent="0.2">
      <c r="A8" s="2781" t="s">
        <v>973</v>
      </c>
      <c r="B8" s="2782">
        <f>2780.7/2</f>
        <v>1390.35</v>
      </c>
      <c r="C8" s="2782">
        <f>B8</f>
        <v>1390.35</v>
      </c>
      <c r="D8" s="2782">
        <f>C8+B8</f>
        <v>2780.7</v>
      </c>
      <c r="E8" s="2781"/>
      <c r="F8" s="5480"/>
      <c r="G8" s="2781"/>
    </row>
    <row r="9" spans="1:7" hidden="1" x14ac:dyDescent="0.2">
      <c r="A9" s="2781" t="s">
        <v>974</v>
      </c>
      <c r="B9" s="2782">
        <f>B7*B8</f>
        <v>26611.298999999999</v>
      </c>
      <c r="C9" s="2782">
        <f>C7*C8</f>
        <v>31505.330999999998</v>
      </c>
      <c r="D9" s="2782">
        <f>C9+B9</f>
        <v>58116.63</v>
      </c>
      <c r="E9" s="2781"/>
      <c r="F9" s="5480"/>
      <c r="G9" s="2781"/>
    </row>
    <row r="10" spans="1:7" hidden="1" x14ac:dyDescent="0.2">
      <c r="A10" s="2781" t="s">
        <v>971</v>
      </c>
      <c r="B10" s="2782">
        <f>B9*0.02</f>
        <v>532.22597999999994</v>
      </c>
      <c r="C10" s="2782">
        <f>C9*0.02</f>
        <v>630.10662000000002</v>
      </c>
      <c r="D10" s="2782">
        <f>C10+B10</f>
        <v>1162.3326</v>
      </c>
      <c r="E10" s="2781"/>
      <c r="F10" s="5481"/>
      <c r="G10" s="2781"/>
    </row>
    <row r="11" spans="1:7" ht="18.75" hidden="1" x14ac:dyDescent="0.3">
      <c r="A11" s="5574" t="s">
        <v>968</v>
      </c>
      <c r="B11" s="5575"/>
      <c r="C11" s="5575"/>
      <c r="D11" s="5575"/>
      <c r="E11" s="5575"/>
      <c r="F11" s="5576"/>
      <c r="G11" s="2781"/>
    </row>
    <row r="12" spans="1:7" hidden="1" x14ac:dyDescent="0.2">
      <c r="A12" s="2781" t="s">
        <v>330</v>
      </c>
      <c r="B12" s="2782">
        <v>15.5</v>
      </c>
      <c r="C12" s="2782">
        <v>18.350000000000001</v>
      </c>
      <c r="D12" s="2782"/>
      <c r="E12" s="2781"/>
      <c r="F12" s="5577">
        <f>$E$49*D15/$D$49</f>
        <v>310.74886990256181</v>
      </c>
      <c r="G12" s="2781"/>
    </row>
    <row r="13" spans="1:7" hidden="1" x14ac:dyDescent="0.2">
      <c r="A13" s="2781" t="s">
        <v>965</v>
      </c>
      <c r="B13" s="2782">
        <f>2448.7/2</f>
        <v>1224.3499999999999</v>
      </c>
      <c r="C13" s="2782">
        <f>B13</f>
        <v>1224.3499999999999</v>
      </c>
      <c r="D13" s="2782">
        <f>C13+B13</f>
        <v>2448.6999999999998</v>
      </c>
      <c r="E13" s="2781"/>
      <c r="F13" s="5480"/>
      <c r="G13" s="2781"/>
    </row>
    <row r="14" spans="1:7" hidden="1" x14ac:dyDescent="0.2">
      <c r="A14" s="2781" t="s">
        <v>966</v>
      </c>
      <c r="B14" s="2782">
        <f>B12*B13</f>
        <v>18977.424999999999</v>
      </c>
      <c r="C14" s="2782">
        <f>C12*C13</f>
        <v>22466.822499999998</v>
      </c>
      <c r="D14" s="2782">
        <f>C14+B14</f>
        <v>41444.247499999998</v>
      </c>
      <c r="E14" s="2781"/>
      <c r="F14" s="5480"/>
      <c r="G14" s="2781"/>
    </row>
    <row r="15" spans="1:7" hidden="1" x14ac:dyDescent="0.2">
      <c r="A15" s="2781" t="s">
        <v>971</v>
      </c>
      <c r="B15" s="2782">
        <f>B14*0.02</f>
        <v>379.54849999999999</v>
      </c>
      <c r="C15" s="2782">
        <f>C14*0.02</f>
        <v>449.33644999999996</v>
      </c>
      <c r="D15" s="2782">
        <f>C15+B15</f>
        <v>828.88494999999989</v>
      </c>
      <c r="E15" s="2781"/>
      <c r="F15" s="5481"/>
      <c r="G15" s="2781"/>
    </row>
    <row r="16" spans="1:7" ht="18.75" hidden="1" x14ac:dyDescent="0.3">
      <c r="A16" s="5570" t="s">
        <v>1675</v>
      </c>
      <c r="B16" s="5571"/>
      <c r="C16" s="5571"/>
      <c r="D16" s="5571"/>
      <c r="E16" s="5571"/>
      <c r="F16" s="5571"/>
      <c r="G16" s="5572"/>
    </row>
    <row r="17" spans="1:7" hidden="1" x14ac:dyDescent="0.2">
      <c r="A17" s="2783" t="s">
        <v>977</v>
      </c>
      <c r="B17" s="2784">
        <v>22.66</v>
      </c>
      <c r="C17" s="2784">
        <v>25.95</v>
      </c>
      <c r="D17" s="2784"/>
      <c r="E17" s="2783"/>
      <c r="F17" s="5573">
        <f>$E$48*D20/$D$48</f>
        <v>406.49452001229344</v>
      </c>
      <c r="G17" s="2781"/>
    </row>
    <row r="18" spans="1:7" hidden="1" x14ac:dyDescent="0.2">
      <c r="A18" s="2783" t="s">
        <v>978</v>
      </c>
      <c r="B18" s="2784">
        <f>D18/2</f>
        <v>1188.93</v>
      </c>
      <c r="C18" s="2784">
        <f>B18</f>
        <v>1188.93</v>
      </c>
      <c r="D18" s="2784">
        <f>[51]объемы!R48</f>
        <v>2377.86</v>
      </c>
      <c r="E18" s="2783"/>
      <c r="F18" s="5491"/>
      <c r="G18" s="2781"/>
    </row>
    <row r="19" spans="1:7" hidden="1" x14ac:dyDescent="0.2">
      <c r="A19" s="2783" t="s">
        <v>979</v>
      </c>
      <c r="B19" s="2784">
        <f>B17*B18</f>
        <v>26941.1538</v>
      </c>
      <c r="C19" s="2784">
        <f>C17*C18</f>
        <v>30852.733500000002</v>
      </c>
      <c r="D19" s="2784">
        <f>C19+B19</f>
        <v>57793.887300000002</v>
      </c>
      <c r="E19" s="2783"/>
      <c r="F19" s="5491"/>
      <c r="G19" s="2781"/>
    </row>
    <row r="20" spans="1:7" hidden="1" x14ac:dyDescent="0.2">
      <c r="A20" s="2783" t="s">
        <v>971</v>
      </c>
      <c r="B20" s="2784">
        <f>B19*0.02</f>
        <v>538.82307600000001</v>
      </c>
      <c r="C20" s="2784">
        <f>C19*0.02</f>
        <v>617.0546700000001</v>
      </c>
      <c r="D20" s="2784">
        <f>C20+B20</f>
        <v>1155.8777460000001</v>
      </c>
      <c r="E20" s="2783"/>
      <c r="F20" s="5492"/>
      <c r="G20" s="2781"/>
    </row>
    <row r="21" spans="1:7" ht="18.75" hidden="1" x14ac:dyDescent="0.3">
      <c r="A21" s="5570" t="s">
        <v>970</v>
      </c>
      <c r="B21" s="5571"/>
      <c r="C21" s="5571"/>
      <c r="D21" s="5571"/>
      <c r="E21" s="5571"/>
      <c r="F21" s="5572"/>
      <c r="G21" s="2781"/>
    </row>
    <row r="22" spans="1:7" hidden="1" x14ac:dyDescent="0.2">
      <c r="A22" s="2783" t="s">
        <v>977</v>
      </c>
      <c r="B22" s="2784">
        <v>18.350000000000001</v>
      </c>
      <c r="C22" s="2784">
        <v>21.01</v>
      </c>
      <c r="D22" s="2784"/>
      <c r="E22" s="2783"/>
      <c r="F22" s="5573">
        <f>$E$49*D25/$D$49</f>
        <v>337.84293010864991</v>
      </c>
      <c r="G22" s="2781"/>
    </row>
    <row r="23" spans="1:7" hidden="1" x14ac:dyDescent="0.2">
      <c r="A23" s="2783" t="s">
        <v>978</v>
      </c>
      <c r="B23" s="2784">
        <f>D23/2</f>
        <v>1144.76</v>
      </c>
      <c r="C23" s="2784">
        <f>B23</f>
        <v>1144.76</v>
      </c>
      <c r="D23" s="2784">
        <f>[51]объемы!R58</f>
        <v>2289.52</v>
      </c>
      <c r="E23" s="2783"/>
      <c r="F23" s="5491"/>
      <c r="G23" s="2781"/>
    </row>
    <row r="24" spans="1:7" hidden="1" x14ac:dyDescent="0.2">
      <c r="A24" s="2783" t="s">
        <v>979</v>
      </c>
      <c r="B24" s="2784">
        <f>B22*B23</f>
        <v>21006.346000000001</v>
      </c>
      <c r="C24" s="2784">
        <f>C22*C23</f>
        <v>24051.407600000002</v>
      </c>
      <c r="D24" s="2784">
        <f>C24+B24</f>
        <v>45057.753600000004</v>
      </c>
      <c r="E24" s="2783"/>
      <c r="F24" s="5491"/>
      <c r="G24" s="2781"/>
    </row>
    <row r="25" spans="1:7" hidden="1" x14ac:dyDescent="0.2">
      <c r="A25" s="2783" t="s">
        <v>971</v>
      </c>
      <c r="B25" s="2784">
        <f>B24*0.02</f>
        <v>420.12692000000004</v>
      </c>
      <c r="C25" s="2784">
        <f>C24*0.02</f>
        <v>481.02815200000003</v>
      </c>
      <c r="D25" s="2784">
        <f>C25+B25</f>
        <v>901.15507200000002</v>
      </c>
      <c r="E25" s="2783"/>
      <c r="F25" s="5492"/>
      <c r="G25" s="2781"/>
    </row>
    <row r="26" spans="1:7" ht="18.75" hidden="1" x14ac:dyDescent="0.3">
      <c r="A26" s="5574" t="s">
        <v>980</v>
      </c>
      <c r="B26" s="5575"/>
      <c r="C26" s="5575"/>
      <c r="D26" s="5575"/>
      <c r="E26" s="5575"/>
      <c r="F26" s="5575"/>
      <c r="G26" s="5576"/>
    </row>
    <row r="27" spans="1:7" hidden="1" x14ac:dyDescent="0.2">
      <c r="A27" s="2781" t="s">
        <v>982</v>
      </c>
      <c r="B27" s="2782">
        <f>C17</f>
        <v>25.95</v>
      </c>
      <c r="C27" s="2782">
        <v>28.6</v>
      </c>
      <c r="D27" s="2782"/>
      <c r="E27" s="2781"/>
      <c r="F27" s="5577">
        <f>$E$48*D30/$D$48</f>
        <v>465.89321466591826</v>
      </c>
      <c r="G27" s="2781"/>
    </row>
    <row r="28" spans="1:7" hidden="1" x14ac:dyDescent="0.2">
      <c r="A28" s="2781" t="s">
        <v>978</v>
      </c>
      <c r="B28" s="2782">
        <f>[51]объемы!AA48/2</f>
        <v>1214.28</v>
      </c>
      <c r="C28" s="2782">
        <f>B28</f>
        <v>1214.28</v>
      </c>
      <c r="D28" s="2782">
        <f>C28+B28</f>
        <v>2428.56</v>
      </c>
      <c r="E28" s="2781"/>
      <c r="F28" s="5480"/>
      <c r="G28" s="2781"/>
    </row>
    <row r="29" spans="1:7" hidden="1" x14ac:dyDescent="0.2">
      <c r="A29" s="2781" t="s">
        <v>979</v>
      </c>
      <c r="B29" s="2782">
        <f>B27*B28</f>
        <v>31510.565999999999</v>
      </c>
      <c r="C29" s="2782">
        <f>C27*C28</f>
        <v>34728.408000000003</v>
      </c>
      <c r="D29" s="2782">
        <f>C29+B29</f>
        <v>66238.974000000002</v>
      </c>
      <c r="E29" s="2781"/>
      <c r="F29" s="5480"/>
      <c r="G29" s="2781"/>
    </row>
    <row r="30" spans="1:7" hidden="1" x14ac:dyDescent="0.2">
      <c r="A30" s="2781" t="s">
        <v>971</v>
      </c>
      <c r="B30" s="2782">
        <f>B29*0.02</f>
        <v>630.21132</v>
      </c>
      <c r="C30" s="2782">
        <f>C29*0.02</f>
        <v>694.56816000000003</v>
      </c>
      <c r="D30" s="2782">
        <f>C30+B30</f>
        <v>1324.7794800000001</v>
      </c>
      <c r="E30" s="2781"/>
      <c r="F30" s="5481"/>
      <c r="G30" s="2781"/>
    </row>
    <row r="31" spans="1:7" ht="18.75" hidden="1" x14ac:dyDescent="0.3">
      <c r="A31" s="5574" t="s">
        <v>981</v>
      </c>
      <c r="B31" s="5575"/>
      <c r="C31" s="5575"/>
      <c r="D31" s="5575"/>
      <c r="E31" s="5575"/>
      <c r="F31" s="5576"/>
      <c r="G31" s="2781"/>
    </row>
    <row r="32" spans="1:7" hidden="1" x14ac:dyDescent="0.2">
      <c r="A32" s="2781" t="s">
        <v>982</v>
      </c>
      <c r="B32" s="2782">
        <f>C22</f>
        <v>21.01</v>
      </c>
      <c r="C32" s="2782">
        <v>23.2</v>
      </c>
      <c r="D32" s="2782"/>
      <c r="E32" s="2781"/>
      <c r="F32" s="5577">
        <f>$E$49*D35/$D$49</f>
        <v>405.73944615575715</v>
      </c>
      <c r="G32" s="2781"/>
    </row>
    <row r="33" spans="1:7" hidden="1" x14ac:dyDescent="0.2">
      <c r="A33" s="2781" t="s">
        <v>978</v>
      </c>
      <c r="B33" s="2782">
        <f>[51]объемы!AA58/2</f>
        <v>1224</v>
      </c>
      <c r="C33" s="2782">
        <f>B33</f>
        <v>1224</v>
      </c>
      <c r="D33" s="2782">
        <f>C33+B33</f>
        <v>2448</v>
      </c>
      <c r="E33" s="2781"/>
      <c r="F33" s="5480"/>
      <c r="G33" s="2781"/>
    </row>
    <row r="34" spans="1:7" hidden="1" x14ac:dyDescent="0.2">
      <c r="A34" s="2781" t="s">
        <v>979</v>
      </c>
      <c r="B34" s="2782">
        <f>B32*B33</f>
        <v>25716.240000000002</v>
      </c>
      <c r="C34" s="2782">
        <f>C32*C33</f>
        <v>28396.799999999999</v>
      </c>
      <c r="D34" s="2782">
        <f>C34+B34</f>
        <v>54113.04</v>
      </c>
      <c r="E34" s="2781"/>
      <c r="F34" s="5480"/>
      <c r="G34" s="2781"/>
    </row>
    <row r="35" spans="1:7" hidden="1" x14ac:dyDescent="0.2">
      <c r="A35" s="2781" t="s">
        <v>971</v>
      </c>
      <c r="B35" s="2782">
        <f>B34*0.02</f>
        <v>514.3248000000001</v>
      </c>
      <c r="C35" s="2782">
        <f>C34*0.02</f>
        <v>567.93600000000004</v>
      </c>
      <c r="D35" s="2782">
        <f>C35+B35</f>
        <v>1082.2608</v>
      </c>
      <c r="E35" s="2781"/>
      <c r="F35" s="5481"/>
      <c r="G35" s="2781"/>
    </row>
    <row r="36" spans="1:7" ht="18.75" hidden="1" x14ac:dyDescent="0.3">
      <c r="A36" s="5570" t="s">
        <v>1686</v>
      </c>
      <c r="B36" s="5571"/>
      <c r="C36" s="5571"/>
      <c r="D36" s="5571"/>
      <c r="E36" s="5571"/>
      <c r="F36" s="5572"/>
      <c r="G36" s="2781"/>
    </row>
    <row r="37" spans="1:7" hidden="1" x14ac:dyDescent="0.2">
      <c r="A37" s="2783" t="s">
        <v>982</v>
      </c>
      <c r="B37" s="2784">
        <f>'[51]вода 2018 коррект'!F45</f>
        <v>25.95</v>
      </c>
      <c r="C37" s="2784">
        <f>'[51]вода 2018 коррект'!F46</f>
        <v>27.796610169491526</v>
      </c>
      <c r="D37" s="2784"/>
      <c r="E37" s="2783"/>
      <c r="F37" s="5573">
        <f>$E$48*D40/$D$48</f>
        <v>436.83960362466541</v>
      </c>
      <c r="G37" s="2781"/>
    </row>
    <row r="38" spans="1:7" hidden="1" x14ac:dyDescent="0.2">
      <c r="A38" s="2783" t="s">
        <v>1685</v>
      </c>
      <c r="B38" s="2784">
        <f>D38/2</f>
        <v>1155.575</v>
      </c>
      <c r="C38" s="2784">
        <f>B38</f>
        <v>1155.575</v>
      </c>
      <c r="D38" s="2784">
        <f>[51]объемы!Y48</f>
        <v>2311.15</v>
      </c>
      <c r="E38" s="2783"/>
      <c r="F38" s="5491"/>
      <c r="G38" s="2782">
        <f>F37</f>
        <v>436.83960362466541</v>
      </c>
    </row>
    <row r="39" spans="1:7" hidden="1" x14ac:dyDescent="0.2">
      <c r="A39" s="2783" t="s">
        <v>1684</v>
      </c>
      <c r="B39" s="2784">
        <f>B37*B38</f>
        <v>29987.171249999999</v>
      </c>
      <c r="C39" s="2784">
        <f>C37*C38</f>
        <v>32121.067796610172</v>
      </c>
      <c r="D39" s="2784">
        <f>C39+B39</f>
        <v>62108.239046610171</v>
      </c>
      <c r="E39" s="2783"/>
      <c r="F39" s="5491"/>
      <c r="G39" s="2781"/>
    </row>
    <row r="40" spans="1:7" hidden="1" x14ac:dyDescent="0.2">
      <c r="A40" s="2783" t="s">
        <v>971</v>
      </c>
      <c r="B40" s="2784">
        <f>B39*0.02</f>
        <v>599.743425</v>
      </c>
      <c r="C40" s="2784">
        <f>C39*0.02</f>
        <v>642.42135593220348</v>
      </c>
      <c r="D40" s="2784">
        <f>C40+B40</f>
        <v>1242.1647809322035</v>
      </c>
      <c r="E40" s="2783"/>
      <c r="F40" s="5492"/>
      <c r="G40" s="2781"/>
    </row>
    <row r="41" spans="1:7" ht="18.75" hidden="1" x14ac:dyDescent="0.3">
      <c r="A41" s="5570" t="s">
        <v>981</v>
      </c>
      <c r="B41" s="5571"/>
      <c r="C41" s="5571"/>
      <c r="D41" s="5571"/>
      <c r="E41" s="5571"/>
      <c r="F41" s="5572"/>
      <c r="G41" s="2781"/>
    </row>
    <row r="42" spans="1:7" hidden="1" x14ac:dyDescent="0.2">
      <c r="A42" s="2783" t="s">
        <v>977</v>
      </c>
      <c r="B42" s="2784">
        <v>21.01</v>
      </c>
      <c r="C42" s="2784">
        <v>22.5</v>
      </c>
      <c r="D42" s="2784"/>
      <c r="E42" s="2783"/>
      <c r="F42" s="5573">
        <f>$E$49*D45/$D$49</f>
        <v>365.36847945936529</v>
      </c>
      <c r="G42" s="2781"/>
    </row>
    <row r="43" spans="1:7" hidden="1" x14ac:dyDescent="0.2">
      <c r="A43" s="2783" t="s">
        <v>1685</v>
      </c>
      <c r="B43" s="2784">
        <f>D43/2</f>
        <v>1119.9449999999999</v>
      </c>
      <c r="C43" s="2784">
        <f>B43</f>
        <v>1119.9449999999999</v>
      </c>
      <c r="D43" s="2784">
        <f>[51]объемы!Y58</f>
        <v>2239.89</v>
      </c>
      <c r="E43" s="2783"/>
      <c r="F43" s="5491"/>
      <c r="G43" s="2782">
        <f>F42</f>
        <v>365.36847945936529</v>
      </c>
    </row>
    <row r="44" spans="1:7" hidden="1" x14ac:dyDescent="0.2">
      <c r="A44" s="2783" t="s">
        <v>979</v>
      </c>
      <c r="B44" s="2784">
        <f>B42*B43</f>
        <v>23530.044450000001</v>
      </c>
      <c r="C44" s="2784">
        <f>C42*C43</f>
        <v>25198.762499999997</v>
      </c>
      <c r="D44" s="2784">
        <f>C44+B44</f>
        <v>48728.806949999998</v>
      </c>
      <c r="E44" s="2783"/>
      <c r="F44" s="5491"/>
      <c r="G44" s="2781"/>
    </row>
    <row r="45" spans="1:7" hidden="1" x14ac:dyDescent="0.2">
      <c r="A45" s="2783" t="s">
        <v>971</v>
      </c>
      <c r="B45" s="2784">
        <f>B44*0.02</f>
        <v>470.60088900000005</v>
      </c>
      <c r="C45" s="2784">
        <f>C44*0.02</f>
        <v>503.97524999999996</v>
      </c>
      <c r="D45" s="2784">
        <f>C45+B45</f>
        <v>974.57613900000001</v>
      </c>
      <c r="E45" s="2783"/>
      <c r="F45" s="5492"/>
      <c r="G45" s="2781"/>
    </row>
    <row r="46" spans="1:7" hidden="1" x14ac:dyDescent="0.2">
      <c r="A46" s="2785" t="s">
        <v>616</v>
      </c>
      <c r="B46" s="2786"/>
      <c r="C46" s="2786"/>
      <c r="D46" s="2787">
        <f>D10+D15+D20+D25+D40+D45</f>
        <v>6264.9912879322028</v>
      </c>
      <c r="E46" s="2787">
        <f>(1993.71255+680.237)/1.18</f>
        <v>2266.0589406779659</v>
      </c>
      <c r="F46" s="2787">
        <f>F7+F12+F17+F22+F27+F32</f>
        <v>2335.4835184156109</v>
      </c>
      <c r="G46" s="2781"/>
    </row>
    <row r="47" spans="1:7" hidden="1" x14ac:dyDescent="0.2">
      <c r="A47" s="2788" t="s">
        <v>230</v>
      </c>
      <c r="B47" s="2781"/>
      <c r="C47" s="2781"/>
      <c r="D47" s="2789"/>
      <c r="E47" s="2789"/>
      <c r="F47" s="2781"/>
      <c r="G47" s="2781"/>
    </row>
    <row r="48" spans="1:7" hidden="1" x14ac:dyDescent="0.2">
      <c r="A48" s="2788" t="s">
        <v>46</v>
      </c>
      <c r="B48" s="2781"/>
      <c r="C48" s="2781"/>
      <c r="D48" s="2790">
        <f>D10+D20+D40</f>
        <v>3560.3751269322033</v>
      </c>
      <c r="E48" s="2790">
        <f>'[51]Резерв ДЗ'!E38</f>
        <v>1252.0986612073889</v>
      </c>
      <c r="F48" s="5561" t="s">
        <v>1484</v>
      </c>
      <c r="G48" s="2781"/>
    </row>
    <row r="49" spans="1:7" hidden="1" x14ac:dyDescent="0.2">
      <c r="A49" s="2788" t="s">
        <v>47</v>
      </c>
      <c r="B49" s="2781"/>
      <c r="C49" s="2781"/>
      <c r="D49" s="2790">
        <f>D15+D25+D45</f>
        <v>2704.6161609999999</v>
      </c>
      <c r="E49" s="2790">
        <f>E46-E48</f>
        <v>1013.960279470577</v>
      </c>
      <c r="F49" s="5536"/>
      <c r="G49" s="2781"/>
    </row>
    <row r="50" spans="1:7" hidden="1" x14ac:dyDescent="0.2">
      <c r="A50" s="2244"/>
      <c r="B50" s="2555"/>
      <c r="C50" s="2555"/>
      <c r="D50" s="2556"/>
      <c r="E50" s="2556"/>
      <c r="F50" s="2557"/>
      <c r="G50" s="29"/>
    </row>
    <row r="51" spans="1:7" hidden="1" x14ac:dyDescent="0.2">
      <c r="A51" s="105"/>
      <c r="B51" s="29"/>
      <c r="C51" s="29"/>
      <c r="D51" s="2558"/>
      <c r="E51" s="2558"/>
      <c r="F51" s="319"/>
      <c r="G51" s="29"/>
    </row>
    <row r="52" spans="1:7" x14ac:dyDescent="0.2">
      <c r="A52" s="105"/>
      <c r="B52" s="29"/>
      <c r="C52" s="29"/>
      <c r="D52" s="2558"/>
      <c r="E52" s="2558"/>
      <c r="F52" s="319"/>
      <c r="G52" s="29"/>
    </row>
    <row r="53" spans="1:7" x14ac:dyDescent="0.2">
      <c r="A53" s="105"/>
      <c r="B53" s="29"/>
      <c r="C53" s="29"/>
      <c r="D53" s="2558"/>
      <c r="E53" s="2558"/>
      <c r="F53" s="319"/>
      <c r="G53" s="29"/>
    </row>
    <row r="54" spans="1:7" ht="18.75" x14ac:dyDescent="0.3">
      <c r="A54" s="5030" t="s">
        <v>3700</v>
      </c>
      <c r="B54" s="5030"/>
      <c r="C54" s="5030"/>
      <c r="D54" s="5030"/>
      <c r="E54" s="5030"/>
      <c r="F54" s="5030"/>
      <c r="G54" s="29"/>
    </row>
    <row r="55" spans="1:7" x14ac:dyDescent="0.2">
      <c r="A55" s="861"/>
      <c r="B55" s="2559"/>
      <c r="C55" s="2559"/>
      <c r="D55" s="2560"/>
      <c r="E55" s="2560"/>
      <c r="F55" s="2763"/>
      <c r="G55" s="29"/>
    </row>
    <row r="56" spans="1:7" x14ac:dyDescent="0.2">
      <c r="A56" s="5564" t="s">
        <v>527</v>
      </c>
      <c r="B56" s="5565" t="s">
        <v>1481</v>
      </c>
      <c r="C56" s="5566"/>
      <c r="D56" s="5567"/>
      <c r="E56" s="5568" t="s">
        <v>1483</v>
      </c>
      <c r="F56" s="5569" t="s">
        <v>1485</v>
      </c>
      <c r="G56" s="5562" t="s">
        <v>1524</v>
      </c>
    </row>
    <row r="57" spans="1:7" ht="17.25" customHeight="1" x14ac:dyDescent="0.2">
      <c r="A57" s="5485"/>
      <c r="B57" s="2780" t="s">
        <v>975</v>
      </c>
      <c r="C57" s="2780" t="s">
        <v>976</v>
      </c>
      <c r="D57" s="2780" t="s">
        <v>54</v>
      </c>
      <c r="E57" s="5568"/>
      <c r="F57" s="5472"/>
      <c r="G57" s="5563"/>
    </row>
    <row r="58" spans="1:7" ht="18.75" x14ac:dyDescent="0.3">
      <c r="A58" s="5556" t="s">
        <v>3585</v>
      </c>
      <c r="B58" s="5557"/>
      <c r="C58" s="5557"/>
      <c r="D58" s="5557"/>
      <c r="E58" s="5557"/>
      <c r="F58" s="5557"/>
      <c r="G58" s="5558"/>
    </row>
    <row r="59" spans="1:7" x14ac:dyDescent="0.2">
      <c r="A59" s="2781" t="s">
        <v>3586</v>
      </c>
      <c r="B59" s="2782">
        <f>SUM('[52]вода 2018 коррект'!P46)</f>
        <v>28.96406779661017</v>
      </c>
      <c r="C59" s="2782">
        <f>SUM('[52]вода 2018 коррект'!P47)</f>
        <v>30.296414915254239</v>
      </c>
      <c r="D59" s="2782"/>
      <c r="E59" s="2781"/>
      <c r="F59" s="5553">
        <f>E110*D62/D110</f>
        <v>344.2340407156828</v>
      </c>
      <c r="G59" s="5553">
        <v>294.80500000000001</v>
      </c>
    </row>
    <row r="60" spans="1:7" x14ac:dyDescent="0.2">
      <c r="A60" s="2781" t="s">
        <v>3587</v>
      </c>
      <c r="B60" s="2782">
        <f>SUM([52]объемы!AV50/2)</f>
        <v>1211.99</v>
      </c>
      <c r="C60" s="2782">
        <f>SUM(B60)</f>
        <v>1211.99</v>
      </c>
      <c r="D60" s="2782">
        <f>C60+B60</f>
        <v>2423.98</v>
      </c>
      <c r="E60" s="2781"/>
      <c r="F60" s="5554"/>
      <c r="G60" s="5554"/>
    </row>
    <row r="61" spans="1:7" x14ac:dyDescent="0.2">
      <c r="A61" s="2781" t="s">
        <v>3588</v>
      </c>
      <c r="B61" s="2782">
        <f>B59*B60</f>
        <v>35104.160528813562</v>
      </c>
      <c r="C61" s="2782">
        <f>C59*C60</f>
        <v>36718.951913138982</v>
      </c>
      <c r="D61" s="2782">
        <f>C61+B61</f>
        <v>71823.112441952544</v>
      </c>
      <c r="E61" s="2781"/>
      <c r="F61" s="5554"/>
      <c r="G61" s="5554"/>
    </row>
    <row r="62" spans="1:7" x14ac:dyDescent="0.2">
      <c r="A62" s="2781" t="s">
        <v>971</v>
      </c>
      <c r="B62" s="2782">
        <f>B61*0.02</f>
        <v>702.0832105762712</v>
      </c>
      <c r="C62" s="2782">
        <f>C61*0.02</f>
        <v>734.37903826277966</v>
      </c>
      <c r="D62" s="2782">
        <f>C62+B62</f>
        <v>1436.462248839051</v>
      </c>
      <c r="E62" s="2791"/>
      <c r="F62" s="5555"/>
      <c r="G62" s="5555"/>
    </row>
    <row r="63" spans="1:7" ht="18.75" x14ac:dyDescent="0.3">
      <c r="A63" s="5559" t="s">
        <v>3589</v>
      </c>
      <c r="B63" s="5560"/>
      <c r="C63" s="5560"/>
      <c r="D63" s="5560"/>
      <c r="E63" s="5560"/>
      <c r="F63" s="5560"/>
      <c r="G63" s="4563"/>
    </row>
    <row r="64" spans="1:7" x14ac:dyDescent="0.2">
      <c r="A64" s="2781" t="s">
        <v>3586</v>
      </c>
      <c r="B64" s="2782">
        <f>SUM('[52]стоки 2018'!Q45)</f>
        <v>23.467500000000001</v>
      </c>
      <c r="C64" s="2782">
        <f>SUM('[52]стоки 2018'!Q46)</f>
        <v>24.87</v>
      </c>
      <c r="D64" s="2782"/>
      <c r="E64" s="2781"/>
      <c r="F64" s="5553">
        <f>E111*D67/D111</f>
        <v>295.14629492304965</v>
      </c>
      <c r="G64" s="5553">
        <v>249.2</v>
      </c>
    </row>
    <row r="65" spans="1:7" x14ac:dyDescent="0.2">
      <c r="A65" s="2781" t="s">
        <v>3587</v>
      </c>
      <c r="B65" s="2782">
        <f>SUM([52]объемы!AV60/2)</f>
        <v>1192.46</v>
      </c>
      <c r="C65" s="2782">
        <f>SUM(B65)</f>
        <v>1192.46</v>
      </c>
      <c r="D65" s="2782">
        <f>C65+B65</f>
        <v>2384.92</v>
      </c>
      <c r="E65" s="2781"/>
      <c r="F65" s="5554"/>
      <c r="G65" s="5554"/>
    </row>
    <row r="66" spans="1:7" x14ac:dyDescent="0.2">
      <c r="A66" s="2781" t="s">
        <v>3588</v>
      </c>
      <c r="B66" s="2782">
        <f>B64*B65</f>
        <v>27984.055050000003</v>
      </c>
      <c r="C66" s="2782">
        <f>C64*C65</f>
        <v>29656.480200000002</v>
      </c>
      <c r="D66" s="2782">
        <f>C66+B66</f>
        <v>57640.535250000001</v>
      </c>
      <c r="E66" s="2781"/>
      <c r="F66" s="5554"/>
      <c r="G66" s="5554"/>
    </row>
    <row r="67" spans="1:7" x14ac:dyDescent="0.2">
      <c r="A67" s="2781" t="s">
        <v>971</v>
      </c>
      <c r="B67" s="2782">
        <f>B66*0.02</f>
        <v>559.68110100000001</v>
      </c>
      <c r="C67" s="2782">
        <f>C66*0.02</f>
        <v>593.12960400000009</v>
      </c>
      <c r="D67" s="2782">
        <f>C67+B67</f>
        <v>1152.8107050000001</v>
      </c>
      <c r="E67" s="2781"/>
      <c r="F67" s="5555"/>
      <c r="G67" s="5555"/>
    </row>
    <row r="68" spans="1:7" ht="18.75" x14ac:dyDescent="0.3">
      <c r="A68" s="5559" t="s">
        <v>3590</v>
      </c>
      <c r="B68" s="5560"/>
      <c r="C68" s="5560"/>
      <c r="D68" s="5560"/>
      <c r="E68" s="5560"/>
      <c r="F68" s="5560"/>
      <c r="G68" s="4563"/>
    </row>
    <row r="69" spans="1:7" x14ac:dyDescent="0.2">
      <c r="A69" s="2781" t="s">
        <v>3591</v>
      </c>
      <c r="B69" s="2782">
        <f>SUM('[52]вода 2018 коррект'!X46)</f>
        <v>30.296414915254239</v>
      </c>
      <c r="C69" s="2782">
        <f>SUM('[52]вода 2018 коррект'!X47)</f>
        <v>30.993232458305084</v>
      </c>
      <c r="D69" s="2782"/>
      <c r="E69" s="2781"/>
      <c r="F69" s="5553">
        <f>E110*D72/D110</f>
        <v>361.3957437703653</v>
      </c>
      <c r="G69" s="5553"/>
    </row>
    <row r="70" spans="1:7" x14ac:dyDescent="0.2">
      <c r="A70" s="2781" t="s">
        <v>3592</v>
      </c>
      <c r="B70" s="2782">
        <f>SUM([52]объемы!BB50)/2</f>
        <v>1230.2866666666666</v>
      </c>
      <c r="C70" s="2782">
        <f>B70</f>
        <v>1230.2866666666666</v>
      </c>
      <c r="D70" s="2782">
        <f>C70+B70</f>
        <v>2460.5733333333333</v>
      </c>
      <c r="E70" s="2781"/>
      <c r="F70" s="5554"/>
      <c r="G70" s="5554"/>
    </row>
    <row r="71" spans="1:7" x14ac:dyDescent="0.2">
      <c r="A71" s="2781" t="s">
        <v>3593</v>
      </c>
      <c r="B71" s="2782">
        <f>B69*B70</f>
        <v>37273.275318038417</v>
      </c>
      <c r="C71" s="2782">
        <f>C69*C70</f>
        <v>38130.560650353298</v>
      </c>
      <c r="D71" s="2782">
        <f>C71+B71</f>
        <v>75403.835968391708</v>
      </c>
      <c r="E71" s="2781"/>
      <c r="F71" s="5554"/>
      <c r="G71" s="5554"/>
    </row>
    <row r="72" spans="1:7" x14ac:dyDescent="0.2">
      <c r="A72" s="2781" t="s">
        <v>971</v>
      </c>
      <c r="B72" s="2782">
        <f>B71*0.02</f>
        <v>745.46550636076836</v>
      </c>
      <c r="C72" s="2782">
        <f>C71*0.02</f>
        <v>762.611213007066</v>
      </c>
      <c r="D72" s="2782">
        <f>C72+B72</f>
        <v>1508.0767193678344</v>
      </c>
      <c r="E72" s="2781"/>
      <c r="F72" s="5555"/>
      <c r="G72" s="5555"/>
    </row>
    <row r="73" spans="1:7" ht="18.75" x14ac:dyDescent="0.3">
      <c r="A73" s="5559" t="s">
        <v>3594</v>
      </c>
      <c r="B73" s="5560"/>
      <c r="C73" s="5560"/>
      <c r="D73" s="5560"/>
      <c r="E73" s="5560"/>
      <c r="F73" s="5560"/>
      <c r="G73" s="4563"/>
    </row>
    <row r="74" spans="1:7" x14ac:dyDescent="0.2">
      <c r="A74" s="2781" t="s">
        <v>3591</v>
      </c>
      <c r="B74" s="2782">
        <f>SUM('[52]стоки 2018'!Z45)</f>
        <v>24.87</v>
      </c>
      <c r="C74" s="2782">
        <f>SUM('[52]стоки 2018'!Z46)</f>
        <v>25.44201</v>
      </c>
      <c r="D74" s="2782"/>
      <c r="E74" s="2781"/>
      <c r="F74" s="5553">
        <f>E111*D77/D111</f>
        <v>293.68776219786787</v>
      </c>
      <c r="G74" s="5553"/>
    </row>
    <row r="75" spans="1:7" x14ac:dyDescent="0.2">
      <c r="A75" s="2781" t="s">
        <v>3592</v>
      </c>
      <c r="B75" s="2782">
        <f>SUM([52]объемы!BB60)/2</f>
        <v>1140</v>
      </c>
      <c r="C75" s="2782">
        <f>B75</f>
        <v>1140</v>
      </c>
      <c r="D75" s="2782">
        <f>C75+B75</f>
        <v>2280</v>
      </c>
      <c r="E75" s="2781"/>
      <c r="F75" s="5554"/>
      <c r="G75" s="5554"/>
    </row>
    <row r="76" spans="1:7" x14ac:dyDescent="0.2">
      <c r="A76" s="2781" t="s">
        <v>3593</v>
      </c>
      <c r="B76" s="2782">
        <f>B74*B75</f>
        <v>28351.800000000003</v>
      </c>
      <c r="C76" s="2782">
        <f>C74*C75</f>
        <v>29003.8914</v>
      </c>
      <c r="D76" s="2782">
        <f>C76+B76</f>
        <v>57355.691400000003</v>
      </c>
      <c r="E76" s="2781"/>
      <c r="F76" s="5554"/>
      <c r="G76" s="5554"/>
    </row>
    <row r="77" spans="1:7" x14ac:dyDescent="0.2">
      <c r="A77" s="2781" t="s">
        <v>971</v>
      </c>
      <c r="B77" s="2782">
        <f>B76*0.02</f>
        <v>567.03600000000006</v>
      </c>
      <c r="C77" s="2782">
        <f>C76*0.02</f>
        <v>580.07782800000007</v>
      </c>
      <c r="D77" s="2782">
        <f>C77+B77</f>
        <v>1147.113828</v>
      </c>
      <c r="E77" s="2781"/>
      <c r="F77" s="5555"/>
      <c r="G77" s="5555"/>
    </row>
    <row r="78" spans="1:7" ht="18.75" x14ac:dyDescent="0.3">
      <c r="A78" s="5559" t="s">
        <v>3595</v>
      </c>
      <c r="B78" s="5560"/>
      <c r="C78" s="5560"/>
      <c r="D78" s="5560"/>
      <c r="E78" s="5560"/>
      <c r="F78" s="5560"/>
      <c r="G78" s="4563"/>
    </row>
    <row r="79" spans="1:7" x14ac:dyDescent="0.2">
      <c r="A79" s="2781" t="s">
        <v>3596</v>
      </c>
      <c r="B79" s="2782">
        <f>SUM('[52]вода 2018 коррект'!Z46)</f>
        <v>30.993232458305084</v>
      </c>
      <c r="C79" s="2782">
        <f>SUM('[52]вода 2018 коррект'!Z47)</f>
        <v>32.232961756637287</v>
      </c>
      <c r="D79" s="2782"/>
      <c r="E79" s="2781"/>
      <c r="F79" s="5553">
        <f>E110*D82/D110</f>
        <v>372.81463449789953</v>
      </c>
      <c r="G79" s="5553"/>
    </row>
    <row r="80" spans="1:7" x14ac:dyDescent="0.2">
      <c r="A80" s="2781" t="s">
        <v>3597</v>
      </c>
      <c r="B80" s="2782">
        <f>SUM([52]объемы!BB50/2)</f>
        <v>1230.2866666666666</v>
      </c>
      <c r="C80" s="2782">
        <f>B80</f>
        <v>1230.2866666666666</v>
      </c>
      <c r="D80" s="2782">
        <f>C80+B80</f>
        <v>2460.5733333333333</v>
      </c>
      <c r="E80" s="2781"/>
      <c r="F80" s="5554"/>
      <c r="G80" s="5554"/>
    </row>
    <row r="81" spans="1:7" x14ac:dyDescent="0.2">
      <c r="A81" s="2781" t="s">
        <v>3598</v>
      </c>
      <c r="B81" s="2782">
        <f>B79*B80</f>
        <v>38130.560650353298</v>
      </c>
      <c r="C81" s="2782">
        <f>C79*C80</f>
        <v>39655.783076367428</v>
      </c>
      <c r="D81" s="2782">
        <f>C81+B81</f>
        <v>77786.343726720719</v>
      </c>
      <c r="E81" s="2781"/>
      <c r="F81" s="5554"/>
      <c r="G81" s="5554"/>
    </row>
    <row r="82" spans="1:7" x14ac:dyDescent="0.2">
      <c r="A82" s="2781" t="s">
        <v>971</v>
      </c>
      <c r="B82" s="2782">
        <f>B81*0.02</f>
        <v>762.611213007066</v>
      </c>
      <c r="C82" s="2782">
        <f>C81*0.02</f>
        <v>793.11566152734861</v>
      </c>
      <c r="D82" s="2782">
        <f>C82+B82</f>
        <v>1555.7268745344145</v>
      </c>
      <c r="E82" s="2781"/>
      <c r="F82" s="5555"/>
      <c r="G82" s="5555"/>
    </row>
    <row r="83" spans="1:7" ht="18.75" x14ac:dyDescent="0.3">
      <c r="A83" s="5559" t="s">
        <v>3599</v>
      </c>
      <c r="B83" s="5560"/>
      <c r="C83" s="5560"/>
      <c r="D83" s="5560"/>
      <c r="E83" s="5560"/>
      <c r="F83" s="5560"/>
      <c r="G83" s="4563"/>
    </row>
    <row r="84" spans="1:7" x14ac:dyDescent="0.2">
      <c r="A84" s="2781" t="s">
        <v>3596</v>
      </c>
      <c r="B84" s="2782">
        <f>SUM('[52]стоки 2018'!AB45)</f>
        <v>25.44201</v>
      </c>
      <c r="C84" s="2782">
        <f>SUM('[52]стоки 2018'!AB46)</f>
        <v>26.459690399999999</v>
      </c>
      <c r="D84" s="2782"/>
      <c r="E84" s="2781"/>
      <c r="F84" s="5553">
        <f>E111*D87/D111</f>
        <v>302.96730829756518</v>
      </c>
      <c r="G84" s="5553"/>
    </row>
    <row r="85" spans="1:7" x14ac:dyDescent="0.2">
      <c r="A85" s="2781" t="s">
        <v>3597</v>
      </c>
      <c r="B85" s="2782">
        <f>SUM([52]объемы!BB60)/2</f>
        <v>1140</v>
      </c>
      <c r="C85" s="2782">
        <f>B85</f>
        <v>1140</v>
      </c>
      <c r="D85" s="2782">
        <f>C85+B85</f>
        <v>2280</v>
      </c>
      <c r="E85" s="2781"/>
      <c r="F85" s="5554"/>
      <c r="G85" s="5554"/>
    </row>
    <row r="86" spans="1:7" x14ac:dyDescent="0.2">
      <c r="A86" s="2781" t="s">
        <v>3598</v>
      </c>
      <c r="B86" s="2782">
        <f>B84*B85</f>
        <v>29003.8914</v>
      </c>
      <c r="C86" s="2782">
        <f>C84*C85</f>
        <v>30164.047055999999</v>
      </c>
      <c r="D86" s="2782">
        <f>C86+B86</f>
        <v>59167.938456000003</v>
      </c>
      <c r="E86" s="2781"/>
      <c r="F86" s="5554"/>
      <c r="G86" s="5554"/>
    </row>
    <row r="87" spans="1:7" x14ac:dyDescent="0.2">
      <c r="A87" s="2781" t="s">
        <v>971</v>
      </c>
      <c r="B87" s="2782">
        <f>B86*0.02</f>
        <v>580.07782800000007</v>
      </c>
      <c r="C87" s="2782">
        <f>C86*0.02</f>
        <v>603.28094111999997</v>
      </c>
      <c r="D87" s="2782">
        <f>C87+B87</f>
        <v>1183.35876912</v>
      </c>
      <c r="E87" s="2781"/>
      <c r="F87" s="5555"/>
      <c r="G87" s="5555"/>
    </row>
    <row r="88" spans="1:7" ht="18.75" x14ac:dyDescent="0.3">
      <c r="A88" s="5559" t="s">
        <v>3600</v>
      </c>
      <c r="B88" s="5560"/>
      <c r="C88" s="5560"/>
      <c r="D88" s="5560"/>
      <c r="E88" s="5560"/>
      <c r="F88" s="5560"/>
      <c r="G88" s="4563"/>
    </row>
    <row r="89" spans="1:7" x14ac:dyDescent="0.2">
      <c r="A89" s="2781" t="s">
        <v>3601</v>
      </c>
      <c r="B89" s="2782">
        <f>SUM('[52]вода 2018 коррект'!AA46)</f>
        <v>32.232961756637287</v>
      </c>
      <c r="C89" s="2782">
        <f>SUM('[52]вода 2018 коррект'!AA47)</f>
        <v>33.52228022690278</v>
      </c>
      <c r="D89" s="2782"/>
      <c r="E89" s="2781"/>
      <c r="F89" s="5553">
        <f>E110*D92/D110</f>
        <v>387.72721987781551</v>
      </c>
      <c r="G89" s="5553"/>
    </row>
    <row r="90" spans="1:7" x14ac:dyDescent="0.2">
      <c r="A90" s="2781" t="s">
        <v>3602</v>
      </c>
      <c r="B90" s="2782">
        <f>SUM([52]объемы!BB50)/2</f>
        <v>1230.2866666666666</v>
      </c>
      <c r="C90" s="2782">
        <f>B90</f>
        <v>1230.2866666666666</v>
      </c>
      <c r="D90" s="2782">
        <f>C90+B90</f>
        <v>2460.5733333333333</v>
      </c>
      <c r="E90" s="2781"/>
      <c r="F90" s="5554"/>
      <c r="G90" s="5554"/>
    </row>
    <row r="91" spans="1:7" x14ac:dyDescent="0.2">
      <c r="A91" s="2781" t="s">
        <v>3603</v>
      </c>
      <c r="B91" s="2782">
        <f>B89*B90</f>
        <v>39655.783076367428</v>
      </c>
      <c r="C91" s="2782">
        <f>C89*C90</f>
        <v>41242.014399422129</v>
      </c>
      <c r="D91" s="2782">
        <f>C91+B91</f>
        <v>80897.797475789557</v>
      </c>
      <c r="E91" s="2781"/>
      <c r="F91" s="5554"/>
      <c r="G91" s="5554"/>
    </row>
    <row r="92" spans="1:7" x14ac:dyDescent="0.2">
      <c r="A92" s="2781" t="s">
        <v>971</v>
      </c>
      <c r="B92" s="2782">
        <f>B91*0.02</f>
        <v>793.11566152734861</v>
      </c>
      <c r="C92" s="2782">
        <f>C91*0.02</f>
        <v>824.84028798844258</v>
      </c>
      <c r="D92" s="2782">
        <f>C92+B92</f>
        <v>1617.9559495157912</v>
      </c>
      <c r="E92" s="2781"/>
      <c r="F92" s="5555"/>
      <c r="G92" s="5555"/>
    </row>
    <row r="93" spans="1:7" ht="18.75" x14ac:dyDescent="0.3">
      <c r="A93" s="5559" t="s">
        <v>3604</v>
      </c>
      <c r="B93" s="5560"/>
      <c r="C93" s="5560"/>
      <c r="D93" s="5560"/>
      <c r="E93" s="5560"/>
      <c r="F93" s="5560"/>
      <c r="G93" s="4563"/>
    </row>
    <row r="94" spans="1:7" x14ac:dyDescent="0.2">
      <c r="A94" s="2781" t="s">
        <v>3601</v>
      </c>
      <c r="B94" s="2782">
        <f>SUM('[52]стоки 2018'!AC45)</f>
        <v>26.459690399999999</v>
      </c>
      <c r="C94" s="2782">
        <f>SUM('[52]стоки 2018'!AC46)</f>
        <v>27.518078016</v>
      </c>
      <c r="D94" s="2782"/>
      <c r="E94" s="2781"/>
      <c r="F94" s="5553">
        <f>E111*D97/D111</f>
        <v>315.08600062946783</v>
      </c>
      <c r="G94" s="5553"/>
    </row>
    <row r="95" spans="1:7" x14ac:dyDescent="0.2">
      <c r="A95" s="2781" t="s">
        <v>3602</v>
      </c>
      <c r="B95" s="2782">
        <f>SUM([52]объемы!BB60)/2</f>
        <v>1140</v>
      </c>
      <c r="C95" s="2782">
        <f>B95</f>
        <v>1140</v>
      </c>
      <c r="D95" s="2782">
        <f>C95+B95</f>
        <v>2280</v>
      </c>
      <c r="E95" s="2781"/>
      <c r="F95" s="5554"/>
      <c r="G95" s="5554"/>
    </row>
    <row r="96" spans="1:7" x14ac:dyDescent="0.2">
      <c r="A96" s="2781" t="s">
        <v>3603</v>
      </c>
      <c r="B96" s="2782">
        <f>B94*B95</f>
        <v>30164.047055999999</v>
      </c>
      <c r="C96" s="2782">
        <f>C94*C95</f>
        <v>31370.608938240002</v>
      </c>
      <c r="D96" s="2782">
        <f>C96+B96</f>
        <v>61534.655994240005</v>
      </c>
      <c r="E96" s="2781"/>
      <c r="F96" s="5554"/>
      <c r="G96" s="5554"/>
    </row>
    <row r="97" spans="1:7" x14ac:dyDescent="0.2">
      <c r="A97" s="2781" t="s">
        <v>971</v>
      </c>
      <c r="B97" s="2782">
        <f>B96*0.02</f>
        <v>603.28094111999997</v>
      </c>
      <c r="C97" s="2782">
        <f>C96*0.02</f>
        <v>627.41217876480005</v>
      </c>
      <c r="D97" s="2782">
        <f>C97+B97</f>
        <v>1230.6931198848001</v>
      </c>
      <c r="E97" s="2781"/>
      <c r="F97" s="5555"/>
      <c r="G97" s="5555"/>
    </row>
    <row r="98" spans="1:7" ht="18.75" x14ac:dyDescent="0.3">
      <c r="A98" s="5559" t="s">
        <v>3701</v>
      </c>
      <c r="B98" s="5560"/>
      <c r="C98" s="5560"/>
      <c r="D98" s="5560"/>
      <c r="E98" s="5560"/>
      <c r="F98" s="5560"/>
      <c r="G98" s="4563"/>
    </row>
    <row r="99" spans="1:7" x14ac:dyDescent="0.2">
      <c r="A99" s="2781" t="s">
        <v>3702</v>
      </c>
      <c r="B99" s="2782">
        <f>SUM('[52]вода 2018 коррект'!AB46)</f>
        <v>33.52228022690278</v>
      </c>
      <c r="C99" s="2782">
        <f>SUM('[52]вода 2018 коррект'!AB47)</f>
        <v>34.863171435978892</v>
      </c>
      <c r="D99" s="2782"/>
      <c r="E99" s="2781"/>
      <c r="F99" s="5553">
        <f>E110*D102/D110</f>
        <v>403.2363086729282</v>
      </c>
      <c r="G99" s="5553"/>
    </row>
    <row r="100" spans="1:7" x14ac:dyDescent="0.2">
      <c r="A100" s="2781" t="s">
        <v>3703</v>
      </c>
      <c r="B100" s="2782">
        <f>SUM([52]объемы!BB50)/2</f>
        <v>1230.2866666666666</v>
      </c>
      <c r="C100" s="2782">
        <f>B100</f>
        <v>1230.2866666666666</v>
      </c>
      <c r="D100" s="2782">
        <f>C100+B100</f>
        <v>2460.5733333333333</v>
      </c>
      <c r="E100" s="2781"/>
      <c r="F100" s="5554"/>
      <c r="G100" s="5554"/>
    </row>
    <row r="101" spans="1:7" x14ac:dyDescent="0.2">
      <c r="A101" s="2781" t="s">
        <v>3704</v>
      </c>
      <c r="B101" s="2782">
        <f>B99*B100</f>
        <v>41242.014399422129</v>
      </c>
      <c r="C101" s="2782">
        <f>C99*C100</f>
        <v>42891.694975399019</v>
      </c>
      <c r="D101" s="2782">
        <f>C101+B101</f>
        <v>84133.709374821148</v>
      </c>
      <c r="E101" s="2781"/>
      <c r="F101" s="5554"/>
      <c r="G101" s="5554"/>
    </row>
    <row r="102" spans="1:7" x14ac:dyDescent="0.2">
      <c r="A102" s="2781" t="s">
        <v>971</v>
      </c>
      <c r="B102" s="2782">
        <f>B101*0.02</f>
        <v>824.84028798844258</v>
      </c>
      <c r="C102" s="2782">
        <f>C101*0.02</f>
        <v>857.83389950798039</v>
      </c>
      <c r="D102" s="2782">
        <f>C102+B102</f>
        <v>1682.674187496423</v>
      </c>
      <c r="E102" s="2781"/>
      <c r="F102" s="5555"/>
      <c r="G102" s="5555"/>
    </row>
    <row r="103" spans="1:7" ht="18.75" x14ac:dyDescent="0.3">
      <c r="A103" s="5559" t="s">
        <v>3705</v>
      </c>
      <c r="B103" s="5560"/>
      <c r="C103" s="5560"/>
      <c r="D103" s="5560"/>
      <c r="E103" s="5560"/>
      <c r="F103" s="5560"/>
      <c r="G103" s="4563"/>
    </row>
    <row r="104" spans="1:7" x14ac:dyDescent="0.2">
      <c r="A104" s="2781" t="s">
        <v>3702</v>
      </c>
      <c r="B104" s="2782">
        <f>SUM('[52]стоки 2018'!AD45)</f>
        <v>27.518078016</v>
      </c>
      <c r="C104" s="2782">
        <f>SUM('[52]стоки 2018'!AD46)</f>
        <v>28.618801136640002</v>
      </c>
      <c r="D104" s="2782"/>
      <c r="E104" s="2781"/>
      <c r="F104" s="5553">
        <f>E111*D107/D111</f>
        <v>327.68944065464655</v>
      </c>
      <c r="G104" s="5553"/>
    </row>
    <row r="105" spans="1:7" x14ac:dyDescent="0.2">
      <c r="A105" s="2781" t="s">
        <v>3703</v>
      </c>
      <c r="B105" s="2782">
        <f>SUM([52]объемы!BB60)/2</f>
        <v>1140</v>
      </c>
      <c r="C105" s="2782">
        <f>B105</f>
        <v>1140</v>
      </c>
      <c r="D105" s="2782">
        <f>C105+B105</f>
        <v>2280</v>
      </c>
      <c r="E105" s="2781"/>
      <c r="F105" s="5554"/>
      <c r="G105" s="5554"/>
    </row>
    <row r="106" spans="1:7" x14ac:dyDescent="0.2">
      <c r="A106" s="2781" t="s">
        <v>3704</v>
      </c>
      <c r="B106" s="2782">
        <f>B104*B105</f>
        <v>31370.608938240002</v>
      </c>
      <c r="C106" s="2782">
        <f>C104*C105</f>
        <v>32625.433295769602</v>
      </c>
      <c r="D106" s="2782">
        <f>C106+B106</f>
        <v>63996.042234009605</v>
      </c>
      <c r="E106" s="2781"/>
      <c r="F106" s="5554"/>
      <c r="G106" s="5554"/>
    </row>
    <row r="107" spans="1:7" x14ac:dyDescent="0.2">
      <c r="A107" s="2781" t="s">
        <v>971</v>
      </c>
      <c r="B107" s="2782">
        <f>B106*0.02</f>
        <v>627.41217876480005</v>
      </c>
      <c r="C107" s="2782">
        <f>C106*0.02</f>
        <v>652.50866591539204</v>
      </c>
      <c r="D107" s="2782">
        <f>C107+B107</f>
        <v>1279.9208446801922</v>
      </c>
      <c r="E107" s="2781"/>
      <c r="F107" s="5555"/>
      <c r="G107" s="5555"/>
    </row>
    <row r="108" spans="1:7" x14ac:dyDescent="0.2">
      <c r="A108" s="2785" t="s">
        <v>616</v>
      </c>
      <c r="B108" s="2786"/>
      <c r="C108" s="2786"/>
      <c r="D108" s="2787">
        <f>SUM(D62+D67+D72+D77+D82+D87+D92+D97+D102+D107)</f>
        <v>13794.793246438505</v>
      </c>
      <c r="E108" s="2787">
        <f>4016702.01/1.18/1000</f>
        <v>3403.9847542372881</v>
      </c>
      <c r="F108" s="2787">
        <f>SUM(F59+F64+F69+F74+F79+F84+F89+F94+F99+F104)</f>
        <v>3403.9847542372886</v>
      </c>
      <c r="G108" s="2792"/>
    </row>
    <row r="109" spans="1:7" x14ac:dyDescent="0.2">
      <c r="A109" s="2788" t="s">
        <v>230</v>
      </c>
      <c r="B109" s="2781"/>
      <c r="C109" s="2781"/>
      <c r="D109" s="2789"/>
      <c r="E109" s="2789"/>
      <c r="F109" s="2781"/>
      <c r="G109" s="2792"/>
    </row>
    <row r="110" spans="1:7" x14ac:dyDescent="0.2">
      <c r="A110" s="2788" t="s">
        <v>46</v>
      </c>
      <c r="B110" s="2781"/>
      <c r="C110" s="2781"/>
      <c r="D110" s="2790">
        <f>SUM(D62+D72+D82+D92+D102)</f>
        <v>7800.8959797535135</v>
      </c>
      <c r="E110" s="2790">
        <f>E108*C112/(C112+C113)</f>
        <v>1869.4079475346912</v>
      </c>
      <c r="F110" s="5561" t="s">
        <v>1484</v>
      </c>
      <c r="G110" s="2792"/>
    </row>
    <row r="111" spans="1:7" x14ac:dyDescent="0.2">
      <c r="A111" s="2788" t="s">
        <v>47</v>
      </c>
      <c r="B111" s="2781"/>
      <c r="C111" s="2781"/>
      <c r="D111" s="2790">
        <f>SUM(D67+D77+D87+D97+D107)</f>
        <v>5993.8972666849922</v>
      </c>
      <c r="E111" s="2790">
        <f>E108-E110</f>
        <v>1534.576806702597</v>
      </c>
      <c r="F111" s="5536"/>
      <c r="G111" s="2793"/>
    </row>
    <row r="112" spans="1:7" x14ac:dyDescent="0.2">
      <c r="A112" s="5" t="s">
        <v>3922</v>
      </c>
      <c r="C112" s="1656">
        <f>SUM(B69+C69)/2</f>
        <v>30.64482368677966</v>
      </c>
    </row>
    <row r="113" spans="1:3" x14ac:dyDescent="0.2">
      <c r="A113" s="5" t="s">
        <v>3923</v>
      </c>
      <c r="C113" s="1656">
        <f>SUM(B74+C74)/2</f>
        <v>25.156005</v>
      </c>
    </row>
    <row r="118" spans="1:3" ht="20.25" x14ac:dyDescent="0.3">
      <c r="A118" s="2476" t="s">
        <v>3554</v>
      </c>
    </row>
  </sheetData>
  <mergeCells count="60">
    <mergeCell ref="G4:G5"/>
    <mergeCell ref="F17:F20"/>
    <mergeCell ref="A2:F2"/>
    <mergeCell ref="A4:A5"/>
    <mergeCell ref="B4:D4"/>
    <mergeCell ref="E4:E5"/>
    <mergeCell ref="F4:F5"/>
    <mergeCell ref="A6:G6"/>
    <mergeCell ref="F7:F10"/>
    <mergeCell ref="A11:F11"/>
    <mergeCell ref="F12:F15"/>
    <mergeCell ref="A16:G16"/>
    <mergeCell ref="A54:F54"/>
    <mergeCell ref="A21:F21"/>
    <mergeCell ref="F22:F25"/>
    <mergeCell ref="A26:G26"/>
    <mergeCell ref="F27:F30"/>
    <mergeCell ref="A31:F31"/>
    <mergeCell ref="F32:F35"/>
    <mergeCell ref="A36:F36"/>
    <mergeCell ref="F37:F40"/>
    <mergeCell ref="A41:F41"/>
    <mergeCell ref="F42:F45"/>
    <mergeCell ref="F48:F49"/>
    <mergeCell ref="A56:A57"/>
    <mergeCell ref="B56:D56"/>
    <mergeCell ref="E56:E57"/>
    <mergeCell ref="F56:F57"/>
    <mergeCell ref="F59:F62"/>
    <mergeCell ref="F110:F111"/>
    <mergeCell ref="G56:G57"/>
    <mergeCell ref="G59:G62"/>
    <mergeCell ref="G64:G67"/>
    <mergeCell ref="G69:G72"/>
    <mergeCell ref="G74:G77"/>
    <mergeCell ref="G79:G82"/>
    <mergeCell ref="G84:G87"/>
    <mergeCell ref="G89:G92"/>
    <mergeCell ref="G94:G97"/>
    <mergeCell ref="F94:F97"/>
    <mergeCell ref="F99:F102"/>
    <mergeCell ref="F104:F107"/>
    <mergeCell ref="A98:G98"/>
    <mergeCell ref="A103:G103"/>
    <mergeCell ref="F79:F82"/>
    <mergeCell ref="G99:G102"/>
    <mergeCell ref="G104:G107"/>
    <mergeCell ref="A58:G58"/>
    <mergeCell ref="A63:G63"/>
    <mergeCell ref="A68:G68"/>
    <mergeCell ref="A73:G73"/>
    <mergeCell ref="A78:G78"/>
    <mergeCell ref="A83:G83"/>
    <mergeCell ref="A88:G88"/>
    <mergeCell ref="A93:G93"/>
    <mergeCell ref="F84:F87"/>
    <mergeCell ref="F89:F92"/>
    <mergeCell ref="F64:F67"/>
    <mergeCell ref="F69:F72"/>
    <mergeCell ref="F74:F77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0">
    <tabColor rgb="FFFFFF00"/>
  </sheetPr>
  <dimension ref="A1:H43"/>
  <sheetViews>
    <sheetView topLeftCell="A13" workbookViewId="0">
      <selection activeCell="H38" sqref="H38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1" spans="1:8" x14ac:dyDescent="0.2">
      <c r="G1" s="4474" t="s">
        <v>1510</v>
      </c>
      <c r="H1" s="4474"/>
    </row>
    <row r="2" spans="1:8" ht="27.75" customHeight="1" x14ac:dyDescent="0.2">
      <c r="A2" s="4488" t="s">
        <v>3709</v>
      </c>
      <c r="B2" s="4488"/>
      <c r="C2" s="4488"/>
      <c r="D2" s="4488"/>
      <c r="E2" s="4488"/>
      <c r="F2" s="4488"/>
      <c r="G2" s="4488"/>
      <c r="H2" s="4488"/>
    </row>
    <row r="3" spans="1:8" ht="15.75" thickBot="1" x14ac:dyDescent="0.3">
      <c r="A3" s="4464" t="s">
        <v>1797</v>
      </c>
      <c r="B3" s="4464"/>
      <c r="C3" s="4464"/>
      <c r="D3" s="4464"/>
      <c r="E3" s="4464"/>
      <c r="F3" s="4464"/>
      <c r="G3" s="4464"/>
      <c r="H3" s="4464"/>
    </row>
    <row r="4" spans="1:8" x14ac:dyDescent="0.2">
      <c r="A4" s="4458" t="s">
        <v>1721</v>
      </c>
      <c r="B4" s="4465" t="s">
        <v>1722</v>
      </c>
      <c r="C4" s="4467" t="s">
        <v>1723</v>
      </c>
      <c r="D4" s="4465" t="s">
        <v>1724</v>
      </c>
      <c r="E4" s="4469"/>
      <c r="F4" s="4470" t="s">
        <v>1725</v>
      </c>
      <c r="G4" s="4465" t="s">
        <v>1726</v>
      </c>
      <c r="H4" s="4472" t="s">
        <v>1711</v>
      </c>
    </row>
    <row r="5" spans="1:8" ht="13.5" thickBot="1" x14ac:dyDescent="0.25">
      <c r="A5" s="4459"/>
      <c r="B5" s="4466"/>
      <c r="C5" s="4468"/>
      <c r="D5" s="2772" t="s">
        <v>1566</v>
      </c>
      <c r="E5" s="1956" t="s">
        <v>60</v>
      </c>
      <c r="F5" s="4471"/>
      <c r="G5" s="4466"/>
      <c r="H5" s="4473"/>
    </row>
    <row r="6" spans="1:8" ht="88.5" customHeight="1" x14ac:dyDescent="0.2">
      <c r="A6" s="4458" t="s">
        <v>1727</v>
      </c>
      <c r="B6" s="1957" t="s">
        <v>1728</v>
      </c>
      <c r="C6" s="2771" t="s">
        <v>44</v>
      </c>
      <c r="D6" s="1959">
        <v>8</v>
      </c>
      <c r="E6" s="2099">
        <v>8</v>
      </c>
      <c r="F6" s="1961">
        <f>1/D17</f>
        <v>0.33333333333333331</v>
      </c>
      <c r="G6" s="1962">
        <f>IF(D6/E6&gt;1,1,D6/E6)</f>
        <v>1</v>
      </c>
      <c r="H6" s="1963">
        <f t="shared" ref="H6:H11" si="0">F6*G6</f>
        <v>0.33333333333333331</v>
      </c>
    </row>
    <row r="7" spans="1:8" ht="54.75" customHeight="1" thickBot="1" x14ac:dyDescent="0.25">
      <c r="A7" s="4459"/>
      <c r="B7" s="1997" t="s">
        <v>1729</v>
      </c>
      <c r="C7" s="2772" t="s">
        <v>44</v>
      </c>
      <c r="D7" s="1965">
        <v>40.5</v>
      </c>
      <c r="E7" s="1966">
        <v>40.5</v>
      </c>
      <c r="F7" s="1967">
        <f>F6</f>
        <v>0.33333333333333331</v>
      </c>
      <c r="G7" s="1962">
        <f>IF(D7/E7&gt;1,1,D7/E7)</f>
        <v>1</v>
      </c>
      <c r="H7" s="1963">
        <f t="shared" si="0"/>
        <v>0.33333333333333331</v>
      </c>
    </row>
    <row r="8" spans="1:8" ht="68.25" customHeight="1" x14ac:dyDescent="0.2">
      <c r="A8" s="4458" t="s">
        <v>1730</v>
      </c>
      <c r="B8" s="1970" t="s">
        <v>1731</v>
      </c>
      <c r="C8" s="2771" t="s">
        <v>1732</v>
      </c>
      <c r="D8" s="1959">
        <v>0.37</v>
      </c>
      <c r="E8" s="2239">
        <v>0.48</v>
      </c>
      <c r="F8" s="1971">
        <f>F7</f>
        <v>0.33333333333333331</v>
      </c>
      <c r="G8" s="1998">
        <f>IF(D8/E8&gt;1,1,D8/E8)</f>
        <v>0.77083333333333337</v>
      </c>
      <c r="H8" s="1973">
        <f t="shared" si="0"/>
        <v>0.25694444444444442</v>
      </c>
    </row>
    <row r="9" spans="1:8" ht="32.25" customHeight="1" thickBot="1" x14ac:dyDescent="0.25">
      <c r="A9" s="4459"/>
      <c r="B9" s="1997" t="s">
        <v>2014</v>
      </c>
      <c r="C9" s="2772" t="s">
        <v>1732</v>
      </c>
      <c r="D9" s="1965">
        <v>10.7</v>
      </c>
      <c r="E9" s="2240">
        <v>10.8</v>
      </c>
      <c r="F9" s="1967">
        <f>1/D18</f>
        <v>0.33333333333333331</v>
      </c>
      <c r="G9" s="1999">
        <f>IF(D9/E9&gt;1,1,D9/E9)</f>
        <v>0.99074074074074059</v>
      </c>
      <c r="H9" s="1969">
        <f t="shared" si="0"/>
        <v>0.33024691358024683</v>
      </c>
    </row>
    <row r="10" spans="1:8" ht="40.5" customHeight="1" x14ac:dyDescent="0.2">
      <c r="A10" s="4458" t="s">
        <v>1734</v>
      </c>
      <c r="B10" s="1957" t="s">
        <v>1735</v>
      </c>
      <c r="C10" s="2771" t="s">
        <v>44</v>
      </c>
      <c r="D10" s="1959">
        <v>0</v>
      </c>
      <c r="E10" s="1960">
        <v>0</v>
      </c>
      <c r="F10" s="1971">
        <f>F9</f>
        <v>0.33333333333333331</v>
      </c>
      <c r="G10" s="1972">
        <v>1</v>
      </c>
      <c r="H10" s="1973">
        <f t="shared" si="0"/>
        <v>0.33333333333333331</v>
      </c>
    </row>
    <row r="11" spans="1:8" ht="33.75" customHeight="1" thickBot="1" x14ac:dyDescent="0.25">
      <c r="A11" s="4459"/>
      <c r="B11" s="1964" t="s">
        <v>1736</v>
      </c>
      <c r="C11" s="2772" t="s">
        <v>44</v>
      </c>
      <c r="D11" s="1965">
        <v>100</v>
      </c>
      <c r="E11" s="2100">
        <v>100</v>
      </c>
      <c r="F11" s="1967">
        <f>F10</f>
        <v>0.33333333333333331</v>
      </c>
      <c r="G11" s="1968">
        <f>IF(D11/E11&gt;1,1,D11/E11)</f>
        <v>1</v>
      </c>
      <c r="H11" s="1969">
        <f t="shared" si="0"/>
        <v>0.33333333333333331</v>
      </c>
    </row>
    <row r="12" spans="1:8" ht="38.25" customHeight="1" x14ac:dyDescent="0.2">
      <c r="A12" s="4458" t="s">
        <v>1737</v>
      </c>
      <c r="B12" s="1970" t="s">
        <v>1738</v>
      </c>
      <c r="C12" s="2771" t="s">
        <v>44</v>
      </c>
      <c r="D12" s="1959">
        <v>19.7</v>
      </c>
      <c r="E12" s="1960">
        <v>37.159999999999997</v>
      </c>
      <c r="F12" s="1961">
        <v>0</v>
      </c>
      <c r="G12" s="2000">
        <f>IF(D12/E12&gt;1,1,D12/E12)</f>
        <v>0.53013993541442417</v>
      </c>
      <c r="H12" s="1963"/>
    </row>
    <row r="13" spans="1:8" ht="38.25" customHeight="1" x14ac:dyDescent="0.2">
      <c r="A13" s="4460"/>
      <c r="B13" s="2778" t="s">
        <v>1741</v>
      </c>
      <c r="C13" s="2775" t="s">
        <v>1739</v>
      </c>
      <c r="D13" s="1995">
        <v>0.124</v>
      </c>
      <c r="E13" s="1996">
        <v>0.124</v>
      </c>
      <c r="F13" s="1961"/>
      <c r="G13" s="1974"/>
      <c r="H13" s="1963"/>
    </row>
    <row r="14" spans="1:8" ht="40.5" customHeight="1" x14ac:dyDescent="0.2">
      <c r="A14" s="4461"/>
      <c r="B14" s="2778" t="s">
        <v>1742</v>
      </c>
      <c r="C14" s="2775" t="s">
        <v>1739</v>
      </c>
      <c r="D14" s="1857">
        <v>0.24199999999999999</v>
      </c>
      <c r="E14" s="1975">
        <v>0.23899999999999999</v>
      </c>
      <c r="F14" s="1976">
        <v>0</v>
      </c>
      <c r="G14" s="1977"/>
      <c r="H14" s="1978"/>
    </row>
    <row r="15" spans="1:8" ht="40.5" customHeight="1" x14ac:dyDescent="0.2">
      <c r="A15" s="4462"/>
      <c r="B15" s="1979" t="s">
        <v>1740</v>
      </c>
      <c r="C15" s="2775" t="s">
        <v>1739</v>
      </c>
      <c r="D15" s="1980">
        <v>0.42</v>
      </c>
      <c r="E15" s="1981">
        <v>0.377</v>
      </c>
      <c r="F15" s="1982"/>
      <c r="G15" s="1983"/>
      <c r="H15" s="1984"/>
    </row>
    <row r="16" spans="1:8" ht="42.75" customHeight="1" thickBot="1" x14ac:dyDescent="0.25">
      <c r="A16" s="4462"/>
      <c r="B16" s="1979" t="s">
        <v>1743</v>
      </c>
      <c r="C16" s="2774" t="s">
        <v>1739</v>
      </c>
      <c r="D16" s="1980">
        <v>8.4000000000000005E-2</v>
      </c>
      <c r="E16" s="1981">
        <v>0.1</v>
      </c>
      <c r="F16" s="1982">
        <v>0</v>
      </c>
      <c r="G16" s="1983"/>
      <c r="H16" s="1984"/>
    </row>
    <row r="17" spans="1:8" x14ac:dyDescent="0.2">
      <c r="A17" s="1985"/>
      <c r="B17" s="1986"/>
      <c r="C17" s="1986" t="s">
        <v>288</v>
      </c>
      <c r="D17" s="1986">
        <v>3</v>
      </c>
      <c r="E17" s="1986"/>
      <c r="F17" s="1987">
        <f>F6+F7+F8</f>
        <v>1</v>
      </c>
      <c r="G17" s="1988"/>
      <c r="H17" s="2238">
        <f>H6+H7+H8</f>
        <v>0.92361111111111105</v>
      </c>
    </row>
    <row r="18" spans="1:8" ht="13.5" thickBot="1" x14ac:dyDescent="0.25">
      <c r="A18" s="1990"/>
      <c r="B18" s="1991"/>
      <c r="C18" s="1991" t="s">
        <v>316</v>
      </c>
      <c r="D18" s="1991">
        <v>3</v>
      </c>
      <c r="E18" s="1991"/>
      <c r="F18" s="1992">
        <f>F9+F10+F11</f>
        <v>1</v>
      </c>
      <c r="G18" s="1993"/>
      <c r="H18" s="2237">
        <f>H9+H10+H11</f>
        <v>0.99691358024691334</v>
      </c>
    </row>
    <row r="22" spans="1:8" x14ac:dyDescent="0.2">
      <c r="B22" s="5" t="s">
        <v>368</v>
      </c>
      <c r="C22" s="5"/>
      <c r="D22" s="5"/>
    </row>
    <row r="23" spans="1:8" ht="28.5" x14ac:dyDescent="0.2">
      <c r="B23" s="2776" t="s">
        <v>1815</v>
      </c>
      <c r="C23" s="2001">
        <f>C24*C26*C27*C28</f>
        <v>4372.4244373956808</v>
      </c>
      <c r="D23" s="2773"/>
    </row>
    <row r="24" spans="1:8" ht="14.25" x14ac:dyDescent="0.2">
      <c r="B24" s="2002" t="s">
        <v>1745</v>
      </c>
      <c r="C24" s="2779">
        <v>0.03</v>
      </c>
      <c r="D24" s="2072" t="s">
        <v>3710</v>
      </c>
    </row>
    <row r="25" spans="1:8" x14ac:dyDescent="0.2">
      <c r="B25" s="2002" t="s">
        <v>1747</v>
      </c>
      <c r="C25" s="2779">
        <f>IF(1-H53&gt;1/100,1/100,1-H53)</f>
        <v>0.01</v>
      </c>
      <c r="D25" s="2072"/>
    </row>
    <row r="26" spans="1:8" ht="14.25" x14ac:dyDescent="0.2">
      <c r="B26" s="2002" t="s">
        <v>1816</v>
      </c>
      <c r="C26" s="2779">
        <f>'[53]вода 2018 коррект'!N10</f>
        <v>135150.34286266143</v>
      </c>
      <c r="D26" s="2072"/>
    </row>
    <row r="27" spans="1:8" ht="14.25" x14ac:dyDescent="0.2">
      <c r="B27" s="2002" t="s">
        <v>1817</v>
      </c>
      <c r="C27" s="2004">
        <v>1.0469999999999999</v>
      </c>
      <c r="D27" s="2072"/>
    </row>
    <row r="28" spans="1:8" ht="14.25" x14ac:dyDescent="0.2">
      <c r="B28" s="2002" t="s">
        <v>3711</v>
      </c>
      <c r="C28" s="2005">
        <v>1.03</v>
      </c>
      <c r="D28" s="2006"/>
    </row>
    <row r="29" spans="1:8" x14ac:dyDescent="0.2">
      <c r="B29" s="5" t="s">
        <v>47</v>
      </c>
      <c r="C29" s="5"/>
      <c r="D29" s="5"/>
    </row>
    <row r="30" spans="1:8" ht="28.5" x14ac:dyDescent="0.2">
      <c r="B30" s="2776" t="s">
        <v>1815</v>
      </c>
      <c r="C30" s="2001">
        <f>C32*C33*C34*C35</f>
        <v>1015.4171782492955</v>
      </c>
      <c r="D30" s="2773"/>
    </row>
    <row r="31" spans="1:8" ht="14.25" x14ac:dyDescent="0.2">
      <c r="B31" s="2002" t="s">
        <v>1745</v>
      </c>
      <c r="C31" s="2779">
        <v>0.03</v>
      </c>
      <c r="D31" s="2072" t="s">
        <v>3710</v>
      </c>
    </row>
    <row r="32" spans="1:8" x14ac:dyDescent="0.2">
      <c r="B32" s="2002" t="s">
        <v>1747</v>
      </c>
      <c r="C32" s="2779">
        <f>IF(1-H60&gt;1/100,1/100,1-H60)</f>
        <v>0.01</v>
      </c>
      <c r="D32" s="2072"/>
    </row>
    <row r="33" spans="2:4" ht="25.5" x14ac:dyDescent="0.2">
      <c r="B33" s="2002" t="s">
        <v>1816</v>
      </c>
      <c r="C33" s="2779">
        <f>'[53]стоки 2018'!N10</f>
        <v>94243.238690983708</v>
      </c>
      <c r="D33" s="2072" t="s">
        <v>1819</v>
      </c>
    </row>
    <row r="34" spans="2:4" ht="14.25" x14ac:dyDescent="0.2">
      <c r="B34" s="2002" t="s">
        <v>1750</v>
      </c>
      <c r="C34" s="2004">
        <v>1.0389999999999999</v>
      </c>
      <c r="D34" s="2072"/>
    </row>
    <row r="35" spans="2:4" ht="14.25" x14ac:dyDescent="0.2">
      <c r="B35" s="2002" t="s">
        <v>1817</v>
      </c>
      <c r="C35" s="2005">
        <v>1.0369999999999999</v>
      </c>
      <c r="D35" s="2006"/>
    </row>
    <row r="37" spans="2:4" x14ac:dyDescent="0.2">
      <c r="B37" s="5" t="s">
        <v>25</v>
      </c>
      <c r="C37" s="5"/>
      <c r="D37" s="5"/>
    </row>
    <row r="38" spans="2:4" ht="28.5" x14ac:dyDescent="0.2">
      <c r="B38" s="2776" t="s">
        <v>1815</v>
      </c>
      <c r="C38" s="2001">
        <v>0</v>
      </c>
      <c r="D38" s="2773"/>
    </row>
    <row r="39" spans="2:4" ht="14.25" x14ac:dyDescent="0.2">
      <c r="B39" s="2002" t="s">
        <v>1745</v>
      </c>
      <c r="C39" s="2779">
        <v>0.03</v>
      </c>
      <c r="D39" s="2072" t="s">
        <v>3710</v>
      </c>
    </row>
    <row r="40" spans="2:4" x14ac:dyDescent="0.2">
      <c r="B40" s="2002" t="s">
        <v>1747</v>
      </c>
      <c r="C40" s="2779">
        <f>IF(1-H68&gt;1/100,1/100,1-H68)</f>
        <v>0.01</v>
      </c>
      <c r="D40" s="2072"/>
    </row>
    <row r="41" spans="2:4" ht="25.5" x14ac:dyDescent="0.2">
      <c r="B41" s="2002" t="s">
        <v>1816</v>
      </c>
      <c r="C41" s="2779">
        <v>0</v>
      </c>
      <c r="D41" s="2072" t="s">
        <v>1819</v>
      </c>
    </row>
    <row r="42" spans="2:4" ht="14.25" x14ac:dyDescent="0.2">
      <c r="B42" s="2002" t="s">
        <v>1750</v>
      </c>
      <c r="C42" s="2004">
        <v>1.0389999999999999</v>
      </c>
      <c r="D42" s="2072"/>
    </row>
    <row r="43" spans="2:4" ht="14.25" x14ac:dyDescent="0.2">
      <c r="B43" s="2002" t="s">
        <v>1817</v>
      </c>
      <c r="C43" s="2005">
        <v>1.0369999999999999</v>
      </c>
      <c r="D43" s="2006"/>
    </row>
  </sheetData>
  <mergeCells count="14">
    <mergeCell ref="A6:A7"/>
    <mergeCell ref="A8:A9"/>
    <mergeCell ref="A10:A11"/>
    <mergeCell ref="A12:A16"/>
    <mergeCell ref="G1:H1"/>
    <mergeCell ref="A2:H2"/>
    <mergeCell ref="A3:H3"/>
    <mergeCell ref="A4:A5"/>
    <mergeCell ref="B4:B5"/>
    <mergeCell ref="C4:C5"/>
    <mergeCell ref="D4:E4"/>
    <mergeCell ref="F4:F5"/>
    <mergeCell ref="G4:G5"/>
    <mergeCell ref="H4:H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1">
    <tabColor rgb="FFFFFF00"/>
    <pageSetUpPr fitToPage="1"/>
  </sheetPr>
  <dimension ref="A1:I68"/>
  <sheetViews>
    <sheetView workbookViewId="0">
      <selection activeCell="S31" sqref="S31"/>
    </sheetView>
  </sheetViews>
  <sheetFormatPr defaultRowHeight="12.75" x14ac:dyDescent="0.2"/>
  <cols>
    <col min="1" max="7" width="12.7109375" style="2527" customWidth="1"/>
    <col min="8" max="8" width="9.140625" style="2527"/>
    <col min="9" max="9" width="19.28515625" style="2527" customWidth="1"/>
    <col min="10" max="258" width="9.140625" style="2527"/>
    <col min="259" max="259" width="20.7109375" style="2527" customWidth="1"/>
    <col min="260" max="262" width="14.7109375" style="2527" customWidth="1"/>
    <col min="263" max="514" width="9.140625" style="2527"/>
    <col min="515" max="515" width="20.7109375" style="2527" customWidth="1"/>
    <col min="516" max="518" width="14.7109375" style="2527" customWidth="1"/>
    <col min="519" max="770" width="9.140625" style="2527"/>
    <col min="771" max="771" width="20.7109375" style="2527" customWidth="1"/>
    <col min="772" max="774" width="14.7109375" style="2527" customWidth="1"/>
    <col min="775" max="1026" width="9.140625" style="2527"/>
    <col min="1027" max="1027" width="20.7109375" style="2527" customWidth="1"/>
    <col min="1028" max="1030" width="14.7109375" style="2527" customWidth="1"/>
    <col min="1031" max="1282" width="9.140625" style="2527"/>
    <col min="1283" max="1283" width="20.7109375" style="2527" customWidth="1"/>
    <col min="1284" max="1286" width="14.7109375" style="2527" customWidth="1"/>
    <col min="1287" max="1538" width="9.140625" style="2527"/>
    <col min="1539" max="1539" width="20.7109375" style="2527" customWidth="1"/>
    <col min="1540" max="1542" width="14.7109375" style="2527" customWidth="1"/>
    <col min="1543" max="1794" width="9.140625" style="2527"/>
    <col min="1795" max="1795" width="20.7109375" style="2527" customWidth="1"/>
    <col min="1796" max="1798" width="14.7109375" style="2527" customWidth="1"/>
    <col min="1799" max="2050" width="9.140625" style="2527"/>
    <col min="2051" max="2051" width="20.7109375" style="2527" customWidth="1"/>
    <col min="2052" max="2054" width="14.7109375" style="2527" customWidth="1"/>
    <col min="2055" max="2306" width="9.140625" style="2527"/>
    <col min="2307" max="2307" width="20.7109375" style="2527" customWidth="1"/>
    <col min="2308" max="2310" width="14.7109375" style="2527" customWidth="1"/>
    <col min="2311" max="2562" width="9.140625" style="2527"/>
    <col min="2563" max="2563" width="20.7109375" style="2527" customWidth="1"/>
    <col min="2564" max="2566" width="14.7109375" style="2527" customWidth="1"/>
    <col min="2567" max="2818" width="9.140625" style="2527"/>
    <col min="2819" max="2819" width="20.7109375" style="2527" customWidth="1"/>
    <col min="2820" max="2822" width="14.7109375" style="2527" customWidth="1"/>
    <col min="2823" max="3074" width="9.140625" style="2527"/>
    <col min="3075" max="3075" width="20.7109375" style="2527" customWidth="1"/>
    <col min="3076" max="3078" width="14.7109375" style="2527" customWidth="1"/>
    <col min="3079" max="3330" width="9.140625" style="2527"/>
    <col min="3331" max="3331" width="20.7109375" style="2527" customWidth="1"/>
    <col min="3332" max="3334" width="14.7109375" style="2527" customWidth="1"/>
    <col min="3335" max="3586" width="9.140625" style="2527"/>
    <col min="3587" max="3587" width="20.7109375" style="2527" customWidth="1"/>
    <col min="3588" max="3590" width="14.7109375" style="2527" customWidth="1"/>
    <col min="3591" max="3842" width="9.140625" style="2527"/>
    <col min="3843" max="3843" width="20.7109375" style="2527" customWidth="1"/>
    <col min="3844" max="3846" width="14.7109375" style="2527" customWidth="1"/>
    <col min="3847" max="4098" width="9.140625" style="2527"/>
    <col min="4099" max="4099" width="20.7109375" style="2527" customWidth="1"/>
    <col min="4100" max="4102" width="14.7109375" style="2527" customWidth="1"/>
    <col min="4103" max="4354" width="9.140625" style="2527"/>
    <col min="4355" max="4355" width="20.7109375" style="2527" customWidth="1"/>
    <col min="4356" max="4358" width="14.7109375" style="2527" customWidth="1"/>
    <col min="4359" max="4610" width="9.140625" style="2527"/>
    <col min="4611" max="4611" width="20.7109375" style="2527" customWidth="1"/>
    <col min="4612" max="4614" width="14.7109375" style="2527" customWidth="1"/>
    <col min="4615" max="4866" width="9.140625" style="2527"/>
    <col min="4867" max="4867" width="20.7109375" style="2527" customWidth="1"/>
    <col min="4868" max="4870" width="14.7109375" style="2527" customWidth="1"/>
    <col min="4871" max="5122" width="9.140625" style="2527"/>
    <col min="5123" max="5123" width="20.7109375" style="2527" customWidth="1"/>
    <col min="5124" max="5126" width="14.7109375" style="2527" customWidth="1"/>
    <col min="5127" max="5378" width="9.140625" style="2527"/>
    <col min="5379" max="5379" width="20.7109375" style="2527" customWidth="1"/>
    <col min="5380" max="5382" width="14.7109375" style="2527" customWidth="1"/>
    <col min="5383" max="5634" width="9.140625" style="2527"/>
    <col min="5635" max="5635" width="20.7109375" style="2527" customWidth="1"/>
    <col min="5636" max="5638" width="14.7109375" style="2527" customWidth="1"/>
    <col min="5639" max="5890" width="9.140625" style="2527"/>
    <col min="5891" max="5891" width="20.7109375" style="2527" customWidth="1"/>
    <col min="5892" max="5894" width="14.7109375" style="2527" customWidth="1"/>
    <col min="5895" max="6146" width="9.140625" style="2527"/>
    <col min="6147" max="6147" width="20.7109375" style="2527" customWidth="1"/>
    <col min="6148" max="6150" width="14.7109375" style="2527" customWidth="1"/>
    <col min="6151" max="6402" width="9.140625" style="2527"/>
    <col min="6403" max="6403" width="20.7109375" style="2527" customWidth="1"/>
    <col min="6404" max="6406" width="14.7109375" style="2527" customWidth="1"/>
    <col min="6407" max="6658" width="9.140625" style="2527"/>
    <col min="6659" max="6659" width="20.7109375" style="2527" customWidth="1"/>
    <col min="6660" max="6662" width="14.7109375" style="2527" customWidth="1"/>
    <col min="6663" max="6914" width="9.140625" style="2527"/>
    <col min="6915" max="6915" width="20.7109375" style="2527" customWidth="1"/>
    <col min="6916" max="6918" width="14.7109375" style="2527" customWidth="1"/>
    <col min="6919" max="7170" width="9.140625" style="2527"/>
    <col min="7171" max="7171" width="20.7109375" style="2527" customWidth="1"/>
    <col min="7172" max="7174" width="14.7109375" style="2527" customWidth="1"/>
    <col min="7175" max="7426" width="9.140625" style="2527"/>
    <col min="7427" max="7427" width="20.7109375" style="2527" customWidth="1"/>
    <col min="7428" max="7430" width="14.7109375" style="2527" customWidth="1"/>
    <col min="7431" max="7682" width="9.140625" style="2527"/>
    <col min="7683" max="7683" width="20.7109375" style="2527" customWidth="1"/>
    <col min="7684" max="7686" width="14.7109375" style="2527" customWidth="1"/>
    <col min="7687" max="7938" width="9.140625" style="2527"/>
    <col min="7939" max="7939" width="20.7109375" style="2527" customWidth="1"/>
    <col min="7940" max="7942" width="14.7109375" style="2527" customWidth="1"/>
    <col min="7943" max="8194" width="9.140625" style="2527"/>
    <col min="8195" max="8195" width="20.7109375" style="2527" customWidth="1"/>
    <col min="8196" max="8198" width="14.7109375" style="2527" customWidth="1"/>
    <col min="8199" max="8450" width="9.140625" style="2527"/>
    <col min="8451" max="8451" width="20.7109375" style="2527" customWidth="1"/>
    <col min="8452" max="8454" width="14.7109375" style="2527" customWidth="1"/>
    <col min="8455" max="8706" width="9.140625" style="2527"/>
    <col min="8707" max="8707" width="20.7109375" style="2527" customWidth="1"/>
    <col min="8708" max="8710" width="14.7109375" style="2527" customWidth="1"/>
    <col min="8711" max="8962" width="9.140625" style="2527"/>
    <col min="8963" max="8963" width="20.7109375" style="2527" customWidth="1"/>
    <col min="8964" max="8966" width="14.7109375" style="2527" customWidth="1"/>
    <col min="8967" max="9218" width="9.140625" style="2527"/>
    <col min="9219" max="9219" width="20.7109375" style="2527" customWidth="1"/>
    <col min="9220" max="9222" width="14.7109375" style="2527" customWidth="1"/>
    <col min="9223" max="9474" width="9.140625" style="2527"/>
    <col min="9475" max="9475" width="20.7109375" style="2527" customWidth="1"/>
    <col min="9476" max="9478" width="14.7109375" style="2527" customWidth="1"/>
    <col min="9479" max="9730" width="9.140625" style="2527"/>
    <col min="9731" max="9731" width="20.7109375" style="2527" customWidth="1"/>
    <col min="9732" max="9734" width="14.7109375" style="2527" customWidth="1"/>
    <col min="9735" max="9986" width="9.140625" style="2527"/>
    <col min="9987" max="9987" width="20.7109375" style="2527" customWidth="1"/>
    <col min="9988" max="9990" width="14.7109375" style="2527" customWidth="1"/>
    <col min="9991" max="10242" width="9.140625" style="2527"/>
    <col min="10243" max="10243" width="20.7109375" style="2527" customWidth="1"/>
    <col min="10244" max="10246" width="14.7109375" style="2527" customWidth="1"/>
    <col min="10247" max="10498" width="9.140625" style="2527"/>
    <col min="10499" max="10499" width="20.7109375" style="2527" customWidth="1"/>
    <col min="10500" max="10502" width="14.7109375" style="2527" customWidth="1"/>
    <col min="10503" max="10754" width="9.140625" style="2527"/>
    <col min="10755" max="10755" width="20.7109375" style="2527" customWidth="1"/>
    <col min="10756" max="10758" width="14.7109375" style="2527" customWidth="1"/>
    <col min="10759" max="11010" width="9.140625" style="2527"/>
    <col min="11011" max="11011" width="20.7109375" style="2527" customWidth="1"/>
    <col min="11012" max="11014" width="14.7109375" style="2527" customWidth="1"/>
    <col min="11015" max="11266" width="9.140625" style="2527"/>
    <col min="11267" max="11267" width="20.7109375" style="2527" customWidth="1"/>
    <col min="11268" max="11270" width="14.7109375" style="2527" customWidth="1"/>
    <col min="11271" max="11522" width="9.140625" style="2527"/>
    <col min="11523" max="11523" width="20.7109375" style="2527" customWidth="1"/>
    <col min="11524" max="11526" width="14.7109375" style="2527" customWidth="1"/>
    <col min="11527" max="11778" width="9.140625" style="2527"/>
    <col min="11779" max="11779" width="20.7109375" style="2527" customWidth="1"/>
    <col min="11780" max="11782" width="14.7109375" style="2527" customWidth="1"/>
    <col min="11783" max="12034" width="9.140625" style="2527"/>
    <col min="12035" max="12035" width="20.7109375" style="2527" customWidth="1"/>
    <col min="12036" max="12038" width="14.7109375" style="2527" customWidth="1"/>
    <col min="12039" max="12290" width="9.140625" style="2527"/>
    <col min="12291" max="12291" width="20.7109375" style="2527" customWidth="1"/>
    <col min="12292" max="12294" width="14.7109375" style="2527" customWidth="1"/>
    <col min="12295" max="12546" width="9.140625" style="2527"/>
    <col min="12547" max="12547" width="20.7109375" style="2527" customWidth="1"/>
    <col min="12548" max="12550" width="14.7109375" style="2527" customWidth="1"/>
    <col min="12551" max="12802" width="9.140625" style="2527"/>
    <col min="12803" max="12803" width="20.7109375" style="2527" customWidth="1"/>
    <col min="12804" max="12806" width="14.7109375" style="2527" customWidth="1"/>
    <col min="12807" max="13058" width="9.140625" style="2527"/>
    <col min="13059" max="13059" width="20.7109375" style="2527" customWidth="1"/>
    <col min="13060" max="13062" width="14.7109375" style="2527" customWidth="1"/>
    <col min="13063" max="13314" width="9.140625" style="2527"/>
    <col min="13315" max="13315" width="20.7109375" style="2527" customWidth="1"/>
    <col min="13316" max="13318" width="14.7109375" style="2527" customWidth="1"/>
    <col min="13319" max="13570" width="9.140625" style="2527"/>
    <col min="13571" max="13571" width="20.7109375" style="2527" customWidth="1"/>
    <col min="13572" max="13574" width="14.7109375" style="2527" customWidth="1"/>
    <col min="13575" max="13826" width="9.140625" style="2527"/>
    <col min="13827" max="13827" width="20.7109375" style="2527" customWidth="1"/>
    <col min="13828" max="13830" width="14.7109375" style="2527" customWidth="1"/>
    <col min="13831" max="14082" width="9.140625" style="2527"/>
    <col min="14083" max="14083" width="20.7109375" style="2527" customWidth="1"/>
    <col min="14084" max="14086" width="14.7109375" style="2527" customWidth="1"/>
    <col min="14087" max="14338" width="9.140625" style="2527"/>
    <col min="14339" max="14339" width="20.7109375" style="2527" customWidth="1"/>
    <col min="14340" max="14342" width="14.7109375" style="2527" customWidth="1"/>
    <col min="14343" max="14594" width="9.140625" style="2527"/>
    <col min="14595" max="14595" width="20.7109375" style="2527" customWidth="1"/>
    <col min="14596" max="14598" width="14.7109375" style="2527" customWidth="1"/>
    <col min="14599" max="14850" width="9.140625" style="2527"/>
    <col min="14851" max="14851" width="20.7109375" style="2527" customWidth="1"/>
    <col min="14852" max="14854" width="14.7109375" style="2527" customWidth="1"/>
    <col min="14855" max="15106" width="9.140625" style="2527"/>
    <col min="15107" max="15107" width="20.7109375" style="2527" customWidth="1"/>
    <col min="15108" max="15110" width="14.7109375" style="2527" customWidth="1"/>
    <col min="15111" max="15362" width="9.140625" style="2527"/>
    <col min="15363" max="15363" width="20.7109375" style="2527" customWidth="1"/>
    <col min="15364" max="15366" width="14.7109375" style="2527" customWidth="1"/>
    <col min="15367" max="15618" width="9.140625" style="2527"/>
    <col min="15619" max="15619" width="20.7109375" style="2527" customWidth="1"/>
    <col min="15620" max="15622" width="14.7109375" style="2527" customWidth="1"/>
    <col min="15623" max="15874" width="9.140625" style="2527"/>
    <col min="15875" max="15875" width="20.7109375" style="2527" customWidth="1"/>
    <col min="15876" max="15878" width="14.7109375" style="2527" customWidth="1"/>
    <col min="15879" max="16130" width="9.140625" style="2527"/>
    <col min="16131" max="16131" width="20.7109375" style="2527" customWidth="1"/>
    <col min="16132" max="16134" width="14.7109375" style="2527" customWidth="1"/>
    <col min="16135" max="16384" width="9.140625" style="2527"/>
  </cols>
  <sheetData>
    <row r="1" spans="1:9" ht="15.75" x14ac:dyDescent="0.25">
      <c r="A1" s="5579" t="s">
        <v>3571</v>
      </c>
      <c r="B1" s="5579"/>
      <c r="C1" s="5579"/>
      <c r="D1" s="5579"/>
      <c r="E1" s="5579"/>
      <c r="F1" s="5579"/>
      <c r="G1" s="5580"/>
    </row>
    <row r="2" spans="1:9" ht="15.75" x14ac:dyDescent="0.2">
      <c r="A2" s="5581" t="s">
        <v>368</v>
      </c>
      <c r="B2" s="5581"/>
      <c r="C2" s="5581"/>
      <c r="D2" s="5582"/>
      <c r="E2" s="5582"/>
      <c r="F2" s="5582"/>
      <c r="G2" s="5582"/>
    </row>
    <row r="3" spans="1:9" ht="13.5" x14ac:dyDescent="0.25">
      <c r="A3" s="5583" t="s">
        <v>1560</v>
      </c>
      <c r="B3" s="5585" t="s">
        <v>1708</v>
      </c>
      <c r="C3" s="5586"/>
      <c r="D3" s="5587" t="s">
        <v>1709</v>
      </c>
      <c r="E3" s="5585" t="s">
        <v>3572</v>
      </c>
      <c r="F3" s="5589"/>
      <c r="G3" s="5590"/>
    </row>
    <row r="4" spans="1:9" ht="15.75" x14ac:dyDescent="0.25">
      <c r="A4" s="5584"/>
      <c r="B4" s="3040" t="s">
        <v>3573</v>
      </c>
      <c r="C4" s="3040" t="s">
        <v>1677</v>
      </c>
      <c r="D4" s="5588"/>
      <c r="E4" s="3040" t="s">
        <v>3573</v>
      </c>
      <c r="F4" s="3040" t="s">
        <v>1677</v>
      </c>
      <c r="G4" s="3040" t="s">
        <v>1596</v>
      </c>
    </row>
    <row r="5" spans="1:9" ht="15.75" x14ac:dyDescent="0.25">
      <c r="A5" s="3041" t="s">
        <v>258</v>
      </c>
      <c r="B5" s="3042">
        <f>SUM('[54]ФАКТИЧЕСКАЯ СЕБЕСТ ВОДА 2018'!B14-'[54]ФАКТИЧЕСКАЯ СЕБЕСТ ВОДА 2018'!B17)*1000</f>
        <v>307846.41000000003</v>
      </c>
      <c r="C5" s="3043">
        <f>SUM('[54]ФАКТИЧЕСКАЯ СЕБЕСТ ВОДА 2018'!C14-'[54]ФАКТИЧЕСКАЯ СЕБЕСТ ВОДА 2018'!C17)*1000</f>
        <v>319190</v>
      </c>
      <c r="D5" s="3044">
        <v>36.03</v>
      </c>
      <c r="E5" s="3045">
        <f>B5*D5/1000</f>
        <v>11091.706152300003</v>
      </c>
      <c r="F5" s="3045">
        <f>C5*D5/1000</f>
        <v>11500.415700000001</v>
      </c>
      <c r="G5" s="3045">
        <f>SUM(F5-E5)</f>
        <v>408.70954769999844</v>
      </c>
    </row>
    <row r="6" spans="1:9" ht="15.75" x14ac:dyDescent="0.25">
      <c r="A6" s="3041" t="s">
        <v>259</v>
      </c>
      <c r="B6" s="3042">
        <f>SUM('[54]ФАКТИЧЕСКАЯ СЕБЕСТ ВОДА 2018'!E14-'[54]ФАКТИЧЕСКАЯ СЕБЕСТ ВОДА 2018'!E17)*1000</f>
        <v>306035.7</v>
      </c>
      <c r="C6" s="3043">
        <f>SUM('[54]ФАКТИЧЕСКАЯ СЕБЕСТ ВОДА 2018'!F14-'[54]ФАКТИЧЕСКАЯ СЕБЕСТ ВОДА 2018'!F17)*1000</f>
        <v>315390</v>
      </c>
      <c r="D6" s="3044">
        <v>36.03</v>
      </c>
      <c r="E6" s="3045">
        <f t="shared" ref="E6:E16" si="0">B6*D6/1000</f>
        <v>11026.466271000001</v>
      </c>
      <c r="F6" s="3045">
        <f t="shared" ref="F6:F16" si="1">C6*D6/1000</f>
        <v>11363.501700000001</v>
      </c>
      <c r="G6" s="3045">
        <f t="shared" ref="G6:G16" si="2">SUM(F6-E6)</f>
        <v>337.03542899999957</v>
      </c>
    </row>
    <row r="7" spans="1:9" ht="15.75" x14ac:dyDescent="0.25">
      <c r="A7" s="3041" t="s">
        <v>260</v>
      </c>
      <c r="B7" s="3042">
        <f>SUM('[54]ФАКТИЧЕСКАЯ СЕБЕСТ ВОДА 2018'!H14-'[54]ФАКТИЧЕСКАЯ СЕБЕСТ ВОДА 2018'!H17)*1000</f>
        <v>306035.7</v>
      </c>
      <c r="C7" s="3043">
        <f>SUM('[54]ФАКТИЧЕСКАЯ СЕБЕСТ ВОДА 2018'!I14-'[54]ФАКТИЧЕСКАЯ СЕБЕСТ ВОДА 2018'!I17)*1000</f>
        <v>297260.00000000006</v>
      </c>
      <c r="D7" s="3044">
        <v>36.03</v>
      </c>
      <c r="E7" s="3045">
        <f t="shared" si="0"/>
        <v>11026.466271000001</v>
      </c>
      <c r="F7" s="3045">
        <f t="shared" si="1"/>
        <v>10710.277800000003</v>
      </c>
      <c r="G7" s="3045">
        <f t="shared" si="2"/>
        <v>-316.18847099999766</v>
      </c>
    </row>
    <row r="8" spans="1:9" ht="15.75" x14ac:dyDescent="0.25">
      <c r="A8" s="3041" t="s">
        <v>261</v>
      </c>
      <c r="B8" s="3042">
        <f>SUM('[54]ФАКТИЧЕСКАЯ СЕБЕСТ ВОДА 2018'!P14-'[54]ФАКТИЧЕСКАЯ СЕБЕСТ ВОДА 2018'!P17)*1000</f>
        <v>304224.99</v>
      </c>
      <c r="C8" s="3043">
        <f>SUM('[54]ФАКТИЧЕСКАЯ СЕБЕСТ ВОДА 2018'!Q14-'[54]ФАКТИЧЕСКАЯ СЕБЕСТ ВОДА 2018'!Q17)*1000</f>
        <v>320200</v>
      </c>
      <c r="D8" s="3044">
        <v>36.03</v>
      </c>
      <c r="E8" s="3045">
        <f t="shared" si="0"/>
        <v>10961.226389699999</v>
      </c>
      <c r="F8" s="3045">
        <f t="shared" si="1"/>
        <v>11536.806</v>
      </c>
      <c r="G8" s="3045">
        <f t="shared" si="2"/>
        <v>575.57961030000115</v>
      </c>
    </row>
    <row r="9" spans="1:9" ht="15.75" x14ac:dyDescent="0.25">
      <c r="A9" s="3041" t="s">
        <v>262</v>
      </c>
      <c r="B9" s="3042">
        <f>SUM('[54]ФАКТИЧЕСКАЯ СЕБЕСТ ВОДА 2018'!S14-'[54]ФАКТИЧЕСКАЯ СЕБЕСТ ВОДА 2018'!S17)*1000</f>
        <v>287928.60000000003</v>
      </c>
      <c r="C9" s="3043">
        <f>SUM('[54]ФАКТИЧЕСКАЯ СЕБЕСТ ВОДА 2018'!T14-'[54]ФАКТИЧЕСКАЯ СЕБЕСТ ВОДА 2018'!T17)*1000</f>
        <v>304989.99999999994</v>
      </c>
      <c r="D9" s="3044">
        <v>36.03</v>
      </c>
      <c r="E9" s="3045">
        <f t="shared" si="0"/>
        <v>10374.067458000003</v>
      </c>
      <c r="F9" s="3045">
        <f t="shared" si="1"/>
        <v>10988.789699999998</v>
      </c>
      <c r="G9" s="3045">
        <f t="shared" si="2"/>
        <v>614.72224199999437</v>
      </c>
    </row>
    <row r="10" spans="1:9" ht="15.75" x14ac:dyDescent="0.25">
      <c r="A10" s="3041" t="s">
        <v>263</v>
      </c>
      <c r="B10" s="3042">
        <f>SUM('[54]ФАКТИЧЕСКАЯ СЕБЕСТ ВОДА 2018'!V14-'[54]ФАКТИЧЕСКАЯ СЕБЕСТ ВОДА 2018'!V17)*1000</f>
        <v>287928.60000000003</v>
      </c>
      <c r="C10" s="3043">
        <f>SUM('[54]ФАКТИЧЕСКАЯ СЕБЕСТ ВОДА 2018'!W14-'[54]ФАКТИЧЕСКАЯ СЕБЕСТ ВОДА 2018'!W17)*1000</f>
        <v>324890.00000000006</v>
      </c>
      <c r="D10" s="3044">
        <v>36.03</v>
      </c>
      <c r="E10" s="3045">
        <f t="shared" si="0"/>
        <v>10374.067458000003</v>
      </c>
      <c r="F10" s="3045">
        <f t="shared" si="1"/>
        <v>11705.786700000002</v>
      </c>
      <c r="G10" s="3045">
        <f t="shared" si="2"/>
        <v>1331.7192419999992</v>
      </c>
    </row>
    <row r="11" spans="1:9" ht="15.75" x14ac:dyDescent="0.25">
      <c r="A11" s="3041" t="s">
        <v>1210</v>
      </c>
      <c r="B11" s="3042">
        <f>SUM('[54]ФАКТИЧЕСКАЯ СЕБЕСТ ВОДА 2018'!AI14-'[54]ФАКТИЧЕСКАЯ СЕБЕСТ ВОДА 2018'!AI17)*1000</f>
        <v>287928.60000000003</v>
      </c>
      <c r="C11" s="3043">
        <f>SUM('[54]ФАКТИЧЕСКАЯ СЕБЕСТ ВОДА 2018'!AJ14-'[54]ФАКТИЧЕСКАЯ СЕБЕСТ ВОДА 2018'!AJ17)*1000</f>
        <v>284070</v>
      </c>
      <c r="D11" s="3044">
        <v>36.85</v>
      </c>
      <c r="E11" s="3045">
        <f t="shared" si="0"/>
        <v>10610.168910000002</v>
      </c>
      <c r="F11" s="3045">
        <f t="shared" si="1"/>
        <v>10467.979499999999</v>
      </c>
      <c r="G11" s="3045">
        <f t="shared" si="2"/>
        <v>-142.18941000000268</v>
      </c>
      <c r="I11" s="2534"/>
    </row>
    <row r="12" spans="1:9" ht="15.75" x14ac:dyDescent="0.25">
      <c r="A12" s="3041" t="s">
        <v>264</v>
      </c>
      <c r="B12" s="3042">
        <f>SUM('[54]ФАКТИЧЕСКАЯ СЕБЕСТ ВОДА 2018'!AL14-'[54]ФАКТИЧЕСКАЯ СЕБЕСТ ВОДА 2018'!AL17)*1000</f>
        <v>287928.60000000003</v>
      </c>
      <c r="C12" s="3043">
        <f>SUM('[54]ФАКТИЧЕСКАЯ СЕБЕСТ ВОДА 2018'!AM14-'[54]ФАКТИЧЕСКАЯ СЕБЕСТ ВОДА 2018'!AM17)*1000</f>
        <v>295730</v>
      </c>
      <c r="D12" s="3044">
        <v>36.85</v>
      </c>
      <c r="E12" s="3045">
        <f t="shared" si="0"/>
        <v>10610.168910000002</v>
      </c>
      <c r="F12" s="3045">
        <f t="shared" si="1"/>
        <v>10897.6505</v>
      </c>
      <c r="G12" s="3045">
        <f t="shared" si="2"/>
        <v>287.4815899999976</v>
      </c>
    </row>
    <row r="13" spans="1:9" ht="15.75" x14ac:dyDescent="0.25">
      <c r="A13" s="3041" t="s">
        <v>1228</v>
      </c>
      <c r="B13" s="3042">
        <f>SUM('[54]ФАКТИЧЕСКАЯ СЕБЕСТ ВОДА 2018'!AO14-'[54]ФАКТИЧЕСКАЯ СЕБЕСТ ВОДА 2018'!AO17)*1000</f>
        <v>304224.99</v>
      </c>
      <c r="C13" s="3043">
        <f>SUM('[54]ФАКТИЧЕСКАЯ СЕБЕСТ ВОДА 2018'!AP14-'[54]ФАКТИЧЕСКАЯ СЕБЕСТ ВОДА 2018'!AP17)*1000</f>
        <v>305169</v>
      </c>
      <c r="D13" s="3044">
        <v>36.85</v>
      </c>
      <c r="E13" s="3045">
        <f t="shared" si="0"/>
        <v>11210.690881500001</v>
      </c>
      <c r="F13" s="3045">
        <f t="shared" si="1"/>
        <v>11245.477650000001</v>
      </c>
      <c r="G13" s="3045">
        <f t="shared" si="2"/>
        <v>34.786768500000107</v>
      </c>
    </row>
    <row r="14" spans="1:9" ht="15.75" x14ac:dyDescent="0.25">
      <c r="A14" s="3041" t="s">
        <v>265</v>
      </c>
      <c r="B14" s="3042">
        <f>SUM('[54]ФАКТИЧЕСКАЯ СЕБЕСТ ВОДА 2018'!BB14-'[54]ФАКТИЧЕСКАЯ СЕБЕСТ ВОДА 2018'!BB17)*1000</f>
        <v>306035.7</v>
      </c>
      <c r="C14" s="3043">
        <f>SUM('[54]ФАКТИЧЕСКАЯ СЕБЕСТ ВОДА 2018'!BE14-'[54]ФАКТИЧЕСКАЯ СЕБЕСТ ВОДА 2018'!BE17)*1000</f>
        <v>301436.00000000006</v>
      </c>
      <c r="D14" s="3044">
        <v>36.85</v>
      </c>
      <c r="E14" s="3045">
        <f t="shared" si="0"/>
        <v>11277.415545000002</v>
      </c>
      <c r="F14" s="3045">
        <f t="shared" si="1"/>
        <v>11107.916600000004</v>
      </c>
      <c r="G14" s="3045">
        <f t="shared" si="2"/>
        <v>-169.49894499999755</v>
      </c>
    </row>
    <row r="15" spans="1:9" ht="15.75" x14ac:dyDescent="0.25">
      <c r="A15" s="3041" t="s">
        <v>266</v>
      </c>
      <c r="B15" s="3042">
        <f>SUM('[54]ФАКТИЧЕСКАЯ СЕБЕСТ ВОДА 2018'!BK14-'[54]ФАКТИЧЕСКАЯ СЕБЕСТ ВОДА 2018'!BK17)*1000</f>
        <v>306035.7</v>
      </c>
      <c r="C15" s="3043">
        <f>SUM('[54]ФАКТИЧЕСКАЯ СЕБЕСТ ВОДА 2018'!BN14-'[54]ФАКТИЧЕСКАЯ СЕБЕСТ ВОДА 2018'!BN17)*1000</f>
        <v>296290</v>
      </c>
      <c r="D15" s="3044">
        <v>36.85</v>
      </c>
      <c r="E15" s="3045">
        <f t="shared" si="0"/>
        <v>11277.415545000002</v>
      </c>
      <c r="F15" s="3045">
        <f t="shared" si="1"/>
        <v>10918.2865</v>
      </c>
      <c r="G15" s="3045">
        <f t="shared" si="2"/>
        <v>-359.1290450000015</v>
      </c>
    </row>
    <row r="16" spans="1:9" ht="15.75" x14ac:dyDescent="0.25">
      <c r="A16" s="3041" t="s">
        <v>1319</v>
      </c>
      <c r="B16" s="3042">
        <f>SUM('[54]ФАКТИЧЕСКАЯ СЕБЕСТ ВОДА 2018'!BT14-'[54]ФАКТИЧЕСКАЯ СЕБЕСТ ВОДА 2018'!BT17)*1000</f>
        <v>307846.41000000003</v>
      </c>
      <c r="C16" s="3043">
        <f>SUM('[54]ФАКТИЧЕСКАЯ СЕБЕСТ ВОДА 2018'!BW14-'[54]ФАКТИЧЕСКАЯ СЕБЕСТ ВОДА 2018'!BW17)*1000</f>
        <v>293910</v>
      </c>
      <c r="D16" s="3044">
        <v>36.85</v>
      </c>
      <c r="E16" s="3045">
        <f t="shared" si="0"/>
        <v>11344.140208500001</v>
      </c>
      <c r="F16" s="3045">
        <f t="shared" si="1"/>
        <v>10830.583500000001</v>
      </c>
      <c r="G16" s="3045">
        <f t="shared" si="2"/>
        <v>-513.55670850000024</v>
      </c>
    </row>
    <row r="17" spans="1:7" ht="15.75" x14ac:dyDescent="0.25">
      <c r="A17" s="3046" t="s">
        <v>282</v>
      </c>
      <c r="B17" s="3047">
        <f>SUM(B5:B16)</f>
        <v>3600000.0000000009</v>
      </c>
      <c r="C17" s="3048">
        <f>SUM(C5:C16)</f>
        <v>3658525</v>
      </c>
      <c r="D17" s="3048">
        <f>F17/C17*1000</f>
        <v>36.42819766162593</v>
      </c>
      <c r="E17" s="3048">
        <f>SUM(E5:E16)</f>
        <v>131184.00000000003</v>
      </c>
      <c r="F17" s="3048">
        <f>SUM(F5:F16)</f>
        <v>133273.47185</v>
      </c>
      <c r="G17" s="3048">
        <f>SUM(G5:G16)</f>
        <v>2089.4718499999908</v>
      </c>
    </row>
    <row r="18" spans="1:7" ht="15" x14ac:dyDescent="0.2">
      <c r="A18" s="3049"/>
      <c r="B18" s="3049"/>
      <c r="C18" s="3049"/>
      <c r="D18" s="3049"/>
      <c r="E18" s="3049"/>
      <c r="F18" s="3049"/>
      <c r="G18" s="3050"/>
    </row>
    <row r="19" spans="1:7" ht="15.75" x14ac:dyDescent="0.2">
      <c r="A19" s="5581" t="s">
        <v>25</v>
      </c>
      <c r="B19" s="5581"/>
      <c r="C19" s="5581"/>
      <c r="D19" s="5582"/>
      <c r="E19" s="5582"/>
      <c r="F19" s="5582"/>
      <c r="G19" s="5582"/>
    </row>
    <row r="20" spans="1:7" ht="15.75" customHeight="1" x14ac:dyDescent="0.25">
      <c r="A20" s="5583" t="s">
        <v>1560</v>
      </c>
      <c r="B20" s="5585" t="s">
        <v>1708</v>
      </c>
      <c r="C20" s="5586"/>
      <c r="D20" s="5587" t="s">
        <v>1709</v>
      </c>
      <c r="E20" s="5585" t="s">
        <v>3572</v>
      </c>
      <c r="F20" s="5589"/>
      <c r="G20" s="5590"/>
    </row>
    <row r="21" spans="1:7" ht="15.75" customHeight="1" x14ac:dyDescent="0.25">
      <c r="A21" s="5584"/>
      <c r="B21" s="3040" t="s">
        <v>3573</v>
      </c>
      <c r="C21" s="3040" t="s">
        <v>1677</v>
      </c>
      <c r="D21" s="5588"/>
      <c r="E21" s="3040" t="s">
        <v>3573</v>
      </c>
      <c r="F21" s="3040" t="s">
        <v>1677</v>
      </c>
      <c r="G21" s="3040" t="s">
        <v>1596</v>
      </c>
    </row>
    <row r="22" spans="1:7" ht="15.75" x14ac:dyDescent="0.25">
      <c r="A22" s="3041" t="s">
        <v>258</v>
      </c>
      <c r="B22" s="3042">
        <f>SUM('[54]ФАКТИЧЕСКАЯ СЕБЕСТ ВОДА 2018'!B17)*1000</f>
        <v>1785.0000000000002</v>
      </c>
      <c r="C22" s="3043">
        <f>SUM('[54]ФАКТИЧЕСКАЯ СЕБЕСТ ВОДА 2018'!C17)*1000</f>
        <v>140</v>
      </c>
      <c r="D22" s="3043">
        <v>17.93</v>
      </c>
      <c r="E22" s="3045">
        <f>B22*D22/1000</f>
        <v>32.005050000000004</v>
      </c>
      <c r="F22" s="3045">
        <f>C22*D22/1000</f>
        <v>2.5101999999999998</v>
      </c>
      <c r="G22" s="3045">
        <f>SUM(F22-E22)</f>
        <v>-29.494850000000003</v>
      </c>
    </row>
    <row r="23" spans="1:7" ht="15.75" x14ac:dyDescent="0.25">
      <c r="A23" s="3041" t="s">
        <v>259</v>
      </c>
      <c r="B23" s="3042">
        <f>SUM('[54]ФАКТИЧЕСКАЯ СЕБЕСТ ВОДА 2018'!E17)*1000</f>
        <v>1785.0000000000002</v>
      </c>
      <c r="C23" s="3043">
        <f>SUM('[54]ФАКТИЧЕСКАЯ СЕБЕСТ ВОДА 2018'!F17)*1000</f>
        <v>180</v>
      </c>
      <c r="D23" s="3043">
        <v>17.93</v>
      </c>
      <c r="E23" s="3045">
        <f t="shared" ref="E23:E33" si="3">B23*D23/1000</f>
        <v>32.005050000000004</v>
      </c>
      <c r="F23" s="3045">
        <f t="shared" ref="F23:F33" si="4">C23*D23/1000</f>
        <v>3.2274000000000003</v>
      </c>
      <c r="G23" s="3045">
        <f t="shared" ref="G23:G33" si="5">SUM(F23-E23)</f>
        <v>-28.777650000000005</v>
      </c>
    </row>
    <row r="24" spans="1:7" ht="15.75" x14ac:dyDescent="0.25">
      <c r="A24" s="3041" t="s">
        <v>260</v>
      </c>
      <c r="B24" s="3042">
        <f>SUM('[54]ФАКТИЧЕСКАЯ СЕБЕСТ ВОДА 2018'!H17)*1000</f>
        <v>1785.0000000000002</v>
      </c>
      <c r="C24" s="3043">
        <f>SUM('[54]ФАКТИЧЕСКАЯ СЕБЕСТ ВОДА 2018'!I17)*1000</f>
        <v>120</v>
      </c>
      <c r="D24" s="3043">
        <v>17.93</v>
      </c>
      <c r="E24" s="3045">
        <f t="shared" si="3"/>
        <v>32.005050000000004</v>
      </c>
      <c r="F24" s="3045">
        <f t="shared" si="4"/>
        <v>2.1515999999999997</v>
      </c>
      <c r="G24" s="3045">
        <f t="shared" si="5"/>
        <v>-29.853450000000006</v>
      </c>
    </row>
    <row r="25" spans="1:7" ht="15.75" x14ac:dyDescent="0.25">
      <c r="A25" s="3041" t="s">
        <v>261</v>
      </c>
      <c r="B25" s="3042">
        <f>SUM('[54]ФАКТИЧЕСКАЯ СЕБЕСТ ВОДА 2018'!P17)*1000</f>
        <v>1785.0000000000002</v>
      </c>
      <c r="C25" s="3043">
        <f>SUM('[54]ФАКТИЧЕСКАЯ СЕБЕСТ ВОДА 2018'!Q17)*1000</f>
        <v>320</v>
      </c>
      <c r="D25" s="3043">
        <v>17.93</v>
      </c>
      <c r="E25" s="3045">
        <f t="shared" si="3"/>
        <v>32.005050000000004</v>
      </c>
      <c r="F25" s="3045">
        <f t="shared" si="4"/>
        <v>5.7376000000000005</v>
      </c>
      <c r="G25" s="3045">
        <f t="shared" si="5"/>
        <v>-26.267450000000004</v>
      </c>
    </row>
    <row r="26" spans="1:7" ht="15.75" x14ac:dyDescent="0.25">
      <c r="A26" s="3041" t="s">
        <v>262</v>
      </c>
      <c r="B26" s="3042">
        <f>SUM('[54]ФАКТИЧЕСКАЯ СЕБЕСТ ВОДА 2018'!S17)*1000</f>
        <v>1785.0000000000002</v>
      </c>
      <c r="C26" s="3043">
        <f>SUM('[54]ФАКТИЧЕСКАЯ СЕБЕСТ ВОДА 2018'!T17)*1000</f>
        <v>100</v>
      </c>
      <c r="D26" s="3043">
        <v>17.93</v>
      </c>
      <c r="E26" s="3045">
        <f t="shared" si="3"/>
        <v>32.005050000000004</v>
      </c>
      <c r="F26" s="3045">
        <f t="shared" si="4"/>
        <v>1.7929999999999999</v>
      </c>
      <c r="G26" s="3045">
        <f t="shared" si="5"/>
        <v>-30.212050000000005</v>
      </c>
    </row>
    <row r="27" spans="1:7" ht="15.75" x14ac:dyDescent="0.25">
      <c r="A27" s="3041" t="s">
        <v>263</v>
      </c>
      <c r="B27" s="3042">
        <f>SUM('[54]ФАКТИЧЕСКАЯ СЕБЕСТ ВОДА 2018'!V17)*1000</f>
        <v>1785.0000000000002</v>
      </c>
      <c r="C27" s="3043">
        <f>SUM('[54]ФАКТИЧЕСКАЯ СЕБЕСТ ВОДА 2018'!W17)*1000</f>
        <v>90</v>
      </c>
      <c r="D27" s="3043">
        <v>17.93</v>
      </c>
      <c r="E27" s="3045">
        <f t="shared" si="3"/>
        <v>32.005050000000004</v>
      </c>
      <c r="F27" s="3045">
        <f t="shared" si="4"/>
        <v>1.6137000000000001</v>
      </c>
      <c r="G27" s="3045">
        <f t="shared" si="5"/>
        <v>-30.391350000000003</v>
      </c>
    </row>
    <row r="28" spans="1:7" ht="15.75" x14ac:dyDescent="0.25">
      <c r="A28" s="3041" t="s">
        <v>1210</v>
      </c>
      <c r="B28" s="3042">
        <f>SUM('[54]ФАКТИЧЕСКАЯ СЕБЕСТ ВОДА 2018'!AI17)*1000</f>
        <v>1785.0000000000002</v>
      </c>
      <c r="C28" s="3043">
        <f>SUM('[54]ФАКТИЧЕСКАЯ СЕБЕСТ ВОДА 2018'!AJ17)*1000</f>
        <v>70</v>
      </c>
      <c r="D28" s="3043">
        <v>39.75</v>
      </c>
      <c r="E28" s="3045">
        <f t="shared" si="3"/>
        <v>70.953750000000014</v>
      </c>
      <c r="F28" s="3045">
        <f t="shared" si="4"/>
        <v>2.7825000000000002</v>
      </c>
      <c r="G28" s="3045">
        <f t="shared" si="5"/>
        <v>-68.171250000000015</v>
      </c>
    </row>
    <row r="29" spans="1:7" ht="15.75" x14ac:dyDescent="0.25">
      <c r="A29" s="3041" t="s">
        <v>264</v>
      </c>
      <c r="B29" s="3042">
        <f>SUM('[54]ФАКТИЧЕСКАЯ СЕБЕСТ ВОДА 2018'!AL17)*1000</f>
        <v>1785.0000000000002</v>
      </c>
      <c r="C29" s="3043">
        <f>SUM('[54]ФАКТИЧЕСКАЯ СЕБЕСТ ВОДА 2018'!AM17)*1000</f>
        <v>70</v>
      </c>
      <c r="D29" s="3043">
        <v>39.75</v>
      </c>
      <c r="E29" s="3045">
        <f t="shared" si="3"/>
        <v>70.953750000000014</v>
      </c>
      <c r="F29" s="3045">
        <f t="shared" si="4"/>
        <v>2.7825000000000002</v>
      </c>
      <c r="G29" s="3045">
        <f t="shared" si="5"/>
        <v>-68.171250000000015</v>
      </c>
    </row>
    <row r="30" spans="1:7" ht="15.75" x14ac:dyDescent="0.25">
      <c r="A30" s="3041" t="s">
        <v>1228</v>
      </c>
      <c r="B30" s="3042">
        <f>SUM('[54]ФАКТИЧЕСКАЯ СЕБЕСТ ВОДА 2018'!AO17)*1000</f>
        <v>1785.0000000000002</v>
      </c>
      <c r="C30" s="3043">
        <f>SUM('[54]ФАКТИЧЕСКАЯ СЕБЕСТ ВОДА 2018'!AP17)*1000</f>
        <v>81</v>
      </c>
      <c r="D30" s="3043">
        <v>39.75</v>
      </c>
      <c r="E30" s="3045">
        <f t="shared" si="3"/>
        <v>70.953750000000014</v>
      </c>
      <c r="F30" s="3045">
        <f t="shared" si="4"/>
        <v>3.2197499999999999</v>
      </c>
      <c r="G30" s="3045">
        <f t="shared" si="5"/>
        <v>-67.734000000000009</v>
      </c>
    </row>
    <row r="31" spans="1:7" ht="15.75" x14ac:dyDescent="0.25">
      <c r="A31" s="3041" t="s">
        <v>265</v>
      </c>
      <c r="B31" s="3042">
        <f>SUM('[54]ФАКТИЧЕСКАЯ СЕБЕСТ ВОДА 2018'!BB17)*1000</f>
        <v>1785.0000000000002</v>
      </c>
      <c r="C31" s="3043">
        <f>SUM('[54]ФАКТИЧЕСКАЯ СЕБЕСТ ВОДА 2018'!BE17)*1000</f>
        <v>80</v>
      </c>
      <c r="D31" s="3043">
        <v>39.75</v>
      </c>
      <c r="E31" s="3045">
        <f t="shared" si="3"/>
        <v>70.953750000000014</v>
      </c>
      <c r="F31" s="3045">
        <f t="shared" si="4"/>
        <v>3.18</v>
      </c>
      <c r="G31" s="3045">
        <f t="shared" si="5"/>
        <v>-67.773750000000007</v>
      </c>
    </row>
    <row r="32" spans="1:7" ht="15.75" x14ac:dyDescent="0.25">
      <c r="A32" s="3041" t="s">
        <v>266</v>
      </c>
      <c r="B32" s="3042">
        <f>SUM('[54]ФАКТИЧЕСКАЯ СЕБЕСТ ВОДА 2018'!BK17)*1000</f>
        <v>1785.0000000000002</v>
      </c>
      <c r="C32" s="3043">
        <f>SUM('[54]ФАКТИЧЕСКАЯ СЕБЕСТ ВОДА 2018'!BN17)*1000</f>
        <v>80</v>
      </c>
      <c r="D32" s="3043">
        <v>39.75</v>
      </c>
      <c r="E32" s="3045">
        <f t="shared" si="3"/>
        <v>70.953750000000014</v>
      </c>
      <c r="F32" s="3045">
        <f t="shared" si="4"/>
        <v>3.18</v>
      </c>
      <c r="G32" s="3045">
        <f t="shared" si="5"/>
        <v>-67.773750000000007</v>
      </c>
    </row>
    <row r="33" spans="1:7" ht="15.75" x14ac:dyDescent="0.25">
      <c r="A33" s="3041" t="s">
        <v>1319</v>
      </c>
      <c r="B33" s="3042">
        <f>SUM('[54]ФАКТИЧЕСКАЯ СЕБЕСТ ВОДА 2018'!BT17)*1000</f>
        <v>1785.0000000000002</v>
      </c>
      <c r="C33" s="3043">
        <f>SUM('[54]ФАКТИЧЕСКАЯ СЕБЕСТ ВОДА 2018'!BW17)*1000</f>
        <v>0</v>
      </c>
      <c r="D33" s="3043">
        <v>39.75</v>
      </c>
      <c r="E33" s="3045">
        <f t="shared" si="3"/>
        <v>70.953750000000014</v>
      </c>
      <c r="F33" s="3045">
        <f t="shared" si="4"/>
        <v>0</v>
      </c>
      <c r="G33" s="3045">
        <f t="shared" si="5"/>
        <v>-70.953750000000014</v>
      </c>
    </row>
    <row r="34" spans="1:7" ht="15.75" x14ac:dyDescent="0.25">
      <c r="A34" s="3046" t="s">
        <v>282</v>
      </c>
      <c r="B34" s="3047">
        <f>SUM(B22:B33)</f>
        <v>21420.000000000004</v>
      </c>
      <c r="C34" s="3048">
        <f>SUM(C22:C33)</f>
        <v>1331</v>
      </c>
      <c r="D34" s="3048">
        <f>F34/C34*1000</f>
        <v>24.175995492111195</v>
      </c>
      <c r="E34" s="3048">
        <f>SUM(E22:E33)</f>
        <v>617.75280000000009</v>
      </c>
      <c r="F34" s="3048">
        <f>SUM(F22:F33)</f>
        <v>32.178249999999998</v>
      </c>
      <c r="G34" s="3048">
        <f>SUM(G22:G33)</f>
        <v>-585.57455000000004</v>
      </c>
    </row>
    <row r="35" spans="1:7" ht="15" x14ac:dyDescent="0.2">
      <c r="A35" s="3049"/>
      <c r="B35" s="3049"/>
      <c r="C35" s="3049"/>
      <c r="D35" s="3049"/>
      <c r="E35" s="3049"/>
      <c r="F35" s="3049"/>
      <c r="G35" s="3050"/>
    </row>
    <row r="36" spans="1:7" ht="15.75" x14ac:dyDescent="0.2">
      <c r="A36" s="5581" t="s">
        <v>47</v>
      </c>
      <c r="B36" s="5581"/>
      <c r="C36" s="5581"/>
      <c r="D36" s="5582"/>
      <c r="E36" s="5582"/>
      <c r="F36" s="5582"/>
      <c r="G36" s="5582"/>
    </row>
    <row r="37" spans="1:7" ht="12.75" customHeight="1" x14ac:dyDescent="0.25">
      <c r="A37" s="5583" t="s">
        <v>1560</v>
      </c>
      <c r="B37" s="5585" t="s">
        <v>1708</v>
      </c>
      <c r="C37" s="5586"/>
      <c r="D37" s="5587" t="s">
        <v>1709</v>
      </c>
      <c r="E37" s="5585" t="s">
        <v>3572</v>
      </c>
      <c r="F37" s="5589"/>
      <c r="G37" s="5590"/>
    </row>
    <row r="38" spans="1:7" ht="15.75" x14ac:dyDescent="0.25">
      <c r="A38" s="5584"/>
      <c r="B38" s="3040" t="s">
        <v>3573</v>
      </c>
      <c r="C38" s="3040" t="s">
        <v>1677</v>
      </c>
      <c r="D38" s="5588"/>
      <c r="E38" s="3040" t="s">
        <v>3573</v>
      </c>
      <c r="F38" s="3040" t="s">
        <v>1677</v>
      </c>
      <c r="G38" s="3040" t="s">
        <v>1596</v>
      </c>
    </row>
    <row r="39" spans="1:7" ht="15.75" x14ac:dyDescent="0.25">
      <c r="A39" s="3041" t="s">
        <v>258</v>
      </c>
      <c r="B39" s="3042">
        <f>SUM('[54]ФАКТИЧЕСКАЯ СЕБЕСТ. СТОКИ 2018'!B9-'[54]ФАКТИЧЕСКАЯ СЕБЕСТ. СТОКИ 2018'!B11)*1000</f>
        <v>276165</v>
      </c>
      <c r="C39" s="3042">
        <f>SUM('[54]ФАКТИЧЕСКАЯ СЕБЕСТ. СТОКИ 2018'!C9-'[54]ФАКТИЧЕСКАЯ СЕБЕСТ. СТОКИ 2018'!C11)*1000</f>
        <v>270450</v>
      </c>
      <c r="D39" s="3043">
        <v>26.64</v>
      </c>
      <c r="E39" s="3045">
        <f>B39*D39/1000</f>
        <v>7357.0356000000002</v>
      </c>
      <c r="F39" s="3045">
        <f>C39*D39/1000</f>
        <v>7204.7879999999996</v>
      </c>
      <c r="G39" s="3045">
        <f>SUM(F39-E39)</f>
        <v>-152.2476000000006</v>
      </c>
    </row>
    <row r="40" spans="1:7" ht="15.75" x14ac:dyDescent="0.25">
      <c r="A40" s="3041" t="s">
        <v>259</v>
      </c>
      <c r="B40" s="3042">
        <f>SUM('[54]ФАКТИЧЕСКАЯ СЕБЕСТ. СТОКИ 2018'!E9-'[54]ФАКТИЧЕСКАЯ СЕБЕСТ. СТОКИ 2018'!E11)*1000</f>
        <v>274550</v>
      </c>
      <c r="C40" s="3042">
        <f>SUM('[54]ФАКТИЧЕСКАЯ СЕБЕСТ. СТОКИ 2018'!F9-'[54]ФАКТИЧЕСКАЯ СЕБЕСТ. СТОКИ 2018'!F11)*1000</f>
        <v>264460</v>
      </c>
      <c r="D40" s="3043">
        <v>26.64</v>
      </c>
      <c r="E40" s="3045">
        <f t="shared" ref="E40:E50" si="6">B40*D40/1000</f>
        <v>7314.0119999999997</v>
      </c>
      <c r="F40" s="3045">
        <f t="shared" ref="F40:F50" si="7">C40*D40/1000</f>
        <v>7045.2144000000008</v>
      </c>
      <c r="G40" s="3045">
        <f t="shared" ref="G40:G50" si="8">SUM(F40-E40)</f>
        <v>-268.79759999999897</v>
      </c>
    </row>
    <row r="41" spans="1:7" ht="15.75" x14ac:dyDescent="0.25">
      <c r="A41" s="3041" t="s">
        <v>260</v>
      </c>
      <c r="B41" s="3042">
        <f>SUM('[54]ФАКТИЧЕСКАЯ СЕБЕСТ. СТОКИ 2018'!H9-'[54]ФАКТИЧЕСКАЯ СЕБЕСТ. СТОКИ 2018'!H11)*1000</f>
        <v>274550</v>
      </c>
      <c r="C41" s="3042">
        <f>SUM('[54]ФАКТИЧЕСКАЯ СЕБЕСТ. СТОКИ 2018'!I9-'[54]ФАКТИЧЕСКАЯ СЕБЕСТ. СТОКИ 2018'!I11)*1000</f>
        <v>257690</v>
      </c>
      <c r="D41" s="3043">
        <v>26.64</v>
      </c>
      <c r="E41" s="3045">
        <f t="shared" si="6"/>
        <v>7314.0119999999997</v>
      </c>
      <c r="F41" s="3045">
        <f t="shared" si="7"/>
        <v>6864.8616000000002</v>
      </c>
      <c r="G41" s="3045">
        <f t="shared" si="8"/>
        <v>-449.15039999999954</v>
      </c>
    </row>
    <row r="42" spans="1:7" ht="15.75" x14ac:dyDescent="0.25">
      <c r="A42" s="3041" t="s">
        <v>261</v>
      </c>
      <c r="B42" s="3042">
        <f>SUM('[54]ФАКТИЧЕСКАЯ СЕБЕСТ. СТОКИ 2018'!P9-'[54]ФАКТИЧЕСКАЯ СЕБЕСТ. СТОКИ 2018'!P11)*1000</f>
        <v>272934.99999999994</v>
      </c>
      <c r="C42" s="3042">
        <f>SUM('[54]ФАКТИЧЕСКАЯ СЕБЕСТ. СТОКИ 2018'!Q9-'[54]ФАКТИЧЕСКАЯ СЕБЕСТ. СТОКИ 2018'!Q11)*1000</f>
        <v>273770</v>
      </c>
      <c r="D42" s="3043">
        <v>26.64</v>
      </c>
      <c r="E42" s="3045">
        <f t="shared" si="6"/>
        <v>7270.9883999999984</v>
      </c>
      <c r="F42" s="3045">
        <f t="shared" si="7"/>
        <v>7293.2327999999998</v>
      </c>
      <c r="G42" s="3045">
        <f t="shared" si="8"/>
        <v>22.244400000001406</v>
      </c>
    </row>
    <row r="43" spans="1:7" ht="15.75" x14ac:dyDescent="0.25">
      <c r="A43" s="3041" t="s">
        <v>262</v>
      </c>
      <c r="B43" s="3042">
        <f>SUM('[54]ФАКТИЧЕСКАЯ СЕБЕСТ. СТОКИ 2018'!S9-'[54]ФАКТИЧЕСКАЯ СЕБЕСТ. СТОКИ 2018'!S11)*1000</f>
        <v>258399.99999999997</v>
      </c>
      <c r="C43" s="3042">
        <f>SUM('[54]ФАКТИЧЕСКАЯ СЕБЕСТ. СТОКИ 2018'!T9-'[54]ФАКТИЧЕСКАЯ СЕБЕСТ. СТОКИ 2018'!T11)*1000</f>
        <v>261200</v>
      </c>
      <c r="D43" s="3043">
        <v>26.64</v>
      </c>
      <c r="E43" s="3045">
        <f t="shared" si="6"/>
        <v>6883.7759999999989</v>
      </c>
      <c r="F43" s="3045">
        <f t="shared" si="7"/>
        <v>6958.3680000000004</v>
      </c>
      <c r="G43" s="3045">
        <f t="shared" si="8"/>
        <v>74.592000000001462</v>
      </c>
    </row>
    <row r="44" spans="1:7" ht="15.75" x14ac:dyDescent="0.25">
      <c r="A44" s="3041" t="s">
        <v>263</v>
      </c>
      <c r="B44" s="3042">
        <f>SUM('[54]ФАКТИЧЕСКАЯ СЕБЕСТ. СТОКИ 2018'!V9-'[54]ФАКТИЧЕСКАЯ СЕБЕСТ. СТОКИ 2018'!V11)*1000</f>
        <v>258399.99999999997</v>
      </c>
      <c r="C44" s="3042">
        <f>SUM('[54]ФАКТИЧЕСКАЯ СЕБЕСТ. СТОКИ 2018'!W9-'[54]ФАКТИЧЕСКАЯ СЕБЕСТ. СТОКИ 2018'!W11)*1000</f>
        <v>277280</v>
      </c>
      <c r="D44" s="3043">
        <v>26.64</v>
      </c>
      <c r="E44" s="3045">
        <f t="shared" si="6"/>
        <v>6883.7759999999989</v>
      </c>
      <c r="F44" s="3045">
        <f t="shared" si="7"/>
        <v>7386.7392</v>
      </c>
      <c r="G44" s="3045">
        <f t="shared" si="8"/>
        <v>502.96320000000105</v>
      </c>
    </row>
    <row r="45" spans="1:7" ht="15.75" x14ac:dyDescent="0.25">
      <c r="A45" s="3041" t="s">
        <v>1210</v>
      </c>
      <c r="B45" s="3042">
        <f>SUM('[54]ФАКТИЧЕСКАЯ СЕБЕСТ. СТОКИ 2018'!AI9-'[54]ФАКТИЧЕСКАЯ СЕБЕСТ. СТОКИ 2018'!AI11)*1000</f>
        <v>258399.99999999997</v>
      </c>
      <c r="C45" s="3042">
        <f>SUM('[54]ФАКТИЧЕСКАЯ СЕБЕСТ. СТОКИ 2018'!AJ9-'[54]ФАКТИЧЕСКАЯ СЕБЕСТ. СТОКИ 2018'!AJ11)*1000</f>
        <v>241600</v>
      </c>
      <c r="D45" s="3043">
        <v>34.659999999999997</v>
      </c>
      <c r="E45" s="3045">
        <f t="shared" si="6"/>
        <v>8956.1439999999984</v>
      </c>
      <c r="F45" s="3045">
        <f t="shared" si="7"/>
        <v>8373.8559999999998</v>
      </c>
      <c r="G45" s="3045">
        <f t="shared" si="8"/>
        <v>-582.28799999999865</v>
      </c>
    </row>
    <row r="46" spans="1:7" ht="15.75" x14ac:dyDescent="0.25">
      <c r="A46" s="3041" t="s">
        <v>264</v>
      </c>
      <c r="B46" s="3042">
        <f>SUM('[54]ФАКТИЧЕСКАЯ СЕБЕСТ. СТОКИ 2018'!AL9-'[54]ФАКТИЧЕСКАЯ СЕБЕСТ. СТОКИ 2018'!AL11)*1000</f>
        <v>258399.99999999997</v>
      </c>
      <c r="C46" s="3042">
        <f>SUM('[54]ФАКТИЧЕСКАЯ СЕБЕСТ. СТОКИ 2018'!AM9-'[54]ФАКТИЧЕСКАЯ СЕБЕСТ. СТОКИ 2018'!AM11)*1000</f>
        <v>258000</v>
      </c>
      <c r="D46" s="3043">
        <v>34.659999999999997</v>
      </c>
      <c r="E46" s="3045">
        <f t="shared" si="6"/>
        <v>8956.1439999999984</v>
      </c>
      <c r="F46" s="3045">
        <f t="shared" si="7"/>
        <v>8942.2800000000007</v>
      </c>
      <c r="G46" s="3045">
        <f t="shared" si="8"/>
        <v>-13.863999999997759</v>
      </c>
    </row>
    <row r="47" spans="1:7" ht="15.75" x14ac:dyDescent="0.25">
      <c r="A47" s="3041" t="s">
        <v>1228</v>
      </c>
      <c r="B47" s="3042">
        <f>SUM('[54]ФАКТИЧЕСКАЯ СЕБЕСТ. СТОКИ 2018'!AO9-'[54]ФАКТИЧЕСКАЯ СЕБЕСТ. СТОКИ 2018'!AO11)*1000</f>
        <v>272934.99999999994</v>
      </c>
      <c r="C47" s="3042">
        <f>SUM('[54]ФАКТИЧЕСКАЯ СЕБЕСТ. СТОКИ 2018'!AP9-'[54]ФАКТИЧЕСКАЯ СЕБЕСТ. СТОКИ 2018'!AP11)*1000</f>
        <v>253450</v>
      </c>
      <c r="D47" s="3043">
        <v>34.659999999999997</v>
      </c>
      <c r="E47" s="3045">
        <f t="shared" si="6"/>
        <v>9459.9270999999972</v>
      </c>
      <c r="F47" s="3045">
        <f t="shared" si="7"/>
        <v>8784.5769999999993</v>
      </c>
      <c r="G47" s="3045">
        <f t="shared" si="8"/>
        <v>-675.35009999999784</v>
      </c>
    </row>
    <row r="48" spans="1:7" ht="15.75" x14ac:dyDescent="0.25">
      <c r="A48" s="3041" t="s">
        <v>265</v>
      </c>
      <c r="B48" s="3042">
        <f>SUM('[54]ФАКТИЧЕСКАЯ СЕБЕСТ. СТОКИ 2018'!BB9-'[54]ФАКТИЧЕСКАЯ СЕБЕСТ. СТОКИ 2018'!BB11)*1000</f>
        <v>274550</v>
      </c>
      <c r="C48" s="3042">
        <f>SUM('[54]ФАКТИЧЕСКАЯ СЕБЕСТ. СТОКИ 2018'!BC9-'[54]ФАКТИЧЕСКАЯ СЕБЕСТ. СТОКИ 2018'!BC11)*1000</f>
        <v>260239.99999999994</v>
      </c>
      <c r="D48" s="3043">
        <v>34.659999999999997</v>
      </c>
      <c r="E48" s="3045">
        <f t="shared" si="6"/>
        <v>9515.9029999999984</v>
      </c>
      <c r="F48" s="3045">
        <f t="shared" si="7"/>
        <v>9019.9183999999968</v>
      </c>
      <c r="G48" s="3045">
        <f t="shared" si="8"/>
        <v>-495.98460000000159</v>
      </c>
    </row>
    <row r="49" spans="1:7" ht="15.75" x14ac:dyDescent="0.25">
      <c r="A49" s="3041" t="s">
        <v>266</v>
      </c>
      <c r="B49" s="3042">
        <f>SUM('[54]ФАКТИЧЕСКАЯ СЕБЕСТ. СТОКИ 2018'!BG9-'[54]ФАКТИЧЕСКАЯ СЕБЕСТ. СТОКИ 2018'!BG11)*1000</f>
        <v>274550</v>
      </c>
      <c r="C49" s="3042">
        <f>SUM('[54]ФАКТИЧЕСКАЯ СЕБЕСТ. СТОКИ 2018'!BH9-'[54]ФАКТИЧЕСКАЯ СЕБЕСТ. СТОКИ 2018'!BH11)*1000</f>
        <v>260630</v>
      </c>
      <c r="D49" s="3043">
        <v>34.659999999999997</v>
      </c>
      <c r="E49" s="3045">
        <f t="shared" si="6"/>
        <v>9515.9029999999984</v>
      </c>
      <c r="F49" s="3045">
        <f t="shared" si="7"/>
        <v>9033.4357999999993</v>
      </c>
      <c r="G49" s="3045">
        <f t="shared" si="8"/>
        <v>-482.46719999999914</v>
      </c>
    </row>
    <row r="50" spans="1:7" ht="15.75" x14ac:dyDescent="0.25">
      <c r="A50" s="3041" t="s">
        <v>1319</v>
      </c>
      <c r="B50" s="3042">
        <f>SUM('[54]ФАКТИЧЕСКАЯ СЕБЕСТ. СТОКИ 2018'!BL9-'[54]ФАКТИЧЕСКАЯ СЕБЕСТ. СТОКИ 2018'!BL11)*1000</f>
        <v>276165</v>
      </c>
      <c r="C50" s="3042">
        <f>SUM('[54]ФАКТИЧЕСКАЯ СЕБЕСТ. СТОКИ 2018'!BM9-'[54]ФАКТИЧЕСКАЯ СЕБЕСТ. СТОКИ 2018'!BM11)*1000</f>
        <v>253350</v>
      </c>
      <c r="D50" s="3043">
        <v>34.659999999999997</v>
      </c>
      <c r="E50" s="3045">
        <f t="shared" si="6"/>
        <v>9571.8788999999979</v>
      </c>
      <c r="F50" s="3045">
        <f t="shared" si="7"/>
        <v>8781.1110000000008</v>
      </c>
      <c r="G50" s="3045">
        <f t="shared" si="8"/>
        <v>-790.7678999999971</v>
      </c>
    </row>
    <row r="51" spans="1:7" ht="15.75" x14ac:dyDescent="0.25">
      <c r="A51" s="3046" t="s">
        <v>282</v>
      </c>
      <c r="B51" s="3047">
        <f>SUM(B39:B50)</f>
        <v>3230000</v>
      </c>
      <c r="C51" s="3048">
        <f>SUM(C39:C50)</f>
        <v>3132120</v>
      </c>
      <c r="D51" s="3048">
        <f>F51/C51*1000</f>
        <v>30.550675644611314</v>
      </c>
      <c r="E51" s="3048">
        <f>SUM(E39:E50)</f>
        <v>98999.499999999985</v>
      </c>
      <c r="F51" s="3048">
        <f>SUM(F39:F50)</f>
        <v>95688.382199999993</v>
      </c>
      <c r="G51" s="3048">
        <f>SUM(G39:G50)</f>
        <v>-3311.1177999999873</v>
      </c>
    </row>
    <row r="52" spans="1:7" ht="15" x14ac:dyDescent="0.2">
      <c r="A52" s="3049"/>
      <c r="B52" s="3049"/>
      <c r="C52" s="3049"/>
      <c r="D52" s="3049"/>
      <c r="E52" s="3049"/>
      <c r="F52" s="3049"/>
      <c r="G52" s="3050"/>
    </row>
    <row r="53" spans="1:7" ht="15.75" x14ac:dyDescent="0.2">
      <c r="A53" s="5581" t="s">
        <v>1752</v>
      </c>
      <c r="B53" s="5581"/>
      <c r="C53" s="5581"/>
      <c r="D53" s="5582"/>
      <c r="E53" s="5582"/>
      <c r="F53" s="5582"/>
      <c r="G53" s="5582"/>
    </row>
    <row r="54" spans="1:7" ht="12.75" customHeight="1" x14ac:dyDescent="0.25">
      <c r="A54" s="5583" t="s">
        <v>1560</v>
      </c>
      <c r="B54" s="5585" t="s">
        <v>1708</v>
      </c>
      <c r="C54" s="5586"/>
      <c r="D54" s="5587" t="s">
        <v>1709</v>
      </c>
      <c r="E54" s="5585" t="s">
        <v>3572</v>
      </c>
      <c r="F54" s="5589"/>
      <c r="G54" s="5590"/>
    </row>
    <row r="55" spans="1:7" ht="15.75" x14ac:dyDescent="0.25">
      <c r="A55" s="5584"/>
      <c r="B55" s="3040" t="s">
        <v>3573</v>
      </c>
      <c r="C55" s="3040" t="s">
        <v>1677</v>
      </c>
      <c r="D55" s="5588"/>
      <c r="E55" s="3040" t="s">
        <v>3573</v>
      </c>
      <c r="F55" s="3040" t="s">
        <v>1677</v>
      </c>
      <c r="G55" s="3040" t="s">
        <v>1596</v>
      </c>
    </row>
    <row r="56" spans="1:7" ht="15.75" x14ac:dyDescent="0.25">
      <c r="A56" s="3041" t="s">
        <v>258</v>
      </c>
      <c r="B56" s="3042">
        <f>SUM('[54]ФАКТИЧЕСКАЯ СЕБЕСТ. СТОКИ 2018'!B11)*1000</f>
        <v>1577.5</v>
      </c>
      <c r="C56" s="3042">
        <f>SUM('[54]ФАКТИЧЕСКАЯ СЕБЕСТ. СТОКИ 2018'!C11)*1000</f>
        <v>238</v>
      </c>
      <c r="D56" s="3044">
        <v>14.24</v>
      </c>
      <c r="E56" s="3045">
        <f>B56*D56/1000</f>
        <v>22.4636</v>
      </c>
      <c r="F56" s="3045">
        <f>C56*D56/1000</f>
        <v>3.3891199999999997</v>
      </c>
      <c r="G56" s="3045">
        <f>SUM(F56-E56)</f>
        <v>-19.074480000000001</v>
      </c>
    </row>
    <row r="57" spans="1:7" ht="15.75" x14ac:dyDescent="0.25">
      <c r="A57" s="3041" t="s">
        <v>259</v>
      </c>
      <c r="B57" s="3042">
        <f>SUM('[54]ФАКТИЧЕСКАЯ СЕБЕСТ. СТОКИ 2018'!E11)*1000</f>
        <v>1577.5</v>
      </c>
      <c r="C57" s="3042">
        <f>SUM('[54]ФАКТИЧЕСКАЯ СЕБЕСТ. СТОКИ 2018'!F11)*1000</f>
        <v>190</v>
      </c>
      <c r="D57" s="3044">
        <v>14.24</v>
      </c>
      <c r="E57" s="3045">
        <f t="shared" ref="E57:E67" si="9">B57*D57/1000</f>
        <v>22.4636</v>
      </c>
      <c r="F57" s="3045">
        <f t="shared" ref="F57:F67" si="10">C57*D57/1000</f>
        <v>2.7056</v>
      </c>
      <c r="G57" s="3045">
        <f t="shared" ref="G57:G67" si="11">SUM(F57-E57)</f>
        <v>-19.757999999999999</v>
      </c>
    </row>
    <row r="58" spans="1:7" ht="15.75" x14ac:dyDescent="0.25">
      <c r="A58" s="3041" t="s">
        <v>260</v>
      </c>
      <c r="B58" s="3042">
        <f>SUM('[54]ФАКТИЧЕСКАЯ СЕБЕСТ. СТОКИ 2018'!H11)*1000</f>
        <v>1577.5</v>
      </c>
      <c r="C58" s="3042">
        <f>SUM('[54]ФАКТИЧЕСКАЯ СЕБЕСТ. СТОКИ 2018'!I11)*1000</f>
        <v>3680</v>
      </c>
      <c r="D58" s="3044">
        <v>14.24</v>
      </c>
      <c r="E58" s="3045">
        <f t="shared" si="9"/>
        <v>22.4636</v>
      </c>
      <c r="F58" s="3045">
        <f t="shared" si="10"/>
        <v>52.403200000000005</v>
      </c>
      <c r="G58" s="3045">
        <f t="shared" si="11"/>
        <v>29.939600000000006</v>
      </c>
    </row>
    <row r="59" spans="1:7" ht="15.75" x14ac:dyDescent="0.25">
      <c r="A59" s="3041" t="s">
        <v>261</v>
      </c>
      <c r="B59" s="3042">
        <f>SUM('[54]ФАКТИЧЕСКАЯ СЕБЕСТ. СТОКИ 2018'!P11)*1000</f>
        <v>1577.5</v>
      </c>
      <c r="C59" s="3042">
        <f>SUM('[54]ФАКТИЧЕСКАЯ СЕБЕСТ. СТОКИ 2018'!Q11)*1000</f>
        <v>260</v>
      </c>
      <c r="D59" s="3044">
        <v>14.24</v>
      </c>
      <c r="E59" s="3045">
        <f t="shared" si="9"/>
        <v>22.4636</v>
      </c>
      <c r="F59" s="3045">
        <f t="shared" si="10"/>
        <v>3.7023999999999999</v>
      </c>
      <c r="G59" s="3045">
        <f t="shared" si="11"/>
        <v>-18.761199999999999</v>
      </c>
    </row>
    <row r="60" spans="1:7" ht="15.75" x14ac:dyDescent="0.25">
      <c r="A60" s="3041" t="s">
        <v>262</v>
      </c>
      <c r="B60" s="3042">
        <f>SUM('[54]ФАКТИЧЕСКАЯ СЕБЕСТ. СТОКИ 2018'!S11)*1000</f>
        <v>1577.5</v>
      </c>
      <c r="C60" s="3042">
        <f>SUM('[54]ФАКТИЧЕСКАЯ СЕБЕСТ. СТОКИ 2018'!T11)*1000</f>
        <v>590</v>
      </c>
      <c r="D60" s="3044">
        <v>14.24</v>
      </c>
      <c r="E60" s="3045">
        <f t="shared" si="9"/>
        <v>22.4636</v>
      </c>
      <c r="F60" s="3045">
        <f t="shared" si="10"/>
        <v>8.4016000000000002</v>
      </c>
      <c r="G60" s="3045">
        <f t="shared" si="11"/>
        <v>-14.061999999999999</v>
      </c>
    </row>
    <row r="61" spans="1:7" ht="15.75" x14ac:dyDescent="0.25">
      <c r="A61" s="3041" t="s">
        <v>263</v>
      </c>
      <c r="B61" s="3042">
        <f>SUM('[54]ФАКТИЧЕСКАЯ СЕБЕСТ. СТОКИ 2018'!V11)*1000</f>
        <v>1577.5</v>
      </c>
      <c r="C61" s="3042">
        <f>SUM('[54]ФАКТИЧЕСКАЯ СЕБЕСТ. СТОКИ 2018'!W11)*1000</f>
        <v>3750</v>
      </c>
      <c r="D61" s="3044">
        <v>14.24</v>
      </c>
      <c r="E61" s="3045">
        <f t="shared" si="9"/>
        <v>22.4636</v>
      </c>
      <c r="F61" s="3045">
        <f t="shared" si="10"/>
        <v>53.4</v>
      </c>
      <c r="G61" s="3045">
        <f t="shared" si="11"/>
        <v>30.936399999999999</v>
      </c>
    </row>
    <row r="62" spans="1:7" ht="15.75" x14ac:dyDescent="0.25">
      <c r="A62" s="3041" t="s">
        <v>1210</v>
      </c>
      <c r="B62" s="3042">
        <f>SUM('[54]ФАКТИЧЕСКАЯ СЕБЕСТ. СТОКИ 2018'!AI11)*1000</f>
        <v>1577.5</v>
      </c>
      <c r="C62" s="3042">
        <f>SUM('[54]ФАКТИЧЕСКАЯ СЕБЕСТ. СТОКИ 2018'!AJ11)*1000</f>
        <v>340</v>
      </c>
      <c r="D62" s="3044">
        <v>14.24</v>
      </c>
      <c r="E62" s="3045">
        <f t="shared" si="9"/>
        <v>22.4636</v>
      </c>
      <c r="F62" s="3045">
        <f t="shared" si="10"/>
        <v>4.8416000000000006</v>
      </c>
      <c r="G62" s="3045">
        <f t="shared" si="11"/>
        <v>-17.622</v>
      </c>
    </row>
    <row r="63" spans="1:7" ht="15.75" x14ac:dyDescent="0.25">
      <c r="A63" s="3041" t="s">
        <v>264</v>
      </c>
      <c r="B63" s="3042">
        <f>SUM('[54]ФАКТИЧЕСКАЯ СЕБЕСТ. СТОКИ 2018'!AL11)*1000</f>
        <v>1577.5</v>
      </c>
      <c r="C63" s="3042">
        <f>SUM('[54]ФАКТИЧЕСКАЯ СЕБЕСТ. СТОКИ 2018'!AM11)*1000</f>
        <v>520</v>
      </c>
      <c r="D63" s="3044">
        <v>14.24</v>
      </c>
      <c r="E63" s="3045">
        <f t="shared" si="9"/>
        <v>22.4636</v>
      </c>
      <c r="F63" s="3045">
        <f t="shared" si="10"/>
        <v>7.4047999999999998</v>
      </c>
      <c r="G63" s="3045">
        <f t="shared" si="11"/>
        <v>-15.0588</v>
      </c>
    </row>
    <row r="64" spans="1:7" ht="15.75" x14ac:dyDescent="0.25">
      <c r="A64" s="3041" t="s">
        <v>1228</v>
      </c>
      <c r="B64" s="3042">
        <f>SUM('[54]ФАКТИЧЕСКАЯ СЕБЕСТ. СТОКИ 2018'!AO11)*1000</f>
        <v>1577.5</v>
      </c>
      <c r="C64" s="3042">
        <f>SUM('[54]ФАКТИЧЕСКАЯ СЕБЕСТ. СТОКИ 2018'!AP11)*1000</f>
        <v>3680</v>
      </c>
      <c r="D64" s="3044">
        <v>14.24</v>
      </c>
      <c r="E64" s="3045">
        <f t="shared" si="9"/>
        <v>22.4636</v>
      </c>
      <c r="F64" s="3045">
        <f t="shared" si="10"/>
        <v>52.403200000000005</v>
      </c>
      <c r="G64" s="3045">
        <f t="shared" si="11"/>
        <v>29.939600000000006</v>
      </c>
    </row>
    <row r="65" spans="1:7" ht="15.75" x14ac:dyDescent="0.25">
      <c r="A65" s="3041" t="s">
        <v>265</v>
      </c>
      <c r="B65" s="3042">
        <f>SUM('[54]ФАКТИЧЕСКАЯ СЕБЕСТ. СТОКИ 2018'!BB11)*1000</f>
        <v>1577.5</v>
      </c>
      <c r="C65" s="3042">
        <f>SUM('[54]ФАКТИЧЕСКАЯ СЕБЕСТ. СТОКИ 2018'!BC11)*1000</f>
        <v>540</v>
      </c>
      <c r="D65" s="3044">
        <v>14.24</v>
      </c>
      <c r="E65" s="3045">
        <f t="shared" si="9"/>
        <v>22.4636</v>
      </c>
      <c r="F65" s="3045">
        <f t="shared" si="10"/>
        <v>7.6896000000000004</v>
      </c>
      <c r="G65" s="3045">
        <f t="shared" si="11"/>
        <v>-14.773999999999999</v>
      </c>
    </row>
    <row r="66" spans="1:7" ht="15.75" x14ac:dyDescent="0.25">
      <c r="A66" s="3041" t="s">
        <v>266</v>
      </c>
      <c r="B66" s="3042">
        <f>SUM('[54]ФАКТИЧЕСКАЯ СЕБЕСТ. СТОКИ 2018'!BG11)*1000</f>
        <v>1577.5</v>
      </c>
      <c r="C66" s="3042">
        <f>SUM('[54]ФАКТИЧЕСКАЯ СЕБЕСТ. СТОКИ 2018'!BH11)*1000</f>
        <v>560</v>
      </c>
      <c r="D66" s="3044">
        <v>14.24</v>
      </c>
      <c r="E66" s="3045">
        <f t="shared" si="9"/>
        <v>22.4636</v>
      </c>
      <c r="F66" s="3045">
        <f t="shared" si="10"/>
        <v>7.9744000000000002</v>
      </c>
      <c r="G66" s="3045">
        <f t="shared" si="11"/>
        <v>-14.4892</v>
      </c>
    </row>
    <row r="67" spans="1:7" ht="15.75" x14ac:dyDescent="0.25">
      <c r="A67" s="3041" t="s">
        <v>1319</v>
      </c>
      <c r="B67" s="3042">
        <f>SUM('[54]ФАКТИЧЕСКАЯ СЕБЕСТ. СТОКИ 2018'!BL11)*1000</f>
        <v>1577.5</v>
      </c>
      <c r="C67" s="3042">
        <f>SUM('[54]ФАКТИЧЕСКАЯ СЕБЕСТ. СТОКИ 2018'!BM11)*1000</f>
        <v>3900</v>
      </c>
      <c r="D67" s="3044">
        <v>14.24</v>
      </c>
      <c r="E67" s="3045">
        <f t="shared" si="9"/>
        <v>22.4636</v>
      </c>
      <c r="F67" s="3045">
        <f t="shared" si="10"/>
        <v>55.536000000000001</v>
      </c>
      <c r="G67" s="3045">
        <f t="shared" si="11"/>
        <v>33.072400000000002</v>
      </c>
    </row>
    <row r="68" spans="1:7" ht="15.75" x14ac:dyDescent="0.25">
      <c r="A68" s="3046" t="s">
        <v>282</v>
      </c>
      <c r="B68" s="3047">
        <f>SUM(B56:B67)</f>
        <v>18930</v>
      </c>
      <c r="C68" s="3048">
        <f>SUM(C56:C67)</f>
        <v>18248</v>
      </c>
      <c r="D68" s="3048">
        <f>F68/C68*1000</f>
        <v>14.240000000000002</v>
      </c>
      <c r="E68" s="3048">
        <f>SUM(E56:E67)</f>
        <v>269.56319999999994</v>
      </c>
      <c r="F68" s="3048">
        <f>SUM(F56:F67)</f>
        <v>259.85152000000005</v>
      </c>
      <c r="G68" s="3048">
        <f>SUM(G56:G67)</f>
        <v>-9.711679999999987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72">
    <pageSetUpPr fitToPage="1"/>
  </sheetPr>
  <dimension ref="A1:G118"/>
  <sheetViews>
    <sheetView topLeftCell="A52" workbookViewId="0">
      <selection activeCell="M77" sqref="M7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1669</v>
      </c>
    </row>
    <row r="2" spans="1:7" ht="18.75" hidden="1" x14ac:dyDescent="0.3">
      <c r="A2" s="4408" t="s">
        <v>1480</v>
      </c>
      <c r="B2" s="4408"/>
      <c r="C2" s="4408"/>
      <c r="D2" s="4408"/>
      <c r="E2" s="4408"/>
      <c r="F2" s="4408"/>
    </row>
    <row r="3" spans="1:7" ht="18.75" hidden="1" x14ac:dyDescent="0.3">
      <c r="A3" s="2542"/>
      <c r="B3" s="2542"/>
      <c r="C3" s="2542"/>
      <c r="D3" s="2542"/>
      <c r="E3" s="2542"/>
    </row>
    <row r="4" spans="1:7" ht="27.75" hidden="1" customHeight="1" x14ac:dyDescent="0.2">
      <c r="A4" s="5564"/>
      <c r="B4" s="5594" t="s">
        <v>1481</v>
      </c>
      <c r="C4" s="5595"/>
      <c r="D4" s="5596"/>
      <c r="E4" s="5597" t="s">
        <v>1483</v>
      </c>
      <c r="F4" s="5569" t="s">
        <v>1485</v>
      </c>
      <c r="G4" s="5599"/>
    </row>
    <row r="5" spans="1:7" ht="33.75" hidden="1" customHeight="1" x14ac:dyDescent="0.2">
      <c r="A5" s="5485"/>
      <c r="B5" s="2544" t="s">
        <v>975</v>
      </c>
      <c r="C5" s="2544" t="s">
        <v>976</v>
      </c>
      <c r="D5" s="2544" t="s">
        <v>54</v>
      </c>
      <c r="E5" s="5597"/>
      <c r="F5" s="5472"/>
      <c r="G5" s="5599"/>
    </row>
    <row r="6" spans="1:7" ht="18.75" hidden="1" x14ac:dyDescent="0.3">
      <c r="A6" s="5529" t="s">
        <v>967</v>
      </c>
      <c r="B6" s="5530"/>
      <c r="C6" s="5530"/>
      <c r="D6" s="5530"/>
      <c r="E6" s="5530"/>
      <c r="F6" s="5530"/>
      <c r="G6" s="5598"/>
    </row>
    <row r="7" spans="1:7" hidden="1" x14ac:dyDescent="0.2">
      <c r="A7" s="2545" t="s">
        <v>972</v>
      </c>
      <c r="B7" s="2546">
        <v>19.14</v>
      </c>
      <c r="C7" s="2546">
        <v>22.66</v>
      </c>
      <c r="D7" s="2546"/>
      <c r="E7" s="2545"/>
      <c r="F7" s="5577">
        <f>$E$48*D10/$D$48</f>
        <v>408.76453757043004</v>
      </c>
      <c r="G7" s="2545"/>
    </row>
    <row r="8" spans="1:7" hidden="1" x14ac:dyDescent="0.2">
      <c r="A8" s="2545" t="s">
        <v>973</v>
      </c>
      <c r="B8" s="2546">
        <f>2780.7/2</f>
        <v>1390.35</v>
      </c>
      <c r="C8" s="2546">
        <f>B8</f>
        <v>1390.35</v>
      </c>
      <c r="D8" s="2546">
        <f>C8+B8</f>
        <v>2780.7</v>
      </c>
      <c r="E8" s="2545"/>
      <c r="F8" s="5480"/>
      <c r="G8" s="2545"/>
    </row>
    <row r="9" spans="1:7" hidden="1" x14ac:dyDescent="0.2">
      <c r="A9" s="2545" t="s">
        <v>974</v>
      </c>
      <c r="B9" s="2546">
        <f>B7*B8</f>
        <v>26611.298999999999</v>
      </c>
      <c r="C9" s="2546">
        <f>C7*C8</f>
        <v>31505.330999999998</v>
      </c>
      <c r="D9" s="2546">
        <f>C9+B9</f>
        <v>58116.63</v>
      </c>
      <c r="E9" s="2545"/>
      <c r="F9" s="5480"/>
      <c r="G9" s="2545"/>
    </row>
    <row r="10" spans="1:7" hidden="1" x14ac:dyDescent="0.2">
      <c r="A10" s="2545" t="s">
        <v>971</v>
      </c>
      <c r="B10" s="2546">
        <f>B9*0.02</f>
        <v>532.22597999999994</v>
      </c>
      <c r="C10" s="2546">
        <f>C9*0.02</f>
        <v>630.10662000000002</v>
      </c>
      <c r="D10" s="2546">
        <f>C10+B10</f>
        <v>1162.3326</v>
      </c>
      <c r="E10" s="2545"/>
      <c r="F10" s="5481"/>
      <c r="G10" s="2545"/>
    </row>
    <row r="11" spans="1:7" ht="18.75" hidden="1" x14ac:dyDescent="0.3">
      <c r="A11" s="5529" t="s">
        <v>968</v>
      </c>
      <c r="B11" s="5530"/>
      <c r="C11" s="5530"/>
      <c r="D11" s="5530"/>
      <c r="E11" s="5530"/>
      <c r="F11" s="5598"/>
      <c r="G11" s="2545"/>
    </row>
    <row r="12" spans="1:7" hidden="1" x14ac:dyDescent="0.2">
      <c r="A12" s="2545" t="s">
        <v>330</v>
      </c>
      <c r="B12" s="2546">
        <v>15.5</v>
      </c>
      <c r="C12" s="2546">
        <v>18.350000000000001</v>
      </c>
      <c r="D12" s="2546"/>
      <c r="E12" s="2545"/>
      <c r="F12" s="5577">
        <f>$E$49*D15/$D$49</f>
        <v>310.74886990256181</v>
      </c>
      <c r="G12" s="2545"/>
    </row>
    <row r="13" spans="1:7" hidden="1" x14ac:dyDescent="0.2">
      <c r="A13" s="2545" t="s">
        <v>965</v>
      </c>
      <c r="B13" s="2546">
        <f>2448.7/2</f>
        <v>1224.3499999999999</v>
      </c>
      <c r="C13" s="2546">
        <f>B13</f>
        <v>1224.3499999999999</v>
      </c>
      <c r="D13" s="2546">
        <f>C13+B13</f>
        <v>2448.6999999999998</v>
      </c>
      <c r="E13" s="2545"/>
      <c r="F13" s="5480"/>
      <c r="G13" s="2545"/>
    </row>
    <row r="14" spans="1:7" hidden="1" x14ac:dyDescent="0.2">
      <c r="A14" s="2545" t="s">
        <v>966</v>
      </c>
      <c r="B14" s="2546">
        <f>B12*B13</f>
        <v>18977.424999999999</v>
      </c>
      <c r="C14" s="2546">
        <f>C12*C13</f>
        <v>22466.822499999998</v>
      </c>
      <c r="D14" s="2546">
        <f>C14+B14</f>
        <v>41444.247499999998</v>
      </c>
      <c r="E14" s="2545"/>
      <c r="F14" s="5480"/>
      <c r="G14" s="2545"/>
    </row>
    <row r="15" spans="1:7" hidden="1" x14ac:dyDescent="0.2">
      <c r="A15" s="2545" t="s">
        <v>971</v>
      </c>
      <c r="B15" s="2546">
        <f>B14*0.02</f>
        <v>379.54849999999999</v>
      </c>
      <c r="C15" s="2546">
        <f>C14*0.02</f>
        <v>449.33644999999996</v>
      </c>
      <c r="D15" s="2546">
        <f>C15+B15</f>
        <v>828.88494999999989</v>
      </c>
      <c r="E15" s="2545"/>
      <c r="F15" s="5481"/>
      <c r="G15" s="2545"/>
    </row>
    <row r="16" spans="1:7" ht="18.75" hidden="1" x14ac:dyDescent="0.3">
      <c r="A16" s="5532" t="s">
        <v>1675</v>
      </c>
      <c r="B16" s="5533"/>
      <c r="C16" s="5533"/>
      <c r="D16" s="5533"/>
      <c r="E16" s="5533"/>
      <c r="F16" s="5533"/>
      <c r="G16" s="5593"/>
    </row>
    <row r="17" spans="1:7" hidden="1" x14ac:dyDescent="0.2">
      <c r="A17" s="2547" t="s">
        <v>977</v>
      </c>
      <c r="B17" s="2548">
        <v>22.66</v>
      </c>
      <c r="C17" s="2548">
        <v>25.95</v>
      </c>
      <c r="D17" s="2548"/>
      <c r="E17" s="2547"/>
      <c r="F17" s="5573">
        <f>$E$48*D20/$D$48</f>
        <v>406.49452001229344</v>
      </c>
      <c r="G17" s="2545"/>
    </row>
    <row r="18" spans="1:7" hidden="1" x14ac:dyDescent="0.2">
      <c r="A18" s="2547" t="s">
        <v>978</v>
      </c>
      <c r="B18" s="2548">
        <f>D18/2</f>
        <v>1188.93</v>
      </c>
      <c r="C18" s="2548">
        <f>B18</f>
        <v>1188.93</v>
      </c>
      <c r="D18" s="2548">
        <f>[51]объемы!R48</f>
        <v>2377.86</v>
      </c>
      <c r="E18" s="2547"/>
      <c r="F18" s="5491"/>
      <c r="G18" s="2545"/>
    </row>
    <row r="19" spans="1:7" hidden="1" x14ac:dyDescent="0.2">
      <c r="A19" s="2547" t="s">
        <v>979</v>
      </c>
      <c r="B19" s="2548">
        <f>B17*B18</f>
        <v>26941.1538</v>
      </c>
      <c r="C19" s="2548">
        <f>C17*C18</f>
        <v>30852.733500000002</v>
      </c>
      <c r="D19" s="2548">
        <f>C19+B19</f>
        <v>57793.887300000002</v>
      </c>
      <c r="E19" s="2547"/>
      <c r="F19" s="5491"/>
      <c r="G19" s="2545"/>
    </row>
    <row r="20" spans="1:7" hidden="1" x14ac:dyDescent="0.2">
      <c r="A20" s="2547" t="s">
        <v>971</v>
      </c>
      <c r="B20" s="2548">
        <f>B19*0.02</f>
        <v>538.82307600000001</v>
      </c>
      <c r="C20" s="2548">
        <f>C19*0.02</f>
        <v>617.0546700000001</v>
      </c>
      <c r="D20" s="2548">
        <f>C20+B20</f>
        <v>1155.8777460000001</v>
      </c>
      <c r="E20" s="2547"/>
      <c r="F20" s="5492"/>
      <c r="G20" s="2545"/>
    </row>
    <row r="21" spans="1:7" ht="18.75" hidden="1" x14ac:dyDescent="0.3">
      <c r="A21" s="5532" t="s">
        <v>970</v>
      </c>
      <c r="B21" s="5533"/>
      <c r="C21" s="5533"/>
      <c r="D21" s="5533"/>
      <c r="E21" s="5533"/>
      <c r="F21" s="5593"/>
      <c r="G21" s="2545"/>
    </row>
    <row r="22" spans="1:7" hidden="1" x14ac:dyDescent="0.2">
      <c r="A22" s="2547" t="s">
        <v>977</v>
      </c>
      <c r="B22" s="2548">
        <v>18.350000000000001</v>
      </c>
      <c r="C22" s="2548">
        <v>21.01</v>
      </c>
      <c r="D22" s="2548"/>
      <c r="E22" s="2547"/>
      <c r="F22" s="5573">
        <f>$E$49*D25/$D$49</f>
        <v>337.84293010864991</v>
      </c>
      <c r="G22" s="2545"/>
    </row>
    <row r="23" spans="1:7" hidden="1" x14ac:dyDescent="0.2">
      <c r="A23" s="2547" t="s">
        <v>978</v>
      </c>
      <c r="B23" s="2548">
        <f>D23/2</f>
        <v>1144.76</v>
      </c>
      <c r="C23" s="2548">
        <f>B23</f>
        <v>1144.76</v>
      </c>
      <c r="D23" s="2548">
        <f>[51]объемы!R58</f>
        <v>2289.52</v>
      </c>
      <c r="E23" s="2547"/>
      <c r="F23" s="5491"/>
      <c r="G23" s="2545"/>
    </row>
    <row r="24" spans="1:7" hidden="1" x14ac:dyDescent="0.2">
      <c r="A24" s="2547" t="s">
        <v>979</v>
      </c>
      <c r="B24" s="2548">
        <f>B22*B23</f>
        <v>21006.346000000001</v>
      </c>
      <c r="C24" s="2548">
        <f>C22*C23</f>
        <v>24051.407600000002</v>
      </c>
      <c r="D24" s="2548">
        <f>C24+B24</f>
        <v>45057.753600000004</v>
      </c>
      <c r="E24" s="2547"/>
      <c r="F24" s="5491"/>
      <c r="G24" s="2545"/>
    </row>
    <row r="25" spans="1:7" hidden="1" x14ac:dyDescent="0.2">
      <c r="A25" s="2547" t="s">
        <v>971</v>
      </c>
      <c r="B25" s="2548">
        <f>B24*0.02</f>
        <v>420.12692000000004</v>
      </c>
      <c r="C25" s="2548">
        <f>C24*0.02</f>
        <v>481.02815200000003</v>
      </c>
      <c r="D25" s="2548">
        <f>C25+B25</f>
        <v>901.15507200000002</v>
      </c>
      <c r="E25" s="2547"/>
      <c r="F25" s="5492"/>
      <c r="G25" s="2545"/>
    </row>
    <row r="26" spans="1:7" ht="18.75" hidden="1" x14ac:dyDescent="0.3">
      <c r="A26" s="5529" t="s">
        <v>980</v>
      </c>
      <c r="B26" s="5530"/>
      <c r="C26" s="5530"/>
      <c r="D26" s="5530"/>
      <c r="E26" s="5530"/>
      <c r="F26" s="5530"/>
      <c r="G26" s="5598"/>
    </row>
    <row r="27" spans="1:7" hidden="1" x14ac:dyDescent="0.2">
      <c r="A27" s="2545" t="s">
        <v>982</v>
      </c>
      <c r="B27" s="2546">
        <f>C17</f>
        <v>25.95</v>
      </c>
      <c r="C27" s="2546">
        <v>28.6</v>
      </c>
      <c r="D27" s="2546"/>
      <c r="E27" s="2545"/>
      <c r="F27" s="5577">
        <f>$E$48*D30/$D$48</f>
        <v>465.89321466591826</v>
      </c>
      <c r="G27" s="2545"/>
    </row>
    <row r="28" spans="1:7" hidden="1" x14ac:dyDescent="0.2">
      <c r="A28" s="2545" t="s">
        <v>978</v>
      </c>
      <c r="B28" s="2546">
        <f>[51]объемы!AA48/2</f>
        <v>1214.28</v>
      </c>
      <c r="C28" s="2546">
        <f>B28</f>
        <v>1214.28</v>
      </c>
      <c r="D28" s="2546">
        <f>C28+B28</f>
        <v>2428.56</v>
      </c>
      <c r="E28" s="2545"/>
      <c r="F28" s="5480"/>
      <c r="G28" s="2545"/>
    </row>
    <row r="29" spans="1:7" hidden="1" x14ac:dyDescent="0.2">
      <c r="A29" s="2545" t="s">
        <v>979</v>
      </c>
      <c r="B29" s="2546">
        <f>B27*B28</f>
        <v>31510.565999999999</v>
      </c>
      <c r="C29" s="2546">
        <f>C27*C28</f>
        <v>34728.408000000003</v>
      </c>
      <c r="D29" s="2546">
        <f>C29+B29</f>
        <v>66238.974000000002</v>
      </c>
      <c r="E29" s="2545"/>
      <c r="F29" s="5480"/>
      <c r="G29" s="2545"/>
    </row>
    <row r="30" spans="1:7" hidden="1" x14ac:dyDescent="0.2">
      <c r="A30" s="2545" t="s">
        <v>971</v>
      </c>
      <c r="B30" s="2546">
        <f>B29*0.02</f>
        <v>630.21132</v>
      </c>
      <c r="C30" s="2546">
        <f>C29*0.02</f>
        <v>694.56816000000003</v>
      </c>
      <c r="D30" s="2546">
        <f>C30+B30</f>
        <v>1324.7794800000001</v>
      </c>
      <c r="E30" s="2545"/>
      <c r="F30" s="5481"/>
      <c r="G30" s="2545"/>
    </row>
    <row r="31" spans="1:7" ht="18.75" hidden="1" x14ac:dyDescent="0.3">
      <c r="A31" s="5529" t="s">
        <v>981</v>
      </c>
      <c r="B31" s="5530"/>
      <c r="C31" s="5530"/>
      <c r="D31" s="5530"/>
      <c r="E31" s="5530"/>
      <c r="F31" s="5598"/>
      <c r="G31" s="2545"/>
    </row>
    <row r="32" spans="1:7" hidden="1" x14ac:dyDescent="0.2">
      <c r="A32" s="2545" t="s">
        <v>982</v>
      </c>
      <c r="B32" s="2546">
        <f>C22</f>
        <v>21.01</v>
      </c>
      <c r="C32" s="2546">
        <v>23.2</v>
      </c>
      <c r="D32" s="2546"/>
      <c r="E32" s="2545"/>
      <c r="F32" s="5577">
        <f>$E$49*D35/$D$49</f>
        <v>405.73944615575715</v>
      </c>
      <c r="G32" s="2545"/>
    </row>
    <row r="33" spans="1:7" hidden="1" x14ac:dyDescent="0.2">
      <c r="A33" s="2545" t="s">
        <v>978</v>
      </c>
      <c r="B33" s="2546">
        <f>[51]объемы!AA58/2</f>
        <v>1224</v>
      </c>
      <c r="C33" s="2546">
        <f>B33</f>
        <v>1224</v>
      </c>
      <c r="D33" s="2546">
        <f>C33+B33</f>
        <v>2448</v>
      </c>
      <c r="E33" s="2545"/>
      <c r="F33" s="5480"/>
      <c r="G33" s="2545"/>
    </row>
    <row r="34" spans="1:7" hidden="1" x14ac:dyDescent="0.2">
      <c r="A34" s="2545" t="s">
        <v>979</v>
      </c>
      <c r="B34" s="2546">
        <f>B32*B33</f>
        <v>25716.240000000002</v>
      </c>
      <c r="C34" s="2546">
        <f>C32*C33</f>
        <v>28396.799999999999</v>
      </c>
      <c r="D34" s="2546">
        <f>C34+B34</f>
        <v>54113.04</v>
      </c>
      <c r="E34" s="2545"/>
      <c r="F34" s="5480"/>
      <c r="G34" s="2545"/>
    </row>
    <row r="35" spans="1:7" hidden="1" x14ac:dyDescent="0.2">
      <c r="A35" s="2545" t="s">
        <v>971</v>
      </c>
      <c r="B35" s="2546">
        <f>B34*0.02</f>
        <v>514.3248000000001</v>
      </c>
      <c r="C35" s="2546">
        <f>C34*0.02</f>
        <v>567.93600000000004</v>
      </c>
      <c r="D35" s="2546">
        <f>C35+B35</f>
        <v>1082.2608</v>
      </c>
      <c r="E35" s="2545"/>
      <c r="F35" s="5481"/>
      <c r="G35" s="2545"/>
    </row>
    <row r="36" spans="1:7" ht="18.75" hidden="1" x14ac:dyDescent="0.3">
      <c r="A36" s="5532" t="s">
        <v>1686</v>
      </c>
      <c r="B36" s="5533"/>
      <c r="C36" s="5533"/>
      <c r="D36" s="5533"/>
      <c r="E36" s="5533"/>
      <c r="F36" s="5593"/>
      <c r="G36" s="2545"/>
    </row>
    <row r="37" spans="1:7" hidden="1" x14ac:dyDescent="0.2">
      <c r="A37" s="2547" t="s">
        <v>982</v>
      </c>
      <c r="B37" s="2548">
        <f>'[51]вода 2018 коррект'!F45</f>
        <v>25.95</v>
      </c>
      <c r="C37" s="2548">
        <f>'[51]вода 2018 коррект'!F46</f>
        <v>27.796610169491526</v>
      </c>
      <c r="D37" s="2548"/>
      <c r="E37" s="2547"/>
      <c r="F37" s="5573">
        <f>$E$48*D40/$D$48</f>
        <v>436.83960362466541</v>
      </c>
      <c r="G37" s="2545"/>
    </row>
    <row r="38" spans="1:7" hidden="1" x14ac:dyDescent="0.2">
      <c r="A38" s="2547" t="s">
        <v>1685</v>
      </c>
      <c r="B38" s="2548">
        <f>D38/2</f>
        <v>1155.575</v>
      </c>
      <c r="C38" s="2548">
        <f>B38</f>
        <v>1155.575</v>
      </c>
      <c r="D38" s="2548">
        <f>[51]объемы!Y48</f>
        <v>2311.15</v>
      </c>
      <c r="E38" s="2547"/>
      <c r="F38" s="5491"/>
      <c r="G38" s="2546">
        <f>F37</f>
        <v>436.83960362466541</v>
      </c>
    </row>
    <row r="39" spans="1:7" hidden="1" x14ac:dyDescent="0.2">
      <c r="A39" s="2547" t="s">
        <v>1684</v>
      </c>
      <c r="B39" s="2548">
        <f>B37*B38</f>
        <v>29987.171249999999</v>
      </c>
      <c r="C39" s="2548">
        <f>C37*C38</f>
        <v>32121.067796610172</v>
      </c>
      <c r="D39" s="2548">
        <f>C39+B39</f>
        <v>62108.239046610171</v>
      </c>
      <c r="E39" s="2547"/>
      <c r="F39" s="5491"/>
      <c r="G39" s="2545"/>
    </row>
    <row r="40" spans="1:7" hidden="1" x14ac:dyDescent="0.2">
      <c r="A40" s="2547" t="s">
        <v>971</v>
      </c>
      <c r="B40" s="2548">
        <f>B39*0.02</f>
        <v>599.743425</v>
      </c>
      <c r="C40" s="2548">
        <f>C39*0.02</f>
        <v>642.42135593220348</v>
      </c>
      <c r="D40" s="2548">
        <f>C40+B40</f>
        <v>1242.1647809322035</v>
      </c>
      <c r="E40" s="2547"/>
      <c r="F40" s="5492"/>
      <c r="G40" s="2545"/>
    </row>
    <row r="41" spans="1:7" ht="18.75" hidden="1" x14ac:dyDescent="0.3">
      <c r="A41" s="5532" t="s">
        <v>981</v>
      </c>
      <c r="B41" s="5533"/>
      <c r="C41" s="5533"/>
      <c r="D41" s="5533"/>
      <c r="E41" s="5533"/>
      <c r="F41" s="5593"/>
      <c r="G41" s="2545"/>
    </row>
    <row r="42" spans="1:7" hidden="1" x14ac:dyDescent="0.2">
      <c r="A42" s="2547" t="s">
        <v>977</v>
      </c>
      <c r="B42" s="2548">
        <v>21.01</v>
      </c>
      <c r="C42" s="2548">
        <v>22.5</v>
      </c>
      <c r="D42" s="2548"/>
      <c r="E42" s="2547"/>
      <c r="F42" s="5573">
        <f>$E$49*D45/$D$49</f>
        <v>365.36847945936529</v>
      </c>
      <c r="G42" s="2545"/>
    </row>
    <row r="43" spans="1:7" hidden="1" x14ac:dyDescent="0.2">
      <c r="A43" s="2547" t="s">
        <v>1685</v>
      </c>
      <c r="B43" s="2548">
        <f>D43/2</f>
        <v>1119.9449999999999</v>
      </c>
      <c r="C43" s="2548">
        <f>B43</f>
        <v>1119.9449999999999</v>
      </c>
      <c r="D43" s="2548">
        <f>[51]объемы!Y58</f>
        <v>2239.89</v>
      </c>
      <c r="E43" s="2547"/>
      <c r="F43" s="5491"/>
      <c r="G43" s="2546">
        <f>F42</f>
        <v>365.36847945936529</v>
      </c>
    </row>
    <row r="44" spans="1:7" hidden="1" x14ac:dyDescent="0.2">
      <c r="A44" s="2547" t="s">
        <v>979</v>
      </c>
      <c r="B44" s="2548">
        <f>B42*B43</f>
        <v>23530.044450000001</v>
      </c>
      <c r="C44" s="2548">
        <f>C42*C43</f>
        <v>25198.762499999997</v>
      </c>
      <c r="D44" s="2548">
        <f>C44+B44</f>
        <v>48728.806949999998</v>
      </c>
      <c r="E44" s="2547"/>
      <c r="F44" s="5491"/>
      <c r="G44" s="2545"/>
    </row>
    <row r="45" spans="1:7" hidden="1" x14ac:dyDescent="0.2">
      <c r="A45" s="2547" t="s">
        <v>971</v>
      </c>
      <c r="B45" s="2548">
        <f>B44*0.02</f>
        <v>470.60088900000005</v>
      </c>
      <c r="C45" s="2548">
        <f>C44*0.02</f>
        <v>503.97524999999996</v>
      </c>
      <c r="D45" s="2548">
        <f>C45+B45</f>
        <v>974.57613900000001</v>
      </c>
      <c r="E45" s="2547"/>
      <c r="F45" s="5492"/>
      <c r="G45" s="2545"/>
    </row>
    <row r="46" spans="1:7" hidden="1" x14ac:dyDescent="0.2">
      <c r="A46" s="2549" t="s">
        <v>616</v>
      </c>
      <c r="B46" s="2550"/>
      <c r="C46" s="2550"/>
      <c r="D46" s="2551">
        <f>D10+D15+D20+D25+D40+D45</f>
        <v>6264.9912879322028</v>
      </c>
      <c r="E46" s="2551">
        <f>(1993.71255+680.237)/1.18</f>
        <v>2266.0589406779659</v>
      </c>
      <c r="F46" s="2551">
        <f>F7+F12+F17+F22+F27+F32</f>
        <v>2335.4835184156109</v>
      </c>
      <c r="G46" s="2545"/>
    </row>
    <row r="47" spans="1:7" hidden="1" x14ac:dyDescent="0.2">
      <c r="A47" s="2552" t="s">
        <v>230</v>
      </c>
      <c r="B47" s="2545"/>
      <c r="C47" s="2545"/>
      <c r="D47" s="2553"/>
      <c r="E47" s="2553"/>
      <c r="F47" s="2545"/>
      <c r="G47" s="2545"/>
    </row>
    <row r="48" spans="1:7" hidden="1" x14ac:dyDescent="0.2">
      <c r="A48" s="2552" t="s">
        <v>46</v>
      </c>
      <c r="B48" s="2545"/>
      <c r="C48" s="2545"/>
      <c r="D48" s="2554">
        <f>D10+D20+D40</f>
        <v>3560.3751269322033</v>
      </c>
      <c r="E48" s="2554">
        <f>'[51]Резерв ДЗ'!E38</f>
        <v>1252.0986612073889</v>
      </c>
      <c r="F48" s="5561" t="s">
        <v>1484</v>
      </c>
      <c r="G48" s="2545"/>
    </row>
    <row r="49" spans="1:7" hidden="1" x14ac:dyDescent="0.2">
      <c r="A49" s="2552" t="s">
        <v>47</v>
      </c>
      <c r="B49" s="2545"/>
      <c r="C49" s="2545"/>
      <c r="D49" s="2554">
        <f>D15+D25+D45</f>
        <v>2704.6161609999999</v>
      </c>
      <c r="E49" s="2554">
        <f>E46-E48</f>
        <v>1013.960279470577</v>
      </c>
      <c r="F49" s="5536"/>
      <c r="G49" s="2545"/>
    </row>
    <row r="50" spans="1:7" hidden="1" x14ac:dyDescent="0.2">
      <c r="A50" s="2244"/>
      <c r="B50" s="2555"/>
      <c r="C50" s="2555"/>
      <c r="D50" s="2556"/>
      <c r="E50" s="2556"/>
      <c r="F50" s="2557"/>
      <c r="G50" s="29"/>
    </row>
    <row r="51" spans="1:7" hidden="1" x14ac:dyDescent="0.2">
      <c r="A51" s="105"/>
      <c r="B51" s="29"/>
      <c r="C51" s="29"/>
      <c r="D51" s="2558"/>
      <c r="E51" s="2558"/>
      <c r="F51" s="319"/>
      <c r="G51" s="29"/>
    </row>
    <row r="52" spans="1:7" x14ac:dyDescent="0.2">
      <c r="A52" s="105"/>
      <c r="B52" s="29"/>
      <c r="C52" s="29"/>
      <c r="D52" s="2558"/>
      <c r="E52" s="2558"/>
      <c r="F52" s="319"/>
      <c r="G52" s="29"/>
    </row>
    <row r="53" spans="1:7" x14ac:dyDescent="0.2">
      <c r="A53" s="105"/>
      <c r="B53" s="29"/>
      <c r="C53" s="29"/>
      <c r="D53" s="2558"/>
      <c r="E53" s="2558"/>
      <c r="F53" s="319"/>
      <c r="G53" s="29"/>
    </row>
    <row r="54" spans="1:7" ht="18.75" x14ac:dyDescent="0.3">
      <c r="A54" s="5030" t="s">
        <v>3579</v>
      </c>
      <c r="B54" s="5030"/>
      <c r="C54" s="5030"/>
      <c r="D54" s="5030"/>
      <c r="E54" s="5030"/>
      <c r="F54" s="5030"/>
      <c r="G54" s="29"/>
    </row>
    <row r="55" spans="1:7" x14ac:dyDescent="0.2">
      <c r="A55" s="861"/>
      <c r="B55" s="2559"/>
      <c r="C55" s="2559"/>
      <c r="D55" s="2560"/>
      <c r="E55" s="2560"/>
      <c r="F55" s="2543"/>
      <c r="G55" s="29"/>
    </row>
    <row r="56" spans="1:7" x14ac:dyDescent="0.2">
      <c r="A56" s="5564" t="s">
        <v>527</v>
      </c>
      <c r="B56" s="5594" t="s">
        <v>1481</v>
      </c>
      <c r="C56" s="5595"/>
      <c r="D56" s="5596"/>
      <c r="E56" s="5597" t="s">
        <v>1483</v>
      </c>
      <c r="F56" s="5569" t="s">
        <v>1485</v>
      </c>
      <c r="G56" s="29"/>
    </row>
    <row r="57" spans="1:7" ht="17.25" customHeight="1" x14ac:dyDescent="0.2">
      <c r="A57" s="5485"/>
      <c r="B57" s="2544" t="s">
        <v>975</v>
      </c>
      <c r="C57" s="2544" t="s">
        <v>976</v>
      </c>
      <c r="D57" s="2544" t="s">
        <v>54</v>
      </c>
      <c r="E57" s="5597"/>
      <c r="F57" s="5472"/>
      <c r="G57" s="29"/>
    </row>
    <row r="58" spans="1:7" ht="18.75" x14ac:dyDescent="0.3">
      <c r="A58" s="5591" t="s">
        <v>3580</v>
      </c>
      <c r="B58" s="4512"/>
      <c r="C58" s="4512"/>
      <c r="D58" s="4512"/>
      <c r="E58" s="4512"/>
      <c r="F58" s="5592"/>
    </row>
    <row r="59" spans="1:7" x14ac:dyDescent="0.2">
      <c r="A59" s="2545" t="s">
        <v>3581</v>
      </c>
      <c r="B59" s="2561">
        <v>27.8</v>
      </c>
      <c r="C59" s="2561">
        <v>28.96</v>
      </c>
      <c r="D59" s="2546"/>
      <c r="E59" s="2545"/>
      <c r="F59" s="5553">
        <f>E110*D62/D110</f>
        <v>294.80798198882712</v>
      </c>
    </row>
    <row r="60" spans="1:7" x14ac:dyDescent="0.2">
      <c r="A60" s="2545" t="s">
        <v>3582</v>
      </c>
      <c r="B60" s="2561">
        <f>SUM([55]объемы!AF50)</f>
        <v>1223.6400000000001</v>
      </c>
      <c r="C60" s="2561">
        <f>SUM([55]объемы!AH50-[55]объемы!AF50)</f>
        <v>1224.1299999999999</v>
      </c>
      <c r="D60" s="2561">
        <f>C60+B60</f>
        <v>2447.77</v>
      </c>
      <c r="E60" s="2545"/>
      <c r="F60" s="5554"/>
    </row>
    <row r="61" spans="1:7" x14ac:dyDescent="0.2">
      <c r="A61" s="2545" t="s">
        <v>3583</v>
      </c>
      <c r="B61" s="2561">
        <f>B59*B60</f>
        <v>34017.192000000003</v>
      </c>
      <c r="C61" s="2561">
        <f>C59*C60</f>
        <v>35450.804799999998</v>
      </c>
      <c r="D61" s="2561">
        <f>C61+B61</f>
        <v>69467.996799999994</v>
      </c>
      <c r="E61" s="2545"/>
      <c r="F61" s="5554"/>
    </row>
    <row r="62" spans="1:7" x14ac:dyDescent="0.2">
      <c r="A62" s="2545" t="s">
        <v>971</v>
      </c>
      <c r="B62" s="2561">
        <f>B61*0.02</f>
        <v>680.34384000000011</v>
      </c>
      <c r="C62" s="2561">
        <f>C61*0.02</f>
        <v>709.01609599999995</v>
      </c>
      <c r="D62" s="2561">
        <f>C62+B62</f>
        <v>1389.3599360000001</v>
      </c>
      <c r="E62" s="2562"/>
      <c r="F62" s="5555"/>
    </row>
    <row r="63" spans="1:7" ht="18.75" x14ac:dyDescent="0.3">
      <c r="A63" s="5591" t="s">
        <v>3584</v>
      </c>
      <c r="B63" s="4512"/>
      <c r="C63" s="4512"/>
      <c r="D63" s="4512"/>
      <c r="E63" s="4512"/>
      <c r="F63" s="5592"/>
    </row>
    <row r="64" spans="1:7" x14ac:dyDescent="0.2">
      <c r="A64" s="2545" t="s">
        <v>3581</v>
      </c>
      <c r="B64" s="2561">
        <v>22.5</v>
      </c>
      <c r="C64" s="2561">
        <v>23.47</v>
      </c>
      <c r="D64" s="2546"/>
      <c r="E64" s="2545"/>
      <c r="F64" s="5553">
        <f>E111*D67/D111</f>
        <v>241.01249573427887</v>
      </c>
    </row>
    <row r="65" spans="1:6" x14ac:dyDescent="0.2">
      <c r="A65" s="2545" t="s">
        <v>3582</v>
      </c>
      <c r="B65" s="2561">
        <f>SUM([55]объемы!AF59)</f>
        <v>1203.46</v>
      </c>
      <c r="C65" s="2561">
        <f>SUM([55]объемы!AH59-[55]объемы!AF59)</f>
        <v>1217.1999999999998</v>
      </c>
      <c r="D65" s="2561">
        <f>C65+B65</f>
        <v>2420.66</v>
      </c>
      <c r="E65" s="2545"/>
      <c r="F65" s="5554"/>
    </row>
    <row r="66" spans="1:6" x14ac:dyDescent="0.2">
      <c r="A66" s="2545" t="s">
        <v>3583</v>
      </c>
      <c r="B66" s="2561">
        <f>B64*B65</f>
        <v>27077.850000000002</v>
      </c>
      <c r="C66" s="2561">
        <f>C64*C65</f>
        <v>28567.683999999994</v>
      </c>
      <c r="D66" s="2561">
        <f>C66+B66</f>
        <v>55645.534</v>
      </c>
      <c r="E66" s="2545"/>
      <c r="F66" s="5554"/>
    </row>
    <row r="67" spans="1:6" x14ac:dyDescent="0.2">
      <c r="A67" s="2545" t="s">
        <v>971</v>
      </c>
      <c r="B67" s="2561">
        <f>B66*0.02</f>
        <v>541.55700000000002</v>
      </c>
      <c r="C67" s="2561">
        <f>C66*0.02</f>
        <v>571.35367999999994</v>
      </c>
      <c r="D67" s="2561">
        <f>C67+B67</f>
        <v>1112.91068</v>
      </c>
      <c r="E67" s="2545"/>
      <c r="F67" s="5555"/>
    </row>
    <row r="68" spans="1:6" ht="18.75" x14ac:dyDescent="0.3">
      <c r="A68" s="5591" t="s">
        <v>3585</v>
      </c>
      <c r="B68" s="4512"/>
      <c r="C68" s="4512"/>
      <c r="D68" s="4512"/>
      <c r="E68" s="4512"/>
      <c r="F68" s="5592"/>
    </row>
    <row r="69" spans="1:6" x14ac:dyDescent="0.2">
      <c r="A69" s="2545" t="s">
        <v>3586</v>
      </c>
      <c r="B69" s="2561">
        <v>28.96</v>
      </c>
      <c r="C69" s="2561">
        <v>30.3</v>
      </c>
      <c r="D69" s="2546"/>
      <c r="E69" s="2545"/>
      <c r="F69" s="5553">
        <f>E110*D72/D110</f>
        <v>296.75504900893179</v>
      </c>
    </row>
    <row r="70" spans="1:6" x14ac:dyDescent="0.2">
      <c r="A70" s="2545" t="s">
        <v>3587</v>
      </c>
      <c r="B70" s="2561">
        <f>SUM([55]объемы!AJ50/2)</f>
        <v>1180</v>
      </c>
      <c r="C70" s="2561">
        <f>B70</f>
        <v>1180</v>
      </c>
      <c r="D70" s="2561">
        <f>C70+B70</f>
        <v>2360</v>
      </c>
      <c r="E70" s="2545"/>
      <c r="F70" s="5554"/>
    </row>
    <row r="71" spans="1:6" x14ac:dyDescent="0.2">
      <c r="A71" s="2545" t="s">
        <v>3588</v>
      </c>
      <c r="B71" s="2561">
        <f>B69*B70</f>
        <v>34172.800000000003</v>
      </c>
      <c r="C71" s="2561">
        <f>C69*C70</f>
        <v>35754</v>
      </c>
      <c r="D71" s="2561">
        <f>C71+B71</f>
        <v>69926.8</v>
      </c>
      <c r="E71" s="2545"/>
      <c r="F71" s="5554"/>
    </row>
    <row r="72" spans="1:6" x14ac:dyDescent="0.2">
      <c r="A72" s="2545" t="s">
        <v>971</v>
      </c>
      <c r="B72" s="2561">
        <f>B71*0.02</f>
        <v>683.45600000000002</v>
      </c>
      <c r="C72" s="2561">
        <f>C71*0.02</f>
        <v>715.08</v>
      </c>
      <c r="D72" s="2561">
        <f>C72+B72</f>
        <v>1398.5360000000001</v>
      </c>
      <c r="E72" s="2545"/>
      <c r="F72" s="5555"/>
    </row>
    <row r="73" spans="1:6" ht="18.75" x14ac:dyDescent="0.3">
      <c r="A73" s="5591" t="s">
        <v>3589</v>
      </c>
      <c r="B73" s="4512"/>
      <c r="C73" s="4512"/>
      <c r="D73" s="4512"/>
      <c r="E73" s="4512"/>
      <c r="F73" s="5592"/>
    </row>
    <row r="74" spans="1:6" x14ac:dyDescent="0.2">
      <c r="A74" s="2545" t="s">
        <v>3586</v>
      </c>
      <c r="B74" s="2561">
        <v>23.47</v>
      </c>
      <c r="C74" s="2561">
        <v>24.87</v>
      </c>
      <c r="D74" s="2546"/>
      <c r="E74" s="2545"/>
      <c r="F74" s="5553">
        <f>E111*D77/D111</f>
        <v>238.68259059076237</v>
      </c>
    </row>
    <row r="75" spans="1:6" x14ac:dyDescent="0.2">
      <c r="A75" s="2545" t="s">
        <v>3587</v>
      </c>
      <c r="B75" s="2561">
        <f>SUM([55]объемы!AJ59/2)</f>
        <v>1140</v>
      </c>
      <c r="C75" s="2561">
        <f>B75</f>
        <v>1140</v>
      </c>
      <c r="D75" s="2561">
        <f>C75+B75</f>
        <v>2280</v>
      </c>
      <c r="E75" s="2545"/>
      <c r="F75" s="5554"/>
    </row>
    <row r="76" spans="1:6" x14ac:dyDescent="0.2">
      <c r="A76" s="2545" t="s">
        <v>3588</v>
      </c>
      <c r="B76" s="2561">
        <f>B74*B75</f>
        <v>26755.8</v>
      </c>
      <c r="C76" s="2561">
        <f>C74*C75</f>
        <v>28351.800000000003</v>
      </c>
      <c r="D76" s="2561">
        <f>C76+B76</f>
        <v>55107.600000000006</v>
      </c>
      <c r="E76" s="2545"/>
      <c r="F76" s="5554"/>
    </row>
    <row r="77" spans="1:6" x14ac:dyDescent="0.2">
      <c r="A77" s="2545" t="s">
        <v>971</v>
      </c>
      <c r="B77" s="2561">
        <f>B76*0.02</f>
        <v>535.11599999999999</v>
      </c>
      <c r="C77" s="2561">
        <f>C76*0.02</f>
        <v>567.03600000000006</v>
      </c>
      <c r="D77" s="2561">
        <f>C77+B77</f>
        <v>1102.152</v>
      </c>
      <c r="E77" s="2545"/>
      <c r="F77" s="5555"/>
    </row>
    <row r="78" spans="1:6" ht="18.75" x14ac:dyDescent="0.3">
      <c r="A78" s="5591" t="s">
        <v>3590</v>
      </c>
      <c r="B78" s="4512"/>
      <c r="C78" s="4512"/>
      <c r="D78" s="4512"/>
      <c r="E78" s="4512"/>
      <c r="F78" s="5592"/>
    </row>
    <row r="79" spans="1:6" x14ac:dyDescent="0.2">
      <c r="A79" s="2545" t="s">
        <v>3591</v>
      </c>
      <c r="B79" s="2561">
        <f>SUM(C69)</f>
        <v>30.3</v>
      </c>
      <c r="C79" s="2561">
        <f>SUM(B79*1.05)</f>
        <v>31.815000000000001</v>
      </c>
      <c r="D79" s="2561"/>
      <c r="E79" s="2545"/>
      <c r="F79" s="5553">
        <f>E110*D82/D110</f>
        <v>311.0519721429261</v>
      </c>
    </row>
    <row r="80" spans="1:6" x14ac:dyDescent="0.2">
      <c r="A80" s="2545" t="s">
        <v>3592</v>
      </c>
      <c r="B80" s="2561">
        <f>SUM([55]объемы!AK50/2)</f>
        <v>1180</v>
      </c>
      <c r="C80" s="2561">
        <f>B80</f>
        <v>1180</v>
      </c>
      <c r="D80" s="2561">
        <f>C80+B80</f>
        <v>2360</v>
      </c>
      <c r="E80" s="2545"/>
      <c r="F80" s="5554"/>
    </row>
    <row r="81" spans="1:6" x14ac:dyDescent="0.2">
      <c r="A81" s="2545" t="s">
        <v>3593</v>
      </c>
      <c r="B81" s="2561">
        <f>B79*B80</f>
        <v>35754</v>
      </c>
      <c r="C81" s="2561">
        <f>C79*C80</f>
        <v>37541.700000000004</v>
      </c>
      <c r="D81" s="2561">
        <f>C81+B81</f>
        <v>73295.700000000012</v>
      </c>
      <c r="E81" s="2545"/>
      <c r="F81" s="5554"/>
    </row>
    <row r="82" spans="1:6" x14ac:dyDescent="0.2">
      <c r="A82" s="2545" t="s">
        <v>971</v>
      </c>
      <c r="B82" s="2561">
        <f>B81*0.02</f>
        <v>715.08</v>
      </c>
      <c r="C82" s="2561">
        <f>C81*0.02</f>
        <v>750.83400000000006</v>
      </c>
      <c r="D82" s="2561">
        <f>C82+B82</f>
        <v>1465.9140000000002</v>
      </c>
      <c r="E82" s="2545"/>
      <c r="F82" s="5555"/>
    </row>
    <row r="83" spans="1:6" ht="18.75" x14ac:dyDescent="0.3">
      <c r="A83" s="5591" t="s">
        <v>3594</v>
      </c>
      <c r="B83" s="4512"/>
      <c r="C83" s="4512"/>
      <c r="D83" s="4512"/>
      <c r="E83" s="4512"/>
      <c r="F83" s="5592"/>
    </row>
    <row r="84" spans="1:6" x14ac:dyDescent="0.2">
      <c r="A84" s="2545" t="s">
        <v>3591</v>
      </c>
      <c r="B84" s="2561">
        <f>SUM(C74)</f>
        <v>24.87</v>
      </c>
      <c r="C84" s="2561">
        <f>SUM(B84*1.05)</f>
        <v>26.113500000000002</v>
      </c>
      <c r="D84" s="2561"/>
      <c r="E84" s="2545"/>
      <c r="F84" s="5553">
        <f>E111*D87/D111</f>
        <v>251.73508186562128</v>
      </c>
    </row>
    <row r="85" spans="1:6" x14ac:dyDescent="0.2">
      <c r="A85" s="2545" t="s">
        <v>3592</v>
      </c>
      <c r="B85" s="2561">
        <f>SUM([55]объемы!AK59/2)</f>
        <v>1140</v>
      </c>
      <c r="C85" s="2561">
        <f>B85</f>
        <v>1140</v>
      </c>
      <c r="D85" s="2561">
        <f>C85+B85</f>
        <v>2280</v>
      </c>
      <c r="E85" s="2545"/>
      <c r="F85" s="5554"/>
    </row>
    <row r="86" spans="1:6" x14ac:dyDescent="0.2">
      <c r="A86" s="2545" t="s">
        <v>3593</v>
      </c>
      <c r="B86" s="2561">
        <f>B84*B85</f>
        <v>28351.800000000003</v>
      </c>
      <c r="C86" s="2561">
        <f>C84*C85</f>
        <v>29769.390000000003</v>
      </c>
      <c r="D86" s="2561">
        <f>C86+B86</f>
        <v>58121.19</v>
      </c>
      <c r="E86" s="2545"/>
      <c r="F86" s="5554"/>
    </row>
    <row r="87" spans="1:6" x14ac:dyDescent="0.2">
      <c r="A87" s="2545" t="s">
        <v>971</v>
      </c>
      <c r="B87" s="2561">
        <f>B86*0.02</f>
        <v>567.03600000000006</v>
      </c>
      <c r="C87" s="2561">
        <f>C86*0.02</f>
        <v>595.38780000000008</v>
      </c>
      <c r="D87" s="2561">
        <f>C87+B87</f>
        <v>1162.4238</v>
      </c>
      <c r="E87" s="2545"/>
      <c r="F87" s="5555"/>
    </row>
    <row r="88" spans="1:6" ht="18.75" x14ac:dyDescent="0.3">
      <c r="A88" s="5591" t="s">
        <v>3595</v>
      </c>
      <c r="B88" s="4512"/>
      <c r="C88" s="4512"/>
      <c r="D88" s="4512"/>
      <c r="E88" s="4512"/>
      <c r="F88" s="5592"/>
    </row>
    <row r="89" spans="1:6" x14ac:dyDescent="0.2">
      <c r="A89" s="2545" t="s">
        <v>3596</v>
      </c>
      <c r="B89" s="2561">
        <f>SUM(C79)</f>
        <v>31.815000000000001</v>
      </c>
      <c r="C89" s="2561">
        <f>SUM(B89*1.05)</f>
        <v>33.405750000000005</v>
      </c>
      <c r="D89" s="2561"/>
      <c r="E89" s="2545"/>
      <c r="F89" s="5553">
        <f>E110*D92/D110</f>
        <v>326.60457075007241</v>
      </c>
    </row>
    <row r="90" spans="1:6" x14ac:dyDescent="0.2">
      <c r="A90" s="2545" t="s">
        <v>3597</v>
      </c>
      <c r="B90" s="2561">
        <f>SUM([55]объемы!AM50/2)</f>
        <v>1180</v>
      </c>
      <c r="C90" s="2561">
        <f>B90</f>
        <v>1180</v>
      </c>
      <c r="D90" s="2561">
        <f>C90+B90</f>
        <v>2360</v>
      </c>
      <c r="E90" s="2545"/>
      <c r="F90" s="5554"/>
    </row>
    <row r="91" spans="1:6" x14ac:dyDescent="0.2">
      <c r="A91" s="2545" t="s">
        <v>3598</v>
      </c>
      <c r="B91" s="2561">
        <f>B89*B90</f>
        <v>37541.700000000004</v>
      </c>
      <c r="C91" s="2561">
        <f>C89*C90</f>
        <v>39418.785000000003</v>
      </c>
      <c r="D91" s="2561">
        <f>C91+B91</f>
        <v>76960.485000000015</v>
      </c>
      <c r="E91" s="2545"/>
      <c r="F91" s="5554"/>
    </row>
    <row r="92" spans="1:6" x14ac:dyDescent="0.2">
      <c r="A92" s="2545" t="s">
        <v>971</v>
      </c>
      <c r="B92" s="2561">
        <f>B91*0.02</f>
        <v>750.83400000000006</v>
      </c>
      <c r="C92" s="2561">
        <f>C91*0.02</f>
        <v>788.37570000000005</v>
      </c>
      <c r="D92" s="2561">
        <f>C92+B92</f>
        <v>1539.2097000000001</v>
      </c>
      <c r="E92" s="2545"/>
      <c r="F92" s="5555"/>
    </row>
    <row r="93" spans="1:6" ht="18.75" x14ac:dyDescent="0.3">
      <c r="A93" s="5591" t="s">
        <v>3599</v>
      </c>
      <c r="B93" s="4512"/>
      <c r="C93" s="4512"/>
      <c r="D93" s="4512"/>
      <c r="E93" s="4512"/>
      <c r="F93" s="5592"/>
    </row>
    <row r="94" spans="1:6" x14ac:dyDescent="0.2">
      <c r="A94" s="2545" t="s">
        <v>3596</v>
      </c>
      <c r="B94" s="2561">
        <f>SUM(C84)</f>
        <v>26.113500000000002</v>
      </c>
      <c r="C94" s="2561">
        <f>SUM(B94*1.05)</f>
        <v>27.419175000000003</v>
      </c>
      <c r="D94" s="2546"/>
      <c r="E94" s="2545"/>
      <c r="F94" s="5553">
        <f>E111*D97/D111</f>
        <v>264.3218359589024</v>
      </c>
    </row>
    <row r="95" spans="1:6" x14ac:dyDescent="0.2">
      <c r="A95" s="2545" t="s">
        <v>3597</v>
      </c>
      <c r="B95" s="2561">
        <f>SUM([55]объемы!AM59/2)</f>
        <v>1140</v>
      </c>
      <c r="C95" s="2561">
        <f>B95</f>
        <v>1140</v>
      </c>
      <c r="D95" s="2561">
        <f>C95+B95</f>
        <v>2280</v>
      </c>
      <c r="E95" s="2545"/>
      <c r="F95" s="5554"/>
    </row>
    <row r="96" spans="1:6" x14ac:dyDescent="0.2">
      <c r="A96" s="2545" t="s">
        <v>3598</v>
      </c>
      <c r="B96" s="2561">
        <f>B94*B95</f>
        <v>29769.390000000003</v>
      </c>
      <c r="C96" s="2561">
        <f>C94*C95</f>
        <v>31257.859500000002</v>
      </c>
      <c r="D96" s="2561">
        <f>C96+B96</f>
        <v>61027.249500000005</v>
      </c>
      <c r="E96" s="2545"/>
      <c r="F96" s="5554"/>
    </row>
    <row r="97" spans="1:6" x14ac:dyDescent="0.2">
      <c r="A97" s="2545" t="s">
        <v>971</v>
      </c>
      <c r="B97" s="2561">
        <f>B96*0.02</f>
        <v>595.38780000000008</v>
      </c>
      <c r="C97" s="2561">
        <f>C96*0.02</f>
        <v>625.15719000000001</v>
      </c>
      <c r="D97" s="2561">
        <f>C97+B97</f>
        <v>1220.5449900000001</v>
      </c>
      <c r="E97" s="2545"/>
      <c r="F97" s="5555"/>
    </row>
    <row r="98" spans="1:6" ht="18.75" x14ac:dyDescent="0.3">
      <c r="A98" s="5591" t="s">
        <v>3600</v>
      </c>
      <c r="B98" s="4512"/>
      <c r="C98" s="4512"/>
      <c r="D98" s="4512"/>
      <c r="E98" s="4512"/>
      <c r="F98" s="5592"/>
    </row>
    <row r="99" spans="1:6" x14ac:dyDescent="0.2">
      <c r="A99" s="2545" t="s">
        <v>3601</v>
      </c>
      <c r="B99" s="2561">
        <f>SUM(C89)</f>
        <v>33.405750000000005</v>
      </c>
      <c r="C99" s="2561">
        <f>SUM(B99*1.05)</f>
        <v>35.076037500000005</v>
      </c>
      <c r="D99" s="2561"/>
      <c r="E99" s="2545"/>
      <c r="F99" s="5553">
        <f>E110*D102/D110</f>
        <v>342.93479928757603</v>
      </c>
    </row>
    <row r="100" spans="1:6" x14ac:dyDescent="0.2">
      <c r="A100" s="2545" t="s">
        <v>3602</v>
      </c>
      <c r="B100" s="2561">
        <f>SUM([55]объемы!AO50/2)</f>
        <v>1180</v>
      </c>
      <c r="C100" s="2561">
        <f>B100</f>
        <v>1180</v>
      </c>
      <c r="D100" s="2561">
        <f>C100+B100</f>
        <v>2360</v>
      </c>
      <c r="E100" s="2545"/>
      <c r="F100" s="5554"/>
    </row>
    <row r="101" spans="1:6" x14ac:dyDescent="0.2">
      <c r="A101" s="2545" t="s">
        <v>3603</v>
      </c>
      <c r="B101" s="2561">
        <f>B99*B100</f>
        <v>39418.785000000003</v>
      </c>
      <c r="C101" s="2561">
        <f>C99*C100</f>
        <v>41389.724250000007</v>
      </c>
      <c r="D101" s="2561">
        <f>C101+B101</f>
        <v>80808.509250000003</v>
      </c>
      <c r="E101" s="2545"/>
      <c r="F101" s="5554"/>
    </row>
    <row r="102" spans="1:6" x14ac:dyDescent="0.2">
      <c r="A102" s="2545" t="s">
        <v>971</v>
      </c>
      <c r="B102" s="2561">
        <f>B101*0.02</f>
        <v>788.37570000000005</v>
      </c>
      <c r="C102" s="2561">
        <f>C101*0.02</f>
        <v>827.79448500000012</v>
      </c>
      <c r="D102" s="2561">
        <f>C102+B102</f>
        <v>1616.1701850000002</v>
      </c>
      <c r="E102" s="2545"/>
      <c r="F102" s="5555"/>
    </row>
    <row r="103" spans="1:6" ht="18.75" x14ac:dyDescent="0.3">
      <c r="A103" s="5591" t="s">
        <v>3604</v>
      </c>
      <c r="B103" s="4512"/>
      <c r="C103" s="4512"/>
      <c r="D103" s="4512"/>
      <c r="E103" s="4512"/>
      <c r="F103" s="5592"/>
    </row>
    <row r="104" spans="1:6" x14ac:dyDescent="0.2">
      <c r="A104" s="2545" t="s">
        <v>3601</v>
      </c>
      <c r="B104" s="2561">
        <f>SUM(C94)</f>
        <v>27.419175000000003</v>
      </c>
      <c r="C104" s="2561">
        <f>SUM(B104*1.05)</f>
        <v>28.790133750000003</v>
      </c>
      <c r="D104" s="2561"/>
      <c r="E104" s="2545"/>
      <c r="F104" s="5553">
        <f>E111*D107/D111</f>
        <v>277.53792775684752</v>
      </c>
    </row>
    <row r="105" spans="1:6" x14ac:dyDescent="0.2">
      <c r="A105" s="2545" t="s">
        <v>3602</v>
      </c>
      <c r="B105" s="2561">
        <f>SUM([55]объемы!AO59/2)</f>
        <v>1140</v>
      </c>
      <c r="C105" s="2561">
        <f>B105</f>
        <v>1140</v>
      </c>
      <c r="D105" s="2561">
        <f>C105+B105</f>
        <v>2280</v>
      </c>
      <c r="E105" s="2545"/>
      <c r="F105" s="5554"/>
    </row>
    <row r="106" spans="1:6" x14ac:dyDescent="0.2">
      <c r="A106" s="2545" t="s">
        <v>3603</v>
      </c>
      <c r="B106" s="2561">
        <f>B104*B105</f>
        <v>31257.859500000002</v>
      </c>
      <c r="C106" s="2561">
        <f>C104*C105</f>
        <v>32820.752475000001</v>
      </c>
      <c r="D106" s="2561">
        <f>C106+B106</f>
        <v>64078.611975000007</v>
      </c>
      <c r="E106" s="2545"/>
      <c r="F106" s="5554"/>
    </row>
    <row r="107" spans="1:6" x14ac:dyDescent="0.2">
      <c r="A107" s="2545" t="s">
        <v>971</v>
      </c>
      <c r="B107" s="2561">
        <f>B106*0.02</f>
        <v>625.15719000000001</v>
      </c>
      <c r="C107" s="2561">
        <f>C106*0.02</f>
        <v>656.41504950000001</v>
      </c>
      <c r="D107" s="2561">
        <f>C107+B107</f>
        <v>1281.5722395</v>
      </c>
      <c r="E107" s="2545"/>
      <c r="F107" s="5555"/>
    </row>
    <row r="108" spans="1:6" x14ac:dyDescent="0.2">
      <c r="A108" s="2549" t="s">
        <v>616</v>
      </c>
      <c r="B108" s="2550"/>
      <c r="C108" s="2550"/>
      <c r="D108" s="2563">
        <f>SUM(D62+D67+D72+D77+D82+D87+D92+D97+D102+D107)</f>
        <v>13288.793530500001</v>
      </c>
      <c r="E108" s="2563">
        <f>3357624.28/1.18/1000</f>
        <v>2845.4443050847458</v>
      </c>
      <c r="F108" s="2551">
        <f>SUM(F59+F64+F69+F74+F79+F84+F89+F94+F99+F104)</f>
        <v>2845.4443050847462</v>
      </c>
    </row>
    <row r="109" spans="1:6" x14ac:dyDescent="0.2">
      <c r="A109" s="2552" t="s">
        <v>230</v>
      </c>
      <c r="B109" s="2545"/>
      <c r="C109" s="2545"/>
      <c r="D109" s="2553"/>
      <c r="E109" s="2553"/>
      <c r="F109" s="2545"/>
    </row>
    <row r="110" spans="1:6" x14ac:dyDescent="0.2">
      <c r="A110" s="2552" t="s">
        <v>46</v>
      </c>
      <c r="B110" s="2545"/>
      <c r="C110" s="2545"/>
      <c r="D110" s="2564">
        <f>SUM(D62+D72+D82+D92+D102)</f>
        <v>7409.1898209999999</v>
      </c>
      <c r="E110" s="2564">
        <f>E108*C112/(C112+C113)</f>
        <v>1572.1543731783333</v>
      </c>
      <c r="F110" s="5561" t="s">
        <v>1484</v>
      </c>
    </row>
    <row r="111" spans="1:6" x14ac:dyDescent="0.2">
      <c r="A111" s="2552" t="s">
        <v>47</v>
      </c>
      <c r="B111" s="2545"/>
      <c r="C111" s="2545"/>
      <c r="D111" s="2564">
        <f>SUM(D67+D77+D87+D97+D107)</f>
        <v>5879.6037095000002</v>
      </c>
      <c r="E111" s="2564">
        <f>E108-E110</f>
        <v>1273.2899319064124</v>
      </c>
      <c r="F111" s="5536"/>
    </row>
    <row r="112" spans="1:6" x14ac:dyDescent="0.2">
      <c r="A112" s="5" t="s">
        <v>3605</v>
      </c>
      <c r="C112" s="5">
        <f>SUM(B59+C59)/2</f>
        <v>28.380000000000003</v>
      </c>
    </row>
    <row r="113" spans="1:3" x14ac:dyDescent="0.2">
      <c r="A113" s="5" t="s">
        <v>3606</v>
      </c>
      <c r="C113" s="1656">
        <f>SUM(B64+C64)/2</f>
        <v>22.984999999999999</v>
      </c>
    </row>
    <row r="118" spans="1:3" x14ac:dyDescent="0.2">
      <c r="A118" s="5" t="s">
        <v>3607</v>
      </c>
    </row>
  </sheetData>
  <mergeCells count="49">
    <mergeCell ref="G4:G5"/>
    <mergeCell ref="A2:F2"/>
    <mergeCell ref="A4:A5"/>
    <mergeCell ref="B4:D4"/>
    <mergeCell ref="E4:E5"/>
    <mergeCell ref="F4:F5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F59:F62"/>
    <mergeCell ref="A36:F36"/>
    <mergeCell ref="F37:F40"/>
    <mergeCell ref="A41:F41"/>
    <mergeCell ref="F42:F45"/>
    <mergeCell ref="F48:F49"/>
    <mergeCell ref="A54:F54"/>
    <mergeCell ref="A56:A57"/>
    <mergeCell ref="B56:D56"/>
    <mergeCell ref="E56:E57"/>
    <mergeCell ref="F56:F57"/>
    <mergeCell ref="A58:F58"/>
    <mergeCell ref="F89:F92"/>
    <mergeCell ref="A63:F63"/>
    <mergeCell ref="F64:F67"/>
    <mergeCell ref="A68:F68"/>
    <mergeCell ref="F69:F72"/>
    <mergeCell ref="A73:F73"/>
    <mergeCell ref="F74:F77"/>
    <mergeCell ref="A78:F78"/>
    <mergeCell ref="F79:F82"/>
    <mergeCell ref="A83:F83"/>
    <mergeCell ref="F84:F87"/>
    <mergeCell ref="A88:F88"/>
    <mergeCell ref="F110:F111"/>
    <mergeCell ref="A93:F93"/>
    <mergeCell ref="F94:F97"/>
    <mergeCell ref="A98:F98"/>
    <mergeCell ref="F99:F102"/>
    <mergeCell ref="A103:F103"/>
    <mergeCell ref="F104:F107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73"/>
  <dimension ref="A2:E28"/>
  <sheetViews>
    <sheetView workbookViewId="0">
      <selection activeCell="N44" sqref="N44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5600" t="s">
        <v>2075</v>
      </c>
      <c r="B2" s="5600"/>
      <c r="C2" s="5600"/>
      <c r="D2" s="5600"/>
      <c r="E2" s="5600"/>
    </row>
    <row r="3" spans="1:5" ht="15.75" customHeight="1" x14ac:dyDescent="0.2"/>
    <row r="4" spans="1:5" ht="23.25" hidden="1" customHeight="1" x14ac:dyDescent="0.2">
      <c r="A4" s="371" t="s">
        <v>1929</v>
      </c>
      <c r="B4" s="1875" t="s">
        <v>1933</v>
      </c>
      <c r="C4" s="1875"/>
      <c r="D4" s="1875" t="s">
        <v>1934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1930</v>
      </c>
      <c r="B7" s="5">
        <v>10.82</v>
      </c>
    </row>
    <row r="8" spans="1:5" hidden="1" x14ac:dyDescent="0.2">
      <c r="A8" s="5" t="s">
        <v>1931</v>
      </c>
      <c r="B8" s="5">
        <v>47.47</v>
      </c>
      <c r="D8" s="5">
        <v>7.22</v>
      </c>
    </row>
    <row r="9" spans="1:5" hidden="1" x14ac:dyDescent="0.2">
      <c r="A9" s="5" t="s">
        <v>1932</v>
      </c>
    </row>
    <row r="10" spans="1:5" hidden="1" x14ac:dyDescent="0.2"/>
    <row r="11" spans="1:5" s="1875" customFormat="1" x14ac:dyDescent="0.2">
      <c r="A11" s="4482"/>
      <c r="B11" s="5018" t="s">
        <v>818</v>
      </c>
      <c r="C11" s="5601"/>
      <c r="D11" s="5018" t="s">
        <v>895</v>
      </c>
      <c r="E11" s="5601"/>
    </row>
    <row r="12" spans="1:5" s="2231" customFormat="1" x14ac:dyDescent="0.2">
      <c r="A12" s="4483"/>
      <c r="B12" s="2222" t="s">
        <v>2071</v>
      </c>
      <c r="C12" s="2222" t="s">
        <v>1577</v>
      </c>
      <c r="D12" s="2222" t="s">
        <v>2071</v>
      </c>
      <c r="E12" s="2222" t="s">
        <v>1577</v>
      </c>
    </row>
    <row r="13" spans="1:5" ht="22.5" customHeight="1" x14ac:dyDescent="0.2">
      <c r="A13" s="2134" t="s">
        <v>1935</v>
      </c>
      <c r="B13" s="2222"/>
      <c r="C13" s="2222"/>
      <c r="D13" s="2222"/>
      <c r="E13" s="2222"/>
    </row>
    <row r="14" spans="1:5" ht="11.25" customHeight="1" x14ac:dyDescent="0.2">
      <c r="A14" s="1771" t="s">
        <v>50</v>
      </c>
      <c r="B14" s="1857"/>
      <c r="C14" s="1857"/>
      <c r="D14" s="1857"/>
      <c r="E14" s="1857"/>
    </row>
    <row r="15" spans="1:5" ht="18" customHeight="1" x14ac:dyDescent="0.2">
      <c r="A15" s="1771" t="s">
        <v>288</v>
      </c>
      <c r="B15" s="1747">
        <v>75411.5</v>
      </c>
      <c r="C15" s="2256">
        <f>B15/B20</f>
        <v>3.8056824203275215E-4</v>
      </c>
      <c r="D15" s="1747">
        <v>200883.4</v>
      </c>
      <c r="E15" s="2256">
        <f>D15/D20</f>
        <v>9.1607945787692787E-4</v>
      </c>
    </row>
    <row r="16" spans="1:5" ht="25.5" customHeight="1" x14ac:dyDescent="0.2">
      <c r="A16" s="1771" t="s">
        <v>316</v>
      </c>
      <c r="B16" s="1747">
        <f>73320+51396.67</f>
        <v>124716.67</v>
      </c>
      <c r="C16" s="2256">
        <f>B16/B20</f>
        <v>6.2938946784083167E-4</v>
      </c>
      <c r="D16" s="1747">
        <f>260832+62506.35</f>
        <v>323338.34999999998</v>
      </c>
      <c r="E16" s="2256">
        <f>D16/D20</f>
        <v>1.4745052123710588E-3</v>
      </c>
    </row>
    <row r="17" spans="1:5" x14ac:dyDescent="0.2">
      <c r="A17" s="2134" t="s">
        <v>1932</v>
      </c>
      <c r="B17" s="1747">
        <f>B24*1000-B15-B16-B19-B18</f>
        <v>6276310.6925000101</v>
      </c>
      <c r="C17" s="2256">
        <f>B17/B20</f>
        <v>3.1673743748580709E-2</v>
      </c>
      <c r="D17" s="1747">
        <f>D24*1000-D15-D16-D19-D18</f>
        <v>8749592.6926999837</v>
      </c>
      <c r="E17" s="2256">
        <f>D17/D20</f>
        <v>3.9900370715412671E-2</v>
      </c>
    </row>
    <row r="18" spans="1:5" x14ac:dyDescent="0.2">
      <c r="A18" s="2134" t="s">
        <v>46</v>
      </c>
      <c r="B18" s="1747">
        <f>('вода 2019-2021 коррект'!H31+'тех вода 2019-2021'!H31)*1000</f>
        <v>116289129.28480001</v>
      </c>
      <c r="C18" s="2256">
        <f>B18/B20</f>
        <v>0.58685942461608342</v>
      </c>
      <c r="D18" s="1747">
        <f>(ТН!J40+ТН!J24)*1000</f>
        <v>127472098.7659</v>
      </c>
      <c r="E18" s="2256">
        <f>D18/D20</f>
        <v>0.58130523045657267</v>
      </c>
    </row>
    <row r="19" spans="1:5" x14ac:dyDescent="0.2">
      <c r="A19" s="2134" t="s">
        <v>47</v>
      </c>
      <c r="B19" s="1747">
        <f>('стоки 2019-2021'!H30+'очистка 2019-2021'!H31)*1000</f>
        <v>75389431.852699995</v>
      </c>
      <c r="C19" s="2256">
        <f>B19/B20</f>
        <v>0.38045687392546235</v>
      </c>
      <c r="D19" s="1747">
        <f>(ТН!J56+ТН!J72)*1000</f>
        <v>82540086.7914</v>
      </c>
      <c r="E19" s="2256">
        <f>D19/D20</f>
        <v>0.37640381415776658</v>
      </c>
    </row>
    <row r="20" spans="1:5" x14ac:dyDescent="0.2">
      <c r="A20" s="2134" t="s">
        <v>282</v>
      </c>
      <c r="B20" s="1746">
        <f>SUM(B15:B19)</f>
        <v>198155000</v>
      </c>
      <c r="C20" s="2255">
        <f>SUM(C15:C19)</f>
        <v>1</v>
      </c>
      <c r="D20" s="1746">
        <f>SUM(D15:D19)</f>
        <v>219286000</v>
      </c>
      <c r="E20" s="2258">
        <f>SUM(E15:E19)</f>
        <v>0.99999999999999989</v>
      </c>
    </row>
    <row r="21" spans="1:5" x14ac:dyDescent="0.2">
      <c r="A21" s="2134" t="s">
        <v>2072</v>
      </c>
      <c r="B21" s="2222"/>
      <c r="C21" s="2222"/>
      <c r="D21" s="2222"/>
      <c r="E21" s="2222"/>
    </row>
    <row r="22" spans="1:5" x14ac:dyDescent="0.2">
      <c r="A22" s="2134" t="s">
        <v>2073</v>
      </c>
      <c r="B22" s="2257">
        <v>175934</v>
      </c>
      <c r="C22" s="2257"/>
      <c r="D22" s="2257">
        <v>191436</v>
      </c>
      <c r="E22" s="1857"/>
    </row>
    <row r="23" spans="1:5" x14ac:dyDescent="0.2">
      <c r="A23" s="2134" t="s">
        <v>2074</v>
      </c>
      <c r="B23" s="2257">
        <v>22221</v>
      </c>
      <c r="C23" s="2257"/>
      <c r="D23" s="2257">
        <v>27850</v>
      </c>
      <c r="E23" s="1857"/>
    </row>
    <row r="24" spans="1:5" x14ac:dyDescent="0.2">
      <c r="A24" s="2134" t="s">
        <v>282</v>
      </c>
      <c r="B24" s="1746">
        <f>SUM(B22:B23)</f>
        <v>198155</v>
      </c>
      <c r="C24" s="1746"/>
      <c r="D24" s="1746">
        <f>SUM(D22:D23)</f>
        <v>219286</v>
      </c>
      <c r="E24" s="2222"/>
    </row>
    <row r="25" spans="1:5" x14ac:dyDescent="0.2">
      <c r="B25" s="1674"/>
      <c r="C25" s="1674"/>
      <c r="D25" s="1674"/>
    </row>
    <row r="26" spans="1:5" x14ac:dyDescent="0.2">
      <c r="B26" s="1674"/>
      <c r="C26" s="1674"/>
      <c r="D26" s="1674"/>
    </row>
    <row r="27" spans="1:5" x14ac:dyDescent="0.2">
      <c r="B27" s="1674"/>
      <c r="C27" s="1674"/>
      <c r="D27" s="1674"/>
    </row>
    <row r="28" spans="1:5" x14ac:dyDescent="0.2">
      <c r="B28" s="1674"/>
      <c r="C28" s="1674"/>
      <c r="D28" s="1674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1950">
        <f>B2+C2</f>
        <v>3040839.86</v>
      </c>
      <c r="B2" s="1950">
        <f>SUM(B3:B14)</f>
        <v>0</v>
      </c>
      <c r="C2" s="1950">
        <f>SUM(C3:C14)</f>
        <v>3040839.86</v>
      </c>
      <c r="D2" s="1950">
        <f>SUM(D3:D14)</f>
        <v>0</v>
      </c>
      <c r="E2" s="1950">
        <f t="shared" ref="E2:L2" si="0">SUM(E3:E14)</f>
        <v>0</v>
      </c>
      <c r="F2" s="1950">
        <f t="shared" si="0"/>
        <v>0</v>
      </c>
      <c r="G2" s="1950">
        <f t="shared" si="0"/>
        <v>2239890.88</v>
      </c>
      <c r="H2" s="1950">
        <f t="shared" si="0"/>
        <v>1662351.88</v>
      </c>
      <c r="I2" s="1950">
        <f t="shared" si="0"/>
        <v>577539</v>
      </c>
      <c r="J2" s="1950">
        <f t="shared" si="0"/>
        <v>800948.98</v>
      </c>
      <c r="K2" s="1950">
        <f t="shared" si="0"/>
        <v>778637.31599999988</v>
      </c>
      <c r="L2" s="1950">
        <f t="shared" si="0"/>
        <v>22311.664000000001</v>
      </c>
      <c r="M2" s="1950">
        <f>SUM(M3:M14)</f>
        <v>0</v>
      </c>
      <c r="N2" s="1950">
        <f>SUM(N3:N14)</f>
        <v>0</v>
      </c>
      <c r="O2" s="1950">
        <f>SUM(O3:O14)</f>
        <v>0</v>
      </c>
    </row>
    <row r="3" spans="1:15" x14ac:dyDescent="0.2">
      <c r="A3" s="1950">
        <f t="shared" ref="A3:A14" si="1">B3+C3</f>
        <v>271693.3</v>
      </c>
      <c r="B3" s="1949"/>
      <c r="C3" s="1950">
        <f>SUM(D3,G3,J3,M3)</f>
        <v>271693.3</v>
      </c>
      <c r="D3" s="1950">
        <f>SUM(E3,F3,)</f>
        <v>0</v>
      </c>
      <c r="E3" s="1949"/>
      <c r="F3" s="1949"/>
      <c r="G3" s="1950">
        <f>SUM(H3,I3,)</f>
        <v>205146.61</v>
      </c>
      <c r="H3" s="1949">
        <v>152797.60999999999</v>
      </c>
      <c r="I3" s="1949">
        <v>52349</v>
      </c>
      <c r="J3" s="1950">
        <f>SUM(K3,L3,)</f>
        <v>66546.69</v>
      </c>
      <c r="K3" s="1949">
        <v>64717.845000000001</v>
      </c>
      <c r="L3" s="1949">
        <v>1828.845</v>
      </c>
      <c r="M3" s="1950">
        <f>SUM(N3,O3,)</f>
        <v>0</v>
      </c>
      <c r="N3" s="1949"/>
      <c r="O3" s="1949"/>
    </row>
    <row r="4" spans="1:15" x14ac:dyDescent="0.2">
      <c r="A4" s="1950">
        <f t="shared" si="1"/>
        <v>267880.98</v>
      </c>
      <c r="B4" s="1949"/>
      <c r="C4" s="1950">
        <f t="shared" ref="C4:C14" si="2">SUM(D4,G4,J4,M4)</f>
        <v>267880.98</v>
      </c>
      <c r="D4" s="1950">
        <f t="shared" ref="D4:D14" si="3">SUM(E4,F4,)</f>
        <v>0</v>
      </c>
      <c r="E4" s="1949"/>
      <c r="F4" s="1949"/>
      <c r="G4" s="1950">
        <f t="shared" ref="G4:G14" si="4">SUM(H4,I4,)</f>
        <v>195486.07999999999</v>
      </c>
      <c r="H4" s="1949">
        <v>148192.07999999999</v>
      </c>
      <c r="I4" s="1949">
        <v>47294</v>
      </c>
      <c r="J4" s="1950">
        <f t="shared" ref="J4:J14" si="5">SUM(K4,L4,)</f>
        <v>72394.899999999994</v>
      </c>
      <c r="K4" s="1949">
        <v>70567.054999999993</v>
      </c>
      <c r="L4" s="1949">
        <v>1827.845</v>
      </c>
      <c r="M4" s="1950">
        <f t="shared" ref="M4:M14" si="6">SUM(N4,O4,)</f>
        <v>0</v>
      </c>
      <c r="N4" s="1949"/>
      <c r="O4" s="1949"/>
    </row>
    <row r="5" spans="1:15" x14ac:dyDescent="0.2">
      <c r="A5" s="1950">
        <f t="shared" si="1"/>
        <v>264651.92</v>
      </c>
      <c r="B5" s="1949"/>
      <c r="C5" s="1950">
        <f t="shared" si="2"/>
        <v>264651.92</v>
      </c>
      <c r="D5" s="1950">
        <f t="shared" si="3"/>
        <v>0</v>
      </c>
      <c r="E5" s="1949"/>
      <c r="F5" s="1949"/>
      <c r="G5" s="1950">
        <f t="shared" si="4"/>
        <v>193837.74</v>
      </c>
      <c r="H5" s="1949">
        <v>144467.74</v>
      </c>
      <c r="I5" s="1949">
        <v>49370</v>
      </c>
      <c r="J5" s="1950">
        <f t="shared" si="5"/>
        <v>70814.179999999993</v>
      </c>
      <c r="K5" s="1949">
        <v>68901.482999999993</v>
      </c>
      <c r="L5" s="1949">
        <v>1912.6969999999999</v>
      </c>
      <c r="M5" s="1950">
        <f t="shared" si="6"/>
        <v>0</v>
      </c>
      <c r="N5" s="1949"/>
      <c r="O5" s="1949"/>
    </row>
    <row r="6" spans="1:15" x14ac:dyDescent="0.2">
      <c r="A6" s="1950">
        <f t="shared" si="1"/>
        <v>262160.76</v>
      </c>
      <c r="B6" s="1949"/>
      <c r="C6" s="1950">
        <f t="shared" si="2"/>
        <v>262160.76</v>
      </c>
      <c r="D6" s="1950">
        <f t="shared" si="3"/>
        <v>0</v>
      </c>
      <c r="E6" s="1949"/>
      <c r="F6" s="1949"/>
      <c r="G6" s="1950">
        <f t="shared" si="4"/>
        <v>189491.35</v>
      </c>
      <c r="H6" s="1949">
        <v>142472.35</v>
      </c>
      <c r="I6" s="1949">
        <v>47019</v>
      </c>
      <c r="J6" s="1950">
        <f t="shared" si="5"/>
        <v>72669.41</v>
      </c>
      <c r="K6" s="1949">
        <v>70832.914000000004</v>
      </c>
      <c r="L6" s="1949">
        <v>1836.4960000000001</v>
      </c>
      <c r="M6" s="1950">
        <f t="shared" si="6"/>
        <v>0</v>
      </c>
      <c r="N6" s="1949"/>
      <c r="O6" s="1949"/>
    </row>
    <row r="7" spans="1:15" x14ac:dyDescent="0.2">
      <c r="A7" s="1950">
        <f t="shared" si="1"/>
        <v>251481.02000000002</v>
      </c>
      <c r="B7" s="1949"/>
      <c r="C7" s="1950">
        <f t="shared" si="2"/>
        <v>251481.02000000002</v>
      </c>
      <c r="D7" s="1950">
        <f t="shared" si="3"/>
        <v>0</v>
      </c>
      <c r="E7" s="1949"/>
      <c r="F7" s="1949"/>
      <c r="G7" s="1950">
        <f t="shared" si="4"/>
        <v>183724.79</v>
      </c>
      <c r="H7" s="1949">
        <v>134916.79</v>
      </c>
      <c r="I7" s="1949">
        <v>48808</v>
      </c>
      <c r="J7" s="1950">
        <f t="shared" si="5"/>
        <v>67756.23000000001</v>
      </c>
      <c r="K7" s="1949">
        <v>65925.373000000007</v>
      </c>
      <c r="L7" s="1949">
        <v>1830.857</v>
      </c>
      <c r="M7" s="1950">
        <f t="shared" si="6"/>
        <v>0</v>
      </c>
      <c r="N7" s="1949"/>
      <c r="O7" s="1949"/>
    </row>
    <row r="8" spans="1:15" x14ac:dyDescent="0.2">
      <c r="A8" s="1950">
        <f t="shared" si="1"/>
        <v>249611.67</v>
      </c>
      <c r="B8" s="1949"/>
      <c r="C8" s="1950">
        <f t="shared" si="2"/>
        <v>249611.67</v>
      </c>
      <c r="D8" s="1950">
        <f t="shared" si="3"/>
        <v>0</v>
      </c>
      <c r="E8" s="1949"/>
      <c r="F8" s="1949"/>
      <c r="G8" s="1950">
        <f t="shared" si="4"/>
        <v>181273.2</v>
      </c>
      <c r="H8" s="1949">
        <v>134316.20000000001</v>
      </c>
      <c r="I8" s="1949">
        <v>46957</v>
      </c>
      <c r="J8" s="1950">
        <f t="shared" si="5"/>
        <v>68338.47</v>
      </c>
      <c r="K8" s="1949">
        <v>66372.952999999994</v>
      </c>
      <c r="L8" s="1949">
        <v>1965.5170000000001</v>
      </c>
      <c r="M8" s="1950">
        <f t="shared" si="6"/>
        <v>0</v>
      </c>
      <c r="N8" s="1949"/>
      <c r="O8" s="1949"/>
    </row>
    <row r="9" spans="1:15" x14ac:dyDescent="0.2">
      <c r="A9" s="1950">
        <f t="shared" si="1"/>
        <v>223476.73</v>
      </c>
      <c r="B9" s="1949"/>
      <c r="C9" s="1950">
        <f t="shared" si="2"/>
        <v>223476.73</v>
      </c>
      <c r="D9" s="1950">
        <f t="shared" si="3"/>
        <v>0</v>
      </c>
      <c r="E9" s="1949"/>
      <c r="F9" s="1949"/>
      <c r="G9" s="1950">
        <f t="shared" si="4"/>
        <v>166397.69</v>
      </c>
      <c r="H9" s="1949">
        <v>120797.69</v>
      </c>
      <c r="I9" s="1949">
        <v>45600</v>
      </c>
      <c r="J9" s="1950">
        <f t="shared" si="5"/>
        <v>57079.040000000001</v>
      </c>
      <c r="K9" s="1949">
        <v>55249.821000000004</v>
      </c>
      <c r="L9" s="1949">
        <v>1829.2190000000001</v>
      </c>
      <c r="M9" s="1950">
        <f t="shared" si="6"/>
        <v>0</v>
      </c>
      <c r="N9" s="1949"/>
      <c r="O9" s="1949"/>
    </row>
    <row r="10" spans="1:15" x14ac:dyDescent="0.2">
      <c r="A10" s="1950">
        <f t="shared" si="1"/>
        <v>244501.71000000002</v>
      </c>
      <c r="B10" s="1949"/>
      <c r="C10" s="1950">
        <f t="shared" si="2"/>
        <v>244501.71000000002</v>
      </c>
      <c r="D10" s="1950">
        <f t="shared" si="3"/>
        <v>0</v>
      </c>
      <c r="E10" s="1949"/>
      <c r="F10" s="1949"/>
      <c r="G10" s="1950">
        <f t="shared" si="4"/>
        <v>184838.26</v>
      </c>
      <c r="H10" s="1949">
        <v>128869.26</v>
      </c>
      <c r="I10" s="1949">
        <v>55969</v>
      </c>
      <c r="J10" s="1950">
        <f t="shared" si="5"/>
        <v>59663.45</v>
      </c>
      <c r="K10" s="1949">
        <v>57831.731</v>
      </c>
      <c r="L10" s="1949">
        <v>1831.7190000000001</v>
      </c>
      <c r="M10" s="1950">
        <f t="shared" si="6"/>
        <v>0</v>
      </c>
      <c r="N10" s="1949"/>
      <c r="O10" s="1949"/>
    </row>
    <row r="11" spans="1:15" x14ac:dyDescent="0.2">
      <c r="A11" s="1950">
        <f t="shared" si="1"/>
        <v>254060.72000000003</v>
      </c>
      <c r="B11" s="1949"/>
      <c r="C11" s="1950">
        <f t="shared" si="2"/>
        <v>254060.72000000003</v>
      </c>
      <c r="D11" s="1950">
        <f t="shared" si="3"/>
        <v>0</v>
      </c>
      <c r="E11" s="1949"/>
      <c r="F11" s="1949"/>
      <c r="G11" s="1950">
        <f t="shared" si="4"/>
        <v>186145.89</v>
      </c>
      <c r="H11" s="1949">
        <v>140183.89000000001</v>
      </c>
      <c r="I11" s="1949">
        <v>45962</v>
      </c>
      <c r="J11" s="1950">
        <f t="shared" si="5"/>
        <v>67914.83</v>
      </c>
      <c r="K11" s="1949">
        <v>66015.036999999997</v>
      </c>
      <c r="L11" s="1949">
        <v>1899.7929999999999</v>
      </c>
      <c r="M11" s="1950">
        <f t="shared" si="6"/>
        <v>0</v>
      </c>
      <c r="N11" s="1949"/>
      <c r="O11" s="1949"/>
    </row>
    <row r="12" spans="1:15" x14ac:dyDescent="0.2">
      <c r="A12" s="1950">
        <f t="shared" si="1"/>
        <v>246681.56999999998</v>
      </c>
      <c r="B12" s="1949"/>
      <c r="C12" s="1950">
        <f t="shared" si="2"/>
        <v>246681.56999999998</v>
      </c>
      <c r="D12" s="1950">
        <f t="shared" si="3"/>
        <v>0</v>
      </c>
      <c r="E12" s="1949"/>
      <c r="F12" s="1949"/>
      <c r="G12" s="1950">
        <f t="shared" si="4"/>
        <v>184720.27</v>
      </c>
      <c r="H12" s="1949">
        <v>137941.26999999999</v>
      </c>
      <c r="I12" s="1949">
        <v>46779</v>
      </c>
      <c r="J12" s="1950">
        <f t="shared" si="5"/>
        <v>61961.299999999996</v>
      </c>
      <c r="K12" s="1949">
        <v>61762.930999999997</v>
      </c>
      <c r="L12" s="1949">
        <v>198.369</v>
      </c>
      <c r="M12" s="1950">
        <f t="shared" si="6"/>
        <v>0</v>
      </c>
      <c r="N12" s="1949"/>
      <c r="O12" s="1949"/>
    </row>
    <row r="13" spans="1:15" x14ac:dyDescent="0.2">
      <c r="A13" s="1950">
        <f t="shared" si="1"/>
        <v>253925.40000000002</v>
      </c>
      <c r="B13" s="1949"/>
      <c r="C13" s="1950">
        <f t="shared" si="2"/>
        <v>253925.40000000002</v>
      </c>
      <c r="D13" s="1950">
        <f t="shared" si="3"/>
        <v>0</v>
      </c>
      <c r="E13" s="1949"/>
      <c r="F13" s="1949"/>
      <c r="G13" s="1950">
        <f t="shared" si="4"/>
        <v>188901.32</v>
      </c>
      <c r="H13" s="1949">
        <v>144492.32</v>
      </c>
      <c r="I13" s="1949">
        <v>44409</v>
      </c>
      <c r="J13" s="1950">
        <f t="shared" si="5"/>
        <v>65024.08</v>
      </c>
      <c r="K13" s="1949">
        <v>61857.311000000002</v>
      </c>
      <c r="L13" s="1949">
        <v>3166.7689999999998</v>
      </c>
      <c r="M13" s="1950">
        <f t="shared" si="6"/>
        <v>0</v>
      </c>
      <c r="N13" s="1949"/>
      <c r="O13" s="1949"/>
    </row>
    <row r="14" spans="1:15" x14ac:dyDescent="0.2">
      <c r="A14" s="1950">
        <f t="shared" si="1"/>
        <v>250714.08</v>
      </c>
      <c r="B14" s="1949"/>
      <c r="C14" s="1950">
        <f t="shared" si="2"/>
        <v>250714.08</v>
      </c>
      <c r="D14" s="1950">
        <f t="shared" si="3"/>
        <v>0</v>
      </c>
      <c r="E14" s="1949"/>
      <c r="F14" s="1949"/>
      <c r="G14" s="1950">
        <f t="shared" si="4"/>
        <v>179927.67999999999</v>
      </c>
      <c r="H14" s="1949">
        <v>132904.68</v>
      </c>
      <c r="I14" s="1949">
        <v>47023</v>
      </c>
      <c r="J14" s="1950">
        <f t="shared" si="5"/>
        <v>70786.399999999994</v>
      </c>
      <c r="K14" s="1949">
        <v>68602.861999999994</v>
      </c>
      <c r="L14" s="1949">
        <v>2183.538</v>
      </c>
      <c r="M14" s="1950">
        <f t="shared" si="6"/>
        <v>0</v>
      </c>
      <c r="N14" s="1949"/>
      <c r="O14" s="1949"/>
    </row>
    <row r="15" spans="1:15" x14ac:dyDescent="0.2">
      <c r="A15" s="1947"/>
      <c r="B15" s="1943"/>
      <c r="C15" s="1943"/>
      <c r="D15" s="1943"/>
      <c r="E15" s="1943"/>
      <c r="F15" s="1943"/>
      <c r="G15" s="1943"/>
      <c r="H15" s="1943"/>
      <c r="I15" s="1943"/>
      <c r="J15" s="1943"/>
      <c r="K15" s="1943"/>
      <c r="L15" s="1943"/>
      <c r="M15" s="1943"/>
      <c r="N15" s="1943"/>
      <c r="O15" s="1943"/>
    </row>
    <row r="16" spans="1:15" x14ac:dyDescent="0.2">
      <c r="A16" s="1947"/>
      <c r="B16" s="1943"/>
      <c r="C16" s="1943"/>
      <c r="D16" s="1943"/>
      <c r="E16" s="1943"/>
      <c r="F16" s="1943"/>
      <c r="G16" s="1943"/>
      <c r="H16" s="1943"/>
      <c r="I16" s="1943"/>
      <c r="J16" s="1943"/>
      <c r="K16" s="1943"/>
      <c r="L16" s="1943"/>
      <c r="M16" s="1943"/>
      <c r="N16" s="1943"/>
      <c r="O16" s="1943"/>
    </row>
    <row r="17" spans="1:15" x14ac:dyDescent="0.2">
      <c r="A17" s="1947"/>
      <c r="B17" s="1943"/>
      <c r="C17" s="1943"/>
      <c r="D17" s="1943"/>
      <c r="E17" s="1943"/>
      <c r="F17" s="1943"/>
      <c r="G17" s="1943"/>
      <c r="H17" s="1943"/>
      <c r="I17" s="1943"/>
      <c r="J17" s="1943"/>
      <c r="K17" s="1943"/>
      <c r="L17" s="1943"/>
      <c r="M17" s="1943"/>
      <c r="N17" s="1943"/>
      <c r="O17" s="1943"/>
    </row>
    <row r="18" spans="1:15" x14ac:dyDescent="0.2">
      <c r="A18" s="1947"/>
      <c r="B18" s="1943"/>
      <c r="C18" s="1943"/>
      <c r="D18" s="1943"/>
      <c r="E18" s="1943"/>
      <c r="F18" s="1943"/>
      <c r="G18" s="1943"/>
      <c r="H18" s="1943"/>
      <c r="I18" s="1943"/>
      <c r="J18" s="1943"/>
      <c r="K18" s="1943"/>
      <c r="L18" s="1943"/>
      <c r="M18" s="1943"/>
      <c r="N18" s="1943"/>
      <c r="O18" s="1943"/>
    </row>
    <row r="19" spans="1:15" x14ac:dyDescent="0.2">
      <c r="A19" s="1947"/>
      <c r="B19" s="1943"/>
      <c r="C19" s="1943"/>
      <c r="D19" s="1943"/>
      <c r="E19" s="1943"/>
      <c r="F19" s="1943"/>
      <c r="G19" s="1943"/>
      <c r="H19" s="1943"/>
      <c r="I19" s="1943"/>
      <c r="J19" s="1943"/>
      <c r="K19" s="1943"/>
      <c r="L19" s="1943"/>
      <c r="M19" s="1943"/>
      <c r="N19" s="1943"/>
      <c r="O19" s="1943"/>
    </row>
    <row r="20" spans="1:15" x14ac:dyDescent="0.2">
      <c r="A20" s="1947"/>
      <c r="B20" s="1943"/>
      <c r="C20" s="1943"/>
      <c r="D20" s="1943"/>
      <c r="E20" s="1943"/>
      <c r="F20" s="1943"/>
      <c r="G20" s="1943"/>
      <c r="H20" s="1943"/>
      <c r="I20" s="1943"/>
      <c r="J20" s="1943"/>
      <c r="K20" s="1943"/>
      <c r="L20" s="1943"/>
      <c r="M20" s="1943"/>
      <c r="N20" s="1943"/>
      <c r="O20" s="1943"/>
    </row>
    <row r="21" spans="1:15" x14ac:dyDescent="0.2">
      <c r="A21" s="1947"/>
      <c r="B21" s="1943"/>
      <c r="C21" s="1943"/>
      <c r="D21" s="1943"/>
      <c r="E21" s="1943"/>
      <c r="F21" s="1943"/>
      <c r="G21" s="1943"/>
      <c r="H21" s="1943"/>
      <c r="I21" s="1943"/>
      <c r="J21" s="1943"/>
      <c r="K21" s="1943"/>
      <c r="L21" s="1943"/>
      <c r="M21" s="1943"/>
      <c r="N21" s="1943"/>
      <c r="O21" s="1943"/>
    </row>
    <row r="22" spans="1:15" x14ac:dyDescent="0.2">
      <c r="A22" s="1947"/>
      <c r="B22" s="1943"/>
      <c r="C22" s="1943"/>
      <c r="D22" s="1943"/>
      <c r="E22" s="1943"/>
      <c r="F22" s="1943"/>
      <c r="G22" s="1943"/>
      <c r="H22" s="1943"/>
      <c r="I22" s="1943"/>
      <c r="J22" s="1943"/>
      <c r="K22" s="1943"/>
      <c r="L22" s="1943"/>
      <c r="M22" s="1943"/>
      <c r="N22" s="1943"/>
      <c r="O22" s="1943"/>
    </row>
    <row r="23" spans="1:15" x14ac:dyDescent="0.2">
      <c r="A23" s="1947"/>
      <c r="B23" s="1943"/>
      <c r="C23" s="1943"/>
      <c r="D23" s="1943"/>
      <c r="E23" s="1943"/>
      <c r="F23" s="1943"/>
      <c r="G23" s="1943"/>
      <c r="H23" s="1943"/>
      <c r="I23" s="1943"/>
      <c r="J23" s="1943"/>
      <c r="K23" s="1943"/>
      <c r="L23" s="1943"/>
      <c r="M23" s="1943"/>
      <c r="N23" s="1943"/>
      <c r="O23" s="1943"/>
    </row>
    <row r="24" spans="1:15" x14ac:dyDescent="0.2">
      <c r="A24" s="1947"/>
      <c r="B24" s="1943"/>
      <c r="C24" s="1943"/>
      <c r="D24" s="1943"/>
      <c r="E24" s="1943"/>
      <c r="F24" s="1943"/>
      <c r="G24" s="1943"/>
      <c r="H24" s="1943"/>
      <c r="I24" s="1943"/>
      <c r="J24" s="1943"/>
      <c r="K24" s="1943"/>
      <c r="L24" s="1943"/>
      <c r="M24" s="1943"/>
      <c r="N24" s="1943"/>
      <c r="O24" s="1943"/>
    </row>
    <row r="25" spans="1:15" x14ac:dyDescent="0.2">
      <c r="A25" s="1947"/>
      <c r="B25" s="1943"/>
      <c r="C25" s="1943"/>
      <c r="D25" s="1943"/>
      <c r="E25" s="1943"/>
      <c r="F25" s="1943"/>
      <c r="G25" s="1943"/>
      <c r="H25" s="1943"/>
      <c r="I25" s="1943"/>
      <c r="J25" s="1943"/>
      <c r="K25" s="1943"/>
      <c r="L25" s="1943"/>
      <c r="M25" s="1943"/>
      <c r="N25" s="1943"/>
      <c r="O25" s="1943"/>
    </row>
    <row r="26" spans="1:15" x14ac:dyDescent="0.2">
      <c r="A26" s="1947"/>
      <c r="B26" s="1943"/>
      <c r="C26" s="1943"/>
      <c r="D26" s="1943"/>
      <c r="E26" s="1943"/>
      <c r="F26" s="1943"/>
      <c r="G26" s="1943"/>
      <c r="H26" s="1943"/>
      <c r="I26" s="1943"/>
      <c r="J26" s="1943"/>
      <c r="K26" s="1943"/>
      <c r="L26" s="1943"/>
      <c r="M26" s="1943"/>
      <c r="N26" s="1943"/>
      <c r="O26" s="1943"/>
    </row>
    <row r="27" spans="1:15" x14ac:dyDescent="0.2">
      <c r="A27" s="2011"/>
      <c r="B27" s="2012"/>
      <c r="C27" s="2012"/>
      <c r="D27" s="2012"/>
      <c r="E27" s="2012"/>
      <c r="F27" s="2012"/>
      <c r="G27" s="2012"/>
      <c r="H27" s="2012"/>
      <c r="I27" s="2012"/>
      <c r="J27" s="2012"/>
      <c r="K27" s="2012"/>
      <c r="L27" s="2012"/>
      <c r="M27" s="2012"/>
      <c r="N27" s="2012"/>
      <c r="O27" s="2012"/>
    </row>
    <row r="28" spans="1:15" x14ac:dyDescent="0.2">
      <c r="A28" s="1945">
        <f>A30</f>
        <v>20645.84</v>
      </c>
      <c r="B28" s="1945">
        <f>B30</f>
        <v>0</v>
      </c>
      <c r="C28" s="1945">
        <f>C30</f>
        <v>20645.84</v>
      </c>
      <c r="D28" s="1945">
        <f>D30</f>
        <v>0</v>
      </c>
      <c r="E28" s="1945">
        <f t="shared" ref="E28:L28" si="7">E30</f>
        <v>0</v>
      </c>
      <c r="F28" s="1945">
        <f t="shared" si="7"/>
        <v>0</v>
      </c>
      <c r="G28" s="1945">
        <f t="shared" si="7"/>
        <v>20645.84</v>
      </c>
      <c r="H28" s="1945">
        <f t="shared" si="7"/>
        <v>0</v>
      </c>
      <c r="I28" s="1945">
        <f t="shared" si="7"/>
        <v>20645.84</v>
      </c>
      <c r="J28" s="1945">
        <f t="shared" si="7"/>
        <v>0</v>
      </c>
      <c r="K28" s="1945">
        <f t="shared" si="7"/>
        <v>0</v>
      </c>
      <c r="L28" s="1945">
        <f t="shared" si="7"/>
        <v>0</v>
      </c>
      <c r="M28" s="1945">
        <f>M30</f>
        <v>0</v>
      </c>
      <c r="N28" s="1945">
        <f t="shared" ref="N28:O28" si="8">N30</f>
        <v>0</v>
      </c>
      <c r="O28" s="1945">
        <f t="shared" si="8"/>
        <v>0</v>
      </c>
    </row>
    <row r="29" spans="1:15" x14ac:dyDescent="0.2">
      <c r="A29" s="1947"/>
      <c r="B29" s="1943"/>
      <c r="C29" s="1943"/>
      <c r="D29" s="1943"/>
      <c r="E29" s="1943"/>
      <c r="F29" s="1943"/>
      <c r="G29" s="1943"/>
      <c r="H29" s="1943"/>
      <c r="I29" s="1943"/>
      <c r="J29" s="1943"/>
      <c r="K29" s="1943"/>
      <c r="L29" s="1943"/>
      <c r="M29" s="1943"/>
      <c r="N29" s="1943"/>
      <c r="O29" s="1943"/>
    </row>
    <row r="30" spans="1:15" x14ac:dyDescent="0.2">
      <c r="A30" s="1950">
        <f>B30+C30</f>
        <v>20645.84</v>
      </c>
      <c r="B30" s="1950">
        <f>SUM(B31:B42)</f>
        <v>0</v>
      </c>
      <c r="C30" s="1950">
        <f>SUM(C31:C42)</f>
        <v>20645.84</v>
      </c>
      <c r="D30" s="1950">
        <f>SUM(D31:D42)</f>
        <v>0</v>
      </c>
      <c r="E30" s="1950">
        <f t="shared" ref="E30:L30" si="9">SUM(E31:E42)</f>
        <v>0</v>
      </c>
      <c r="F30" s="1950">
        <f t="shared" si="9"/>
        <v>0</v>
      </c>
      <c r="G30" s="1950">
        <f t="shared" si="9"/>
        <v>20645.84</v>
      </c>
      <c r="H30" s="1950">
        <f t="shared" si="9"/>
        <v>0</v>
      </c>
      <c r="I30" s="1950">
        <f t="shared" si="9"/>
        <v>20645.84</v>
      </c>
      <c r="J30" s="1950">
        <f t="shared" si="9"/>
        <v>0</v>
      </c>
      <c r="K30" s="1950">
        <f t="shared" si="9"/>
        <v>0</v>
      </c>
      <c r="L30" s="1950">
        <f t="shared" si="9"/>
        <v>0</v>
      </c>
      <c r="M30" s="1950">
        <f>SUM(M31:M42)</f>
        <v>0</v>
      </c>
      <c r="N30" s="1950">
        <f>SUM(N31:N42)</f>
        <v>0</v>
      </c>
      <c r="O30" s="1950">
        <f>SUM(O31:O42)</f>
        <v>0</v>
      </c>
    </row>
    <row r="31" spans="1:15" x14ac:dyDescent="0.2">
      <c r="A31" s="1950">
        <f t="shared" ref="A31:A42" si="10">B31+C31</f>
        <v>251.25</v>
      </c>
      <c r="B31" s="1949"/>
      <c r="C31" s="1950">
        <f>SUM(D31,G31,J31,M31)</f>
        <v>251.25</v>
      </c>
      <c r="D31" s="1950">
        <f>SUM(E31,F31,)</f>
        <v>0</v>
      </c>
      <c r="E31" s="1949"/>
      <c r="F31" s="1949"/>
      <c r="G31" s="1950">
        <f>SUM(H31,I31,)</f>
        <v>251.25</v>
      </c>
      <c r="H31" s="1949"/>
      <c r="I31" s="1949">
        <v>251.25</v>
      </c>
      <c r="J31" s="1950">
        <f>SUM(K31,L31,)</f>
        <v>0</v>
      </c>
      <c r="K31" s="1949"/>
      <c r="L31" s="1949"/>
      <c r="M31" s="1950">
        <f>SUM(N31,O31,)</f>
        <v>0</v>
      </c>
      <c r="N31" s="1949"/>
      <c r="O31" s="1949"/>
    </row>
    <row r="32" spans="1:15" x14ac:dyDescent="0.2">
      <c r="A32" s="1950">
        <f t="shared" si="10"/>
        <v>753.75</v>
      </c>
      <c r="B32" s="1949"/>
      <c r="C32" s="1950">
        <f t="shared" ref="C32:C42" si="11">SUM(D32,G32,J32,M32)</f>
        <v>753.75</v>
      </c>
      <c r="D32" s="1950">
        <f t="shared" ref="D32:D42" si="12">SUM(E32,F32,)</f>
        <v>0</v>
      </c>
      <c r="E32" s="1949"/>
      <c r="F32" s="1949"/>
      <c r="G32" s="1950">
        <f t="shared" ref="G32:G42" si="13">SUM(H32,I32,)</f>
        <v>753.75</v>
      </c>
      <c r="H32" s="1949"/>
      <c r="I32" s="1949">
        <v>753.75</v>
      </c>
      <c r="J32" s="1950">
        <f t="shared" ref="J32:J42" si="14">SUM(K32,L32,)</f>
        <v>0</v>
      </c>
      <c r="K32" s="1949"/>
      <c r="L32" s="1949"/>
      <c r="M32" s="1950">
        <f t="shared" ref="M32:M42" si="15">SUM(N32,O32,)</f>
        <v>0</v>
      </c>
      <c r="N32" s="1949"/>
      <c r="O32" s="1949"/>
    </row>
    <row r="33" spans="1:15" x14ac:dyDescent="0.2">
      <c r="A33" s="1950">
        <f t="shared" si="10"/>
        <v>3772.71</v>
      </c>
      <c r="B33" s="1949"/>
      <c r="C33" s="1950">
        <f t="shared" si="11"/>
        <v>3772.71</v>
      </c>
      <c r="D33" s="1950">
        <f t="shared" si="12"/>
        <v>0</v>
      </c>
      <c r="E33" s="1949"/>
      <c r="F33" s="1949"/>
      <c r="G33" s="1950">
        <f t="shared" si="13"/>
        <v>3772.71</v>
      </c>
      <c r="H33" s="1949"/>
      <c r="I33" s="1949">
        <v>3772.71</v>
      </c>
      <c r="J33" s="1950">
        <f t="shared" si="14"/>
        <v>0</v>
      </c>
      <c r="K33" s="1949"/>
      <c r="L33" s="1949"/>
      <c r="M33" s="1950">
        <f t="shared" si="15"/>
        <v>0</v>
      </c>
      <c r="N33" s="1949"/>
      <c r="O33" s="1949"/>
    </row>
    <row r="34" spans="1:15" x14ac:dyDescent="0.2">
      <c r="A34" s="1950">
        <f t="shared" si="10"/>
        <v>524.5</v>
      </c>
      <c r="B34" s="1949"/>
      <c r="C34" s="1950">
        <f t="shared" si="11"/>
        <v>524.5</v>
      </c>
      <c r="D34" s="1950">
        <f t="shared" si="12"/>
        <v>0</v>
      </c>
      <c r="E34" s="1949"/>
      <c r="F34" s="1949"/>
      <c r="G34" s="1950">
        <f t="shared" si="13"/>
        <v>524.5</v>
      </c>
      <c r="H34" s="1949"/>
      <c r="I34" s="1949">
        <v>524.5</v>
      </c>
      <c r="J34" s="1950">
        <f t="shared" si="14"/>
        <v>0</v>
      </c>
      <c r="K34" s="1949"/>
      <c r="L34" s="1949"/>
      <c r="M34" s="1950">
        <f t="shared" si="15"/>
        <v>0</v>
      </c>
      <c r="N34" s="1949"/>
      <c r="O34" s="1949"/>
    </row>
    <row r="35" spans="1:15" x14ac:dyDescent="0.2">
      <c r="A35" s="1950">
        <f t="shared" si="10"/>
        <v>753.75</v>
      </c>
      <c r="B35" s="1949"/>
      <c r="C35" s="1950">
        <f t="shared" si="11"/>
        <v>753.75</v>
      </c>
      <c r="D35" s="1950">
        <f t="shared" si="12"/>
        <v>0</v>
      </c>
      <c r="E35" s="1949"/>
      <c r="F35" s="1949"/>
      <c r="G35" s="1950">
        <f t="shared" si="13"/>
        <v>753.75</v>
      </c>
      <c r="H35" s="1949"/>
      <c r="I35" s="1949">
        <v>753.75</v>
      </c>
      <c r="J35" s="1950">
        <f t="shared" si="14"/>
        <v>0</v>
      </c>
      <c r="K35" s="1949"/>
      <c r="L35" s="1949"/>
      <c r="M35" s="1950">
        <f t="shared" si="15"/>
        <v>0</v>
      </c>
      <c r="N35" s="1949"/>
      <c r="O35" s="1949"/>
    </row>
    <row r="36" spans="1:15" x14ac:dyDescent="0.2">
      <c r="A36" s="1950">
        <f t="shared" si="10"/>
        <v>4175.71</v>
      </c>
      <c r="B36" s="1949"/>
      <c r="C36" s="1950">
        <f t="shared" si="11"/>
        <v>4175.71</v>
      </c>
      <c r="D36" s="1950">
        <f t="shared" si="12"/>
        <v>0</v>
      </c>
      <c r="E36" s="1949"/>
      <c r="F36" s="1949"/>
      <c r="G36" s="1950">
        <f t="shared" si="13"/>
        <v>4175.71</v>
      </c>
      <c r="H36" s="1949"/>
      <c r="I36" s="1949">
        <v>4175.71</v>
      </c>
      <c r="J36" s="1950">
        <f t="shared" si="14"/>
        <v>0</v>
      </c>
      <c r="K36" s="1949"/>
      <c r="L36" s="1949"/>
      <c r="M36" s="1950">
        <f t="shared" si="15"/>
        <v>0</v>
      </c>
      <c r="N36" s="1949"/>
      <c r="O36" s="1949"/>
    </row>
    <row r="37" spans="1:15" x14ac:dyDescent="0.2">
      <c r="A37" s="1950">
        <f t="shared" si="10"/>
        <v>450</v>
      </c>
      <c r="B37" s="1949"/>
      <c r="C37" s="1950">
        <f t="shared" si="11"/>
        <v>450</v>
      </c>
      <c r="D37" s="1950">
        <f t="shared" si="12"/>
        <v>0</v>
      </c>
      <c r="E37" s="1949"/>
      <c r="F37" s="1949"/>
      <c r="G37" s="1950">
        <f t="shared" si="13"/>
        <v>450</v>
      </c>
      <c r="H37" s="1949"/>
      <c r="I37" s="1949">
        <v>450</v>
      </c>
      <c r="J37" s="1950">
        <f t="shared" si="14"/>
        <v>0</v>
      </c>
      <c r="K37" s="1949"/>
      <c r="L37" s="1949"/>
      <c r="M37" s="1950">
        <f t="shared" si="15"/>
        <v>0</v>
      </c>
      <c r="N37" s="1949"/>
      <c r="O37" s="1949"/>
    </row>
    <row r="38" spans="1:15" x14ac:dyDescent="0.2">
      <c r="A38" s="1950">
        <f t="shared" si="10"/>
        <v>585</v>
      </c>
      <c r="B38" s="1949"/>
      <c r="C38" s="1950">
        <f t="shared" si="11"/>
        <v>585</v>
      </c>
      <c r="D38" s="1950">
        <f t="shared" si="12"/>
        <v>0</v>
      </c>
      <c r="E38" s="1949"/>
      <c r="F38" s="1949"/>
      <c r="G38" s="1950">
        <f t="shared" si="13"/>
        <v>585</v>
      </c>
      <c r="H38" s="1949"/>
      <c r="I38" s="1949">
        <v>585</v>
      </c>
      <c r="J38" s="1950">
        <f t="shared" si="14"/>
        <v>0</v>
      </c>
      <c r="K38" s="1949"/>
      <c r="L38" s="1949"/>
      <c r="M38" s="1950">
        <f t="shared" si="15"/>
        <v>0</v>
      </c>
      <c r="N38" s="1949"/>
      <c r="O38" s="1949"/>
    </row>
    <row r="39" spans="1:15" x14ac:dyDescent="0.2">
      <c r="A39" s="1950">
        <f t="shared" si="10"/>
        <v>4072.71</v>
      </c>
      <c r="B39" s="1949"/>
      <c r="C39" s="1950">
        <f t="shared" si="11"/>
        <v>4072.71</v>
      </c>
      <c r="D39" s="1950">
        <f t="shared" si="12"/>
        <v>0</v>
      </c>
      <c r="E39" s="1949"/>
      <c r="F39" s="1949"/>
      <c r="G39" s="1950">
        <f t="shared" si="13"/>
        <v>4072.71</v>
      </c>
      <c r="H39" s="1949"/>
      <c r="I39" s="1949">
        <v>4072.71</v>
      </c>
      <c r="J39" s="1950">
        <f t="shared" si="14"/>
        <v>0</v>
      </c>
      <c r="K39" s="1949"/>
      <c r="L39" s="1949"/>
      <c r="M39" s="1950">
        <f t="shared" si="15"/>
        <v>0</v>
      </c>
      <c r="N39" s="1949"/>
      <c r="O39" s="1949"/>
    </row>
    <row r="40" spans="1:15" x14ac:dyDescent="0.2">
      <c r="A40" s="1950">
        <f t="shared" si="10"/>
        <v>611.25</v>
      </c>
      <c r="B40" s="1949"/>
      <c r="C40" s="1950">
        <f t="shared" si="11"/>
        <v>611.25</v>
      </c>
      <c r="D40" s="1950">
        <f t="shared" si="12"/>
        <v>0</v>
      </c>
      <c r="E40" s="1949"/>
      <c r="F40" s="1949"/>
      <c r="G40" s="1950">
        <f t="shared" si="13"/>
        <v>611.25</v>
      </c>
      <c r="H40" s="1949"/>
      <c r="I40" s="1949">
        <v>611.25</v>
      </c>
      <c r="J40" s="1950">
        <f t="shared" si="14"/>
        <v>0</v>
      </c>
      <c r="K40" s="1949"/>
      <c r="L40" s="1949"/>
      <c r="M40" s="1950">
        <f t="shared" si="15"/>
        <v>0</v>
      </c>
      <c r="N40" s="1949"/>
      <c r="O40" s="1949"/>
    </row>
    <row r="41" spans="1:15" x14ac:dyDescent="0.2">
      <c r="A41" s="1950">
        <f t="shared" si="10"/>
        <v>810</v>
      </c>
      <c r="B41" s="1949"/>
      <c r="C41" s="1950">
        <f t="shared" si="11"/>
        <v>810</v>
      </c>
      <c r="D41" s="1950">
        <f t="shared" si="12"/>
        <v>0</v>
      </c>
      <c r="E41" s="1949"/>
      <c r="F41" s="1949"/>
      <c r="G41" s="1950">
        <f t="shared" si="13"/>
        <v>810</v>
      </c>
      <c r="H41" s="1949"/>
      <c r="I41" s="1949">
        <v>810</v>
      </c>
      <c r="J41" s="1950">
        <f t="shared" si="14"/>
        <v>0</v>
      </c>
      <c r="K41" s="1949"/>
      <c r="L41" s="1949"/>
      <c r="M41" s="1950">
        <f t="shared" si="15"/>
        <v>0</v>
      </c>
      <c r="N41" s="1949"/>
      <c r="O41" s="1949"/>
    </row>
    <row r="42" spans="1:15" x14ac:dyDescent="0.2">
      <c r="A42" s="1950">
        <f t="shared" si="10"/>
        <v>3885.21</v>
      </c>
      <c r="B42" s="1949"/>
      <c r="C42" s="1950">
        <f t="shared" si="11"/>
        <v>3885.21</v>
      </c>
      <c r="D42" s="1950">
        <f t="shared" si="12"/>
        <v>0</v>
      </c>
      <c r="E42" s="1949"/>
      <c r="F42" s="1949"/>
      <c r="G42" s="1950">
        <f t="shared" si="13"/>
        <v>3885.21</v>
      </c>
      <c r="H42" s="1949"/>
      <c r="I42" s="1949">
        <v>3885.21</v>
      </c>
      <c r="J42" s="1950">
        <f t="shared" si="14"/>
        <v>0</v>
      </c>
      <c r="K42" s="1949"/>
      <c r="L42" s="1949"/>
      <c r="M42" s="1950">
        <f t="shared" si="15"/>
        <v>0</v>
      </c>
      <c r="N42" s="1949"/>
      <c r="O42" s="1949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74"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661" customWidth="1"/>
    <col min="2" max="2" width="18" style="1660" customWidth="1"/>
    <col min="3" max="3" width="19.85546875" style="1660" customWidth="1"/>
    <col min="4" max="4" width="17.85546875" style="1661" customWidth="1"/>
    <col min="5" max="5" width="20.85546875" style="1661" customWidth="1"/>
    <col min="6" max="6" width="13.7109375" style="1661" customWidth="1"/>
    <col min="7" max="20" width="9.140625" style="1661"/>
    <col min="21" max="16384" width="9.140625" style="1662"/>
  </cols>
  <sheetData>
    <row r="1" spans="1:20" x14ac:dyDescent="0.25">
      <c r="A1" s="1659"/>
      <c r="D1" s="5604" t="s">
        <v>1671</v>
      </c>
      <c r="E1" s="5604"/>
    </row>
    <row r="2" spans="1:20" x14ac:dyDescent="0.25">
      <c r="A2" s="1659"/>
      <c r="D2" s="1663"/>
      <c r="E2" s="1663"/>
    </row>
    <row r="3" spans="1:20" x14ac:dyDescent="0.25">
      <c r="A3" s="5541" t="s">
        <v>1520</v>
      </c>
      <c r="B3" s="5541"/>
      <c r="C3" s="5541"/>
      <c r="D3" s="5541"/>
      <c r="E3" s="5541"/>
    </row>
    <row r="4" spans="1:20" x14ac:dyDescent="0.25">
      <c r="A4" s="1661" t="s">
        <v>1521</v>
      </c>
    </row>
    <row r="5" spans="1:20" x14ac:dyDescent="0.25">
      <c r="A5" s="5602" t="s">
        <v>1522</v>
      </c>
      <c r="B5" s="5603" t="s">
        <v>1523</v>
      </c>
      <c r="C5" s="4477" t="s">
        <v>368</v>
      </c>
      <c r="D5" s="4478"/>
      <c r="E5" s="4479"/>
    </row>
    <row r="6" spans="1:20" s="1666" customFormat="1" ht="31.5" x14ac:dyDescent="0.2">
      <c r="A6" s="5602"/>
      <c r="B6" s="5603"/>
      <c r="C6" s="1672" t="s">
        <v>1528</v>
      </c>
      <c r="D6" s="1594" t="s">
        <v>119</v>
      </c>
      <c r="E6" s="1594" t="s">
        <v>1524</v>
      </c>
      <c r="F6" s="1665"/>
      <c r="G6" s="1665"/>
      <c r="H6" s="1665"/>
      <c r="I6" s="1665"/>
      <c r="J6" s="1665"/>
      <c r="K6" s="1665"/>
      <c r="L6" s="1665"/>
      <c r="M6" s="1665"/>
      <c r="N6" s="1665"/>
      <c r="O6" s="1665"/>
      <c r="P6" s="1665"/>
      <c r="Q6" s="1665"/>
      <c r="R6" s="1665"/>
      <c r="S6" s="1665"/>
      <c r="T6" s="1665"/>
    </row>
    <row r="7" spans="1:20" x14ac:dyDescent="0.25">
      <c r="A7" s="1667" t="s">
        <v>526</v>
      </c>
      <c r="B7" s="1668" t="s">
        <v>902</v>
      </c>
      <c r="C7" s="1669">
        <v>1832.95</v>
      </c>
      <c r="D7" s="1669">
        <v>2164.89</v>
      </c>
      <c r="E7" s="1670">
        <v>2164.89</v>
      </c>
    </row>
    <row r="8" spans="1:20" x14ac:dyDescent="0.25">
      <c r="A8" s="1667" t="s">
        <v>1525</v>
      </c>
      <c r="B8" s="1668" t="s">
        <v>902</v>
      </c>
      <c r="C8" s="1669">
        <v>0</v>
      </c>
      <c r="D8" s="1669">
        <v>0</v>
      </c>
      <c r="E8" s="1670">
        <v>0</v>
      </c>
    </row>
    <row r="9" spans="1:20" x14ac:dyDescent="0.25">
      <c r="A9" s="1667" t="s">
        <v>1526</v>
      </c>
      <c r="B9" s="1668" t="s">
        <v>902</v>
      </c>
      <c r="C9" s="1669">
        <f>вода!BE53</f>
        <v>1186.1707105587886</v>
      </c>
      <c r="D9" s="1669">
        <v>1367.37</v>
      </c>
      <c r="E9" s="1670">
        <f>вод.налог!M39</f>
        <v>1349.5274148209801</v>
      </c>
    </row>
    <row r="10" spans="1:20" x14ac:dyDescent="0.25">
      <c r="A10" s="1667" t="s">
        <v>1527</v>
      </c>
      <c r="B10" s="1668" t="s">
        <v>902</v>
      </c>
      <c r="C10" s="1669">
        <v>0</v>
      </c>
      <c r="D10" s="1669">
        <v>0</v>
      </c>
      <c r="E10" s="1670">
        <v>0</v>
      </c>
    </row>
    <row r="11" spans="1:20" x14ac:dyDescent="0.25">
      <c r="A11" s="1667" t="s">
        <v>524</v>
      </c>
      <c r="B11" s="1668" t="s">
        <v>902</v>
      </c>
      <c r="C11" s="1669">
        <f>вода!BE54</f>
        <v>117.63502835085798</v>
      </c>
      <c r="D11" s="1669">
        <v>88.75</v>
      </c>
      <c r="E11" s="1670">
        <v>88.75</v>
      </c>
    </row>
    <row r="12" spans="1:20" x14ac:dyDescent="0.25">
      <c r="A12" s="1667" t="s">
        <v>616</v>
      </c>
      <c r="B12" s="1668"/>
      <c r="C12" s="1664">
        <f>SUM(C7:C11)</f>
        <v>3136.7557389096469</v>
      </c>
      <c r="D12" s="1664">
        <f>SUM(D7:D11)</f>
        <v>3621.0099999999998</v>
      </c>
      <c r="E12" s="1664">
        <f>SUM(E7:E11)</f>
        <v>3603.16741482098</v>
      </c>
    </row>
    <row r="14" spans="1:20" x14ac:dyDescent="0.25">
      <c r="A14" s="5602" t="s">
        <v>1522</v>
      </c>
      <c r="B14" s="5603" t="s">
        <v>1523</v>
      </c>
      <c r="C14" s="4477" t="s">
        <v>25</v>
      </c>
      <c r="D14" s="4478"/>
      <c r="E14" s="4479"/>
    </row>
    <row r="15" spans="1:20" ht="31.5" x14ac:dyDescent="0.25">
      <c r="A15" s="5602"/>
      <c r="B15" s="5603"/>
      <c r="C15" s="1672" t="s">
        <v>1528</v>
      </c>
      <c r="D15" s="1594" t="s">
        <v>119</v>
      </c>
      <c r="E15" s="1594" t="s">
        <v>1524</v>
      </c>
    </row>
    <row r="16" spans="1:20" x14ac:dyDescent="0.25">
      <c r="A16" s="1667" t="s">
        <v>526</v>
      </c>
      <c r="B16" s="1668" t="s">
        <v>902</v>
      </c>
      <c r="C16" s="1669">
        <v>9.84</v>
      </c>
      <c r="D16" s="1669">
        <v>10.33</v>
      </c>
      <c r="E16" s="1670">
        <v>10.33</v>
      </c>
    </row>
    <row r="17" spans="1:5" x14ac:dyDescent="0.25">
      <c r="A17" s="1667" t="s">
        <v>1525</v>
      </c>
      <c r="B17" s="1668" t="s">
        <v>902</v>
      </c>
      <c r="C17" s="1669">
        <v>0</v>
      </c>
      <c r="D17" s="1669">
        <v>0</v>
      </c>
      <c r="E17" s="1670">
        <v>0</v>
      </c>
    </row>
    <row r="18" spans="1:5" x14ac:dyDescent="0.25">
      <c r="A18" s="1667" t="s">
        <v>1526</v>
      </c>
      <c r="B18" s="1668" t="s">
        <v>902</v>
      </c>
      <c r="C18" s="1669">
        <v>7.3</v>
      </c>
      <c r="D18" s="1669">
        <v>6.4829999999999997</v>
      </c>
      <c r="E18" s="1670">
        <f>вод.налог!M38</f>
        <v>7.9768080000000001</v>
      </c>
    </row>
    <row r="19" spans="1:5" x14ac:dyDescent="0.25">
      <c r="A19" s="1667" t="s">
        <v>1527</v>
      </c>
      <c r="B19" s="1668" t="s">
        <v>902</v>
      </c>
      <c r="C19" s="1669">
        <v>0</v>
      </c>
      <c r="D19" s="1669">
        <v>0</v>
      </c>
      <c r="E19" s="1670">
        <v>0</v>
      </c>
    </row>
    <row r="20" spans="1:5" x14ac:dyDescent="0.25">
      <c r="A20" s="1667" t="s">
        <v>524</v>
      </c>
      <c r="B20" s="1668" t="s">
        <v>902</v>
      </c>
      <c r="C20" s="1669">
        <v>0.48</v>
      </c>
      <c r="D20" s="1669">
        <v>0.42399999999999999</v>
      </c>
      <c r="E20" s="1670">
        <v>0.42</v>
      </c>
    </row>
    <row r="21" spans="1:5" x14ac:dyDescent="0.25">
      <c r="A21" s="1667" t="s">
        <v>616</v>
      </c>
      <c r="B21" s="1668"/>
      <c r="C21" s="1664">
        <f>SUM(C16:C20)</f>
        <v>17.62</v>
      </c>
      <c r="D21" s="1664">
        <f>SUM(D16:D20)</f>
        <v>17.236999999999998</v>
      </c>
      <c r="E21" s="1664">
        <f>SUM(E16:E20)</f>
        <v>18.726808000000002</v>
      </c>
    </row>
    <row r="23" spans="1:5" x14ac:dyDescent="0.25">
      <c r="A23" s="5602" t="s">
        <v>1522</v>
      </c>
      <c r="B23" s="5603" t="s">
        <v>1523</v>
      </c>
      <c r="C23" s="4477" t="s">
        <v>47</v>
      </c>
      <c r="D23" s="4478"/>
      <c r="E23" s="4479"/>
    </row>
    <row r="24" spans="1:5" ht="31.5" x14ac:dyDescent="0.25">
      <c r="A24" s="5602"/>
      <c r="B24" s="5603"/>
      <c r="C24" s="1672" t="s">
        <v>1528</v>
      </c>
      <c r="D24" s="1594" t="s">
        <v>119</v>
      </c>
      <c r="E24" s="1594" t="s">
        <v>1524</v>
      </c>
    </row>
    <row r="25" spans="1:5" x14ac:dyDescent="0.25">
      <c r="A25" s="1667" t="s">
        <v>526</v>
      </c>
      <c r="B25" s="1668" t="s">
        <v>902</v>
      </c>
      <c r="C25" s="1669">
        <v>1433.46</v>
      </c>
      <c r="D25" s="1669">
        <v>1409.39</v>
      </c>
      <c r="E25" s="1670">
        <v>1409.39</v>
      </c>
    </row>
    <row r="26" spans="1:5" x14ac:dyDescent="0.25">
      <c r="A26" s="1667" t="s">
        <v>1525</v>
      </c>
      <c r="B26" s="1668" t="s">
        <v>902</v>
      </c>
      <c r="C26" s="1669">
        <v>220.1</v>
      </c>
      <c r="D26" s="1669">
        <v>348.31</v>
      </c>
      <c r="E26" s="1670">
        <v>348.31</v>
      </c>
    </row>
    <row r="27" spans="1:5" x14ac:dyDescent="0.25">
      <c r="A27" s="1667" t="s">
        <v>1526</v>
      </c>
      <c r="B27" s="1668" t="s">
        <v>902</v>
      </c>
      <c r="C27" s="1669">
        <v>0</v>
      </c>
      <c r="D27" s="1669">
        <v>0</v>
      </c>
      <c r="E27" s="1670">
        <v>0</v>
      </c>
    </row>
    <row r="28" spans="1:5" x14ac:dyDescent="0.25">
      <c r="A28" s="1667" t="s">
        <v>1527</v>
      </c>
      <c r="B28" s="1668" t="s">
        <v>902</v>
      </c>
      <c r="C28" s="1669">
        <v>0</v>
      </c>
      <c r="D28" s="1669">
        <v>0</v>
      </c>
      <c r="E28" s="1670">
        <v>0</v>
      </c>
    </row>
    <row r="29" spans="1:5" x14ac:dyDescent="0.25">
      <c r="A29" s="1667" t="s">
        <v>524</v>
      </c>
      <c r="B29" s="1668" t="s">
        <v>902</v>
      </c>
      <c r="C29" s="1669">
        <v>23.21</v>
      </c>
      <c r="D29" s="1669">
        <v>25.87</v>
      </c>
      <c r="E29" s="1670">
        <v>25.87</v>
      </c>
    </row>
    <row r="30" spans="1:5" x14ac:dyDescent="0.25">
      <c r="A30" s="1667" t="s">
        <v>616</v>
      </c>
      <c r="B30" s="1668"/>
      <c r="C30" s="1671">
        <f>SUM(C25:C29)</f>
        <v>1676.77</v>
      </c>
      <c r="D30" s="1671">
        <f>SUM(D25:D29)</f>
        <v>1783.57</v>
      </c>
      <c r="E30" s="1671">
        <f>SUM(E25:E29)</f>
        <v>1783.57</v>
      </c>
    </row>
    <row r="32" spans="1:5" x14ac:dyDescent="0.25">
      <c r="A32" s="5602" t="s">
        <v>1522</v>
      </c>
      <c r="B32" s="5603" t="s">
        <v>1523</v>
      </c>
      <c r="C32" s="4477" t="s">
        <v>1553</v>
      </c>
      <c r="D32" s="4478"/>
      <c r="E32" s="4479"/>
    </row>
    <row r="33" spans="1:5" ht="47.25" x14ac:dyDescent="0.25">
      <c r="A33" s="5602"/>
      <c r="B33" s="5603"/>
      <c r="C33" s="1672" t="s">
        <v>1528</v>
      </c>
      <c r="D33" s="1594" t="s">
        <v>119</v>
      </c>
      <c r="E33" s="1594" t="s">
        <v>1524</v>
      </c>
    </row>
    <row r="34" spans="1:5" x14ac:dyDescent="0.25">
      <c r="A34" s="1667" t="s">
        <v>526</v>
      </c>
      <c r="B34" s="1668" t="s">
        <v>902</v>
      </c>
      <c r="C34" s="1669"/>
      <c r="D34" s="1669"/>
      <c r="E34" s="1670"/>
    </row>
    <row r="35" spans="1:5" x14ac:dyDescent="0.25">
      <c r="A35" s="1667" t="s">
        <v>1525</v>
      </c>
      <c r="B35" s="1668" t="s">
        <v>902</v>
      </c>
      <c r="C35" s="1669"/>
      <c r="D35" s="1669"/>
      <c r="E35" s="1670"/>
    </row>
    <row r="36" spans="1:5" x14ac:dyDescent="0.25">
      <c r="A36" s="1667" t="s">
        <v>1526</v>
      </c>
      <c r="B36" s="1668" t="s">
        <v>902</v>
      </c>
      <c r="C36" s="1669"/>
      <c r="D36" s="1669"/>
      <c r="E36" s="1670"/>
    </row>
    <row r="37" spans="1:5" x14ac:dyDescent="0.25">
      <c r="A37" s="1667" t="s">
        <v>1527</v>
      </c>
      <c r="B37" s="1668" t="s">
        <v>902</v>
      </c>
      <c r="C37" s="1669"/>
      <c r="D37" s="1669"/>
      <c r="E37" s="1670"/>
    </row>
    <row r="38" spans="1:5" x14ac:dyDescent="0.25">
      <c r="A38" s="1667" t="s">
        <v>524</v>
      </c>
      <c r="B38" s="1668" t="s">
        <v>902</v>
      </c>
      <c r="C38" s="1669"/>
      <c r="D38" s="1669"/>
      <c r="E38" s="1670"/>
    </row>
    <row r="39" spans="1:5" x14ac:dyDescent="0.25">
      <c r="A39" s="1667" t="s">
        <v>616</v>
      </c>
      <c r="B39" s="1668"/>
      <c r="C39" s="1671">
        <v>8.01</v>
      </c>
      <c r="D39" s="1671">
        <v>10.47</v>
      </c>
      <c r="E39" s="1671">
        <v>10.47</v>
      </c>
    </row>
  </sheetData>
  <mergeCells count="14">
    <mergeCell ref="A23:A24"/>
    <mergeCell ref="B23:B24"/>
    <mergeCell ref="C23:E23"/>
    <mergeCell ref="A32:A33"/>
    <mergeCell ref="B32:B33"/>
    <mergeCell ref="C32:E32"/>
    <mergeCell ref="A14:A15"/>
    <mergeCell ref="B14:B15"/>
    <mergeCell ref="C14:E14"/>
    <mergeCell ref="D1:E1"/>
    <mergeCell ref="A3:E3"/>
    <mergeCell ref="A5:A6"/>
    <mergeCell ref="B5:B6"/>
    <mergeCell ref="C5:E5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75"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661" customWidth="1"/>
    <col min="2" max="2" width="18" style="1660" customWidth="1"/>
    <col min="3" max="5" width="19.85546875" style="1660" customWidth="1"/>
    <col min="6" max="6" width="17.85546875" style="1661" customWidth="1"/>
    <col min="7" max="7" width="20.85546875" style="1661" customWidth="1"/>
    <col min="8" max="8" width="13.7109375" style="1661" customWidth="1"/>
    <col min="9" max="22" width="9.140625" style="1661"/>
    <col min="23" max="16384" width="9.140625" style="1662"/>
  </cols>
  <sheetData>
    <row r="1" spans="1:22" x14ac:dyDescent="0.25">
      <c r="A1" s="1659"/>
      <c r="F1" s="5604" t="s">
        <v>1671</v>
      </c>
      <c r="G1" s="5604"/>
    </row>
    <row r="2" spans="1:22" x14ac:dyDescent="0.25">
      <c r="A2" s="1659"/>
      <c r="F2" s="1897"/>
      <c r="G2" s="1897"/>
    </row>
    <row r="3" spans="1:22" x14ac:dyDescent="0.25">
      <c r="A3" s="5541" t="s">
        <v>1520</v>
      </c>
      <c r="B3" s="5541"/>
      <c r="C3" s="5541"/>
      <c r="D3" s="5541"/>
      <c r="E3" s="5541"/>
      <c r="F3" s="5541"/>
      <c r="G3" s="5541"/>
    </row>
    <row r="4" spans="1:22" x14ac:dyDescent="0.25">
      <c r="A4" s="1661" t="s">
        <v>1681</v>
      </c>
    </row>
    <row r="5" spans="1:22" x14ac:dyDescent="0.25">
      <c r="A5" s="5602" t="s">
        <v>1522</v>
      </c>
      <c r="B5" s="5603" t="s">
        <v>1523</v>
      </c>
      <c r="C5" s="4477" t="s">
        <v>368</v>
      </c>
      <c r="D5" s="4478"/>
      <c r="E5" s="4478"/>
      <c r="F5" s="4478"/>
      <c r="G5" s="4479"/>
    </row>
    <row r="6" spans="1:22" s="1666" customFormat="1" ht="31.5" x14ac:dyDescent="0.2">
      <c r="A6" s="5602"/>
      <c r="B6" s="5603"/>
      <c r="C6" s="1672" t="s">
        <v>1528</v>
      </c>
      <c r="D6" s="1672" t="s">
        <v>1679</v>
      </c>
      <c r="E6" s="1672" t="s">
        <v>1680</v>
      </c>
      <c r="F6" s="1594" t="s">
        <v>119</v>
      </c>
      <c r="G6" s="1594" t="s">
        <v>1524</v>
      </c>
      <c r="H6" s="1665"/>
      <c r="I6" s="1665"/>
      <c r="J6" s="1665"/>
      <c r="K6" s="1665"/>
      <c r="L6" s="1665"/>
      <c r="M6" s="1665"/>
      <c r="N6" s="1665"/>
      <c r="O6" s="1665"/>
      <c r="P6" s="1665"/>
      <c r="Q6" s="1665"/>
      <c r="R6" s="1665"/>
      <c r="S6" s="1665"/>
      <c r="T6" s="1665"/>
      <c r="U6" s="1665"/>
      <c r="V6" s="1665"/>
    </row>
    <row r="7" spans="1:22" x14ac:dyDescent="0.25">
      <c r="A7" s="1667" t="s">
        <v>526</v>
      </c>
      <c r="B7" s="1668" t="s">
        <v>902</v>
      </c>
      <c r="C7" s="1669">
        <v>1832.95</v>
      </c>
      <c r="D7" s="1669">
        <v>1994.9</v>
      </c>
      <c r="E7" s="1669">
        <f>D7</f>
        <v>1994.9</v>
      </c>
      <c r="F7" s="1669">
        <v>1985.51</v>
      </c>
      <c r="G7" s="1670">
        <f>F7</f>
        <v>1985.51</v>
      </c>
      <c r="H7" s="1660">
        <f>D7-E7</f>
        <v>0</v>
      </c>
    </row>
    <row r="8" spans="1:22" x14ac:dyDescent="0.25">
      <c r="A8" s="1667" t="s">
        <v>1525</v>
      </c>
      <c r="B8" s="1668" t="s">
        <v>902</v>
      </c>
      <c r="C8" s="1669">
        <v>0</v>
      </c>
      <c r="D8" s="1669">
        <v>0</v>
      </c>
      <c r="E8" s="1669">
        <f t="shared" ref="E8:E11" si="0">D8</f>
        <v>0</v>
      </c>
      <c r="F8" s="1669">
        <v>0</v>
      </c>
      <c r="G8" s="1670">
        <v>0</v>
      </c>
      <c r="H8" s="1660">
        <f t="shared" ref="H8:H12" si="1">D8-E8</f>
        <v>0</v>
      </c>
    </row>
    <row r="9" spans="1:22" x14ac:dyDescent="0.25">
      <c r="A9" s="1667" t="s">
        <v>1526</v>
      </c>
      <c r="B9" s="1668" t="s">
        <v>902</v>
      </c>
      <c r="C9" s="1669">
        <f>вода!BE53</f>
        <v>1186.1707105587886</v>
      </c>
      <c r="D9" s="1669">
        <v>2003.2</v>
      </c>
      <c r="E9" s="1669">
        <f>вод.налог!D53</f>
        <v>1205.1155031133251</v>
      </c>
      <c r="F9" s="1669">
        <v>1535.84</v>
      </c>
      <c r="G9" s="1670">
        <f>вод.налог!V39</f>
        <v>1426.7512821041175</v>
      </c>
      <c r="H9" s="1660">
        <f t="shared" si="1"/>
        <v>798.08449688667497</v>
      </c>
    </row>
    <row r="10" spans="1:22" x14ac:dyDescent="0.25">
      <c r="A10" s="1667" t="s">
        <v>1527</v>
      </c>
      <c r="B10" s="1668" t="s">
        <v>902</v>
      </c>
      <c r="C10" s="1669">
        <v>0</v>
      </c>
      <c r="D10" s="1669">
        <v>0</v>
      </c>
      <c r="E10" s="1669">
        <f t="shared" si="0"/>
        <v>0</v>
      </c>
      <c r="F10" s="1669">
        <v>0</v>
      </c>
      <c r="G10" s="1670">
        <v>0</v>
      </c>
      <c r="H10" s="1660">
        <f t="shared" si="1"/>
        <v>0</v>
      </c>
    </row>
    <row r="11" spans="1:22" x14ac:dyDescent="0.25">
      <c r="A11" s="1667" t="s">
        <v>524</v>
      </c>
      <c r="B11" s="1668" t="s">
        <v>902</v>
      </c>
      <c r="C11" s="1669">
        <f>вода!BE54</f>
        <v>117.63502835085798</v>
      </c>
      <c r="D11" s="1669">
        <v>91.1</v>
      </c>
      <c r="E11" s="1669">
        <f t="shared" si="0"/>
        <v>91.1</v>
      </c>
      <c r="F11" s="1669">
        <v>90.67</v>
      </c>
      <c r="G11" s="1670">
        <v>90.67</v>
      </c>
      <c r="H11" s="1660">
        <f t="shared" si="1"/>
        <v>0</v>
      </c>
    </row>
    <row r="12" spans="1:22" x14ac:dyDescent="0.25">
      <c r="A12" s="1667" t="s">
        <v>616</v>
      </c>
      <c r="B12" s="1668"/>
      <c r="C12" s="1896">
        <f>SUM(C7:C11)</f>
        <v>3136.7557389096469</v>
      </c>
      <c r="D12" s="1896">
        <f t="shared" ref="D12:E12" si="2">SUM(D7:D11)</f>
        <v>4089.2000000000003</v>
      </c>
      <c r="E12" s="1896">
        <f t="shared" si="2"/>
        <v>3291.1155031133253</v>
      </c>
      <c r="F12" s="1896">
        <f>SUM(F7:F11)</f>
        <v>3612.02</v>
      </c>
      <c r="G12" s="1896">
        <f>SUM(G7:G11)</f>
        <v>3502.9312821041176</v>
      </c>
      <c r="H12" s="1660">
        <f t="shared" si="1"/>
        <v>798.08449688667497</v>
      </c>
    </row>
    <row r="14" spans="1:22" x14ac:dyDescent="0.25">
      <c r="A14" s="5602" t="s">
        <v>1522</v>
      </c>
      <c r="B14" s="5603" t="s">
        <v>1523</v>
      </c>
      <c r="C14" s="4477" t="s">
        <v>25</v>
      </c>
      <c r="D14" s="4478"/>
      <c r="E14" s="4478"/>
      <c r="F14" s="4478"/>
      <c r="G14" s="4479"/>
    </row>
    <row r="15" spans="1:22" ht="31.5" x14ac:dyDescent="0.25">
      <c r="A15" s="5602"/>
      <c r="B15" s="5603"/>
      <c r="C15" s="1672" t="s">
        <v>1528</v>
      </c>
      <c r="D15" s="1672" t="s">
        <v>1679</v>
      </c>
      <c r="E15" s="1672" t="s">
        <v>1680</v>
      </c>
      <c r="F15" s="1594" t="s">
        <v>119</v>
      </c>
      <c r="G15" s="1594" t="s">
        <v>1524</v>
      </c>
    </row>
    <row r="16" spans="1:22" x14ac:dyDescent="0.25">
      <c r="A16" s="1667" t="s">
        <v>526</v>
      </c>
      <c r="B16" s="1668" t="s">
        <v>902</v>
      </c>
      <c r="C16" s="1669">
        <v>9.84</v>
      </c>
      <c r="D16" s="1669">
        <v>1.34</v>
      </c>
      <c r="E16" s="1669">
        <v>1.34</v>
      </c>
      <c r="F16" s="1669">
        <v>10.73</v>
      </c>
      <c r="G16" s="1670">
        <v>10.73</v>
      </c>
    </row>
    <row r="17" spans="1:7" x14ac:dyDescent="0.25">
      <c r="A17" s="1667" t="s">
        <v>1525</v>
      </c>
      <c r="B17" s="1668" t="s">
        <v>902</v>
      </c>
      <c r="C17" s="1669">
        <v>0</v>
      </c>
      <c r="D17" s="1669">
        <v>0</v>
      </c>
      <c r="E17" s="1669">
        <v>0</v>
      </c>
      <c r="F17" s="1669">
        <v>0</v>
      </c>
      <c r="G17" s="1670">
        <v>0</v>
      </c>
    </row>
    <row r="18" spans="1:7" x14ac:dyDescent="0.25">
      <c r="A18" s="1667" t="s">
        <v>1526</v>
      </c>
      <c r="B18" s="1668" t="s">
        <v>902</v>
      </c>
      <c r="C18" s="1669">
        <v>7.3</v>
      </c>
      <c r="D18" s="1669">
        <v>1.35</v>
      </c>
      <c r="E18" s="1669">
        <f>вод.налог!D52</f>
        <v>0.81840000000000002</v>
      </c>
      <c r="F18" s="1669">
        <v>8.3000000000000007</v>
      </c>
      <c r="G18" s="1670">
        <f>вод.налог!V38</f>
        <v>9.6711300000000016</v>
      </c>
    </row>
    <row r="19" spans="1:7" x14ac:dyDescent="0.25">
      <c r="A19" s="1667" t="s">
        <v>1527</v>
      </c>
      <c r="B19" s="1668" t="s">
        <v>902</v>
      </c>
      <c r="C19" s="1669">
        <v>0</v>
      </c>
      <c r="D19" s="1669">
        <v>0</v>
      </c>
      <c r="E19" s="1669">
        <v>0</v>
      </c>
      <c r="F19" s="1669">
        <v>0</v>
      </c>
      <c r="G19" s="1670">
        <v>0</v>
      </c>
    </row>
    <row r="20" spans="1:7" x14ac:dyDescent="0.25">
      <c r="A20" s="1667" t="s">
        <v>524</v>
      </c>
      <c r="B20" s="1668" t="s">
        <v>902</v>
      </c>
      <c r="C20" s="1669">
        <v>0.48</v>
      </c>
      <c r="D20" s="1669">
        <v>0.06</v>
      </c>
      <c r="E20" s="1669">
        <v>0.06</v>
      </c>
      <c r="F20" s="1669">
        <v>0.49</v>
      </c>
      <c r="G20" s="1670">
        <v>0.49</v>
      </c>
    </row>
    <row r="21" spans="1:7" x14ac:dyDescent="0.25">
      <c r="A21" s="1667" t="s">
        <v>616</v>
      </c>
      <c r="B21" s="1668"/>
      <c r="C21" s="1896">
        <f>SUM(C16:C20)</f>
        <v>17.62</v>
      </c>
      <c r="D21" s="1921">
        <f t="shared" ref="D21:E21" si="3">SUM(D16:D20)</f>
        <v>2.7500000000000004</v>
      </c>
      <c r="E21" s="1921">
        <f t="shared" si="3"/>
        <v>2.2184000000000004</v>
      </c>
      <c r="F21" s="1896">
        <f>SUM(F16:F20)</f>
        <v>19.52</v>
      </c>
      <c r="G21" s="1896">
        <f>SUM(G16:G20)</f>
        <v>20.89113</v>
      </c>
    </row>
    <row r="23" spans="1:7" x14ac:dyDescent="0.25">
      <c r="A23" s="5602" t="s">
        <v>1522</v>
      </c>
      <c r="B23" s="5603" t="s">
        <v>1523</v>
      </c>
      <c r="C23" s="4477" t="s">
        <v>47</v>
      </c>
      <c r="D23" s="4478"/>
      <c r="E23" s="4478"/>
      <c r="F23" s="4478"/>
      <c r="G23" s="4479"/>
    </row>
    <row r="24" spans="1:7" ht="31.5" x14ac:dyDescent="0.25">
      <c r="A24" s="5602"/>
      <c r="B24" s="5603"/>
      <c r="C24" s="1672" t="s">
        <v>1528</v>
      </c>
      <c r="D24" s="1672" t="s">
        <v>1679</v>
      </c>
      <c r="E24" s="1672" t="s">
        <v>1680</v>
      </c>
      <c r="F24" s="1594" t="s">
        <v>119</v>
      </c>
      <c r="G24" s="1594" t="s">
        <v>1524</v>
      </c>
    </row>
    <row r="25" spans="1:7" x14ac:dyDescent="0.25">
      <c r="A25" s="1667" t="s">
        <v>526</v>
      </c>
      <c r="B25" s="1668" t="s">
        <v>902</v>
      </c>
      <c r="C25" s="1669">
        <v>1433.46</v>
      </c>
      <c r="D25" s="1669">
        <v>1321.85</v>
      </c>
      <c r="E25" s="1669">
        <f>D25</f>
        <v>1321.85</v>
      </c>
      <c r="F25" s="1669">
        <v>1321.42</v>
      </c>
      <c r="G25" s="1670">
        <v>1321.42</v>
      </c>
    </row>
    <row r="26" spans="1:7" x14ac:dyDescent="0.25">
      <c r="A26" s="1667" t="s">
        <v>1525</v>
      </c>
      <c r="B26" s="1668" t="s">
        <v>902</v>
      </c>
      <c r="C26" s="1669">
        <v>220.1</v>
      </c>
      <c r="D26" s="1669">
        <v>2252.29</v>
      </c>
      <c r="E26" s="1669">
        <f>НВОС!C16</f>
        <v>98.513376816778745</v>
      </c>
      <c r="F26" s="1669">
        <v>348.31</v>
      </c>
      <c r="G26" s="1670">
        <f>НВОС!X41/1000</f>
        <v>151.65444009198529</v>
      </c>
    </row>
    <row r="27" spans="1:7" x14ac:dyDescent="0.25">
      <c r="A27" s="1667" t="s">
        <v>1526</v>
      </c>
      <c r="B27" s="1668" t="s">
        <v>902</v>
      </c>
      <c r="C27" s="1669">
        <v>0</v>
      </c>
      <c r="D27" s="1669">
        <v>0</v>
      </c>
      <c r="E27" s="1669">
        <v>0</v>
      </c>
      <c r="F27" s="1669">
        <v>0</v>
      </c>
      <c r="G27" s="1670"/>
    </row>
    <row r="28" spans="1:7" x14ac:dyDescent="0.25">
      <c r="A28" s="1667" t="s">
        <v>1527</v>
      </c>
      <c r="B28" s="1668" t="s">
        <v>902</v>
      </c>
      <c r="C28" s="1669">
        <v>0</v>
      </c>
      <c r="D28" s="1669">
        <v>0</v>
      </c>
      <c r="E28" s="1669">
        <v>0</v>
      </c>
      <c r="F28" s="1669">
        <v>0</v>
      </c>
      <c r="G28" s="1670"/>
    </row>
    <row r="29" spans="1:7" x14ac:dyDescent="0.25">
      <c r="A29" s="1667" t="s">
        <v>524</v>
      </c>
      <c r="B29" s="1668" t="s">
        <v>902</v>
      </c>
      <c r="C29" s="1669">
        <v>23.21</v>
      </c>
      <c r="D29" s="1669">
        <v>29.49</v>
      </c>
      <c r="E29" s="1669">
        <f>D29</f>
        <v>29.49</v>
      </c>
      <c r="F29" s="1669">
        <v>29.69</v>
      </c>
      <c r="G29" s="1670">
        <v>29.69</v>
      </c>
    </row>
    <row r="30" spans="1:7" x14ac:dyDescent="0.25">
      <c r="A30" s="1667" t="s">
        <v>616</v>
      </c>
      <c r="B30" s="1668"/>
      <c r="C30" s="1896">
        <f>SUM(C25:C29)</f>
        <v>1676.77</v>
      </c>
      <c r="D30" s="1921">
        <f t="shared" ref="D30:E30" si="4">SUM(D25:D29)</f>
        <v>3603.6299999999997</v>
      </c>
      <c r="E30" s="1921">
        <f t="shared" si="4"/>
        <v>1449.8533768167786</v>
      </c>
      <c r="F30" s="1896">
        <f>SUM(F25:F29)</f>
        <v>1699.42</v>
      </c>
      <c r="G30" s="1896">
        <f>SUM(G25:G29)</f>
        <v>1502.7644400919853</v>
      </c>
    </row>
    <row r="32" spans="1:7" x14ac:dyDescent="0.25">
      <c r="A32" s="5602" t="s">
        <v>1522</v>
      </c>
      <c r="B32" s="5603" t="s">
        <v>1523</v>
      </c>
      <c r="C32" s="4477" t="s">
        <v>1553</v>
      </c>
      <c r="D32" s="4478"/>
      <c r="E32" s="4478"/>
      <c r="F32" s="4478"/>
      <c r="G32" s="4479"/>
    </row>
    <row r="33" spans="1:7" ht="47.25" x14ac:dyDescent="0.25">
      <c r="A33" s="5602"/>
      <c r="B33" s="5603"/>
      <c r="C33" s="1672" t="s">
        <v>1528</v>
      </c>
      <c r="D33" s="1672" t="s">
        <v>1679</v>
      </c>
      <c r="E33" s="1672" t="s">
        <v>1680</v>
      </c>
      <c r="F33" s="1594" t="s">
        <v>119</v>
      </c>
      <c r="G33" s="1594" t="s">
        <v>1524</v>
      </c>
    </row>
    <row r="34" spans="1:7" x14ac:dyDescent="0.25">
      <c r="A34" s="1667" t="s">
        <v>526</v>
      </c>
      <c r="B34" s="1668" t="s">
        <v>902</v>
      </c>
      <c r="C34" s="1669"/>
      <c r="D34" s="1669">
        <v>8.98</v>
      </c>
      <c r="E34" s="1669">
        <f>8.98</f>
        <v>8.98</v>
      </c>
      <c r="F34" s="1669">
        <v>9.41</v>
      </c>
      <c r="G34" s="1670">
        <v>9.41</v>
      </c>
    </row>
    <row r="35" spans="1:7" x14ac:dyDescent="0.25">
      <c r="A35" s="1667" t="s">
        <v>1525</v>
      </c>
      <c r="B35" s="1668" t="s">
        <v>902</v>
      </c>
      <c r="C35" s="1669"/>
      <c r="D35" s="1669">
        <v>0</v>
      </c>
      <c r="E35" s="1669">
        <f>НВОС!C17</f>
        <v>0.66899318322124657</v>
      </c>
      <c r="F35" s="1669">
        <v>0</v>
      </c>
      <c r="G35" s="1670">
        <f>НВОС!X42/1000</f>
        <v>1.079892297868617</v>
      </c>
    </row>
    <row r="36" spans="1:7" x14ac:dyDescent="0.25">
      <c r="A36" s="1667" t="s">
        <v>1526</v>
      </c>
      <c r="B36" s="1668" t="s">
        <v>902</v>
      </c>
      <c r="C36" s="1669"/>
      <c r="D36" s="1669">
        <v>0</v>
      </c>
      <c r="E36" s="1669">
        <v>0</v>
      </c>
      <c r="F36" s="1669">
        <v>0</v>
      </c>
      <c r="G36" s="1670">
        <v>0</v>
      </c>
    </row>
    <row r="37" spans="1:7" x14ac:dyDescent="0.25">
      <c r="A37" s="1667" t="s">
        <v>1527</v>
      </c>
      <c r="B37" s="1668" t="s">
        <v>902</v>
      </c>
      <c r="C37" s="1669"/>
      <c r="D37" s="1669">
        <v>0</v>
      </c>
      <c r="E37" s="1669">
        <v>0</v>
      </c>
      <c r="F37" s="1669">
        <v>0</v>
      </c>
      <c r="G37" s="1670">
        <v>0</v>
      </c>
    </row>
    <row r="38" spans="1:7" x14ac:dyDescent="0.25">
      <c r="A38" s="1667" t="s">
        <v>524</v>
      </c>
      <c r="B38" s="1668" t="s">
        <v>902</v>
      </c>
      <c r="C38" s="1669"/>
      <c r="D38" s="1669">
        <v>0.2</v>
      </c>
      <c r="E38" s="1669">
        <v>0.2</v>
      </c>
      <c r="F38" s="1669">
        <v>0.21</v>
      </c>
      <c r="G38" s="1670">
        <v>0.21</v>
      </c>
    </row>
    <row r="39" spans="1:7" x14ac:dyDescent="0.25">
      <c r="A39" s="1667" t="s">
        <v>616</v>
      </c>
      <c r="B39" s="1668"/>
      <c r="C39" s="1896">
        <v>8.01</v>
      </c>
      <c r="D39" s="1921">
        <f>D34+D35+D36+D37+D38</f>
        <v>9.18</v>
      </c>
      <c r="E39" s="1921">
        <f t="shared" ref="E39:G39" si="5">E34+E35+E36+E37+E38</f>
        <v>9.8489931832212463</v>
      </c>
      <c r="F39" s="1921">
        <f t="shared" si="5"/>
        <v>9.620000000000001</v>
      </c>
      <c r="G39" s="1921">
        <f t="shared" si="5"/>
        <v>10.699892297868619</v>
      </c>
    </row>
  </sheetData>
  <mergeCells count="14">
    <mergeCell ref="A14:A15"/>
    <mergeCell ref="B14:B15"/>
    <mergeCell ref="C14:G14"/>
    <mergeCell ref="F1:G1"/>
    <mergeCell ref="A3:G3"/>
    <mergeCell ref="A5:A6"/>
    <mergeCell ref="B5:B6"/>
    <mergeCell ref="C5:G5"/>
    <mergeCell ref="A23:A24"/>
    <mergeCell ref="B23:B24"/>
    <mergeCell ref="C23:G23"/>
    <mergeCell ref="A32:A33"/>
    <mergeCell ref="B32:B33"/>
    <mergeCell ref="C32:G32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76"/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685" customWidth="1"/>
    <col min="2" max="2" width="10.140625" style="1685" customWidth="1"/>
    <col min="3" max="3" width="17.42578125" style="1685" customWidth="1"/>
    <col min="4" max="4" width="18.28515625" style="1685" customWidth="1"/>
    <col min="5" max="5" width="16" style="1685" customWidth="1"/>
    <col min="6" max="6" width="16.5703125" style="1685" customWidth="1"/>
    <col min="7" max="16384" width="9.140625" style="1685"/>
  </cols>
  <sheetData>
    <row r="1" spans="1:6" x14ac:dyDescent="0.25">
      <c r="E1" s="1685" t="s">
        <v>1507</v>
      </c>
    </row>
    <row r="2" spans="1:6" ht="33.75" customHeight="1" x14ac:dyDescent="0.25">
      <c r="A2" s="5468" t="s">
        <v>987</v>
      </c>
      <c r="B2" s="5468"/>
      <c r="C2" s="5468"/>
      <c r="D2" s="5468"/>
      <c r="E2" s="5468"/>
      <c r="F2" s="5468"/>
    </row>
    <row r="3" spans="1:6" x14ac:dyDescent="0.25">
      <c r="A3" s="5464" t="s">
        <v>988</v>
      </c>
      <c r="B3" s="5464" t="s">
        <v>989</v>
      </c>
      <c r="C3" s="1346" t="s">
        <v>347</v>
      </c>
      <c r="D3" s="1346" t="s">
        <v>337</v>
      </c>
      <c r="E3" s="1346" t="s">
        <v>1461</v>
      </c>
      <c r="F3" s="5466" t="s">
        <v>237</v>
      </c>
    </row>
    <row r="4" spans="1:6" x14ac:dyDescent="0.25">
      <c r="A4" s="5465"/>
      <c r="B4" s="5465"/>
      <c r="C4" s="1346" t="s">
        <v>990</v>
      </c>
      <c r="D4" s="1346" t="s">
        <v>990</v>
      </c>
      <c r="E4" s="1346" t="s">
        <v>990</v>
      </c>
      <c r="F4" s="5467"/>
    </row>
    <row r="5" spans="1:6" x14ac:dyDescent="0.25">
      <c r="A5" s="5605" t="s">
        <v>895</v>
      </c>
      <c r="B5" s="5606"/>
      <c r="C5" s="5606"/>
      <c r="D5" s="5606"/>
      <c r="E5" s="5606"/>
      <c r="F5" s="5607"/>
    </row>
    <row r="6" spans="1:6" ht="30" x14ac:dyDescent="0.25">
      <c r="A6" s="1687" t="s">
        <v>1452</v>
      </c>
      <c r="B6" s="1688" t="s">
        <v>991</v>
      </c>
      <c r="C6" s="1689">
        <v>94861.048999999999</v>
      </c>
      <c r="D6" s="1690">
        <v>71225.517999999996</v>
      </c>
      <c r="E6" s="1690">
        <v>3130.4870000000001</v>
      </c>
      <c r="F6" s="1688" t="s">
        <v>1459</v>
      </c>
    </row>
    <row r="7" spans="1:6" x14ac:dyDescent="0.25">
      <c r="A7" s="1691" t="s">
        <v>1458</v>
      </c>
      <c r="B7" s="1688" t="s">
        <v>991</v>
      </c>
      <c r="C7" s="1690">
        <v>1106.2370000000001</v>
      </c>
      <c r="D7" s="1690">
        <v>1538.848</v>
      </c>
      <c r="E7" s="1690">
        <v>99.817999999999998</v>
      </c>
      <c r="F7" s="1692" t="s">
        <v>1459</v>
      </c>
    </row>
    <row r="8" spans="1:6" ht="45" x14ac:dyDescent="0.25">
      <c r="A8" s="1687" t="s">
        <v>1460</v>
      </c>
      <c r="B8" s="1688" t="s">
        <v>991</v>
      </c>
      <c r="C8" s="1689">
        <f>6102.07/3*4</f>
        <v>8136.0933333333332</v>
      </c>
      <c r="D8" s="1690">
        <f>3628.35/3*4</f>
        <v>4837.8</v>
      </c>
      <c r="E8" s="1690">
        <f>'ОХР '!AI24/3*4</f>
        <v>150.02666666666667</v>
      </c>
      <c r="F8" s="1688" t="s">
        <v>1462</v>
      </c>
    </row>
    <row r="9" spans="1:6" ht="30" x14ac:dyDescent="0.25">
      <c r="A9" s="1687" t="s">
        <v>992</v>
      </c>
      <c r="B9" s="1688" t="s">
        <v>991</v>
      </c>
      <c r="C9" s="1689">
        <f>C6+C7-C8</f>
        <v>87831.192666666655</v>
      </c>
      <c r="D9" s="1689">
        <f>D6+D7-D8</f>
        <v>67926.565999999992</v>
      </c>
      <c r="E9" s="1689">
        <f>E6+E7-E8</f>
        <v>3080.2783333333336</v>
      </c>
      <c r="F9" s="1693"/>
    </row>
    <row r="10" spans="1:6" ht="30" x14ac:dyDescent="0.25">
      <c r="A10" s="1694" t="s">
        <v>993</v>
      </c>
      <c r="B10" s="1695" t="s">
        <v>991</v>
      </c>
      <c r="C10" s="1696">
        <f>C9</f>
        <v>87831.192666666655</v>
      </c>
      <c r="D10" s="1696">
        <f>D9</f>
        <v>67926.565999999992</v>
      </c>
      <c r="E10" s="1696">
        <f>E9</f>
        <v>3080.2783333333336</v>
      </c>
      <c r="F10" s="1697"/>
    </row>
    <row r="11" spans="1:6" x14ac:dyDescent="0.25">
      <c r="A11" s="1698" t="s">
        <v>1458</v>
      </c>
      <c r="B11" s="1699"/>
      <c r="C11" s="1700">
        <v>0</v>
      </c>
      <c r="D11" s="1700">
        <v>0</v>
      </c>
      <c r="E11" s="1700">
        <v>0</v>
      </c>
      <c r="F11" s="1701"/>
    </row>
    <row r="12" spans="1:6" ht="45" x14ac:dyDescent="0.25">
      <c r="A12" s="1694" t="s">
        <v>1460</v>
      </c>
      <c r="B12" s="1695" t="s">
        <v>991</v>
      </c>
      <c r="C12" s="1696">
        <f>Аморт!U13</f>
        <v>8136.1</v>
      </c>
      <c r="D12" s="1696">
        <f>Аморт!U18</f>
        <v>4822.1000000000004</v>
      </c>
      <c r="E12" s="1696">
        <f>'ОХР '!AO24</f>
        <v>193.7</v>
      </c>
      <c r="F12" s="1695" t="s">
        <v>377</v>
      </c>
    </row>
    <row r="13" spans="1:6" ht="30" x14ac:dyDescent="0.25">
      <c r="A13" s="1694" t="s">
        <v>994</v>
      </c>
      <c r="B13" s="1695" t="s">
        <v>991</v>
      </c>
      <c r="C13" s="1696">
        <f>C10-C12</f>
        <v>79695.092666666649</v>
      </c>
      <c r="D13" s="1696">
        <f>D10-D12</f>
        <v>63104.465999999993</v>
      </c>
      <c r="E13" s="1696">
        <f>E10-E12</f>
        <v>2886.5783333333338</v>
      </c>
      <c r="F13" s="1697"/>
    </row>
    <row r="14" spans="1:6" ht="45" x14ac:dyDescent="0.25">
      <c r="A14" s="1694" t="s">
        <v>1453</v>
      </c>
      <c r="B14" s="1695" t="s">
        <v>991</v>
      </c>
      <c r="C14" s="1696">
        <f>(C10+C13)/2</f>
        <v>83763.142666666652</v>
      </c>
      <c r="D14" s="1696">
        <f>(D10+D13)/2</f>
        <v>65515.515999999989</v>
      </c>
      <c r="E14" s="1696">
        <f>(E10+E13)/2</f>
        <v>2983.4283333333337</v>
      </c>
      <c r="F14" s="1697"/>
    </row>
    <row r="15" spans="1:6" x14ac:dyDescent="0.25">
      <c r="A15" s="1694" t="s">
        <v>995</v>
      </c>
      <c r="B15" s="1695" t="s">
        <v>44</v>
      </c>
      <c r="C15" s="1702">
        <v>2.2000000000000002</v>
      </c>
      <c r="D15" s="1702">
        <v>2.2000000000000002</v>
      </c>
      <c r="E15" s="1702">
        <v>2.2000000000000002</v>
      </c>
      <c r="F15" s="1697"/>
    </row>
    <row r="16" spans="1:6" s="1686" customFormat="1" ht="45" x14ac:dyDescent="0.2">
      <c r="A16" s="1703" t="s">
        <v>1454</v>
      </c>
      <c r="B16" s="1704" t="s">
        <v>991</v>
      </c>
      <c r="C16" s="1705">
        <f>C14*C15/100</f>
        <v>1842.7891386666663</v>
      </c>
      <c r="D16" s="1705">
        <f>D14*D15/100</f>
        <v>1441.3413519999999</v>
      </c>
      <c r="E16" s="1705">
        <f>E14*E15/100</f>
        <v>65.63542333333335</v>
      </c>
      <c r="F16" s="1706"/>
    </row>
    <row r="17" spans="1:6" ht="30" x14ac:dyDescent="0.25">
      <c r="A17" s="1707" t="s">
        <v>1530</v>
      </c>
      <c r="B17" s="1708" t="s">
        <v>991</v>
      </c>
      <c r="C17" s="1709">
        <f>C16</f>
        <v>1842.7891386666663</v>
      </c>
      <c r="D17" s="1709">
        <f>D16</f>
        <v>1441.3413519999999</v>
      </c>
      <c r="E17" s="1709">
        <f>E16</f>
        <v>65.63542333333335</v>
      </c>
      <c r="F17" s="1710"/>
    </row>
    <row r="18" spans="1:6" x14ac:dyDescent="0.25">
      <c r="A18" s="1711" t="s">
        <v>1458</v>
      </c>
      <c r="B18" s="1712"/>
      <c r="C18" s="1713">
        <v>0</v>
      </c>
      <c r="D18" s="1713">
        <v>0</v>
      </c>
      <c r="E18" s="1713">
        <v>0</v>
      </c>
      <c r="F18" s="1714"/>
    </row>
    <row r="19" spans="1:6" ht="45" x14ac:dyDescent="0.25">
      <c r="A19" s="1707" t="s">
        <v>1460</v>
      </c>
      <c r="B19" s="1708" t="s">
        <v>991</v>
      </c>
      <c r="C19" s="1709">
        <f>Аморт!U20</f>
        <v>0</v>
      </c>
      <c r="D19" s="1709">
        <f>Аморт!U28</f>
        <v>0</v>
      </c>
      <c r="E19" s="1709">
        <f>'ОХР '!AO31</f>
        <v>109.26300000000001</v>
      </c>
      <c r="F19" s="1708" t="s">
        <v>377</v>
      </c>
    </row>
    <row r="20" spans="1:6" ht="30" x14ac:dyDescent="0.25">
      <c r="A20" s="1707" t="s">
        <v>1531</v>
      </c>
      <c r="B20" s="1708" t="s">
        <v>991</v>
      </c>
      <c r="C20" s="1709">
        <f>C17-C19</f>
        <v>1842.7891386666663</v>
      </c>
      <c r="D20" s="1709">
        <f>D17-D19</f>
        <v>1441.3413519999999</v>
      </c>
      <c r="E20" s="1709">
        <f>E17-E19</f>
        <v>-43.627576666666656</v>
      </c>
      <c r="F20" s="1710"/>
    </row>
    <row r="21" spans="1:6" ht="45" x14ac:dyDescent="0.25">
      <c r="A21" s="1707" t="s">
        <v>1532</v>
      </c>
      <c r="B21" s="1708" t="s">
        <v>991</v>
      </c>
      <c r="C21" s="1709">
        <f>(C17+C20)/2</f>
        <v>1842.7891386666663</v>
      </c>
      <c r="D21" s="1709">
        <f>(D17+D20)/2</f>
        <v>1441.3413519999999</v>
      </c>
      <c r="E21" s="1709">
        <f>(E17+E20)/2</f>
        <v>11.003923333333347</v>
      </c>
      <c r="F21" s="1710"/>
    </row>
    <row r="22" spans="1:6" x14ac:dyDescent="0.25">
      <c r="A22" s="1707" t="s">
        <v>995</v>
      </c>
      <c r="B22" s="1708" t="s">
        <v>44</v>
      </c>
      <c r="C22" s="1715">
        <v>2.2000000000000002</v>
      </c>
      <c r="D22" s="1715">
        <v>2.2000000000000002</v>
      </c>
      <c r="E22" s="1715">
        <v>2.2000000000000002</v>
      </c>
      <c r="F22" s="1710"/>
    </row>
    <row r="23" spans="1:6" ht="45" x14ac:dyDescent="0.25">
      <c r="A23" s="1716" t="s">
        <v>1533</v>
      </c>
      <c r="B23" s="1717" t="s">
        <v>991</v>
      </c>
      <c r="C23" s="1718">
        <f>C21*C22/100</f>
        <v>40.541361050666659</v>
      </c>
      <c r="D23" s="1718">
        <f>D21*D22/100</f>
        <v>31.709509744000002</v>
      </c>
      <c r="E23" s="1718">
        <f>E21*E22/100</f>
        <v>0.24208631333333364</v>
      </c>
      <c r="F23" s="1719"/>
    </row>
    <row r="24" spans="1:6" ht="30" x14ac:dyDescent="0.25">
      <c r="A24" s="1900" t="s">
        <v>1683</v>
      </c>
      <c r="B24" s="1901" t="s">
        <v>991</v>
      </c>
      <c r="C24" s="1902">
        <f>C23</f>
        <v>40.541361050666659</v>
      </c>
      <c r="D24" s="1902">
        <f>D23</f>
        <v>31.709509744000002</v>
      </c>
      <c r="E24" s="1902">
        <f>E23</f>
        <v>0.24208631333333364</v>
      </c>
      <c r="F24" s="1903"/>
    </row>
    <row r="25" spans="1:6" x14ac:dyDescent="0.25">
      <c r="A25" s="1904" t="s">
        <v>1458</v>
      </c>
      <c r="B25" s="1905"/>
      <c r="C25" s="1906">
        <v>0</v>
      </c>
      <c r="D25" s="1906">
        <v>0</v>
      </c>
      <c r="E25" s="1906">
        <v>0</v>
      </c>
      <c r="F25" s="1907"/>
    </row>
    <row r="26" spans="1:6" ht="45" x14ac:dyDescent="0.25">
      <c r="A26" s="1900" t="s">
        <v>1460</v>
      </c>
      <c r="B26" s="1901" t="s">
        <v>991</v>
      </c>
      <c r="C26" s="1902">
        <f>Аморт!U30</f>
        <v>0</v>
      </c>
      <c r="D26" s="1902">
        <f>Аморт!U35</f>
        <v>0</v>
      </c>
      <c r="E26" s="1902">
        <f>'ОХР '!AO38</f>
        <v>67.540000000000006</v>
      </c>
      <c r="F26" s="1901" t="s">
        <v>377</v>
      </c>
    </row>
    <row r="27" spans="1:6" ht="30" x14ac:dyDescent="0.25">
      <c r="A27" s="1900" t="s">
        <v>1531</v>
      </c>
      <c r="B27" s="1901" t="s">
        <v>991</v>
      </c>
      <c r="C27" s="1902">
        <f>C24-C26</f>
        <v>40.541361050666659</v>
      </c>
      <c r="D27" s="1902">
        <f>D24-D26</f>
        <v>31.709509744000002</v>
      </c>
      <c r="E27" s="1902">
        <f>E24-E26</f>
        <v>-67.297913686666675</v>
      </c>
      <c r="F27" s="1903"/>
    </row>
    <row r="28" spans="1:6" ht="45" hidden="1" x14ac:dyDescent="0.25">
      <c r="A28" s="1900" t="s">
        <v>1532</v>
      </c>
      <c r="B28" s="1901" t="s">
        <v>991</v>
      </c>
      <c r="C28" s="1902">
        <f>(C24+C27)/2</f>
        <v>40.541361050666659</v>
      </c>
      <c r="D28" s="1902">
        <f>(D24+D27)/2</f>
        <v>31.709509744000002</v>
      </c>
      <c r="E28" s="1902">
        <f>(E24+E27)/2</f>
        <v>-33.527913686666672</v>
      </c>
      <c r="F28" s="1903"/>
    </row>
    <row r="29" spans="1:6" x14ac:dyDescent="0.25">
      <c r="A29" s="1900" t="s">
        <v>995</v>
      </c>
      <c r="B29" s="1901" t="s">
        <v>44</v>
      </c>
      <c r="C29" s="1908">
        <v>2.2000000000000002</v>
      </c>
      <c r="D29" s="1908">
        <v>2.2000000000000002</v>
      </c>
      <c r="E29" s="1908">
        <v>2.2000000000000002</v>
      </c>
      <c r="F29" s="1903"/>
    </row>
    <row r="30" spans="1:6" ht="45" x14ac:dyDescent="0.25">
      <c r="A30" s="1909" t="s">
        <v>1533</v>
      </c>
      <c r="B30" s="1910" t="s">
        <v>991</v>
      </c>
      <c r="C30" s="1911">
        <f>C28*C29/100</f>
        <v>0.89190994311466654</v>
      </c>
      <c r="D30" s="1911">
        <f>D28*D29/100</f>
        <v>0.69760921436800005</v>
      </c>
      <c r="E30" s="1911">
        <f>E28*E29/100</f>
        <v>-0.73761410110666692</v>
      </c>
      <c r="F30" s="1912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77"/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78"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4486"/>
      <c r="B1" s="4486" t="s">
        <v>616</v>
      </c>
      <c r="C1" s="4486" t="s">
        <v>50</v>
      </c>
      <c r="D1" s="4486"/>
      <c r="E1" s="4486" t="s">
        <v>616</v>
      </c>
      <c r="F1" s="4486" t="s">
        <v>50</v>
      </c>
      <c r="G1" s="4486"/>
    </row>
    <row r="2" spans="1:7" x14ac:dyDescent="0.2">
      <c r="A2" s="4486"/>
      <c r="B2" s="4486"/>
      <c r="C2" s="1763" t="s">
        <v>368</v>
      </c>
      <c r="D2" s="1763" t="s">
        <v>25</v>
      </c>
      <c r="E2" s="4486"/>
      <c r="F2" s="1763" t="s">
        <v>47</v>
      </c>
      <c r="G2" s="1763" t="s">
        <v>1553</v>
      </c>
    </row>
    <row r="3" spans="1:7" x14ac:dyDescent="0.2">
      <c r="A3" s="1754" t="s">
        <v>1542</v>
      </c>
      <c r="B3" s="1759">
        <f>C3+D3</f>
        <v>3791.3490000000002</v>
      </c>
      <c r="C3" s="1759">
        <f>объемы!AJ49</f>
        <v>3771</v>
      </c>
      <c r="D3" s="1759">
        <f>объемы!AK49</f>
        <v>20.349</v>
      </c>
      <c r="E3" s="1759">
        <f>F3+G3</f>
        <v>3295.75</v>
      </c>
      <c r="F3" s="1759">
        <f>объемы!AJ62</f>
        <v>3272.75</v>
      </c>
      <c r="G3" s="1759">
        <f>объемы!AK62</f>
        <v>23</v>
      </c>
    </row>
    <row r="4" spans="1:7" x14ac:dyDescent="0.2">
      <c r="A4" s="1754" t="s">
        <v>1543</v>
      </c>
      <c r="B4" s="1755">
        <f>B5+B8+B9+B10</f>
        <v>13129.563786669283</v>
      </c>
      <c r="C4" s="1756">
        <f t="shared" ref="C4:D4" si="0">C5+C8+C9+C10</f>
        <v>13108.636264262597</v>
      </c>
      <c r="D4" s="1756">
        <f t="shared" si="0"/>
        <v>20.927522406686286</v>
      </c>
      <c r="E4" s="1755">
        <f>E5+E8+E9+E10</f>
        <v>7913.837988761974</v>
      </c>
      <c r="F4" s="1756">
        <f t="shared" ref="F4" si="1">F5+F8+F9+F10</f>
        <v>7843.1079887619744</v>
      </c>
      <c r="G4" s="1756">
        <f t="shared" ref="G4" si="2">G5+G8+G9+G10</f>
        <v>70.73</v>
      </c>
    </row>
    <row r="5" spans="1:7" x14ac:dyDescent="0.2">
      <c r="A5" s="1754" t="s">
        <v>1</v>
      </c>
      <c r="B5" s="1759">
        <f>B6+B7</f>
        <v>8799.3615150740934</v>
      </c>
      <c r="C5" s="1759">
        <f t="shared" ref="C5:D5" si="3">C6+C7</f>
        <v>8778.4339926674074</v>
      </c>
      <c r="D5" s="1759">
        <f t="shared" si="3"/>
        <v>20.927522406686286</v>
      </c>
      <c r="E5" s="1759">
        <f>E6+E7</f>
        <v>7536.4295223608988</v>
      </c>
      <c r="F5" s="1759">
        <f t="shared" ref="F5" si="4">F6+F7</f>
        <v>7465.6995223608992</v>
      </c>
      <c r="G5" s="1759">
        <f t="shared" ref="G5" si="5">G6+G7</f>
        <v>70.73</v>
      </c>
    </row>
    <row r="6" spans="1:7" s="1769" customFormat="1" x14ac:dyDescent="0.2">
      <c r="A6" s="1766" t="s">
        <v>1554</v>
      </c>
      <c r="B6" s="1767">
        <f>'электр 2017-2018'!CB48</f>
        <v>3899.1371148001203</v>
      </c>
      <c r="C6" s="1770">
        <f>C3/B3*B6</f>
        <v>3878.2095923934339</v>
      </c>
      <c r="D6" s="1770">
        <f>D3/B3*B6</f>
        <v>20.927522406686286</v>
      </c>
      <c r="E6" s="1767">
        <f>'электр 2017-2018'!CB54</f>
        <v>5969.9047416749991</v>
      </c>
      <c r="F6" s="1770">
        <f>E6-G6</f>
        <v>5899.1747416749995</v>
      </c>
      <c r="G6" s="1770">
        <f>0.1+52.27+18.36</f>
        <v>70.73</v>
      </c>
    </row>
    <row r="7" spans="1:7" s="1769" customFormat="1" x14ac:dyDescent="0.2">
      <c r="A7" s="1766" t="s">
        <v>149</v>
      </c>
      <c r="B7" s="1767">
        <f>'электр 2017-2018'!CB50</f>
        <v>4900.2244002739726</v>
      </c>
      <c r="C7" s="1767">
        <f>B7</f>
        <v>4900.2244002739726</v>
      </c>
      <c r="D7" s="1768">
        <v>0</v>
      </c>
      <c r="E7" s="1767">
        <f>'электр 2017-2018'!CB52</f>
        <v>1566.5247806859002</v>
      </c>
      <c r="F7" s="1767">
        <f>E7</f>
        <v>1566.5247806859002</v>
      </c>
      <c r="G7" s="1768">
        <v>0</v>
      </c>
    </row>
    <row r="8" spans="1:7" x14ac:dyDescent="0.2">
      <c r="A8" s="1754" t="s">
        <v>1545</v>
      </c>
      <c r="B8" s="1760">
        <f>'ОХР '!AP21*1.07</f>
        <v>4.2335094424122302</v>
      </c>
      <c r="C8" s="1760">
        <f>B8</f>
        <v>4.2335094424122302</v>
      </c>
      <c r="D8" s="1760">
        <v>0</v>
      </c>
      <c r="E8" s="1760">
        <f>F8</f>
        <v>3.5045350965488771</v>
      </c>
      <c r="F8" s="1760">
        <f>'ОХР '!AQ21*1.07</f>
        <v>3.5045350965488771</v>
      </c>
      <c r="G8" s="1760">
        <v>0</v>
      </c>
    </row>
    <row r="9" spans="1:7" x14ac:dyDescent="0.2">
      <c r="A9" s="1754" t="s">
        <v>1544</v>
      </c>
      <c r="B9" s="1760">
        <f>'цех вода'!AG18*1.04</f>
        <v>4264.8320000000003</v>
      </c>
      <c r="C9" s="1761">
        <f t="shared" ref="C9:C10" si="6">B9</f>
        <v>4264.8320000000003</v>
      </c>
      <c r="D9" s="1760">
        <v>0</v>
      </c>
      <c r="E9" s="1760">
        <f>F9</f>
        <v>323.29440000000011</v>
      </c>
      <c r="F9" s="1761">
        <f>'цех стоки'!AH19*1.04</f>
        <v>323.29440000000011</v>
      </c>
      <c r="G9" s="1760">
        <v>0</v>
      </c>
    </row>
    <row r="10" spans="1:7" x14ac:dyDescent="0.2">
      <c r="A10" s="1754" t="s">
        <v>1546</v>
      </c>
      <c r="B10" s="1760">
        <f>'ОХР '!AP17*1.039</f>
        <v>61.136762152777663</v>
      </c>
      <c r="C10" s="1761">
        <f t="shared" si="6"/>
        <v>61.136762152777663</v>
      </c>
      <c r="D10" s="1760">
        <v>0</v>
      </c>
      <c r="E10" s="1760">
        <f>F10</f>
        <v>50.60953130452652</v>
      </c>
      <c r="F10" s="1760">
        <f>'ОХР '!AQ17*1.039</f>
        <v>50.60953130452652</v>
      </c>
      <c r="G10" s="1760">
        <v>0</v>
      </c>
    </row>
    <row r="11" spans="1:7" x14ac:dyDescent="0.2">
      <c r="A11" s="1754" t="s">
        <v>1541</v>
      </c>
      <c r="B11" s="1755">
        <f>SUM(B12:B18)</f>
        <v>4264.2798115578244</v>
      </c>
      <c r="C11" s="1755">
        <f t="shared" ref="C11:D11" si="7">SUM(C12:C18)</f>
        <v>4245.553003557824</v>
      </c>
      <c r="D11" s="1755">
        <f t="shared" si="7"/>
        <v>18.726808000000002</v>
      </c>
      <c r="E11" s="1755">
        <f>SUM(E12:E18)</f>
        <v>2549.7094361002423</v>
      </c>
      <c r="F11" s="1755">
        <f t="shared" ref="F11" si="8">SUM(F12:F18)</f>
        <v>2539.2394361002421</v>
      </c>
      <c r="G11" s="1755">
        <f t="shared" ref="G11" si="9">SUM(G12:G18)</f>
        <v>10.47</v>
      </c>
    </row>
    <row r="12" spans="1:7" s="393" customFormat="1" x14ac:dyDescent="0.2">
      <c r="A12" s="1622" t="s">
        <v>1547</v>
      </c>
      <c r="B12" s="1751">
        <f>C12</f>
        <v>28.83214873684431</v>
      </c>
      <c r="C12" s="1751">
        <f>'вода 2019-2021 коррект'!K15</f>
        <v>28.83214873684431</v>
      </c>
      <c r="D12" s="1774">
        <v>0</v>
      </c>
      <c r="E12" s="1751">
        <f>F12+G12</f>
        <v>338.21463610024222</v>
      </c>
      <c r="F12" s="1751">
        <f>'стоки 2019-2021'!K14</f>
        <v>338.21463610024222</v>
      </c>
      <c r="G12" s="1774">
        <v>0</v>
      </c>
    </row>
    <row r="13" spans="1:7" ht="25.5" x14ac:dyDescent="0.2">
      <c r="A13" s="1621" t="s">
        <v>1548</v>
      </c>
      <c r="B13" s="1751">
        <f>C13+D13</f>
        <v>3621.8942228209798</v>
      </c>
      <c r="C13" s="1751">
        <f>'2017 к'!E12</f>
        <v>3603.16741482098</v>
      </c>
      <c r="D13" s="1751">
        <f>'2017 к'!E21</f>
        <v>18.726808000000002</v>
      </c>
      <c r="E13" s="1751">
        <f t="shared" ref="E13:E18" si="10">F13+G13</f>
        <v>1794.04</v>
      </c>
      <c r="F13" s="1751">
        <f>'2017 к'!E30</f>
        <v>1783.57</v>
      </c>
      <c r="G13" s="1751">
        <f>'2017 к'!E39</f>
        <v>10.47</v>
      </c>
    </row>
    <row r="14" spans="1:7" ht="25.5" x14ac:dyDescent="0.2">
      <c r="A14" s="1621" t="s">
        <v>1549</v>
      </c>
      <c r="B14" s="1751">
        <f>C14+D14</f>
        <v>216.27343999999999</v>
      </c>
      <c r="C14" s="1751">
        <f>'вода 2019-2021 коррект'!K17</f>
        <v>216.27343999999999</v>
      </c>
      <c r="D14" s="1774">
        <v>0</v>
      </c>
      <c r="E14" s="1751">
        <f t="shared" si="10"/>
        <v>152.0548</v>
      </c>
      <c r="F14" s="1774">
        <f>'стоки 2019-2021'!K16</f>
        <v>152.0548</v>
      </c>
      <c r="G14" s="1751">
        <f>'2017 к'!H22</f>
        <v>0</v>
      </c>
    </row>
    <row r="15" spans="1:7" ht="25.5" x14ac:dyDescent="0.2">
      <c r="A15" s="1621" t="s">
        <v>1550</v>
      </c>
      <c r="B15" s="1751">
        <f t="shared" ref="B15:B18" si="11">C15+D15</f>
        <v>397.28</v>
      </c>
      <c r="C15" s="1751">
        <f>'вода 2019-2021 коррект'!K18</f>
        <v>397.28</v>
      </c>
      <c r="D15" s="1774">
        <v>0</v>
      </c>
      <c r="E15" s="1751">
        <f t="shared" si="10"/>
        <v>265.39999999999998</v>
      </c>
      <c r="F15" s="1751">
        <f>'стоки 2019-2021'!K17</f>
        <v>265.39999999999998</v>
      </c>
      <c r="G15" s="1751">
        <f>'2017 к'!H23</f>
        <v>0</v>
      </c>
    </row>
    <row r="16" spans="1:7" ht="21.75" customHeight="1" x14ac:dyDescent="0.2">
      <c r="A16" s="1621" t="s">
        <v>920</v>
      </c>
      <c r="B16" s="1751">
        <f t="shared" si="11"/>
        <v>0</v>
      </c>
      <c r="C16" s="1774">
        <v>0</v>
      </c>
      <c r="D16" s="1774">
        <v>0</v>
      </c>
      <c r="E16" s="1751">
        <f t="shared" si="10"/>
        <v>0</v>
      </c>
      <c r="F16" s="1774">
        <v>0</v>
      </c>
      <c r="G16" s="1751">
        <f>'2017 к'!H24</f>
        <v>0</v>
      </c>
    </row>
    <row r="17" spans="1:7" ht="25.5" x14ac:dyDescent="0.2">
      <c r="A17" s="1621" t="s">
        <v>922</v>
      </c>
      <c r="B17" s="1751">
        <f t="shared" si="11"/>
        <v>0</v>
      </c>
      <c r="C17" s="1774">
        <v>0</v>
      </c>
      <c r="D17" s="1774">
        <v>0</v>
      </c>
      <c r="E17" s="1751">
        <f t="shared" si="10"/>
        <v>0</v>
      </c>
      <c r="F17" s="1774">
        <v>0</v>
      </c>
      <c r="G17" s="1774">
        <v>0</v>
      </c>
    </row>
    <row r="18" spans="1:7" x14ac:dyDescent="0.2">
      <c r="A18" s="1621" t="s">
        <v>1551</v>
      </c>
      <c r="B18" s="1751">
        <f t="shared" si="11"/>
        <v>0</v>
      </c>
      <c r="C18" s="1774">
        <v>0</v>
      </c>
      <c r="D18" s="1774">
        <v>0</v>
      </c>
      <c r="E18" s="1751">
        <f t="shared" si="10"/>
        <v>0</v>
      </c>
      <c r="F18" s="1774">
        <v>0</v>
      </c>
      <c r="G18" s="1774">
        <v>0</v>
      </c>
    </row>
    <row r="19" spans="1:7" x14ac:dyDescent="0.2">
      <c r="A19" s="1754" t="s">
        <v>2</v>
      </c>
      <c r="B19" s="1751">
        <f>SUM(B20:B23)</f>
        <v>8296.68</v>
      </c>
      <c r="C19" s="1751">
        <f t="shared" ref="C19:D19" si="12">SUM(C20:C23)</f>
        <v>8277.2407919081052</v>
      </c>
      <c r="D19" s="1751">
        <f t="shared" si="12"/>
        <v>19.439208091895523</v>
      </c>
      <c r="E19" s="1751">
        <f>SUM(E20:E23)</f>
        <v>5183.68</v>
      </c>
      <c r="F19" s="1751">
        <f t="shared" ref="F19" si="13">SUM(F20:F23)</f>
        <v>5175.5923841310778</v>
      </c>
      <c r="G19" s="1751">
        <f t="shared" ref="G19" si="14">SUM(G20:G23)</f>
        <v>5.12</v>
      </c>
    </row>
    <row r="20" spans="1:7" s="1737" customFormat="1" x14ac:dyDescent="0.2">
      <c r="A20" s="1771" t="s">
        <v>1555</v>
      </c>
      <c r="B20" s="1772">
        <f>Аморт!AA7</f>
        <v>3621.84</v>
      </c>
      <c r="C20" s="1773">
        <f>C3/B3*B20</f>
        <v>3602.4007919081046</v>
      </c>
      <c r="D20" s="1773">
        <f>D3/B3*B20</f>
        <v>19.439208091895523</v>
      </c>
      <c r="E20" s="1772">
        <f>Аморт!AA14</f>
        <v>425.24</v>
      </c>
      <c r="F20" s="1773">
        <f>F3/E3*E20</f>
        <v>422.2723841310779</v>
      </c>
      <c r="G20" s="1773">
        <v>0</v>
      </c>
    </row>
    <row r="21" spans="1:7" s="1737" customFormat="1" x14ac:dyDescent="0.2">
      <c r="A21" s="1771" t="s">
        <v>1556</v>
      </c>
      <c r="B21" s="1772">
        <f>Аморт!AA8</f>
        <v>1561.17</v>
      </c>
      <c r="C21" s="1764">
        <f>B21</f>
        <v>1561.17</v>
      </c>
      <c r="D21" s="1765"/>
      <c r="E21" s="1772">
        <f>Аморт!AA15</f>
        <v>717.01</v>
      </c>
      <c r="F21" s="1764">
        <f>E21-G21</f>
        <v>711.89</v>
      </c>
      <c r="G21" s="1773">
        <v>5.12</v>
      </c>
    </row>
    <row r="22" spans="1:7" s="1737" customFormat="1" x14ac:dyDescent="0.2">
      <c r="A22" s="1771" t="s">
        <v>1557</v>
      </c>
      <c r="B22" s="1772">
        <f>Аморт!AA9</f>
        <v>53.89</v>
      </c>
      <c r="C22" s="1764">
        <f t="shared" ref="C22:C23" si="15">B22</f>
        <v>53.89</v>
      </c>
      <c r="D22" s="1765"/>
      <c r="E22" s="1772">
        <f>Аморт!AA16</f>
        <v>25.5</v>
      </c>
      <c r="F22" s="1764">
        <f t="shared" ref="F22:F23" si="16">E22</f>
        <v>25.5</v>
      </c>
      <c r="G22" s="1765"/>
    </row>
    <row r="23" spans="1:7" s="1737" customFormat="1" x14ac:dyDescent="0.2">
      <c r="A23" s="1771" t="s">
        <v>86</v>
      </c>
      <c r="B23" s="1772">
        <f>Аморт!AA10</f>
        <v>3059.78</v>
      </c>
      <c r="C23" s="1764">
        <f t="shared" si="15"/>
        <v>3059.78</v>
      </c>
      <c r="D23" s="1765"/>
      <c r="E23" s="1772">
        <f>Аморт!AA17</f>
        <v>4015.93</v>
      </c>
      <c r="F23" s="1764">
        <f t="shared" si="16"/>
        <v>4015.93</v>
      </c>
      <c r="G23" s="1765"/>
    </row>
    <row r="24" spans="1:7" x14ac:dyDescent="0.2">
      <c r="A24" s="1754" t="s">
        <v>928</v>
      </c>
      <c r="B24" s="1619"/>
      <c r="C24" s="1757"/>
      <c r="D24" s="1757"/>
      <c r="E24" s="1619"/>
      <c r="F24" s="1757"/>
      <c r="G24" s="1757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79"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4474" t="s">
        <v>1496</v>
      </c>
      <c r="M2" s="4474"/>
    </row>
    <row r="3" spans="1:13" x14ac:dyDescent="0.2">
      <c r="A3" s="4456" t="s">
        <v>1795</v>
      </c>
      <c r="B3" s="4456"/>
      <c r="C3" s="4456"/>
      <c r="D3" s="4456"/>
      <c r="E3" s="4456"/>
      <c r="F3" s="4456"/>
      <c r="G3" s="4456"/>
      <c r="H3" s="4456"/>
      <c r="I3" s="4456"/>
      <c r="J3" s="4456"/>
      <c r="K3" s="4456"/>
      <c r="L3" s="4456"/>
      <c r="M3" s="4456"/>
    </row>
    <row r="5" spans="1:13" ht="13.5" thickBot="1" x14ac:dyDescent="0.25"/>
    <row r="6" spans="1:13" ht="13.5" thickBot="1" x14ac:dyDescent="0.25">
      <c r="A6" s="5049"/>
      <c r="B6" s="5608" t="s">
        <v>1705</v>
      </c>
      <c r="C6" s="5609"/>
      <c r="D6" s="5609"/>
      <c r="E6" s="5610"/>
      <c r="F6" s="5610"/>
      <c r="G6" s="5611"/>
      <c r="H6" s="5608" t="s">
        <v>1751</v>
      </c>
      <c r="I6" s="5609"/>
      <c r="J6" s="5609"/>
      <c r="K6" s="5610"/>
      <c r="L6" s="5610"/>
      <c r="M6" s="5611"/>
    </row>
    <row r="7" spans="1:13" x14ac:dyDescent="0.2">
      <c r="A7" s="5612"/>
      <c r="B7" s="5614" t="s">
        <v>616</v>
      </c>
      <c r="C7" s="5610" t="s">
        <v>50</v>
      </c>
      <c r="D7" s="5611"/>
      <c r="E7" s="5219" t="s">
        <v>616</v>
      </c>
      <c r="F7" s="4486" t="s">
        <v>50</v>
      </c>
      <c r="G7" s="5616"/>
      <c r="H7" s="5614" t="s">
        <v>616</v>
      </c>
      <c r="I7" s="5610" t="s">
        <v>50</v>
      </c>
      <c r="J7" s="5611"/>
      <c r="K7" s="5219" t="s">
        <v>616</v>
      </c>
      <c r="L7" s="4486" t="s">
        <v>50</v>
      </c>
      <c r="M7" s="5616"/>
    </row>
    <row r="8" spans="1:13" x14ac:dyDescent="0.2">
      <c r="A8" s="5613"/>
      <c r="B8" s="5615"/>
      <c r="C8" s="1918" t="s">
        <v>368</v>
      </c>
      <c r="D8" s="2023" t="s">
        <v>25</v>
      </c>
      <c r="E8" s="5219"/>
      <c r="F8" s="1918" t="s">
        <v>47</v>
      </c>
      <c r="G8" s="2023" t="s">
        <v>1553</v>
      </c>
      <c r="H8" s="5615"/>
      <c r="I8" s="1918" t="s">
        <v>368</v>
      </c>
      <c r="J8" s="2023" t="s">
        <v>25</v>
      </c>
      <c r="K8" s="5219"/>
      <c r="L8" s="1918" t="s">
        <v>47</v>
      </c>
      <c r="M8" s="2023" t="s">
        <v>1553</v>
      </c>
    </row>
    <row r="9" spans="1:13" x14ac:dyDescent="0.2">
      <c r="A9" s="2014" t="s">
        <v>1542</v>
      </c>
      <c r="B9" s="2024">
        <f>C9+D9</f>
        <v>5629.6590286425908</v>
      </c>
      <c r="C9" s="1759">
        <f>объемы!Y39</f>
        <v>5627.2590286425911</v>
      </c>
      <c r="D9" s="1866">
        <f>объемы!Z39</f>
        <v>2.4</v>
      </c>
      <c r="E9" s="2018">
        <f>F9+G9</f>
        <v>3248.93</v>
      </c>
      <c r="F9" s="1759">
        <f>объемы!AR63</f>
        <v>3230</v>
      </c>
      <c r="G9" s="1866">
        <f>объемы!AS63</f>
        <v>18.93</v>
      </c>
      <c r="H9" s="2024">
        <f>I9+J9</f>
        <v>3621.42</v>
      </c>
      <c r="I9" s="1759">
        <f>объемы!AR49</f>
        <v>3600</v>
      </c>
      <c r="J9" s="1866">
        <f>объемы!AS49</f>
        <v>21.42</v>
      </c>
      <c r="K9" s="2018">
        <f>L9+M9</f>
        <v>3248.93</v>
      </c>
      <c r="L9" s="1759">
        <f>объемы!AR63</f>
        <v>3230</v>
      </c>
      <c r="M9" s="1866">
        <f>объемы!AS63</f>
        <v>18.93</v>
      </c>
    </row>
    <row r="10" spans="1:13" x14ac:dyDescent="0.2">
      <c r="A10" s="2014" t="s">
        <v>1543</v>
      </c>
      <c r="B10" s="2025">
        <f>B11+B14+B15+B16</f>
        <v>11950.430073618927</v>
      </c>
      <c r="C10" s="1756">
        <f t="shared" ref="C10:D10" si="0">C11+C14+C15+C16</f>
        <v>11949.702441618929</v>
      </c>
      <c r="D10" s="2026">
        <f t="shared" si="0"/>
        <v>0.72763199999999995</v>
      </c>
      <c r="E10" s="2019">
        <f>E11+E14+E15+E16</f>
        <v>7508.2407578000011</v>
      </c>
      <c r="F10" s="1756">
        <f t="shared" ref="F10:G10" si="1">F11+F14+F15+F16</f>
        <v>7470.4365935489632</v>
      </c>
      <c r="G10" s="2026">
        <f t="shared" si="1"/>
        <v>37.804164251037726</v>
      </c>
      <c r="H10" s="2025">
        <f>H11+H14+H15+H16</f>
        <v>13566.72709749547</v>
      </c>
      <c r="I10" s="1756">
        <f t="shared" ref="I10:J10" si="2">I11+I14+I15+I16</f>
        <v>13543.132730850208</v>
      </c>
      <c r="J10" s="2026">
        <f t="shared" si="2"/>
        <v>23.594366645261381</v>
      </c>
      <c r="K10" s="2019">
        <f>K11+K14+K15+K16</f>
        <v>8295.3412867632178</v>
      </c>
      <c r="L10" s="1756">
        <f t="shared" ref="L10:M10" si="3">L11+L14+L15+L16</f>
        <v>8258.6513019242266</v>
      </c>
      <c r="M10" s="2026">
        <f t="shared" si="3"/>
        <v>36.689984838989993</v>
      </c>
    </row>
    <row r="11" spans="1:13" x14ac:dyDescent="0.2">
      <c r="A11" s="2014" t="s">
        <v>1</v>
      </c>
      <c r="B11" s="2024">
        <f>B12+B13</f>
        <v>7751.1700736189287</v>
      </c>
      <c r="C11" s="1759">
        <f t="shared" ref="C11:D11" si="4">C12+C13</f>
        <v>7750.4424416189286</v>
      </c>
      <c r="D11" s="1866">
        <f t="shared" si="4"/>
        <v>0.72763199999999995</v>
      </c>
      <c r="E11" s="2018">
        <f>E12+E13</f>
        <v>7124.7607578000006</v>
      </c>
      <c r="F11" s="1759">
        <f t="shared" ref="F11:G11" si="5">F12+F13</f>
        <v>7086.9565935489627</v>
      </c>
      <c r="G11" s="1866">
        <f t="shared" si="5"/>
        <v>37.804164251037726</v>
      </c>
      <c r="H11" s="2024">
        <f>H12+H13</f>
        <v>9024.2965608554696</v>
      </c>
      <c r="I11" s="1759">
        <f t="shared" ref="I11:J11" si="6">I12+I13</f>
        <v>9000.7021942102074</v>
      </c>
      <c r="J11" s="1866">
        <f t="shared" si="6"/>
        <v>23.594366645261381</v>
      </c>
      <c r="K11" s="2018">
        <f>K12+K13</f>
        <v>7949.4212867632177</v>
      </c>
      <c r="L11" s="1759">
        <f t="shared" ref="L11:M11" si="7">L12+L13</f>
        <v>7912.7313019242274</v>
      </c>
      <c r="M11" s="1866">
        <f t="shared" si="7"/>
        <v>36.689984838989993</v>
      </c>
    </row>
    <row r="12" spans="1:13" s="1769" customFormat="1" x14ac:dyDescent="0.2">
      <c r="A12" s="2015" t="s">
        <v>1554</v>
      </c>
      <c r="B12" s="2027">
        <f>'электр 2017-2018'!BM48</f>
        <v>1706.8000243038607</v>
      </c>
      <c r="C12" s="1770">
        <f>B12-D12</f>
        <v>1706.0723923038606</v>
      </c>
      <c r="D12" s="2028">
        <f>D9/B9*B12</f>
        <v>0.72763199999999995</v>
      </c>
      <c r="E12" s="2020">
        <f>'электр 2017-2018'!BM54</f>
        <v>6488.2769868000005</v>
      </c>
      <c r="F12" s="1770">
        <f>E12-G12</f>
        <v>6450.4728225489625</v>
      </c>
      <c r="G12" s="2028">
        <f>G9/E9*E12</f>
        <v>37.804164251037726</v>
      </c>
      <c r="H12" s="2027">
        <f>'электр 2017-2018'!CS48</f>
        <v>3989.0341389580985</v>
      </c>
      <c r="I12" s="1770">
        <f>H12-J12</f>
        <v>3965.4397723128372</v>
      </c>
      <c r="J12" s="2028">
        <f>J9/H9*H12</f>
        <v>23.594366645261381</v>
      </c>
      <c r="K12" s="2020">
        <f>'электр 2017-2018'!CS54</f>
        <v>6297.0518987289888</v>
      </c>
      <c r="L12" s="1770">
        <f>K12-M12</f>
        <v>6260.3619138899985</v>
      </c>
      <c r="M12" s="2028">
        <f>M9/K9*K12</f>
        <v>36.689984838989993</v>
      </c>
    </row>
    <row r="13" spans="1:13" s="1769" customFormat="1" x14ac:dyDescent="0.2">
      <c r="A13" s="2015" t="s">
        <v>149</v>
      </c>
      <c r="B13" s="2027">
        <f>'электр 2017-2018'!BM50</f>
        <v>6044.3700493150682</v>
      </c>
      <c r="C13" s="1767">
        <f>B13</f>
        <v>6044.3700493150682</v>
      </c>
      <c r="D13" s="2029"/>
      <c r="E13" s="2020">
        <f>'электр 2017-2018'!BM52</f>
        <v>636.48377100000005</v>
      </c>
      <c r="F13" s="1767">
        <f>E13</f>
        <v>636.48377100000005</v>
      </c>
      <c r="G13" s="2029">
        <v>0</v>
      </c>
      <c r="H13" s="2027">
        <f>'электр 2017-2018'!CS50</f>
        <v>5035.2624218973706</v>
      </c>
      <c r="I13" s="1767">
        <f>H13</f>
        <v>5035.2624218973706</v>
      </c>
      <c r="J13" s="2029"/>
      <c r="K13" s="2020">
        <f>'электр 2017-2018'!CS52</f>
        <v>1652.3693880342289</v>
      </c>
      <c r="L13" s="1767">
        <f>K13</f>
        <v>1652.3693880342289</v>
      </c>
      <c r="M13" s="2029">
        <v>0</v>
      </c>
    </row>
    <row r="14" spans="1:13" x14ac:dyDescent="0.2">
      <c r="A14" s="2014" t="s">
        <v>1545</v>
      </c>
      <c r="B14" s="2030">
        <v>23.57</v>
      </c>
      <c r="C14" s="1760">
        <f>B14</f>
        <v>23.57</v>
      </c>
      <c r="D14" s="2031">
        <v>0</v>
      </c>
      <c r="E14" s="2021">
        <v>16.38</v>
      </c>
      <c r="F14" s="1760">
        <f>E14</f>
        <v>16.38</v>
      </c>
      <c r="G14" s="2031">
        <v>0</v>
      </c>
      <c r="H14" s="2030">
        <f>B14*1.058*1.053</f>
        <v>26.258724180000002</v>
      </c>
      <c r="I14" s="1760">
        <f>H14</f>
        <v>26.258724180000002</v>
      </c>
      <c r="J14" s="2031">
        <v>0</v>
      </c>
      <c r="K14" s="2021">
        <f>L14</f>
        <v>0</v>
      </c>
      <c r="L14" s="1760">
        <f>'ОХР '!ED21*1.07*1.043</f>
        <v>0</v>
      </c>
      <c r="M14" s="2031">
        <v>0</v>
      </c>
    </row>
    <row r="15" spans="1:13" x14ac:dyDescent="0.2">
      <c r="A15" s="2014" t="s">
        <v>1544</v>
      </c>
      <c r="B15" s="2030">
        <v>4114.47</v>
      </c>
      <c r="C15" s="1761">
        <f t="shared" ref="C15:C16" si="8">B15</f>
        <v>4114.47</v>
      </c>
      <c r="D15" s="2031">
        <v>0</v>
      </c>
      <c r="E15" s="2021">
        <v>324.56</v>
      </c>
      <c r="F15" s="1761">
        <f>E15</f>
        <v>324.56</v>
      </c>
      <c r="G15" s="2031">
        <v>0</v>
      </c>
      <c r="H15" s="2030">
        <f>B15*1.04*1.04</f>
        <v>4450.2107520000009</v>
      </c>
      <c r="I15" s="1761">
        <f t="shared" ref="I15:I16" si="9">H15</f>
        <v>4450.2107520000009</v>
      </c>
      <c r="J15" s="2031">
        <v>0</v>
      </c>
      <c r="K15" s="2021">
        <v>345.92</v>
      </c>
      <c r="L15" s="1761">
        <f>K15</f>
        <v>345.92</v>
      </c>
      <c r="M15" s="2031">
        <v>0</v>
      </c>
    </row>
    <row r="16" spans="1:13" x14ac:dyDescent="0.2">
      <c r="A16" s="2014" t="s">
        <v>1546</v>
      </c>
      <c r="B16" s="2030">
        <v>61.22</v>
      </c>
      <c r="C16" s="1761">
        <f t="shared" si="8"/>
        <v>61.22</v>
      </c>
      <c r="D16" s="2031">
        <v>0</v>
      </c>
      <c r="E16" s="2021">
        <f>F16+G16</f>
        <v>42.54</v>
      </c>
      <c r="F16" s="1760">
        <v>42.54</v>
      </c>
      <c r="G16" s="2031">
        <v>0</v>
      </c>
      <c r="H16" s="2030">
        <f>B16*1.039*1.037</f>
        <v>65.961060459999985</v>
      </c>
      <c r="I16" s="1761">
        <f t="shared" si="9"/>
        <v>65.961060459999985</v>
      </c>
      <c r="J16" s="2031">
        <v>0</v>
      </c>
      <c r="K16" s="2021">
        <f>L16</f>
        <v>0</v>
      </c>
      <c r="L16" s="1760">
        <f>'ОХР '!ED17*1.039*1.022</f>
        <v>0</v>
      </c>
      <c r="M16" s="2031">
        <v>0</v>
      </c>
    </row>
    <row r="17" spans="1:13" x14ac:dyDescent="0.2">
      <c r="A17" s="2014" t="s">
        <v>1541</v>
      </c>
      <c r="B17" s="2025">
        <f>SUM(B18:B24)</f>
        <v>3421.4939031133254</v>
      </c>
      <c r="C17" s="1755">
        <f t="shared" ref="C17:D17" si="10">SUM(C18:C24)</f>
        <v>3419.2755031133252</v>
      </c>
      <c r="D17" s="2032">
        <f t="shared" si="10"/>
        <v>2.2184000000000004</v>
      </c>
      <c r="E17" s="2019">
        <f>SUM(E18:E24)</f>
        <v>1678.9323699999998</v>
      </c>
      <c r="F17" s="1755">
        <f t="shared" ref="F17:G17" si="11">SUM(F18:F24)</f>
        <v>1669.0833768167786</v>
      </c>
      <c r="G17" s="2032">
        <f t="shared" si="11"/>
        <v>9.8489931832212463</v>
      </c>
      <c r="H17" s="2025">
        <f>SUM(H18:H24)</f>
        <v>4224.4452122231905</v>
      </c>
      <c r="I17" s="1755">
        <f t="shared" ref="I17:J17" si="12">SUM(I18:I24)</f>
        <v>4203.5540822231906</v>
      </c>
      <c r="J17" s="2032">
        <f t="shared" si="12"/>
        <v>20.89113</v>
      </c>
      <c r="K17" s="2019">
        <f>SUM(K18:K24)</f>
        <v>2477.9815239727345</v>
      </c>
      <c r="L17" s="1755">
        <f t="shared" ref="L17:M17" si="13">SUM(L18:L24)</f>
        <v>2467.2816316748658</v>
      </c>
      <c r="M17" s="2032">
        <f t="shared" si="13"/>
        <v>10.699892297868619</v>
      </c>
    </row>
    <row r="18" spans="1:13" s="1895" customFormat="1" ht="53.25" customHeight="1" x14ac:dyDescent="0.2">
      <c r="A18" s="2071" t="s">
        <v>1792</v>
      </c>
      <c r="B18" s="2033">
        <f>C18</f>
        <v>0</v>
      </c>
      <c r="C18" s="1751">
        <v>0</v>
      </c>
      <c r="D18" s="2034">
        <v>0</v>
      </c>
      <c r="E18" s="2022">
        <f>F18+G18</f>
        <v>61.43</v>
      </c>
      <c r="F18" s="1751">
        <v>61.43</v>
      </c>
      <c r="G18" s="2034">
        <v>0</v>
      </c>
      <c r="H18" s="2033">
        <f>'[56]корректировка 2018'!$I$9</f>
        <v>47.513196494407865</v>
      </c>
      <c r="I18" s="1751">
        <f>H18</f>
        <v>47.513196494407865</v>
      </c>
      <c r="J18" s="2034">
        <v>0</v>
      </c>
      <c r="K18" s="2022">
        <f>L18+M18</f>
        <v>438.50863012644095</v>
      </c>
      <c r="L18" s="1751">
        <f>'[57]корректировка 2017'!$I$9</f>
        <v>438.50863012644095</v>
      </c>
      <c r="M18" s="2034">
        <v>0</v>
      </c>
    </row>
    <row r="19" spans="1:13" ht="36.75" customHeight="1" x14ac:dyDescent="0.2">
      <c r="A19" s="2016" t="s">
        <v>1548</v>
      </c>
      <c r="B19" s="2033">
        <f>C19+D19</f>
        <v>3293.3339031133255</v>
      </c>
      <c r="C19" s="1751">
        <f>'2018 к'!E12</f>
        <v>3291.1155031133253</v>
      </c>
      <c r="D19" s="2035">
        <f>'2018 к'!E21</f>
        <v>2.2184000000000004</v>
      </c>
      <c r="E19" s="2022">
        <f t="shared" ref="E19:E24" si="14">F19+G19</f>
        <v>1459.7023699999997</v>
      </c>
      <c r="F19" s="1751">
        <f>'2018 к'!E30</f>
        <v>1449.8533768167786</v>
      </c>
      <c r="G19" s="2035">
        <f>'2018 к'!E39</f>
        <v>9.8489931832212463</v>
      </c>
      <c r="H19" s="2033">
        <f>I19+J19</f>
        <v>3523.8224121041176</v>
      </c>
      <c r="I19" s="1751">
        <f>'2018 к'!G12</f>
        <v>3502.9312821041176</v>
      </c>
      <c r="J19" s="2035">
        <f>'2018 к'!G21</f>
        <v>20.89113</v>
      </c>
      <c r="K19" s="2022">
        <f t="shared" ref="K19:K24" si="15">L19+M19</f>
        <v>1513.464332389854</v>
      </c>
      <c r="L19" s="1751">
        <f>'2018 к'!G30</f>
        <v>1502.7644400919853</v>
      </c>
      <c r="M19" s="2035">
        <f>'2018 к'!G39</f>
        <v>10.699892297868619</v>
      </c>
    </row>
    <row r="20" spans="1:13" ht="28.5" customHeight="1" x14ac:dyDescent="0.2">
      <c r="A20" s="2016" t="s">
        <v>1549</v>
      </c>
      <c r="B20" s="2033">
        <f>C20+D20</f>
        <v>128.16</v>
      </c>
      <c r="C20" s="1751">
        <v>128.16</v>
      </c>
      <c r="D20" s="2034">
        <v>0</v>
      </c>
      <c r="E20" s="2022">
        <f t="shared" si="14"/>
        <v>157.80000000000001</v>
      </c>
      <c r="F20" s="1774">
        <v>157.80000000000001</v>
      </c>
      <c r="G20" s="2035">
        <f>'2017 к'!H22</f>
        <v>0</v>
      </c>
      <c r="H20" s="2033">
        <f>I20+J20</f>
        <v>216.27</v>
      </c>
      <c r="I20" s="1751">
        <v>216.27</v>
      </c>
      <c r="J20" s="2034">
        <v>0</v>
      </c>
      <c r="K20" s="2022">
        <f t="shared" si="15"/>
        <v>152.0548</v>
      </c>
      <c r="L20" s="1774">
        <f>'стоки 2019-2021'!Q16</f>
        <v>152.0548</v>
      </c>
      <c r="M20" s="2035">
        <f>'2017 к'!N22</f>
        <v>0</v>
      </c>
    </row>
    <row r="21" spans="1:13" ht="24.75" customHeight="1" x14ac:dyDescent="0.2">
      <c r="A21" s="2016" t="s">
        <v>1550</v>
      </c>
      <c r="B21" s="2033">
        <f t="shared" ref="B21:B24" si="16">C21+D21</f>
        <v>0</v>
      </c>
      <c r="C21" s="1751">
        <v>0</v>
      </c>
      <c r="D21" s="2034">
        <v>0</v>
      </c>
      <c r="E21" s="2022">
        <f t="shared" si="14"/>
        <v>0</v>
      </c>
      <c r="F21" s="1751">
        <v>0</v>
      </c>
      <c r="G21" s="2035">
        <f>'2017 к'!H23</f>
        <v>0</v>
      </c>
      <c r="H21" s="2033">
        <f t="shared" ref="H21:H24" si="17">I21+J21</f>
        <v>436.83960362466541</v>
      </c>
      <c r="I21" s="1751">
        <f>'рез к 2017'!G38</f>
        <v>436.83960362466541</v>
      </c>
      <c r="J21" s="2034">
        <v>0</v>
      </c>
      <c r="K21" s="2022">
        <f t="shared" si="15"/>
        <v>373.95376145643951</v>
      </c>
      <c r="L21" s="1751">
        <f>'Резерв ДЗ'!G34</f>
        <v>373.95376145643951</v>
      </c>
      <c r="M21" s="2035">
        <f>'2017 к'!N23</f>
        <v>0</v>
      </c>
    </row>
    <row r="22" spans="1:13" ht="24.75" customHeight="1" x14ac:dyDescent="0.2">
      <c r="A22" s="2016" t="s">
        <v>920</v>
      </c>
      <c r="B22" s="2033">
        <f t="shared" si="16"/>
        <v>0</v>
      </c>
      <c r="C22" s="1774">
        <v>0</v>
      </c>
      <c r="D22" s="2034">
        <v>0</v>
      </c>
      <c r="E22" s="2022">
        <f t="shared" si="14"/>
        <v>0</v>
      </c>
      <c r="F22" s="1774">
        <v>0</v>
      </c>
      <c r="G22" s="2035">
        <f>'2017 к'!H24</f>
        <v>0</v>
      </c>
      <c r="H22" s="2033">
        <f t="shared" si="17"/>
        <v>0</v>
      </c>
      <c r="I22" s="1774">
        <v>0</v>
      </c>
      <c r="J22" s="2034">
        <v>0</v>
      </c>
      <c r="K22" s="2022">
        <f t="shared" si="15"/>
        <v>0</v>
      </c>
      <c r="L22" s="1774">
        <v>0</v>
      </c>
      <c r="M22" s="2035">
        <f>'2017 к'!N24</f>
        <v>0</v>
      </c>
    </row>
    <row r="23" spans="1:13" ht="30.75" customHeight="1" x14ac:dyDescent="0.2">
      <c r="A23" s="2016" t="s">
        <v>922</v>
      </c>
      <c r="B23" s="2033">
        <f t="shared" si="16"/>
        <v>0</v>
      </c>
      <c r="C23" s="1774">
        <v>0</v>
      </c>
      <c r="D23" s="2034">
        <v>0</v>
      </c>
      <c r="E23" s="2022">
        <f t="shared" si="14"/>
        <v>0</v>
      </c>
      <c r="F23" s="1774">
        <v>0</v>
      </c>
      <c r="G23" s="2034">
        <v>0</v>
      </c>
      <c r="H23" s="2033">
        <f t="shared" si="17"/>
        <v>0</v>
      </c>
      <c r="I23" s="1774">
        <v>0</v>
      </c>
      <c r="J23" s="2034">
        <v>0</v>
      </c>
      <c r="K23" s="2022">
        <f t="shared" si="15"/>
        <v>0</v>
      </c>
      <c r="L23" s="1774">
        <v>0</v>
      </c>
      <c r="M23" s="2034">
        <v>0</v>
      </c>
    </row>
    <row r="24" spans="1:13" ht="27" customHeight="1" x14ac:dyDescent="0.2">
      <c r="A24" s="2016" t="s">
        <v>1551</v>
      </c>
      <c r="B24" s="2033">
        <f t="shared" si="16"/>
        <v>0</v>
      </c>
      <c r="C24" s="1774">
        <v>0</v>
      </c>
      <c r="D24" s="2034">
        <v>0</v>
      </c>
      <c r="E24" s="2022">
        <f t="shared" si="14"/>
        <v>0</v>
      </c>
      <c r="F24" s="1774">
        <v>0</v>
      </c>
      <c r="G24" s="2034">
        <v>0</v>
      </c>
      <c r="H24" s="2033">
        <f t="shared" si="17"/>
        <v>0</v>
      </c>
      <c r="I24" s="1774">
        <v>0</v>
      </c>
      <c r="J24" s="2034">
        <v>0</v>
      </c>
      <c r="K24" s="2022">
        <f t="shared" si="15"/>
        <v>0</v>
      </c>
      <c r="L24" s="1774">
        <v>0</v>
      </c>
      <c r="M24" s="2034">
        <v>0</v>
      </c>
    </row>
    <row r="25" spans="1:13" x14ac:dyDescent="0.2">
      <c r="A25" s="2014" t="s">
        <v>2</v>
      </c>
      <c r="B25" s="2033">
        <f>SUM(B26:B29)</f>
        <v>8497.9000000000015</v>
      </c>
      <c r="C25" s="1751">
        <f t="shared" ref="C25:D25" si="18">SUM(C26:C29)</f>
        <v>8496.3795185718263</v>
      </c>
      <c r="D25" s="2035">
        <f t="shared" si="18"/>
        <v>1.5204814281734422</v>
      </c>
      <c r="E25" s="2022">
        <f>SUM(E26:E29)</f>
        <v>5036.88</v>
      </c>
      <c r="F25" s="1751">
        <f t="shared" ref="F25:G25" si="19">SUM(F26:F29)</f>
        <v>5028.8549485830717</v>
      </c>
      <c r="G25" s="2035">
        <f t="shared" si="19"/>
        <v>5.12</v>
      </c>
      <c r="H25" s="2033">
        <f>SUM(H26:H29)</f>
        <v>8497.9000000000015</v>
      </c>
      <c r="I25" s="1751">
        <f t="shared" ref="I25:J25" si="20">SUM(I26:I29)</f>
        <v>8476.8043680103383</v>
      </c>
      <c r="J25" s="2035">
        <f t="shared" si="20"/>
        <v>21.095631989661516</v>
      </c>
      <c r="K25" s="2022">
        <f>SUM(K26:K29)</f>
        <v>5036.88</v>
      </c>
      <c r="L25" s="1751">
        <f t="shared" ref="L25:M25" si="21">SUM(L26:L29)</f>
        <v>5028.8549485830717</v>
      </c>
      <c r="M25" s="2035">
        <f t="shared" si="21"/>
        <v>5.12</v>
      </c>
    </row>
    <row r="26" spans="1:13" s="1737" customFormat="1" x14ac:dyDescent="0.2">
      <c r="A26" s="2017" t="s">
        <v>1555</v>
      </c>
      <c r="B26" s="2036">
        <f>Аморт!X7</f>
        <v>3566.58</v>
      </c>
      <c r="C26" s="1773">
        <f>C9/B9*B26</f>
        <v>3565.0595185718266</v>
      </c>
      <c r="D26" s="2037">
        <f>D9/B9*B26</f>
        <v>1.5204814281734422</v>
      </c>
      <c r="E26" s="2042">
        <f>Аморт!X14</f>
        <v>498.59</v>
      </c>
      <c r="F26" s="1773">
        <f>F9/E9*E26</f>
        <v>495.68494858307196</v>
      </c>
      <c r="G26" s="2037">
        <v>0</v>
      </c>
      <c r="H26" s="2033">
        <f>Аморт!AE7</f>
        <v>3566.58</v>
      </c>
      <c r="I26" s="1773">
        <f>I9/H9*H26</f>
        <v>3545.4843680103381</v>
      </c>
      <c r="J26" s="2037">
        <f>J9/H9*H26</f>
        <v>21.095631989661516</v>
      </c>
      <c r="K26" s="2042">
        <f>Аморт!AE14</f>
        <v>498.59</v>
      </c>
      <c r="L26" s="1773">
        <f>L9/K9*K26</f>
        <v>495.68494858307196</v>
      </c>
      <c r="M26" s="2037">
        <v>0</v>
      </c>
    </row>
    <row r="27" spans="1:13" s="1737" customFormat="1" x14ac:dyDescent="0.2">
      <c r="A27" s="2017" t="s">
        <v>1556</v>
      </c>
      <c r="B27" s="2036">
        <f>Аморт!X8</f>
        <v>1344.19</v>
      </c>
      <c r="C27" s="1764">
        <f>B27</f>
        <v>1344.19</v>
      </c>
      <c r="D27" s="2038"/>
      <c r="E27" s="2042">
        <f>Аморт!X15</f>
        <v>588.47</v>
      </c>
      <c r="F27" s="1764">
        <f>E27-G27</f>
        <v>583.35</v>
      </c>
      <c r="G27" s="2037">
        <v>5.12</v>
      </c>
      <c r="H27" s="2033">
        <f>Аморт!AE8</f>
        <v>1344.19</v>
      </c>
      <c r="I27" s="1764">
        <f>H27</f>
        <v>1344.19</v>
      </c>
      <c r="J27" s="2038"/>
      <c r="K27" s="2042">
        <f>Аморт!AE15</f>
        <v>588.47</v>
      </c>
      <c r="L27" s="1764">
        <f>K27-M27</f>
        <v>583.35</v>
      </c>
      <c r="M27" s="2037">
        <v>5.12</v>
      </c>
    </row>
    <row r="28" spans="1:13" s="1737" customFormat="1" x14ac:dyDescent="0.2">
      <c r="A28" s="2017" t="s">
        <v>1557</v>
      </c>
      <c r="B28" s="2036">
        <f>Аморт!X9</f>
        <v>53.89</v>
      </c>
      <c r="C28" s="1764">
        <f t="shared" ref="C28:C29" si="22">B28</f>
        <v>53.89</v>
      </c>
      <c r="D28" s="2038"/>
      <c r="E28" s="2042">
        <f>Аморт!X16</f>
        <v>36.94</v>
      </c>
      <c r="F28" s="1764">
        <f t="shared" ref="F28:F29" si="23">E28</f>
        <v>36.94</v>
      </c>
      <c r="G28" s="2038"/>
      <c r="H28" s="2033">
        <f>Аморт!AE9</f>
        <v>53.89</v>
      </c>
      <c r="I28" s="1764">
        <f t="shared" ref="I28:I29" si="24">H28</f>
        <v>53.89</v>
      </c>
      <c r="J28" s="2038"/>
      <c r="K28" s="2042">
        <f>Аморт!AE16</f>
        <v>36.94</v>
      </c>
      <c r="L28" s="1764">
        <f t="shared" ref="L28:L29" si="25">K28</f>
        <v>36.94</v>
      </c>
      <c r="M28" s="2038"/>
    </row>
    <row r="29" spans="1:13" s="1737" customFormat="1" x14ac:dyDescent="0.2">
      <c r="A29" s="2017" t="s">
        <v>86</v>
      </c>
      <c r="B29" s="2036">
        <f>Аморт!X10</f>
        <v>3533.24</v>
      </c>
      <c r="C29" s="1764">
        <f t="shared" si="22"/>
        <v>3533.24</v>
      </c>
      <c r="D29" s="2038"/>
      <c r="E29" s="2042">
        <f>Аморт!X17</f>
        <v>3912.88</v>
      </c>
      <c r="F29" s="1764">
        <f t="shared" si="23"/>
        <v>3912.88</v>
      </c>
      <c r="G29" s="2038"/>
      <c r="H29" s="2033">
        <f>Аморт!AE10</f>
        <v>3533.24</v>
      </c>
      <c r="I29" s="1764">
        <f t="shared" si="24"/>
        <v>3533.24</v>
      </c>
      <c r="J29" s="2038"/>
      <c r="K29" s="2042">
        <f>Аморт!AE17</f>
        <v>3912.88</v>
      </c>
      <c r="L29" s="1764">
        <f t="shared" si="25"/>
        <v>3912.88</v>
      </c>
      <c r="M29" s="2038"/>
    </row>
    <row r="30" spans="1:13" ht="13.5" thickBot="1" x14ac:dyDescent="0.25">
      <c r="A30" s="2014" t="s">
        <v>928</v>
      </c>
      <c r="B30" s="2039"/>
      <c r="C30" s="2040"/>
      <c r="D30" s="2041"/>
      <c r="E30" s="2043"/>
      <c r="F30" s="2040"/>
      <c r="G30" s="2041"/>
      <c r="H30" s="2039"/>
      <c r="I30" s="2040"/>
      <c r="J30" s="2041"/>
      <c r="K30" s="2043"/>
      <c r="L30" s="2040"/>
      <c r="M30" s="2041"/>
    </row>
    <row r="32" spans="1:13" x14ac:dyDescent="0.2">
      <c r="A32" s="5" t="s">
        <v>1688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80"/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85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5635" t="s">
        <v>2173</v>
      </c>
      <c r="B1" s="5635"/>
      <c r="C1" s="5635"/>
      <c r="D1" s="5635"/>
      <c r="E1" s="5635"/>
      <c r="F1" s="5635"/>
      <c r="G1" s="5635"/>
      <c r="H1" s="5635"/>
      <c r="I1" s="5635"/>
      <c r="N1" s="2363"/>
      <c r="O1" s="2363"/>
    </row>
    <row r="2" spans="1:20" ht="15.75" customHeight="1" x14ac:dyDescent="0.25">
      <c r="A2" s="5636" t="s">
        <v>2174</v>
      </c>
      <c r="B2" s="5636"/>
      <c r="C2" s="5636"/>
      <c r="D2" s="5636"/>
      <c r="E2" s="5636"/>
      <c r="F2" s="5636"/>
      <c r="G2" s="5636"/>
      <c r="H2" s="5636"/>
      <c r="I2" s="5636"/>
      <c r="N2" s="2363">
        <f>M8-N8</f>
        <v>2464759.057394471</v>
      </c>
      <c r="O2" s="2363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289" t="s">
        <v>2175</v>
      </c>
      <c r="B4" s="5637" t="s">
        <v>2176</v>
      </c>
      <c r="C4" s="5637"/>
      <c r="D4" s="5637"/>
      <c r="E4" s="5637"/>
      <c r="F4" s="5637"/>
      <c r="G4" s="5637"/>
      <c r="H4" s="5637"/>
      <c r="I4" s="5637"/>
      <c r="N4" s="2363"/>
      <c r="O4" s="2363">
        <f>O9+O12+O13+O16+O60</f>
        <v>706399.44654906937</v>
      </c>
    </row>
    <row r="5" spans="1:20" ht="2.1" customHeight="1" x14ac:dyDescent="0.2"/>
    <row r="6" spans="1:20" ht="12.75" customHeight="1" x14ac:dyDescent="0.2">
      <c r="A6" s="5632" t="s">
        <v>2177</v>
      </c>
      <c r="B6" s="5632"/>
      <c r="C6" s="5632"/>
      <c r="D6" s="5632"/>
      <c r="E6" s="5632"/>
      <c r="F6" s="5632"/>
      <c r="G6" s="2290"/>
      <c r="H6" s="5632" t="s">
        <v>2178</v>
      </c>
      <c r="I6" s="5632"/>
      <c r="J6" s="5632"/>
      <c r="K6" s="5632"/>
      <c r="L6" s="5632" t="s">
        <v>2179</v>
      </c>
      <c r="M6" s="5632"/>
      <c r="N6" s="5632"/>
      <c r="O6" s="5632"/>
      <c r="P6" s="5632"/>
      <c r="Q6" s="5632"/>
      <c r="R6" s="5632" t="s">
        <v>2180</v>
      </c>
      <c r="S6" s="5632"/>
      <c r="T6" s="5632"/>
    </row>
    <row r="7" spans="1:20" ht="36.75" customHeight="1" x14ac:dyDescent="0.2">
      <c r="A7" s="2291"/>
      <c r="B7" s="2292"/>
      <c r="C7" s="2290" t="s">
        <v>2181</v>
      </c>
      <c r="D7" s="2290" t="s">
        <v>2182</v>
      </c>
      <c r="E7" s="2290" t="s">
        <v>2183</v>
      </c>
      <c r="F7" s="2290" t="s">
        <v>2184</v>
      </c>
      <c r="G7" s="2290" t="s">
        <v>2185</v>
      </c>
      <c r="H7" s="2290" t="s">
        <v>2186</v>
      </c>
      <c r="I7" s="5632" t="s">
        <v>2187</v>
      </c>
      <c r="J7" s="5632"/>
      <c r="K7" s="2290" t="s">
        <v>2188</v>
      </c>
      <c r="L7" s="2290" t="s">
        <v>2189</v>
      </c>
      <c r="M7" s="2293" t="s">
        <v>2190</v>
      </c>
      <c r="N7" s="2294" t="s">
        <v>2191</v>
      </c>
      <c r="O7" s="2294"/>
      <c r="P7" s="2290" t="s">
        <v>2192</v>
      </c>
      <c r="Q7" s="2290" t="s">
        <v>2193</v>
      </c>
      <c r="R7" s="2290" t="s">
        <v>2186</v>
      </c>
      <c r="S7" s="2290" t="s">
        <v>2187</v>
      </c>
      <c r="T7" s="2290" t="s">
        <v>2188</v>
      </c>
    </row>
    <row r="8" spans="1:20" s="2226" customFormat="1" ht="12.75" customHeight="1" x14ac:dyDescent="0.2">
      <c r="A8" s="5633" t="s">
        <v>2194</v>
      </c>
      <c r="B8" s="5633"/>
      <c r="C8" s="5633"/>
      <c r="D8" s="5633"/>
      <c r="E8" s="5633"/>
      <c r="F8" s="5633"/>
      <c r="G8" s="2359"/>
      <c r="H8" s="2360">
        <v>47872333.609999999</v>
      </c>
      <c r="I8" s="5634">
        <v>19023948.5</v>
      </c>
      <c r="J8" s="5634"/>
      <c r="K8" s="2360">
        <v>28848385.109999999</v>
      </c>
      <c r="L8" s="2360">
        <v>2005355.17</v>
      </c>
      <c r="M8" s="2358">
        <v>3811874.54</v>
      </c>
      <c r="N8" s="2358">
        <f>SUM(N9:N62)</f>
        <v>1347115.4826055293</v>
      </c>
      <c r="O8" s="2358"/>
      <c r="P8" s="2360">
        <v>80512</v>
      </c>
      <c r="Q8" s="2360">
        <v>72807.86</v>
      </c>
      <c r="R8" s="2360">
        <v>49797176.780000001</v>
      </c>
      <c r="S8" s="2360">
        <v>22763015.18</v>
      </c>
      <c r="T8" s="2360">
        <v>27034161.600000001</v>
      </c>
    </row>
    <row r="9" spans="1:20" s="2302" customFormat="1" ht="34.5" customHeight="1" outlineLevel="1" x14ac:dyDescent="0.2">
      <c r="A9" s="5622" t="s">
        <v>2195</v>
      </c>
      <c r="B9" s="5622"/>
      <c r="C9" s="2295">
        <v>45</v>
      </c>
      <c r="D9" s="2296" t="s">
        <v>2196</v>
      </c>
      <c r="E9" s="2297">
        <v>231881</v>
      </c>
      <c r="F9" s="2298">
        <v>600</v>
      </c>
      <c r="G9" s="2298">
        <f>E9/F9*12</f>
        <v>4637.62</v>
      </c>
      <c r="H9" s="2299">
        <v>231881</v>
      </c>
      <c r="I9" s="5623">
        <v>126930.6</v>
      </c>
      <c r="J9" s="5623"/>
      <c r="K9" s="2299">
        <v>107950.39999999999</v>
      </c>
      <c r="L9" s="2299">
        <v>118695.41</v>
      </c>
      <c r="M9" s="2300">
        <v>7339.63</v>
      </c>
      <c r="N9" s="2364">
        <f>(H9+L9)/600*12</f>
        <v>7011.5282000000007</v>
      </c>
      <c r="O9" s="2364">
        <f>M9-N9</f>
        <v>328.10179999999946</v>
      </c>
      <c r="P9" s="2301"/>
      <c r="Q9" s="2301"/>
      <c r="R9" s="2299">
        <v>353576.41</v>
      </c>
      <c r="S9" s="2299">
        <v>134270.23000000001</v>
      </c>
      <c r="T9" s="2299">
        <v>219306.18</v>
      </c>
    </row>
    <row r="10" spans="1:20" ht="23.25" customHeight="1" outlineLevel="1" x14ac:dyDescent="0.2">
      <c r="A10" s="5617" t="s">
        <v>2197</v>
      </c>
      <c r="B10" s="5617"/>
      <c r="C10" s="2303">
        <v>41</v>
      </c>
      <c r="D10" s="2304" t="s">
        <v>2196</v>
      </c>
      <c r="E10" s="2305" t="s">
        <v>2198</v>
      </c>
      <c r="F10" s="2306">
        <v>600</v>
      </c>
      <c r="G10" s="2306"/>
      <c r="H10" s="2307">
        <v>345355</v>
      </c>
      <c r="I10" s="5618">
        <v>155659.62</v>
      </c>
      <c r="J10" s="5618"/>
      <c r="K10" s="2307">
        <v>189695.38</v>
      </c>
      <c r="L10" s="2305"/>
      <c r="M10" s="2308"/>
      <c r="N10" s="2308"/>
      <c r="O10" s="2364">
        <f t="shared" ref="O10:O62" si="0">M10-N10</f>
        <v>0</v>
      </c>
      <c r="P10" s="2305"/>
      <c r="Q10" s="2305"/>
      <c r="R10" s="2307">
        <v>345355</v>
      </c>
      <c r="S10" s="2307">
        <v>155659.62</v>
      </c>
      <c r="T10" s="2307">
        <v>189695.38</v>
      </c>
    </row>
    <row r="11" spans="1:20" ht="23.25" customHeight="1" outlineLevel="1" x14ac:dyDescent="0.2">
      <c r="A11" s="5617" t="s">
        <v>2199</v>
      </c>
      <c r="B11" s="5617"/>
      <c r="C11" s="2303">
        <v>1733</v>
      </c>
      <c r="D11" s="2304" t="s">
        <v>2200</v>
      </c>
      <c r="E11" s="2305" t="s">
        <v>2201</v>
      </c>
      <c r="F11" s="2306">
        <v>600</v>
      </c>
      <c r="G11" s="2306"/>
      <c r="H11" s="2307">
        <v>3892411.39</v>
      </c>
      <c r="I11" s="5618">
        <v>951917.59</v>
      </c>
      <c r="J11" s="5618"/>
      <c r="K11" s="2307">
        <v>2940493.8</v>
      </c>
      <c r="L11" s="2305"/>
      <c r="M11" s="2309">
        <v>78939.360000000001</v>
      </c>
      <c r="N11" s="2309">
        <f>M11</f>
        <v>78939.360000000001</v>
      </c>
      <c r="O11" s="2364">
        <f t="shared" si="0"/>
        <v>0</v>
      </c>
      <c r="P11" s="2305"/>
      <c r="Q11" s="2305"/>
      <c r="R11" s="2307">
        <v>3892411.39</v>
      </c>
      <c r="S11" s="2307">
        <v>1030856.95</v>
      </c>
      <c r="T11" s="2307">
        <v>2861554.44</v>
      </c>
    </row>
    <row r="12" spans="1:20" s="2302" customFormat="1" ht="23.25" customHeight="1" outlineLevel="1" x14ac:dyDescent="0.2">
      <c r="A12" s="5622" t="s">
        <v>2202</v>
      </c>
      <c r="B12" s="5622"/>
      <c r="C12" s="2295">
        <v>291</v>
      </c>
      <c r="D12" s="2296" t="s">
        <v>2203</v>
      </c>
      <c r="E12" s="2301" t="s">
        <v>2204</v>
      </c>
      <c r="F12" s="2298">
        <v>514</v>
      </c>
      <c r="G12" s="2298"/>
      <c r="H12" s="2299">
        <v>3829011.43</v>
      </c>
      <c r="I12" s="5623">
        <v>2161685.4900000002</v>
      </c>
      <c r="J12" s="5623"/>
      <c r="K12" s="2299">
        <v>1667325.94</v>
      </c>
      <c r="L12" s="2299">
        <v>817840.12</v>
      </c>
      <c r="M12" s="2299">
        <v>643985.41</v>
      </c>
      <c r="N12" s="2364">
        <f>(H12+L12)/514*12</f>
        <v>108486.80661478598</v>
      </c>
      <c r="O12" s="2364">
        <f t="shared" si="0"/>
        <v>535498.603385214</v>
      </c>
      <c r="P12" s="2301"/>
      <c r="Q12" s="2301"/>
      <c r="R12" s="2299">
        <v>4646851.55</v>
      </c>
      <c r="S12" s="2299">
        <v>2805670.9</v>
      </c>
      <c r="T12" s="2299">
        <v>1841180.65</v>
      </c>
    </row>
    <row r="13" spans="1:20" ht="23.25" customHeight="1" outlineLevel="1" x14ac:dyDescent="0.2">
      <c r="A13" s="5617" t="s">
        <v>2205</v>
      </c>
      <c r="B13" s="5617"/>
      <c r="C13" s="2303">
        <v>196</v>
      </c>
      <c r="D13" s="2304" t="s">
        <v>2206</v>
      </c>
      <c r="E13" s="2305" t="s">
        <v>2207</v>
      </c>
      <c r="F13" s="2306">
        <v>600</v>
      </c>
      <c r="G13" s="2306"/>
      <c r="H13" s="2307">
        <v>683659.93</v>
      </c>
      <c r="I13" s="5618">
        <v>492524.53</v>
      </c>
      <c r="J13" s="5618"/>
      <c r="K13" s="2307">
        <v>191135.4</v>
      </c>
      <c r="L13" s="2305"/>
      <c r="M13" s="2309">
        <v>176432.76</v>
      </c>
      <c r="N13" s="2364">
        <f>H13/F13*12</f>
        <v>13673.198600000002</v>
      </c>
      <c r="O13" s="2364">
        <f t="shared" si="0"/>
        <v>162759.56140000001</v>
      </c>
      <c r="P13" s="2305"/>
      <c r="Q13" s="2305"/>
      <c r="R13" s="2307">
        <v>683659.93</v>
      </c>
      <c r="S13" s="2307">
        <v>668957.29</v>
      </c>
      <c r="T13" s="2307">
        <v>14702.64</v>
      </c>
    </row>
    <row r="14" spans="1:20" ht="23.25" customHeight="1" outlineLevel="1" x14ac:dyDescent="0.2">
      <c r="A14" s="5617" t="s">
        <v>2208</v>
      </c>
      <c r="B14" s="5617"/>
      <c r="C14" s="2303">
        <v>526</v>
      </c>
      <c r="D14" s="2304" t="s">
        <v>2209</v>
      </c>
      <c r="E14" s="2305" t="s">
        <v>2210</v>
      </c>
      <c r="F14" s="2306">
        <v>480</v>
      </c>
      <c r="G14" s="2306"/>
      <c r="H14" s="2307">
        <v>21190</v>
      </c>
      <c r="I14" s="5618">
        <v>21190</v>
      </c>
      <c r="J14" s="5618"/>
      <c r="K14" s="2305"/>
      <c r="L14" s="2305"/>
      <c r="M14" s="2308"/>
      <c r="N14" s="2308"/>
      <c r="O14" s="2364">
        <f t="shared" si="0"/>
        <v>0</v>
      </c>
      <c r="P14" s="2305"/>
      <c r="Q14" s="2305"/>
      <c r="R14" s="2307">
        <v>21190</v>
      </c>
      <c r="S14" s="2307">
        <v>21190</v>
      </c>
      <c r="T14" s="2305"/>
    </row>
    <row r="15" spans="1:20" ht="34.5" customHeight="1" outlineLevel="1" x14ac:dyDescent="0.2">
      <c r="A15" s="5617" t="s">
        <v>2211</v>
      </c>
      <c r="B15" s="5617"/>
      <c r="C15" s="2303">
        <v>190</v>
      </c>
      <c r="D15" s="2304" t="s">
        <v>2212</v>
      </c>
      <c r="E15" s="2305" t="s">
        <v>2213</v>
      </c>
      <c r="F15" s="2306">
        <v>145</v>
      </c>
      <c r="G15" s="2306"/>
      <c r="H15" s="2307">
        <v>441236.4</v>
      </c>
      <c r="I15" s="5618">
        <v>422568.63</v>
      </c>
      <c r="J15" s="5618"/>
      <c r="K15" s="2307">
        <v>18667.77</v>
      </c>
      <c r="L15" s="2305"/>
      <c r="M15" s="2309">
        <v>18667.77</v>
      </c>
      <c r="N15" s="2309">
        <f>M15</f>
        <v>18667.77</v>
      </c>
      <c r="O15" s="2364">
        <f t="shared" si="0"/>
        <v>0</v>
      </c>
      <c r="P15" s="2305"/>
      <c r="Q15" s="2305"/>
      <c r="R15" s="2307">
        <v>441236.4</v>
      </c>
      <c r="S15" s="2307">
        <v>441236.4</v>
      </c>
      <c r="T15" s="2305"/>
    </row>
    <row r="16" spans="1:20" ht="23.25" customHeight="1" outlineLevel="1" x14ac:dyDescent="0.2">
      <c r="A16" s="5617" t="s">
        <v>2214</v>
      </c>
      <c r="B16" s="5617"/>
      <c r="C16" s="2303">
        <v>29</v>
      </c>
      <c r="D16" s="2304" t="s">
        <v>2196</v>
      </c>
      <c r="E16" s="2305" t="s">
        <v>2215</v>
      </c>
      <c r="F16" s="2306">
        <v>996</v>
      </c>
      <c r="G16" s="2306"/>
      <c r="H16" s="2307">
        <v>1243437.8600000001</v>
      </c>
      <c r="I16" s="5618">
        <v>348142.85</v>
      </c>
      <c r="J16" s="5618"/>
      <c r="K16" s="2307">
        <v>895295.01</v>
      </c>
      <c r="L16" s="2305"/>
      <c r="M16" s="2309">
        <v>16302.84</v>
      </c>
      <c r="N16" s="2364">
        <f>H16/F16*12</f>
        <v>14981.17903614458</v>
      </c>
      <c r="O16" s="2364">
        <f t="shared" si="0"/>
        <v>1321.6609638554201</v>
      </c>
      <c r="P16" s="2305"/>
      <c r="Q16" s="2305"/>
      <c r="R16" s="2307">
        <v>1243437.8600000001</v>
      </c>
      <c r="S16" s="2307">
        <v>364445.69</v>
      </c>
      <c r="T16" s="2307">
        <v>878992.17</v>
      </c>
    </row>
    <row r="17" spans="1:20" ht="34.5" customHeight="1" outlineLevel="1" x14ac:dyDescent="0.2">
      <c r="A17" s="5617" t="s">
        <v>2216</v>
      </c>
      <c r="B17" s="5617"/>
      <c r="C17" s="2303">
        <v>13</v>
      </c>
      <c r="D17" s="2304" t="s">
        <v>2217</v>
      </c>
      <c r="E17" s="2305" t="s">
        <v>2218</v>
      </c>
      <c r="F17" s="2306">
        <v>600</v>
      </c>
      <c r="G17" s="2306"/>
      <c r="H17" s="2307">
        <v>357248</v>
      </c>
      <c r="I17" s="5618">
        <v>270297.38</v>
      </c>
      <c r="J17" s="5618"/>
      <c r="K17" s="2307">
        <v>86950.62</v>
      </c>
      <c r="L17" s="2305"/>
      <c r="M17" s="2308"/>
      <c r="N17" s="2308"/>
      <c r="O17" s="2364">
        <f t="shared" si="0"/>
        <v>0</v>
      </c>
      <c r="P17" s="2305"/>
      <c r="Q17" s="2305"/>
      <c r="R17" s="2307">
        <v>357248</v>
      </c>
      <c r="S17" s="2307">
        <v>270297.38</v>
      </c>
      <c r="T17" s="2307">
        <v>86950.62</v>
      </c>
    </row>
    <row r="18" spans="1:20" ht="23.25" customHeight="1" outlineLevel="1" x14ac:dyDescent="0.2">
      <c r="A18" s="5617" t="s">
        <v>2219</v>
      </c>
      <c r="B18" s="5617"/>
      <c r="C18" s="2303">
        <v>9</v>
      </c>
      <c r="D18" s="2304" t="s">
        <v>2217</v>
      </c>
      <c r="E18" s="2305" t="s">
        <v>2220</v>
      </c>
      <c r="F18" s="2306">
        <v>696</v>
      </c>
      <c r="G18" s="2306"/>
      <c r="H18" s="2307">
        <v>354521</v>
      </c>
      <c r="I18" s="5618">
        <v>230450.2</v>
      </c>
      <c r="J18" s="5618"/>
      <c r="K18" s="2307">
        <v>124070.8</v>
      </c>
      <c r="L18" s="2305"/>
      <c r="M18" s="2308"/>
      <c r="N18" s="2308"/>
      <c r="O18" s="2364">
        <f t="shared" si="0"/>
        <v>0</v>
      </c>
      <c r="P18" s="2305"/>
      <c r="Q18" s="2305"/>
      <c r="R18" s="2307">
        <v>354521</v>
      </c>
      <c r="S18" s="2307">
        <v>230450.2</v>
      </c>
      <c r="T18" s="2307">
        <v>124070.8</v>
      </c>
    </row>
    <row r="19" spans="1:20" ht="23.25" customHeight="1" outlineLevel="1" x14ac:dyDescent="0.2">
      <c r="A19" s="5617" t="s">
        <v>2221</v>
      </c>
      <c r="B19" s="5617"/>
      <c r="C19" s="2303">
        <v>287</v>
      </c>
      <c r="D19" s="2304" t="s">
        <v>2222</v>
      </c>
      <c r="E19" s="2305" t="s">
        <v>2223</v>
      </c>
      <c r="F19" s="2306">
        <v>279</v>
      </c>
      <c r="G19" s="2306"/>
      <c r="H19" s="2307">
        <v>2065079.57</v>
      </c>
      <c r="I19" s="5618">
        <v>495022.4</v>
      </c>
      <c r="J19" s="5618"/>
      <c r="K19" s="2307">
        <v>1570057.17</v>
      </c>
      <c r="L19" s="2305"/>
      <c r="M19" s="2309">
        <v>88820.64</v>
      </c>
      <c r="N19" s="2309">
        <f>M19</f>
        <v>88820.64</v>
      </c>
      <c r="O19" s="2364">
        <f t="shared" si="0"/>
        <v>0</v>
      </c>
      <c r="P19" s="2305"/>
      <c r="Q19" s="2305"/>
      <c r="R19" s="2307">
        <v>2065079.57</v>
      </c>
      <c r="S19" s="2307">
        <v>583843.04</v>
      </c>
      <c r="T19" s="2307">
        <v>1481236.53</v>
      </c>
    </row>
    <row r="20" spans="1:20" ht="23.25" customHeight="1" outlineLevel="1" x14ac:dyDescent="0.2">
      <c r="A20" s="5617" t="s">
        <v>2224</v>
      </c>
      <c r="B20" s="5617"/>
      <c r="C20" s="2310">
        <v>1930</v>
      </c>
      <c r="D20" s="2304" t="s">
        <v>2225</v>
      </c>
      <c r="E20" s="2305" t="s">
        <v>2226</v>
      </c>
      <c r="F20" s="2306">
        <v>480</v>
      </c>
      <c r="G20" s="2306"/>
      <c r="H20" s="2307">
        <v>427792</v>
      </c>
      <c r="I20" s="5618">
        <v>106840.06</v>
      </c>
      <c r="J20" s="5618"/>
      <c r="K20" s="2307">
        <v>320951.94</v>
      </c>
      <c r="L20" s="2305"/>
      <c r="M20" s="2309">
        <v>10694.76</v>
      </c>
      <c r="N20" s="2309">
        <f>M20</f>
        <v>10694.76</v>
      </c>
      <c r="O20" s="2364">
        <f t="shared" si="0"/>
        <v>0</v>
      </c>
      <c r="P20" s="2305"/>
      <c r="Q20" s="2305"/>
      <c r="R20" s="2307">
        <v>427792</v>
      </c>
      <c r="S20" s="2307">
        <v>117534.82</v>
      </c>
      <c r="T20" s="2307">
        <v>310257.18</v>
      </c>
    </row>
    <row r="21" spans="1:20" ht="23.25" customHeight="1" outlineLevel="1" x14ac:dyDescent="0.2">
      <c r="A21" s="5617" t="s">
        <v>2227</v>
      </c>
      <c r="B21" s="5617"/>
      <c r="C21" s="2310">
        <v>1931</v>
      </c>
      <c r="D21" s="2304" t="s">
        <v>2225</v>
      </c>
      <c r="E21" s="2305" t="s">
        <v>2228</v>
      </c>
      <c r="F21" s="2306">
        <v>480</v>
      </c>
      <c r="G21" s="2306"/>
      <c r="H21" s="2307">
        <v>431090.01</v>
      </c>
      <c r="I21" s="5618">
        <v>107664.46</v>
      </c>
      <c r="J21" s="5618"/>
      <c r="K21" s="2307">
        <v>323425.55</v>
      </c>
      <c r="L21" s="2305"/>
      <c r="M21" s="2309">
        <v>10777.2</v>
      </c>
      <c r="N21" s="2309">
        <f>M21</f>
        <v>10777.2</v>
      </c>
      <c r="O21" s="2364">
        <f t="shared" si="0"/>
        <v>0</v>
      </c>
      <c r="P21" s="2305"/>
      <c r="Q21" s="2305"/>
      <c r="R21" s="2307">
        <v>431090.01</v>
      </c>
      <c r="S21" s="2307">
        <v>118441.66</v>
      </c>
      <c r="T21" s="2307">
        <v>312648.34999999998</v>
      </c>
    </row>
    <row r="22" spans="1:20" ht="23.25" customHeight="1" outlineLevel="1" x14ac:dyDescent="0.2">
      <c r="A22" s="5617" t="s">
        <v>2229</v>
      </c>
      <c r="B22" s="5617"/>
      <c r="C22" s="2303">
        <v>461</v>
      </c>
      <c r="D22" s="2304" t="s">
        <v>2230</v>
      </c>
      <c r="E22" s="2305" t="s">
        <v>2231</v>
      </c>
      <c r="F22" s="2306">
        <v>480</v>
      </c>
      <c r="G22" s="2306"/>
      <c r="H22" s="2307">
        <v>444175</v>
      </c>
      <c r="I22" s="5618">
        <v>363316.8</v>
      </c>
      <c r="J22" s="5618"/>
      <c r="K22" s="2307">
        <v>80858.2</v>
      </c>
      <c r="L22" s="2305"/>
      <c r="M22" s="2309">
        <v>11104.32</v>
      </c>
      <c r="N22" s="2309">
        <f>M22</f>
        <v>11104.32</v>
      </c>
      <c r="O22" s="2364">
        <f t="shared" si="0"/>
        <v>0</v>
      </c>
      <c r="P22" s="2305"/>
      <c r="Q22" s="2305"/>
      <c r="R22" s="2307">
        <v>444175</v>
      </c>
      <c r="S22" s="2307">
        <v>374421.12</v>
      </c>
      <c r="T22" s="2307">
        <v>69753.88</v>
      </c>
    </row>
    <row r="23" spans="1:20" ht="23.25" customHeight="1" outlineLevel="1" x14ac:dyDescent="0.2">
      <c r="A23" s="5617" t="s">
        <v>2232</v>
      </c>
      <c r="B23" s="5617"/>
      <c r="C23" s="2303">
        <v>464</v>
      </c>
      <c r="D23" s="2304" t="s">
        <v>2233</v>
      </c>
      <c r="E23" s="2305" t="s">
        <v>2234</v>
      </c>
      <c r="F23" s="2306">
        <v>480</v>
      </c>
      <c r="G23" s="2306"/>
      <c r="H23" s="2307">
        <v>63782</v>
      </c>
      <c r="I23" s="5618">
        <v>34288.400000000001</v>
      </c>
      <c r="J23" s="5618"/>
      <c r="K23" s="2307">
        <v>29493.599999999999</v>
      </c>
      <c r="L23" s="2305"/>
      <c r="M23" s="2309">
        <v>1594.56</v>
      </c>
      <c r="N23" s="2309">
        <f>M23</f>
        <v>1594.56</v>
      </c>
      <c r="O23" s="2364">
        <f t="shared" si="0"/>
        <v>0</v>
      </c>
      <c r="P23" s="2305"/>
      <c r="Q23" s="2305"/>
      <c r="R23" s="2307">
        <v>63782</v>
      </c>
      <c r="S23" s="2307">
        <v>35882.959999999999</v>
      </c>
      <c r="T23" s="2307">
        <v>27899.040000000001</v>
      </c>
    </row>
    <row r="24" spans="1:20" ht="23.25" customHeight="1" outlineLevel="1" x14ac:dyDescent="0.2">
      <c r="A24" s="5617" t="s">
        <v>2235</v>
      </c>
      <c r="B24" s="5617"/>
      <c r="C24" s="2303">
        <v>8</v>
      </c>
      <c r="D24" s="2304" t="s">
        <v>2217</v>
      </c>
      <c r="E24" s="2305" t="s">
        <v>2236</v>
      </c>
      <c r="F24" s="2306">
        <v>480</v>
      </c>
      <c r="G24" s="2306"/>
      <c r="H24" s="2307">
        <v>26365</v>
      </c>
      <c r="I24" s="5618">
        <v>24884.74</v>
      </c>
      <c r="J24" s="5618"/>
      <c r="K24" s="2307">
        <v>1480.26</v>
      </c>
      <c r="L24" s="2305"/>
      <c r="M24" s="2308"/>
      <c r="N24" s="2308"/>
      <c r="O24" s="2364">
        <f t="shared" si="0"/>
        <v>0</v>
      </c>
      <c r="P24" s="2305"/>
      <c r="Q24" s="2305"/>
      <c r="R24" s="2307">
        <v>26365</v>
      </c>
      <c r="S24" s="2307">
        <v>24884.74</v>
      </c>
      <c r="T24" s="2307">
        <v>1480.26</v>
      </c>
    </row>
    <row r="25" spans="1:20" ht="23.25" customHeight="1" outlineLevel="1" x14ac:dyDescent="0.2">
      <c r="A25" s="5617" t="s">
        <v>2237</v>
      </c>
      <c r="B25" s="5617"/>
      <c r="C25" s="2303">
        <v>288</v>
      </c>
      <c r="D25" s="2304" t="s">
        <v>2238</v>
      </c>
      <c r="E25" s="2305" t="s">
        <v>2239</v>
      </c>
      <c r="F25" s="2311">
        <v>1000</v>
      </c>
      <c r="G25" s="2311"/>
      <c r="H25" s="2307">
        <v>132892</v>
      </c>
      <c r="I25" s="5618">
        <v>47179.199999999997</v>
      </c>
      <c r="J25" s="5618"/>
      <c r="K25" s="2307">
        <v>85712.8</v>
      </c>
      <c r="L25" s="2305"/>
      <c r="M25" s="2309">
        <v>1594.68</v>
      </c>
      <c r="N25" s="2309">
        <f>M25</f>
        <v>1594.68</v>
      </c>
      <c r="O25" s="2364">
        <f t="shared" si="0"/>
        <v>0</v>
      </c>
      <c r="P25" s="2305"/>
      <c r="Q25" s="2305"/>
      <c r="R25" s="2307">
        <v>132892</v>
      </c>
      <c r="S25" s="2307">
        <v>48773.88</v>
      </c>
      <c r="T25" s="2307">
        <v>84118.12</v>
      </c>
    </row>
    <row r="26" spans="1:20" ht="34.5" customHeight="1" outlineLevel="1" x14ac:dyDescent="0.2">
      <c r="A26" s="5617" t="s">
        <v>2240</v>
      </c>
      <c r="B26" s="5617"/>
      <c r="C26" s="2303">
        <v>221</v>
      </c>
      <c r="D26" s="2304" t="s">
        <v>2212</v>
      </c>
      <c r="E26" s="2305" t="s">
        <v>2241</v>
      </c>
      <c r="F26" s="2306">
        <v>480</v>
      </c>
      <c r="G26" s="2306"/>
      <c r="H26" s="2307">
        <v>1005721</v>
      </c>
      <c r="I26" s="5618">
        <v>659687</v>
      </c>
      <c r="J26" s="5618"/>
      <c r="K26" s="2307">
        <v>346034</v>
      </c>
      <c r="L26" s="2305"/>
      <c r="M26" s="2308"/>
      <c r="N26" s="2308"/>
      <c r="O26" s="2364">
        <f t="shared" si="0"/>
        <v>0</v>
      </c>
      <c r="P26" s="2305"/>
      <c r="Q26" s="2305"/>
      <c r="R26" s="2307">
        <v>1005721</v>
      </c>
      <c r="S26" s="2307">
        <v>659687</v>
      </c>
      <c r="T26" s="2307">
        <v>346034</v>
      </c>
    </row>
    <row r="27" spans="1:20" ht="23.25" customHeight="1" outlineLevel="1" x14ac:dyDescent="0.2">
      <c r="A27" s="5617" t="s">
        <v>2242</v>
      </c>
      <c r="B27" s="5617"/>
      <c r="C27" s="2303">
        <v>10</v>
      </c>
      <c r="D27" s="2304" t="s">
        <v>2217</v>
      </c>
      <c r="E27" s="2305" t="s">
        <v>2243</v>
      </c>
      <c r="F27" s="2306">
        <v>480</v>
      </c>
      <c r="G27" s="2306"/>
      <c r="H27" s="2307">
        <v>187216</v>
      </c>
      <c r="I27" s="5618">
        <v>108730.54</v>
      </c>
      <c r="J27" s="5618"/>
      <c r="K27" s="2307">
        <v>78485.460000000006</v>
      </c>
      <c r="L27" s="2305"/>
      <c r="M27" s="2308"/>
      <c r="N27" s="2308"/>
      <c r="O27" s="2364">
        <f t="shared" si="0"/>
        <v>0</v>
      </c>
      <c r="P27" s="2305"/>
      <c r="Q27" s="2305"/>
      <c r="R27" s="2307">
        <v>187216</v>
      </c>
      <c r="S27" s="2307">
        <v>108730.54</v>
      </c>
      <c r="T27" s="2307">
        <v>78485.460000000006</v>
      </c>
    </row>
    <row r="28" spans="1:20" ht="34.5" customHeight="1" outlineLevel="1" x14ac:dyDescent="0.2">
      <c r="A28" s="5617" t="s">
        <v>2244</v>
      </c>
      <c r="B28" s="5617"/>
      <c r="C28" s="2310">
        <v>1932</v>
      </c>
      <c r="D28" s="2304" t="s">
        <v>2225</v>
      </c>
      <c r="E28" s="2305" t="s">
        <v>2245</v>
      </c>
      <c r="F28" s="2306">
        <v>480</v>
      </c>
      <c r="G28" s="2306"/>
      <c r="H28" s="2307">
        <v>4196115.13</v>
      </c>
      <c r="I28" s="5618">
        <v>1048124.74</v>
      </c>
      <c r="J28" s="5618"/>
      <c r="K28" s="2307">
        <v>3147990.39</v>
      </c>
      <c r="L28" s="2305"/>
      <c r="M28" s="2309">
        <v>104902.92</v>
      </c>
      <c r="N28" s="2309">
        <f>M28</f>
        <v>104902.92</v>
      </c>
      <c r="O28" s="2364">
        <f t="shared" si="0"/>
        <v>0</v>
      </c>
      <c r="P28" s="2305"/>
      <c r="Q28" s="2305"/>
      <c r="R28" s="2307">
        <v>4196115.13</v>
      </c>
      <c r="S28" s="2307">
        <v>1153027.6599999999</v>
      </c>
      <c r="T28" s="2307">
        <v>3043087.47</v>
      </c>
    </row>
    <row r="29" spans="1:20" ht="23.25" customHeight="1" outlineLevel="1" x14ac:dyDescent="0.2">
      <c r="A29" s="5617" t="s">
        <v>2246</v>
      </c>
      <c r="B29" s="5617"/>
      <c r="C29" s="2303">
        <v>703</v>
      </c>
      <c r="D29" s="2304" t="s">
        <v>2247</v>
      </c>
      <c r="E29" s="2305" t="s">
        <v>2248</v>
      </c>
      <c r="F29" s="2306">
        <v>24</v>
      </c>
      <c r="G29" s="2306"/>
      <c r="H29" s="2307">
        <v>9431.3799999999992</v>
      </c>
      <c r="I29" s="5618">
        <v>9431.3799999999992</v>
      </c>
      <c r="J29" s="5618"/>
      <c r="K29" s="2305"/>
      <c r="L29" s="2305"/>
      <c r="M29" s="2308"/>
      <c r="N29" s="2308"/>
      <c r="O29" s="2364">
        <f t="shared" si="0"/>
        <v>0</v>
      </c>
      <c r="P29" s="2305"/>
      <c r="Q29" s="2305"/>
      <c r="R29" s="2307">
        <v>9431.3799999999992</v>
      </c>
      <c r="S29" s="2307">
        <v>9431.3799999999992</v>
      </c>
      <c r="T29" s="2305"/>
    </row>
    <row r="30" spans="1:20" ht="23.25" customHeight="1" outlineLevel="1" x14ac:dyDescent="0.2">
      <c r="A30" s="5617" t="s">
        <v>2249</v>
      </c>
      <c r="B30" s="5617"/>
      <c r="C30" s="2303">
        <v>425</v>
      </c>
      <c r="D30" s="2304" t="s">
        <v>2250</v>
      </c>
      <c r="E30" s="2305" t="s">
        <v>2251</v>
      </c>
      <c r="F30" s="2306">
        <v>706</v>
      </c>
      <c r="G30" s="2306"/>
      <c r="H30" s="2307">
        <v>1005097.95</v>
      </c>
      <c r="I30" s="5618">
        <v>230912.32</v>
      </c>
      <c r="J30" s="5618"/>
      <c r="K30" s="2307">
        <v>774185.63</v>
      </c>
      <c r="L30" s="2305"/>
      <c r="M30" s="2309">
        <v>25041</v>
      </c>
      <c r="N30" s="2365">
        <f>H30/F30*12</f>
        <v>17083.817847025493</v>
      </c>
      <c r="O30" s="2364">
        <f t="shared" si="0"/>
        <v>7957.1821529745066</v>
      </c>
      <c r="P30" s="2305"/>
      <c r="Q30" s="2305"/>
      <c r="R30" s="2307">
        <v>1005097.95</v>
      </c>
      <c r="S30" s="2307">
        <v>255953.32</v>
      </c>
      <c r="T30" s="2307">
        <v>749144.63</v>
      </c>
    </row>
    <row r="31" spans="1:20" ht="23.25" customHeight="1" outlineLevel="1" x14ac:dyDescent="0.2">
      <c r="A31" s="5617" t="s">
        <v>2252</v>
      </c>
      <c r="B31" s="5617"/>
      <c r="C31" s="2310">
        <v>2421</v>
      </c>
      <c r="D31" s="2304" t="s">
        <v>2253</v>
      </c>
      <c r="E31" s="2305" t="s">
        <v>2254</v>
      </c>
      <c r="F31" s="2306">
        <v>240</v>
      </c>
      <c r="G31" s="2306"/>
      <c r="H31" s="2307">
        <v>13284386.51</v>
      </c>
      <c r="I31" s="5618">
        <v>3653206.26</v>
      </c>
      <c r="J31" s="5618"/>
      <c r="K31" s="2307">
        <v>9631180.25</v>
      </c>
      <c r="L31" s="2305"/>
      <c r="M31" s="2309">
        <v>664219.31999999995</v>
      </c>
      <c r="N31" s="2309">
        <f>M31</f>
        <v>664219.31999999995</v>
      </c>
      <c r="O31" s="2364">
        <f t="shared" si="0"/>
        <v>0</v>
      </c>
      <c r="P31" s="2305"/>
      <c r="Q31" s="2305"/>
      <c r="R31" s="2307">
        <v>13284386.51</v>
      </c>
      <c r="S31" s="2307">
        <v>4317425.58</v>
      </c>
      <c r="T31" s="2307">
        <v>8966960.9299999997</v>
      </c>
    </row>
    <row r="32" spans="1:20" ht="34.5" customHeight="1" outlineLevel="1" x14ac:dyDescent="0.2">
      <c r="A32" s="5617" t="s">
        <v>2255</v>
      </c>
      <c r="B32" s="5617"/>
      <c r="C32" s="2303">
        <v>408</v>
      </c>
      <c r="D32" s="2304" t="s">
        <v>2256</v>
      </c>
      <c r="E32" s="2305" t="s">
        <v>2257</v>
      </c>
      <c r="F32" s="2306">
        <v>600</v>
      </c>
      <c r="G32" s="2306"/>
      <c r="H32" s="2307">
        <v>546725.80000000005</v>
      </c>
      <c r="I32" s="5618">
        <v>185401.86</v>
      </c>
      <c r="J32" s="5618"/>
      <c r="K32" s="2307">
        <v>361323.94</v>
      </c>
      <c r="L32" s="2305"/>
      <c r="M32" s="2309">
        <v>56310.239999999998</v>
      </c>
      <c r="N32" s="2365">
        <f>H32/F32*12</f>
        <v>10934.516000000001</v>
      </c>
      <c r="O32" s="2364">
        <f t="shared" si="0"/>
        <v>45375.723999999995</v>
      </c>
      <c r="P32" s="2305"/>
      <c r="Q32" s="2305"/>
      <c r="R32" s="2307">
        <v>546725.80000000005</v>
      </c>
      <c r="S32" s="2307">
        <v>241712.1</v>
      </c>
      <c r="T32" s="2307">
        <v>305013.7</v>
      </c>
    </row>
    <row r="33" spans="1:20" ht="34.5" customHeight="1" outlineLevel="1" x14ac:dyDescent="0.2">
      <c r="A33" s="5617" t="s">
        <v>2258</v>
      </c>
      <c r="B33" s="5617"/>
      <c r="C33" s="2303">
        <v>409</v>
      </c>
      <c r="D33" s="2304" t="s">
        <v>2222</v>
      </c>
      <c r="E33" s="2305" t="s">
        <v>2259</v>
      </c>
      <c r="F33" s="2306">
        <v>600</v>
      </c>
      <c r="G33" s="2306"/>
      <c r="H33" s="2307">
        <v>518501</v>
      </c>
      <c r="I33" s="5618">
        <v>330277.59999999998</v>
      </c>
      <c r="J33" s="5618"/>
      <c r="K33" s="2307">
        <v>188223.4</v>
      </c>
      <c r="L33" s="2305"/>
      <c r="M33" s="2309">
        <v>10370.040000000001</v>
      </c>
      <c r="N33" s="2309">
        <f>M33</f>
        <v>10370.040000000001</v>
      </c>
      <c r="O33" s="2364">
        <f t="shared" si="0"/>
        <v>0</v>
      </c>
      <c r="P33" s="2305"/>
      <c r="Q33" s="2305"/>
      <c r="R33" s="2307">
        <v>518501</v>
      </c>
      <c r="S33" s="2307">
        <v>340647.64</v>
      </c>
      <c r="T33" s="2307">
        <v>177853.36</v>
      </c>
    </row>
    <row r="34" spans="1:20" ht="23.25" customHeight="1" outlineLevel="1" x14ac:dyDescent="0.2">
      <c r="A34" s="5617" t="s">
        <v>2260</v>
      </c>
      <c r="B34" s="5617"/>
      <c r="C34" s="2303">
        <v>218</v>
      </c>
      <c r="D34" s="2304" t="s">
        <v>2261</v>
      </c>
      <c r="E34" s="2305" t="s">
        <v>2262</v>
      </c>
      <c r="F34" s="2306">
        <v>600</v>
      </c>
      <c r="G34" s="2306"/>
      <c r="H34" s="2307">
        <v>174216</v>
      </c>
      <c r="I34" s="5618">
        <v>162148.88</v>
      </c>
      <c r="J34" s="5618"/>
      <c r="K34" s="2307">
        <v>12067.12</v>
      </c>
      <c r="L34" s="2305"/>
      <c r="M34" s="2309">
        <v>3484.32</v>
      </c>
      <c r="N34" s="2309">
        <f>M34</f>
        <v>3484.32</v>
      </c>
      <c r="O34" s="2364">
        <f t="shared" si="0"/>
        <v>0</v>
      </c>
      <c r="P34" s="2305"/>
      <c r="Q34" s="2305"/>
      <c r="R34" s="2307">
        <v>174216</v>
      </c>
      <c r="S34" s="2307">
        <v>165633.20000000001</v>
      </c>
      <c r="T34" s="2307">
        <v>8582.7999999999993</v>
      </c>
    </row>
    <row r="35" spans="1:20" ht="23.25" customHeight="1" outlineLevel="1" x14ac:dyDescent="0.2">
      <c r="A35" s="5617" t="s">
        <v>2263</v>
      </c>
      <c r="B35" s="5617"/>
      <c r="C35" s="2303">
        <v>553</v>
      </c>
      <c r="D35" s="2304" t="s">
        <v>2264</v>
      </c>
      <c r="E35" s="2305" t="s">
        <v>2265</v>
      </c>
      <c r="F35" s="2306">
        <v>480</v>
      </c>
      <c r="G35" s="2306"/>
      <c r="H35" s="2307">
        <v>28507</v>
      </c>
      <c r="I35" s="5618">
        <v>28507</v>
      </c>
      <c r="J35" s="5618"/>
      <c r="K35" s="2305"/>
      <c r="L35" s="2305"/>
      <c r="M35" s="2308"/>
      <c r="N35" s="2308"/>
      <c r="O35" s="2364">
        <f t="shared" si="0"/>
        <v>0</v>
      </c>
      <c r="P35" s="2305"/>
      <c r="Q35" s="2305"/>
      <c r="R35" s="2307">
        <v>28507</v>
      </c>
      <c r="S35" s="2307">
        <v>28507</v>
      </c>
      <c r="T35" s="2305"/>
    </row>
    <row r="36" spans="1:20" ht="23.25" customHeight="1" outlineLevel="1" x14ac:dyDescent="0.2">
      <c r="A36" s="5617" t="s">
        <v>2266</v>
      </c>
      <c r="B36" s="5617"/>
      <c r="C36" s="2303">
        <v>426</v>
      </c>
      <c r="D36" s="2304" t="s">
        <v>2250</v>
      </c>
      <c r="E36" s="2305" t="s">
        <v>2267</v>
      </c>
      <c r="F36" s="2306">
        <v>706</v>
      </c>
      <c r="G36" s="2306"/>
      <c r="H36" s="2307">
        <v>224016</v>
      </c>
      <c r="I36" s="5618">
        <v>86918.399999999994</v>
      </c>
      <c r="J36" s="5618"/>
      <c r="K36" s="2307">
        <v>137097.60000000001</v>
      </c>
      <c r="L36" s="2305"/>
      <c r="M36" s="2308"/>
      <c r="N36" s="2308"/>
      <c r="O36" s="2364">
        <f t="shared" si="0"/>
        <v>0</v>
      </c>
      <c r="P36" s="2305"/>
      <c r="Q36" s="2305"/>
      <c r="R36" s="2307">
        <v>224016</v>
      </c>
      <c r="S36" s="2307">
        <v>86918.399999999994</v>
      </c>
      <c r="T36" s="2307">
        <v>137097.60000000001</v>
      </c>
    </row>
    <row r="37" spans="1:20" ht="45.75" customHeight="1" outlineLevel="1" x14ac:dyDescent="0.2">
      <c r="A37" s="5617" t="s">
        <v>2268</v>
      </c>
      <c r="B37" s="5617"/>
      <c r="C37" s="2303">
        <v>289</v>
      </c>
      <c r="D37" s="2304" t="s">
        <v>2222</v>
      </c>
      <c r="E37" s="2305" t="s">
        <v>2269</v>
      </c>
      <c r="F37" s="2311">
        <v>1000</v>
      </c>
      <c r="G37" s="2311"/>
      <c r="H37" s="2307">
        <v>421403</v>
      </c>
      <c r="I37" s="5618">
        <v>181605</v>
      </c>
      <c r="J37" s="5618"/>
      <c r="K37" s="2307">
        <v>239798</v>
      </c>
      <c r="L37" s="2305"/>
      <c r="M37" s="2309">
        <v>5056.8</v>
      </c>
      <c r="N37" s="2309">
        <f>M37</f>
        <v>5056.8</v>
      </c>
      <c r="O37" s="2364">
        <f t="shared" si="0"/>
        <v>0</v>
      </c>
      <c r="P37" s="2305"/>
      <c r="Q37" s="2305"/>
      <c r="R37" s="2307">
        <v>421403</v>
      </c>
      <c r="S37" s="2307">
        <v>186661.8</v>
      </c>
      <c r="T37" s="2307">
        <v>234741.2</v>
      </c>
    </row>
    <row r="38" spans="1:20" ht="23.25" customHeight="1" outlineLevel="1" x14ac:dyDescent="0.2">
      <c r="A38" s="5617" t="s">
        <v>2270</v>
      </c>
      <c r="B38" s="5617"/>
      <c r="C38" s="2303">
        <v>11</v>
      </c>
      <c r="D38" s="2304" t="s">
        <v>2217</v>
      </c>
      <c r="E38" s="2305" t="s">
        <v>2271</v>
      </c>
      <c r="F38" s="2306">
        <v>480</v>
      </c>
      <c r="G38" s="2306"/>
      <c r="H38" s="2307">
        <v>20337</v>
      </c>
      <c r="I38" s="5618">
        <v>19175.66</v>
      </c>
      <c r="J38" s="5618"/>
      <c r="K38" s="2307">
        <v>1161.3399999999999</v>
      </c>
      <c r="L38" s="2305"/>
      <c r="M38" s="2308"/>
      <c r="N38" s="2308"/>
      <c r="O38" s="2364">
        <f t="shared" si="0"/>
        <v>0</v>
      </c>
      <c r="P38" s="2305"/>
      <c r="Q38" s="2305"/>
      <c r="R38" s="2307">
        <v>20337</v>
      </c>
      <c r="S38" s="2307">
        <v>19175.66</v>
      </c>
      <c r="T38" s="2307">
        <v>1161.3399999999999</v>
      </c>
    </row>
    <row r="39" spans="1:20" ht="34.5" customHeight="1" outlineLevel="1" x14ac:dyDescent="0.2">
      <c r="A39" s="5617" t="s">
        <v>2272</v>
      </c>
      <c r="B39" s="5617"/>
      <c r="C39" s="2303">
        <v>427</v>
      </c>
      <c r="D39" s="2304" t="s">
        <v>2250</v>
      </c>
      <c r="E39" s="2305" t="s">
        <v>2273</v>
      </c>
      <c r="F39" s="2306">
        <v>706</v>
      </c>
      <c r="G39" s="2306"/>
      <c r="H39" s="2307">
        <v>243560</v>
      </c>
      <c r="I39" s="5618">
        <v>115922.2</v>
      </c>
      <c r="J39" s="5618"/>
      <c r="K39" s="2307">
        <v>127637.8</v>
      </c>
      <c r="L39" s="2305"/>
      <c r="M39" s="2309">
        <v>4139.88</v>
      </c>
      <c r="N39" s="2309">
        <f>M39</f>
        <v>4139.88</v>
      </c>
      <c r="O39" s="2364">
        <f t="shared" si="0"/>
        <v>0</v>
      </c>
      <c r="P39" s="2305"/>
      <c r="Q39" s="2305"/>
      <c r="R39" s="2307">
        <v>243560</v>
      </c>
      <c r="S39" s="2307">
        <v>120062.08</v>
      </c>
      <c r="T39" s="2307">
        <v>123497.92</v>
      </c>
    </row>
    <row r="40" spans="1:20" ht="34.5" customHeight="1" outlineLevel="1" x14ac:dyDescent="0.2">
      <c r="A40" s="5617" t="s">
        <v>2274</v>
      </c>
      <c r="B40" s="5617"/>
      <c r="C40" s="2303">
        <v>188</v>
      </c>
      <c r="D40" s="2304" t="s">
        <v>2275</v>
      </c>
      <c r="E40" s="2305" t="s">
        <v>2276</v>
      </c>
      <c r="F40" s="2306">
        <v>480</v>
      </c>
      <c r="G40" s="2306"/>
      <c r="H40" s="2307">
        <v>408130</v>
      </c>
      <c r="I40" s="5618">
        <v>408130</v>
      </c>
      <c r="J40" s="5618"/>
      <c r="K40" s="2305"/>
      <c r="L40" s="2305"/>
      <c r="M40" s="2308"/>
      <c r="N40" s="2309"/>
      <c r="O40" s="2364">
        <f t="shared" si="0"/>
        <v>0</v>
      </c>
      <c r="P40" s="2305"/>
      <c r="Q40" s="2305"/>
      <c r="R40" s="2307">
        <v>408130</v>
      </c>
      <c r="S40" s="2307">
        <v>408130</v>
      </c>
      <c r="T40" s="2305"/>
    </row>
    <row r="41" spans="1:20" ht="23.25" customHeight="1" outlineLevel="1" x14ac:dyDescent="0.2">
      <c r="A41" s="5617" t="s">
        <v>2277</v>
      </c>
      <c r="B41" s="5617"/>
      <c r="C41" s="2303">
        <v>28</v>
      </c>
      <c r="D41" s="2304" t="s">
        <v>2217</v>
      </c>
      <c r="E41" s="2305" t="s">
        <v>2278</v>
      </c>
      <c r="F41" s="2306">
        <v>480</v>
      </c>
      <c r="G41" s="2306"/>
      <c r="H41" s="2307">
        <v>46894</v>
      </c>
      <c r="I41" s="5618">
        <v>44271.6</v>
      </c>
      <c r="J41" s="5618"/>
      <c r="K41" s="2307">
        <v>2622.4</v>
      </c>
      <c r="L41" s="2305"/>
      <c r="M41" s="2308"/>
      <c r="N41" s="2309"/>
      <c r="O41" s="2364">
        <f t="shared" si="0"/>
        <v>0</v>
      </c>
      <c r="P41" s="2305"/>
      <c r="Q41" s="2305"/>
      <c r="R41" s="2307">
        <v>46894</v>
      </c>
      <c r="S41" s="2307">
        <v>44271.6</v>
      </c>
      <c r="T41" s="2307">
        <v>2622.4</v>
      </c>
    </row>
    <row r="42" spans="1:20" ht="34.5" customHeight="1" outlineLevel="1" x14ac:dyDescent="0.2">
      <c r="A42" s="5617" t="s">
        <v>2279</v>
      </c>
      <c r="B42" s="5617"/>
      <c r="C42" s="2303">
        <v>30</v>
      </c>
      <c r="D42" s="2304" t="s">
        <v>2196</v>
      </c>
      <c r="E42" s="2305" t="s">
        <v>2280</v>
      </c>
      <c r="F42" s="2306">
        <v>996</v>
      </c>
      <c r="G42" s="2306"/>
      <c r="H42" s="2307">
        <v>208968</v>
      </c>
      <c r="I42" s="5618">
        <v>66333.240000000005</v>
      </c>
      <c r="J42" s="5618"/>
      <c r="K42" s="2307">
        <v>142634.76</v>
      </c>
      <c r="L42" s="2305"/>
      <c r="M42" s="2309">
        <v>2517.7199999999998</v>
      </c>
      <c r="N42" s="2309">
        <f>M42</f>
        <v>2517.7199999999998</v>
      </c>
      <c r="O42" s="2364">
        <f t="shared" si="0"/>
        <v>0</v>
      </c>
      <c r="P42" s="2305"/>
      <c r="Q42" s="2305"/>
      <c r="R42" s="2307">
        <v>208968</v>
      </c>
      <c r="S42" s="2307">
        <v>68850.960000000006</v>
      </c>
      <c r="T42" s="2307">
        <v>140117.04</v>
      </c>
    </row>
    <row r="43" spans="1:20" ht="34.5" customHeight="1" outlineLevel="1" x14ac:dyDescent="0.2">
      <c r="A43" s="5617" t="s">
        <v>2281</v>
      </c>
      <c r="B43" s="5617"/>
      <c r="C43" s="2303">
        <v>290</v>
      </c>
      <c r="D43" s="2304" t="s">
        <v>2222</v>
      </c>
      <c r="E43" s="2305" t="s">
        <v>2282</v>
      </c>
      <c r="F43" s="2311">
        <v>1000</v>
      </c>
      <c r="G43" s="2311"/>
      <c r="H43" s="2307">
        <v>270551</v>
      </c>
      <c r="I43" s="5618">
        <v>97073</v>
      </c>
      <c r="J43" s="5618"/>
      <c r="K43" s="2307">
        <v>173478</v>
      </c>
      <c r="L43" s="2305"/>
      <c r="M43" s="2309">
        <v>3246.6</v>
      </c>
      <c r="N43" s="2309">
        <f>M43</f>
        <v>3246.6</v>
      </c>
      <c r="O43" s="2364">
        <f t="shared" si="0"/>
        <v>0</v>
      </c>
      <c r="P43" s="2305"/>
      <c r="Q43" s="2305"/>
      <c r="R43" s="2307">
        <v>270551</v>
      </c>
      <c r="S43" s="2307">
        <v>100319.6</v>
      </c>
      <c r="T43" s="2307">
        <v>170231.4</v>
      </c>
    </row>
    <row r="44" spans="1:20" ht="45.75" customHeight="1" outlineLevel="1" x14ac:dyDescent="0.2">
      <c r="A44" s="5617" t="s">
        <v>2283</v>
      </c>
      <c r="B44" s="5617"/>
      <c r="C44" s="2303">
        <v>31</v>
      </c>
      <c r="D44" s="2304" t="s">
        <v>2196</v>
      </c>
      <c r="E44" s="2305" t="s">
        <v>2284</v>
      </c>
      <c r="F44" s="2306">
        <v>996</v>
      </c>
      <c r="G44" s="2306"/>
      <c r="H44" s="2307">
        <v>1018065</v>
      </c>
      <c r="I44" s="5618">
        <v>201745.3</v>
      </c>
      <c r="J44" s="5618"/>
      <c r="K44" s="2307">
        <v>816319.7</v>
      </c>
      <c r="L44" s="2305"/>
      <c r="M44" s="2308"/>
      <c r="N44" s="2308"/>
      <c r="O44" s="2364">
        <f t="shared" si="0"/>
        <v>0</v>
      </c>
      <c r="P44" s="2305"/>
      <c r="Q44" s="2305"/>
      <c r="R44" s="2307">
        <v>1018065</v>
      </c>
      <c r="S44" s="2307">
        <v>201745.3</v>
      </c>
      <c r="T44" s="2307">
        <v>816319.7</v>
      </c>
    </row>
    <row r="45" spans="1:20" s="2319" customFormat="1" ht="32.25" customHeight="1" outlineLevel="1" x14ac:dyDescent="0.2">
      <c r="A45" s="5628" t="s">
        <v>2285</v>
      </c>
      <c r="B45" s="5628"/>
      <c r="C45" s="2312">
        <v>524</v>
      </c>
      <c r="D45" s="2313" t="s">
        <v>2286</v>
      </c>
      <c r="E45" s="2314" t="s">
        <v>2287</v>
      </c>
      <c r="F45" s="2315">
        <v>652</v>
      </c>
      <c r="G45" s="2315"/>
      <c r="H45" s="2314"/>
      <c r="I45" s="2316"/>
      <c r="J45" s="2317"/>
      <c r="K45" s="2314"/>
      <c r="L45" s="2318">
        <v>295038.57</v>
      </c>
      <c r="M45" s="2318">
        <v>1273496.22</v>
      </c>
      <c r="N45" s="2365">
        <v>0</v>
      </c>
      <c r="O45" s="2364">
        <f t="shared" si="0"/>
        <v>1273496.22</v>
      </c>
      <c r="P45" s="2314"/>
      <c r="Q45" s="2314"/>
      <c r="R45" s="2314"/>
      <c r="S45" s="2314"/>
      <c r="T45" s="2314"/>
    </row>
    <row r="46" spans="1:20" ht="23.25" customHeight="1" outlineLevel="1" x14ac:dyDescent="0.2">
      <c r="A46" s="5617" t="s">
        <v>2288</v>
      </c>
      <c r="B46" s="5617"/>
      <c r="C46" s="2303">
        <v>525</v>
      </c>
      <c r="D46" s="2304" t="s">
        <v>2289</v>
      </c>
      <c r="E46" s="2305" t="s">
        <v>2290</v>
      </c>
      <c r="F46" s="2306">
        <v>615</v>
      </c>
      <c r="G46" s="2306"/>
      <c r="H46" s="2307">
        <v>1205519.82</v>
      </c>
      <c r="I46" s="5618">
        <v>1205519.82</v>
      </c>
      <c r="J46" s="5618"/>
      <c r="K46" s="2305"/>
      <c r="L46" s="2305"/>
      <c r="M46" s="2308"/>
      <c r="N46" s="2308"/>
      <c r="O46" s="2364">
        <f t="shared" si="0"/>
        <v>0</v>
      </c>
      <c r="P46" s="2305"/>
      <c r="Q46" s="2305"/>
      <c r="R46" s="2307">
        <v>1205519.82</v>
      </c>
      <c r="S46" s="2307">
        <v>1205519.82</v>
      </c>
      <c r="T46" s="2305"/>
    </row>
    <row r="47" spans="1:20" ht="34.5" customHeight="1" outlineLevel="1" x14ac:dyDescent="0.2">
      <c r="A47" s="5617" t="s">
        <v>2291</v>
      </c>
      <c r="B47" s="5617"/>
      <c r="C47" s="2303">
        <v>191</v>
      </c>
      <c r="D47" s="2304" t="s">
        <v>2292</v>
      </c>
      <c r="E47" s="2305" t="s">
        <v>2293</v>
      </c>
      <c r="F47" s="2306">
        <v>600</v>
      </c>
      <c r="G47" s="2306"/>
      <c r="H47" s="2307">
        <v>109000</v>
      </c>
      <c r="I47" s="5618">
        <v>66103.600000000006</v>
      </c>
      <c r="J47" s="5618"/>
      <c r="K47" s="2307">
        <v>42896.4</v>
      </c>
      <c r="L47" s="2305"/>
      <c r="M47" s="2309">
        <v>2180.04</v>
      </c>
      <c r="N47" s="2309">
        <f>M47</f>
        <v>2180.04</v>
      </c>
      <c r="O47" s="2364">
        <f t="shared" si="0"/>
        <v>0</v>
      </c>
      <c r="P47" s="2305"/>
      <c r="Q47" s="2305"/>
      <c r="R47" s="2307">
        <v>109000</v>
      </c>
      <c r="S47" s="2307">
        <v>68283.64</v>
      </c>
      <c r="T47" s="2307">
        <v>40716.36</v>
      </c>
    </row>
    <row r="48" spans="1:20" ht="34.5" customHeight="1" outlineLevel="1" x14ac:dyDescent="0.2">
      <c r="A48" s="5617" t="s">
        <v>2294</v>
      </c>
      <c r="B48" s="5617"/>
      <c r="C48" s="2303">
        <v>222</v>
      </c>
      <c r="D48" s="2304" t="s">
        <v>2295</v>
      </c>
      <c r="E48" s="2305" t="s">
        <v>2296</v>
      </c>
      <c r="F48" s="2306">
        <v>600</v>
      </c>
      <c r="G48" s="2306"/>
      <c r="H48" s="2307">
        <v>108770</v>
      </c>
      <c r="I48" s="5618">
        <v>101775.16</v>
      </c>
      <c r="J48" s="5618"/>
      <c r="K48" s="2307">
        <v>6994.84</v>
      </c>
      <c r="L48" s="2305"/>
      <c r="M48" s="2309">
        <v>2175.36</v>
      </c>
      <c r="N48" s="2309">
        <f>M48</f>
        <v>2175.36</v>
      </c>
      <c r="O48" s="2364">
        <f t="shared" si="0"/>
        <v>0</v>
      </c>
      <c r="P48" s="2305"/>
      <c r="Q48" s="2305"/>
      <c r="R48" s="2307">
        <v>108770</v>
      </c>
      <c r="S48" s="2307">
        <v>103950.52</v>
      </c>
      <c r="T48" s="2307">
        <v>4819.4799999999996</v>
      </c>
    </row>
    <row r="49" spans="1:20" ht="23.25" customHeight="1" outlineLevel="1" x14ac:dyDescent="0.2">
      <c r="A49" s="5617" t="s">
        <v>2297</v>
      </c>
      <c r="B49" s="5617"/>
      <c r="C49" s="2303">
        <v>192</v>
      </c>
      <c r="D49" s="2304" t="s">
        <v>2298</v>
      </c>
      <c r="E49" s="2305" t="s">
        <v>2299</v>
      </c>
      <c r="F49" s="2306">
        <v>600</v>
      </c>
      <c r="G49" s="2306"/>
      <c r="H49" s="2307">
        <v>1332561</v>
      </c>
      <c r="I49" s="5618">
        <v>733323.82</v>
      </c>
      <c r="J49" s="5618"/>
      <c r="K49" s="2307">
        <v>599237.18000000005</v>
      </c>
      <c r="L49" s="2305"/>
      <c r="M49" s="2309">
        <v>30036.720000000001</v>
      </c>
      <c r="N49" s="2365">
        <f>H49/F49*12</f>
        <v>26651.22</v>
      </c>
      <c r="O49" s="2364">
        <f t="shared" si="0"/>
        <v>3385.5</v>
      </c>
      <c r="P49" s="2305"/>
      <c r="Q49" s="2305"/>
      <c r="R49" s="2307">
        <v>1332561</v>
      </c>
      <c r="S49" s="2307">
        <v>763360.54</v>
      </c>
      <c r="T49" s="2307">
        <v>569200.46</v>
      </c>
    </row>
    <row r="50" spans="1:20" s="2326" customFormat="1" ht="23.25" customHeight="1" outlineLevel="1" x14ac:dyDescent="0.2">
      <c r="A50" s="5626" t="s">
        <v>2300</v>
      </c>
      <c r="B50" s="5626"/>
      <c r="C50" s="2320">
        <v>552</v>
      </c>
      <c r="D50" s="2321" t="s">
        <v>2301</v>
      </c>
      <c r="E50" s="2322" t="s">
        <v>2302</v>
      </c>
      <c r="F50" s="2323">
        <v>480</v>
      </c>
      <c r="G50" s="2323"/>
      <c r="H50" s="2324">
        <v>80512</v>
      </c>
      <c r="I50" s="5627">
        <v>72472.399999999994</v>
      </c>
      <c r="J50" s="5627"/>
      <c r="K50" s="2324">
        <v>8039.6</v>
      </c>
      <c r="L50" s="2322"/>
      <c r="M50" s="2325">
        <v>335.46</v>
      </c>
      <c r="N50" s="2325">
        <f>M50</f>
        <v>335.46</v>
      </c>
      <c r="O50" s="2364">
        <f t="shared" si="0"/>
        <v>0</v>
      </c>
      <c r="P50" s="2324">
        <v>80512</v>
      </c>
      <c r="Q50" s="2324">
        <v>72807.86</v>
      </c>
      <c r="R50" s="2322"/>
      <c r="S50" s="2322"/>
      <c r="T50" s="2322"/>
    </row>
    <row r="51" spans="1:20" ht="23.25" customHeight="1" outlineLevel="1" x14ac:dyDescent="0.2">
      <c r="A51" s="5617" t="s">
        <v>2303</v>
      </c>
      <c r="B51" s="5617"/>
      <c r="C51" s="2303">
        <v>407</v>
      </c>
      <c r="D51" s="2304" t="s">
        <v>2261</v>
      </c>
      <c r="E51" s="2305" t="s">
        <v>2304</v>
      </c>
      <c r="F51" s="2306">
        <v>600</v>
      </c>
      <c r="G51" s="2306"/>
      <c r="H51" s="2307">
        <v>85604</v>
      </c>
      <c r="I51" s="5618">
        <v>80757.600000000006</v>
      </c>
      <c r="J51" s="5618"/>
      <c r="K51" s="2307">
        <v>4846.3999999999996</v>
      </c>
      <c r="L51" s="2305"/>
      <c r="M51" s="2309">
        <v>1712.04</v>
      </c>
      <c r="N51" s="2309">
        <f>M51</f>
        <v>1712.04</v>
      </c>
      <c r="O51" s="2364">
        <f t="shared" si="0"/>
        <v>0</v>
      </c>
      <c r="P51" s="2305"/>
      <c r="Q51" s="2305"/>
      <c r="R51" s="2307">
        <v>85604</v>
      </c>
      <c r="S51" s="2307">
        <v>82469.64</v>
      </c>
      <c r="T51" s="2307">
        <v>3134.36</v>
      </c>
    </row>
    <row r="52" spans="1:20" s="2319" customFormat="1" ht="23.25" customHeight="1" outlineLevel="1" x14ac:dyDescent="0.2">
      <c r="A52" s="5628" t="s">
        <v>2285</v>
      </c>
      <c r="B52" s="5628"/>
      <c r="C52" s="2312">
        <v>524</v>
      </c>
      <c r="D52" s="2313" t="s">
        <v>2286</v>
      </c>
      <c r="E52" s="2314" t="s">
        <v>2287</v>
      </c>
      <c r="F52" s="2315">
        <v>13</v>
      </c>
      <c r="G52" s="2315"/>
      <c r="H52" s="2318">
        <v>2232958.2799999998</v>
      </c>
      <c r="I52" s="5631">
        <v>848678.81</v>
      </c>
      <c r="J52" s="5631"/>
      <c r="K52" s="2318">
        <v>1384279.47</v>
      </c>
      <c r="L52" s="2314"/>
      <c r="M52" s="2318">
        <v>64074.85</v>
      </c>
      <c r="N52" s="2365"/>
      <c r="O52" s="2364">
        <f t="shared" si="0"/>
        <v>64074.85</v>
      </c>
      <c r="P52" s="2314"/>
      <c r="Q52" s="2314"/>
      <c r="R52" s="2318">
        <v>3301777.92</v>
      </c>
      <c r="S52" s="2318">
        <v>2532879.6800000002</v>
      </c>
      <c r="T52" s="2318">
        <v>768898.24</v>
      </c>
    </row>
    <row r="53" spans="1:20" ht="23.25" customHeight="1" outlineLevel="1" x14ac:dyDescent="0.2">
      <c r="A53" s="5617" t="s">
        <v>2305</v>
      </c>
      <c r="B53" s="5617"/>
      <c r="C53" s="2303">
        <v>219</v>
      </c>
      <c r="D53" s="2304" t="s">
        <v>2306</v>
      </c>
      <c r="E53" s="2305" t="s">
        <v>2307</v>
      </c>
      <c r="F53" s="2306">
        <v>600</v>
      </c>
      <c r="G53" s="2306"/>
      <c r="H53" s="2307">
        <v>581764.47</v>
      </c>
      <c r="I53" s="5618">
        <v>184393.79</v>
      </c>
      <c r="J53" s="5618"/>
      <c r="K53" s="2307">
        <v>397370.68</v>
      </c>
      <c r="L53" s="2305"/>
      <c r="M53" s="2309">
        <v>35062.080000000002</v>
      </c>
      <c r="N53" s="2365">
        <f t="shared" ref="N53:N60" si="1">H53/F53*12</f>
        <v>11635.2894</v>
      </c>
      <c r="O53" s="2364">
        <f t="shared" si="0"/>
        <v>23426.7906</v>
      </c>
      <c r="P53" s="2305"/>
      <c r="Q53" s="2305"/>
      <c r="R53" s="2307">
        <v>581764.47</v>
      </c>
      <c r="S53" s="2307">
        <v>219455.87</v>
      </c>
      <c r="T53" s="2307">
        <v>362308.6</v>
      </c>
    </row>
    <row r="54" spans="1:20" ht="23.25" customHeight="1" outlineLevel="1" x14ac:dyDescent="0.2">
      <c r="A54" s="5617" t="s">
        <v>2308</v>
      </c>
      <c r="B54" s="5617"/>
      <c r="C54" s="2303">
        <v>220</v>
      </c>
      <c r="D54" s="2304" t="s">
        <v>2309</v>
      </c>
      <c r="E54" s="2305" t="s">
        <v>2310</v>
      </c>
      <c r="F54" s="2306">
        <v>600</v>
      </c>
      <c r="G54" s="2306"/>
      <c r="H54" s="2307">
        <v>1005813.4</v>
      </c>
      <c r="I54" s="5618">
        <v>494016.57</v>
      </c>
      <c r="J54" s="5618"/>
      <c r="K54" s="2307">
        <v>511796.83</v>
      </c>
      <c r="L54" s="2305"/>
      <c r="M54" s="2309">
        <v>46177.2</v>
      </c>
      <c r="N54" s="2365">
        <f>H54/F54*12</f>
        <v>20116.268</v>
      </c>
      <c r="O54" s="2364">
        <f t="shared" si="0"/>
        <v>26060.931999999997</v>
      </c>
      <c r="P54" s="2305"/>
      <c r="Q54" s="2305"/>
      <c r="R54" s="2307">
        <v>1005813.4</v>
      </c>
      <c r="S54" s="2307">
        <v>540193.77</v>
      </c>
      <c r="T54" s="2307">
        <v>465619.63</v>
      </c>
    </row>
    <row r="55" spans="1:20" ht="34.5" customHeight="1" outlineLevel="1" x14ac:dyDescent="0.2">
      <c r="A55" s="5617" t="s">
        <v>2311</v>
      </c>
      <c r="B55" s="5617"/>
      <c r="C55" s="2303">
        <v>42</v>
      </c>
      <c r="D55" s="2304" t="s">
        <v>2196</v>
      </c>
      <c r="E55" s="2305" t="s">
        <v>2312</v>
      </c>
      <c r="F55" s="2306">
        <v>600</v>
      </c>
      <c r="G55" s="2306"/>
      <c r="H55" s="2307">
        <v>138770</v>
      </c>
      <c r="I55" s="5618">
        <v>77697.399999999994</v>
      </c>
      <c r="J55" s="5618"/>
      <c r="K55" s="2307">
        <v>61072.6</v>
      </c>
      <c r="L55" s="2305"/>
      <c r="M55" s="2309">
        <v>2775.36</v>
      </c>
      <c r="N55" s="2309">
        <f>M55</f>
        <v>2775.36</v>
      </c>
      <c r="O55" s="2364">
        <f t="shared" si="0"/>
        <v>0</v>
      </c>
      <c r="P55" s="2305"/>
      <c r="Q55" s="2305"/>
      <c r="R55" s="2307">
        <v>138770</v>
      </c>
      <c r="S55" s="2307">
        <v>80472.759999999995</v>
      </c>
      <c r="T55" s="2307">
        <v>58297.24</v>
      </c>
    </row>
    <row r="56" spans="1:20" ht="34.5" customHeight="1" outlineLevel="1" x14ac:dyDescent="0.2">
      <c r="A56" s="5617" t="s">
        <v>2313</v>
      </c>
      <c r="B56" s="5617"/>
      <c r="C56" s="2303">
        <v>43</v>
      </c>
      <c r="D56" s="2304" t="s">
        <v>2196</v>
      </c>
      <c r="E56" s="2305" t="s">
        <v>2314</v>
      </c>
      <c r="F56" s="2306">
        <v>600</v>
      </c>
      <c r="G56" s="2306"/>
      <c r="H56" s="2307">
        <v>205896</v>
      </c>
      <c r="I56" s="5618">
        <v>115293.8</v>
      </c>
      <c r="J56" s="5618"/>
      <c r="K56" s="2307">
        <v>90602.2</v>
      </c>
      <c r="L56" s="2305"/>
      <c r="M56" s="2309">
        <v>4117.92</v>
      </c>
      <c r="N56" s="2309">
        <f t="shared" si="1"/>
        <v>4117.92</v>
      </c>
      <c r="O56" s="2364">
        <f t="shared" si="0"/>
        <v>0</v>
      </c>
      <c r="P56" s="2305"/>
      <c r="Q56" s="2305"/>
      <c r="R56" s="2307">
        <v>205896</v>
      </c>
      <c r="S56" s="2307">
        <v>119411.72</v>
      </c>
      <c r="T56" s="2307">
        <v>86484.28</v>
      </c>
    </row>
    <row r="57" spans="1:20" ht="23.25" customHeight="1" outlineLevel="1" x14ac:dyDescent="0.2">
      <c r="A57" s="5617" t="s">
        <v>2315</v>
      </c>
      <c r="B57" s="5617"/>
      <c r="C57" s="2303">
        <v>44</v>
      </c>
      <c r="D57" s="2304" t="s">
        <v>2196</v>
      </c>
      <c r="E57" s="2305" t="s">
        <v>2316</v>
      </c>
      <c r="F57" s="2306">
        <v>600</v>
      </c>
      <c r="G57" s="2306"/>
      <c r="H57" s="2307">
        <v>225449</v>
      </c>
      <c r="I57" s="5618">
        <v>102967.5</v>
      </c>
      <c r="J57" s="5618"/>
      <c r="K57" s="2307">
        <v>122481.5</v>
      </c>
      <c r="L57" s="2305"/>
      <c r="M57" s="2308"/>
      <c r="N57" s="2309"/>
      <c r="O57" s="2364">
        <f t="shared" si="0"/>
        <v>0</v>
      </c>
      <c r="P57" s="2305"/>
      <c r="Q57" s="2305"/>
      <c r="R57" s="2307">
        <v>225449</v>
      </c>
      <c r="S57" s="2307">
        <v>102967.5</v>
      </c>
      <c r="T57" s="2307">
        <v>122481.5</v>
      </c>
    </row>
    <row r="58" spans="1:20" ht="23.25" customHeight="1" outlineLevel="1" x14ac:dyDescent="0.2">
      <c r="A58" s="5617" t="s">
        <v>2317</v>
      </c>
      <c r="B58" s="5617"/>
      <c r="C58" s="2303">
        <v>316</v>
      </c>
      <c r="D58" s="2304" t="s">
        <v>2222</v>
      </c>
      <c r="E58" s="2305" t="s">
        <v>2318</v>
      </c>
      <c r="F58" s="2306">
        <v>600</v>
      </c>
      <c r="G58" s="2306"/>
      <c r="H58" s="2307">
        <v>1053489.23</v>
      </c>
      <c r="I58" s="5618">
        <v>404195.22</v>
      </c>
      <c r="J58" s="5618"/>
      <c r="K58" s="2307">
        <v>649294.01</v>
      </c>
      <c r="L58" s="2305"/>
      <c r="M58" s="2309">
        <v>37182</v>
      </c>
      <c r="N58" s="2365">
        <f t="shared" si="1"/>
        <v>21069.784599999999</v>
      </c>
      <c r="O58" s="2364">
        <f t="shared" si="0"/>
        <v>16112.215400000001</v>
      </c>
      <c r="P58" s="2305"/>
      <c r="Q58" s="2305"/>
      <c r="R58" s="2307">
        <v>1053489.23</v>
      </c>
      <c r="S58" s="2307">
        <v>441377.22</v>
      </c>
      <c r="T58" s="2307">
        <v>612112.01</v>
      </c>
    </row>
    <row r="59" spans="1:20" ht="23.25" customHeight="1" outlineLevel="1" x14ac:dyDescent="0.2">
      <c r="A59" s="5617" t="s">
        <v>2319</v>
      </c>
      <c r="B59" s="5617"/>
      <c r="C59" s="2303">
        <v>194</v>
      </c>
      <c r="D59" s="2304" t="s">
        <v>2320</v>
      </c>
      <c r="E59" s="2305" t="s">
        <v>2321</v>
      </c>
      <c r="F59" s="2306">
        <v>600</v>
      </c>
      <c r="G59" s="2306"/>
      <c r="H59" s="2307">
        <v>317295</v>
      </c>
      <c r="I59" s="5618">
        <v>254156.4</v>
      </c>
      <c r="J59" s="5618"/>
      <c r="K59" s="2307">
        <v>63138.6</v>
      </c>
      <c r="L59" s="2305"/>
      <c r="M59" s="2309">
        <v>6345.96</v>
      </c>
      <c r="N59" s="2309">
        <f>M59</f>
        <v>6345.96</v>
      </c>
      <c r="O59" s="2364">
        <f t="shared" si="0"/>
        <v>0</v>
      </c>
      <c r="P59" s="2305"/>
      <c r="Q59" s="2305"/>
      <c r="R59" s="2307">
        <v>317295</v>
      </c>
      <c r="S59" s="2307">
        <v>260502.36</v>
      </c>
      <c r="T59" s="2307">
        <v>56792.639999999999</v>
      </c>
    </row>
    <row r="60" spans="1:20" ht="23.25" customHeight="1" outlineLevel="1" x14ac:dyDescent="0.2">
      <c r="A60" s="5617" t="s">
        <v>2322</v>
      </c>
      <c r="B60" s="5617"/>
      <c r="C60" s="2303">
        <v>195</v>
      </c>
      <c r="D60" s="2304" t="s">
        <v>2320</v>
      </c>
      <c r="E60" s="2305" t="s">
        <v>2323</v>
      </c>
      <c r="F60" s="2306">
        <v>600</v>
      </c>
      <c r="G60" s="2306"/>
      <c r="H60" s="2307">
        <v>376962.05</v>
      </c>
      <c r="I60" s="5618">
        <v>284431.68</v>
      </c>
      <c r="J60" s="5618"/>
      <c r="K60" s="2307">
        <v>92530.37</v>
      </c>
      <c r="L60" s="2305"/>
      <c r="M60" s="2309">
        <v>14030.76</v>
      </c>
      <c r="N60" s="2366">
        <f t="shared" si="1"/>
        <v>7539.241</v>
      </c>
      <c r="O60" s="2364">
        <f t="shared" si="0"/>
        <v>6491.5190000000002</v>
      </c>
      <c r="P60" s="2305"/>
      <c r="Q60" s="2305"/>
      <c r="R60" s="2307">
        <v>376962.05</v>
      </c>
      <c r="S60" s="2307">
        <v>298462.44</v>
      </c>
      <c r="T60" s="2307">
        <v>78499.61</v>
      </c>
    </row>
    <row r="61" spans="1:20" s="2319" customFormat="1" ht="23.25" customHeight="1" outlineLevel="1" x14ac:dyDescent="0.2">
      <c r="A61" s="5628" t="s">
        <v>2285</v>
      </c>
      <c r="B61" s="5628"/>
      <c r="C61" s="2312">
        <v>524</v>
      </c>
      <c r="D61" s="2313" t="s">
        <v>2286</v>
      </c>
      <c r="E61" s="2314" t="s">
        <v>2287</v>
      </c>
      <c r="F61" s="2315">
        <v>647</v>
      </c>
      <c r="G61" s="2315"/>
      <c r="H61" s="2314"/>
      <c r="I61" s="2316"/>
      <c r="J61" s="2317"/>
      <c r="K61" s="2314"/>
      <c r="L61" s="2314"/>
      <c r="M61" s="2318">
        <v>346629.8</v>
      </c>
      <c r="N61" s="2365">
        <f>'Насосная стация 2 подъем'!B27</f>
        <v>48159.603307573416</v>
      </c>
      <c r="O61" s="2364">
        <f t="shared" si="0"/>
        <v>298470.19669242657</v>
      </c>
      <c r="P61" s="2314"/>
      <c r="Q61" s="2314"/>
      <c r="R61" s="2314"/>
      <c r="S61" s="2314"/>
      <c r="T61" s="2314"/>
    </row>
    <row r="62" spans="1:20" s="2319" customFormat="1" ht="23.25" customHeight="1" outlineLevel="1" x14ac:dyDescent="0.2">
      <c r="A62" s="5628" t="s">
        <v>2285</v>
      </c>
      <c r="B62" s="5628"/>
      <c r="C62" s="2312">
        <v>524</v>
      </c>
      <c r="D62" s="2313" t="s">
        <v>2286</v>
      </c>
      <c r="E62" s="2314" t="s">
        <v>2287</v>
      </c>
      <c r="F62" s="2315">
        <v>671</v>
      </c>
      <c r="G62" s="2315"/>
      <c r="H62" s="2314"/>
      <c r="I62" s="2316"/>
      <c r="J62" s="2317"/>
      <c r="K62" s="2314"/>
      <c r="L62" s="2318">
        <v>773781.07</v>
      </c>
      <c r="M62" s="2314"/>
      <c r="N62" s="2314"/>
      <c r="O62" s="2364">
        <f t="shared" si="0"/>
        <v>0</v>
      </c>
      <c r="P62" s="2314"/>
      <c r="Q62" s="2314"/>
      <c r="R62" s="2314"/>
      <c r="S62" s="2314"/>
      <c r="T62" s="2314"/>
    </row>
    <row r="63" spans="1:20" s="2330" customFormat="1" ht="12.75" customHeight="1" x14ac:dyDescent="0.2">
      <c r="A63" s="5624" t="s">
        <v>2324</v>
      </c>
      <c r="B63" s="5624"/>
      <c r="C63" s="5624"/>
      <c r="D63" s="5624"/>
      <c r="E63" s="5624"/>
      <c r="F63" s="5624"/>
      <c r="G63" s="2327"/>
      <c r="H63" s="2328">
        <v>256331012.19999999</v>
      </c>
      <c r="I63" s="5625">
        <v>148054598.68000001</v>
      </c>
      <c r="J63" s="5625"/>
      <c r="K63" s="2328">
        <v>108276413.52</v>
      </c>
      <c r="L63" s="2328">
        <v>574743.34</v>
      </c>
      <c r="M63" s="2329">
        <v>8044634.1699999999</v>
      </c>
      <c r="N63" s="2329">
        <f>SUM(N64:N161)</f>
        <v>8044634.1700000009</v>
      </c>
      <c r="O63" s="2329"/>
      <c r="P63" s="2328">
        <v>119119</v>
      </c>
      <c r="Q63" s="2328">
        <v>119119</v>
      </c>
      <c r="R63" s="2328">
        <v>256786636.53999999</v>
      </c>
      <c r="S63" s="2328">
        <v>155980113.84999999</v>
      </c>
      <c r="T63" s="2328">
        <v>100806522.69</v>
      </c>
    </row>
    <row r="64" spans="1:20" s="2336" customFormat="1" ht="23.25" customHeight="1" outlineLevel="1" x14ac:dyDescent="0.2">
      <c r="A64" s="5629" t="s">
        <v>2325</v>
      </c>
      <c r="B64" s="5629"/>
      <c r="C64" s="2331">
        <v>1499</v>
      </c>
      <c r="D64" s="2332" t="s">
        <v>2326</v>
      </c>
      <c r="E64" s="2333" t="s">
        <v>2327</v>
      </c>
      <c r="F64" s="2334">
        <v>360</v>
      </c>
      <c r="G64" s="2334"/>
      <c r="H64" s="2335">
        <v>117257693.16</v>
      </c>
      <c r="I64" s="5630">
        <v>65918700.049999997</v>
      </c>
      <c r="J64" s="5630"/>
      <c r="K64" s="2335">
        <v>51338993.109999999</v>
      </c>
      <c r="L64" s="2333"/>
      <c r="M64" s="2335">
        <v>3908589.72</v>
      </c>
      <c r="N64" s="2335">
        <f>M64</f>
        <v>3908589.72</v>
      </c>
      <c r="O64" s="2335"/>
      <c r="P64" s="2333"/>
      <c r="Q64" s="2333"/>
      <c r="R64" s="2335">
        <v>117257693.16</v>
      </c>
      <c r="S64" s="2335">
        <v>69827289.769999996</v>
      </c>
      <c r="T64" s="2335">
        <v>47430403.390000001</v>
      </c>
    </row>
    <row r="65" spans="1:20" s="2336" customFormat="1" ht="34.5" customHeight="1" outlineLevel="1" x14ac:dyDescent="0.2">
      <c r="A65" s="5629" t="s">
        <v>2328</v>
      </c>
      <c r="B65" s="5629"/>
      <c r="C65" s="2331">
        <v>1506</v>
      </c>
      <c r="D65" s="2332" t="s">
        <v>2329</v>
      </c>
      <c r="E65" s="2333" t="s">
        <v>2330</v>
      </c>
      <c r="F65" s="2333"/>
      <c r="G65" s="2333"/>
      <c r="H65" s="2335">
        <v>5019.4399999999996</v>
      </c>
      <c r="I65" s="2337"/>
      <c r="J65" s="2338"/>
      <c r="K65" s="2335">
        <v>5019.4399999999996</v>
      </c>
      <c r="L65" s="2333"/>
      <c r="M65" s="2333"/>
      <c r="N65" s="2333"/>
      <c r="O65" s="2333"/>
      <c r="P65" s="2333"/>
      <c r="Q65" s="2333"/>
      <c r="R65" s="2335">
        <v>5019.4399999999996</v>
      </c>
      <c r="S65" s="2333"/>
      <c r="T65" s="2335">
        <v>5019.4399999999996</v>
      </c>
    </row>
    <row r="66" spans="1:20" s="2336" customFormat="1" ht="34.5" customHeight="1" outlineLevel="1" x14ac:dyDescent="0.2">
      <c r="A66" s="5629" t="s">
        <v>2328</v>
      </c>
      <c r="B66" s="5629"/>
      <c r="C66" s="2331">
        <v>1509</v>
      </c>
      <c r="D66" s="2332" t="s">
        <v>2329</v>
      </c>
      <c r="E66" s="2333" t="s">
        <v>2331</v>
      </c>
      <c r="F66" s="2333"/>
      <c r="G66" s="2333"/>
      <c r="H66" s="2339">
        <v>-5019.4399999999996</v>
      </c>
      <c r="I66" s="2337"/>
      <c r="J66" s="2338"/>
      <c r="K66" s="2339">
        <v>-5019.4399999999996</v>
      </c>
      <c r="L66" s="2333"/>
      <c r="M66" s="2333"/>
      <c r="N66" s="2333"/>
      <c r="O66" s="2333"/>
      <c r="P66" s="2333"/>
      <c r="Q66" s="2333"/>
      <c r="R66" s="2339">
        <v>-5019.4399999999996</v>
      </c>
      <c r="S66" s="2333"/>
      <c r="T66" s="2339">
        <v>-5019.4399999999996</v>
      </c>
    </row>
    <row r="67" spans="1:20" s="2302" customFormat="1" ht="23.25" customHeight="1" outlineLevel="1" x14ac:dyDescent="0.2">
      <c r="A67" s="5622" t="s">
        <v>2332</v>
      </c>
      <c r="B67" s="5622"/>
      <c r="C67" s="2295">
        <v>69</v>
      </c>
      <c r="D67" s="2296" t="s">
        <v>2196</v>
      </c>
      <c r="E67" s="2301" t="s">
        <v>2333</v>
      </c>
      <c r="F67" s="2298">
        <v>400</v>
      </c>
      <c r="G67" s="2298"/>
      <c r="H67" s="2299">
        <v>33987</v>
      </c>
      <c r="I67" s="5623">
        <v>28958.6</v>
      </c>
      <c r="J67" s="5623"/>
      <c r="K67" s="2299">
        <v>5028.3999999999996</v>
      </c>
      <c r="L67" s="2301"/>
      <c r="M67" s="2299">
        <v>1019.64</v>
      </c>
      <c r="N67" s="2299">
        <f>M67</f>
        <v>1019.64</v>
      </c>
      <c r="O67" s="2299"/>
      <c r="P67" s="2301"/>
      <c r="Q67" s="2301"/>
      <c r="R67" s="2299">
        <v>33987</v>
      </c>
      <c r="S67" s="2299">
        <v>29978.240000000002</v>
      </c>
      <c r="T67" s="2299">
        <v>4008.76</v>
      </c>
    </row>
    <row r="68" spans="1:20" s="2302" customFormat="1" ht="45.75" customHeight="1" outlineLevel="1" x14ac:dyDescent="0.2">
      <c r="A68" s="5622" t="s">
        <v>2334</v>
      </c>
      <c r="B68" s="5622"/>
      <c r="C68" s="2340">
        <v>1507</v>
      </c>
      <c r="D68" s="2296" t="s">
        <v>2329</v>
      </c>
      <c r="E68" s="2301" t="s">
        <v>2335</v>
      </c>
      <c r="F68" s="2301"/>
      <c r="G68" s="2301"/>
      <c r="H68" s="2341">
        <v>-1539.15</v>
      </c>
      <c r="I68" s="2342"/>
      <c r="J68" s="2343"/>
      <c r="K68" s="2341">
        <v>-1539.15</v>
      </c>
      <c r="L68" s="2299">
        <v>1539.15</v>
      </c>
      <c r="M68" s="2301"/>
      <c r="N68" s="2301"/>
      <c r="O68" s="2301"/>
      <c r="P68" s="2301"/>
      <c r="Q68" s="2301"/>
      <c r="R68" s="2301"/>
      <c r="S68" s="2301"/>
      <c r="T68" s="2301"/>
    </row>
    <row r="69" spans="1:20" ht="45.75" customHeight="1" outlineLevel="1" x14ac:dyDescent="0.2">
      <c r="A69" s="5617" t="s">
        <v>2334</v>
      </c>
      <c r="B69" s="5617"/>
      <c r="C69" s="2344">
        <v>1510</v>
      </c>
      <c r="D69" s="2304" t="s">
        <v>2329</v>
      </c>
      <c r="E69" s="2305" t="s">
        <v>2336</v>
      </c>
      <c r="F69" s="2305"/>
      <c r="G69" s="2305"/>
      <c r="H69" s="2307">
        <v>1539.15</v>
      </c>
      <c r="I69" s="2345"/>
      <c r="J69" s="2346"/>
      <c r="K69" s="2307">
        <v>1539.15</v>
      </c>
      <c r="L69" s="2347">
        <v>-1539.15</v>
      </c>
      <c r="M69" s="2308"/>
      <c r="N69" s="2308"/>
      <c r="O69" s="2308"/>
      <c r="P69" s="2305"/>
      <c r="Q69" s="2305"/>
      <c r="R69" s="2305"/>
      <c r="S69" s="2305"/>
      <c r="T69" s="2305"/>
    </row>
    <row r="70" spans="1:20" s="2336" customFormat="1" ht="23.25" customHeight="1" outlineLevel="1" x14ac:dyDescent="0.2">
      <c r="A70" s="5629" t="s">
        <v>2337</v>
      </c>
      <c r="B70" s="5629"/>
      <c r="C70" s="2331">
        <v>1498</v>
      </c>
      <c r="D70" s="2332" t="s">
        <v>2326</v>
      </c>
      <c r="E70" s="2333" t="s">
        <v>2338</v>
      </c>
      <c r="F70" s="2334">
        <v>360</v>
      </c>
      <c r="G70" s="2334"/>
      <c r="H70" s="2335">
        <v>104348582.04000001</v>
      </c>
      <c r="I70" s="5630">
        <v>59984469.880000003</v>
      </c>
      <c r="J70" s="5630"/>
      <c r="K70" s="2335">
        <v>44364112.159999996</v>
      </c>
      <c r="L70" s="2333"/>
      <c r="M70" s="2335">
        <v>3478286.04</v>
      </c>
      <c r="N70" s="2335">
        <f>M70</f>
        <v>3478286.04</v>
      </c>
      <c r="O70" s="2335"/>
      <c r="P70" s="2333"/>
      <c r="Q70" s="2333"/>
      <c r="R70" s="2335">
        <v>104348582.04000001</v>
      </c>
      <c r="S70" s="2335">
        <v>63462755.920000002</v>
      </c>
      <c r="T70" s="2335">
        <v>40885826.119999997</v>
      </c>
    </row>
    <row r="71" spans="1:20" ht="34.5" customHeight="1" outlineLevel="1" x14ac:dyDescent="0.2">
      <c r="A71" s="5617" t="s">
        <v>2339</v>
      </c>
      <c r="B71" s="5617"/>
      <c r="C71" s="2303">
        <v>315</v>
      </c>
      <c r="D71" s="2304" t="s">
        <v>2222</v>
      </c>
      <c r="E71" s="2305" t="s">
        <v>2340</v>
      </c>
      <c r="F71" s="2306">
        <v>600</v>
      </c>
      <c r="G71" s="2306"/>
      <c r="H71" s="2307">
        <v>319521</v>
      </c>
      <c r="I71" s="5618">
        <v>163510.72</v>
      </c>
      <c r="J71" s="5618"/>
      <c r="K71" s="2307">
        <v>156010.28</v>
      </c>
      <c r="L71" s="2305"/>
      <c r="M71" s="2308"/>
      <c r="N71" s="2308"/>
      <c r="O71" s="2308"/>
      <c r="P71" s="2305"/>
      <c r="Q71" s="2305"/>
      <c r="R71" s="2307">
        <v>319521</v>
      </c>
      <c r="S71" s="2307">
        <v>163510.72</v>
      </c>
      <c r="T71" s="2307">
        <v>156010.28</v>
      </c>
    </row>
    <row r="72" spans="1:20" ht="23.25" customHeight="1" outlineLevel="1" x14ac:dyDescent="0.2">
      <c r="A72" s="5617" t="s">
        <v>2341</v>
      </c>
      <c r="B72" s="5617"/>
      <c r="C72" s="2310">
        <v>1843</v>
      </c>
      <c r="D72" s="2304" t="s">
        <v>2342</v>
      </c>
      <c r="E72" s="2305" t="s">
        <v>2343</v>
      </c>
      <c r="F72" s="2306">
        <v>36</v>
      </c>
      <c r="G72" s="2306"/>
      <c r="H72" s="2307">
        <v>4063.92</v>
      </c>
      <c r="I72" s="5618">
        <v>4063.92</v>
      </c>
      <c r="J72" s="5618"/>
      <c r="K72" s="2305"/>
      <c r="L72" s="2305"/>
      <c r="M72" s="2308"/>
      <c r="N72" s="2308"/>
      <c r="O72" s="2308"/>
      <c r="P72" s="2305"/>
      <c r="Q72" s="2305"/>
      <c r="R72" s="2307">
        <v>4063.92</v>
      </c>
      <c r="S72" s="2307">
        <v>4063.92</v>
      </c>
      <c r="T72" s="2305"/>
    </row>
    <row r="73" spans="1:20" ht="34.5" customHeight="1" outlineLevel="1" x14ac:dyDescent="0.2">
      <c r="A73" s="5617" t="s">
        <v>2344</v>
      </c>
      <c r="B73" s="5617"/>
      <c r="C73" s="2303">
        <v>322</v>
      </c>
      <c r="D73" s="2304" t="s">
        <v>2345</v>
      </c>
      <c r="E73" s="2305" t="s">
        <v>2346</v>
      </c>
      <c r="F73" s="2306">
        <v>600</v>
      </c>
      <c r="G73" s="2306"/>
      <c r="H73" s="2307">
        <v>90610</v>
      </c>
      <c r="I73" s="5618">
        <v>90610</v>
      </c>
      <c r="J73" s="5618"/>
      <c r="K73" s="2305"/>
      <c r="L73" s="2305"/>
      <c r="M73" s="2308"/>
      <c r="N73" s="2308"/>
      <c r="O73" s="2308"/>
      <c r="P73" s="2305"/>
      <c r="Q73" s="2305"/>
      <c r="R73" s="2307">
        <v>90610</v>
      </c>
      <c r="S73" s="2307">
        <v>90610</v>
      </c>
      <c r="T73" s="2305"/>
    </row>
    <row r="74" spans="1:20" ht="23.25" customHeight="1" outlineLevel="1" x14ac:dyDescent="0.2">
      <c r="A74" s="5617" t="s">
        <v>2347</v>
      </c>
      <c r="B74" s="5617"/>
      <c r="C74" s="2310">
        <v>1753</v>
      </c>
      <c r="D74" s="2304" t="s">
        <v>2348</v>
      </c>
      <c r="E74" s="2305" t="s">
        <v>2349</v>
      </c>
      <c r="F74" s="2306">
        <v>240</v>
      </c>
      <c r="G74" s="2306"/>
      <c r="H74" s="2307">
        <v>9773</v>
      </c>
      <c r="I74" s="5618">
        <v>7329.68</v>
      </c>
      <c r="J74" s="5618"/>
      <c r="K74" s="2307">
        <v>2443.3200000000002</v>
      </c>
      <c r="L74" s="2305"/>
      <c r="M74" s="2348">
        <v>488.64</v>
      </c>
      <c r="N74" s="2348">
        <f>M74</f>
        <v>488.64</v>
      </c>
      <c r="O74" s="2348"/>
      <c r="P74" s="2305"/>
      <c r="Q74" s="2305"/>
      <c r="R74" s="2307">
        <v>9773</v>
      </c>
      <c r="S74" s="2307">
        <v>7818.32</v>
      </c>
      <c r="T74" s="2307">
        <v>1954.68</v>
      </c>
    </row>
    <row r="75" spans="1:20" ht="23.25" customHeight="1" outlineLevel="1" x14ac:dyDescent="0.2">
      <c r="A75" s="5617" t="s">
        <v>2350</v>
      </c>
      <c r="B75" s="5617"/>
      <c r="C75" s="2303">
        <v>388</v>
      </c>
      <c r="D75" s="2304" t="s">
        <v>2351</v>
      </c>
      <c r="E75" s="2305" t="s">
        <v>2352</v>
      </c>
      <c r="F75" s="2306">
        <v>132</v>
      </c>
      <c r="G75" s="2306"/>
      <c r="H75" s="2307">
        <v>2628</v>
      </c>
      <c r="I75" s="5618">
        <v>2628</v>
      </c>
      <c r="J75" s="5618"/>
      <c r="K75" s="2305"/>
      <c r="L75" s="2305"/>
      <c r="M75" s="2308"/>
      <c r="N75" s="2308"/>
      <c r="O75" s="2308"/>
      <c r="P75" s="2305"/>
      <c r="Q75" s="2305"/>
      <c r="R75" s="2307">
        <v>2628</v>
      </c>
      <c r="S75" s="2307">
        <v>2628</v>
      </c>
      <c r="T75" s="2305"/>
    </row>
    <row r="76" spans="1:20" ht="23.25" customHeight="1" outlineLevel="1" x14ac:dyDescent="0.2">
      <c r="A76" s="5617" t="s">
        <v>2353</v>
      </c>
      <c r="B76" s="5617"/>
      <c r="C76" s="2303">
        <v>223</v>
      </c>
      <c r="D76" s="2304" t="s">
        <v>2295</v>
      </c>
      <c r="E76" s="2305" t="s">
        <v>2354</v>
      </c>
      <c r="F76" s="2306">
        <v>300</v>
      </c>
      <c r="G76" s="2306"/>
      <c r="H76" s="2307">
        <v>545603</v>
      </c>
      <c r="I76" s="5618">
        <v>545603</v>
      </c>
      <c r="J76" s="5618"/>
      <c r="K76" s="2305"/>
      <c r="L76" s="2305"/>
      <c r="M76" s="2308"/>
      <c r="N76" s="2308"/>
      <c r="O76" s="2308"/>
      <c r="P76" s="2305"/>
      <c r="Q76" s="2305"/>
      <c r="R76" s="2307">
        <v>545603</v>
      </c>
      <c r="S76" s="2307">
        <v>545603</v>
      </c>
      <c r="T76" s="2305"/>
    </row>
    <row r="77" spans="1:20" ht="34.5" customHeight="1" outlineLevel="1" x14ac:dyDescent="0.2">
      <c r="A77" s="5617" t="s">
        <v>2355</v>
      </c>
      <c r="B77" s="5617"/>
      <c r="C77" s="2310">
        <v>2429</v>
      </c>
      <c r="D77" s="2304" t="s">
        <v>2253</v>
      </c>
      <c r="E77" s="2305" t="s">
        <v>2356</v>
      </c>
      <c r="F77" s="2306">
        <v>240</v>
      </c>
      <c r="G77" s="2306"/>
      <c r="H77" s="2307">
        <v>2338066.7400000002</v>
      </c>
      <c r="I77" s="5618">
        <v>642968.04</v>
      </c>
      <c r="J77" s="5618"/>
      <c r="K77" s="2307">
        <v>1695098.7</v>
      </c>
      <c r="L77" s="2305"/>
      <c r="M77" s="2309">
        <v>116903.28</v>
      </c>
      <c r="N77" s="2309">
        <f>M77</f>
        <v>116903.28</v>
      </c>
      <c r="O77" s="2309"/>
      <c r="P77" s="2305"/>
      <c r="Q77" s="2305"/>
      <c r="R77" s="2307">
        <v>2338066.7400000002</v>
      </c>
      <c r="S77" s="2307">
        <v>759871.32</v>
      </c>
      <c r="T77" s="2307">
        <v>1578195.42</v>
      </c>
    </row>
    <row r="78" spans="1:20" ht="34.5" customHeight="1" outlineLevel="1" x14ac:dyDescent="0.2">
      <c r="A78" s="5617" t="s">
        <v>2357</v>
      </c>
      <c r="B78" s="5617"/>
      <c r="C78" s="2303">
        <v>292</v>
      </c>
      <c r="D78" s="2304" t="s">
        <v>2222</v>
      </c>
      <c r="E78" s="2305" t="s">
        <v>2358</v>
      </c>
      <c r="F78" s="2306">
        <v>600</v>
      </c>
      <c r="G78" s="2306"/>
      <c r="H78" s="2307">
        <v>4130963</v>
      </c>
      <c r="I78" s="5618">
        <v>2526748.2000000002</v>
      </c>
      <c r="J78" s="5618"/>
      <c r="K78" s="2307">
        <v>1604214.8</v>
      </c>
      <c r="L78" s="2305"/>
      <c r="M78" s="2309">
        <v>82619.28</v>
      </c>
      <c r="N78" s="2309">
        <f>M78</f>
        <v>82619.28</v>
      </c>
      <c r="O78" s="2309"/>
      <c r="P78" s="2305"/>
      <c r="Q78" s="2305"/>
      <c r="R78" s="2307">
        <v>4130963</v>
      </c>
      <c r="S78" s="2307">
        <v>2609367.48</v>
      </c>
      <c r="T78" s="2307">
        <v>1521595.52</v>
      </c>
    </row>
    <row r="79" spans="1:20" ht="23.25" customHeight="1" outlineLevel="1" x14ac:dyDescent="0.2">
      <c r="A79" s="5617" t="s">
        <v>2359</v>
      </c>
      <c r="B79" s="5617"/>
      <c r="C79" s="2303">
        <v>52</v>
      </c>
      <c r="D79" s="2304" t="s">
        <v>2196</v>
      </c>
      <c r="E79" s="2305" t="s">
        <v>2360</v>
      </c>
      <c r="F79" s="2306">
        <v>300</v>
      </c>
      <c r="G79" s="2306"/>
      <c r="H79" s="2307">
        <v>370574</v>
      </c>
      <c r="I79" s="5618">
        <v>370574</v>
      </c>
      <c r="J79" s="5618"/>
      <c r="K79" s="2305"/>
      <c r="L79" s="2305"/>
      <c r="M79" s="2308"/>
      <c r="N79" s="2309"/>
      <c r="O79" s="2309"/>
      <c r="P79" s="2305"/>
      <c r="Q79" s="2305"/>
      <c r="R79" s="2307">
        <v>370574</v>
      </c>
      <c r="S79" s="2307">
        <v>370574</v>
      </c>
      <c r="T79" s="2305"/>
    </row>
    <row r="80" spans="1:20" ht="23.25" customHeight="1" outlineLevel="1" x14ac:dyDescent="0.2">
      <c r="A80" s="5617" t="s">
        <v>2361</v>
      </c>
      <c r="B80" s="5617"/>
      <c r="C80" s="2303">
        <v>53</v>
      </c>
      <c r="D80" s="2304" t="s">
        <v>2196</v>
      </c>
      <c r="E80" s="2305" t="s">
        <v>2362</v>
      </c>
      <c r="F80" s="2306">
        <v>400</v>
      </c>
      <c r="G80" s="2306"/>
      <c r="H80" s="2307">
        <v>352928</v>
      </c>
      <c r="I80" s="5618">
        <v>304384.59999999998</v>
      </c>
      <c r="J80" s="5618"/>
      <c r="K80" s="2307">
        <v>48543.4</v>
      </c>
      <c r="L80" s="2305"/>
      <c r="M80" s="2309">
        <v>10587.84</v>
      </c>
      <c r="N80" s="2309">
        <f>H80/F80*12</f>
        <v>10587.84</v>
      </c>
      <c r="O80" s="2309"/>
      <c r="P80" s="2305"/>
      <c r="Q80" s="2305"/>
      <c r="R80" s="2307">
        <v>352928</v>
      </c>
      <c r="S80" s="2307">
        <v>314972.44</v>
      </c>
      <c r="T80" s="2307">
        <v>37955.56</v>
      </c>
    </row>
    <row r="81" spans="1:20" ht="23.25" customHeight="1" outlineLevel="1" x14ac:dyDescent="0.2">
      <c r="A81" s="5617" t="s">
        <v>2363</v>
      </c>
      <c r="B81" s="5617"/>
      <c r="C81" s="2303">
        <v>317</v>
      </c>
      <c r="D81" s="2304" t="s">
        <v>2222</v>
      </c>
      <c r="E81" s="2305" t="s">
        <v>2364</v>
      </c>
      <c r="F81" s="2306">
        <v>300</v>
      </c>
      <c r="G81" s="2306"/>
      <c r="H81" s="2307">
        <v>601053</v>
      </c>
      <c r="I81" s="5618">
        <v>601053</v>
      </c>
      <c r="J81" s="5618"/>
      <c r="K81" s="2305"/>
      <c r="L81" s="2305"/>
      <c r="M81" s="2308"/>
      <c r="N81" s="2308"/>
      <c r="O81" s="2308"/>
      <c r="P81" s="2305"/>
      <c r="Q81" s="2305"/>
      <c r="R81" s="2307">
        <v>601053</v>
      </c>
      <c r="S81" s="2307">
        <v>601053</v>
      </c>
      <c r="T81" s="2305"/>
    </row>
    <row r="82" spans="1:20" ht="23.25" customHeight="1" outlineLevel="1" x14ac:dyDescent="0.2">
      <c r="A82" s="5617" t="s">
        <v>2365</v>
      </c>
      <c r="B82" s="5617"/>
      <c r="C82" s="2303">
        <v>318</v>
      </c>
      <c r="D82" s="2304" t="s">
        <v>2222</v>
      </c>
      <c r="E82" s="2305" t="s">
        <v>2366</v>
      </c>
      <c r="F82" s="2306">
        <v>300</v>
      </c>
      <c r="G82" s="2306"/>
      <c r="H82" s="2307">
        <v>94081</v>
      </c>
      <c r="I82" s="5618">
        <v>94081</v>
      </c>
      <c r="J82" s="5618"/>
      <c r="K82" s="2305"/>
      <c r="L82" s="2305"/>
      <c r="M82" s="2308"/>
      <c r="N82" s="2308"/>
      <c r="O82" s="2308"/>
      <c r="P82" s="2305"/>
      <c r="Q82" s="2305"/>
      <c r="R82" s="2307">
        <v>94081</v>
      </c>
      <c r="S82" s="2307">
        <v>94081</v>
      </c>
      <c r="T82" s="2305"/>
    </row>
    <row r="83" spans="1:20" ht="23.25" customHeight="1" outlineLevel="1" x14ac:dyDescent="0.2">
      <c r="A83" s="5617" t="s">
        <v>2367</v>
      </c>
      <c r="B83" s="5617"/>
      <c r="C83" s="2303">
        <v>54</v>
      </c>
      <c r="D83" s="2304" t="s">
        <v>2196</v>
      </c>
      <c r="E83" s="2305" t="s">
        <v>2368</v>
      </c>
      <c r="F83" s="2306">
        <v>300</v>
      </c>
      <c r="G83" s="2306"/>
      <c r="H83" s="2307">
        <v>206150</v>
      </c>
      <c r="I83" s="5618">
        <v>206150</v>
      </c>
      <c r="J83" s="5618"/>
      <c r="K83" s="2305"/>
      <c r="L83" s="2305"/>
      <c r="M83" s="2308"/>
      <c r="N83" s="2308"/>
      <c r="O83" s="2308"/>
      <c r="P83" s="2305"/>
      <c r="Q83" s="2305"/>
      <c r="R83" s="2307">
        <v>206150</v>
      </c>
      <c r="S83" s="2307">
        <v>206150</v>
      </c>
      <c r="T83" s="2305"/>
    </row>
    <row r="84" spans="1:20" ht="23.25" customHeight="1" outlineLevel="1" x14ac:dyDescent="0.2">
      <c r="A84" s="5617" t="s">
        <v>2369</v>
      </c>
      <c r="B84" s="5617"/>
      <c r="C84" s="2303">
        <v>319</v>
      </c>
      <c r="D84" s="2304" t="s">
        <v>2222</v>
      </c>
      <c r="E84" s="2305" t="s">
        <v>2370</v>
      </c>
      <c r="F84" s="2306">
        <v>214</v>
      </c>
      <c r="G84" s="2306"/>
      <c r="H84" s="2307">
        <v>16033</v>
      </c>
      <c r="I84" s="5618">
        <v>16033</v>
      </c>
      <c r="J84" s="5618"/>
      <c r="K84" s="2305"/>
      <c r="L84" s="2305"/>
      <c r="M84" s="2308"/>
      <c r="N84" s="2308"/>
      <c r="O84" s="2308"/>
      <c r="P84" s="2305"/>
      <c r="Q84" s="2305"/>
      <c r="R84" s="2307">
        <v>16033</v>
      </c>
      <c r="S84" s="2307">
        <v>16033</v>
      </c>
      <c r="T84" s="2305"/>
    </row>
    <row r="85" spans="1:20" ht="23.25" customHeight="1" outlineLevel="1" x14ac:dyDescent="0.2">
      <c r="A85" s="5617" t="s">
        <v>2371</v>
      </c>
      <c r="B85" s="5617"/>
      <c r="C85" s="2310">
        <v>1839</v>
      </c>
      <c r="D85" s="2304" t="s">
        <v>2372</v>
      </c>
      <c r="E85" s="2305" t="s">
        <v>2373</v>
      </c>
      <c r="F85" s="2306">
        <v>120</v>
      </c>
      <c r="G85" s="2306"/>
      <c r="H85" s="2307">
        <v>5475.2</v>
      </c>
      <c r="I85" s="5618">
        <v>5475.2</v>
      </c>
      <c r="J85" s="5618"/>
      <c r="K85" s="2305"/>
      <c r="L85" s="2305"/>
      <c r="M85" s="2308"/>
      <c r="N85" s="2308"/>
      <c r="O85" s="2308"/>
      <c r="P85" s="2305"/>
      <c r="Q85" s="2305"/>
      <c r="R85" s="2307">
        <v>5475.2</v>
      </c>
      <c r="S85" s="2307">
        <v>5475.2</v>
      </c>
      <c r="T85" s="2305"/>
    </row>
    <row r="86" spans="1:20" ht="23.25" customHeight="1" outlineLevel="1" x14ac:dyDescent="0.2">
      <c r="A86" s="5617" t="s">
        <v>2347</v>
      </c>
      <c r="B86" s="5617"/>
      <c r="C86" s="2310">
        <v>1752</v>
      </c>
      <c r="D86" s="2304" t="s">
        <v>2348</v>
      </c>
      <c r="E86" s="2305" t="s">
        <v>2374</v>
      </c>
      <c r="F86" s="2306">
        <v>708</v>
      </c>
      <c r="G86" s="2306"/>
      <c r="H86" s="2307">
        <v>7896</v>
      </c>
      <c r="I86" s="5618">
        <v>5340.6</v>
      </c>
      <c r="J86" s="5618"/>
      <c r="K86" s="2307">
        <v>2555.4</v>
      </c>
      <c r="L86" s="2305"/>
      <c r="M86" s="2348">
        <v>133.80000000000001</v>
      </c>
      <c r="N86" s="2309">
        <f>M86</f>
        <v>133.80000000000001</v>
      </c>
      <c r="O86" s="2309"/>
      <c r="P86" s="2305"/>
      <c r="Q86" s="2305"/>
      <c r="R86" s="2307">
        <v>7896</v>
      </c>
      <c r="S86" s="2307">
        <v>5474.4</v>
      </c>
      <c r="T86" s="2307">
        <v>2421.6</v>
      </c>
    </row>
    <row r="87" spans="1:20" ht="23.25" customHeight="1" outlineLevel="1" x14ac:dyDescent="0.2">
      <c r="A87" s="5617" t="s">
        <v>2375</v>
      </c>
      <c r="B87" s="5617"/>
      <c r="C87" s="2303">
        <v>57</v>
      </c>
      <c r="D87" s="2304" t="s">
        <v>2196</v>
      </c>
      <c r="E87" s="2305" t="s">
        <v>2376</v>
      </c>
      <c r="F87" s="2306">
        <v>480</v>
      </c>
      <c r="G87" s="2306"/>
      <c r="H87" s="2307">
        <v>168856</v>
      </c>
      <c r="I87" s="5618">
        <v>118208.4</v>
      </c>
      <c r="J87" s="5618"/>
      <c r="K87" s="2307">
        <v>50647.6</v>
      </c>
      <c r="L87" s="2305"/>
      <c r="M87" s="2309">
        <v>4221.3599999999997</v>
      </c>
      <c r="N87" s="2309">
        <f>M87</f>
        <v>4221.3599999999997</v>
      </c>
      <c r="O87" s="2309"/>
      <c r="P87" s="2305"/>
      <c r="Q87" s="2305"/>
      <c r="R87" s="2307">
        <v>168856</v>
      </c>
      <c r="S87" s="2307">
        <v>122429.75999999999</v>
      </c>
      <c r="T87" s="2307">
        <v>46426.239999999998</v>
      </c>
    </row>
    <row r="88" spans="1:20" ht="34.5" customHeight="1" outlineLevel="1" x14ac:dyDescent="0.2">
      <c r="A88" s="5617" t="s">
        <v>2377</v>
      </c>
      <c r="B88" s="5617"/>
      <c r="C88" s="2303">
        <v>21</v>
      </c>
      <c r="D88" s="2304" t="s">
        <v>2217</v>
      </c>
      <c r="E88" s="2305" t="s">
        <v>2378</v>
      </c>
      <c r="F88" s="2306">
        <v>480</v>
      </c>
      <c r="G88" s="2306"/>
      <c r="H88" s="2307">
        <v>751530</v>
      </c>
      <c r="I88" s="5618">
        <v>709302.42</v>
      </c>
      <c r="J88" s="5618"/>
      <c r="K88" s="2307">
        <v>42227.58</v>
      </c>
      <c r="L88" s="2305"/>
      <c r="M88" s="2308"/>
      <c r="N88" s="2308"/>
      <c r="O88" s="2308"/>
      <c r="P88" s="2305"/>
      <c r="Q88" s="2305"/>
      <c r="R88" s="2307">
        <v>751530</v>
      </c>
      <c r="S88" s="2307">
        <v>709302.42</v>
      </c>
      <c r="T88" s="2307">
        <v>42227.58</v>
      </c>
    </row>
    <row r="89" spans="1:20" ht="34.5" customHeight="1" outlineLevel="1" x14ac:dyDescent="0.2">
      <c r="A89" s="5617" t="s">
        <v>2379</v>
      </c>
      <c r="B89" s="5617"/>
      <c r="C89" s="2303">
        <v>335</v>
      </c>
      <c r="D89" s="2304" t="s">
        <v>2222</v>
      </c>
      <c r="E89" s="2305" t="s">
        <v>2380</v>
      </c>
      <c r="F89" s="2306">
        <v>480</v>
      </c>
      <c r="G89" s="2306"/>
      <c r="H89" s="2305"/>
      <c r="I89" s="2345"/>
      <c r="J89" s="2346"/>
      <c r="K89" s="2305"/>
      <c r="L89" s="2305"/>
      <c r="M89" s="2308"/>
      <c r="N89" s="2308"/>
      <c r="O89" s="2308"/>
      <c r="P89" s="2305"/>
      <c r="Q89" s="2305"/>
      <c r="R89" s="2305"/>
      <c r="S89" s="2305"/>
      <c r="T89" s="2305"/>
    </row>
    <row r="90" spans="1:20" ht="23.25" customHeight="1" outlineLevel="1" x14ac:dyDescent="0.2">
      <c r="A90" s="5617" t="s">
        <v>2381</v>
      </c>
      <c r="B90" s="5617"/>
      <c r="C90" s="2303">
        <v>35</v>
      </c>
      <c r="D90" s="2304" t="s">
        <v>2196</v>
      </c>
      <c r="E90" s="2305" t="s">
        <v>2382</v>
      </c>
      <c r="F90" s="2306">
        <v>600</v>
      </c>
      <c r="G90" s="2306"/>
      <c r="H90" s="2307">
        <v>189088</v>
      </c>
      <c r="I90" s="5618">
        <v>105883</v>
      </c>
      <c r="J90" s="5618"/>
      <c r="K90" s="2307">
        <v>83205</v>
      </c>
      <c r="L90" s="2305"/>
      <c r="M90" s="2309">
        <v>3781.8</v>
      </c>
      <c r="N90" s="2309">
        <f>M90</f>
        <v>3781.8</v>
      </c>
      <c r="O90" s="2309"/>
      <c r="P90" s="2305"/>
      <c r="Q90" s="2305"/>
      <c r="R90" s="2307">
        <v>189088</v>
      </c>
      <c r="S90" s="2307">
        <v>109664.8</v>
      </c>
      <c r="T90" s="2307">
        <v>79423.199999999997</v>
      </c>
    </row>
    <row r="91" spans="1:20" s="2326" customFormat="1" ht="23.25" customHeight="1" outlineLevel="1" x14ac:dyDescent="0.2">
      <c r="A91" s="5626" t="s">
        <v>2383</v>
      </c>
      <c r="B91" s="5626"/>
      <c r="C91" s="2349">
        <v>1924</v>
      </c>
      <c r="D91" s="2321" t="s">
        <v>2225</v>
      </c>
      <c r="E91" s="2322" t="s">
        <v>2384</v>
      </c>
      <c r="F91" s="2323">
        <v>120</v>
      </c>
      <c r="G91" s="2323"/>
      <c r="H91" s="2324">
        <v>519011.09</v>
      </c>
      <c r="I91" s="5627">
        <v>519010.8</v>
      </c>
      <c r="J91" s="5627"/>
      <c r="K91" s="2325">
        <v>0.28999999999999998</v>
      </c>
      <c r="L91" s="2322"/>
      <c r="M91" s="2325">
        <v>0.28999999999999998</v>
      </c>
      <c r="N91" s="2324">
        <f>M91</f>
        <v>0.28999999999999998</v>
      </c>
      <c r="O91" s="2324"/>
      <c r="P91" s="2322"/>
      <c r="Q91" s="2322"/>
      <c r="R91" s="2324">
        <v>519011.09</v>
      </c>
      <c r="S91" s="2324">
        <v>519011.09</v>
      </c>
      <c r="T91" s="2322"/>
    </row>
    <row r="92" spans="1:20" ht="34.5" customHeight="1" outlineLevel="1" x14ac:dyDescent="0.2">
      <c r="A92" s="5617" t="s">
        <v>2385</v>
      </c>
      <c r="B92" s="5617"/>
      <c r="C92" s="2303">
        <v>12</v>
      </c>
      <c r="D92" s="2304" t="s">
        <v>2217</v>
      </c>
      <c r="E92" s="2305" t="s">
        <v>2386</v>
      </c>
      <c r="F92" s="2306">
        <v>600</v>
      </c>
      <c r="G92" s="2306"/>
      <c r="H92" s="2307">
        <v>946377</v>
      </c>
      <c r="I92" s="5618">
        <v>946377</v>
      </c>
      <c r="J92" s="5618"/>
      <c r="K92" s="2305"/>
      <c r="L92" s="2305"/>
      <c r="M92" s="2308"/>
      <c r="N92" s="2308"/>
      <c r="O92" s="2308"/>
      <c r="P92" s="2305"/>
      <c r="Q92" s="2305"/>
      <c r="R92" s="2307">
        <v>946377</v>
      </c>
      <c r="S92" s="2307">
        <v>946377</v>
      </c>
      <c r="T92" s="2305"/>
    </row>
    <row r="93" spans="1:20" ht="23.25" customHeight="1" outlineLevel="1" x14ac:dyDescent="0.2">
      <c r="A93" s="5617" t="s">
        <v>2387</v>
      </c>
      <c r="B93" s="5617"/>
      <c r="C93" s="2303">
        <v>58</v>
      </c>
      <c r="D93" s="2304" t="s">
        <v>2196</v>
      </c>
      <c r="E93" s="2305" t="s">
        <v>2388</v>
      </c>
      <c r="F93" s="2306">
        <v>144</v>
      </c>
      <c r="G93" s="2306"/>
      <c r="H93" s="2307">
        <v>64284</v>
      </c>
      <c r="I93" s="5618">
        <v>64284</v>
      </c>
      <c r="J93" s="5618"/>
      <c r="K93" s="2305"/>
      <c r="L93" s="2305"/>
      <c r="M93" s="2308"/>
      <c r="N93" s="2308"/>
      <c r="O93" s="2308"/>
      <c r="P93" s="2305"/>
      <c r="Q93" s="2305"/>
      <c r="R93" s="2307">
        <v>64284</v>
      </c>
      <c r="S93" s="2307">
        <v>64284</v>
      </c>
      <c r="T93" s="2305"/>
    </row>
    <row r="94" spans="1:20" ht="23.25" customHeight="1" outlineLevel="1" x14ac:dyDescent="0.2">
      <c r="A94" s="5617" t="s">
        <v>2389</v>
      </c>
      <c r="B94" s="5617"/>
      <c r="C94" s="2303">
        <v>551</v>
      </c>
      <c r="D94" s="2304" t="s">
        <v>2301</v>
      </c>
      <c r="E94" s="2305" t="s">
        <v>2390</v>
      </c>
      <c r="F94" s="2306">
        <v>432</v>
      </c>
      <c r="G94" s="2306"/>
      <c r="H94" s="2307">
        <v>119119</v>
      </c>
      <c r="I94" s="5618">
        <v>119119</v>
      </c>
      <c r="J94" s="5618"/>
      <c r="K94" s="2305"/>
      <c r="L94" s="2305"/>
      <c r="M94" s="2308"/>
      <c r="N94" s="2308"/>
      <c r="O94" s="2308"/>
      <c r="P94" s="2307">
        <v>119119</v>
      </c>
      <c r="Q94" s="2307">
        <v>119119</v>
      </c>
      <c r="R94" s="2305"/>
      <c r="S94" s="2305"/>
      <c r="T94" s="2305"/>
    </row>
    <row r="95" spans="1:20" ht="34.5" customHeight="1" outlineLevel="1" x14ac:dyDescent="0.2">
      <c r="A95" s="5617" t="s">
        <v>2391</v>
      </c>
      <c r="B95" s="5617"/>
      <c r="C95" s="2303">
        <v>36</v>
      </c>
      <c r="D95" s="2304" t="s">
        <v>2196</v>
      </c>
      <c r="E95" s="2305" t="s">
        <v>2392</v>
      </c>
      <c r="F95" s="2306">
        <v>571</v>
      </c>
      <c r="G95" s="2306"/>
      <c r="H95" s="2307">
        <v>60916</v>
      </c>
      <c r="I95" s="5618">
        <v>37983.4</v>
      </c>
      <c r="J95" s="5618"/>
      <c r="K95" s="2307">
        <v>22932.6</v>
      </c>
      <c r="L95" s="2305"/>
      <c r="M95" s="2309">
        <v>1280.1600000000001</v>
      </c>
      <c r="N95" s="2309">
        <f>M95</f>
        <v>1280.1600000000001</v>
      </c>
      <c r="O95" s="2309"/>
      <c r="P95" s="2305"/>
      <c r="Q95" s="2305"/>
      <c r="R95" s="2307">
        <v>60916</v>
      </c>
      <c r="S95" s="2307">
        <v>39263.56</v>
      </c>
      <c r="T95" s="2307">
        <v>21652.44</v>
      </c>
    </row>
    <row r="96" spans="1:20" ht="23.25" customHeight="1" outlineLevel="1" x14ac:dyDescent="0.2">
      <c r="A96" s="5617" t="s">
        <v>2393</v>
      </c>
      <c r="B96" s="5617"/>
      <c r="C96" s="2303">
        <v>15</v>
      </c>
      <c r="D96" s="2304" t="s">
        <v>2217</v>
      </c>
      <c r="E96" s="2305" t="s">
        <v>2394</v>
      </c>
      <c r="F96" s="2306">
        <v>600</v>
      </c>
      <c r="G96" s="2306"/>
      <c r="H96" s="2307">
        <v>194903</v>
      </c>
      <c r="I96" s="5618">
        <v>149484.12</v>
      </c>
      <c r="J96" s="5618"/>
      <c r="K96" s="2307">
        <v>45418.879999999997</v>
      </c>
      <c r="L96" s="2305"/>
      <c r="M96" s="2308"/>
      <c r="N96" s="2309"/>
      <c r="O96" s="2309"/>
      <c r="P96" s="2305"/>
      <c r="Q96" s="2305"/>
      <c r="R96" s="2307">
        <v>194903</v>
      </c>
      <c r="S96" s="2307">
        <v>149484.12</v>
      </c>
      <c r="T96" s="2307">
        <v>45418.879999999997</v>
      </c>
    </row>
    <row r="97" spans="1:20" ht="23.25" customHeight="1" outlineLevel="1" x14ac:dyDescent="0.2">
      <c r="A97" s="5617" t="s">
        <v>2395</v>
      </c>
      <c r="B97" s="5617"/>
      <c r="C97" s="2310">
        <v>1834</v>
      </c>
      <c r="D97" s="2304" t="s">
        <v>2372</v>
      </c>
      <c r="E97" s="2305" t="s">
        <v>2396</v>
      </c>
      <c r="F97" s="2306">
        <v>180</v>
      </c>
      <c r="G97" s="2306"/>
      <c r="H97" s="2307">
        <v>4347.12</v>
      </c>
      <c r="I97" s="5618">
        <v>3332.7</v>
      </c>
      <c r="J97" s="5618"/>
      <c r="K97" s="2307">
        <v>1014.42</v>
      </c>
      <c r="L97" s="2305"/>
      <c r="M97" s="2348">
        <v>289.8</v>
      </c>
      <c r="N97" s="2309">
        <f>M97</f>
        <v>289.8</v>
      </c>
      <c r="O97" s="2309"/>
      <c r="P97" s="2305"/>
      <c r="Q97" s="2305"/>
      <c r="R97" s="2307">
        <v>4347.12</v>
      </c>
      <c r="S97" s="2307">
        <v>3622.5</v>
      </c>
      <c r="T97" s="2350">
        <v>724.62</v>
      </c>
    </row>
    <row r="98" spans="1:20" ht="23.25" customHeight="1" outlineLevel="1" x14ac:dyDescent="0.2">
      <c r="A98" s="5617" t="s">
        <v>2397</v>
      </c>
      <c r="B98" s="5617"/>
      <c r="C98" s="2303">
        <v>329</v>
      </c>
      <c r="D98" s="2304" t="s">
        <v>2222</v>
      </c>
      <c r="E98" s="2305" t="s">
        <v>2398</v>
      </c>
      <c r="F98" s="2306">
        <v>480</v>
      </c>
      <c r="G98" s="2306"/>
      <c r="H98" s="2307">
        <v>147731</v>
      </c>
      <c r="I98" s="5618">
        <v>112999.6</v>
      </c>
      <c r="J98" s="5618"/>
      <c r="K98" s="2307">
        <v>34731.4</v>
      </c>
      <c r="L98" s="2305"/>
      <c r="M98" s="2309">
        <v>3693.24</v>
      </c>
      <c r="N98" s="2309">
        <f>M98</f>
        <v>3693.24</v>
      </c>
      <c r="O98" s="2309"/>
      <c r="P98" s="2305"/>
      <c r="Q98" s="2305"/>
      <c r="R98" s="2307">
        <v>147731</v>
      </c>
      <c r="S98" s="2307">
        <v>116692.84</v>
      </c>
      <c r="T98" s="2307">
        <v>31038.16</v>
      </c>
    </row>
    <row r="99" spans="1:20" ht="23.25" customHeight="1" outlineLevel="1" x14ac:dyDescent="0.2">
      <c r="A99" s="5617" t="s">
        <v>2399</v>
      </c>
      <c r="B99" s="5617"/>
      <c r="C99" s="2310">
        <v>1844</v>
      </c>
      <c r="D99" s="2304" t="s">
        <v>2372</v>
      </c>
      <c r="E99" s="2305" t="s">
        <v>2400</v>
      </c>
      <c r="F99" s="2306">
        <v>36</v>
      </c>
      <c r="G99" s="2306"/>
      <c r="H99" s="2307">
        <v>2020.16</v>
      </c>
      <c r="I99" s="5618">
        <v>2020.16</v>
      </c>
      <c r="J99" s="5618"/>
      <c r="K99" s="2305"/>
      <c r="L99" s="2305"/>
      <c r="M99" s="2308"/>
      <c r="N99" s="2308"/>
      <c r="O99" s="2308"/>
      <c r="P99" s="2305"/>
      <c r="Q99" s="2305"/>
      <c r="R99" s="2307">
        <v>2020.16</v>
      </c>
      <c r="S99" s="2307">
        <v>2020.16</v>
      </c>
      <c r="T99" s="2305"/>
    </row>
    <row r="100" spans="1:20" ht="23.25" customHeight="1" outlineLevel="1" x14ac:dyDescent="0.2">
      <c r="A100" s="5617" t="s">
        <v>2401</v>
      </c>
      <c r="B100" s="5617"/>
      <c r="C100" s="2303">
        <v>224</v>
      </c>
      <c r="D100" s="2304" t="s">
        <v>2295</v>
      </c>
      <c r="E100" s="2305" t="s">
        <v>2402</v>
      </c>
      <c r="F100" s="2306">
        <v>360</v>
      </c>
      <c r="G100" s="2306"/>
      <c r="H100" s="2307">
        <v>89331</v>
      </c>
      <c r="I100" s="5618">
        <v>89331</v>
      </c>
      <c r="J100" s="5618"/>
      <c r="K100" s="2305"/>
      <c r="L100" s="2305"/>
      <c r="M100" s="2308"/>
      <c r="N100" s="2308"/>
      <c r="O100" s="2308"/>
      <c r="P100" s="2305"/>
      <c r="Q100" s="2305"/>
      <c r="R100" s="2307">
        <v>89331</v>
      </c>
      <c r="S100" s="2307">
        <v>89331</v>
      </c>
      <c r="T100" s="2305"/>
    </row>
    <row r="101" spans="1:20" ht="23.25" customHeight="1" outlineLevel="1" x14ac:dyDescent="0.2">
      <c r="A101" s="5617" t="s">
        <v>2403</v>
      </c>
      <c r="B101" s="5617"/>
      <c r="C101" s="2303">
        <v>14</v>
      </c>
      <c r="D101" s="2304" t="s">
        <v>2217</v>
      </c>
      <c r="E101" s="2305" t="s">
        <v>2404</v>
      </c>
      <c r="F101" s="2306">
        <v>240</v>
      </c>
      <c r="G101" s="2306"/>
      <c r="H101" s="2307">
        <v>617275</v>
      </c>
      <c r="I101" s="5618">
        <v>617275</v>
      </c>
      <c r="J101" s="5618"/>
      <c r="K101" s="2305"/>
      <c r="L101" s="2305"/>
      <c r="M101" s="2308"/>
      <c r="N101" s="2308"/>
      <c r="O101" s="2308"/>
      <c r="P101" s="2305"/>
      <c r="Q101" s="2305"/>
      <c r="R101" s="2307">
        <v>617275</v>
      </c>
      <c r="S101" s="2307">
        <v>617275</v>
      </c>
      <c r="T101" s="2305"/>
    </row>
    <row r="102" spans="1:20" ht="23.25" customHeight="1" outlineLevel="1" x14ac:dyDescent="0.2">
      <c r="A102" s="5617" t="s">
        <v>2405</v>
      </c>
      <c r="B102" s="5617"/>
      <c r="C102" s="2303">
        <v>38</v>
      </c>
      <c r="D102" s="2304" t="s">
        <v>2196</v>
      </c>
      <c r="E102" s="2305" t="s">
        <v>2406</v>
      </c>
      <c r="F102" s="2306">
        <v>600</v>
      </c>
      <c r="G102" s="2306"/>
      <c r="H102" s="2307">
        <v>1544320</v>
      </c>
      <c r="I102" s="5618">
        <v>705254.66</v>
      </c>
      <c r="J102" s="5618"/>
      <c r="K102" s="2307">
        <v>839065.34</v>
      </c>
      <c r="L102" s="2305"/>
      <c r="M102" s="2308"/>
      <c r="N102" s="2308"/>
      <c r="O102" s="2308"/>
      <c r="P102" s="2305"/>
      <c r="Q102" s="2305"/>
      <c r="R102" s="2307">
        <v>1544320</v>
      </c>
      <c r="S102" s="2307">
        <v>705254.66</v>
      </c>
      <c r="T102" s="2307">
        <v>839065.34</v>
      </c>
    </row>
    <row r="103" spans="1:20" ht="23.25" customHeight="1" outlineLevel="1" x14ac:dyDescent="0.2">
      <c r="A103" s="5617" t="s">
        <v>2407</v>
      </c>
      <c r="B103" s="5617"/>
      <c r="C103" s="2303">
        <v>165</v>
      </c>
      <c r="D103" s="2304" t="s">
        <v>2408</v>
      </c>
      <c r="E103" s="2305" t="s">
        <v>2409</v>
      </c>
      <c r="F103" s="2306">
        <v>600</v>
      </c>
      <c r="G103" s="2306"/>
      <c r="H103" s="2307">
        <v>5020</v>
      </c>
      <c r="I103" s="5618">
        <v>1602.6</v>
      </c>
      <c r="J103" s="5618"/>
      <c r="K103" s="2307">
        <v>3417.4</v>
      </c>
      <c r="L103" s="2305"/>
      <c r="M103" s="2348">
        <v>100.44</v>
      </c>
      <c r="N103" s="2309">
        <f>M103</f>
        <v>100.44</v>
      </c>
      <c r="O103" s="2309"/>
      <c r="P103" s="2305"/>
      <c r="Q103" s="2305"/>
      <c r="R103" s="2307">
        <v>5020</v>
      </c>
      <c r="S103" s="2307">
        <v>1703.04</v>
      </c>
      <c r="T103" s="2307">
        <v>3316.96</v>
      </c>
    </row>
    <row r="104" spans="1:20" ht="45.75" customHeight="1" outlineLevel="1" x14ac:dyDescent="0.2">
      <c r="A104" s="5617" t="s">
        <v>2410</v>
      </c>
      <c r="B104" s="5617"/>
      <c r="C104" s="2310">
        <v>2431</v>
      </c>
      <c r="D104" s="2304" t="s">
        <v>2253</v>
      </c>
      <c r="E104" s="2305" t="s">
        <v>2411</v>
      </c>
      <c r="F104" s="2306">
        <v>120</v>
      </c>
      <c r="G104" s="2306"/>
      <c r="H104" s="2307">
        <v>1859602.46</v>
      </c>
      <c r="I104" s="5618">
        <v>1004704.8</v>
      </c>
      <c r="J104" s="5618"/>
      <c r="K104" s="2307">
        <v>854897.66</v>
      </c>
      <c r="L104" s="2305"/>
      <c r="M104" s="2309">
        <v>185960.28</v>
      </c>
      <c r="N104" s="2309">
        <f>M104</f>
        <v>185960.28</v>
      </c>
      <c r="O104" s="2309"/>
      <c r="P104" s="2305"/>
      <c r="Q104" s="2305"/>
      <c r="R104" s="2307">
        <v>1859602.46</v>
      </c>
      <c r="S104" s="2307">
        <v>1190665.08</v>
      </c>
      <c r="T104" s="2307">
        <v>668937.38</v>
      </c>
    </row>
    <row r="105" spans="1:20" ht="23.25" customHeight="1" outlineLevel="1" x14ac:dyDescent="0.2">
      <c r="A105" s="5617" t="s">
        <v>2412</v>
      </c>
      <c r="B105" s="5617"/>
      <c r="C105" s="2303">
        <v>71</v>
      </c>
      <c r="D105" s="2304" t="s">
        <v>2196</v>
      </c>
      <c r="E105" s="2305" t="s">
        <v>2352</v>
      </c>
      <c r="F105" s="2306">
        <v>144</v>
      </c>
      <c r="G105" s="2306"/>
      <c r="H105" s="2307">
        <v>2628</v>
      </c>
      <c r="I105" s="5618">
        <v>2628</v>
      </c>
      <c r="J105" s="5618"/>
      <c r="K105" s="2305"/>
      <c r="L105" s="2305"/>
      <c r="M105" s="2308"/>
      <c r="N105" s="2309"/>
      <c r="O105" s="2309"/>
      <c r="P105" s="2305"/>
      <c r="Q105" s="2305"/>
      <c r="R105" s="2307">
        <v>2628</v>
      </c>
      <c r="S105" s="2307">
        <v>2628</v>
      </c>
      <c r="T105" s="2305"/>
    </row>
    <row r="106" spans="1:20" ht="23.25" customHeight="1" outlineLevel="1" x14ac:dyDescent="0.2">
      <c r="A106" s="5617" t="s">
        <v>2413</v>
      </c>
      <c r="B106" s="5617"/>
      <c r="C106" s="2344">
        <v>1475</v>
      </c>
      <c r="D106" s="2304" t="s">
        <v>2414</v>
      </c>
      <c r="E106" s="2305" t="s">
        <v>2415</v>
      </c>
      <c r="F106" s="2306">
        <v>240</v>
      </c>
      <c r="G106" s="2306"/>
      <c r="H106" s="2307">
        <v>400632</v>
      </c>
      <c r="I106" s="5618">
        <v>70110.600000000006</v>
      </c>
      <c r="J106" s="5618"/>
      <c r="K106" s="2307">
        <v>330521.40000000002</v>
      </c>
      <c r="L106" s="2305"/>
      <c r="M106" s="2309">
        <v>20031.599999999999</v>
      </c>
      <c r="N106" s="2309">
        <f>H106/F106*12</f>
        <v>20031.599999999999</v>
      </c>
      <c r="O106" s="2309"/>
      <c r="P106" s="2305"/>
      <c r="Q106" s="2305"/>
      <c r="R106" s="2307">
        <v>400632</v>
      </c>
      <c r="S106" s="2307">
        <v>90142.2</v>
      </c>
      <c r="T106" s="2307">
        <v>310489.8</v>
      </c>
    </row>
    <row r="107" spans="1:20" ht="23.25" customHeight="1" outlineLevel="1" x14ac:dyDescent="0.2">
      <c r="A107" s="5617" t="s">
        <v>2416</v>
      </c>
      <c r="B107" s="5617"/>
      <c r="C107" s="2303">
        <v>323</v>
      </c>
      <c r="D107" s="2304" t="s">
        <v>2222</v>
      </c>
      <c r="E107" s="2305" t="s">
        <v>2417</v>
      </c>
      <c r="F107" s="2306">
        <v>706</v>
      </c>
      <c r="G107" s="2306"/>
      <c r="H107" s="2307">
        <v>33941</v>
      </c>
      <c r="I107" s="5618">
        <v>17712.400000000001</v>
      </c>
      <c r="J107" s="5618"/>
      <c r="K107" s="2307">
        <v>16228.6</v>
      </c>
      <c r="L107" s="2305"/>
      <c r="M107" s="2348">
        <v>576.96</v>
      </c>
      <c r="N107" s="2309">
        <f>M107</f>
        <v>576.96</v>
      </c>
      <c r="O107" s="2309"/>
      <c r="P107" s="2305"/>
      <c r="Q107" s="2305"/>
      <c r="R107" s="2307">
        <v>33941</v>
      </c>
      <c r="S107" s="2307">
        <v>18289.36</v>
      </c>
      <c r="T107" s="2307">
        <v>15651.64</v>
      </c>
    </row>
    <row r="108" spans="1:20" ht="23.25" customHeight="1" outlineLevel="1" x14ac:dyDescent="0.2">
      <c r="A108" s="5617" t="s">
        <v>2418</v>
      </c>
      <c r="B108" s="5617"/>
      <c r="C108" s="2303">
        <v>39</v>
      </c>
      <c r="D108" s="2304" t="s">
        <v>2196</v>
      </c>
      <c r="E108" s="2305" t="s">
        <v>2419</v>
      </c>
      <c r="F108" s="2306">
        <v>600</v>
      </c>
      <c r="G108" s="2306"/>
      <c r="H108" s="2307">
        <v>397565</v>
      </c>
      <c r="I108" s="5618">
        <v>219342.8</v>
      </c>
      <c r="J108" s="5618"/>
      <c r="K108" s="2307">
        <v>178222.2</v>
      </c>
      <c r="L108" s="2305"/>
      <c r="M108" s="2309">
        <v>7951.32</v>
      </c>
      <c r="N108" s="2309">
        <f>M108</f>
        <v>7951.32</v>
      </c>
      <c r="O108" s="2309"/>
      <c r="P108" s="2305"/>
      <c r="Q108" s="2305"/>
      <c r="R108" s="2307">
        <v>397565</v>
      </c>
      <c r="S108" s="2307">
        <v>227294.12</v>
      </c>
      <c r="T108" s="2307">
        <v>170270.88</v>
      </c>
    </row>
    <row r="109" spans="1:20" ht="34.5" customHeight="1" outlineLevel="1" x14ac:dyDescent="0.2">
      <c r="A109" s="5617" t="s">
        <v>2420</v>
      </c>
      <c r="B109" s="5617"/>
      <c r="C109" s="2303">
        <v>73</v>
      </c>
      <c r="D109" s="2304" t="s">
        <v>2196</v>
      </c>
      <c r="E109" s="2305" t="s">
        <v>2421</v>
      </c>
      <c r="F109" s="2306">
        <v>144</v>
      </c>
      <c r="G109" s="2306"/>
      <c r="H109" s="2307">
        <v>10030</v>
      </c>
      <c r="I109" s="5618">
        <v>10030</v>
      </c>
      <c r="J109" s="5618"/>
      <c r="K109" s="2305"/>
      <c r="L109" s="2305"/>
      <c r="M109" s="2308"/>
      <c r="N109" s="2309"/>
      <c r="O109" s="2309"/>
      <c r="P109" s="2305"/>
      <c r="Q109" s="2305"/>
      <c r="R109" s="2307">
        <v>10030</v>
      </c>
      <c r="S109" s="2307">
        <v>10030</v>
      </c>
      <c r="T109" s="2305"/>
    </row>
    <row r="110" spans="1:20" ht="23.25" customHeight="1" outlineLevel="1" x14ac:dyDescent="0.2">
      <c r="A110" s="5617" t="s">
        <v>2422</v>
      </c>
      <c r="B110" s="5617"/>
      <c r="C110" s="2303">
        <v>177</v>
      </c>
      <c r="D110" s="2304" t="s">
        <v>2295</v>
      </c>
      <c r="E110" s="2305" t="s">
        <v>2423</v>
      </c>
      <c r="F110" s="2306">
        <v>364</v>
      </c>
      <c r="G110" s="2306"/>
      <c r="H110" s="2307">
        <v>57281</v>
      </c>
      <c r="I110" s="5618">
        <v>57281</v>
      </c>
      <c r="J110" s="5618"/>
      <c r="K110" s="2305"/>
      <c r="L110" s="2305"/>
      <c r="M110" s="2308"/>
      <c r="N110" s="2309"/>
      <c r="O110" s="2309"/>
      <c r="P110" s="2305"/>
      <c r="Q110" s="2305"/>
      <c r="R110" s="2307">
        <v>57281</v>
      </c>
      <c r="S110" s="2307">
        <v>57281</v>
      </c>
      <c r="T110" s="2305"/>
    </row>
    <row r="111" spans="1:20" ht="23.25" customHeight="1" outlineLevel="1" x14ac:dyDescent="0.2">
      <c r="A111" s="5617" t="s">
        <v>2424</v>
      </c>
      <c r="B111" s="5617"/>
      <c r="C111" s="2303">
        <v>22</v>
      </c>
      <c r="D111" s="2304" t="s">
        <v>2217</v>
      </c>
      <c r="E111" s="2305" t="s">
        <v>2425</v>
      </c>
      <c r="F111" s="2306">
        <v>300</v>
      </c>
      <c r="G111" s="2306"/>
      <c r="H111" s="2307">
        <v>162631</v>
      </c>
      <c r="I111" s="5618">
        <v>162631</v>
      </c>
      <c r="J111" s="5618"/>
      <c r="K111" s="2305"/>
      <c r="L111" s="2305"/>
      <c r="M111" s="2308"/>
      <c r="N111" s="2309"/>
      <c r="O111" s="2309"/>
      <c r="P111" s="2305"/>
      <c r="Q111" s="2305"/>
      <c r="R111" s="2307">
        <v>162631</v>
      </c>
      <c r="S111" s="2307">
        <v>162631</v>
      </c>
      <c r="T111" s="2305"/>
    </row>
    <row r="112" spans="1:20" ht="23.25" customHeight="1" outlineLevel="1" x14ac:dyDescent="0.2">
      <c r="A112" s="5617" t="s">
        <v>2426</v>
      </c>
      <c r="B112" s="5617"/>
      <c r="C112" s="2303">
        <v>16</v>
      </c>
      <c r="D112" s="2304" t="s">
        <v>2217</v>
      </c>
      <c r="E112" s="2305" t="s">
        <v>2427</v>
      </c>
      <c r="F112" s="2306">
        <v>600</v>
      </c>
      <c r="G112" s="2306"/>
      <c r="H112" s="2307">
        <v>2712909</v>
      </c>
      <c r="I112" s="5618">
        <v>1550872.36</v>
      </c>
      <c r="J112" s="5618"/>
      <c r="K112" s="2307">
        <v>1162036.6399999999</v>
      </c>
      <c r="L112" s="2305"/>
      <c r="M112" s="2308"/>
      <c r="N112" s="2309"/>
      <c r="O112" s="2309"/>
      <c r="P112" s="2305"/>
      <c r="Q112" s="2305"/>
      <c r="R112" s="2307">
        <v>2712909</v>
      </c>
      <c r="S112" s="2307">
        <v>1550872.36</v>
      </c>
      <c r="T112" s="2307">
        <v>1162036.6399999999</v>
      </c>
    </row>
    <row r="113" spans="1:20" ht="23.25" customHeight="1" outlineLevel="1" x14ac:dyDescent="0.2">
      <c r="A113" s="5617" t="s">
        <v>2428</v>
      </c>
      <c r="B113" s="5617"/>
      <c r="C113" s="2303">
        <v>23</v>
      </c>
      <c r="D113" s="2304" t="s">
        <v>2217</v>
      </c>
      <c r="E113" s="2305" t="s">
        <v>2429</v>
      </c>
      <c r="F113" s="2306">
        <v>600</v>
      </c>
      <c r="G113" s="2306"/>
      <c r="H113" s="2307">
        <v>536070</v>
      </c>
      <c r="I113" s="5618">
        <v>405602.1</v>
      </c>
      <c r="J113" s="5618"/>
      <c r="K113" s="2307">
        <v>130467.9</v>
      </c>
      <c r="L113" s="2305"/>
      <c r="M113" s="2308"/>
      <c r="N113" s="2309"/>
      <c r="O113" s="2309"/>
      <c r="P113" s="2305"/>
      <c r="Q113" s="2305"/>
      <c r="R113" s="2307">
        <v>536070</v>
      </c>
      <c r="S113" s="2307">
        <v>405602.1</v>
      </c>
      <c r="T113" s="2307">
        <v>130467.9</v>
      </c>
    </row>
    <row r="114" spans="1:20" ht="34.5" customHeight="1" outlineLevel="1" x14ac:dyDescent="0.2">
      <c r="A114" s="5617" t="s">
        <v>2430</v>
      </c>
      <c r="B114" s="5617"/>
      <c r="C114" s="2310">
        <v>2430</v>
      </c>
      <c r="D114" s="2304" t="s">
        <v>2253</v>
      </c>
      <c r="E114" s="2305" t="s">
        <v>2431</v>
      </c>
      <c r="F114" s="2306">
        <v>180</v>
      </c>
      <c r="G114" s="2306"/>
      <c r="H114" s="2307">
        <v>663989</v>
      </c>
      <c r="I114" s="5618">
        <v>243462.78</v>
      </c>
      <c r="J114" s="5618"/>
      <c r="K114" s="2307">
        <v>420526.22</v>
      </c>
      <c r="L114" s="2305"/>
      <c r="M114" s="2309">
        <v>44265.96</v>
      </c>
      <c r="N114" s="2309">
        <f>M114</f>
        <v>44265.96</v>
      </c>
      <c r="O114" s="2309"/>
      <c r="P114" s="2305"/>
      <c r="Q114" s="2305"/>
      <c r="R114" s="2307">
        <v>663989</v>
      </c>
      <c r="S114" s="2307">
        <v>287728.74</v>
      </c>
      <c r="T114" s="2307">
        <v>376260.26</v>
      </c>
    </row>
    <row r="115" spans="1:20" ht="34.5" customHeight="1" outlineLevel="1" x14ac:dyDescent="0.2">
      <c r="A115" s="5617" t="s">
        <v>2432</v>
      </c>
      <c r="B115" s="5617"/>
      <c r="C115" s="2310">
        <v>1758</v>
      </c>
      <c r="D115" s="2304" t="s">
        <v>2433</v>
      </c>
      <c r="E115" s="2305" t="s">
        <v>2434</v>
      </c>
      <c r="F115" s="2306">
        <v>240</v>
      </c>
      <c r="G115" s="2306"/>
      <c r="H115" s="2307">
        <v>66854.240000000005</v>
      </c>
      <c r="I115" s="5618">
        <v>39834.080000000002</v>
      </c>
      <c r="J115" s="5618"/>
      <c r="K115" s="2307">
        <v>27020.16</v>
      </c>
      <c r="L115" s="2305"/>
      <c r="M115" s="2309">
        <v>3342.72</v>
      </c>
      <c r="N115" s="2309">
        <f>M115</f>
        <v>3342.72</v>
      </c>
      <c r="O115" s="2309"/>
      <c r="P115" s="2305"/>
      <c r="Q115" s="2305"/>
      <c r="R115" s="2307">
        <v>66854.240000000005</v>
      </c>
      <c r="S115" s="2307">
        <v>43176.800000000003</v>
      </c>
      <c r="T115" s="2307">
        <v>23677.439999999999</v>
      </c>
    </row>
    <row r="116" spans="1:20" ht="23.25" customHeight="1" outlineLevel="1" x14ac:dyDescent="0.2">
      <c r="A116" s="5617" t="s">
        <v>2435</v>
      </c>
      <c r="B116" s="5617"/>
      <c r="C116" s="2310">
        <v>2427</v>
      </c>
      <c r="D116" s="2304" t="s">
        <v>2253</v>
      </c>
      <c r="E116" s="2305" t="s">
        <v>2436</v>
      </c>
      <c r="F116" s="2306">
        <v>84</v>
      </c>
      <c r="G116" s="2306"/>
      <c r="H116" s="2307">
        <v>117439.9</v>
      </c>
      <c r="I116" s="5618">
        <v>92273.94</v>
      </c>
      <c r="J116" s="5618"/>
      <c r="K116" s="2307">
        <v>25165.96</v>
      </c>
      <c r="L116" s="2305"/>
      <c r="M116" s="2309">
        <v>16777.080000000002</v>
      </c>
      <c r="N116" s="2309">
        <f>M116</f>
        <v>16777.080000000002</v>
      </c>
      <c r="O116" s="2309"/>
      <c r="P116" s="2305"/>
      <c r="Q116" s="2305"/>
      <c r="R116" s="2307">
        <v>117439.9</v>
      </c>
      <c r="S116" s="2307">
        <v>109051.02</v>
      </c>
      <c r="T116" s="2307">
        <v>8388.8799999999992</v>
      </c>
    </row>
    <row r="117" spans="1:20" ht="23.25" customHeight="1" outlineLevel="1" x14ac:dyDescent="0.2">
      <c r="A117" s="5617" t="s">
        <v>2437</v>
      </c>
      <c r="B117" s="5617"/>
      <c r="C117" s="2303">
        <v>25</v>
      </c>
      <c r="D117" s="2304" t="s">
        <v>2217</v>
      </c>
      <c r="E117" s="2305" t="s">
        <v>2438</v>
      </c>
      <c r="F117" s="2306">
        <v>480</v>
      </c>
      <c r="G117" s="2306"/>
      <c r="H117" s="2307">
        <v>20758</v>
      </c>
      <c r="I117" s="5618">
        <v>19454.5</v>
      </c>
      <c r="J117" s="5618"/>
      <c r="K117" s="2307">
        <v>1303.5</v>
      </c>
      <c r="L117" s="2305"/>
      <c r="M117" s="2308"/>
      <c r="N117" s="2309"/>
      <c r="O117" s="2309"/>
      <c r="P117" s="2305"/>
      <c r="Q117" s="2305"/>
      <c r="R117" s="2307">
        <v>20758</v>
      </c>
      <c r="S117" s="2307">
        <v>19454.5</v>
      </c>
      <c r="T117" s="2307">
        <v>1303.5</v>
      </c>
    </row>
    <row r="118" spans="1:20" ht="23.25" customHeight="1" outlineLevel="1" x14ac:dyDescent="0.2">
      <c r="A118" s="5617" t="s">
        <v>2439</v>
      </c>
      <c r="B118" s="5617"/>
      <c r="C118" s="2303">
        <v>70</v>
      </c>
      <c r="D118" s="2304" t="s">
        <v>2196</v>
      </c>
      <c r="E118" s="2305" t="s">
        <v>2440</v>
      </c>
      <c r="F118" s="2306">
        <v>144</v>
      </c>
      <c r="G118" s="2306"/>
      <c r="H118" s="2307">
        <v>317653</v>
      </c>
      <c r="I118" s="5618">
        <v>317653</v>
      </c>
      <c r="J118" s="5618"/>
      <c r="K118" s="2305"/>
      <c r="L118" s="2305"/>
      <c r="M118" s="2308"/>
      <c r="N118" s="2309"/>
      <c r="O118" s="2309"/>
      <c r="P118" s="2305"/>
      <c r="Q118" s="2305"/>
      <c r="R118" s="2307">
        <v>317653</v>
      </c>
      <c r="S118" s="2307">
        <v>317653</v>
      </c>
      <c r="T118" s="2305"/>
    </row>
    <row r="119" spans="1:20" ht="23.25" customHeight="1" outlineLevel="1" x14ac:dyDescent="0.2">
      <c r="A119" s="5617" t="s">
        <v>2441</v>
      </c>
      <c r="B119" s="5617"/>
      <c r="C119" s="2303">
        <v>312</v>
      </c>
      <c r="D119" s="2304" t="s">
        <v>2256</v>
      </c>
      <c r="E119" s="2305" t="s">
        <v>2442</v>
      </c>
      <c r="F119" s="2306">
        <v>308</v>
      </c>
      <c r="G119" s="2306"/>
      <c r="H119" s="2307">
        <v>63055</v>
      </c>
      <c r="I119" s="5618">
        <v>63055</v>
      </c>
      <c r="J119" s="5618"/>
      <c r="K119" s="2305"/>
      <c r="L119" s="2305"/>
      <c r="M119" s="2308"/>
      <c r="N119" s="2309"/>
      <c r="O119" s="2309"/>
      <c r="P119" s="2305"/>
      <c r="Q119" s="2305"/>
      <c r="R119" s="2307">
        <v>63055</v>
      </c>
      <c r="S119" s="2307">
        <v>63055</v>
      </c>
      <c r="T119" s="2305"/>
    </row>
    <row r="120" spans="1:20" ht="34.5" customHeight="1" outlineLevel="1" x14ac:dyDescent="0.2">
      <c r="A120" s="5617" t="s">
        <v>2443</v>
      </c>
      <c r="B120" s="5617"/>
      <c r="C120" s="2303">
        <v>428</v>
      </c>
      <c r="D120" s="2304" t="s">
        <v>2250</v>
      </c>
      <c r="E120" s="2305" t="s">
        <v>2444</v>
      </c>
      <c r="F120" s="2306">
        <v>308</v>
      </c>
      <c r="G120" s="2306"/>
      <c r="H120" s="2307">
        <v>46346</v>
      </c>
      <c r="I120" s="5618">
        <v>46346</v>
      </c>
      <c r="J120" s="5618"/>
      <c r="K120" s="2305"/>
      <c r="L120" s="2305"/>
      <c r="M120" s="2308"/>
      <c r="N120" s="2309"/>
      <c r="O120" s="2309"/>
      <c r="P120" s="2305"/>
      <c r="Q120" s="2305"/>
      <c r="R120" s="2307">
        <v>46346</v>
      </c>
      <c r="S120" s="2307">
        <v>46346</v>
      </c>
      <c r="T120" s="2305"/>
    </row>
    <row r="121" spans="1:20" ht="23.25" customHeight="1" outlineLevel="1" x14ac:dyDescent="0.2">
      <c r="A121" s="5617" t="s">
        <v>2445</v>
      </c>
      <c r="B121" s="5617"/>
      <c r="C121" s="2303">
        <v>226</v>
      </c>
      <c r="D121" s="2304" t="s">
        <v>2446</v>
      </c>
      <c r="E121" s="2305" t="s">
        <v>2447</v>
      </c>
      <c r="F121" s="2306">
        <v>600</v>
      </c>
      <c r="G121" s="2306"/>
      <c r="H121" s="2307">
        <v>307635</v>
      </c>
      <c r="I121" s="5618">
        <v>307635</v>
      </c>
      <c r="J121" s="5618"/>
      <c r="K121" s="2305"/>
      <c r="L121" s="2305"/>
      <c r="M121" s="2308"/>
      <c r="N121" s="2309"/>
      <c r="O121" s="2309"/>
      <c r="P121" s="2305"/>
      <c r="Q121" s="2305"/>
      <c r="R121" s="2307">
        <v>307635</v>
      </c>
      <c r="S121" s="2307">
        <v>307635</v>
      </c>
      <c r="T121" s="2305"/>
    </row>
    <row r="122" spans="1:20" ht="23.25" customHeight="1" outlineLevel="1" x14ac:dyDescent="0.2">
      <c r="A122" s="5617" t="s">
        <v>2448</v>
      </c>
      <c r="B122" s="5617"/>
      <c r="C122" s="2303">
        <v>554</v>
      </c>
      <c r="D122" s="2304" t="s">
        <v>2449</v>
      </c>
      <c r="E122" s="2305" t="s">
        <v>2450</v>
      </c>
      <c r="F122" s="2306">
        <v>109</v>
      </c>
      <c r="G122" s="2306"/>
      <c r="H122" s="2307">
        <v>38333</v>
      </c>
      <c r="I122" s="5618">
        <v>38333</v>
      </c>
      <c r="J122" s="5618"/>
      <c r="K122" s="2305"/>
      <c r="L122" s="2305"/>
      <c r="M122" s="2308"/>
      <c r="N122" s="2309"/>
      <c r="O122" s="2309"/>
      <c r="P122" s="2305"/>
      <c r="Q122" s="2305"/>
      <c r="R122" s="2307">
        <v>38333</v>
      </c>
      <c r="S122" s="2307">
        <v>38333</v>
      </c>
      <c r="T122" s="2305"/>
    </row>
    <row r="123" spans="1:20" ht="23.25" customHeight="1" outlineLevel="1" x14ac:dyDescent="0.2">
      <c r="A123" s="5617" t="s">
        <v>2451</v>
      </c>
      <c r="B123" s="5617"/>
      <c r="C123" s="2303">
        <v>17</v>
      </c>
      <c r="D123" s="2304" t="s">
        <v>2217</v>
      </c>
      <c r="E123" s="2305" t="s">
        <v>2452</v>
      </c>
      <c r="F123" s="2306">
        <v>600</v>
      </c>
      <c r="G123" s="2306"/>
      <c r="H123" s="2307">
        <v>558920</v>
      </c>
      <c r="I123" s="5618">
        <v>422938.54</v>
      </c>
      <c r="J123" s="5618"/>
      <c r="K123" s="2307">
        <v>135981.46</v>
      </c>
      <c r="L123" s="2305"/>
      <c r="M123" s="2308"/>
      <c r="N123" s="2309"/>
      <c r="O123" s="2309"/>
      <c r="P123" s="2305"/>
      <c r="Q123" s="2305"/>
      <c r="R123" s="2307">
        <v>558920</v>
      </c>
      <c r="S123" s="2307">
        <v>422938.54</v>
      </c>
      <c r="T123" s="2307">
        <v>135981.46</v>
      </c>
    </row>
    <row r="124" spans="1:20" ht="23.25" customHeight="1" outlineLevel="1" x14ac:dyDescent="0.2">
      <c r="A124" s="5617" t="s">
        <v>2453</v>
      </c>
      <c r="B124" s="5617"/>
      <c r="C124" s="2303">
        <v>19</v>
      </c>
      <c r="D124" s="2304" t="s">
        <v>2217</v>
      </c>
      <c r="E124" s="2305" t="s">
        <v>2454</v>
      </c>
      <c r="F124" s="2306">
        <v>600</v>
      </c>
      <c r="G124" s="2306"/>
      <c r="H124" s="2307">
        <v>62350</v>
      </c>
      <c r="I124" s="5618">
        <v>47182.559999999998</v>
      </c>
      <c r="J124" s="5618"/>
      <c r="K124" s="2307">
        <v>15167.44</v>
      </c>
      <c r="L124" s="2305"/>
      <c r="M124" s="2308"/>
      <c r="N124" s="2309"/>
      <c r="O124" s="2309"/>
      <c r="P124" s="2305"/>
      <c r="Q124" s="2305"/>
      <c r="R124" s="2307">
        <v>62350</v>
      </c>
      <c r="S124" s="2307">
        <v>47182.559999999998</v>
      </c>
      <c r="T124" s="2307">
        <v>15167.44</v>
      </c>
    </row>
    <row r="125" spans="1:20" ht="23.25" customHeight="1" outlineLevel="1" x14ac:dyDescent="0.2">
      <c r="A125" s="5617" t="s">
        <v>2455</v>
      </c>
      <c r="B125" s="5617"/>
      <c r="C125" s="2310">
        <v>1837</v>
      </c>
      <c r="D125" s="2304" t="s">
        <v>2372</v>
      </c>
      <c r="E125" s="2305" t="s">
        <v>2456</v>
      </c>
      <c r="F125" s="2306">
        <v>180</v>
      </c>
      <c r="G125" s="2306"/>
      <c r="H125" s="2305"/>
      <c r="I125" s="2345"/>
      <c r="J125" s="2346"/>
      <c r="K125" s="2305"/>
      <c r="L125" s="2305"/>
      <c r="M125" s="2308"/>
      <c r="N125" s="2309"/>
      <c r="O125" s="2309"/>
      <c r="P125" s="2305"/>
      <c r="Q125" s="2305"/>
      <c r="R125" s="2305"/>
      <c r="S125" s="2305"/>
      <c r="T125" s="2305"/>
    </row>
    <row r="126" spans="1:20" ht="23.25" customHeight="1" outlineLevel="1" x14ac:dyDescent="0.2">
      <c r="A126" s="5617" t="s">
        <v>2457</v>
      </c>
      <c r="B126" s="5617"/>
      <c r="C126" s="2310">
        <v>1848</v>
      </c>
      <c r="D126" s="2304" t="s">
        <v>2372</v>
      </c>
      <c r="E126" s="2305" t="s">
        <v>2458</v>
      </c>
      <c r="F126" s="2306">
        <v>36</v>
      </c>
      <c r="G126" s="2306"/>
      <c r="H126" s="2307">
        <v>9383.36</v>
      </c>
      <c r="I126" s="5618">
        <v>9383.36</v>
      </c>
      <c r="J126" s="5618"/>
      <c r="K126" s="2305"/>
      <c r="L126" s="2305"/>
      <c r="M126" s="2308"/>
      <c r="N126" s="2309"/>
      <c r="O126" s="2309"/>
      <c r="P126" s="2305"/>
      <c r="Q126" s="2305"/>
      <c r="R126" s="2307">
        <v>9383.36</v>
      </c>
      <c r="S126" s="2307">
        <v>9383.36</v>
      </c>
      <c r="T126" s="2305"/>
    </row>
    <row r="127" spans="1:20" ht="23.25" customHeight="1" outlineLevel="1" x14ac:dyDescent="0.2">
      <c r="A127" s="5617" t="s">
        <v>2459</v>
      </c>
      <c r="B127" s="5617"/>
      <c r="C127" s="2310">
        <v>1881</v>
      </c>
      <c r="D127" s="2304" t="s">
        <v>2460</v>
      </c>
      <c r="E127" s="2305" t="s">
        <v>2461</v>
      </c>
      <c r="F127" s="2306">
        <v>180</v>
      </c>
      <c r="G127" s="2306"/>
      <c r="H127" s="2307">
        <v>10395</v>
      </c>
      <c r="I127" s="5618">
        <v>8730.75</v>
      </c>
      <c r="J127" s="5618"/>
      <c r="K127" s="2307">
        <v>1664.25</v>
      </c>
      <c r="L127" s="2305"/>
      <c r="M127" s="2348">
        <v>693</v>
      </c>
      <c r="N127" s="2309">
        <f>H127/F127*12</f>
        <v>693</v>
      </c>
      <c r="O127" s="2309"/>
      <c r="P127" s="2305"/>
      <c r="Q127" s="2305"/>
      <c r="R127" s="2307">
        <v>10395</v>
      </c>
      <c r="S127" s="2307">
        <v>9423.75</v>
      </c>
      <c r="T127" s="2350">
        <v>971.25</v>
      </c>
    </row>
    <row r="128" spans="1:20" ht="23.25" customHeight="1" outlineLevel="1" x14ac:dyDescent="0.2">
      <c r="A128" s="5617" t="s">
        <v>2462</v>
      </c>
      <c r="B128" s="5617"/>
      <c r="C128" s="2310">
        <v>1847</v>
      </c>
      <c r="D128" s="2304" t="s">
        <v>2372</v>
      </c>
      <c r="E128" s="2305" t="s">
        <v>2463</v>
      </c>
      <c r="F128" s="2306">
        <v>36</v>
      </c>
      <c r="G128" s="2306"/>
      <c r="H128" s="2307">
        <v>5234.4799999999996</v>
      </c>
      <c r="I128" s="5618">
        <v>5234.4799999999996</v>
      </c>
      <c r="J128" s="5618"/>
      <c r="K128" s="2305"/>
      <c r="L128" s="2305"/>
      <c r="M128" s="2308"/>
      <c r="N128" s="2309"/>
      <c r="O128" s="2309"/>
      <c r="P128" s="2305"/>
      <c r="Q128" s="2305"/>
      <c r="R128" s="2307">
        <v>5234.4799999999996</v>
      </c>
      <c r="S128" s="2307">
        <v>5234.4799999999996</v>
      </c>
      <c r="T128" s="2305"/>
    </row>
    <row r="129" spans="1:20" ht="23.25" customHeight="1" outlineLevel="1" x14ac:dyDescent="0.2">
      <c r="A129" s="5617" t="s">
        <v>2464</v>
      </c>
      <c r="B129" s="5617"/>
      <c r="C129" s="2310">
        <v>1836</v>
      </c>
      <c r="D129" s="2304" t="s">
        <v>2372</v>
      </c>
      <c r="E129" s="2305" t="s">
        <v>2465</v>
      </c>
      <c r="F129" s="2306">
        <v>180</v>
      </c>
      <c r="G129" s="2306"/>
      <c r="H129" s="2307">
        <v>6305.92</v>
      </c>
      <c r="I129" s="5618">
        <v>4834.1400000000003</v>
      </c>
      <c r="J129" s="5618"/>
      <c r="K129" s="2307">
        <v>1471.78</v>
      </c>
      <c r="L129" s="2305"/>
      <c r="M129" s="2348">
        <v>420.36</v>
      </c>
      <c r="N129" s="2309">
        <f>M129</f>
        <v>420.36</v>
      </c>
      <c r="O129" s="2309"/>
      <c r="P129" s="2305"/>
      <c r="Q129" s="2305"/>
      <c r="R129" s="2307">
        <v>6305.92</v>
      </c>
      <c r="S129" s="2307">
        <v>5254.5</v>
      </c>
      <c r="T129" s="2307">
        <v>1051.42</v>
      </c>
    </row>
    <row r="130" spans="1:20" ht="23.25" customHeight="1" outlineLevel="1" x14ac:dyDescent="0.2">
      <c r="A130" s="5617" t="s">
        <v>2466</v>
      </c>
      <c r="B130" s="5617"/>
      <c r="C130" s="2310">
        <v>1831</v>
      </c>
      <c r="D130" s="2304" t="s">
        <v>2372</v>
      </c>
      <c r="E130" s="2305" t="s">
        <v>2467</v>
      </c>
      <c r="F130" s="2306">
        <v>180</v>
      </c>
      <c r="G130" s="2306"/>
      <c r="H130" s="2307">
        <v>6480.56</v>
      </c>
      <c r="I130" s="5618">
        <v>4968</v>
      </c>
      <c r="J130" s="5618"/>
      <c r="K130" s="2307">
        <v>1512.56</v>
      </c>
      <c r="L130" s="2305"/>
      <c r="M130" s="2348">
        <v>432</v>
      </c>
      <c r="N130" s="2309">
        <f>M130</f>
        <v>432</v>
      </c>
      <c r="O130" s="2309"/>
      <c r="P130" s="2305"/>
      <c r="Q130" s="2305"/>
      <c r="R130" s="2307">
        <v>6480.56</v>
      </c>
      <c r="S130" s="2307">
        <v>5400</v>
      </c>
      <c r="T130" s="2307">
        <v>1080.56</v>
      </c>
    </row>
    <row r="131" spans="1:20" ht="23.25" customHeight="1" outlineLevel="1" x14ac:dyDescent="0.2">
      <c r="A131" s="5617" t="s">
        <v>2468</v>
      </c>
      <c r="B131" s="5617"/>
      <c r="C131" s="2310">
        <v>1832</v>
      </c>
      <c r="D131" s="2304" t="s">
        <v>2372</v>
      </c>
      <c r="E131" s="2305" t="s">
        <v>2469</v>
      </c>
      <c r="F131" s="2306">
        <v>44</v>
      </c>
      <c r="G131" s="2306"/>
      <c r="H131" s="2307">
        <v>9383.36</v>
      </c>
      <c r="I131" s="5618">
        <v>9383.36</v>
      </c>
      <c r="J131" s="5618"/>
      <c r="K131" s="2305"/>
      <c r="L131" s="2305"/>
      <c r="M131" s="2308"/>
      <c r="N131" s="2309"/>
      <c r="O131" s="2309"/>
      <c r="P131" s="2305"/>
      <c r="Q131" s="2305"/>
      <c r="R131" s="2307">
        <v>9383.36</v>
      </c>
      <c r="S131" s="2307">
        <v>9383.36</v>
      </c>
      <c r="T131" s="2305"/>
    </row>
    <row r="132" spans="1:20" ht="23.25" customHeight="1" outlineLevel="1" x14ac:dyDescent="0.2">
      <c r="A132" s="5617" t="s">
        <v>2470</v>
      </c>
      <c r="B132" s="5617"/>
      <c r="C132" s="2310">
        <v>1840</v>
      </c>
      <c r="D132" s="2304" t="s">
        <v>2372</v>
      </c>
      <c r="E132" s="2305" t="s">
        <v>2471</v>
      </c>
      <c r="F132" s="2306">
        <v>180</v>
      </c>
      <c r="G132" s="2306"/>
      <c r="H132" s="2307">
        <v>2860.32</v>
      </c>
      <c r="I132" s="5618">
        <v>2192.8200000000002</v>
      </c>
      <c r="J132" s="5618"/>
      <c r="K132" s="2350">
        <v>667.5</v>
      </c>
      <c r="L132" s="2305"/>
      <c r="M132" s="2348">
        <v>190.68</v>
      </c>
      <c r="N132" s="2309">
        <f>M132</f>
        <v>190.68</v>
      </c>
      <c r="O132" s="2309"/>
      <c r="P132" s="2305"/>
      <c r="Q132" s="2305"/>
      <c r="R132" s="2307">
        <v>2860.32</v>
      </c>
      <c r="S132" s="2307">
        <v>2383.5</v>
      </c>
      <c r="T132" s="2350">
        <v>476.82</v>
      </c>
    </row>
    <row r="133" spans="1:20" ht="23.25" customHeight="1" outlineLevel="1" x14ac:dyDescent="0.2">
      <c r="A133" s="5617" t="s">
        <v>2472</v>
      </c>
      <c r="B133" s="5617"/>
      <c r="C133" s="2310">
        <v>1835</v>
      </c>
      <c r="D133" s="2304" t="s">
        <v>2372</v>
      </c>
      <c r="E133" s="2305" t="s">
        <v>2473</v>
      </c>
      <c r="F133" s="2306">
        <v>180</v>
      </c>
      <c r="G133" s="2306"/>
      <c r="H133" s="2307">
        <v>12626</v>
      </c>
      <c r="I133" s="5618">
        <v>9679.32</v>
      </c>
      <c r="J133" s="5618"/>
      <c r="K133" s="2307">
        <v>2946.68</v>
      </c>
      <c r="L133" s="2305"/>
      <c r="M133" s="2348">
        <v>841.68</v>
      </c>
      <c r="N133" s="2309">
        <f>M133</f>
        <v>841.68</v>
      </c>
      <c r="O133" s="2309"/>
      <c r="P133" s="2305"/>
      <c r="Q133" s="2305"/>
      <c r="R133" s="2307">
        <v>12626</v>
      </c>
      <c r="S133" s="2307">
        <v>10521</v>
      </c>
      <c r="T133" s="2307">
        <v>2105</v>
      </c>
    </row>
    <row r="134" spans="1:20" ht="23.25" customHeight="1" outlineLevel="1" x14ac:dyDescent="0.2">
      <c r="A134" s="5617" t="s">
        <v>2474</v>
      </c>
      <c r="B134" s="5617"/>
      <c r="C134" s="2310">
        <v>1838</v>
      </c>
      <c r="D134" s="2304" t="s">
        <v>2372</v>
      </c>
      <c r="E134" s="2305" t="s">
        <v>2475</v>
      </c>
      <c r="F134" s="2306">
        <v>180</v>
      </c>
      <c r="G134" s="2306"/>
      <c r="H134" s="2307">
        <v>4861.6000000000004</v>
      </c>
      <c r="I134" s="5618">
        <v>3727.38</v>
      </c>
      <c r="J134" s="5618"/>
      <c r="K134" s="2307">
        <v>1134.22</v>
      </c>
      <c r="L134" s="2305"/>
      <c r="M134" s="2348">
        <v>324.12</v>
      </c>
      <c r="N134" s="2309">
        <f>M134</f>
        <v>324.12</v>
      </c>
      <c r="O134" s="2309"/>
      <c r="P134" s="2305"/>
      <c r="Q134" s="2305"/>
      <c r="R134" s="2307">
        <v>4861.6000000000004</v>
      </c>
      <c r="S134" s="2307">
        <v>4051.5</v>
      </c>
      <c r="T134" s="2350">
        <v>810.1</v>
      </c>
    </row>
    <row r="135" spans="1:20" ht="23.25" customHeight="1" outlineLevel="1" x14ac:dyDescent="0.2">
      <c r="A135" s="5617" t="s">
        <v>2476</v>
      </c>
      <c r="B135" s="5617"/>
      <c r="C135" s="2310">
        <v>1841</v>
      </c>
      <c r="D135" s="2304" t="s">
        <v>2372</v>
      </c>
      <c r="E135" s="2305" t="s">
        <v>2477</v>
      </c>
      <c r="F135" s="2306">
        <v>84</v>
      </c>
      <c r="G135" s="2306"/>
      <c r="H135" s="2307">
        <v>16208.48</v>
      </c>
      <c r="I135" s="5618">
        <v>16208.48</v>
      </c>
      <c r="J135" s="5618"/>
      <c r="K135" s="2305"/>
      <c r="L135" s="2305"/>
      <c r="M135" s="2308"/>
      <c r="N135" s="2309"/>
      <c r="O135" s="2309"/>
      <c r="P135" s="2305"/>
      <c r="Q135" s="2305"/>
      <c r="R135" s="2307">
        <v>16208.48</v>
      </c>
      <c r="S135" s="2307">
        <v>16208.48</v>
      </c>
      <c r="T135" s="2305"/>
    </row>
    <row r="136" spans="1:20" ht="23.25" customHeight="1" outlineLevel="1" x14ac:dyDescent="0.2">
      <c r="A136" s="5617" t="s">
        <v>2478</v>
      </c>
      <c r="B136" s="5617"/>
      <c r="C136" s="2310">
        <v>1846</v>
      </c>
      <c r="D136" s="2304" t="s">
        <v>2372</v>
      </c>
      <c r="E136" s="2305" t="s">
        <v>2479</v>
      </c>
      <c r="F136" s="2306">
        <v>36</v>
      </c>
      <c r="G136" s="2306"/>
      <c r="H136" s="2307">
        <v>1463.2</v>
      </c>
      <c r="I136" s="5618">
        <v>1463.2</v>
      </c>
      <c r="J136" s="5618"/>
      <c r="K136" s="2305"/>
      <c r="L136" s="2305"/>
      <c r="M136" s="2308"/>
      <c r="N136" s="2309"/>
      <c r="O136" s="2309"/>
      <c r="P136" s="2305"/>
      <c r="Q136" s="2305"/>
      <c r="R136" s="2307">
        <v>1463.2</v>
      </c>
      <c r="S136" s="2307">
        <v>1463.2</v>
      </c>
      <c r="T136" s="2305"/>
    </row>
    <row r="137" spans="1:20" ht="23.25" customHeight="1" outlineLevel="1" x14ac:dyDescent="0.2">
      <c r="A137" s="5617" t="s">
        <v>2480</v>
      </c>
      <c r="B137" s="5617"/>
      <c r="C137" s="2310">
        <v>1842</v>
      </c>
      <c r="D137" s="2304" t="s">
        <v>2372</v>
      </c>
      <c r="E137" s="2305" t="s">
        <v>2481</v>
      </c>
      <c r="F137" s="2306">
        <v>36</v>
      </c>
      <c r="G137" s="2306"/>
      <c r="H137" s="2307">
        <v>7636.96</v>
      </c>
      <c r="I137" s="5618">
        <v>7636.96</v>
      </c>
      <c r="J137" s="5618"/>
      <c r="K137" s="2305"/>
      <c r="L137" s="2305"/>
      <c r="M137" s="2308"/>
      <c r="N137" s="2309"/>
      <c r="O137" s="2309"/>
      <c r="P137" s="2305"/>
      <c r="Q137" s="2305"/>
      <c r="R137" s="2307">
        <v>7636.96</v>
      </c>
      <c r="S137" s="2307">
        <v>7636.96</v>
      </c>
      <c r="T137" s="2305"/>
    </row>
    <row r="138" spans="1:20" ht="23.25" customHeight="1" outlineLevel="1" x14ac:dyDescent="0.2">
      <c r="A138" s="5617" t="s">
        <v>2482</v>
      </c>
      <c r="B138" s="5617"/>
      <c r="C138" s="2303">
        <v>429</v>
      </c>
      <c r="D138" s="2304" t="s">
        <v>2250</v>
      </c>
      <c r="E138" s="2305" t="s">
        <v>2483</v>
      </c>
      <c r="F138" s="2306">
        <v>923</v>
      </c>
      <c r="G138" s="2306"/>
      <c r="H138" s="2307">
        <v>4969554</v>
      </c>
      <c r="I138" s="5618">
        <v>2102628.4</v>
      </c>
      <c r="J138" s="5618"/>
      <c r="K138" s="2307">
        <v>2866925.6</v>
      </c>
      <c r="L138" s="2305"/>
      <c r="M138" s="2309">
        <v>64609.56</v>
      </c>
      <c r="N138" s="2309">
        <f>M138</f>
        <v>64609.56</v>
      </c>
      <c r="O138" s="2309"/>
      <c r="P138" s="2305"/>
      <c r="Q138" s="2305"/>
      <c r="R138" s="2307">
        <v>4969554</v>
      </c>
      <c r="S138" s="2307">
        <v>2167237.96</v>
      </c>
      <c r="T138" s="2307">
        <v>2802316.04</v>
      </c>
    </row>
    <row r="139" spans="1:20" ht="34.5" customHeight="1" outlineLevel="1" x14ac:dyDescent="0.2">
      <c r="A139" s="5617" t="s">
        <v>2484</v>
      </c>
      <c r="B139" s="5617"/>
      <c r="C139" s="2310">
        <v>2432</v>
      </c>
      <c r="D139" s="2304" t="s">
        <v>2253</v>
      </c>
      <c r="E139" s="2305" t="s">
        <v>2485</v>
      </c>
      <c r="F139" s="2306">
        <v>240</v>
      </c>
      <c r="G139" s="2306"/>
      <c r="H139" s="2307">
        <v>46866.75</v>
      </c>
      <c r="I139" s="5618">
        <v>12888.48</v>
      </c>
      <c r="J139" s="5618"/>
      <c r="K139" s="2307">
        <v>33978.269999999997</v>
      </c>
      <c r="L139" s="2305"/>
      <c r="M139" s="2309">
        <v>2343.36</v>
      </c>
      <c r="N139" s="2309">
        <f>M139</f>
        <v>2343.36</v>
      </c>
      <c r="O139" s="2309"/>
      <c r="P139" s="2305"/>
      <c r="Q139" s="2305"/>
      <c r="R139" s="2307">
        <v>46866.75</v>
      </c>
      <c r="S139" s="2307">
        <v>15231.84</v>
      </c>
      <c r="T139" s="2307">
        <v>31634.91</v>
      </c>
    </row>
    <row r="140" spans="1:20" ht="34.5" customHeight="1" outlineLevel="1" x14ac:dyDescent="0.2">
      <c r="A140" s="5617" t="s">
        <v>2486</v>
      </c>
      <c r="B140" s="5617"/>
      <c r="C140" s="2303">
        <v>74</v>
      </c>
      <c r="D140" s="2304" t="s">
        <v>2196</v>
      </c>
      <c r="E140" s="2305" t="s">
        <v>2487</v>
      </c>
      <c r="F140" s="2306">
        <v>144</v>
      </c>
      <c r="G140" s="2306"/>
      <c r="H140" s="2307">
        <v>463682</v>
      </c>
      <c r="I140" s="5618">
        <v>463682</v>
      </c>
      <c r="J140" s="5618"/>
      <c r="K140" s="2305"/>
      <c r="L140" s="2305"/>
      <c r="M140" s="2308"/>
      <c r="N140" s="2309"/>
      <c r="O140" s="2309"/>
      <c r="P140" s="2305"/>
      <c r="Q140" s="2305"/>
      <c r="R140" s="2307">
        <v>463682</v>
      </c>
      <c r="S140" s="2307">
        <v>463682</v>
      </c>
      <c r="T140" s="2305"/>
    </row>
    <row r="141" spans="1:20" s="2326" customFormat="1" ht="23.25" customHeight="1" outlineLevel="1" x14ac:dyDescent="0.2">
      <c r="A141" s="5626" t="s">
        <v>2488</v>
      </c>
      <c r="B141" s="5626"/>
      <c r="C141" s="2320">
        <v>430</v>
      </c>
      <c r="D141" s="2321" t="s">
        <v>2250</v>
      </c>
      <c r="E141" s="2322" t="s">
        <v>2489</v>
      </c>
      <c r="F141" s="2323">
        <v>375</v>
      </c>
      <c r="G141" s="2323"/>
      <c r="H141" s="2324">
        <v>382973</v>
      </c>
      <c r="I141" s="5627">
        <v>379894.8</v>
      </c>
      <c r="J141" s="5627"/>
      <c r="K141" s="2324">
        <v>3078.2</v>
      </c>
      <c r="L141" s="2322"/>
      <c r="M141" s="2324">
        <v>3078.2</v>
      </c>
      <c r="N141" s="2324">
        <f>M141</f>
        <v>3078.2</v>
      </c>
      <c r="O141" s="2324"/>
      <c r="P141" s="2322"/>
      <c r="Q141" s="2322"/>
      <c r="R141" s="2324">
        <v>382973</v>
      </c>
      <c r="S141" s="2324">
        <v>382973</v>
      </c>
      <c r="T141" s="2322"/>
    </row>
    <row r="142" spans="1:20" ht="23.25" customHeight="1" outlineLevel="1" x14ac:dyDescent="0.2">
      <c r="A142" s="5617" t="s">
        <v>2490</v>
      </c>
      <c r="B142" s="5617"/>
      <c r="C142" s="2303">
        <v>325</v>
      </c>
      <c r="D142" s="2304" t="s">
        <v>2222</v>
      </c>
      <c r="E142" s="2305" t="s">
        <v>2491</v>
      </c>
      <c r="F142" s="2306">
        <v>600</v>
      </c>
      <c r="G142" s="2306"/>
      <c r="H142" s="2307">
        <v>6618</v>
      </c>
      <c r="I142" s="5618">
        <v>4068.4</v>
      </c>
      <c r="J142" s="5618"/>
      <c r="K142" s="2307">
        <v>2549.6</v>
      </c>
      <c r="L142" s="2305"/>
      <c r="M142" s="2348">
        <v>132.36000000000001</v>
      </c>
      <c r="N142" s="2309">
        <f>H142/F142*12</f>
        <v>132.35999999999999</v>
      </c>
      <c r="O142" s="2309"/>
      <c r="P142" s="2305"/>
      <c r="Q142" s="2305"/>
      <c r="R142" s="2307">
        <v>6618</v>
      </c>
      <c r="S142" s="2307">
        <v>4200.76</v>
      </c>
      <c r="T142" s="2307">
        <v>2417.2399999999998</v>
      </c>
    </row>
    <row r="143" spans="1:20" ht="12" customHeight="1" outlineLevel="1" x14ac:dyDescent="0.2">
      <c r="A143" s="5617" t="s">
        <v>2492</v>
      </c>
      <c r="B143" s="5617"/>
      <c r="C143" s="2303">
        <v>324</v>
      </c>
      <c r="D143" s="2304" t="s">
        <v>2222</v>
      </c>
      <c r="E143" s="2305" t="s">
        <v>2493</v>
      </c>
      <c r="F143" s="2306">
        <v>480</v>
      </c>
      <c r="G143" s="2306"/>
      <c r="H143" s="2307">
        <v>6601</v>
      </c>
      <c r="I143" s="5618">
        <v>5088</v>
      </c>
      <c r="J143" s="5618"/>
      <c r="K143" s="2307">
        <v>1513</v>
      </c>
      <c r="L143" s="2305"/>
      <c r="M143" s="2348">
        <v>165</v>
      </c>
      <c r="N143" s="2309">
        <f>M143</f>
        <v>165</v>
      </c>
      <c r="O143" s="2309"/>
      <c r="P143" s="2305"/>
      <c r="Q143" s="2305"/>
      <c r="R143" s="2307">
        <v>6601</v>
      </c>
      <c r="S143" s="2307">
        <v>5253</v>
      </c>
      <c r="T143" s="2307">
        <v>1348</v>
      </c>
    </row>
    <row r="144" spans="1:20" ht="23.25" customHeight="1" outlineLevel="1" x14ac:dyDescent="0.2">
      <c r="A144" s="5617" t="s">
        <v>2494</v>
      </c>
      <c r="B144" s="5617"/>
      <c r="C144" s="2303">
        <v>189</v>
      </c>
      <c r="D144" s="2304" t="s">
        <v>2495</v>
      </c>
      <c r="E144" s="2305" t="s">
        <v>2496</v>
      </c>
      <c r="F144" s="2306">
        <v>122</v>
      </c>
      <c r="G144" s="2306"/>
      <c r="H144" s="2307">
        <v>2845</v>
      </c>
      <c r="I144" s="5618">
        <v>2845</v>
      </c>
      <c r="J144" s="5618"/>
      <c r="K144" s="2305"/>
      <c r="L144" s="2305"/>
      <c r="M144" s="2308"/>
      <c r="N144" s="2309"/>
      <c r="O144" s="2309"/>
      <c r="P144" s="2305"/>
      <c r="Q144" s="2305"/>
      <c r="R144" s="2307">
        <v>2845</v>
      </c>
      <c r="S144" s="2307">
        <v>2845</v>
      </c>
      <c r="T144" s="2305"/>
    </row>
    <row r="145" spans="1:20" ht="23.25" customHeight="1" outlineLevel="1" x14ac:dyDescent="0.2">
      <c r="A145" s="5617" t="s">
        <v>2497</v>
      </c>
      <c r="B145" s="5617"/>
      <c r="C145" s="2303">
        <v>438</v>
      </c>
      <c r="D145" s="2304" t="s">
        <v>2250</v>
      </c>
      <c r="E145" s="2305" t="s">
        <v>2498</v>
      </c>
      <c r="F145" s="2306">
        <v>480</v>
      </c>
      <c r="G145" s="2306"/>
      <c r="H145" s="2307">
        <v>1596</v>
      </c>
      <c r="I145" s="5618">
        <v>1102.4000000000001</v>
      </c>
      <c r="J145" s="5618"/>
      <c r="K145" s="2350">
        <v>493.6</v>
      </c>
      <c r="L145" s="2305"/>
      <c r="M145" s="2348">
        <v>39.96</v>
      </c>
      <c r="N145" s="2309">
        <f>M145</f>
        <v>39.96</v>
      </c>
      <c r="O145" s="2309"/>
      <c r="P145" s="2305"/>
      <c r="Q145" s="2305"/>
      <c r="R145" s="2307">
        <v>1596</v>
      </c>
      <c r="S145" s="2307">
        <v>1142.3599999999999</v>
      </c>
      <c r="T145" s="2350">
        <v>453.64</v>
      </c>
    </row>
    <row r="146" spans="1:20" s="2302" customFormat="1" ht="34.5" customHeight="1" outlineLevel="1" x14ac:dyDescent="0.2">
      <c r="A146" s="5622" t="s">
        <v>2499</v>
      </c>
      <c r="B146" s="5622"/>
      <c r="C146" s="2340">
        <v>1517</v>
      </c>
      <c r="D146" s="2296" t="s">
        <v>2500</v>
      </c>
      <c r="E146" s="2301" t="s">
        <v>2501</v>
      </c>
      <c r="F146" s="2298">
        <v>360</v>
      </c>
      <c r="G146" s="2298"/>
      <c r="H146" s="2301"/>
      <c r="I146" s="2342"/>
      <c r="J146" s="2343"/>
      <c r="K146" s="2301"/>
      <c r="L146" s="2299">
        <v>20643.349999999999</v>
      </c>
      <c r="M146" s="2301"/>
      <c r="N146" s="2301"/>
      <c r="O146" s="2301"/>
      <c r="P146" s="2301"/>
      <c r="Q146" s="2301"/>
      <c r="R146" s="2299">
        <v>20643.349999999999</v>
      </c>
      <c r="S146" s="2301"/>
      <c r="T146" s="2299">
        <v>20643.349999999999</v>
      </c>
    </row>
    <row r="147" spans="1:20" ht="23.25" customHeight="1" outlineLevel="1" x14ac:dyDescent="0.2">
      <c r="A147" s="5617" t="s">
        <v>2502</v>
      </c>
      <c r="B147" s="5617"/>
      <c r="C147" s="2303">
        <v>326</v>
      </c>
      <c r="D147" s="2304" t="s">
        <v>2222</v>
      </c>
      <c r="E147" s="2305" t="s">
        <v>2503</v>
      </c>
      <c r="F147" s="2306">
        <v>360</v>
      </c>
      <c r="G147" s="2306"/>
      <c r="H147" s="2307">
        <v>762666.18</v>
      </c>
      <c r="I147" s="5618">
        <v>762666.18</v>
      </c>
      <c r="J147" s="5618"/>
      <c r="K147" s="2305"/>
      <c r="L147" s="2305"/>
      <c r="M147" s="2308"/>
      <c r="N147" s="2308"/>
      <c r="O147" s="2308"/>
      <c r="P147" s="2305"/>
      <c r="Q147" s="2305"/>
      <c r="R147" s="2307">
        <v>762666.18</v>
      </c>
      <c r="S147" s="2307">
        <v>762666.18</v>
      </c>
      <c r="T147" s="2305"/>
    </row>
    <row r="148" spans="1:20" ht="23.25" customHeight="1" outlineLevel="1" x14ac:dyDescent="0.2">
      <c r="A148" s="5617" t="s">
        <v>2504</v>
      </c>
      <c r="B148" s="5617"/>
      <c r="C148" s="2303">
        <v>327</v>
      </c>
      <c r="D148" s="2304" t="s">
        <v>2222</v>
      </c>
      <c r="E148" s="2305" t="s">
        <v>2505</v>
      </c>
      <c r="F148" s="2306">
        <v>600</v>
      </c>
      <c r="G148" s="2306"/>
      <c r="H148" s="2307">
        <v>9850</v>
      </c>
      <c r="I148" s="5618">
        <v>6037.6</v>
      </c>
      <c r="J148" s="5618"/>
      <c r="K148" s="2307">
        <v>3812.4</v>
      </c>
      <c r="L148" s="2305"/>
      <c r="M148" s="2348">
        <v>197.04</v>
      </c>
      <c r="N148" s="2348">
        <f>M148</f>
        <v>197.04</v>
      </c>
      <c r="O148" s="2348"/>
      <c r="P148" s="2305"/>
      <c r="Q148" s="2305"/>
      <c r="R148" s="2307">
        <v>9850</v>
      </c>
      <c r="S148" s="2307">
        <v>6234.64</v>
      </c>
      <c r="T148" s="2307">
        <v>3615.36</v>
      </c>
    </row>
    <row r="149" spans="1:20" ht="23.25" customHeight="1" outlineLevel="1" x14ac:dyDescent="0.2">
      <c r="A149" s="5617" t="s">
        <v>2506</v>
      </c>
      <c r="B149" s="5617"/>
      <c r="C149" s="2303">
        <v>328</v>
      </c>
      <c r="D149" s="2304" t="s">
        <v>2222</v>
      </c>
      <c r="E149" s="2305" t="s">
        <v>2507</v>
      </c>
      <c r="F149" s="2306">
        <v>300</v>
      </c>
      <c r="G149" s="2306"/>
      <c r="H149" s="2307">
        <v>14174</v>
      </c>
      <c r="I149" s="5618">
        <v>14174</v>
      </c>
      <c r="J149" s="5618"/>
      <c r="K149" s="2305"/>
      <c r="L149" s="2305"/>
      <c r="M149" s="2308"/>
      <c r="N149" s="2308"/>
      <c r="O149" s="2308"/>
      <c r="P149" s="2305"/>
      <c r="Q149" s="2305"/>
      <c r="R149" s="2307">
        <v>14174</v>
      </c>
      <c r="S149" s="2307">
        <v>14174</v>
      </c>
      <c r="T149" s="2305"/>
    </row>
    <row r="150" spans="1:20" ht="34.5" customHeight="1" outlineLevel="1" x14ac:dyDescent="0.2">
      <c r="A150" s="5617" t="s">
        <v>2508</v>
      </c>
      <c r="B150" s="5617"/>
      <c r="C150" s="2303">
        <v>80</v>
      </c>
      <c r="D150" s="2304" t="s">
        <v>2196</v>
      </c>
      <c r="E150" s="2305" t="s">
        <v>2509</v>
      </c>
      <c r="F150" s="2306">
        <v>144</v>
      </c>
      <c r="G150" s="2306"/>
      <c r="H150" s="2307">
        <v>428085</v>
      </c>
      <c r="I150" s="5618">
        <v>428085</v>
      </c>
      <c r="J150" s="5618"/>
      <c r="K150" s="2305"/>
      <c r="L150" s="2305"/>
      <c r="M150" s="2308"/>
      <c r="N150" s="2308"/>
      <c r="O150" s="2308"/>
      <c r="P150" s="2305"/>
      <c r="Q150" s="2305"/>
      <c r="R150" s="2307">
        <v>428085</v>
      </c>
      <c r="S150" s="2307">
        <v>428085</v>
      </c>
      <c r="T150" s="2305"/>
    </row>
    <row r="151" spans="1:20" ht="23.25" customHeight="1" outlineLevel="1" x14ac:dyDescent="0.2">
      <c r="A151" s="5617" t="s">
        <v>2510</v>
      </c>
      <c r="B151" s="5617"/>
      <c r="C151" s="2303">
        <v>82</v>
      </c>
      <c r="D151" s="2304" t="s">
        <v>2196</v>
      </c>
      <c r="E151" s="2305" t="s">
        <v>2511</v>
      </c>
      <c r="F151" s="2306">
        <v>144</v>
      </c>
      <c r="G151" s="2306"/>
      <c r="H151" s="2307">
        <v>1612</v>
      </c>
      <c r="I151" s="5618">
        <v>1612</v>
      </c>
      <c r="J151" s="5618"/>
      <c r="K151" s="2305"/>
      <c r="L151" s="2305"/>
      <c r="M151" s="2308"/>
      <c r="N151" s="2308"/>
      <c r="O151" s="2308"/>
      <c r="P151" s="2305"/>
      <c r="Q151" s="2305"/>
      <c r="R151" s="2307">
        <v>1612</v>
      </c>
      <c r="S151" s="2307">
        <v>1612</v>
      </c>
      <c r="T151" s="2305"/>
    </row>
    <row r="152" spans="1:20" ht="23.25" customHeight="1" outlineLevel="1" x14ac:dyDescent="0.2">
      <c r="A152" s="5617" t="s">
        <v>2512</v>
      </c>
      <c r="B152" s="5617"/>
      <c r="C152" s="2303">
        <v>86</v>
      </c>
      <c r="D152" s="2304" t="s">
        <v>2196</v>
      </c>
      <c r="E152" s="2305" t="s">
        <v>2513</v>
      </c>
      <c r="F152" s="2306">
        <v>144</v>
      </c>
      <c r="G152" s="2306"/>
      <c r="H152" s="2307">
        <v>2094</v>
      </c>
      <c r="I152" s="5618">
        <v>2094</v>
      </c>
      <c r="J152" s="5618"/>
      <c r="K152" s="2305"/>
      <c r="L152" s="2305"/>
      <c r="M152" s="2308"/>
      <c r="N152" s="2308"/>
      <c r="O152" s="2308"/>
      <c r="P152" s="2305"/>
      <c r="Q152" s="2305"/>
      <c r="R152" s="2307">
        <v>2094</v>
      </c>
      <c r="S152" s="2307">
        <v>2094</v>
      </c>
      <c r="T152" s="2305"/>
    </row>
    <row r="153" spans="1:20" ht="23.25" customHeight="1" outlineLevel="1" x14ac:dyDescent="0.2">
      <c r="A153" s="5617" t="s">
        <v>2514</v>
      </c>
      <c r="B153" s="5617"/>
      <c r="C153" s="2303">
        <v>87</v>
      </c>
      <c r="D153" s="2304" t="s">
        <v>2196</v>
      </c>
      <c r="E153" s="2305" t="s">
        <v>2515</v>
      </c>
      <c r="F153" s="2306">
        <v>144</v>
      </c>
      <c r="G153" s="2306"/>
      <c r="H153" s="2307">
        <v>317757</v>
      </c>
      <c r="I153" s="5618">
        <v>317757</v>
      </c>
      <c r="J153" s="5618"/>
      <c r="K153" s="2305"/>
      <c r="L153" s="2305"/>
      <c r="M153" s="2308"/>
      <c r="N153" s="2308"/>
      <c r="O153" s="2308"/>
      <c r="P153" s="2305"/>
      <c r="Q153" s="2305"/>
      <c r="R153" s="2307">
        <v>317757</v>
      </c>
      <c r="S153" s="2307">
        <v>317757</v>
      </c>
      <c r="T153" s="2305"/>
    </row>
    <row r="154" spans="1:20" ht="23.25" customHeight="1" outlineLevel="1" x14ac:dyDescent="0.2">
      <c r="A154" s="5617" t="s">
        <v>2516</v>
      </c>
      <c r="B154" s="5617"/>
      <c r="C154" s="2303">
        <v>90</v>
      </c>
      <c r="D154" s="2304" t="s">
        <v>2196</v>
      </c>
      <c r="E154" s="2305" t="s">
        <v>2517</v>
      </c>
      <c r="F154" s="2306">
        <v>144</v>
      </c>
      <c r="G154" s="2306"/>
      <c r="H154" s="2307">
        <v>344821</v>
      </c>
      <c r="I154" s="5618">
        <v>344821</v>
      </c>
      <c r="J154" s="5618"/>
      <c r="K154" s="2305"/>
      <c r="L154" s="2305"/>
      <c r="M154" s="2308"/>
      <c r="N154" s="2308"/>
      <c r="O154" s="2308"/>
      <c r="P154" s="2305"/>
      <c r="Q154" s="2305"/>
      <c r="R154" s="2307">
        <v>344821</v>
      </c>
      <c r="S154" s="2307">
        <v>344821</v>
      </c>
      <c r="T154" s="2305"/>
    </row>
    <row r="155" spans="1:20" ht="23.25" customHeight="1" outlineLevel="1" x14ac:dyDescent="0.2">
      <c r="A155" s="5617" t="s">
        <v>2518</v>
      </c>
      <c r="B155" s="5617"/>
      <c r="C155" s="2303">
        <v>50</v>
      </c>
      <c r="D155" s="2304" t="s">
        <v>2196</v>
      </c>
      <c r="E155" s="2305" t="s">
        <v>2519</v>
      </c>
      <c r="F155" s="2306">
        <v>600</v>
      </c>
      <c r="G155" s="2306"/>
      <c r="H155" s="2307">
        <v>3679946</v>
      </c>
      <c r="I155" s="5618">
        <v>2142479.2000000002</v>
      </c>
      <c r="J155" s="5618"/>
      <c r="K155" s="2307">
        <v>1537466.8</v>
      </c>
      <c r="L155" s="2305"/>
      <c r="M155" s="2309">
        <v>73598.880000000005</v>
      </c>
      <c r="N155" s="2309">
        <f>M155</f>
        <v>73598.880000000005</v>
      </c>
      <c r="O155" s="2309"/>
      <c r="P155" s="2305"/>
      <c r="Q155" s="2305"/>
      <c r="R155" s="2307">
        <v>3679946</v>
      </c>
      <c r="S155" s="2307">
        <v>2216078.08</v>
      </c>
      <c r="T155" s="2307">
        <v>1463867.92</v>
      </c>
    </row>
    <row r="156" spans="1:20" ht="34.5" customHeight="1" outlineLevel="1" x14ac:dyDescent="0.2">
      <c r="A156" s="5617" t="s">
        <v>2520</v>
      </c>
      <c r="B156" s="5617"/>
      <c r="C156" s="2344">
        <v>1483</v>
      </c>
      <c r="D156" s="2304" t="s">
        <v>2521</v>
      </c>
      <c r="E156" s="2305" t="s">
        <v>2522</v>
      </c>
      <c r="F156" s="2305"/>
      <c r="G156" s="2305"/>
      <c r="H156" s="2305"/>
      <c r="I156" s="2345"/>
      <c r="J156" s="2346"/>
      <c r="K156" s="2305"/>
      <c r="L156" s="2305"/>
      <c r="M156" s="2308"/>
      <c r="N156" s="2309"/>
      <c r="O156" s="2309"/>
      <c r="P156" s="2305"/>
      <c r="Q156" s="2305"/>
      <c r="R156" s="2305"/>
      <c r="S156" s="2305"/>
      <c r="T156" s="2305"/>
    </row>
    <row r="157" spans="1:20" ht="23.25" customHeight="1" outlineLevel="1" x14ac:dyDescent="0.2">
      <c r="A157" s="5617" t="s">
        <v>2523</v>
      </c>
      <c r="B157" s="5617"/>
      <c r="C157" s="2344">
        <v>1486</v>
      </c>
      <c r="D157" s="2304" t="s">
        <v>2524</v>
      </c>
      <c r="E157" s="2305" t="s">
        <v>2525</v>
      </c>
      <c r="F157" s="2306">
        <v>360</v>
      </c>
      <c r="G157" s="2306"/>
      <c r="H157" s="2307">
        <v>200000</v>
      </c>
      <c r="I157" s="5618">
        <v>20000.16</v>
      </c>
      <c r="J157" s="5618"/>
      <c r="K157" s="2307">
        <v>179999.84</v>
      </c>
      <c r="L157" s="2305"/>
      <c r="M157" s="2309">
        <v>6666.72</v>
      </c>
      <c r="N157" s="2309">
        <f>M157</f>
        <v>6666.72</v>
      </c>
      <c r="O157" s="2309"/>
      <c r="P157" s="2305"/>
      <c r="Q157" s="2305"/>
      <c r="R157" s="2307">
        <v>200000</v>
      </c>
      <c r="S157" s="2307">
        <v>26666.880000000001</v>
      </c>
      <c r="T157" s="2307">
        <v>173333.12</v>
      </c>
    </row>
    <row r="158" spans="1:20" s="2302" customFormat="1" ht="45.75" customHeight="1" outlineLevel="1" x14ac:dyDescent="0.2">
      <c r="A158" s="5622" t="s">
        <v>2526</v>
      </c>
      <c r="B158" s="5622"/>
      <c r="C158" s="2340">
        <v>1518</v>
      </c>
      <c r="D158" s="2296" t="s">
        <v>2500</v>
      </c>
      <c r="E158" s="2301" t="s">
        <v>2527</v>
      </c>
      <c r="F158" s="2298">
        <v>240</v>
      </c>
      <c r="G158" s="2298"/>
      <c r="H158" s="2301"/>
      <c r="I158" s="2342"/>
      <c r="J158" s="2343"/>
      <c r="K158" s="2301"/>
      <c r="L158" s="2299">
        <v>21369.59</v>
      </c>
      <c r="M158" s="2301"/>
      <c r="N158" s="2301"/>
      <c r="O158" s="2301"/>
      <c r="P158" s="2301"/>
      <c r="Q158" s="2301"/>
      <c r="R158" s="2299">
        <v>21369.59</v>
      </c>
      <c r="S158" s="2301"/>
      <c r="T158" s="2299">
        <v>21369.59</v>
      </c>
    </row>
    <row r="159" spans="1:20" s="2302" customFormat="1" ht="34.5" customHeight="1" outlineLevel="1" x14ac:dyDescent="0.2">
      <c r="A159" s="5622" t="s">
        <v>2528</v>
      </c>
      <c r="B159" s="5622"/>
      <c r="C159" s="2340">
        <v>1519</v>
      </c>
      <c r="D159" s="2296" t="s">
        <v>2500</v>
      </c>
      <c r="E159" s="2301" t="s">
        <v>2529</v>
      </c>
      <c r="F159" s="2298">
        <v>360</v>
      </c>
      <c r="G159" s="2298"/>
      <c r="H159" s="2301"/>
      <c r="I159" s="2342"/>
      <c r="J159" s="2343"/>
      <c r="K159" s="2301"/>
      <c r="L159" s="2299">
        <v>315171.8</v>
      </c>
      <c r="M159" s="2301"/>
      <c r="N159" s="2301"/>
      <c r="O159" s="2301"/>
      <c r="P159" s="2301"/>
      <c r="Q159" s="2301"/>
      <c r="R159" s="2299">
        <v>315171.8</v>
      </c>
      <c r="S159" s="2301"/>
      <c r="T159" s="2299">
        <v>315171.8</v>
      </c>
    </row>
    <row r="160" spans="1:20" s="2302" customFormat="1" ht="45.75" customHeight="1" outlineLevel="1" x14ac:dyDescent="0.2">
      <c r="A160" s="5622" t="s">
        <v>2530</v>
      </c>
      <c r="B160" s="5622"/>
      <c r="C160" s="2340">
        <v>1520</v>
      </c>
      <c r="D160" s="2296" t="s">
        <v>2500</v>
      </c>
      <c r="E160" s="2301" t="s">
        <v>2531</v>
      </c>
      <c r="F160" s="2298">
        <v>240</v>
      </c>
      <c r="G160" s="2298"/>
      <c r="H160" s="2301"/>
      <c r="I160" s="2342"/>
      <c r="J160" s="2343"/>
      <c r="K160" s="2301"/>
      <c r="L160" s="2299">
        <v>217557.6</v>
      </c>
      <c r="M160" s="2301"/>
      <c r="N160" s="2301"/>
      <c r="O160" s="2301"/>
      <c r="P160" s="2301"/>
      <c r="Q160" s="2301"/>
      <c r="R160" s="2299">
        <v>217557.6</v>
      </c>
      <c r="S160" s="2301"/>
      <c r="T160" s="2299">
        <v>217557.6</v>
      </c>
    </row>
    <row r="161" spans="1:20" s="2302" customFormat="1" ht="34.5" customHeight="1" outlineLevel="1" x14ac:dyDescent="0.2">
      <c r="A161" s="5622" t="s">
        <v>2532</v>
      </c>
      <c r="B161" s="5622"/>
      <c r="C161" s="2340">
        <v>1521</v>
      </c>
      <c r="D161" s="2296" t="s">
        <v>2533</v>
      </c>
      <c r="E161" s="2301" t="s">
        <v>2534</v>
      </c>
      <c r="F161" s="2298">
        <v>360</v>
      </c>
      <c r="G161" s="2298"/>
      <c r="H161" s="2301"/>
      <c r="I161" s="2342"/>
      <c r="J161" s="2343"/>
      <c r="K161" s="2301"/>
      <c r="L161" s="2351">
        <v>1</v>
      </c>
      <c r="M161" s="2301"/>
      <c r="N161" s="2301"/>
      <c r="O161" s="2301"/>
      <c r="P161" s="2301"/>
      <c r="Q161" s="2301"/>
      <c r="R161" s="2351">
        <v>1</v>
      </c>
      <c r="S161" s="2301"/>
      <c r="T161" s="2351">
        <v>1</v>
      </c>
    </row>
    <row r="162" spans="1:20" s="2330" customFormat="1" ht="12.75" customHeight="1" x14ac:dyDescent="0.2">
      <c r="A162" s="5624" t="s">
        <v>2535</v>
      </c>
      <c r="B162" s="5624"/>
      <c r="C162" s="5624"/>
      <c r="D162" s="5624"/>
      <c r="E162" s="5624"/>
      <c r="F162" s="5624"/>
      <c r="G162" s="2327"/>
      <c r="H162" s="2328">
        <v>35871601.920000002</v>
      </c>
      <c r="I162" s="5625">
        <v>25309600.27</v>
      </c>
      <c r="J162" s="5625"/>
      <c r="K162" s="2328">
        <v>10562001.65</v>
      </c>
      <c r="L162" s="2328">
        <v>100392.02</v>
      </c>
      <c r="M162" s="2329">
        <v>3134091.27</v>
      </c>
      <c r="N162" s="2329">
        <f>SUM(N163:N478)</f>
        <v>3134091.2874285714</v>
      </c>
      <c r="O162" s="2329"/>
      <c r="P162" s="2328">
        <v>169448.95999999999</v>
      </c>
      <c r="Q162" s="2328">
        <v>167915.08</v>
      </c>
      <c r="R162" s="2328">
        <v>35802544.979999997</v>
      </c>
      <c r="S162" s="2328">
        <v>28275776.460000001</v>
      </c>
      <c r="T162" s="2328">
        <v>7526768.5199999996</v>
      </c>
    </row>
    <row r="163" spans="1:20" ht="23.25" customHeight="1" outlineLevel="1" x14ac:dyDescent="0.2">
      <c r="A163" s="5617" t="s">
        <v>2536</v>
      </c>
      <c r="B163" s="5617"/>
      <c r="C163" s="2344">
        <v>1495</v>
      </c>
      <c r="D163" s="2304" t="s">
        <v>2537</v>
      </c>
      <c r="E163" s="2305" t="s">
        <v>2538</v>
      </c>
      <c r="F163" s="2306">
        <v>84</v>
      </c>
      <c r="G163" s="2306"/>
      <c r="H163" s="2307">
        <v>99936.3</v>
      </c>
      <c r="I163" s="5618">
        <v>24984.12</v>
      </c>
      <c r="J163" s="5618"/>
      <c r="K163" s="2307">
        <v>74952.179999999993</v>
      </c>
      <c r="L163" s="2305"/>
      <c r="M163" s="2309">
        <v>14276.64</v>
      </c>
      <c r="N163" s="2309">
        <f>M163</f>
        <v>14276.64</v>
      </c>
      <c r="O163" s="2309"/>
      <c r="P163" s="2305"/>
      <c r="Q163" s="2305"/>
      <c r="R163" s="2307">
        <v>99936.3</v>
      </c>
      <c r="S163" s="2307">
        <v>39260.76</v>
      </c>
      <c r="T163" s="2307">
        <v>60675.54</v>
      </c>
    </row>
    <row r="164" spans="1:20" ht="34.5" customHeight="1" outlineLevel="1" x14ac:dyDescent="0.2">
      <c r="A164" s="5617" t="s">
        <v>2539</v>
      </c>
      <c r="B164" s="5617"/>
      <c r="C164" s="2344">
        <v>1496</v>
      </c>
      <c r="D164" s="2304" t="s">
        <v>2537</v>
      </c>
      <c r="E164" s="2305" t="s">
        <v>2540</v>
      </c>
      <c r="F164" s="2306">
        <v>84</v>
      </c>
      <c r="G164" s="2306"/>
      <c r="H164" s="2307">
        <v>99743.89</v>
      </c>
      <c r="I164" s="5618">
        <v>24936.03</v>
      </c>
      <c r="J164" s="5618"/>
      <c r="K164" s="2307">
        <v>74807.86</v>
      </c>
      <c r="L164" s="2305"/>
      <c r="M164" s="2309">
        <v>14249.16</v>
      </c>
      <c r="N164" s="2309">
        <f t="shared" ref="N164:N172" si="2">M164</f>
        <v>14249.16</v>
      </c>
      <c r="O164" s="2309"/>
      <c r="P164" s="2305"/>
      <c r="Q164" s="2305"/>
      <c r="R164" s="2307">
        <v>99743.89</v>
      </c>
      <c r="S164" s="2307">
        <v>39185.19</v>
      </c>
      <c r="T164" s="2307">
        <v>60558.7</v>
      </c>
    </row>
    <row r="165" spans="1:20" ht="34.5" customHeight="1" outlineLevel="1" x14ac:dyDescent="0.2">
      <c r="A165" s="5617" t="s">
        <v>2541</v>
      </c>
      <c r="B165" s="5617"/>
      <c r="C165" s="2344">
        <v>1497</v>
      </c>
      <c r="D165" s="2304" t="s">
        <v>2537</v>
      </c>
      <c r="E165" s="2305" t="s">
        <v>2542</v>
      </c>
      <c r="F165" s="2306">
        <v>84</v>
      </c>
      <c r="G165" s="2306"/>
      <c r="H165" s="2307">
        <v>48313</v>
      </c>
      <c r="I165" s="5618">
        <v>12078.15</v>
      </c>
      <c r="J165" s="5618"/>
      <c r="K165" s="2307">
        <v>36234.85</v>
      </c>
      <c r="L165" s="2305"/>
      <c r="M165" s="2309">
        <v>6901.8</v>
      </c>
      <c r="N165" s="2309">
        <f t="shared" si="2"/>
        <v>6901.8</v>
      </c>
      <c r="O165" s="2309"/>
      <c r="P165" s="2305"/>
      <c r="Q165" s="2305"/>
      <c r="R165" s="2307">
        <v>48313</v>
      </c>
      <c r="S165" s="2307">
        <v>18979.95</v>
      </c>
      <c r="T165" s="2307">
        <v>29333.05</v>
      </c>
    </row>
    <row r="166" spans="1:20" ht="34.5" customHeight="1" outlineLevel="1" x14ac:dyDescent="0.2">
      <c r="A166" s="5617" t="s">
        <v>2543</v>
      </c>
      <c r="B166" s="5617"/>
      <c r="C166" s="2344">
        <v>1489</v>
      </c>
      <c r="D166" s="2304" t="s">
        <v>2544</v>
      </c>
      <c r="E166" s="2305" t="s">
        <v>2545</v>
      </c>
      <c r="F166" s="2306">
        <v>84</v>
      </c>
      <c r="G166" s="2306"/>
      <c r="H166" s="2307">
        <v>305831</v>
      </c>
      <c r="I166" s="5618">
        <v>109225.5</v>
      </c>
      <c r="J166" s="5618"/>
      <c r="K166" s="2307">
        <v>196605.5</v>
      </c>
      <c r="L166" s="2305"/>
      <c r="M166" s="2309">
        <v>43690.2</v>
      </c>
      <c r="N166" s="2309">
        <f t="shared" si="2"/>
        <v>43690.2</v>
      </c>
      <c r="O166" s="2309"/>
      <c r="P166" s="2305"/>
      <c r="Q166" s="2305"/>
      <c r="R166" s="2307">
        <v>305831</v>
      </c>
      <c r="S166" s="2307">
        <v>152915.70000000001</v>
      </c>
      <c r="T166" s="2307">
        <v>152915.29999999999</v>
      </c>
    </row>
    <row r="167" spans="1:20" ht="23.25" customHeight="1" outlineLevel="1" x14ac:dyDescent="0.2">
      <c r="A167" s="5617" t="s">
        <v>2546</v>
      </c>
      <c r="B167" s="5617"/>
      <c r="C167" s="2344">
        <v>1500</v>
      </c>
      <c r="D167" s="2304" t="s">
        <v>2547</v>
      </c>
      <c r="E167" s="2305" t="s">
        <v>2548</v>
      </c>
      <c r="F167" s="2306">
        <v>60</v>
      </c>
      <c r="G167" s="2306"/>
      <c r="H167" s="2307">
        <v>46150</v>
      </c>
      <c r="I167" s="5618">
        <v>9230.0400000000009</v>
      </c>
      <c r="J167" s="5618"/>
      <c r="K167" s="2307">
        <v>36919.96</v>
      </c>
      <c r="L167" s="2305"/>
      <c r="M167" s="2309">
        <v>9230.0400000000009</v>
      </c>
      <c r="N167" s="2309">
        <f t="shared" si="2"/>
        <v>9230.0400000000009</v>
      </c>
      <c r="O167" s="2309"/>
      <c r="P167" s="2305"/>
      <c r="Q167" s="2305"/>
      <c r="R167" s="2307">
        <v>46150</v>
      </c>
      <c r="S167" s="2307">
        <v>18460.080000000002</v>
      </c>
      <c r="T167" s="2307">
        <v>27689.919999999998</v>
      </c>
    </row>
    <row r="168" spans="1:20" ht="23.25" customHeight="1" outlineLevel="1" x14ac:dyDescent="0.2">
      <c r="A168" s="5617" t="s">
        <v>2546</v>
      </c>
      <c r="B168" s="5617"/>
      <c r="C168" s="2344">
        <v>1501</v>
      </c>
      <c r="D168" s="2304" t="s">
        <v>2547</v>
      </c>
      <c r="E168" s="2305" t="s">
        <v>2548</v>
      </c>
      <c r="F168" s="2306">
        <v>60</v>
      </c>
      <c r="G168" s="2306"/>
      <c r="H168" s="2307">
        <v>46150</v>
      </c>
      <c r="I168" s="5618">
        <v>9230.0400000000009</v>
      </c>
      <c r="J168" s="5618"/>
      <c r="K168" s="2307">
        <v>36919.96</v>
      </c>
      <c r="L168" s="2305"/>
      <c r="M168" s="2309">
        <v>9230.0400000000009</v>
      </c>
      <c r="N168" s="2309">
        <f t="shared" si="2"/>
        <v>9230.0400000000009</v>
      </c>
      <c r="O168" s="2309"/>
      <c r="P168" s="2305"/>
      <c r="Q168" s="2305"/>
      <c r="R168" s="2307">
        <v>46150</v>
      </c>
      <c r="S168" s="2307">
        <v>18460.080000000002</v>
      </c>
      <c r="T168" s="2307">
        <v>27689.919999999998</v>
      </c>
    </row>
    <row r="169" spans="1:20" ht="23.25" customHeight="1" outlineLevel="1" x14ac:dyDescent="0.2">
      <c r="A169" s="5617" t="s">
        <v>2546</v>
      </c>
      <c r="B169" s="5617"/>
      <c r="C169" s="2344">
        <v>1502</v>
      </c>
      <c r="D169" s="2304" t="s">
        <v>2547</v>
      </c>
      <c r="E169" s="2305" t="s">
        <v>2548</v>
      </c>
      <c r="F169" s="2306">
        <v>60</v>
      </c>
      <c r="G169" s="2306"/>
      <c r="H169" s="2307">
        <v>46150</v>
      </c>
      <c r="I169" s="5618">
        <v>9230.0400000000009</v>
      </c>
      <c r="J169" s="5618"/>
      <c r="K169" s="2307">
        <v>36919.96</v>
      </c>
      <c r="L169" s="2305"/>
      <c r="M169" s="2309">
        <v>9230.0400000000009</v>
      </c>
      <c r="N169" s="2309">
        <f t="shared" si="2"/>
        <v>9230.0400000000009</v>
      </c>
      <c r="O169" s="2309"/>
      <c r="P169" s="2305"/>
      <c r="Q169" s="2305"/>
      <c r="R169" s="2307">
        <v>46150</v>
      </c>
      <c r="S169" s="2307">
        <v>18460.080000000002</v>
      </c>
      <c r="T169" s="2307">
        <v>27689.919999999998</v>
      </c>
    </row>
    <row r="170" spans="1:20" ht="23.25" customHeight="1" outlineLevel="1" x14ac:dyDescent="0.2">
      <c r="A170" s="5617" t="s">
        <v>2549</v>
      </c>
      <c r="B170" s="5617"/>
      <c r="C170" s="2310">
        <v>2448</v>
      </c>
      <c r="D170" s="2304" t="s">
        <v>2550</v>
      </c>
      <c r="E170" s="2305" t="s">
        <v>2551</v>
      </c>
      <c r="F170" s="2306">
        <v>84</v>
      </c>
      <c r="G170" s="2306"/>
      <c r="H170" s="2307">
        <v>284970</v>
      </c>
      <c r="I170" s="5618">
        <v>193372.5</v>
      </c>
      <c r="J170" s="5618"/>
      <c r="K170" s="2307">
        <v>91597.5</v>
      </c>
      <c r="L170" s="2305"/>
      <c r="M170" s="2309">
        <v>40710</v>
      </c>
      <c r="N170" s="2309">
        <f t="shared" si="2"/>
        <v>40710</v>
      </c>
      <c r="O170" s="2309"/>
      <c r="P170" s="2305"/>
      <c r="Q170" s="2305"/>
      <c r="R170" s="2307">
        <v>284970</v>
      </c>
      <c r="S170" s="2307">
        <v>234082.5</v>
      </c>
      <c r="T170" s="2307">
        <v>50887.5</v>
      </c>
    </row>
    <row r="171" spans="1:20" ht="23.25" customHeight="1" outlineLevel="1" x14ac:dyDescent="0.2">
      <c r="A171" s="5617" t="s">
        <v>2552</v>
      </c>
      <c r="B171" s="5617"/>
      <c r="C171" s="2344">
        <v>1504</v>
      </c>
      <c r="D171" s="2304" t="s">
        <v>2553</v>
      </c>
      <c r="E171" s="2305" t="s">
        <v>2554</v>
      </c>
      <c r="F171" s="2306">
        <v>120</v>
      </c>
      <c r="G171" s="2306"/>
      <c r="H171" s="2307">
        <v>43072.29</v>
      </c>
      <c r="I171" s="5618">
        <v>3589.4</v>
      </c>
      <c r="J171" s="5618"/>
      <c r="K171" s="2307">
        <v>39482.89</v>
      </c>
      <c r="L171" s="2305"/>
      <c r="M171" s="2309">
        <v>4307.28</v>
      </c>
      <c r="N171" s="2309">
        <f t="shared" si="2"/>
        <v>4307.28</v>
      </c>
      <c r="O171" s="2309"/>
      <c r="P171" s="2305"/>
      <c r="Q171" s="2305"/>
      <c r="R171" s="2307">
        <v>43072.29</v>
      </c>
      <c r="S171" s="2307">
        <v>7896.68</v>
      </c>
      <c r="T171" s="2307">
        <v>35175.61</v>
      </c>
    </row>
    <row r="172" spans="1:20" ht="23.25" customHeight="1" outlineLevel="1" x14ac:dyDescent="0.2">
      <c r="A172" s="5617" t="s">
        <v>2555</v>
      </c>
      <c r="B172" s="5617"/>
      <c r="C172" s="2344">
        <v>1494</v>
      </c>
      <c r="D172" s="2304" t="s">
        <v>2537</v>
      </c>
      <c r="E172" s="2305" t="s">
        <v>2556</v>
      </c>
      <c r="F172" s="2306">
        <v>84</v>
      </c>
      <c r="G172" s="2306"/>
      <c r="H172" s="2307">
        <v>99818.71</v>
      </c>
      <c r="I172" s="5618">
        <v>24954.720000000001</v>
      </c>
      <c r="J172" s="5618"/>
      <c r="K172" s="2307">
        <v>74863.990000000005</v>
      </c>
      <c r="L172" s="2305"/>
      <c r="M172" s="2309">
        <v>14259.84</v>
      </c>
      <c r="N172" s="2309">
        <f t="shared" si="2"/>
        <v>14259.84</v>
      </c>
      <c r="O172" s="2309"/>
      <c r="P172" s="2305"/>
      <c r="Q172" s="2305"/>
      <c r="R172" s="2307">
        <v>99818.71</v>
      </c>
      <c r="S172" s="2307">
        <v>39214.559999999998</v>
      </c>
      <c r="T172" s="2307">
        <v>60604.15</v>
      </c>
    </row>
    <row r="173" spans="1:20" ht="12" customHeight="1" outlineLevel="1" x14ac:dyDescent="0.2">
      <c r="A173" s="5617" t="s">
        <v>2557</v>
      </c>
      <c r="B173" s="5617"/>
      <c r="C173" s="2303">
        <v>153</v>
      </c>
      <c r="D173" s="2304" t="s">
        <v>2558</v>
      </c>
      <c r="E173" s="2305" t="s">
        <v>2559</v>
      </c>
      <c r="F173" s="2306">
        <v>109</v>
      </c>
      <c r="G173" s="2306"/>
      <c r="H173" s="2307">
        <v>8597</v>
      </c>
      <c r="I173" s="5618">
        <v>8597</v>
      </c>
      <c r="J173" s="5618"/>
      <c r="K173" s="2305"/>
      <c r="L173" s="2305"/>
      <c r="M173" s="2308"/>
      <c r="N173" s="2309"/>
      <c r="O173" s="2309"/>
      <c r="P173" s="2305"/>
      <c r="Q173" s="2305"/>
      <c r="R173" s="2307">
        <v>8597</v>
      </c>
      <c r="S173" s="2307">
        <v>8597</v>
      </c>
      <c r="T173" s="2305"/>
    </row>
    <row r="174" spans="1:20" ht="23.25" customHeight="1" outlineLevel="1" x14ac:dyDescent="0.2">
      <c r="A174" s="5617" t="s">
        <v>2560</v>
      </c>
      <c r="B174" s="5617"/>
      <c r="C174" s="2344">
        <v>1514</v>
      </c>
      <c r="D174" s="2304" t="s">
        <v>2561</v>
      </c>
      <c r="E174" s="2305" t="s">
        <v>2562</v>
      </c>
      <c r="F174" s="2306">
        <v>180</v>
      </c>
      <c r="G174" s="2306"/>
      <c r="H174" s="2307">
        <v>367796.61</v>
      </c>
      <c r="I174" s="5618">
        <v>2043.31</v>
      </c>
      <c r="J174" s="5618"/>
      <c r="K174" s="2307">
        <v>365753.3</v>
      </c>
      <c r="L174" s="2305"/>
      <c r="M174" s="2309">
        <v>24519.72</v>
      </c>
      <c r="N174" s="2309">
        <f>M174</f>
        <v>24519.72</v>
      </c>
      <c r="O174" s="2309"/>
      <c r="P174" s="2305"/>
      <c r="Q174" s="2305"/>
      <c r="R174" s="2307">
        <v>367796.61</v>
      </c>
      <c r="S174" s="2307">
        <v>26563.03</v>
      </c>
      <c r="T174" s="2307">
        <v>341233.58</v>
      </c>
    </row>
    <row r="175" spans="1:20" ht="12" customHeight="1" outlineLevel="1" x14ac:dyDescent="0.2">
      <c r="A175" s="5617" t="s">
        <v>2563</v>
      </c>
      <c r="B175" s="5617"/>
      <c r="C175" s="2344">
        <v>1490</v>
      </c>
      <c r="D175" s="2304" t="s">
        <v>2564</v>
      </c>
      <c r="E175" s="2305" t="s">
        <v>2565</v>
      </c>
      <c r="F175" s="2306">
        <v>84</v>
      </c>
      <c r="G175" s="2306"/>
      <c r="H175" s="2307">
        <v>150847.46</v>
      </c>
      <c r="I175" s="5618">
        <v>44895</v>
      </c>
      <c r="J175" s="5618"/>
      <c r="K175" s="2307">
        <v>105952.46</v>
      </c>
      <c r="L175" s="2305"/>
      <c r="M175" s="2309">
        <v>21549.599999999999</v>
      </c>
      <c r="N175" s="2309">
        <f>M175</f>
        <v>21549.599999999999</v>
      </c>
      <c r="O175" s="2309"/>
      <c r="P175" s="2305"/>
      <c r="Q175" s="2305"/>
      <c r="R175" s="2307">
        <v>150847.46</v>
      </c>
      <c r="S175" s="2307">
        <v>66444.600000000006</v>
      </c>
      <c r="T175" s="2307">
        <v>84402.86</v>
      </c>
    </row>
    <row r="176" spans="1:20" ht="12" customHeight="1" outlineLevel="1" x14ac:dyDescent="0.2">
      <c r="A176" s="5617" t="s">
        <v>2566</v>
      </c>
      <c r="B176" s="5617"/>
      <c r="C176" s="2344">
        <v>1513</v>
      </c>
      <c r="D176" s="2304" t="s">
        <v>2561</v>
      </c>
      <c r="E176" s="2305" t="s">
        <v>2567</v>
      </c>
      <c r="F176" s="2306">
        <v>60</v>
      </c>
      <c r="G176" s="2306"/>
      <c r="H176" s="2307">
        <v>69099.23</v>
      </c>
      <c r="I176" s="5618">
        <v>1151.6500000000001</v>
      </c>
      <c r="J176" s="5618"/>
      <c r="K176" s="2307">
        <v>67947.58</v>
      </c>
      <c r="L176" s="2305"/>
      <c r="M176" s="2309">
        <v>13819.8</v>
      </c>
      <c r="N176" s="2309">
        <f>M176</f>
        <v>13819.8</v>
      </c>
      <c r="O176" s="2309"/>
      <c r="P176" s="2305"/>
      <c r="Q176" s="2305"/>
      <c r="R176" s="2307">
        <v>69099.23</v>
      </c>
      <c r="S176" s="2307">
        <v>14971.45</v>
      </c>
      <c r="T176" s="2307">
        <v>54127.78</v>
      </c>
    </row>
    <row r="177" spans="1:20" ht="12" customHeight="1" outlineLevel="1" x14ac:dyDescent="0.2">
      <c r="A177" s="5617" t="s">
        <v>2568</v>
      </c>
      <c r="B177" s="5617"/>
      <c r="C177" s="2310">
        <v>2408</v>
      </c>
      <c r="D177" s="2304" t="s">
        <v>2569</v>
      </c>
      <c r="E177" s="2305" t="s">
        <v>2570</v>
      </c>
      <c r="F177" s="2306">
        <v>84</v>
      </c>
      <c r="G177" s="2306"/>
      <c r="H177" s="2307">
        <v>42250</v>
      </c>
      <c r="I177" s="5618">
        <v>35711.58</v>
      </c>
      <c r="J177" s="5618"/>
      <c r="K177" s="2307">
        <v>6538.42</v>
      </c>
      <c r="L177" s="2305"/>
      <c r="M177" s="2309">
        <v>6035.76</v>
      </c>
      <c r="N177" s="2309">
        <f>M177</f>
        <v>6035.76</v>
      </c>
      <c r="O177" s="2309"/>
      <c r="P177" s="2305"/>
      <c r="Q177" s="2305"/>
      <c r="R177" s="2307">
        <v>42250</v>
      </c>
      <c r="S177" s="2307">
        <v>41747.339999999997</v>
      </c>
      <c r="T177" s="2350">
        <v>502.66</v>
      </c>
    </row>
    <row r="178" spans="1:20" ht="23.25" customHeight="1" outlineLevel="1" x14ac:dyDescent="0.2">
      <c r="A178" s="5617" t="s">
        <v>2571</v>
      </c>
      <c r="B178" s="5617"/>
      <c r="C178" s="2303">
        <v>135</v>
      </c>
      <c r="D178" s="2304" t="s">
        <v>2196</v>
      </c>
      <c r="E178" s="2305" t="s">
        <v>2572</v>
      </c>
      <c r="F178" s="2306">
        <v>300</v>
      </c>
      <c r="G178" s="2306"/>
      <c r="H178" s="2307">
        <v>138070</v>
      </c>
      <c r="I178" s="5618">
        <v>138070</v>
      </c>
      <c r="J178" s="5618"/>
      <c r="K178" s="2305"/>
      <c r="L178" s="2305"/>
      <c r="M178" s="2308"/>
      <c r="N178" s="2309"/>
      <c r="O178" s="2309"/>
      <c r="P178" s="2305"/>
      <c r="Q178" s="2305"/>
      <c r="R178" s="2307">
        <v>138070</v>
      </c>
      <c r="S178" s="2307">
        <v>138070</v>
      </c>
      <c r="T178" s="2305"/>
    </row>
    <row r="179" spans="1:20" ht="12" customHeight="1" outlineLevel="1" x14ac:dyDescent="0.2">
      <c r="A179" s="5617" t="s">
        <v>2573</v>
      </c>
      <c r="B179" s="5617"/>
      <c r="C179" s="2303">
        <v>140</v>
      </c>
      <c r="D179" s="2304" t="s">
        <v>2574</v>
      </c>
      <c r="E179" s="2305" t="s">
        <v>2575</v>
      </c>
      <c r="F179" s="2306">
        <v>84</v>
      </c>
      <c r="G179" s="2306"/>
      <c r="H179" s="2307">
        <v>4900</v>
      </c>
      <c r="I179" s="5618">
        <v>4900</v>
      </c>
      <c r="J179" s="5618"/>
      <c r="K179" s="2305"/>
      <c r="L179" s="2305"/>
      <c r="M179" s="2308"/>
      <c r="N179" s="2309"/>
      <c r="O179" s="2309"/>
      <c r="P179" s="2305"/>
      <c r="Q179" s="2305"/>
      <c r="R179" s="2307">
        <v>4900</v>
      </c>
      <c r="S179" s="2307">
        <v>4900</v>
      </c>
      <c r="T179" s="2305"/>
    </row>
    <row r="180" spans="1:20" ht="23.25" customHeight="1" outlineLevel="1" x14ac:dyDescent="0.2">
      <c r="A180" s="5617" t="s">
        <v>2576</v>
      </c>
      <c r="B180" s="5617"/>
      <c r="C180" s="2310">
        <v>1952</v>
      </c>
      <c r="D180" s="2304" t="s">
        <v>2577</v>
      </c>
      <c r="E180" s="2305" t="s">
        <v>2578</v>
      </c>
      <c r="F180" s="2306">
        <v>96</v>
      </c>
      <c r="G180" s="2306"/>
      <c r="H180" s="2307">
        <v>461440.68</v>
      </c>
      <c r="I180" s="5618">
        <v>461440.68</v>
      </c>
      <c r="J180" s="5618"/>
      <c r="K180" s="2305"/>
      <c r="L180" s="2305"/>
      <c r="M180" s="2308"/>
      <c r="N180" s="2309"/>
      <c r="O180" s="2309"/>
      <c r="P180" s="2305"/>
      <c r="Q180" s="2305"/>
      <c r="R180" s="2307">
        <v>461440.68</v>
      </c>
      <c r="S180" s="2307">
        <v>461440.68</v>
      </c>
      <c r="T180" s="2305"/>
    </row>
    <row r="181" spans="1:20" ht="23.25" customHeight="1" outlineLevel="1" x14ac:dyDescent="0.2">
      <c r="A181" s="5617" t="s">
        <v>2579</v>
      </c>
      <c r="B181" s="5617"/>
      <c r="C181" s="2310">
        <v>2325</v>
      </c>
      <c r="D181" s="2304" t="s">
        <v>2580</v>
      </c>
      <c r="E181" s="2305" t="s">
        <v>2581</v>
      </c>
      <c r="F181" s="2306">
        <v>120</v>
      </c>
      <c r="G181" s="2306"/>
      <c r="H181" s="2307">
        <v>492395</v>
      </c>
      <c r="I181" s="5618">
        <v>418535.58</v>
      </c>
      <c r="J181" s="5618"/>
      <c r="K181" s="2307">
        <v>73859.42</v>
      </c>
      <c r="L181" s="2305"/>
      <c r="M181" s="2309">
        <v>49239.48</v>
      </c>
      <c r="N181" s="2309">
        <f>M181</f>
        <v>49239.48</v>
      </c>
      <c r="O181" s="2309"/>
      <c r="P181" s="2305"/>
      <c r="Q181" s="2305"/>
      <c r="R181" s="2307">
        <v>492395</v>
      </c>
      <c r="S181" s="2307">
        <v>467775.06</v>
      </c>
      <c r="T181" s="2307">
        <v>24619.94</v>
      </c>
    </row>
    <row r="182" spans="1:20" ht="12" customHeight="1" outlineLevel="1" x14ac:dyDescent="0.2">
      <c r="A182" s="5617" t="s">
        <v>2582</v>
      </c>
      <c r="B182" s="5617"/>
      <c r="C182" s="2303">
        <v>747</v>
      </c>
      <c r="D182" s="2304" t="s">
        <v>2583</v>
      </c>
      <c r="E182" s="2305" t="s">
        <v>2584</v>
      </c>
      <c r="F182" s="2306">
        <v>240</v>
      </c>
      <c r="G182" s="2306"/>
      <c r="H182" s="2307">
        <v>91256.5</v>
      </c>
      <c r="I182" s="5618">
        <v>56275.519999999997</v>
      </c>
      <c r="J182" s="5618"/>
      <c r="K182" s="2307">
        <v>34980.980000000003</v>
      </c>
      <c r="L182" s="2305"/>
      <c r="M182" s="2309">
        <v>4562.88</v>
      </c>
      <c r="N182" s="2309">
        <f>M182</f>
        <v>4562.88</v>
      </c>
      <c r="O182" s="2309"/>
      <c r="P182" s="2305"/>
      <c r="Q182" s="2305"/>
      <c r="R182" s="2307">
        <v>91256.5</v>
      </c>
      <c r="S182" s="2307">
        <v>60838.400000000001</v>
      </c>
      <c r="T182" s="2307">
        <v>30418.1</v>
      </c>
    </row>
    <row r="183" spans="1:20" ht="23.25" customHeight="1" outlineLevel="1" x14ac:dyDescent="0.2">
      <c r="A183" s="5617" t="s">
        <v>2585</v>
      </c>
      <c r="B183" s="5617"/>
      <c r="C183" s="2310">
        <v>1740</v>
      </c>
      <c r="D183" s="2304" t="s">
        <v>2433</v>
      </c>
      <c r="E183" s="2305" t="s">
        <v>2586</v>
      </c>
      <c r="F183" s="2306">
        <v>84</v>
      </c>
      <c r="G183" s="2306"/>
      <c r="H183" s="2307">
        <v>21256.14</v>
      </c>
      <c r="I183" s="5618">
        <v>21256.14</v>
      </c>
      <c r="J183" s="5618"/>
      <c r="K183" s="2305"/>
      <c r="L183" s="2305"/>
      <c r="M183" s="2308"/>
      <c r="N183" s="2309"/>
      <c r="O183" s="2309"/>
      <c r="P183" s="2305"/>
      <c r="Q183" s="2305"/>
      <c r="R183" s="2307">
        <v>21256.14</v>
      </c>
      <c r="S183" s="2307">
        <v>21256.14</v>
      </c>
      <c r="T183" s="2305"/>
    </row>
    <row r="184" spans="1:20" ht="12" customHeight="1" outlineLevel="1" x14ac:dyDescent="0.2">
      <c r="A184" s="5617" t="s">
        <v>2587</v>
      </c>
      <c r="B184" s="5617"/>
      <c r="C184" s="2310">
        <v>1918</v>
      </c>
      <c r="D184" s="2304" t="s">
        <v>2588</v>
      </c>
      <c r="E184" s="2305" t="s">
        <v>2589</v>
      </c>
      <c r="F184" s="2306">
        <v>120</v>
      </c>
      <c r="G184" s="2306"/>
      <c r="H184" s="2307">
        <v>49970.28</v>
      </c>
      <c r="I184" s="5618">
        <v>49970.28</v>
      </c>
      <c r="J184" s="5618"/>
      <c r="K184" s="2305"/>
      <c r="L184" s="2305"/>
      <c r="M184" s="2308"/>
      <c r="N184" s="2309"/>
      <c r="O184" s="2309"/>
      <c r="P184" s="2305"/>
      <c r="Q184" s="2305"/>
      <c r="R184" s="2307">
        <v>49970.28</v>
      </c>
      <c r="S184" s="2307">
        <v>49970.28</v>
      </c>
      <c r="T184" s="2305"/>
    </row>
    <row r="185" spans="1:20" ht="23.25" customHeight="1" outlineLevel="1" x14ac:dyDescent="0.2">
      <c r="A185" s="5617" t="s">
        <v>2590</v>
      </c>
      <c r="B185" s="5617"/>
      <c r="C185" s="2303">
        <v>439</v>
      </c>
      <c r="D185" s="2304" t="s">
        <v>2250</v>
      </c>
      <c r="E185" s="2305" t="s">
        <v>2591</v>
      </c>
      <c r="F185" s="2306">
        <v>240</v>
      </c>
      <c r="G185" s="2306"/>
      <c r="H185" s="2307">
        <v>11912</v>
      </c>
      <c r="I185" s="5618">
        <v>11912</v>
      </c>
      <c r="J185" s="5618"/>
      <c r="K185" s="2305"/>
      <c r="L185" s="2305"/>
      <c r="M185" s="2308"/>
      <c r="N185" s="2309"/>
      <c r="O185" s="2309"/>
      <c r="P185" s="2305"/>
      <c r="Q185" s="2305"/>
      <c r="R185" s="2307">
        <v>11912</v>
      </c>
      <c r="S185" s="2307">
        <v>11912</v>
      </c>
      <c r="T185" s="2305"/>
    </row>
    <row r="186" spans="1:20" ht="12" customHeight="1" outlineLevel="1" x14ac:dyDescent="0.2">
      <c r="A186" s="5617" t="s">
        <v>2592</v>
      </c>
      <c r="B186" s="5617"/>
      <c r="C186" s="2303">
        <v>482</v>
      </c>
      <c r="D186" s="2304" t="s">
        <v>2593</v>
      </c>
      <c r="E186" s="2305" t="s">
        <v>2534</v>
      </c>
      <c r="F186" s="2306">
        <v>1</v>
      </c>
      <c r="G186" s="2306"/>
      <c r="H186" s="2307">
        <v>3962</v>
      </c>
      <c r="I186" s="5618">
        <v>3962</v>
      </c>
      <c r="J186" s="5618"/>
      <c r="K186" s="2305"/>
      <c r="L186" s="2305"/>
      <c r="M186" s="2308"/>
      <c r="N186" s="2309"/>
      <c r="O186" s="2309"/>
      <c r="P186" s="2305"/>
      <c r="Q186" s="2305"/>
      <c r="R186" s="2307">
        <v>3962</v>
      </c>
      <c r="S186" s="2307">
        <v>3962</v>
      </c>
      <c r="T186" s="2305"/>
    </row>
    <row r="187" spans="1:20" ht="23.25" customHeight="1" outlineLevel="1" x14ac:dyDescent="0.2">
      <c r="A187" s="5617" t="s">
        <v>2594</v>
      </c>
      <c r="B187" s="5617"/>
      <c r="C187" s="2303">
        <v>345</v>
      </c>
      <c r="D187" s="2304" t="s">
        <v>2595</v>
      </c>
      <c r="E187" s="2305" t="s">
        <v>2596</v>
      </c>
      <c r="F187" s="2306">
        <v>286</v>
      </c>
      <c r="G187" s="2306"/>
      <c r="H187" s="2307">
        <v>3836</v>
      </c>
      <c r="I187" s="5618">
        <v>3836</v>
      </c>
      <c r="J187" s="5618"/>
      <c r="K187" s="2305"/>
      <c r="L187" s="2305"/>
      <c r="M187" s="2308"/>
      <c r="N187" s="2309"/>
      <c r="O187" s="2309"/>
      <c r="P187" s="2305"/>
      <c r="Q187" s="2305"/>
      <c r="R187" s="2307">
        <v>3836</v>
      </c>
      <c r="S187" s="2307">
        <v>3836</v>
      </c>
      <c r="T187" s="2305"/>
    </row>
    <row r="188" spans="1:20" ht="12" customHeight="1" outlineLevel="1" x14ac:dyDescent="0.2">
      <c r="A188" s="5617" t="s">
        <v>2597</v>
      </c>
      <c r="B188" s="5617"/>
      <c r="C188" s="2303">
        <v>346</v>
      </c>
      <c r="D188" s="2304" t="s">
        <v>2598</v>
      </c>
      <c r="E188" s="2305" t="s">
        <v>2599</v>
      </c>
      <c r="F188" s="2306">
        <v>96</v>
      </c>
      <c r="G188" s="2306"/>
      <c r="H188" s="2307">
        <v>9357</v>
      </c>
      <c r="I188" s="5618">
        <v>9357</v>
      </c>
      <c r="J188" s="5618"/>
      <c r="K188" s="2305"/>
      <c r="L188" s="2305"/>
      <c r="M188" s="2308"/>
      <c r="N188" s="2309"/>
      <c r="O188" s="2309"/>
      <c r="P188" s="2305"/>
      <c r="Q188" s="2305"/>
      <c r="R188" s="2307">
        <v>9357</v>
      </c>
      <c r="S188" s="2307">
        <v>9357</v>
      </c>
      <c r="T188" s="2305"/>
    </row>
    <row r="189" spans="1:20" ht="12" customHeight="1" outlineLevel="1" x14ac:dyDescent="0.2">
      <c r="A189" s="5617" t="s">
        <v>2600</v>
      </c>
      <c r="B189" s="5617"/>
      <c r="C189" s="2310">
        <v>1965</v>
      </c>
      <c r="D189" s="2304" t="s">
        <v>2601</v>
      </c>
      <c r="E189" s="2305" t="s">
        <v>2602</v>
      </c>
      <c r="F189" s="2306">
        <v>84</v>
      </c>
      <c r="G189" s="2306"/>
      <c r="H189" s="2307">
        <v>163500</v>
      </c>
      <c r="I189" s="5618">
        <v>163500</v>
      </c>
      <c r="J189" s="5618"/>
      <c r="K189" s="2305"/>
      <c r="L189" s="2305"/>
      <c r="M189" s="2308"/>
      <c r="N189" s="2309"/>
      <c r="O189" s="2309"/>
      <c r="P189" s="2305"/>
      <c r="Q189" s="2305"/>
      <c r="R189" s="2307">
        <v>163500</v>
      </c>
      <c r="S189" s="2307">
        <v>163500</v>
      </c>
      <c r="T189" s="2305"/>
    </row>
    <row r="190" spans="1:20" ht="12" customHeight="1" outlineLevel="1" x14ac:dyDescent="0.2">
      <c r="A190" s="5617" t="s">
        <v>2603</v>
      </c>
      <c r="B190" s="5617"/>
      <c r="C190" s="2310">
        <v>2292</v>
      </c>
      <c r="D190" s="2304" t="s">
        <v>2604</v>
      </c>
      <c r="E190" s="2305" t="s">
        <v>2605</v>
      </c>
      <c r="F190" s="2306">
        <v>60</v>
      </c>
      <c r="G190" s="2306"/>
      <c r="H190" s="2307">
        <v>17300</v>
      </c>
      <c r="I190" s="5618">
        <v>17300</v>
      </c>
      <c r="J190" s="5618"/>
      <c r="K190" s="2305"/>
      <c r="L190" s="2305"/>
      <c r="M190" s="2308"/>
      <c r="N190" s="2309"/>
      <c r="O190" s="2309"/>
      <c r="P190" s="2305"/>
      <c r="Q190" s="2305"/>
      <c r="R190" s="2307">
        <v>17300</v>
      </c>
      <c r="S190" s="2307">
        <v>17300</v>
      </c>
      <c r="T190" s="2305"/>
    </row>
    <row r="191" spans="1:20" ht="23.25" customHeight="1" outlineLevel="1" x14ac:dyDescent="0.2">
      <c r="A191" s="5617" t="s">
        <v>2606</v>
      </c>
      <c r="B191" s="5617"/>
      <c r="C191" s="2352">
        <v>935</v>
      </c>
      <c r="D191" s="2304" t="s">
        <v>2607</v>
      </c>
      <c r="E191" s="2305" t="s">
        <v>2605</v>
      </c>
      <c r="F191" s="2306">
        <v>60</v>
      </c>
      <c r="G191" s="2306"/>
      <c r="H191" s="2307">
        <v>17300</v>
      </c>
      <c r="I191" s="5618">
        <v>17300</v>
      </c>
      <c r="J191" s="5618"/>
      <c r="K191" s="2305"/>
      <c r="L191" s="2305"/>
      <c r="M191" s="2308"/>
      <c r="N191" s="2309"/>
      <c r="O191" s="2309"/>
      <c r="P191" s="2305"/>
      <c r="Q191" s="2305"/>
      <c r="R191" s="2307">
        <v>17300</v>
      </c>
      <c r="S191" s="2307">
        <v>17300</v>
      </c>
      <c r="T191" s="2305"/>
    </row>
    <row r="192" spans="1:20" ht="12" customHeight="1" outlineLevel="1" x14ac:dyDescent="0.2">
      <c r="A192" s="5617" t="s">
        <v>2608</v>
      </c>
      <c r="B192" s="5617"/>
      <c r="C192" s="2310">
        <v>1925</v>
      </c>
      <c r="D192" s="2304" t="s">
        <v>2225</v>
      </c>
      <c r="E192" s="2305" t="s">
        <v>2609</v>
      </c>
      <c r="F192" s="2306">
        <v>120</v>
      </c>
      <c r="G192" s="2306"/>
      <c r="H192" s="2307">
        <v>86200</v>
      </c>
      <c r="I192" s="5618">
        <v>86200</v>
      </c>
      <c r="J192" s="5618"/>
      <c r="K192" s="2305"/>
      <c r="L192" s="2305"/>
      <c r="M192" s="2308"/>
      <c r="N192" s="2309"/>
      <c r="O192" s="2309"/>
      <c r="P192" s="2305"/>
      <c r="Q192" s="2305"/>
      <c r="R192" s="2307">
        <v>86200</v>
      </c>
      <c r="S192" s="2307">
        <v>86200</v>
      </c>
      <c r="T192" s="2305"/>
    </row>
    <row r="193" spans="1:20" ht="23.25" customHeight="1" outlineLevel="1" x14ac:dyDescent="0.2">
      <c r="A193" s="5617" t="s">
        <v>2610</v>
      </c>
      <c r="B193" s="5617"/>
      <c r="C193" s="2303">
        <v>726</v>
      </c>
      <c r="D193" s="2304" t="s">
        <v>2200</v>
      </c>
      <c r="E193" s="2305" t="s">
        <v>2611</v>
      </c>
      <c r="F193" s="2306">
        <v>84</v>
      </c>
      <c r="G193" s="2306"/>
      <c r="H193" s="2307">
        <v>41278.400000000001</v>
      </c>
      <c r="I193" s="5618">
        <v>41278.400000000001</v>
      </c>
      <c r="J193" s="5618"/>
      <c r="K193" s="2305"/>
      <c r="L193" s="2305"/>
      <c r="M193" s="2308"/>
      <c r="N193" s="2309"/>
      <c r="O193" s="2309"/>
      <c r="P193" s="2305"/>
      <c r="Q193" s="2305"/>
      <c r="R193" s="2307">
        <v>41278.400000000001</v>
      </c>
      <c r="S193" s="2307">
        <v>41278.400000000001</v>
      </c>
      <c r="T193" s="2305"/>
    </row>
    <row r="194" spans="1:20" ht="12" customHeight="1" outlineLevel="1" x14ac:dyDescent="0.2">
      <c r="A194" s="5617" t="s">
        <v>2612</v>
      </c>
      <c r="B194" s="5617"/>
      <c r="C194" s="2303">
        <v>722</v>
      </c>
      <c r="D194" s="2304" t="s">
        <v>2613</v>
      </c>
      <c r="E194" s="2305" t="s">
        <v>2614</v>
      </c>
      <c r="F194" s="2306">
        <v>60</v>
      </c>
      <c r="G194" s="2306"/>
      <c r="H194" s="2307">
        <v>12474</v>
      </c>
      <c r="I194" s="5618">
        <v>12474</v>
      </c>
      <c r="J194" s="5618"/>
      <c r="K194" s="2305"/>
      <c r="L194" s="2305"/>
      <c r="M194" s="2308"/>
      <c r="N194" s="2309"/>
      <c r="O194" s="2309"/>
      <c r="P194" s="2305"/>
      <c r="Q194" s="2305"/>
      <c r="R194" s="2307">
        <v>12474</v>
      </c>
      <c r="S194" s="2307">
        <v>12474</v>
      </c>
      <c r="T194" s="2305"/>
    </row>
    <row r="195" spans="1:20" s="2326" customFormat="1" ht="12" customHeight="1" outlineLevel="1" x14ac:dyDescent="0.2">
      <c r="A195" s="5626" t="s">
        <v>2615</v>
      </c>
      <c r="B195" s="5626"/>
      <c r="C195" s="2349">
        <v>2383</v>
      </c>
      <c r="D195" s="2321" t="s">
        <v>2616</v>
      </c>
      <c r="E195" s="2322" t="s">
        <v>2617</v>
      </c>
      <c r="F195" s="2323">
        <v>84</v>
      </c>
      <c r="G195" s="2323"/>
      <c r="H195" s="2324">
        <v>19350</v>
      </c>
      <c r="I195" s="5627">
        <v>17507.36</v>
      </c>
      <c r="J195" s="5627"/>
      <c r="K195" s="2324">
        <v>1842.64</v>
      </c>
      <c r="L195" s="2322"/>
      <c r="M195" s="2324">
        <v>1842.64</v>
      </c>
      <c r="N195" s="2324">
        <f>M195</f>
        <v>1842.64</v>
      </c>
      <c r="O195" s="2324"/>
      <c r="P195" s="2322"/>
      <c r="Q195" s="2322"/>
      <c r="R195" s="2324">
        <v>19350</v>
      </c>
      <c r="S195" s="2324">
        <v>19350</v>
      </c>
      <c r="T195" s="2322"/>
    </row>
    <row r="196" spans="1:20" ht="12" customHeight="1" outlineLevel="1" x14ac:dyDescent="0.2">
      <c r="A196" s="5617" t="s">
        <v>2618</v>
      </c>
      <c r="B196" s="5617"/>
      <c r="C196" s="2303">
        <v>302</v>
      </c>
      <c r="D196" s="2304" t="s">
        <v>2574</v>
      </c>
      <c r="E196" s="2305" t="s">
        <v>2619</v>
      </c>
      <c r="F196" s="2306">
        <v>145</v>
      </c>
      <c r="G196" s="2306"/>
      <c r="H196" s="2307">
        <v>1200.06</v>
      </c>
      <c r="I196" s="5618">
        <v>1200.06</v>
      </c>
      <c r="J196" s="5618"/>
      <c r="K196" s="2305"/>
      <c r="L196" s="2305"/>
      <c r="M196" s="2308"/>
      <c r="N196" s="2309"/>
      <c r="O196" s="2309"/>
      <c r="P196" s="2305"/>
      <c r="Q196" s="2305"/>
      <c r="R196" s="2307">
        <v>1200.06</v>
      </c>
      <c r="S196" s="2307">
        <v>1200.06</v>
      </c>
      <c r="T196" s="2305"/>
    </row>
    <row r="197" spans="1:20" ht="12" customHeight="1" outlineLevel="1" x14ac:dyDescent="0.2">
      <c r="A197" s="5617" t="s">
        <v>2620</v>
      </c>
      <c r="B197" s="5617"/>
      <c r="C197" s="2303">
        <v>151</v>
      </c>
      <c r="D197" s="2304" t="s">
        <v>2621</v>
      </c>
      <c r="E197" s="2305" t="s">
        <v>2622</v>
      </c>
      <c r="F197" s="2306">
        <v>109</v>
      </c>
      <c r="G197" s="2306"/>
      <c r="H197" s="2307">
        <v>120983</v>
      </c>
      <c r="I197" s="5618">
        <v>120983</v>
      </c>
      <c r="J197" s="5618"/>
      <c r="K197" s="2305"/>
      <c r="L197" s="2305"/>
      <c r="M197" s="2308"/>
      <c r="N197" s="2309"/>
      <c r="O197" s="2309"/>
      <c r="P197" s="2305"/>
      <c r="Q197" s="2305"/>
      <c r="R197" s="2307">
        <v>120983</v>
      </c>
      <c r="S197" s="2307">
        <v>120983</v>
      </c>
      <c r="T197" s="2305"/>
    </row>
    <row r="198" spans="1:20" ht="12" customHeight="1" outlineLevel="1" x14ac:dyDescent="0.2">
      <c r="A198" s="5617" t="s">
        <v>2623</v>
      </c>
      <c r="B198" s="5617"/>
      <c r="C198" s="2303">
        <v>187</v>
      </c>
      <c r="D198" s="2304" t="s">
        <v>2574</v>
      </c>
      <c r="E198" s="2305" t="s">
        <v>2624</v>
      </c>
      <c r="F198" s="2306">
        <v>144</v>
      </c>
      <c r="G198" s="2306"/>
      <c r="H198" s="2307">
        <v>2500</v>
      </c>
      <c r="I198" s="5618">
        <v>2500</v>
      </c>
      <c r="J198" s="5618"/>
      <c r="K198" s="2305"/>
      <c r="L198" s="2305"/>
      <c r="M198" s="2308"/>
      <c r="N198" s="2309"/>
      <c r="O198" s="2309"/>
      <c r="P198" s="2305"/>
      <c r="Q198" s="2305"/>
      <c r="R198" s="2307">
        <v>2500</v>
      </c>
      <c r="S198" s="2307">
        <v>2500</v>
      </c>
      <c r="T198" s="2305"/>
    </row>
    <row r="199" spans="1:20" ht="12" customHeight="1" outlineLevel="1" x14ac:dyDescent="0.2">
      <c r="A199" s="5617" t="s">
        <v>2625</v>
      </c>
      <c r="B199" s="5617"/>
      <c r="C199" s="2303">
        <v>152</v>
      </c>
      <c r="D199" s="2304" t="s">
        <v>2626</v>
      </c>
      <c r="E199" s="2305" t="s">
        <v>2627</v>
      </c>
      <c r="F199" s="2306">
        <v>67</v>
      </c>
      <c r="G199" s="2306"/>
      <c r="H199" s="2307">
        <v>28767</v>
      </c>
      <c r="I199" s="5618">
        <v>28767</v>
      </c>
      <c r="J199" s="5618"/>
      <c r="K199" s="2305"/>
      <c r="L199" s="2305"/>
      <c r="M199" s="2308"/>
      <c r="N199" s="2309"/>
      <c r="O199" s="2309"/>
      <c r="P199" s="2305"/>
      <c r="Q199" s="2305"/>
      <c r="R199" s="2307">
        <v>28767</v>
      </c>
      <c r="S199" s="2307">
        <v>28767</v>
      </c>
      <c r="T199" s="2305"/>
    </row>
    <row r="200" spans="1:20" ht="12" customHeight="1" outlineLevel="1" x14ac:dyDescent="0.2">
      <c r="A200" s="5617" t="s">
        <v>2628</v>
      </c>
      <c r="B200" s="5617"/>
      <c r="C200" s="2303">
        <v>347</v>
      </c>
      <c r="D200" s="2304" t="s">
        <v>2598</v>
      </c>
      <c r="E200" s="2305" t="s">
        <v>2629</v>
      </c>
      <c r="F200" s="2306">
        <v>48</v>
      </c>
      <c r="G200" s="2306"/>
      <c r="H200" s="2307">
        <v>18155</v>
      </c>
      <c r="I200" s="5618">
        <v>18155</v>
      </c>
      <c r="J200" s="5618"/>
      <c r="K200" s="2305"/>
      <c r="L200" s="2305"/>
      <c r="M200" s="2308"/>
      <c r="N200" s="2309"/>
      <c r="O200" s="2309"/>
      <c r="P200" s="2305"/>
      <c r="Q200" s="2305"/>
      <c r="R200" s="2307">
        <v>18155</v>
      </c>
      <c r="S200" s="2307">
        <v>18155</v>
      </c>
      <c r="T200" s="2305"/>
    </row>
    <row r="201" spans="1:20" ht="12" customHeight="1" outlineLevel="1" x14ac:dyDescent="0.2">
      <c r="A201" s="5617" t="s">
        <v>2630</v>
      </c>
      <c r="B201" s="5617"/>
      <c r="C201" s="2303">
        <v>451</v>
      </c>
      <c r="D201" s="2304" t="s">
        <v>2631</v>
      </c>
      <c r="E201" s="2305" t="s">
        <v>2632</v>
      </c>
      <c r="F201" s="2306">
        <v>273</v>
      </c>
      <c r="G201" s="2306"/>
      <c r="H201" s="2307">
        <v>26908</v>
      </c>
      <c r="I201" s="5618">
        <v>26908</v>
      </c>
      <c r="J201" s="5618"/>
      <c r="K201" s="2305"/>
      <c r="L201" s="2305"/>
      <c r="M201" s="2308"/>
      <c r="N201" s="2309"/>
      <c r="O201" s="2309"/>
      <c r="P201" s="2305"/>
      <c r="Q201" s="2305"/>
      <c r="R201" s="2307">
        <v>26908</v>
      </c>
      <c r="S201" s="2307">
        <v>26908</v>
      </c>
      <c r="T201" s="2305"/>
    </row>
    <row r="202" spans="1:20" ht="23.25" customHeight="1" outlineLevel="1" x14ac:dyDescent="0.2">
      <c r="A202" s="5617" t="s">
        <v>2633</v>
      </c>
      <c r="B202" s="5617"/>
      <c r="C202" s="2303">
        <v>131</v>
      </c>
      <c r="D202" s="2304" t="s">
        <v>2631</v>
      </c>
      <c r="E202" s="2305" t="s">
        <v>2634</v>
      </c>
      <c r="F202" s="2306">
        <v>72</v>
      </c>
      <c r="G202" s="2306"/>
      <c r="H202" s="2307">
        <v>3630</v>
      </c>
      <c r="I202" s="5618">
        <v>3630</v>
      </c>
      <c r="J202" s="5618"/>
      <c r="K202" s="2305"/>
      <c r="L202" s="2305"/>
      <c r="M202" s="2308"/>
      <c r="N202" s="2309"/>
      <c r="O202" s="2309"/>
      <c r="P202" s="2305"/>
      <c r="Q202" s="2305"/>
      <c r="R202" s="2307">
        <v>3630</v>
      </c>
      <c r="S202" s="2307">
        <v>3630</v>
      </c>
      <c r="T202" s="2305"/>
    </row>
    <row r="203" spans="1:20" ht="12" customHeight="1" outlineLevel="1" x14ac:dyDescent="0.2">
      <c r="A203" s="5617" t="s">
        <v>2635</v>
      </c>
      <c r="B203" s="5617"/>
      <c r="C203" s="2303">
        <v>348</v>
      </c>
      <c r="D203" s="2304" t="s">
        <v>2595</v>
      </c>
      <c r="E203" s="2305" t="s">
        <v>2636</v>
      </c>
      <c r="F203" s="2306">
        <v>84</v>
      </c>
      <c r="G203" s="2306"/>
      <c r="H203" s="2307">
        <v>14709</v>
      </c>
      <c r="I203" s="5618">
        <v>14709</v>
      </c>
      <c r="J203" s="5618"/>
      <c r="K203" s="2305"/>
      <c r="L203" s="2305"/>
      <c r="M203" s="2308"/>
      <c r="N203" s="2309"/>
      <c r="O203" s="2309"/>
      <c r="P203" s="2305"/>
      <c r="Q203" s="2305"/>
      <c r="R203" s="2307">
        <v>14709</v>
      </c>
      <c r="S203" s="2307">
        <v>14709</v>
      </c>
      <c r="T203" s="2305"/>
    </row>
    <row r="204" spans="1:20" ht="23.25" customHeight="1" outlineLevel="1" x14ac:dyDescent="0.2">
      <c r="A204" s="5617" t="s">
        <v>2637</v>
      </c>
      <c r="B204" s="5617"/>
      <c r="C204" s="2303">
        <v>97</v>
      </c>
      <c r="D204" s="2304" t="s">
        <v>2196</v>
      </c>
      <c r="E204" s="2305" t="s">
        <v>2638</v>
      </c>
      <c r="F204" s="2306">
        <v>324</v>
      </c>
      <c r="G204" s="2306"/>
      <c r="H204" s="2307">
        <v>6557</v>
      </c>
      <c r="I204" s="5618">
        <v>6557</v>
      </c>
      <c r="J204" s="5618"/>
      <c r="K204" s="2305"/>
      <c r="L204" s="2305"/>
      <c r="M204" s="2308"/>
      <c r="N204" s="2309"/>
      <c r="O204" s="2309"/>
      <c r="P204" s="2305"/>
      <c r="Q204" s="2305"/>
      <c r="R204" s="2307">
        <v>6557</v>
      </c>
      <c r="S204" s="2307">
        <v>6557</v>
      </c>
      <c r="T204" s="2305"/>
    </row>
    <row r="205" spans="1:20" ht="12" customHeight="1" outlineLevel="1" x14ac:dyDescent="0.2">
      <c r="A205" s="5617" t="s">
        <v>2639</v>
      </c>
      <c r="B205" s="5617"/>
      <c r="C205" s="2303">
        <v>711</v>
      </c>
      <c r="D205" s="2304" t="s">
        <v>2640</v>
      </c>
      <c r="E205" s="2305" t="s">
        <v>2641</v>
      </c>
      <c r="F205" s="2306">
        <v>60</v>
      </c>
      <c r="G205" s="2306"/>
      <c r="H205" s="2307">
        <v>11666.67</v>
      </c>
      <c r="I205" s="5618">
        <v>11666.67</v>
      </c>
      <c r="J205" s="5618"/>
      <c r="K205" s="2305"/>
      <c r="L205" s="2305"/>
      <c r="M205" s="2308"/>
      <c r="N205" s="2309"/>
      <c r="O205" s="2309"/>
      <c r="P205" s="2305"/>
      <c r="Q205" s="2305"/>
      <c r="R205" s="2307">
        <v>11666.67</v>
      </c>
      <c r="S205" s="2307">
        <v>11666.67</v>
      </c>
      <c r="T205" s="2305"/>
    </row>
    <row r="206" spans="1:20" ht="23.25" customHeight="1" outlineLevel="1" x14ac:dyDescent="0.2">
      <c r="A206" s="5617" t="s">
        <v>2642</v>
      </c>
      <c r="B206" s="5617"/>
      <c r="C206" s="2303">
        <v>96</v>
      </c>
      <c r="D206" s="2304" t="s">
        <v>2196</v>
      </c>
      <c r="E206" s="2305" t="s">
        <v>2643</v>
      </c>
      <c r="F206" s="2306">
        <v>324</v>
      </c>
      <c r="G206" s="2306"/>
      <c r="H206" s="2307">
        <v>6551</v>
      </c>
      <c r="I206" s="5618">
        <v>6551</v>
      </c>
      <c r="J206" s="5618"/>
      <c r="K206" s="2305"/>
      <c r="L206" s="2305"/>
      <c r="M206" s="2308"/>
      <c r="N206" s="2309"/>
      <c r="O206" s="2309"/>
      <c r="P206" s="2305"/>
      <c r="Q206" s="2305"/>
      <c r="R206" s="2307">
        <v>6551</v>
      </c>
      <c r="S206" s="2307">
        <v>6551</v>
      </c>
      <c r="T206" s="2305"/>
    </row>
    <row r="207" spans="1:20" ht="12" customHeight="1" outlineLevel="1" x14ac:dyDescent="0.2">
      <c r="A207" s="5617" t="s">
        <v>2644</v>
      </c>
      <c r="B207" s="5617"/>
      <c r="C207" s="2303">
        <v>110</v>
      </c>
      <c r="D207" s="2304" t="s">
        <v>2196</v>
      </c>
      <c r="E207" s="2305" t="s">
        <v>2645</v>
      </c>
      <c r="F207" s="2306">
        <v>84</v>
      </c>
      <c r="G207" s="2306"/>
      <c r="H207" s="2307">
        <v>20255</v>
      </c>
      <c r="I207" s="5618">
        <v>20255</v>
      </c>
      <c r="J207" s="5618"/>
      <c r="K207" s="2305"/>
      <c r="L207" s="2305"/>
      <c r="M207" s="2308"/>
      <c r="N207" s="2309"/>
      <c r="O207" s="2309"/>
      <c r="P207" s="2305"/>
      <c r="Q207" s="2305"/>
      <c r="R207" s="2307">
        <v>20255</v>
      </c>
      <c r="S207" s="2307">
        <v>20255</v>
      </c>
      <c r="T207" s="2305"/>
    </row>
    <row r="208" spans="1:20" ht="12" customHeight="1" outlineLevel="1" x14ac:dyDescent="0.2">
      <c r="A208" s="5617" t="s">
        <v>2646</v>
      </c>
      <c r="B208" s="5617"/>
      <c r="C208" s="2303">
        <v>2017</v>
      </c>
      <c r="D208" s="2304" t="s">
        <v>2647</v>
      </c>
      <c r="E208" s="2305" t="s">
        <v>2648</v>
      </c>
      <c r="F208" s="2306">
        <v>60</v>
      </c>
      <c r="G208" s="2306"/>
      <c r="H208" s="2307">
        <v>18018</v>
      </c>
      <c r="I208" s="5618">
        <v>18018</v>
      </c>
      <c r="J208" s="5618"/>
      <c r="K208" s="2305"/>
      <c r="L208" s="2305"/>
      <c r="M208" s="2308"/>
      <c r="N208" s="2309"/>
      <c r="O208" s="2309"/>
      <c r="P208" s="2305"/>
      <c r="Q208" s="2305"/>
      <c r="R208" s="2307">
        <v>18018</v>
      </c>
      <c r="S208" s="2307">
        <v>18018</v>
      </c>
      <c r="T208" s="2305"/>
    </row>
    <row r="209" spans="1:20" ht="12" customHeight="1" outlineLevel="1" x14ac:dyDescent="0.2">
      <c r="A209" s="5617" t="s">
        <v>2646</v>
      </c>
      <c r="B209" s="5617"/>
      <c r="C209" s="2303">
        <v>2018</v>
      </c>
      <c r="D209" s="2304" t="s">
        <v>2647</v>
      </c>
      <c r="E209" s="2305" t="s">
        <v>2648</v>
      </c>
      <c r="F209" s="2306">
        <v>60</v>
      </c>
      <c r="G209" s="2306"/>
      <c r="H209" s="2307">
        <v>18018</v>
      </c>
      <c r="I209" s="5618">
        <v>18018</v>
      </c>
      <c r="J209" s="5618"/>
      <c r="K209" s="2305"/>
      <c r="L209" s="2305"/>
      <c r="M209" s="2308"/>
      <c r="N209" s="2309"/>
      <c r="O209" s="2309"/>
      <c r="P209" s="2305"/>
      <c r="Q209" s="2305"/>
      <c r="R209" s="2307">
        <v>18018</v>
      </c>
      <c r="S209" s="2307">
        <v>18018</v>
      </c>
      <c r="T209" s="2305"/>
    </row>
    <row r="210" spans="1:20" ht="12" customHeight="1" outlineLevel="1" x14ac:dyDescent="0.2">
      <c r="A210" s="5617" t="s">
        <v>2649</v>
      </c>
      <c r="B210" s="5617"/>
      <c r="C210" s="2310">
        <v>1966</v>
      </c>
      <c r="D210" s="2304" t="s">
        <v>2601</v>
      </c>
      <c r="E210" s="2305" t="s">
        <v>2650</v>
      </c>
      <c r="F210" s="2306">
        <v>84</v>
      </c>
      <c r="G210" s="2306"/>
      <c r="H210" s="2307">
        <v>50600</v>
      </c>
      <c r="I210" s="5618">
        <v>50600</v>
      </c>
      <c r="J210" s="5618"/>
      <c r="K210" s="2305"/>
      <c r="L210" s="2305"/>
      <c r="M210" s="2308"/>
      <c r="N210" s="2309"/>
      <c r="O210" s="2309"/>
      <c r="P210" s="2305"/>
      <c r="Q210" s="2305"/>
      <c r="R210" s="2307">
        <v>50600</v>
      </c>
      <c r="S210" s="2307">
        <v>50600</v>
      </c>
      <c r="T210" s="2305"/>
    </row>
    <row r="211" spans="1:20" ht="12" customHeight="1" outlineLevel="1" x14ac:dyDescent="0.2">
      <c r="A211" s="5617" t="s">
        <v>2651</v>
      </c>
      <c r="B211" s="5617"/>
      <c r="C211" s="2310">
        <v>1739</v>
      </c>
      <c r="D211" s="2304" t="s">
        <v>2652</v>
      </c>
      <c r="E211" s="2305" t="s">
        <v>2653</v>
      </c>
      <c r="F211" s="2306">
        <v>60</v>
      </c>
      <c r="G211" s="2306"/>
      <c r="H211" s="2307">
        <v>11020</v>
      </c>
      <c r="I211" s="5618">
        <v>11020</v>
      </c>
      <c r="J211" s="5618"/>
      <c r="K211" s="2305"/>
      <c r="L211" s="2305"/>
      <c r="M211" s="2308"/>
      <c r="N211" s="2309"/>
      <c r="O211" s="2309"/>
      <c r="P211" s="2305"/>
      <c r="Q211" s="2305"/>
      <c r="R211" s="2307">
        <v>11020</v>
      </c>
      <c r="S211" s="2307">
        <v>11020</v>
      </c>
      <c r="T211" s="2305"/>
    </row>
    <row r="212" spans="1:20" s="2326" customFormat="1" ht="23.25" customHeight="1" outlineLevel="1" x14ac:dyDescent="0.2">
      <c r="A212" s="5626" t="s">
        <v>2654</v>
      </c>
      <c r="B212" s="5626"/>
      <c r="C212" s="2349">
        <v>2385</v>
      </c>
      <c r="D212" s="2321" t="s">
        <v>2655</v>
      </c>
      <c r="E212" s="2322" t="s">
        <v>2656</v>
      </c>
      <c r="F212" s="2323">
        <v>84</v>
      </c>
      <c r="G212" s="2323"/>
      <c r="H212" s="2324">
        <v>341757.25</v>
      </c>
      <c r="I212" s="5627">
        <v>309209.03999999998</v>
      </c>
      <c r="J212" s="5627"/>
      <c r="K212" s="2324">
        <v>32548.21</v>
      </c>
      <c r="L212" s="2322"/>
      <c r="M212" s="2324">
        <v>32548.21</v>
      </c>
      <c r="N212" s="2324">
        <f>M212</f>
        <v>32548.21</v>
      </c>
      <c r="O212" s="2324"/>
      <c r="P212" s="2322"/>
      <c r="Q212" s="2322"/>
      <c r="R212" s="2324">
        <v>341757.25</v>
      </c>
      <c r="S212" s="2324">
        <v>341757.25</v>
      </c>
      <c r="T212" s="2322"/>
    </row>
    <row r="213" spans="1:20" ht="12" customHeight="1" outlineLevel="1" x14ac:dyDescent="0.2">
      <c r="A213" s="5617" t="s">
        <v>2657</v>
      </c>
      <c r="B213" s="5617"/>
      <c r="C213" s="2303">
        <v>269</v>
      </c>
      <c r="D213" s="2304" t="s">
        <v>2574</v>
      </c>
      <c r="E213" s="2305" t="s">
        <v>2658</v>
      </c>
      <c r="F213" s="2306">
        <v>96</v>
      </c>
      <c r="G213" s="2306"/>
      <c r="H213" s="2307">
        <v>22080</v>
      </c>
      <c r="I213" s="5618">
        <v>22080</v>
      </c>
      <c r="J213" s="5618"/>
      <c r="K213" s="2305"/>
      <c r="L213" s="2305"/>
      <c r="M213" s="2308"/>
      <c r="N213" s="2309"/>
      <c r="O213" s="2309"/>
      <c r="P213" s="2305"/>
      <c r="Q213" s="2305"/>
      <c r="R213" s="2307">
        <v>22080</v>
      </c>
      <c r="S213" s="2307">
        <v>22080</v>
      </c>
      <c r="T213" s="2305"/>
    </row>
    <row r="214" spans="1:20" ht="12" customHeight="1" outlineLevel="1" x14ac:dyDescent="0.2">
      <c r="A214" s="5617" t="s">
        <v>2659</v>
      </c>
      <c r="B214" s="5617"/>
      <c r="C214" s="2310">
        <v>1904</v>
      </c>
      <c r="D214" s="2304" t="s">
        <v>2660</v>
      </c>
      <c r="E214" s="2305" t="s">
        <v>2661</v>
      </c>
      <c r="F214" s="2306">
        <v>84</v>
      </c>
      <c r="G214" s="2306"/>
      <c r="H214" s="2307">
        <v>10681</v>
      </c>
      <c r="I214" s="5618">
        <v>10681</v>
      </c>
      <c r="J214" s="5618"/>
      <c r="K214" s="2305"/>
      <c r="L214" s="2305"/>
      <c r="M214" s="2308"/>
      <c r="N214" s="2309"/>
      <c r="O214" s="2309"/>
      <c r="P214" s="2305"/>
      <c r="Q214" s="2305"/>
      <c r="R214" s="2307">
        <v>10681</v>
      </c>
      <c r="S214" s="2307">
        <v>10681</v>
      </c>
      <c r="T214" s="2305"/>
    </row>
    <row r="215" spans="1:20" ht="12" customHeight="1" outlineLevel="1" x14ac:dyDescent="0.2">
      <c r="A215" s="5617" t="s">
        <v>2662</v>
      </c>
      <c r="B215" s="5617"/>
      <c r="C215" s="2310">
        <v>2362</v>
      </c>
      <c r="D215" s="2304" t="s">
        <v>2663</v>
      </c>
      <c r="E215" s="2305" t="s">
        <v>2664</v>
      </c>
      <c r="F215" s="2306">
        <v>84</v>
      </c>
      <c r="G215" s="2306"/>
      <c r="H215" s="2307">
        <v>15000</v>
      </c>
      <c r="I215" s="5618">
        <v>15000</v>
      </c>
      <c r="J215" s="5618"/>
      <c r="K215" s="2305"/>
      <c r="L215" s="2305"/>
      <c r="M215" s="2308"/>
      <c r="N215" s="2309"/>
      <c r="O215" s="2309"/>
      <c r="P215" s="2305"/>
      <c r="Q215" s="2305"/>
      <c r="R215" s="2307">
        <v>15000</v>
      </c>
      <c r="S215" s="2307">
        <v>15000</v>
      </c>
      <c r="T215" s="2305"/>
    </row>
    <row r="216" spans="1:20" ht="12" customHeight="1" outlineLevel="1" x14ac:dyDescent="0.2">
      <c r="A216" s="5617" t="s">
        <v>2659</v>
      </c>
      <c r="B216" s="5617"/>
      <c r="C216" s="2310">
        <v>1913</v>
      </c>
      <c r="D216" s="2304" t="s">
        <v>2588</v>
      </c>
      <c r="E216" s="2305" t="s">
        <v>2665</v>
      </c>
      <c r="F216" s="2306">
        <v>84</v>
      </c>
      <c r="G216" s="2306"/>
      <c r="H216" s="2307">
        <v>10681.2</v>
      </c>
      <c r="I216" s="5618">
        <v>10681.2</v>
      </c>
      <c r="J216" s="5618"/>
      <c r="K216" s="2305"/>
      <c r="L216" s="2305"/>
      <c r="M216" s="2308"/>
      <c r="N216" s="2309"/>
      <c r="O216" s="2309"/>
      <c r="P216" s="2305"/>
      <c r="Q216" s="2305"/>
      <c r="R216" s="2307">
        <v>10681.2</v>
      </c>
      <c r="S216" s="2307">
        <v>10681.2</v>
      </c>
      <c r="T216" s="2305"/>
    </row>
    <row r="217" spans="1:20" ht="12" customHeight="1" outlineLevel="1" x14ac:dyDescent="0.2">
      <c r="A217" s="5617" t="s">
        <v>2666</v>
      </c>
      <c r="B217" s="5617"/>
      <c r="C217" s="2310">
        <v>1920</v>
      </c>
      <c r="D217" s="2304" t="s">
        <v>2588</v>
      </c>
      <c r="E217" s="2305" t="s">
        <v>2667</v>
      </c>
      <c r="F217" s="2306">
        <v>84</v>
      </c>
      <c r="G217" s="2306"/>
      <c r="H217" s="2307">
        <v>11062.6</v>
      </c>
      <c r="I217" s="5618">
        <v>11062.6</v>
      </c>
      <c r="J217" s="5618"/>
      <c r="K217" s="2305"/>
      <c r="L217" s="2305"/>
      <c r="M217" s="2308"/>
      <c r="N217" s="2309"/>
      <c r="O217" s="2309"/>
      <c r="P217" s="2305"/>
      <c r="Q217" s="2305"/>
      <c r="R217" s="2307">
        <v>11062.6</v>
      </c>
      <c r="S217" s="2307">
        <v>11062.6</v>
      </c>
      <c r="T217" s="2305"/>
    </row>
    <row r="218" spans="1:20" ht="23.25" customHeight="1" outlineLevel="1" x14ac:dyDescent="0.2">
      <c r="A218" s="5617" t="s">
        <v>2668</v>
      </c>
      <c r="B218" s="5617"/>
      <c r="C218" s="2310">
        <v>1975</v>
      </c>
      <c r="D218" s="2304" t="s">
        <v>2669</v>
      </c>
      <c r="E218" s="2305" t="s">
        <v>2670</v>
      </c>
      <c r="F218" s="2306">
        <v>1</v>
      </c>
      <c r="G218" s="2306"/>
      <c r="H218" s="2305"/>
      <c r="I218" s="2345"/>
      <c r="J218" s="2346"/>
      <c r="K218" s="2305"/>
      <c r="L218" s="2305"/>
      <c r="M218" s="2308"/>
      <c r="N218" s="2309"/>
      <c r="O218" s="2309"/>
      <c r="P218" s="2305"/>
      <c r="Q218" s="2305"/>
      <c r="R218" s="2305"/>
      <c r="S218" s="2305"/>
      <c r="T218" s="2305"/>
    </row>
    <row r="219" spans="1:20" ht="12" customHeight="1" outlineLevel="1" x14ac:dyDescent="0.2">
      <c r="A219" s="5617" t="s">
        <v>2671</v>
      </c>
      <c r="B219" s="5617"/>
      <c r="C219" s="2303">
        <v>508</v>
      </c>
      <c r="D219" s="2304" t="s">
        <v>2672</v>
      </c>
      <c r="E219" s="2305" t="s">
        <v>2673</v>
      </c>
      <c r="F219" s="2306">
        <v>108</v>
      </c>
      <c r="G219" s="2306"/>
      <c r="H219" s="2307">
        <v>32400</v>
      </c>
      <c r="I219" s="5618">
        <v>32400</v>
      </c>
      <c r="J219" s="5618"/>
      <c r="K219" s="2305"/>
      <c r="L219" s="2305"/>
      <c r="M219" s="2308"/>
      <c r="N219" s="2309"/>
      <c r="O219" s="2309"/>
      <c r="P219" s="2305"/>
      <c r="Q219" s="2305"/>
      <c r="R219" s="2307">
        <v>32400</v>
      </c>
      <c r="S219" s="2307">
        <v>32400</v>
      </c>
      <c r="T219" s="2305"/>
    </row>
    <row r="220" spans="1:20" ht="12" customHeight="1" outlineLevel="1" x14ac:dyDescent="0.2">
      <c r="A220" s="5617" t="s">
        <v>2674</v>
      </c>
      <c r="B220" s="5617"/>
      <c r="C220" s="2310">
        <v>1786</v>
      </c>
      <c r="D220" s="2304" t="s">
        <v>2675</v>
      </c>
      <c r="E220" s="2305" t="s">
        <v>2676</v>
      </c>
      <c r="F220" s="2306">
        <v>36</v>
      </c>
      <c r="G220" s="2306"/>
      <c r="H220" s="2307">
        <v>11970</v>
      </c>
      <c r="I220" s="5618">
        <v>11970</v>
      </c>
      <c r="J220" s="5618"/>
      <c r="K220" s="2305"/>
      <c r="L220" s="2305"/>
      <c r="M220" s="2308"/>
      <c r="N220" s="2309"/>
      <c r="O220" s="2309"/>
      <c r="P220" s="2305"/>
      <c r="Q220" s="2305"/>
      <c r="R220" s="2307">
        <v>11970</v>
      </c>
      <c r="S220" s="2307">
        <v>11970</v>
      </c>
      <c r="T220" s="2305"/>
    </row>
    <row r="221" spans="1:20" ht="12" customHeight="1" outlineLevel="1" x14ac:dyDescent="0.2">
      <c r="A221" s="5617" t="s">
        <v>2677</v>
      </c>
      <c r="B221" s="5617"/>
      <c r="C221" s="2310">
        <v>2018</v>
      </c>
      <c r="D221" s="2304" t="s">
        <v>2678</v>
      </c>
      <c r="E221" s="2305" t="s">
        <v>2679</v>
      </c>
      <c r="F221" s="2306">
        <v>60</v>
      </c>
      <c r="G221" s="2306"/>
      <c r="H221" s="2307">
        <v>54500</v>
      </c>
      <c r="I221" s="5618">
        <v>54500</v>
      </c>
      <c r="J221" s="5618"/>
      <c r="K221" s="2305"/>
      <c r="L221" s="2305"/>
      <c r="M221" s="2308"/>
      <c r="N221" s="2309"/>
      <c r="O221" s="2309"/>
      <c r="P221" s="2305"/>
      <c r="Q221" s="2305"/>
      <c r="R221" s="2307">
        <v>54500</v>
      </c>
      <c r="S221" s="2307">
        <v>54500</v>
      </c>
      <c r="T221" s="2305"/>
    </row>
    <row r="222" spans="1:20" ht="12" customHeight="1" outlineLevel="1" x14ac:dyDescent="0.2">
      <c r="A222" s="5617" t="s">
        <v>2680</v>
      </c>
      <c r="B222" s="5617"/>
      <c r="C222" s="2310">
        <v>1972</v>
      </c>
      <c r="D222" s="2304" t="s">
        <v>2681</v>
      </c>
      <c r="E222" s="2305" t="s">
        <v>2682</v>
      </c>
      <c r="F222" s="2306">
        <v>60</v>
      </c>
      <c r="G222" s="2306"/>
      <c r="H222" s="2307">
        <v>12074.58</v>
      </c>
      <c r="I222" s="5618">
        <v>12074.58</v>
      </c>
      <c r="J222" s="5618"/>
      <c r="K222" s="2305"/>
      <c r="L222" s="2305"/>
      <c r="M222" s="2308"/>
      <c r="N222" s="2309"/>
      <c r="O222" s="2309"/>
      <c r="P222" s="2305"/>
      <c r="Q222" s="2305"/>
      <c r="R222" s="2307">
        <v>12074.58</v>
      </c>
      <c r="S222" s="2307">
        <v>12074.58</v>
      </c>
      <c r="T222" s="2305"/>
    </row>
    <row r="223" spans="1:20" ht="12" customHeight="1" outlineLevel="1" x14ac:dyDescent="0.2">
      <c r="A223" s="5617" t="s">
        <v>2683</v>
      </c>
      <c r="B223" s="5617"/>
      <c r="C223" s="2303">
        <v>739</v>
      </c>
      <c r="D223" s="2304" t="s">
        <v>2684</v>
      </c>
      <c r="E223" s="2305" t="s">
        <v>2685</v>
      </c>
      <c r="F223" s="2306">
        <v>60</v>
      </c>
      <c r="G223" s="2306"/>
      <c r="H223" s="2307">
        <v>10986.13</v>
      </c>
      <c r="I223" s="5618">
        <v>10986.13</v>
      </c>
      <c r="J223" s="5618"/>
      <c r="K223" s="2305"/>
      <c r="L223" s="2305"/>
      <c r="M223" s="2308"/>
      <c r="N223" s="2309"/>
      <c r="O223" s="2309"/>
      <c r="P223" s="2305"/>
      <c r="Q223" s="2305"/>
      <c r="R223" s="2307">
        <v>10986.13</v>
      </c>
      <c r="S223" s="2307">
        <v>10986.13</v>
      </c>
      <c r="T223" s="2305"/>
    </row>
    <row r="224" spans="1:20" ht="12" customHeight="1" outlineLevel="1" x14ac:dyDescent="0.2">
      <c r="A224" s="5617" t="s">
        <v>2686</v>
      </c>
      <c r="B224" s="5617"/>
      <c r="C224" s="2303">
        <v>108</v>
      </c>
      <c r="D224" s="2304" t="s">
        <v>2196</v>
      </c>
      <c r="E224" s="2305" t="s">
        <v>2687</v>
      </c>
      <c r="F224" s="2306">
        <v>273</v>
      </c>
      <c r="G224" s="2306"/>
      <c r="H224" s="2307">
        <v>22730</v>
      </c>
      <c r="I224" s="5618">
        <v>22730</v>
      </c>
      <c r="J224" s="5618"/>
      <c r="K224" s="2305"/>
      <c r="L224" s="2305"/>
      <c r="M224" s="2308"/>
      <c r="N224" s="2309"/>
      <c r="O224" s="2309"/>
      <c r="P224" s="2305"/>
      <c r="Q224" s="2305"/>
      <c r="R224" s="2307">
        <v>22730</v>
      </c>
      <c r="S224" s="2307">
        <v>22730</v>
      </c>
      <c r="T224" s="2305"/>
    </row>
    <row r="225" spans="1:20" ht="23.25" customHeight="1" outlineLevel="1" x14ac:dyDescent="0.2">
      <c r="A225" s="5617" t="s">
        <v>2688</v>
      </c>
      <c r="B225" s="5617"/>
      <c r="C225" s="2310">
        <v>2296</v>
      </c>
      <c r="D225" s="2304" t="s">
        <v>2689</v>
      </c>
      <c r="E225" s="2305" t="s">
        <v>2690</v>
      </c>
      <c r="F225" s="2306">
        <v>120</v>
      </c>
      <c r="G225" s="2306"/>
      <c r="H225" s="2307">
        <v>64419.31</v>
      </c>
      <c r="I225" s="5618">
        <v>40799.08</v>
      </c>
      <c r="J225" s="5618"/>
      <c r="K225" s="2307">
        <v>23620.23</v>
      </c>
      <c r="L225" s="2305"/>
      <c r="M225" s="2309">
        <v>6441.96</v>
      </c>
      <c r="N225" s="2309">
        <f>M225</f>
        <v>6441.96</v>
      </c>
      <c r="O225" s="2309"/>
      <c r="P225" s="2305"/>
      <c r="Q225" s="2305"/>
      <c r="R225" s="2307">
        <v>64419.31</v>
      </c>
      <c r="S225" s="2307">
        <v>47241.04</v>
      </c>
      <c r="T225" s="2307">
        <v>17178.27</v>
      </c>
    </row>
    <row r="226" spans="1:20" ht="12" customHeight="1" outlineLevel="1" x14ac:dyDescent="0.2">
      <c r="A226" s="5617" t="s">
        <v>2691</v>
      </c>
      <c r="B226" s="5617"/>
      <c r="C226" s="2303">
        <v>740</v>
      </c>
      <c r="D226" s="2304" t="s">
        <v>2684</v>
      </c>
      <c r="E226" s="2305" t="s">
        <v>2692</v>
      </c>
      <c r="F226" s="2306">
        <v>60</v>
      </c>
      <c r="G226" s="2306"/>
      <c r="H226" s="2307">
        <v>18885.189999999999</v>
      </c>
      <c r="I226" s="5618">
        <v>18885.189999999999</v>
      </c>
      <c r="J226" s="5618"/>
      <c r="K226" s="2305"/>
      <c r="L226" s="2305"/>
      <c r="M226" s="2308"/>
      <c r="N226" s="2309"/>
      <c r="O226" s="2309"/>
      <c r="P226" s="2305"/>
      <c r="Q226" s="2305"/>
      <c r="R226" s="2307">
        <v>18885.189999999999</v>
      </c>
      <c r="S226" s="2307">
        <v>18885.189999999999</v>
      </c>
      <c r="T226" s="2305"/>
    </row>
    <row r="227" spans="1:20" ht="23.25" customHeight="1" outlineLevel="1" x14ac:dyDescent="0.2">
      <c r="A227" s="5617" t="s">
        <v>2693</v>
      </c>
      <c r="B227" s="5617"/>
      <c r="C227" s="2310">
        <v>2455</v>
      </c>
      <c r="D227" s="2304" t="s">
        <v>2694</v>
      </c>
      <c r="E227" s="2305" t="s">
        <v>2695</v>
      </c>
      <c r="F227" s="2306">
        <v>84</v>
      </c>
      <c r="G227" s="2306"/>
      <c r="H227" s="2307">
        <v>54954.65</v>
      </c>
      <c r="I227" s="5618">
        <v>32056.78</v>
      </c>
      <c r="J227" s="5618"/>
      <c r="K227" s="2307">
        <v>22897.87</v>
      </c>
      <c r="L227" s="2305"/>
      <c r="M227" s="2309">
        <v>7850.64</v>
      </c>
      <c r="N227" s="2309">
        <f>M227</f>
        <v>7850.64</v>
      </c>
      <c r="O227" s="2309"/>
      <c r="P227" s="2305"/>
      <c r="Q227" s="2305"/>
      <c r="R227" s="2307">
        <v>54954.65</v>
      </c>
      <c r="S227" s="2307">
        <v>39907.42</v>
      </c>
      <c r="T227" s="2307">
        <v>15047.23</v>
      </c>
    </row>
    <row r="228" spans="1:20" ht="12" customHeight="1" outlineLevel="1" x14ac:dyDescent="0.2">
      <c r="A228" s="5617" t="s">
        <v>2696</v>
      </c>
      <c r="B228" s="5617"/>
      <c r="C228" s="2303">
        <v>390</v>
      </c>
      <c r="D228" s="2304" t="s">
        <v>2697</v>
      </c>
      <c r="E228" s="2305" t="s">
        <v>2698</v>
      </c>
      <c r="F228" s="2306">
        <v>324</v>
      </c>
      <c r="G228" s="2306"/>
      <c r="H228" s="2307">
        <v>4779</v>
      </c>
      <c r="I228" s="5618">
        <v>4539</v>
      </c>
      <c r="J228" s="5618"/>
      <c r="K228" s="2350">
        <v>240</v>
      </c>
      <c r="L228" s="2305"/>
      <c r="M228" s="2348">
        <v>177</v>
      </c>
      <c r="N228" s="2309">
        <f>H228/F228*12</f>
        <v>177</v>
      </c>
      <c r="O228" s="2309"/>
      <c r="P228" s="2305"/>
      <c r="Q228" s="2305"/>
      <c r="R228" s="2307">
        <v>4779</v>
      </c>
      <c r="S228" s="2307">
        <v>4716</v>
      </c>
      <c r="T228" s="2350">
        <v>63</v>
      </c>
    </row>
    <row r="229" spans="1:20" ht="12" customHeight="1" outlineLevel="1" x14ac:dyDescent="0.2">
      <c r="A229" s="5617" t="s">
        <v>2699</v>
      </c>
      <c r="B229" s="5617"/>
      <c r="C229" s="2303">
        <v>338</v>
      </c>
      <c r="D229" s="2304" t="s">
        <v>2700</v>
      </c>
      <c r="E229" s="2305" t="s">
        <v>2701</v>
      </c>
      <c r="F229" s="2306">
        <v>324</v>
      </c>
      <c r="G229" s="2306"/>
      <c r="H229" s="2307">
        <v>2018</v>
      </c>
      <c r="I229" s="5618">
        <v>2018</v>
      </c>
      <c r="J229" s="5618"/>
      <c r="K229" s="2305"/>
      <c r="L229" s="2305"/>
      <c r="M229" s="2308"/>
      <c r="N229" s="2309"/>
      <c r="O229" s="2309"/>
      <c r="P229" s="2305"/>
      <c r="Q229" s="2305"/>
      <c r="R229" s="2307">
        <v>2018</v>
      </c>
      <c r="S229" s="2307">
        <v>2018</v>
      </c>
      <c r="T229" s="2305"/>
    </row>
    <row r="230" spans="1:20" s="2326" customFormat="1" ht="12" customHeight="1" outlineLevel="1" x14ac:dyDescent="0.2">
      <c r="A230" s="5626" t="s">
        <v>2702</v>
      </c>
      <c r="B230" s="5626"/>
      <c r="C230" s="2320">
        <v>99</v>
      </c>
      <c r="D230" s="2321" t="s">
        <v>2196</v>
      </c>
      <c r="E230" s="2322" t="s">
        <v>2703</v>
      </c>
      <c r="F230" s="2323">
        <v>324</v>
      </c>
      <c r="G230" s="2323"/>
      <c r="H230" s="2324">
        <v>3736</v>
      </c>
      <c r="I230" s="5627">
        <v>3695.4</v>
      </c>
      <c r="J230" s="5627"/>
      <c r="K230" s="2325">
        <v>40.6</v>
      </c>
      <c r="L230" s="2322"/>
      <c r="M230" s="2325">
        <v>40.6</v>
      </c>
      <c r="N230" s="2324">
        <f>M230</f>
        <v>40.6</v>
      </c>
      <c r="O230" s="2324"/>
      <c r="P230" s="2322"/>
      <c r="Q230" s="2322"/>
      <c r="R230" s="2324">
        <v>3736</v>
      </c>
      <c r="S230" s="2324">
        <v>3736</v>
      </c>
      <c r="T230" s="2322"/>
    </row>
    <row r="231" spans="1:20" s="2326" customFormat="1" ht="12" customHeight="1" outlineLevel="1" x14ac:dyDescent="0.2">
      <c r="A231" s="5626" t="s">
        <v>2704</v>
      </c>
      <c r="B231" s="5626"/>
      <c r="C231" s="2320">
        <v>100</v>
      </c>
      <c r="D231" s="2321" t="s">
        <v>2196</v>
      </c>
      <c r="E231" s="2322" t="s">
        <v>2705</v>
      </c>
      <c r="F231" s="2323">
        <v>324</v>
      </c>
      <c r="G231" s="2323"/>
      <c r="H231" s="2324">
        <v>3403</v>
      </c>
      <c r="I231" s="5627">
        <v>3321</v>
      </c>
      <c r="J231" s="5627"/>
      <c r="K231" s="2325">
        <v>82</v>
      </c>
      <c r="L231" s="2322"/>
      <c r="M231" s="2325">
        <v>82</v>
      </c>
      <c r="N231" s="2324">
        <f>M231</f>
        <v>82</v>
      </c>
      <c r="O231" s="2324"/>
      <c r="P231" s="2322"/>
      <c r="Q231" s="2322"/>
      <c r="R231" s="2324">
        <v>3403</v>
      </c>
      <c r="S231" s="2324">
        <v>3403</v>
      </c>
      <c r="T231" s="2322"/>
    </row>
    <row r="232" spans="1:20" ht="23.25" customHeight="1" outlineLevel="1" x14ac:dyDescent="0.2">
      <c r="A232" s="5617" t="s">
        <v>2706</v>
      </c>
      <c r="B232" s="5617"/>
      <c r="C232" s="2310">
        <v>2400</v>
      </c>
      <c r="D232" s="2304" t="s">
        <v>2707</v>
      </c>
      <c r="E232" s="2305" t="s">
        <v>2708</v>
      </c>
      <c r="F232" s="2306">
        <v>60</v>
      </c>
      <c r="G232" s="2306"/>
      <c r="H232" s="2307">
        <v>25855.51</v>
      </c>
      <c r="I232" s="5618">
        <v>25855.51</v>
      </c>
      <c r="J232" s="5618"/>
      <c r="K232" s="2305"/>
      <c r="L232" s="2305"/>
      <c r="M232" s="2308"/>
      <c r="N232" s="2309"/>
      <c r="O232" s="2309"/>
      <c r="P232" s="2305"/>
      <c r="Q232" s="2305"/>
      <c r="R232" s="2307">
        <v>25855.51</v>
      </c>
      <c r="S232" s="2307">
        <v>25855.51</v>
      </c>
      <c r="T232" s="2305"/>
    </row>
    <row r="233" spans="1:20" ht="12" customHeight="1" outlineLevel="1" x14ac:dyDescent="0.2">
      <c r="A233" s="5617" t="s">
        <v>2709</v>
      </c>
      <c r="B233" s="5617"/>
      <c r="C233" s="2303">
        <v>111</v>
      </c>
      <c r="D233" s="2304" t="s">
        <v>2710</v>
      </c>
      <c r="E233" s="2305" t="s">
        <v>2711</v>
      </c>
      <c r="F233" s="2306">
        <v>300</v>
      </c>
      <c r="G233" s="2306"/>
      <c r="H233" s="2307">
        <v>545000</v>
      </c>
      <c r="I233" s="5618">
        <v>328816.59999999998</v>
      </c>
      <c r="J233" s="5618"/>
      <c r="K233" s="2307">
        <v>216183.4</v>
      </c>
      <c r="L233" s="2305"/>
      <c r="M233" s="2309">
        <v>21800.04</v>
      </c>
      <c r="N233" s="2309">
        <f>M233</f>
        <v>21800.04</v>
      </c>
      <c r="O233" s="2309"/>
      <c r="P233" s="2305"/>
      <c r="Q233" s="2305"/>
      <c r="R233" s="2307">
        <v>545000</v>
      </c>
      <c r="S233" s="2307">
        <v>350616.64</v>
      </c>
      <c r="T233" s="2307">
        <v>194383.35999999999</v>
      </c>
    </row>
    <row r="234" spans="1:20" ht="12" customHeight="1" outlineLevel="1" x14ac:dyDescent="0.2">
      <c r="A234" s="5617" t="s">
        <v>2712</v>
      </c>
      <c r="B234" s="5617"/>
      <c r="C234" s="2303">
        <v>304</v>
      </c>
      <c r="D234" s="2304" t="s">
        <v>2574</v>
      </c>
      <c r="E234" s="2305" t="s">
        <v>2713</v>
      </c>
      <c r="F234" s="2306">
        <v>96</v>
      </c>
      <c r="G234" s="2306"/>
      <c r="H234" s="2307">
        <v>2200</v>
      </c>
      <c r="I234" s="5618">
        <v>2200</v>
      </c>
      <c r="J234" s="5618"/>
      <c r="K234" s="2305"/>
      <c r="L234" s="2305"/>
      <c r="M234" s="2308"/>
      <c r="N234" s="2309"/>
      <c r="O234" s="2309"/>
      <c r="P234" s="2305"/>
      <c r="Q234" s="2305"/>
      <c r="R234" s="2307">
        <v>2200</v>
      </c>
      <c r="S234" s="2307">
        <v>2200</v>
      </c>
      <c r="T234" s="2305"/>
    </row>
    <row r="235" spans="1:20" ht="12" customHeight="1" outlineLevel="1" x14ac:dyDescent="0.2">
      <c r="A235" s="5617" t="s">
        <v>2714</v>
      </c>
      <c r="B235" s="5617"/>
      <c r="C235" s="2303">
        <v>112</v>
      </c>
      <c r="D235" s="2304" t="s">
        <v>2715</v>
      </c>
      <c r="E235" s="2305" t="s">
        <v>2716</v>
      </c>
      <c r="F235" s="2306">
        <v>300</v>
      </c>
      <c r="G235" s="2306"/>
      <c r="H235" s="2307">
        <v>506200</v>
      </c>
      <c r="I235" s="5618">
        <v>327337.40000000002</v>
      </c>
      <c r="J235" s="5618"/>
      <c r="K235" s="2307">
        <v>178862.6</v>
      </c>
      <c r="L235" s="2305"/>
      <c r="M235" s="2309">
        <v>20247.96</v>
      </c>
      <c r="N235" s="2309">
        <f>M235</f>
        <v>20247.96</v>
      </c>
      <c r="O235" s="2309"/>
      <c r="P235" s="2305"/>
      <c r="Q235" s="2305"/>
      <c r="R235" s="2307">
        <v>506200</v>
      </c>
      <c r="S235" s="2307">
        <v>347585.36</v>
      </c>
      <c r="T235" s="2307">
        <v>158614.64000000001</v>
      </c>
    </row>
    <row r="236" spans="1:20" ht="23.25" customHeight="1" outlineLevel="1" x14ac:dyDescent="0.2">
      <c r="A236" s="5617" t="s">
        <v>2717</v>
      </c>
      <c r="B236" s="5617"/>
      <c r="C236" s="2303">
        <v>545</v>
      </c>
      <c r="D236" s="2304" t="s">
        <v>2718</v>
      </c>
      <c r="E236" s="2305" t="s">
        <v>2719</v>
      </c>
      <c r="F236" s="2306">
        <v>273</v>
      </c>
      <c r="G236" s="2306"/>
      <c r="H236" s="2307">
        <v>6820</v>
      </c>
      <c r="I236" s="5618">
        <v>6820</v>
      </c>
      <c r="J236" s="5618"/>
      <c r="K236" s="2305"/>
      <c r="L236" s="2305"/>
      <c r="M236" s="2308"/>
      <c r="N236" s="2309"/>
      <c r="O236" s="2309"/>
      <c r="P236" s="2305"/>
      <c r="Q236" s="2305"/>
      <c r="R236" s="2307">
        <v>6820</v>
      </c>
      <c r="S236" s="2307">
        <v>6820</v>
      </c>
      <c r="T236" s="2305"/>
    </row>
    <row r="237" spans="1:20" ht="12" customHeight="1" outlineLevel="1" x14ac:dyDescent="0.2">
      <c r="A237" s="5617" t="s">
        <v>2720</v>
      </c>
      <c r="B237" s="5617"/>
      <c r="C237" s="2303">
        <v>339</v>
      </c>
      <c r="D237" s="2304" t="s">
        <v>2222</v>
      </c>
      <c r="E237" s="2305" t="s">
        <v>2721</v>
      </c>
      <c r="F237" s="2306">
        <v>71</v>
      </c>
      <c r="G237" s="2306"/>
      <c r="H237" s="2307">
        <v>47581</v>
      </c>
      <c r="I237" s="5618">
        <v>47581</v>
      </c>
      <c r="J237" s="5618"/>
      <c r="K237" s="2305"/>
      <c r="L237" s="2305"/>
      <c r="M237" s="2308"/>
      <c r="N237" s="2309"/>
      <c r="O237" s="2309"/>
      <c r="P237" s="2305"/>
      <c r="Q237" s="2305"/>
      <c r="R237" s="2307">
        <v>47581</v>
      </c>
      <c r="S237" s="2307">
        <v>47581</v>
      </c>
      <c r="T237" s="2305"/>
    </row>
    <row r="238" spans="1:20" ht="12" customHeight="1" outlineLevel="1" x14ac:dyDescent="0.2">
      <c r="A238" s="5617" t="s">
        <v>2722</v>
      </c>
      <c r="B238" s="5617"/>
      <c r="C238" s="2303">
        <v>465</v>
      </c>
      <c r="D238" s="2304" t="s">
        <v>2723</v>
      </c>
      <c r="E238" s="2305" t="s">
        <v>2724</v>
      </c>
      <c r="F238" s="2306">
        <v>120</v>
      </c>
      <c r="G238" s="2306"/>
      <c r="H238" s="2307">
        <v>1250</v>
      </c>
      <c r="I238" s="5618">
        <v>1250</v>
      </c>
      <c r="J238" s="5618"/>
      <c r="K238" s="2305"/>
      <c r="L238" s="2305"/>
      <c r="M238" s="2308"/>
      <c r="N238" s="2309"/>
      <c r="O238" s="2309"/>
      <c r="P238" s="2305"/>
      <c r="Q238" s="2305"/>
      <c r="R238" s="2307">
        <v>1250</v>
      </c>
      <c r="S238" s="2307">
        <v>1250</v>
      </c>
      <c r="T238" s="2305"/>
    </row>
    <row r="239" spans="1:20" ht="12" customHeight="1" outlineLevel="1" x14ac:dyDescent="0.2">
      <c r="A239" s="5617" t="s">
        <v>2573</v>
      </c>
      <c r="B239" s="5617"/>
      <c r="C239" s="2303">
        <v>294</v>
      </c>
      <c r="D239" s="2304" t="s">
        <v>2725</v>
      </c>
      <c r="E239" s="2305" t="s">
        <v>2575</v>
      </c>
      <c r="F239" s="2306">
        <v>84</v>
      </c>
      <c r="G239" s="2306"/>
      <c r="H239" s="2307">
        <v>4900</v>
      </c>
      <c r="I239" s="5618">
        <v>4900</v>
      </c>
      <c r="J239" s="5618"/>
      <c r="K239" s="2305"/>
      <c r="L239" s="2305"/>
      <c r="M239" s="2308"/>
      <c r="N239" s="2309"/>
      <c r="O239" s="2309"/>
      <c r="P239" s="2305"/>
      <c r="Q239" s="2305"/>
      <c r="R239" s="2307">
        <v>4900</v>
      </c>
      <c r="S239" s="2307">
        <v>4900</v>
      </c>
      <c r="T239" s="2305"/>
    </row>
    <row r="240" spans="1:20" ht="12" customHeight="1" outlineLevel="1" x14ac:dyDescent="0.2">
      <c r="A240" s="5617" t="s">
        <v>2726</v>
      </c>
      <c r="B240" s="5617"/>
      <c r="C240" s="2303">
        <v>391</v>
      </c>
      <c r="D240" s="2304" t="s">
        <v>2631</v>
      </c>
      <c r="E240" s="2305" t="s">
        <v>2727</v>
      </c>
      <c r="F240" s="2306">
        <v>300</v>
      </c>
      <c r="G240" s="2306"/>
      <c r="H240" s="2307">
        <v>10270</v>
      </c>
      <c r="I240" s="5618">
        <v>10270</v>
      </c>
      <c r="J240" s="5618"/>
      <c r="K240" s="2305"/>
      <c r="L240" s="2305"/>
      <c r="M240" s="2308"/>
      <c r="N240" s="2309"/>
      <c r="O240" s="2309"/>
      <c r="P240" s="2305"/>
      <c r="Q240" s="2305"/>
      <c r="R240" s="2307">
        <v>10270</v>
      </c>
      <c r="S240" s="2307">
        <v>10270</v>
      </c>
      <c r="T240" s="2305"/>
    </row>
    <row r="241" spans="1:20" ht="12" customHeight="1" outlineLevel="1" x14ac:dyDescent="0.2">
      <c r="A241" s="5617" t="s">
        <v>2728</v>
      </c>
      <c r="B241" s="5617"/>
      <c r="C241" s="2303">
        <v>363</v>
      </c>
      <c r="D241" s="2304" t="s">
        <v>2598</v>
      </c>
      <c r="E241" s="2305" t="s">
        <v>2729</v>
      </c>
      <c r="F241" s="2306">
        <v>84</v>
      </c>
      <c r="G241" s="2306"/>
      <c r="H241" s="2307">
        <v>4494</v>
      </c>
      <c r="I241" s="5618">
        <v>4494</v>
      </c>
      <c r="J241" s="5618"/>
      <c r="K241" s="2305"/>
      <c r="L241" s="2305"/>
      <c r="M241" s="2308"/>
      <c r="N241" s="2309"/>
      <c r="O241" s="2309"/>
      <c r="P241" s="2305"/>
      <c r="Q241" s="2305"/>
      <c r="R241" s="2307">
        <v>4494</v>
      </c>
      <c r="S241" s="2307">
        <v>4494</v>
      </c>
      <c r="T241" s="2305"/>
    </row>
    <row r="242" spans="1:20" ht="12" customHeight="1" outlineLevel="1" x14ac:dyDescent="0.2">
      <c r="A242" s="5617" t="s">
        <v>2730</v>
      </c>
      <c r="B242" s="5617"/>
      <c r="C242" s="2310">
        <v>1926</v>
      </c>
      <c r="D242" s="2304" t="s">
        <v>2225</v>
      </c>
      <c r="E242" s="2305" t="s">
        <v>2731</v>
      </c>
      <c r="F242" s="2306">
        <v>120</v>
      </c>
      <c r="G242" s="2306"/>
      <c r="H242" s="2307">
        <v>34153.599999999999</v>
      </c>
      <c r="I242" s="5618">
        <v>34153.599999999999</v>
      </c>
      <c r="J242" s="5618"/>
      <c r="K242" s="2305"/>
      <c r="L242" s="2305"/>
      <c r="M242" s="2308"/>
      <c r="N242" s="2309"/>
      <c r="O242" s="2309"/>
      <c r="P242" s="2305"/>
      <c r="Q242" s="2305"/>
      <c r="R242" s="2307">
        <v>34153.599999999999</v>
      </c>
      <c r="S242" s="2307">
        <v>34153.599999999999</v>
      </c>
      <c r="T242" s="2305"/>
    </row>
    <row r="243" spans="1:20" s="2326" customFormat="1" ht="12" customHeight="1" outlineLevel="1" x14ac:dyDescent="0.2">
      <c r="A243" s="5626" t="s">
        <v>2732</v>
      </c>
      <c r="B243" s="5626"/>
      <c r="C243" s="2349">
        <v>2275</v>
      </c>
      <c r="D243" s="2321" t="s">
        <v>2733</v>
      </c>
      <c r="E243" s="2322" t="s">
        <v>2734</v>
      </c>
      <c r="F243" s="2323">
        <v>120</v>
      </c>
      <c r="G243" s="2323"/>
      <c r="H243" s="2324">
        <v>38864.410000000003</v>
      </c>
      <c r="I243" s="5627">
        <v>35949.57</v>
      </c>
      <c r="J243" s="5627"/>
      <c r="K243" s="2324">
        <v>2914.84</v>
      </c>
      <c r="L243" s="2322"/>
      <c r="M243" s="2324">
        <v>2914.84</v>
      </c>
      <c r="N243" s="2324">
        <f>M243</f>
        <v>2914.84</v>
      </c>
      <c r="O243" s="2324"/>
      <c r="P243" s="2322"/>
      <c r="Q243" s="2322"/>
      <c r="R243" s="2324">
        <v>38864.410000000003</v>
      </c>
      <c r="S243" s="2324">
        <v>38864.410000000003</v>
      </c>
      <c r="T243" s="2322"/>
    </row>
    <row r="244" spans="1:20" ht="12" customHeight="1" outlineLevel="1" x14ac:dyDescent="0.2">
      <c r="A244" s="5617" t="s">
        <v>2735</v>
      </c>
      <c r="B244" s="5617"/>
      <c r="C244" s="2303">
        <v>484</v>
      </c>
      <c r="D244" s="2304" t="s">
        <v>2292</v>
      </c>
      <c r="E244" s="2305" t="s">
        <v>2736</v>
      </c>
      <c r="F244" s="2306">
        <v>240</v>
      </c>
      <c r="G244" s="2306"/>
      <c r="H244" s="2307">
        <v>37000</v>
      </c>
      <c r="I244" s="5618">
        <v>33294.6</v>
      </c>
      <c r="J244" s="5618"/>
      <c r="K244" s="2307">
        <v>3705.4</v>
      </c>
      <c r="L244" s="2305"/>
      <c r="M244" s="2309">
        <v>1850.04</v>
      </c>
      <c r="N244" s="2309">
        <f>M244</f>
        <v>1850.04</v>
      </c>
      <c r="O244" s="2309"/>
      <c r="P244" s="2305"/>
      <c r="Q244" s="2305"/>
      <c r="R244" s="2307">
        <v>37000</v>
      </c>
      <c r="S244" s="2307">
        <v>35144.639999999999</v>
      </c>
      <c r="T244" s="2307">
        <v>1855.36</v>
      </c>
    </row>
    <row r="245" spans="1:20" ht="23.25" customHeight="1" outlineLevel="1" x14ac:dyDescent="0.2">
      <c r="A245" s="5617" t="s">
        <v>2737</v>
      </c>
      <c r="B245" s="5617"/>
      <c r="C245" s="2310">
        <v>1959</v>
      </c>
      <c r="D245" s="2304" t="s">
        <v>2738</v>
      </c>
      <c r="E245" s="2305" t="s">
        <v>2739</v>
      </c>
      <c r="F245" s="2306">
        <v>120</v>
      </c>
      <c r="G245" s="2306"/>
      <c r="H245" s="2307">
        <v>78050.850000000006</v>
      </c>
      <c r="I245" s="5618">
        <v>59188.22</v>
      </c>
      <c r="J245" s="5618"/>
      <c r="K245" s="2307">
        <v>18862.63</v>
      </c>
      <c r="L245" s="2305"/>
      <c r="M245" s="2309">
        <v>7805.04</v>
      </c>
      <c r="N245" s="2309">
        <f>M245</f>
        <v>7805.04</v>
      </c>
      <c r="O245" s="2309"/>
      <c r="P245" s="2305"/>
      <c r="Q245" s="2305"/>
      <c r="R245" s="2307">
        <v>78050.850000000006</v>
      </c>
      <c r="S245" s="2307">
        <v>66993.259999999995</v>
      </c>
      <c r="T245" s="2307">
        <v>11057.59</v>
      </c>
    </row>
    <row r="246" spans="1:20" ht="12" customHeight="1" outlineLevel="1" x14ac:dyDescent="0.2">
      <c r="A246" s="5617" t="s">
        <v>2740</v>
      </c>
      <c r="B246" s="5617"/>
      <c r="C246" s="2303">
        <v>474</v>
      </c>
      <c r="D246" s="2304" t="s">
        <v>2741</v>
      </c>
      <c r="E246" s="2305" t="s">
        <v>2742</v>
      </c>
      <c r="F246" s="2306">
        <v>96</v>
      </c>
      <c r="G246" s="2306"/>
      <c r="H246" s="2307">
        <v>61082.33</v>
      </c>
      <c r="I246" s="5618">
        <v>61082.33</v>
      </c>
      <c r="J246" s="5618"/>
      <c r="K246" s="2305"/>
      <c r="L246" s="2305"/>
      <c r="M246" s="2308"/>
      <c r="N246" s="2309"/>
      <c r="O246" s="2309"/>
      <c r="P246" s="2305"/>
      <c r="Q246" s="2305"/>
      <c r="R246" s="2307">
        <v>61082.33</v>
      </c>
      <c r="S246" s="2307">
        <v>61082.33</v>
      </c>
      <c r="T246" s="2305"/>
    </row>
    <row r="247" spans="1:20" ht="12" customHeight="1" outlineLevel="1" x14ac:dyDescent="0.2">
      <c r="A247" s="5617" t="s">
        <v>2743</v>
      </c>
      <c r="B247" s="5617"/>
      <c r="C247" s="2303">
        <v>349</v>
      </c>
      <c r="D247" s="2304" t="s">
        <v>2744</v>
      </c>
      <c r="E247" s="2305" t="s">
        <v>2745</v>
      </c>
      <c r="F247" s="2306">
        <v>60</v>
      </c>
      <c r="G247" s="2306"/>
      <c r="H247" s="2307">
        <v>9069</v>
      </c>
      <c r="I247" s="5618">
        <v>9069</v>
      </c>
      <c r="J247" s="5618"/>
      <c r="K247" s="2305"/>
      <c r="L247" s="2305"/>
      <c r="M247" s="2308"/>
      <c r="N247" s="2309"/>
      <c r="O247" s="2309"/>
      <c r="P247" s="2305"/>
      <c r="Q247" s="2305"/>
      <c r="R247" s="2307">
        <v>9069</v>
      </c>
      <c r="S247" s="2307">
        <v>9069</v>
      </c>
      <c r="T247" s="2305"/>
    </row>
    <row r="248" spans="1:20" ht="12" customHeight="1" outlineLevel="1" x14ac:dyDescent="0.2">
      <c r="A248" s="5617" t="s">
        <v>2746</v>
      </c>
      <c r="B248" s="5617"/>
      <c r="C248" s="2310">
        <v>2294</v>
      </c>
      <c r="D248" s="2304" t="s">
        <v>2747</v>
      </c>
      <c r="E248" s="2305" t="s">
        <v>2748</v>
      </c>
      <c r="F248" s="2306">
        <v>120</v>
      </c>
      <c r="G248" s="2306"/>
      <c r="H248" s="2307">
        <v>14576.27</v>
      </c>
      <c r="I248" s="5618">
        <v>12997.29</v>
      </c>
      <c r="J248" s="5618"/>
      <c r="K248" s="2307">
        <v>1578.98</v>
      </c>
      <c r="L248" s="2305"/>
      <c r="M248" s="2309">
        <v>1457.64</v>
      </c>
      <c r="N248" s="2309">
        <f>M248</f>
        <v>1457.64</v>
      </c>
      <c r="O248" s="2309"/>
      <c r="P248" s="2305"/>
      <c r="Q248" s="2305"/>
      <c r="R248" s="2307">
        <v>14576.27</v>
      </c>
      <c r="S248" s="2307">
        <v>14454.93</v>
      </c>
      <c r="T248" s="2350">
        <v>121.34</v>
      </c>
    </row>
    <row r="249" spans="1:20" ht="12" customHeight="1" outlineLevel="1" x14ac:dyDescent="0.2">
      <c r="A249" s="5617" t="s">
        <v>2749</v>
      </c>
      <c r="B249" s="5617"/>
      <c r="C249" s="2310">
        <v>1833</v>
      </c>
      <c r="D249" s="2304" t="s">
        <v>2372</v>
      </c>
      <c r="E249" s="2305" t="s">
        <v>2750</v>
      </c>
      <c r="F249" s="2306">
        <v>60</v>
      </c>
      <c r="G249" s="2306"/>
      <c r="H249" s="2307">
        <v>24157.62</v>
      </c>
      <c r="I249" s="5618">
        <v>24157.62</v>
      </c>
      <c r="J249" s="5618"/>
      <c r="K249" s="2305"/>
      <c r="L249" s="2305"/>
      <c r="M249" s="2308"/>
      <c r="N249" s="2309"/>
      <c r="O249" s="2309"/>
      <c r="P249" s="2305"/>
      <c r="Q249" s="2305"/>
      <c r="R249" s="2307">
        <v>24157.62</v>
      </c>
      <c r="S249" s="2307">
        <v>24157.62</v>
      </c>
      <c r="T249" s="2305"/>
    </row>
    <row r="250" spans="1:20" ht="12" customHeight="1" outlineLevel="1" x14ac:dyDescent="0.2">
      <c r="A250" s="5617" t="s">
        <v>2751</v>
      </c>
      <c r="B250" s="5617"/>
      <c r="C250" s="2303">
        <v>377</v>
      </c>
      <c r="D250" s="2304" t="s">
        <v>2256</v>
      </c>
      <c r="E250" s="2305" t="s">
        <v>2752</v>
      </c>
      <c r="F250" s="2306">
        <v>273</v>
      </c>
      <c r="G250" s="2306"/>
      <c r="H250" s="2307">
        <v>51427</v>
      </c>
      <c r="I250" s="5618">
        <v>51427</v>
      </c>
      <c r="J250" s="5618"/>
      <c r="K250" s="2305"/>
      <c r="L250" s="2305"/>
      <c r="M250" s="2308"/>
      <c r="N250" s="2309"/>
      <c r="O250" s="2309"/>
      <c r="P250" s="2305"/>
      <c r="Q250" s="2305"/>
      <c r="R250" s="2307">
        <v>51427</v>
      </c>
      <c r="S250" s="2307">
        <v>51427</v>
      </c>
      <c r="T250" s="2305"/>
    </row>
    <row r="251" spans="1:20" ht="12" customHeight="1" outlineLevel="1" x14ac:dyDescent="0.2">
      <c r="A251" s="5617" t="s">
        <v>2753</v>
      </c>
      <c r="B251" s="5617"/>
      <c r="C251" s="2303">
        <v>293</v>
      </c>
      <c r="D251" s="2304" t="s">
        <v>2754</v>
      </c>
      <c r="E251" s="2305" t="s">
        <v>2755</v>
      </c>
      <c r="F251" s="2306">
        <v>145</v>
      </c>
      <c r="G251" s="2306"/>
      <c r="H251" s="2307">
        <v>5820</v>
      </c>
      <c r="I251" s="5618">
        <v>5820</v>
      </c>
      <c r="J251" s="5618"/>
      <c r="K251" s="2305"/>
      <c r="L251" s="2305"/>
      <c r="M251" s="2308"/>
      <c r="N251" s="2309"/>
      <c r="O251" s="2309"/>
      <c r="P251" s="2305"/>
      <c r="Q251" s="2305"/>
      <c r="R251" s="2307">
        <v>5820</v>
      </c>
      <c r="S251" s="2307">
        <v>5820</v>
      </c>
      <c r="T251" s="2305"/>
    </row>
    <row r="252" spans="1:20" ht="12" customHeight="1" outlineLevel="1" x14ac:dyDescent="0.2">
      <c r="A252" s="5617" t="s">
        <v>2756</v>
      </c>
      <c r="B252" s="5617"/>
      <c r="C252" s="2303">
        <v>266</v>
      </c>
      <c r="D252" s="2304" t="s">
        <v>2757</v>
      </c>
      <c r="E252" s="2305" t="s">
        <v>2758</v>
      </c>
      <c r="F252" s="2306">
        <v>96</v>
      </c>
      <c r="G252" s="2306"/>
      <c r="H252" s="2307">
        <v>22162</v>
      </c>
      <c r="I252" s="5618">
        <v>22162</v>
      </c>
      <c r="J252" s="5618"/>
      <c r="K252" s="2305"/>
      <c r="L252" s="2305"/>
      <c r="M252" s="2308"/>
      <c r="N252" s="2309"/>
      <c r="O252" s="2309"/>
      <c r="P252" s="2305"/>
      <c r="Q252" s="2305"/>
      <c r="R252" s="2307">
        <v>22162</v>
      </c>
      <c r="S252" s="2307">
        <v>22162</v>
      </c>
      <c r="T252" s="2305"/>
    </row>
    <row r="253" spans="1:20" ht="12" customHeight="1" outlineLevel="1" x14ac:dyDescent="0.2">
      <c r="A253" s="5617" t="s">
        <v>2759</v>
      </c>
      <c r="B253" s="5617"/>
      <c r="C253" s="2303">
        <v>164</v>
      </c>
      <c r="D253" s="2304" t="s">
        <v>2760</v>
      </c>
      <c r="E253" s="2305" t="s">
        <v>2761</v>
      </c>
      <c r="F253" s="2306">
        <v>1</v>
      </c>
      <c r="G253" s="2306"/>
      <c r="H253" s="2307">
        <v>14395</v>
      </c>
      <c r="I253" s="5618">
        <v>14395</v>
      </c>
      <c r="J253" s="5618"/>
      <c r="K253" s="2305"/>
      <c r="L253" s="2305"/>
      <c r="M253" s="2308"/>
      <c r="N253" s="2309"/>
      <c r="O253" s="2309"/>
      <c r="P253" s="2305"/>
      <c r="Q253" s="2305"/>
      <c r="R253" s="2307">
        <v>14395</v>
      </c>
      <c r="S253" s="2307">
        <v>14395</v>
      </c>
      <c r="T253" s="2305"/>
    </row>
    <row r="254" spans="1:20" ht="12" customHeight="1" outlineLevel="1" x14ac:dyDescent="0.2">
      <c r="A254" s="5617" t="s">
        <v>2762</v>
      </c>
      <c r="B254" s="5617"/>
      <c r="C254" s="2303">
        <v>410</v>
      </c>
      <c r="D254" s="2304" t="s">
        <v>2763</v>
      </c>
      <c r="E254" s="2305" t="s">
        <v>2764</v>
      </c>
      <c r="F254" s="2306">
        <v>706</v>
      </c>
      <c r="G254" s="2306"/>
      <c r="H254" s="2307">
        <v>78456</v>
      </c>
      <c r="I254" s="5618">
        <v>36453.120000000003</v>
      </c>
      <c r="J254" s="5618"/>
      <c r="K254" s="2307">
        <v>42002.879999999997</v>
      </c>
      <c r="L254" s="2305"/>
      <c r="M254" s="2309">
        <v>1333.56</v>
      </c>
      <c r="N254" s="2309">
        <f>M254</f>
        <v>1333.56</v>
      </c>
      <c r="O254" s="2309"/>
      <c r="P254" s="2305"/>
      <c r="Q254" s="2305"/>
      <c r="R254" s="2307">
        <v>78456</v>
      </c>
      <c r="S254" s="2307">
        <v>37786.68</v>
      </c>
      <c r="T254" s="2307">
        <v>40669.32</v>
      </c>
    </row>
    <row r="255" spans="1:20" ht="12" customHeight="1" outlineLevel="1" x14ac:dyDescent="0.2">
      <c r="A255" s="5617" t="s">
        <v>2765</v>
      </c>
      <c r="B255" s="5617"/>
      <c r="C255" s="2303">
        <v>267</v>
      </c>
      <c r="D255" s="2304" t="s">
        <v>2757</v>
      </c>
      <c r="E255" s="2305" t="s">
        <v>2766</v>
      </c>
      <c r="F255" s="2306">
        <v>96</v>
      </c>
      <c r="G255" s="2306"/>
      <c r="H255" s="2307">
        <v>33407.300000000003</v>
      </c>
      <c r="I255" s="5618">
        <v>33407.300000000003</v>
      </c>
      <c r="J255" s="5618"/>
      <c r="K255" s="2305"/>
      <c r="L255" s="2305"/>
      <c r="M255" s="2308"/>
      <c r="N255" s="2309"/>
      <c r="O255" s="2309"/>
      <c r="P255" s="2305"/>
      <c r="Q255" s="2305"/>
      <c r="R255" s="2307">
        <v>33407.300000000003</v>
      </c>
      <c r="S255" s="2307">
        <v>33407.300000000003</v>
      </c>
      <c r="T255" s="2305"/>
    </row>
    <row r="256" spans="1:20" ht="12" customHeight="1" outlineLevel="1" x14ac:dyDescent="0.2">
      <c r="A256" s="5617" t="s">
        <v>2767</v>
      </c>
      <c r="B256" s="5617"/>
      <c r="C256" s="2303">
        <v>273</v>
      </c>
      <c r="D256" s="2304" t="s">
        <v>2768</v>
      </c>
      <c r="E256" s="2305" t="s">
        <v>2769</v>
      </c>
      <c r="F256" s="2306">
        <v>96</v>
      </c>
      <c r="G256" s="2306"/>
      <c r="H256" s="2307">
        <v>10865</v>
      </c>
      <c r="I256" s="5618">
        <v>10865</v>
      </c>
      <c r="J256" s="5618"/>
      <c r="K256" s="2305"/>
      <c r="L256" s="2305"/>
      <c r="M256" s="2308"/>
      <c r="N256" s="2309"/>
      <c r="O256" s="2309"/>
      <c r="P256" s="2307">
        <v>10865</v>
      </c>
      <c r="Q256" s="2307">
        <v>10865</v>
      </c>
      <c r="R256" s="2305"/>
      <c r="S256" s="2305"/>
      <c r="T256" s="2305"/>
    </row>
    <row r="257" spans="1:20" ht="12" customHeight="1" outlineLevel="1" x14ac:dyDescent="0.2">
      <c r="A257" s="5617" t="s">
        <v>2770</v>
      </c>
      <c r="B257" s="5617"/>
      <c r="C257" s="2303">
        <v>217</v>
      </c>
      <c r="D257" s="2304" t="s">
        <v>2261</v>
      </c>
      <c r="E257" s="2305" t="s">
        <v>2771</v>
      </c>
      <c r="F257" s="2306">
        <v>273</v>
      </c>
      <c r="G257" s="2306"/>
      <c r="H257" s="2307">
        <v>10407</v>
      </c>
      <c r="I257" s="5618">
        <v>10407</v>
      </c>
      <c r="J257" s="5618"/>
      <c r="K257" s="2305"/>
      <c r="L257" s="2305"/>
      <c r="M257" s="2308"/>
      <c r="N257" s="2309"/>
      <c r="O257" s="2309"/>
      <c r="P257" s="2305"/>
      <c r="Q257" s="2305"/>
      <c r="R257" s="2307">
        <v>10407</v>
      </c>
      <c r="S257" s="2307">
        <v>10407</v>
      </c>
      <c r="T257" s="2305"/>
    </row>
    <row r="258" spans="1:20" ht="12" customHeight="1" outlineLevel="1" x14ac:dyDescent="0.2">
      <c r="A258" s="5617" t="s">
        <v>2772</v>
      </c>
      <c r="B258" s="5617"/>
      <c r="C258" s="2303">
        <v>591</v>
      </c>
      <c r="D258" s="2304" t="s">
        <v>2773</v>
      </c>
      <c r="E258" s="2305" t="s">
        <v>2774</v>
      </c>
      <c r="F258" s="2306">
        <v>84</v>
      </c>
      <c r="G258" s="2306"/>
      <c r="H258" s="2307">
        <v>98332.62</v>
      </c>
      <c r="I258" s="5618">
        <v>98332.62</v>
      </c>
      <c r="J258" s="5618"/>
      <c r="K258" s="2305"/>
      <c r="L258" s="2305"/>
      <c r="M258" s="2308"/>
      <c r="N258" s="2309"/>
      <c r="O258" s="2309"/>
      <c r="P258" s="2305"/>
      <c r="Q258" s="2305"/>
      <c r="R258" s="2307">
        <v>98332.62</v>
      </c>
      <c r="S258" s="2307">
        <v>98332.62</v>
      </c>
      <c r="T258" s="2305"/>
    </row>
    <row r="259" spans="1:20" ht="23.25" customHeight="1" outlineLevel="1" x14ac:dyDescent="0.2">
      <c r="A259" s="5617" t="s">
        <v>2775</v>
      </c>
      <c r="B259" s="5617"/>
      <c r="C259" s="2310">
        <v>2390</v>
      </c>
      <c r="D259" s="2304" t="s">
        <v>2776</v>
      </c>
      <c r="E259" s="2305" t="s">
        <v>2777</v>
      </c>
      <c r="F259" s="2306">
        <v>120</v>
      </c>
      <c r="G259" s="2306"/>
      <c r="H259" s="2307">
        <v>423264.35</v>
      </c>
      <c r="I259" s="5618">
        <v>268067.20000000001</v>
      </c>
      <c r="J259" s="5618"/>
      <c r="K259" s="2307">
        <v>155197.15</v>
      </c>
      <c r="L259" s="2305"/>
      <c r="M259" s="2309">
        <v>42326.400000000001</v>
      </c>
      <c r="N259" s="2309">
        <f>M259</f>
        <v>42326.400000000001</v>
      </c>
      <c r="O259" s="2309"/>
      <c r="P259" s="2305"/>
      <c r="Q259" s="2305"/>
      <c r="R259" s="2307">
        <v>423264.35</v>
      </c>
      <c r="S259" s="2307">
        <v>310393.59999999998</v>
      </c>
      <c r="T259" s="2307">
        <v>112870.75</v>
      </c>
    </row>
    <row r="260" spans="1:20" ht="12" customHeight="1" outlineLevel="1" x14ac:dyDescent="0.2">
      <c r="A260" s="5617" t="s">
        <v>2778</v>
      </c>
      <c r="B260" s="5617"/>
      <c r="C260" s="2310">
        <v>1830</v>
      </c>
      <c r="D260" s="2304" t="s">
        <v>2779</v>
      </c>
      <c r="E260" s="2305" t="s">
        <v>2780</v>
      </c>
      <c r="F260" s="2306">
        <v>84</v>
      </c>
      <c r="G260" s="2306"/>
      <c r="H260" s="2307">
        <v>28750</v>
      </c>
      <c r="I260" s="5618">
        <v>28750</v>
      </c>
      <c r="J260" s="5618"/>
      <c r="K260" s="2305"/>
      <c r="L260" s="2305"/>
      <c r="M260" s="2308"/>
      <c r="N260" s="2309"/>
      <c r="O260" s="2309"/>
      <c r="P260" s="2305"/>
      <c r="Q260" s="2305"/>
      <c r="R260" s="2307">
        <v>28750</v>
      </c>
      <c r="S260" s="2307">
        <v>28750</v>
      </c>
      <c r="T260" s="2305"/>
    </row>
    <row r="261" spans="1:20" ht="12" customHeight="1" outlineLevel="1" x14ac:dyDescent="0.2">
      <c r="A261" s="5617" t="s">
        <v>2781</v>
      </c>
      <c r="B261" s="5617"/>
      <c r="C261" s="2303">
        <v>285</v>
      </c>
      <c r="D261" s="2304" t="s">
        <v>2782</v>
      </c>
      <c r="E261" s="2305" t="s">
        <v>2783</v>
      </c>
      <c r="F261" s="2306">
        <v>96</v>
      </c>
      <c r="G261" s="2306"/>
      <c r="H261" s="2307">
        <v>16500</v>
      </c>
      <c r="I261" s="5618">
        <v>16500</v>
      </c>
      <c r="J261" s="5618"/>
      <c r="K261" s="2305"/>
      <c r="L261" s="2305"/>
      <c r="M261" s="2308"/>
      <c r="N261" s="2309"/>
      <c r="O261" s="2309"/>
      <c r="P261" s="2307">
        <v>16500</v>
      </c>
      <c r="Q261" s="2307">
        <v>16500</v>
      </c>
      <c r="R261" s="2305"/>
      <c r="S261" s="2305"/>
      <c r="T261" s="2305"/>
    </row>
    <row r="262" spans="1:20" ht="23.25" customHeight="1" outlineLevel="1" x14ac:dyDescent="0.2">
      <c r="A262" s="5617" t="s">
        <v>2784</v>
      </c>
      <c r="B262" s="5617"/>
      <c r="C262" s="2303">
        <v>686</v>
      </c>
      <c r="D262" s="2304" t="s">
        <v>2785</v>
      </c>
      <c r="E262" s="2305" t="s">
        <v>2786</v>
      </c>
      <c r="F262" s="2306">
        <v>60</v>
      </c>
      <c r="G262" s="2306"/>
      <c r="H262" s="2307">
        <v>35620</v>
      </c>
      <c r="I262" s="5618">
        <v>35620</v>
      </c>
      <c r="J262" s="5618"/>
      <c r="K262" s="2305"/>
      <c r="L262" s="2305"/>
      <c r="M262" s="2308"/>
      <c r="N262" s="2309"/>
      <c r="O262" s="2309"/>
      <c r="P262" s="2305"/>
      <c r="Q262" s="2305"/>
      <c r="R262" s="2307">
        <v>35620</v>
      </c>
      <c r="S262" s="2307">
        <v>35620</v>
      </c>
      <c r="T262" s="2305"/>
    </row>
    <row r="263" spans="1:20" ht="12" customHeight="1" outlineLevel="1" x14ac:dyDescent="0.2">
      <c r="A263" s="5617" t="s">
        <v>2787</v>
      </c>
      <c r="B263" s="5617"/>
      <c r="C263" s="2303">
        <v>215</v>
      </c>
      <c r="D263" s="2304" t="s">
        <v>2261</v>
      </c>
      <c r="E263" s="2305" t="s">
        <v>2788</v>
      </c>
      <c r="F263" s="2306">
        <v>273</v>
      </c>
      <c r="G263" s="2306"/>
      <c r="H263" s="2307">
        <v>3397</v>
      </c>
      <c r="I263" s="5618">
        <v>3397</v>
      </c>
      <c r="J263" s="5618"/>
      <c r="K263" s="2305"/>
      <c r="L263" s="2305"/>
      <c r="M263" s="2308"/>
      <c r="N263" s="2309"/>
      <c r="O263" s="2309"/>
      <c r="P263" s="2305"/>
      <c r="Q263" s="2305"/>
      <c r="R263" s="2307">
        <v>3397</v>
      </c>
      <c r="S263" s="2307">
        <v>3397</v>
      </c>
      <c r="T263" s="2305"/>
    </row>
    <row r="264" spans="1:20" ht="23.25" customHeight="1" outlineLevel="1" x14ac:dyDescent="0.2">
      <c r="A264" s="5617" t="s">
        <v>2789</v>
      </c>
      <c r="B264" s="5617"/>
      <c r="C264" s="2344">
        <v>1511</v>
      </c>
      <c r="D264" s="2304" t="s">
        <v>2790</v>
      </c>
      <c r="E264" s="2305" t="s">
        <v>2791</v>
      </c>
      <c r="F264" s="2306">
        <v>60</v>
      </c>
      <c r="G264" s="2306"/>
      <c r="H264" s="2307">
        <v>83898.31</v>
      </c>
      <c r="I264" s="5618">
        <v>4194.93</v>
      </c>
      <c r="J264" s="5618"/>
      <c r="K264" s="2307">
        <v>79703.38</v>
      </c>
      <c r="L264" s="2305"/>
      <c r="M264" s="2309">
        <v>16779.72</v>
      </c>
      <c r="N264" s="2309">
        <f>M264</f>
        <v>16779.72</v>
      </c>
      <c r="O264" s="2309"/>
      <c r="P264" s="2305"/>
      <c r="Q264" s="2305"/>
      <c r="R264" s="2307">
        <v>83898.31</v>
      </c>
      <c r="S264" s="2307">
        <v>20974.65</v>
      </c>
      <c r="T264" s="2307">
        <v>62923.66</v>
      </c>
    </row>
    <row r="265" spans="1:20" ht="12" customHeight="1" outlineLevel="1" x14ac:dyDescent="0.2">
      <c r="A265" s="5617" t="s">
        <v>2792</v>
      </c>
      <c r="B265" s="5617"/>
      <c r="C265" s="2303">
        <v>511</v>
      </c>
      <c r="D265" s="2304" t="s">
        <v>2196</v>
      </c>
      <c r="E265" s="2305" t="s">
        <v>2793</v>
      </c>
      <c r="F265" s="2306">
        <v>132</v>
      </c>
      <c r="G265" s="2306"/>
      <c r="H265" s="2307">
        <v>39303</v>
      </c>
      <c r="I265" s="5618">
        <v>39303</v>
      </c>
      <c r="J265" s="5618"/>
      <c r="K265" s="2305"/>
      <c r="L265" s="2305"/>
      <c r="M265" s="2308"/>
      <c r="N265" s="2309"/>
      <c r="O265" s="2309"/>
      <c r="P265" s="2305"/>
      <c r="Q265" s="2305"/>
      <c r="R265" s="2307">
        <v>39303</v>
      </c>
      <c r="S265" s="2307">
        <v>39303</v>
      </c>
      <c r="T265" s="2305"/>
    </row>
    <row r="266" spans="1:20" ht="12" customHeight="1" outlineLevel="1" x14ac:dyDescent="0.2">
      <c r="A266" s="5617" t="s">
        <v>2794</v>
      </c>
      <c r="B266" s="5617"/>
      <c r="C266" s="2303">
        <v>357</v>
      </c>
      <c r="D266" s="2304" t="s">
        <v>2795</v>
      </c>
      <c r="E266" s="2305" t="s">
        <v>2796</v>
      </c>
      <c r="F266" s="2306">
        <v>72</v>
      </c>
      <c r="G266" s="2306"/>
      <c r="H266" s="2307">
        <v>1930</v>
      </c>
      <c r="I266" s="5618">
        <v>1930</v>
      </c>
      <c r="J266" s="5618"/>
      <c r="K266" s="2305"/>
      <c r="L266" s="2305"/>
      <c r="M266" s="2308"/>
      <c r="N266" s="2309"/>
      <c r="O266" s="2309"/>
      <c r="P266" s="2305"/>
      <c r="Q266" s="2305"/>
      <c r="R266" s="2307">
        <v>1930</v>
      </c>
      <c r="S266" s="2307">
        <v>1930</v>
      </c>
      <c r="T266" s="2305"/>
    </row>
    <row r="267" spans="1:20" ht="12" customHeight="1" outlineLevel="1" x14ac:dyDescent="0.2">
      <c r="A267" s="5617" t="s">
        <v>2797</v>
      </c>
      <c r="B267" s="5617"/>
      <c r="C267" s="2310">
        <v>1892</v>
      </c>
      <c r="D267" s="2304" t="s">
        <v>2798</v>
      </c>
      <c r="E267" s="2305" t="s">
        <v>2799</v>
      </c>
      <c r="F267" s="2306">
        <v>120</v>
      </c>
      <c r="G267" s="2306"/>
      <c r="H267" s="2307">
        <v>371081.44</v>
      </c>
      <c r="I267" s="5618">
        <v>371081.44</v>
      </c>
      <c r="J267" s="5618"/>
      <c r="K267" s="2305"/>
      <c r="L267" s="2305"/>
      <c r="M267" s="2308"/>
      <c r="N267" s="2309"/>
      <c r="O267" s="2309"/>
      <c r="P267" s="2305"/>
      <c r="Q267" s="2305"/>
      <c r="R267" s="2307">
        <v>371081.44</v>
      </c>
      <c r="S267" s="2307">
        <v>371081.44</v>
      </c>
      <c r="T267" s="2305"/>
    </row>
    <row r="268" spans="1:20" ht="12" customHeight="1" outlineLevel="1" x14ac:dyDescent="0.2">
      <c r="A268" s="5617" t="s">
        <v>2800</v>
      </c>
      <c r="B268" s="5617"/>
      <c r="C268" s="2303">
        <v>101</v>
      </c>
      <c r="D268" s="2304" t="s">
        <v>2196</v>
      </c>
      <c r="E268" s="2305" t="s">
        <v>2801</v>
      </c>
      <c r="F268" s="2306">
        <v>324</v>
      </c>
      <c r="G268" s="2306"/>
      <c r="H268" s="2307">
        <v>21997</v>
      </c>
      <c r="I268" s="5618">
        <v>21997</v>
      </c>
      <c r="J268" s="5618"/>
      <c r="K268" s="2305"/>
      <c r="L268" s="2305"/>
      <c r="M268" s="2308"/>
      <c r="N268" s="2309"/>
      <c r="O268" s="2309"/>
      <c r="P268" s="2305"/>
      <c r="Q268" s="2305"/>
      <c r="R268" s="2307">
        <v>21997</v>
      </c>
      <c r="S268" s="2307">
        <v>21997</v>
      </c>
      <c r="T268" s="2305"/>
    </row>
    <row r="269" spans="1:20" ht="12" customHeight="1" outlineLevel="1" x14ac:dyDescent="0.2">
      <c r="A269" s="5617" t="s">
        <v>2802</v>
      </c>
      <c r="B269" s="5617"/>
      <c r="C269" s="2303">
        <v>102</v>
      </c>
      <c r="D269" s="2304" t="s">
        <v>2196</v>
      </c>
      <c r="E269" s="2305" t="s">
        <v>2803</v>
      </c>
      <c r="F269" s="2306">
        <v>273</v>
      </c>
      <c r="G269" s="2306"/>
      <c r="H269" s="2307">
        <v>48517</v>
      </c>
      <c r="I269" s="5618">
        <v>48517</v>
      </c>
      <c r="J269" s="5618"/>
      <c r="K269" s="2305"/>
      <c r="L269" s="2305"/>
      <c r="M269" s="2308"/>
      <c r="N269" s="2309"/>
      <c r="O269" s="2309"/>
      <c r="P269" s="2305"/>
      <c r="Q269" s="2305"/>
      <c r="R269" s="2307">
        <v>48517</v>
      </c>
      <c r="S269" s="2307">
        <v>48517</v>
      </c>
      <c r="T269" s="2305"/>
    </row>
    <row r="270" spans="1:20" ht="12" customHeight="1" outlineLevel="1" x14ac:dyDescent="0.2">
      <c r="A270" s="5617" t="s">
        <v>2804</v>
      </c>
      <c r="B270" s="5617"/>
      <c r="C270" s="2303">
        <v>298</v>
      </c>
      <c r="D270" s="2304" t="s">
        <v>2574</v>
      </c>
      <c r="E270" s="2305" t="s">
        <v>2805</v>
      </c>
      <c r="F270" s="2306">
        <v>96</v>
      </c>
      <c r="G270" s="2306"/>
      <c r="H270" s="2350">
        <v>918.73</v>
      </c>
      <c r="I270" s="5621">
        <v>918.73</v>
      </c>
      <c r="J270" s="5621"/>
      <c r="K270" s="2305"/>
      <c r="L270" s="2305"/>
      <c r="M270" s="2308"/>
      <c r="N270" s="2309"/>
      <c r="O270" s="2309"/>
      <c r="P270" s="2305"/>
      <c r="Q270" s="2305"/>
      <c r="R270" s="2350">
        <v>918.73</v>
      </c>
      <c r="S270" s="2350">
        <v>918.73</v>
      </c>
      <c r="T270" s="2305"/>
    </row>
    <row r="271" spans="1:20" ht="12" customHeight="1" outlineLevel="1" x14ac:dyDescent="0.2">
      <c r="A271" s="5617" t="s">
        <v>2806</v>
      </c>
      <c r="B271" s="5617"/>
      <c r="C271" s="2303">
        <v>441</v>
      </c>
      <c r="D271" s="2304" t="s">
        <v>2631</v>
      </c>
      <c r="E271" s="2305" t="s">
        <v>2807</v>
      </c>
      <c r="F271" s="2306">
        <v>273</v>
      </c>
      <c r="G271" s="2306"/>
      <c r="H271" s="2307">
        <v>10265</v>
      </c>
      <c r="I271" s="5618">
        <v>10265</v>
      </c>
      <c r="J271" s="5618"/>
      <c r="K271" s="2305"/>
      <c r="L271" s="2305"/>
      <c r="M271" s="2308"/>
      <c r="N271" s="2309"/>
      <c r="O271" s="2309"/>
      <c r="P271" s="2305"/>
      <c r="Q271" s="2305"/>
      <c r="R271" s="2307">
        <v>10265</v>
      </c>
      <c r="S271" s="2307">
        <v>10265</v>
      </c>
      <c r="T271" s="2305"/>
    </row>
    <row r="272" spans="1:20" ht="12" customHeight="1" outlineLevel="1" x14ac:dyDescent="0.2">
      <c r="A272" s="5617" t="s">
        <v>2808</v>
      </c>
      <c r="B272" s="5617"/>
      <c r="C272" s="2303">
        <v>440</v>
      </c>
      <c r="D272" s="2304" t="s">
        <v>2631</v>
      </c>
      <c r="E272" s="2305" t="s">
        <v>2809</v>
      </c>
      <c r="F272" s="2306">
        <v>273</v>
      </c>
      <c r="G272" s="2306"/>
      <c r="H272" s="2307">
        <v>162469</v>
      </c>
      <c r="I272" s="5618">
        <v>162469</v>
      </c>
      <c r="J272" s="5618"/>
      <c r="K272" s="2305"/>
      <c r="L272" s="2305"/>
      <c r="M272" s="2308"/>
      <c r="N272" s="2309"/>
      <c r="O272" s="2309"/>
      <c r="P272" s="2305"/>
      <c r="Q272" s="2305"/>
      <c r="R272" s="2307">
        <v>162469</v>
      </c>
      <c r="S272" s="2307">
        <v>162469</v>
      </c>
      <c r="T272" s="2305"/>
    </row>
    <row r="273" spans="1:20" ht="12" customHeight="1" outlineLevel="1" x14ac:dyDescent="0.2">
      <c r="A273" s="5617" t="s">
        <v>2810</v>
      </c>
      <c r="B273" s="5617"/>
      <c r="C273" s="2303">
        <v>411</v>
      </c>
      <c r="D273" s="2304" t="s">
        <v>2763</v>
      </c>
      <c r="E273" s="2305" t="s">
        <v>2811</v>
      </c>
      <c r="F273" s="2306">
        <v>706</v>
      </c>
      <c r="G273" s="2306"/>
      <c r="H273" s="2307">
        <v>7451</v>
      </c>
      <c r="I273" s="5618">
        <v>5401</v>
      </c>
      <c r="J273" s="5618"/>
      <c r="K273" s="2307">
        <v>2050</v>
      </c>
      <c r="L273" s="2305"/>
      <c r="M273" s="2348">
        <v>126.6</v>
      </c>
      <c r="N273" s="2309">
        <f>M273</f>
        <v>126.6</v>
      </c>
      <c r="O273" s="2309"/>
      <c r="P273" s="2305"/>
      <c r="Q273" s="2305"/>
      <c r="R273" s="2307">
        <v>7451</v>
      </c>
      <c r="S273" s="2307">
        <v>5527.6</v>
      </c>
      <c r="T273" s="2307">
        <v>1923.4</v>
      </c>
    </row>
    <row r="274" spans="1:20" ht="12" customHeight="1" outlineLevel="1" x14ac:dyDescent="0.2">
      <c r="A274" s="5617" t="s">
        <v>2812</v>
      </c>
      <c r="B274" s="5617"/>
      <c r="C274" s="2303">
        <v>154</v>
      </c>
      <c r="D274" s="2304" t="s">
        <v>2813</v>
      </c>
      <c r="E274" s="2305" t="s">
        <v>2814</v>
      </c>
      <c r="F274" s="2306">
        <v>67</v>
      </c>
      <c r="G274" s="2306"/>
      <c r="H274" s="2307">
        <v>25402</v>
      </c>
      <c r="I274" s="5618">
        <v>25402</v>
      </c>
      <c r="J274" s="5618"/>
      <c r="K274" s="2305"/>
      <c r="L274" s="2305"/>
      <c r="M274" s="2308"/>
      <c r="N274" s="2309"/>
      <c r="O274" s="2309"/>
      <c r="P274" s="2307">
        <v>25402</v>
      </c>
      <c r="Q274" s="2307">
        <v>25402</v>
      </c>
      <c r="R274" s="2305"/>
      <c r="S274" s="2305"/>
      <c r="T274" s="2305"/>
    </row>
    <row r="275" spans="1:20" ht="12" customHeight="1" outlineLevel="1" x14ac:dyDescent="0.2">
      <c r="A275" s="5617" t="s">
        <v>2815</v>
      </c>
      <c r="B275" s="5617"/>
      <c r="C275" s="2303">
        <v>466</v>
      </c>
      <c r="D275" s="2304" t="s">
        <v>2816</v>
      </c>
      <c r="E275" s="2305" t="s">
        <v>2817</v>
      </c>
      <c r="F275" s="2306">
        <v>84</v>
      </c>
      <c r="G275" s="2306"/>
      <c r="H275" s="2307">
        <v>3200</v>
      </c>
      <c r="I275" s="5618">
        <v>3200</v>
      </c>
      <c r="J275" s="5618"/>
      <c r="K275" s="2305"/>
      <c r="L275" s="2305"/>
      <c r="M275" s="2308"/>
      <c r="N275" s="2309"/>
      <c r="O275" s="2309"/>
      <c r="P275" s="2305"/>
      <c r="Q275" s="2305"/>
      <c r="R275" s="2307">
        <v>3200</v>
      </c>
      <c r="S275" s="2307">
        <v>3200</v>
      </c>
      <c r="T275" s="2305"/>
    </row>
    <row r="276" spans="1:20" ht="12" customHeight="1" outlineLevel="1" x14ac:dyDescent="0.2">
      <c r="A276" s="5617" t="s">
        <v>2818</v>
      </c>
      <c r="B276" s="5617"/>
      <c r="C276" s="2303">
        <v>113</v>
      </c>
      <c r="D276" s="2304" t="s">
        <v>2196</v>
      </c>
      <c r="E276" s="2305" t="s">
        <v>2819</v>
      </c>
      <c r="F276" s="2306">
        <v>84</v>
      </c>
      <c r="G276" s="2306"/>
      <c r="H276" s="2307">
        <v>19368</v>
      </c>
      <c r="I276" s="5618">
        <v>19368</v>
      </c>
      <c r="J276" s="5618"/>
      <c r="K276" s="2305"/>
      <c r="L276" s="2305"/>
      <c r="M276" s="2308"/>
      <c r="N276" s="2309"/>
      <c r="O276" s="2309"/>
      <c r="P276" s="2305"/>
      <c r="Q276" s="2305"/>
      <c r="R276" s="2307">
        <v>19368</v>
      </c>
      <c r="S276" s="2307">
        <v>19368</v>
      </c>
      <c r="T276" s="2305"/>
    </row>
    <row r="277" spans="1:20" ht="12" customHeight="1" outlineLevel="1" x14ac:dyDescent="0.2">
      <c r="A277" s="5617" t="s">
        <v>2820</v>
      </c>
      <c r="B277" s="5617"/>
      <c r="C277" s="2310">
        <v>1736</v>
      </c>
      <c r="D277" s="2304" t="s">
        <v>2821</v>
      </c>
      <c r="E277" s="2305" t="s">
        <v>2822</v>
      </c>
      <c r="F277" s="2306">
        <v>84</v>
      </c>
      <c r="G277" s="2306"/>
      <c r="H277" s="2307">
        <v>49516.92</v>
      </c>
      <c r="I277" s="5618">
        <v>49516.92</v>
      </c>
      <c r="J277" s="5618"/>
      <c r="K277" s="2305"/>
      <c r="L277" s="2305"/>
      <c r="M277" s="2308"/>
      <c r="N277" s="2309"/>
      <c r="O277" s="2309"/>
      <c r="P277" s="2305"/>
      <c r="Q277" s="2305"/>
      <c r="R277" s="2307">
        <v>49516.92</v>
      </c>
      <c r="S277" s="2307">
        <v>49516.92</v>
      </c>
      <c r="T277" s="2305"/>
    </row>
    <row r="278" spans="1:20" ht="12" customHeight="1" outlineLevel="1" x14ac:dyDescent="0.2">
      <c r="A278" s="5617" t="s">
        <v>2823</v>
      </c>
      <c r="B278" s="5617"/>
      <c r="C278" s="2303">
        <v>476</v>
      </c>
      <c r="D278" s="2304" t="s">
        <v>2824</v>
      </c>
      <c r="E278" s="2305" t="s">
        <v>2825</v>
      </c>
      <c r="F278" s="2306">
        <v>1</v>
      </c>
      <c r="G278" s="2306"/>
      <c r="H278" s="2307">
        <v>4309</v>
      </c>
      <c r="I278" s="5618">
        <v>4309</v>
      </c>
      <c r="J278" s="5618"/>
      <c r="K278" s="2305"/>
      <c r="L278" s="2305"/>
      <c r="M278" s="2308"/>
      <c r="N278" s="2309"/>
      <c r="O278" s="2309"/>
      <c r="P278" s="2305"/>
      <c r="Q278" s="2305"/>
      <c r="R278" s="2307">
        <v>4309</v>
      </c>
      <c r="S278" s="2307">
        <v>4309</v>
      </c>
      <c r="T278" s="2305"/>
    </row>
    <row r="279" spans="1:20" ht="12" customHeight="1" outlineLevel="1" x14ac:dyDescent="0.2">
      <c r="A279" s="5617" t="s">
        <v>2826</v>
      </c>
      <c r="B279" s="5617"/>
      <c r="C279" s="2310">
        <v>2365</v>
      </c>
      <c r="D279" s="2304" t="s">
        <v>2827</v>
      </c>
      <c r="E279" s="2305" t="s">
        <v>2828</v>
      </c>
      <c r="F279" s="2306">
        <v>36</v>
      </c>
      <c r="G279" s="2306"/>
      <c r="H279" s="2307">
        <v>17016.95</v>
      </c>
      <c r="I279" s="5618">
        <v>17016.95</v>
      </c>
      <c r="J279" s="5618"/>
      <c r="K279" s="2305"/>
      <c r="L279" s="2305"/>
      <c r="M279" s="2308"/>
      <c r="N279" s="2309"/>
      <c r="O279" s="2309"/>
      <c r="P279" s="2305"/>
      <c r="Q279" s="2305"/>
      <c r="R279" s="2307">
        <v>17016.95</v>
      </c>
      <c r="S279" s="2307">
        <v>17016.95</v>
      </c>
      <c r="T279" s="2305"/>
    </row>
    <row r="280" spans="1:20" ht="12" customHeight="1" outlineLevel="1" x14ac:dyDescent="0.2">
      <c r="A280" s="5617" t="s">
        <v>2829</v>
      </c>
      <c r="B280" s="5617"/>
      <c r="C280" s="2310">
        <v>1756</v>
      </c>
      <c r="D280" s="2304" t="s">
        <v>2433</v>
      </c>
      <c r="E280" s="2305" t="s">
        <v>2830</v>
      </c>
      <c r="F280" s="2306">
        <v>36</v>
      </c>
      <c r="G280" s="2306"/>
      <c r="H280" s="2307">
        <v>30372.04</v>
      </c>
      <c r="I280" s="5618">
        <v>30372.04</v>
      </c>
      <c r="J280" s="5618"/>
      <c r="K280" s="2305"/>
      <c r="L280" s="2305"/>
      <c r="M280" s="2308"/>
      <c r="N280" s="2309"/>
      <c r="O280" s="2309"/>
      <c r="P280" s="2305"/>
      <c r="Q280" s="2305"/>
      <c r="R280" s="2307">
        <v>30372.04</v>
      </c>
      <c r="S280" s="2307">
        <v>30372.04</v>
      </c>
      <c r="T280" s="2305"/>
    </row>
    <row r="281" spans="1:20" ht="12" customHeight="1" outlineLevel="1" x14ac:dyDescent="0.2">
      <c r="A281" s="5617" t="s">
        <v>2831</v>
      </c>
      <c r="B281" s="5617"/>
      <c r="C281" s="2310">
        <v>1957</v>
      </c>
      <c r="D281" s="2304" t="s">
        <v>2832</v>
      </c>
      <c r="E281" s="2305" t="s">
        <v>2833</v>
      </c>
      <c r="F281" s="2306">
        <v>60</v>
      </c>
      <c r="G281" s="2306"/>
      <c r="H281" s="2307">
        <v>20556.78</v>
      </c>
      <c r="I281" s="5618">
        <v>20556.78</v>
      </c>
      <c r="J281" s="5618"/>
      <c r="K281" s="2305"/>
      <c r="L281" s="2305"/>
      <c r="M281" s="2308"/>
      <c r="N281" s="2309"/>
      <c r="O281" s="2309"/>
      <c r="P281" s="2305"/>
      <c r="Q281" s="2305"/>
      <c r="R281" s="2307">
        <v>20556.78</v>
      </c>
      <c r="S281" s="2307">
        <v>20556.78</v>
      </c>
      <c r="T281" s="2305"/>
    </row>
    <row r="282" spans="1:20" ht="12" customHeight="1" outlineLevel="1" x14ac:dyDescent="0.2">
      <c r="A282" s="5617" t="s">
        <v>2831</v>
      </c>
      <c r="B282" s="5617"/>
      <c r="C282" s="2310">
        <v>1958</v>
      </c>
      <c r="D282" s="2304" t="s">
        <v>2832</v>
      </c>
      <c r="E282" s="2305" t="s">
        <v>2833</v>
      </c>
      <c r="F282" s="2306">
        <v>60</v>
      </c>
      <c r="G282" s="2306"/>
      <c r="H282" s="2307">
        <v>20556.78</v>
      </c>
      <c r="I282" s="5618">
        <v>20556.78</v>
      </c>
      <c r="J282" s="5618"/>
      <c r="K282" s="2305"/>
      <c r="L282" s="2305"/>
      <c r="M282" s="2308"/>
      <c r="N282" s="2309"/>
      <c r="O282" s="2309"/>
      <c r="P282" s="2305"/>
      <c r="Q282" s="2305"/>
      <c r="R282" s="2307">
        <v>20556.78</v>
      </c>
      <c r="S282" s="2307">
        <v>20556.78</v>
      </c>
      <c r="T282" s="2305"/>
    </row>
    <row r="283" spans="1:20" ht="12" customHeight="1" outlineLevel="1" x14ac:dyDescent="0.2">
      <c r="A283" s="5617" t="s">
        <v>2831</v>
      </c>
      <c r="B283" s="5617"/>
      <c r="C283" s="2310">
        <v>1960</v>
      </c>
      <c r="D283" s="2304" t="s">
        <v>2832</v>
      </c>
      <c r="E283" s="2305" t="s">
        <v>2834</v>
      </c>
      <c r="F283" s="2306">
        <v>60</v>
      </c>
      <c r="G283" s="2306"/>
      <c r="H283" s="2307">
        <v>22161.02</v>
      </c>
      <c r="I283" s="5618">
        <v>22161.02</v>
      </c>
      <c r="J283" s="5618"/>
      <c r="K283" s="2305"/>
      <c r="L283" s="2305"/>
      <c r="M283" s="2308"/>
      <c r="N283" s="2309"/>
      <c r="O283" s="2309"/>
      <c r="P283" s="2305"/>
      <c r="Q283" s="2305"/>
      <c r="R283" s="2307">
        <v>22161.02</v>
      </c>
      <c r="S283" s="2307">
        <v>22161.02</v>
      </c>
      <c r="T283" s="2305"/>
    </row>
    <row r="284" spans="1:20" ht="12" customHeight="1" outlineLevel="1" x14ac:dyDescent="0.2">
      <c r="A284" s="5617" t="s">
        <v>2835</v>
      </c>
      <c r="B284" s="5617"/>
      <c r="C284" s="2303">
        <v>278</v>
      </c>
      <c r="D284" s="2304" t="s">
        <v>2836</v>
      </c>
      <c r="E284" s="2305" t="s">
        <v>2837</v>
      </c>
      <c r="F284" s="2306">
        <v>96</v>
      </c>
      <c r="G284" s="2306"/>
      <c r="H284" s="2307">
        <v>13069</v>
      </c>
      <c r="I284" s="5618">
        <v>13069</v>
      </c>
      <c r="J284" s="5618"/>
      <c r="K284" s="2305"/>
      <c r="L284" s="2305"/>
      <c r="M284" s="2308"/>
      <c r="N284" s="2309"/>
      <c r="O284" s="2309"/>
      <c r="P284" s="2307">
        <v>13069</v>
      </c>
      <c r="Q284" s="2307">
        <v>13069</v>
      </c>
      <c r="R284" s="2305"/>
      <c r="S284" s="2305"/>
      <c r="T284" s="2305"/>
    </row>
    <row r="285" spans="1:20" ht="12" customHeight="1" outlineLevel="1" x14ac:dyDescent="0.2">
      <c r="A285" s="5617" t="s">
        <v>2838</v>
      </c>
      <c r="B285" s="5617"/>
      <c r="C285" s="2303">
        <v>274</v>
      </c>
      <c r="D285" s="2304" t="s">
        <v>2836</v>
      </c>
      <c r="E285" s="2305" t="s">
        <v>2839</v>
      </c>
      <c r="F285" s="2306">
        <v>96</v>
      </c>
      <c r="G285" s="2306"/>
      <c r="H285" s="2307">
        <v>9473</v>
      </c>
      <c r="I285" s="5618">
        <v>9473</v>
      </c>
      <c r="J285" s="5618"/>
      <c r="K285" s="2305"/>
      <c r="L285" s="2305"/>
      <c r="M285" s="2308"/>
      <c r="N285" s="2309"/>
      <c r="O285" s="2309"/>
      <c r="P285" s="2307">
        <v>9473</v>
      </c>
      <c r="Q285" s="2307">
        <v>9473</v>
      </c>
      <c r="R285" s="2305"/>
      <c r="S285" s="2305"/>
      <c r="T285" s="2305"/>
    </row>
    <row r="286" spans="1:20" ht="12" customHeight="1" outlineLevel="1" x14ac:dyDescent="0.2">
      <c r="A286" s="5617" t="s">
        <v>2840</v>
      </c>
      <c r="B286" s="5617"/>
      <c r="C286" s="2303">
        <v>265</v>
      </c>
      <c r="D286" s="2304" t="s">
        <v>2841</v>
      </c>
      <c r="E286" s="2305" t="s">
        <v>2842</v>
      </c>
      <c r="F286" s="2306">
        <v>96</v>
      </c>
      <c r="G286" s="2306"/>
      <c r="H286" s="2307">
        <v>14819.83</v>
      </c>
      <c r="I286" s="5618">
        <v>14819.83</v>
      </c>
      <c r="J286" s="5618"/>
      <c r="K286" s="2305"/>
      <c r="L286" s="2305"/>
      <c r="M286" s="2308"/>
      <c r="N286" s="2309"/>
      <c r="O286" s="2309"/>
      <c r="P286" s="2307">
        <v>14819.83</v>
      </c>
      <c r="Q286" s="2307">
        <v>14819.83</v>
      </c>
      <c r="R286" s="2305"/>
      <c r="S286" s="2305"/>
      <c r="T286" s="2305"/>
    </row>
    <row r="287" spans="1:20" ht="12" customHeight="1" outlineLevel="1" x14ac:dyDescent="0.2">
      <c r="A287" s="5617" t="s">
        <v>2843</v>
      </c>
      <c r="B287" s="5617"/>
      <c r="C287" s="2303">
        <v>272</v>
      </c>
      <c r="D287" s="2304" t="s">
        <v>2844</v>
      </c>
      <c r="E287" s="2305" t="s">
        <v>2845</v>
      </c>
      <c r="F287" s="2306">
        <v>96</v>
      </c>
      <c r="G287" s="2306"/>
      <c r="H287" s="2307">
        <v>33333.33</v>
      </c>
      <c r="I287" s="5618">
        <v>33333.33</v>
      </c>
      <c r="J287" s="5618"/>
      <c r="K287" s="2305"/>
      <c r="L287" s="2305"/>
      <c r="M287" s="2308"/>
      <c r="N287" s="2309"/>
      <c r="O287" s="2309"/>
      <c r="P287" s="2307">
        <v>33333.33</v>
      </c>
      <c r="Q287" s="2307">
        <v>33333.33</v>
      </c>
      <c r="R287" s="2305"/>
      <c r="S287" s="2305"/>
      <c r="T287" s="2305"/>
    </row>
    <row r="288" spans="1:20" ht="12" customHeight="1" outlineLevel="1" x14ac:dyDescent="0.2">
      <c r="A288" s="5617" t="s">
        <v>2846</v>
      </c>
      <c r="B288" s="5617"/>
      <c r="C288" s="2303">
        <v>270</v>
      </c>
      <c r="D288" s="2304" t="s">
        <v>2574</v>
      </c>
      <c r="E288" s="2305" t="s">
        <v>2664</v>
      </c>
      <c r="F288" s="2306">
        <v>96</v>
      </c>
      <c r="G288" s="2306"/>
      <c r="H288" s="2307">
        <v>15000</v>
      </c>
      <c r="I288" s="5618">
        <v>15000</v>
      </c>
      <c r="J288" s="5618"/>
      <c r="K288" s="2305"/>
      <c r="L288" s="2305"/>
      <c r="M288" s="2308"/>
      <c r="N288" s="2309"/>
      <c r="O288" s="2309"/>
      <c r="P288" s="2305"/>
      <c r="Q288" s="2305"/>
      <c r="R288" s="2307">
        <v>15000</v>
      </c>
      <c r="S288" s="2307">
        <v>15000</v>
      </c>
      <c r="T288" s="2305"/>
    </row>
    <row r="289" spans="1:20" ht="12" customHeight="1" outlineLevel="1" x14ac:dyDescent="0.2">
      <c r="A289" s="5617" t="s">
        <v>2847</v>
      </c>
      <c r="B289" s="5617"/>
      <c r="C289" s="2303">
        <v>268</v>
      </c>
      <c r="D289" s="2304" t="s">
        <v>2574</v>
      </c>
      <c r="E289" s="2305" t="s">
        <v>2848</v>
      </c>
      <c r="F289" s="2306">
        <v>96</v>
      </c>
      <c r="G289" s="2306"/>
      <c r="H289" s="2307">
        <v>21230</v>
      </c>
      <c r="I289" s="5618">
        <v>21230</v>
      </c>
      <c r="J289" s="5618"/>
      <c r="K289" s="2305"/>
      <c r="L289" s="2305"/>
      <c r="M289" s="2308"/>
      <c r="N289" s="2309"/>
      <c r="O289" s="2309"/>
      <c r="P289" s="2305"/>
      <c r="Q289" s="2305"/>
      <c r="R289" s="2307">
        <v>21230</v>
      </c>
      <c r="S289" s="2307">
        <v>21230</v>
      </c>
      <c r="T289" s="2305"/>
    </row>
    <row r="290" spans="1:20" ht="12" customHeight="1" outlineLevel="1" x14ac:dyDescent="0.2">
      <c r="A290" s="5617" t="s">
        <v>2849</v>
      </c>
      <c r="B290" s="5617"/>
      <c r="C290" s="2303">
        <v>610</v>
      </c>
      <c r="D290" s="2304" t="s">
        <v>2850</v>
      </c>
      <c r="E290" s="2305" t="s">
        <v>2851</v>
      </c>
      <c r="F290" s="2306">
        <v>60</v>
      </c>
      <c r="G290" s="2306"/>
      <c r="H290" s="2307">
        <v>19808.330000000002</v>
      </c>
      <c r="I290" s="5618">
        <v>19808.330000000002</v>
      </c>
      <c r="J290" s="5618"/>
      <c r="K290" s="2305"/>
      <c r="L290" s="2305"/>
      <c r="M290" s="2308"/>
      <c r="N290" s="2309"/>
      <c r="O290" s="2309"/>
      <c r="P290" s="2305"/>
      <c r="Q290" s="2305"/>
      <c r="R290" s="2307">
        <v>19808.330000000002</v>
      </c>
      <c r="S290" s="2307">
        <v>19808.330000000002</v>
      </c>
      <c r="T290" s="2305"/>
    </row>
    <row r="291" spans="1:20" ht="12" customHeight="1" outlineLevel="1" x14ac:dyDescent="0.2">
      <c r="A291" s="5617" t="s">
        <v>2852</v>
      </c>
      <c r="B291" s="5617"/>
      <c r="C291" s="2303">
        <v>609</v>
      </c>
      <c r="D291" s="2304" t="s">
        <v>2850</v>
      </c>
      <c r="E291" s="2305" t="s">
        <v>2853</v>
      </c>
      <c r="F291" s="2306">
        <v>60</v>
      </c>
      <c r="G291" s="2306"/>
      <c r="H291" s="2307">
        <v>30238.82</v>
      </c>
      <c r="I291" s="5618">
        <v>30238.82</v>
      </c>
      <c r="J291" s="5618"/>
      <c r="K291" s="2305"/>
      <c r="L291" s="2305"/>
      <c r="M291" s="2308"/>
      <c r="N291" s="2309"/>
      <c r="O291" s="2309"/>
      <c r="P291" s="2305"/>
      <c r="Q291" s="2305"/>
      <c r="R291" s="2307">
        <v>30238.82</v>
      </c>
      <c r="S291" s="2307">
        <v>30238.82</v>
      </c>
      <c r="T291" s="2305"/>
    </row>
    <row r="292" spans="1:20" ht="12" customHeight="1" outlineLevel="1" x14ac:dyDescent="0.2">
      <c r="A292" s="5617" t="s">
        <v>2854</v>
      </c>
      <c r="B292" s="5617"/>
      <c r="C292" s="2303">
        <v>599</v>
      </c>
      <c r="D292" s="2304" t="s">
        <v>2850</v>
      </c>
      <c r="E292" s="2305" t="s">
        <v>2855</v>
      </c>
      <c r="F292" s="2306">
        <v>60</v>
      </c>
      <c r="G292" s="2306"/>
      <c r="H292" s="2307">
        <v>38892</v>
      </c>
      <c r="I292" s="5618">
        <v>38892</v>
      </c>
      <c r="J292" s="5618"/>
      <c r="K292" s="2305"/>
      <c r="L292" s="2305"/>
      <c r="M292" s="2308"/>
      <c r="N292" s="2309"/>
      <c r="O292" s="2309"/>
      <c r="P292" s="2305"/>
      <c r="Q292" s="2305"/>
      <c r="R292" s="2307">
        <v>38892</v>
      </c>
      <c r="S292" s="2307">
        <v>38892</v>
      </c>
      <c r="T292" s="2305"/>
    </row>
    <row r="293" spans="1:20" ht="12" customHeight="1" outlineLevel="1" x14ac:dyDescent="0.2">
      <c r="A293" s="5617" t="s">
        <v>2856</v>
      </c>
      <c r="B293" s="5617"/>
      <c r="C293" s="2303">
        <v>680</v>
      </c>
      <c r="D293" s="2304" t="s">
        <v>2857</v>
      </c>
      <c r="E293" s="2305" t="s">
        <v>2858</v>
      </c>
      <c r="F293" s="2306">
        <v>60</v>
      </c>
      <c r="G293" s="2306"/>
      <c r="H293" s="2307">
        <v>22310</v>
      </c>
      <c r="I293" s="5618">
        <v>22310</v>
      </c>
      <c r="J293" s="5618"/>
      <c r="K293" s="2305"/>
      <c r="L293" s="2305"/>
      <c r="M293" s="2308"/>
      <c r="N293" s="2309"/>
      <c r="O293" s="2309"/>
      <c r="P293" s="2305"/>
      <c r="Q293" s="2305"/>
      <c r="R293" s="2307">
        <v>22310</v>
      </c>
      <c r="S293" s="2307">
        <v>22310</v>
      </c>
      <c r="T293" s="2305"/>
    </row>
    <row r="294" spans="1:20" ht="12" customHeight="1" outlineLevel="1" x14ac:dyDescent="0.2">
      <c r="A294" s="5617" t="s">
        <v>2859</v>
      </c>
      <c r="B294" s="5617"/>
      <c r="C294" s="2310">
        <v>1849</v>
      </c>
      <c r="D294" s="2304" t="s">
        <v>2860</v>
      </c>
      <c r="E294" s="2305" t="s">
        <v>2861</v>
      </c>
      <c r="F294" s="2306">
        <v>60</v>
      </c>
      <c r="G294" s="2306"/>
      <c r="H294" s="2307">
        <v>27698</v>
      </c>
      <c r="I294" s="5618">
        <v>27698</v>
      </c>
      <c r="J294" s="5618"/>
      <c r="K294" s="2305"/>
      <c r="L294" s="2305"/>
      <c r="M294" s="2308"/>
      <c r="N294" s="2309"/>
      <c r="O294" s="2309"/>
      <c r="P294" s="2305"/>
      <c r="Q294" s="2305"/>
      <c r="R294" s="2307">
        <v>27698</v>
      </c>
      <c r="S294" s="2307">
        <v>27698</v>
      </c>
      <c r="T294" s="2305"/>
    </row>
    <row r="295" spans="1:20" ht="12" customHeight="1" outlineLevel="1" x14ac:dyDescent="0.2">
      <c r="A295" s="5617" t="s">
        <v>2862</v>
      </c>
      <c r="B295" s="5617"/>
      <c r="C295" s="2303">
        <v>728</v>
      </c>
      <c r="D295" s="2304" t="s">
        <v>2863</v>
      </c>
      <c r="E295" s="2305" t="s">
        <v>2864</v>
      </c>
      <c r="F295" s="2306">
        <v>60</v>
      </c>
      <c r="G295" s="2306"/>
      <c r="H295" s="2307">
        <v>35731</v>
      </c>
      <c r="I295" s="5618">
        <v>35731</v>
      </c>
      <c r="J295" s="5618"/>
      <c r="K295" s="2305"/>
      <c r="L295" s="2305"/>
      <c r="M295" s="2308"/>
      <c r="N295" s="2309"/>
      <c r="O295" s="2309"/>
      <c r="P295" s="2305"/>
      <c r="Q295" s="2305"/>
      <c r="R295" s="2307">
        <v>35731</v>
      </c>
      <c r="S295" s="2307">
        <v>35731</v>
      </c>
      <c r="T295" s="2305"/>
    </row>
    <row r="296" spans="1:20" ht="12" customHeight="1" outlineLevel="1" x14ac:dyDescent="0.2">
      <c r="A296" s="5617" t="s">
        <v>2865</v>
      </c>
      <c r="B296" s="5617"/>
      <c r="C296" s="2303">
        <v>692</v>
      </c>
      <c r="D296" s="2304" t="s">
        <v>2785</v>
      </c>
      <c r="E296" s="2305" t="s">
        <v>2866</v>
      </c>
      <c r="F296" s="2306">
        <v>60</v>
      </c>
      <c r="G296" s="2306"/>
      <c r="H296" s="2307">
        <v>17990</v>
      </c>
      <c r="I296" s="5618">
        <v>17990</v>
      </c>
      <c r="J296" s="5618"/>
      <c r="K296" s="2305"/>
      <c r="L296" s="2305"/>
      <c r="M296" s="2308"/>
      <c r="N296" s="2309"/>
      <c r="O296" s="2309"/>
      <c r="P296" s="2305"/>
      <c r="Q296" s="2305"/>
      <c r="R296" s="2307">
        <v>17990</v>
      </c>
      <c r="S296" s="2307">
        <v>17990</v>
      </c>
      <c r="T296" s="2305"/>
    </row>
    <row r="297" spans="1:20" ht="12" customHeight="1" outlineLevel="1" x14ac:dyDescent="0.2">
      <c r="A297" s="5617" t="s">
        <v>2867</v>
      </c>
      <c r="B297" s="5617"/>
      <c r="C297" s="2310">
        <v>2376</v>
      </c>
      <c r="D297" s="2304" t="s">
        <v>2868</v>
      </c>
      <c r="E297" s="2305" t="s">
        <v>2869</v>
      </c>
      <c r="F297" s="2306">
        <v>36</v>
      </c>
      <c r="G297" s="2306"/>
      <c r="H297" s="2307">
        <v>29000.84</v>
      </c>
      <c r="I297" s="5618">
        <v>29000.84</v>
      </c>
      <c r="J297" s="5618"/>
      <c r="K297" s="2305"/>
      <c r="L297" s="2305"/>
      <c r="M297" s="2308"/>
      <c r="N297" s="2309"/>
      <c r="O297" s="2309"/>
      <c r="P297" s="2305"/>
      <c r="Q297" s="2305"/>
      <c r="R297" s="2307">
        <v>29000.84</v>
      </c>
      <c r="S297" s="2307">
        <v>29000.84</v>
      </c>
      <c r="T297" s="2305"/>
    </row>
    <row r="298" spans="1:20" ht="23.25" customHeight="1" outlineLevel="1" x14ac:dyDescent="0.2">
      <c r="A298" s="5617" t="s">
        <v>2870</v>
      </c>
      <c r="B298" s="5617"/>
      <c r="C298" s="2303">
        <v>729</v>
      </c>
      <c r="D298" s="2304" t="s">
        <v>2871</v>
      </c>
      <c r="E298" s="2305" t="s">
        <v>2872</v>
      </c>
      <c r="F298" s="2306">
        <v>60</v>
      </c>
      <c r="G298" s="2306"/>
      <c r="H298" s="2307">
        <v>46123</v>
      </c>
      <c r="I298" s="5618">
        <v>46123</v>
      </c>
      <c r="J298" s="5618"/>
      <c r="K298" s="2305"/>
      <c r="L298" s="2305"/>
      <c r="M298" s="2308"/>
      <c r="N298" s="2309"/>
      <c r="O298" s="2309"/>
      <c r="P298" s="2305"/>
      <c r="Q298" s="2305"/>
      <c r="R298" s="2307">
        <v>46123</v>
      </c>
      <c r="S298" s="2307">
        <v>46123</v>
      </c>
      <c r="T298" s="2305"/>
    </row>
    <row r="299" spans="1:20" ht="12" customHeight="1" outlineLevel="1" x14ac:dyDescent="0.2">
      <c r="A299" s="5617" t="s">
        <v>2873</v>
      </c>
      <c r="B299" s="5617"/>
      <c r="C299" s="2310">
        <v>1748</v>
      </c>
      <c r="D299" s="2304" t="s">
        <v>2348</v>
      </c>
      <c r="E299" s="2305" t="s">
        <v>2874</v>
      </c>
      <c r="F299" s="2306">
        <v>36</v>
      </c>
      <c r="G299" s="2306"/>
      <c r="H299" s="2307">
        <v>32722</v>
      </c>
      <c r="I299" s="5618">
        <v>32722</v>
      </c>
      <c r="J299" s="5618"/>
      <c r="K299" s="2305"/>
      <c r="L299" s="2305"/>
      <c r="M299" s="2308"/>
      <c r="N299" s="2309"/>
      <c r="O299" s="2309"/>
      <c r="P299" s="2305"/>
      <c r="Q299" s="2305"/>
      <c r="R299" s="2307">
        <v>32722</v>
      </c>
      <c r="S299" s="2307">
        <v>32722</v>
      </c>
      <c r="T299" s="2305"/>
    </row>
    <row r="300" spans="1:20" ht="12" customHeight="1" outlineLevel="1" x14ac:dyDescent="0.2">
      <c r="A300" s="5617" t="s">
        <v>2873</v>
      </c>
      <c r="B300" s="5617"/>
      <c r="C300" s="2310">
        <v>1749</v>
      </c>
      <c r="D300" s="2304" t="s">
        <v>2348</v>
      </c>
      <c r="E300" s="2305" t="s">
        <v>2875</v>
      </c>
      <c r="F300" s="2306">
        <v>36</v>
      </c>
      <c r="G300" s="2306"/>
      <c r="H300" s="2307">
        <v>32043</v>
      </c>
      <c r="I300" s="5618">
        <v>32043</v>
      </c>
      <c r="J300" s="5618"/>
      <c r="K300" s="2305"/>
      <c r="L300" s="2305"/>
      <c r="M300" s="2308"/>
      <c r="N300" s="2309"/>
      <c r="O300" s="2309"/>
      <c r="P300" s="2305"/>
      <c r="Q300" s="2305"/>
      <c r="R300" s="2307">
        <v>32043</v>
      </c>
      <c r="S300" s="2307">
        <v>32043</v>
      </c>
      <c r="T300" s="2305"/>
    </row>
    <row r="301" spans="1:20" ht="12" customHeight="1" outlineLevel="1" x14ac:dyDescent="0.2">
      <c r="A301" s="5617" t="s">
        <v>2876</v>
      </c>
      <c r="B301" s="5617"/>
      <c r="C301" s="2310">
        <v>1935</v>
      </c>
      <c r="D301" s="2304" t="s">
        <v>2877</v>
      </c>
      <c r="E301" s="2305" t="s">
        <v>2878</v>
      </c>
      <c r="F301" s="2306">
        <v>60</v>
      </c>
      <c r="G301" s="2306"/>
      <c r="H301" s="2307">
        <v>18779.66</v>
      </c>
      <c r="I301" s="5618">
        <v>18779.66</v>
      </c>
      <c r="J301" s="5618"/>
      <c r="K301" s="2305"/>
      <c r="L301" s="2305"/>
      <c r="M301" s="2308"/>
      <c r="N301" s="2309"/>
      <c r="O301" s="2309"/>
      <c r="P301" s="2305"/>
      <c r="Q301" s="2305"/>
      <c r="R301" s="2307">
        <v>18779.66</v>
      </c>
      <c r="S301" s="2307">
        <v>18779.66</v>
      </c>
      <c r="T301" s="2305"/>
    </row>
    <row r="302" spans="1:20" ht="12" customHeight="1" outlineLevel="1" x14ac:dyDescent="0.2">
      <c r="A302" s="5617" t="s">
        <v>2876</v>
      </c>
      <c r="B302" s="5617"/>
      <c r="C302" s="2310">
        <v>2016</v>
      </c>
      <c r="D302" s="2304" t="s">
        <v>2877</v>
      </c>
      <c r="E302" s="2305" t="s">
        <v>2878</v>
      </c>
      <c r="F302" s="2306">
        <v>60</v>
      </c>
      <c r="G302" s="2306"/>
      <c r="H302" s="2307">
        <v>18779.66</v>
      </c>
      <c r="I302" s="5618">
        <v>18779.66</v>
      </c>
      <c r="J302" s="5618"/>
      <c r="K302" s="2305"/>
      <c r="L302" s="2305"/>
      <c r="M302" s="2308"/>
      <c r="N302" s="2309"/>
      <c r="O302" s="2309"/>
      <c r="P302" s="2305"/>
      <c r="Q302" s="2305"/>
      <c r="R302" s="2307">
        <v>18779.66</v>
      </c>
      <c r="S302" s="2307">
        <v>18779.66</v>
      </c>
      <c r="T302" s="2305"/>
    </row>
    <row r="303" spans="1:20" ht="12" customHeight="1" outlineLevel="1" x14ac:dyDescent="0.2">
      <c r="A303" s="5617" t="s">
        <v>2879</v>
      </c>
      <c r="B303" s="5617"/>
      <c r="C303" s="2310">
        <v>2306</v>
      </c>
      <c r="D303" s="2304" t="s">
        <v>2880</v>
      </c>
      <c r="E303" s="2305" t="s">
        <v>2881</v>
      </c>
      <c r="F303" s="2306">
        <v>36</v>
      </c>
      <c r="G303" s="2306"/>
      <c r="H303" s="2307">
        <v>25008.47</v>
      </c>
      <c r="I303" s="5618">
        <v>25008.47</v>
      </c>
      <c r="J303" s="5618"/>
      <c r="K303" s="2305"/>
      <c r="L303" s="2305"/>
      <c r="M303" s="2308"/>
      <c r="N303" s="2309"/>
      <c r="O303" s="2309"/>
      <c r="P303" s="2305"/>
      <c r="Q303" s="2305"/>
      <c r="R303" s="2307">
        <v>25008.47</v>
      </c>
      <c r="S303" s="2307">
        <v>25008.47</v>
      </c>
      <c r="T303" s="2305"/>
    </row>
    <row r="304" spans="1:20" ht="12" customHeight="1" outlineLevel="1" x14ac:dyDescent="0.2">
      <c r="A304" s="5617" t="s">
        <v>2882</v>
      </c>
      <c r="B304" s="5617"/>
      <c r="C304" s="2310">
        <v>1879</v>
      </c>
      <c r="D304" s="2304" t="s">
        <v>2460</v>
      </c>
      <c r="E304" s="2305" t="s">
        <v>2883</v>
      </c>
      <c r="F304" s="2306">
        <v>60</v>
      </c>
      <c r="G304" s="2306"/>
      <c r="H304" s="2307">
        <v>30444.94</v>
      </c>
      <c r="I304" s="5618">
        <v>30444.94</v>
      </c>
      <c r="J304" s="5618"/>
      <c r="K304" s="2305"/>
      <c r="L304" s="2305"/>
      <c r="M304" s="2308"/>
      <c r="N304" s="2309"/>
      <c r="O304" s="2309"/>
      <c r="P304" s="2305"/>
      <c r="Q304" s="2305"/>
      <c r="R304" s="2307">
        <v>30444.94</v>
      </c>
      <c r="S304" s="2307">
        <v>30444.94</v>
      </c>
      <c r="T304" s="2305"/>
    </row>
    <row r="305" spans="1:20" ht="12" customHeight="1" outlineLevel="1" x14ac:dyDescent="0.2">
      <c r="A305" s="5617" t="s">
        <v>2884</v>
      </c>
      <c r="B305" s="5617"/>
      <c r="C305" s="2303">
        <v>1703</v>
      </c>
      <c r="D305" s="2304" t="s">
        <v>2885</v>
      </c>
      <c r="E305" s="2305" t="s">
        <v>2886</v>
      </c>
      <c r="F305" s="2306">
        <v>60</v>
      </c>
      <c r="G305" s="2306"/>
      <c r="H305" s="2307">
        <v>21093.22</v>
      </c>
      <c r="I305" s="5618">
        <v>21093.22</v>
      </c>
      <c r="J305" s="5618"/>
      <c r="K305" s="2305"/>
      <c r="L305" s="2305"/>
      <c r="M305" s="2308"/>
      <c r="N305" s="2309"/>
      <c r="O305" s="2309"/>
      <c r="P305" s="2305"/>
      <c r="Q305" s="2305"/>
      <c r="R305" s="2307">
        <v>21093.22</v>
      </c>
      <c r="S305" s="2307">
        <v>21093.22</v>
      </c>
      <c r="T305" s="2305"/>
    </row>
    <row r="306" spans="1:20" ht="12" customHeight="1" outlineLevel="1" x14ac:dyDescent="0.2">
      <c r="A306" s="5617" t="s">
        <v>2887</v>
      </c>
      <c r="B306" s="5617"/>
      <c r="C306" s="2310">
        <v>1856</v>
      </c>
      <c r="D306" s="2304" t="s">
        <v>2888</v>
      </c>
      <c r="E306" s="2305" t="s">
        <v>2889</v>
      </c>
      <c r="F306" s="2306">
        <v>120</v>
      </c>
      <c r="G306" s="2306"/>
      <c r="H306" s="2307">
        <v>13452.14</v>
      </c>
      <c r="I306" s="5618">
        <v>13452.14</v>
      </c>
      <c r="J306" s="5618"/>
      <c r="K306" s="2305"/>
      <c r="L306" s="2305"/>
      <c r="M306" s="2308"/>
      <c r="N306" s="2309"/>
      <c r="O306" s="2309"/>
      <c r="P306" s="2305"/>
      <c r="Q306" s="2305"/>
      <c r="R306" s="2307">
        <v>13452.14</v>
      </c>
      <c r="S306" s="2307">
        <v>13452.14</v>
      </c>
      <c r="T306" s="2305"/>
    </row>
    <row r="307" spans="1:20" ht="12" customHeight="1" outlineLevel="1" x14ac:dyDescent="0.2">
      <c r="A307" s="5617" t="s">
        <v>2890</v>
      </c>
      <c r="B307" s="5617"/>
      <c r="C307" s="2303">
        <v>578</v>
      </c>
      <c r="D307" s="2304" t="s">
        <v>2891</v>
      </c>
      <c r="E307" s="2305" t="s">
        <v>2892</v>
      </c>
      <c r="F307" s="2306">
        <v>60</v>
      </c>
      <c r="G307" s="2306"/>
      <c r="H307" s="2307">
        <v>18227.21</v>
      </c>
      <c r="I307" s="5618">
        <v>18227.21</v>
      </c>
      <c r="J307" s="5618"/>
      <c r="K307" s="2305"/>
      <c r="L307" s="2305"/>
      <c r="M307" s="2308"/>
      <c r="N307" s="2309"/>
      <c r="O307" s="2309"/>
      <c r="P307" s="2305"/>
      <c r="Q307" s="2305"/>
      <c r="R307" s="2307">
        <v>18227.21</v>
      </c>
      <c r="S307" s="2307">
        <v>18227.21</v>
      </c>
      <c r="T307" s="2305"/>
    </row>
    <row r="308" spans="1:20" ht="12" customHeight="1" outlineLevel="1" x14ac:dyDescent="0.2">
      <c r="A308" s="5617" t="s">
        <v>2893</v>
      </c>
      <c r="B308" s="5617"/>
      <c r="C308" s="2303">
        <v>114</v>
      </c>
      <c r="D308" s="2304" t="s">
        <v>2196</v>
      </c>
      <c r="E308" s="2305" t="s">
        <v>2894</v>
      </c>
      <c r="F308" s="2306">
        <v>60</v>
      </c>
      <c r="G308" s="2306"/>
      <c r="H308" s="2307">
        <v>11050</v>
      </c>
      <c r="I308" s="5618">
        <v>11050</v>
      </c>
      <c r="J308" s="5618"/>
      <c r="K308" s="2305"/>
      <c r="L308" s="2305"/>
      <c r="M308" s="2308"/>
      <c r="N308" s="2309"/>
      <c r="O308" s="2309"/>
      <c r="P308" s="2305"/>
      <c r="Q308" s="2305"/>
      <c r="R308" s="2307">
        <v>11050</v>
      </c>
      <c r="S308" s="2307">
        <v>11050</v>
      </c>
      <c r="T308" s="2305"/>
    </row>
    <row r="309" spans="1:20" ht="12" customHeight="1" outlineLevel="1" x14ac:dyDescent="0.2">
      <c r="A309" s="5617" t="s">
        <v>2895</v>
      </c>
      <c r="B309" s="5617"/>
      <c r="C309" s="2303">
        <v>340</v>
      </c>
      <c r="D309" s="2304" t="s">
        <v>2298</v>
      </c>
      <c r="E309" s="2305" t="s">
        <v>2896</v>
      </c>
      <c r="F309" s="2306">
        <v>273</v>
      </c>
      <c r="G309" s="2306"/>
      <c r="H309" s="2307">
        <v>14956</v>
      </c>
      <c r="I309" s="5618">
        <v>14956</v>
      </c>
      <c r="J309" s="5618"/>
      <c r="K309" s="2305"/>
      <c r="L309" s="2305"/>
      <c r="M309" s="2308"/>
      <c r="N309" s="2309"/>
      <c r="O309" s="2309"/>
      <c r="P309" s="2305"/>
      <c r="Q309" s="2305"/>
      <c r="R309" s="2307">
        <v>14956</v>
      </c>
      <c r="S309" s="2307">
        <v>14956</v>
      </c>
      <c r="T309" s="2305"/>
    </row>
    <row r="310" spans="1:20" ht="23.25" customHeight="1" outlineLevel="1" x14ac:dyDescent="0.2">
      <c r="A310" s="5617" t="s">
        <v>2897</v>
      </c>
      <c r="B310" s="5617"/>
      <c r="C310" s="2303">
        <v>104</v>
      </c>
      <c r="D310" s="2304" t="s">
        <v>2196</v>
      </c>
      <c r="E310" s="2305" t="s">
        <v>2898</v>
      </c>
      <c r="F310" s="2306">
        <v>273</v>
      </c>
      <c r="G310" s="2306"/>
      <c r="H310" s="2307">
        <v>11596</v>
      </c>
      <c r="I310" s="5618">
        <v>11596</v>
      </c>
      <c r="J310" s="5618"/>
      <c r="K310" s="2305"/>
      <c r="L310" s="2305"/>
      <c r="M310" s="2308"/>
      <c r="N310" s="2309"/>
      <c r="O310" s="2309"/>
      <c r="P310" s="2305"/>
      <c r="Q310" s="2305"/>
      <c r="R310" s="2307">
        <v>11596</v>
      </c>
      <c r="S310" s="2307">
        <v>11596</v>
      </c>
      <c r="T310" s="2305"/>
    </row>
    <row r="311" spans="1:20" ht="23.25" customHeight="1" outlineLevel="1" x14ac:dyDescent="0.2">
      <c r="A311" s="5617" t="s">
        <v>2899</v>
      </c>
      <c r="B311" s="5617"/>
      <c r="C311" s="2303">
        <v>103</v>
      </c>
      <c r="D311" s="2304" t="s">
        <v>2196</v>
      </c>
      <c r="E311" s="2305" t="s">
        <v>2900</v>
      </c>
      <c r="F311" s="2306">
        <v>273</v>
      </c>
      <c r="G311" s="2306"/>
      <c r="H311" s="2307">
        <v>41451</v>
      </c>
      <c r="I311" s="5618">
        <v>41451</v>
      </c>
      <c r="J311" s="5618"/>
      <c r="K311" s="2305"/>
      <c r="L311" s="2305"/>
      <c r="M311" s="2308"/>
      <c r="N311" s="2309"/>
      <c r="O311" s="2309"/>
      <c r="P311" s="2305"/>
      <c r="Q311" s="2305"/>
      <c r="R311" s="2307">
        <v>41451</v>
      </c>
      <c r="S311" s="2307">
        <v>41451</v>
      </c>
      <c r="T311" s="2305"/>
    </row>
    <row r="312" spans="1:20" ht="12" customHeight="1" outlineLevel="1" x14ac:dyDescent="0.2">
      <c r="A312" s="5617" t="s">
        <v>2901</v>
      </c>
      <c r="B312" s="5617"/>
      <c r="C312" s="2310">
        <v>2326</v>
      </c>
      <c r="D312" s="2304" t="s">
        <v>2902</v>
      </c>
      <c r="E312" s="2305" t="s">
        <v>2903</v>
      </c>
      <c r="F312" s="2306">
        <v>84</v>
      </c>
      <c r="G312" s="2306"/>
      <c r="H312" s="2307">
        <v>30521.19</v>
      </c>
      <c r="I312" s="5618">
        <v>30521.19</v>
      </c>
      <c r="J312" s="5618"/>
      <c r="K312" s="2305"/>
      <c r="L312" s="2305"/>
      <c r="M312" s="2308"/>
      <c r="N312" s="2309"/>
      <c r="O312" s="2309"/>
      <c r="P312" s="2305"/>
      <c r="Q312" s="2305"/>
      <c r="R312" s="2307">
        <v>30521.19</v>
      </c>
      <c r="S312" s="2307">
        <v>30521.19</v>
      </c>
      <c r="T312" s="2305"/>
    </row>
    <row r="313" spans="1:20" ht="12" customHeight="1" outlineLevel="1" x14ac:dyDescent="0.2">
      <c r="A313" s="5617" t="s">
        <v>2904</v>
      </c>
      <c r="B313" s="5617"/>
      <c r="C313" s="2310">
        <v>1929</v>
      </c>
      <c r="D313" s="2304" t="s">
        <v>2225</v>
      </c>
      <c r="E313" s="2305" t="s">
        <v>2905</v>
      </c>
      <c r="F313" s="2306">
        <v>60</v>
      </c>
      <c r="G313" s="2306"/>
      <c r="H313" s="2307">
        <v>20500</v>
      </c>
      <c r="I313" s="5618">
        <v>20500</v>
      </c>
      <c r="J313" s="5618"/>
      <c r="K313" s="2305"/>
      <c r="L313" s="2305"/>
      <c r="M313" s="2308"/>
      <c r="N313" s="2309"/>
      <c r="O313" s="2309"/>
      <c r="P313" s="2305"/>
      <c r="Q313" s="2305"/>
      <c r="R313" s="2307">
        <v>20500</v>
      </c>
      <c r="S313" s="2307">
        <v>20500</v>
      </c>
      <c r="T313" s="2305"/>
    </row>
    <row r="314" spans="1:20" ht="12" customHeight="1" outlineLevel="1" x14ac:dyDescent="0.2">
      <c r="A314" s="5617" t="s">
        <v>2906</v>
      </c>
      <c r="B314" s="5617"/>
      <c r="C314" s="2310">
        <v>1912</v>
      </c>
      <c r="D314" s="2304" t="s">
        <v>2588</v>
      </c>
      <c r="E314" s="2305" t="s">
        <v>2907</v>
      </c>
      <c r="F314" s="2306">
        <v>120</v>
      </c>
      <c r="G314" s="2306"/>
      <c r="H314" s="2307">
        <v>32269.13</v>
      </c>
      <c r="I314" s="5618">
        <v>32269.13</v>
      </c>
      <c r="J314" s="5618"/>
      <c r="K314" s="2305"/>
      <c r="L314" s="2305"/>
      <c r="M314" s="2308"/>
      <c r="N314" s="2309"/>
      <c r="O314" s="2309"/>
      <c r="P314" s="2305"/>
      <c r="Q314" s="2305"/>
      <c r="R314" s="2307">
        <v>32269.13</v>
      </c>
      <c r="S314" s="2307">
        <v>32269.13</v>
      </c>
      <c r="T314" s="2305"/>
    </row>
    <row r="315" spans="1:20" ht="12" customHeight="1" outlineLevel="1" x14ac:dyDescent="0.2">
      <c r="A315" s="5617" t="s">
        <v>2908</v>
      </c>
      <c r="B315" s="5617"/>
      <c r="C315" s="2310">
        <v>1906</v>
      </c>
      <c r="D315" s="2304" t="s">
        <v>2660</v>
      </c>
      <c r="E315" s="2305" t="s">
        <v>2909</v>
      </c>
      <c r="F315" s="2306">
        <v>120</v>
      </c>
      <c r="G315" s="2306"/>
      <c r="H315" s="2307">
        <v>39266.43</v>
      </c>
      <c r="I315" s="5618">
        <v>39266.43</v>
      </c>
      <c r="J315" s="5618"/>
      <c r="K315" s="2305"/>
      <c r="L315" s="2305"/>
      <c r="M315" s="2308"/>
      <c r="N315" s="2309"/>
      <c r="O315" s="2309"/>
      <c r="P315" s="2305"/>
      <c r="Q315" s="2305"/>
      <c r="R315" s="2307">
        <v>39266.43</v>
      </c>
      <c r="S315" s="2307">
        <v>39266.43</v>
      </c>
      <c r="T315" s="2305"/>
    </row>
    <row r="316" spans="1:20" ht="12" customHeight="1" outlineLevel="1" x14ac:dyDescent="0.2">
      <c r="A316" s="5617" t="s">
        <v>2910</v>
      </c>
      <c r="B316" s="5617"/>
      <c r="C316" s="2310">
        <v>1905</v>
      </c>
      <c r="D316" s="2304" t="s">
        <v>2660</v>
      </c>
      <c r="E316" s="2305" t="s">
        <v>2911</v>
      </c>
      <c r="F316" s="2306">
        <v>120</v>
      </c>
      <c r="G316" s="2306"/>
      <c r="H316" s="2307">
        <v>39266.42</v>
      </c>
      <c r="I316" s="5618">
        <v>39266.42</v>
      </c>
      <c r="J316" s="5618"/>
      <c r="K316" s="2305"/>
      <c r="L316" s="2305"/>
      <c r="M316" s="2308"/>
      <c r="N316" s="2309"/>
      <c r="O316" s="2309"/>
      <c r="P316" s="2305"/>
      <c r="Q316" s="2305"/>
      <c r="R316" s="2307">
        <v>39266.42</v>
      </c>
      <c r="S316" s="2307">
        <v>39266.42</v>
      </c>
      <c r="T316" s="2305"/>
    </row>
    <row r="317" spans="1:20" ht="12" customHeight="1" outlineLevel="1" x14ac:dyDescent="0.2">
      <c r="A317" s="5617" t="s">
        <v>2587</v>
      </c>
      <c r="B317" s="5617"/>
      <c r="C317" s="2310">
        <v>1919</v>
      </c>
      <c r="D317" s="2304" t="s">
        <v>2588</v>
      </c>
      <c r="E317" s="2305" t="s">
        <v>2589</v>
      </c>
      <c r="F317" s="2306">
        <v>120</v>
      </c>
      <c r="G317" s="2306"/>
      <c r="H317" s="2307">
        <v>49970.28</v>
      </c>
      <c r="I317" s="5618">
        <v>49970.28</v>
      </c>
      <c r="J317" s="5618"/>
      <c r="K317" s="2305"/>
      <c r="L317" s="2305"/>
      <c r="M317" s="2308"/>
      <c r="N317" s="2309"/>
      <c r="O317" s="2309"/>
      <c r="P317" s="2305"/>
      <c r="Q317" s="2305"/>
      <c r="R317" s="2307">
        <v>49970.28</v>
      </c>
      <c r="S317" s="2307">
        <v>49970.28</v>
      </c>
      <c r="T317" s="2305"/>
    </row>
    <row r="318" spans="1:20" ht="12" customHeight="1" outlineLevel="1" x14ac:dyDescent="0.2">
      <c r="A318" s="5617" t="s">
        <v>2912</v>
      </c>
      <c r="B318" s="5617"/>
      <c r="C318" s="2303">
        <v>412</v>
      </c>
      <c r="D318" s="2304" t="s">
        <v>2913</v>
      </c>
      <c r="E318" s="2305" t="s">
        <v>2914</v>
      </c>
      <c r="F318" s="2306">
        <v>30</v>
      </c>
      <c r="G318" s="2306"/>
      <c r="H318" s="2307">
        <v>2607</v>
      </c>
      <c r="I318" s="5618">
        <v>2607</v>
      </c>
      <c r="J318" s="5618"/>
      <c r="K318" s="2305"/>
      <c r="L318" s="2305"/>
      <c r="M318" s="2308"/>
      <c r="N318" s="2309"/>
      <c r="O318" s="2309"/>
      <c r="P318" s="2305"/>
      <c r="Q318" s="2305"/>
      <c r="R318" s="2307">
        <v>2607</v>
      </c>
      <c r="S318" s="2307">
        <v>2607</v>
      </c>
      <c r="T318" s="2305"/>
    </row>
    <row r="319" spans="1:20" ht="12" customHeight="1" outlineLevel="1" x14ac:dyDescent="0.2">
      <c r="A319" s="5617" t="s">
        <v>2915</v>
      </c>
      <c r="B319" s="5617"/>
      <c r="C319" s="2303">
        <v>413</v>
      </c>
      <c r="D319" s="2304" t="s">
        <v>2916</v>
      </c>
      <c r="E319" s="2305" t="s">
        <v>2917</v>
      </c>
      <c r="F319" s="2306">
        <v>84</v>
      </c>
      <c r="G319" s="2306"/>
      <c r="H319" s="2307">
        <v>5398</v>
      </c>
      <c r="I319" s="5618">
        <v>5398</v>
      </c>
      <c r="J319" s="5618"/>
      <c r="K319" s="2305"/>
      <c r="L319" s="2305"/>
      <c r="M319" s="2308"/>
      <c r="N319" s="2309"/>
      <c r="O319" s="2309"/>
      <c r="P319" s="2305"/>
      <c r="Q319" s="2305"/>
      <c r="R319" s="2307">
        <v>5398</v>
      </c>
      <c r="S319" s="2307">
        <v>5398</v>
      </c>
      <c r="T319" s="2305"/>
    </row>
    <row r="320" spans="1:20" ht="12" customHeight="1" outlineLevel="1" x14ac:dyDescent="0.2">
      <c r="A320" s="5617" t="s">
        <v>2918</v>
      </c>
      <c r="B320" s="5617"/>
      <c r="C320" s="2303">
        <v>118</v>
      </c>
      <c r="D320" s="2304" t="s">
        <v>2196</v>
      </c>
      <c r="E320" s="2305" t="s">
        <v>2919</v>
      </c>
      <c r="F320" s="2306">
        <v>84</v>
      </c>
      <c r="G320" s="2306"/>
      <c r="H320" s="2307">
        <v>4018</v>
      </c>
      <c r="I320" s="5618">
        <v>4018</v>
      </c>
      <c r="J320" s="5618"/>
      <c r="K320" s="2305"/>
      <c r="L320" s="2305"/>
      <c r="M320" s="2308"/>
      <c r="N320" s="2309"/>
      <c r="O320" s="2309"/>
      <c r="P320" s="2305"/>
      <c r="Q320" s="2305"/>
      <c r="R320" s="2307">
        <v>4018</v>
      </c>
      <c r="S320" s="2307">
        <v>4018</v>
      </c>
      <c r="T320" s="2305"/>
    </row>
    <row r="321" spans="1:20" s="2326" customFormat="1" ht="23.25" customHeight="1" outlineLevel="1" x14ac:dyDescent="0.2">
      <c r="A321" s="5626" t="s">
        <v>2920</v>
      </c>
      <c r="B321" s="5626"/>
      <c r="C321" s="2320">
        <v>350</v>
      </c>
      <c r="D321" s="2321" t="s">
        <v>2598</v>
      </c>
      <c r="E321" s="2322" t="s">
        <v>2921</v>
      </c>
      <c r="F321" s="2323">
        <v>84</v>
      </c>
      <c r="G321" s="2323"/>
      <c r="H321" s="2324">
        <v>72127.210000000006</v>
      </c>
      <c r="I321" s="5627">
        <v>67673.16</v>
      </c>
      <c r="J321" s="5627"/>
      <c r="K321" s="2324">
        <v>4454.05</v>
      </c>
      <c r="L321" s="2322"/>
      <c r="M321" s="2324">
        <v>4454.05</v>
      </c>
      <c r="N321" s="2324">
        <f>M321</f>
        <v>4454.05</v>
      </c>
      <c r="O321" s="2324"/>
      <c r="P321" s="2322"/>
      <c r="Q321" s="2322"/>
      <c r="R321" s="2324">
        <v>72127.210000000006</v>
      </c>
      <c r="S321" s="2324">
        <v>72127.210000000006</v>
      </c>
      <c r="T321" s="2322"/>
    </row>
    <row r="322" spans="1:20" ht="12" customHeight="1" outlineLevel="1" x14ac:dyDescent="0.2">
      <c r="A322" s="5617" t="s">
        <v>2922</v>
      </c>
      <c r="B322" s="5617"/>
      <c r="C322" s="2303">
        <v>442</v>
      </c>
      <c r="D322" s="2304" t="s">
        <v>2250</v>
      </c>
      <c r="E322" s="2305" t="s">
        <v>2923</v>
      </c>
      <c r="F322" s="2306">
        <v>96</v>
      </c>
      <c r="G322" s="2306"/>
      <c r="H322" s="2307">
        <v>36691</v>
      </c>
      <c r="I322" s="5618">
        <v>36691</v>
      </c>
      <c r="J322" s="5618"/>
      <c r="K322" s="2305"/>
      <c r="L322" s="2305"/>
      <c r="M322" s="2308"/>
      <c r="N322" s="2309"/>
      <c r="O322" s="2309"/>
      <c r="P322" s="2305"/>
      <c r="Q322" s="2305"/>
      <c r="R322" s="2307">
        <v>36691</v>
      </c>
      <c r="S322" s="2307">
        <v>36691</v>
      </c>
      <c r="T322" s="2305"/>
    </row>
    <row r="323" spans="1:20" ht="12" customHeight="1" outlineLevel="1" x14ac:dyDescent="0.2">
      <c r="A323" s="5617" t="s">
        <v>2924</v>
      </c>
      <c r="B323" s="5617"/>
      <c r="C323" s="2303">
        <v>351</v>
      </c>
      <c r="D323" s="2304" t="s">
        <v>2598</v>
      </c>
      <c r="E323" s="2305" t="s">
        <v>2925</v>
      </c>
      <c r="F323" s="2306">
        <v>84</v>
      </c>
      <c r="G323" s="2306"/>
      <c r="H323" s="2307">
        <v>5649</v>
      </c>
      <c r="I323" s="5618">
        <v>5649</v>
      </c>
      <c r="J323" s="5618"/>
      <c r="K323" s="2305"/>
      <c r="L323" s="2305"/>
      <c r="M323" s="2308"/>
      <c r="N323" s="2309"/>
      <c r="O323" s="2309"/>
      <c r="P323" s="2305"/>
      <c r="Q323" s="2305"/>
      <c r="R323" s="2307">
        <v>5649</v>
      </c>
      <c r="S323" s="2307">
        <v>5649</v>
      </c>
      <c r="T323" s="2305"/>
    </row>
    <row r="324" spans="1:20" ht="12" customHeight="1" outlineLevel="1" x14ac:dyDescent="0.2">
      <c r="A324" s="5617" t="s">
        <v>2926</v>
      </c>
      <c r="B324" s="5617"/>
      <c r="C324" s="2303">
        <v>115</v>
      </c>
      <c r="D324" s="2304" t="s">
        <v>2196</v>
      </c>
      <c r="E324" s="2305" t="s">
        <v>2927</v>
      </c>
      <c r="F324" s="2306">
        <v>84</v>
      </c>
      <c r="G324" s="2306"/>
      <c r="H324" s="2307">
        <v>10625</v>
      </c>
      <c r="I324" s="5618">
        <v>10625</v>
      </c>
      <c r="J324" s="5618"/>
      <c r="K324" s="2305"/>
      <c r="L324" s="2305"/>
      <c r="M324" s="2308"/>
      <c r="N324" s="2309"/>
      <c r="O324" s="2309"/>
      <c r="P324" s="2305"/>
      <c r="Q324" s="2305"/>
      <c r="R324" s="2307">
        <v>10625</v>
      </c>
      <c r="S324" s="2307">
        <v>10625</v>
      </c>
      <c r="T324" s="2305"/>
    </row>
    <row r="325" spans="1:20" ht="12" customHeight="1" outlineLevel="1" x14ac:dyDescent="0.2">
      <c r="A325" s="5617" t="s">
        <v>2928</v>
      </c>
      <c r="B325" s="5617"/>
      <c r="C325" s="2303">
        <v>116</v>
      </c>
      <c r="D325" s="2304" t="s">
        <v>2196</v>
      </c>
      <c r="E325" s="2305" t="s">
        <v>2927</v>
      </c>
      <c r="F325" s="2306">
        <v>84</v>
      </c>
      <c r="G325" s="2306"/>
      <c r="H325" s="2307">
        <v>10625</v>
      </c>
      <c r="I325" s="5618">
        <v>10625</v>
      </c>
      <c r="J325" s="5618"/>
      <c r="K325" s="2305"/>
      <c r="L325" s="2305"/>
      <c r="M325" s="2308"/>
      <c r="N325" s="2309"/>
      <c r="O325" s="2309"/>
      <c r="P325" s="2305"/>
      <c r="Q325" s="2305"/>
      <c r="R325" s="2307">
        <v>10625</v>
      </c>
      <c r="S325" s="2307">
        <v>10625</v>
      </c>
      <c r="T325" s="2305"/>
    </row>
    <row r="326" spans="1:20" ht="23.25" customHeight="1" outlineLevel="1" x14ac:dyDescent="0.2">
      <c r="A326" s="5617" t="s">
        <v>2929</v>
      </c>
      <c r="B326" s="5617"/>
      <c r="C326" s="2344">
        <v>1493</v>
      </c>
      <c r="D326" s="2304" t="s">
        <v>2537</v>
      </c>
      <c r="E326" s="2305" t="s">
        <v>2930</v>
      </c>
      <c r="F326" s="2306">
        <v>84</v>
      </c>
      <c r="G326" s="2306"/>
      <c r="H326" s="2307">
        <v>93355.93</v>
      </c>
      <c r="I326" s="5618">
        <v>23338.98</v>
      </c>
      <c r="J326" s="5618"/>
      <c r="K326" s="2307">
        <v>70016.95</v>
      </c>
      <c r="L326" s="2305"/>
      <c r="M326" s="2309">
        <v>13336.56</v>
      </c>
      <c r="N326" s="2309">
        <f>H326/F326*12</f>
        <v>13336.561428571429</v>
      </c>
      <c r="O326" s="2309"/>
      <c r="P326" s="2305"/>
      <c r="Q326" s="2305"/>
      <c r="R326" s="2307">
        <v>93355.93</v>
      </c>
      <c r="S326" s="2307">
        <v>36675.54</v>
      </c>
      <c r="T326" s="2307">
        <v>56680.39</v>
      </c>
    </row>
    <row r="327" spans="1:20" ht="12" customHeight="1" outlineLevel="1" x14ac:dyDescent="0.2">
      <c r="A327" s="5617" t="s">
        <v>2931</v>
      </c>
      <c r="B327" s="5617"/>
      <c r="C327" s="2310">
        <v>1850</v>
      </c>
      <c r="D327" s="2304" t="s">
        <v>2932</v>
      </c>
      <c r="E327" s="2305" t="s">
        <v>2933</v>
      </c>
      <c r="F327" s="2306">
        <v>60</v>
      </c>
      <c r="G327" s="2306"/>
      <c r="H327" s="2307">
        <v>35394.07</v>
      </c>
      <c r="I327" s="5618">
        <v>35394.07</v>
      </c>
      <c r="J327" s="5618"/>
      <c r="K327" s="2305"/>
      <c r="L327" s="2305"/>
      <c r="M327" s="2308"/>
      <c r="N327" s="2309"/>
      <c r="O327" s="2309"/>
      <c r="P327" s="2305"/>
      <c r="Q327" s="2305"/>
      <c r="R327" s="2307">
        <v>35394.07</v>
      </c>
      <c r="S327" s="2307">
        <v>35394.07</v>
      </c>
      <c r="T327" s="2305"/>
    </row>
    <row r="328" spans="1:20" ht="12" customHeight="1" outlineLevel="1" x14ac:dyDescent="0.2">
      <c r="A328" s="5617" t="s">
        <v>2934</v>
      </c>
      <c r="B328" s="5617"/>
      <c r="C328" s="2303">
        <v>587</v>
      </c>
      <c r="D328" s="2304" t="s">
        <v>2935</v>
      </c>
      <c r="E328" s="2305" t="s">
        <v>2936</v>
      </c>
      <c r="F328" s="2306">
        <v>1</v>
      </c>
      <c r="G328" s="2306"/>
      <c r="H328" s="2307">
        <v>6325</v>
      </c>
      <c r="I328" s="5618">
        <v>6325</v>
      </c>
      <c r="J328" s="5618"/>
      <c r="K328" s="2305"/>
      <c r="L328" s="2305"/>
      <c r="M328" s="2308"/>
      <c r="N328" s="2309"/>
      <c r="O328" s="2309"/>
      <c r="P328" s="2305"/>
      <c r="Q328" s="2305"/>
      <c r="R328" s="2307">
        <v>6325</v>
      </c>
      <c r="S328" s="2307">
        <v>6325</v>
      </c>
      <c r="T328" s="2305"/>
    </row>
    <row r="329" spans="1:20" ht="12" customHeight="1" outlineLevel="1" x14ac:dyDescent="0.2">
      <c r="A329" s="5617" t="s">
        <v>2937</v>
      </c>
      <c r="B329" s="5617"/>
      <c r="C329" s="2303">
        <v>370</v>
      </c>
      <c r="D329" s="2304" t="s">
        <v>2795</v>
      </c>
      <c r="E329" s="2305" t="s">
        <v>2938</v>
      </c>
      <c r="F329" s="2306">
        <v>67</v>
      </c>
      <c r="G329" s="2306"/>
      <c r="H329" s="2307">
        <v>128652</v>
      </c>
      <c r="I329" s="5618">
        <v>128652</v>
      </c>
      <c r="J329" s="5618"/>
      <c r="K329" s="2305"/>
      <c r="L329" s="2305"/>
      <c r="M329" s="2308"/>
      <c r="N329" s="2309"/>
      <c r="O329" s="2309"/>
      <c r="P329" s="2305"/>
      <c r="Q329" s="2305"/>
      <c r="R329" s="2307">
        <v>128652</v>
      </c>
      <c r="S329" s="2307">
        <v>128652</v>
      </c>
      <c r="T329" s="2305"/>
    </row>
    <row r="330" spans="1:20" ht="23.25" customHeight="1" outlineLevel="1" x14ac:dyDescent="0.2">
      <c r="A330" s="5617" t="s">
        <v>2939</v>
      </c>
      <c r="B330" s="5617"/>
      <c r="C330" s="2344">
        <v>1516</v>
      </c>
      <c r="D330" s="2304" t="s">
        <v>2940</v>
      </c>
      <c r="E330" s="2305" t="s">
        <v>2941</v>
      </c>
      <c r="F330" s="2306">
        <v>36</v>
      </c>
      <c r="G330" s="2306"/>
      <c r="H330" s="2305"/>
      <c r="I330" s="2345"/>
      <c r="J330" s="2346"/>
      <c r="K330" s="2305"/>
      <c r="L330" s="2307">
        <v>50196.01</v>
      </c>
      <c r="M330" s="2309">
        <v>12548.97</v>
      </c>
      <c r="N330" s="2309">
        <f>M330</f>
        <v>12548.97</v>
      </c>
      <c r="O330" s="2309"/>
      <c r="P330" s="2305"/>
      <c r="Q330" s="2305"/>
      <c r="R330" s="2307">
        <v>50196.01</v>
      </c>
      <c r="S330" s="2307">
        <v>12548.97</v>
      </c>
      <c r="T330" s="2307">
        <v>37647.040000000001</v>
      </c>
    </row>
    <row r="331" spans="1:20" s="2326" customFormat="1" ht="12" customHeight="1" outlineLevel="1" x14ac:dyDescent="0.2">
      <c r="A331" s="5626" t="s">
        <v>2942</v>
      </c>
      <c r="B331" s="5626"/>
      <c r="C331" s="2349">
        <v>2366</v>
      </c>
      <c r="D331" s="2321" t="s">
        <v>2943</v>
      </c>
      <c r="E331" s="2322" t="s">
        <v>2944</v>
      </c>
      <c r="F331" s="2323">
        <v>84</v>
      </c>
      <c r="G331" s="2323"/>
      <c r="H331" s="2324">
        <v>35570.17</v>
      </c>
      <c r="I331" s="5627">
        <v>35569.800000000003</v>
      </c>
      <c r="J331" s="5627"/>
      <c r="K331" s="2325">
        <v>0.37</v>
      </c>
      <c r="L331" s="2322"/>
      <c r="M331" s="2325">
        <v>0.37</v>
      </c>
      <c r="N331" s="2324">
        <f>M331</f>
        <v>0.37</v>
      </c>
      <c r="O331" s="2324"/>
      <c r="P331" s="2322"/>
      <c r="Q331" s="2322"/>
      <c r="R331" s="2324">
        <v>35570.17</v>
      </c>
      <c r="S331" s="2324">
        <v>35570.17</v>
      </c>
      <c r="T331" s="2322"/>
    </row>
    <row r="332" spans="1:20" ht="12" customHeight="1" outlineLevel="1" x14ac:dyDescent="0.2">
      <c r="A332" s="5617" t="s">
        <v>2945</v>
      </c>
      <c r="B332" s="5617"/>
      <c r="C332" s="2303">
        <v>155</v>
      </c>
      <c r="D332" s="2304" t="s">
        <v>2196</v>
      </c>
      <c r="E332" s="2305" t="s">
        <v>2946</v>
      </c>
      <c r="F332" s="2306">
        <v>120</v>
      </c>
      <c r="G332" s="2306"/>
      <c r="H332" s="2307">
        <v>257966</v>
      </c>
      <c r="I332" s="5618">
        <v>257966</v>
      </c>
      <c r="J332" s="5618"/>
      <c r="K332" s="2305"/>
      <c r="L332" s="2305"/>
      <c r="M332" s="2308"/>
      <c r="N332" s="2309"/>
      <c r="O332" s="2309"/>
      <c r="P332" s="2305"/>
      <c r="Q332" s="2305"/>
      <c r="R332" s="2307">
        <v>257966</v>
      </c>
      <c r="S332" s="2307">
        <v>257966</v>
      </c>
      <c r="T332" s="2305"/>
    </row>
    <row r="333" spans="1:20" ht="34.5" customHeight="1" outlineLevel="1" x14ac:dyDescent="0.2">
      <c r="A333" s="5617" t="s">
        <v>2947</v>
      </c>
      <c r="B333" s="5617"/>
      <c r="C333" s="2344">
        <v>1505</v>
      </c>
      <c r="D333" s="2304" t="s">
        <v>2553</v>
      </c>
      <c r="E333" s="2305" t="s">
        <v>2948</v>
      </c>
      <c r="F333" s="2306">
        <v>60</v>
      </c>
      <c r="G333" s="2306"/>
      <c r="H333" s="2307">
        <v>503750</v>
      </c>
      <c r="I333" s="5618">
        <v>83958.3</v>
      </c>
      <c r="J333" s="5618"/>
      <c r="K333" s="2307">
        <v>419791.7</v>
      </c>
      <c r="L333" s="2305"/>
      <c r="M333" s="2309">
        <v>100749.96</v>
      </c>
      <c r="N333" s="2309">
        <f>M333</f>
        <v>100749.96</v>
      </c>
      <c r="O333" s="2309"/>
      <c r="P333" s="2305"/>
      <c r="Q333" s="2305"/>
      <c r="R333" s="2307">
        <v>503750</v>
      </c>
      <c r="S333" s="2307">
        <v>184708.26</v>
      </c>
      <c r="T333" s="2307">
        <v>319041.74</v>
      </c>
    </row>
    <row r="334" spans="1:20" ht="12" customHeight="1" outlineLevel="1" x14ac:dyDescent="0.2">
      <c r="A334" s="5617" t="s">
        <v>2949</v>
      </c>
      <c r="B334" s="5617"/>
      <c r="C334" s="2303">
        <v>679</v>
      </c>
      <c r="D334" s="2304" t="s">
        <v>2857</v>
      </c>
      <c r="E334" s="2305" t="s">
        <v>2950</v>
      </c>
      <c r="F334" s="2306">
        <v>60</v>
      </c>
      <c r="G334" s="2306"/>
      <c r="H334" s="2307">
        <v>62032.04</v>
      </c>
      <c r="I334" s="5618">
        <v>42388.67</v>
      </c>
      <c r="J334" s="5618"/>
      <c r="K334" s="2307">
        <v>19643.37</v>
      </c>
      <c r="L334" s="2305"/>
      <c r="M334" s="2308"/>
      <c r="N334" s="2309"/>
      <c r="O334" s="2309"/>
      <c r="P334" s="2305"/>
      <c r="Q334" s="2305"/>
      <c r="R334" s="2307">
        <v>62032.04</v>
      </c>
      <c r="S334" s="2307">
        <v>42388.67</v>
      </c>
      <c r="T334" s="2307">
        <v>19643.37</v>
      </c>
    </row>
    <row r="335" spans="1:20" ht="12" customHeight="1" outlineLevel="1" x14ac:dyDescent="0.2">
      <c r="A335" s="5617" t="s">
        <v>2951</v>
      </c>
      <c r="B335" s="5617"/>
      <c r="C335" s="2303">
        <v>132</v>
      </c>
      <c r="D335" s="2304" t="s">
        <v>2952</v>
      </c>
      <c r="E335" s="2305" t="s">
        <v>2953</v>
      </c>
      <c r="F335" s="2306">
        <v>240</v>
      </c>
      <c r="G335" s="2306"/>
      <c r="H335" s="2307">
        <v>4055</v>
      </c>
      <c r="I335" s="5618">
        <v>4055</v>
      </c>
      <c r="J335" s="5618"/>
      <c r="K335" s="2305"/>
      <c r="L335" s="2305"/>
      <c r="M335" s="2308"/>
      <c r="N335" s="2309"/>
      <c r="O335" s="2309"/>
      <c r="P335" s="2305"/>
      <c r="Q335" s="2305"/>
      <c r="R335" s="2307">
        <v>4055</v>
      </c>
      <c r="S335" s="2307">
        <v>4055</v>
      </c>
      <c r="T335" s="2305"/>
    </row>
    <row r="336" spans="1:20" ht="12" customHeight="1" outlineLevel="1" x14ac:dyDescent="0.2">
      <c r="A336" s="5617" t="s">
        <v>2954</v>
      </c>
      <c r="B336" s="5617"/>
      <c r="C336" s="2303">
        <v>550</v>
      </c>
      <c r="D336" s="2304" t="s">
        <v>2718</v>
      </c>
      <c r="E336" s="2305" t="s">
        <v>2955</v>
      </c>
      <c r="F336" s="2306">
        <v>273</v>
      </c>
      <c r="G336" s="2306"/>
      <c r="H336" s="2307">
        <v>14500</v>
      </c>
      <c r="I336" s="5618">
        <v>14500</v>
      </c>
      <c r="J336" s="5618"/>
      <c r="K336" s="2305"/>
      <c r="L336" s="2305"/>
      <c r="M336" s="2308"/>
      <c r="N336" s="2309"/>
      <c r="O336" s="2309"/>
      <c r="P336" s="2305"/>
      <c r="Q336" s="2305"/>
      <c r="R336" s="2307">
        <v>14500</v>
      </c>
      <c r="S336" s="2307">
        <v>14500</v>
      </c>
      <c r="T336" s="2305"/>
    </row>
    <row r="337" spans="1:20" ht="12" customHeight="1" outlineLevel="1" x14ac:dyDescent="0.2">
      <c r="A337" s="5617" t="s">
        <v>2956</v>
      </c>
      <c r="B337" s="5617"/>
      <c r="C337" s="2310">
        <v>2291</v>
      </c>
      <c r="D337" s="2304" t="s">
        <v>2957</v>
      </c>
      <c r="E337" s="2305" t="s">
        <v>2958</v>
      </c>
      <c r="F337" s="2306">
        <v>84</v>
      </c>
      <c r="G337" s="2306"/>
      <c r="H337" s="2305"/>
      <c r="I337" s="2345"/>
      <c r="J337" s="2346"/>
      <c r="K337" s="2305"/>
      <c r="L337" s="2305"/>
      <c r="M337" s="2308"/>
      <c r="N337" s="2309"/>
      <c r="O337" s="2309"/>
      <c r="P337" s="2305"/>
      <c r="Q337" s="2305"/>
      <c r="R337" s="2305"/>
      <c r="S337" s="2305"/>
      <c r="T337" s="2305"/>
    </row>
    <row r="338" spans="1:20" ht="12" customHeight="1" outlineLevel="1" x14ac:dyDescent="0.2">
      <c r="A338" s="5617" t="s">
        <v>2959</v>
      </c>
      <c r="B338" s="5617"/>
      <c r="C338" s="2310">
        <v>2305</v>
      </c>
      <c r="D338" s="2304" t="s">
        <v>2960</v>
      </c>
      <c r="E338" s="2305" t="s">
        <v>2961</v>
      </c>
      <c r="F338" s="2306">
        <v>84</v>
      </c>
      <c r="G338" s="2306"/>
      <c r="H338" s="2307">
        <v>41084.76</v>
      </c>
      <c r="I338" s="5618">
        <v>41084.76</v>
      </c>
      <c r="J338" s="5618"/>
      <c r="K338" s="2305"/>
      <c r="L338" s="2305"/>
      <c r="M338" s="2308"/>
      <c r="N338" s="2309"/>
      <c r="O338" s="2309"/>
      <c r="P338" s="2305"/>
      <c r="Q338" s="2305"/>
      <c r="R338" s="2307">
        <v>41084.76</v>
      </c>
      <c r="S338" s="2307">
        <v>41084.76</v>
      </c>
      <c r="T338" s="2305"/>
    </row>
    <row r="339" spans="1:20" ht="12" customHeight="1" outlineLevel="1" x14ac:dyDescent="0.2">
      <c r="A339" s="5617" t="s">
        <v>2934</v>
      </c>
      <c r="B339" s="5617"/>
      <c r="C339" s="2303">
        <v>588</v>
      </c>
      <c r="D339" s="2304" t="s">
        <v>2935</v>
      </c>
      <c r="E339" s="2305" t="s">
        <v>2936</v>
      </c>
      <c r="F339" s="2306">
        <v>1</v>
      </c>
      <c r="G339" s="2306"/>
      <c r="H339" s="2307">
        <v>6325</v>
      </c>
      <c r="I339" s="5618">
        <v>6325</v>
      </c>
      <c r="J339" s="5618"/>
      <c r="K339" s="2305"/>
      <c r="L339" s="2305"/>
      <c r="M339" s="2308"/>
      <c r="N339" s="2309"/>
      <c r="O339" s="2309"/>
      <c r="P339" s="2305"/>
      <c r="Q339" s="2305"/>
      <c r="R339" s="2307">
        <v>6325</v>
      </c>
      <c r="S339" s="2307">
        <v>6325</v>
      </c>
      <c r="T339" s="2305"/>
    </row>
    <row r="340" spans="1:20" ht="12" customHeight="1" outlineLevel="1" x14ac:dyDescent="0.2">
      <c r="A340" s="5617" t="s">
        <v>2962</v>
      </c>
      <c r="B340" s="5617"/>
      <c r="C340" s="2303">
        <v>378</v>
      </c>
      <c r="D340" s="2304" t="s">
        <v>2222</v>
      </c>
      <c r="E340" s="2305" t="s">
        <v>2963</v>
      </c>
      <c r="F340" s="2306">
        <v>84</v>
      </c>
      <c r="G340" s="2306"/>
      <c r="H340" s="2307">
        <v>23232</v>
      </c>
      <c r="I340" s="5618">
        <v>23232</v>
      </c>
      <c r="J340" s="5618"/>
      <c r="K340" s="2305"/>
      <c r="L340" s="2305"/>
      <c r="M340" s="2308"/>
      <c r="N340" s="2309"/>
      <c r="O340" s="2309"/>
      <c r="P340" s="2305"/>
      <c r="Q340" s="2305"/>
      <c r="R340" s="2307">
        <v>23232</v>
      </c>
      <c r="S340" s="2307">
        <v>23232</v>
      </c>
      <c r="T340" s="2305"/>
    </row>
    <row r="341" spans="1:20" ht="12" customHeight="1" outlineLevel="1" x14ac:dyDescent="0.2">
      <c r="A341" s="5617" t="s">
        <v>2964</v>
      </c>
      <c r="B341" s="5617"/>
      <c r="C341" s="2303">
        <v>341</v>
      </c>
      <c r="D341" s="2304" t="s">
        <v>2965</v>
      </c>
      <c r="E341" s="2305" t="s">
        <v>2966</v>
      </c>
      <c r="F341" s="2306">
        <v>273</v>
      </c>
      <c r="G341" s="2306"/>
      <c r="H341" s="2307">
        <v>8239</v>
      </c>
      <c r="I341" s="5618">
        <v>8239</v>
      </c>
      <c r="J341" s="5618"/>
      <c r="K341" s="2305"/>
      <c r="L341" s="2305"/>
      <c r="M341" s="2308"/>
      <c r="N341" s="2309"/>
      <c r="O341" s="2309"/>
      <c r="P341" s="2305"/>
      <c r="Q341" s="2305"/>
      <c r="R341" s="2307">
        <v>8239</v>
      </c>
      <c r="S341" s="2307">
        <v>8239</v>
      </c>
      <c r="T341" s="2305"/>
    </row>
    <row r="342" spans="1:20" ht="12" customHeight="1" outlineLevel="1" x14ac:dyDescent="0.2">
      <c r="A342" s="5617" t="s">
        <v>2967</v>
      </c>
      <c r="B342" s="5617"/>
      <c r="C342" s="2303">
        <v>296</v>
      </c>
      <c r="D342" s="2304" t="s">
        <v>2574</v>
      </c>
      <c r="E342" s="2305" t="s">
        <v>2968</v>
      </c>
      <c r="F342" s="2306">
        <v>115</v>
      </c>
      <c r="G342" s="2306"/>
      <c r="H342" s="2350">
        <v>10.199999999999999</v>
      </c>
      <c r="I342" s="5621">
        <v>10.199999999999999</v>
      </c>
      <c r="J342" s="5621"/>
      <c r="K342" s="2305"/>
      <c r="L342" s="2305"/>
      <c r="M342" s="2308"/>
      <c r="N342" s="2309"/>
      <c r="O342" s="2309"/>
      <c r="P342" s="2305"/>
      <c r="Q342" s="2305"/>
      <c r="R342" s="2350">
        <v>10.199999999999999</v>
      </c>
      <c r="S342" s="2350">
        <v>10.199999999999999</v>
      </c>
      <c r="T342" s="2305"/>
    </row>
    <row r="343" spans="1:20" ht="12" customHeight="1" outlineLevel="1" x14ac:dyDescent="0.2">
      <c r="A343" s="5617" t="s">
        <v>2969</v>
      </c>
      <c r="B343" s="5617"/>
      <c r="C343" s="2310">
        <v>1761</v>
      </c>
      <c r="D343" s="2304" t="s">
        <v>2675</v>
      </c>
      <c r="E343" s="2305" t="s">
        <v>2970</v>
      </c>
      <c r="F343" s="2306">
        <v>84</v>
      </c>
      <c r="G343" s="2306"/>
      <c r="H343" s="2307">
        <v>13898.31</v>
      </c>
      <c r="I343" s="5618">
        <v>13898.31</v>
      </c>
      <c r="J343" s="5618"/>
      <c r="K343" s="2305"/>
      <c r="L343" s="2305"/>
      <c r="M343" s="2308"/>
      <c r="N343" s="2309"/>
      <c r="O343" s="2309"/>
      <c r="P343" s="2305"/>
      <c r="Q343" s="2305"/>
      <c r="R343" s="2307">
        <v>13898.31</v>
      </c>
      <c r="S343" s="2307">
        <v>13898.31</v>
      </c>
      <c r="T343" s="2305"/>
    </row>
    <row r="344" spans="1:20" ht="12" customHeight="1" outlineLevel="1" x14ac:dyDescent="0.2">
      <c r="A344" s="5617" t="s">
        <v>2971</v>
      </c>
      <c r="B344" s="5617"/>
      <c r="C344" s="2310">
        <v>2386</v>
      </c>
      <c r="D344" s="2304" t="s">
        <v>2655</v>
      </c>
      <c r="E344" s="2305" t="s">
        <v>2972</v>
      </c>
      <c r="F344" s="2306">
        <v>120</v>
      </c>
      <c r="G344" s="2306"/>
      <c r="H344" s="2307">
        <v>108898.31</v>
      </c>
      <c r="I344" s="5618">
        <v>68969.240000000005</v>
      </c>
      <c r="J344" s="5618"/>
      <c r="K344" s="2307">
        <v>39929.07</v>
      </c>
      <c r="L344" s="2305"/>
      <c r="M344" s="2309">
        <v>10889.88</v>
      </c>
      <c r="N344" s="2309">
        <f>M344</f>
        <v>10889.88</v>
      </c>
      <c r="O344" s="2309"/>
      <c r="P344" s="2305"/>
      <c r="Q344" s="2305"/>
      <c r="R344" s="2307">
        <v>108898.31</v>
      </c>
      <c r="S344" s="2307">
        <v>79859.12</v>
      </c>
      <c r="T344" s="2307">
        <v>29039.19</v>
      </c>
    </row>
    <row r="345" spans="1:20" ht="12" customHeight="1" outlineLevel="1" x14ac:dyDescent="0.2">
      <c r="A345" s="5617" t="s">
        <v>2973</v>
      </c>
      <c r="B345" s="5617"/>
      <c r="C345" s="2303">
        <v>200</v>
      </c>
      <c r="D345" s="2304" t="s">
        <v>2974</v>
      </c>
      <c r="E345" s="2305" t="s">
        <v>2975</v>
      </c>
      <c r="F345" s="2306">
        <v>273</v>
      </c>
      <c r="G345" s="2306"/>
      <c r="H345" s="2307">
        <v>217260</v>
      </c>
      <c r="I345" s="5618">
        <v>217260</v>
      </c>
      <c r="J345" s="5618"/>
      <c r="K345" s="2305"/>
      <c r="L345" s="2305"/>
      <c r="M345" s="2308"/>
      <c r="N345" s="2309"/>
      <c r="O345" s="2309"/>
      <c r="P345" s="2305"/>
      <c r="Q345" s="2305"/>
      <c r="R345" s="2307">
        <v>217260</v>
      </c>
      <c r="S345" s="2307">
        <v>217260</v>
      </c>
      <c r="T345" s="2305"/>
    </row>
    <row r="346" spans="1:20" ht="12" customHeight="1" outlineLevel="1" x14ac:dyDescent="0.2">
      <c r="A346" s="5617" t="s">
        <v>2623</v>
      </c>
      <c r="B346" s="5617"/>
      <c r="C346" s="2303">
        <v>400</v>
      </c>
      <c r="D346" s="2304" t="s">
        <v>2976</v>
      </c>
      <c r="E346" s="2305" t="s">
        <v>2977</v>
      </c>
      <c r="F346" s="2306">
        <v>144</v>
      </c>
      <c r="G346" s="2306"/>
      <c r="H346" s="2307">
        <v>1200</v>
      </c>
      <c r="I346" s="5618">
        <v>1200</v>
      </c>
      <c r="J346" s="5618"/>
      <c r="K346" s="2305"/>
      <c r="L346" s="2305"/>
      <c r="M346" s="2308"/>
      <c r="N346" s="2309"/>
      <c r="O346" s="2309"/>
      <c r="P346" s="2305"/>
      <c r="Q346" s="2305"/>
      <c r="R346" s="2307">
        <v>1200</v>
      </c>
      <c r="S346" s="2307">
        <v>1200</v>
      </c>
      <c r="T346" s="2305"/>
    </row>
    <row r="347" spans="1:20" ht="12" customHeight="1" outlineLevel="1" x14ac:dyDescent="0.2">
      <c r="A347" s="5617" t="s">
        <v>2978</v>
      </c>
      <c r="B347" s="5617"/>
      <c r="C347" s="2303">
        <v>354</v>
      </c>
      <c r="D347" s="2304" t="s">
        <v>2598</v>
      </c>
      <c r="E347" s="2305" t="s">
        <v>2979</v>
      </c>
      <c r="F347" s="2306">
        <v>96</v>
      </c>
      <c r="G347" s="2306"/>
      <c r="H347" s="2307">
        <v>7867</v>
      </c>
      <c r="I347" s="5618">
        <v>7867</v>
      </c>
      <c r="J347" s="5618"/>
      <c r="K347" s="2305"/>
      <c r="L347" s="2305"/>
      <c r="M347" s="2308"/>
      <c r="N347" s="2309"/>
      <c r="O347" s="2309"/>
      <c r="P347" s="2305"/>
      <c r="Q347" s="2305"/>
      <c r="R347" s="2307">
        <v>7867</v>
      </c>
      <c r="S347" s="2307">
        <v>7867</v>
      </c>
      <c r="T347" s="2305"/>
    </row>
    <row r="348" spans="1:20" ht="12" customHeight="1" outlineLevel="1" x14ac:dyDescent="0.2">
      <c r="A348" s="5617" t="s">
        <v>2980</v>
      </c>
      <c r="B348" s="5617"/>
      <c r="C348" s="2303">
        <v>528</v>
      </c>
      <c r="D348" s="2304" t="s">
        <v>2574</v>
      </c>
      <c r="E348" s="2305" t="s">
        <v>2981</v>
      </c>
      <c r="F348" s="2306">
        <v>96</v>
      </c>
      <c r="G348" s="2306"/>
      <c r="H348" s="2307">
        <v>29250</v>
      </c>
      <c r="I348" s="5618">
        <v>29250</v>
      </c>
      <c r="J348" s="5618"/>
      <c r="K348" s="2305"/>
      <c r="L348" s="2305"/>
      <c r="M348" s="2308"/>
      <c r="N348" s="2309"/>
      <c r="O348" s="2309"/>
      <c r="P348" s="2305"/>
      <c r="Q348" s="2305"/>
      <c r="R348" s="2307">
        <v>29250</v>
      </c>
      <c r="S348" s="2307">
        <v>29250</v>
      </c>
      <c r="T348" s="2305"/>
    </row>
    <row r="349" spans="1:20" ht="12" customHeight="1" outlineLevel="1" x14ac:dyDescent="0.2">
      <c r="A349" s="5617" t="s">
        <v>2982</v>
      </c>
      <c r="B349" s="5617"/>
      <c r="C349" s="2310">
        <v>2425</v>
      </c>
      <c r="D349" s="2304" t="s">
        <v>2983</v>
      </c>
      <c r="E349" s="2305" t="s">
        <v>2984</v>
      </c>
      <c r="F349" s="2306">
        <v>84</v>
      </c>
      <c r="G349" s="2306"/>
      <c r="H349" s="2307">
        <v>88800</v>
      </c>
      <c r="I349" s="5618">
        <v>69771.240000000005</v>
      </c>
      <c r="J349" s="5618"/>
      <c r="K349" s="2307">
        <v>19028.759999999998</v>
      </c>
      <c r="L349" s="2305"/>
      <c r="M349" s="2309">
        <v>12685.68</v>
      </c>
      <c r="N349" s="2309">
        <f>M349</f>
        <v>12685.68</v>
      </c>
      <c r="O349" s="2309"/>
      <c r="P349" s="2305"/>
      <c r="Q349" s="2305"/>
      <c r="R349" s="2307">
        <v>88800</v>
      </c>
      <c r="S349" s="2307">
        <v>82456.92</v>
      </c>
      <c r="T349" s="2307">
        <v>6343.08</v>
      </c>
    </row>
    <row r="350" spans="1:20" ht="12" customHeight="1" outlineLevel="1" x14ac:dyDescent="0.2">
      <c r="A350" s="5617" t="s">
        <v>2985</v>
      </c>
      <c r="B350" s="5617"/>
      <c r="C350" s="2303">
        <v>419</v>
      </c>
      <c r="D350" s="2304" t="s">
        <v>2222</v>
      </c>
      <c r="E350" s="2305" t="s">
        <v>2986</v>
      </c>
      <c r="F350" s="2306">
        <v>96</v>
      </c>
      <c r="G350" s="2306"/>
      <c r="H350" s="2307">
        <v>32590</v>
      </c>
      <c r="I350" s="5618">
        <v>32590</v>
      </c>
      <c r="J350" s="5618"/>
      <c r="K350" s="2305"/>
      <c r="L350" s="2305"/>
      <c r="M350" s="2308"/>
      <c r="N350" s="2309"/>
      <c r="O350" s="2309"/>
      <c r="P350" s="2305"/>
      <c r="Q350" s="2305"/>
      <c r="R350" s="2307">
        <v>32590</v>
      </c>
      <c r="S350" s="2307">
        <v>32590</v>
      </c>
      <c r="T350" s="2305"/>
    </row>
    <row r="351" spans="1:20" ht="12" customHeight="1" outlineLevel="1" x14ac:dyDescent="0.2">
      <c r="A351" s="5617" t="s">
        <v>2987</v>
      </c>
      <c r="B351" s="5617"/>
      <c r="C351" s="2303">
        <v>204</v>
      </c>
      <c r="D351" s="2304" t="s">
        <v>2988</v>
      </c>
      <c r="E351" s="2305" t="s">
        <v>2989</v>
      </c>
      <c r="F351" s="2306">
        <v>96</v>
      </c>
      <c r="G351" s="2306"/>
      <c r="H351" s="2307">
        <v>16100</v>
      </c>
      <c r="I351" s="5618">
        <v>16100</v>
      </c>
      <c r="J351" s="5618"/>
      <c r="K351" s="2305"/>
      <c r="L351" s="2305"/>
      <c r="M351" s="2308"/>
      <c r="N351" s="2309"/>
      <c r="O351" s="2309"/>
      <c r="P351" s="2305"/>
      <c r="Q351" s="2305"/>
      <c r="R351" s="2307">
        <v>16100</v>
      </c>
      <c r="S351" s="2307">
        <v>16100</v>
      </c>
      <c r="T351" s="2305"/>
    </row>
    <row r="352" spans="1:20" s="2326" customFormat="1" ht="12" customHeight="1" outlineLevel="1" x14ac:dyDescent="0.2">
      <c r="A352" s="5626" t="s">
        <v>2990</v>
      </c>
      <c r="B352" s="5626"/>
      <c r="C352" s="2349">
        <v>2384</v>
      </c>
      <c r="D352" s="2321" t="s">
        <v>2616</v>
      </c>
      <c r="E352" s="2322" t="s">
        <v>2991</v>
      </c>
      <c r="F352" s="2323">
        <v>84</v>
      </c>
      <c r="G352" s="2323"/>
      <c r="H352" s="2324">
        <v>23401.27</v>
      </c>
      <c r="I352" s="5627">
        <v>21172.84</v>
      </c>
      <c r="J352" s="5627"/>
      <c r="K352" s="2324">
        <v>2228.4299999999998</v>
      </c>
      <c r="L352" s="2322"/>
      <c r="M352" s="2324">
        <v>2228.4299999999998</v>
      </c>
      <c r="N352" s="2324">
        <f>M352</f>
        <v>2228.4299999999998</v>
      </c>
      <c r="O352" s="2324"/>
      <c r="P352" s="2322"/>
      <c r="Q352" s="2322"/>
      <c r="R352" s="2324">
        <v>23401.27</v>
      </c>
      <c r="S352" s="2324">
        <v>23401.27</v>
      </c>
      <c r="T352" s="2322"/>
    </row>
    <row r="353" spans="1:20" ht="12" customHeight="1" outlineLevel="1" x14ac:dyDescent="0.2">
      <c r="A353" s="5617" t="s">
        <v>2992</v>
      </c>
      <c r="B353" s="5617"/>
      <c r="C353" s="2303">
        <v>297</v>
      </c>
      <c r="D353" s="2304" t="s">
        <v>2574</v>
      </c>
      <c r="E353" s="2305" t="s">
        <v>2993</v>
      </c>
      <c r="F353" s="2306">
        <v>96</v>
      </c>
      <c r="G353" s="2306"/>
      <c r="H353" s="2350">
        <v>450</v>
      </c>
      <c r="I353" s="5621">
        <v>450</v>
      </c>
      <c r="J353" s="5621"/>
      <c r="K353" s="2305"/>
      <c r="L353" s="2305"/>
      <c r="M353" s="2308"/>
      <c r="N353" s="2309"/>
      <c r="O353" s="2309"/>
      <c r="P353" s="2305"/>
      <c r="Q353" s="2305"/>
      <c r="R353" s="2350">
        <v>450</v>
      </c>
      <c r="S353" s="2350">
        <v>450</v>
      </c>
      <c r="T353" s="2305"/>
    </row>
    <row r="354" spans="1:20" ht="12" customHeight="1" outlineLevel="1" x14ac:dyDescent="0.2">
      <c r="A354" s="5617" t="s">
        <v>2994</v>
      </c>
      <c r="B354" s="5617"/>
      <c r="C354" s="2303">
        <v>393</v>
      </c>
      <c r="D354" s="2304" t="s">
        <v>2995</v>
      </c>
      <c r="E354" s="2305" t="s">
        <v>2996</v>
      </c>
      <c r="F354" s="2306">
        <v>96</v>
      </c>
      <c r="G354" s="2306"/>
      <c r="H354" s="2307">
        <v>2942</v>
      </c>
      <c r="I354" s="5618">
        <v>2942</v>
      </c>
      <c r="J354" s="5618"/>
      <c r="K354" s="2305"/>
      <c r="L354" s="2305"/>
      <c r="M354" s="2308"/>
      <c r="N354" s="2309"/>
      <c r="O354" s="2309"/>
      <c r="P354" s="2305"/>
      <c r="Q354" s="2305"/>
      <c r="R354" s="2307">
        <v>2942</v>
      </c>
      <c r="S354" s="2307">
        <v>2942</v>
      </c>
      <c r="T354" s="2305"/>
    </row>
    <row r="355" spans="1:20" ht="12" customHeight="1" outlineLevel="1" x14ac:dyDescent="0.2">
      <c r="A355" s="5617" t="s">
        <v>2997</v>
      </c>
      <c r="B355" s="5617"/>
      <c r="C355" s="2303">
        <v>443</v>
      </c>
      <c r="D355" s="2304" t="s">
        <v>2250</v>
      </c>
      <c r="E355" s="2305" t="s">
        <v>2998</v>
      </c>
      <c r="F355" s="2306">
        <v>96</v>
      </c>
      <c r="G355" s="2306"/>
      <c r="H355" s="2307">
        <v>5760</v>
      </c>
      <c r="I355" s="5618">
        <v>5760</v>
      </c>
      <c r="J355" s="5618"/>
      <c r="K355" s="2305"/>
      <c r="L355" s="2305"/>
      <c r="M355" s="2308"/>
      <c r="N355" s="2309"/>
      <c r="O355" s="2309"/>
      <c r="P355" s="2305"/>
      <c r="Q355" s="2305"/>
      <c r="R355" s="2307">
        <v>5760</v>
      </c>
      <c r="S355" s="2307">
        <v>5760</v>
      </c>
      <c r="T355" s="2305"/>
    </row>
    <row r="356" spans="1:20" ht="23.25" customHeight="1" outlineLevel="1" x14ac:dyDescent="0.2">
      <c r="A356" s="5617" t="s">
        <v>2999</v>
      </c>
      <c r="B356" s="5617"/>
      <c r="C356" s="2310">
        <v>2454</v>
      </c>
      <c r="D356" s="2304" t="s">
        <v>3000</v>
      </c>
      <c r="E356" s="2305" t="s">
        <v>3001</v>
      </c>
      <c r="F356" s="2306">
        <v>84</v>
      </c>
      <c r="G356" s="2306"/>
      <c r="H356" s="2307">
        <v>60983.05</v>
      </c>
      <c r="I356" s="5618">
        <v>37025.49</v>
      </c>
      <c r="J356" s="5618"/>
      <c r="K356" s="2307">
        <v>23957.56</v>
      </c>
      <c r="L356" s="2305"/>
      <c r="M356" s="2309">
        <v>8711.8799999999992</v>
      </c>
      <c r="N356" s="2309">
        <f>M356</f>
        <v>8711.8799999999992</v>
      </c>
      <c r="O356" s="2309"/>
      <c r="P356" s="2305"/>
      <c r="Q356" s="2305"/>
      <c r="R356" s="2307">
        <v>60983.05</v>
      </c>
      <c r="S356" s="2307">
        <v>45737.37</v>
      </c>
      <c r="T356" s="2307">
        <v>15245.68</v>
      </c>
    </row>
    <row r="357" spans="1:20" ht="12" customHeight="1" outlineLevel="1" x14ac:dyDescent="0.2">
      <c r="A357" s="5617" t="s">
        <v>3002</v>
      </c>
      <c r="B357" s="5617"/>
      <c r="C357" s="2303">
        <v>684</v>
      </c>
      <c r="D357" s="2304" t="s">
        <v>2785</v>
      </c>
      <c r="E357" s="2305" t="s">
        <v>3003</v>
      </c>
      <c r="F357" s="2306">
        <v>84</v>
      </c>
      <c r="G357" s="2306"/>
      <c r="H357" s="2307">
        <v>42260</v>
      </c>
      <c r="I357" s="5618">
        <v>42260</v>
      </c>
      <c r="J357" s="5618"/>
      <c r="K357" s="2305"/>
      <c r="L357" s="2305"/>
      <c r="M357" s="2308"/>
      <c r="N357" s="2309"/>
      <c r="O357" s="2309"/>
      <c r="P357" s="2305"/>
      <c r="Q357" s="2305"/>
      <c r="R357" s="2307">
        <v>42260</v>
      </c>
      <c r="S357" s="2307">
        <v>42260</v>
      </c>
      <c r="T357" s="2305"/>
    </row>
    <row r="358" spans="1:20" ht="12" customHeight="1" outlineLevel="1" x14ac:dyDescent="0.2">
      <c r="A358" s="5617" t="s">
        <v>3004</v>
      </c>
      <c r="B358" s="5617"/>
      <c r="C358" s="2303">
        <v>685</v>
      </c>
      <c r="D358" s="2304" t="s">
        <v>2785</v>
      </c>
      <c r="E358" s="2305" t="s">
        <v>3005</v>
      </c>
      <c r="F358" s="2306">
        <v>84</v>
      </c>
      <c r="G358" s="2306"/>
      <c r="H358" s="2307">
        <v>107420</v>
      </c>
      <c r="I358" s="5618">
        <v>107420</v>
      </c>
      <c r="J358" s="5618"/>
      <c r="K358" s="2305"/>
      <c r="L358" s="2305"/>
      <c r="M358" s="2308"/>
      <c r="N358" s="2309"/>
      <c r="O358" s="2309"/>
      <c r="P358" s="2305"/>
      <c r="Q358" s="2305"/>
      <c r="R358" s="2307">
        <v>107420</v>
      </c>
      <c r="S358" s="2307">
        <v>107420</v>
      </c>
      <c r="T358" s="2305"/>
    </row>
    <row r="359" spans="1:20" ht="12" customHeight="1" outlineLevel="1" x14ac:dyDescent="0.2">
      <c r="A359" s="5617" t="s">
        <v>3006</v>
      </c>
      <c r="B359" s="5617"/>
      <c r="C359" s="2303">
        <v>683</v>
      </c>
      <c r="D359" s="2304" t="s">
        <v>3007</v>
      </c>
      <c r="E359" s="2305" t="s">
        <v>3003</v>
      </c>
      <c r="F359" s="2306">
        <v>84</v>
      </c>
      <c r="G359" s="2306"/>
      <c r="H359" s="2307">
        <v>84520</v>
      </c>
      <c r="I359" s="5618">
        <v>84520</v>
      </c>
      <c r="J359" s="5618"/>
      <c r="K359" s="2305"/>
      <c r="L359" s="2305"/>
      <c r="M359" s="2308"/>
      <c r="N359" s="2309"/>
      <c r="O359" s="2309"/>
      <c r="P359" s="2305"/>
      <c r="Q359" s="2305"/>
      <c r="R359" s="2307">
        <v>84520</v>
      </c>
      <c r="S359" s="2307">
        <v>84520</v>
      </c>
      <c r="T359" s="2305"/>
    </row>
    <row r="360" spans="1:20" ht="12" customHeight="1" outlineLevel="1" x14ac:dyDescent="0.2">
      <c r="A360" s="5617" t="s">
        <v>3008</v>
      </c>
      <c r="B360" s="5617"/>
      <c r="C360" s="2303">
        <v>353</v>
      </c>
      <c r="D360" s="2304" t="s">
        <v>2595</v>
      </c>
      <c r="E360" s="2305" t="s">
        <v>3009</v>
      </c>
      <c r="F360" s="2306">
        <v>96</v>
      </c>
      <c r="G360" s="2306"/>
      <c r="H360" s="2307">
        <v>11207</v>
      </c>
      <c r="I360" s="5618">
        <v>11207</v>
      </c>
      <c r="J360" s="5618"/>
      <c r="K360" s="2305"/>
      <c r="L360" s="2305"/>
      <c r="M360" s="2308"/>
      <c r="N360" s="2309"/>
      <c r="O360" s="2309"/>
      <c r="P360" s="2305"/>
      <c r="Q360" s="2305"/>
      <c r="R360" s="2307">
        <v>11207</v>
      </c>
      <c r="S360" s="2307">
        <v>11207</v>
      </c>
      <c r="T360" s="2305"/>
    </row>
    <row r="361" spans="1:20" ht="12" customHeight="1" outlineLevel="1" x14ac:dyDescent="0.2">
      <c r="A361" s="5617" t="s">
        <v>3010</v>
      </c>
      <c r="B361" s="5617"/>
      <c r="C361" s="2303">
        <v>556</v>
      </c>
      <c r="D361" s="2304" t="s">
        <v>2574</v>
      </c>
      <c r="E361" s="2305" t="s">
        <v>3011</v>
      </c>
      <c r="F361" s="2306">
        <v>96</v>
      </c>
      <c r="G361" s="2306"/>
      <c r="H361" s="2307">
        <v>11966</v>
      </c>
      <c r="I361" s="5618">
        <v>11966</v>
      </c>
      <c r="J361" s="5618"/>
      <c r="K361" s="2305"/>
      <c r="L361" s="2305"/>
      <c r="M361" s="2308"/>
      <c r="N361" s="2309"/>
      <c r="O361" s="2309"/>
      <c r="P361" s="2305"/>
      <c r="Q361" s="2305"/>
      <c r="R361" s="2307">
        <v>11966</v>
      </c>
      <c r="S361" s="2307">
        <v>11966</v>
      </c>
      <c r="T361" s="2305"/>
    </row>
    <row r="362" spans="1:20" ht="12" customHeight="1" outlineLevel="1" x14ac:dyDescent="0.2">
      <c r="A362" s="5617" t="s">
        <v>3012</v>
      </c>
      <c r="B362" s="5617"/>
      <c r="C362" s="2310">
        <v>2406</v>
      </c>
      <c r="D362" s="2304" t="s">
        <v>2569</v>
      </c>
      <c r="E362" s="2305" t="s">
        <v>3013</v>
      </c>
      <c r="F362" s="2306">
        <v>1</v>
      </c>
      <c r="G362" s="2306"/>
      <c r="H362" s="2305"/>
      <c r="I362" s="2345"/>
      <c r="J362" s="2346"/>
      <c r="K362" s="2305"/>
      <c r="L362" s="2305"/>
      <c r="M362" s="2308"/>
      <c r="N362" s="2309"/>
      <c r="O362" s="2309"/>
      <c r="P362" s="2305"/>
      <c r="Q362" s="2305"/>
      <c r="R362" s="2305"/>
      <c r="S362" s="2305"/>
      <c r="T362" s="2305"/>
    </row>
    <row r="363" spans="1:20" ht="12" customHeight="1" outlineLevel="1" x14ac:dyDescent="0.2">
      <c r="A363" s="5617" t="s">
        <v>3014</v>
      </c>
      <c r="B363" s="5617"/>
      <c r="C363" s="2303">
        <v>590</v>
      </c>
      <c r="D363" s="2304" t="s">
        <v>2773</v>
      </c>
      <c r="E363" s="2305" t="s">
        <v>3015</v>
      </c>
      <c r="F363" s="2306">
        <v>84</v>
      </c>
      <c r="G363" s="2306"/>
      <c r="H363" s="2307">
        <v>193334.05</v>
      </c>
      <c r="I363" s="5618">
        <v>193334.05</v>
      </c>
      <c r="J363" s="5618"/>
      <c r="K363" s="2305"/>
      <c r="L363" s="2305"/>
      <c r="M363" s="2308"/>
      <c r="N363" s="2309"/>
      <c r="O363" s="2309"/>
      <c r="P363" s="2305"/>
      <c r="Q363" s="2305"/>
      <c r="R363" s="2307">
        <v>193334.05</v>
      </c>
      <c r="S363" s="2307">
        <v>193334.05</v>
      </c>
      <c r="T363" s="2305"/>
    </row>
    <row r="364" spans="1:20" s="2326" customFormat="1" ht="23.25" customHeight="1" outlineLevel="1" x14ac:dyDescent="0.2">
      <c r="A364" s="5626" t="s">
        <v>3016</v>
      </c>
      <c r="B364" s="5626"/>
      <c r="C364" s="2349">
        <v>2397</v>
      </c>
      <c r="D364" s="2321" t="s">
        <v>3017</v>
      </c>
      <c r="E364" s="2322" t="s">
        <v>3018</v>
      </c>
      <c r="F364" s="2323">
        <v>84</v>
      </c>
      <c r="G364" s="2323"/>
      <c r="H364" s="2324">
        <v>32203.48</v>
      </c>
      <c r="I364" s="5627">
        <v>27602.639999999999</v>
      </c>
      <c r="J364" s="5627"/>
      <c r="K364" s="2324">
        <v>4600.84</v>
      </c>
      <c r="L364" s="2322"/>
      <c r="M364" s="2324">
        <v>3066.96</v>
      </c>
      <c r="N364" s="2324">
        <f>M364</f>
        <v>3066.96</v>
      </c>
      <c r="O364" s="2324"/>
      <c r="P364" s="2324">
        <v>32203.48</v>
      </c>
      <c r="Q364" s="2324">
        <v>30669.599999999999</v>
      </c>
      <c r="R364" s="2322"/>
      <c r="S364" s="2322"/>
      <c r="T364" s="2322"/>
    </row>
    <row r="365" spans="1:20" s="2326" customFormat="1" ht="23.25" customHeight="1" outlineLevel="1" x14ac:dyDescent="0.2">
      <c r="A365" s="5626" t="s">
        <v>3019</v>
      </c>
      <c r="B365" s="5626"/>
      <c r="C365" s="2349">
        <v>2387</v>
      </c>
      <c r="D365" s="2321" t="s">
        <v>3020</v>
      </c>
      <c r="E365" s="2322" t="s">
        <v>3021</v>
      </c>
      <c r="F365" s="2323">
        <v>84</v>
      </c>
      <c r="G365" s="2323"/>
      <c r="H365" s="2324">
        <v>12191.54</v>
      </c>
      <c r="I365" s="5627">
        <v>11030.64</v>
      </c>
      <c r="J365" s="5627"/>
      <c r="K365" s="2324">
        <v>1160.9000000000001</v>
      </c>
      <c r="L365" s="2322"/>
      <c r="M365" s="2324">
        <v>1160.9000000000001</v>
      </c>
      <c r="N365" s="2324">
        <f>M365</f>
        <v>1160.9000000000001</v>
      </c>
      <c r="O365" s="2324"/>
      <c r="P365" s="2322"/>
      <c r="Q365" s="2322"/>
      <c r="R365" s="2324">
        <v>12191.54</v>
      </c>
      <c r="S365" s="2324">
        <v>12191.54</v>
      </c>
      <c r="T365" s="2322"/>
    </row>
    <row r="366" spans="1:20" s="2326" customFormat="1" ht="12" customHeight="1" outlineLevel="1" x14ac:dyDescent="0.2">
      <c r="A366" s="5626" t="s">
        <v>3022</v>
      </c>
      <c r="B366" s="5626"/>
      <c r="C366" s="2349">
        <v>2388</v>
      </c>
      <c r="D366" s="2321" t="s">
        <v>3020</v>
      </c>
      <c r="E366" s="2322" t="s">
        <v>3023</v>
      </c>
      <c r="F366" s="2323">
        <v>84</v>
      </c>
      <c r="G366" s="2323"/>
      <c r="H366" s="2324">
        <v>21483.05</v>
      </c>
      <c r="I366" s="5627">
        <v>19437</v>
      </c>
      <c r="J366" s="5627"/>
      <c r="K366" s="2324">
        <v>2046.05</v>
      </c>
      <c r="L366" s="2322"/>
      <c r="M366" s="2324">
        <v>2046.05</v>
      </c>
      <c r="N366" s="2324">
        <f>M366</f>
        <v>2046.05</v>
      </c>
      <c r="O366" s="2324"/>
      <c r="P366" s="2322"/>
      <c r="Q366" s="2322"/>
      <c r="R366" s="2324">
        <v>21483.05</v>
      </c>
      <c r="S366" s="2324">
        <v>21483.05</v>
      </c>
      <c r="T366" s="2322"/>
    </row>
    <row r="367" spans="1:20" ht="23.25" customHeight="1" outlineLevel="1" x14ac:dyDescent="0.2">
      <c r="A367" s="5617" t="s">
        <v>3024</v>
      </c>
      <c r="B367" s="5617"/>
      <c r="C367" s="2310">
        <v>2420</v>
      </c>
      <c r="D367" s="2304" t="s">
        <v>2943</v>
      </c>
      <c r="E367" s="2305" t="s">
        <v>3025</v>
      </c>
      <c r="F367" s="2306">
        <v>84</v>
      </c>
      <c r="G367" s="2306"/>
      <c r="H367" s="2307">
        <v>47457.63</v>
      </c>
      <c r="I367" s="5618">
        <v>37288.019999999997</v>
      </c>
      <c r="J367" s="5618"/>
      <c r="K367" s="2307">
        <v>10169.61</v>
      </c>
      <c r="L367" s="2305"/>
      <c r="M367" s="2309">
        <v>6779.64</v>
      </c>
      <c r="N367" s="2309">
        <f>M367</f>
        <v>6779.64</v>
      </c>
      <c r="O367" s="2309"/>
      <c r="P367" s="2305"/>
      <c r="Q367" s="2305"/>
      <c r="R367" s="2307">
        <v>47457.63</v>
      </c>
      <c r="S367" s="2307">
        <v>44067.66</v>
      </c>
      <c r="T367" s="2307">
        <v>3389.97</v>
      </c>
    </row>
    <row r="368" spans="1:20" ht="12" customHeight="1" outlineLevel="1" x14ac:dyDescent="0.2">
      <c r="A368" s="5617" t="s">
        <v>3026</v>
      </c>
      <c r="B368" s="5617"/>
      <c r="C368" s="2303">
        <v>201</v>
      </c>
      <c r="D368" s="2304" t="s">
        <v>3027</v>
      </c>
      <c r="E368" s="2305" t="s">
        <v>3028</v>
      </c>
      <c r="F368" s="2306">
        <v>96</v>
      </c>
      <c r="G368" s="2306"/>
      <c r="H368" s="2305"/>
      <c r="I368" s="2345"/>
      <c r="J368" s="2346"/>
      <c r="K368" s="2305"/>
      <c r="L368" s="2305"/>
      <c r="M368" s="2308"/>
      <c r="N368" s="2309"/>
      <c r="O368" s="2309"/>
      <c r="P368" s="2305"/>
      <c r="Q368" s="2305"/>
      <c r="R368" s="2305"/>
      <c r="S368" s="2305"/>
      <c r="T368" s="2305"/>
    </row>
    <row r="369" spans="1:20" ht="12" customHeight="1" outlineLevel="1" x14ac:dyDescent="0.2">
      <c r="A369" s="5617" t="s">
        <v>3026</v>
      </c>
      <c r="B369" s="5617"/>
      <c r="C369" s="2303">
        <v>202</v>
      </c>
      <c r="D369" s="2304" t="s">
        <v>3027</v>
      </c>
      <c r="E369" s="2305" t="s">
        <v>3028</v>
      </c>
      <c r="F369" s="2306">
        <v>96</v>
      </c>
      <c r="G369" s="2306"/>
      <c r="H369" s="2305"/>
      <c r="I369" s="2345"/>
      <c r="J369" s="2346"/>
      <c r="K369" s="2305"/>
      <c r="L369" s="2305"/>
      <c r="M369" s="2308"/>
      <c r="N369" s="2309"/>
      <c r="O369" s="2309"/>
      <c r="P369" s="2305"/>
      <c r="Q369" s="2305"/>
      <c r="R369" s="2305"/>
      <c r="S369" s="2305"/>
      <c r="T369" s="2305"/>
    </row>
    <row r="370" spans="1:20" ht="12" customHeight="1" outlineLevel="1" x14ac:dyDescent="0.2">
      <c r="A370" s="5617" t="s">
        <v>3029</v>
      </c>
      <c r="B370" s="5617"/>
      <c r="C370" s="2310">
        <v>2360</v>
      </c>
      <c r="D370" s="2304" t="s">
        <v>3030</v>
      </c>
      <c r="E370" s="2305" t="s">
        <v>3031</v>
      </c>
      <c r="F370" s="2306">
        <v>84</v>
      </c>
      <c r="G370" s="2306"/>
      <c r="H370" s="2307">
        <v>41525.42</v>
      </c>
      <c r="I370" s="5618">
        <v>41525.42</v>
      </c>
      <c r="J370" s="5618"/>
      <c r="K370" s="2305"/>
      <c r="L370" s="2305"/>
      <c r="M370" s="2308"/>
      <c r="N370" s="2309"/>
      <c r="O370" s="2309"/>
      <c r="P370" s="2305"/>
      <c r="Q370" s="2305"/>
      <c r="R370" s="2307">
        <v>41525.42</v>
      </c>
      <c r="S370" s="2307">
        <v>41525.42</v>
      </c>
      <c r="T370" s="2305"/>
    </row>
    <row r="371" spans="1:20" ht="12" customHeight="1" outlineLevel="1" x14ac:dyDescent="0.2">
      <c r="A371" s="5617" t="s">
        <v>3032</v>
      </c>
      <c r="B371" s="5617"/>
      <c r="C371" s="2303">
        <v>416</v>
      </c>
      <c r="D371" s="2304" t="s">
        <v>3033</v>
      </c>
      <c r="E371" s="2305" t="s">
        <v>3034</v>
      </c>
      <c r="F371" s="2306">
        <v>96</v>
      </c>
      <c r="G371" s="2306"/>
      <c r="H371" s="2307">
        <v>1827</v>
      </c>
      <c r="I371" s="5618">
        <v>1827</v>
      </c>
      <c r="J371" s="5618"/>
      <c r="K371" s="2305"/>
      <c r="L371" s="2305"/>
      <c r="M371" s="2308"/>
      <c r="N371" s="2309"/>
      <c r="O371" s="2309"/>
      <c r="P371" s="2305"/>
      <c r="Q371" s="2305"/>
      <c r="R371" s="2307">
        <v>1827</v>
      </c>
      <c r="S371" s="2307">
        <v>1827</v>
      </c>
      <c r="T371" s="2305"/>
    </row>
    <row r="372" spans="1:20" ht="12" customHeight="1" outlineLevel="1" x14ac:dyDescent="0.2">
      <c r="A372" s="5617" t="s">
        <v>3035</v>
      </c>
      <c r="B372" s="5617"/>
      <c r="C372" s="2303">
        <v>203</v>
      </c>
      <c r="D372" s="2304" t="s">
        <v>2988</v>
      </c>
      <c r="E372" s="2305" t="s">
        <v>3036</v>
      </c>
      <c r="F372" s="2306">
        <v>96</v>
      </c>
      <c r="G372" s="2306"/>
      <c r="H372" s="2307">
        <v>23000</v>
      </c>
      <c r="I372" s="5618">
        <v>23000</v>
      </c>
      <c r="J372" s="5618"/>
      <c r="K372" s="2305"/>
      <c r="L372" s="2305"/>
      <c r="M372" s="2308"/>
      <c r="N372" s="2309"/>
      <c r="O372" s="2309"/>
      <c r="P372" s="2305"/>
      <c r="Q372" s="2305"/>
      <c r="R372" s="2307">
        <v>23000</v>
      </c>
      <c r="S372" s="2307">
        <v>23000</v>
      </c>
      <c r="T372" s="2305"/>
    </row>
    <row r="373" spans="1:20" ht="23.25" customHeight="1" outlineLevel="1" x14ac:dyDescent="0.2">
      <c r="A373" s="5617" t="s">
        <v>3037</v>
      </c>
      <c r="B373" s="5617"/>
      <c r="C373" s="2310">
        <v>2405</v>
      </c>
      <c r="D373" s="2304" t="s">
        <v>2569</v>
      </c>
      <c r="E373" s="2305" t="s">
        <v>3038</v>
      </c>
      <c r="F373" s="2306">
        <v>84</v>
      </c>
      <c r="G373" s="2306"/>
      <c r="H373" s="2307">
        <v>91000</v>
      </c>
      <c r="I373" s="5618">
        <v>76916.429999999993</v>
      </c>
      <c r="J373" s="5618"/>
      <c r="K373" s="2307">
        <v>14083.57</v>
      </c>
      <c r="L373" s="2305"/>
      <c r="M373" s="2309">
        <v>12999.96</v>
      </c>
      <c r="N373" s="2309">
        <f>M373</f>
        <v>12999.96</v>
      </c>
      <c r="O373" s="2309"/>
      <c r="P373" s="2305"/>
      <c r="Q373" s="2305"/>
      <c r="R373" s="2307">
        <v>91000</v>
      </c>
      <c r="S373" s="2307">
        <v>89916.39</v>
      </c>
      <c r="T373" s="2307">
        <v>1083.6099999999999</v>
      </c>
    </row>
    <row r="374" spans="1:20" ht="12" customHeight="1" outlineLevel="1" x14ac:dyDescent="0.2">
      <c r="A374" s="5617" t="s">
        <v>3039</v>
      </c>
      <c r="B374" s="5617"/>
      <c r="C374" s="2303">
        <v>344</v>
      </c>
      <c r="D374" s="2304" t="s">
        <v>3040</v>
      </c>
      <c r="E374" s="2305" t="s">
        <v>3041</v>
      </c>
      <c r="F374" s="2306">
        <v>169</v>
      </c>
      <c r="G374" s="2306"/>
      <c r="H374" s="2307">
        <v>184964</v>
      </c>
      <c r="I374" s="5618">
        <v>184964</v>
      </c>
      <c r="J374" s="5618"/>
      <c r="K374" s="2305"/>
      <c r="L374" s="2305"/>
      <c r="M374" s="2308"/>
      <c r="N374" s="2309"/>
      <c r="O374" s="2309"/>
      <c r="P374" s="2305"/>
      <c r="Q374" s="2305"/>
      <c r="R374" s="2307">
        <v>184964</v>
      </c>
      <c r="S374" s="2307">
        <v>184964</v>
      </c>
      <c r="T374" s="2305"/>
    </row>
    <row r="375" spans="1:20" ht="12" customHeight="1" outlineLevel="1" x14ac:dyDescent="0.2">
      <c r="A375" s="5617" t="s">
        <v>3042</v>
      </c>
      <c r="B375" s="5617"/>
      <c r="C375" s="2303">
        <v>2020</v>
      </c>
      <c r="D375" s="2304" t="s">
        <v>3043</v>
      </c>
      <c r="E375" s="2305" t="s">
        <v>3044</v>
      </c>
      <c r="F375" s="2306">
        <v>36</v>
      </c>
      <c r="G375" s="2306"/>
      <c r="H375" s="2307">
        <v>25423.73</v>
      </c>
      <c r="I375" s="5618">
        <v>25423.73</v>
      </c>
      <c r="J375" s="5618"/>
      <c r="K375" s="2305"/>
      <c r="L375" s="2305"/>
      <c r="M375" s="2308"/>
      <c r="N375" s="2309"/>
      <c r="O375" s="2309"/>
      <c r="P375" s="2305"/>
      <c r="Q375" s="2305"/>
      <c r="R375" s="2307">
        <v>25423.73</v>
      </c>
      <c r="S375" s="2307">
        <v>25423.73</v>
      </c>
      <c r="T375" s="2305"/>
    </row>
    <row r="376" spans="1:20" ht="12" customHeight="1" outlineLevel="1" x14ac:dyDescent="0.2">
      <c r="A376" s="5617" t="s">
        <v>3045</v>
      </c>
      <c r="B376" s="5617"/>
      <c r="C376" s="2310">
        <v>1954</v>
      </c>
      <c r="D376" s="2304" t="s">
        <v>2577</v>
      </c>
      <c r="E376" s="2305" t="s">
        <v>3046</v>
      </c>
      <c r="F376" s="2306">
        <v>60</v>
      </c>
      <c r="G376" s="2306"/>
      <c r="H376" s="2307">
        <v>11779.66</v>
      </c>
      <c r="I376" s="5618">
        <v>11779.66</v>
      </c>
      <c r="J376" s="5618"/>
      <c r="K376" s="2305"/>
      <c r="L376" s="2305"/>
      <c r="M376" s="2308"/>
      <c r="N376" s="2309"/>
      <c r="O376" s="2309"/>
      <c r="P376" s="2305"/>
      <c r="Q376" s="2305"/>
      <c r="R376" s="2307">
        <v>11779.66</v>
      </c>
      <c r="S376" s="2307">
        <v>11779.66</v>
      </c>
      <c r="T376" s="2305"/>
    </row>
    <row r="377" spans="1:20" ht="12" customHeight="1" outlineLevel="1" x14ac:dyDescent="0.2">
      <c r="A377" s="5617" t="s">
        <v>3045</v>
      </c>
      <c r="B377" s="5617"/>
      <c r="C377" s="2310">
        <v>1955</v>
      </c>
      <c r="D377" s="2304" t="s">
        <v>2577</v>
      </c>
      <c r="E377" s="2305" t="s">
        <v>3046</v>
      </c>
      <c r="F377" s="2306">
        <v>60</v>
      </c>
      <c r="G377" s="2306"/>
      <c r="H377" s="2307">
        <v>11779.66</v>
      </c>
      <c r="I377" s="5618">
        <v>11779.66</v>
      </c>
      <c r="J377" s="5618"/>
      <c r="K377" s="2305"/>
      <c r="L377" s="2305"/>
      <c r="M377" s="2308"/>
      <c r="N377" s="2309"/>
      <c r="O377" s="2309"/>
      <c r="P377" s="2305"/>
      <c r="Q377" s="2305"/>
      <c r="R377" s="2307">
        <v>11779.66</v>
      </c>
      <c r="S377" s="2307">
        <v>11779.66</v>
      </c>
      <c r="T377" s="2305"/>
    </row>
    <row r="378" spans="1:20" ht="23.25" customHeight="1" outlineLevel="1" x14ac:dyDescent="0.2">
      <c r="A378" s="5617" t="s">
        <v>3047</v>
      </c>
      <c r="B378" s="5617"/>
      <c r="C378" s="2310">
        <v>1964</v>
      </c>
      <c r="D378" s="2304" t="s">
        <v>2601</v>
      </c>
      <c r="E378" s="2305" t="s">
        <v>3048</v>
      </c>
      <c r="F378" s="2306">
        <v>60</v>
      </c>
      <c r="G378" s="2306"/>
      <c r="H378" s="2307">
        <v>16050</v>
      </c>
      <c r="I378" s="5618">
        <v>16050</v>
      </c>
      <c r="J378" s="5618"/>
      <c r="K378" s="2305"/>
      <c r="L378" s="2305"/>
      <c r="M378" s="2308"/>
      <c r="N378" s="2309"/>
      <c r="O378" s="2309"/>
      <c r="P378" s="2305"/>
      <c r="Q378" s="2305"/>
      <c r="R378" s="2307">
        <v>16050</v>
      </c>
      <c r="S378" s="2307">
        <v>16050</v>
      </c>
      <c r="T378" s="2305"/>
    </row>
    <row r="379" spans="1:20" ht="12" customHeight="1" outlineLevel="1" x14ac:dyDescent="0.2">
      <c r="A379" s="5617" t="s">
        <v>3049</v>
      </c>
      <c r="B379" s="5617"/>
      <c r="C379" s="2310">
        <v>2358</v>
      </c>
      <c r="D379" s="2304" t="s">
        <v>3050</v>
      </c>
      <c r="E379" s="2305" t="s">
        <v>3051</v>
      </c>
      <c r="F379" s="2306">
        <v>84</v>
      </c>
      <c r="G379" s="2306"/>
      <c r="H379" s="2307">
        <v>54450</v>
      </c>
      <c r="I379" s="5618">
        <v>54450</v>
      </c>
      <c r="J379" s="5618"/>
      <c r="K379" s="2305"/>
      <c r="L379" s="2305"/>
      <c r="M379" s="2308"/>
      <c r="N379" s="2309"/>
      <c r="O379" s="2309"/>
      <c r="P379" s="2305"/>
      <c r="Q379" s="2305"/>
      <c r="R379" s="2307">
        <v>54450</v>
      </c>
      <c r="S379" s="2307">
        <v>54450</v>
      </c>
      <c r="T379" s="2305"/>
    </row>
    <row r="380" spans="1:20" ht="12" customHeight="1" outlineLevel="1" x14ac:dyDescent="0.2">
      <c r="A380" s="5617" t="s">
        <v>3049</v>
      </c>
      <c r="B380" s="5617"/>
      <c r="C380" s="2310">
        <v>2359</v>
      </c>
      <c r="D380" s="2304" t="s">
        <v>3050</v>
      </c>
      <c r="E380" s="2305" t="s">
        <v>3051</v>
      </c>
      <c r="F380" s="2306">
        <v>84</v>
      </c>
      <c r="G380" s="2306"/>
      <c r="H380" s="2307">
        <v>54450</v>
      </c>
      <c r="I380" s="5618">
        <v>54450</v>
      </c>
      <c r="J380" s="5618"/>
      <c r="K380" s="2305"/>
      <c r="L380" s="2305"/>
      <c r="M380" s="2308"/>
      <c r="N380" s="2309"/>
      <c r="O380" s="2309"/>
      <c r="P380" s="2305"/>
      <c r="Q380" s="2305"/>
      <c r="R380" s="2307">
        <v>54450</v>
      </c>
      <c r="S380" s="2307">
        <v>54450</v>
      </c>
      <c r="T380" s="2305"/>
    </row>
    <row r="381" spans="1:20" ht="12" customHeight="1" outlineLevel="1" x14ac:dyDescent="0.2">
      <c r="A381" s="5617" t="s">
        <v>3052</v>
      </c>
      <c r="B381" s="5617"/>
      <c r="C381" s="2303">
        <v>597</v>
      </c>
      <c r="D381" s="2304" t="s">
        <v>2850</v>
      </c>
      <c r="E381" s="2305" t="s">
        <v>3053</v>
      </c>
      <c r="F381" s="2306">
        <v>60</v>
      </c>
      <c r="G381" s="2306"/>
      <c r="H381" s="2307">
        <v>18333.330000000002</v>
      </c>
      <c r="I381" s="5618">
        <v>18333.330000000002</v>
      </c>
      <c r="J381" s="5618"/>
      <c r="K381" s="2305"/>
      <c r="L381" s="2305"/>
      <c r="M381" s="2308"/>
      <c r="N381" s="2309"/>
      <c r="O381" s="2309"/>
      <c r="P381" s="2305"/>
      <c r="Q381" s="2305"/>
      <c r="R381" s="2307">
        <v>18333.330000000002</v>
      </c>
      <c r="S381" s="2307">
        <v>18333.330000000002</v>
      </c>
      <c r="T381" s="2305"/>
    </row>
    <row r="382" spans="1:20" ht="12" customHeight="1" outlineLevel="1" x14ac:dyDescent="0.2">
      <c r="A382" s="5617" t="s">
        <v>3054</v>
      </c>
      <c r="B382" s="5617"/>
      <c r="C382" s="2310">
        <v>1951</v>
      </c>
      <c r="D382" s="2304" t="s">
        <v>3055</v>
      </c>
      <c r="E382" s="2305" t="s">
        <v>3056</v>
      </c>
      <c r="F382" s="2306">
        <v>84</v>
      </c>
      <c r="G382" s="2306"/>
      <c r="H382" s="2307">
        <v>132323.6</v>
      </c>
      <c r="I382" s="5618">
        <v>132323.6</v>
      </c>
      <c r="J382" s="5618"/>
      <c r="K382" s="2305"/>
      <c r="L382" s="2305"/>
      <c r="M382" s="2308"/>
      <c r="N382" s="2309"/>
      <c r="O382" s="2309"/>
      <c r="P382" s="2305"/>
      <c r="Q382" s="2305"/>
      <c r="R382" s="2307">
        <v>132323.6</v>
      </c>
      <c r="S382" s="2307">
        <v>132323.6</v>
      </c>
      <c r="T382" s="2305"/>
    </row>
    <row r="383" spans="1:20" ht="12" customHeight="1" outlineLevel="1" x14ac:dyDescent="0.2">
      <c r="A383" s="5617" t="s">
        <v>3057</v>
      </c>
      <c r="B383" s="5617"/>
      <c r="C383" s="2310">
        <v>1735</v>
      </c>
      <c r="D383" s="2304" t="s">
        <v>2652</v>
      </c>
      <c r="E383" s="2305" t="s">
        <v>3058</v>
      </c>
      <c r="F383" s="2306">
        <v>84</v>
      </c>
      <c r="G383" s="2306"/>
      <c r="H383" s="2307">
        <v>122916.88</v>
      </c>
      <c r="I383" s="5618">
        <v>122916.88</v>
      </c>
      <c r="J383" s="5618"/>
      <c r="K383" s="2305"/>
      <c r="L383" s="2305"/>
      <c r="M383" s="2308"/>
      <c r="N383" s="2309"/>
      <c r="O383" s="2309"/>
      <c r="P383" s="2305"/>
      <c r="Q383" s="2305"/>
      <c r="R383" s="2307">
        <v>122916.88</v>
      </c>
      <c r="S383" s="2307">
        <v>122916.88</v>
      </c>
      <c r="T383" s="2305"/>
    </row>
    <row r="384" spans="1:20" ht="12" customHeight="1" outlineLevel="1" x14ac:dyDescent="0.2">
      <c r="A384" s="5617" t="s">
        <v>2649</v>
      </c>
      <c r="B384" s="5617"/>
      <c r="C384" s="2310">
        <v>1967</v>
      </c>
      <c r="D384" s="2304" t="s">
        <v>2601</v>
      </c>
      <c r="E384" s="2305" t="s">
        <v>2650</v>
      </c>
      <c r="F384" s="2306">
        <v>84</v>
      </c>
      <c r="G384" s="2306"/>
      <c r="H384" s="2307">
        <v>50600</v>
      </c>
      <c r="I384" s="5618">
        <v>50600</v>
      </c>
      <c r="J384" s="5618"/>
      <c r="K384" s="2305"/>
      <c r="L384" s="2305"/>
      <c r="M384" s="2308"/>
      <c r="N384" s="2309"/>
      <c r="O384" s="2309"/>
      <c r="P384" s="2305"/>
      <c r="Q384" s="2305"/>
      <c r="R384" s="2307">
        <v>50600</v>
      </c>
      <c r="S384" s="2307">
        <v>50600</v>
      </c>
      <c r="T384" s="2305"/>
    </row>
    <row r="385" spans="1:20" ht="12" customHeight="1" outlineLevel="1" x14ac:dyDescent="0.2">
      <c r="A385" s="5617" t="s">
        <v>3059</v>
      </c>
      <c r="B385" s="5617"/>
      <c r="C385" s="2310">
        <v>1968</v>
      </c>
      <c r="D385" s="2304" t="s">
        <v>2601</v>
      </c>
      <c r="E385" s="2305" t="s">
        <v>3060</v>
      </c>
      <c r="F385" s="2306">
        <v>84</v>
      </c>
      <c r="G385" s="2306"/>
      <c r="H385" s="2307">
        <v>30875.49</v>
      </c>
      <c r="I385" s="5618">
        <v>30875.49</v>
      </c>
      <c r="J385" s="5618"/>
      <c r="K385" s="2305"/>
      <c r="L385" s="2305"/>
      <c r="M385" s="2308"/>
      <c r="N385" s="2309"/>
      <c r="O385" s="2309"/>
      <c r="P385" s="2305"/>
      <c r="Q385" s="2305"/>
      <c r="R385" s="2307">
        <v>30875.49</v>
      </c>
      <c r="S385" s="2307">
        <v>30875.49</v>
      </c>
      <c r="T385" s="2305"/>
    </row>
    <row r="386" spans="1:20" ht="12" customHeight="1" outlineLevel="1" x14ac:dyDescent="0.2">
      <c r="A386" s="5617" t="s">
        <v>3059</v>
      </c>
      <c r="B386" s="5617"/>
      <c r="C386" s="2310">
        <v>1969</v>
      </c>
      <c r="D386" s="2304" t="s">
        <v>2601</v>
      </c>
      <c r="E386" s="2305" t="s">
        <v>3060</v>
      </c>
      <c r="F386" s="2306">
        <v>84</v>
      </c>
      <c r="G386" s="2306"/>
      <c r="H386" s="2307">
        <v>30875.49</v>
      </c>
      <c r="I386" s="5618">
        <v>30875.49</v>
      </c>
      <c r="J386" s="5618"/>
      <c r="K386" s="2305"/>
      <c r="L386" s="2305"/>
      <c r="M386" s="2308"/>
      <c r="N386" s="2309"/>
      <c r="O386" s="2309"/>
      <c r="P386" s="2305"/>
      <c r="Q386" s="2305"/>
      <c r="R386" s="2307">
        <v>30875.49</v>
      </c>
      <c r="S386" s="2307">
        <v>30875.49</v>
      </c>
      <c r="T386" s="2305"/>
    </row>
    <row r="387" spans="1:20" ht="12" customHeight="1" outlineLevel="1" x14ac:dyDescent="0.2">
      <c r="A387" s="5617" t="s">
        <v>3061</v>
      </c>
      <c r="B387" s="5617"/>
      <c r="C387" s="2303">
        <v>398</v>
      </c>
      <c r="D387" s="2304" t="s">
        <v>2976</v>
      </c>
      <c r="E387" s="2305" t="s">
        <v>3062</v>
      </c>
      <c r="F387" s="2306">
        <v>96</v>
      </c>
      <c r="G387" s="2306"/>
      <c r="H387" s="2307">
        <v>2520</v>
      </c>
      <c r="I387" s="5618">
        <v>2520</v>
      </c>
      <c r="J387" s="5618"/>
      <c r="K387" s="2305"/>
      <c r="L387" s="2305"/>
      <c r="M387" s="2308"/>
      <c r="N387" s="2309"/>
      <c r="O387" s="2309"/>
      <c r="P387" s="2305"/>
      <c r="Q387" s="2305"/>
      <c r="R387" s="2307">
        <v>2520</v>
      </c>
      <c r="S387" s="2307">
        <v>2520</v>
      </c>
      <c r="T387" s="2305"/>
    </row>
    <row r="388" spans="1:20" ht="12" customHeight="1" outlineLevel="1" x14ac:dyDescent="0.2">
      <c r="A388" s="5617" t="s">
        <v>2746</v>
      </c>
      <c r="B388" s="5617"/>
      <c r="C388" s="2310">
        <v>2295</v>
      </c>
      <c r="D388" s="2304" t="s">
        <v>2747</v>
      </c>
      <c r="E388" s="2305" t="s">
        <v>2748</v>
      </c>
      <c r="F388" s="2306">
        <v>120</v>
      </c>
      <c r="G388" s="2306"/>
      <c r="H388" s="2307">
        <v>14576.27</v>
      </c>
      <c r="I388" s="5618">
        <v>12997.29</v>
      </c>
      <c r="J388" s="5618"/>
      <c r="K388" s="2307">
        <v>1578.98</v>
      </c>
      <c r="L388" s="2305"/>
      <c r="M388" s="2309">
        <v>1457.64</v>
      </c>
      <c r="N388" s="2309">
        <f>M388</f>
        <v>1457.64</v>
      </c>
      <c r="O388" s="2309"/>
      <c r="P388" s="2305"/>
      <c r="Q388" s="2305"/>
      <c r="R388" s="2307">
        <v>14576.27</v>
      </c>
      <c r="S388" s="2307">
        <v>14454.93</v>
      </c>
      <c r="T388" s="2350">
        <v>121.34</v>
      </c>
    </row>
    <row r="389" spans="1:20" ht="23.25" customHeight="1" outlineLevel="1" x14ac:dyDescent="0.2">
      <c r="A389" s="5617" t="s">
        <v>3063</v>
      </c>
      <c r="B389" s="5617"/>
      <c r="C389" s="2310">
        <v>2434</v>
      </c>
      <c r="D389" s="2304" t="s">
        <v>2253</v>
      </c>
      <c r="E389" s="2305" t="s">
        <v>3064</v>
      </c>
      <c r="F389" s="2306">
        <v>240</v>
      </c>
      <c r="G389" s="2306"/>
      <c r="H389" s="2307">
        <v>1140000.95</v>
      </c>
      <c r="I389" s="5618">
        <v>313500</v>
      </c>
      <c r="J389" s="5618"/>
      <c r="K389" s="2307">
        <v>826500.95</v>
      </c>
      <c r="L389" s="2305"/>
      <c r="M389" s="2309">
        <v>57000</v>
      </c>
      <c r="N389" s="2309">
        <f>M389</f>
        <v>57000</v>
      </c>
      <c r="O389" s="2309"/>
      <c r="P389" s="2305"/>
      <c r="Q389" s="2305"/>
      <c r="R389" s="2307">
        <v>1140000.95</v>
      </c>
      <c r="S389" s="2307">
        <v>370500</v>
      </c>
      <c r="T389" s="2307">
        <v>769500.95</v>
      </c>
    </row>
    <row r="390" spans="1:20" ht="12" customHeight="1" outlineLevel="1" x14ac:dyDescent="0.2">
      <c r="A390" s="5617" t="s">
        <v>3065</v>
      </c>
      <c r="B390" s="5617"/>
      <c r="C390" s="2303">
        <v>483</v>
      </c>
      <c r="D390" s="2304" t="s">
        <v>2974</v>
      </c>
      <c r="E390" s="2305" t="s">
        <v>3066</v>
      </c>
      <c r="F390" s="2306">
        <v>1</v>
      </c>
      <c r="G390" s="2306"/>
      <c r="H390" s="2307">
        <v>4554</v>
      </c>
      <c r="I390" s="5618">
        <v>4554</v>
      </c>
      <c r="J390" s="5618"/>
      <c r="K390" s="2305"/>
      <c r="L390" s="2305"/>
      <c r="M390" s="2308"/>
      <c r="N390" s="2309"/>
      <c r="O390" s="2309"/>
      <c r="P390" s="2305"/>
      <c r="Q390" s="2305"/>
      <c r="R390" s="2307">
        <v>4554</v>
      </c>
      <c r="S390" s="2307">
        <v>4554</v>
      </c>
      <c r="T390" s="2305"/>
    </row>
    <row r="391" spans="1:20" ht="23.25" customHeight="1" outlineLevel="1" x14ac:dyDescent="0.2">
      <c r="A391" s="5617" t="s">
        <v>3067</v>
      </c>
      <c r="B391" s="5617"/>
      <c r="C391" s="2303">
        <v>730</v>
      </c>
      <c r="D391" s="2304" t="s">
        <v>3068</v>
      </c>
      <c r="E391" s="2305" t="s">
        <v>3069</v>
      </c>
      <c r="F391" s="2306">
        <v>60</v>
      </c>
      <c r="G391" s="2306"/>
      <c r="H391" s="2307">
        <v>14150</v>
      </c>
      <c r="I391" s="5618">
        <v>14150</v>
      </c>
      <c r="J391" s="5618"/>
      <c r="K391" s="2305"/>
      <c r="L391" s="2305"/>
      <c r="M391" s="2308"/>
      <c r="N391" s="2309"/>
      <c r="O391" s="2309"/>
      <c r="P391" s="2305"/>
      <c r="Q391" s="2305"/>
      <c r="R391" s="2307">
        <v>14150</v>
      </c>
      <c r="S391" s="2307">
        <v>14150</v>
      </c>
      <c r="T391" s="2305"/>
    </row>
    <row r="392" spans="1:20" ht="12" customHeight="1" outlineLevel="1" x14ac:dyDescent="0.2">
      <c r="A392" s="5617" t="s">
        <v>3070</v>
      </c>
      <c r="B392" s="5617"/>
      <c r="C392" s="2310">
        <v>2364</v>
      </c>
      <c r="D392" s="2304" t="s">
        <v>3071</v>
      </c>
      <c r="E392" s="2305" t="s">
        <v>3072</v>
      </c>
      <c r="F392" s="2306">
        <v>1</v>
      </c>
      <c r="G392" s="2306"/>
      <c r="H392" s="2305"/>
      <c r="I392" s="2345"/>
      <c r="J392" s="2346"/>
      <c r="K392" s="2305"/>
      <c r="L392" s="2305"/>
      <c r="M392" s="2308"/>
      <c r="N392" s="2309"/>
      <c r="O392" s="2309"/>
      <c r="P392" s="2305"/>
      <c r="Q392" s="2305"/>
      <c r="R392" s="2305"/>
      <c r="S392" s="2305"/>
      <c r="T392" s="2305"/>
    </row>
    <row r="393" spans="1:20" ht="12" customHeight="1" outlineLevel="1" x14ac:dyDescent="0.2">
      <c r="A393" s="5617" t="s">
        <v>3070</v>
      </c>
      <c r="B393" s="5617"/>
      <c r="C393" s="2310">
        <v>2367</v>
      </c>
      <c r="D393" s="2304" t="s">
        <v>3073</v>
      </c>
      <c r="E393" s="2305" t="s">
        <v>3074</v>
      </c>
      <c r="F393" s="2306">
        <v>1</v>
      </c>
      <c r="G393" s="2306"/>
      <c r="H393" s="2305"/>
      <c r="I393" s="2345"/>
      <c r="J393" s="2346"/>
      <c r="K393" s="2305"/>
      <c r="L393" s="2305"/>
      <c r="M393" s="2308"/>
      <c r="N393" s="2309"/>
      <c r="O393" s="2309"/>
      <c r="P393" s="2305"/>
      <c r="Q393" s="2305"/>
      <c r="R393" s="2305"/>
      <c r="S393" s="2305"/>
      <c r="T393" s="2305"/>
    </row>
    <row r="394" spans="1:20" ht="23.25" customHeight="1" outlineLevel="1" x14ac:dyDescent="0.2">
      <c r="A394" s="5617" t="s">
        <v>3075</v>
      </c>
      <c r="B394" s="5617"/>
      <c r="C394" s="2303">
        <v>375</v>
      </c>
      <c r="D394" s="2304" t="s">
        <v>3076</v>
      </c>
      <c r="E394" s="2305" t="s">
        <v>3077</v>
      </c>
      <c r="F394" s="2306">
        <v>272</v>
      </c>
      <c r="G394" s="2306"/>
      <c r="H394" s="2307">
        <v>27293</v>
      </c>
      <c r="I394" s="5618">
        <v>27293</v>
      </c>
      <c r="J394" s="5618"/>
      <c r="K394" s="2305"/>
      <c r="L394" s="2305"/>
      <c r="M394" s="2308"/>
      <c r="N394" s="2309"/>
      <c r="O394" s="2309"/>
      <c r="P394" s="2305"/>
      <c r="Q394" s="2305"/>
      <c r="R394" s="2307">
        <v>27293</v>
      </c>
      <c r="S394" s="2307">
        <v>27293</v>
      </c>
      <c r="T394" s="2305"/>
    </row>
    <row r="395" spans="1:20" s="2319" customFormat="1" ht="23.25" customHeight="1" outlineLevel="1" x14ac:dyDescent="0.2">
      <c r="A395" s="5628" t="s">
        <v>2939</v>
      </c>
      <c r="B395" s="5628"/>
      <c r="C395" s="2353">
        <v>1515</v>
      </c>
      <c r="D395" s="2313" t="s">
        <v>2940</v>
      </c>
      <c r="E395" s="2314" t="s">
        <v>2941</v>
      </c>
      <c r="F395" s="2315">
        <v>36</v>
      </c>
      <c r="G395" s="2315"/>
      <c r="H395" s="2314"/>
      <c r="I395" s="2316"/>
      <c r="J395" s="2317"/>
      <c r="K395" s="2314"/>
      <c r="L395" s="2318">
        <v>50196.01</v>
      </c>
      <c r="M395" s="2318">
        <v>12548.97</v>
      </c>
      <c r="N395" s="2318">
        <f>L395/F395*9</f>
        <v>12549.002500000001</v>
      </c>
      <c r="O395" s="2318"/>
      <c r="P395" s="2314"/>
      <c r="Q395" s="2314"/>
      <c r="R395" s="2318">
        <v>50196.01</v>
      </c>
      <c r="S395" s="2318">
        <v>12548.97</v>
      </c>
      <c r="T395" s="2318">
        <v>37647.040000000001</v>
      </c>
    </row>
    <row r="396" spans="1:20" ht="12" customHeight="1" outlineLevel="1" x14ac:dyDescent="0.2">
      <c r="A396" s="5617" t="s">
        <v>2582</v>
      </c>
      <c r="B396" s="5617"/>
      <c r="C396" s="2303">
        <v>485</v>
      </c>
      <c r="D396" s="2304" t="s">
        <v>2292</v>
      </c>
      <c r="E396" s="2305" t="s">
        <v>3078</v>
      </c>
      <c r="F396" s="2306">
        <v>240</v>
      </c>
      <c r="G396" s="2306"/>
      <c r="H396" s="2307">
        <v>53210.55</v>
      </c>
      <c r="I396" s="5618">
        <v>47567.8</v>
      </c>
      <c r="J396" s="5618"/>
      <c r="K396" s="2307">
        <v>5642.75</v>
      </c>
      <c r="L396" s="2305"/>
      <c r="M396" s="2309">
        <v>2660.52</v>
      </c>
      <c r="N396" s="2309">
        <f>M396</f>
        <v>2660.52</v>
      </c>
      <c r="O396" s="2309"/>
      <c r="P396" s="2305"/>
      <c r="Q396" s="2305"/>
      <c r="R396" s="2307">
        <v>53210.55</v>
      </c>
      <c r="S396" s="2307">
        <v>50228.32</v>
      </c>
      <c r="T396" s="2307">
        <v>2982.23</v>
      </c>
    </row>
    <row r="397" spans="1:20" ht="12" customHeight="1" outlineLevel="1" x14ac:dyDescent="0.2">
      <c r="A397" s="5617" t="s">
        <v>3079</v>
      </c>
      <c r="B397" s="5617"/>
      <c r="C397" s="2303">
        <v>510</v>
      </c>
      <c r="D397" s="2304" t="s">
        <v>3080</v>
      </c>
      <c r="E397" s="2305" t="s">
        <v>3081</v>
      </c>
      <c r="F397" s="2306">
        <v>84</v>
      </c>
      <c r="G397" s="2306"/>
      <c r="H397" s="2307">
        <v>10304</v>
      </c>
      <c r="I397" s="5618">
        <v>10304</v>
      </c>
      <c r="J397" s="5618"/>
      <c r="K397" s="2305"/>
      <c r="L397" s="2305"/>
      <c r="M397" s="2308"/>
      <c r="N397" s="2309"/>
      <c r="O397" s="2309"/>
      <c r="P397" s="2305"/>
      <c r="Q397" s="2305"/>
      <c r="R397" s="2307">
        <v>10304</v>
      </c>
      <c r="S397" s="2307">
        <v>10304</v>
      </c>
      <c r="T397" s="2305"/>
    </row>
    <row r="398" spans="1:20" ht="12" customHeight="1" outlineLevel="1" x14ac:dyDescent="0.2">
      <c r="A398" s="5617" t="s">
        <v>3082</v>
      </c>
      <c r="B398" s="5617"/>
      <c r="C398" s="2303">
        <v>130</v>
      </c>
      <c r="D398" s="2304" t="s">
        <v>3083</v>
      </c>
      <c r="E398" s="2305" t="s">
        <v>3084</v>
      </c>
      <c r="F398" s="2306">
        <v>96</v>
      </c>
      <c r="G398" s="2306"/>
      <c r="H398" s="2307">
        <v>17380</v>
      </c>
      <c r="I398" s="5618">
        <v>17380</v>
      </c>
      <c r="J398" s="5618"/>
      <c r="K398" s="2305"/>
      <c r="L398" s="2305"/>
      <c r="M398" s="2308"/>
      <c r="N398" s="2309"/>
      <c r="O398" s="2309"/>
      <c r="P398" s="2305"/>
      <c r="Q398" s="2305"/>
      <c r="R398" s="2307">
        <v>17380</v>
      </c>
      <c r="S398" s="2307">
        <v>17380</v>
      </c>
      <c r="T398" s="2305"/>
    </row>
    <row r="399" spans="1:20" ht="23.25" customHeight="1" outlineLevel="1" x14ac:dyDescent="0.2">
      <c r="A399" s="5617" t="s">
        <v>2706</v>
      </c>
      <c r="B399" s="5617"/>
      <c r="C399" s="2310">
        <v>2398</v>
      </c>
      <c r="D399" s="2304" t="s">
        <v>3017</v>
      </c>
      <c r="E399" s="2305" t="s">
        <v>3085</v>
      </c>
      <c r="F399" s="2306">
        <v>60</v>
      </c>
      <c r="G399" s="2306"/>
      <c r="H399" s="2307">
        <v>30351.52</v>
      </c>
      <c r="I399" s="5618">
        <v>30351.52</v>
      </c>
      <c r="J399" s="5618"/>
      <c r="K399" s="2305"/>
      <c r="L399" s="2305"/>
      <c r="M399" s="2308"/>
      <c r="N399" s="2309"/>
      <c r="O399" s="2309"/>
      <c r="P399" s="2305"/>
      <c r="Q399" s="2305"/>
      <c r="R399" s="2307">
        <v>30351.52</v>
      </c>
      <c r="S399" s="2307">
        <v>30351.52</v>
      </c>
      <c r="T399" s="2305"/>
    </row>
    <row r="400" spans="1:20" ht="12" customHeight="1" outlineLevel="1" x14ac:dyDescent="0.2">
      <c r="A400" s="5617" t="s">
        <v>2797</v>
      </c>
      <c r="B400" s="5617"/>
      <c r="C400" s="2310">
        <v>1963</v>
      </c>
      <c r="D400" s="2304" t="s">
        <v>3086</v>
      </c>
      <c r="E400" s="2305" t="s">
        <v>3087</v>
      </c>
      <c r="F400" s="2306">
        <v>120</v>
      </c>
      <c r="G400" s="2306"/>
      <c r="H400" s="2307">
        <v>297503.81</v>
      </c>
      <c r="I400" s="5618">
        <v>297503.81</v>
      </c>
      <c r="J400" s="5618"/>
      <c r="K400" s="2305"/>
      <c r="L400" s="2305"/>
      <c r="M400" s="2308"/>
      <c r="N400" s="2309"/>
      <c r="O400" s="2309"/>
      <c r="P400" s="2305"/>
      <c r="Q400" s="2305"/>
      <c r="R400" s="2307">
        <v>297503.81</v>
      </c>
      <c r="S400" s="2307">
        <v>297503.81</v>
      </c>
      <c r="T400" s="2305"/>
    </row>
    <row r="401" spans="1:20" ht="23.25" customHeight="1" outlineLevel="1" x14ac:dyDescent="0.2">
      <c r="A401" s="5617" t="s">
        <v>3088</v>
      </c>
      <c r="B401" s="5617"/>
      <c r="C401" s="2310">
        <v>2399</v>
      </c>
      <c r="D401" s="2304" t="s">
        <v>3017</v>
      </c>
      <c r="E401" s="2305" t="s">
        <v>3089</v>
      </c>
      <c r="F401" s="2306">
        <v>84</v>
      </c>
      <c r="G401" s="2306"/>
      <c r="H401" s="2307">
        <v>133000</v>
      </c>
      <c r="I401" s="5618">
        <v>113999.76</v>
      </c>
      <c r="J401" s="5618"/>
      <c r="K401" s="2307">
        <v>19000.240000000002</v>
      </c>
      <c r="L401" s="2305"/>
      <c r="M401" s="2309">
        <v>18999.96</v>
      </c>
      <c r="N401" s="2309">
        <f>M401</f>
        <v>18999.96</v>
      </c>
      <c r="O401" s="2309"/>
      <c r="P401" s="2305"/>
      <c r="Q401" s="2305"/>
      <c r="R401" s="2307">
        <v>133000</v>
      </c>
      <c r="S401" s="2307">
        <v>132999.72</v>
      </c>
      <c r="T401" s="2350">
        <v>0.28000000000000003</v>
      </c>
    </row>
    <row r="402" spans="1:20" ht="23.25" customHeight="1" outlineLevel="1" x14ac:dyDescent="0.2">
      <c r="A402" s="5617" t="s">
        <v>3090</v>
      </c>
      <c r="B402" s="5617"/>
      <c r="C402" s="2310">
        <v>2450</v>
      </c>
      <c r="D402" s="2304" t="s">
        <v>3091</v>
      </c>
      <c r="E402" s="2305" t="s">
        <v>3092</v>
      </c>
      <c r="F402" s="2306">
        <v>84</v>
      </c>
      <c r="G402" s="2306"/>
      <c r="H402" s="2307">
        <v>239296</v>
      </c>
      <c r="I402" s="5618">
        <v>159530.56</v>
      </c>
      <c r="J402" s="5618"/>
      <c r="K402" s="2307">
        <v>79765.440000000002</v>
      </c>
      <c r="L402" s="2305"/>
      <c r="M402" s="2309">
        <v>34185.120000000003</v>
      </c>
      <c r="N402" s="2309">
        <f>M402</f>
        <v>34185.120000000003</v>
      </c>
      <c r="O402" s="2309"/>
      <c r="P402" s="2305"/>
      <c r="Q402" s="2305"/>
      <c r="R402" s="2307">
        <v>239296</v>
      </c>
      <c r="S402" s="2307">
        <v>193715.68</v>
      </c>
      <c r="T402" s="2307">
        <v>45580.32</v>
      </c>
    </row>
    <row r="403" spans="1:20" ht="23.25" customHeight="1" outlineLevel="1" x14ac:dyDescent="0.2">
      <c r="A403" s="5617" t="s">
        <v>3093</v>
      </c>
      <c r="B403" s="5617"/>
      <c r="C403" s="2310">
        <v>2447</v>
      </c>
      <c r="D403" s="2304" t="s">
        <v>3094</v>
      </c>
      <c r="E403" s="2305" t="s">
        <v>3095</v>
      </c>
      <c r="F403" s="2306">
        <v>84</v>
      </c>
      <c r="G403" s="2306"/>
      <c r="H403" s="2307">
        <v>350000</v>
      </c>
      <c r="I403" s="5618">
        <v>245833.53</v>
      </c>
      <c r="J403" s="5618"/>
      <c r="K403" s="2307">
        <v>104166.47</v>
      </c>
      <c r="L403" s="2305"/>
      <c r="M403" s="2309">
        <v>50000.04</v>
      </c>
      <c r="N403" s="2309">
        <f>M403</f>
        <v>50000.04</v>
      </c>
      <c r="O403" s="2309"/>
      <c r="P403" s="2305"/>
      <c r="Q403" s="2305"/>
      <c r="R403" s="2307">
        <v>350000</v>
      </c>
      <c r="S403" s="2307">
        <v>295833.57</v>
      </c>
      <c r="T403" s="2307">
        <v>54166.43</v>
      </c>
    </row>
    <row r="404" spans="1:20" ht="12" customHeight="1" outlineLevel="1" x14ac:dyDescent="0.2">
      <c r="A404" s="5617" t="s">
        <v>3096</v>
      </c>
      <c r="B404" s="5617"/>
      <c r="C404" s="2303">
        <v>589</v>
      </c>
      <c r="D404" s="2304" t="s">
        <v>2773</v>
      </c>
      <c r="E404" s="2305" t="s">
        <v>3053</v>
      </c>
      <c r="F404" s="2306">
        <v>60</v>
      </c>
      <c r="G404" s="2306"/>
      <c r="H404" s="2307">
        <v>18333.330000000002</v>
      </c>
      <c r="I404" s="5618">
        <v>18333.330000000002</v>
      </c>
      <c r="J404" s="5618"/>
      <c r="K404" s="2305"/>
      <c r="L404" s="2305"/>
      <c r="M404" s="2308"/>
      <c r="N404" s="2309"/>
      <c r="O404" s="2309"/>
      <c r="P404" s="2305"/>
      <c r="Q404" s="2305"/>
      <c r="R404" s="2307">
        <v>18333.330000000002</v>
      </c>
      <c r="S404" s="2307">
        <v>18333.330000000002</v>
      </c>
      <c r="T404" s="2305"/>
    </row>
    <row r="405" spans="1:20" ht="12" customHeight="1" outlineLevel="1" x14ac:dyDescent="0.2">
      <c r="A405" s="5617" t="s">
        <v>3096</v>
      </c>
      <c r="B405" s="5617"/>
      <c r="C405" s="2310">
        <v>2264</v>
      </c>
      <c r="D405" s="2304" t="s">
        <v>3097</v>
      </c>
      <c r="E405" s="2305" t="s">
        <v>3098</v>
      </c>
      <c r="F405" s="2306">
        <v>60</v>
      </c>
      <c r="G405" s="2306"/>
      <c r="H405" s="2307">
        <v>25000</v>
      </c>
      <c r="I405" s="5618">
        <v>25000</v>
      </c>
      <c r="J405" s="5618"/>
      <c r="K405" s="2305"/>
      <c r="L405" s="2305"/>
      <c r="M405" s="2308"/>
      <c r="N405" s="2309"/>
      <c r="O405" s="2309"/>
      <c r="P405" s="2305"/>
      <c r="Q405" s="2305"/>
      <c r="R405" s="2307">
        <v>25000</v>
      </c>
      <c r="S405" s="2307">
        <v>25000</v>
      </c>
      <c r="T405" s="2305"/>
    </row>
    <row r="406" spans="1:20" ht="12" customHeight="1" outlineLevel="1" x14ac:dyDescent="0.2">
      <c r="A406" s="5617" t="s">
        <v>3096</v>
      </c>
      <c r="B406" s="5617"/>
      <c r="C406" s="2310">
        <v>2265</v>
      </c>
      <c r="D406" s="2304" t="s">
        <v>3097</v>
      </c>
      <c r="E406" s="2305" t="s">
        <v>3098</v>
      </c>
      <c r="F406" s="2306">
        <v>60</v>
      </c>
      <c r="G406" s="2306"/>
      <c r="H406" s="2307">
        <v>25000</v>
      </c>
      <c r="I406" s="5618">
        <v>25000</v>
      </c>
      <c r="J406" s="5618"/>
      <c r="K406" s="2305"/>
      <c r="L406" s="2305"/>
      <c r="M406" s="2308"/>
      <c r="N406" s="2309"/>
      <c r="O406" s="2309"/>
      <c r="P406" s="2305"/>
      <c r="Q406" s="2305"/>
      <c r="R406" s="2307">
        <v>25000</v>
      </c>
      <c r="S406" s="2307">
        <v>25000</v>
      </c>
      <c r="T406" s="2305"/>
    </row>
    <row r="407" spans="1:20" ht="12" customHeight="1" outlineLevel="1" x14ac:dyDescent="0.2">
      <c r="A407" s="5617" t="s">
        <v>3099</v>
      </c>
      <c r="B407" s="5617"/>
      <c r="C407" s="2303">
        <v>299</v>
      </c>
      <c r="D407" s="2304" t="s">
        <v>2574</v>
      </c>
      <c r="E407" s="2305" t="s">
        <v>3100</v>
      </c>
      <c r="F407" s="2306">
        <v>115</v>
      </c>
      <c r="G407" s="2306"/>
      <c r="H407" s="2350">
        <v>985</v>
      </c>
      <c r="I407" s="5621">
        <v>985</v>
      </c>
      <c r="J407" s="5621"/>
      <c r="K407" s="2305"/>
      <c r="L407" s="2305"/>
      <c r="M407" s="2308"/>
      <c r="N407" s="2309"/>
      <c r="O407" s="2309"/>
      <c r="P407" s="2305"/>
      <c r="Q407" s="2305"/>
      <c r="R407" s="2350">
        <v>985</v>
      </c>
      <c r="S407" s="2350">
        <v>985</v>
      </c>
      <c r="T407" s="2305"/>
    </row>
    <row r="408" spans="1:20" ht="12" customHeight="1" outlineLevel="1" x14ac:dyDescent="0.2">
      <c r="A408" s="5617" t="s">
        <v>3101</v>
      </c>
      <c r="B408" s="5617"/>
      <c r="C408" s="2303">
        <v>709</v>
      </c>
      <c r="D408" s="2304" t="s">
        <v>2640</v>
      </c>
      <c r="E408" s="2305" t="s">
        <v>3098</v>
      </c>
      <c r="F408" s="2306">
        <v>48</v>
      </c>
      <c r="G408" s="2306"/>
      <c r="H408" s="2307">
        <v>25000</v>
      </c>
      <c r="I408" s="5618">
        <v>25000</v>
      </c>
      <c r="J408" s="5618"/>
      <c r="K408" s="2305"/>
      <c r="L408" s="2305"/>
      <c r="M408" s="2308"/>
      <c r="N408" s="2309"/>
      <c r="O408" s="2309"/>
      <c r="P408" s="2305"/>
      <c r="Q408" s="2305"/>
      <c r="R408" s="2307">
        <v>25000</v>
      </c>
      <c r="S408" s="2307">
        <v>25000</v>
      </c>
      <c r="T408" s="2305"/>
    </row>
    <row r="409" spans="1:20" ht="12" customHeight="1" outlineLevel="1" x14ac:dyDescent="0.2">
      <c r="A409" s="5617" t="s">
        <v>3102</v>
      </c>
      <c r="B409" s="5617"/>
      <c r="C409" s="2303">
        <v>300</v>
      </c>
      <c r="D409" s="2304" t="s">
        <v>2574</v>
      </c>
      <c r="E409" s="2305" t="s">
        <v>3103</v>
      </c>
      <c r="F409" s="2306">
        <v>67</v>
      </c>
      <c r="G409" s="2306"/>
      <c r="H409" s="2307">
        <v>2800</v>
      </c>
      <c r="I409" s="5618">
        <v>2800</v>
      </c>
      <c r="J409" s="5618"/>
      <c r="K409" s="2305"/>
      <c r="L409" s="2305"/>
      <c r="M409" s="2308"/>
      <c r="N409" s="2309"/>
      <c r="O409" s="2309"/>
      <c r="P409" s="2305"/>
      <c r="Q409" s="2305"/>
      <c r="R409" s="2307">
        <v>2800</v>
      </c>
      <c r="S409" s="2307">
        <v>2800</v>
      </c>
      <c r="T409" s="2305"/>
    </row>
    <row r="410" spans="1:20" ht="12" customHeight="1" outlineLevel="1" x14ac:dyDescent="0.2">
      <c r="A410" s="5617" t="s">
        <v>3104</v>
      </c>
      <c r="B410" s="5617"/>
      <c r="C410" s="2303">
        <v>573</v>
      </c>
      <c r="D410" s="2304" t="s">
        <v>2891</v>
      </c>
      <c r="E410" s="2305" t="s">
        <v>3105</v>
      </c>
      <c r="F410" s="2306">
        <v>1</v>
      </c>
      <c r="G410" s="2306"/>
      <c r="H410" s="2307">
        <v>13783.32</v>
      </c>
      <c r="I410" s="5618">
        <v>13783.32</v>
      </c>
      <c r="J410" s="5618"/>
      <c r="K410" s="2305"/>
      <c r="L410" s="2305"/>
      <c r="M410" s="2308"/>
      <c r="N410" s="2309"/>
      <c r="O410" s="2309"/>
      <c r="P410" s="2307">
        <v>13783.32</v>
      </c>
      <c r="Q410" s="2307">
        <v>13783.32</v>
      </c>
      <c r="R410" s="2305"/>
      <c r="S410" s="2305"/>
      <c r="T410" s="2305"/>
    </row>
    <row r="411" spans="1:20" ht="23.25" customHeight="1" outlineLevel="1" x14ac:dyDescent="0.2">
      <c r="A411" s="5617" t="s">
        <v>2688</v>
      </c>
      <c r="B411" s="5617"/>
      <c r="C411" s="2310">
        <v>2389</v>
      </c>
      <c r="D411" s="2304" t="s">
        <v>2689</v>
      </c>
      <c r="E411" s="2305" t="s">
        <v>2690</v>
      </c>
      <c r="F411" s="2306">
        <v>120</v>
      </c>
      <c r="G411" s="2306"/>
      <c r="H411" s="2307">
        <v>64419.31</v>
      </c>
      <c r="I411" s="5618">
        <v>40799.08</v>
      </c>
      <c r="J411" s="5618"/>
      <c r="K411" s="2307">
        <v>23620.23</v>
      </c>
      <c r="L411" s="2305"/>
      <c r="M411" s="2309">
        <v>6441.96</v>
      </c>
      <c r="N411" s="2309">
        <f>M411</f>
        <v>6441.96</v>
      </c>
      <c r="O411" s="2309"/>
      <c r="P411" s="2305"/>
      <c r="Q411" s="2305"/>
      <c r="R411" s="2307">
        <v>64419.31</v>
      </c>
      <c r="S411" s="2307">
        <v>47241.04</v>
      </c>
      <c r="T411" s="2307">
        <v>17178.27</v>
      </c>
    </row>
    <row r="412" spans="1:20" ht="12" customHeight="1" outlineLevel="1" x14ac:dyDescent="0.2">
      <c r="A412" s="5617" t="s">
        <v>3106</v>
      </c>
      <c r="B412" s="5617"/>
      <c r="C412" s="2303">
        <v>371</v>
      </c>
      <c r="D412" s="2304" t="s">
        <v>3107</v>
      </c>
      <c r="E412" s="2305" t="s">
        <v>3108</v>
      </c>
      <c r="F412" s="2306">
        <v>84</v>
      </c>
      <c r="G412" s="2306"/>
      <c r="H412" s="2307">
        <v>25272</v>
      </c>
      <c r="I412" s="5618">
        <v>25272</v>
      </c>
      <c r="J412" s="5618"/>
      <c r="K412" s="2305"/>
      <c r="L412" s="2305"/>
      <c r="M412" s="2308"/>
      <c r="N412" s="2309"/>
      <c r="O412" s="2309"/>
      <c r="P412" s="2305"/>
      <c r="Q412" s="2305"/>
      <c r="R412" s="2307">
        <v>25272</v>
      </c>
      <c r="S412" s="2307">
        <v>25272</v>
      </c>
      <c r="T412" s="2305"/>
    </row>
    <row r="413" spans="1:20" ht="12" customHeight="1" outlineLevel="1" x14ac:dyDescent="0.2">
      <c r="A413" s="5617" t="s">
        <v>3109</v>
      </c>
      <c r="B413" s="5617"/>
      <c r="C413" s="2310">
        <v>1978</v>
      </c>
      <c r="D413" s="2304" t="s">
        <v>3110</v>
      </c>
      <c r="E413" s="2305" t="s">
        <v>3111</v>
      </c>
      <c r="F413" s="2306">
        <v>60</v>
      </c>
      <c r="G413" s="2306"/>
      <c r="H413" s="2307">
        <v>24050</v>
      </c>
      <c r="I413" s="5618">
        <v>24050</v>
      </c>
      <c r="J413" s="5618"/>
      <c r="K413" s="2305"/>
      <c r="L413" s="2305"/>
      <c r="M413" s="2308"/>
      <c r="N413" s="2309"/>
      <c r="O413" s="2309"/>
      <c r="P413" s="2305"/>
      <c r="Q413" s="2305"/>
      <c r="R413" s="2307">
        <v>24050</v>
      </c>
      <c r="S413" s="2307">
        <v>24050</v>
      </c>
      <c r="T413" s="2305"/>
    </row>
    <row r="414" spans="1:20" ht="12" customHeight="1" outlineLevel="1" x14ac:dyDescent="0.2">
      <c r="A414" s="5617" t="s">
        <v>2746</v>
      </c>
      <c r="B414" s="5617"/>
      <c r="C414" s="2310">
        <v>2293</v>
      </c>
      <c r="D414" s="2304" t="s">
        <v>2747</v>
      </c>
      <c r="E414" s="2305" t="s">
        <v>2748</v>
      </c>
      <c r="F414" s="2306">
        <v>120</v>
      </c>
      <c r="G414" s="2306"/>
      <c r="H414" s="2307">
        <v>14576.27</v>
      </c>
      <c r="I414" s="5618">
        <v>12997.29</v>
      </c>
      <c r="J414" s="5618"/>
      <c r="K414" s="2307">
        <v>1578.98</v>
      </c>
      <c r="L414" s="2305"/>
      <c r="M414" s="2309">
        <v>1457.64</v>
      </c>
      <c r="N414" s="2309">
        <f t="shared" ref="N414" si="3">H414/F414*12</f>
        <v>1457.627</v>
      </c>
      <c r="O414" s="2309"/>
      <c r="P414" s="2305"/>
      <c r="Q414" s="2305"/>
      <c r="R414" s="2307">
        <v>14576.27</v>
      </c>
      <c r="S414" s="2307">
        <v>14454.93</v>
      </c>
      <c r="T414" s="2350">
        <v>121.34</v>
      </c>
    </row>
    <row r="415" spans="1:20" ht="12" customHeight="1" outlineLevel="1" x14ac:dyDescent="0.2">
      <c r="A415" s="5617" t="s">
        <v>3109</v>
      </c>
      <c r="B415" s="5617"/>
      <c r="C415" s="2310">
        <v>1979</v>
      </c>
      <c r="D415" s="2304" t="s">
        <v>3110</v>
      </c>
      <c r="E415" s="2305" t="s">
        <v>3111</v>
      </c>
      <c r="F415" s="2306">
        <v>60</v>
      </c>
      <c r="G415" s="2306"/>
      <c r="H415" s="2307">
        <v>24050</v>
      </c>
      <c r="I415" s="5618">
        <v>24050</v>
      </c>
      <c r="J415" s="5618"/>
      <c r="K415" s="2305"/>
      <c r="L415" s="2305"/>
      <c r="M415" s="2308"/>
      <c r="N415" s="2309"/>
      <c r="O415" s="2309"/>
      <c r="P415" s="2305"/>
      <c r="Q415" s="2305"/>
      <c r="R415" s="2307">
        <v>24050</v>
      </c>
      <c r="S415" s="2307">
        <v>24050</v>
      </c>
      <c r="T415" s="2305"/>
    </row>
    <row r="416" spans="1:20" ht="12" customHeight="1" outlineLevel="1" x14ac:dyDescent="0.2">
      <c r="A416" s="5617" t="s">
        <v>2794</v>
      </c>
      <c r="B416" s="5617"/>
      <c r="C416" s="2303">
        <v>704</v>
      </c>
      <c r="D416" s="2304" t="s">
        <v>2247</v>
      </c>
      <c r="E416" s="2305" t="s">
        <v>3112</v>
      </c>
      <c r="F416" s="2306">
        <v>12</v>
      </c>
      <c r="G416" s="2306"/>
      <c r="H416" s="2307">
        <v>1000</v>
      </c>
      <c r="I416" s="5618">
        <v>1000</v>
      </c>
      <c r="J416" s="5618"/>
      <c r="K416" s="2305"/>
      <c r="L416" s="2305"/>
      <c r="M416" s="2308"/>
      <c r="N416" s="2309"/>
      <c r="O416" s="2309"/>
      <c r="P416" s="2305"/>
      <c r="Q416" s="2305"/>
      <c r="R416" s="2307">
        <v>1000</v>
      </c>
      <c r="S416" s="2307">
        <v>1000</v>
      </c>
      <c r="T416" s="2305"/>
    </row>
    <row r="417" spans="1:20" ht="12" customHeight="1" outlineLevel="1" x14ac:dyDescent="0.2">
      <c r="A417" s="5617" t="s">
        <v>3113</v>
      </c>
      <c r="B417" s="5617"/>
      <c r="C417" s="2310">
        <v>1884</v>
      </c>
      <c r="D417" s="2304" t="s">
        <v>3114</v>
      </c>
      <c r="E417" s="2305" t="s">
        <v>3115</v>
      </c>
      <c r="F417" s="2306">
        <v>36</v>
      </c>
      <c r="G417" s="2306"/>
      <c r="H417" s="2307">
        <v>24152.54</v>
      </c>
      <c r="I417" s="5618">
        <v>24152.54</v>
      </c>
      <c r="J417" s="5618"/>
      <c r="K417" s="2305"/>
      <c r="L417" s="2305"/>
      <c r="M417" s="2308"/>
      <c r="N417" s="2309"/>
      <c r="O417" s="2309"/>
      <c r="P417" s="2305"/>
      <c r="Q417" s="2305"/>
      <c r="R417" s="2307">
        <v>24152.54</v>
      </c>
      <c r="S417" s="2307">
        <v>24152.54</v>
      </c>
      <c r="T417" s="2305"/>
    </row>
    <row r="418" spans="1:20" ht="12" customHeight="1" outlineLevel="1" x14ac:dyDescent="0.2">
      <c r="A418" s="5617" t="s">
        <v>3116</v>
      </c>
      <c r="B418" s="5617"/>
      <c r="C418" s="2303">
        <v>142</v>
      </c>
      <c r="D418" s="2304" t="s">
        <v>2574</v>
      </c>
      <c r="E418" s="2305" t="s">
        <v>3117</v>
      </c>
      <c r="F418" s="2306">
        <v>84</v>
      </c>
      <c r="G418" s="2306"/>
      <c r="H418" s="2307">
        <v>5575</v>
      </c>
      <c r="I418" s="5618">
        <v>5575</v>
      </c>
      <c r="J418" s="5618"/>
      <c r="K418" s="2305"/>
      <c r="L418" s="2305"/>
      <c r="M418" s="2308"/>
      <c r="N418" s="2309"/>
      <c r="O418" s="2309"/>
      <c r="P418" s="2305"/>
      <c r="Q418" s="2305"/>
      <c r="R418" s="2307">
        <v>5575</v>
      </c>
      <c r="S418" s="2307">
        <v>5575</v>
      </c>
      <c r="T418" s="2305"/>
    </row>
    <row r="419" spans="1:20" ht="12" customHeight="1" outlineLevel="1" x14ac:dyDescent="0.2">
      <c r="A419" s="5617" t="s">
        <v>3116</v>
      </c>
      <c r="B419" s="5617"/>
      <c r="C419" s="2303">
        <v>301</v>
      </c>
      <c r="D419" s="2304" t="s">
        <v>2725</v>
      </c>
      <c r="E419" s="2305" t="s">
        <v>3117</v>
      </c>
      <c r="F419" s="2306">
        <v>84</v>
      </c>
      <c r="G419" s="2306"/>
      <c r="H419" s="2307">
        <v>5575</v>
      </c>
      <c r="I419" s="5618">
        <v>5575</v>
      </c>
      <c r="J419" s="5618"/>
      <c r="K419" s="2305"/>
      <c r="L419" s="2305"/>
      <c r="M419" s="2308"/>
      <c r="N419" s="2309"/>
      <c r="O419" s="2309"/>
      <c r="P419" s="2305"/>
      <c r="Q419" s="2305"/>
      <c r="R419" s="2307">
        <v>5575</v>
      </c>
      <c r="S419" s="2307">
        <v>5575</v>
      </c>
      <c r="T419" s="2305"/>
    </row>
    <row r="420" spans="1:20" ht="12" customHeight="1" outlineLevel="1" x14ac:dyDescent="0.2">
      <c r="A420" s="5617" t="s">
        <v>3118</v>
      </c>
      <c r="B420" s="5617"/>
      <c r="C420" s="2303">
        <v>382</v>
      </c>
      <c r="D420" s="2304" t="s">
        <v>3119</v>
      </c>
      <c r="E420" s="2305" t="s">
        <v>3120</v>
      </c>
      <c r="F420" s="2306">
        <v>84</v>
      </c>
      <c r="G420" s="2306"/>
      <c r="H420" s="2307">
        <v>4853</v>
      </c>
      <c r="I420" s="5618">
        <v>4853</v>
      </c>
      <c r="J420" s="5618"/>
      <c r="K420" s="2305"/>
      <c r="L420" s="2305"/>
      <c r="M420" s="2308"/>
      <c r="N420" s="2309"/>
      <c r="O420" s="2309"/>
      <c r="P420" s="2305"/>
      <c r="Q420" s="2305"/>
      <c r="R420" s="2307">
        <v>4853</v>
      </c>
      <c r="S420" s="2307">
        <v>4853</v>
      </c>
      <c r="T420" s="2305"/>
    </row>
    <row r="421" spans="1:20" ht="45.75" customHeight="1" outlineLevel="1" x14ac:dyDescent="0.2">
      <c r="A421" s="5617" t="s">
        <v>3121</v>
      </c>
      <c r="B421" s="5617"/>
      <c r="C421" s="2310">
        <v>2433</v>
      </c>
      <c r="D421" s="2304" t="s">
        <v>2253</v>
      </c>
      <c r="E421" s="2305" t="s">
        <v>3122</v>
      </c>
      <c r="F421" s="2306">
        <v>120</v>
      </c>
      <c r="G421" s="2306"/>
      <c r="H421" s="2307">
        <v>10541497.970000001</v>
      </c>
      <c r="I421" s="5618">
        <v>5797824.1200000001</v>
      </c>
      <c r="J421" s="5618"/>
      <c r="K421" s="2307">
        <v>4743673.8499999996</v>
      </c>
      <c r="L421" s="2305"/>
      <c r="M421" s="2309">
        <v>1054149.8400000001</v>
      </c>
      <c r="N421" s="2309">
        <f>M421</f>
        <v>1054149.8400000001</v>
      </c>
      <c r="O421" s="2309"/>
      <c r="P421" s="2305"/>
      <c r="Q421" s="2305"/>
      <c r="R421" s="2307">
        <v>10541497.970000001</v>
      </c>
      <c r="S421" s="2307">
        <v>6851973.96</v>
      </c>
      <c r="T421" s="2307">
        <v>3689524.01</v>
      </c>
    </row>
    <row r="422" spans="1:20" ht="12" customHeight="1" outlineLevel="1" x14ac:dyDescent="0.2">
      <c r="A422" s="5617" t="s">
        <v>3123</v>
      </c>
      <c r="B422" s="5617"/>
      <c r="C422" s="2303">
        <v>358</v>
      </c>
      <c r="D422" s="2304" t="s">
        <v>3124</v>
      </c>
      <c r="E422" s="2305" t="s">
        <v>3125</v>
      </c>
      <c r="F422" s="2306">
        <v>240</v>
      </c>
      <c r="G422" s="2306"/>
      <c r="H422" s="2307">
        <v>55158</v>
      </c>
      <c r="I422" s="5618">
        <v>55158</v>
      </c>
      <c r="J422" s="5618"/>
      <c r="K422" s="2305"/>
      <c r="L422" s="2305"/>
      <c r="M422" s="2308"/>
      <c r="N422" s="2309"/>
      <c r="O422" s="2309"/>
      <c r="P422" s="2305"/>
      <c r="Q422" s="2305"/>
      <c r="R422" s="2307">
        <v>55158</v>
      </c>
      <c r="S422" s="2307">
        <v>55158</v>
      </c>
      <c r="T422" s="2305"/>
    </row>
    <row r="423" spans="1:20" ht="12" customHeight="1" outlineLevel="1" x14ac:dyDescent="0.2">
      <c r="A423" s="5617" t="s">
        <v>3126</v>
      </c>
      <c r="B423" s="5617"/>
      <c r="C423" s="2303">
        <v>143</v>
      </c>
      <c r="D423" s="2304" t="s">
        <v>2574</v>
      </c>
      <c r="E423" s="2305" t="s">
        <v>3127</v>
      </c>
      <c r="F423" s="2306">
        <v>144</v>
      </c>
      <c r="G423" s="2306"/>
      <c r="H423" s="2350">
        <v>411.52</v>
      </c>
      <c r="I423" s="5621">
        <v>411.52</v>
      </c>
      <c r="J423" s="5621"/>
      <c r="K423" s="2305"/>
      <c r="L423" s="2305"/>
      <c r="M423" s="2308"/>
      <c r="N423" s="2309"/>
      <c r="O423" s="2309"/>
      <c r="P423" s="2305"/>
      <c r="Q423" s="2305"/>
      <c r="R423" s="2350">
        <v>411.52</v>
      </c>
      <c r="S423" s="2350">
        <v>411.52</v>
      </c>
      <c r="T423" s="2305"/>
    </row>
    <row r="424" spans="1:20" ht="12" customHeight="1" outlineLevel="1" x14ac:dyDescent="0.2">
      <c r="A424" s="5617" t="s">
        <v>3128</v>
      </c>
      <c r="B424" s="5617"/>
      <c r="C424" s="2303">
        <v>356</v>
      </c>
      <c r="D424" s="2304" t="s">
        <v>3124</v>
      </c>
      <c r="E424" s="2305" t="s">
        <v>3129</v>
      </c>
      <c r="F424" s="2306">
        <v>240</v>
      </c>
      <c r="G424" s="2306"/>
      <c r="H424" s="2307">
        <v>14372</v>
      </c>
      <c r="I424" s="5618">
        <v>14372</v>
      </c>
      <c r="J424" s="5618"/>
      <c r="K424" s="2305"/>
      <c r="L424" s="2305"/>
      <c r="M424" s="2308"/>
      <c r="N424" s="2309"/>
      <c r="O424" s="2309"/>
      <c r="P424" s="2305"/>
      <c r="Q424" s="2305"/>
      <c r="R424" s="2307">
        <v>14372</v>
      </c>
      <c r="S424" s="2307">
        <v>14372</v>
      </c>
      <c r="T424" s="2305"/>
    </row>
    <row r="425" spans="1:20" ht="12" customHeight="1" outlineLevel="1" x14ac:dyDescent="0.2">
      <c r="A425" s="5617" t="s">
        <v>3130</v>
      </c>
      <c r="B425" s="5617"/>
      <c r="C425" s="2303">
        <v>133</v>
      </c>
      <c r="D425" s="2304" t="s">
        <v>2196</v>
      </c>
      <c r="E425" s="2305" t="s">
        <v>3131</v>
      </c>
      <c r="F425" s="2306">
        <v>240</v>
      </c>
      <c r="G425" s="2306"/>
      <c r="H425" s="2307">
        <v>11516</v>
      </c>
      <c r="I425" s="5618">
        <v>11516</v>
      </c>
      <c r="J425" s="5618"/>
      <c r="K425" s="2305"/>
      <c r="L425" s="2305"/>
      <c r="M425" s="2308"/>
      <c r="N425" s="2309"/>
      <c r="O425" s="2309"/>
      <c r="P425" s="2305"/>
      <c r="Q425" s="2305"/>
      <c r="R425" s="2307">
        <v>11516</v>
      </c>
      <c r="S425" s="2307">
        <v>11516</v>
      </c>
      <c r="T425" s="2305"/>
    </row>
    <row r="426" spans="1:20" ht="12" customHeight="1" outlineLevel="1" x14ac:dyDescent="0.2">
      <c r="A426" s="5617" t="s">
        <v>3132</v>
      </c>
      <c r="B426" s="5617"/>
      <c r="C426" s="2303">
        <v>612</v>
      </c>
      <c r="D426" s="2304" t="s">
        <v>3133</v>
      </c>
      <c r="E426" s="2305" t="s">
        <v>3134</v>
      </c>
      <c r="F426" s="2306">
        <v>84</v>
      </c>
      <c r="G426" s="2306"/>
      <c r="H426" s="2307">
        <v>60000</v>
      </c>
      <c r="I426" s="5618">
        <v>60000</v>
      </c>
      <c r="J426" s="5618"/>
      <c r="K426" s="2305"/>
      <c r="L426" s="2305"/>
      <c r="M426" s="2308"/>
      <c r="N426" s="2309"/>
      <c r="O426" s="2309"/>
      <c r="P426" s="2305"/>
      <c r="Q426" s="2305"/>
      <c r="R426" s="2307">
        <v>60000</v>
      </c>
      <c r="S426" s="2307">
        <v>60000</v>
      </c>
      <c r="T426" s="2305"/>
    </row>
    <row r="427" spans="1:20" ht="23.25" customHeight="1" outlineLevel="1" x14ac:dyDescent="0.2">
      <c r="A427" s="5617" t="s">
        <v>3135</v>
      </c>
      <c r="B427" s="5617"/>
      <c r="C427" s="2303">
        <v>362</v>
      </c>
      <c r="D427" s="2304" t="s">
        <v>2598</v>
      </c>
      <c r="E427" s="2305" t="s">
        <v>3136</v>
      </c>
      <c r="F427" s="2306">
        <v>60</v>
      </c>
      <c r="G427" s="2306"/>
      <c r="H427" s="2307">
        <v>13957</v>
      </c>
      <c r="I427" s="5618">
        <v>13957</v>
      </c>
      <c r="J427" s="5618"/>
      <c r="K427" s="2305"/>
      <c r="L427" s="2305"/>
      <c r="M427" s="2308"/>
      <c r="N427" s="2309"/>
      <c r="O427" s="2309"/>
      <c r="P427" s="2305"/>
      <c r="Q427" s="2305"/>
      <c r="R427" s="2307">
        <v>13957</v>
      </c>
      <c r="S427" s="2307">
        <v>13957</v>
      </c>
      <c r="T427" s="2305"/>
    </row>
    <row r="428" spans="1:20" ht="12" customHeight="1" outlineLevel="1" x14ac:dyDescent="0.2">
      <c r="A428" s="5617" t="s">
        <v>3137</v>
      </c>
      <c r="B428" s="5617"/>
      <c r="C428" s="2303">
        <v>381</v>
      </c>
      <c r="D428" s="2304" t="s">
        <v>3083</v>
      </c>
      <c r="E428" s="2305" t="s">
        <v>3138</v>
      </c>
      <c r="F428" s="2306">
        <v>1</v>
      </c>
      <c r="G428" s="2306"/>
      <c r="H428" s="2307">
        <v>2133</v>
      </c>
      <c r="I428" s="5618">
        <v>2133</v>
      </c>
      <c r="J428" s="5618"/>
      <c r="K428" s="2305"/>
      <c r="L428" s="2305"/>
      <c r="M428" s="2308"/>
      <c r="N428" s="2309"/>
      <c r="O428" s="2309"/>
      <c r="P428" s="2305"/>
      <c r="Q428" s="2305"/>
      <c r="R428" s="2307">
        <v>2133</v>
      </c>
      <c r="S428" s="2307">
        <v>2133</v>
      </c>
      <c r="T428" s="2305"/>
    </row>
    <row r="429" spans="1:20" ht="12" customHeight="1" outlineLevel="1" x14ac:dyDescent="0.2">
      <c r="A429" s="5617" t="s">
        <v>3139</v>
      </c>
      <c r="B429" s="5617"/>
      <c r="C429" s="2303">
        <v>544</v>
      </c>
      <c r="D429" s="2304" t="s">
        <v>2718</v>
      </c>
      <c r="E429" s="2305" t="s">
        <v>3140</v>
      </c>
      <c r="F429" s="2306">
        <v>480</v>
      </c>
      <c r="G429" s="2306"/>
      <c r="H429" s="2307">
        <v>8486.26</v>
      </c>
      <c r="I429" s="5618">
        <v>3478.66</v>
      </c>
      <c r="J429" s="5618"/>
      <c r="K429" s="2307">
        <v>5007.6000000000004</v>
      </c>
      <c r="L429" s="2305"/>
      <c r="M429" s="2348">
        <v>212.16</v>
      </c>
      <c r="N429" s="2309">
        <f t="shared" ref="N429" si="4">H429/F429*12</f>
        <v>212.15649999999999</v>
      </c>
      <c r="O429" s="2309"/>
      <c r="P429" s="2305"/>
      <c r="Q429" s="2305"/>
      <c r="R429" s="2307">
        <v>8486.26</v>
      </c>
      <c r="S429" s="2307">
        <v>3690.82</v>
      </c>
      <c r="T429" s="2307">
        <v>4795.4399999999996</v>
      </c>
    </row>
    <row r="430" spans="1:20" ht="12" customHeight="1" outlineLevel="1" x14ac:dyDescent="0.2">
      <c r="A430" s="5617" t="s">
        <v>3141</v>
      </c>
      <c r="B430" s="5617"/>
      <c r="C430" s="2303">
        <v>205</v>
      </c>
      <c r="D430" s="2304" t="s">
        <v>2298</v>
      </c>
      <c r="E430" s="2305" t="s">
        <v>3142</v>
      </c>
      <c r="F430" s="2306">
        <v>10</v>
      </c>
      <c r="G430" s="2306"/>
      <c r="H430" s="2307">
        <v>23502</v>
      </c>
      <c r="I430" s="5618">
        <v>23502</v>
      </c>
      <c r="J430" s="5618"/>
      <c r="K430" s="2305"/>
      <c r="L430" s="2305"/>
      <c r="M430" s="2308"/>
      <c r="N430" s="2309"/>
      <c r="O430" s="2309"/>
      <c r="P430" s="2305"/>
      <c r="Q430" s="2305"/>
      <c r="R430" s="2307">
        <v>23502</v>
      </c>
      <c r="S430" s="2307">
        <v>23502</v>
      </c>
      <c r="T430" s="2305"/>
    </row>
    <row r="431" spans="1:20" ht="12" customHeight="1" outlineLevel="1" x14ac:dyDescent="0.2">
      <c r="A431" s="5617" t="s">
        <v>3143</v>
      </c>
      <c r="B431" s="5617"/>
      <c r="C431" s="2303">
        <v>395</v>
      </c>
      <c r="D431" s="2304" t="s">
        <v>2351</v>
      </c>
      <c r="E431" s="2305" t="s">
        <v>3144</v>
      </c>
      <c r="F431" s="2306">
        <v>67</v>
      </c>
      <c r="G431" s="2306"/>
      <c r="H431" s="2350">
        <v>847</v>
      </c>
      <c r="I431" s="5621">
        <v>847</v>
      </c>
      <c r="J431" s="5621"/>
      <c r="K431" s="2305"/>
      <c r="L431" s="2305"/>
      <c r="M431" s="2308"/>
      <c r="N431" s="2309"/>
      <c r="O431" s="2309"/>
      <c r="P431" s="2305"/>
      <c r="Q431" s="2305"/>
      <c r="R431" s="2350">
        <v>847</v>
      </c>
      <c r="S431" s="2350">
        <v>847</v>
      </c>
      <c r="T431" s="2305"/>
    </row>
    <row r="432" spans="1:20" ht="34.5" customHeight="1" outlineLevel="1" x14ac:dyDescent="0.2">
      <c r="A432" s="5617" t="s">
        <v>3145</v>
      </c>
      <c r="B432" s="5617"/>
      <c r="C432" s="2310">
        <v>2428</v>
      </c>
      <c r="D432" s="2304" t="s">
        <v>2253</v>
      </c>
      <c r="E432" s="2305" t="s">
        <v>3146</v>
      </c>
      <c r="F432" s="2306">
        <v>84</v>
      </c>
      <c r="G432" s="2306"/>
      <c r="H432" s="2307">
        <v>8485928.1699999999</v>
      </c>
      <c r="I432" s="5618">
        <v>6667514.7000000002</v>
      </c>
      <c r="J432" s="5618"/>
      <c r="K432" s="2307">
        <v>1818413.47</v>
      </c>
      <c r="L432" s="2305"/>
      <c r="M432" s="2309">
        <v>1212275.3999999999</v>
      </c>
      <c r="N432" s="2309">
        <f>M432</f>
        <v>1212275.3999999999</v>
      </c>
      <c r="O432" s="2309"/>
      <c r="P432" s="2305"/>
      <c r="Q432" s="2305"/>
      <c r="R432" s="2307">
        <v>8485928.1699999999</v>
      </c>
      <c r="S432" s="2307">
        <v>7879790.0999999996</v>
      </c>
      <c r="T432" s="2307">
        <v>606138.06999999995</v>
      </c>
    </row>
    <row r="433" spans="1:20" ht="12" customHeight="1" outlineLevel="1" x14ac:dyDescent="0.2">
      <c r="A433" s="5617" t="s">
        <v>3147</v>
      </c>
      <c r="B433" s="5617"/>
      <c r="C433" s="2303">
        <v>372</v>
      </c>
      <c r="D433" s="2304" t="s">
        <v>2256</v>
      </c>
      <c r="E433" s="2305" t="s">
        <v>3148</v>
      </c>
      <c r="F433" s="2306">
        <v>272</v>
      </c>
      <c r="G433" s="2306"/>
      <c r="H433" s="2307">
        <v>24235</v>
      </c>
      <c r="I433" s="5618">
        <v>24235</v>
      </c>
      <c r="J433" s="5618"/>
      <c r="K433" s="2305"/>
      <c r="L433" s="2305"/>
      <c r="M433" s="2308"/>
      <c r="N433" s="2309"/>
      <c r="O433" s="2309"/>
      <c r="P433" s="2305"/>
      <c r="Q433" s="2305"/>
      <c r="R433" s="2307">
        <v>24235</v>
      </c>
      <c r="S433" s="2307">
        <v>24235</v>
      </c>
      <c r="T433" s="2305"/>
    </row>
    <row r="434" spans="1:20" ht="12" customHeight="1" outlineLevel="1" x14ac:dyDescent="0.2">
      <c r="A434" s="5617" t="s">
        <v>3149</v>
      </c>
      <c r="B434" s="5617"/>
      <c r="C434" s="2310">
        <v>2451</v>
      </c>
      <c r="D434" s="2304" t="s">
        <v>3091</v>
      </c>
      <c r="E434" s="2305" t="s">
        <v>3150</v>
      </c>
      <c r="F434" s="2306">
        <v>13</v>
      </c>
      <c r="G434" s="2306"/>
      <c r="H434" s="2307">
        <v>67796.61</v>
      </c>
      <c r="I434" s="5618">
        <v>67796.61</v>
      </c>
      <c r="J434" s="5618"/>
      <c r="K434" s="2305"/>
      <c r="L434" s="2305"/>
      <c r="M434" s="2308"/>
      <c r="N434" s="2309"/>
      <c r="O434" s="2309"/>
      <c r="P434" s="2305"/>
      <c r="Q434" s="2305"/>
      <c r="R434" s="2307">
        <v>67796.61</v>
      </c>
      <c r="S434" s="2307">
        <v>67796.61</v>
      </c>
      <c r="T434" s="2305"/>
    </row>
    <row r="435" spans="1:20" ht="23.25" customHeight="1" outlineLevel="1" x14ac:dyDescent="0.2">
      <c r="A435" s="5617" t="s">
        <v>3151</v>
      </c>
      <c r="B435" s="5617"/>
      <c r="C435" s="2303">
        <v>107</v>
      </c>
      <c r="D435" s="2304" t="s">
        <v>2196</v>
      </c>
      <c r="E435" s="2305" t="s">
        <v>3152</v>
      </c>
      <c r="F435" s="2306">
        <v>273</v>
      </c>
      <c r="G435" s="2306"/>
      <c r="H435" s="2307">
        <v>121066</v>
      </c>
      <c r="I435" s="5618">
        <v>121066</v>
      </c>
      <c r="J435" s="5618"/>
      <c r="K435" s="2305"/>
      <c r="L435" s="2305"/>
      <c r="M435" s="2308"/>
      <c r="N435" s="2309"/>
      <c r="O435" s="2309"/>
      <c r="P435" s="2305"/>
      <c r="Q435" s="2305"/>
      <c r="R435" s="2307">
        <v>121066</v>
      </c>
      <c r="S435" s="2307">
        <v>121066</v>
      </c>
      <c r="T435" s="2305"/>
    </row>
    <row r="436" spans="1:20" ht="12" customHeight="1" outlineLevel="1" x14ac:dyDescent="0.2">
      <c r="A436" s="5617" t="s">
        <v>3153</v>
      </c>
      <c r="B436" s="5617"/>
      <c r="C436" s="2303">
        <v>448</v>
      </c>
      <c r="D436" s="2304" t="s">
        <v>2631</v>
      </c>
      <c r="E436" s="2305" t="s">
        <v>3154</v>
      </c>
      <c r="F436" s="2306">
        <v>273</v>
      </c>
      <c r="G436" s="2306"/>
      <c r="H436" s="2307">
        <v>25130</v>
      </c>
      <c r="I436" s="5618">
        <v>25130</v>
      </c>
      <c r="J436" s="5618"/>
      <c r="K436" s="2305"/>
      <c r="L436" s="2305"/>
      <c r="M436" s="2308"/>
      <c r="N436" s="2309"/>
      <c r="O436" s="2309"/>
      <c r="P436" s="2305"/>
      <c r="Q436" s="2305"/>
      <c r="R436" s="2307">
        <v>25130</v>
      </c>
      <c r="S436" s="2307">
        <v>25130</v>
      </c>
      <c r="T436" s="2305"/>
    </row>
    <row r="437" spans="1:20" ht="12" customHeight="1" outlineLevel="1" x14ac:dyDescent="0.2">
      <c r="A437" s="5617" t="s">
        <v>3155</v>
      </c>
      <c r="B437" s="5617"/>
      <c r="C437" s="2303">
        <v>109</v>
      </c>
      <c r="D437" s="2304" t="s">
        <v>2196</v>
      </c>
      <c r="E437" s="2305" t="s">
        <v>3156</v>
      </c>
      <c r="F437" s="2306">
        <v>273</v>
      </c>
      <c r="G437" s="2306"/>
      <c r="H437" s="2307">
        <v>48258</v>
      </c>
      <c r="I437" s="5618">
        <v>48258</v>
      </c>
      <c r="J437" s="5618"/>
      <c r="K437" s="2305"/>
      <c r="L437" s="2305"/>
      <c r="M437" s="2308"/>
      <c r="N437" s="2309"/>
      <c r="O437" s="2309"/>
      <c r="P437" s="2305"/>
      <c r="Q437" s="2305"/>
      <c r="R437" s="2307">
        <v>48258</v>
      </c>
      <c r="S437" s="2307">
        <v>48258</v>
      </c>
      <c r="T437" s="2305"/>
    </row>
    <row r="438" spans="1:20" ht="12" customHeight="1" outlineLevel="1" x14ac:dyDescent="0.2">
      <c r="A438" s="5617" t="s">
        <v>3157</v>
      </c>
      <c r="B438" s="5617"/>
      <c r="C438" s="2303">
        <v>197</v>
      </c>
      <c r="D438" s="2304" t="s">
        <v>2974</v>
      </c>
      <c r="E438" s="2305" t="s">
        <v>3158</v>
      </c>
      <c r="F438" s="2306">
        <v>267</v>
      </c>
      <c r="G438" s="2306"/>
      <c r="H438" s="2307">
        <v>48482</v>
      </c>
      <c r="I438" s="5618">
        <v>48482</v>
      </c>
      <c r="J438" s="5618"/>
      <c r="K438" s="2305"/>
      <c r="L438" s="2305"/>
      <c r="M438" s="2308"/>
      <c r="N438" s="2309"/>
      <c r="O438" s="2309"/>
      <c r="P438" s="2305"/>
      <c r="Q438" s="2305"/>
      <c r="R438" s="2307">
        <v>48482</v>
      </c>
      <c r="S438" s="2307">
        <v>48482</v>
      </c>
      <c r="T438" s="2305"/>
    </row>
    <row r="439" spans="1:20" ht="23.25" customHeight="1" outlineLevel="1" x14ac:dyDescent="0.2">
      <c r="A439" s="5617" t="s">
        <v>3159</v>
      </c>
      <c r="B439" s="5617"/>
      <c r="C439" s="2303">
        <v>106</v>
      </c>
      <c r="D439" s="2304" t="s">
        <v>2196</v>
      </c>
      <c r="E439" s="2305" t="s">
        <v>3160</v>
      </c>
      <c r="F439" s="2306">
        <v>273</v>
      </c>
      <c r="G439" s="2306"/>
      <c r="H439" s="2307">
        <v>143309</v>
      </c>
      <c r="I439" s="5618">
        <v>127533.2</v>
      </c>
      <c r="J439" s="5618"/>
      <c r="K439" s="2307">
        <v>15775.8</v>
      </c>
      <c r="L439" s="2305"/>
      <c r="M439" s="2309">
        <v>6299.28</v>
      </c>
      <c r="N439" s="2309">
        <f>M439</f>
        <v>6299.28</v>
      </c>
      <c r="O439" s="2309"/>
      <c r="P439" s="2305"/>
      <c r="Q439" s="2305"/>
      <c r="R439" s="2307">
        <v>143309</v>
      </c>
      <c r="S439" s="2307">
        <v>133832.48000000001</v>
      </c>
      <c r="T439" s="2307">
        <v>9476.52</v>
      </c>
    </row>
    <row r="440" spans="1:20" ht="12" customHeight="1" outlineLevel="1" x14ac:dyDescent="0.2">
      <c r="A440" s="5617" t="s">
        <v>3161</v>
      </c>
      <c r="B440" s="5617"/>
      <c r="C440" s="2303">
        <v>343</v>
      </c>
      <c r="D440" s="2304" t="s">
        <v>2222</v>
      </c>
      <c r="E440" s="2305" t="s">
        <v>3162</v>
      </c>
      <c r="F440" s="2306">
        <v>84</v>
      </c>
      <c r="G440" s="2306"/>
      <c r="H440" s="2307">
        <v>45079</v>
      </c>
      <c r="I440" s="5618">
        <v>45079</v>
      </c>
      <c r="J440" s="5618"/>
      <c r="K440" s="2305"/>
      <c r="L440" s="2305"/>
      <c r="M440" s="2308"/>
      <c r="N440" s="2309"/>
      <c r="O440" s="2309"/>
      <c r="P440" s="2305"/>
      <c r="Q440" s="2305"/>
      <c r="R440" s="2307">
        <v>45079</v>
      </c>
      <c r="S440" s="2307">
        <v>45079</v>
      </c>
      <c r="T440" s="2305"/>
    </row>
    <row r="441" spans="1:20" ht="12" customHeight="1" outlineLevel="1" x14ac:dyDescent="0.2">
      <c r="A441" s="5617" t="s">
        <v>3163</v>
      </c>
      <c r="B441" s="5617"/>
      <c r="C441" s="2310">
        <v>1802</v>
      </c>
      <c r="D441" s="2304" t="s">
        <v>3164</v>
      </c>
      <c r="E441" s="2305" t="s">
        <v>3165</v>
      </c>
      <c r="F441" s="2306">
        <v>84</v>
      </c>
      <c r="G441" s="2306"/>
      <c r="H441" s="2307">
        <v>64000</v>
      </c>
      <c r="I441" s="5618">
        <v>64000</v>
      </c>
      <c r="J441" s="5618"/>
      <c r="K441" s="2305"/>
      <c r="L441" s="2305"/>
      <c r="M441" s="2308"/>
      <c r="N441" s="2309"/>
      <c r="O441" s="2309"/>
      <c r="P441" s="2305"/>
      <c r="Q441" s="2305"/>
      <c r="R441" s="2307">
        <v>64000</v>
      </c>
      <c r="S441" s="2307">
        <v>64000</v>
      </c>
      <c r="T441" s="2305"/>
    </row>
    <row r="442" spans="1:20" ht="23.25" customHeight="1" outlineLevel="1" x14ac:dyDescent="0.2">
      <c r="A442" s="5617" t="s">
        <v>3166</v>
      </c>
      <c r="B442" s="5617"/>
      <c r="C442" s="2303">
        <v>717</v>
      </c>
      <c r="D442" s="2304" t="s">
        <v>3167</v>
      </c>
      <c r="E442" s="2305" t="s">
        <v>2664</v>
      </c>
      <c r="F442" s="2306">
        <v>84</v>
      </c>
      <c r="G442" s="2306"/>
      <c r="H442" s="2307">
        <v>15000</v>
      </c>
      <c r="I442" s="5618">
        <v>15000</v>
      </c>
      <c r="J442" s="5618"/>
      <c r="K442" s="2305"/>
      <c r="L442" s="2305"/>
      <c r="M442" s="2308"/>
      <c r="N442" s="2309"/>
      <c r="O442" s="2309"/>
      <c r="P442" s="2305"/>
      <c r="Q442" s="2305"/>
      <c r="R442" s="2307">
        <v>15000</v>
      </c>
      <c r="S442" s="2307">
        <v>15000</v>
      </c>
      <c r="T442" s="2305"/>
    </row>
    <row r="443" spans="1:20" ht="12" customHeight="1" outlineLevel="1" x14ac:dyDescent="0.2">
      <c r="A443" s="5617" t="s">
        <v>3168</v>
      </c>
      <c r="B443" s="5617"/>
      <c r="C443" s="2303">
        <v>449</v>
      </c>
      <c r="D443" s="2304" t="s">
        <v>2744</v>
      </c>
      <c r="E443" s="2305" t="s">
        <v>3169</v>
      </c>
      <c r="F443" s="2306">
        <v>273</v>
      </c>
      <c r="G443" s="2306"/>
      <c r="H443" s="2307">
        <v>9543</v>
      </c>
      <c r="I443" s="5618">
        <v>9543</v>
      </c>
      <c r="J443" s="5618"/>
      <c r="K443" s="2305"/>
      <c r="L443" s="2305"/>
      <c r="M443" s="2308"/>
      <c r="N443" s="2309"/>
      <c r="O443" s="2309"/>
      <c r="P443" s="2305"/>
      <c r="Q443" s="2305"/>
      <c r="R443" s="2307">
        <v>9543</v>
      </c>
      <c r="S443" s="2307">
        <v>9543</v>
      </c>
      <c r="T443" s="2305"/>
    </row>
    <row r="444" spans="1:20" ht="23.25" customHeight="1" outlineLevel="1" x14ac:dyDescent="0.2">
      <c r="A444" s="5617" t="s">
        <v>3170</v>
      </c>
      <c r="B444" s="5617"/>
      <c r="C444" s="2303">
        <v>136</v>
      </c>
      <c r="D444" s="2304" t="s">
        <v>2196</v>
      </c>
      <c r="E444" s="2305" t="s">
        <v>3171</v>
      </c>
      <c r="F444" s="2306">
        <v>84</v>
      </c>
      <c r="G444" s="2306"/>
      <c r="H444" s="2307">
        <v>34972</v>
      </c>
      <c r="I444" s="5618">
        <v>34972</v>
      </c>
      <c r="J444" s="5618"/>
      <c r="K444" s="2305"/>
      <c r="L444" s="2305"/>
      <c r="M444" s="2308"/>
      <c r="N444" s="2309"/>
      <c r="O444" s="2309"/>
      <c r="P444" s="2305"/>
      <c r="Q444" s="2305"/>
      <c r="R444" s="2307">
        <v>34972</v>
      </c>
      <c r="S444" s="2307">
        <v>34972</v>
      </c>
      <c r="T444" s="2305"/>
    </row>
    <row r="445" spans="1:20" ht="12" customHeight="1" outlineLevel="1" x14ac:dyDescent="0.2">
      <c r="A445" s="5617" t="s">
        <v>3172</v>
      </c>
      <c r="B445" s="5617"/>
      <c r="C445" s="2303">
        <v>138</v>
      </c>
      <c r="D445" s="2304" t="s">
        <v>2196</v>
      </c>
      <c r="E445" s="2305" t="s">
        <v>3173</v>
      </c>
      <c r="F445" s="2306">
        <v>120</v>
      </c>
      <c r="G445" s="2306"/>
      <c r="H445" s="2307">
        <v>26275</v>
      </c>
      <c r="I445" s="5618">
        <v>26275</v>
      </c>
      <c r="J445" s="5618"/>
      <c r="K445" s="2305"/>
      <c r="L445" s="2305"/>
      <c r="M445" s="2308"/>
      <c r="N445" s="2309"/>
      <c r="O445" s="2309"/>
      <c r="P445" s="2305"/>
      <c r="Q445" s="2305"/>
      <c r="R445" s="2307">
        <v>26275</v>
      </c>
      <c r="S445" s="2307">
        <v>26275</v>
      </c>
      <c r="T445" s="2305"/>
    </row>
    <row r="446" spans="1:20" ht="23.25" customHeight="1" outlineLevel="1" x14ac:dyDescent="0.2">
      <c r="A446" s="5617" t="s">
        <v>3174</v>
      </c>
      <c r="B446" s="5617"/>
      <c r="C446" s="2303">
        <v>137</v>
      </c>
      <c r="D446" s="2304" t="s">
        <v>2196</v>
      </c>
      <c r="E446" s="2305" t="s">
        <v>3175</v>
      </c>
      <c r="F446" s="2306">
        <v>120</v>
      </c>
      <c r="G446" s="2306"/>
      <c r="H446" s="2307">
        <v>310016</v>
      </c>
      <c r="I446" s="5618">
        <v>310016</v>
      </c>
      <c r="J446" s="5618"/>
      <c r="K446" s="2305"/>
      <c r="L446" s="2305"/>
      <c r="M446" s="2308"/>
      <c r="N446" s="2309"/>
      <c r="O446" s="2309"/>
      <c r="P446" s="2305"/>
      <c r="Q446" s="2305"/>
      <c r="R446" s="2307">
        <v>310016</v>
      </c>
      <c r="S446" s="2307">
        <v>310016</v>
      </c>
      <c r="T446" s="2305"/>
    </row>
    <row r="447" spans="1:20" ht="12" customHeight="1" outlineLevel="1" x14ac:dyDescent="0.2">
      <c r="A447" s="5617" t="s">
        <v>3176</v>
      </c>
      <c r="B447" s="5617"/>
      <c r="C447" s="2303">
        <v>139</v>
      </c>
      <c r="D447" s="2304" t="s">
        <v>2196</v>
      </c>
      <c r="E447" s="2305" t="s">
        <v>3177</v>
      </c>
      <c r="F447" s="2306">
        <v>120</v>
      </c>
      <c r="G447" s="2306"/>
      <c r="H447" s="2307">
        <v>120537</v>
      </c>
      <c r="I447" s="5618">
        <v>120537</v>
      </c>
      <c r="J447" s="5618"/>
      <c r="K447" s="2305"/>
      <c r="L447" s="2305"/>
      <c r="M447" s="2308"/>
      <c r="N447" s="2309"/>
      <c r="O447" s="2309"/>
      <c r="P447" s="2305"/>
      <c r="Q447" s="2305"/>
      <c r="R447" s="2307">
        <v>120537</v>
      </c>
      <c r="S447" s="2307">
        <v>120537</v>
      </c>
      <c r="T447" s="2305"/>
    </row>
    <row r="448" spans="1:20" ht="12" customHeight="1" outlineLevel="1" x14ac:dyDescent="0.2">
      <c r="A448" s="5617" t="s">
        <v>3178</v>
      </c>
      <c r="B448" s="5617"/>
      <c r="C448" s="2310">
        <v>1974</v>
      </c>
      <c r="D448" s="2304" t="s">
        <v>2681</v>
      </c>
      <c r="E448" s="2305" t="s">
        <v>3179</v>
      </c>
      <c r="F448" s="2306">
        <v>60</v>
      </c>
      <c r="G448" s="2306"/>
      <c r="H448" s="2307">
        <v>31400</v>
      </c>
      <c r="I448" s="5618">
        <v>31400</v>
      </c>
      <c r="J448" s="5618"/>
      <c r="K448" s="2305"/>
      <c r="L448" s="2305"/>
      <c r="M448" s="2308"/>
      <c r="N448" s="2309"/>
      <c r="O448" s="2309"/>
      <c r="P448" s="2305"/>
      <c r="Q448" s="2305"/>
      <c r="R448" s="2307">
        <v>31400</v>
      </c>
      <c r="S448" s="2307">
        <v>31400</v>
      </c>
      <c r="T448" s="2305"/>
    </row>
    <row r="449" spans="1:20" ht="12" customHeight="1" outlineLevel="1" x14ac:dyDescent="0.2">
      <c r="A449" s="5617" t="s">
        <v>3180</v>
      </c>
      <c r="B449" s="5617"/>
      <c r="C449" s="2303">
        <v>718</v>
      </c>
      <c r="D449" s="2304" t="s">
        <v>3181</v>
      </c>
      <c r="E449" s="2305" t="s">
        <v>3182</v>
      </c>
      <c r="F449" s="2306">
        <v>36</v>
      </c>
      <c r="G449" s="2306"/>
      <c r="H449" s="2307">
        <v>12000</v>
      </c>
      <c r="I449" s="5618">
        <v>12000</v>
      </c>
      <c r="J449" s="5618"/>
      <c r="K449" s="2305"/>
      <c r="L449" s="2305"/>
      <c r="M449" s="2308"/>
      <c r="N449" s="2309"/>
      <c r="O449" s="2309"/>
      <c r="P449" s="2305"/>
      <c r="Q449" s="2305"/>
      <c r="R449" s="2307">
        <v>12000</v>
      </c>
      <c r="S449" s="2307">
        <v>12000</v>
      </c>
      <c r="T449" s="2305"/>
    </row>
    <row r="450" spans="1:20" ht="12" customHeight="1" outlineLevel="1" x14ac:dyDescent="0.2">
      <c r="A450" s="5617" t="s">
        <v>3183</v>
      </c>
      <c r="B450" s="5617"/>
      <c r="C450" s="2303">
        <v>379</v>
      </c>
      <c r="D450" s="2304" t="s">
        <v>3184</v>
      </c>
      <c r="E450" s="2305" t="s">
        <v>3185</v>
      </c>
      <c r="F450" s="2306">
        <v>24</v>
      </c>
      <c r="G450" s="2306"/>
      <c r="H450" s="2307">
        <v>123780</v>
      </c>
      <c r="I450" s="5618">
        <v>123780</v>
      </c>
      <c r="J450" s="5618"/>
      <c r="K450" s="2305"/>
      <c r="L450" s="2305"/>
      <c r="M450" s="2308"/>
      <c r="N450" s="2309"/>
      <c r="O450" s="2309"/>
      <c r="P450" s="2305"/>
      <c r="Q450" s="2305"/>
      <c r="R450" s="2307">
        <v>123780</v>
      </c>
      <c r="S450" s="2307">
        <v>123780</v>
      </c>
      <c r="T450" s="2305"/>
    </row>
    <row r="451" spans="1:20" ht="12" customHeight="1" outlineLevel="1" x14ac:dyDescent="0.2">
      <c r="A451" s="5617" t="s">
        <v>3186</v>
      </c>
      <c r="B451" s="5617"/>
      <c r="C451" s="2303">
        <v>380</v>
      </c>
      <c r="D451" s="2304" t="s">
        <v>2976</v>
      </c>
      <c r="E451" s="2305" t="s">
        <v>3187</v>
      </c>
      <c r="F451" s="2306">
        <v>24</v>
      </c>
      <c r="G451" s="2306"/>
      <c r="H451" s="2307">
        <v>81930</v>
      </c>
      <c r="I451" s="5618">
        <v>81930</v>
      </c>
      <c r="J451" s="5618"/>
      <c r="K451" s="2305"/>
      <c r="L451" s="2305"/>
      <c r="M451" s="2308"/>
      <c r="N451" s="2309"/>
      <c r="O451" s="2309"/>
      <c r="P451" s="2305"/>
      <c r="Q451" s="2305"/>
      <c r="R451" s="2307">
        <v>81930</v>
      </c>
      <c r="S451" s="2307">
        <v>81930</v>
      </c>
      <c r="T451" s="2305"/>
    </row>
    <row r="452" spans="1:20" ht="12" customHeight="1" outlineLevel="1" x14ac:dyDescent="0.2">
      <c r="A452" s="5617" t="s">
        <v>3188</v>
      </c>
      <c r="B452" s="5617"/>
      <c r="C452" s="2303">
        <v>145</v>
      </c>
      <c r="D452" s="2304" t="s">
        <v>2574</v>
      </c>
      <c r="E452" s="2305" t="s">
        <v>3189</v>
      </c>
      <c r="F452" s="2306">
        <v>132</v>
      </c>
      <c r="G452" s="2306"/>
      <c r="H452" s="2307">
        <v>2700</v>
      </c>
      <c r="I452" s="5618">
        <v>2700</v>
      </c>
      <c r="J452" s="5618"/>
      <c r="K452" s="2305"/>
      <c r="L452" s="2305"/>
      <c r="M452" s="2308"/>
      <c r="N452" s="2309"/>
      <c r="O452" s="2309"/>
      <c r="P452" s="2305"/>
      <c r="Q452" s="2305"/>
      <c r="R452" s="2307">
        <v>2700</v>
      </c>
      <c r="S452" s="2307">
        <v>2700</v>
      </c>
      <c r="T452" s="2305"/>
    </row>
    <row r="453" spans="1:20" ht="12" customHeight="1" outlineLevel="1" x14ac:dyDescent="0.2">
      <c r="A453" s="5617" t="s">
        <v>3190</v>
      </c>
      <c r="B453" s="5617"/>
      <c r="C453" s="2303">
        <v>373</v>
      </c>
      <c r="D453" s="2304" t="s">
        <v>2844</v>
      </c>
      <c r="E453" s="2305" t="s">
        <v>3191</v>
      </c>
      <c r="F453" s="2306">
        <v>67</v>
      </c>
      <c r="G453" s="2306"/>
      <c r="H453" s="2307">
        <v>41700</v>
      </c>
      <c r="I453" s="5618">
        <v>41700</v>
      </c>
      <c r="J453" s="5618"/>
      <c r="K453" s="2305"/>
      <c r="L453" s="2305"/>
      <c r="M453" s="2308"/>
      <c r="N453" s="2309"/>
      <c r="O453" s="2309"/>
      <c r="P453" s="2305"/>
      <c r="Q453" s="2305"/>
      <c r="R453" s="2307">
        <v>41700</v>
      </c>
      <c r="S453" s="2307">
        <v>41700</v>
      </c>
      <c r="T453" s="2305"/>
    </row>
    <row r="454" spans="1:20" ht="12" customHeight="1" outlineLevel="1" x14ac:dyDescent="0.2">
      <c r="A454" s="5617" t="s">
        <v>3192</v>
      </c>
      <c r="B454" s="5617"/>
      <c r="C454" s="2303">
        <v>374</v>
      </c>
      <c r="D454" s="2304" t="s">
        <v>2844</v>
      </c>
      <c r="E454" s="2305" t="s">
        <v>3193</v>
      </c>
      <c r="F454" s="2306">
        <v>67</v>
      </c>
      <c r="G454" s="2306"/>
      <c r="H454" s="2307">
        <v>13900</v>
      </c>
      <c r="I454" s="5618">
        <v>13900</v>
      </c>
      <c r="J454" s="5618"/>
      <c r="K454" s="2305"/>
      <c r="L454" s="2305"/>
      <c r="M454" s="2308"/>
      <c r="N454" s="2309"/>
      <c r="O454" s="2309"/>
      <c r="P454" s="2305"/>
      <c r="Q454" s="2305"/>
      <c r="R454" s="2307">
        <v>13900</v>
      </c>
      <c r="S454" s="2307">
        <v>13900</v>
      </c>
      <c r="T454" s="2305"/>
    </row>
    <row r="455" spans="1:20" ht="12" customHeight="1" outlineLevel="1" x14ac:dyDescent="0.2">
      <c r="A455" s="5617" t="s">
        <v>3194</v>
      </c>
      <c r="B455" s="5617"/>
      <c r="C455" s="2310">
        <v>1734</v>
      </c>
      <c r="D455" s="2304" t="s">
        <v>2652</v>
      </c>
      <c r="E455" s="2305" t="s">
        <v>3195</v>
      </c>
      <c r="F455" s="2306">
        <v>120</v>
      </c>
      <c r="G455" s="2306"/>
      <c r="H455" s="2307">
        <v>23050.85</v>
      </c>
      <c r="I455" s="5618">
        <v>23050.85</v>
      </c>
      <c r="J455" s="5618"/>
      <c r="K455" s="2305"/>
      <c r="L455" s="2305"/>
      <c r="M455" s="2308"/>
      <c r="N455" s="2309"/>
      <c r="O455" s="2309"/>
      <c r="P455" s="2305"/>
      <c r="Q455" s="2305"/>
      <c r="R455" s="2307">
        <v>23050.85</v>
      </c>
      <c r="S455" s="2307">
        <v>23050.85</v>
      </c>
      <c r="T455" s="2305"/>
    </row>
    <row r="456" spans="1:20" s="2326" customFormat="1" ht="12" customHeight="1" outlineLevel="1" x14ac:dyDescent="0.2">
      <c r="A456" s="5626" t="s">
        <v>3194</v>
      </c>
      <c r="B456" s="5626"/>
      <c r="C456" s="2349">
        <v>2361</v>
      </c>
      <c r="D456" s="2321" t="s">
        <v>3030</v>
      </c>
      <c r="E456" s="2322" t="s">
        <v>3196</v>
      </c>
      <c r="F456" s="2323">
        <v>96</v>
      </c>
      <c r="G456" s="2323"/>
      <c r="H456" s="2324">
        <v>24250</v>
      </c>
      <c r="I456" s="5627">
        <v>22481.4</v>
      </c>
      <c r="J456" s="5627"/>
      <c r="K456" s="2324">
        <v>1768.6</v>
      </c>
      <c r="L456" s="2322"/>
      <c r="M456" s="2324">
        <v>1768.6</v>
      </c>
      <c r="N456" s="2324">
        <f>M456</f>
        <v>1768.6</v>
      </c>
      <c r="O456" s="2324"/>
      <c r="P456" s="2322"/>
      <c r="Q456" s="2322"/>
      <c r="R456" s="2324">
        <v>24250</v>
      </c>
      <c r="S456" s="2324">
        <v>24250</v>
      </c>
      <c r="T456" s="2322"/>
    </row>
    <row r="457" spans="1:20" ht="12" customHeight="1" outlineLevel="1" x14ac:dyDescent="0.2">
      <c r="A457" s="5617" t="s">
        <v>3197</v>
      </c>
      <c r="B457" s="5617"/>
      <c r="C457" s="2303">
        <v>198</v>
      </c>
      <c r="D457" s="2304" t="s">
        <v>2974</v>
      </c>
      <c r="E457" s="2305" t="s">
        <v>3198</v>
      </c>
      <c r="F457" s="2306">
        <v>273</v>
      </c>
      <c r="G457" s="2306"/>
      <c r="H457" s="2307">
        <v>78900</v>
      </c>
      <c r="I457" s="5618">
        <v>78900</v>
      </c>
      <c r="J457" s="5618"/>
      <c r="K457" s="2305"/>
      <c r="L457" s="2305"/>
      <c r="M457" s="2308"/>
      <c r="N457" s="2309"/>
      <c r="O457" s="2309"/>
      <c r="P457" s="2305"/>
      <c r="Q457" s="2305"/>
      <c r="R457" s="2307">
        <v>78900</v>
      </c>
      <c r="S457" s="2307">
        <v>78900</v>
      </c>
      <c r="T457" s="2305"/>
    </row>
    <row r="458" spans="1:20" ht="12" customHeight="1" outlineLevel="1" x14ac:dyDescent="0.2">
      <c r="A458" s="5617" t="s">
        <v>3199</v>
      </c>
      <c r="B458" s="5617"/>
      <c r="C458" s="2303">
        <v>216</v>
      </c>
      <c r="D458" s="2304" t="s">
        <v>2261</v>
      </c>
      <c r="E458" s="2305" t="s">
        <v>3200</v>
      </c>
      <c r="F458" s="2306">
        <v>273</v>
      </c>
      <c r="G458" s="2306"/>
      <c r="H458" s="2307">
        <v>6888</v>
      </c>
      <c r="I458" s="5618">
        <v>6888</v>
      </c>
      <c r="J458" s="5618"/>
      <c r="K458" s="2305"/>
      <c r="L458" s="2305"/>
      <c r="M458" s="2308"/>
      <c r="N458" s="2309"/>
      <c r="O458" s="2309"/>
      <c r="P458" s="2305"/>
      <c r="Q458" s="2305"/>
      <c r="R458" s="2307">
        <v>6888</v>
      </c>
      <c r="S458" s="2307">
        <v>6888</v>
      </c>
      <c r="T458" s="2305"/>
    </row>
    <row r="459" spans="1:20" ht="12" customHeight="1" outlineLevel="1" x14ac:dyDescent="0.2">
      <c r="A459" s="5617" t="s">
        <v>3201</v>
      </c>
      <c r="B459" s="5617"/>
      <c r="C459" s="2303">
        <v>199</v>
      </c>
      <c r="D459" s="2304" t="s">
        <v>2974</v>
      </c>
      <c r="E459" s="2305" t="s">
        <v>3202</v>
      </c>
      <c r="F459" s="2306">
        <v>132</v>
      </c>
      <c r="G459" s="2306"/>
      <c r="H459" s="2307">
        <v>42530</v>
      </c>
      <c r="I459" s="5618">
        <v>42530</v>
      </c>
      <c r="J459" s="5618"/>
      <c r="K459" s="2305"/>
      <c r="L459" s="2305"/>
      <c r="M459" s="2308"/>
      <c r="N459" s="2309"/>
      <c r="O459" s="2309"/>
      <c r="P459" s="2305"/>
      <c r="Q459" s="2305"/>
      <c r="R459" s="2307">
        <v>42530</v>
      </c>
      <c r="S459" s="2307">
        <v>42530</v>
      </c>
      <c r="T459" s="2305"/>
    </row>
    <row r="460" spans="1:20" ht="12" customHeight="1" outlineLevel="1" x14ac:dyDescent="0.2">
      <c r="A460" s="5617" t="s">
        <v>3203</v>
      </c>
      <c r="B460" s="5617"/>
      <c r="C460" s="2344">
        <v>1488</v>
      </c>
      <c r="D460" s="2304" t="s">
        <v>3204</v>
      </c>
      <c r="E460" s="2305" t="s">
        <v>3205</v>
      </c>
      <c r="F460" s="2306">
        <v>84</v>
      </c>
      <c r="G460" s="2306"/>
      <c r="H460" s="2307">
        <v>67850</v>
      </c>
      <c r="I460" s="5618">
        <v>25847.68</v>
      </c>
      <c r="J460" s="5618"/>
      <c r="K460" s="2307">
        <v>42002.32</v>
      </c>
      <c r="L460" s="2305"/>
      <c r="M460" s="2309">
        <v>9692.8799999999992</v>
      </c>
      <c r="N460" s="2309">
        <f>M460</f>
        <v>9692.8799999999992</v>
      </c>
      <c r="O460" s="2309"/>
      <c r="P460" s="2305"/>
      <c r="Q460" s="2305"/>
      <c r="R460" s="2307">
        <v>67850</v>
      </c>
      <c r="S460" s="2307">
        <v>35540.559999999998</v>
      </c>
      <c r="T460" s="2307">
        <v>32309.439999999999</v>
      </c>
    </row>
    <row r="461" spans="1:20" ht="12" customHeight="1" outlineLevel="1" x14ac:dyDescent="0.2">
      <c r="A461" s="5617" t="s">
        <v>3206</v>
      </c>
      <c r="B461" s="5617"/>
      <c r="C461" s="2303">
        <v>149</v>
      </c>
      <c r="D461" s="2304" t="s">
        <v>2196</v>
      </c>
      <c r="E461" s="2305" t="s">
        <v>3207</v>
      </c>
      <c r="F461" s="2306">
        <v>84</v>
      </c>
      <c r="G461" s="2306"/>
      <c r="H461" s="2307">
        <v>10666</v>
      </c>
      <c r="I461" s="5618">
        <v>10666</v>
      </c>
      <c r="J461" s="5618"/>
      <c r="K461" s="2305"/>
      <c r="L461" s="2305"/>
      <c r="M461" s="2308"/>
      <c r="N461" s="2309"/>
      <c r="O461" s="2309"/>
      <c r="P461" s="2305"/>
      <c r="Q461" s="2305"/>
      <c r="R461" s="2307">
        <v>10666</v>
      </c>
      <c r="S461" s="2307">
        <v>10666</v>
      </c>
      <c r="T461" s="2305"/>
    </row>
    <row r="462" spans="1:20" ht="12" customHeight="1" outlineLevel="1" x14ac:dyDescent="0.2">
      <c r="A462" s="5617" t="s">
        <v>3208</v>
      </c>
      <c r="B462" s="5617"/>
      <c r="C462" s="2303">
        <v>146</v>
      </c>
      <c r="D462" s="2304" t="s">
        <v>2574</v>
      </c>
      <c r="E462" s="2305" t="s">
        <v>3209</v>
      </c>
      <c r="F462" s="2306">
        <v>70</v>
      </c>
      <c r="G462" s="2306"/>
      <c r="H462" s="2307">
        <v>18300</v>
      </c>
      <c r="I462" s="5618">
        <v>18300</v>
      </c>
      <c r="J462" s="5618"/>
      <c r="K462" s="2305"/>
      <c r="L462" s="2305"/>
      <c r="M462" s="2308"/>
      <c r="N462" s="2309"/>
      <c r="O462" s="2309"/>
      <c r="P462" s="2305"/>
      <c r="Q462" s="2305"/>
      <c r="R462" s="2307">
        <v>18300</v>
      </c>
      <c r="S462" s="2307">
        <v>18300</v>
      </c>
      <c r="T462" s="2305"/>
    </row>
    <row r="463" spans="1:20" ht="12" customHeight="1" outlineLevel="1" x14ac:dyDescent="0.2">
      <c r="A463" s="5617" t="s">
        <v>3210</v>
      </c>
      <c r="B463" s="5617"/>
      <c r="C463" s="2303">
        <v>148</v>
      </c>
      <c r="D463" s="2304" t="s">
        <v>2196</v>
      </c>
      <c r="E463" s="2305" t="s">
        <v>3211</v>
      </c>
      <c r="F463" s="2306">
        <v>84</v>
      </c>
      <c r="G463" s="2306"/>
      <c r="H463" s="2307">
        <v>14245</v>
      </c>
      <c r="I463" s="5618">
        <v>14245</v>
      </c>
      <c r="J463" s="5618"/>
      <c r="K463" s="2305"/>
      <c r="L463" s="2305"/>
      <c r="M463" s="2308"/>
      <c r="N463" s="2309"/>
      <c r="O463" s="2309"/>
      <c r="P463" s="2305"/>
      <c r="Q463" s="2305"/>
      <c r="R463" s="2307">
        <v>14245</v>
      </c>
      <c r="S463" s="2307">
        <v>14245</v>
      </c>
      <c r="T463" s="2305"/>
    </row>
    <row r="464" spans="1:20" ht="12" customHeight="1" outlineLevel="1" x14ac:dyDescent="0.2">
      <c r="A464" s="5617" t="s">
        <v>3212</v>
      </c>
      <c r="B464" s="5617"/>
      <c r="C464" s="2303">
        <v>423</v>
      </c>
      <c r="D464" s="2304" t="s">
        <v>3076</v>
      </c>
      <c r="E464" s="2305" t="s">
        <v>3213</v>
      </c>
      <c r="F464" s="2306">
        <v>96</v>
      </c>
      <c r="G464" s="2306"/>
      <c r="H464" s="2307">
        <v>1616</v>
      </c>
      <c r="I464" s="5618">
        <v>1616</v>
      </c>
      <c r="J464" s="5618"/>
      <c r="K464" s="2305"/>
      <c r="L464" s="2305"/>
      <c r="M464" s="2308"/>
      <c r="N464" s="2309"/>
      <c r="O464" s="2309"/>
      <c r="P464" s="2305"/>
      <c r="Q464" s="2305"/>
      <c r="R464" s="2307">
        <v>1616</v>
      </c>
      <c r="S464" s="2307">
        <v>1616</v>
      </c>
      <c r="T464" s="2305"/>
    </row>
    <row r="465" spans="1:20" ht="23.25" customHeight="1" outlineLevel="1" x14ac:dyDescent="0.2">
      <c r="A465" s="5617" t="s">
        <v>3214</v>
      </c>
      <c r="B465" s="5617"/>
      <c r="C465" s="2303">
        <v>364</v>
      </c>
      <c r="D465" s="2304" t="s">
        <v>2598</v>
      </c>
      <c r="E465" s="2305" t="s">
        <v>3215</v>
      </c>
      <c r="F465" s="2306">
        <v>84</v>
      </c>
      <c r="G465" s="2306"/>
      <c r="H465" s="2307">
        <v>2590</v>
      </c>
      <c r="I465" s="5618">
        <v>2590</v>
      </c>
      <c r="J465" s="5618"/>
      <c r="K465" s="2305"/>
      <c r="L465" s="2305"/>
      <c r="M465" s="2308"/>
      <c r="N465" s="2309"/>
      <c r="O465" s="2309"/>
      <c r="P465" s="2305"/>
      <c r="Q465" s="2305"/>
      <c r="R465" s="2307">
        <v>2590</v>
      </c>
      <c r="S465" s="2307">
        <v>2590</v>
      </c>
      <c r="T465" s="2305"/>
    </row>
    <row r="466" spans="1:20" ht="23.25" customHeight="1" outlineLevel="1" x14ac:dyDescent="0.2">
      <c r="A466" s="5617" t="s">
        <v>3216</v>
      </c>
      <c r="B466" s="5617"/>
      <c r="C466" s="2303">
        <v>365</v>
      </c>
      <c r="D466" s="2304" t="s">
        <v>2598</v>
      </c>
      <c r="E466" s="2305" t="s">
        <v>3217</v>
      </c>
      <c r="F466" s="2306">
        <v>84</v>
      </c>
      <c r="G466" s="2306"/>
      <c r="H466" s="2307">
        <v>6231</v>
      </c>
      <c r="I466" s="5618">
        <v>6231</v>
      </c>
      <c r="J466" s="5618"/>
      <c r="K466" s="2305"/>
      <c r="L466" s="2305"/>
      <c r="M466" s="2308"/>
      <c r="N466" s="2309"/>
      <c r="O466" s="2309"/>
      <c r="P466" s="2305"/>
      <c r="Q466" s="2305"/>
      <c r="R466" s="2307">
        <v>6231</v>
      </c>
      <c r="S466" s="2307">
        <v>6231</v>
      </c>
      <c r="T466" s="2305"/>
    </row>
    <row r="467" spans="1:20" ht="12" customHeight="1" outlineLevel="1" x14ac:dyDescent="0.2">
      <c r="A467" s="5617" t="s">
        <v>3218</v>
      </c>
      <c r="B467" s="5617"/>
      <c r="C467" s="2303">
        <v>367</v>
      </c>
      <c r="D467" s="2304" t="s">
        <v>2598</v>
      </c>
      <c r="E467" s="2305" t="s">
        <v>3219</v>
      </c>
      <c r="F467" s="2306">
        <v>84</v>
      </c>
      <c r="G467" s="2306"/>
      <c r="H467" s="2307">
        <v>3395</v>
      </c>
      <c r="I467" s="5618">
        <v>3395</v>
      </c>
      <c r="J467" s="5618"/>
      <c r="K467" s="2305"/>
      <c r="L467" s="2305"/>
      <c r="M467" s="2308"/>
      <c r="N467" s="2309"/>
      <c r="O467" s="2309"/>
      <c r="P467" s="2305"/>
      <c r="Q467" s="2305"/>
      <c r="R467" s="2307">
        <v>3395</v>
      </c>
      <c r="S467" s="2307">
        <v>3395</v>
      </c>
      <c r="T467" s="2305"/>
    </row>
    <row r="468" spans="1:20" ht="12" customHeight="1" outlineLevel="1" x14ac:dyDescent="0.2">
      <c r="A468" s="5617" t="s">
        <v>3220</v>
      </c>
      <c r="B468" s="5617"/>
      <c r="C468" s="2303">
        <v>366</v>
      </c>
      <c r="D468" s="2304" t="s">
        <v>2598</v>
      </c>
      <c r="E468" s="2305" t="s">
        <v>3221</v>
      </c>
      <c r="F468" s="2306">
        <v>84</v>
      </c>
      <c r="G468" s="2306"/>
      <c r="H468" s="2307">
        <v>10944</v>
      </c>
      <c r="I468" s="5618">
        <v>10944</v>
      </c>
      <c r="J468" s="5618"/>
      <c r="K468" s="2305"/>
      <c r="L468" s="2305"/>
      <c r="M468" s="2308"/>
      <c r="N468" s="2309"/>
      <c r="O468" s="2309"/>
      <c r="P468" s="2305"/>
      <c r="Q468" s="2305"/>
      <c r="R468" s="2307">
        <v>10944</v>
      </c>
      <c r="S468" s="2307">
        <v>10944</v>
      </c>
      <c r="T468" s="2305"/>
    </row>
    <row r="469" spans="1:20" ht="12" customHeight="1" outlineLevel="1" x14ac:dyDescent="0.2">
      <c r="A469" s="5617" t="s">
        <v>3222</v>
      </c>
      <c r="B469" s="5617"/>
      <c r="C469" s="2303">
        <v>305</v>
      </c>
      <c r="D469" s="2304" t="s">
        <v>3223</v>
      </c>
      <c r="E469" s="2305" t="s">
        <v>3224</v>
      </c>
      <c r="F469" s="2306">
        <v>115</v>
      </c>
      <c r="G469" s="2306"/>
      <c r="H469" s="2307">
        <v>3000</v>
      </c>
      <c r="I469" s="5618">
        <v>3000</v>
      </c>
      <c r="J469" s="5618"/>
      <c r="K469" s="2305"/>
      <c r="L469" s="2305"/>
      <c r="M469" s="2308"/>
      <c r="N469" s="2309"/>
      <c r="O469" s="2309"/>
      <c r="P469" s="2305"/>
      <c r="Q469" s="2305"/>
      <c r="R469" s="2307">
        <v>3000</v>
      </c>
      <c r="S469" s="2307">
        <v>3000</v>
      </c>
      <c r="T469" s="2305"/>
    </row>
    <row r="470" spans="1:20" ht="12" customHeight="1" outlineLevel="1" x14ac:dyDescent="0.2">
      <c r="A470" s="5617" t="s">
        <v>3225</v>
      </c>
      <c r="B470" s="5617"/>
      <c r="C470" s="2303">
        <v>450</v>
      </c>
      <c r="D470" s="2304" t="s">
        <v>2631</v>
      </c>
      <c r="E470" s="2305" t="s">
        <v>3226</v>
      </c>
      <c r="F470" s="2306">
        <v>273</v>
      </c>
      <c r="G470" s="2306"/>
      <c r="H470" s="2307">
        <v>4877</v>
      </c>
      <c r="I470" s="5618">
        <v>4877</v>
      </c>
      <c r="J470" s="5618"/>
      <c r="K470" s="2305"/>
      <c r="L470" s="2305"/>
      <c r="M470" s="2308"/>
      <c r="N470" s="2309"/>
      <c r="O470" s="2309"/>
      <c r="P470" s="2305"/>
      <c r="Q470" s="2305"/>
      <c r="R470" s="2307">
        <v>4877</v>
      </c>
      <c r="S470" s="2307">
        <v>4877</v>
      </c>
      <c r="T470" s="2305"/>
    </row>
    <row r="471" spans="1:20" ht="12" customHeight="1" outlineLevel="1" x14ac:dyDescent="0.2">
      <c r="A471" s="5617" t="s">
        <v>3227</v>
      </c>
      <c r="B471" s="5617"/>
      <c r="C471" s="2310">
        <v>1857</v>
      </c>
      <c r="D471" s="2304" t="s">
        <v>3228</v>
      </c>
      <c r="E471" s="2305" t="s">
        <v>3229</v>
      </c>
      <c r="F471" s="2306">
        <v>120</v>
      </c>
      <c r="G471" s="2306"/>
      <c r="H471" s="2307">
        <v>13542.39</v>
      </c>
      <c r="I471" s="5618">
        <v>13542.39</v>
      </c>
      <c r="J471" s="5618"/>
      <c r="K471" s="2305"/>
      <c r="L471" s="2305"/>
      <c r="M471" s="2308"/>
      <c r="N471" s="2309"/>
      <c r="O471" s="2309"/>
      <c r="P471" s="2305"/>
      <c r="Q471" s="2305"/>
      <c r="R471" s="2307">
        <v>13542.39</v>
      </c>
      <c r="S471" s="2307">
        <v>13542.39</v>
      </c>
      <c r="T471" s="2305"/>
    </row>
    <row r="472" spans="1:20" ht="12" customHeight="1" outlineLevel="1" x14ac:dyDescent="0.2">
      <c r="A472" s="5617" t="s">
        <v>3230</v>
      </c>
      <c r="B472" s="5617"/>
      <c r="C472" s="2310">
        <v>1854</v>
      </c>
      <c r="D472" s="2304" t="s">
        <v>2888</v>
      </c>
      <c r="E472" s="2305" t="s">
        <v>3231</v>
      </c>
      <c r="F472" s="2306">
        <v>120</v>
      </c>
      <c r="G472" s="2306"/>
      <c r="H472" s="2307">
        <v>18579.259999999998</v>
      </c>
      <c r="I472" s="5618">
        <v>18579.259999999998</v>
      </c>
      <c r="J472" s="5618"/>
      <c r="K472" s="2305"/>
      <c r="L472" s="2305"/>
      <c r="M472" s="2308"/>
      <c r="N472" s="2309"/>
      <c r="O472" s="2309"/>
      <c r="P472" s="2305"/>
      <c r="Q472" s="2305"/>
      <c r="R472" s="2307">
        <v>18579.259999999998</v>
      </c>
      <c r="S472" s="2307">
        <v>18579.259999999998</v>
      </c>
      <c r="T472" s="2305"/>
    </row>
    <row r="473" spans="1:20" ht="12" customHeight="1" outlineLevel="1" x14ac:dyDescent="0.2">
      <c r="A473" s="5617" t="s">
        <v>3230</v>
      </c>
      <c r="B473" s="5617"/>
      <c r="C473" s="2310">
        <v>1855</v>
      </c>
      <c r="D473" s="2304" t="s">
        <v>2888</v>
      </c>
      <c r="E473" s="2305" t="s">
        <v>3231</v>
      </c>
      <c r="F473" s="2306">
        <v>120</v>
      </c>
      <c r="G473" s="2306"/>
      <c r="H473" s="2307">
        <v>18579.259999999998</v>
      </c>
      <c r="I473" s="5618">
        <v>18579.259999999998</v>
      </c>
      <c r="J473" s="5618"/>
      <c r="K473" s="2305"/>
      <c r="L473" s="2305"/>
      <c r="M473" s="2308"/>
      <c r="N473" s="2309"/>
      <c r="O473" s="2309"/>
      <c r="P473" s="2305"/>
      <c r="Q473" s="2305"/>
      <c r="R473" s="2307">
        <v>18579.259999999998</v>
      </c>
      <c r="S473" s="2307">
        <v>18579.259999999998</v>
      </c>
      <c r="T473" s="2305"/>
    </row>
    <row r="474" spans="1:20" ht="12" customHeight="1" outlineLevel="1" x14ac:dyDescent="0.2">
      <c r="A474" s="5617" t="s">
        <v>3232</v>
      </c>
      <c r="B474" s="5617"/>
      <c r="C474" s="2303">
        <v>593</v>
      </c>
      <c r="D474" s="2304" t="s">
        <v>2773</v>
      </c>
      <c r="E474" s="2305" t="s">
        <v>3233</v>
      </c>
      <c r="F474" s="2306">
        <v>84</v>
      </c>
      <c r="G474" s="2306"/>
      <c r="H474" s="2307">
        <v>13720</v>
      </c>
      <c r="I474" s="5618">
        <v>13720</v>
      </c>
      <c r="J474" s="5618"/>
      <c r="K474" s="2305"/>
      <c r="L474" s="2305"/>
      <c r="M474" s="2308"/>
      <c r="N474" s="2309"/>
      <c r="O474" s="2309"/>
      <c r="P474" s="2305"/>
      <c r="Q474" s="2305"/>
      <c r="R474" s="2307">
        <v>13720</v>
      </c>
      <c r="S474" s="2307">
        <v>13720</v>
      </c>
      <c r="T474" s="2305"/>
    </row>
    <row r="475" spans="1:20" ht="12" customHeight="1" outlineLevel="1" x14ac:dyDescent="0.2">
      <c r="A475" s="5617" t="s">
        <v>3234</v>
      </c>
      <c r="B475" s="5617"/>
      <c r="C475" s="2303">
        <v>705</v>
      </c>
      <c r="D475" s="2304" t="s">
        <v>2247</v>
      </c>
      <c r="E475" s="2305" t="s">
        <v>3235</v>
      </c>
      <c r="F475" s="2306">
        <v>12</v>
      </c>
      <c r="G475" s="2306"/>
      <c r="H475" s="2307">
        <v>2350</v>
      </c>
      <c r="I475" s="5618">
        <v>2350</v>
      </c>
      <c r="J475" s="5618"/>
      <c r="K475" s="2305"/>
      <c r="L475" s="2305"/>
      <c r="M475" s="2308"/>
      <c r="N475" s="2309"/>
      <c r="O475" s="2309"/>
      <c r="P475" s="2305"/>
      <c r="Q475" s="2305"/>
      <c r="R475" s="2307">
        <v>2350</v>
      </c>
      <c r="S475" s="2307">
        <v>2350</v>
      </c>
      <c r="T475" s="2305"/>
    </row>
    <row r="476" spans="1:20" ht="12" customHeight="1" outlineLevel="1" x14ac:dyDescent="0.2">
      <c r="A476" s="5617" t="s">
        <v>3236</v>
      </c>
      <c r="B476" s="5617"/>
      <c r="C476" s="2303">
        <v>452</v>
      </c>
      <c r="D476" s="2304" t="s">
        <v>2744</v>
      </c>
      <c r="E476" s="2305" t="s">
        <v>3237</v>
      </c>
      <c r="F476" s="2306">
        <v>273</v>
      </c>
      <c r="G476" s="2306"/>
      <c r="H476" s="2307">
        <v>28383</v>
      </c>
      <c r="I476" s="5618">
        <v>28383</v>
      </c>
      <c r="J476" s="5618"/>
      <c r="K476" s="2305"/>
      <c r="L476" s="2305"/>
      <c r="M476" s="2308"/>
      <c r="N476" s="2309"/>
      <c r="O476" s="2309"/>
      <c r="P476" s="2305"/>
      <c r="Q476" s="2305"/>
      <c r="R476" s="2307">
        <v>28383</v>
      </c>
      <c r="S476" s="2307">
        <v>28383</v>
      </c>
      <c r="T476" s="2305"/>
    </row>
    <row r="477" spans="1:20" ht="23.25" customHeight="1" outlineLevel="1" x14ac:dyDescent="0.2">
      <c r="A477" s="5617" t="s">
        <v>3238</v>
      </c>
      <c r="B477" s="5617"/>
      <c r="C477" s="2344">
        <v>1492</v>
      </c>
      <c r="D477" s="2304" t="s">
        <v>2537</v>
      </c>
      <c r="E477" s="2305" t="s">
        <v>3239</v>
      </c>
      <c r="F477" s="2306">
        <v>84</v>
      </c>
      <c r="G477" s="2306"/>
      <c r="H477" s="2307">
        <v>84491.53</v>
      </c>
      <c r="I477" s="5618">
        <v>21122.85</v>
      </c>
      <c r="J477" s="5618"/>
      <c r="K477" s="2307">
        <v>63368.68</v>
      </c>
      <c r="L477" s="2305"/>
      <c r="M477" s="2309">
        <v>12070.2</v>
      </c>
      <c r="N477" s="2309">
        <f>M477</f>
        <v>12070.2</v>
      </c>
      <c r="O477" s="2309"/>
      <c r="P477" s="2305"/>
      <c r="Q477" s="2305"/>
      <c r="R477" s="2307">
        <v>84491.53</v>
      </c>
      <c r="S477" s="2307">
        <v>33193.050000000003</v>
      </c>
      <c r="T477" s="2307">
        <v>51298.48</v>
      </c>
    </row>
    <row r="478" spans="1:20" ht="12" customHeight="1" outlineLevel="1" x14ac:dyDescent="0.2">
      <c r="A478" s="5617" t="s">
        <v>3203</v>
      </c>
      <c r="B478" s="5617"/>
      <c r="C478" s="2344">
        <v>1487</v>
      </c>
      <c r="D478" s="2304" t="s">
        <v>3204</v>
      </c>
      <c r="E478" s="2305" t="s">
        <v>3240</v>
      </c>
      <c r="F478" s="2306">
        <v>84</v>
      </c>
      <c r="G478" s="2306"/>
      <c r="H478" s="2307">
        <v>68422.039999999994</v>
      </c>
      <c r="I478" s="5618">
        <v>26065.599999999999</v>
      </c>
      <c r="J478" s="5618"/>
      <c r="K478" s="2307">
        <v>42356.44</v>
      </c>
      <c r="L478" s="2305"/>
      <c r="M478" s="2309">
        <v>9774.6</v>
      </c>
      <c r="N478" s="2309">
        <f>M478</f>
        <v>9774.6</v>
      </c>
      <c r="O478" s="2309"/>
      <c r="P478" s="2305"/>
      <c r="Q478" s="2305"/>
      <c r="R478" s="2307">
        <v>68422.039999999994</v>
      </c>
      <c r="S478" s="2307">
        <v>35840.199999999997</v>
      </c>
      <c r="T478" s="2307">
        <v>32581.84</v>
      </c>
    </row>
    <row r="479" spans="1:20" s="2330" customFormat="1" ht="12.75" customHeight="1" x14ac:dyDescent="0.2">
      <c r="A479" s="5624" t="s">
        <v>3241</v>
      </c>
      <c r="B479" s="5624"/>
      <c r="C479" s="5624"/>
      <c r="D479" s="5624"/>
      <c r="E479" s="5624"/>
      <c r="F479" s="5624"/>
      <c r="G479" s="2327"/>
      <c r="H479" s="2328">
        <v>5473665.2699999996</v>
      </c>
      <c r="I479" s="5625">
        <v>4958414.05</v>
      </c>
      <c r="J479" s="5625"/>
      <c r="K479" s="2328">
        <v>515251.22</v>
      </c>
      <c r="L479" s="2354"/>
      <c r="M479" s="2329">
        <v>153792.14000000001</v>
      </c>
      <c r="N479" s="2329"/>
      <c r="O479" s="2329"/>
      <c r="P479" s="2354"/>
      <c r="Q479" s="2354"/>
      <c r="R479" s="2328">
        <v>5473665.2699999996</v>
      </c>
      <c r="S479" s="2328">
        <v>5112206.1900000004</v>
      </c>
      <c r="T479" s="2328">
        <v>361459.08</v>
      </c>
    </row>
    <row r="480" spans="1:20" ht="23.25" customHeight="1" outlineLevel="1" x14ac:dyDescent="0.2">
      <c r="A480" s="5617" t="s">
        <v>3242</v>
      </c>
      <c r="B480" s="5617"/>
      <c r="C480" s="2303">
        <v>497</v>
      </c>
      <c r="D480" s="2304" t="s">
        <v>3243</v>
      </c>
      <c r="E480" s="2305" t="s">
        <v>3244</v>
      </c>
      <c r="F480" s="2306">
        <v>120</v>
      </c>
      <c r="G480" s="2306"/>
      <c r="H480" s="2307">
        <v>65682</v>
      </c>
      <c r="I480" s="5618">
        <v>65682</v>
      </c>
      <c r="J480" s="5618"/>
      <c r="K480" s="2305"/>
      <c r="L480" s="2305"/>
      <c r="M480" s="2308"/>
      <c r="N480" s="2308"/>
      <c r="O480" s="2308"/>
      <c r="P480" s="2305"/>
      <c r="Q480" s="2305"/>
      <c r="R480" s="2307">
        <v>65682</v>
      </c>
      <c r="S480" s="2307">
        <v>65682</v>
      </c>
      <c r="T480" s="2305"/>
    </row>
    <row r="481" spans="1:20" ht="23.25" customHeight="1" outlineLevel="1" x14ac:dyDescent="0.2">
      <c r="A481" s="5617" t="s">
        <v>3245</v>
      </c>
      <c r="B481" s="5617"/>
      <c r="C481" s="2303">
        <v>495</v>
      </c>
      <c r="D481" s="2304" t="s">
        <v>3246</v>
      </c>
      <c r="E481" s="2305" t="s">
        <v>3247</v>
      </c>
      <c r="F481" s="2306">
        <v>120</v>
      </c>
      <c r="G481" s="2306"/>
      <c r="H481" s="2307">
        <v>70698.649999999994</v>
      </c>
      <c r="I481" s="5618">
        <v>70698.649999999994</v>
      </c>
      <c r="J481" s="5618"/>
      <c r="K481" s="2305"/>
      <c r="L481" s="2305"/>
      <c r="M481" s="2308"/>
      <c r="N481" s="2308"/>
      <c r="O481" s="2308"/>
      <c r="P481" s="2305"/>
      <c r="Q481" s="2305"/>
      <c r="R481" s="2307">
        <v>70698.649999999994</v>
      </c>
      <c r="S481" s="2307">
        <v>70698.649999999994</v>
      </c>
      <c r="T481" s="2305"/>
    </row>
    <row r="482" spans="1:20" ht="12" customHeight="1" outlineLevel="1" x14ac:dyDescent="0.2">
      <c r="A482" s="5617" t="s">
        <v>3248</v>
      </c>
      <c r="B482" s="5617"/>
      <c r="C482" s="2303">
        <v>498</v>
      </c>
      <c r="D482" s="2304" t="s">
        <v>3249</v>
      </c>
      <c r="E482" s="2305" t="s">
        <v>3250</v>
      </c>
      <c r="F482" s="2306">
        <v>120</v>
      </c>
      <c r="G482" s="2306"/>
      <c r="H482" s="2307">
        <v>27600</v>
      </c>
      <c r="I482" s="5618">
        <v>27600</v>
      </c>
      <c r="J482" s="5618"/>
      <c r="K482" s="2305"/>
      <c r="L482" s="2305"/>
      <c r="M482" s="2308"/>
      <c r="N482" s="2308"/>
      <c r="O482" s="2308"/>
      <c r="P482" s="2305"/>
      <c r="Q482" s="2305"/>
      <c r="R482" s="2307">
        <v>27600</v>
      </c>
      <c r="S482" s="2307">
        <v>27600</v>
      </c>
      <c r="T482" s="2305"/>
    </row>
    <row r="483" spans="1:20" s="2302" customFormat="1" ht="23.25" customHeight="1" outlineLevel="1" x14ac:dyDescent="0.2">
      <c r="A483" s="5622" t="s">
        <v>3251</v>
      </c>
      <c r="B483" s="5622"/>
      <c r="C483" s="2355">
        <v>2402</v>
      </c>
      <c r="D483" s="2296" t="s">
        <v>3252</v>
      </c>
      <c r="E483" s="2301" t="s">
        <v>3253</v>
      </c>
      <c r="F483" s="2298">
        <v>84</v>
      </c>
      <c r="G483" s="2298"/>
      <c r="H483" s="2299">
        <v>262006.91</v>
      </c>
      <c r="I483" s="5623">
        <v>224577.36</v>
      </c>
      <c r="J483" s="5623"/>
      <c r="K483" s="2299">
        <v>37429.550000000003</v>
      </c>
      <c r="L483" s="2301"/>
      <c r="M483" s="2299">
        <v>37429.550000000003</v>
      </c>
      <c r="N483" s="2299">
        <f>M483</f>
        <v>37429.550000000003</v>
      </c>
      <c r="O483" s="2299"/>
      <c r="P483" s="2301"/>
      <c r="Q483" s="2301"/>
      <c r="R483" s="2299">
        <v>262006.91</v>
      </c>
      <c r="S483" s="2299">
        <v>262006.91</v>
      </c>
      <c r="T483" s="2301"/>
    </row>
    <row r="484" spans="1:20" ht="12" customHeight="1" outlineLevel="1" x14ac:dyDescent="0.2">
      <c r="A484" s="5617" t="s">
        <v>3254</v>
      </c>
      <c r="B484" s="5617"/>
      <c r="C484" s="2303">
        <v>494</v>
      </c>
      <c r="D484" s="2304" t="s">
        <v>2621</v>
      </c>
      <c r="E484" s="2305" t="s">
        <v>3255</v>
      </c>
      <c r="F484" s="2306">
        <v>84</v>
      </c>
      <c r="G484" s="2306"/>
      <c r="H484" s="2307">
        <v>155480</v>
      </c>
      <c r="I484" s="5618">
        <v>155480</v>
      </c>
      <c r="J484" s="5618"/>
      <c r="K484" s="2305"/>
      <c r="L484" s="2305"/>
      <c r="M484" s="2308"/>
      <c r="N484" s="2308"/>
      <c r="O484" s="2308"/>
      <c r="P484" s="2305"/>
      <c r="Q484" s="2305"/>
      <c r="R484" s="2307">
        <v>155480</v>
      </c>
      <c r="S484" s="2307">
        <v>155480</v>
      </c>
      <c r="T484" s="2305"/>
    </row>
    <row r="485" spans="1:20" s="2302" customFormat="1" ht="23.25" customHeight="1" outlineLevel="1" x14ac:dyDescent="0.2">
      <c r="A485" s="5622" t="s">
        <v>3256</v>
      </c>
      <c r="B485" s="5622"/>
      <c r="C485" s="2295">
        <v>500</v>
      </c>
      <c r="D485" s="2296" t="s">
        <v>3257</v>
      </c>
      <c r="E485" s="2301" t="s">
        <v>3258</v>
      </c>
      <c r="F485" s="2298">
        <v>324</v>
      </c>
      <c r="G485" s="2298"/>
      <c r="H485" s="2299">
        <v>132000</v>
      </c>
      <c r="I485" s="5623">
        <v>96433.8</v>
      </c>
      <c r="J485" s="5623"/>
      <c r="K485" s="2299">
        <v>35566.199999999997</v>
      </c>
      <c r="L485" s="2301"/>
      <c r="M485" s="2299">
        <v>4888.92</v>
      </c>
      <c r="N485" s="2299">
        <f>M485</f>
        <v>4888.92</v>
      </c>
      <c r="O485" s="2299"/>
      <c r="P485" s="2301"/>
      <c r="Q485" s="2301"/>
      <c r="R485" s="2299">
        <v>132000</v>
      </c>
      <c r="S485" s="2299">
        <v>101322.72</v>
      </c>
      <c r="T485" s="2299">
        <v>30677.279999999999</v>
      </c>
    </row>
    <row r="486" spans="1:20" ht="23.25" customHeight="1" outlineLevel="1" x14ac:dyDescent="0.2">
      <c r="A486" s="5617" t="s">
        <v>3259</v>
      </c>
      <c r="B486" s="5617"/>
      <c r="C486" s="2303">
        <v>738</v>
      </c>
      <c r="D486" s="2304" t="s">
        <v>3260</v>
      </c>
      <c r="E486" s="2305" t="s">
        <v>3261</v>
      </c>
      <c r="F486" s="2306">
        <v>120</v>
      </c>
      <c r="G486" s="2306"/>
      <c r="H486" s="2307">
        <v>282267.26</v>
      </c>
      <c r="I486" s="5618">
        <v>282267.26</v>
      </c>
      <c r="J486" s="5618"/>
      <c r="K486" s="2305"/>
      <c r="L486" s="2305"/>
      <c r="M486" s="2308"/>
      <c r="N486" s="2308"/>
      <c r="O486" s="2308"/>
      <c r="P486" s="2305"/>
      <c r="Q486" s="2305"/>
      <c r="R486" s="2307">
        <v>282267.26</v>
      </c>
      <c r="S486" s="2307">
        <v>282267.26</v>
      </c>
      <c r="T486" s="2305"/>
    </row>
    <row r="487" spans="1:20" ht="23.25" customHeight="1" outlineLevel="1" x14ac:dyDescent="0.2">
      <c r="A487" s="5617" t="s">
        <v>3262</v>
      </c>
      <c r="B487" s="5617"/>
      <c r="C487" s="2303">
        <v>504</v>
      </c>
      <c r="D487" s="2304" t="s">
        <v>3263</v>
      </c>
      <c r="E487" s="2305" t="s">
        <v>3264</v>
      </c>
      <c r="F487" s="2306">
        <v>96</v>
      </c>
      <c r="G487" s="2306"/>
      <c r="H487" s="2307">
        <v>290000</v>
      </c>
      <c r="I487" s="5618">
        <v>290000</v>
      </c>
      <c r="J487" s="5618"/>
      <c r="K487" s="2305"/>
      <c r="L487" s="2305"/>
      <c r="M487" s="2308"/>
      <c r="N487" s="2308"/>
      <c r="O487" s="2308"/>
      <c r="P487" s="2305"/>
      <c r="Q487" s="2305"/>
      <c r="R487" s="2307">
        <v>290000</v>
      </c>
      <c r="S487" s="2307">
        <v>290000</v>
      </c>
      <c r="T487" s="2305"/>
    </row>
    <row r="488" spans="1:20" ht="23.25" customHeight="1" outlineLevel="1" x14ac:dyDescent="0.2">
      <c r="A488" s="5617" t="s">
        <v>3265</v>
      </c>
      <c r="B488" s="5617"/>
      <c r="C488" s="2303">
        <v>503</v>
      </c>
      <c r="D488" s="2304" t="s">
        <v>3266</v>
      </c>
      <c r="E488" s="2305" t="s">
        <v>3267</v>
      </c>
      <c r="F488" s="2306">
        <v>96</v>
      </c>
      <c r="G488" s="2306"/>
      <c r="H488" s="2307">
        <v>124798</v>
      </c>
      <c r="I488" s="5618">
        <v>124798</v>
      </c>
      <c r="J488" s="5618"/>
      <c r="K488" s="2305"/>
      <c r="L488" s="2305"/>
      <c r="M488" s="2308"/>
      <c r="N488" s="2308"/>
      <c r="O488" s="2308"/>
      <c r="P488" s="2305"/>
      <c r="Q488" s="2305"/>
      <c r="R488" s="2307">
        <v>124798</v>
      </c>
      <c r="S488" s="2307">
        <v>124798</v>
      </c>
      <c r="T488" s="2305"/>
    </row>
    <row r="489" spans="1:20" ht="23.25" customHeight="1" outlineLevel="1" x14ac:dyDescent="0.2">
      <c r="A489" s="5617" t="s">
        <v>3268</v>
      </c>
      <c r="B489" s="5617"/>
      <c r="C489" s="2303">
        <v>490</v>
      </c>
      <c r="D489" s="2304" t="s">
        <v>3269</v>
      </c>
      <c r="E489" s="2305" t="s">
        <v>3270</v>
      </c>
      <c r="F489" s="2306">
        <v>96</v>
      </c>
      <c r="G489" s="2306"/>
      <c r="H489" s="2307">
        <v>93019</v>
      </c>
      <c r="I489" s="5618">
        <v>93019</v>
      </c>
      <c r="J489" s="5618"/>
      <c r="K489" s="2305"/>
      <c r="L489" s="2305"/>
      <c r="M489" s="2308"/>
      <c r="N489" s="2308"/>
      <c r="O489" s="2308"/>
      <c r="P489" s="2305"/>
      <c r="Q489" s="2305"/>
      <c r="R489" s="2307">
        <v>93019</v>
      </c>
      <c r="S489" s="2307">
        <v>93019</v>
      </c>
      <c r="T489" s="2305"/>
    </row>
    <row r="490" spans="1:20" ht="23.25" customHeight="1" outlineLevel="1" x14ac:dyDescent="0.2">
      <c r="A490" s="5617" t="s">
        <v>3271</v>
      </c>
      <c r="B490" s="5617"/>
      <c r="C490" s="2303">
        <v>502</v>
      </c>
      <c r="D490" s="2304" t="s">
        <v>3266</v>
      </c>
      <c r="E490" s="2305" t="s">
        <v>3272</v>
      </c>
      <c r="F490" s="2306">
        <v>120</v>
      </c>
      <c r="G490" s="2306"/>
      <c r="H490" s="2307">
        <v>16800</v>
      </c>
      <c r="I490" s="5618">
        <v>16800</v>
      </c>
      <c r="J490" s="5618"/>
      <c r="K490" s="2305"/>
      <c r="L490" s="2305"/>
      <c r="M490" s="2308"/>
      <c r="N490" s="2308"/>
      <c r="O490" s="2308"/>
      <c r="P490" s="2305"/>
      <c r="Q490" s="2305"/>
      <c r="R490" s="2307">
        <v>16800</v>
      </c>
      <c r="S490" s="2307">
        <v>16800</v>
      </c>
      <c r="T490" s="2305"/>
    </row>
    <row r="491" spans="1:20" ht="23.25" customHeight="1" outlineLevel="1" x14ac:dyDescent="0.2">
      <c r="A491" s="5617" t="s">
        <v>3273</v>
      </c>
      <c r="B491" s="5617"/>
      <c r="C491" s="2303">
        <v>496</v>
      </c>
      <c r="D491" s="2304" t="s">
        <v>3243</v>
      </c>
      <c r="E491" s="2305" t="s">
        <v>3244</v>
      </c>
      <c r="F491" s="2306">
        <v>120</v>
      </c>
      <c r="G491" s="2306"/>
      <c r="H491" s="2307">
        <v>65682</v>
      </c>
      <c r="I491" s="5618">
        <v>65682</v>
      </c>
      <c r="J491" s="5618"/>
      <c r="K491" s="2305"/>
      <c r="L491" s="2305"/>
      <c r="M491" s="2308"/>
      <c r="N491" s="2308"/>
      <c r="O491" s="2308"/>
      <c r="P491" s="2305"/>
      <c r="Q491" s="2305"/>
      <c r="R491" s="2307">
        <v>65682</v>
      </c>
      <c r="S491" s="2307">
        <v>65682</v>
      </c>
      <c r="T491" s="2305"/>
    </row>
    <row r="492" spans="1:20" ht="23.25" customHeight="1" outlineLevel="1" x14ac:dyDescent="0.2">
      <c r="A492" s="5617" t="s">
        <v>3274</v>
      </c>
      <c r="B492" s="5617"/>
      <c r="C492" s="2310">
        <v>1891</v>
      </c>
      <c r="D492" s="2304" t="s">
        <v>2798</v>
      </c>
      <c r="E492" s="2305" t="s">
        <v>3275</v>
      </c>
      <c r="F492" s="2306">
        <v>60</v>
      </c>
      <c r="G492" s="2306"/>
      <c r="H492" s="2307">
        <v>78389.83</v>
      </c>
      <c r="I492" s="5618">
        <v>78389.83</v>
      </c>
      <c r="J492" s="5618"/>
      <c r="K492" s="2305"/>
      <c r="L492" s="2305"/>
      <c r="M492" s="2308"/>
      <c r="N492" s="2308"/>
      <c r="O492" s="2308"/>
      <c r="P492" s="2305"/>
      <c r="Q492" s="2305"/>
      <c r="R492" s="2307">
        <v>78389.83</v>
      </c>
      <c r="S492" s="2307">
        <v>78389.83</v>
      </c>
      <c r="T492" s="2305"/>
    </row>
    <row r="493" spans="1:20" ht="23.25" customHeight="1" outlineLevel="1" x14ac:dyDescent="0.2">
      <c r="A493" s="5617" t="s">
        <v>3276</v>
      </c>
      <c r="B493" s="5617"/>
      <c r="C493" s="2303">
        <v>596</v>
      </c>
      <c r="D493" s="2304" t="s">
        <v>2850</v>
      </c>
      <c r="E493" s="2305" t="s">
        <v>3277</v>
      </c>
      <c r="F493" s="2306">
        <v>120</v>
      </c>
      <c r="G493" s="2306"/>
      <c r="H493" s="2307">
        <v>115000</v>
      </c>
      <c r="I493" s="5618">
        <v>115000</v>
      </c>
      <c r="J493" s="5618"/>
      <c r="K493" s="2305"/>
      <c r="L493" s="2305"/>
      <c r="M493" s="2308"/>
      <c r="N493" s="2308"/>
      <c r="O493" s="2308"/>
      <c r="P493" s="2305"/>
      <c r="Q493" s="2305"/>
      <c r="R493" s="2307">
        <v>115000</v>
      </c>
      <c r="S493" s="2307">
        <v>115000</v>
      </c>
      <c r="T493" s="2305"/>
    </row>
    <row r="494" spans="1:20" ht="23.25" customHeight="1" outlineLevel="1" x14ac:dyDescent="0.2">
      <c r="A494" s="5617" t="s">
        <v>3278</v>
      </c>
      <c r="B494" s="5617"/>
      <c r="C494" s="2303">
        <v>605</v>
      </c>
      <c r="D494" s="2304" t="s">
        <v>2593</v>
      </c>
      <c r="E494" s="2305" t="s">
        <v>3279</v>
      </c>
      <c r="F494" s="2306">
        <v>120</v>
      </c>
      <c r="G494" s="2306"/>
      <c r="H494" s="2307">
        <v>118000</v>
      </c>
      <c r="I494" s="5618">
        <v>118000</v>
      </c>
      <c r="J494" s="5618"/>
      <c r="K494" s="2305"/>
      <c r="L494" s="2305"/>
      <c r="M494" s="2308"/>
      <c r="N494" s="2308"/>
      <c r="O494" s="2308"/>
      <c r="P494" s="2305"/>
      <c r="Q494" s="2305"/>
      <c r="R494" s="2307">
        <v>118000</v>
      </c>
      <c r="S494" s="2307">
        <v>118000</v>
      </c>
      <c r="T494" s="2305"/>
    </row>
    <row r="495" spans="1:20" ht="23.25" customHeight="1" outlineLevel="1" x14ac:dyDescent="0.2">
      <c r="A495" s="5617" t="s">
        <v>3280</v>
      </c>
      <c r="B495" s="5617"/>
      <c r="C495" s="2310">
        <v>2302</v>
      </c>
      <c r="D495" s="2304" t="s">
        <v>3281</v>
      </c>
      <c r="E495" s="2305" t="s">
        <v>3282</v>
      </c>
      <c r="F495" s="2306">
        <v>84</v>
      </c>
      <c r="G495" s="2306"/>
      <c r="H495" s="2307">
        <v>615517.39</v>
      </c>
      <c r="I495" s="5618">
        <v>615517.39</v>
      </c>
      <c r="J495" s="5618"/>
      <c r="K495" s="2305"/>
      <c r="L495" s="2305"/>
      <c r="M495" s="2308"/>
      <c r="N495" s="2308"/>
      <c r="O495" s="2308"/>
      <c r="P495" s="2305"/>
      <c r="Q495" s="2305"/>
      <c r="R495" s="2307">
        <v>615517.39</v>
      </c>
      <c r="S495" s="2307">
        <v>615517.39</v>
      </c>
      <c r="T495" s="2305"/>
    </row>
    <row r="496" spans="1:20" ht="23.25" customHeight="1" outlineLevel="1" x14ac:dyDescent="0.2">
      <c r="A496" s="5617" t="s">
        <v>3283</v>
      </c>
      <c r="B496" s="5617"/>
      <c r="C496" s="2352">
        <v>1797</v>
      </c>
      <c r="D496" s="2304" t="s">
        <v>2607</v>
      </c>
      <c r="E496" s="2305" t="s">
        <v>3284</v>
      </c>
      <c r="F496" s="2306">
        <v>120</v>
      </c>
      <c r="G496" s="2306"/>
      <c r="H496" s="2307">
        <v>255087.75</v>
      </c>
      <c r="I496" s="5618">
        <v>255087.6</v>
      </c>
      <c r="J496" s="5618"/>
      <c r="K496" s="2350">
        <v>0.15</v>
      </c>
      <c r="L496" s="2305"/>
      <c r="M496" s="2348">
        <v>0.15</v>
      </c>
      <c r="N496" s="2348">
        <f>K496</f>
        <v>0.15</v>
      </c>
      <c r="O496" s="2348"/>
      <c r="P496" s="2305"/>
      <c r="Q496" s="2305"/>
      <c r="R496" s="2307">
        <v>255087.75</v>
      </c>
      <c r="S496" s="2307">
        <v>255087.75</v>
      </c>
      <c r="T496" s="2305"/>
    </row>
    <row r="497" spans="1:20" ht="23.25" customHeight="1" outlineLevel="1" x14ac:dyDescent="0.2">
      <c r="A497" s="5617" t="s">
        <v>3285</v>
      </c>
      <c r="B497" s="5617"/>
      <c r="C497" s="2303">
        <v>622</v>
      </c>
      <c r="D497" s="2304" t="s">
        <v>2593</v>
      </c>
      <c r="E497" s="2305" t="s">
        <v>3286</v>
      </c>
      <c r="F497" s="2306">
        <v>84</v>
      </c>
      <c r="G497" s="2306"/>
      <c r="H497" s="2307">
        <v>38786.53</v>
      </c>
      <c r="I497" s="5618">
        <v>38786.53</v>
      </c>
      <c r="J497" s="5618"/>
      <c r="K497" s="2305"/>
      <c r="L497" s="2305"/>
      <c r="M497" s="2308"/>
      <c r="N497" s="2308"/>
      <c r="O497" s="2308"/>
      <c r="P497" s="2305"/>
      <c r="Q497" s="2305"/>
      <c r="R497" s="2307">
        <v>38786.53</v>
      </c>
      <c r="S497" s="2307">
        <v>38786.53</v>
      </c>
      <c r="T497" s="2305"/>
    </row>
    <row r="498" spans="1:20" ht="23.25" customHeight="1" outlineLevel="1" x14ac:dyDescent="0.2">
      <c r="A498" s="5617" t="s">
        <v>3287</v>
      </c>
      <c r="B498" s="5617"/>
      <c r="C498" s="2303">
        <v>501</v>
      </c>
      <c r="D498" s="2304" t="s">
        <v>2844</v>
      </c>
      <c r="E498" s="2305" t="s">
        <v>3288</v>
      </c>
      <c r="F498" s="2306">
        <v>120</v>
      </c>
      <c r="G498" s="2306"/>
      <c r="H498" s="2307">
        <v>49800</v>
      </c>
      <c r="I498" s="5618">
        <v>49800</v>
      </c>
      <c r="J498" s="5618"/>
      <c r="K498" s="2305"/>
      <c r="L498" s="2305"/>
      <c r="M498" s="2308"/>
      <c r="N498" s="2308"/>
      <c r="O498" s="2308"/>
      <c r="P498" s="2305"/>
      <c r="Q498" s="2305"/>
      <c r="R498" s="2307">
        <v>49800</v>
      </c>
      <c r="S498" s="2307">
        <v>49800</v>
      </c>
      <c r="T498" s="2305"/>
    </row>
    <row r="499" spans="1:20" ht="23.25" customHeight="1" outlineLevel="1" x14ac:dyDescent="0.2">
      <c r="A499" s="5617" t="s">
        <v>3289</v>
      </c>
      <c r="B499" s="5617"/>
      <c r="C499" s="2303">
        <v>569</v>
      </c>
      <c r="D499" s="2304" t="s">
        <v>2891</v>
      </c>
      <c r="E499" s="2305" t="s">
        <v>3290</v>
      </c>
      <c r="F499" s="2306">
        <v>1</v>
      </c>
      <c r="G499" s="2306"/>
      <c r="H499" s="2307">
        <v>2290.65</v>
      </c>
      <c r="I499" s="5618">
        <v>2290.65</v>
      </c>
      <c r="J499" s="5618"/>
      <c r="K499" s="2305"/>
      <c r="L499" s="2305"/>
      <c r="M499" s="2308"/>
      <c r="N499" s="2308"/>
      <c r="O499" s="2308"/>
      <c r="P499" s="2305"/>
      <c r="Q499" s="2305"/>
      <c r="R499" s="2307">
        <v>2290.65</v>
      </c>
      <c r="S499" s="2307">
        <v>2290.65</v>
      </c>
      <c r="T499" s="2305"/>
    </row>
    <row r="500" spans="1:20" ht="12" customHeight="1" outlineLevel="1" x14ac:dyDescent="0.2">
      <c r="A500" s="5617" t="s">
        <v>3291</v>
      </c>
      <c r="B500" s="5617"/>
      <c r="C500" s="2303">
        <v>701</v>
      </c>
      <c r="D500" s="2304" t="s">
        <v>2247</v>
      </c>
      <c r="E500" s="2305" t="s">
        <v>3292</v>
      </c>
      <c r="F500" s="2306">
        <v>12</v>
      </c>
      <c r="G500" s="2306"/>
      <c r="H500" s="2305"/>
      <c r="I500" s="2345"/>
      <c r="J500" s="2346"/>
      <c r="K500" s="2305"/>
      <c r="L500" s="2305"/>
      <c r="M500" s="2308"/>
      <c r="N500" s="2308"/>
      <c r="O500" s="2308"/>
      <c r="P500" s="2305"/>
      <c r="Q500" s="2305"/>
      <c r="R500" s="2305"/>
      <c r="S500" s="2305"/>
      <c r="T500" s="2305"/>
    </row>
    <row r="501" spans="1:20" ht="12" customHeight="1" outlineLevel="1" x14ac:dyDescent="0.2">
      <c r="A501" s="5617" t="s">
        <v>3293</v>
      </c>
      <c r="B501" s="5617"/>
      <c r="C501" s="2303">
        <v>424</v>
      </c>
      <c r="D501" s="2304" t="s">
        <v>3294</v>
      </c>
      <c r="E501" s="2305" t="s">
        <v>3295</v>
      </c>
      <c r="F501" s="2306">
        <v>100</v>
      </c>
      <c r="G501" s="2306"/>
      <c r="H501" s="2307">
        <v>2161</v>
      </c>
      <c r="I501" s="5618">
        <v>2161</v>
      </c>
      <c r="J501" s="5618"/>
      <c r="K501" s="2305"/>
      <c r="L501" s="2305"/>
      <c r="M501" s="2308"/>
      <c r="N501" s="2308"/>
      <c r="O501" s="2308"/>
      <c r="P501" s="2305"/>
      <c r="Q501" s="2305"/>
      <c r="R501" s="2307">
        <v>2161</v>
      </c>
      <c r="S501" s="2307">
        <v>2161</v>
      </c>
      <c r="T501" s="2305"/>
    </row>
    <row r="502" spans="1:20" ht="12" customHeight="1" outlineLevel="1" x14ac:dyDescent="0.2">
      <c r="A502" s="5617" t="s">
        <v>3296</v>
      </c>
      <c r="B502" s="5617"/>
      <c r="C502" s="2303">
        <v>516</v>
      </c>
      <c r="D502" s="2304" t="s">
        <v>2741</v>
      </c>
      <c r="E502" s="2305" t="s">
        <v>3297</v>
      </c>
      <c r="F502" s="2306">
        <v>108</v>
      </c>
      <c r="G502" s="2306"/>
      <c r="H502" s="2307">
        <v>208333</v>
      </c>
      <c r="I502" s="5618">
        <v>208333</v>
      </c>
      <c r="J502" s="5618"/>
      <c r="K502" s="2305"/>
      <c r="L502" s="2305"/>
      <c r="M502" s="2308"/>
      <c r="N502" s="2308"/>
      <c r="O502" s="2308"/>
      <c r="P502" s="2305"/>
      <c r="Q502" s="2305"/>
      <c r="R502" s="2307">
        <v>208333</v>
      </c>
      <c r="S502" s="2307">
        <v>208333</v>
      </c>
      <c r="T502" s="2305"/>
    </row>
    <row r="503" spans="1:20" s="2302" customFormat="1" ht="12" customHeight="1" outlineLevel="1" x14ac:dyDescent="0.2">
      <c r="A503" s="5622" t="s">
        <v>3298</v>
      </c>
      <c r="B503" s="5622"/>
      <c r="C503" s="2340">
        <v>1512</v>
      </c>
      <c r="D503" s="2296" t="s">
        <v>3299</v>
      </c>
      <c r="E503" s="2301" t="s">
        <v>3300</v>
      </c>
      <c r="F503" s="2298">
        <v>60</v>
      </c>
      <c r="G503" s="2298"/>
      <c r="H503" s="2299">
        <v>342850</v>
      </c>
      <c r="I503" s="5623">
        <v>11428.34</v>
      </c>
      <c r="J503" s="5623"/>
      <c r="K503" s="2299">
        <v>331421.65999999997</v>
      </c>
      <c r="L503" s="2301"/>
      <c r="M503" s="2309">
        <v>68570.039999999994</v>
      </c>
      <c r="N503" s="2309">
        <f>M503</f>
        <v>68570.039999999994</v>
      </c>
      <c r="O503" s="2309"/>
      <c r="P503" s="2301"/>
      <c r="Q503" s="2301"/>
      <c r="R503" s="2299">
        <v>342850</v>
      </c>
      <c r="S503" s="2299">
        <v>79998.38</v>
      </c>
      <c r="T503" s="2299">
        <v>262851.62</v>
      </c>
    </row>
    <row r="504" spans="1:20" ht="12" customHeight="1" outlineLevel="1" x14ac:dyDescent="0.2">
      <c r="A504" s="5617" t="s">
        <v>3301</v>
      </c>
      <c r="B504" s="5617"/>
      <c r="C504" s="2303">
        <v>517</v>
      </c>
      <c r="D504" s="2304" t="s">
        <v>3302</v>
      </c>
      <c r="E504" s="2305" t="s">
        <v>3303</v>
      </c>
      <c r="F504" s="2306">
        <v>132</v>
      </c>
      <c r="G504" s="2306"/>
      <c r="H504" s="2307">
        <v>24483</v>
      </c>
      <c r="I504" s="5618">
        <v>24483</v>
      </c>
      <c r="J504" s="5618"/>
      <c r="K504" s="2305"/>
      <c r="L504" s="2305"/>
      <c r="M504" s="2308"/>
      <c r="N504" s="2308"/>
      <c r="O504" s="2308"/>
      <c r="P504" s="2305"/>
      <c r="Q504" s="2305"/>
      <c r="R504" s="2307">
        <v>24483</v>
      </c>
      <c r="S504" s="2307">
        <v>24483</v>
      </c>
      <c r="T504" s="2305"/>
    </row>
    <row r="505" spans="1:20" ht="12" customHeight="1" outlineLevel="1" x14ac:dyDescent="0.2">
      <c r="A505" s="5617" t="s">
        <v>3304</v>
      </c>
      <c r="B505" s="5617"/>
      <c r="C505" s="2303">
        <v>514</v>
      </c>
      <c r="D505" s="2304" t="s">
        <v>3305</v>
      </c>
      <c r="E505" s="2305" t="s">
        <v>3306</v>
      </c>
      <c r="F505" s="2306">
        <v>108</v>
      </c>
      <c r="G505" s="2306"/>
      <c r="H505" s="2307">
        <v>224065.91</v>
      </c>
      <c r="I505" s="5618">
        <v>224065.91</v>
      </c>
      <c r="J505" s="5618"/>
      <c r="K505" s="2305"/>
      <c r="L505" s="2305"/>
      <c r="M505" s="2308"/>
      <c r="N505" s="2308"/>
      <c r="O505" s="2308"/>
      <c r="P505" s="2305"/>
      <c r="Q505" s="2305"/>
      <c r="R505" s="2307">
        <v>224065.91</v>
      </c>
      <c r="S505" s="2307">
        <v>224065.91</v>
      </c>
      <c r="T505" s="2305"/>
    </row>
    <row r="506" spans="1:20" ht="12" customHeight="1" outlineLevel="1" x14ac:dyDescent="0.2">
      <c r="A506" s="5617" t="s">
        <v>3307</v>
      </c>
      <c r="B506" s="5617"/>
      <c r="C506" s="2303">
        <v>2019</v>
      </c>
      <c r="D506" s="2304" t="s">
        <v>2647</v>
      </c>
      <c r="E506" s="2305" t="s">
        <v>3308</v>
      </c>
      <c r="F506" s="2306">
        <v>84</v>
      </c>
      <c r="G506" s="2306"/>
      <c r="H506" s="2307">
        <v>1512542.39</v>
      </c>
      <c r="I506" s="5618">
        <v>1512542.39</v>
      </c>
      <c r="J506" s="5618"/>
      <c r="K506" s="2305"/>
      <c r="L506" s="2305"/>
      <c r="M506" s="2308"/>
      <c r="N506" s="2308"/>
      <c r="O506" s="2308"/>
      <c r="P506" s="2305"/>
      <c r="Q506" s="2305"/>
      <c r="R506" s="2307">
        <v>1512542.39</v>
      </c>
      <c r="S506" s="2307">
        <v>1512542.39</v>
      </c>
      <c r="T506" s="2305"/>
    </row>
    <row r="507" spans="1:20" s="2302" customFormat="1" ht="12" customHeight="1" outlineLevel="1" x14ac:dyDescent="0.2">
      <c r="A507" s="5622" t="s">
        <v>3309</v>
      </c>
      <c r="B507" s="5622"/>
      <c r="C507" s="2355">
        <v>2452</v>
      </c>
      <c r="D507" s="2296" t="s">
        <v>3310</v>
      </c>
      <c r="E507" s="2301" t="s">
        <v>3311</v>
      </c>
      <c r="F507" s="2298">
        <v>84</v>
      </c>
      <c r="G507" s="2298"/>
      <c r="H507" s="2299">
        <v>300324</v>
      </c>
      <c r="I507" s="5623">
        <v>189490.34</v>
      </c>
      <c r="J507" s="5623"/>
      <c r="K507" s="2299">
        <v>110833.66</v>
      </c>
      <c r="L507" s="2301"/>
      <c r="M507" s="2309">
        <v>42903.48</v>
      </c>
      <c r="N507" s="2309">
        <f>M507</f>
        <v>42903.48</v>
      </c>
      <c r="O507" s="2309"/>
      <c r="P507" s="2301"/>
      <c r="Q507" s="2301"/>
      <c r="R507" s="2299">
        <v>300324</v>
      </c>
      <c r="S507" s="2299">
        <v>232393.82</v>
      </c>
      <c r="T507" s="2299">
        <v>67930.179999999993</v>
      </c>
    </row>
    <row r="508" spans="1:20" s="2330" customFormat="1" ht="12.75" customHeight="1" x14ac:dyDescent="0.2">
      <c r="A508" s="5624" t="s">
        <v>3312</v>
      </c>
      <c r="B508" s="5624"/>
      <c r="C508" s="5624"/>
      <c r="D508" s="5624"/>
      <c r="E508" s="5624"/>
      <c r="F508" s="5624"/>
      <c r="G508" s="2327"/>
      <c r="H508" s="2328">
        <v>520980.34</v>
      </c>
      <c r="I508" s="5625">
        <v>518323.3</v>
      </c>
      <c r="J508" s="5625"/>
      <c r="K508" s="2328">
        <v>2657.04</v>
      </c>
      <c r="L508" s="2354"/>
      <c r="M508" s="2329">
        <v>2657.04</v>
      </c>
      <c r="N508" s="2329">
        <f>SUM(N509:N596)</f>
        <v>0</v>
      </c>
      <c r="O508" s="2329"/>
      <c r="P508" s="2328">
        <v>14866.66</v>
      </c>
      <c r="Q508" s="2328">
        <v>14866.66</v>
      </c>
      <c r="R508" s="2328">
        <v>506113.68</v>
      </c>
      <c r="S508" s="2328">
        <v>506113.68</v>
      </c>
      <c r="T508" s="2354"/>
    </row>
    <row r="509" spans="1:20" ht="12" customHeight="1" outlineLevel="1" x14ac:dyDescent="0.2">
      <c r="A509" s="5617" t="s">
        <v>3313</v>
      </c>
      <c r="B509" s="5617"/>
      <c r="C509" s="2303">
        <v>533</v>
      </c>
      <c r="D509" s="2304" t="s">
        <v>3314</v>
      </c>
      <c r="E509" s="2305" t="s">
        <v>3315</v>
      </c>
      <c r="F509" s="2306">
        <v>120</v>
      </c>
      <c r="G509" s="2306"/>
      <c r="H509" s="2307">
        <v>1666.67</v>
      </c>
      <c r="I509" s="5618">
        <v>1666.67</v>
      </c>
      <c r="J509" s="5618"/>
      <c r="K509" s="2305"/>
      <c r="L509" s="2305"/>
      <c r="M509" s="2308"/>
      <c r="N509" s="2308"/>
      <c r="O509" s="2308"/>
      <c r="P509" s="2305"/>
      <c r="Q509" s="2305"/>
      <c r="R509" s="2307">
        <v>1666.67</v>
      </c>
      <c r="S509" s="2307">
        <v>1666.67</v>
      </c>
      <c r="T509" s="2305"/>
    </row>
    <row r="510" spans="1:20" ht="12" customHeight="1" outlineLevel="1" x14ac:dyDescent="0.2">
      <c r="A510" s="5617" t="s">
        <v>3316</v>
      </c>
      <c r="B510" s="5617"/>
      <c r="C510" s="2303">
        <v>402</v>
      </c>
      <c r="D510" s="2304" t="s">
        <v>2757</v>
      </c>
      <c r="E510" s="2305" t="s">
        <v>3317</v>
      </c>
      <c r="F510" s="2306">
        <v>120</v>
      </c>
      <c r="G510" s="2306"/>
      <c r="H510" s="2350">
        <v>741.67</v>
      </c>
      <c r="I510" s="5621">
        <v>741.67</v>
      </c>
      <c r="J510" s="5621"/>
      <c r="K510" s="2305"/>
      <c r="L510" s="2305"/>
      <c r="M510" s="2308"/>
      <c r="N510" s="2308"/>
      <c r="O510" s="2308"/>
      <c r="P510" s="2305"/>
      <c r="Q510" s="2305"/>
      <c r="R510" s="2350">
        <v>741.67</v>
      </c>
      <c r="S510" s="2350">
        <v>741.67</v>
      </c>
      <c r="T510" s="2305"/>
    </row>
    <row r="511" spans="1:20" ht="12" customHeight="1" outlineLevel="1" x14ac:dyDescent="0.2">
      <c r="A511" s="5617" t="s">
        <v>3318</v>
      </c>
      <c r="B511" s="5617"/>
      <c r="C511" s="2303">
        <v>160</v>
      </c>
      <c r="D511" s="2304" t="s">
        <v>2816</v>
      </c>
      <c r="E511" s="2305" t="s">
        <v>3319</v>
      </c>
      <c r="F511" s="2306">
        <v>179</v>
      </c>
      <c r="G511" s="2306"/>
      <c r="H511" s="2307">
        <v>3230</v>
      </c>
      <c r="I511" s="5618">
        <v>3230</v>
      </c>
      <c r="J511" s="5618"/>
      <c r="K511" s="2305"/>
      <c r="L511" s="2305"/>
      <c r="M511" s="2308"/>
      <c r="N511" s="2308"/>
      <c r="O511" s="2308"/>
      <c r="P511" s="2305"/>
      <c r="Q511" s="2305"/>
      <c r="R511" s="2307">
        <v>3230</v>
      </c>
      <c r="S511" s="2307">
        <v>3230</v>
      </c>
      <c r="T511" s="2305"/>
    </row>
    <row r="512" spans="1:20" ht="12" customHeight="1" outlineLevel="1" x14ac:dyDescent="0.2">
      <c r="A512" s="5617" t="s">
        <v>3320</v>
      </c>
      <c r="B512" s="5617"/>
      <c r="C512" s="2303">
        <v>233</v>
      </c>
      <c r="D512" s="2304" t="s">
        <v>2757</v>
      </c>
      <c r="E512" s="2305" t="s">
        <v>3321</v>
      </c>
      <c r="F512" s="2306">
        <v>120</v>
      </c>
      <c r="G512" s="2306"/>
      <c r="H512" s="2307">
        <v>1650</v>
      </c>
      <c r="I512" s="5618">
        <v>1650</v>
      </c>
      <c r="J512" s="5618"/>
      <c r="K512" s="2305"/>
      <c r="L512" s="2305"/>
      <c r="M512" s="2308"/>
      <c r="N512" s="2308"/>
      <c r="O512" s="2308"/>
      <c r="P512" s="2305"/>
      <c r="Q512" s="2305"/>
      <c r="R512" s="2307">
        <v>1650</v>
      </c>
      <c r="S512" s="2307">
        <v>1650</v>
      </c>
      <c r="T512" s="2305"/>
    </row>
    <row r="513" spans="1:20" ht="23.25" customHeight="1" outlineLevel="1" x14ac:dyDescent="0.2">
      <c r="A513" s="5617" t="s">
        <v>3322</v>
      </c>
      <c r="B513" s="5617"/>
      <c r="C513" s="2303">
        <v>98</v>
      </c>
      <c r="D513" s="2304" t="s">
        <v>2196</v>
      </c>
      <c r="E513" s="2305" t="s">
        <v>3323</v>
      </c>
      <c r="F513" s="2306">
        <v>324</v>
      </c>
      <c r="G513" s="2306"/>
      <c r="H513" s="2307">
        <v>2830</v>
      </c>
      <c r="I513" s="5618">
        <v>2830</v>
      </c>
      <c r="J513" s="5618"/>
      <c r="K513" s="2305"/>
      <c r="L513" s="2305"/>
      <c r="M513" s="2308"/>
      <c r="N513" s="2308"/>
      <c r="O513" s="2308"/>
      <c r="P513" s="2305"/>
      <c r="Q513" s="2305"/>
      <c r="R513" s="2307">
        <v>2830</v>
      </c>
      <c r="S513" s="2307">
        <v>2830</v>
      </c>
      <c r="T513" s="2305"/>
    </row>
    <row r="514" spans="1:20" ht="12" customHeight="1" outlineLevel="1" x14ac:dyDescent="0.2">
      <c r="A514" s="5617" t="s">
        <v>3324</v>
      </c>
      <c r="B514" s="5617"/>
      <c r="C514" s="2303">
        <v>583</v>
      </c>
      <c r="D514" s="2304" t="s">
        <v>3325</v>
      </c>
      <c r="E514" s="2305" t="s">
        <v>3326</v>
      </c>
      <c r="F514" s="2306">
        <v>1</v>
      </c>
      <c r="G514" s="2306"/>
      <c r="H514" s="2307">
        <v>7333.33</v>
      </c>
      <c r="I514" s="5618">
        <v>7333.33</v>
      </c>
      <c r="J514" s="5618"/>
      <c r="K514" s="2305"/>
      <c r="L514" s="2305"/>
      <c r="M514" s="2308"/>
      <c r="N514" s="2308"/>
      <c r="O514" s="2308"/>
      <c r="P514" s="2305"/>
      <c r="Q514" s="2305"/>
      <c r="R514" s="2307">
        <v>7333.33</v>
      </c>
      <c r="S514" s="2307">
        <v>7333.33</v>
      </c>
      <c r="T514" s="2305"/>
    </row>
    <row r="515" spans="1:20" ht="12" customHeight="1" outlineLevel="1" x14ac:dyDescent="0.2">
      <c r="A515" s="5617" t="s">
        <v>3327</v>
      </c>
      <c r="B515" s="5617"/>
      <c r="C515" s="2303">
        <v>159</v>
      </c>
      <c r="D515" s="2304" t="s">
        <v>2574</v>
      </c>
      <c r="E515" s="2305" t="s">
        <v>3328</v>
      </c>
      <c r="F515" s="2306">
        <v>120</v>
      </c>
      <c r="G515" s="2306"/>
      <c r="H515" s="2307">
        <v>1125</v>
      </c>
      <c r="I515" s="5618">
        <v>1125</v>
      </c>
      <c r="J515" s="5618"/>
      <c r="K515" s="2305"/>
      <c r="L515" s="2305"/>
      <c r="M515" s="2308"/>
      <c r="N515" s="2308"/>
      <c r="O515" s="2308"/>
      <c r="P515" s="2305"/>
      <c r="Q515" s="2305"/>
      <c r="R515" s="2307">
        <v>1125</v>
      </c>
      <c r="S515" s="2307">
        <v>1125</v>
      </c>
      <c r="T515" s="2305"/>
    </row>
    <row r="516" spans="1:20" ht="12" customHeight="1" outlineLevel="1" x14ac:dyDescent="0.2">
      <c r="A516" s="5617" t="s">
        <v>3329</v>
      </c>
      <c r="B516" s="5617"/>
      <c r="C516" s="2303">
        <v>306</v>
      </c>
      <c r="D516" s="2304" t="s">
        <v>3330</v>
      </c>
      <c r="E516" s="2305" t="s">
        <v>2624</v>
      </c>
      <c r="F516" s="2306">
        <v>120</v>
      </c>
      <c r="G516" s="2306"/>
      <c r="H516" s="2307">
        <v>2500</v>
      </c>
      <c r="I516" s="5618">
        <v>2500</v>
      </c>
      <c r="J516" s="5618"/>
      <c r="K516" s="2305"/>
      <c r="L516" s="2305"/>
      <c r="M516" s="2308"/>
      <c r="N516" s="2308"/>
      <c r="O516" s="2308"/>
      <c r="P516" s="2305"/>
      <c r="Q516" s="2305"/>
      <c r="R516" s="2307">
        <v>2500</v>
      </c>
      <c r="S516" s="2307">
        <v>2500</v>
      </c>
      <c r="T516" s="2305"/>
    </row>
    <row r="517" spans="1:20" ht="12" customHeight="1" outlineLevel="1" x14ac:dyDescent="0.2">
      <c r="A517" s="5617" t="s">
        <v>3331</v>
      </c>
      <c r="B517" s="5617"/>
      <c r="C517" s="2310">
        <v>2019</v>
      </c>
      <c r="D517" s="2304" t="s">
        <v>2678</v>
      </c>
      <c r="E517" s="2305" t="s">
        <v>3332</v>
      </c>
      <c r="F517" s="2306">
        <v>84</v>
      </c>
      <c r="G517" s="2306"/>
      <c r="H517" s="2307">
        <v>11794</v>
      </c>
      <c r="I517" s="5618">
        <v>11794</v>
      </c>
      <c r="J517" s="5618"/>
      <c r="K517" s="2305"/>
      <c r="L517" s="2305"/>
      <c r="M517" s="2308"/>
      <c r="N517" s="2308"/>
      <c r="O517" s="2308"/>
      <c r="P517" s="2305"/>
      <c r="Q517" s="2305"/>
      <c r="R517" s="2307">
        <v>11794</v>
      </c>
      <c r="S517" s="2307">
        <v>11794</v>
      </c>
      <c r="T517" s="2305"/>
    </row>
    <row r="518" spans="1:20" ht="12" customHeight="1" outlineLevel="1" x14ac:dyDescent="0.2">
      <c r="A518" s="5617" t="s">
        <v>3333</v>
      </c>
      <c r="B518" s="5617"/>
      <c r="C518" s="2303">
        <v>519</v>
      </c>
      <c r="D518" s="2304" t="s">
        <v>2976</v>
      </c>
      <c r="E518" s="2305" t="s">
        <v>3334</v>
      </c>
      <c r="F518" s="2306">
        <v>120</v>
      </c>
      <c r="G518" s="2306"/>
      <c r="H518" s="2307">
        <v>2097</v>
      </c>
      <c r="I518" s="5618">
        <v>2097</v>
      </c>
      <c r="J518" s="5618"/>
      <c r="K518" s="2305"/>
      <c r="L518" s="2305"/>
      <c r="M518" s="2308"/>
      <c r="N518" s="2308"/>
      <c r="O518" s="2308"/>
      <c r="P518" s="2305"/>
      <c r="Q518" s="2305"/>
      <c r="R518" s="2307">
        <v>2097</v>
      </c>
      <c r="S518" s="2307">
        <v>2097</v>
      </c>
      <c r="T518" s="2305"/>
    </row>
    <row r="519" spans="1:20" ht="12" customHeight="1" outlineLevel="1" x14ac:dyDescent="0.2">
      <c r="A519" s="5617" t="s">
        <v>3335</v>
      </c>
      <c r="B519" s="5617"/>
      <c r="C519" s="2303">
        <v>558</v>
      </c>
      <c r="D519" s="2304" t="s">
        <v>2757</v>
      </c>
      <c r="E519" s="2305" t="s">
        <v>2624</v>
      </c>
      <c r="F519" s="2306">
        <v>120</v>
      </c>
      <c r="G519" s="2306"/>
      <c r="H519" s="2307">
        <v>2500</v>
      </c>
      <c r="I519" s="5618">
        <v>2500</v>
      </c>
      <c r="J519" s="5618"/>
      <c r="K519" s="2305"/>
      <c r="L519" s="2305"/>
      <c r="M519" s="2308"/>
      <c r="N519" s="2308"/>
      <c r="O519" s="2308"/>
      <c r="P519" s="2305"/>
      <c r="Q519" s="2305"/>
      <c r="R519" s="2307">
        <v>2500</v>
      </c>
      <c r="S519" s="2307">
        <v>2500</v>
      </c>
      <c r="T519" s="2305"/>
    </row>
    <row r="520" spans="1:20" ht="12" customHeight="1" outlineLevel="1" x14ac:dyDescent="0.2">
      <c r="A520" s="5617" t="s">
        <v>3336</v>
      </c>
      <c r="B520" s="5617"/>
      <c r="C520" s="2303">
        <v>236</v>
      </c>
      <c r="D520" s="2304" t="s">
        <v>2725</v>
      </c>
      <c r="E520" s="2305" t="s">
        <v>3337</v>
      </c>
      <c r="F520" s="2306">
        <v>120</v>
      </c>
      <c r="G520" s="2306"/>
      <c r="H520" s="2307">
        <v>6233.33</v>
      </c>
      <c r="I520" s="5618">
        <v>6233.33</v>
      </c>
      <c r="J520" s="5618"/>
      <c r="K520" s="2305"/>
      <c r="L520" s="2305"/>
      <c r="M520" s="2308"/>
      <c r="N520" s="2308"/>
      <c r="O520" s="2308"/>
      <c r="P520" s="2307">
        <v>6233.33</v>
      </c>
      <c r="Q520" s="2307">
        <v>6233.33</v>
      </c>
      <c r="R520" s="2305"/>
      <c r="S520" s="2305"/>
      <c r="T520" s="2305"/>
    </row>
    <row r="521" spans="1:20" ht="12" customHeight="1" outlineLevel="1" x14ac:dyDescent="0.2">
      <c r="A521" s="5617" t="s">
        <v>3338</v>
      </c>
      <c r="B521" s="5617"/>
      <c r="C521" s="2310">
        <v>1817</v>
      </c>
      <c r="D521" s="2304" t="s">
        <v>3339</v>
      </c>
      <c r="E521" s="2305" t="s">
        <v>3340</v>
      </c>
      <c r="F521" s="2306">
        <v>84</v>
      </c>
      <c r="G521" s="2306"/>
      <c r="H521" s="2307">
        <v>10400</v>
      </c>
      <c r="I521" s="5618">
        <v>10400</v>
      </c>
      <c r="J521" s="5618"/>
      <c r="K521" s="2305"/>
      <c r="L521" s="2305"/>
      <c r="M521" s="2308"/>
      <c r="N521" s="2308"/>
      <c r="O521" s="2308"/>
      <c r="P521" s="2305"/>
      <c r="Q521" s="2305"/>
      <c r="R521" s="2307">
        <v>10400</v>
      </c>
      <c r="S521" s="2307">
        <v>10400</v>
      </c>
      <c r="T521" s="2305"/>
    </row>
    <row r="522" spans="1:20" ht="12" customHeight="1" outlineLevel="1" x14ac:dyDescent="0.2">
      <c r="A522" s="5617" t="s">
        <v>3341</v>
      </c>
      <c r="B522" s="5617"/>
      <c r="C522" s="2303">
        <v>521</v>
      </c>
      <c r="D522" s="2304" t="s">
        <v>2292</v>
      </c>
      <c r="E522" s="2305" t="s">
        <v>3342</v>
      </c>
      <c r="F522" s="2306">
        <v>120</v>
      </c>
      <c r="G522" s="2306"/>
      <c r="H522" s="2307">
        <v>18706</v>
      </c>
      <c r="I522" s="5618">
        <v>18706</v>
      </c>
      <c r="J522" s="5618"/>
      <c r="K522" s="2305"/>
      <c r="L522" s="2305"/>
      <c r="M522" s="2308"/>
      <c r="N522" s="2308"/>
      <c r="O522" s="2308"/>
      <c r="P522" s="2305"/>
      <c r="Q522" s="2305"/>
      <c r="R522" s="2307">
        <v>18706</v>
      </c>
      <c r="S522" s="2307">
        <v>18706</v>
      </c>
      <c r="T522" s="2305"/>
    </row>
    <row r="523" spans="1:20" ht="12" customHeight="1" outlineLevel="1" x14ac:dyDescent="0.2">
      <c r="A523" s="5617" t="s">
        <v>3343</v>
      </c>
      <c r="B523" s="5617"/>
      <c r="C523" s="2303">
        <v>559</v>
      </c>
      <c r="D523" s="2304" t="s">
        <v>2757</v>
      </c>
      <c r="E523" s="2305" t="s">
        <v>3344</v>
      </c>
      <c r="F523" s="2306">
        <v>120</v>
      </c>
      <c r="G523" s="2306"/>
      <c r="H523" s="2307">
        <v>3633.33</v>
      </c>
      <c r="I523" s="5618">
        <v>3633.33</v>
      </c>
      <c r="J523" s="5618"/>
      <c r="K523" s="2305"/>
      <c r="L523" s="2305"/>
      <c r="M523" s="2308"/>
      <c r="N523" s="2308"/>
      <c r="O523" s="2308"/>
      <c r="P523" s="2305"/>
      <c r="Q523" s="2305"/>
      <c r="R523" s="2307">
        <v>3633.33</v>
      </c>
      <c r="S523" s="2307">
        <v>3633.33</v>
      </c>
      <c r="T523" s="2305"/>
    </row>
    <row r="524" spans="1:20" ht="12" customHeight="1" outlineLevel="1" x14ac:dyDescent="0.2">
      <c r="A524" s="5617" t="s">
        <v>3345</v>
      </c>
      <c r="B524" s="5617"/>
      <c r="C524" s="2303">
        <v>562</v>
      </c>
      <c r="D524" s="2304" t="s">
        <v>2574</v>
      </c>
      <c r="E524" s="2305" t="s">
        <v>3346</v>
      </c>
      <c r="F524" s="2306">
        <v>120</v>
      </c>
      <c r="G524" s="2306"/>
      <c r="H524" s="2350">
        <v>400</v>
      </c>
      <c r="I524" s="5621">
        <v>400</v>
      </c>
      <c r="J524" s="5621"/>
      <c r="K524" s="2305"/>
      <c r="L524" s="2305"/>
      <c r="M524" s="2308"/>
      <c r="N524" s="2308"/>
      <c r="O524" s="2308"/>
      <c r="P524" s="2305"/>
      <c r="Q524" s="2305"/>
      <c r="R524" s="2350">
        <v>400</v>
      </c>
      <c r="S524" s="2350">
        <v>400</v>
      </c>
      <c r="T524" s="2305"/>
    </row>
    <row r="525" spans="1:20" ht="12" customHeight="1" outlineLevel="1" x14ac:dyDescent="0.2">
      <c r="A525" s="5617" t="s">
        <v>3347</v>
      </c>
      <c r="B525" s="5617"/>
      <c r="C525" s="2303">
        <v>184</v>
      </c>
      <c r="D525" s="2304" t="s">
        <v>2574</v>
      </c>
      <c r="E525" s="2305" t="s">
        <v>3315</v>
      </c>
      <c r="F525" s="2306">
        <v>185</v>
      </c>
      <c r="G525" s="2306"/>
      <c r="H525" s="2307">
        <v>1666.67</v>
      </c>
      <c r="I525" s="5618">
        <v>1666.67</v>
      </c>
      <c r="J525" s="5618"/>
      <c r="K525" s="2305"/>
      <c r="L525" s="2305"/>
      <c r="M525" s="2308"/>
      <c r="N525" s="2308"/>
      <c r="O525" s="2308"/>
      <c r="P525" s="2305"/>
      <c r="Q525" s="2305"/>
      <c r="R525" s="2307">
        <v>1666.67</v>
      </c>
      <c r="S525" s="2307">
        <v>1666.67</v>
      </c>
      <c r="T525" s="2305"/>
    </row>
    <row r="526" spans="1:20" ht="12" customHeight="1" outlineLevel="1" x14ac:dyDescent="0.2">
      <c r="A526" s="5617" t="s">
        <v>3348</v>
      </c>
      <c r="B526" s="5617"/>
      <c r="C526" s="2303">
        <v>246</v>
      </c>
      <c r="D526" s="2304" t="s">
        <v>2757</v>
      </c>
      <c r="E526" s="2305" t="s">
        <v>3349</v>
      </c>
      <c r="F526" s="2306">
        <v>120</v>
      </c>
      <c r="G526" s="2306"/>
      <c r="H526" s="2307">
        <v>16961.349999999999</v>
      </c>
      <c r="I526" s="5618">
        <v>16961.349999999999</v>
      </c>
      <c r="J526" s="5618"/>
      <c r="K526" s="2305"/>
      <c r="L526" s="2305"/>
      <c r="M526" s="2308"/>
      <c r="N526" s="2308"/>
      <c r="O526" s="2308"/>
      <c r="P526" s="2305"/>
      <c r="Q526" s="2305"/>
      <c r="R526" s="2307">
        <v>16961.349999999999</v>
      </c>
      <c r="S526" s="2307">
        <v>16961.349999999999</v>
      </c>
      <c r="T526" s="2305"/>
    </row>
    <row r="527" spans="1:20" ht="12" customHeight="1" outlineLevel="1" x14ac:dyDescent="0.2">
      <c r="A527" s="5617" t="s">
        <v>3350</v>
      </c>
      <c r="B527" s="5617"/>
      <c r="C527" s="2303">
        <v>532</v>
      </c>
      <c r="D527" s="2304" t="s">
        <v>3351</v>
      </c>
      <c r="E527" s="2305" t="s">
        <v>3352</v>
      </c>
      <c r="F527" s="2306">
        <v>120</v>
      </c>
      <c r="G527" s="2306"/>
      <c r="H527" s="2350">
        <v>491.67</v>
      </c>
      <c r="I527" s="5621">
        <v>491.67</v>
      </c>
      <c r="J527" s="5621"/>
      <c r="K527" s="2305"/>
      <c r="L527" s="2305"/>
      <c r="M527" s="2308"/>
      <c r="N527" s="2308"/>
      <c r="O527" s="2308"/>
      <c r="P527" s="2305"/>
      <c r="Q527" s="2305"/>
      <c r="R527" s="2350">
        <v>491.67</v>
      </c>
      <c r="S527" s="2350">
        <v>491.67</v>
      </c>
      <c r="T527" s="2305"/>
    </row>
    <row r="528" spans="1:20" ht="12" customHeight="1" outlineLevel="1" x14ac:dyDescent="0.2">
      <c r="A528" s="5617" t="s">
        <v>3353</v>
      </c>
      <c r="B528" s="5617"/>
      <c r="C528" s="2303">
        <v>240</v>
      </c>
      <c r="D528" s="2304" t="s">
        <v>2757</v>
      </c>
      <c r="E528" s="2305" t="s">
        <v>3354</v>
      </c>
      <c r="F528" s="2306">
        <v>120</v>
      </c>
      <c r="G528" s="2306"/>
      <c r="H528" s="2307">
        <v>15416.67</v>
      </c>
      <c r="I528" s="5618">
        <v>15416.67</v>
      </c>
      <c r="J528" s="5618"/>
      <c r="K528" s="2305"/>
      <c r="L528" s="2305"/>
      <c r="M528" s="2308"/>
      <c r="N528" s="2308"/>
      <c r="O528" s="2308"/>
      <c r="P528" s="2305"/>
      <c r="Q528" s="2305"/>
      <c r="R528" s="2307">
        <v>15416.67</v>
      </c>
      <c r="S528" s="2307">
        <v>15416.67</v>
      </c>
      <c r="T528" s="2305"/>
    </row>
    <row r="529" spans="1:20" ht="12" customHeight="1" outlineLevel="1" x14ac:dyDescent="0.2">
      <c r="A529" s="5617" t="s">
        <v>3347</v>
      </c>
      <c r="B529" s="5617"/>
      <c r="C529" s="2303">
        <v>295</v>
      </c>
      <c r="D529" s="2304" t="s">
        <v>2574</v>
      </c>
      <c r="E529" s="2305" t="s">
        <v>3355</v>
      </c>
      <c r="F529" s="2306">
        <v>185</v>
      </c>
      <c r="G529" s="2306"/>
      <c r="H529" s="2350">
        <v>833.33</v>
      </c>
      <c r="I529" s="5621">
        <v>833.33</v>
      </c>
      <c r="J529" s="5621"/>
      <c r="K529" s="2305"/>
      <c r="L529" s="2305"/>
      <c r="M529" s="2308"/>
      <c r="N529" s="2308"/>
      <c r="O529" s="2308"/>
      <c r="P529" s="2305"/>
      <c r="Q529" s="2305"/>
      <c r="R529" s="2350">
        <v>833.33</v>
      </c>
      <c r="S529" s="2350">
        <v>833.33</v>
      </c>
      <c r="T529" s="2305"/>
    </row>
    <row r="530" spans="1:20" ht="12" customHeight="1" outlineLevel="1" x14ac:dyDescent="0.2">
      <c r="A530" s="5617" t="s">
        <v>3356</v>
      </c>
      <c r="B530" s="5617"/>
      <c r="C530" s="2303">
        <v>401</v>
      </c>
      <c r="D530" s="2304" t="s">
        <v>2292</v>
      </c>
      <c r="E530" s="2305" t="s">
        <v>3357</v>
      </c>
      <c r="F530" s="2306">
        <v>120</v>
      </c>
      <c r="G530" s="2306"/>
      <c r="H530" s="2307">
        <v>4680</v>
      </c>
      <c r="I530" s="5618">
        <v>4680</v>
      </c>
      <c r="J530" s="5618"/>
      <c r="K530" s="2305"/>
      <c r="L530" s="2305"/>
      <c r="M530" s="2308"/>
      <c r="N530" s="2308"/>
      <c r="O530" s="2308"/>
      <c r="P530" s="2305"/>
      <c r="Q530" s="2305"/>
      <c r="R530" s="2307">
        <v>4680</v>
      </c>
      <c r="S530" s="2307">
        <v>4680</v>
      </c>
      <c r="T530" s="2305"/>
    </row>
    <row r="531" spans="1:20" ht="12" customHeight="1" outlineLevel="1" x14ac:dyDescent="0.2">
      <c r="A531" s="5617" t="s">
        <v>3358</v>
      </c>
      <c r="B531" s="5617"/>
      <c r="C531" s="2303">
        <v>742</v>
      </c>
      <c r="D531" s="2304" t="s">
        <v>2684</v>
      </c>
      <c r="E531" s="2305" t="s">
        <v>3359</v>
      </c>
      <c r="F531" s="2306">
        <v>84</v>
      </c>
      <c r="G531" s="2306"/>
      <c r="H531" s="2350">
        <v>864</v>
      </c>
      <c r="I531" s="5621">
        <v>864</v>
      </c>
      <c r="J531" s="5621"/>
      <c r="K531" s="2305"/>
      <c r="L531" s="2305"/>
      <c r="M531" s="2308"/>
      <c r="N531" s="2308"/>
      <c r="O531" s="2308"/>
      <c r="P531" s="2305"/>
      <c r="Q531" s="2305"/>
      <c r="R531" s="2350">
        <v>864</v>
      </c>
      <c r="S531" s="2350">
        <v>864</v>
      </c>
      <c r="T531" s="2305"/>
    </row>
    <row r="532" spans="1:20" ht="12" customHeight="1" outlineLevel="1" x14ac:dyDescent="0.2">
      <c r="A532" s="5617" t="s">
        <v>3358</v>
      </c>
      <c r="B532" s="5617"/>
      <c r="C532" s="2303">
        <v>257</v>
      </c>
      <c r="D532" s="2304" t="s">
        <v>2757</v>
      </c>
      <c r="E532" s="2305" t="s">
        <v>3360</v>
      </c>
      <c r="F532" s="2306">
        <v>120</v>
      </c>
      <c r="G532" s="2306"/>
      <c r="H532" s="2307">
        <v>12960</v>
      </c>
      <c r="I532" s="5618">
        <v>12960</v>
      </c>
      <c r="J532" s="5618"/>
      <c r="K532" s="2305"/>
      <c r="L532" s="2305"/>
      <c r="M532" s="2308"/>
      <c r="N532" s="2308"/>
      <c r="O532" s="2308"/>
      <c r="P532" s="2305"/>
      <c r="Q532" s="2305"/>
      <c r="R532" s="2307">
        <v>12960</v>
      </c>
      <c r="S532" s="2307">
        <v>12960</v>
      </c>
      <c r="T532" s="2305"/>
    </row>
    <row r="533" spans="1:20" ht="12" customHeight="1" outlineLevel="1" x14ac:dyDescent="0.2">
      <c r="A533" s="5617" t="s">
        <v>3361</v>
      </c>
      <c r="B533" s="5617"/>
      <c r="C533" s="2303">
        <v>560</v>
      </c>
      <c r="D533" s="2304" t="s">
        <v>2757</v>
      </c>
      <c r="E533" s="2305" t="s">
        <v>3362</v>
      </c>
      <c r="F533" s="2306">
        <v>120</v>
      </c>
      <c r="G533" s="2306"/>
      <c r="H533" s="2307">
        <v>1500</v>
      </c>
      <c r="I533" s="5618">
        <v>1500</v>
      </c>
      <c r="J533" s="5618"/>
      <c r="K533" s="2305"/>
      <c r="L533" s="2305"/>
      <c r="M533" s="2308"/>
      <c r="N533" s="2308"/>
      <c r="O533" s="2308"/>
      <c r="P533" s="2305"/>
      <c r="Q533" s="2305"/>
      <c r="R533" s="2307">
        <v>1500</v>
      </c>
      <c r="S533" s="2307">
        <v>1500</v>
      </c>
      <c r="T533" s="2305"/>
    </row>
    <row r="534" spans="1:20" s="2302" customFormat="1" ht="12" customHeight="1" outlineLevel="1" x14ac:dyDescent="0.2">
      <c r="A534" s="5622" t="s">
        <v>3363</v>
      </c>
      <c r="B534" s="5622"/>
      <c r="C534" s="2355">
        <v>2403</v>
      </c>
      <c r="D534" s="2296" t="s">
        <v>3252</v>
      </c>
      <c r="E534" s="2301" t="s">
        <v>3364</v>
      </c>
      <c r="F534" s="2298">
        <v>84</v>
      </c>
      <c r="G534" s="2298"/>
      <c r="H534" s="2299">
        <v>18600</v>
      </c>
      <c r="I534" s="5623">
        <v>15942.96</v>
      </c>
      <c r="J534" s="5623"/>
      <c r="K534" s="2299">
        <v>2657.04</v>
      </c>
      <c r="L534" s="2301"/>
      <c r="M534" s="2309">
        <v>2657.04</v>
      </c>
      <c r="N534" s="2309">
        <v>0</v>
      </c>
      <c r="O534" s="2309"/>
      <c r="P534" s="2301"/>
      <c r="Q534" s="2301"/>
      <c r="R534" s="2299">
        <v>18600</v>
      </c>
      <c r="S534" s="2299">
        <v>18600</v>
      </c>
      <c r="T534" s="2301"/>
    </row>
    <row r="535" spans="1:20" ht="12" customHeight="1" outlineLevel="1" x14ac:dyDescent="0.2">
      <c r="A535" s="5617" t="s">
        <v>3365</v>
      </c>
      <c r="B535" s="5617"/>
      <c r="C535" s="2303">
        <v>228</v>
      </c>
      <c r="D535" s="2304" t="s">
        <v>2574</v>
      </c>
      <c r="E535" s="2305" t="s">
        <v>3366</v>
      </c>
      <c r="F535" s="2306">
        <v>120</v>
      </c>
      <c r="G535" s="2306"/>
      <c r="H535" s="2350">
        <v>358.33</v>
      </c>
      <c r="I535" s="5621">
        <v>358.33</v>
      </c>
      <c r="J535" s="5621"/>
      <c r="K535" s="2305"/>
      <c r="L535" s="2305"/>
      <c r="M535" s="2308"/>
      <c r="N535" s="2308"/>
      <c r="O535" s="2308"/>
      <c r="P535" s="2305"/>
      <c r="Q535" s="2305"/>
      <c r="R535" s="2350">
        <v>358.33</v>
      </c>
      <c r="S535" s="2350">
        <v>358.33</v>
      </c>
      <c r="T535" s="2305"/>
    </row>
    <row r="536" spans="1:20" ht="23.25" customHeight="1" outlineLevel="1" x14ac:dyDescent="0.2">
      <c r="A536" s="5617" t="s">
        <v>3367</v>
      </c>
      <c r="B536" s="5617"/>
      <c r="C536" s="2303">
        <v>611</v>
      </c>
      <c r="D536" s="2304" t="s">
        <v>3368</v>
      </c>
      <c r="E536" s="2305" t="s">
        <v>3369</v>
      </c>
      <c r="F536" s="2306">
        <v>12</v>
      </c>
      <c r="G536" s="2306"/>
      <c r="H536" s="2307">
        <v>6666.67</v>
      </c>
      <c r="I536" s="5618">
        <v>6666.67</v>
      </c>
      <c r="J536" s="5618"/>
      <c r="K536" s="2305"/>
      <c r="L536" s="2305"/>
      <c r="M536" s="2308"/>
      <c r="N536" s="2308"/>
      <c r="O536" s="2308"/>
      <c r="P536" s="2305"/>
      <c r="Q536" s="2305"/>
      <c r="R536" s="2307">
        <v>6666.67</v>
      </c>
      <c r="S536" s="2307">
        <v>6666.67</v>
      </c>
      <c r="T536" s="2305"/>
    </row>
    <row r="537" spans="1:20" ht="12" customHeight="1" outlineLevel="1" x14ac:dyDescent="0.2">
      <c r="A537" s="5617" t="s">
        <v>3370</v>
      </c>
      <c r="B537" s="5617"/>
      <c r="C537" s="2303">
        <v>251</v>
      </c>
      <c r="D537" s="2304" t="s">
        <v>2782</v>
      </c>
      <c r="E537" s="2305" t="s">
        <v>3371</v>
      </c>
      <c r="F537" s="2306">
        <v>132</v>
      </c>
      <c r="G537" s="2306"/>
      <c r="H537" s="2307">
        <v>10875</v>
      </c>
      <c r="I537" s="5618">
        <v>10875</v>
      </c>
      <c r="J537" s="5618"/>
      <c r="K537" s="2305"/>
      <c r="L537" s="2305"/>
      <c r="M537" s="2308"/>
      <c r="N537" s="2308"/>
      <c r="O537" s="2308"/>
      <c r="P537" s="2305"/>
      <c r="Q537" s="2305"/>
      <c r="R537" s="2307">
        <v>10875</v>
      </c>
      <c r="S537" s="2307">
        <v>10875</v>
      </c>
      <c r="T537" s="2305"/>
    </row>
    <row r="538" spans="1:20" ht="12" customHeight="1" outlineLevel="1" x14ac:dyDescent="0.2">
      <c r="A538" s="5617" t="s">
        <v>3372</v>
      </c>
      <c r="B538" s="5617"/>
      <c r="C538" s="2303">
        <v>681</v>
      </c>
      <c r="D538" s="2304" t="s">
        <v>2675</v>
      </c>
      <c r="E538" s="2305" t="s">
        <v>3373</v>
      </c>
      <c r="F538" s="2306">
        <v>84</v>
      </c>
      <c r="G538" s="2306"/>
      <c r="H538" s="2307">
        <v>35165.089999999997</v>
      </c>
      <c r="I538" s="5618">
        <v>35165.089999999997</v>
      </c>
      <c r="J538" s="5618"/>
      <c r="K538" s="2305"/>
      <c r="L538" s="2305"/>
      <c r="M538" s="2308"/>
      <c r="N538" s="2308"/>
      <c r="O538" s="2308"/>
      <c r="P538" s="2305"/>
      <c r="Q538" s="2305"/>
      <c r="R538" s="2307">
        <v>35165.089999999997</v>
      </c>
      <c r="S538" s="2307">
        <v>35165.089999999997</v>
      </c>
      <c r="T538" s="2305"/>
    </row>
    <row r="539" spans="1:20" ht="12" customHeight="1" outlineLevel="1" x14ac:dyDescent="0.2">
      <c r="A539" s="5617" t="s">
        <v>3374</v>
      </c>
      <c r="B539" s="5617"/>
      <c r="C539" s="2303">
        <v>535</v>
      </c>
      <c r="D539" s="2304" t="s">
        <v>3314</v>
      </c>
      <c r="E539" s="2305" t="s">
        <v>3375</v>
      </c>
      <c r="F539" s="2306">
        <v>120</v>
      </c>
      <c r="G539" s="2306"/>
      <c r="H539" s="2307">
        <v>43750</v>
      </c>
      <c r="I539" s="5618">
        <v>43750</v>
      </c>
      <c r="J539" s="5618"/>
      <c r="K539" s="2305"/>
      <c r="L539" s="2305"/>
      <c r="M539" s="2308"/>
      <c r="N539" s="2308"/>
      <c r="O539" s="2308"/>
      <c r="P539" s="2305"/>
      <c r="Q539" s="2305"/>
      <c r="R539" s="2307">
        <v>43750</v>
      </c>
      <c r="S539" s="2307">
        <v>43750</v>
      </c>
      <c r="T539" s="2305"/>
    </row>
    <row r="540" spans="1:20" ht="12" customHeight="1" outlineLevel="1" x14ac:dyDescent="0.2">
      <c r="A540" s="5617" t="s">
        <v>3376</v>
      </c>
      <c r="B540" s="5617"/>
      <c r="C540" s="2303">
        <v>637</v>
      </c>
      <c r="D540" s="2304" t="s">
        <v>2593</v>
      </c>
      <c r="E540" s="2305" t="s">
        <v>3224</v>
      </c>
      <c r="F540" s="2306">
        <v>12</v>
      </c>
      <c r="G540" s="2306"/>
      <c r="H540" s="2307">
        <v>6000</v>
      </c>
      <c r="I540" s="5618">
        <v>6000</v>
      </c>
      <c r="J540" s="5618"/>
      <c r="K540" s="2305"/>
      <c r="L540" s="2305"/>
      <c r="M540" s="2308"/>
      <c r="N540" s="2308"/>
      <c r="O540" s="2308"/>
      <c r="P540" s="2305"/>
      <c r="Q540" s="2305"/>
      <c r="R540" s="2307">
        <v>6000</v>
      </c>
      <c r="S540" s="2307">
        <v>6000</v>
      </c>
      <c r="T540" s="2305"/>
    </row>
    <row r="541" spans="1:20" ht="12" customHeight="1" outlineLevel="1" x14ac:dyDescent="0.2">
      <c r="A541" s="5617" t="s">
        <v>3377</v>
      </c>
      <c r="B541" s="5617"/>
      <c r="C541" s="2303">
        <v>697</v>
      </c>
      <c r="D541" s="2304" t="s">
        <v>3378</v>
      </c>
      <c r="E541" s="2305" t="s">
        <v>3379</v>
      </c>
      <c r="F541" s="2306">
        <v>84</v>
      </c>
      <c r="G541" s="2306"/>
      <c r="H541" s="2307">
        <v>5333.33</v>
      </c>
      <c r="I541" s="5618">
        <v>5333.33</v>
      </c>
      <c r="J541" s="5618"/>
      <c r="K541" s="2305"/>
      <c r="L541" s="2305"/>
      <c r="M541" s="2308"/>
      <c r="N541" s="2308"/>
      <c r="O541" s="2308"/>
      <c r="P541" s="2307">
        <v>5333.33</v>
      </c>
      <c r="Q541" s="2307">
        <v>5333.33</v>
      </c>
      <c r="R541" s="2305"/>
      <c r="S541" s="2305"/>
      <c r="T541" s="2305"/>
    </row>
    <row r="542" spans="1:20" ht="12" customHeight="1" outlineLevel="1" x14ac:dyDescent="0.2">
      <c r="A542" s="5617" t="s">
        <v>3380</v>
      </c>
      <c r="B542" s="5617"/>
      <c r="C542" s="2303">
        <v>563</v>
      </c>
      <c r="D542" s="2304" t="s">
        <v>2723</v>
      </c>
      <c r="E542" s="2305" t="s">
        <v>3381</v>
      </c>
      <c r="F542" s="2306">
        <v>120</v>
      </c>
      <c r="G542" s="2306"/>
      <c r="H542" s="2350">
        <v>750</v>
      </c>
      <c r="I542" s="5621">
        <v>750</v>
      </c>
      <c r="J542" s="5621"/>
      <c r="K542" s="2305"/>
      <c r="L542" s="2305"/>
      <c r="M542" s="2308"/>
      <c r="N542" s="2308"/>
      <c r="O542" s="2308"/>
      <c r="P542" s="2305"/>
      <c r="Q542" s="2305"/>
      <c r="R542" s="2350">
        <v>750</v>
      </c>
      <c r="S542" s="2350">
        <v>750</v>
      </c>
      <c r="T542" s="2305"/>
    </row>
    <row r="543" spans="1:20" ht="12" customHeight="1" outlineLevel="1" x14ac:dyDescent="0.2">
      <c r="A543" s="5617" t="s">
        <v>3376</v>
      </c>
      <c r="B543" s="5617"/>
      <c r="C543" s="2303">
        <v>631</v>
      </c>
      <c r="D543" s="2304" t="s">
        <v>2593</v>
      </c>
      <c r="E543" s="2305" t="s">
        <v>3224</v>
      </c>
      <c r="F543" s="2306">
        <v>12</v>
      </c>
      <c r="G543" s="2306"/>
      <c r="H543" s="2307">
        <v>3000</v>
      </c>
      <c r="I543" s="5618">
        <v>3000</v>
      </c>
      <c r="J543" s="5618"/>
      <c r="K543" s="2305"/>
      <c r="L543" s="2305"/>
      <c r="M543" s="2308"/>
      <c r="N543" s="2308"/>
      <c r="O543" s="2308"/>
      <c r="P543" s="2305"/>
      <c r="Q543" s="2305"/>
      <c r="R543" s="2307">
        <v>3000</v>
      </c>
      <c r="S543" s="2307">
        <v>3000</v>
      </c>
      <c r="T543" s="2305"/>
    </row>
    <row r="544" spans="1:20" ht="12" customHeight="1" outlineLevel="1" x14ac:dyDescent="0.2">
      <c r="A544" s="5617" t="s">
        <v>3382</v>
      </c>
      <c r="B544" s="5617"/>
      <c r="C544" s="2310">
        <v>2022</v>
      </c>
      <c r="D544" s="2304" t="s">
        <v>3383</v>
      </c>
      <c r="E544" s="2305" t="s">
        <v>3384</v>
      </c>
      <c r="F544" s="2306">
        <v>84</v>
      </c>
      <c r="G544" s="2306"/>
      <c r="H544" s="2307">
        <v>15990</v>
      </c>
      <c r="I544" s="5618">
        <v>15990</v>
      </c>
      <c r="J544" s="5618"/>
      <c r="K544" s="2305"/>
      <c r="L544" s="2305"/>
      <c r="M544" s="2308"/>
      <c r="N544" s="2308"/>
      <c r="O544" s="2308"/>
      <c r="P544" s="2305"/>
      <c r="Q544" s="2305"/>
      <c r="R544" s="2307">
        <v>15990</v>
      </c>
      <c r="S544" s="2307">
        <v>15990</v>
      </c>
      <c r="T544" s="2305"/>
    </row>
    <row r="545" spans="1:20" ht="12" customHeight="1" outlineLevel="1" x14ac:dyDescent="0.2">
      <c r="A545" s="5617" t="s">
        <v>3385</v>
      </c>
      <c r="B545" s="5617"/>
      <c r="C545" s="2303">
        <v>530</v>
      </c>
      <c r="D545" s="2304" t="s">
        <v>3257</v>
      </c>
      <c r="E545" s="2305" t="s">
        <v>3386</v>
      </c>
      <c r="F545" s="2306">
        <v>120</v>
      </c>
      <c r="G545" s="2306"/>
      <c r="H545" s="2307">
        <v>1943</v>
      </c>
      <c r="I545" s="5618">
        <v>1943</v>
      </c>
      <c r="J545" s="5618"/>
      <c r="K545" s="2305"/>
      <c r="L545" s="2305"/>
      <c r="M545" s="2308"/>
      <c r="N545" s="2308"/>
      <c r="O545" s="2308"/>
      <c r="P545" s="2305"/>
      <c r="Q545" s="2305"/>
      <c r="R545" s="2307">
        <v>1943</v>
      </c>
      <c r="S545" s="2307">
        <v>1943</v>
      </c>
      <c r="T545" s="2305"/>
    </row>
    <row r="546" spans="1:20" ht="12" customHeight="1" outlineLevel="1" x14ac:dyDescent="0.2">
      <c r="A546" s="5617" t="s">
        <v>3387</v>
      </c>
      <c r="B546" s="5617"/>
      <c r="C546" s="2344">
        <v>1097</v>
      </c>
      <c r="D546" s="2304" t="s">
        <v>3388</v>
      </c>
      <c r="E546" s="2305" t="s">
        <v>2713</v>
      </c>
      <c r="F546" s="2305"/>
      <c r="G546" s="2305"/>
      <c r="H546" s="2307">
        <v>2200</v>
      </c>
      <c r="I546" s="5618">
        <v>2200</v>
      </c>
      <c r="J546" s="5618"/>
      <c r="K546" s="2305"/>
      <c r="L546" s="2305"/>
      <c r="M546" s="2308"/>
      <c r="N546" s="2308"/>
      <c r="O546" s="2308"/>
      <c r="P546" s="2305"/>
      <c r="Q546" s="2305"/>
      <c r="R546" s="2307">
        <v>2200</v>
      </c>
      <c r="S546" s="2307">
        <v>2200</v>
      </c>
      <c r="T546" s="2305"/>
    </row>
    <row r="547" spans="1:20" ht="12" customHeight="1" outlineLevel="1" x14ac:dyDescent="0.2">
      <c r="A547" s="5617" t="s">
        <v>3389</v>
      </c>
      <c r="B547" s="5617"/>
      <c r="C547" s="2303">
        <v>561</v>
      </c>
      <c r="D547" s="2304" t="s">
        <v>2757</v>
      </c>
      <c r="E547" s="2305" t="s">
        <v>3390</v>
      </c>
      <c r="F547" s="2306">
        <v>120</v>
      </c>
      <c r="G547" s="2306"/>
      <c r="H547" s="2307">
        <v>1316.67</v>
      </c>
      <c r="I547" s="5618">
        <v>1316.67</v>
      </c>
      <c r="J547" s="5618"/>
      <c r="K547" s="2305"/>
      <c r="L547" s="2305"/>
      <c r="M547" s="2308"/>
      <c r="N547" s="2308"/>
      <c r="O547" s="2308"/>
      <c r="P547" s="2305"/>
      <c r="Q547" s="2305"/>
      <c r="R547" s="2307">
        <v>1316.67</v>
      </c>
      <c r="S547" s="2307">
        <v>1316.67</v>
      </c>
      <c r="T547" s="2305"/>
    </row>
    <row r="548" spans="1:20" ht="12" customHeight="1" outlineLevel="1" x14ac:dyDescent="0.2">
      <c r="A548" s="5617" t="s">
        <v>3391</v>
      </c>
      <c r="B548" s="5617"/>
      <c r="C548" s="2303">
        <v>311</v>
      </c>
      <c r="D548" s="2304" t="s">
        <v>2408</v>
      </c>
      <c r="E548" s="2305" t="s">
        <v>3392</v>
      </c>
      <c r="F548" s="2306">
        <v>120</v>
      </c>
      <c r="G548" s="2306"/>
      <c r="H548" s="2350">
        <v>340</v>
      </c>
      <c r="I548" s="5621">
        <v>340</v>
      </c>
      <c r="J548" s="5621"/>
      <c r="K548" s="2305"/>
      <c r="L548" s="2305"/>
      <c r="M548" s="2308"/>
      <c r="N548" s="2308"/>
      <c r="O548" s="2308"/>
      <c r="P548" s="2305"/>
      <c r="Q548" s="2305"/>
      <c r="R548" s="2350">
        <v>340</v>
      </c>
      <c r="S548" s="2350">
        <v>340</v>
      </c>
      <c r="T548" s="2305"/>
    </row>
    <row r="549" spans="1:20" ht="12" customHeight="1" outlineLevel="1" x14ac:dyDescent="0.2">
      <c r="A549" s="5617" t="s">
        <v>3393</v>
      </c>
      <c r="B549" s="5617"/>
      <c r="C549" s="2303">
        <v>565</v>
      </c>
      <c r="D549" s="2304" t="s">
        <v>2816</v>
      </c>
      <c r="E549" s="2305" t="s">
        <v>3357</v>
      </c>
      <c r="F549" s="2306">
        <v>120</v>
      </c>
      <c r="G549" s="2306"/>
      <c r="H549" s="2307">
        <v>4680</v>
      </c>
      <c r="I549" s="5618">
        <v>4680</v>
      </c>
      <c r="J549" s="5618"/>
      <c r="K549" s="2305"/>
      <c r="L549" s="2305"/>
      <c r="M549" s="2308"/>
      <c r="N549" s="2308"/>
      <c r="O549" s="2308"/>
      <c r="P549" s="2305"/>
      <c r="Q549" s="2305"/>
      <c r="R549" s="2307">
        <v>4680</v>
      </c>
      <c r="S549" s="2307">
        <v>4680</v>
      </c>
      <c r="T549" s="2305"/>
    </row>
    <row r="550" spans="1:20" ht="12" customHeight="1" outlineLevel="1" x14ac:dyDescent="0.2">
      <c r="A550" s="5617" t="s">
        <v>3394</v>
      </c>
      <c r="B550" s="5617"/>
      <c r="C550" s="2303">
        <v>231</v>
      </c>
      <c r="D550" s="2304" t="s">
        <v>2408</v>
      </c>
      <c r="E550" s="2305" t="s">
        <v>3395</v>
      </c>
      <c r="F550" s="2306">
        <v>120</v>
      </c>
      <c r="G550" s="2306"/>
      <c r="H550" s="2307">
        <v>12797.37</v>
      </c>
      <c r="I550" s="5618">
        <v>12797.37</v>
      </c>
      <c r="J550" s="5618"/>
      <c r="K550" s="2305"/>
      <c r="L550" s="2305"/>
      <c r="M550" s="2308"/>
      <c r="N550" s="2308"/>
      <c r="O550" s="2308"/>
      <c r="P550" s="2305"/>
      <c r="Q550" s="2305"/>
      <c r="R550" s="2307">
        <v>12797.37</v>
      </c>
      <c r="S550" s="2307">
        <v>12797.37</v>
      </c>
      <c r="T550" s="2305"/>
    </row>
    <row r="551" spans="1:20" ht="12" customHeight="1" outlineLevel="1" x14ac:dyDescent="0.2">
      <c r="A551" s="5617" t="s">
        <v>3396</v>
      </c>
      <c r="B551" s="5617"/>
      <c r="C551" s="2303">
        <v>581</v>
      </c>
      <c r="D551" s="2304" t="s">
        <v>3325</v>
      </c>
      <c r="E551" s="2305" t="s">
        <v>3315</v>
      </c>
      <c r="F551" s="2306">
        <v>1</v>
      </c>
      <c r="G551" s="2306"/>
      <c r="H551" s="2307">
        <v>1666.67</v>
      </c>
      <c r="I551" s="5618">
        <v>1666.67</v>
      </c>
      <c r="J551" s="5618"/>
      <c r="K551" s="2305"/>
      <c r="L551" s="2305"/>
      <c r="M551" s="2308"/>
      <c r="N551" s="2308"/>
      <c r="O551" s="2308"/>
      <c r="P551" s="2305"/>
      <c r="Q551" s="2305"/>
      <c r="R551" s="2307">
        <v>1666.67</v>
      </c>
      <c r="S551" s="2307">
        <v>1666.67</v>
      </c>
      <c r="T551" s="2305"/>
    </row>
    <row r="552" spans="1:20" ht="12" customHeight="1" outlineLevel="1" x14ac:dyDescent="0.2">
      <c r="A552" s="5617" t="s">
        <v>3397</v>
      </c>
      <c r="B552" s="5617"/>
      <c r="C552" s="2303">
        <v>232</v>
      </c>
      <c r="D552" s="2304" t="s">
        <v>2757</v>
      </c>
      <c r="E552" s="2305" t="s">
        <v>3398</v>
      </c>
      <c r="F552" s="2306">
        <v>120</v>
      </c>
      <c r="G552" s="2306"/>
      <c r="H552" s="2307">
        <v>12660.72</v>
      </c>
      <c r="I552" s="5618">
        <v>12660.72</v>
      </c>
      <c r="J552" s="5618"/>
      <c r="K552" s="2305"/>
      <c r="L552" s="2305"/>
      <c r="M552" s="2308"/>
      <c r="N552" s="2308"/>
      <c r="O552" s="2308"/>
      <c r="P552" s="2305"/>
      <c r="Q552" s="2305"/>
      <c r="R552" s="2307">
        <v>12660.72</v>
      </c>
      <c r="S552" s="2307">
        <v>12660.72</v>
      </c>
      <c r="T552" s="2305"/>
    </row>
    <row r="553" spans="1:20" ht="12" customHeight="1" outlineLevel="1" x14ac:dyDescent="0.2">
      <c r="A553" s="5617" t="s">
        <v>3397</v>
      </c>
      <c r="B553" s="5617"/>
      <c r="C553" s="2303">
        <v>310</v>
      </c>
      <c r="D553" s="2304" t="s">
        <v>2408</v>
      </c>
      <c r="E553" s="2305" t="s">
        <v>3399</v>
      </c>
      <c r="F553" s="2306">
        <v>120</v>
      </c>
      <c r="G553" s="2306"/>
      <c r="H553" s="2350">
        <v>610.57000000000005</v>
      </c>
      <c r="I553" s="5621">
        <v>610.57000000000005</v>
      </c>
      <c r="J553" s="5621"/>
      <c r="K553" s="2305"/>
      <c r="L553" s="2305"/>
      <c r="M553" s="2308"/>
      <c r="N553" s="2308"/>
      <c r="O553" s="2308"/>
      <c r="P553" s="2305"/>
      <c r="Q553" s="2305"/>
      <c r="R553" s="2350">
        <v>610.57000000000005</v>
      </c>
      <c r="S553" s="2350">
        <v>610.57000000000005</v>
      </c>
      <c r="T553" s="2305"/>
    </row>
    <row r="554" spans="1:20" ht="12" customHeight="1" outlineLevel="1" x14ac:dyDescent="0.2">
      <c r="A554" s="5617" t="s">
        <v>3400</v>
      </c>
      <c r="B554" s="5617"/>
      <c r="C554" s="2303">
        <v>2025</v>
      </c>
      <c r="D554" s="2304" t="s">
        <v>3401</v>
      </c>
      <c r="E554" s="2305" t="s">
        <v>3402</v>
      </c>
      <c r="F554" s="2306">
        <v>36</v>
      </c>
      <c r="G554" s="2306"/>
      <c r="H554" s="2307">
        <v>12245.76</v>
      </c>
      <c r="I554" s="5618">
        <v>12245.76</v>
      </c>
      <c r="J554" s="5618"/>
      <c r="K554" s="2305"/>
      <c r="L554" s="2305"/>
      <c r="M554" s="2308"/>
      <c r="N554" s="2308"/>
      <c r="O554" s="2308"/>
      <c r="P554" s="2305"/>
      <c r="Q554" s="2305"/>
      <c r="R554" s="2307">
        <v>12245.76</v>
      </c>
      <c r="S554" s="2307">
        <v>12245.76</v>
      </c>
      <c r="T554" s="2305"/>
    </row>
    <row r="555" spans="1:20" ht="12" customHeight="1" outlineLevel="1" x14ac:dyDescent="0.2">
      <c r="A555" s="5617" t="s">
        <v>3403</v>
      </c>
      <c r="B555" s="5617"/>
      <c r="C555" s="2303">
        <v>234</v>
      </c>
      <c r="D555" s="2304" t="s">
        <v>2757</v>
      </c>
      <c r="E555" s="2305" t="s">
        <v>3404</v>
      </c>
      <c r="F555" s="2306">
        <v>120</v>
      </c>
      <c r="G555" s="2306"/>
      <c r="H555" s="2307">
        <v>1883.33</v>
      </c>
      <c r="I555" s="5618">
        <v>1883.33</v>
      </c>
      <c r="J555" s="5618"/>
      <c r="K555" s="2305"/>
      <c r="L555" s="2305"/>
      <c r="M555" s="2308"/>
      <c r="N555" s="2308"/>
      <c r="O555" s="2308"/>
      <c r="P555" s="2307">
        <v>1883.33</v>
      </c>
      <c r="Q555" s="2307">
        <v>1883.33</v>
      </c>
      <c r="R555" s="2305"/>
      <c r="S555" s="2305"/>
      <c r="T555" s="2305"/>
    </row>
    <row r="556" spans="1:20" ht="12" customHeight="1" outlineLevel="1" x14ac:dyDescent="0.2">
      <c r="A556" s="5617" t="s">
        <v>3405</v>
      </c>
      <c r="B556" s="5617"/>
      <c r="C556" s="2303">
        <v>235</v>
      </c>
      <c r="D556" s="2304" t="s">
        <v>2757</v>
      </c>
      <c r="E556" s="2305" t="s">
        <v>3406</v>
      </c>
      <c r="F556" s="2306">
        <v>120</v>
      </c>
      <c r="G556" s="2306"/>
      <c r="H556" s="2307">
        <v>8058.33</v>
      </c>
      <c r="I556" s="5618">
        <v>8058.33</v>
      </c>
      <c r="J556" s="5618"/>
      <c r="K556" s="2305"/>
      <c r="L556" s="2305"/>
      <c r="M556" s="2308"/>
      <c r="N556" s="2308"/>
      <c r="O556" s="2308"/>
      <c r="P556" s="2305"/>
      <c r="Q556" s="2305"/>
      <c r="R556" s="2307">
        <v>8058.33</v>
      </c>
      <c r="S556" s="2307">
        <v>8058.33</v>
      </c>
      <c r="T556" s="2305"/>
    </row>
    <row r="557" spans="1:20" ht="12" customHeight="1" outlineLevel="1" x14ac:dyDescent="0.2">
      <c r="A557" s="5617" t="s">
        <v>3407</v>
      </c>
      <c r="B557" s="5617"/>
      <c r="C557" s="2303">
        <v>237</v>
      </c>
      <c r="D557" s="2304" t="s">
        <v>2408</v>
      </c>
      <c r="E557" s="2305" t="s">
        <v>3408</v>
      </c>
      <c r="F557" s="2306">
        <v>120</v>
      </c>
      <c r="G557" s="2306"/>
      <c r="H557" s="2307">
        <v>1859.33</v>
      </c>
      <c r="I557" s="5618">
        <v>1859.33</v>
      </c>
      <c r="J557" s="5618"/>
      <c r="K557" s="2305"/>
      <c r="L557" s="2305"/>
      <c r="M557" s="2308"/>
      <c r="N557" s="2308"/>
      <c r="O557" s="2308"/>
      <c r="P557" s="2305"/>
      <c r="Q557" s="2305"/>
      <c r="R557" s="2307">
        <v>1859.33</v>
      </c>
      <c r="S557" s="2307">
        <v>1859.33</v>
      </c>
      <c r="T557" s="2305"/>
    </row>
    <row r="558" spans="1:20" ht="12" customHeight="1" outlineLevel="1" x14ac:dyDescent="0.2">
      <c r="A558" s="5617" t="s">
        <v>3409</v>
      </c>
      <c r="B558" s="5617"/>
      <c r="C558" s="2303">
        <v>518</v>
      </c>
      <c r="D558" s="2304" t="s">
        <v>2976</v>
      </c>
      <c r="E558" s="2305" t="s">
        <v>3410</v>
      </c>
      <c r="F558" s="2306">
        <v>120</v>
      </c>
      <c r="G558" s="2306"/>
      <c r="H558" s="2307">
        <v>1833.34</v>
      </c>
      <c r="I558" s="5618">
        <v>1833.34</v>
      </c>
      <c r="J558" s="5618"/>
      <c r="K558" s="2305"/>
      <c r="L558" s="2305"/>
      <c r="M558" s="2308"/>
      <c r="N558" s="2308"/>
      <c r="O558" s="2308"/>
      <c r="P558" s="2305"/>
      <c r="Q558" s="2305"/>
      <c r="R558" s="2307">
        <v>1833.34</v>
      </c>
      <c r="S558" s="2307">
        <v>1833.34</v>
      </c>
      <c r="T558" s="2305"/>
    </row>
    <row r="559" spans="1:20" ht="12" customHeight="1" outlineLevel="1" x14ac:dyDescent="0.2">
      <c r="A559" s="5617" t="s">
        <v>3411</v>
      </c>
      <c r="B559" s="5617"/>
      <c r="C559" s="2303">
        <v>229</v>
      </c>
      <c r="D559" s="2304" t="s">
        <v>2408</v>
      </c>
      <c r="E559" s="2305" t="s">
        <v>3412</v>
      </c>
      <c r="F559" s="2306">
        <v>120</v>
      </c>
      <c r="G559" s="2306"/>
      <c r="H559" s="2350">
        <v>695</v>
      </c>
      <c r="I559" s="5621">
        <v>695</v>
      </c>
      <c r="J559" s="5621"/>
      <c r="K559" s="2305"/>
      <c r="L559" s="2305"/>
      <c r="M559" s="2308"/>
      <c r="N559" s="2308"/>
      <c r="O559" s="2308"/>
      <c r="P559" s="2305"/>
      <c r="Q559" s="2305"/>
      <c r="R559" s="2350">
        <v>695</v>
      </c>
      <c r="S559" s="2350">
        <v>695</v>
      </c>
      <c r="T559" s="2305"/>
    </row>
    <row r="560" spans="1:20" ht="23.25" customHeight="1" outlineLevel="1" x14ac:dyDescent="0.2">
      <c r="A560" s="5617" t="s">
        <v>3413</v>
      </c>
      <c r="B560" s="5617"/>
      <c r="C560" s="2303">
        <v>2023</v>
      </c>
      <c r="D560" s="2304" t="s">
        <v>3414</v>
      </c>
      <c r="E560" s="2305" t="s">
        <v>3415</v>
      </c>
      <c r="F560" s="2306">
        <v>84</v>
      </c>
      <c r="G560" s="2306"/>
      <c r="H560" s="2307">
        <v>17815</v>
      </c>
      <c r="I560" s="5618">
        <v>17815</v>
      </c>
      <c r="J560" s="5618"/>
      <c r="K560" s="2305"/>
      <c r="L560" s="2305"/>
      <c r="M560" s="2308"/>
      <c r="N560" s="2308"/>
      <c r="O560" s="2308"/>
      <c r="P560" s="2305"/>
      <c r="Q560" s="2305"/>
      <c r="R560" s="2307">
        <v>17815</v>
      </c>
      <c r="S560" s="2307">
        <v>17815</v>
      </c>
      <c r="T560" s="2305"/>
    </row>
    <row r="561" spans="1:20" ht="12" customHeight="1" outlineLevel="1" x14ac:dyDescent="0.2">
      <c r="A561" s="5617" t="s">
        <v>3376</v>
      </c>
      <c r="B561" s="5617"/>
      <c r="C561" s="2303">
        <v>625</v>
      </c>
      <c r="D561" s="2304" t="s">
        <v>2593</v>
      </c>
      <c r="E561" s="2305" t="s">
        <v>3224</v>
      </c>
      <c r="F561" s="2306">
        <v>12</v>
      </c>
      <c r="G561" s="2306"/>
      <c r="H561" s="2307">
        <v>6000</v>
      </c>
      <c r="I561" s="5618">
        <v>6000</v>
      </c>
      <c r="J561" s="5618"/>
      <c r="K561" s="2305"/>
      <c r="L561" s="2305"/>
      <c r="M561" s="2308"/>
      <c r="N561" s="2308"/>
      <c r="O561" s="2308"/>
      <c r="P561" s="2305"/>
      <c r="Q561" s="2305"/>
      <c r="R561" s="2307">
        <v>6000</v>
      </c>
      <c r="S561" s="2307">
        <v>6000</v>
      </c>
      <c r="T561" s="2305"/>
    </row>
    <row r="562" spans="1:20" ht="12" customHeight="1" outlineLevel="1" x14ac:dyDescent="0.2">
      <c r="A562" s="5617" t="s">
        <v>3416</v>
      </c>
      <c r="B562" s="5617"/>
      <c r="C562" s="2303">
        <v>531</v>
      </c>
      <c r="D562" s="2304" t="s">
        <v>3263</v>
      </c>
      <c r="E562" s="2305" t="s">
        <v>3417</v>
      </c>
      <c r="F562" s="2306">
        <v>120</v>
      </c>
      <c r="G562" s="2306"/>
      <c r="H562" s="2350">
        <v>485.83</v>
      </c>
      <c r="I562" s="5621">
        <v>485.83</v>
      </c>
      <c r="J562" s="5621"/>
      <c r="K562" s="2305"/>
      <c r="L562" s="2305"/>
      <c r="M562" s="2308"/>
      <c r="N562" s="2308"/>
      <c r="O562" s="2308"/>
      <c r="P562" s="2305"/>
      <c r="Q562" s="2305"/>
      <c r="R562" s="2350">
        <v>485.83</v>
      </c>
      <c r="S562" s="2350">
        <v>485.83</v>
      </c>
      <c r="T562" s="2305"/>
    </row>
    <row r="563" spans="1:20" ht="12" customHeight="1" outlineLevel="1" x14ac:dyDescent="0.2">
      <c r="A563" s="5617" t="s">
        <v>3418</v>
      </c>
      <c r="B563" s="5617"/>
      <c r="C563" s="2303">
        <v>238</v>
      </c>
      <c r="D563" s="2304" t="s">
        <v>2757</v>
      </c>
      <c r="E563" s="2305" t="s">
        <v>3419</v>
      </c>
      <c r="F563" s="2306">
        <v>120</v>
      </c>
      <c r="G563" s="2306"/>
      <c r="H563" s="2350">
        <v>441.67</v>
      </c>
      <c r="I563" s="5621">
        <v>441.67</v>
      </c>
      <c r="J563" s="5621"/>
      <c r="K563" s="2305"/>
      <c r="L563" s="2305"/>
      <c r="M563" s="2308"/>
      <c r="N563" s="2308"/>
      <c r="O563" s="2308"/>
      <c r="P563" s="2305"/>
      <c r="Q563" s="2305"/>
      <c r="R563" s="2350">
        <v>441.67</v>
      </c>
      <c r="S563" s="2350">
        <v>441.67</v>
      </c>
      <c r="T563" s="2305"/>
    </row>
    <row r="564" spans="1:20" ht="12" customHeight="1" outlineLevel="1" x14ac:dyDescent="0.2">
      <c r="A564" s="5617" t="s">
        <v>3420</v>
      </c>
      <c r="B564" s="5617"/>
      <c r="C564" s="2303">
        <v>239</v>
      </c>
      <c r="D564" s="2304" t="s">
        <v>2757</v>
      </c>
      <c r="E564" s="2305" t="s">
        <v>3421</v>
      </c>
      <c r="F564" s="2306">
        <v>120</v>
      </c>
      <c r="G564" s="2306"/>
      <c r="H564" s="2307">
        <v>2775.01</v>
      </c>
      <c r="I564" s="5618">
        <v>2775.01</v>
      </c>
      <c r="J564" s="5618"/>
      <c r="K564" s="2305"/>
      <c r="L564" s="2305"/>
      <c r="M564" s="2308"/>
      <c r="N564" s="2308"/>
      <c r="O564" s="2308"/>
      <c r="P564" s="2305"/>
      <c r="Q564" s="2305"/>
      <c r="R564" s="2307">
        <v>2775.01</v>
      </c>
      <c r="S564" s="2307">
        <v>2775.01</v>
      </c>
      <c r="T564" s="2305"/>
    </row>
    <row r="565" spans="1:20" ht="12" customHeight="1" outlineLevel="1" x14ac:dyDescent="0.2">
      <c r="A565" s="5617" t="s">
        <v>3422</v>
      </c>
      <c r="B565" s="5617"/>
      <c r="C565" s="2303">
        <v>242</v>
      </c>
      <c r="D565" s="2304" t="s">
        <v>2757</v>
      </c>
      <c r="E565" s="2305" t="s">
        <v>3423</v>
      </c>
      <c r="F565" s="2306">
        <v>120</v>
      </c>
      <c r="G565" s="2306"/>
      <c r="H565" s="2307">
        <v>1087.5</v>
      </c>
      <c r="I565" s="5618">
        <v>1087.5</v>
      </c>
      <c r="J565" s="5618"/>
      <c r="K565" s="2305"/>
      <c r="L565" s="2305"/>
      <c r="M565" s="2308"/>
      <c r="N565" s="2308"/>
      <c r="O565" s="2308"/>
      <c r="P565" s="2305"/>
      <c r="Q565" s="2305"/>
      <c r="R565" s="2307">
        <v>1087.5</v>
      </c>
      <c r="S565" s="2307">
        <v>1087.5</v>
      </c>
      <c r="T565" s="2305"/>
    </row>
    <row r="566" spans="1:20" ht="12" customHeight="1" outlineLevel="1" x14ac:dyDescent="0.2">
      <c r="A566" s="5617" t="s">
        <v>3424</v>
      </c>
      <c r="B566" s="5617"/>
      <c r="C566" s="2303">
        <v>243</v>
      </c>
      <c r="D566" s="2304" t="s">
        <v>2757</v>
      </c>
      <c r="E566" s="2305" t="s">
        <v>3425</v>
      </c>
      <c r="F566" s="2306">
        <v>120</v>
      </c>
      <c r="G566" s="2306"/>
      <c r="H566" s="2307">
        <v>1416.67</v>
      </c>
      <c r="I566" s="5618">
        <v>1416.67</v>
      </c>
      <c r="J566" s="5618"/>
      <c r="K566" s="2305"/>
      <c r="L566" s="2305"/>
      <c r="M566" s="2308"/>
      <c r="N566" s="2308"/>
      <c r="O566" s="2308"/>
      <c r="P566" s="2307">
        <v>1416.67</v>
      </c>
      <c r="Q566" s="2307">
        <v>1416.67</v>
      </c>
      <c r="R566" s="2305"/>
      <c r="S566" s="2305"/>
      <c r="T566" s="2305"/>
    </row>
    <row r="567" spans="1:20" ht="12" customHeight="1" outlineLevel="1" x14ac:dyDescent="0.2">
      <c r="A567" s="5617" t="s">
        <v>3426</v>
      </c>
      <c r="B567" s="5617"/>
      <c r="C567" s="2303">
        <v>303</v>
      </c>
      <c r="D567" s="2304" t="s">
        <v>3223</v>
      </c>
      <c r="E567" s="2305" t="s">
        <v>3427</v>
      </c>
      <c r="F567" s="2306">
        <v>132</v>
      </c>
      <c r="G567" s="2306"/>
      <c r="H567" s="2307">
        <v>5066.59</v>
      </c>
      <c r="I567" s="5618">
        <v>5066.59</v>
      </c>
      <c r="J567" s="5618"/>
      <c r="K567" s="2305"/>
      <c r="L567" s="2305"/>
      <c r="M567" s="2308"/>
      <c r="N567" s="2308"/>
      <c r="O567" s="2308"/>
      <c r="P567" s="2305"/>
      <c r="Q567" s="2305"/>
      <c r="R567" s="2307">
        <v>5066.59</v>
      </c>
      <c r="S567" s="2307">
        <v>5066.59</v>
      </c>
      <c r="T567" s="2305"/>
    </row>
    <row r="568" spans="1:20" ht="12" customHeight="1" outlineLevel="1" x14ac:dyDescent="0.2">
      <c r="A568" s="5617" t="s">
        <v>3188</v>
      </c>
      <c r="B568" s="5617"/>
      <c r="C568" s="2303">
        <v>263</v>
      </c>
      <c r="D568" s="2304" t="s">
        <v>2976</v>
      </c>
      <c r="E568" s="2305" t="s">
        <v>3428</v>
      </c>
      <c r="F568" s="2306">
        <v>132</v>
      </c>
      <c r="G568" s="2306"/>
      <c r="H568" s="2307">
        <v>2361</v>
      </c>
      <c r="I568" s="5618">
        <v>2361</v>
      </c>
      <c r="J568" s="5618"/>
      <c r="K568" s="2305"/>
      <c r="L568" s="2305"/>
      <c r="M568" s="2308"/>
      <c r="N568" s="2308"/>
      <c r="O568" s="2308"/>
      <c r="P568" s="2305"/>
      <c r="Q568" s="2305"/>
      <c r="R568" s="2307">
        <v>2361</v>
      </c>
      <c r="S568" s="2307">
        <v>2361</v>
      </c>
      <c r="T568" s="2305"/>
    </row>
    <row r="569" spans="1:20" ht="12" customHeight="1" outlineLevel="1" x14ac:dyDescent="0.2">
      <c r="A569" s="5617" t="s">
        <v>3338</v>
      </c>
      <c r="B569" s="5617"/>
      <c r="C569" s="2303">
        <v>582</v>
      </c>
      <c r="D569" s="2304" t="s">
        <v>3325</v>
      </c>
      <c r="E569" s="2305" t="s">
        <v>2624</v>
      </c>
      <c r="F569" s="2306">
        <v>1</v>
      </c>
      <c r="G569" s="2306"/>
      <c r="H569" s="2307">
        <v>2500</v>
      </c>
      <c r="I569" s="5618">
        <v>2500</v>
      </c>
      <c r="J569" s="5618"/>
      <c r="K569" s="2305"/>
      <c r="L569" s="2305"/>
      <c r="M569" s="2308"/>
      <c r="N569" s="2308"/>
      <c r="O569" s="2308"/>
      <c r="P569" s="2305"/>
      <c r="Q569" s="2305"/>
      <c r="R569" s="2307">
        <v>2500</v>
      </c>
      <c r="S569" s="2307">
        <v>2500</v>
      </c>
      <c r="T569" s="2305"/>
    </row>
    <row r="570" spans="1:20" ht="12" customHeight="1" outlineLevel="1" x14ac:dyDescent="0.2">
      <c r="A570" s="5617" t="s">
        <v>3429</v>
      </c>
      <c r="B570" s="5617"/>
      <c r="C570" s="2303">
        <v>207</v>
      </c>
      <c r="D570" s="2304" t="s">
        <v>2574</v>
      </c>
      <c r="E570" s="2305" t="s">
        <v>3430</v>
      </c>
      <c r="F570" s="2306">
        <v>120</v>
      </c>
      <c r="G570" s="2306"/>
      <c r="H570" s="2307">
        <v>3700</v>
      </c>
      <c r="I570" s="5618">
        <v>3700</v>
      </c>
      <c r="J570" s="5618"/>
      <c r="K570" s="2305"/>
      <c r="L570" s="2305"/>
      <c r="M570" s="2308"/>
      <c r="N570" s="2308"/>
      <c r="O570" s="2308"/>
      <c r="P570" s="2305"/>
      <c r="Q570" s="2305"/>
      <c r="R570" s="2307">
        <v>3700</v>
      </c>
      <c r="S570" s="2307">
        <v>3700</v>
      </c>
      <c r="T570" s="2305"/>
    </row>
    <row r="571" spans="1:20" ht="12" customHeight="1" outlineLevel="1" x14ac:dyDescent="0.2">
      <c r="A571" s="5617" t="s">
        <v>3431</v>
      </c>
      <c r="B571" s="5617"/>
      <c r="C571" s="2303">
        <v>308</v>
      </c>
      <c r="D571" s="2304" t="s">
        <v>2976</v>
      </c>
      <c r="E571" s="2305" t="s">
        <v>3432</v>
      </c>
      <c r="F571" s="2306">
        <v>120</v>
      </c>
      <c r="G571" s="2306"/>
      <c r="H571" s="2307">
        <v>2563.5</v>
      </c>
      <c r="I571" s="5618">
        <v>2563.5</v>
      </c>
      <c r="J571" s="5618"/>
      <c r="K571" s="2305"/>
      <c r="L571" s="2305"/>
      <c r="M571" s="2308"/>
      <c r="N571" s="2308"/>
      <c r="O571" s="2308"/>
      <c r="P571" s="2305"/>
      <c r="Q571" s="2305"/>
      <c r="R571" s="2307">
        <v>2563.5</v>
      </c>
      <c r="S571" s="2307">
        <v>2563.5</v>
      </c>
      <c r="T571" s="2305"/>
    </row>
    <row r="572" spans="1:20" ht="12" customHeight="1" outlineLevel="1" x14ac:dyDescent="0.2">
      <c r="A572" s="5617" t="s">
        <v>3433</v>
      </c>
      <c r="B572" s="5617"/>
      <c r="C572" s="2303">
        <v>564</v>
      </c>
      <c r="D572" s="2304" t="s">
        <v>2723</v>
      </c>
      <c r="E572" s="2305" t="s">
        <v>3434</v>
      </c>
      <c r="F572" s="2306">
        <v>120</v>
      </c>
      <c r="G572" s="2306"/>
      <c r="H572" s="2307">
        <v>1858.33</v>
      </c>
      <c r="I572" s="5618">
        <v>1858.33</v>
      </c>
      <c r="J572" s="5618"/>
      <c r="K572" s="2305"/>
      <c r="L572" s="2305"/>
      <c r="M572" s="2308"/>
      <c r="N572" s="2308"/>
      <c r="O572" s="2308"/>
      <c r="P572" s="2305"/>
      <c r="Q572" s="2305"/>
      <c r="R572" s="2307">
        <v>1858.33</v>
      </c>
      <c r="S572" s="2307">
        <v>1858.33</v>
      </c>
      <c r="T572" s="2305"/>
    </row>
    <row r="573" spans="1:20" ht="12" customHeight="1" outlineLevel="1" x14ac:dyDescent="0.2">
      <c r="A573" s="5617" t="s">
        <v>3435</v>
      </c>
      <c r="B573" s="5617"/>
      <c r="C573" s="2303">
        <v>208</v>
      </c>
      <c r="D573" s="2304" t="s">
        <v>2574</v>
      </c>
      <c r="E573" s="2305" t="s">
        <v>3436</v>
      </c>
      <c r="F573" s="2306">
        <v>120</v>
      </c>
      <c r="G573" s="2306"/>
      <c r="H573" s="2307">
        <v>2333.67</v>
      </c>
      <c r="I573" s="5618">
        <v>2333.67</v>
      </c>
      <c r="J573" s="5618"/>
      <c r="K573" s="2305"/>
      <c r="L573" s="2305"/>
      <c r="M573" s="2308"/>
      <c r="N573" s="2308"/>
      <c r="O573" s="2308"/>
      <c r="P573" s="2305"/>
      <c r="Q573" s="2305"/>
      <c r="R573" s="2307">
        <v>2333.67</v>
      </c>
      <c r="S573" s="2307">
        <v>2333.67</v>
      </c>
      <c r="T573" s="2305"/>
    </row>
    <row r="574" spans="1:20" ht="12" customHeight="1" outlineLevel="1" x14ac:dyDescent="0.2">
      <c r="A574" s="5617" t="s">
        <v>3437</v>
      </c>
      <c r="B574" s="5617"/>
      <c r="C574" s="2303">
        <v>307</v>
      </c>
      <c r="D574" s="2304" t="s">
        <v>2976</v>
      </c>
      <c r="E574" s="2305" t="s">
        <v>3432</v>
      </c>
      <c r="F574" s="2306">
        <v>120</v>
      </c>
      <c r="G574" s="2306"/>
      <c r="H574" s="2307">
        <v>2563.5</v>
      </c>
      <c r="I574" s="5618">
        <v>2563.5</v>
      </c>
      <c r="J574" s="5618"/>
      <c r="K574" s="2305"/>
      <c r="L574" s="2305"/>
      <c r="M574" s="2308"/>
      <c r="N574" s="2308"/>
      <c r="O574" s="2308"/>
      <c r="P574" s="2305"/>
      <c r="Q574" s="2305"/>
      <c r="R574" s="2307">
        <v>2563.5</v>
      </c>
      <c r="S574" s="2307">
        <v>2563.5</v>
      </c>
      <c r="T574" s="2305"/>
    </row>
    <row r="575" spans="1:20" ht="12" customHeight="1" outlineLevel="1" x14ac:dyDescent="0.2">
      <c r="A575" s="5617" t="s">
        <v>3438</v>
      </c>
      <c r="B575" s="5617"/>
      <c r="C575" s="2303">
        <v>566</v>
      </c>
      <c r="D575" s="2304" t="s">
        <v>2723</v>
      </c>
      <c r="E575" s="2305" t="s">
        <v>3439</v>
      </c>
      <c r="F575" s="2306">
        <v>120</v>
      </c>
      <c r="G575" s="2306"/>
      <c r="H575" s="2307">
        <v>2400</v>
      </c>
      <c r="I575" s="5618">
        <v>2400</v>
      </c>
      <c r="J575" s="5618"/>
      <c r="K575" s="2305"/>
      <c r="L575" s="2305"/>
      <c r="M575" s="2308"/>
      <c r="N575" s="2308"/>
      <c r="O575" s="2308"/>
      <c r="P575" s="2305"/>
      <c r="Q575" s="2305"/>
      <c r="R575" s="2307">
        <v>2400</v>
      </c>
      <c r="S575" s="2307">
        <v>2400</v>
      </c>
      <c r="T575" s="2305"/>
    </row>
    <row r="576" spans="1:20" ht="12" customHeight="1" outlineLevel="1" x14ac:dyDescent="0.2">
      <c r="A576" s="5617" t="s">
        <v>3440</v>
      </c>
      <c r="B576" s="5617"/>
      <c r="C576" s="2303">
        <v>209</v>
      </c>
      <c r="D576" s="2304" t="s">
        <v>2574</v>
      </c>
      <c r="E576" s="2305" t="s">
        <v>3441</v>
      </c>
      <c r="F576" s="2306">
        <v>120</v>
      </c>
      <c r="G576" s="2306"/>
      <c r="H576" s="2307">
        <v>2016.67</v>
      </c>
      <c r="I576" s="5618">
        <v>2016.67</v>
      </c>
      <c r="J576" s="5618"/>
      <c r="K576" s="2305"/>
      <c r="L576" s="2305"/>
      <c r="M576" s="2308"/>
      <c r="N576" s="2308"/>
      <c r="O576" s="2308"/>
      <c r="P576" s="2305"/>
      <c r="Q576" s="2305"/>
      <c r="R576" s="2307">
        <v>2016.67</v>
      </c>
      <c r="S576" s="2307">
        <v>2016.67</v>
      </c>
      <c r="T576" s="2305"/>
    </row>
    <row r="577" spans="1:20" ht="12" customHeight="1" outlineLevel="1" x14ac:dyDescent="0.2">
      <c r="A577" s="5617" t="s">
        <v>3440</v>
      </c>
      <c r="B577" s="5617"/>
      <c r="C577" s="2303">
        <v>534</v>
      </c>
      <c r="D577" s="2304" t="s">
        <v>3314</v>
      </c>
      <c r="E577" s="2305" t="s">
        <v>3315</v>
      </c>
      <c r="F577" s="2306">
        <v>120</v>
      </c>
      <c r="G577" s="2306"/>
      <c r="H577" s="2307">
        <v>1666.67</v>
      </c>
      <c r="I577" s="5618">
        <v>1666.67</v>
      </c>
      <c r="J577" s="5618"/>
      <c r="K577" s="2305"/>
      <c r="L577" s="2305"/>
      <c r="M577" s="2308"/>
      <c r="N577" s="2308"/>
      <c r="O577" s="2308"/>
      <c r="P577" s="2305"/>
      <c r="Q577" s="2305"/>
      <c r="R577" s="2307">
        <v>1666.67</v>
      </c>
      <c r="S577" s="2307">
        <v>1666.67</v>
      </c>
      <c r="T577" s="2305"/>
    </row>
    <row r="578" spans="1:20" ht="12" customHeight="1" outlineLevel="1" x14ac:dyDescent="0.2">
      <c r="A578" s="5617" t="s">
        <v>3442</v>
      </c>
      <c r="B578" s="5617"/>
      <c r="C578" s="2303">
        <v>247</v>
      </c>
      <c r="D578" s="2304" t="s">
        <v>2757</v>
      </c>
      <c r="E578" s="2305" t="s">
        <v>2624</v>
      </c>
      <c r="F578" s="2306">
        <v>120</v>
      </c>
      <c r="G578" s="2306"/>
      <c r="H578" s="2307">
        <v>2500</v>
      </c>
      <c r="I578" s="5618">
        <v>2500</v>
      </c>
      <c r="J578" s="5618"/>
      <c r="K578" s="2305"/>
      <c r="L578" s="2305"/>
      <c r="M578" s="2308"/>
      <c r="N578" s="2308"/>
      <c r="O578" s="2308"/>
      <c r="P578" s="2305"/>
      <c r="Q578" s="2305"/>
      <c r="R578" s="2307">
        <v>2500</v>
      </c>
      <c r="S578" s="2307">
        <v>2500</v>
      </c>
      <c r="T578" s="2305"/>
    </row>
    <row r="579" spans="1:20" ht="12" customHeight="1" outlineLevel="1" x14ac:dyDescent="0.2">
      <c r="A579" s="5617" t="s">
        <v>3376</v>
      </c>
      <c r="B579" s="5617"/>
      <c r="C579" s="2303">
        <v>624</v>
      </c>
      <c r="D579" s="2304" t="s">
        <v>2593</v>
      </c>
      <c r="E579" s="2305" t="s">
        <v>3224</v>
      </c>
      <c r="F579" s="2306">
        <v>12</v>
      </c>
      <c r="G579" s="2306"/>
      <c r="H579" s="2307">
        <v>2847.18</v>
      </c>
      <c r="I579" s="5618">
        <v>2847.18</v>
      </c>
      <c r="J579" s="5618"/>
      <c r="K579" s="2305"/>
      <c r="L579" s="2305"/>
      <c r="M579" s="2308"/>
      <c r="N579" s="2308"/>
      <c r="O579" s="2308"/>
      <c r="P579" s="2305"/>
      <c r="Q579" s="2305"/>
      <c r="R579" s="2307">
        <v>2847.18</v>
      </c>
      <c r="S579" s="2307">
        <v>2847.18</v>
      </c>
      <c r="T579" s="2305"/>
    </row>
    <row r="580" spans="1:20" ht="12" customHeight="1" outlineLevel="1" x14ac:dyDescent="0.2">
      <c r="A580" s="5617" t="s">
        <v>3376</v>
      </c>
      <c r="B580" s="5617"/>
      <c r="C580" s="2303">
        <v>632</v>
      </c>
      <c r="D580" s="2304" t="s">
        <v>2593</v>
      </c>
      <c r="E580" s="2305" t="s">
        <v>3224</v>
      </c>
      <c r="F580" s="2306">
        <v>12</v>
      </c>
      <c r="G580" s="2306"/>
      <c r="H580" s="2307">
        <v>3000</v>
      </c>
      <c r="I580" s="5618">
        <v>3000</v>
      </c>
      <c r="J580" s="5618"/>
      <c r="K580" s="2305"/>
      <c r="L580" s="2305"/>
      <c r="M580" s="2308"/>
      <c r="N580" s="2308"/>
      <c r="O580" s="2308"/>
      <c r="P580" s="2305"/>
      <c r="Q580" s="2305"/>
      <c r="R580" s="2307">
        <v>3000</v>
      </c>
      <c r="S580" s="2307">
        <v>3000</v>
      </c>
      <c r="T580" s="2305"/>
    </row>
    <row r="581" spans="1:20" ht="12" customHeight="1" outlineLevel="1" x14ac:dyDescent="0.2">
      <c r="A581" s="5617" t="s">
        <v>3376</v>
      </c>
      <c r="B581" s="5617"/>
      <c r="C581" s="2303">
        <v>633</v>
      </c>
      <c r="D581" s="2304" t="s">
        <v>2593</v>
      </c>
      <c r="E581" s="2305" t="s">
        <v>3224</v>
      </c>
      <c r="F581" s="2306">
        <v>12</v>
      </c>
      <c r="G581" s="2306"/>
      <c r="H581" s="2307">
        <v>3000</v>
      </c>
      <c r="I581" s="5618">
        <v>3000</v>
      </c>
      <c r="J581" s="5618"/>
      <c r="K581" s="2305"/>
      <c r="L581" s="2305"/>
      <c r="M581" s="2308"/>
      <c r="N581" s="2308"/>
      <c r="O581" s="2308"/>
      <c r="P581" s="2305"/>
      <c r="Q581" s="2305"/>
      <c r="R581" s="2307">
        <v>3000</v>
      </c>
      <c r="S581" s="2307">
        <v>3000</v>
      </c>
      <c r="T581" s="2305"/>
    </row>
    <row r="582" spans="1:20" ht="12" customHeight="1" outlineLevel="1" x14ac:dyDescent="0.2">
      <c r="A582" s="5617" t="s">
        <v>3376</v>
      </c>
      <c r="B582" s="5617"/>
      <c r="C582" s="2303">
        <v>634</v>
      </c>
      <c r="D582" s="2304" t="s">
        <v>2593</v>
      </c>
      <c r="E582" s="2305" t="s">
        <v>3224</v>
      </c>
      <c r="F582" s="2306">
        <v>12</v>
      </c>
      <c r="G582" s="2306"/>
      <c r="H582" s="2307">
        <v>3000</v>
      </c>
      <c r="I582" s="5618">
        <v>3000</v>
      </c>
      <c r="J582" s="5618"/>
      <c r="K582" s="2305"/>
      <c r="L582" s="2305"/>
      <c r="M582" s="2308"/>
      <c r="N582" s="2308"/>
      <c r="O582" s="2308"/>
      <c r="P582" s="2305"/>
      <c r="Q582" s="2305"/>
      <c r="R582" s="2307">
        <v>3000</v>
      </c>
      <c r="S582" s="2307">
        <v>3000</v>
      </c>
      <c r="T582" s="2305"/>
    </row>
    <row r="583" spans="1:20" ht="12" customHeight="1" outlineLevel="1" x14ac:dyDescent="0.2">
      <c r="A583" s="5617" t="s">
        <v>3376</v>
      </c>
      <c r="B583" s="5617"/>
      <c r="C583" s="2303">
        <v>635</v>
      </c>
      <c r="D583" s="2304" t="s">
        <v>2593</v>
      </c>
      <c r="E583" s="2305" t="s">
        <v>3224</v>
      </c>
      <c r="F583" s="2306">
        <v>12</v>
      </c>
      <c r="G583" s="2306"/>
      <c r="H583" s="2307">
        <v>6000</v>
      </c>
      <c r="I583" s="5618">
        <v>6000</v>
      </c>
      <c r="J583" s="5618"/>
      <c r="K583" s="2305"/>
      <c r="L583" s="2305"/>
      <c r="M583" s="2308"/>
      <c r="N583" s="2308"/>
      <c r="O583" s="2308"/>
      <c r="P583" s="2305"/>
      <c r="Q583" s="2305"/>
      <c r="R583" s="2307">
        <v>6000</v>
      </c>
      <c r="S583" s="2307">
        <v>6000</v>
      </c>
      <c r="T583" s="2305"/>
    </row>
    <row r="584" spans="1:20" ht="12" customHeight="1" outlineLevel="1" x14ac:dyDescent="0.2">
      <c r="A584" s="5617" t="s">
        <v>3443</v>
      </c>
      <c r="B584" s="5617"/>
      <c r="C584" s="2303">
        <v>248</v>
      </c>
      <c r="D584" s="2304" t="s">
        <v>2757</v>
      </c>
      <c r="E584" s="2305" t="s">
        <v>3444</v>
      </c>
      <c r="F584" s="2306">
        <v>120</v>
      </c>
      <c r="G584" s="2306"/>
      <c r="H584" s="2307">
        <v>2083.33</v>
      </c>
      <c r="I584" s="5618">
        <v>2083.33</v>
      </c>
      <c r="J584" s="5618"/>
      <c r="K584" s="2305"/>
      <c r="L584" s="2305"/>
      <c r="M584" s="2308"/>
      <c r="N584" s="2308"/>
      <c r="O584" s="2308"/>
      <c r="P584" s="2305"/>
      <c r="Q584" s="2305"/>
      <c r="R584" s="2307">
        <v>2083.33</v>
      </c>
      <c r="S584" s="2307">
        <v>2083.33</v>
      </c>
      <c r="T584" s="2305"/>
    </row>
    <row r="585" spans="1:20" ht="12" customHeight="1" outlineLevel="1" x14ac:dyDescent="0.2">
      <c r="A585" s="5617" t="s">
        <v>3376</v>
      </c>
      <c r="B585" s="5617"/>
      <c r="C585" s="2303">
        <v>636</v>
      </c>
      <c r="D585" s="2304" t="s">
        <v>2593</v>
      </c>
      <c r="E585" s="2305" t="s">
        <v>3224</v>
      </c>
      <c r="F585" s="2306">
        <v>12</v>
      </c>
      <c r="G585" s="2306"/>
      <c r="H585" s="2307">
        <v>6000</v>
      </c>
      <c r="I585" s="5618">
        <v>6000</v>
      </c>
      <c r="J585" s="5618"/>
      <c r="K585" s="2305"/>
      <c r="L585" s="2305"/>
      <c r="M585" s="2308"/>
      <c r="N585" s="2308"/>
      <c r="O585" s="2308"/>
      <c r="P585" s="2305"/>
      <c r="Q585" s="2305"/>
      <c r="R585" s="2307">
        <v>6000</v>
      </c>
      <c r="S585" s="2307">
        <v>6000</v>
      </c>
      <c r="T585" s="2305"/>
    </row>
    <row r="586" spans="1:20" ht="12" customHeight="1" outlineLevel="1" x14ac:dyDescent="0.2">
      <c r="A586" s="5617" t="s">
        <v>3376</v>
      </c>
      <c r="B586" s="5617"/>
      <c r="C586" s="2303">
        <v>638</v>
      </c>
      <c r="D586" s="2304" t="s">
        <v>2593</v>
      </c>
      <c r="E586" s="2305" t="s">
        <v>3224</v>
      </c>
      <c r="F586" s="2306">
        <v>12</v>
      </c>
      <c r="G586" s="2306"/>
      <c r="H586" s="2307">
        <v>6000</v>
      </c>
      <c r="I586" s="5618">
        <v>6000</v>
      </c>
      <c r="J586" s="5618"/>
      <c r="K586" s="2305"/>
      <c r="L586" s="2305"/>
      <c r="M586" s="2308"/>
      <c r="N586" s="2308"/>
      <c r="O586" s="2308"/>
      <c r="P586" s="2305"/>
      <c r="Q586" s="2305"/>
      <c r="R586" s="2307">
        <v>6000</v>
      </c>
      <c r="S586" s="2307">
        <v>6000</v>
      </c>
      <c r="T586" s="2305"/>
    </row>
    <row r="587" spans="1:20" ht="12" customHeight="1" outlineLevel="1" x14ac:dyDescent="0.2">
      <c r="A587" s="5617" t="s">
        <v>3324</v>
      </c>
      <c r="B587" s="5617"/>
      <c r="C587" s="2303">
        <v>584</v>
      </c>
      <c r="D587" s="2304" t="s">
        <v>3325</v>
      </c>
      <c r="E587" s="2305" t="s">
        <v>3445</v>
      </c>
      <c r="F587" s="2306">
        <v>1</v>
      </c>
      <c r="G587" s="2306"/>
      <c r="H587" s="2307">
        <v>11000</v>
      </c>
      <c r="I587" s="5618">
        <v>11000</v>
      </c>
      <c r="J587" s="5618"/>
      <c r="K587" s="2305"/>
      <c r="L587" s="2305"/>
      <c r="M587" s="2308"/>
      <c r="N587" s="2308"/>
      <c r="O587" s="2308"/>
      <c r="P587" s="2305"/>
      <c r="Q587" s="2305"/>
      <c r="R587" s="2307">
        <v>11000</v>
      </c>
      <c r="S587" s="2307">
        <v>11000</v>
      </c>
      <c r="T587" s="2305"/>
    </row>
    <row r="588" spans="1:20" ht="12" customHeight="1" outlineLevel="1" x14ac:dyDescent="0.2">
      <c r="A588" s="5617" t="s">
        <v>3446</v>
      </c>
      <c r="B588" s="5617"/>
      <c r="C588" s="2303">
        <v>397</v>
      </c>
      <c r="D588" s="2304" t="s">
        <v>3447</v>
      </c>
      <c r="E588" s="2305" t="s">
        <v>3357</v>
      </c>
      <c r="F588" s="2306">
        <v>120</v>
      </c>
      <c r="G588" s="2306"/>
      <c r="H588" s="2307">
        <v>4680</v>
      </c>
      <c r="I588" s="5618">
        <v>4680</v>
      </c>
      <c r="J588" s="5618"/>
      <c r="K588" s="2305"/>
      <c r="L588" s="2305"/>
      <c r="M588" s="2308"/>
      <c r="N588" s="2308"/>
      <c r="O588" s="2308"/>
      <c r="P588" s="2305"/>
      <c r="Q588" s="2305"/>
      <c r="R588" s="2307">
        <v>4680</v>
      </c>
      <c r="S588" s="2307">
        <v>4680</v>
      </c>
      <c r="T588" s="2305"/>
    </row>
    <row r="589" spans="1:20" ht="12" customHeight="1" outlineLevel="1" x14ac:dyDescent="0.2">
      <c r="A589" s="5617" t="s">
        <v>3448</v>
      </c>
      <c r="B589" s="5617"/>
      <c r="C589" s="2303">
        <v>309</v>
      </c>
      <c r="D589" s="2304" t="s">
        <v>2292</v>
      </c>
      <c r="E589" s="2305" t="s">
        <v>3449</v>
      </c>
      <c r="F589" s="2306">
        <v>120</v>
      </c>
      <c r="G589" s="2306"/>
      <c r="H589" s="2307">
        <v>5850</v>
      </c>
      <c r="I589" s="5618">
        <v>5850</v>
      </c>
      <c r="J589" s="5618"/>
      <c r="K589" s="2305"/>
      <c r="L589" s="2305"/>
      <c r="M589" s="2308"/>
      <c r="N589" s="2308"/>
      <c r="O589" s="2308"/>
      <c r="P589" s="2305"/>
      <c r="Q589" s="2305"/>
      <c r="R589" s="2307">
        <v>5850</v>
      </c>
      <c r="S589" s="2307">
        <v>5850</v>
      </c>
      <c r="T589" s="2305"/>
    </row>
    <row r="590" spans="1:20" ht="12" customHeight="1" outlineLevel="1" x14ac:dyDescent="0.2">
      <c r="A590" s="5617" t="s">
        <v>3450</v>
      </c>
      <c r="B590" s="5617"/>
      <c r="C590" s="2303">
        <v>536</v>
      </c>
      <c r="D590" s="2304" t="s">
        <v>3314</v>
      </c>
      <c r="E590" s="2305" t="s">
        <v>3224</v>
      </c>
      <c r="F590" s="2306">
        <v>120</v>
      </c>
      <c r="G590" s="2306"/>
      <c r="H590" s="2307">
        <v>3000</v>
      </c>
      <c r="I590" s="5618">
        <v>3000</v>
      </c>
      <c r="J590" s="5618"/>
      <c r="K590" s="2305"/>
      <c r="L590" s="2305"/>
      <c r="M590" s="2308"/>
      <c r="N590" s="2308"/>
      <c r="O590" s="2308"/>
      <c r="P590" s="2305"/>
      <c r="Q590" s="2305"/>
      <c r="R590" s="2307">
        <v>3000</v>
      </c>
      <c r="S590" s="2307">
        <v>3000</v>
      </c>
      <c r="T590" s="2305"/>
    </row>
    <row r="591" spans="1:20" ht="12" customHeight="1" outlineLevel="1" x14ac:dyDescent="0.2">
      <c r="A591" s="5617" t="s">
        <v>3451</v>
      </c>
      <c r="B591" s="5617"/>
      <c r="C591" s="2303">
        <v>585</v>
      </c>
      <c r="D591" s="2304" t="s">
        <v>2935</v>
      </c>
      <c r="E591" s="2305" t="s">
        <v>2641</v>
      </c>
      <c r="F591" s="2306">
        <v>1</v>
      </c>
      <c r="G591" s="2306"/>
      <c r="H591" s="2307">
        <v>11666.67</v>
      </c>
      <c r="I591" s="5618">
        <v>11666.67</v>
      </c>
      <c r="J591" s="5618"/>
      <c r="K591" s="2305"/>
      <c r="L591" s="2305"/>
      <c r="M591" s="2308"/>
      <c r="N591" s="2308"/>
      <c r="O591" s="2308"/>
      <c r="P591" s="2305"/>
      <c r="Q591" s="2305"/>
      <c r="R591" s="2307">
        <v>11666.67</v>
      </c>
      <c r="S591" s="2307">
        <v>11666.67</v>
      </c>
      <c r="T591" s="2305"/>
    </row>
    <row r="592" spans="1:20" ht="12" customHeight="1" outlineLevel="1" x14ac:dyDescent="0.2">
      <c r="A592" s="5617" t="s">
        <v>3452</v>
      </c>
      <c r="B592" s="5617"/>
      <c r="C592" s="2303">
        <v>586</v>
      </c>
      <c r="D592" s="2304" t="s">
        <v>2935</v>
      </c>
      <c r="E592" s="2305" t="s">
        <v>3453</v>
      </c>
      <c r="F592" s="2306">
        <v>1</v>
      </c>
      <c r="G592" s="2306"/>
      <c r="H592" s="2307">
        <v>17500</v>
      </c>
      <c r="I592" s="5618">
        <v>17500</v>
      </c>
      <c r="J592" s="5618"/>
      <c r="K592" s="2305"/>
      <c r="L592" s="2305"/>
      <c r="M592" s="2308"/>
      <c r="N592" s="2308"/>
      <c r="O592" s="2308"/>
      <c r="P592" s="2305"/>
      <c r="Q592" s="2305"/>
      <c r="R592" s="2307">
        <v>17500</v>
      </c>
      <c r="S592" s="2307">
        <v>17500</v>
      </c>
      <c r="T592" s="2305"/>
    </row>
    <row r="593" spans="1:20" ht="23.25" customHeight="1" outlineLevel="1" x14ac:dyDescent="0.2">
      <c r="A593" s="5617" t="s">
        <v>3454</v>
      </c>
      <c r="B593" s="5617"/>
      <c r="C593" s="2303">
        <v>2024</v>
      </c>
      <c r="D593" s="2304" t="s">
        <v>3401</v>
      </c>
      <c r="E593" s="2305" t="s">
        <v>3455</v>
      </c>
      <c r="F593" s="2306">
        <v>84</v>
      </c>
      <c r="G593" s="2306"/>
      <c r="H593" s="2307">
        <v>13810</v>
      </c>
      <c r="I593" s="5618">
        <v>13810</v>
      </c>
      <c r="J593" s="5618"/>
      <c r="K593" s="2305"/>
      <c r="L593" s="2305"/>
      <c r="M593" s="2308"/>
      <c r="N593" s="2308"/>
      <c r="O593" s="2308"/>
      <c r="P593" s="2305"/>
      <c r="Q593" s="2305"/>
      <c r="R593" s="2307">
        <v>13810</v>
      </c>
      <c r="S593" s="2307">
        <v>13810</v>
      </c>
      <c r="T593" s="2305"/>
    </row>
    <row r="594" spans="1:20" ht="12" customHeight="1" outlineLevel="1" x14ac:dyDescent="0.2">
      <c r="A594" s="5617" t="s">
        <v>3456</v>
      </c>
      <c r="B594" s="5617"/>
      <c r="C594" s="2303">
        <v>520</v>
      </c>
      <c r="D594" s="2304" t="s">
        <v>2976</v>
      </c>
      <c r="E594" s="2305" t="s">
        <v>3112</v>
      </c>
      <c r="F594" s="2306">
        <v>120</v>
      </c>
      <c r="G594" s="2306"/>
      <c r="H594" s="2307">
        <v>1000</v>
      </c>
      <c r="I594" s="5618">
        <v>1000</v>
      </c>
      <c r="J594" s="5618"/>
      <c r="K594" s="2305"/>
      <c r="L594" s="2305"/>
      <c r="M594" s="2308"/>
      <c r="N594" s="2308"/>
      <c r="O594" s="2308"/>
      <c r="P594" s="2305"/>
      <c r="Q594" s="2305"/>
      <c r="R594" s="2307">
        <v>1000</v>
      </c>
      <c r="S594" s="2307">
        <v>1000</v>
      </c>
      <c r="T594" s="2305"/>
    </row>
    <row r="595" spans="1:20" ht="12" customHeight="1" outlineLevel="1" x14ac:dyDescent="0.2">
      <c r="A595" s="5617" t="s">
        <v>3457</v>
      </c>
      <c r="B595" s="5617"/>
      <c r="C595" s="2303">
        <v>733</v>
      </c>
      <c r="D595" s="2304" t="s">
        <v>3068</v>
      </c>
      <c r="E595" s="2305" t="s">
        <v>3458</v>
      </c>
      <c r="F595" s="2306">
        <v>84</v>
      </c>
      <c r="G595" s="2306"/>
      <c r="H595" s="2307">
        <v>13000.02</v>
      </c>
      <c r="I595" s="5618">
        <v>13000.02</v>
      </c>
      <c r="J595" s="5618"/>
      <c r="K595" s="2305"/>
      <c r="L595" s="2305"/>
      <c r="M595" s="2308"/>
      <c r="N595" s="2308"/>
      <c r="O595" s="2308"/>
      <c r="P595" s="2305"/>
      <c r="Q595" s="2305"/>
      <c r="R595" s="2307">
        <v>13000.02</v>
      </c>
      <c r="S595" s="2307">
        <v>13000.02</v>
      </c>
      <c r="T595" s="2305"/>
    </row>
    <row r="596" spans="1:20" ht="12" customHeight="1" outlineLevel="1" x14ac:dyDescent="0.2">
      <c r="A596" s="5617" t="s">
        <v>3459</v>
      </c>
      <c r="B596" s="5617"/>
      <c r="C596" s="2303">
        <v>227</v>
      </c>
      <c r="D596" s="2304" t="s">
        <v>2574</v>
      </c>
      <c r="E596" s="2305" t="s">
        <v>3460</v>
      </c>
      <c r="F596" s="2306">
        <v>120</v>
      </c>
      <c r="G596" s="2306"/>
      <c r="H596" s="2307">
        <v>2499</v>
      </c>
      <c r="I596" s="5618">
        <v>2499</v>
      </c>
      <c r="J596" s="5618"/>
      <c r="K596" s="2305"/>
      <c r="L596" s="2305"/>
      <c r="M596" s="2308"/>
      <c r="N596" s="2308"/>
      <c r="O596" s="2308"/>
      <c r="P596" s="2305"/>
      <c r="Q596" s="2305"/>
      <c r="R596" s="2307">
        <v>2499</v>
      </c>
      <c r="S596" s="2307">
        <v>2499</v>
      </c>
      <c r="T596" s="2305"/>
    </row>
    <row r="597" spans="1:20" s="2330" customFormat="1" ht="12.75" customHeight="1" x14ac:dyDescent="0.2">
      <c r="A597" s="5619" t="s">
        <v>54</v>
      </c>
      <c r="B597" s="5619"/>
      <c r="C597" s="5619"/>
      <c r="D597" s="5619"/>
      <c r="E597" s="5619"/>
      <c r="F597" s="5619"/>
      <c r="G597" s="2356"/>
      <c r="H597" s="2357">
        <v>346069593.33999997</v>
      </c>
      <c r="I597" s="5620">
        <v>197864884.80000001</v>
      </c>
      <c r="J597" s="5620"/>
      <c r="K597" s="2357">
        <v>148204708.53999999</v>
      </c>
      <c r="L597" s="2357">
        <v>2680490.5299999998</v>
      </c>
      <c r="M597" s="2357">
        <v>15147049.16</v>
      </c>
      <c r="N597" s="2357"/>
      <c r="O597" s="2357"/>
      <c r="P597" s="2357">
        <v>383946.62</v>
      </c>
      <c r="Q597" s="2357">
        <v>374708.6</v>
      </c>
      <c r="R597" s="2357">
        <v>348366137.25</v>
      </c>
      <c r="S597" s="2357">
        <v>212637225.36000001</v>
      </c>
      <c r="T597" s="2357">
        <v>135728911.88999999</v>
      </c>
    </row>
    <row r="605" spans="1:20" x14ac:dyDescent="0.2">
      <c r="K605" s="155">
        <f>Аморт!$AC$19</f>
        <v>14990.669999999998</v>
      </c>
    </row>
    <row r="606" spans="1:20" x14ac:dyDescent="0.2">
      <c r="K606" s="155">
        <f>'ОХР '!$AU$24</f>
        <v>131.28384</v>
      </c>
    </row>
    <row r="607" spans="1:20" x14ac:dyDescent="0.2">
      <c r="K607" s="155">
        <f>SUM(K605:K606)</f>
        <v>15121.953839999998</v>
      </c>
    </row>
  </sheetData>
  <mergeCells count="1163"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81"/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1" customWidth="1"/>
    <col min="2" max="2" width="20" style="2106" customWidth="1"/>
    <col min="3" max="16384" width="9.140625" style="5"/>
  </cols>
  <sheetData>
    <row r="3" spans="1:2" ht="38.25" x14ac:dyDescent="0.2">
      <c r="A3" s="371" t="s">
        <v>3461</v>
      </c>
      <c r="B3" s="2106" t="s">
        <v>3462</v>
      </c>
    </row>
    <row r="4" spans="1:2" x14ac:dyDescent="0.2">
      <c r="A4" s="371" t="s">
        <v>3463</v>
      </c>
      <c r="B4" s="2106">
        <v>524</v>
      </c>
    </row>
    <row r="5" spans="1:2" x14ac:dyDescent="0.2">
      <c r="A5" s="371" t="s">
        <v>2183</v>
      </c>
      <c r="B5" s="2276">
        <v>733651</v>
      </c>
    </row>
    <row r="6" spans="1:2" x14ac:dyDescent="0.2">
      <c r="A6" s="371" t="s">
        <v>3464</v>
      </c>
    </row>
    <row r="7" spans="1:2" x14ac:dyDescent="0.2">
      <c r="A7" s="371" t="s">
        <v>229</v>
      </c>
      <c r="B7" s="2276">
        <v>87229.68</v>
      </c>
    </row>
    <row r="8" spans="1:2" x14ac:dyDescent="0.2">
      <c r="A8" s="371" t="s">
        <v>364</v>
      </c>
      <c r="B8" s="2276">
        <v>240668.86</v>
      </c>
    </row>
    <row r="9" spans="1:2" x14ac:dyDescent="0.2">
      <c r="A9" s="5638" t="s">
        <v>818</v>
      </c>
      <c r="B9" s="2276">
        <f>781369.74</f>
        <v>781369.74</v>
      </c>
    </row>
    <row r="10" spans="1:2" x14ac:dyDescent="0.2">
      <c r="A10" s="5638"/>
      <c r="B10" s="2276">
        <v>197603</v>
      </c>
    </row>
    <row r="11" spans="1:2" x14ac:dyDescent="0.2">
      <c r="A11" s="5638"/>
      <c r="B11" s="2276">
        <v>192436</v>
      </c>
    </row>
    <row r="12" spans="1:2" x14ac:dyDescent="0.2">
      <c r="A12" s="5638"/>
      <c r="B12" s="2276">
        <v>58123.19</v>
      </c>
    </row>
    <row r="13" spans="1:2" x14ac:dyDescent="0.2">
      <c r="A13" s="5638"/>
      <c r="B13" s="2276">
        <v>773781.07</v>
      </c>
    </row>
    <row r="14" spans="1:2" x14ac:dyDescent="0.2">
      <c r="A14" s="5638"/>
      <c r="B14" s="2276">
        <v>59129.02</v>
      </c>
    </row>
    <row r="15" spans="1:2" x14ac:dyDescent="0.2">
      <c r="A15" s="371" t="s">
        <v>3465</v>
      </c>
      <c r="B15" s="2276">
        <f>SUM(B5:B14)</f>
        <v>3123991.56</v>
      </c>
    </row>
    <row r="16" spans="1:2" x14ac:dyDescent="0.2">
      <c r="B16" s="2276"/>
    </row>
    <row r="17" spans="1:2" ht="25.5" x14ac:dyDescent="0.2">
      <c r="A17" s="2106" t="s">
        <v>3469</v>
      </c>
      <c r="B17" s="2361">
        <f>2232958.28</f>
        <v>2232958.2799999998</v>
      </c>
    </row>
    <row r="18" spans="1:2" x14ac:dyDescent="0.2">
      <c r="A18" s="371" t="s">
        <v>3467</v>
      </c>
      <c r="B18" s="2276">
        <v>647</v>
      </c>
    </row>
    <row r="19" spans="1:2" x14ac:dyDescent="0.2">
      <c r="A19" s="5" t="s">
        <v>3468</v>
      </c>
      <c r="B19" s="2276">
        <f>B17/B18</f>
        <v>3451.2492735703245</v>
      </c>
    </row>
    <row r="20" spans="1:2" ht="25.5" x14ac:dyDescent="0.2">
      <c r="A20" s="2107" t="s">
        <v>3466</v>
      </c>
      <c r="B20" s="2361">
        <f>B19*5</f>
        <v>17256.246367851621</v>
      </c>
    </row>
    <row r="21" spans="1:2" ht="25.5" x14ac:dyDescent="0.2">
      <c r="A21" s="2107" t="s">
        <v>3470</v>
      </c>
      <c r="B21" s="2361">
        <f>B17+B12</f>
        <v>2291081.4699999997</v>
      </c>
    </row>
    <row r="22" spans="1:2" s="371" customFormat="1" ht="16.5" customHeight="1" x14ac:dyDescent="0.2">
      <c r="A22" s="371" t="s">
        <v>3468</v>
      </c>
      <c r="B22" s="2361">
        <f>B21/647</f>
        <v>3541.0841885625964</v>
      </c>
    </row>
    <row r="23" spans="1:2" ht="25.5" x14ac:dyDescent="0.2">
      <c r="A23" s="2107" t="s">
        <v>3471</v>
      </c>
      <c r="B23" s="2362">
        <f>B22*6</f>
        <v>21246.505131375579</v>
      </c>
    </row>
    <row r="24" spans="1:2" ht="25.5" x14ac:dyDescent="0.2">
      <c r="A24" s="2107" t="s">
        <v>3472</v>
      </c>
      <c r="B24" s="2276">
        <f>B15</f>
        <v>3123991.56</v>
      </c>
    </row>
    <row r="25" spans="1:2" x14ac:dyDescent="0.2">
      <c r="A25" s="371" t="s">
        <v>3468</v>
      </c>
      <c r="B25" s="2276">
        <f>B24/647</f>
        <v>4828.4259041731066</v>
      </c>
    </row>
    <row r="26" spans="1:2" ht="25.5" x14ac:dyDescent="0.2">
      <c r="A26" s="2107" t="s">
        <v>3473</v>
      </c>
      <c r="B26" s="2361">
        <f>B25*2</f>
        <v>9656.8518083462131</v>
      </c>
    </row>
    <row r="27" spans="1:2" x14ac:dyDescent="0.2">
      <c r="A27" s="371" t="s">
        <v>3474</v>
      </c>
      <c r="B27" s="2276">
        <f>B20+B23+B26</f>
        <v>48159.603307573416</v>
      </c>
    </row>
    <row r="30" spans="1:2" x14ac:dyDescent="0.2">
      <c r="A30" s="371" t="s">
        <v>3475</v>
      </c>
      <c r="B30" s="2276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276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82"/>
  <dimension ref="A2:H6"/>
  <sheetViews>
    <sheetView workbookViewId="0">
      <selection activeCell="D38" sqref="D38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5640"/>
      <c r="B2" s="5639" t="s">
        <v>2169</v>
      </c>
      <c r="C2" s="5639" t="s">
        <v>2170</v>
      </c>
      <c r="D2" s="5640" t="s">
        <v>2171</v>
      </c>
      <c r="E2" s="5640"/>
      <c r="F2" s="5640"/>
      <c r="G2" s="5640"/>
      <c r="H2" s="5641" t="s">
        <v>2172</v>
      </c>
    </row>
    <row r="3" spans="1:8" x14ac:dyDescent="0.2">
      <c r="A3" s="5640"/>
      <c r="B3" s="5639"/>
      <c r="C3" s="5639"/>
      <c r="D3" s="2277" t="s">
        <v>818</v>
      </c>
      <c r="E3" s="1675" t="s">
        <v>895</v>
      </c>
      <c r="F3" s="1675" t="s">
        <v>896</v>
      </c>
      <c r="G3" s="1675" t="s">
        <v>1802</v>
      </c>
      <c r="H3" s="5641"/>
    </row>
    <row r="4" spans="1:8" x14ac:dyDescent="0.2">
      <c r="A4" s="1675" t="s">
        <v>347</v>
      </c>
      <c r="B4" s="1601">
        <f>ИП!B6</f>
        <v>13075</v>
      </c>
      <c r="C4" s="1601">
        <f>ИП!G32</f>
        <v>1098.6578</v>
      </c>
      <c r="D4" s="1601">
        <f>'вода 2019-2021 коррект'!F33</f>
        <v>0</v>
      </c>
      <c r="E4" s="1601">
        <f>'вода 2019-2021 коррект'!K33</f>
        <v>-1205.44</v>
      </c>
      <c r="F4" s="1601">
        <f>'вода 2019-2021 коррект'!P33</f>
        <v>-6624.9</v>
      </c>
      <c r="G4" s="2288">
        <v>-4146</v>
      </c>
      <c r="H4" s="1876">
        <f>B4-C4+D4+E4+G4+F4</f>
        <v>2.1999999989930075E-3</v>
      </c>
    </row>
    <row r="5" spans="1:8" x14ac:dyDescent="0.2">
      <c r="A5" s="1675" t="s">
        <v>337</v>
      </c>
      <c r="B5" s="1601">
        <f>ИП!B14</f>
        <v>8516</v>
      </c>
      <c r="C5" s="1601">
        <f>ИП!G46</f>
        <v>1044.8820000000001</v>
      </c>
      <c r="D5" s="1600">
        <v>0</v>
      </c>
      <c r="E5" s="1601">
        <f>'стоки 2019-2021'!M32</f>
        <v>0</v>
      </c>
      <c r="F5" s="1601">
        <f>'стоки 2019-2021'!Q32</f>
        <v>-3902.11</v>
      </c>
      <c r="G5" s="2288">
        <v>-3569.01</v>
      </c>
      <c r="H5" s="1876">
        <f>B5-C5+D5+E5+G5+F5</f>
        <v>-1.9999999999527063E-3</v>
      </c>
    </row>
    <row r="6" spans="1:8" x14ac:dyDescent="0.2">
      <c r="A6" s="1675"/>
      <c r="B6" s="1675"/>
      <c r="C6" s="1675"/>
      <c r="D6" s="1600"/>
      <c r="E6" s="1600"/>
      <c r="F6" s="1600"/>
      <c r="G6" s="1600"/>
      <c r="H6" s="1876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83">
    <pageSetUpPr fitToPage="1"/>
  </sheetPr>
  <dimension ref="A1:P81"/>
  <sheetViews>
    <sheetView topLeftCell="A39" workbookViewId="0">
      <selection activeCell="A39" sqref="A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4474" t="s">
        <v>1669</v>
      </c>
      <c r="J1" s="4474"/>
      <c r="K1" s="4474"/>
    </row>
    <row r="2" spans="1:11" x14ac:dyDescent="0.2">
      <c r="A2" s="4456" t="s">
        <v>1672</v>
      </c>
      <c r="B2" s="4456"/>
      <c r="C2" s="4456"/>
      <c r="D2" s="4456"/>
      <c r="E2" s="4456"/>
      <c r="F2" s="4456"/>
      <c r="G2" s="4456"/>
      <c r="H2" s="4456"/>
      <c r="I2" s="4456"/>
      <c r="J2" s="4456"/>
      <c r="K2" s="4456"/>
    </row>
    <row r="3" spans="1:11" x14ac:dyDescent="0.2">
      <c r="A3" s="4487" t="s">
        <v>527</v>
      </c>
      <c r="B3" s="5052" t="s">
        <v>1560</v>
      </c>
      <c r="C3" s="5218"/>
      <c r="D3" s="5218"/>
      <c r="E3" s="5218"/>
      <c r="F3" s="5219"/>
    </row>
    <row r="4" spans="1:11" x14ac:dyDescent="0.2">
      <c r="A4" s="4487"/>
      <c r="B4" s="1775" t="s">
        <v>616</v>
      </c>
      <c r="C4" s="1763" t="s">
        <v>229</v>
      </c>
      <c r="D4" s="1763" t="s">
        <v>364</v>
      </c>
      <c r="E4" s="1763" t="s">
        <v>818</v>
      </c>
      <c r="F4" s="1763" t="s">
        <v>895</v>
      </c>
    </row>
    <row r="5" spans="1:11" x14ac:dyDescent="0.2">
      <c r="A5" s="4486" t="s">
        <v>347</v>
      </c>
      <c r="B5" s="4486"/>
      <c r="C5" s="4486"/>
      <c r="D5" s="4486"/>
      <c r="E5" s="4486"/>
      <c r="F5" s="4486"/>
    </row>
    <row r="6" spans="1:11" s="371" customFormat="1" ht="18.75" customHeight="1" x14ac:dyDescent="0.2">
      <c r="A6" s="1680" t="s">
        <v>1558</v>
      </c>
      <c r="B6" s="1823">
        <f>SUM(C6:E6)</f>
        <v>13075</v>
      </c>
      <c r="C6" s="1751">
        <v>4655</v>
      </c>
      <c r="D6" s="1751">
        <v>4444</v>
      </c>
      <c r="E6" s="1751">
        <v>3976</v>
      </c>
      <c r="F6" s="1751">
        <v>0</v>
      </c>
    </row>
    <row r="7" spans="1:11" s="371" customFormat="1" ht="19.5" customHeight="1" x14ac:dyDescent="0.2">
      <c r="A7" s="1680" t="s">
        <v>1561</v>
      </c>
      <c r="B7" s="1823">
        <f>SUM(C7:E7)</f>
        <v>1098.6578</v>
      </c>
      <c r="C7" s="1751">
        <f>C11</f>
        <v>745.56</v>
      </c>
      <c r="D7" s="1751">
        <f>D11</f>
        <v>353.09780000000001</v>
      </c>
      <c r="E7" s="1751">
        <f t="shared" ref="E7:F7" si="0">E11</f>
        <v>0</v>
      </c>
      <c r="F7" s="1751">
        <f t="shared" si="0"/>
        <v>0</v>
      </c>
    </row>
    <row r="8" spans="1:11" s="1769" customFormat="1" x14ac:dyDescent="0.2">
      <c r="A8" s="1766" t="s">
        <v>1562</v>
      </c>
      <c r="B8" s="1776">
        <f t="shared" ref="B8:B11" si="1">SUM(C8:E8)</f>
        <v>0</v>
      </c>
      <c r="C8" s="1767"/>
      <c r="D8" s="1767"/>
      <c r="E8" s="1767"/>
      <c r="F8" s="1767"/>
    </row>
    <row r="9" spans="1:11" s="1769" customFormat="1" x14ac:dyDescent="0.2">
      <c r="A9" s="1766" t="s">
        <v>1563</v>
      </c>
      <c r="B9" s="1776">
        <f t="shared" si="1"/>
        <v>0</v>
      </c>
      <c r="C9" s="1767"/>
      <c r="D9" s="1767"/>
      <c r="E9" s="1767"/>
      <c r="F9" s="1767"/>
    </row>
    <row r="10" spans="1:11" s="1769" customFormat="1" x14ac:dyDescent="0.2">
      <c r="A10" s="1766" t="s">
        <v>1564</v>
      </c>
      <c r="B10" s="1776">
        <f t="shared" si="1"/>
        <v>0</v>
      </c>
      <c r="C10" s="1767"/>
      <c r="D10" s="1767"/>
      <c r="E10" s="1767"/>
      <c r="F10" s="1767"/>
    </row>
    <row r="11" spans="1:11" s="1769" customFormat="1" x14ac:dyDescent="0.2">
      <c r="A11" s="1766" t="s">
        <v>128</v>
      </c>
      <c r="B11" s="1776">
        <f t="shared" si="1"/>
        <v>1098.6578</v>
      </c>
      <c r="C11" s="1767">
        <v>745.56</v>
      </c>
      <c r="D11" s="1767">
        <v>353.09780000000001</v>
      </c>
      <c r="E11" s="1767"/>
      <c r="F11" s="1767"/>
    </row>
    <row r="12" spans="1:11" s="371" customFormat="1" ht="18.75" customHeight="1" x14ac:dyDescent="0.2">
      <c r="A12" s="1680" t="s">
        <v>1561</v>
      </c>
      <c r="B12" s="1823">
        <f>SUM(C12:E12)</f>
        <v>11976.342199999999</v>
      </c>
      <c r="C12" s="1824">
        <f>C6-C7</f>
        <v>3909.44</v>
      </c>
      <c r="D12" s="1824">
        <f>D6-D7</f>
        <v>4090.9022</v>
      </c>
      <c r="E12" s="1824">
        <f>E6-E7</f>
        <v>3976</v>
      </c>
      <c r="F12" s="1824">
        <f>F6-F7</f>
        <v>0</v>
      </c>
    </row>
    <row r="13" spans="1:11" x14ac:dyDescent="0.2">
      <c r="A13" s="4486" t="s">
        <v>337</v>
      </c>
      <c r="B13" s="4486"/>
      <c r="C13" s="4486"/>
      <c r="D13" s="4486"/>
      <c r="E13" s="4486"/>
      <c r="F13" s="4486"/>
    </row>
    <row r="14" spans="1:11" s="371" customFormat="1" ht="18.75" customHeight="1" x14ac:dyDescent="0.2">
      <c r="A14" s="1680" t="s">
        <v>1558</v>
      </c>
      <c r="B14" s="1823">
        <f>SUM(C14:E14)</f>
        <v>8516</v>
      </c>
      <c r="C14" s="1751">
        <v>4947</v>
      </c>
      <c r="D14" s="1751">
        <v>3568.1</v>
      </c>
      <c r="E14" s="1751">
        <v>0.9</v>
      </c>
      <c r="F14" s="1751">
        <v>0</v>
      </c>
    </row>
    <row r="15" spans="1:11" s="371" customFormat="1" ht="18" customHeight="1" x14ac:dyDescent="0.2">
      <c r="A15" s="1680" t="s">
        <v>1559</v>
      </c>
      <c r="B15" s="1823">
        <f>SUM(C15:E15)</f>
        <v>1044.8820000000001</v>
      </c>
      <c r="C15" s="1751">
        <f>C19</f>
        <v>1044.8820000000001</v>
      </c>
      <c r="D15" s="1751">
        <f t="shared" ref="D15:E15" si="2">D19</f>
        <v>0</v>
      </c>
      <c r="E15" s="1751">
        <f t="shared" si="2"/>
        <v>0</v>
      </c>
      <c r="F15" s="1751"/>
    </row>
    <row r="16" spans="1:11" s="1769" customFormat="1" x14ac:dyDescent="0.2">
      <c r="A16" s="1766" t="s">
        <v>1562</v>
      </c>
      <c r="B16" s="1776">
        <f t="shared" ref="B16:B19" si="3">SUM(C16:E16)</f>
        <v>0</v>
      </c>
      <c r="C16" s="1767"/>
      <c r="D16" s="1767"/>
      <c r="E16" s="1767"/>
      <c r="F16" s="1767"/>
    </row>
    <row r="17" spans="1:11" s="1769" customFormat="1" ht="14.25" customHeight="1" x14ac:dyDescent="0.2">
      <c r="A17" s="1766" t="s">
        <v>1563</v>
      </c>
      <c r="B17" s="1776">
        <f t="shared" si="3"/>
        <v>0</v>
      </c>
      <c r="C17" s="1767"/>
      <c r="D17" s="1767"/>
      <c r="E17" s="1767"/>
      <c r="F17" s="1767"/>
    </row>
    <row r="18" spans="1:11" s="1769" customFormat="1" ht="13.5" customHeight="1" x14ac:dyDescent="0.2">
      <c r="A18" s="1766" t="s">
        <v>1564</v>
      </c>
      <c r="B18" s="1776">
        <f t="shared" si="3"/>
        <v>0</v>
      </c>
      <c r="C18" s="1767"/>
      <c r="D18" s="1767"/>
      <c r="E18" s="1767"/>
      <c r="F18" s="1767"/>
    </row>
    <row r="19" spans="1:11" s="1769" customFormat="1" ht="13.5" customHeight="1" x14ac:dyDescent="0.2">
      <c r="A19" s="1766" t="s">
        <v>128</v>
      </c>
      <c r="B19" s="1776">
        <f t="shared" si="3"/>
        <v>1044.8820000000001</v>
      </c>
      <c r="C19" s="1767">
        <v>1044.8820000000001</v>
      </c>
      <c r="D19" s="1767">
        <v>0</v>
      </c>
      <c r="E19" s="1767"/>
      <c r="F19" s="1767"/>
    </row>
    <row r="20" spans="1:11" s="371" customFormat="1" ht="27" customHeight="1" x14ac:dyDescent="0.2">
      <c r="A20" s="1680" t="s">
        <v>1561</v>
      </c>
      <c r="B20" s="1823">
        <f>SUM(C20:E20)</f>
        <v>7471.1179999999995</v>
      </c>
      <c r="C20" s="1824">
        <f>C14-C15</f>
        <v>3902.1179999999999</v>
      </c>
      <c r="D20" s="1824">
        <f>D14-D15</f>
        <v>3568.1</v>
      </c>
      <c r="E20" s="1824">
        <f>E14-E15</f>
        <v>0.9</v>
      </c>
      <c r="F20" s="1824">
        <f>F14-F15</f>
        <v>0</v>
      </c>
    </row>
    <row r="21" spans="1:11" x14ac:dyDescent="0.2">
      <c r="A21" s="4487" t="s">
        <v>527</v>
      </c>
      <c r="B21" s="5052" t="s">
        <v>1560</v>
      </c>
      <c r="C21" s="5218"/>
      <c r="D21" s="5218"/>
      <c r="E21" s="5218"/>
      <c r="F21" s="5219"/>
      <c r="G21" s="5052" t="s">
        <v>1641</v>
      </c>
      <c r="H21" s="5218"/>
      <c r="I21" s="5218"/>
      <c r="J21" s="5218"/>
      <c r="K21" s="5219"/>
    </row>
    <row r="22" spans="1:11" x14ac:dyDescent="0.2">
      <c r="A22" s="4487"/>
      <c r="B22" s="1775" t="s">
        <v>616</v>
      </c>
      <c r="C22" s="1763" t="s">
        <v>229</v>
      </c>
      <c r="D22" s="1763" t="s">
        <v>364</v>
      </c>
      <c r="E22" s="1763" t="s">
        <v>818</v>
      </c>
      <c r="F22" s="1763" t="s">
        <v>895</v>
      </c>
      <c r="G22" s="1775" t="s">
        <v>616</v>
      </c>
      <c r="H22" s="1763" t="s">
        <v>229</v>
      </c>
      <c r="I22" s="1763" t="s">
        <v>364</v>
      </c>
      <c r="J22" s="1763" t="s">
        <v>818</v>
      </c>
      <c r="K22" s="1763" t="s">
        <v>895</v>
      </c>
    </row>
    <row r="23" spans="1:11" x14ac:dyDescent="0.2">
      <c r="A23" s="5" t="s">
        <v>347</v>
      </c>
    </row>
    <row r="24" spans="1:11" x14ac:dyDescent="0.2">
      <c r="A24" s="1680" t="s">
        <v>1558</v>
      </c>
      <c r="B24" s="1823">
        <f>C24+D24+E24+F24</f>
        <v>21110.170000000002</v>
      </c>
      <c r="C24" s="1870">
        <v>4655</v>
      </c>
      <c r="D24" s="1870">
        <v>4444</v>
      </c>
      <c r="E24" s="1870">
        <v>7523.51</v>
      </c>
      <c r="F24" s="1870">
        <f>4487.66</f>
        <v>4487.66</v>
      </c>
      <c r="G24" s="1757"/>
      <c r="H24" s="1757"/>
      <c r="I24" s="1757"/>
      <c r="J24" s="1757"/>
      <c r="K24" s="1757"/>
    </row>
    <row r="25" spans="1:11" x14ac:dyDescent="0.2">
      <c r="A25" s="1754" t="s">
        <v>1632</v>
      </c>
      <c r="B25" s="1823">
        <f t="shared" ref="B25:B36" si="4">C25+D25+E25+F25</f>
        <v>13075</v>
      </c>
      <c r="C25" s="1759">
        <v>4655</v>
      </c>
      <c r="D25" s="1759">
        <v>4444</v>
      </c>
      <c r="E25" s="1759">
        <v>3976</v>
      </c>
      <c r="F25" s="1759"/>
      <c r="G25" s="1757"/>
      <c r="H25" s="1757"/>
      <c r="I25" s="1757"/>
      <c r="J25" s="1757"/>
      <c r="K25" s="1757"/>
    </row>
    <row r="26" spans="1:11" x14ac:dyDescent="0.2">
      <c r="A26" s="1754" t="s">
        <v>1633</v>
      </c>
      <c r="B26" s="1823">
        <f t="shared" si="4"/>
        <v>8035.17</v>
      </c>
      <c r="C26" s="1759"/>
      <c r="D26" s="1759"/>
      <c r="E26" s="1759">
        <f>E24-E25</f>
        <v>3547.51</v>
      </c>
      <c r="F26" s="1759">
        <f>F24</f>
        <v>4487.66</v>
      </c>
      <c r="G26" s="1757"/>
      <c r="H26" s="1757"/>
      <c r="I26" s="1757"/>
      <c r="J26" s="1757"/>
      <c r="K26" s="1757"/>
    </row>
    <row r="27" spans="1:11" x14ac:dyDescent="0.2">
      <c r="A27" s="5647" t="s">
        <v>1631</v>
      </c>
      <c r="B27" s="1870"/>
      <c r="C27" s="5649" t="s">
        <v>1635</v>
      </c>
      <c r="D27" s="5649"/>
      <c r="E27" s="5649"/>
      <c r="F27" s="5649"/>
      <c r="G27" s="1757"/>
      <c r="H27" s="1757"/>
      <c r="I27" s="1757"/>
      <c r="J27" s="1757"/>
      <c r="K27" s="1757"/>
    </row>
    <row r="28" spans="1:11" ht="10.5" customHeight="1" x14ac:dyDescent="0.2">
      <c r="A28" s="5648"/>
      <c r="B28" s="1870">
        <f>B29+B30</f>
        <v>8035.17</v>
      </c>
      <c r="C28" s="1871">
        <f>C29+C30</f>
        <v>0</v>
      </c>
      <c r="D28" s="1871">
        <f t="shared" ref="D28:F28" si="5">D29+D30</f>
        <v>0</v>
      </c>
      <c r="E28" s="1871">
        <f t="shared" si="5"/>
        <v>3547.51</v>
      </c>
      <c r="F28" s="1871">
        <f t="shared" si="5"/>
        <v>4487.66</v>
      </c>
      <c r="G28" s="1757"/>
      <c r="H28" s="1757"/>
      <c r="I28" s="1757"/>
      <c r="J28" s="1757"/>
      <c r="K28" s="1757"/>
    </row>
    <row r="29" spans="1:11" s="371" customFormat="1" ht="38.25" customHeight="1" x14ac:dyDescent="0.2">
      <c r="A29" s="4843" t="s">
        <v>1634</v>
      </c>
      <c r="B29" s="1823">
        <f t="shared" si="4"/>
        <v>3300.06</v>
      </c>
      <c r="C29" s="1619"/>
      <c r="D29" s="1619"/>
      <c r="E29" s="1619">
        <v>1322.95</v>
      </c>
      <c r="F29" s="1619">
        <v>1977.11</v>
      </c>
      <c r="G29" s="1619"/>
      <c r="H29" s="1619"/>
      <c r="I29" s="1619"/>
      <c r="J29" s="1619"/>
      <c r="K29" s="1619"/>
    </row>
    <row r="30" spans="1:11" ht="13.5" customHeight="1" x14ac:dyDescent="0.2">
      <c r="A30" s="4843"/>
      <c r="B30" s="1823">
        <f t="shared" si="4"/>
        <v>4735.1100000000006</v>
      </c>
      <c r="C30" s="1757"/>
      <c r="D30" s="1757"/>
      <c r="E30" s="1757">
        <v>2224.56</v>
      </c>
      <c r="F30" s="1757">
        <v>2510.5500000000002</v>
      </c>
      <c r="G30" s="1757"/>
      <c r="H30" s="1757"/>
      <c r="I30" s="1757"/>
      <c r="J30" s="1757"/>
      <c r="K30" s="1757"/>
    </row>
    <row r="31" spans="1:11" x14ac:dyDescent="0.2">
      <c r="A31" s="1754"/>
      <c r="B31" s="5644" t="s">
        <v>1636</v>
      </c>
      <c r="C31" s="5645"/>
      <c r="D31" s="5645"/>
      <c r="E31" s="5645"/>
      <c r="F31" s="5645"/>
      <c r="G31" s="5646" t="s">
        <v>1641</v>
      </c>
      <c r="H31" s="5646"/>
      <c r="I31" s="5646"/>
      <c r="J31" s="5646"/>
      <c r="K31" s="5646"/>
    </row>
    <row r="32" spans="1:11" x14ac:dyDescent="0.2">
      <c r="A32" s="1754"/>
      <c r="B32" s="1850">
        <f>SUM(B33:B36)</f>
        <v>13075</v>
      </c>
      <c r="C32" s="1850">
        <f>SUM(C33:C36)</f>
        <v>4655</v>
      </c>
      <c r="D32" s="1850">
        <f t="shared" ref="D32:F32" si="6">SUM(D33:D36)</f>
        <v>4444</v>
      </c>
      <c r="E32" s="1850">
        <f t="shared" si="6"/>
        <v>3976</v>
      </c>
      <c r="F32" s="1850">
        <f t="shared" si="6"/>
        <v>0</v>
      </c>
      <c r="G32" s="1850">
        <f>SUM(G33:G36)</f>
        <v>1098.6578</v>
      </c>
      <c r="H32" s="1850">
        <f>SUM(H33:H36)</f>
        <v>745.56000000000006</v>
      </c>
      <c r="I32" s="1850">
        <f t="shared" ref="I32" si="7">SUM(I33:I36)</f>
        <v>353.09780000000001</v>
      </c>
      <c r="J32" s="1850">
        <f t="shared" ref="J32" si="8">SUM(J33:J36)</f>
        <v>0</v>
      </c>
      <c r="K32" s="1850">
        <f t="shared" ref="K32" si="9">SUM(K33:K36)</f>
        <v>0</v>
      </c>
    </row>
    <row r="33" spans="1:16" ht="22.5" customHeight="1" x14ac:dyDescent="0.2">
      <c r="A33" s="1922" t="s">
        <v>1637</v>
      </c>
      <c r="B33" s="1823">
        <f t="shared" si="4"/>
        <v>1951</v>
      </c>
      <c r="C33" s="1751">
        <v>1951</v>
      </c>
      <c r="D33" s="1751"/>
      <c r="E33" s="1751"/>
      <c r="F33" s="1751"/>
      <c r="G33" s="1823">
        <f t="shared" ref="G33:G36" si="10">H33+I33+J33+K33</f>
        <v>745.56000000000006</v>
      </c>
      <c r="H33" s="1751">
        <f>305.831+359.099+80.63</f>
        <v>745.56000000000006</v>
      </c>
      <c r="I33" s="1751">
        <v>0</v>
      </c>
      <c r="J33" s="1751">
        <v>0</v>
      </c>
      <c r="K33" s="1751">
        <v>0</v>
      </c>
      <c r="L33" s="371" t="s">
        <v>1655</v>
      </c>
      <c r="M33" s="1953">
        <f>B33-G33</f>
        <v>1205.44</v>
      </c>
      <c r="N33" s="5" t="s">
        <v>1712</v>
      </c>
    </row>
    <row r="34" spans="1:16" ht="25.5" x14ac:dyDescent="0.2">
      <c r="A34" s="1682" t="s">
        <v>1638</v>
      </c>
      <c r="B34" s="1823">
        <f t="shared" si="4"/>
        <v>4274</v>
      </c>
      <c r="C34" s="1751"/>
      <c r="D34" s="1751">
        <v>4274</v>
      </c>
      <c r="E34" s="1751"/>
      <c r="F34" s="1751"/>
      <c r="G34" s="1823">
        <f t="shared" si="10"/>
        <v>0</v>
      </c>
      <c r="H34" s="1751">
        <v>0</v>
      </c>
      <c r="I34" s="1751">
        <v>0</v>
      </c>
      <c r="J34" s="1751">
        <v>0</v>
      </c>
      <c r="K34" s="1751">
        <v>0</v>
      </c>
      <c r="L34" s="371" t="s">
        <v>1656</v>
      </c>
      <c r="M34" s="1954">
        <f t="shared" ref="M34:M36" si="11">B34-G34</f>
        <v>4274</v>
      </c>
      <c r="N34" s="5" t="s">
        <v>2030</v>
      </c>
      <c r="P34" s="1674"/>
    </row>
    <row r="35" spans="1:16" x14ac:dyDescent="0.2">
      <c r="A35" s="1682" t="s">
        <v>1639</v>
      </c>
      <c r="B35" s="1823">
        <f t="shared" si="4"/>
        <v>4146</v>
      </c>
      <c r="C35" s="1751"/>
      <c r="D35" s="1751">
        <v>170</v>
      </c>
      <c r="E35" s="1751">
        <v>3976</v>
      </c>
      <c r="F35" s="1751"/>
      <c r="G35" s="1823">
        <f t="shared" si="10"/>
        <v>0</v>
      </c>
      <c r="H35" s="1751">
        <v>0</v>
      </c>
      <c r="I35" s="1751">
        <v>0</v>
      </c>
      <c r="J35" s="1751">
        <v>0</v>
      </c>
      <c r="K35" s="1751">
        <v>0</v>
      </c>
      <c r="L35" s="371" t="s">
        <v>1657</v>
      </c>
      <c r="M35" s="1954">
        <f>B35</f>
        <v>4146</v>
      </c>
      <c r="N35" s="1674" t="s">
        <v>2031</v>
      </c>
    </row>
    <row r="36" spans="1:16" ht="25.5" x14ac:dyDescent="0.2">
      <c r="A36" s="1682" t="s">
        <v>1640</v>
      </c>
      <c r="B36" s="1823">
        <f t="shared" si="4"/>
        <v>2704</v>
      </c>
      <c r="C36" s="1751">
        <v>2704</v>
      </c>
      <c r="D36" s="1751"/>
      <c r="E36" s="1751"/>
      <c r="F36" s="1751"/>
      <c r="G36" s="1823">
        <f t="shared" si="10"/>
        <v>353.09780000000001</v>
      </c>
      <c r="H36" s="1751">
        <v>0</v>
      </c>
      <c r="I36" s="1751">
        <f>177.439+142.65+33.0088</f>
        <v>353.09780000000001</v>
      </c>
      <c r="J36" s="1751">
        <v>0</v>
      </c>
      <c r="K36" s="1751">
        <v>0</v>
      </c>
      <c r="L36" s="371" t="s">
        <v>1656</v>
      </c>
      <c r="M36" s="1954">
        <f t="shared" si="11"/>
        <v>2350.9022</v>
      </c>
      <c r="N36" s="5" t="s">
        <v>2030</v>
      </c>
    </row>
    <row r="37" spans="1:16" x14ac:dyDescent="0.2">
      <c r="A37" s="5" t="s">
        <v>337</v>
      </c>
      <c r="N37" s="1674" t="e">
        <f>M33+M34+M36+N35</f>
        <v>#VALUE!</v>
      </c>
    </row>
    <row r="38" spans="1:16" x14ac:dyDescent="0.2">
      <c r="A38" s="1680" t="s">
        <v>1558</v>
      </c>
      <c r="B38" s="1823">
        <f>C38+D38+E38+F38</f>
        <v>16371.720000000001</v>
      </c>
      <c r="C38" s="1870">
        <v>4947</v>
      </c>
      <c r="D38" s="1870">
        <v>3568.1</v>
      </c>
      <c r="E38" s="1870">
        <v>3610.65</v>
      </c>
      <c r="F38" s="1870">
        <v>4245.97</v>
      </c>
      <c r="G38" s="1757"/>
      <c r="H38" s="1757"/>
      <c r="I38" s="1757"/>
      <c r="J38" s="1757"/>
      <c r="K38" s="1757"/>
    </row>
    <row r="39" spans="1:16" x14ac:dyDescent="0.2">
      <c r="A39" s="1754" t="s">
        <v>1632</v>
      </c>
      <c r="B39" s="1823">
        <f t="shared" ref="B39:B40" si="12">C39+D39+E39+F39</f>
        <v>8516</v>
      </c>
      <c r="C39" s="1759">
        <v>4947</v>
      </c>
      <c r="D39" s="1759">
        <v>3568.1</v>
      </c>
      <c r="E39" s="1759">
        <v>0.9</v>
      </c>
      <c r="F39" s="1759"/>
      <c r="G39" s="1757"/>
      <c r="H39" s="1757"/>
      <c r="I39" s="1757"/>
      <c r="J39" s="1757"/>
      <c r="K39" s="1757"/>
    </row>
    <row r="40" spans="1:16" x14ac:dyDescent="0.2">
      <c r="A40" s="1754" t="s">
        <v>1633</v>
      </c>
      <c r="B40" s="1823">
        <f t="shared" si="12"/>
        <v>7834.52</v>
      </c>
      <c r="C40" s="1759"/>
      <c r="D40" s="1759"/>
      <c r="E40" s="1759">
        <v>3588.55</v>
      </c>
      <c r="F40" s="1759">
        <f>F38</f>
        <v>4245.97</v>
      </c>
      <c r="G40" s="1757"/>
      <c r="H40" s="1757"/>
      <c r="I40" s="1757"/>
      <c r="J40" s="1757"/>
      <c r="K40" s="1757"/>
    </row>
    <row r="41" spans="1:16" x14ac:dyDescent="0.2">
      <c r="A41" s="5647" t="s">
        <v>1631</v>
      </c>
      <c r="B41" s="1870"/>
      <c r="C41" s="5649" t="s">
        <v>1635</v>
      </c>
      <c r="D41" s="5649"/>
      <c r="E41" s="5649"/>
      <c r="F41" s="5649"/>
      <c r="G41" s="1757"/>
      <c r="H41" s="1757"/>
      <c r="I41" s="1757"/>
      <c r="J41" s="1757"/>
      <c r="K41" s="1757"/>
    </row>
    <row r="42" spans="1:16" x14ac:dyDescent="0.2">
      <c r="A42" s="5648"/>
      <c r="B42" s="1870">
        <f>B43+B44</f>
        <v>8099.3000000000011</v>
      </c>
      <c r="C42" s="1871">
        <f>C43+C44</f>
        <v>0</v>
      </c>
      <c r="D42" s="1871">
        <f t="shared" ref="D42" si="13">D43+D44</f>
        <v>0</v>
      </c>
      <c r="E42" s="1871">
        <f>E43+E44</f>
        <v>3588.55</v>
      </c>
      <c r="F42" s="1871">
        <f t="shared" ref="F42" si="14">F43+F44</f>
        <v>4510.75</v>
      </c>
      <c r="G42" s="1757"/>
      <c r="H42" s="1757"/>
      <c r="I42" s="1757"/>
      <c r="J42" s="1757"/>
      <c r="K42" s="1757"/>
    </row>
    <row r="43" spans="1:16" x14ac:dyDescent="0.2">
      <c r="A43" s="4843" t="s">
        <v>1634</v>
      </c>
      <c r="B43" s="1823">
        <f t="shared" ref="B43:B44" si="15">C43+D43+E43+F43</f>
        <v>3364.19</v>
      </c>
      <c r="C43" s="1619"/>
      <c r="D43" s="1619"/>
      <c r="E43" s="1619">
        <v>1363.99</v>
      </c>
      <c r="F43" s="1619">
        <v>2000.2</v>
      </c>
      <c r="G43" s="1619"/>
      <c r="H43" s="1619"/>
      <c r="I43" s="1619"/>
      <c r="J43" s="1619"/>
      <c r="K43" s="1619"/>
    </row>
    <row r="44" spans="1:16" x14ac:dyDescent="0.2">
      <c r="A44" s="4843"/>
      <c r="B44" s="1823">
        <f t="shared" si="15"/>
        <v>4735.1100000000006</v>
      </c>
      <c r="C44" s="1757"/>
      <c r="D44" s="1757"/>
      <c r="E44" s="1757">
        <v>2224.56</v>
      </c>
      <c r="F44" s="1757">
        <v>2510.5500000000002</v>
      </c>
      <c r="G44" s="1757"/>
      <c r="H44" s="1757"/>
      <c r="I44" s="1757"/>
      <c r="J44" s="1757"/>
      <c r="K44" s="1757"/>
    </row>
    <row r="45" spans="1:16" x14ac:dyDescent="0.2">
      <c r="A45" s="1754"/>
      <c r="B45" s="5644" t="s">
        <v>1636</v>
      </c>
      <c r="C45" s="5645"/>
      <c r="D45" s="5645"/>
      <c r="E45" s="5645"/>
      <c r="F45" s="5645"/>
      <c r="G45" s="5646" t="s">
        <v>1641</v>
      </c>
      <c r="H45" s="5646"/>
      <c r="I45" s="5646"/>
      <c r="J45" s="5646"/>
      <c r="K45" s="5646"/>
    </row>
    <row r="46" spans="1:16" x14ac:dyDescent="0.2">
      <c r="A46" s="1754"/>
      <c r="B46" s="1850">
        <f>SUM(B47:B52)</f>
        <v>8516</v>
      </c>
      <c r="C46" s="1850">
        <f t="shared" ref="C46:K46" si="16">SUM(C47:C52)</f>
        <v>4947</v>
      </c>
      <c r="D46" s="1850">
        <f t="shared" si="16"/>
        <v>3568.1000000000004</v>
      </c>
      <c r="E46" s="1850">
        <f t="shared" si="16"/>
        <v>0.89999999999999991</v>
      </c>
      <c r="F46" s="1850">
        <f t="shared" si="16"/>
        <v>0</v>
      </c>
      <c r="G46" s="1850">
        <f t="shared" si="16"/>
        <v>1044.8820000000001</v>
      </c>
      <c r="H46" s="1850">
        <f t="shared" si="16"/>
        <v>1044.8820000000001</v>
      </c>
      <c r="I46" s="1850">
        <f t="shared" si="16"/>
        <v>0</v>
      </c>
      <c r="J46" s="1850">
        <f t="shared" si="16"/>
        <v>0</v>
      </c>
      <c r="K46" s="1850">
        <f t="shared" si="16"/>
        <v>0</v>
      </c>
      <c r="M46" s="1674">
        <f>B46-G46</f>
        <v>7471.1180000000004</v>
      </c>
    </row>
    <row r="47" spans="1:16" x14ac:dyDescent="0.2">
      <c r="A47" s="1754" t="s">
        <v>1642</v>
      </c>
      <c r="B47" s="1823">
        <f t="shared" ref="B47:B50" si="17">C47+D47+E47+F47</f>
        <v>1517</v>
      </c>
      <c r="C47" s="1751">
        <v>1517</v>
      </c>
      <c r="D47" s="1751"/>
      <c r="E47" s="1751"/>
      <c r="F47" s="1751"/>
      <c r="G47" s="1823">
        <f t="shared" ref="G47:G50" si="18">H47+I47+J47+K47</f>
        <v>413.41640000000001</v>
      </c>
      <c r="H47" s="1751">
        <v>413.41640000000001</v>
      </c>
      <c r="I47" s="1751"/>
      <c r="J47" s="1751"/>
      <c r="K47" s="1751"/>
      <c r="L47" s="5" t="s">
        <v>1656</v>
      </c>
      <c r="M47" s="1953">
        <f>B47-G47</f>
        <v>1103.5835999999999</v>
      </c>
      <c r="P47" s="1674">
        <f>M47+M48+M49</f>
        <v>3902.1179999999999</v>
      </c>
    </row>
    <row r="48" spans="1:16" x14ac:dyDescent="0.2">
      <c r="A48" s="1754" t="s">
        <v>1643</v>
      </c>
      <c r="B48" s="1823">
        <f t="shared" si="17"/>
        <v>1742</v>
      </c>
      <c r="C48" s="1751">
        <v>1742</v>
      </c>
      <c r="D48" s="1751"/>
      <c r="E48" s="1751"/>
      <c r="F48" s="1751"/>
      <c r="G48" s="1823">
        <f t="shared" si="18"/>
        <v>218.04920000000001</v>
      </c>
      <c r="H48" s="1751">
        <f>206.7082+11.341</f>
        <v>218.04920000000001</v>
      </c>
      <c r="I48" s="1751"/>
      <c r="J48" s="1751"/>
      <c r="K48" s="1751"/>
      <c r="L48" s="5" t="s">
        <v>1656</v>
      </c>
      <c r="M48" s="1953">
        <f t="shared" ref="M48:M52" si="19">B48-G48</f>
        <v>1523.9508000000001</v>
      </c>
    </row>
    <row r="49" spans="1:13" x14ac:dyDescent="0.2">
      <c r="A49" s="1754" t="s">
        <v>1644</v>
      </c>
      <c r="B49" s="1823">
        <f t="shared" si="17"/>
        <v>1688</v>
      </c>
      <c r="C49" s="1751">
        <v>1688</v>
      </c>
      <c r="D49" s="1751"/>
      <c r="E49" s="1751"/>
      <c r="F49" s="1751"/>
      <c r="G49" s="1823">
        <f t="shared" si="18"/>
        <v>413.41640000000001</v>
      </c>
      <c r="H49" s="1751">
        <v>413.41640000000001</v>
      </c>
      <c r="I49" s="1751"/>
      <c r="J49" s="1751"/>
      <c r="K49" s="1751"/>
      <c r="L49" s="5" t="s">
        <v>1656</v>
      </c>
      <c r="M49" s="1953">
        <f t="shared" si="19"/>
        <v>1274.5835999999999</v>
      </c>
    </row>
    <row r="50" spans="1:13" x14ac:dyDescent="0.2">
      <c r="A50" s="1754" t="s">
        <v>1645</v>
      </c>
      <c r="B50" s="1823">
        <f t="shared" si="17"/>
        <v>1579</v>
      </c>
      <c r="C50" s="1751"/>
      <c r="D50" s="1751">
        <v>1579</v>
      </c>
      <c r="E50" s="1751"/>
      <c r="F50" s="1751"/>
      <c r="G50" s="1823">
        <f t="shared" si="18"/>
        <v>0</v>
      </c>
      <c r="H50" s="1751"/>
      <c r="I50" s="1751"/>
      <c r="J50" s="1751"/>
      <c r="K50" s="1751"/>
      <c r="L50" s="5" t="s">
        <v>1657</v>
      </c>
      <c r="M50" s="1953">
        <f t="shared" si="19"/>
        <v>1579</v>
      </c>
    </row>
    <row r="51" spans="1:13" x14ac:dyDescent="0.2">
      <c r="A51" s="1754" t="s">
        <v>1646</v>
      </c>
      <c r="B51" s="1823">
        <f t="shared" ref="B51:B52" si="20">C51+D51+E51+F51</f>
        <v>1283</v>
      </c>
      <c r="C51" s="1751"/>
      <c r="D51" s="1751">
        <v>1282.4000000000001</v>
      </c>
      <c r="E51" s="1751">
        <v>0.6</v>
      </c>
      <c r="F51" s="1751"/>
      <c r="G51" s="1823">
        <f t="shared" ref="G51:G52" si="21">H51+I51+J51+K51</f>
        <v>0</v>
      </c>
      <c r="H51" s="1751"/>
      <c r="I51" s="1751"/>
      <c r="J51" s="1751"/>
      <c r="K51" s="1751"/>
      <c r="L51" s="5" t="s">
        <v>1657</v>
      </c>
      <c r="M51" s="1953">
        <f t="shared" si="19"/>
        <v>1283</v>
      </c>
    </row>
    <row r="52" spans="1:13" x14ac:dyDescent="0.2">
      <c r="A52" s="1754" t="s">
        <v>1647</v>
      </c>
      <c r="B52" s="1823">
        <f t="shared" si="20"/>
        <v>707</v>
      </c>
      <c r="C52" s="1751"/>
      <c r="D52" s="1751">
        <v>706.7</v>
      </c>
      <c r="E52" s="1751">
        <v>0.3</v>
      </c>
      <c r="F52" s="1751"/>
      <c r="G52" s="1823">
        <f t="shared" si="21"/>
        <v>0</v>
      </c>
      <c r="H52" s="1751"/>
      <c r="I52" s="1751"/>
      <c r="J52" s="1751"/>
      <c r="K52" s="1751"/>
      <c r="L52" s="5" t="s">
        <v>1657</v>
      </c>
      <c r="M52" s="1953">
        <f t="shared" si="19"/>
        <v>707</v>
      </c>
    </row>
    <row r="54" spans="1:13" x14ac:dyDescent="0.2">
      <c r="A54" s="5" t="s">
        <v>1648</v>
      </c>
    </row>
    <row r="55" spans="1:13" x14ac:dyDescent="0.2">
      <c r="A55" s="4852"/>
      <c r="B55" s="4487" t="s">
        <v>46</v>
      </c>
      <c r="C55" s="4487"/>
      <c r="D55" s="4487"/>
      <c r="E55" s="4487" t="s">
        <v>47</v>
      </c>
      <c r="F55" s="4487"/>
      <c r="G55" s="4487"/>
    </row>
    <row r="56" spans="1:13" ht="25.5" customHeight="1" x14ac:dyDescent="0.2">
      <c r="A56" s="4852"/>
      <c r="B56" s="1744" t="s">
        <v>1566</v>
      </c>
      <c r="C56" s="1872" t="s">
        <v>60</v>
      </c>
      <c r="D56" s="1872" t="s">
        <v>1596</v>
      </c>
      <c r="E56" s="1744" t="s">
        <v>1566</v>
      </c>
      <c r="F56" s="1872" t="s">
        <v>60</v>
      </c>
      <c r="G56" s="1872" t="s">
        <v>1596</v>
      </c>
    </row>
    <row r="57" spans="1:13" x14ac:dyDescent="0.2">
      <c r="A57" s="1754" t="s">
        <v>1649</v>
      </c>
      <c r="B57" s="1757"/>
      <c r="C57" s="1757"/>
      <c r="D57" s="1757"/>
      <c r="E57" s="1757"/>
      <c r="F57" s="1757"/>
      <c r="G57" s="1757"/>
    </row>
    <row r="58" spans="1:13" x14ac:dyDescent="0.2">
      <c r="A58" s="1754">
        <v>2014</v>
      </c>
      <c r="B58" s="1759">
        <v>4038</v>
      </c>
      <c r="C58" s="1759">
        <v>3989.18</v>
      </c>
      <c r="D58" s="1759">
        <f t="shared" ref="D58:D60" si="22">C58-B58</f>
        <v>-48.820000000000164</v>
      </c>
      <c r="E58" s="1759">
        <v>3620</v>
      </c>
      <c r="F58" s="1759">
        <v>3445.97</v>
      </c>
      <c r="G58" s="1759">
        <f t="shared" ref="G58:G60" si="23">F58-E58</f>
        <v>-174.0300000000002</v>
      </c>
    </row>
    <row r="59" spans="1:13" x14ac:dyDescent="0.2">
      <c r="A59" s="1754">
        <v>2015</v>
      </c>
      <c r="B59" s="1759">
        <v>4038</v>
      </c>
      <c r="C59" s="1759">
        <v>3760.82</v>
      </c>
      <c r="D59" s="1759">
        <f t="shared" si="22"/>
        <v>-277.17999999999984</v>
      </c>
      <c r="E59" s="1759">
        <v>3620</v>
      </c>
      <c r="F59" s="1759">
        <v>3186.77</v>
      </c>
      <c r="G59" s="1759">
        <f t="shared" si="23"/>
        <v>-433.23</v>
      </c>
    </row>
    <row r="60" spans="1:13" x14ac:dyDescent="0.2">
      <c r="A60" s="1754">
        <v>2016</v>
      </c>
      <c r="B60" s="1759">
        <v>4038</v>
      </c>
      <c r="C60" s="1759">
        <v>3566.34</v>
      </c>
      <c r="D60" s="1759">
        <f t="shared" si="22"/>
        <v>-471.65999999999985</v>
      </c>
      <c r="E60" s="1759">
        <v>3620</v>
      </c>
      <c r="F60" s="1759">
        <v>3048.9</v>
      </c>
      <c r="G60" s="1759">
        <f t="shared" si="23"/>
        <v>-571.09999999999991</v>
      </c>
    </row>
    <row r="61" spans="1:13" x14ac:dyDescent="0.2">
      <c r="A61" s="1754" t="s">
        <v>1650</v>
      </c>
      <c r="B61" s="1757"/>
      <c r="C61" s="5642" t="s">
        <v>1652</v>
      </c>
      <c r="D61" s="5643"/>
      <c r="E61" s="1757"/>
      <c r="F61" s="5642" t="s">
        <v>1652</v>
      </c>
      <c r="G61" s="5643"/>
    </row>
    <row r="62" spans="1:13" x14ac:dyDescent="0.2">
      <c r="A62" s="1754">
        <v>2014</v>
      </c>
      <c r="B62" s="1759">
        <v>4655</v>
      </c>
      <c r="C62" s="1759">
        <v>4598.72</v>
      </c>
      <c r="D62" s="1759">
        <f t="shared" ref="D62:D68" si="24">C62-B62</f>
        <v>-56.279999999999745</v>
      </c>
      <c r="E62" s="1759">
        <v>4947</v>
      </c>
      <c r="F62" s="1759">
        <v>4709.2</v>
      </c>
      <c r="G62" s="1759">
        <f t="shared" ref="G62:G68" si="25">F62-E62</f>
        <v>-237.80000000000018</v>
      </c>
    </row>
    <row r="63" spans="1:13" x14ac:dyDescent="0.2">
      <c r="A63" s="1754">
        <v>2015</v>
      </c>
      <c r="B63" s="1759">
        <v>4444</v>
      </c>
      <c r="C63" s="1759">
        <v>4139</v>
      </c>
      <c r="D63" s="1759">
        <f t="shared" si="24"/>
        <v>-305</v>
      </c>
      <c r="E63" s="1759">
        <v>3568.1</v>
      </c>
      <c r="F63" s="1759">
        <v>3140.9</v>
      </c>
      <c r="G63" s="1759">
        <f t="shared" si="25"/>
        <v>-427.19999999999982</v>
      </c>
    </row>
    <row r="64" spans="1:13" x14ac:dyDescent="0.2">
      <c r="A64" s="1754">
        <v>2016</v>
      </c>
      <c r="B64" s="1759">
        <v>3976</v>
      </c>
      <c r="C64" s="1759">
        <v>3511.6</v>
      </c>
      <c r="D64" s="1759">
        <f t="shared" si="24"/>
        <v>-464.40000000000009</v>
      </c>
      <c r="E64" s="1759">
        <v>0.9</v>
      </c>
      <c r="F64" s="1759">
        <v>0.76</v>
      </c>
      <c r="G64" s="1759">
        <f t="shared" si="25"/>
        <v>-0.14000000000000001</v>
      </c>
    </row>
    <row r="65" spans="1:7" x14ac:dyDescent="0.2">
      <c r="A65" s="1754" t="s">
        <v>1651</v>
      </c>
      <c r="B65" s="1759"/>
      <c r="C65" s="1759"/>
      <c r="D65" s="1759"/>
      <c r="E65" s="1759"/>
      <c r="F65" s="1759"/>
      <c r="G65" s="1759"/>
    </row>
    <row r="66" spans="1:7" x14ac:dyDescent="0.2">
      <c r="A66" s="1754">
        <v>2014</v>
      </c>
      <c r="B66" s="1759">
        <v>1.1599999999999999</v>
      </c>
      <c r="C66" s="1759">
        <f>C62/C58</f>
        <v>1.1527983194541236</v>
      </c>
      <c r="D66" s="1759">
        <f t="shared" si="24"/>
        <v>-7.2016805458763322E-3</v>
      </c>
      <c r="E66" s="1759">
        <f>E62/E58</f>
        <v>1.3665745856353591</v>
      </c>
      <c r="F66" s="1759">
        <f>F62/F58</f>
        <v>1.3665818332719089</v>
      </c>
      <c r="G66" s="1759">
        <f t="shared" si="25"/>
        <v>7.2476365498008732E-6</v>
      </c>
    </row>
    <row r="67" spans="1:7" x14ac:dyDescent="0.2">
      <c r="A67" s="1754">
        <v>2015</v>
      </c>
      <c r="B67" s="1759">
        <f t="shared" ref="B67:B68" si="26">B63/B59</f>
        <v>1.1005448241703815</v>
      </c>
      <c r="C67" s="1759">
        <f>C63/C59</f>
        <v>1.1005578570630872</v>
      </c>
      <c r="D67" s="1759">
        <f t="shared" si="24"/>
        <v>1.3032892705711063E-5</v>
      </c>
      <c r="E67" s="1759">
        <f t="shared" ref="E67:E68" si="27">E63/E59</f>
        <v>0.98566298342541436</v>
      </c>
      <c r="F67" s="1759">
        <f>F63/F59</f>
        <v>0.98560611528287267</v>
      </c>
      <c r="G67" s="1759">
        <f t="shared" si="25"/>
        <v>-5.6868142541688371E-5</v>
      </c>
    </row>
    <row r="68" spans="1:7" x14ac:dyDescent="0.2">
      <c r="A68" s="1754">
        <v>2016</v>
      </c>
      <c r="B68" s="1759">
        <f t="shared" si="26"/>
        <v>0.98464586428925216</v>
      </c>
      <c r="C68" s="1759">
        <v>0.98</v>
      </c>
      <c r="D68" s="1759">
        <f t="shared" si="24"/>
        <v>-4.6458642892521773E-3</v>
      </c>
      <c r="E68" s="1759">
        <f t="shared" si="27"/>
        <v>2.4861878453038676E-4</v>
      </c>
      <c r="F68" s="1759">
        <v>0</v>
      </c>
      <c r="G68" s="1759">
        <f t="shared" si="25"/>
        <v>-2.4861878453038676E-4</v>
      </c>
    </row>
    <row r="69" spans="1:7" x14ac:dyDescent="0.2">
      <c r="A69" s="1754" t="s">
        <v>1653</v>
      </c>
      <c r="B69" s="1759"/>
      <c r="C69" s="1759"/>
      <c r="D69" s="1759">
        <f>D62+D63+D64</f>
        <v>-825.67999999999984</v>
      </c>
      <c r="E69" s="1759"/>
      <c r="F69" s="1759"/>
      <c r="G69" s="1759">
        <f>G62+G63+G64</f>
        <v>-665.14</v>
      </c>
    </row>
    <row r="70" spans="1:7" x14ac:dyDescent="0.2">
      <c r="A70" s="1874" t="s">
        <v>1654</v>
      </c>
      <c r="B70" s="1755"/>
      <c r="C70" s="1755"/>
      <c r="D70" s="1755">
        <f>D62+D63</f>
        <v>-361.27999999999975</v>
      </c>
      <c r="E70" s="1755"/>
      <c r="F70" s="1755"/>
      <c r="G70" s="1755">
        <f>G62+G63</f>
        <v>-665</v>
      </c>
    </row>
    <row r="72" spans="1:7" x14ac:dyDescent="0.2">
      <c r="A72" s="5" t="s">
        <v>1713</v>
      </c>
      <c r="B72" s="1674">
        <f>B62+B63+B64</f>
        <v>13075</v>
      </c>
      <c r="C72" s="1674">
        <f>C62+C63+C64</f>
        <v>12249.320000000002</v>
      </c>
      <c r="E72" s="1674">
        <f>E62+E63+E64</f>
        <v>8516</v>
      </c>
      <c r="F72" s="1674">
        <f>F62+F63+F64</f>
        <v>7850.8600000000006</v>
      </c>
    </row>
    <row r="73" spans="1:7" x14ac:dyDescent="0.2">
      <c r="A73" s="5" t="s">
        <v>1715</v>
      </c>
      <c r="B73" s="1674">
        <f>B33+B34+B36</f>
        <v>8929</v>
      </c>
      <c r="C73" s="1674">
        <f>B33+B36</f>
        <v>4655</v>
      </c>
      <c r="E73" s="1674">
        <f>B47+B48+B49</f>
        <v>4947</v>
      </c>
      <c r="F73" s="1674">
        <f>B47+B48+B49</f>
        <v>4947</v>
      </c>
    </row>
    <row r="74" spans="1:7" x14ac:dyDescent="0.2">
      <c r="A74" s="5" t="s">
        <v>1714</v>
      </c>
      <c r="B74" s="1674">
        <f>B33+B34+B36</f>
        <v>8929</v>
      </c>
      <c r="C74" s="1674">
        <f>B74</f>
        <v>8929</v>
      </c>
      <c r="E74" s="1674">
        <f>E73</f>
        <v>4947</v>
      </c>
      <c r="F74" s="1674">
        <f>E74</f>
        <v>4947</v>
      </c>
    </row>
    <row r="75" spans="1:7" x14ac:dyDescent="0.2">
      <c r="A75" s="5" t="s">
        <v>1716</v>
      </c>
      <c r="C75" s="2045">
        <f>C74-C73</f>
        <v>4274</v>
      </c>
      <c r="F75" s="1674">
        <f>F74-F73</f>
        <v>0</v>
      </c>
    </row>
    <row r="76" spans="1:7" x14ac:dyDescent="0.2">
      <c r="A76" s="5" t="s">
        <v>1717</v>
      </c>
      <c r="C76" s="1674">
        <f>M33</f>
        <v>1205.44</v>
      </c>
      <c r="F76" s="1656">
        <v>0</v>
      </c>
    </row>
    <row r="77" spans="1:7" x14ac:dyDescent="0.2">
      <c r="A77" s="5" t="s">
        <v>1718</v>
      </c>
      <c r="C77" s="1674">
        <f>C75-C76</f>
        <v>3068.56</v>
      </c>
      <c r="F77" s="1674">
        <f>F75-F76</f>
        <v>0</v>
      </c>
    </row>
    <row r="78" spans="1:7" x14ac:dyDescent="0.2">
      <c r="A78" s="5" t="s">
        <v>1719</v>
      </c>
      <c r="C78" s="1674"/>
      <c r="F78" s="1674"/>
    </row>
    <row r="79" spans="1:7" x14ac:dyDescent="0.2">
      <c r="C79" s="1674"/>
    </row>
    <row r="80" spans="1:7" x14ac:dyDescent="0.2">
      <c r="C80" s="1674"/>
    </row>
    <row r="81" spans="3:3" x14ac:dyDescent="0.2">
      <c r="C81" s="1674"/>
    </row>
  </sheetData>
  <mergeCells count="24">
    <mergeCell ref="A2:K2"/>
    <mergeCell ref="I1:K1"/>
    <mergeCell ref="A3:A4"/>
    <mergeCell ref="A13:F13"/>
    <mergeCell ref="A5:F5"/>
    <mergeCell ref="B3:F3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C61:D61"/>
    <mergeCell ref="E55:G55"/>
    <mergeCell ref="F61:G61"/>
    <mergeCell ref="B45:F45"/>
    <mergeCell ref="G45:K45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1950">
        <f t="shared" ref="A2:A14" si="0">B2+F2+I2</f>
        <v>3566340.3400000008</v>
      </c>
      <c r="B2" s="1950">
        <f t="shared" ref="B2:B14" si="1">SUM(C2:E2)</f>
        <v>0</v>
      </c>
      <c r="C2" s="1950">
        <f t="shared" ref="C2:L2" si="2">SUM(C3:C14)</f>
        <v>0</v>
      </c>
      <c r="D2" s="1950">
        <f t="shared" si="2"/>
        <v>0</v>
      </c>
      <c r="E2" s="1950">
        <f t="shared" si="2"/>
        <v>0</v>
      </c>
      <c r="F2" s="1950">
        <f t="shared" si="2"/>
        <v>0</v>
      </c>
      <c r="G2" s="1950">
        <f t="shared" si="2"/>
        <v>0</v>
      </c>
      <c r="H2" s="1950">
        <f t="shared" si="2"/>
        <v>0</v>
      </c>
      <c r="I2" s="1950">
        <f t="shared" si="2"/>
        <v>3566340.3400000008</v>
      </c>
      <c r="J2" s="1950">
        <f t="shared" si="2"/>
        <v>0</v>
      </c>
      <c r="K2" s="1950">
        <f t="shared" si="2"/>
        <v>0</v>
      </c>
      <c r="L2" s="1950">
        <f t="shared" si="2"/>
        <v>0</v>
      </c>
      <c r="M2" s="1950">
        <f t="shared" ref="M2:V2" si="3">SUM(M3:M14)</f>
        <v>2311153.8200000003</v>
      </c>
      <c r="N2" s="1950">
        <f t="shared" si="3"/>
        <v>1663995.8199999998</v>
      </c>
      <c r="O2" s="1950">
        <f t="shared" si="3"/>
        <v>647158</v>
      </c>
      <c r="P2" s="1950">
        <f t="shared" si="3"/>
        <v>1255186.52</v>
      </c>
      <c r="Q2" s="1950">
        <f t="shared" si="3"/>
        <v>1252392.071</v>
      </c>
      <c r="R2" s="1950">
        <f t="shared" si="3"/>
        <v>2794.4490000000001</v>
      </c>
      <c r="S2" s="1950">
        <f t="shared" si="3"/>
        <v>0</v>
      </c>
      <c r="T2" s="1950">
        <f t="shared" si="3"/>
        <v>0</v>
      </c>
      <c r="U2" s="1950">
        <f t="shared" si="3"/>
        <v>0</v>
      </c>
      <c r="V2" s="1951">
        <f t="shared" si="3"/>
        <v>0</v>
      </c>
    </row>
    <row r="3" spans="1:22" x14ac:dyDescent="0.2">
      <c r="A3" s="1950">
        <f t="shared" si="0"/>
        <v>316969.11</v>
      </c>
      <c r="B3" s="1950">
        <f t="shared" si="1"/>
        <v>0</v>
      </c>
      <c r="C3" s="1949"/>
      <c r="D3" s="1949"/>
      <c r="E3" s="1949"/>
      <c r="F3" s="1950">
        <f t="shared" ref="F3:F14" si="4">SUM(G3,H3)</f>
        <v>0</v>
      </c>
      <c r="G3" s="1949"/>
      <c r="H3" s="1949"/>
      <c r="I3" s="1950">
        <f>SUM(J3,M3,P3)</f>
        <v>316969.11</v>
      </c>
      <c r="J3" s="1950">
        <f t="shared" ref="J3:J14" si="5">SUM(K3,L3)</f>
        <v>0</v>
      </c>
      <c r="K3" s="1949"/>
      <c r="L3" s="1949"/>
      <c r="M3" s="1950">
        <f t="shared" ref="M3:M14" si="6">SUM(N3,O3)</f>
        <v>205649.93</v>
      </c>
      <c r="N3" s="1949">
        <v>148118.93</v>
      </c>
      <c r="O3" s="1949">
        <v>57531</v>
      </c>
      <c r="P3" s="1950">
        <f t="shared" ref="P3:P14" si="7">SUM(Q3,R3)</f>
        <v>111319.18</v>
      </c>
      <c r="Q3" s="1949">
        <v>110896.51</v>
      </c>
      <c r="R3" s="1949">
        <v>422.67</v>
      </c>
      <c r="S3" s="1949"/>
      <c r="T3" s="1949"/>
      <c r="U3" s="1949"/>
      <c r="V3" s="1952"/>
    </row>
    <row r="4" spans="1:22" x14ac:dyDescent="0.2">
      <c r="A4" s="1950">
        <f t="shared" si="0"/>
        <v>317912.65999999997</v>
      </c>
      <c r="B4" s="1950">
        <f t="shared" si="1"/>
        <v>0</v>
      </c>
      <c r="C4" s="1949"/>
      <c r="D4" s="1949"/>
      <c r="E4" s="1949"/>
      <c r="F4" s="1950">
        <f t="shared" si="4"/>
        <v>0</v>
      </c>
      <c r="G4" s="1949"/>
      <c r="H4" s="1949"/>
      <c r="I4" s="1950">
        <f t="shared" ref="I4:I14" si="8">SUM(J4,M4,P4)</f>
        <v>317912.65999999997</v>
      </c>
      <c r="J4" s="1950">
        <f t="shared" si="5"/>
        <v>0</v>
      </c>
      <c r="K4" s="1949"/>
      <c r="L4" s="1949"/>
      <c r="M4" s="1950">
        <f t="shared" si="6"/>
        <v>205557.09</v>
      </c>
      <c r="N4" s="1949">
        <v>149760.09</v>
      </c>
      <c r="O4" s="1949">
        <v>55797</v>
      </c>
      <c r="P4" s="1950">
        <f t="shared" si="7"/>
        <v>112355.56999999999</v>
      </c>
      <c r="Q4" s="1949">
        <v>112053.9</v>
      </c>
      <c r="R4" s="1949">
        <v>301.67</v>
      </c>
      <c r="S4" s="1949"/>
      <c r="T4" s="1949"/>
      <c r="U4" s="1949"/>
      <c r="V4" s="1952"/>
    </row>
    <row r="5" spans="1:22" x14ac:dyDescent="0.2">
      <c r="A5" s="1950">
        <f t="shared" si="0"/>
        <v>304216.37</v>
      </c>
      <c r="B5" s="1950">
        <f t="shared" si="1"/>
        <v>0</v>
      </c>
      <c r="C5" s="1949"/>
      <c r="D5" s="1949"/>
      <c r="E5" s="1949"/>
      <c r="F5" s="1950">
        <f t="shared" si="4"/>
        <v>0</v>
      </c>
      <c r="G5" s="1949"/>
      <c r="H5" s="1949"/>
      <c r="I5" s="1950">
        <f t="shared" si="8"/>
        <v>304216.37</v>
      </c>
      <c r="J5" s="1950">
        <f t="shared" si="5"/>
        <v>0</v>
      </c>
      <c r="K5" s="1949"/>
      <c r="L5" s="1949"/>
      <c r="M5" s="1950">
        <f t="shared" si="6"/>
        <v>193074.75</v>
      </c>
      <c r="N5" s="1949">
        <v>139037.75</v>
      </c>
      <c r="O5" s="1949">
        <v>54037</v>
      </c>
      <c r="P5" s="1950">
        <f t="shared" si="7"/>
        <v>111141.62</v>
      </c>
      <c r="Q5" s="1949">
        <v>110782.18799999999</v>
      </c>
      <c r="R5" s="1949">
        <v>359.43200000000002</v>
      </c>
      <c r="S5" s="1949"/>
      <c r="T5" s="1949"/>
      <c r="U5" s="1949"/>
      <c r="V5" s="1952"/>
    </row>
    <row r="6" spans="1:22" x14ac:dyDescent="0.2">
      <c r="A6" s="1950">
        <f t="shared" si="0"/>
        <v>304396.70999999996</v>
      </c>
      <c r="B6" s="1950">
        <f t="shared" si="1"/>
        <v>0</v>
      </c>
      <c r="C6" s="1949"/>
      <c r="D6" s="1949"/>
      <c r="E6" s="1949"/>
      <c r="F6" s="1950">
        <f t="shared" si="4"/>
        <v>0</v>
      </c>
      <c r="G6" s="1949"/>
      <c r="H6" s="1949"/>
      <c r="I6" s="1950">
        <f t="shared" si="8"/>
        <v>304396.70999999996</v>
      </c>
      <c r="J6" s="1950">
        <f t="shared" si="5"/>
        <v>0</v>
      </c>
      <c r="K6" s="1949"/>
      <c r="L6" s="1949"/>
      <c r="M6" s="1950">
        <f t="shared" si="6"/>
        <v>192676</v>
      </c>
      <c r="N6" s="1949">
        <v>140810</v>
      </c>
      <c r="O6" s="1949">
        <v>51866</v>
      </c>
      <c r="P6" s="1950">
        <f t="shared" si="7"/>
        <v>111720.70999999999</v>
      </c>
      <c r="Q6" s="1949">
        <v>111632.234</v>
      </c>
      <c r="R6" s="1949">
        <v>88.475999999999999</v>
      </c>
      <c r="S6" s="1949"/>
      <c r="T6" s="1949"/>
      <c r="U6" s="1949"/>
      <c r="V6" s="1952"/>
    </row>
    <row r="7" spans="1:22" x14ac:dyDescent="0.2">
      <c r="A7" s="1950">
        <f t="shared" si="0"/>
        <v>291575.15000000002</v>
      </c>
      <c r="B7" s="1950">
        <f t="shared" si="1"/>
        <v>0</v>
      </c>
      <c r="C7" s="1949"/>
      <c r="D7" s="1949"/>
      <c r="E7" s="1949"/>
      <c r="F7" s="1950">
        <f t="shared" si="4"/>
        <v>0</v>
      </c>
      <c r="G7" s="1949"/>
      <c r="H7" s="1949"/>
      <c r="I7" s="1950">
        <f t="shared" si="8"/>
        <v>291575.15000000002</v>
      </c>
      <c r="J7" s="1950">
        <f t="shared" si="5"/>
        <v>0</v>
      </c>
      <c r="K7" s="1949"/>
      <c r="L7" s="1949"/>
      <c r="M7" s="1950">
        <f t="shared" si="6"/>
        <v>190316.09</v>
      </c>
      <c r="N7" s="1949">
        <v>136311.09</v>
      </c>
      <c r="O7" s="1949">
        <v>54005</v>
      </c>
      <c r="P7" s="1950">
        <f t="shared" si="7"/>
        <v>101259.06000000001</v>
      </c>
      <c r="Q7" s="1949">
        <v>101182.63800000001</v>
      </c>
      <c r="R7" s="1949">
        <v>76.421999999999997</v>
      </c>
      <c r="S7" s="1949"/>
      <c r="T7" s="1949"/>
      <c r="U7" s="1949"/>
      <c r="V7" s="1952"/>
    </row>
    <row r="8" spans="1:22" x14ac:dyDescent="0.2">
      <c r="A8" s="1950">
        <f t="shared" si="0"/>
        <v>286018.59999999998</v>
      </c>
      <c r="B8" s="1950">
        <f t="shared" si="1"/>
        <v>0</v>
      </c>
      <c r="C8" s="1949"/>
      <c r="D8" s="1949"/>
      <c r="E8" s="1949"/>
      <c r="F8" s="1950">
        <f t="shared" si="4"/>
        <v>0</v>
      </c>
      <c r="G8" s="1949"/>
      <c r="H8" s="1949"/>
      <c r="I8" s="1950">
        <f t="shared" si="8"/>
        <v>286018.59999999998</v>
      </c>
      <c r="J8" s="1950">
        <f t="shared" si="5"/>
        <v>0</v>
      </c>
      <c r="K8" s="1949"/>
      <c r="L8" s="1949"/>
      <c r="M8" s="1950">
        <f t="shared" si="6"/>
        <v>184568.08</v>
      </c>
      <c r="N8" s="1949">
        <v>132985.07999999999</v>
      </c>
      <c r="O8" s="1949">
        <v>51583</v>
      </c>
      <c r="P8" s="1950">
        <f t="shared" si="7"/>
        <v>101450.52</v>
      </c>
      <c r="Q8" s="1949">
        <v>101272.12300000001</v>
      </c>
      <c r="R8" s="1949">
        <v>178.39699999999999</v>
      </c>
      <c r="S8" s="1949"/>
      <c r="T8" s="1949"/>
      <c r="U8" s="1949"/>
      <c r="V8" s="1952"/>
    </row>
    <row r="9" spans="1:22" x14ac:dyDescent="0.2">
      <c r="A9" s="1950">
        <f t="shared" si="0"/>
        <v>260188.14</v>
      </c>
      <c r="B9" s="1950">
        <f t="shared" si="1"/>
        <v>0</v>
      </c>
      <c r="C9" s="1949"/>
      <c r="D9" s="1949"/>
      <c r="E9" s="1949"/>
      <c r="F9" s="1950">
        <f t="shared" si="4"/>
        <v>0</v>
      </c>
      <c r="G9" s="1949"/>
      <c r="H9" s="1949"/>
      <c r="I9" s="1950">
        <f t="shared" si="8"/>
        <v>260188.14</v>
      </c>
      <c r="J9" s="1950">
        <f t="shared" si="5"/>
        <v>0</v>
      </c>
      <c r="K9" s="1949"/>
      <c r="L9" s="1949"/>
      <c r="M9" s="1950">
        <f t="shared" si="6"/>
        <v>176925.14</v>
      </c>
      <c r="N9" s="1949">
        <v>125616.14</v>
      </c>
      <c r="O9" s="1949">
        <v>51309</v>
      </c>
      <c r="P9" s="1950">
        <f t="shared" si="7"/>
        <v>83263</v>
      </c>
      <c r="Q9" s="1949">
        <v>82802.326000000001</v>
      </c>
      <c r="R9" s="1949">
        <v>460.67399999999998</v>
      </c>
      <c r="S9" s="1949"/>
      <c r="T9" s="1949"/>
      <c r="U9" s="1949"/>
      <c r="V9" s="1952"/>
    </row>
    <row r="10" spans="1:22" x14ac:dyDescent="0.2">
      <c r="A10" s="1950">
        <f t="shared" si="0"/>
        <v>290647.99</v>
      </c>
      <c r="B10" s="1950">
        <f t="shared" si="1"/>
        <v>0</v>
      </c>
      <c r="C10" s="1949"/>
      <c r="D10" s="1949"/>
      <c r="E10" s="1949"/>
      <c r="F10" s="1950">
        <f t="shared" si="4"/>
        <v>0</v>
      </c>
      <c r="G10" s="1949"/>
      <c r="H10" s="1949"/>
      <c r="I10" s="1950">
        <f t="shared" si="8"/>
        <v>290647.99</v>
      </c>
      <c r="J10" s="1950">
        <f t="shared" si="5"/>
        <v>0</v>
      </c>
      <c r="K10" s="1949"/>
      <c r="L10" s="1949"/>
      <c r="M10" s="1950">
        <f t="shared" si="6"/>
        <v>202133.84</v>
      </c>
      <c r="N10" s="1949">
        <v>133987.84</v>
      </c>
      <c r="O10" s="1949">
        <v>68146</v>
      </c>
      <c r="P10" s="1950">
        <f t="shared" si="7"/>
        <v>88514.15</v>
      </c>
      <c r="Q10" s="1949">
        <v>88309.475999999995</v>
      </c>
      <c r="R10" s="1949">
        <v>204.67400000000001</v>
      </c>
      <c r="S10" s="1949"/>
      <c r="T10" s="1949"/>
      <c r="U10" s="1949"/>
      <c r="V10" s="1952"/>
    </row>
    <row r="11" spans="1:22" x14ac:dyDescent="0.2">
      <c r="A11" s="1950">
        <f t="shared" si="0"/>
        <v>297249.68</v>
      </c>
      <c r="B11" s="1950">
        <f t="shared" si="1"/>
        <v>0</v>
      </c>
      <c r="C11" s="1949"/>
      <c r="D11" s="1949"/>
      <c r="E11" s="1949"/>
      <c r="F11" s="1950">
        <f t="shared" si="4"/>
        <v>0</v>
      </c>
      <c r="G11" s="1949"/>
      <c r="H11" s="1949"/>
      <c r="I11" s="1950">
        <f t="shared" si="8"/>
        <v>297249.68</v>
      </c>
      <c r="J11" s="1950">
        <f t="shared" si="5"/>
        <v>0</v>
      </c>
      <c r="K11" s="1949"/>
      <c r="L11" s="1949"/>
      <c r="M11" s="1950">
        <f t="shared" si="6"/>
        <v>193280.97</v>
      </c>
      <c r="N11" s="1949">
        <v>142233.97</v>
      </c>
      <c r="O11" s="1949">
        <v>51047</v>
      </c>
      <c r="P11" s="1950">
        <f t="shared" si="7"/>
        <v>103968.70999999999</v>
      </c>
      <c r="Q11" s="1949">
        <v>103712.177</v>
      </c>
      <c r="R11" s="1949">
        <v>256.53300000000002</v>
      </c>
      <c r="S11" s="1949"/>
      <c r="T11" s="1949"/>
      <c r="U11" s="1949"/>
      <c r="V11" s="1952"/>
    </row>
    <row r="12" spans="1:22" x14ac:dyDescent="0.2">
      <c r="A12" s="1950">
        <f t="shared" si="0"/>
        <v>296237.41000000003</v>
      </c>
      <c r="B12" s="1950">
        <f t="shared" si="1"/>
        <v>0</v>
      </c>
      <c r="C12" s="1949"/>
      <c r="D12" s="1949"/>
      <c r="E12" s="1949"/>
      <c r="F12" s="1950">
        <f t="shared" si="4"/>
        <v>0</v>
      </c>
      <c r="G12" s="1949"/>
      <c r="H12" s="1949"/>
      <c r="I12" s="1950">
        <f t="shared" si="8"/>
        <v>296237.41000000003</v>
      </c>
      <c r="J12" s="1950">
        <f t="shared" si="5"/>
        <v>0</v>
      </c>
      <c r="K12" s="1949"/>
      <c r="L12" s="1949"/>
      <c r="M12" s="1950">
        <f t="shared" si="6"/>
        <v>191887.66</v>
      </c>
      <c r="N12" s="1949">
        <v>140343.66</v>
      </c>
      <c r="O12" s="1949">
        <v>51544</v>
      </c>
      <c r="P12" s="1950">
        <f t="shared" si="7"/>
        <v>104349.75</v>
      </c>
      <c r="Q12" s="1949">
        <v>104311.776</v>
      </c>
      <c r="R12" s="1949">
        <v>37.973999999999997</v>
      </c>
      <c r="S12" s="1949"/>
      <c r="T12" s="1949"/>
      <c r="U12" s="1949"/>
      <c r="V12" s="1952"/>
    </row>
    <row r="13" spans="1:22" x14ac:dyDescent="0.2">
      <c r="A13" s="1950">
        <f t="shared" si="0"/>
        <v>308631.80000000005</v>
      </c>
      <c r="B13" s="1950">
        <f t="shared" si="1"/>
        <v>0</v>
      </c>
      <c r="C13" s="1949"/>
      <c r="D13" s="1949"/>
      <c r="E13" s="1949"/>
      <c r="F13" s="1950">
        <f t="shared" si="4"/>
        <v>0</v>
      </c>
      <c r="G13" s="1949"/>
      <c r="H13" s="1949"/>
      <c r="I13" s="1950">
        <f t="shared" si="8"/>
        <v>308631.80000000005</v>
      </c>
      <c r="J13" s="1950">
        <f t="shared" si="5"/>
        <v>0</v>
      </c>
      <c r="K13" s="1949"/>
      <c r="L13" s="1949"/>
      <c r="M13" s="1950">
        <f t="shared" si="6"/>
        <v>194314.98</v>
      </c>
      <c r="N13" s="1949">
        <v>145277.98000000001</v>
      </c>
      <c r="O13" s="1949">
        <v>49037</v>
      </c>
      <c r="P13" s="1950">
        <f t="shared" si="7"/>
        <v>114316.82</v>
      </c>
      <c r="Q13" s="1949">
        <v>114136.34600000001</v>
      </c>
      <c r="R13" s="1949">
        <v>180.47399999999999</v>
      </c>
      <c r="S13" s="1949"/>
      <c r="T13" s="1949"/>
      <c r="U13" s="1949"/>
      <c r="V13" s="1952"/>
    </row>
    <row r="14" spans="1:22" x14ac:dyDescent="0.2">
      <c r="A14" s="1950">
        <f t="shared" si="0"/>
        <v>292296.71999999997</v>
      </c>
      <c r="B14" s="1950">
        <f t="shared" si="1"/>
        <v>0</v>
      </c>
      <c r="C14" s="1949"/>
      <c r="D14" s="1949"/>
      <c r="E14" s="1949"/>
      <c r="F14" s="1950">
        <f t="shared" si="4"/>
        <v>0</v>
      </c>
      <c r="G14" s="1949"/>
      <c r="H14" s="1949"/>
      <c r="I14" s="1950">
        <f t="shared" si="8"/>
        <v>292296.71999999997</v>
      </c>
      <c r="J14" s="1950">
        <f t="shared" si="5"/>
        <v>0</v>
      </c>
      <c r="K14" s="1949"/>
      <c r="L14" s="1949"/>
      <c r="M14" s="1950">
        <f t="shared" si="6"/>
        <v>180769.28999999998</v>
      </c>
      <c r="N14" s="1949">
        <v>129513.29</v>
      </c>
      <c r="O14" s="1949">
        <v>51256</v>
      </c>
      <c r="P14" s="1950">
        <f t="shared" si="7"/>
        <v>111527.43</v>
      </c>
      <c r="Q14" s="1949">
        <v>111300.37699999999</v>
      </c>
      <c r="R14" s="1949">
        <v>227.053</v>
      </c>
      <c r="S14" s="1949"/>
      <c r="T14" s="1949"/>
      <c r="U14" s="1949"/>
      <c r="V14" s="1952"/>
    </row>
    <row r="15" spans="1:22" x14ac:dyDescent="0.2">
      <c r="A15" s="1943"/>
      <c r="B15" s="1943"/>
      <c r="C15" s="1943"/>
      <c r="D15" s="1943"/>
      <c r="E15" s="1943"/>
      <c r="F15" s="1943"/>
      <c r="G15" s="1943"/>
      <c r="H15" s="1943"/>
      <c r="I15" s="1943"/>
      <c r="J15" s="1943"/>
      <c r="K15" s="1943"/>
      <c r="L15" s="1943"/>
      <c r="M15" s="1943"/>
      <c r="N15" s="1943"/>
      <c r="O15" s="1943"/>
      <c r="P15" s="1943"/>
      <c r="Q15" s="1943"/>
      <c r="R15" s="1943"/>
      <c r="S15" s="1943"/>
      <c r="T15" s="1943"/>
      <c r="U15" s="1943"/>
      <c r="V15" s="1944"/>
    </row>
    <row r="16" spans="1:22" x14ac:dyDescent="0.2">
      <c r="A16" s="1943"/>
      <c r="B16" s="1943"/>
      <c r="C16" s="1943"/>
      <c r="D16" s="1943"/>
      <c r="E16" s="1943"/>
      <c r="F16" s="1943"/>
      <c r="G16" s="1943"/>
      <c r="H16" s="1943"/>
      <c r="I16" s="1943"/>
      <c r="J16" s="1943"/>
      <c r="K16" s="1943"/>
      <c r="L16" s="1943"/>
      <c r="M16" s="1943"/>
      <c r="N16" s="1943"/>
      <c r="O16" s="1943"/>
      <c r="P16" s="1943"/>
      <c r="Q16" s="1943"/>
      <c r="R16" s="1943"/>
      <c r="S16" s="1943"/>
      <c r="T16" s="1943"/>
      <c r="U16" s="1943"/>
      <c r="V16" s="1944"/>
    </row>
    <row r="17" spans="1:22" x14ac:dyDescent="0.2">
      <c r="A17" s="1943"/>
      <c r="B17" s="1943"/>
      <c r="C17" s="1943"/>
      <c r="D17" s="1943"/>
      <c r="E17" s="1943"/>
      <c r="F17" s="1943"/>
      <c r="G17" s="1943"/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4"/>
    </row>
    <row r="18" spans="1:22" x14ac:dyDescent="0.2">
      <c r="A18" s="1943"/>
      <c r="B18" s="1943"/>
      <c r="C18" s="1943"/>
      <c r="D18" s="1943"/>
      <c r="E18" s="1943"/>
      <c r="F18" s="1943"/>
      <c r="G18" s="1943"/>
      <c r="H18" s="1943"/>
      <c r="I18" s="1943"/>
      <c r="J18" s="1943"/>
      <c r="K18" s="1943"/>
      <c r="L18" s="1943"/>
      <c r="M18" s="1943"/>
      <c r="N18" s="1943"/>
      <c r="O18" s="1943"/>
      <c r="P18" s="1943"/>
      <c r="Q18" s="1943"/>
      <c r="R18" s="1943"/>
      <c r="S18" s="1943"/>
      <c r="T18" s="1943"/>
      <c r="U18" s="1943"/>
      <c r="V18" s="1944"/>
    </row>
    <row r="19" spans="1:22" x14ac:dyDescent="0.2">
      <c r="A19" s="1943"/>
      <c r="B19" s="1943"/>
      <c r="C19" s="1943"/>
      <c r="D19" s="1943"/>
      <c r="E19" s="1943"/>
      <c r="F19" s="1943"/>
      <c r="G19" s="1943"/>
      <c r="H19" s="1943"/>
      <c r="I19" s="1943"/>
      <c r="J19" s="1943"/>
      <c r="K19" s="1943"/>
      <c r="L19" s="1943"/>
      <c r="M19" s="1943"/>
      <c r="N19" s="1943"/>
      <c r="O19" s="1943"/>
      <c r="P19" s="1943"/>
      <c r="Q19" s="1943"/>
      <c r="R19" s="1943"/>
      <c r="S19" s="1943"/>
      <c r="T19" s="1943"/>
      <c r="U19" s="1943"/>
      <c r="V19" s="1944"/>
    </row>
    <row r="20" spans="1:22" x14ac:dyDescent="0.2">
      <c r="A20" s="1943"/>
      <c r="B20" s="1943"/>
      <c r="C20" s="1943"/>
      <c r="D20" s="1943"/>
      <c r="E20" s="1943"/>
      <c r="F20" s="1943"/>
      <c r="G20" s="1943"/>
      <c r="H20" s="1943"/>
      <c r="I20" s="1943"/>
      <c r="J20" s="1943"/>
      <c r="K20" s="1943"/>
      <c r="L20" s="1943"/>
      <c r="M20" s="1943"/>
      <c r="N20" s="1943"/>
      <c r="O20" s="1943"/>
      <c r="P20" s="1943"/>
      <c r="Q20" s="1943"/>
      <c r="R20" s="1943"/>
      <c r="S20" s="1943"/>
      <c r="T20" s="1943"/>
      <c r="U20" s="1943"/>
      <c r="V20" s="1944"/>
    </row>
    <row r="21" spans="1:22" x14ac:dyDescent="0.2">
      <c r="A21" s="1943"/>
      <c r="B21" s="1943"/>
      <c r="C21" s="1943"/>
      <c r="D21" s="1943"/>
      <c r="E21" s="1943"/>
      <c r="F21" s="1943"/>
      <c r="G21" s="1943"/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4"/>
    </row>
    <row r="22" spans="1:22" x14ac:dyDescent="0.2">
      <c r="A22" s="1943"/>
      <c r="B22" s="1943"/>
      <c r="C22" s="1943"/>
      <c r="D22" s="1943"/>
      <c r="E22" s="1943"/>
      <c r="F22" s="1943"/>
      <c r="G22" s="1943"/>
      <c r="H22" s="1943"/>
      <c r="I22" s="1943"/>
      <c r="J22" s="1943"/>
      <c r="K22" s="1943"/>
      <c r="L22" s="1943"/>
      <c r="M22" s="1943"/>
      <c r="N22" s="1943"/>
      <c r="O22" s="1943"/>
      <c r="P22" s="1943"/>
      <c r="Q22" s="1943"/>
      <c r="R22" s="1943"/>
      <c r="S22" s="1943"/>
      <c r="T22" s="1943"/>
      <c r="U22" s="1943"/>
      <c r="V22" s="1944"/>
    </row>
    <row r="23" spans="1:22" x14ac:dyDescent="0.2">
      <c r="A23" s="1943"/>
      <c r="B23" s="1943"/>
      <c r="C23" s="1943"/>
      <c r="D23" s="1943"/>
      <c r="E23" s="1943"/>
      <c r="F23" s="1943"/>
      <c r="G23" s="1943"/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4"/>
    </row>
    <row r="24" spans="1:22" x14ac:dyDescent="0.2">
      <c r="A24" s="1943"/>
      <c r="B24" s="1943"/>
      <c r="C24" s="1943"/>
      <c r="D24" s="1943"/>
      <c r="E24" s="1943"/>
      <c r="F24" s="1943"/>
      <c r="G24" s="1943"/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4"/>
    </row>
    <row r="25" spans="1:22" x14ac:dyDescent="0.2">
      <c r="A25" s="1943"/>
      <c r="B25" s="1943"/>
      <c r="C25" s="1943"/>
      <c r="D25" s="1943"/>
      <c r="E25" s="1943"/>
      <c r="F25" s="1943"/>
      <c r="G25" s="1943"/>
      <c r="H25" s="1943"/>
      <c r="I25" s="1943"/>
      <c r="J25" s="1943"/>
      <c r="K25" s="1943"/>
      <c r="L25" s="1943"/>
      <c r="M25" s="1943"/>
      <c r="N25" s="1943"/>
      <c r="O25" s="1943"/>
      <c r="P25" s="1943"/>
      <c r="Q25" s="1943"/>
      <c r="R25" s="1943"/>
      <c r="S25" s="1943"/>
      <c r="T25" s="1943"/>
      <c r="U25" s="1943"/>
      <c r="V25" s="1944"/>
    </row>
    <row r="26" spans="1:22" x14ac:dyDescent="0.2">
      <c r="A26" s="1943"/>
      <c r="B26" s="1943"/>
      <c r="C26" s="1943"/>
      <c r="D26" s="1943"/>
      <c r="E26" s="1943"/>
      <c r="F26" s="1943"/>
      <c r="G26" s="1943"/>
      <c r="H26" s="1943"/>
      <c r="I26" s="1943"/>
      <c r="J26" s="1943"/>
      <c r="K26" s="1943"/>
      <c r="L26" s="1943"/>
      <c r="M26" s="1943"/>
      <c r="N26" s="1943"/>
      <c r="O26" s="1943"/>
      <c r="P26" s="1943"/>
      <c r="Q26" s="1943"/>
      <c r="R26" s="1943"/>
      <c r="S26" s="1943"/>
      <c r="T26" s="1943"/>
      <c r="U26" s="1943"/>
      <c r="V26" s="1944"/>
    </row>
    <row r="27" spans="1:22" x14ac:dyDescent="0.2">
      <c r="A27" s="1943"/>
      <c r="B27" s="1943"/>
      <c r="C27" s="1943"/>
      <c r="D27" s="1943"/>
      <c r="E27" s="1943"/>
      <c r="F27" s="1943"/>
      <c r="G27" s="1943"/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4"/>
    </row>
    <row r="28" spans="1:22" x14ac:dyDescent="0.2">
      <c r="A28" s="1945">
        <f t="shared" ref="A28:T28" si="9">A30</f>
        <v>2399</v>
      </c>
      <c r="B28" s="1945">
        <f t="shared" si="9"/>
        <v>0</v>
      </c>
      <c r="C28" s="1945">
        <f t="shared" si="9"/>
        <v>0</v>
      </c>
      <c r="D28" s="1945">
        <f t="shared" si="9"/>
        <v>0</v>
      </c>
      <c r="E28" s="1945">
        <f t="shared" si="9"/>
        <v>0</v>
      </c>
      <c r="F28" s="1945">
        <f t="shared" si="9"/>
        <v>0</v>
      </c>
      <c r="G28" s="1945">
        <f t="shared" si="9"/>
        <v>0</v>
      </c>
      <c r="H28" s="1945">
        <f t="shared" si="9"/>
        <v>0</v>
      </c>
      <c r="I28" s="1945">
        <f t="shared" si="9"/>
        <v>2399</v>
      </c>
      <c r="J28" s="1945">
        <f t="shared" si="9"/>
        <v>0</v>
      </c>
      <c r="K28" s="1945">
        <f t="shared" si="9"/>
        <v>0</v>
      </c>
      <c r="L28" s="1945">
        <f t="shared" si="9"/>
        <v>0</v>
      </c>
      <c r="M28" s="1945">
        <f t="shared" si="9"/>
        <v>0</v>
      </c>
      <c r="N28" s="1945">
        <f t="shared" si="9"/>
        <v>0</v>
      </c>
      <c r="O28" s="1945">
        <f t="shared" si="9"/>
        <v>0</v>
      </c>
      <c r="P28" s="1945">
        <f t="shared" si="9"/>
        <v>2399</v>
      </c>
      <c r="Q28" s="1945">
        <f t="shared" si="9"/>
        <v>2399</v>
      </c>
      <c r="R28" s="1945">
        <f t="shared" si="9"/>
        <v>0</v>
      </c>
      <c r="S28" s="1945">
        <f t="shared" si="9"/>
        <v>0</v>
      </c>
      <c r="T28" s="1945">
        <f t="shared" si="9"/>
        <v>0</v>
      </c>
      <c r="U28" s="1945">
        <f>U30</f>
        <v>0</v>
      </c>
      <c r="V28" s="1946">
        <f>V30</f>
        <v>0</v>
      </c>
    </row>
    <row r="29" spans="1:22" x14ac:dyDescent="0.2">
      <c r="A29" s="1943"/>
      <c r="B29" s="1943"/>
      <c r="C29" s="1943"/>
      <c r="D29" s="1943"/>
      <c r="E29" s="1943"/>
      <c r="F29" s="1943"/>
      <c r="G29" s="1943"/>
      <c r="H29" s="1943"/>
      <c r="I29" s="1943"/>
      <c r="J29" s="1943"/>
      <c r="K29" s="1943"/>
      <c r="L29" s="1943"/>
      <c r="M29" s="1943"/>
      <c r="N29" s="1943"/>
      <c r="O29" s="1943"/>
      <c r="P29" s="1943"/>
      <c r="Q29" s="1943"/>
      <c r="R29" s="1943"/>
      <c r="S29" s="1943"/>
      <c r="T29" s="1943"/>
      <c r="U29" s="1943"/>
      <c r="V29" s="1948"/>
    </row>
    <row r="30" spans="1:22" x14ac:dyDescent="0.2">
      <c r="A30" s="1950">
        <f t="shared" ref="A30:A42" si="10">B30+F30+I30</f>
        <v>2399</v>
      </c>
      <c r="B30" s="1950">
        <f t="shared" ref="B30:B42" si="11">SUM(C30:E30)</f>
        <v>0</v>
      </c>
      <c r="C30" s="1950">
        <f t="shared" ref="C30:L30" si="12">SUM(C31:C42)</f>
        <v>0</v>
      </c>
      <c r="D30" s="1950">
        <f t="shared" si="12"/>
        <v>0</v>
      </c>
      <c r="E30" s="1950">
        <f t="shared" si="12"/>
        <v>0</v>
      </c>
      <c r="F30" s="1950">
        <f t="shared" si="12"/>
        <v>0</v>
      </c>
      <c r="G30" s="1950">
        <f t="shared" si="12"/>
        <v>0</v>
      </c>
      <c r="H30" s="1950">
        <f t="shared" si="12"/>
        <v>0</v>
      </c>
      <c r="I30" s="1950">
        <f t="shared" si="12"/>
        <v>2399</v>
      </c>
      <c r="J30" s="1950">
        <f t="shared" si="12"/>
        <v>0</v>
      </c>
      <c r="K30" s="1950">
        <f t="shared" si="12"/>
        <v>0</v>
      </c>
      <c r="L30" s="1950">
        <f t="shared" si="12"/>
        <v>0</v>
      </c>
      <c r="M30" s="1950">
        <f t="shared" ref="M30:V30" si="13">SUM(M31:M42)</f>
        <v>0</v>
      </c>
      <c r="N30" s="1950">
        <f t="shared" si="13"/>
        <v>0</v>
      </c>
      <c r="O30" s="1950">
        <f t="shared" si="13"/>
        <v>0</v>
      </c>
      <c r="P30" s="1950">
        <f t="shared" si="13"/>
        <v>2399</v>
      </c>
      <c r="Q30" s="1950">
        <f t="shared" si="13"/>
        <v>2399</v>
      </c>
      <c r="R30" s="1950">
        <f t="shared" si="13"/>
        <v>0</v>
      </c>
      <c r="S30" s="1950">
        <f t="shared" si="13"/>
        <v>0</v>
      </c>
      <c r="T30" s="1950">
        <f t="shared" si="13"/>
        <v>0</v>
      </c>
      <c r="U30" s="1950">
        <f t="shared" si="13"/>
        <v>0</v>
      </c>
      <c r="V30" s="1951">
        <f t="shared" si="13"/>
        <v>0</v>
      </c>
    </row>
    <row r="31" spans="1:22" x14ac:dyDescent="0.2">
      <c r="A31" s="1950">
        <f t="shared" si="10"/>
        <v>315</v>
      </c>
      <c r="B31" s="1950">
        <f t="shared" si="11"/>
        <v>0</v>
      </c>
      <c r="C31" s="1949"/>
      <c r="D31" s="1949"/>
      <c r="E31" s="1949"/>
      <c r="F31" s="1950">
        <f t="shared" ref="F31:F42" si="14">SUM(G31,H31)</f>
        <v>0</v>
      </c>
      <c r="G31" s="1949"/>
      <c r="H31" s="1949"/>
      <c r="I31" s="1950">
        <f>SUM(J31,M31,P31)</f>
        <v>315</v>
      </c>
      <c r="J31" s="1950">
        <f t="shared" ref="J31:J42" si="15">SUM(K31,L31)</f>
        <v>0</v>
      </c>
      <c r="K31" s="1949"/>
      <c r="L31" s="1949"/>
      <c r="M31" s="1950">
        <f t="shared" ref="M31:M42" si="16">SUM(N31,O31)</f>
        <v>0</v>
      </c>
      <c r="N31" s="1949"/>
      <c r="O31" s="1949"/>
      <c r="P31" s="1950">
        <f t="shared" ref="P31:P42" si="17">SUM(Q31,R31)</f>
        <v>315</v>
      </c>
      <c r="Q31" s="1949">
        <v>315</v>
      </c>
      <c r="R31" s="1949"/>
      <c r="S31" s="1949"/>
      <c r="T31" s="1949"/>
      <c r="U31" s="1949"/>
      <c r="V31" s="1952"/>
    </row>
    <row r="32" spans="1:22" x14ac:dyDescent="0.2">
      <c r="A32" s="1950">
        <f t="shared" si="10"/>
        <v>208</v>
      </c>
      <c r="B32" s="1950">
        <f t="shared" si="11"/>
        <v>0</v>
      </c>
      <c r="C32" s="1949"/>
      <c r="D32" s="1949"/>
      <c r="E32" s="1949"/>
      <c r="F32" s="1950">
        <f t="shared" si="14"/>
        <v>0</v>
      </c>
      <c r="G32" s="1949"/>
      <c r="H32" s="1949"/>
      <c r="I32" s="1950">
        <f t="shared" ref="I32:I42" si="18">SUM(J32,M32,P32)</f>
        <v>208</v>
      </c>
      <c r="J32" s="1950">
        <f t="shared" si="15"/>
        <v>0</v>
      </c>
      <c r="K32" s="1949"/>
      <c r="L32" s="1949"/>
      <c r="M32" s="1950">
        <f t="shared" si="16"/>
        <v>0</v>
      </c>
      <c r="N32" s="1949"/>
      <c r="O32" s="1949"/>
      <c r="P32" s="1950">
        <f t="shared" si="17"/>
        <v>208</v>
      </c>
      <c r="Q32" s="1949">
        <v>208</v>
      </c>
      <c r="R32" s="1949"/>
      <c r="S32" s="1949"/>
      <c r="T32" s="1949"/>
      <c r="U32" s="1949"/>
      <c r="V32" s="1952"/>
    </row>
    <row r="33" spans="1:22" x14ac:dyDescent="0.2">
      <c r="A33" s="1950">
        <f t="shared" si="10"/>
        <v>260</v>
      </c>
      <c r="B33" s="1950">
        <f t="shared" si="11"/>
        <v>0</v>
      </c>
      <c r="C33" s="1949"/>
      <c r="D33" s="1949"/>
      <c r="E33" s="1949"/>
      <c r="F33" s="1950">
        <f t="shared" si="14"/>
        <v>0</v>
      </c>
      <c r="G33" s="1949"/>
      <c r="H33" s="1949"/>
      <c r="I33" s="1950">
        <f t="shared" si="18"/>
        <v>260</v>
      </c>
      <c r="J33" s="1950">
        <f t="shared" si="15"/>
        <v>0</v>
      </c>
      <c r="K33" s="1949"/>
      <c r="L33" s="1949"/>
      <c r="M33" s="1950">
        <f t="shared" si="16"/>
        <v>0</v>
      </c>
      <c r="N33" s="1949"/>
      <c r="O33" s="1949"/>
      <c r="P33" s="1950">
        <f t="shared" si="17"/>
        <v>260</v>
      </c>
      <c r="Q33" s="1949">
        <v>260</v>
      </c>
      <c r="R33" s="1949"/>
      <c r="S33" s="1949"/>
      <c r="T33" s="1949"/>
      <c r="U33" s="1949"/>
      <c r="V33" s="1952"/>
    </row>
    <row r="34" spans="1:22" x14ac:dyDescent="0.2">
      <c r="A34" s="1950">
        <f t="shared" si="10"/>
        <v>305</v>
      </c>
      <c r="B34" s="1950">
        <f t="shared" si="11"/>
        <v>0</v>
      </c>
      <c r="C34" s="1949"/>
      <c r="D34" s="1949"/>
      <c r="E34" s="1949"/>
      <c r="F34" s="1950">
        <f t="shared" si="14"/>
        <v>0</v>
      </c>
      <c r="G34" s="1949"/>
      <c r="H34" s="1949"/>
      <c r="I34" s="1950">
        <f t="shared" si="18"/>
        <v>305</v>
      </c>
      <c r="J34" s="1950">
        <f t="shared" si="15"/>
        <v>0</v>
      </c>
      <c r="K34" s="1949"/>
      <c r="L34" s="1949"/>
      <c r="M34" s="1950">
        <f t="shared" si="16"/>
        <v>0</v>
      </c>
      <c r="N34" s="1949"/>
      <c r="O34" s="1949"/>
      <c r="P34" s="1950">
        <f t="shared" si="17"/>
        <v>305</v>
      </c>
      <c r="Q34" s="1949">
        <v>305</v>
      </c>
      <c r="R34" s="1949"/>
      <c r="S34" s="1949"/>
      <c r="T34" s="1949"/>
      <c r="U34" s="1949"/>
      <c r="V34" s="1952"/>
    </row>
    <row r="35" spans="1:22" x14ac:dyDescent="0.2">
      <c r="A35" s="1950">
        <f t="shared" si="10"/>
        <v>181</v>
      </c>
      <c r="B35" s="1950">
        <f t="shared" si="11"/>
        <v>0</v>
      </c>
      <c r="C35" s="1949"/>
      <c r="D35" s="1949"/>
      <c r="E35" s="1949"/>
      <c r="F35" s="1950">
        <f t="shared" si="14"/>
        <v>0</v>
      </c>
      <c r="G35" s="1949"/>
      <c r="H35" s="1949"/>
      <c r="I35" s="1950">
        <f t="shared" si="18"/>
        <v>181</v>
      </c>
      <c r="J35" s="1950">
        <f t="shared" si="15"/>
        <v>0</v>
      </c>
      <c r="K35" s="1949"/>
      <c r="L35" s="1949"/>
      <c r="M35" s="1950">
        <f t="shared" si="16"/>
        <v>0</v>
      </c>
      <c r="N35" s="1949"/>
      <c r="O35" s="1949"/>
      <c r="P35" s="1950">
        <f t="shared" si="17"/>
        <v>181</v>
      </c>
      <c r="Q35" s="1949">
        <v>181</v>
      </c>
      <c r="R35" s="1949"/>
      <c r="S35" s="1949"/>
      <c r="T35" s="1949"/>
      <c r="U35" s="1949"/>
      <c r="V35" s="1952"/>
    </row>
    <row r="36" spans="1:22" x14ac:dyDescent="0.2">
      <c r="A36" s="1950">
        <f t="shared" si="10"/>
        <v>194</v>
      </c>
      <c r="B36" s="1950">
        <f t="shared" si="11"/>
        <v>0</v>
      </c>
      <c r="C36" s="1949"/>
      <c r="D36" s="1949"/>
      <c r="E36" s="1949"/>
      <c r="F36" s="1950">
        <f t="shared" si="14"/>
        <v>0</v>
      </c>
      <c r="G36" s="1949"/>
      <c r="H36" s="1949"/>
      <c r="I36" s="1950">
        <f t="shared" si="18"/>
        <v>194</v>
      </c>
      <c r="J36" s="1950">
        <f t="shared" si="15"/>
        <v>0</v>
      </c>
      <c r="K36" s="1949"/>
      <c r="L36" s="1949"/>
      <c r="M36" s="1950">
        <f t="shared" si="16"/>
        <v>0</v>
      </c>
      <c r="N36" s="1949"/>
      <c r="O36" s="1949"/>
      <c r="P36" s="1950">
        <f t="shared" si="17"/>
        <v>194</v>
      </c>
      <c r="Q36" s="1949">
        <v>194</v>
      </c>
      <c r="R36" s="1949"/>
      <c r="S36" s="1949"/>
      <c r="T36" s="1949"/>
      <c r="U36" s="1949"/>
      <c r="V36" s="1952"/>
    </row>
    <row r="37" spans="1:22" x14ac:dyDescent="0.2">
      <c r="A37" s="1950">
        <f t="shared" si="10"/>
        <v>220</v>
      </c>
      <c r="B37" s="1950">
        <f t="shared" si="11"/>
        <v>0</v>
      </c>
      <c r="C37" s="1949"/>
      <c r="D37" s="1949"/>
      <c r="E37" s="1949"/>
      <c r="F37" s="1950">
        <f t="shared" si="14"/>
        <v>0</v>
      </c>
      <c r="G37" s="1949"/>
      <c r="H37" s="1949"/>
      <c r="I37" s="1950">
        <f t="shared" si="18"/>
        <v>220</v>
      </c>
      <c r="J37" s="1950">
        <f t="shared" si="15"/>
        <v>0</v>
      </c>
      <c r="K37" s="1949"/>
      <c r="L37" s="1949"/>
      <c r="M37" s="1950">
        <f t="shared" si="16"/>
        <v>0</v>
      </c>
      <c r="N37" s="1949"/>
      <c r="O37" s="1949"/>
      <c r="P37" s="1950">
        <f t="shared" si="17"/>
        <v>220</v>
      </c>
      <c r="Q37" s="1949">
        <v>220</v>
      </c>
      <c r="R37" s="1949"/>
      <c r="S37" s="1949"/>
      <c r="T37" s="1949"/>
      <c r="U37" s="1949"/>
      <c r="V37" s="1952"/>
    </row>
    <row r="38" spans="1:22" x14ac:dyDescent="0.2">
      <c r="A38" s="1950">
        <f t="shared" si="10"/>
        <v>134</v>
      </c>
      <c r="B38" s="1950">
        <f t="shared" si="11"/>
        <v>0</v>
      </c>
      <c r="C38" s="1949"/>
      <c r="D38" s="1949"/>
      <c r="E38" s="1949"/>
      <c r="F38" s="1950">
        <f t="shared" si="14"/>
        <v>0</v>
      </c>
      <c r="G38" s="1949"/>
      <c r="H38" s="1949"/>
      <c r="I38" s="1950">
        <f t="shared" si="18"/>
        <v>134</v>
      </c>
      <c r="J38" s="1950">
        <f t="shared" si="15"/>
        <v>0</v>
      </c>
      <c r="K38" s="1949"/>
      <c r="L38" s="1949"/>
      <c r="M38" s="1950">
        <f t="shared" si="16"/>
        <v>0</v>
      </c>
      <c r="N38" s="1949"/>
      <c r="O38" s="1949"/>
      <c r="P38" s="1950">
        <f t="shared" si="17"/>
        <v>134</v>
      </c>
      <c r="Q38" s="1949">
        <v>134</v>
      </c>
      <c r="R38" s="1949"/>
      <c r="S38" s="1949"/>
      <c r="T38" s="1949"/>
      <c r="U38" s="1949"/>
      <c r="V38" s="1952"/>
    </row>
    <row r="39" spans="1:22" x14ac:dyDescent="0.2">
      <c r="A39" s="1950">
        <f t="shared" si="10"/>
        <v>130</v>
      </c>
      <c r="B39" s="1950">
        <f t="shared" si="11"/>
        <v>0</v>
      </c>
      <c r="C39" s="1949"/>
      <c r="D39" s="1949"/>
      <c r="E39" s="1949"/>
      <c r="F39" s="1950">
        <f t="shared" si="14"/>
        <v>0</v>
      </c>
      <c r="G39" s="1949"/>
      <c r="H39" s="1949"/>
      <c r="I39" s="1950">
        <f t="shared" si="18"/>
        <v>130</v>
      </c>
      <c r="J39" s="1950">
        <f t="shared" si="15"/>
        <v>0</v>
      </c>
      <c r="K39" s="1949"/>
      <c r="L39" s="1949"/>
      <c r="M39" s="1950">
        <f t="shared" si="16"/>
        <v>0</v>
      </c>
      <c r="N39" s="1949"/>
      <c r="O39" s="1949"/>
      <c r="P39" s="1950">
        <f t="shared" si="17"/>
        <v>130</v>
      </c>
      <c r="Q39" s="1949">
        <v>130</v>
      </c>
      <c r="R39" s="1949"/>
      <c r="S39" s="1949"/>
      <c r="T39" s="1949"/>
      <c r="U39" s="1949"/>
      <c r="V39" s="1952"/>
    </row>
    <row r="40" spans="1:22" x14ac:dyDescent="0.2">
      <c r="A40" s="1950">
        <f t="shared" si="10"/>
        <v>113</v>
      </c>
      <c r="B40" s="1950">
        <f t="shared" si="11"/>
        <v>0</v>
      </c>
      <c r="C40" s="1949"/>
      <c r="D40" s="1949"/>
      <c r="E40" s="1949"/>
      <c r="F40" s="1950">
        <f t="shared" si="14"/>
        <v>0</v>
      </c>
      <c r="G40" s="1949"/>
      <c r="H40" s="1949"/>
      <c r="I40" s="1950">
        <f t="shared" si="18"/>
        <v>113</v>
      </c>
      <c r="J40" s="1950">
        <f t="shared" si="15"/>
        <v>0</v>
      </c>
      <c r="K40" s="1949"/>
      <c r="L40" s="1949"/>
      <c r="M40" s="1950">
        <f t="shared" si="16"/>
        <v>0</v>
      </c>
      <c r="N40" s="1949"/>
      <c r="O40" s="1949"/>
      <c r="P40" s="1950">
        <f t="shared" si="17"/>
        <v>113</v>
      </c>
      <c r="Q40" s="1949">
        <v>113</v>
      </c>
      <c r="R40" s="1949"/>
      <c r="S40" s="1949"/>
      <c r="T40" s="1949"/>
      <c r="U40" s="1949"/>
      <c r="V40" s="1952"/>
    </row>
    <row r="41" spans="1:22" x14ac:dyDescent="0.2">
      <c r="A41" s="1950">
        <f t="shared" si="10"/>
        <v>90</v>
      </c>
      <c r="B41" s="1950">
        <f t="shared" si="11"/>
        <v>0</v>
      </c>
      <c r="C41" s="1949"/>
      <c r="D41" s="1949"/>
      <c r="E41" s="1949"/>
      <c r="F41" s="1950">
        <f t="shared" si="14"/>
        <v>0</v>
      </c>
      <c r="G41" s="1949"/>
      <c r="H41" s="1949"/>
      <c r="I41" s="1950">
        <f t="shared" si="18"/>
        <v>90</v>
      </c>
      <c r="J41" s="1950">
        <f t="shared" si="15"/>
        <v>0</v>
      </c>
      <c r="K41" s="1949"/>
      <c r="L41" s="1949"/>
      <c r="M41" s="1950">
        <f t="shared" si="16"/>
        <v>0</v>
      </c>
      <c r="N41" s="1949"/>
      <c r="O41" s="1949"/>
      <c r="P41" s="1950">
        <f t="shared" si="17"/>
        <v>90</v>
      </c>
      <c r="Q41" s="1949">
        <v>90</v>
      </c>
      <c r="R41" s="1949"/>
      <c r="S41" s="1949"/>
      <c r="T41" s="1949"/>
      <c r="U41" s="1949"/>
      <c r="V41" s="1952"/>
    </row>
    <row r="42" spans="1:22" x14ac:dyDescent="0.2">
      <c r="A42" s="1950">
        <f t="shared" si="10"/>
        <v>249</v>
      </c>
      <c r="B42" s="1950">
        <f t="shared" si="11"/>
        <v>0</v>
      </c>
      <c r="C42" s="1949"/>
      <c r="D42" s="1949"/>
      <c r="E42" s="1949"/>
      <c r="F42" s="1950">
        <f t="shared" si="14"/>
        <v>0</v>
      </c>
      <c r="G42" s="1949"/>
      <c r="H42" s="1949"/>
      <c r="I42" s="1950">
        <f t="shared" si="18"/>
        <v>249</v>
      </c>
      <c r="J42" s="1950">
        <f t="shared" si="15"/>
        <v>0</v>
      </c>
      <c r="K42" s="1949"/>
      <c r="L42" s="1949"/>
      <c r="M42" s="1950">
        <f t="shared" si="16"/>
        <v>0</v>
      </c>
      <c r="N42" s="1949"/>
      <c r="O42" s="1949"/>
      <c r="P42" s="1950">
        <f t="shared" si="17"/>
        <v>249</v>
      </c>
      <c r="Q42" s="1949">
        <v>249</v>
      </c>
      <c r="R42" s="1949"/>
      <c r="S42" s="1949"/>
      <c r="T42" s="1949"/>
      <c r="U42" s="1949"/>
      <c r="V42" s="1952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84"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4474" t="s">
        <v>1670</v>
      </c>
      <c r="O1" s="4474"/>
      <c r="P1" s="4474"/>
    </row>
    <row r="2" spans="1:16" ht="15.75" x14ac:dyDescent="0.25">
      <c r="A2" s="5658" t="s">
        <v>1673</v>
      </c>
      <c r="B2" s="5658"/>
      <c r="C2" s="5658"/>
      <c r="D2" s="5658"/>
      <c r="E2" s="5658"/>
      <c r="F2" s="5658"/>
      <c r="G2" s="5658"/>
      <c r="H2" s="5658"/>
      <c r="I2" s="5658"/>
      <c r="J2" s="5658"/>
      <c r="K2" s="5658"/>
      <c r="L2" s="5658"/>
      <c r="M2" s="5658"/>
      <c r="N2" s="5658"/>
      <c r="O2" s="5658"/>
      <c r="P2" s="5658"/>
    </row>
    <row r="4" spans="1:16" x14ac:dyDescent="0.2">
      <c r="A4" s="4486"/>
      <c r="B4" s="5654" t="s">
        <v>364</v>
      </c>
      <c r="C4" s="5655"/>
      <c r="D4" s="5655"/>
      <c r="E4" s="5655"/>
      <c r="F4" s="5655"/>
      <c r="G4" s="5655"/>
      <c r="H4" s="5655"/>
      <c r="I4" s="5656"/>
      <c r="J4" s="5650" t="s">
        <v>1597</v>
      </c>
      <c r="K4" s="1840"/>
      <c r="L4" s="1840"/>
      <c r="M4" s="1840"/>
      <c r="N4" s="1840"/>
      <c r="O4" s="5650" t="s">
        <v>1625</v>
      </c>
      <c r="P4" s="5650" t="s">
        <v>1626</v>
      </c>
    </row>
    <row r="5" spans="1:16" x14ac:dyDescent="0.2">
      <c r="A5" s="4486"/>
      <c r="B5" s="5653" t="s">
        <v>238</v>
      </c>
      <c r="C5" s="5653"/>
      <c r="D5" s="5653"/>
      <c r="E5" s="5653"/>
      <c r="F5" s="5653" t="s">
        <v>60</v>
      </c>
      <c r="G5" s="5653"/>
      <c r="H5" s="5653"/>
      <c r="I5" s="5653"/>
      <c r="J5" s="5651"/>
      <c r="K5" s="5653" t="s">
        <v>1598</v>
      </c>
      <c r="L5" s="5653"/>
      <c r="M5" s="5653"/>
      <c r="N5" s="5653"/>
      <c r="O5" s="5651"/>
      <c r="P5" s="5651"/>
    </row>
    <row r="6" spans="1:16" ht="42" customHeight="1" x14ac:dyDescent="0.2">
      <c r="A6" s="4486"/>
      <c r="B6" s="1742" t="s">
        <v>97</v>
      </c>
      <c r="C6" s="1742" t="s">
        <v>124</v>
      </c>
      <c r="D6" s="1742" t="s">
        <v>98</v>
      </c>
      <c r="E6" s="1742" t="s">
        <v>99</v>
      </c>
      <c r="F6" s="1742" t="s">
        <v>97</v>
      </c>
      <c r="G6" s="1742" t="s">
        <v>124</v>
      </c>
      <c r="H6" s="1742" t="s">
        <v>98</v>
      </c>
      <c r="I6" s="1742" t="s">
        <v>99</v>
      </c>
      <c r="J6" s="5652"/>
      <c r="K6" s="1742" t="s">
        <v>97</v>
      </c>
      <c r="L6" s="1742" t="s">
        <v>124</v>
      </c>
      <c r="M6" s="1742" t="s">
        <v>98</v>
      </c>
      <c r="N6" s="1742" t="s">
        <v>99</v>
      </c>
      <c r="O6" s="5652"/>
      <c r="P6" s="5652"/>
    </row>
    <row r="7" spans="1:16" ht="12.75" customHeight="1" x14ac:dyDescent="0.2">
      <c r="A7" s="1754" t="s">
        <v>100</v>
      </c>
      <c r="B7" s="1834">
        <f>C16*C7/1000</f>
        <v>34.529558232000007</v>
      </c>
      <c r="C7" s="1835">
        <v>6.2088000000000001</v>
      </c>
      <c r="D7" s="1836">
        <v>77526</v>
      </c>
      <c r="E7" s="1836">
        <f>B7*D7/1000</f>
        <v>2676.9385314940328</v>
      </c>
      <c r="F7" s="1834">
        <f>G16*G7/1000</f>
        <v>2.10000000226449</v>
      </c>
      <c r="G7" s="1835">
        <v>0.313530639</v>
      </c>
      <c r="H7" s="1836">
        <v>72829</v>
      </c>
      <c r="I7" s="1836">
        <f>F7*H7/1000</f>
        <v>152.94090016492055</v>
      </c>
      <c r="J7" s="1836">
        <f>I7-E7</f>
        <v>-2523.9976313291122</v>
      </c>
      <c r="K7" s="1834">
        <f>L16*L7/1000</f>
        <v>1.7932898925304674</v>
      </c>
      <c r="L7" s="1835">
        <v>0.313530639</v>
      </c>
      <c r="M7" s="1836">
        <f>E41</f>
        <v>73000</v>
      </c>
      <c r="N7" s="1836">
        <f>K7*M7/1000</f>
        <v>130.91016215472413</v>
      </c>
      <c r="O7" s="1836">
        <f>N7-I7</f>
        <v>-22.030738010196416</v>
      </c>
      <c r="P7" s="1836">
        <f>N7-E7</f>
        <v>-2546.0283693393085</v>
      </c>
    </row>
    <row r="8" spans="1:16" ht="12.75" customHeight="1" x14ac:dyDescent="0.2">
      <c r="A8" s="1754" t="s">
        <v>101</v>
      </c>
      <c r="B8" s="1837"/>
      <c r="C8" s="1838"/>
      <c r="D8" s="1836"/>
      <c r="E8" s="1836"/>
      <c r="F8" s="1837">
        <v>38.28</v>
      </c>
      <c r="G8" s="1838">
        <v>5.7152156420000004</v>
      </c>
      <c r="H8" s="1836">
        <v>52675</v>
      </c>
      <c r="I8" s="1836">
        <f t="shared" ref="I8:I13" si="0">F8*H8/1000</f>
        <v>2016.3989999999999</v>
      </c>
      <c r="J8" s="1836">
        <f t="shared" ref="J8:J13" si="1">I8-E8</f>
        <v>2016.3989999999999</v>
      </c>
      <c r="K8" s="1837">
        <v>38.28</v>
      </c>
      <c r="L8" s="1838">
        <v>5.7152156420000004</v>
      </c>
      <c r="M8" s="1836">
        <f>E37</f>
        <v>52349.709601873532</v>
      </c>
      <c r="N8" s="1836">
        <f t="shared" ref="N8:N13" si="2">K8*M8/1000</f>
        <v>2003.946883559719</v>
      </c>
      <c r="O8" s="1836">
        <f t="shared" ref="O8:O14" si="3">N8-I8</f>
        <v>-12.452116440280861</v>
      </c>
      <c r="P8" s="1836">
        <f t="shared" ref="P8:P14" si="4">N8-E8</f>
        <v>2003.946883559719</v>
      </c>
    </row>
    <row r="9" spans="1:16" ht="12.75" customHeight="1" x14ac:dyDescent="0.2">
      <c r="A9" s="1754" t="s">
        <v>106</v>
      </c>
      <c r="B9" s="1834">
        <f>C16*C9/1000</f>
        <v>170.04950975200001</v>
      </c>
      <c r="C9" s="1835">
        <v>30.576799999999999</v>
      </c>
      <c r="D9" s="1836">
        <v>4545</v>
      </c>
      <c r="E9" s="1836">
        <f>B9*D9/1000</f>
        <v>772.87502182283993</v>
      </c>
      <c r="F9" s="1834">
        <f>G16*G9/1000</f>
        <v>179.1000000084577</v>
      </c>
      <c r="G9" s="1835">
        <v>26.73968447</v>
      </c>
      <c r="H9" s="1836">
        <v>12323</v>
      </c>
      <c r="I9" s="1836">
        <f t="shared" si="0"/>
        <v>2207.0493001042241</v>
      </c>
      <c r="J9" s="1836">
        <f t="shared" si="1"/>
        <v>1434.1742782813842</v>
      </c>
      <c r="K9" s="1834">
        <f>L16*L9/1000</f>
        <v>152.94200924811341</v>
      </c>
      <c r="L9" s="1835">
        <v>26.73968447</v>
      </c>
      <c r="M9" s="1836">
        <f>E93</f>
        <v>12325.14774121584</v>
      </c>
      <c r="N9" s="1836">
        <f t="shared" si="2"/>
        <v>1885.0328598213971</v>
      </c>
      <c r="O9" s="1836">
        <f t="shared" si="3"/>
        <v>-322.01644028282703</v>
      </c>
      <c r="P9" s="1836">
        <f t="shared" si="4"/>
        <v>1112.1578379985572</v>
      </c>
    </row>
    <row r="10" spans="1:16" ht="12.75" customHeight="1" x14ac:dyDescent="0.2">
      <c r="A10" s="1754" t="s">
        <v>102</v>
      </c>
      <c r="B10" s="1834">
        <f>C10*C16/1000</f>
        <v>10.220722542000001</v>
      </c>
      <c r="C10" s="1835">
        <v>1.8378000000000001</v>
      </c>
      <c r="D10" s="1836">
        <v>25193.82</v>
      </c>
      <c r="E10" s="1836">
        <f>B10*D10/1000</f>
        <v>257.49904399309048</v>
      </c>
      <c r="F10" s="1834">
        <f>G10*G16/1000</f>
        <v>8.5199999990448099</v>
      </c>
      <c r="G10" s="1835">
        <v>1.2720385910000001</v>
      </c>
      <c r="H10" s="1836">
        <v>20251</v>
      </c>
      <c r="I10" s="1836">
        <f t="shared" si="0"/>
        <v>172.53851998065645</v>
      </c>
      <c r="J10" s="1836">
        <f t="shared" si="1"/>
        <v>-84.960524012434036</v>
      </c>
      <c r="K10" s="1834">
        <f>L10*L16/1000</f>
        <v>7.2756332696052635</v>
      </c>
      <c r="L10" s="1835">
        <v>1.2720385910000001</v>
      </c>
      <c r="M10" s="1836">
        <f>E49</f>
        <v>20263.592483852022</v>
      </c>
      <c r="N10" s="1836">
        <f t="shared" si="2"/>
        <v>147.43046763723692</v>
      </c>
      <c r="O10" s="1836">
        <f t="shared" si="3"/>
        <v>-25.10805234341953</v>
      </c>
      <c r="P10" s="1836">
        <f t="shared" si="4"/>
        <v>-110.06857635585357</v>
      </c>
    </row>
    <row r="11" spans="1:16" ht="12.75" customHeight="1" x14ac:dyDescent="0.2">
      <c r="A11" s="1754" t="s">
        <v>103</v>
      </c>
      <c r="B11" s="1834">
        <f>C16*C11/1000</f>
        <v>8.0172998240000002</v>
      </c>
      <c r="C11" s="1835">
        <v>1.4416</v>
      </c>
      <c r="D11" s="1836">
        <v>17586.72</v>
      </c>
      <c r="E11" s="1836">
        <f>B11*D11/1000</f>
        <v>140.9980071607373</v>
      </c>
      <c r="F11" s="1834">
        <f>G16*G11/1000</f>
        <v>9.130000002286069</v>
      </c>
      <c r="G11" s="1835">
        <v>1.3631117770000001</v>
      </c>
      <c r="H11" s="1836">
        <v>18820</v>
      </c>
      <c r="I11" s="1836">
        <f t="shared" si="0"/>
        <v>171.82660004302383</v>
      </c>
      <c r="J11" s="1836">
        <f t="shared" si="1"/>
        <v>30.828592882286529</v>
      </c>
      <c r="K11" s="1834">
        <f>L16*L11/1000</f>
        <v>7.7965412882131258</v>
      </c>
      <c r="L11" s="1835">
        <v>1.3631117770000001</v>
      </c>
      <c r="M11" s="1836">
        <f>E73</f>
        <v>18830.726575342469</v>
      </c>
      <c r="N11" s="1836">
        <f t="shared" si="2"/>
        <v>146.81453723170972</v>
      </c>
      <c r="O11" s="1836">
        <f t="shared" si="3"/>
        <v>-25.012062811314109</v>
      </c>
      <c r="P11" s="1836">
        <f t="shared" si="4"/>
        <v>5.8165300709724193</v>
      </c>
    </row>
    <row r="12" spans="1:16" ht="12.75" customHeight="1" x14ac:dyDescent="0.2">
      <c r="A12" s="1754" t="s">
        <v>890</v>
      </c>
      <c r="B12" s="1837"/>
      <c r="C12" s="1837"/>
      <c r="D12" s="1836"/>
      <c r="E12" s="1836"/>
      <c r="F12" s="1834">
        <f>G16*G12/1000</f>
        <v>0.38000000289756003</v>
      </c>
      <c r="G12" s="1839">
        <v>5.6734116000000001E-2</v>
      </c>
      <c r="H12" s="1836">
        <f>270970</f>
        <v>270970</v>
      </c>
      <c r="I12" s="1836">
        <f t="shared" si="0"/>
        <v>102.96860078515184</v>
      </c>
      <c r="J12" s="1836">
        <f t="shared" si="1"/>
        <v>102.96860078515184</v>
      </c>
      <c r="K12" s="1834">
        <f>L16*L12/1000</f>
        <v>0.32450007791567409</v>
      </c>
      <c r="L12" s="1839">
        <v>5.6734116000000001E-2</v>
      </c>
      <c r="M12" s="1836">
        <f>E69</f>
        <v>274586.66666666663</v>
      </c>
      <c r="N12" s="1836">
        <f t="shared" si="2"/>
        <v>89.10339472793855</v>
      </c>
      <c r="O12" s="1836">
        <f t="shared" si="3"/>
        <v>-13.865206057213285</v>
      </c>
      <c r="P12" s="1836">
        <f t="shared" si="4"/>
        <v>89.10339472793855</v>
      </c>
    </row>
    <row r="13" spans="1:16" ht="12.75" customHeight="1" x14ac:dyDescent="0.2">
      <c r="A13" s="1754" t="s">
        <v>891</v>
      </c>
      <c r="B13" s="1837"/>
      <c r="C13" s="1837"/>
      <c r="D13" s="1836"/>
      <c r="E13" s="1836"/>
      <c r="F13" s="1834">
        <f>G16*G13/1000</f>
        <v>50.999999997584098</v>
      </c>
      <c r="G13" s="1837">
        <v>7.61431551</v>
      </c>
      <c r="H13" s="1836">
        <f>15.042*1000</f>
        <v>15042</v>
      </c>
      <c r="I13" s="1836">
        <f t="shared" si="0"/>
        <v>767.14199996366006</v>
      </c>
      <c r="J13" s="1836">
        <f t="shared" si="1"/>
        <v>767.14199996366006</v>
      </c>
      <c r="K13" s="1834">
        <f>L16*L13/1000</f>
        <v>43.551325912428517</v>
      </c>
      <c r="L13" s="1837">
        <v>7.61431551</v>
      </c>
      <c r="M13" s="1836">
        <f>E45</f>
        <v>15042.206666666667</v>
      </c>
      <c r="N13" s="1836">
        <f t="shared" si="2"/>
        <v>655.10804498210507</v>
      </c>
      <c r="O13" s="1836">
        <f t="shared" si="3"/>
        <v>-112.03395498155498</v>
      </c>
      <c r="P13" s="1836">
        <f t="shared" si="4"/>
        <v>655.10804498210507</v>
      </c>
    </row>
    <row r="14" spans="1:16" ht="12.75" customHeight="1" x14ac:dyDescent="0.2">
      <c r="A14" s="1754" t="s">
        <v>105</v>
      </c>
      <c r="B14" s="1837"/>
      <c r="C14" s="1837"/>
      <c r="D14" s="1836"/>
      <c r="E14" s="1836">
        <f>120</f>
        <v>120</v>
      </c>
      <c r="F14" s="1837"/>
      <c r="G14" s="1837"/>
      <c r="H14" s="1836">
        <v>0</v>
      </c>
      <c r="I14" s="1836">
        <v>116.22</v>
      </c>
      <c r="J14" s="1836">
        <f>I14-E14</f>
        <v>-3.7800000000000011</v>
      </c>
      <c r="K14" s="1837"/>
      <c r="L14" s="1837"/>
      <c r="M14" s="1836"/>
      <c r="N14" s="1836">
        <v>116.22</v>
      </c>
      <c r="O14" s="1836">
        <f t="shared" si="3"/>
        <v>0</v>
      </c>
      <c r="P14" s="1836">
        <f t="shared" si="4"/>
        <v>-3.7800000000000011</v>
      </c>
    </row>
    <row r="15" spans="1:16" ht="12.75" customHeight="1" x14ac:dyDescent="0.2">
      <c r="A15" s="1832" t="s">
        <v>87</v>
      </c>
      <c r="B15" s="1826"/>
      <c r="C15" s="1826"/>
      <c r="D15" s="1825"/>
      <c r="E15" s="1827">
        <f>SUM(E7:E14)</f>
        <v>3968.3106044707006</v>
      </c>
      <c r="F15" s="1826"/>
      <c r="G15" s="1826"/>
      <c r="H15" s="1825"/>
      <c r="I15" s="1827">
        <f>SUM(I7:I14)</f>
        <v>5707.0849210416363</v>
      </c>
      <c r="J15" s="1827">
        <f>SUM(J7:J14)</f>
        <v>1738.7743165709364</v>
      </c>
      <c r="K15" s="1826"/>
      <c r="L15" s="1826"/>
      <c r="M15" s="1825"/>
      <c r="N15" s="1827">
        <f>SUM(N7:N14)</f>
        <v>5174.5663501148301</v>
      </c>
      <c r="O15" s="1827">
        <f>SUM(O7:O14)</f>
        <v>-532.51857092680621</v>
      </c>
      <c r="P15" s="1827">
        <f>SUM(P7:P14)</f>
        <v>1206.2557456441302</v>
      </c>
    </row>
    <row r="16" spans="1:16" ht="25.5" customHeight="1" x14ac:dyDescent="0.2">
      <c r="A16" s="1833" t="s">
        <v>125</v>
      </c>
      <c r="B16" s="1828"/>
      <c r="C16" s="1829">
        <v>5561.39</v>
      </c>
      <c r="D16" s="1830"/>
      <c r="E16" s="1829"/>
      <c r="F16" s="1828"/>
      <c r="G16" s="1829">
        <f>объемы!R39</f>
        <v>6697.91</v>
      </c>
      <c r="H16" s="1830"/>
      <c r="I16" s="1829"/>
      <c r="J16" s="1829"/>
      <c r="K16" s="1828"/>
      <c r="L16" s="1829">
        <f>B26</f>
        <v>5719.6639481555339</v>
      </c>
      <c r="M16" s="1830"/>
      <c r="N16" s="1829"/>
      <c r="O16" s="1829"/>
      <c r="P16" s="1829"/>
    </row>
    <row r="17" spans="1:16" ht="12.75" customHeight="1" x14ac:dyDescent="0.2">
      <c r="A17" s="1832"/>
      <c r="B17" s="1826"/>
      <c r="C17" s="1826"/>
      <c r="D17" s="1825"/>
      <c r="E17" s="1827"/>
      <c r="F17" s="1826"/>
      <c r="G17" s="1826"/>
      <c r="H17" s="1825"/>
      <c r="I17" s="1827"/>
      <c r="J17" s="1827"/>
      <c r="K17" s="1826"/>
      <c r="L17" s="1826"/>
      <c r="M17" s="1825"/>
      <c r="N17" s="1827"/>
      <c r="O17" s="1827"/>
      <c r="P17" s="1827"/>
    </row>
    <row r="18" spans="1:16" ht="12.75" customHeight="1" x14ac:dyDescent="0.2">
      <c r="A18" s="1754" t="s">
        <v>100</v>
      </c>
      <c r="B18" s="1837"/>
      <c r="C18" s="1837"/>
      <c r="D18" s="1836"/>
      <c r="E18" s="1836"/>
      <c r="F18" s="1837"/>
      <c r="G18" s="1837"/>
      <c r="H18" s="1836"/>
      <c r="I18" s="1836"/>
      <c r="J18" s="1836"/>
      <c r="K18" s="1837"/>
      <c r="L18" s="1837"/>
      <c r="M18" s="1836"/>
      <c r="N18" s="1836"/>
      <c r="O18" s="1836"/>
      <c r="P18" s="1836"/>
    </row>
    <row r="19" spans="1:16" ht="12.75" customHeight="1" x14ac:dyDescent="0.2">
      <c r="A19" s="1754" t="s">
        <v>101</v>
      </c>
      <c r="B19" s="1834">
        <f>C19*C23/1000</f>
        <v>7.8155056000000007</v>
      </c>
      <c r="C19" s="1839">
        <v>2.1280000000000001</v>
      </c>
      <c r="D19" s="1836">
        <v>51168.21</v>
      </c>
      <c r="E19" s="1836">
        <v>399.96</v>
      </c>
      <c r="F19" s="1834">
        <f>G19*G23/1000</f>
        <v>6.8500332999999989</v>
      </c>
      <c r="G19" s="1839">
        <v>2.1339999999999999</v>
      </c>
      <c r="H19" s="1836">
        <v>49930</v>
      </c>
      <c r="I19" s="1836">
        <v>341.99</v>
      </c>
      <c r="J19" s="1836">
        <f>I19-E19</f>
        <v>-57.96999999999997</v>
      </c>
      <c r="K19" s="1834">
        <f>L19*L23/1000</f>
        <v>6.8500332999999989</v>
      </c>
      <c r="L19" s="1839">
        <v>2.1339999999999999</v>
      </c>
      <c r="M19" s="1836">
        <f>E37</f>
        <v>52349.709601873532</v>
      </c>
      <c r="N19" s="1836">
        <f t="shared" ref="N19:N20" si="5">K19*M19/1000</f>
        <v>358.59725401816337</v>
      </c>
      <c r="O19" s="1836">
        <f>N19-I19</f>
        <v>16.60725401816336</v>
      </c>
      <c r="P19" s="1836">
        <f>N19/E19</f>
        <v>0.89658279332474089</v>
      </c>
    </row>
    <row r="20" spans="1:16" ht="12.75" customHeight="1" x14ac:dyDescent="0.2">
      <c r="A20" s="1754" t="s">
        <v>108</v>
      </c>
      <c r="B20" s="1837"/>
      <c r="C20" s="1837"/>
      <c r="D20" s="1836"/>
      <c r="E20" s="1836"/>
      <c r="F20" s="1837">
        <v>0.05</v>
      </c>
      <c r="G20" s="1837">
        <v>1.6E-2</v>
      </c>
      <c r="H20" s="1836">
        <v>56000</v>
      </c>
      <c r="I20" s="1836">
        <v>2.8</v>
      </c>
      <c r="J20" s="1836">
        <f t="shared" ref="J20:J21" si="6">I20-E20</f>
        <v>2.8</v>
      </c>
      <c r="K20" s="1837">
        <v>0.05</v>
      </c>
      <c r="L20" s="1837">
        <v>1.6E-2</v>
      </c>
      <c r="M20" s="1836">
        <v>56000</v>
      </c>
      <c r="N20" s="1836">
        <f t="shared" si="5"/>
        <v>2.8</v>
      </c>
      <c r="O20" s="1836">
        <f t="shared" ref="O20:O21" si="7">N20-I20</f>
        <v>0</v>
      </c>
      <c r="P20" s="1836">
        <f>N20-E20</f>
        <v>2.8</v>
      </c>
    </row>
    <row r="21" spans="1:16" ht="12.75" customHeight="1" x14ac:dyDescent="0.2">
      <c r="A21" s="1754" t="s">
        <v>105</v>
      </c>
      <c r="B21" s="1837"/>
      <c r="C21" s="1837"/>
      <c r="D21" s="1836"/>
      <c r="E21" s="1836">
        <v>9.1</v>
      </c>
      <c r="F21" s="1837"/>
      <c r="G21" s="1837"/>
      <c r="H21" s="1836"/>
      <c r="I21" s="1836">
        <v>12.23</v>
      </c>
      <c r="J21" s="1836">
        <f t="shared" si="6"/>
        <v>3.1300000000000008</v>
      </c>
      <c r="K21" s="1837"/>
      <c r="L21" s="1837"/>
      <c r="M21" s="1836"/>
      <c r="N21" s="1836">
        <v>12.23</v>
      </c>
      <c r="O21" s="1836">
        <f t="shared" si="7"/>
        <v>0</v>
      </c>
      <c r="P21" s="1836">
        <f t="shared" ref="P21" si="8">N21/E21</f>
        <v>1.3439560439560441</v>
      </c>
    </row>
    <row r="22" spans="1:16" ht="12.75" customHeight="1" x14ac:dyDescent="0.2">
      <c r="A22" s="1832" t="s">
        <v>91</v>
      </c>
      <c r="B22" s="1826"/>
      <c r="C22" s="1826"/>
      <c r="D22" s="1825"/>
      <c r="E22" s="1827">
        <f>SUM(E19:E21)</f>
        <v>409.06</v>
      </c>
      <c r="F22" s="1826"/>
      <c r="G22" s="1826"/>
      <c r="H22" s="1825"/>
      <c r="I22" s="1827">
        <f>SUM(I19:I21)</f>
        <v>357.02000000000004</v>
      </c>
      <c r="J22" s="1827">
        <f>SUM(J19:J21)</f>
        <v>-52.039999999999971</v>
      </c>
      <c r="K22" s="1826"/>
      <c r="L22" s="1826"/>
      <c r="M22" s="1825"/>
      <c r="N22" s="1827">
        <f>SUM(N19:N21)</f>
        <v>373.6272540181634</v>
      </c>
      <c r="O22" s="1827">
        <f>SUM(O19:O21)</f>
        <v>16.60725401816336</v>
      </c>
      <c r="P22" s="1827">
        <f>SUM(P19:P21)</f>
        <v>5.0405388372807849</v>
      </c>
    </row>
    <row r="23" spans="1:16" ht="25.5" customHeight="1" x14ac:dyDescent="0.2">
      <c r="A23" s="1833" t="s">
        <v>126</v>
      </c>
      <c r="B23" s="1831"/>
      <c r="C23" s="1829">
        <v>3672.7</v>
      </c>
      <c r="D23" s="1829"/>
      <c r="E23" s="1829"/>
      <c r="F23" s="1831"/>
      <c r="G23" s="1829">
        <f>объемы!R63+объемы!S63</f>
        <v>3209.95</v>
      </c>
      <c r="H23" s="1829"/>
      <c r="I23" s="1829"/>
      <c r="J23" s="1829"/>
      <c r="K23" s="1831"/>
      <c r="L23" s="1829">
        <f>G23</f>
        <v>3209.95</v>
      </c>
      <c r="M23" s="1829"/>
      <c r="N23" s="1829"/>
      <c r="O23" s="1829"/>
      <c r="P23" s="1829"/>
    </row>
    <row r="26" spans="1:16" ht="25.5" x14ac:dyDescent="0.2">
      <c r="A26" s="1833" t="s">
        <v>125</v>
      </c>
      <c r="B26" s="1755">
        <f>B27+B28+B29</f>
        <v>5719.6639481555339</v>
      </c>
      <c r="C26" s="1674">
        <f>объемы!S39</f>
        <v>18.22</v>
      </c>
    </row>
    <row r="27" spans="1:16" x14ac:dyDescent="0.2">
      <c r="A27" s="1754" t="s">
        <v>1599</v>
      </c>
      <c r="B27" s="1759">
        <f>объемы!R42</f>
        <v>1030.98</v>
      </c>
    </row>
    <row r="28" spans="1:16" x14ac:dyDescent="0.2">
      <c r="A28" s="1754" t="s">
        <v>1600</v>
      </c>
      <c r="B28" s="1760">
        <f>B29*19.76/80.24</f>
        <v>926.48394815553365</v>
      </c>
    </row>
    <row r="29" spans="1:16" x14ac:dyDescent="0.2">
      <c r="A29" s="1754" t="s">
        <v>1601</v>
      </c>
      <c r="B29" s="1759">
        <f>объемы!R49</f>
        <v>3762.2000000000003</v>
      </c>
    </row>
    <row r="31" spans="1:16" x14ac:dyDescent="0.2">
      <c r="A31" s="5" t="s">
        <v>1605</v>
      </c>
    </row>
    <row r="32" spans="1:16" x14ac:dyDescent="0.2">
      <c r="A32" s="5047"/>
      <c r="B32" s="4486" t="s">
        <v>1606</v>
      </c>
      <c r="C32" s="4486"/>
      <c r="D32" s="4486" t="s">
        <v>1609</v>
      </c>
      <c r="E32" s="4486"/>
      <c r="F32" s="4486" t="s">
        <v>1610</v>
      </c>
      <c r="G32" s="4486"/>
    </row>
    <row r="33" spans="1:7" x14ac:dyDescent="0.2">
      <c r="A33" s="5657"/>
      <c r="B33" s="1763" t="s">
        <v>1607</v>
      </c>
      <c r="C33" s="1763" t="s">
        <v>1608</v>
      </c>
      <c r="D33" s="1763" t="s">
        <v>1607</v>
      </c>
      <c r="E33" s="1763" t="s">
        <v>1608</v>
      </c>
      <c r="F33" s="1763" t="s">
        <v>1607</v>
      </c>
      <c r="G33" s="1763" t="s">
        <v>1608</v>
      </c>
    </row>
    <row r="34" spans="1:7" x14ac:dyDescent="0.2">
      <c r="A34" s="5052" t="s">
        <v>402</v>
      </c>
      <c r="B34" s="5218"/>
      <c r="C34" s="5218"/>
      <c r="D34" s="5218"/>
      <c r="E34" s="5218"/>
      <c r="F34" s="5218"/>
      <c r="G34" s="5219"/>
    </row>
    <row r="35" spans="1:7" x14ac:dyDescent="0.2">
      <c r="A35" s="1754" t="s">
        <v>1612</v>
      </c>
      <c r="B35" s="1759">
        <v>416594.26</v>
      </c>
      <c r="C35" s="1759"/>
      <c r="D35" s="1759">
        <v>2642807.46</v>
      </c>
      <c r="E35" s="1759">
        <v>2794165.75</v>
      </c>
      <c r="F35" s="1759">
        <f>B35+D35-E35</f>
        <v>265235.96999999974</v>
      </c>
      <c r="G35" s="1759"/>
    </row>
    <row r="36" spans="1:7" x14ac:dyDescent="0.2">
      <c r="A36" s="1754" t="s">
        <v>1624</v>
      </c>
      <c r="B36" s="1759">
        <v>7950</v>
      </c>
      <c r="C36" s="1759"/>
      <c r="D36" s="1759">
        <v>50250</v>
      </c>
      <c r="E36" s="1759">
        <v>53375</v>
      </c>
      <c r="F36" s="1759">
        <f>B36+D36-E36</f>
        <v>4825</v>
      </c>
      <c r="G36" s="1759"/>
    </row>
    <row r="37" spans="1:7" x14ac:dyDescent="0.2">
      <c r="A37" s="1754" t="s">
        <v>1623</v>
      </c>
      <c r="B37" s="1759">
        <f>B35/B36*1000</f>
        <v>52401.793710691825</v>
      </c>
      <c r="C37" s="1759"/>
      <c r="D37" s="1759">
        <f t="shared" ref="D37:F37" si="9">D35/D36*1000</f>
        <v>52593.183283582082</v>
      </c>
      <c r="E37" s="1862">
        <f t="shared" si="9"/>
        <v>52349.709601873532</v>
      </c>
      <c r="F37" s="1759">
        <f t="shared" si="9"/>
        <v>54971.185492227924</v>
      </c>
      <c r="G37" s="1759"/>
    </row>
    <row r="38" spans="1:7" x14ac:dyDescent="0.2">
      <c r="A38" s="5052" t="s">
        <v>1614</v>
      </c>
      <c r="B38" s="5218"/>
      <c r="C38" s="5218"/>
      <c r="D38" s="5218"/>
      <c r="E38" s="5218"/>
      <c r="F38" s="5218"/>
      <c r="G38" s="5219"/>
    </row>
    <row r="39" spans="1:7" x14ac:dyDescent="0.2">
      <c r="A39" s="1754" t="s">
        <v>1612</v>
      </c>
      <c r="B39" s="1759">
        <v>39420</v>
      </c>
      <c r="C39" s="1759"/>
      <c r="D39" s="1759">
        <v>126655</v>
      </c>
      <c r="E39" s="1759">
        <v>154395</v>
      </c>
      <c r="F39" s="1759">
        <f>B39+D39-E39</f>
        <v>11680</v>
      </c>
      <c r="G39" s="1759"/>
    </row>
    <row r="40" spans="1:7" x14ac:dyDescent="0.2">
      <c r="A40" s="1754" t="s">
        <v>1624</v>
      </c>
      <c r="B40" s="1759">
        <v>540</v>
      </c>
      <c r="C40" s="1759"/>
      <c r="D40" s="1759">
        <v>1735</v>
      </c>
      <c r="E40" s="1759">
        <v>2115</v>
      </c>
      <c r="F40" s="1759">
        <f>B40+D40-E40</f>
        <v>160</v>
      </c>
      <c r="G40" s="1759"/>
    </row>
    <row r="41" spans="1:7" x14ac:dyDescent="0.2">
      <c r="A41" s="1754" t="s">
        <v>1623</v>
      </c>
      <c r="B41" s="1759">
        <f>B39/B40*1000</f>
        <v>73000</v>
      </c>
      <c r="C41" s="1759"/>
      <c r="D41" s="1759">
        <f t="shared" ref="D41:F41" si="10">D39/D40*1000</f>
        <v>73000</v>
      </c>
      <c r="E41" s="1862">
        <f t="shared" si="10"/>
        <v>73000</v>
      </c>
      <c r="F41" s="1759">
        <f t="shared" si="10"/>
        <v>73000</v>
      </c>
      <c r="G41" s="1759"/>
    </row>
    <row r="42" spans="1:7" x14ac:dyDescent="0.2">
      <c r="A42" s="5052" t="s">
        <v>1615</v>
      </c>
      <c r="B42" s="5218"/>
      <c r="C42" s="5218"/>
      <c r="D42" s="5218"/>
      <c r="E42" s="5218"/>
      <c r="F42" s="5218"/>
      <c r="G42" s="5219"/>
    </row>
    <row r="43" spans="1:7" x14ac:dyDescent="0.2">
      <c r="A43" s="1754" t="s">
        <v>1612</v>
      </c>
      <c r="B43" s="1759">
        <v>14932.21</v>
      </c>
      <c r="C43" s="1759"/>
      <c r="D43" s="1759">
        <v>752220.33</v>
      </c>
      <c r="E43" s="1759">
        <v>767152.54</v>
      </c>
      <c r="F43" s="1759">
        <f>B43+D43-E43</f>
        <v>0</v>
      </c>
      <c r="G43" s="1759"/>
    </row>
    <row r="44" spans="1:7" x14ac:dyDescent="0.2">
      <c r="A44" s="1754" t="s">
        <v>1624</v>
      </c>
      <c r="B44" s="1759">
        <v>1000</v>
      </c>
      <c r="C44" s="1759"/>
      <c r="D44" s="1759">
        <v>50000</v>
      </c>
      <c r="E44" s="1759">
        <v>51000</v>
      </c>
      <c r="F44" s="1759">
        <f>B44+D44-E44</f>
        <v>0</v>
      </c>
      <c r="G44" s="1759"/>
    </row>
    <row r="45" spans="1:7" x14ac:dyDescent="0.2">
      <c r="A45" s="1754" t="s">
        <v>1623</v>
      </c>
      <c r="B45" s="1759">
        <f>B43/B44*1000</f>
        <v>14932.21</v>
      </c>
      <c r="C45" s="1759"/>
      <c r="D45" s="1759">
        <f t="shared" ref="D45:E45" si="11">D43/D44*1000</f>
        <v>15044.406599999998</v>
      </c>
      <c r="E45" s="1862">
        <f t="shared" si="11"/>
        <v>15042.206666666667</v>
      </c>
      <c r="F45" s="1759"/>
      <c r="G45" s="1759"/>
    </row>
    <row r="46" spans="1:7" x14ac:dyDescent="0.2">
      <c r="A46" s="5052" t="s">
        <v>102</v>
      </c>
      <c r="B46" s="5218"/>
      <c r="C46" s="5218"/>
      <c r="D46" s="5218"/>
      <c r="E46" s="5218"/>
      <c r="F46" s="5218"/>
      <c r="G46" s="5219"/>
    </row>
    <row r="47" spans="1:7" x14ac:dyDescent="0.2">
      <c r="A47" s="1754" t="s">
        <v>1612</v>
      </c>
      <c r="B47" s="1759">
        <v>9629.23</v>
      </c>
      <c r="C47" s="1759"/>
      <c r="D47" s="1759">
        <v>244372.89</v>
      </c>
      <c r="E47" s="1759">
        <v>172544.49</v>
      </c>
      <c r="F47" s="1759">
        <f>B47+D47-E47</f>
        <v>81457.630000000034</v>
      </c>
      <c r="G47" s="1759"/>
    </row>
    <row r="48" spans="1:7" x14ac:dyDescent="0.2">
      <c r="A48" s="1754" t="s">
        <v>1611</v>
      </c>
      <c r="B48" s="1759">
        <v>0.505</v>
      </c>
      <c r="C48" s="1759"/>
      <c r="D48" s="1759">
        <v>12.015000000000001</v>
      </c>
      <c r="E48" s="1759">
        <v>8.5150000000000006</v>
      </c>
      <c r="F48" s="1759">
        <f>B48+D48-E48</f>
        <v>4.0050000000000008</v>
      </c>
      <c r="G48" s="1759"/>
    </row>
    <row r="49" spans="1:7" ht="14.25" customHeight="1" x14ac:dyDescent="0.2">
      <c r="A49" s="1754" t="s">
        <v>1613</v>
      </c>
      <c r="B49" s="1759">
        <f>B47/B48</f>
        <v>19067.782178217822</v>
      </c>
      <c r="C49" s="1759"/>
      <c r="D49" s="1759">
        <f t="shared" ref="D49" si="12">D47/D48</f>
        <v>20338.983770287141</v>
      </c>
      <c r="E49" s="1862">
        <f t="shared" ref="E49:F49" si="13">E47/E48</f>
        <v>20263.592483852022</v>
      </c>
      <c r="F49" s="1759">
        <f t="shared" si="13"/>
        <v>20338.983770287145</v>
      </c>
      <c r="G49" s="1759"/>
    </row>
    <row r="50" spans="1:7" hidden="1" x14ac:dyDescent="0.2">
      <c r="A50" s="5052" t="s">
        <v>1616</v>
      </c>
      <c r="B50" s="5218"/>
      <c r="C50" s="5218"/>
      <c r="D50" s="5218"/>
      <c r="E50" s="5218"/>
      <c r="F50" s="5218"/>
      <c r="G50" s="5219"/>
    </row>
    <row r="51" spans="1:7" hidden="1" x14ac:dyDescent="0.2">
      <c r="A51" s="1754" t="s">
        <v>1612</v>
      </c>
      <c r="B51" s="1759">
        <v>0</v>
      </c>
      <c r="C51" s="1759"/>
      <c r="D51" s="1759">
        <v>39000</v>
      </c>
      <c r="E51" s="1759">
        <v>39000</v>
      </c>
      <c r="F51" s="1759">
        <f>B51+D51-E51</f>
        <v>0</v>
      </c>
      <c r="G51" s="1759"/>
    </row>
    <row r="52" spans="1:7" hidden="1" x14ac:dyDescent="0.2">
      <c r="A52" s="1754" t="s">
        <v>1624</v>
      </c>
      <c r="B52" s="1759">
        <v>0</v>
      </c>
      <c r="C52" s="1759"/>
      <c r="D52" s="1759">
        <v>150</v>
      </c>
      <c r="E52" s="1759">
        <v>150</v>
      </c>
      <c r="F52" s="1759">
        <f>B52+D52-E52</f>
        <v>0</v>
      </c>
      <c r="G52" s="1759"/>
    </row>
    <row r="53" spans="1:7" hidden="1" x14ac:dyDescent="0.2">
      <c r="A53" s="1754" t="s">
        <v>1623</v>
      </c>
      <c r="B53" s="1759">
        <v>0</v>
      </c>
      <c r="C53" s="1759"/>
      <c r="D53" s="1759">
        <f>D51/D52*1000</f>
        <v>260000</v>
      </c>
      <c r="E53" s="1759">
        <f>E51/E52*1000</f>
        <v>260000</v>
      </c>
      <c r="F53" s="1759">
        <v>0</v>
      </c>
      <c r="G53" s="1759"/>
    </row>
    <row r="54" spans="1:7" hidden="1" x14ac:dyDescent="0.2">
      <c r="A54" s="5052" t="s">
        <v>1617</v>
      </c>
      <c r="B54" s="5218"/>
      <c r="C54" s="5218"/>
      <c r="D54" s="5218"/>
      <c r="E54" s="5218"/>
      <c r="F54" s="5218"/>
      <c r="G54" s="5219"/>
    </row>
    <row r="55" spans="1:7" hidden="1" x14ac:dyDescent="0.2">
      <c r="A55" s="1754" t="s">
        <v>1612</v>
      </c>
      <c r="B55" s="1759">
        <v>0</v>
      </c>
      <c r="C55" s="1759"/>
      <c r="D55" s="1759">
        <v>48000</v>
      </c>
      <c r="E55" s="1759">
        <v>48000</v>
      </c>
      <c r="F55" s="1759">
        <f>B55+D55-E55</f>
        <v>0</v>
      </c>
      <c r="G55" s="1759"/>
    </row>
    <row r="56" spans="1:7" hidden="1" x14ac:dyDescent="0.2">
      <c r="A56" s="1754" t="s">
        <v>1624</v>
      </c>
      <c r="B56" s="1759">
        <v>0</v>
      </c>
      <c r="C56" s="1759"/>
      <c r="D56" s="1759">
        <v>150</v>
      </c>
      <c r="E56" s="1759">
        <v>150</v>
      </c>
      <c r="F56" s="1759">
        <f>B56+D56-E56</f>
        <v>0</v>
      </c>
      <c r="G56" s="1759"/>
    </row>
    <row r="57" spans="1:7" ht="13.5" hidden="1" thickBot="1" x14ac:dyDescent="0.25">
      <c r="A57" s="1863" t="s">
        <v>1623</v>
      </c>
      <c r="B57" s="1864">
        <v>0</v>
      </c>
      <c r="C57" s="1864"/>
      <c r="D57" s="1864">
        <f>D55/D56*1000</f>
        <v>320000</v>
      </c>
      <c r="E57" s="1864">
        <f>E55/E56*1000</f>
        <v>320000</v>
      </c>
      <c r="F57" s="1864">
        <v>0</v>
      </c>
      <c r="G57" s="1864"/>
    </row>
    <row r="58" spans="1:7" hidden="1" x14ac:dyDescent="0.2">
      <c r="A58" s="5659" t="s">
        <v>1628</v>
      </c>
      <c r="B58" s="5660"/>
      <c r="C58" s="5660"/>
      <c r="D58" s="5660"/>
      <c r="E58" s="5660"/>
      <c r="F58" s="5660"/>
      <c r="G58" s="5661"/>
    </row>
    <row r="59" spans="1:7" hidden="1" x14ac:dyDescent="0.2">
      <c r="A59" s="1865" t="s">
        <v>1612</v>
      </c>
      <c r="B59" s="1759">
        <v>0</v>
      </c>
      <c r="C59" s="1759"/>
      <c r="D59" s="1759">
        <f>D51+D55</f>
        <v>87000</v>
      </c>
      <c r="E59" s="1759">
        <f>E51+E55</f>
        <v>87000</v>
      </c>
      <c r="F59" s="1759">
        <f>B59+D59-E59</f>
        <v>0</v>
      </c>
      <c r="G59" s="1866"/>
    </row>
    <row r="60" spans="1:7" hidden="1" x14ac:dyDescent="0.2">
      <c r="A60" s="1865" t="s">
        <v>1624</v>
      </c>
      <c r="B60" s="1759">
        <v>0</v>
      </c>
      <c r="C60" s="1759"/>
      <c r="D60" s="1759">
        <f>D52+D56</f>
        <v>300</v>
      </c>
      <c r="E60" s="1759">
        <f>E52+E56</f>
        <v>300</v>
      </c>
      <c r="F60" s="1759">
        <f>B60+D60-E60</f>
        <v>0</v>
      </c>
      <c r="G60" s="1866"/>
    </row>
    <row r="61" spans="1:7" ht="13.5" hidden="1" thickBot="1" x14ac:dyDescent="0.25">
      <c r="A61" s="1867" t="s">
        <v>1623</v>
      </c>
      <c r="B61" s="1868">
        <v>0</v>
      </c>
      <c r="C61" s="1868"/>
      <c r="D61" s="1868">
        <f>D59/D60*1000</f>
        <v>290000</v>
      </c>
      <c r="E61" s="1868">
        <f>E59/E60*1000</f>
        <v>290000</v>
      </c>
      <c r="F61" s="1868">
        <v>0</v>
      </c>
      <c r="G61" s="1869"/>
    </row>
    <row r="62" spans="1:7" hidden="1" x14ac:dyDescent="0.2">
      <c r="A62" s="5613" t="s">
        <v>1618</v>
      </c>
      <c r="B62" s="5662"/>
      <c r="C62" s="5662"/>
      <c r="D62" s="5662"/>
      <c r="E62" s="5662"/>
      <c r="F62" s="5662"/>
      <c r="G62" s="5663"/>
    </row>
    <row r="63" spans="1:7" hidden="1" x14ac:dyDescent="0.2">
      <c r="A63" s="1754" t="s">
        <v>1612</v>
      </c>
      <c r="B63" s="1759">
        <v>5370</v>
      </c>
      <c r="C63" s="1759"/>
      <c r="D63" s="1759">
        <v>10600</v>
      </c>
      <c r="E63" s="1759">
        <v>15970</v>
      </c>
      <c r="F63" s="1759">
        <f>B63+D63-E63</f>
        <v>0</v>
      </c>
      <c r="G63" s="1759"/>
    </row>
    <row r="64" spans="1:7" hidden="1" x14ac:dyDescent="0.2">
      <c r="A64" s="1754" t="s">
        <v>1624</v>
      </c>
      <c r="B64" s="1759">
        <v>25</v>
      </c>
      <c r="C64" s="1759"/>
      <c r="D64" s="1759">
        <v>50</v>
      </c>
      <c r="E64" s="1759">
        <v>75</v>
      </c>
      <c r="F64" s="1759">
        <f>B64+D64-E64</f>
        <v>0</v>
      </c>
      <c r="G64" s="1759"/>
    </row>
    <row r="65" spans="1:7" ht="13.5" hidden="1" thickBot="1" x14ac:dyDescent="0.25">
      <c r="A65" s="1863" t="s">
        <v>1623</v>
      </c>
      <c r="B65" s="1864">
        <f>B63/B64*1000</f>
        <v>214800</v>
      </c>
      <c r="C65" s="1864"/>
      <c r="D65" s="1864">
        <f t="shared" ref="D65:E65" si="14">D63/D64*1000</f>
        <v>212000</v>
      </c>
      <c r="E65" s="1898">
        <f t="shared" si="14"/>
        <v>212933.33333333334</v>
      </c>
      <c r="F65" s="1864"/>
      <c r="G65" s="1864"/>
    </row>
    <row r="66" spans="1:7" x14ac:dyDescent="0.2">
      <c r="A66" s="4486" t="s">
        <v>1630</v>
      </c>
      <c r="B66" s="4486"/>
      <c r="C66" s="4486"/>
      <c r="D66" s="4486"/>
      <c r="E66" s="4486"/>
      <c r="F66" s="4486"/>
      <c r="G66" s="4486"/>
    </row>
    <row r="67" spans="1:7" x14ac:dyDescent="0.2">
      <c r="A67" s="1754" t="s">
        <v>1612</v>
      </c>
      <c r="B67" s="1759">
        <f>B59+B63</f>
        <v>5370</v>
      </c>
      <c r="C67" s="1759"/>
      <c r="D67" s="1759">
        <f>D59+D63</f>
        <v>97600</v>
      </c>
      <c r="E67" s="1759">
        <f>E59+E63</f>
        <v>102970</v>
      </c>
      <c r="F67" s="1759">
        <f>B67+D67-E67</f>
        <v>0</v>
      </c>
      <c r="G67" s="1759"/>
    </row>
    <row r="68" spans="1:7" x14ac:dyDescent="0.2">
      <c r="A68" s="1754" t="s">
        <v>1624</v>
      </c>
      <c r="B68" s="1759">
        <f>B60+B64</f>
        <v>25</v>
      </c>
      <c r="C68" s="1759"/>
      <c r="D68" s="1759">
        <f>D60+D64</f>
        <v>350</v>
      </c>
      <c r="E68" s="1759">
        <f>E60+E64</f>
        <v>375</v>
      </c>
      <c r="F68" s="1759">
        <f>B68+D68-E68</f>
        <v>0</v>
      </c>
      <c r="G68" s="1759"/>
    </row>
    <row r="69" spans="1:7" x14ac:dyDescent="0.2">
      <c r="A69" s="1754" t="s">
        <v>1623</v>
      </c>
      <c r="B69" s="1759">
        <f>B67/B68*1000</f>
        <v>214800</v>
      </c>
      <c r="C69" s="1759"/>
      <c r="D69" s="1759">
        <f t="shared" ref="D69:E69" si="15">D67/D68*1000</f>
        <v>278857.14285714284</v>
      </c>
      <c r="E69" s="1759">
        <f t="shared" si="15"/>
        <v>274586.66666666663</v>
      </c>
      <c r="F69" s="1759">
        <v>0</v>
      </c>
      <c r="G69" s="1759"/>
    </row>
    <row r="70" spans="1:7" x14ac:dyDescent="0.2">
      <c r="A70" s="5613" t="s">
        <v>1619</v>
      </c>
      <c r="B70" s="5662"/>
      <c r="C70" s="5662"/>
      <c r="D70" s="5662"/>
      <c r="E70" s="5662"/>
      <c r="F70" s="5662"/>
      <c r="G70" s="5663"/>
    </row>
    <row r="71" spans="1:7" x14ac:dyDescent="0.2">
      <c r="A71" s="1754" t="s">
        <v>1612</v>
      </c>
      <c r="B71" s="1759">
        <v>8089.53</v>
      </c>
      <c r="C71" s="1759"/>
      <c r="D71" s="1759">
        <v>206894.38</v>
      </c>
      <c r="E71" s="1759">
        <v>171830.38</v>
      </c>
      <c r="F71" s="1759">
        <f>B71+D71-E71</f>
        <v>43153.53</v>
      </c>
      <c r="G71" s="1759"/>
    </row>
    <row r="72" spans="1:7" x14ac:dyDescent="0.2">
      <c r="A72" s="1754" t="s">
        <v>1624</v>
      </c>
      <c r="B72" s="1759">
        <v>500</v>
      </c>
      <c r="C72" s="1759"/>
      <c r="D72" s="1759">
        <v>10715</v>
      </c>
      <c r="E72" s="1759">
        <v>9125</v>
      </c>
      <c r="F72" s="1759">
        <f>B72+D72-E72</f>
        <v>2090</v>
      </c>
      <c r="G72" s="1759"/>
    </row>
    <row r="73" spans="1:7" x14ac:dyDescent="0.2">
      <c r="A73" s="1754" t="s">
        <v>1623</v>
      </c>
      <c r="B73" s="1759">
        <f>B71/B72*1000</f>
        <v>16179.06</v>
      </c>
      <c r="C73" s="1759"/>
      <c r="D73" s="1759">
        <f t="shared" ref="D73:F73" si="16">D71/D72*1000</f>
        <v>19308.854876341578</v>
      </c>
      <c r="E73" s="1759">
        <f t="shared" si="16"/>
        <v>18830.726575342469</v>
      </c>
      <c r="F73" s="1759">
        <f t="shared" si="16"/>
        <v>20647.622009569379</v>
      </c>
      <c r="G73" s="1759"/>
    </row>
    <row r="74" spans="1:7" x14ac:dyDescent="0.2">
      <c r="A74" s="5052" t="s">
        <v>104</v>
      </c>
      <c r="B74" s="5218"/>
      <c r="C74" s="5218"/>
      <c r="D74" s="5218"/>
      <c r="E74" s="5218"/>
      <c r="F74" s="5218"/>
      <c r="G74" s="5219"/>
    </row>
    <row r="75" spans="1:7" x14ac:dyDescent="0.2">
      <c r="A75" s="1754" t="s">
        <v>1612</v>
      </c>
      <c r="B75" s="1759">
        <v>0</v>
      </c>
      <c r="C75" s="1759"/>
      <c r="D75" s="1759">
        <v>2800</v>
      </c>
      <c r="E75" s="1759">
        <v>2800</v>
      </c>
      <c r="F75" s="1759">
        <f>B75+D75-E75</f>
        <v>0</v>
      </c>
      <c r="G75" s="1759"/>
    </row>
    <row r="76" spans="1:7" x14ac:dyDescent="0.2">
      <c r="A76" s="1754" t="s">
        <v>1624</v>
      </c>
      <c r="B76" s="1759">
        <v>0</v>
      </c>
      <c r="C76" s="1759"/>
      <c r="D76" s="1759">
        <v>50</v>
      </c>
      <c r="E76" s="1759">
        <v>50</v>
      </c>
      <c r="F76" s="1759">
        <f>B76+D76-E76</f>
        <v>0</v>
      </c>
      <c r="G76" s="1759"/>
    </row>
    <row r="77" spans="1:7" x14ac:dyDescent="0.2">
      <c r="A77" s="1754" t="s">
        <v>1623</v>
      </c>
      <c r="B77" s="1759">
        <v>0</v>
      </c>
      <c r="C77" s="1759"/>
      <c r="D77" s="1759">
        <f>D75/D76*1000</f>
        <v>56000</v>
      </c>
      <c r="E77" s="1759">
        <f t="shared" ref="E77" si="17">E75/E76*1000</f>
        <v>56000</v>
      </c>
      <c r="F77" s="1759"/>
      <c r="G77" s="1759"/>
    </row>
    <row r="78" spans="1:7" hidden="1" x14ac:dyDescent="0.2">
      <c r="A78" s="5052" t="s">
        <v>1629</v>
      </c>
      <c r="B78" s="5218"/>
      <c r="C78" s="5218"/>
      <c r="D78" s="5218"/>
      <c r="E78" s="5218"/>
      <c r="F78" s="5218"/>
      <c r="G78" s="5219"/>
    </row>
    <row r="79" spans="1:7" hidden="1" x14ac:dyDescent="0.2">
      <c r="A79" s="1754" t="s">
        <v>1612</v>
      </c>
      <c r="B79" s="1759">
        <v>0</v>
      </c>
      <c r="C79" s="1759"/>
      <c r="D79" s="1759">
        <f>D71+D75</f>
        <v>209694.38</v>
      </c>
      <c r="E79" s="1759">
        <f>E71+E75</f>
        <v>174630.38</v>
      </c>
      <c r="F79" s="1759">
        <f>B79+D79-E79</f>
        <v>35064</v>
      </c>
      <c r="G79" s="1759"/>
    </row>
    <row r="80" spans="1:7" hidden="1" x14ac:dyDescent="0.2">
      <c r="A80" s="1754" t="s">
        <v>1624</v>
      </c>
      <c r="B80" s="1759">
        <v>0</v>
      </c>
      <c r="C80" s="1759"/>
      <c r="D80" s="1759">
        <f>D72+D76</f>
        <v>10765</v>
      </c>
      <c r="E80" s="1759">
        <f>E72+E76</f>
        <v>9175</v>
      </c>
      <c r="F80" s="1759">
        <f>B80+D80-E80</f>
        <v>1590</v>
      </c>
      <c r="G80" s="1759"/>
    </row>
    <row r="81" spans="1:8" hidden="1" x14ac:dyDescent="0.2">
      <c r="A81" s="1754" t="s">
        <v>1623</v>
      </c>
      <c r="B81" s="1759">
        <v>0</v>
      </c>
      <c r="C81" s="1759"/>
      <c r="D81" s="1759">
        <f>D79/D80*1000</f>
        <v>19479.273571760335</v>
      </c>
      <c r="E81" s="1759">
        <f t="shared" ref="E81:F81" si="18">E79/E80*1000</f>
        <v>19033.283923705723</v>
      </c>
      <c r="F81" s="1759">
        <f t="shared" si="18"/>
        <v>22052.830188679243</v>
      </c>
      <c r="G81" s="1759"/>
    </row>
    <row r="82" spans="1:8" x14ac:dyDescent="0.2">
      <c r="A82" s="5052" t="s">
        <v>1620</v>
      </c>
      <c r="B82" s="5218"/>
      <c r="C82" s="5218"/>
      <c r="D82" s="5218"/>
      <c r="E82" s="5218"/>
      <c r="F82" s="5218"/>
      <c r="G82" s="5219"/>
    </row>
    <row r="83" spans="1:8" x14ac:dyDescent="0.2">
      <c r="A83" s="1754" t="s">
        <v>1612</v>
      </c>
      <c r="B83" s="1759">
        <v>0</v>
      </c>
      <c r="C83" s="1759"/>
      <c r="D83" s="1759">
        <v>1445965.98</v>
      </c>
      <c r="E83" s="1759">
        <v>1167559.23</v>
      </c>
      <c r="F83" s="1759">
        <f>B83+D83-E83</f>
        <v>278406.75</v>
      </c>
      <c r="G83" s="1759"/>
    </row>
    <row r="84" spans="1:8" x14ac:dyDescent="0.2">
      <c r="A84" s="1754" t="s">
        <v>1611</v>
      </c>
      <c r="B84" s="1759">
        <v>0</v>
      </c>
      <c r="C84" s="1759"/>
      <c r="D84" s="1759">
        <v>99.2</v>
      </c>
      <c r="E84" s="1759">
        <v>80.099999999999994</v>
      </c>
      <c r="F84" s="1759">
        <f>B84+D84-E84</f>
        <v>19.100000000000009</v>
      </c>
      <c r="G84" s="1759"/>
    </row>
    <row r="85" spans="1:8" x14ac:dyDescent="0.2">
      <c r="A85" s="1754" t="s">
        <v>1613</v>
      </c>
      <c r="B85" s="1759">
        <v>0</v>
      </c>
      <c r="C85" s="1759"/>
      <c r="D85" s="1759">
        <f t="shared" ref="D85" si="19">D83/D84</f>
        <v>14576.269959677418</v>
      </c>
      <c r="E85" s="1759">
        <f t="shared" ref="E85:F85" si="20">E83/E84</f>
        <v>14576.270037453185</v>
      </c>
      <c r="F85" s="1759">
        <f t="shared" si="20"/>
        <v>14576.269633507847</v>
      </c>
      <c r="G85" s="1759"/>
    </row>
    <row r="86" spans="1:8" x14ac:dyDescent="0.2">
      <c r="A86" s="5052" t="s">
        <v>1621</v>
      </c>
      <c r="B86" s="5218"/>
      <c r="C86" s="5218"/>
      <c r="D86" s="5218"/>
      <c r="E86" s="5218"/>
      <c r="F86" s="5218"/>
      <c r="G86" s="5219"/>
    </row>
    <row r="87" spans="1:8" x14ac:dyDescent="0.2">
      <c r="A87" s="1754" t="s">
        <v>1612</v>
      </c>
      <c r="B87" s="1759">
        <v>167763.56</v>
      </c>
      <c r="C87" s="1759"/>
      <c r="D87" s="1759">
        <v>874576.2</v>
      </c>
      <c r="E87" s="1759">
        <v>1042339.76</v>
      </c>
      <c r="F87" s="1759">
        <f>B87+D87-E87</f>
        <v>0</v>
      </c>
      <c r="G87" s="1759"/>
    </row>
    <row r="88" spans="1:8" x14ac:dyDescent="0.2">
      <c r="A88" s="1754" t="s">
        <v>1611</v>
      </c>
      <c r="B88" s="1759">
        <v>39.200000000000003</v>
      </c>
      <c r="C88" s="1759"/>
      <c r="D88" s="1759">
        <v>60</v>
      </c>
      <c r="E88" s="1759">
        <v>99.2</v>
      </c>
      <c r="F88" s="1759">
        <f>B88+D88-E88</f>
        <v>0</v>
      </c>
      <c r="G88" s="1759"/>
    </row>
    <row r="89" spans="1:8" x14ac:dyDescent="0.2">
      <c r="A89" s="1754" t="s">
        <v>1613</v>
      </c>
      <c r="B89" s="1759">
        <f>B87/B88</f>
        <v>4279.6826530612243</v>
      </c>
      <c r="C89" s="1759"/>
      <c r="D89" s="1759">
        <f t="shared" ref="D89" si="21">D87/D88</f>
        <v>14576.269999999999</v>
      </c>
      <c r="E89" s="1862">
        <f t="shared" ref="E89" si="22">E87/E88</f>
        <v>10507.457258064516</v>
      </c>
      <c r="F89" s="1759">
        <v>0</v>
      </c>
      <c r="G89" s="1759"/>
      <c r="H89" s="1674"/>
    </row>
    <row r="90" spans="1:8" x14ac:dyDescent="0.2">
      <c r="A90" s="5052" t="s">
        <v>1627</v>
      </c>
      <c r="B90" s="5218"/>
      <c r="C90" s="5218"/>
      <c r="D90" s="5218"/>
      <c r="E90" s="5218"/>
      <c r="F90" s="5218"/>
      <c r="G90" s="5219"/>
      <c r="H90" s="1674"/>
    </row>
    <row r="91" spans="1:8" x14ac:dyDescent="0.2">
      <c r="A91" s="1754" t="s">
        <v>1612</v>
      </c>
      <c r="B91" s="1759">
        <f>B83+B87</f>
        <v>167763.56</v>
      </c>
      <c r="C91" s="1759"/>
      <c r="D91" s="1759">
        <f>D83+D87</f>
        <v>2320542.1799999997</v>
      </c>
      <c r="E91" s="1759">
        <f>E83+E87</f>
        <v>2209898.9900000002</v>
      </c>
      <c r="F91" s="1759">
        <f>B91+D91-E91</f>
        <v>278406.74999999953</v>
      </c>
      <c r="G91" s="1759"/>
      <c r="H91" s="1674"/>
    </row>
    <row r="92" spans="1:8" x14ac:dyDescent="0.2">
      <c r="A92" s="1754" t="s">
        <v>1611</v>
      </c>
      <c r="B92" s="1759">
        <f>B84+B88</f>
        <v>39.200000000000003</v>
      </c>
      <c r="C92" s="1759"/>
      <c r="D92" s="1759">
        <f>D84+D88</f>
        <v>159.19999999999999</v>
      </c>
      <c r="E92" s="1759">
        <f>E84+E88</f>
        <v>179.3</v>
      </c>
      <c r="F92" s="1759">
        <f>B92+D92-E92</f>
        <v>19.099999999999966</v>
      </c>
      <c r="G92" s="1759"/>
      <c r="H92" s="1674"/>
    </row>
    <row r="93" spans="1:8" x14ac:dyDescent="0.2">
      <c r="A93" s="1754" t="s">
        <v>1613</v>
      </c>
      <c r="B93" s="1759">
        <f>B91/B92</f>
        <v>4279.6826530612243</v>
      </c>
      <c r="C93" s="1759"/>
      <c r="D93" s="1759">
        <f t="shared" ref="D93" si="23">D91/D92</f>
        <v>14576.269974874371</v>
      </c>
      <c r="E93" s="1862">
        <f t="shared" ref="E93" si="24">E91/E92</f>
        <v>12325.14774121584</v>
      </c>
      <c r="F93" s="1759">
        <v>0</v>
      </c>
      <c r="G93" s="1759"/>
      <c r="H93" s="1674"/>
    </row>
    <row r="94" spans="1:8" x14ac:dyDescent="0.2">
      <c r="A94" s="5052" t="s">
        <v>1622</v>
      </c>
      <c r="B94" s="5218"/>
      <c r="C94" s="5218"/>
      <c r="D94" s="5218"/>
      <c r="E94" s="5218"/>
      <c r="F94" s="5218"/>
      <c r="G94" s="5219"/>
    </row>
    <row r="95" spans="1:8" x14ac:dyDescent="0.2">
      <c r="A95" s="1754" t="s">
        <v>1612</v>
      </c>
      <c r="B95" s="1759">
        <v>0</v>
      </c>
      <c r="C95" s="1759"/>
      <c r="D95" s="1759">
        <v>561186.4</v>
      </c>
      <c r="E95" s="1759">
        <v>0</v>
      </c>
      <c r="F95" s="1759">
        <f>B95+D95-E95</f>
        <v>561186.4</v>
      </c>
      <c r="G95" s="1759"/>
    </row>
    <row r="96" spans="1:8" x14ac:dyDescent="0.2">
      <c r="A96" s="1754" t="s">
        <v>1611</v>
      </c>
      <c r="B96" s="1759">
        <v>0</v>
      </c>
      <c r="C96" s="1759"/>
      <c r="D96" s="1759">
        <v>38.299999999999997</v>
      </c>
      <c r="E96" s="1759">
        <v>0</v>
      </c>
      <c r="F96" s="1759">
        <f>B96+D96-E96</f>
        <v>38.299999999999997</v>
      </c>
      <c r="G96" s="1759"/>
    </row>
    <row r="97" spans="1:7" x14ac:dyDescent="0.2">
      <c r="A97" s="1754" t="s">
        <v>1613</v>
      </c>
      <c r="B97" s="1759">
        <v>0</v>
      </c>
      <c r="C97" s="1759"/>
      <c r="D97" s="1759">
        <f t="shared" ref="D97" si="25">D95/D96</f>
        <v>14652.386422976502</v>
      </c>
      <c r="E97" s="1759">
        <v>0</v>
      </c>
      <c r="F97" s="1759">
        <f>F95/F96</f>
        <v>14652.386422976502</v>
      </c>
      <c r="G97" s="1759"/>
    </row>
  </sheetData>
  <mergeCells count="30"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85"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5664" t="s">
        <v>527</v>
      </c>
      <c r="B3" s="5667" t="s">
        <v>364</v>
      </c>
      <c r="C3" s="5667"/>
      <c r="D3" s="5667"/>
      <c r="E3" s="5667"/>
      <c r="F3" s="5667"/>
      <c r="G3" s="5667"/>
      <c r="H3" s="5667"/>
      <c r="I3" s="5667"/>
      <c r="J3" s="5667"/>
      <c r="K3" s="5667"/>
      <c r="L3" s="5667"/>
      <c r="M3" s="5667"/>
      <c r="N3" s="5667"/>
      <c r="O3" s="5667"/>
      <c r="P3" s="5667"/>
      <c r="Q3" s="5667"/>
      <c r="R3" s="5667"/>
      <c r="S3" s="5667"/>
      <c r="T3" s="5667"/>
      <c r="U3" s="5667"/>
      <c r="V3" s="5667"/>
    </row>
    <row r="4" spans="1:23" ht="19.5" customHeight="1" x14ac:dyDescent="0.2">
      <c r="A4" s="5664"/>
      <c r="B4" s="5665" t="s">
        <v>238</v>
      </c>
      <c r="C4" s="5665"/>
      <c r="D4" s="5665"/>
      <c r="E4" s="5665" t="s">
        <v>353</v>
      </c>
      <c r="F4" s="5665"/>
      <c r="G4" s="5665"/>
      <c r="H4" s="5665" t="s">
        <v>353</v>
      </c>
      <c r="I4" s="5665"/>
      <c r="J4" s="5665"/>
      <c r="K4" s="5665" t="s">
        <v>123</v>
      </c>
      <c r="L4" s="5665"/>
      <c r="M4" s="5665"/>
      <c r="N4" s="5665" t="s">
        <v>353</v>
      </c>
      <c r="O4" s="5665"/>
      <c r="P4" s="5665"/>
      <c r="Q4" s="5668" t="s">
        <v>1519</v>
      </c>
      <c r="R4" s="5668"/>
      <c r="S4" s="5668"/>
      <c r="T4" s="5665" t="s">
        <v>1598</v>
      </c>
      <c r="U4" s="5665"/>
      <c r="V4" s="5665"/>
    </row>
    <row r="5" spans="1:23" ht="28.5" customHeight="1" x14ac:dyDescent="0.2">
      <c r="A5" s="5664"/>
      <c r="B5" s="1842" t="s">
        <v>112</v>
      </c>
      <c r="C5" s="5666" t="s">
        <v>825</v>
      </c>
      <c r="D5" s="5666" t="s">
        <v>99</v>
      </c>
      <c r="E5" s="5666" t="s">
        <v>830</v>
      </c>
      <c r="F5" s="5666"/>
      <c r="G5" s="5666"/>
      <c r="H5" s="5666" t="s">
        <v>830</v>
      </c>
      <c r="I5" s="5666"/>
      <c r="J5" s="5666"/>
      <c r="K5" s="1842" t="s">
        <v>112</v>
      </c>
      <c r="L5" s="5666" t="s">
        <v>825</v>
      </c>
      <c r="M5" s="5666" t="s">
        <v>99</v>
      </c>
      <c r="N5" s="5666" t="s">
        <v>830</v>
      </c>
      <c r="O5" s="5666"/>
      <c r="P5" s="5666"/>
      <c r="Q5" s="1842" t="s">
        <v>112</v>
      </c>
      <c r="R5" s="5666" t="s">
        <v>825</v>
      </c>
      <c r="S5" s="5666" t="s">
        <v>99</v>
      </c>
      <c r="T5" s="1842" t="s">
        <v>112</v>
      </c>
      <c r="U5" s="5666" t="s">
        <v>825</v>
      </c>
      <c r="V5" s="5666" t="s">
        <v>99</v>
      </c>
    </row>
    <row r="6" spans="1:23" ht="25.5" x14ac:dyDescent="0.2">
      <c r="A6" s="5664"/>
      <c r="B6" s="1842" t="s">
        <v>223</v>
      </c>
      <c r="C6" s="5666"/>
      <c r="D6" s="5666"/>
      <c r="E6" s="1842" t="s">
        <v>112</v>
      </c>
      <c r="F6" s="1842" t="s">
        <v>361</v>
      </c>
      <c r="G6" s="1842" t="s">
        <v>99</v>
      </c>
      <c r="H6" s="1842" t="s">
        <v>112</v>
      </c>
      <c r="I6" s="1842" t="s">
        <v>361</v>
      </c>
      <c r="J6" s="1842" t="s">
        <v>99</v>
      </c>
      <c r="K6" s="1842" t="s">
        <v>223</v>
      </c>
      <c r="L6" s="5666"/>
      <c r="M6" s="5666"/>
      <c r="N6" s="1842" t="s">
        <v>112</v>
      </c>
      <c r="O6" s="1842" t="s">
        <v>361</v>
      </c>
      <c r="P6" s="1842" t="s">
        <v>99</v>
      </c>
      <c r="Q6" s="1842" t="s">
        <v>223</v>
      </c>
      <c r="R6" s="5666"/>
      <c r="S6" s="5666"/>
      <c r="T6" s="1842" t="s">
        <v>223</v>
      </c>
      <c r="U6" s="5666"/>
      <c r="V6" s="5666"/>
    </row>
    <row r="7" spans="1:23" ht="22.5" customHeight="1" x14ac:dyDescent="0.2">
      <c r="A7" s="1843" t="s">
        <v>132</v>
      </c>
      <c r="B7" s="1847">
        <f>D7/C7</f>
        <v>5.2037034957496262</v>
      </c>
      <c r="C7" s="1848">
        <v>890.51</v>
      </c>
      <c r="D7" s="1747">
        <v>4633.95</v>
      </c>
      <c r="E7" s="1847" t="e">
        <f>B7-#REF!</f>
        <v>#REF!</v>
      </c>
      <c r="F7" s="1849" t="e">
        <f>C7-#REF!</f>
        <v>#REF!</v>
      </c>
      <c r="G7" s="1849" t="e">
        <f>D7-#REF!</f>
        <v>#REF!</v>
      </c>
      <c r="H7" s="1847" t="e">
        <f>#REF!-B7</f>
        <v>#REF!</v>
      </c>
      <c r="I7" s="1849" t="e">
        <f>#REF!-E7</f>
        <v>#REF!</v>
      </c>
      <c r="J7" s="1849" t="e">
        <f>#REF!-F7</f>
        <v>#REF!</v>
      </c>
      <c r="K7" s="1847" t="e">
        <f>#REF!*1.067</f>
        <v>#REF!</v>
      </c>
      <c r="L7" s="1848" t="e">
        <f>M18*M19</f>
        <v>#REF!</v>
      </c>
      <c r="M7" s="1747" t="e">
        <f>L7*K7</f>
        <v>#REF!</v>
      </c>
      <c r="N7" s="1847" t="e">
        <f>K7-#REF!</f>
        <v>#REF!</v>
      </c>
      <c r="O7" s="1849" t="e">
        <f t="shared" ref="O7:P7" si="0">L7-H7</f>
        <v>#REF!</v>
      </c>
      <c r="P7" s="1849" t="e">
        <f t="shared" si="0"/>
        <v>#REF!</v>
      </c>
      <c r="Q7" s="1849">
        <v>5.1375000000000002</v>
      </c>
      <c r="R7" s="1848">
        <v>742.25199999999995</v>
      </c>
      <c r="S7" s="1850">
        <f>R7*Q7</f>
        <v>3813.3196499999999</v>
      </c>
      <c r="T7" s="1849">
        <f>Q7</f>
        <v>5.1375000000000002</v>
      </c>
      <c r="U7" s="1848">
        <f>V18*V19</f>
        <v>912.32354775672991</v>
      </c>
      <c r="V7" s="1850">
        <f>T7*U7</f>
        <v>4687.0622266002001</v>
      </c>
    </row>
    <row r="8" spans="1:23" ht="15" customHeight="1" x14ac:dyDescent="0.2">
      <c r="A8" s="1843"/>
      <c r="B8" s="1847"/>
      <c r="C8" s="1848"/>
      <c r="D8" s="1747"/>
      <c r="E8" s="1847"/>
      <c r="F8" s="1849"/>
      <c r="G8" s="1849"/>
      <c r="H8" s="1847"/>
      <c r="I8" s="1849"/>
      <c r="J8" s="1849"/>
      <c r="K8" s="1847"/>
      <c r="L8" s="1848"/>
      <c r="M8" s="1747"/>
      <c r="N8" s="1847"/>
      <c r="O8" s="1849"/>
      <c r="P8" s="1849"/>
      <c r="Q8" s="1849"/>
      <c r="R8" s="1848"/>
      <c r="S8" s="1850"/>
      <c r="T8" s="1847"/>
      <c r="U8" s="1848"/>
      <c r="V8" s="1850"/>
    </row>
    <row r="9" spans="1:23" ht="20.25" customHeight="1" x14ac:dyDescent="0.2">
      <c r="A9" s="1843" t="s">
        <v>133</v>
      </c>
      <c r="B9" s="1847">
        <f>D9/C9</f>
        <v>4.2335618738685605</v>
      </c>
      <c r="C9" s="1848">
        <v>1220.79</v>
      </c>
      <c r="D9" s="1747">
        <v>5168.29</v>
      </c>
      <c r="E9" s="1847" t="e">
        <f>B9-#REF!</f>
        <v>#REF!</v>
      </c>
      <c r="F9" s="1849" t="e">
        <f>C9-#REF!</f>
        <v>#REF!</v>
      </c>
      <c r="G9" s="1849" t="e">
        <f>D9-#REF!</f>
        <v>#REF!</v>
      </c>
      <c r="H9" s="1847" t="e">
        <f>#REF!-B9</f>
        <v>#REF!</v>
      </c>
      <c r="I9" s="1849" t="e">
        <f>#REF!-E9</f>
        <v>#REF!</v>
      </c>
      <c r="J9" s="1849" t="e">
        <f>#REF!-F9</f>
        <v>#REF!</v>
      </c>
      <c r="K9" s="1847" t="e">
        <f>#REF!*1.067</f>
        <v>#REF!</v>
      </c>
      <c r="L9" s="1848" t="e">
        <f>M20*M21</f>
        <v>#REF!</v>
      </c>
      <c r="M9" s="1747" t="e">
        <f>L9*K9</f>
        <v>#REF!</v>
      </c>
      <c r="N9" s="1847" t="e">
        <f>K9-#REF!</f>
        <v>#REF!</v>
      </c>
      <c r="O9" s="1849" t="e">
        <f t="shared" ref="O9:P12" si="1">L9-H9</f>
        <v>#REF!</v>
      </c>
      <c r="P9" s="1849" t="e">
        <f t="shared" si="1"/>
        <v>#REF!</v>
      </c>
      <c r="Q9" s="1849">
        <v>4.0983000000000001</v>
      </c>
      <c r="R9" s="1848">
        <v>1422.3510000000001</v>
      </c>
      <c r="S9" s="1850">
        <f>R9*Q9</f>
        <v>5829.2211033000003</v>
      </c>
      <c r="T9" s="1849">
        <f>Q9</f>
        <v>4.0983000000000001</v>
      </c>
      <c r="U9" s="1848">
        <f>V20*V21</f>
        <v>1139.0707554536391</v>
      </c>
      <c r="V9" s="1850">
        <f t="shared" ref="V9" si="2">T9*U9</f>
        <v>4668.2536770756487</v>
      </c>
    </row>
    <row r="10" spans="1:23" ht="20.25" customHeight="1" x14ac:dyDescent="0.2">
      <c r="A10" s="1843" t="s">
        <v>1602</v>
      </c>
      <c r="B10" s="1847"/>
      <c r="C10" s="1848"/>
      <c r="D10" s="1747"/>
      <c r="E10" s="1847"/>
      <c r="F10" s="1849"/>
      <c r="G10" s="1849"/>
      <c r="H10" s="1847"/>
      <c r="I10" s="1849"/>
      <c r="J10" s="1849"/>
      <c r="K10" s="1847"/>
      <c r="L10" s="1848"/>
      <c r="M10" s="1747"/>
      <c r="N10" s="1847"/>
      <c r="O10" s="1849"/>
      <c r="P10" s="1849"/>
      <c r="Q10" s="1849"/>
      <c r="R10" s="1848"/>
      <c r="S10" s="1850">
        <v>258.7</v>
      </c>
      <c r="T10" s="1847"/>
      <c r="U10" s="1848"/>
      <c r="V10" s="1850">
        <v>258.7</v>
      </c>
    </row>
    <row r="11" spans="1:23" ht="25.5" customHeight="1" x14ac:dyDescent="0.2">
      <c r="A11" s="1851" t="s">
        <v>134</v>
      </c>
      <c r="B11" s="1852">
        <f>D11/C11</f>
        <v>4.6427509117605261</v>
      </c>
      <c r="C11" s="1745">
        <f>C7+C9</f>
        <v>2111.3000000000002</v>
      </c>
      <c r="D11" s="1745">
        <f>SUM(D7:D9)</f>
        <v>9802.24</v>
      </c>
      <c r="E11" s="1852" t="e">
        <f>B11-#REF!</f>
        <v>#REF!</v>
      </c>
      <c r="F11" s="1853" t="e">
        <f>C11-#REF!</f>
        <v>#REF!</v>
      </c>
      <c r="G11" s="1853" t="e">
        <f>D11-#REF!</f>
        <v>#REF!</v>
      </c>
      <c r="H11" s="1852" t="e">
        <f>#REF!-D11</f>
        <v>#REF!</v>
      </c>
      <c r="I11" s="1853" t="e">
        <f>#REF!-E11</f>
        <v>#REF!</v>
      </c>
      <c r="J11" s="1853" t="e">
        <f>#REF!-F11</f>
        <v>#REF!</v>
      </c>
      <c r="K11" s="1852" t="e">
        <f>M11/L11</f>
        <v>#REF!</v>
      </c>
      <c r="L11" s="1745" t="e">
        <f>L7+L9</f>
        <v>#REF!</v>
      </c>
      <c r="M11" s="1745" t="e">
        <f>SUM(M7:M9)</f>
        <v>#REF!</v>
      </c>
      <c r="N11" s="1852" t="e">
        <f>K11-#REF!</f>
        <v>#REF!</v>
      </c>
      <c r="O11" s="1853" t="e">
        <f t="shared" si="1"/>
        <v>#REF!</v>
      </c>
      <c r="P11" s="1853" t="e">
        <f t="shared" si="1"/>
        <v>#REF!</v>
      </c>
      <c r="Q11" s="1852">
        <f>S11/R11</f>
        <v>4.5741601362004953</v>
      </c>
      <c r="R11" s="1745">
        <f>R7+R9</f>
        <v>2164.6030000000001</v>
      </c>
      <c r="S11" s="1745">
        <f>SUM(S7:S10)</f>
        <v>9901.2407533000005</v>
      </c>
      <c r="T11" s="1852">
        <f>V11/U11</f>
        <v>4.686576290394397</v>
      </c>
      <c r="U11" s="1745">
        <f>U7+U9</f>
        <v>2051.3943032103689</v>
      </c>
      <c r="V11" s="1745">
        <f>SUM(V7:V10)</f>
        <v>9614.0159036758487</v>
      </c>
      <c r="W11" s="1674">
        <f>D11-V11</f>
        <v>188.22409632415111</v>
      </c>
    </row>
    <row r="12" spans="1:23" ht="25.5" customHeight="1" x14ac:dyDescent="0.2">
      <c r="A12" s="1843" t="s">
        <v>135</v>
      </c>
      <c r="B12" s="1847">
        <f>D12/C12</f>
        <v>5.2277890952435557</v>
      </c>
      <c r="C12" s="1848">
        <f>D22*D23</f>
        <v>363.59730000000002</v>
      </c>
      <c r="D12" s="1747">
        <v>1900.81</v>
      </c>
      <c r="E12" s="1847" t="e">
        <f>B12-#REF!</f>
        <v>#REF!</v>
      </c>
      <c r="F12" s="1849" t="e">
        <f>C12-#REF!</f>
        <v>#REF!</v>
      </c>
      <c r="G12" s="1849" t="e">
        <f>D12-#REF!</f>
        <v>#REF!</v>
      </c>
      <c r="H12" s="1847" t="e">
        <f>#REF!-D12</f>
        <v>#REF!</v>
      </c>
      <c r="I12" s="1849" t="e">
        <f>#REF!-E12</f>
        <v>#REF!</v>
      </c>
      <c r="J12" s="1849" t="e">
        <f>#REF!-F12</f>
        <v>#REF!</v>
      </c>
      <c r="K12" s="1847" t="e">
        <f>#REF!*1.067</f>
        <v>#REF!</v>
      </c>
      <c r="L12" s="1848" t="e">
        <f>M22*M23</f>
        <v>#REF!</v>
      </c>
      <c r="M12" s="1747" t="e">
        <f>L12*K12</f>
        <v>#REF!</v>
      </c>
      <c r="N12" s="1847" t="e">
        <f>K12-#REF!</f>
        <v>#REF!</v>
      </c>
      <c r="O12" s="1849" t="e">
        <f t="shared" si="1"/>
        <v>#REF!</v>
      </c>
      <c r="P12" s="1849" t="e">
        <f t="shared" si="1"/>
        <v>#REF!</v>
      </c>
      <c r="Q12" s="1849">
        <v>5.1866000000000003</v>
      </c>
      <c r="R12" s="1848">
        <v>267.00099999999998</v>
      </c>
      <c r="S12" s="1850">
        <f>R12*Q12</f>
        <v>1384.8273866</v>
      </c>
      <c r="T12" s="1847">
        <f>Q12</f>
        <v>5.1866000000000003</v>
      </c>
      <c r="U12" s="1848">
        <f>V22*V23</f>
        <v>285.68554999999998</v>
      </c>
      <c r="V12" s="1850">
        <f>T12*U12</f>
        <v>1481.73667363</v>
      </c>
    </row>
    <row r="13" spans="1:23" ht="15" customHeight="1" x14ac:dyDescent="0.2">
      <c r="A13" s="1843"/>
      <c r="B13" s="1847"/>
      <c r="C13" s="1848"/>
      <c r="D13" s="1747"/>
      <c r="E13" s="1847"/>
      <c r="F13" s="1849"/>
      <c r="G13" s="1849"/>
      <c r="H13" s="1847"/>
      <c r="I13" s="1849"/>
      <c r="J13" s="1849"/>
      <c r="K13" s="1847"/>
      <c r="L13" s="1848"/>
      <c r="M13" s="1747"/>
      <c r="N13" s="1847"/>
      <c r="O13" s="1849"/>
      <c r="P13" s="1849"/>
      <c r="Q13" s="1847"/>
      <c r="R13" s="1848"/>
      <c r="S13" s="1850"/>
      <c r="T13" s="1847"/>
      <c r="U13" s="1848"/>
      <c r="V13" s="1850"/>
    </row>
    <row r="14" spans="1:23" ht="21.75" customHeight="1" x14ac:dyDescent="0.2">
      <c r="A14" s="1843" t="s">
        <v>136</v>
      </c>
      <c r="B14" s="1847">
        <f>D14/C14</f>
        <v>4.0317610966296833</v>
      </c>
      <c r="C14" s="1848">
        <f>D22*D24</f>
        <v>1439.6984</v>
      </c>
      <c r="D14" s="1747">
        <v>5804.52</v>
      </c>
      <c r="E14" s="1847" t="e">
        <f>B14-#REF!</f>
        <v>#REF!</v>
      </c>
      <c r="F14" s="1849" t="e">
        <f>C14-#REF!</f>
        <v>#REF!</v>
      </c>
      <c r="G14" s="1849" t="e">
        <f>D14-#REF!</f>
        <v>#REF!</v>
      </c>
      <c r="H14" s="1847" t="e">
        <f>#REF!-D14</f>
        <v>#REF!</v>
      </c>
      <c r="I14" s="1849" t="e">
        <f>#REF!-E14</f>
        <v>#REF!</v>
      </c>
      <c r="J14" s="1849" t="e">
        <f>#REF!-F14</f>
        <v>#REF!</v>
      </c>
      <c r="K14" s="1847" t="e">
        <f>#REF!*1.067</f>
        <v>#REF!</v>
      </c>
      <c r="L14" s="1848" t="e">
        <f>M22*M24</f>
        <v>#REF!</v>
      </c>
      <c r="M14" s="1747" t="e">
        <f>L14*K14</f>
        <v>#REF!</v>
      </c>
      <c r="N14" s="1847" t="e">
        <f>K14-#REF!</f>
        <v>#REF!</v>
      </c>
      <c r="O14" s="1849" t="e">
        <f t="shared" ref="O14:P14" si="3">L14-H14</f>
        <v>#REF!</v>
      </c>
      <c r="P14" s="1849" t="e">
        <f t="shared" si="3"/>
        <v>#REF!</v>
      </c>
      <c r="Q14" s="1849">
        <v>3.8536000000000001</v>
      </c>
      <c r="R14" s="1848">
        <v>1856.5809999999999</v>
      </c>
      <c r="S14" s="1850">
        <f>R14*Q14</f>
        <v>7154.5205415999999</v>
      </c>
      <c r="T14" s="1847">
        <f>Q14</f>
        <v>3.8536000000000001</v>
      </c>
      <c r="U14" s="1848">
        <f>V22*V24</f>
        <v>1258.3004000000001</v>
      </c>
      <c r="V14" s="1850">
        <f>T14*U14</f>
        <v>4848.9864214400004</v>
      </c>
    </row>
    <row r="15" spans="1:23" ht="21.75" customHeight="1" x14ac:dyDescent="0.2">
      <c r="A15" s="1843" t="s">
        <v>1602</v>
      </c>
      <c r="B15" s="1847"/>
      <c r="C15" s="1848"/>
      <c r="D15" s="1747"/>
      <c r="E15" s="1847"/>
      <c r="F15" s="1849"/>
      <c r="G15" s="1849"/>
      <c r="H15" s="1847"/>
      <c r="I15" s="1849"/>
      <c r="J15" s="1849"/>
      <c r="K15" s="1847"/>
      <c r="L15" s="1848"/>
      <c r="M15" s="1747"/>
      <c r="N15" s="1847"/>
      <c r="O15" s="1849"/>
      <c r="P15" s="1849"/>
      <c r="Q15" s="1849"/>
      <c r="R15" s="1848"/>
      <c r="S15" s="1850">
        <v>258.5</v>
      </c>
      <c r="T15" s="1847"/>
      <c r="U15" s="1848"/>
      <c r="V15" s="1850">
        <v>258.5</v>
      </c>
    </row>
    <row r="16" spans="1:23" ht="30" customHeight="1" x14ac:dyDescent="0.2">
      <c r="A16" s="1851" t="s">
        <v>137</v>
      </c>
      <c r="B16" s="1852">
        <f>D16/C16</f>
        <v>4.2729154181424596</v>
      </c>
      <c r="C16" s="1745">
        <f>SUM(C12:C14)</f>
        <v>1803.2957000000001</v>
      </c>
      <c r="D16" s="1745">
        <f>SUM(D12:D14)</f>
        <v>7705.33</v>
      </c>
      <c r="E16" s="1852" t="e">
        <f>B16-#REF!</f>
        <v>#REF!</v>
      </c>
      <c r="F16" s="1854" t="e">
        <f>C16-#REF!</f>
        <v>#REF!</v>
      </c>
      <c r="G16" s="1854" t="e">
        <f>D16-#REF!</f>
        <v>#REF!</v>
      </c>
      <c r="H16" s="1852" t="e">
        <f>#REF!-D16</f>
        <v>#REF!</v>
      </c>
      <c r="I16" s="1854" t="e">
        <f>#REF!-E16</f>
        <v>#REF!</v>
      </c>
      <c r="J16" s="1854" t="e">
        <f>#REF!-F16</f>
        <v>#REF!</v>
      </c>
      <c r="K16" s="1852" t="e">
        <f>M16/L16</f>
        <v>#REF!</v>
      </c>
      <c r="L16" s="1745" t="e">
        <f>SUM(L12:L14)</f>
        <v>#REF!</v>
      </c>
      <c r="M16" s="1745" t="e">
        <f>SUM(M12:M14)</f>
        <v>#REF!</v>
      </c>
      <c r="N16" s="1852" t="e">
        <f>K16-#REF!</f>
        <v>#REF!</v>
      </c>
      <c r="O16" s="1854" t="e">
        <f>L16-H16</f>
        <v>#REF!</v>
      </c>
      <c r="P16" s="1854" t="e">
        <f>M16-I16</f>
        <v>#REF!</v>
      </c>
      <c r="Q16" s="1852">
        <f>S16/R16</f>
        <v>4.1429282825904536</v>
      </c>
      <c r="R16" s="1745">
        <f>SUM(R12:R14)</f>
        <v>2123.5819999999999</v>
      </c>
      <c r="S16" s="1745">
        <f>SUM(S12:S15)</f>
        <v>8797.8479282000008</v>
      </c>
      <c r="T16" s="1852">
        <f>V16/U16</f>
        <v>4.2676703729525522</v>
      </c>
      <c r="U16" s="1745">
        <f>SUM(U12:U14)</f>
        <v>1543.98595</v>
      </c>
      <c r="V16" s="1745">
        <f>SUM(V12:V15)</f>
        <v>6589.2230950700005</v>
      </c>
      <c r="W16" s="1674">
        <f>D16-V16</f>
        <v>1116.1069049299995</v>
      </c>
    </row>
    <row r="17" spans="1:23" ht="30" customHeight="1" x14ac:dyDescent="0.2">
      <c r="A17" s="1851" t="s">
        <v>1603</v>
      </c>
      <c r="B17" s="1860">
        <v>0</v>
      </c>
      <c r="C17" s="1746">
        <v>0</v>
      </c>
      <c r="D17" s="1746">
        <v>0</v>
      </c>
      <c r="E17" s="1852"/>
      <c r="F17" s="1854"/>
      <c r="G17" s="1854"/>
      <c r="H17" s="1852"/>
      <c r="I17" s="1854"/>
      <c r="J17" s="1854"/>
      <c r="K17" s="1852"/>
      <c r="L17" s="1745"/>
      <c r="M17" s="1745"/>
      <c r="N17" s="1852"/>
      <c r="O17" s="1854"/>
      <c r="P17" s="1854"/>
      <c r="Q17" s="1860">
        <f>S17/R17</f>
        <v>5.1825010380100407</v>
      </c>
      <c r="R17" s="1746">
        <f>26.493</f>
        <v>26.492999999999999</v>
      </c>
      <c r="S17" s="1746">
        <v>137.30000000000001</v>
      </c>
      <c r="T17" s="1860">
        <v>0</v>
      </c>
      <c r="U17" s="1746">
        <v>0</v>
      </c>
      <c r="V17" s="1746">
        <v>137.30000000000001</v>
      </c>
      <c r="W17" s="1674">
        <f>D17-V17</f>
        <v>-137.30000000000001</v>
      </c>
    </row>
    <row r="18" spans="1:23" ht="14.25" customHeight="1" x14ac:dyDescent="0.2">
      <c r="A18" s="1855" t="s">
        <v>138</v>
      </c>
      <c r="B18" s="1845"/>
      <c r="C18" s="1845"/>
      <c r="D18" s="1846">
        <v>5607.52</v>
      </c>
      <c r="E18" s="1845"/>
      <c r="F18" s="1844"/>
      <c r="G18" s="1841" t="e">
        <f>D18-#REF!</f>
        <v>#REF!</v>
      </c>
      <c r="H18" s="1845"/>
      <c r="I18" s="1844"/>
      <c r="J18" s="1841" t="e">
        <f>#REF!-F18</f>
        <v>#REF!</v>
      </c>
      <c r="K18" s="1845"/>
      <c r="L18" s="1845"/>
      <c r="M18" s="1846" t="e">
        <f>#REF!</f>
        <v>#REF!</v>
      </c>
      <c r="N18" s="1845"/>
      <c r="O18" s="1844"/>
      <c r="P18" s="1841" t="e">
        <f t="shared" ref="P18:P24" si="4">M18-I18</f>
        <v>#REF!</v>
      </c>
      <c r="Q18" s="1845"/>
      <c r="R18" s="1845"/>
      <c r="S18" s="1846">
        <f>объемы!R39+объемы!S39</f>
        <v>6716.13</v>
      </c>
      <c r="T18" s="1845"/>
      <c r="U18" s="1845"/>
      <c r="V18" s="1846">
        <f>'хим. реагенты'!B26+'хим. реагенты'!C26</f>
        <v>5737.8839481555342</v>
      </c>
    </row>
    <row r="19" spans="1:23" ht="26.25" customHeight="1" x14ac:dyDescent="0.2">
      <c r="A19" s="1856" t="s">
        <v>139</v>
      </c>
      <c r="B19" s="1857"/>
      <c r="C19" s="1857"/>
      <c r="D19" s="1847">
        <v>0.159</v>
      </c>
      <c r="E19" s="1857"/>
      <c r="F19" s="1847"/>
      <c r="G19" s="1847" t="e">
        <f>D19-#REF!</f>
        <v>#REF!</v>
      </c>
      <c r="H19" s="1857"/>
      <c r="I19" s="1847"/>
      <c r="J19" s="1847" t="e">
        <f>#REF!-F19</f>
        <v>#REF!</v>
      </c>
      <c r="K19" s="1857"/>
      <c r="L19" s="1857"/>
      <c r="M19" s="1847">
        <v>0.124</v>
      </c>
      <c r="N19" s="1857"/>
      <c r="O19" s="1847"/>
      <c r="P19" s="1847">
        <f t="shared" si="4"/>
        <v>0.124</v>
      </c>
      <c r="Q19" s="1857"/>
      <c r="R19" s="1857"/>
      <c r="S19" s="1847">
        <f>R7/S18</f>
        <v>0.11051781308580982</v>
      </c>
      <c r="T19" s="1857"/>
      <c r="U19" s="1857"/>
      <c r="V19" s="1847">
        <v>0.159</v>
      </c>
    </row>
    <row r="20" spans="1:23" ht="15.75" customHeight="1" x14ac:dyDescent="0.2">
      <c r="A20" s="1856" t="s">
        <v>865</v>
      </c>
      <c r="B20" s="1857"/>
      <c r="C20" s="1857"/>
      <c r="D20" s="1747">
        <v>5050.3999999999996</v>
      </c>
      <c r="E20" s="1857"/>
      <c r="F20" s="1847"/>
      <c r="G20" s="1849" t="e">
        <f>D20-#REF!</f>
        <v>#REF!</v>
      </c>
      <c r="H20" s="1857"/>
      <c r="I20" s="1847"/>
      <c r="J20" s="1849" t="e">
        <f>#REF!-F20</f>
        <v>#REF!</v>
      </c>
      <c r="K20" s="1857"/>
      <c r="L20" s="1857"/>
      <c r="M20" s="1747" t="e">
        <f>#REF!</f>
        <v>#REF!</v>
      </c>
      <c r="N20" s="1857"/>
      <c r="O20" s="1847"/>
      <c r="P20" s="1849" t="e">
        <f t="shared" si="4"/>
        <v>#REF!</v>
      </c>
      <c r="Q20" s="1857"/>
      <c r="R20" s="1857"/>
      <c r="S20" s="1747">
        <f>объемы!U44+объемы!R42</f>
        <v>4834.7</v>
      </c>
      <c r="T20" s="1857"/>
      <c r="U20" s="1857"/>
      <c r="V20" s="1747">
        <f>V18-'хим. реагенты'!B27</f>
        <v>4706.9039481555337</v>
      </c>
    </row>
    <row r="21" spans="1:23" ht="20.25" customHeight="1" x14ac:dyDescent="0.2">
      <c r="A21" s="1856" t="s">
        <v>140</v>
      </c>
      <c r="B21" s="1857"/>
      <c r="C21" s="1857"/>
      <c r="D21" s="1847">
        <v>0.24199999999999999</v>
      </c>
      <c r="E21" s="1857"/>
      <c r="F21" s="1847"/>
      <c r="G21" s="1847" t="e">
        <f>D21-#REF!</f>
        <v>#REF!</v>
      </c>
      <c r="H21" s="1857"/>
      <c r="I21" s="1847"/>
      <c r="J21" s="1847" t="e">
        <f>#REF!-F21</f>
        <v>#REF!</v>
      </c>
      <c r="K21" s="1857"/>
      <c r="L21" s="1857"/>
      <c r="M21" s="1847">
        <v>0.24199999999999999</v>
      </c>
      <c r="N21" s="1857"/>
      <c r="O21" s="1847"/>
      <c r="P21" s="1847">
        <f t="shared" si="4"/>
        <v>0.24199999999999999</v>
      </c>
      <c r="Q21" s="1857"/>
      <c r="R21" s="1857"/>
      <c r="S21" s="1847">
        <f>R9/S20</f>
        <v>0.29419633069270074</v>
      </c>
      <c r="T21" s="1857"/>
      <c r="U21" s="1857"/>
      <c r="V21" s="1847">
        <v>0.24199999999999999</v>
      </c>
    </row>
    <row r="22" spans="1:23" ht="21" customHeight="1" x14ac:dyDescent="0.2">
      <c r="A22" s="1858" t="s">
        <v>141</v>
      </c>
      <c r="B22" s="1845"/>
      <c r="C22" s="1845"/>
      <c r="D22" s="1846">
        <v>3672.7</v>
      </c>
      <c r="E22" s="1845"/>
      <c r="F22" s="1844"/>
      <c r="G22" s="1841" t="e">
        <f>D22-#REF!</f>
        <v>#REF!</v>
      </c>
      <c r="H22" s="1845"/>
      <c r="I22" s="1844"/>
      <c r="J22" s="1841" t="e">
        <f>#REF!-F22</f>
        <v>#REF!</v>
      </c>
      <c r="K22" s="1845"/>
      <c r="L22" s="1845"/>
      <c r="M22" s="1846" t="e">
        <f>#REF!</f>
        <v>#REF!</v>
      </c>
      <c r="N22" s="1845"/>
      <c r="O22" s="1844"/>
      <c r="P22" s="1841" t="e">
        <f t="shared" si="4"/>
        <v>#REF!</v>
      </c>
      <c r="Q22" s="1845"/>
      <c r="R22" s="1845"/>
      <c r="S22" s="1846">
        <f>объемы!R62</f>
        <v>3840.95</v>
      </c>
      <c r="T22" s="1845"/>
      <c r="U22" s="1845"/>
      <c r="V22" s="1846">
        <f>объемы!R63+объемы!S63</f>
        <v>3209.95</v>
      </c>
    </row>
    <row r="23" spans="1:23" ht="46.5" customHeight="1" x14ac:dyDescent="0.2">
      <c r="A23" s="1856" t="s">
        <v>142</v>
      </c>
      <c r="B23" s="1857"/>
      <c r="C23" s="1857"/>
      <c r="D23" s="1847">
        <v>9.9000000000000005E-2</v>
      </c>
      <c r="E23" s="1857"/>
      <c r="F23" s="1847"/>
      <c r="G23" s="1847" t="e">
        <f>D23-#REF!</f>
        <v>#REF!</v>
      </c>
      <c r="H23" s="1857"/>
      <c r="I23" s="1847"/>
      <c r="J23" s="1847" t="e">
        <f>#REF!-F23</f>
        <v>#REF!</v>
      </c>
      <c r="K23" s="1857"/>
      <c r="L23" s="1857"/>
      <c r="M23" s="1847">
        <v>8.4000000000000005E-2</v>
      </c>
      <c r="N23" s="1857"/>
      <c r="O23" s="1847"/>
      <c r="P23" s="1847">
        <f t="shared" si="4"/>
        <v>8.4000000000000005E-2</v>
      </c>
      <c r="Q23" s="1857"/>
      <c r="R23" s="1857"/>
      <c r="S23" s="1847">
        <v>8.4000000000000005E-2</v>
      </c>
      <c r="T23" s="1857"/>
      <c r="U23" s="1857"/>
      <c r="V23" s="1847">
        <v>8.8999999999999996E-2</v>
      </c>
      <c r="W23" s="371" t="s">
        <v>1663</v>
      </c>
    </row>
    <row r="24" spans="1:23" ht="45.75" customHeight="1" x14ac:dyDescent="0.2">
      <c r="A24" s="1856" t="s">
        <v>143</v>
      </c>
      <c r="B24" s="1857"/>
      <c r="C24" s="1857"/>
      <c r="D24" s="1847">
        <v>0.39200000000000002</v>
      </c>
      <c r="E24" s="1857"/>
      <c r="F24" s="1847"/>
      <c r="G24" s="1847" t="e">
        <f>D24-#REF!</f>
        <v>#REF!</v>
      </c>
      <c r="H24" s="1857"/>
      <c r="I24" s="1847"/>
      <c r="J24" s="1847" t="e">
        <f>#REF!-F24</f>
        <v>#REF!</v>
      </c>
      <c r="K24" s="1857"/>
      <c r="L24" s="1857"/>
      <c r="M24" s="1847">
        <v>0.42</v>
      </c>
      <c r="N24" s="1857"/>
      <c r="O24" s="1847"/>
      <c r="P24" s="1847">
        <f t="shared" si="4"/>
        <v>0.42</v>
      </c>
      <c r="Q24" s="1857"/>
      <c r="R24" s="1857"/>
      <c r="S24" s="1849">
        <v>0.42</v>
      </c>
      <c r="T24" s="1857"/>
      <c r="U24" s="1857"/>
      <c r="V24" s="1847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862"/>
    </row>
    <row r="34" spans="1:1" x14ac:dyDescent="0.2">
      <c r="A34" s="862"/>
    </row>
    <row r="35" spans="1:1" x14ac:dyDescent="0.2">
      <c r="A35" s="1859"/>
    </row>
    <row r="36" spans="1:1" x14ac:dyDescent="0.2">
      <c r="A36" s="1859"/>
    </row>
  </sheetData>
  <mergeCells count="20">
    <mergeCell ref="Q4:S4"/>
    <mergeCell ref="B4:D4"/>
    <mergeCell ref="E4:G4"/>
    <mergeCell ref="H4:J4"/>
    <mergeCell ref="A3:A6"/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  <mergeCell ref="V5:V6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86"/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5640"/>
      <c r="B1" s="5640" t="s">
        <v>364</v>
      </c>
      <c r="C1" s="5640"/>
      <c r="D1" s="5640"/>
      <c r="E1" s="5640"/>
    </row>
    <row r="2" spans="1:6" ht="25.5" x14ac:dyDescent="0.2">
      <c r="A2" s="5640"/>
      <c r="B2" s="1580" t="s">
        <v>119</v>
      </c>
      <c r="C2" s="1600" t="s">
        <v>1588</v>
      </c>
      <c r="D2" s="1600" t="s">
        <v>1665</v>
      </c>
      <c r="E2" s="1600" t="s">
        <v>60</v>
      </c>
    </row>
    <row r="3" spans="1:6" x14ac:dyDescent="0.2">
      <c r="A3" s="1675" t="s">
        <v>46</v>
      </c>
      <c r="B3" s="1675"/>
      <c r="C3" s="1675"/>
      <c r="D3" s="1675"/>
      <c r="E3" s="1675"/>
    </row>
    <row r="4" spans="1:6" x14ac:dyDescent="0.2">
      <c r="A4" s="1675" t="s">
        <v>1664</v>
      </c>
      <c r="B4" s="1675">
        <f>278+998+1575</f>
        <v>2851</v>
      </c>
      <c r="C4" s="1675">
        <v>215.85</v>
      </c>
      <c r="D4" s="1675">
        <f>C4-B4</f>
        <v>-2635.15</v>
      </c>
      <c r="E4" s="1675">
        <v>4226.2929999999997</v>
      </c>
      <c r="F4" s="5">
        <f>E4-C4</f>
        <v>4010.4429999999998</v>
      </c>
    </row>
    <row r="5" spans="1:6" x14ac:dyDescent="0.2">
      <c r="A5" s="1675" t="s">
        <v>278</v>
      </c>
      <c r="B5" s="1675">
        <v>0</v>
      </c>
      <c r="C5" s="1675">
        <v>0</v>
      </c>
      <c r="D5" s="1675">
        <v>0</v>
      </c>
      <c r="E5" s="1675">
        <v>0</v>
      </c>
      <c r="F5" s="5">
        <f t="shared" ref="F5:F8" si="0">E5-C5</f>
        <v>0</v>
      </c>
    </row>
    <row r="6" spans="1:6" x14ac:dyDescent="0.2">
      <c r="A6" s="1675" t="s">
        <v>47</v>
      </c>
      <c r="B6" s="1675"/>
      <c r="C6" s="1675"/>
      <c r="D6" s="1675"/>
      <c r="E6" s="1675"/>
    </row>
    <row r="7" spans="1:6" x14ac:dyDescent="0.2">
      <c r="A7" s="1675" t="s">
        <v>1664</v>
      </c>
      <c r="B7" s="1675">
        <f>320+290+230+730</f>
        <v>1570</v>
      </c>
      <c r="C7" s="1675">
        <v>361.53</v>
      </c>
      <c r="D7" s="1675">
        <f>C7-B7</f>
        <v>-1208.47</v>
      </c>
      <c r="E7" s="1675">
        <v>1189.7080000000001</v>
      </c>
      <c r="F7" s="5">
        <f t="shared" si="0"/>
        <v>828.17800000000011</v>
      </c>
    </row>
    <row r="8" spans="1:6" x14ac:dyDescent="0.2">
      <c r="A8" s="1675" t="s">
        <v>278</v>
      </c>
      <c r="B8" s="1675">
        <v>0</v>
      </c>
      <c r="C8" s="1675">
        <v>0</v>
      </c>
      <c r="D8" s="1675">
        <v>0</v>
      </c>
      <c r="E8" s="1675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87"/>
  <dimension ref="A1"/>
  <sheetViews>
    <sheetView workbookViewId="0">
      <selection activeCell="D12" sqref="D12"/>
    </sheetView>
  </sheetViews>
  <sheetFormatPr defaultRowHeight="12.75" x14ac:dyDescent="0.2"/>
  <sheetData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88"/>
  <dimension ref="A1"/>
  <sheetViews>
    <sheetView workbookViewId="0">
      <selection activeCell="C41" sqref="C41"/>
    </sheetView>
  </sheetViews>
  <sheetFormatPr defaultRowHeight="12.75" x14ac:dyDescent="0.2"/>
  <sheetData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8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95</vt:i4>
      </vt:variant>
      <vt:variant>
        <vt:lpstr>Именованные диапазоны</vt:lpstr>
      </vt:variant>
      <vt:variant>
        <vt:i4>61</vt:i4>
      </vt:variant>
    </vt:vector>
  </HeadingPairs>
  <TitlesOfParts>
    <vt:vector size="156" baseType="lpstr">
      <vt:lpstr>расчет тарифов 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Текущий ремонт</vt:lpstr>
      <vt:lpstr>Чистая прибыль с транспортир.</vt:lpstr>
      <vt:lpstr>Прил. 1 План ФХД с транспортир.</vt:lpstr>
      <vt:lpstr>Прил. 1 План ФХД трансп. стоков</vt:lpstr>
      <vt:lpstr>Прил. 1 План ФХД трансп. воды</vt:lpstr>
      <vt:lpstr>Прил. 1 План ФХД стоки</vt:lpstr>
      <vt:lpstr>Прил. 1 План ФХД вода </vt:lpstr>
      <vt:lpstr>Расчет товарной выручки 2021</vt:lpstr>
      <vt:lpstr>ФАКТ.СЕБЕСТ.СТОКИ 9 мес. 2021</vt:lpstr>
      <vt:lpstr>ПОЛНАЯ СЕБЕСТОИМОСТЬ СТОКИ 2021</vt:lpstr>
      <vt:lpstr>ФАКТ.СЕБЕСТ.ВОДА 9 мес. 2021</vt:lpstr>
      <vt:lpstr>ПОЛНАЯ СЕБЕСТОИМОСТЬ ВОДА 2021</vt:lpstr>
      <vt:lpstr>Расчет товарной выручки 2019</vt:lpstr>
      <vt:lpstr>объемы</vt:lpstr>
      <vt:lpstr>вода</vt:lpstr>
      <vt:lpstr>стоки</vt:lpstr>
      <vt:lpstr>вода 2019-2021 коррект</vt:lpstr>
      <vt:lpstr>тех вода 2019-2021</vt:lpstr>
      <vt:lpstr>стоки 2019-2021</vt:lpstr>
      <vt:lpstr>очистка 2019-2021</vt:lpstr>
      <vt:lpstr>цех вода</vt:lpstr>
      <vt:lpstr>цех стоки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хим реагенты</vt:lpstr>
      <vt:lpstr>ЗП</vt:lpstr>
      <vt:lpstr>ЗП среднемес</vt:lpstr>
      <vt:lpstr>рем программа</vt:lpstr>
      <vt:lpstr>ремонты</vt:lpstr>
      <vt:lpstr>ОХР </vt:lpstr>
      <vt:lpstr>Тепловая энергия (3 подъем)</vt:lpstr>
      <vt:lpstr>Транспортировка КЭМЗ</vt:lpstr>
      <vt:lpstr>ЗП с факт 3 кв. 2015</vt:lpstr>
      <vt:lpstr>ср. разряд</vt:lpstr>
      <vt:lpstr>Аренда земли</vt:lpstr>
      <vt:lpstr>3 подъем зпл</vt:lpstr>
      <vt:lpstr>транс</vt:lpstr>
      <vt:lpstr> текРемвода 2016</vt:lpstr>
      <vt:lpstr>  текРемстоки 2016</vt:lpstr>
      <vt:lpstr>Кап Рем</vt:lpstr>
      <vt:lpstr>кап влож</vt:lpstr>
      <vt:lpstr>выпадающие расходы</vt:lpstr>
      <vt:lpstr>Н 2019-2024</vt:lpstr>
      <vt:lpstr>вод.налог</vt:lpstr>
      <vt:lpstr>имущество</vt:lpstr>
      <vt:lpstr>налог на имущ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НВОС</vt:lpstr>
      <vt:lpstr>рез к 2018-2024 (кор) </vt:lpstr>
      <vt:lpstr>А 2018</vt:lpstr>
      <vt:lpstr>Расчет товарной выручки 2018</vt:lpstr>
      <vt:lpstr>рез к 2017-2023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Лист3</vt:lpstr>
      <vt:lpstr>Лист5</vt:lpstr>
      <vt:lpstr>Лист1</vt:lpstr>
      <vt:lpstr>'вода 2019-2021 коррект'!Заголовки_для_печати</vt:lpstr>
      <vt:lpstr>'стоки 2019-2021'!Заголовки_для_печати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Аморт!Область_печати</vt:lpstr>
      <vt:lpstr>'Аренда земли'!Область_печати</vt:lpstr>
      <vt:lpstr>вод.налог!Область_печати</vt:lpstr>
      <vt:lpstr>вода!Область_печати</vt:lpstr>
      <vt:lpstr>'вода 2019-2021 коррект'!Область_печати</vt:lpstr>
      <vt:lpstr>'Выпадающ15-16'!Область_печати</vt:lpstr>
      <vt:lpstr>'выпадающие расходы'!Область_печати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имущество!Область_печати</vt:lpstr>
      <vt:lpstr>'Н 2019-2024'!Область_печати</vt:lpstr>
      <vt:lpstr>НВОС!Область_печати</vt:lpstr>
      <vt:lpstr>объемы!Область_печати</vt:lpstr>
      <vt:lpstr>'объемы черн'!Область_печати</vt:lpstr>
      <vt:lpstr>'ОХР '!Область_печати</vt:lpstr>
      <vt:lpstr>'очистка 2019-2021'!Область_печати</vt:lpstr>
      <vt:lpstr>'платежка с ИП'!Область_печати</vt:lpstr>
      <vt:lpstr>'ПОЛНАЯ СЕБЕСТОИМОСТЬ ВОДА 2021'!Область_печати</vt:lpstr>
      <vt:lpstr>'ПОЛНАЯ СЕБЕСТОИМОСТЬ СТОКИ 2021'!Область_печати</vt:lpstr>
      <vt:lpstr>'Прил. 1 План ФХД вода '!Область_печати</vt:lpstr>
      <vt:lpstr>'Прил. 1 План ФХД с транспортир.'!Область_печати</vt:lpstr>
      <vt:lpstr>'Прил. 1 План ФХД стоки'!Область_печати</vt:lpstr>
      <vt:lpstr>'Прил. 1 План ФХД трансп. воды'!Область_печати</vt:lpstr>
      <vt:lpstr>'Прил. 1 План ФХД трансп. стоков'!Область_печати</vt:lpstr>
      <vt:lpstr>'расчет тарифов '!Область_печати</vt:lpstr>
      <vt:lpstr>'Расчет товарной выручки 2018'!Область_печати</vt:lpstr>
      <vt:lpstr>'Расчет товарной выручки 2019'!Область_печати</vt:lpstr>
      <vt:lpstr>'Расчет товарной выручки 2021'!Область_печати</vt:lpstr>
      <vt:lpstr>'рез к 2017'!Область_печати</vt:lpstr>
      <vt:lpstr>'рез к 2017-2023'!Область_печати</vt:lpstr>
      <vt:lpstr>'рез к 2018-2024 (кор) '!Область_печати</vt:lpstr>
      <vt:lpstr>'рем программа'!Область_печати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ремонты!Область_печати</vt:lpstr>
      <vt:lpstr>стоки!Область_печати</vt:lpstr>
      <vt:lpstr>'стоки 2019-2021'!Область_печати</vt:lpstr>
      <vt:lpstr>'Текущий ремонт'!Область_печати</vt:lpstr>
      <vt:lpstr>'Тепловая энергия (3 подъем)'!Область_печати</vt:lpstr>
      <vt:lpstr>'тех вода 2019-2021'!Область_печати</vt:lpstr>
      <vt:lpstr>транс!Область_печати</vt:lpstr>
      <vt:lpstr>'Транспортировка КЭМЗ'!Область_печати</vt:lpstr>
      <vt:lpstr>'ФАКТ.СЕБЕСТ.ВОДА 9 мес. 2021'!Область_печати</vt:lpstr>
      <vt:lpstr>'ФАКТ.СЕБЕСТ.СТОКИ 9 мес. 2021'!Область_печати</vt:lpstr>
      <vt:lpstr>'хим реагенты'!Область_печати</vt:lpstr>
      <vt:lpstr>ХР!Область_печати</vt:lpstr>
      <vt:lpstr>'цех вода'!Область_печати</vt:lpstr>
      <vt:lpstr>'цех стоки'!Область_печати</vt:lpstr>
      <vt:lpstr>'Чистая прибыль с транспортир.'!Область_печати</vt:lpstr>
      <vt:lpstr>электр!Область_печати</vt:lpstr>
      <vt:lpstr>'электр 2017-2018'!Область_печати</vt:lpstr>
      <vt:lpstr>'ЭЭ вода'!Область_печати</vt:lpstr>
      <vt:lpstr>'ЭЭ стоки'!Область_печати</vt:lpstr>
    </vt:vector>
  </TitlesOfParts>
  <Company>ДТЦ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</cp:lastModifiedBy>
  <cp:lastPrinted>2020-12-24T07:00:50Z</cp:lastPrinted>
  <dcterms:created xsi:type="dcterms:W3CDTF">2005-08-29T07:58:36Z</dcterms:created>
  <dcterms:modified xsi:type="dcterms:W3CDTF">2022-05-24T07:34:11Z</dcterms:modified>
</cp:coreProperties>
</file>